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commentsmeta2"/>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uidelines" sheetId="1" r:id="rId4"/>
    <sheet state="visible" name="Snowball Process" sheetId="2" r:id="rId5"/>
    <sheet state="visible" name="Parameters" sheetId="3" r:id="rId6"/>
    <sheet state="visible" name="Search Strings" sheetId="4" r:id="rId7"/>
    <sheet state="visible" name="ASReview Results Overview" sheetId="5" r:id="rId8"/>
    <sheet state="visible" name="Overall Dataset" sheetId="6" r:id="rId9"/>
    <sheet state="visible" name="Preliminary Screening Dataset" sheetId="7" r:id="rId10"/>
    <sheet state="visible" name="Primary Screening Dataset" sheetId="8" r:id="rId11"/>
    <sheet state="visible" name="Secondary Screening Dataset" sheetId="9" r:id="rId12"/>
    <sheet state="visible" name="Final Screening" sheetId="10" r:id="rId13"/>
    <sheet state="visible" name="Snowball Prelim, Primary + Seco" sheetId="11" r:id="rId14"/>
    <sheet state="visible" name="Raw Results" sheetId="12" r:id="rId15"/>
    <sheet state="visible" name="Claims" sheetId="13" r:id="rId16"/>
    <sheet state="hidden" name="final draft" sheetId="14" r:id="rId17"/>
  </sheets>
  <definedNames>
    <definedName hidden="1" localSheetId="5" name="_xlnm._FilterDatabase">'Overall Dataset'!$A$1:$DL$3147</definedName>
    <definedName hidden="1" localSheetId="7" name="_xlnm._FilterDatabase">'Primary Screening Dataset'!$A$1:$BC$216</definedName>
    <definedName hidden="1" localSheetId="9" name="_xlnm._FilterDatabase">'Final Screening'!$A$4:$BD$63</definedName>
  </definedNames>
  <calcPr/>
  <extLst>
    <ext uri="GoogleSheetsCustomDataVersion2">
      <go:sheetsCustomData xmlns:go="http://customooxmlschemas.google.com/" r:id="rId18" roundtripDataChecksum="y3VW76JNEFJF0RhojpPFt6mIsUVtmC99PU1F6QzjEE4="/>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H1">
      <text>
        <t xml:space="preserve">======
ID#AAABlVPJyvY
Eoan O'Dea    (2025-06-06 08:57:26)
If one EC is satisfied, exclude the paper</t>
      </text>
    </comment>
    <comment authorId="0" ref="E1">
      <text>
        <t xml:space="preserve">======
ID#AAABlU_OeWg
Eoan O'Dea    (2025-06-06 08:57:08)
Only one IC in one phase must be satisfied to continue</t>
      </text>
    </comment>
  </commentList>
  <extLst>
    <ext uri="GoogleSheetsCustomDataVersion2">
      <go:sheetsCustomData xmlns:go="http://customooxmlschemas.google.com/" r:id="rId1" roundtripDataSignature="AMtx7miVYqjQ3ZEKTzv75gkdUpTXmUXlZg=="/>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
      <text>
        <t xml:space="preserve">======
ID#AAABgwde0aw
Eoan O'Dea    (2025-03-24 13:53:34)
Multiple/Single/Open</t>
      </text>
    </comment>
  </commentList>
  <extLst>
    <ext uri="GoogleSheetsCustomDataVersion2">
      <go:sheetsCustomData xmlns:go="http://customooxmlschemas.google.com/" r:id="rId1" roundtripDataSignature="AMtx7mhvvsFB+DzdJ7+dTgnmF41Hk1uKig=="/>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I1">
      <text>
        <t xml:space="preserve">======
ID#AAABxivGrFw
Eoan O'Dea    (2025-12-15 11:08:11)
Keeping this in results - Main rq can go to dicussion</t>
      </text>
    </comment>
  </commentList>
  <extLst>
    <ext uri="GoogleSheetsCustomDataVersion2">
      <go:sheetsCustomData xmlns:go="http://customooxmlschemas.google.com/" r:id="rId1" roundtripDataSignature="AMtx7mhk2zX4k1EiLtDQvFeLc8gGJvpo7g=="/>
    </ext>
  </extLst>
</comments>
</file>

<file path=xl/sharedStrings.xml><?xml version="1.0" encoding="utf-8"?>
<sst xmlns="http://schemas.openxmlformats.org/spreadsheetml/2006/main" count="95126" uniqueCount="35041">
  <si>
    <t>Tab Name</t>
  </si>
  <si>
    <t>Description</t>
  </si>
  <si>
    <t>Starting number of papers</t>
  </si>
  <si>
    <t>Final number of papers</t>
  </si>
  <si>
    <t>Inclusion Criteria Applied</t>
  </si>
  <si>
    <t>Exculsion Criteria applied</t>
  </si>
  <si>
    <t>Overall Dataset</t>
  </si>
  <si>
    <t>Set of paper retrieved from the digital libraries. It represents the dataset used for primary screening.</t>
  </si>
  <si>
    <t>ID</t>
  </si>
  <si>
    <t>RQ</t>
  </si>
  <si>
    <t>IC1</t>
  </si>
  <si>
    <t>Paper is published between 2015 and 2025</t>
  </si>
  <si>
    <t>EC1</t>
  </si>
  <si>
    <t>Paper is a graduate thesis or project report</t>
  </si>
  <si>
    <t>IC2</t>
  </si>
  <si>
    <t>Paper is either a Conference or Journal paper</t>
  </si>
  <si>
    <t>EC2</t>
  </si>
  <si>
    <t>Paper has not been peer-reviewed</t>
  </si>
  <si>
    <t>IC3</t>
  </si>
  <si>
    <t>Paper is not a duplicate across multiple sources</t>
  </si>
  <si>
    <t>Preliminary Screening</t>
  </si>
  <si>
    <r>
      <rPr>
        <rFont val="Calibri"/>
        <color theme="1"/>
        <sz val="11.0"/>
      </rPr>
      <t xml:space="preserve">Checking the title and abstract of each included paper over 5 rounds considering the keywords as per EC3.
Round 1: Manually done by Eoan 
Round 2 - 5: Automated in python
A paper is included if </t>
    </r>
    <r>
      <rPr>
        <rFont val="Calibri"/>
        <b/>
        <color theme="1"/>
        <sz val="11.0"/>
      </rPr>
      <t>at least one</t>
    </r>
    <r>
      <rPr>
        <rFont val="Calibri"/>
        <color theme="1"/>
        <sz val="11.0"/>
      </rPr>
      <t xml:space="preserve"> round opted to include the paper</t>
    </r>
  </si>
  <si>
    <t>IC4</t>
  </si>
  <si>
    <t>Paper is written in English based on title and abstract</t>
  </si>
  <si>
    <t>EC3</t>
  </si>
  <si>
    <t>Paper does not mention (cloud application or micro) and (energy or sustainability or green) in the title or abstract</t>
  </si>
  <si>
    <t>Primary Screening</t>
  </si>
  <si>
    <r>
      <rPr>
        <rFont val="Calibri"/>
        <color theme="1"/>
        <sz val="11.0"/>
      </rPr>
      <t xml:space="preserve">Reading the title and abstract of each included paper over three rounds.
Round 1: Manually done by Eoan
Round 2: Done by a LLM (GPT-4o-mini)
Round 3: Done by a LLM (GTP-4o-mini)
A paper is included if </t>
    </r>
    <r>
      <rPr>
        <rFont val="Calibri"/>
        <b/>
        <color theme="1"/>
        <sz val="11.0"/>
      </rPr>
      <t>at least one</t>
    </r>
    <r>
      <rPr>
        <rFont val="Calibri"/>
        <color theme="1"/>
        <sz val="11.0"/>
      </rPr>
      <t xml:space="preserve"> round opted to include the paper</t>
    </r>
  </si>
  <si>
    <t>IC5</t>
  </si>
  <si>
    <t>Title/abstract indicates energy efficiency/consumption is considered in software engineering or architecture.</t>
  </si>
  <si>
    <t>EC4</t>
  </si>
  <si>
    <t>Only discusses energy at hardware/infrastructure level, not software/architecture.</t>
  </si>
  <si>
    <t>IC6</t>
  </si>
  <si>
    <t>Title/abstract refers to solutions for energy-efficient microservices.</t>
  </si>
  <si>
    <t>EC5</t>
  </si>
  <si>
    <t>No mention of measurement, analysis, or evaluation of energy in microservices.</t>
  </si>
  <si>
    <t>EC6</t>
  </si>
  <si>
    <t>The paper is a secondary study (SLR, mapping studies...)</t>
  </si>
  <si>
    <t>Secondary Screening</t>
  </si>
  <si>
    <t>Reading the introduction and conclusion of each included paper</t>
  </si>
  <si>
    <t>IC7</t>
  </si>
  <si>
    <t>The introduction/conclusion talks about how to engineer green MS</t>
  </si>
  <si>
    <t>RQ1</t>
  </si>
  <si>
    <t>The introduction/conclusion only discusses energy at hardware/infrastructure level, not software/architecture.</t>
  </si>
  <si>
    <t>IC8</t>
  </si>
  <si>
    <t>The introduction/conclusion discusses how they measure energy consumption in MS</t>
  </si>
  <si>
    <t>RQ2</t>
  </si>
  <si>
    <t>The introduction/conclusion does not mention measurement, analysis, or evaluation of energy in microservices.</t>
  </si>
  <si>
    <t>IC9</t>
  </si>
  <si>
    <t xml:space="preserve">Introduction/conclusion refers to solutions for energy-efficient microservices.
</t>
  </si>
  <si>
    <t>RQ3</t>
  </si>
  <si>
    <t>EC7</t>
  </si>
  <si>
    <t>The full text of the paper is not accessible</t>
  </si>
  <si>
    <t>Final Screening</t>
  </si>
  <si>
    <t>Reading the full text of each paper</t>
  </si>
  <si>
    <t>P1</t>
  </si>
  <si>
    <r>
      <rPr>
        <rFont val="Calibri"/>
        <color theme="1"/>
        <sz val="11.0"/>
      </rPr>
      <t xml:space="preserve">The text indicates that EE is considered across one or more software </t>
    </r>
    <r>
      <rPr>
        <rFont val="Calibri"/>
        <b/>
        <color theme="1"/>
        <sz val="11.0"/>
      </rPr>
      <t>lifecycle stages</t>
    </r>
    <r>
      <rPr>
        <rFont val="Calibri"/>
        <color theme="1"/>
        <sz val="11.0"/>
      </rPr>
      <t xml:space="preserve"> in MS based systems.</t>
    </r>
  </si>
  <si>
    <t>RQ1.1</t>
  </si>
  <si>
    <t>P2</t>
  </si>
  <si>
    <r>
      <rPr>
        <rFont val="Calibri"/>
        <color theme="1"/>
        <sz val="11.0"/>
      </rPr>
      <t xml:space="preserve">The text refers to EC related to specific MS architectural </t>
    </r>
    <r>
      <rPr>
        <rFont val="Calibri"/>
        <b/>
        <color theme="1"/>
        <sz val="11.0"/>
      </rPr>
      <t>elements</t>
    </r>
    <r>
      <rPr>
        <rFont val="Calibri"/>
        <color theme="1"/>
        <sz val="11.0"/>
      </rPr>
      <t xml:space="preserve"> (e.g. services, containers, gateways).</t>
    </r>
  </si>
  <si>
    <t>RQ1.2</t>
  </si>
  <si>
    <t>P3</t>
  </si>
  <si>
    <r>
      <rPr>
        <rFont val="Calibri"/>
        <color theme="1"/>
        <sz val="11.0"/>
      </rPr>
      <t xml:space="preserve">The text indicates </t>
    </r>
    <r>
      <rPr>
        <rFont val="Calibri"/>
        <b/>
        <color theme="1"/>
        <sz val="11.0"/>
      </rPr>
      <t>methods</t>
    </r>
    <r>
      <rPr>
        <rFont val="Calibri"/>
        <color theme="1"/>
        <sz val="11.0"/>
      </rPr>
      <t xml:space="preserve"> to measure or assess EC in MS systems.</t>
    </r>
  </si>
  <si>
    <t>RQ2.1</t>
  </si>
  <si>
    <t>P4</t>
  </si>
  <si>
    <r>
      <rPr>
        <rFont val="Calibri"/>
        <color theme="1"/>
        <sz val="11.0"/>
      </rPr>
      <t xml:space="preserve">The text mentions the use or development of specific </t>
    </r>
    <r>
      <rPr>
        <rFont val="Calibri"/>
        <b/>
        <color theme="1"/>
        <sz val="11.0"/>
      </rPr>
      <t>tools</t>
    </r>
    <r>
      <rPr>
        <rFont val="Calibri"/>
        <color theme="1"/>
        <sz val="11.0"/>
      </rPr>
      <t xml:space="preserve"> for analyzing or monitoring energy in MS.</t>
    </r>
  </si>
  <si>
    <t>RQ2.2</t>
  </si>
  <si>
    <t>P5</t>
  </si>
  <si>
    <r>
      <rPr>
        <rFont val="Calibri"/>
        <color theme="1"/>
        <sz val="11.0"/>
      </rPr>
      <t xml:space="preserve">The text refers to the use or development of </t>
    </r>
    <r>
      <rPr>
        <rFont val="Calibri"/>
        <b/>
        <color theme="1"/>
        <sz val="11.0"/>
      </rPr>
      <t>metrics</t>
    </r>
    <r>
      <rPr>
        <rFont val="Calibri"/>
        <color theme="1"/>
        <sz val="11.0"/>
      </rPr>
      <t xml:space="preserve"> for evaluating energy efficiency in MS systems.</t>
    </r>
  </si>
  <si>
    <t>RQ2.3</t>
  </si>
  <si>
    <t>P6</t>
  </si>
  <si>
    <r>
      <rPr>
        <rFont val="Calibri"/>
        <color theme="1"/>
        <sz val="11.0"/>
      </rPr>
      <t xml:space="preserve">The text presents or summarizes architectural </t>
    </r>
    <r>
      <rPr>
        <rFont val="Calibri"/>
        <b/>
        <color theme="1"/>
        <sz val="11.0"/>
      </rPr>
      <t>approaches</t>
    </r>
    <r>
      <rPr>
        <rFont val="Calibri"/>
        <color theme="1"/>
        <sz val="11.0"/>
      </rPr>
      <t xml:space="preserve"> or solutions aimed at improving EE in MS.</t>
    </r>
  </si>
  <si>
    <t>RQ3.1</t>
  </si>
  <si>
    <t>P7</t>
  </si>
  <si>
    <r>
      <rPr>
        <rFont val="Calibri"/>
        <color theme="1"/>
        <sz val="11.0"/>
      </rPr>
      <t xml:space="preserve">The text mentions </t>
    </r>
    <r>
      <rPr>
        <rFont val="Calibri"/>
        <b/>
        <color theme="1"/>
        <sz val="11.0"/>
      </rPr>
      <t>trade-offs</t>
    </r>
    <r>
      <rPr>
        <rFont val="Calibri"/>
        <color theme="1"/>
        <sz val="11.0"/>
      </rPr>
      <t xml:space="preserve"> between EE and other system qualities (e.g., performance, scalability).</t>
    </r>
  </si>
  <si>
    <t>RQ3.2</t>
  </si>
  <si>
    <t>P8</t>
  </si>
  <si>
    <r>
      <rPr>
        <rFont val="Calibri"/>
        <color theme="1"/>
        <sz val="11.0"/>
      </rPr>
      <t xml:space="preserve">The text discusses </t>
    </r>
    <r>
      <rPr>
        <rFont val="Calibri"/>
        <b/>
        <color theme="1"/>
        <sz val="11.0"/>
      </rPr>
      <t>challenges</t>
    </r>
    <r>
      <rPr>
        <rFont val="Calibri"/>
        <color theme="1"/>
        <sz val="11.0"/>
      </rPr>
      <t xml:space="preserve"> or barriers to implementing EE in MS.</t>
    </r>
  </si>
  <si>
    <t>RQ3.3</t>
  </si>
  <si>
    <t>Final Set of Papers</t>
  </si>
  <si>
    <t>List of Parameters</t>
  </si>
  <si>
    <t>The tab reports the list of parameters with description. In addition, the list of possible values for parameters are listed and described.</t>
  </si>
  <si>
    <t>None</t>
  </si>
  <si>
    <t>Step #</t>
  </si>
  <si>
    <t>Snowball Repeats</t>
  </si>
  <si>
    <r>
      <t xml:space="preserve">
</t>
    </r>
    <r>
      <rPr>
        <rFont val="Calibri"/>
        <b/>
        <color theme="1"/>
        <sz val="11.0"/>
      </rPr>
      <t>Forward:</t>
    </r>
    <r>
      <rPr>
        <rFont val="Calibri"/>
        <color theme="1"/>
        <sz val="11.0"/>
      </rPr>
      <t xml:space="preserve"> 1001
</t>
    </r>
    <r>
      <rPr>
        <rFont val="Calibri"/>
        <b/>
        <color theme="1"/>
        <sz val="11.0"/>
      </rPr>
      <t>Backward:</t>
    </r>
    <r>
      <rPr>
        <rFont val="Calibri"/>
        <color theme="1"/>
        <sz val="11.0"/>
      </rPr>
      <t xml:space="preserve"> 1503
</t>
    </r>
    <r>
      <rPr>
        <rFont val="Calibri"/>
        <b/>
        <color theme="1"/>
        <sz val="11.0"/>
      </rPr>
      <t>Total:</t>
    </r>
    <r>
      <rPr>
        <rFont val="Calibri"/>
        <color theme="1"/>
        <sz val="11.0"/>
      </rPr>
      <t xml:space="preserve"> 2504</t>
    </r>
  </si>
  <si>
    <t>Checks to make (Snowball)</t>
  </si>
  <si>
    <t>- Check against first dataset (3146)
- Only English
- Peer reviewed
- Remove duplicates
- Between 2015 - 2025</t>
  </si>
  <si>
    <t>The paper was in the original dataset</t>
  </si>
  <si>
    <r>
      <rPr>
        <rFont val="Calibri"/>
        <color theme="1"/>
        <sz val="11.0"/>
      </rPr>
      <t xml:space="preserve">Checking the title and abstract of each included paper over 2 rounds considering the keywords as per EC3.
Round 1 - 2: Automated in python
A paper is included if </t>
    </r>
    <r>
      <rPr>
        <rFont val="Calibri"/>
        <b/>
        <color theme="1"/>
        <sz val="11.0"/>
      </rPr>
      <t>at least one</t>
    </r>
    <r>
      <rPr>
        <rFont val="Calibri"/>
        <color theme="1"/>
        <sz val="11.0"/>
      </rPr>
      <t xml:space="preserve"> round opted to include the paper</t>
    </r>
  </si>
  <si>
    <t>Asreview settings
- Do one randomly
- Do one 80/20</t>
  </si>
  <si>
    <r>
      <rPr>
        <rFont val="Calibri"/>
        <color theme="1"/>
        <sz val="11.0"/>
      </rPr>
      <t xml:space="preserve">Reading the title and abstract of each included paper over three rounds.
Round 1: Manually done by Eoan
Round 2: Done by a LLM (GPT-4o-mini)
Round 3: Done by a LLM (GTP-4o-mini)
A paper is included if </t>
    </r>
    <r>
      <rPr>
        <rFont val="Calibri"/>
        <b/>
        <color theme="1"/>
        <sz val="11.0"/>
      </rPr>
      <t>at least one</t>
    </r>
    <r>
      <rPr>
        <rFont val="Calibri"/>
        <color theme="1"/>
        <sz val="11.0"/>
      </rPr>
      <t xml:space="preserve"> round opted to include the paper</t>
    </r>
  </si>
  <si>
    <t>Read introduction/conclusion</t>
  </si>
  <si>
    <t>EC8</t>
  </si>
  <si>
    <t>EC9</t>
  </si>
  <si>
    <r>
      <rPr>
        <rFont val="Calibri"/>
        <color theme="1"/>
        <sz val="11.0"/>
      </rPr>
      <t xml:space="preserve">The text indicates that EE is considered across one or more software </t>
    </r>
    <r>
      <rPr>
        <rFont val="Calibri"/>
        <b/>
        <color theme="1"/>
        <sz val="11.0"/>
      </rPr>
      <t>lifecycle stages</t>
    </r>
    <r>
      <rPr>
        <rFont val="Calibri"/>
        <color theme="1"/>
        <sz val="11.0"/>
      </rPr>
      <t xml:space="preserve"> in MS based systems.</t>
    </r>
  </si>
  <si>
    <r>
      <rPr>
        <rFont val="Calibri"/>
        <color theme="1"/>
        <sz val="11.0"/>
      </rPr>
      <t xml:space="preserve">The text refers to EC related to specific MS architectural </t>
    </r>
    <r>
      <rPr>
        <rFont val="Calibri"/>
        <b/>
        <color theme="1"/>
        <sz val="11.0"/>
      </rPr>
      <t>elements</t>
    </r>
    <r>
      <rPr>
        <rFont val="Calibri"/>
        <color theme="1"/>
        <sz val="11.0"/>
      </rPr>
      <t xml:space="preserve"> (e.g. services, containers, gateways).</t>
    </r>
  </si>
  <si>
    <r>
      <rPr>
        <rFont val="Calibri"/>
        <color theme="1"/>
        <sz val="11.0"/>
      </rPr>
      <t xml:space="preserve">The text indicates </t>
    </r>
    <r>
      <rPr>
        <rFont val="Calibri"/>
        <b/>
        <color theme="1"/>
        <sz val="11.0"/>
      </rPr>
      <t>methods</t>
    </r>
    <r>
      <rPr>
        <rFont val="Calibri"/>
        <color theme="1"/>
        <sz val="11.0"/>
      </rPr>
      <t xml:space="preserve"> to measure or assess EC in MS systems.</t>
    </r>
  </si>
  <si>
    <r>
      <rPr>
        <rFont val="Calibri"/>
        <color theme="1"/>
        <sz val="11.0"/>
      </rPr>
      <t xml:space="preserve">The text mentions the use or development of specific </t>
    </r>
    <r>
      <rPr>
        <rFont val="Calibri"/>
        <b/>
        <color theme="1"/>
        <sz val="11.0"/>
      </rPr>
      <t>tools</t>
    </r>
    <r>
      <rPr>
        <rFont val="Calibri"/>
        <color theme="1"/>
        <sz val="11.0"/>
      </rPr>
      <t xml:space="preserve"> for analyzing or monitoring energy in MS.</t>
    </r>
  </si>
  <si>
    <r>
      <rPr>
        <rFont val="Calibri"/>
        <color theme="1"/>
        <sz val="11.0"/>
      </rPr>
      <t xml:space="preserve">The text refers to the use or development of </t>
    </r>
    <r>
      <rPr>
        <rFont val="Calibri"/>
        <b/>
        <color theme="1"/>
        <sz val="11.0"/>
      </rPr>
      <t>metrics</t>
    </r>
    <r>
      <rPr>
        <rFont val="Calibri"/>
        <color theme="1"/>
        <sz val="11.0"/>
      </rPr>
      <t xml:space="preserve"> for evaluating energy efficiency in MS systems.</t>
    </r>
  </si>
  <si>
    <r>
      <rPr>
        <rFont val="Calibri"/>
        <color theme="1"/>
        <sz val="11.0"/>
      </rPr>
      <t xml:space="preserve">The text presents or summarizes architectural </t>
    </r>
    <r>
      <rPr>
        <rFont val="Calibri"/>
        <b/>
        <color theme="1"/>
        <sz val="11.0"/>
      </rPr>
      <t>approaches</t>
    </r>
    <r>
      <rPr>
        <rFont val="Calibri"/>
        <color theme="1"/>
        <sz val="11.0"/>
      </rPr>
      <t xml:space="preserve"> or solutions aimed at improving EE in MS.</t>
    </r>
  </si>
  <si>
    <r>
      <rPr>
        <rFont val="Calibri"/>
        <color theme="1"/>
        <sz val="11.0"/>
      </rPr>
      <t xml:space="preserve">The text mentions </t>
    </r>
    <r>
      <rPr>
        <rFont val="Calibri"/>
        <b/>
        <color theme="1"/>
        <sz val="11.0"/>
      </rPr>
      <t>trade-offs</t>
    </r>
    <r>
      <rPr>
        <rFont val="Calibri"/>
        <color theme="1"/>
        <sz val="11.0"/>
      </rPr>
      <t xml:space="preserve"> between EE and other system qualities (e.g., performance, scalability).</t>
    </r>
  </si>
  <si>
    <r>
      <rPr>
        <rFont val="Calibri"/>
        <color theme="1"/>
        <sz val="11.0"/>
      </rPr>
      <t xml:space="preserve">The text discusses </t>
    </r>
    <r>
      <rPr>
        <rFont val="Calibri"/>
        <b/>
        <color theme="1"/>
        <sz val="11.0"/>
      </rPr>
      <t>challenges</t>
    </r>
    <r>
      <rPr>
        <rFont val="Calibri"/>
        <color theme="1"/>
        <sz val="11.0"/>
      </rPr>
      <t xml:space="preserve"> or barriers to implementing EE in MS.</t>
    </r>
  </si>
  <si>
    <t>PARAMETER ID</t>
  </si>
  <si>
    <t>Parameter Name</t>
  </si>
  <si>
    <t>Type</t>
  </si>
  <si>
    <t>Example Values</t>
  </si>
  <si>
    <t>RQ1: Where is energy efficiency considered in microservice architecture research?</t>
  </si>
  <si>
    <t>RQ1.1: At which stages of the software lifecycle is energy efficiency considered in microservices?</t>
  </si>
  <si>
    <t>RQ1.1.P1</t>
  </si>
  <si>
    <t>Energy Consideration Stage</t>
  </si>
  <si>
    <t>Single</t>
  </si>
  <si>
    <t>Requirements, Design, Implementation, Testing, Deployment, Operations</t>
  </si>
  <si>
    <t>At what point in the lifecycle energy efficiency becomes a stated concern or point of attention</t>
  </si>
  <si>
    <t>RQ1.1.P2</t>
  </si>
  <si>
    <t>Energy Intervention Stage</t>
  </si>
  <si>
    <t>Explicit requirements, Implicit concerns, Post-deployment optimization</t>
  </si>
  <si>
    <t>At what point in the lifecycle energy efficiency concerns are addressed</t>
  </si>
  <si>
    <t>RQ1.1.P3</t>
  </si>
  <si>
    <t>Energy Optimisation Technique</t>
  </si>
  <si>
    <t>Build-in, Add-on, External monitoring, Manual assessment</t>
  </si>
  <si>
    <t>How energy efficiency is introduced into the system or process</t>
  </si>
  <si>
    <t>RQ1.2: Which microservice architectural elements are primarily considered when measuring energy consumption?</t>
  </si>
  <si>
    <t>RQ1.2.P1</t>
  </si>
  <si>
    <t>Component Type</t>
  </si>
  <si>
    <t>Service units, API Gateways, Message brokers, Databases, Load balancers, Containers</t>
  </si>
  <si>
    <t>Captures the architectural element to which energy consumption is measured or attributed.</t>
  </si>
  <si>
    <t>RQ1.2.P2</t>
  </si>
  <si>
    <t>Energy consumption source</t>
  </si>
  <si>
    <t>Multiple</t>
  </si>
  <si>
    <t>Processing overhead, Communication overhead, State management, Resource allocation, Idle consumption</t>
  </si>
  <si>
    <t>The type of system activity responsible for the measured energy consumption.</t>
  </si>
  <si>
    <t>RQ1.2.P3</t>
  </si>
  <si>
    <t>Component Relationship</t>
  </si>
  <si>
    <t>Isolated, Interconnected, Cascading effect, System-wide impact</t>
  </si>
  <si>
    <t>Describes how interactions and dependencies between components are characterised when reasoning about energy efficiency</t>
  </si>
  <si>
    <t>RQ2: How is energy consumption measured in microservices?</t>
  </si>
  <si>
    <t>RQ2.1: What methods are used to measure energy consumption in microservices?</t>
  </si>
  <si>
    <t>RQ2.1.P1</t>
  </si>
  <si>
    <t>Measurement Level</t>
  </si>
  <si>
    <t>Hardware, OS, Container, Application, Cross-cutting</t>
  </si>
  <si>
    <t>Represents at which level energy consumption is measured</t>
  </si>
  <si>
    <t>RQ2.1.P2</t>
  </si>
  <si>
    <t>Measurement Technique</t>
  </si>
  <si>
    <t>Static analysis, Dynamic profiling, Model-based estimation, Hybrid</t>
  </si>
  <si>
    <t>Describes the technique used to measure energy consumption</t>
  </si>
  <si>
    <t>RQ2.1.P3</t>
  </si>
  <si>
    <t>Data Collection</t>
  </si>
  <si>
    <t>Sampling, Continuous monitoring, Event-triggered, Benchmark testing</t>
  </si>
  <si>
    <t>Refers to the method of collecting energy consumption data</t>
  </si>
  <si>
    <t>RQ2.1.P4</t>
  </si>
  <si>
    <t>Implementation Approach</t>
  </si>
  <si>
    <t xml:space="preserve"> Source code instrumentation, Binary instrumentation, External monitoring</t>
  </si>
  <si>
    <t>Indicates the approach used to implement the measurement</t>
  </si>
  <si>
    <t>RQ2.2: How are tools used for energy consumption analysis in microservices?</t>
  </si>
  <si>
    <t>RQ2.2.P1</t>
  </si>
  <si>
    <t>Tool Type</t>
  </si>
  <si>
    <t>Commercial, Open source, Research prototype, Custom in-house</t>
  </si>
  <si>
    <t>Categorizes the type of tools used for energy consumption analysis</t>
  </si>
  <si>
    <t>RQ2.2.P2</t>
  </si>
  <si>
    <t>Deployment Method</t>
  </si>
  <si>
    <t>Agent-based, Sidecar, External, Embedded</t>
  </si>
  <si>
    <t>Describes how the tool is deployed within the system</t>
  </si>
  <si>
    <t>RQ2.2.P3</t>
  </si>
  <si>
    <t>Analysis Capability</t>
  </si>
  <si>
    <t>Real-time, Historical, Predictive, Comparative</t>
  </si>
  <si>
    <t>Defines the type of analysis the tool provides</t>
  </si>
  <si>
    <t>RQ2.2.P4</t>
  </si>
  <si>
    <t>Granularity</t>
  </si>
  <si>
    <t xml:space="preserve"> System-wide, Service-specific, Transaction-level, Code-block level</t>
  </si>
  <si>
    <t>Indicates the level of detail at which the tool analyzes energy consumption</t>
  </si>
  <si>
    <t>RQ2.3: What energy efficiency metrics are commonly used to evaluate microservices?</t>
  </si>
  <si>
    <t>RQ2.3.P1</t>
  </si>
  <si>
    <t>Metric Type</t>
  </si>
  <si>
    <t>Absolute (Joules, Watts), Relative (efficiency ratio), Composite</t>
  </si>
  <si>
    <t xml:space="preserve">The type of metric used to evaluate energy efficiency </t>
  </si>
  <si>
    <t>RQ2.3.P2</t>
  </si>
  <si>
    <t>Measurement Scope</t>
  </si>
  <si>
    <t>CPU, Memory, Network, Storage, Full-stack</t>
  </si>
  <si>
    <t>The speicif system resource or scope being measureed for energy consumption</t>
  </si>
  <si>
    <t>RQ2.3.P3</t>
  </si>
  <si>
    <t>Normalization Basis</t>
  </si>
  <si>
    <t>Per request, Per transaction, Per user, Per service</t>
  </si>
  <si>
    <t>Defines how energy consumption is normalized to provide meaningful comparisons</t>
  </si>
  <si>
    <t>RQ2.3.P4</t>
  </si>
  <si>
    <t>Business Relevance</t>
  </si>
  <si>
    <t>Cost-focused, Performance-balanced, Carbon footprint</t>
  </si>
  <si>
    <t>Represents the business-oriented perspective of the metric</t>
  </si>
  <si>
    <t>RQ3: What architectural solutions exist for energy-efficient microservices?</t>
  </si>
  <si>
    <t>RQ3.1: What approaches are used to improve energy efficiency in microservice architectures?</t>
  </si>
  <si>
    <t>RQ3.1.P1</t>
  </si>
  <si>
    <t>Energy Management Strategy</t>
  </si>
  <si>
    <t>Strangler pattern, Incremental refactoring, Complete rebuild, Containerization</t>
  </si>
  <si>
    <t>How existing systems are updated for energy efficiency</t>
  </si>
  <si>
    <t>RQ3.1.P2</t>
  </si>
  <si>
    <t>Tactic Category</t>
  </si>
  <si>
    <t>Architectural patterns, Design patterns, Resource management tactics, Request handling tactics, Data management tactics</t>
  </si>
  <si>
    <t>Types of patterns and tactics used to improve energy efficiency</t>
  </si>
  <si>
    <t>RQ3.1.P3</t>
  </si>
  <si>
    <t>Implementation Technologies</t>
  </si>
  <si>
    <t>Containerization, Serverless, Service mesh, Orchestration platforms, Green computing frameworks</t>
  </si>
  <si>
    <t>Specific technologies enabling energy-efficient solutions</t>
  </si>
  <si>
    <t>RQ3.2: What trade-offs exist between energy efficiency and other quality attributes in microservice architectures?</t>
  </si>
  <si>
    <t>RQ3.2.P1</t>
  </si>
  <si>
    <t>Quality Attribute</t>
  </si>
  <si>
    <t>Performance, Scalability, Maintainability, Reliability, Security, Availability</t>
  </si>
  <si>
    <t>System qualities impacted by energy efficiency efforts</t>
  </si>
  <si>
    <t>RQ3.2.P2</t>
  </si>
  <si>
    <t>Trade-off Relationship</t>
  </si>
  <si>
    <t>Competing, Complementary, Context-dependent, Independent</t>
  </si>
  <si>
    <t>Nature of the interaction between energy efficiency and other qualities</t>
  </si>
  <si>
    <t>RQ3.2.P3</t>
  </si>
  <si>
    <t>Trade-off Strategy</t>
  </si>
  <si>
    <t>Architectural refactoring, Compensating tactics, Prioritization frameworks, Incremental evolution</t>
  </si>
  <si>
    <t>Methods to manage or mitigate trade-offs</t>
  </si>
  <si>
    <t>RQ3.3: What challenges affect the adoption of energy-efficient architectural solutions in microservices?</t>
  </si>
  <si>
    <t>RQ3.3.P1</t>
  </si>
  <si>
    <t>Challenge Type</t>
  </si>
  <si>
    <t>Technical, Organizational, Knowledge-based, Economic</t>
  </si>
  <si>
    <t xml:space="preserve">Type of challenges to adoptation </t>
  </si>
  <si>
    <t>RQ3.3.P2</t>
  </si>
  <si>
    <t>Adoption Phase</t>
  </si>
  <si>
    <t xml:space="preserve"> Design-time, Implementation, Deployment, Runtime</t>
  </si>
  <si>
    <t>Lifecycle phase where challenges occur</t>
  </si>
  <si>
    <t>RQ3.3.P3</t>
  </si>
  <si>
    <t>Challenge Complexity</t>
  </si>
  <si>
    <t>Difficulty level of the challenge</t>
  </si>
  <si>
    <t>RQ3.3.P4</t>
  </si>
  <si>
    <t>Mitigation Approach</t>
  </si>
  <si>
    <t>Tooling improvements, Knowledge sharing, Incremental adoption, Organizational change</t>
  </si>
  <si>
    <t>Strategies to address challenges</t>
  </si>
  <si>
    <t>Iteration</t>
  </si>
  <si>
    <t>Search String</t>
  </si>
  <si>
    <t>Results</t>
  </si>
  <si>
    <t>("microservice" OR "micro-service" OR "microservices" OR "micro-services") AND ("energy consumption" OR "power consumption" OR "energy efficiency") AND ("measurement" OR "measurements" OR "profiling" OR "monitoring") AND ("tradeoff" OR "trade-off" OR "quality" OR "qualities") AND ("pattern" OR "patterns" OR "tactic" OR "tactics")</t>
  </si>
  <si>
    <t>General</t>
  </si>
  <si>
    <t>("microservice" OR "micro-service" OR "microservices" OR "micro-services") AND ("energy consumption" OR "power consumption" OR "energy efficiency") AND ("measurement" OR "measurements" OR "profiling" OR "monitoring") AND ("tradeoff" OR "trade-off" OR "quality" OR "qualities") AND ("pattern" OR "patterns" OR "tactic" OR "tactics") AND PUBYEAR &gt; 2014 AND PUBYEAR &lt; 2026</t>
  </si>
  <si>
    <t>Scopus</t>
  </si>
  <si>
    <t>(("Full Text Only":"microservice*") OR ("Full Text Only":"micro-service*"))
AND (("Full Text Only":"energy consumption") OR ("Full Text Only":"power consumption") OR ("Full Text Only":"energy efficiency"))
AND (("Full Text Only":"measurement*") OR ("Full Text Only":"profiling") OR ("Full Text Only":"monitoring"))
AND (("Full Text Only":"trade*off*") OR ("Full Text Only":"qualit*"))
AND (("Full Text Only":"pattern*") OR ("Full Text Only":"tactic*"))</t>
  </si>
  <si>
    <t>IEEE</t>
  </si>
  <si>
    <t>Database</t>
  </si>
  <si>
    <t>Total Results</t>
  </si>
  <si>
    <t>Conference + Journal Papers</t>
  </si>
  <si>
    <t>ACM</t>
  </si>
  <si>
    <t>ACM Expanded</t>
  </si>
  <si>
    <t>Springer</t>
  </si>
  <si>
    <t>6 (Selected)</t>
  </si>
  <si>
    <t>("microservice" OR "micro-service" OR "microservices" OR "micro-services") AND ("energy consumption" OR "power consumption" OR "energy efficiency") AND ("measurement" OR "measurements" OR "profiling" OR "monitoring") AND ("tradeoff" OR "trade-off" OR "quality" OR "qualities" OR "pattern" OR "patterns" OR "tactic" OR "tactics")</t>
  </si>
  <si>
    <t>("microservice" OR "micro-service" OR "microservices" OR "micro-services") AND ("energy consumption" OR "power consumption" OR "energy efficiency") AND ("measurement" OR "measurements" OR "profiling" OR "monitoring") AND ("tradeoff" OR "trade-off" OR "quality" OR "qualities" OR "pattern" OR "patterns" OR "tactic" OR "tactics") AND PUBYEAR &gt; 2014 AND PUBYEAR &lt; 2026</t>
  </si>
  <si>
    <t>(("Full Text Only":"microservice*") OR ("Full Text Only":"micro-service*")) AND (("Full Text Only":"energy consumption") OR ("Full Text Only":"power consumption") OR ("Full Text Only":"energy efficiency")) AND (("Full Text Only":"measurement*") OR ("Full Text Only":"profiling") OR ("Full Text Only":"monitoring")) AND (("Full Text Only":"trade*off*") OR ("Full Text Only":"qualit*") OR ("Full Text Only":"pattern*") OR ("Full Text Only":"tactic*"))</t>
  </si>
  <si>
    <t>806 (658</t>
  </si>
  <si>
    <t>2107 (1414 conference)</t>
  </si>
  <si>
    <t>Round #</t>
  </si>
  <si>
    <t>Date</t>
  </si>
  <si>
    <t># Relevant</t>
  </si>
  <si>
    <t># Labeled</t>
  </si>
  <si>
    <t>Notes</t>
  </si>
  <si>
    <t>Round 1</t>
  </si>
  <si>
    <t>Maximum</t>
  </si>
  <si>
    <t>Round 2</t>
  </si>
  <si>
    <t>5% randomness</t>
  </si>
  <si>
    <t>Round 3</t>
  </si>
  <si>
    <t>Round 4</t>
  </si>
  <si>
    <t>0 randomness</t>
  </si>
  <si>
    <t>Round 5</t>
  </si>
  <si>
    <t>Key</t>
  </si>
  <si>
    <t>Item Type</t>
  </si>
  <si>
    <t>Publication Year</t>
  </si>
  <si>
    <t>Author</t>
  </si>
  <si>
    <t>Title</t>
  </si>
  <si>
    <t>Publication Title</t>
  </si>
  <si>
    <t>ISBN</t>
  </si>
  <si>
    <t>ISSN</t>
  </si>
  <si>
    <t>DOI</t>
  </si>
  <si>
    <t>Url</t>
  </si>
  <si>
    <t>Date Added</t>
  </si>
  <si>
    <t>Date Modified</t>
  </si>
  <si>
    <t>Access Date</t>
  </si>
  <si>
    <t>Pages</t>
  </si>
  <si>
    <t>Num Pages</t>
  </si>
  <si>
    <t>Issue</t>
  </si>
  <si>
    <t>Volume</t>
  </si>
  <si>
    <t>Number Of Volumes</t>
  </si>
  <si>
    <t>Journal Abbreviation</t>
  </si>
  <si>
    <t>Short Title</t>
  </si>
  <si>
    <t>Series</t>
  </si>
  <si>
    <t>Series Number</t>
  </si>
  <si>
    <t>Series Text</t>
  </si>
  <si>
    <t>Series Title</t>
  </si>
  <si>
    <t>Publisher</t>
  </si>
  <si>
    <t>Place</t>
  </si>
  <si>
    <t>Language</t>
  </si>
  <si>
    <t>Rights</t>
  </si>
  <si>
    <t>Archive</t>
  </si>
  <si>
    <t>Archive Location</t>
  </si>
  <si>
    <t>Library Catalog</t>
  </si>
  <si>
    <t>Call Number</t>
  </si>
  <si>
    <t>Extra</t>
  </si>
  <si>
    <t>File Attachments</t>
  </si>
  <si>
    <t>Link Attachments</t>
  </si>
  <si>
    <t>Automatic Tags</t>
  </si>
  <si>
    <t>Editor</t>
  </si>
  <si>
    <t>Series Editor</t>
  </si>
  <si>
    <t>Translator</t>
  </si>
  <si>
    <t>Contributor</t>
  </si>
  <si>
    <t>Attorney Agent</t>
  </si>
  <si>
    <t>Book Author</t>
  </si>
  <si>
    <t>Cast Member</t>
  </si>
  <si>
    <t>Commenter</t>
  </si>
  <si>
    <t>Composer</t>
  </si>
  <si>
    <t>Cosponsor</t>
  </si>
  <si>
    <t>Counsel</t>
  </si>
  <si>
    <t>Interviewer</t>
  </si>
  <si>
    <t>Producer</t>
  </si>
  <si>
    <t>Recipient</t>
  </si>
  <si>
    <t>Reviewed Author</t>
  </si>
  <si>
    <t>Scriptwriter</t>
  </si>
  <si>
    <t>Words By</t>
  </si>
  <si>
    <t>Guest</t>
  </si>
  <si>
    <t>Number</t>
  </si>
  <si>
    <t>Edition</t>
  </si>
  <si>
    <t>Running Time</t>
  </si>
  <si>
    <t>Scale</t>
  </si>
  <si>
    <t>Medium</t>
  </si>
  <si>
    <t>Artwork Size</t>
  </si>
  <si>
    <t>Filing Date</t>
  </si>
  <si>
    <t>Application Number</t>
  </si>
  <si>
    <t>Assignee</t>
  </si>
  <si>
    <t>Issuing Authority</t>
  </si>
  <si>
    <t>Country</t>
  </si>
  <si>
    <t>Meeting Name</t>
  </si>
  <si>
    <t>Conference Name</t>
  </si>
  <si>
    <t>Court</t>
  </si>
  <si>
    <t>References</t>
  </si>
  <si>
    <t>Reporter</t>
  </si>
  <si>
    <t>Legal Status</t>
  </si>
  <si>
    <t>Priority Numbers</t>
  </si>
  <si>
    <t>Programming Language</t>
  </si>
  <si>
    <t>Version</t>
  </si>
  <si>
    <t>System</t>
  </si>
  <si>
    <t>Code</t>
  </si>
  <si>
    <t>Code Number</t>
  </si>
  <si>
    <t>Section</t>
  </si>
  <si>
    <t>Session</t>
  </si>
  <si>
    <t>Committee</t>
  </si>
  <si>
    <t>History</t>
  </si>
  <si>
    <t>Legislative Body</t>
  </si>
  <si>
    <t>Author Affiliations</t>
  </si>
  <si>
    <t>Date Added To Xplore</t>
  </si>
  <si>
    <t>Start Page</t>
  </si>
  <si>
    <t>End Page</t>
  </si>
  <si>
    <t>Abstract</t>
  </si>
  <si>
    <t>ISBNs</t>
  </si>
  <si>
    <t>Funding Information</t>
  </si>
  <si>
    <t>PDF Link</t>
  </si>
  <si>
    <t>Author Keywords</t>
  </si>
  <si>
    <t>Mesh_Terms</t>
  </si>
  <si>
    <t>Article Citation Count</t>
  </si>
  <si>
    <t>Patent Citation Count</t>
  </si>
  <si>
    <t>Reference Count</t>
  </si>
  <si>
    <t>License</t>
  </si>
  <si>
    <t>Issue Date</t>
  </si>
  <si>
    <t>Meeting Date</t>
  </si>
  <si>
    <t>Author full names</t>
  </si>
  <si>
    <t>Author(s) ID</t>
  </si>
  <si>
    <t>Year</t>
  </si>
  <si>
    <t>Source title</t>
  </si>
  <si>
    <t>Art. No.</t>
  </si>
  <si>
    <t>Page start</t>
  </si>
  <si>
    <t>Page end</t>
  </si>
  <si>
    <t>Page count</t>
  </si>
  <si>
    <t>Cited by</t>
  </si>
  <si>
    <t>Link</t>
  </si>
  <si>
    <t>Publication Stage</t>
  </si>
  <si>
    <t>Open Access</t>
  </si>
  <si>
    <t>Source</t>
  </si>
  <si>
    <t>EID</t>
  </si>
  <si>
    <t>Keywords</t>
  </si>
  <si>
    <t>PPQI2ZES</t>
  </si>
  <si>
    <t>conferencePaper</t>
  </si>
  <si>
    <t>Serrano-Gutierrez, Pablo; Ayala, Inmaculada</t>
  </si>
  <si>
    <t>Using Energy Consumption for Self-adaptation in&amp;nbsp;FaaS</t>
  </si>
  <si>
    <t>Reuse and Software Quality: 21st International Conference on Software and Systems Reuse, ICSR 2024, Limassol, Cyprus, June 19‚Äì20, 2024, Proceedings</t>
  </si>
  <si>
    <t>978-3-031-66458-8</t>
  </si>
  <si>
    <t>10.1007/978-3-031-66459-5_8</t>
  </si>
  <si>
    <t>https://doi.org/10.1007/978-3-031-66459-5_8</t>
  </si>
  <si>
    <t>123‚Äì134</t>
  </si>
  <si>
    <t>Springer-Verlag</t>
  </si>
  <si>
    <t>Berlin, Heidelberg</t>
  </si>
  <si>
    <t>event-place: Limassol, Cyprus</t>
  </si>
  <si>
    <t>One of the programming models that has been developing the most in recent years is Function as a Service (FaaS). The growing concern over data centre energy footprints has driven sustainable software development. In serverless applications, energy consumption depends on the energy consumption of the application‚Äôs functions. However, measuring energy proves challenging, and the results‚Äô variability complicates optimisation efforts at runtime. This article addresses this issue by measuring serverless function energy consumption and exploring integration into an optimisation system that selects implementations based on their current energy footprint. For this, we have integrated an energy measurement software into a FaaS system. We have analysed how to properly process the data and how to use them to perform self-adaptation. We present a series of methods and policies that make our system not only capable of detecting variations in the energy consumption of the functions, but it does so taking into account the variability in the measurements that each function may present. Our experiments showcase proper integration in a self-adaptive system, showing a reduction up to 5% in energy consumption due to functions in a test application.</t>
  </si>
  <si>
    <t>serverless; sustainability; self-adaptive</t>
  </si>
  <si>
    <t>MF6HYN8W</t>
  </si>
  <si>
    <t>Galantino, Stefano; Pinto, Andrea; Esposito, Flavio; Manzalini, Antonio; Risso, Fulvio</t>
  </si>
  <si>
    <t>Balancing Energy Efficiency and Infrastructure Knowledge in Cloud-to-Edge Task Distribution Systems</t>
  </si>
  <si>
    <t>Proceedings of the 1st International Workshop on MetaOS for the Cloud-Edge-IoT Continuum</t>
  </si>
  <si>
    <t>979-8-4007-0543-4</t>
  </si>
  <si>
    <t>10.1145/3642975.3678965</t>
  </si>
  <si>
    <t>https://doi.org/10.1145/3642975.3678965</t>
  </si>
  <si>
    <t>28‚Äì34</t>
  </si>
  <si>
    <t>MECC '24</t>
  </si>
  <si>
    <t>Association for Computing Machinery</t>
  </si>
  <si>
    <t>New York, NY, USA</t>
  </si>
  <si>
    <t>event-place: Athens, Greece</t>
  </si>
  <si>
    <t>In the rapidly evolving landscape of distributed computing, maintaining energy efficiency in edge and data center infrastructures has become critical. While the problem has been faced with centralized approaches assuming knowledge of the available underlying infrastructure resources, this paper introduces a distributed task allocation framework emphasizing energy awareness without requiring infrastructure knowledge. The framework is designed to optimize energy consumption in heterogeneous computing environments, leveraging a distributed consensus algorithm that allows nodes to maximize individual or global goals. Each private custom utility function enables a node to carefully determine whether executing a task is efficient, thus ensuring flexibility in the task allocation process based on local preferences. While showcasing the energy efficiency of our framework, we also illustrate that it is not necessary to disclose the underlying infrastructure resources status, ensuring the preservation of potentially sensitive local resources information. Experimental results demonstrate the framework's ability to achieve optimal power consumption outcomes while maintaining privacy, offering a significant advancement over traditional centralized allocation policies and Kubernetes-like scheduling algorithms.</t>
  </si>
  <si>
    <t>LKFV3LAA</t>
  </si>
  <si>
    <t>M√ºller, Benedikt Tobias; Ender, Marvin; Swiadek, Jan Erik; Jin, Mengcheng; Winkel, Simon; Niedziela, Dominik; Li, Bin; H√ºntelmann, Jelle; M√ºller, Emmanuel</t>
  </si>
  <si>
    <t>ADEPT: Anomaly Detection, Explanation and Processing for Time Series with a Focus on Energy Consumption Data</t>
  </si>
  <si>
    <t>Machine Learning and Knowledge Discovery in Databases: European Conference, ECML PKDD 2022, Grenoble, France, September 19‚Äì23, 2022, Proceedings, Part VI</t>
  </si>
  <si>
    <t>978-3-031-26421-4</t>
  </si>
  <si>
    <t>10.1007/978-3-031-26422-1_43</t>
  </si>
  <si>
    <t>https://doi.org/10.1007/978-3-031-26422-1_43</t>
  </si>
  <si>
    <t>622‚Äì626</t>
  </si>
  <si>
    <t>event-place: Grenoble, France</t>
  </si>
  <si>
    <t>Anomaly detection techniques are applicable for recognizing excessive energy consumption and device failure, thereby contributing to the maintenance of operational and sustainable energy supply systems. In this context, human decision makers can benefit from receiving explanation attempts for detected anomalies as part of a semi-automated software solution. Therefore we introduce the framework ADEPT, which comprises interfaces for processing user-supplied time series data and interactively visualizing explanatory anomaly information. Our framework features several shallow and deep machine learning algorithms for anomaly detection and explanation. We demonstrate ADEPT using energy consumption data collected from our university campus.</t>
  </si>
  <si>
    <t>Anomaly detection; Energy consumption; Explainability</t>
  </si>
  <si>
    <t>ZIKASWQT</t>
  </si>
  <si>
    <t>Sim√µes, Bruno; Del Puy Carretero, Mar√≠a; Martinez Santiago, Jorge; Mu√±oz Segovia, Sebastian; Alcain, Nieves</t>
  </si>
  <si>
    <t>TwinArk: A Unified Framework for Digital Twins based on Micro-frontends, Micro-Services, and Web 3D</t>
  </si>
  <si>
    <t>Proceedings of the 28th International ACM Conference on 3D Web Technology</t>
  </si>
  <si>
    <t>979-8-4007-0324-9</t>
  </si>
  <si>
    <t>10.1145/3611314.3615915</t>
  </si>
  <si>
    <t>https://doi.org/10.1145/3611314.3615915</t>
  </si>
  <si>
    <t>Web3D '23</t>
  </si>
  <si>
    <t>event-place: San Sebastian, Spain</t>
  </si>
  <si>
    <t>The introduction of the Digital Twin (DT) has sparked a great deal of interest in the virtual replication of physical assets and processes. However, to fully realize the potential of DT, companies require robust and scalable front-end solutions. This study proposes harnessing micro-frontend technologies to surmount the limitations of monolithic front-end frameworks, thereby crafting effective presentation layers tailored for industrial companies. By decomposing complex and distributed systems into modular web-based DT, the proposed framework enables better scalability, synergy, and efficient application development. It also tackles the intricacies introduced by complex multi-vendor elements within DT and the orchestration of services and virtual environments. Research is focused on developing an architecture that facilitates seamless connectivity between multiple blocks of DT as well as interactivity and immersive experiences. Our study offers insights into our journey of implementing this framework for various industrial use cases, such as training, monitoring, and control, highlighting the benefits, drawbacks, and challenges. Ultimately, this research aims to accelerate the creation of DT, improve maintainability, and increase efficiency and productivity in industrial environments.</t>
  </si>
  <si>
    <t>digital twins; GUI; Web3D</t>
  </si>
  <si>
    <t>87Y8HT3V</t>
  </si>
  <si>
    <t>Duarte, Lucio Mauro; da Silva Alves, Danilo; Toresan, Bruno Ramos; Maia, Paulo Henrique; Silva, Davi</t>
  </si>
  <si>
    <t>A Model-based Framework for the Analysis of Software Energy Consumption</t>
  </si>
  <si>
    <t>Proceedings of the XXXIII Brazilian Symposium on Software Engineering</t>
  </si>
  <si>
    <t>978-1-4503-7651-8</t>
  </si>
  <si>
    <t>10.1145/3350768.3353813</t>
  </si>
  <si>
    <t>https://doi.org/10.1145/3350768.3353813</t>
  </si>
  <si>
    <t>67‚Äì72</t>
  </si>
  <si>
    <t>SBES '19</t>
  </si>
  <si>
    <t>event-place: Salvador, Brazil</t>
  </si>
  <si>
    <t>Software is present in all types of devices, some of them with restrictions as to the amount of energy they can spend to execute software applications. For this reason, energy costs are becoming an important factor during software development and evolution. However, there is still little support for creating energy-efficient software. In this work, we introduce a possible framework for software energy costs evaluation based on model analysis. We model software as Labelled Transitions Systems (LTS) and annotate these models with energy costs, which can be obtained using existing tools. We can then apply graph-based algorithms to traverse the models to obtain information about energy consumption related to software behaviour, such as its most/least costly execution, the cost of a specific execution, and the average cost of executing the software. No existing tool currently provides all the necessary analyses, even though they are essential for energy-consumption evaluation. We have conducted a small experiment with our framework where we employed jRAPL to measure energy costs. We annotated the models with the collected energy costs using an extended version of the LoTuS tool, where we have also implemented some of the desired analyses. Based on this support and on our initial results, we believe developers could create software more energy-efficient and consider possible trade-offs related to time, space, and energy costs when producing new versions of their systems.</t>
  </si>
  <si>
    <t>Embedded Software; Energy Consumption Evaluation; Labelled Transition System; Model-based Analysis</t>
  </si>
  <si>
    <t>HPFCIEF2</t>
  </si>
  <si>
    <t>Lin, Pingrong; Lin, Zheyuan; Shi, Xiaoquan</t>
  </si>
  <si>
    <t>Research on Optimization of Course Selection System Based on Micro service and Dynamic Resource Extension</t>
  </si>
  <si>
    <t>Proceedings of the 4th International Conference on Big Data and Computing</t>
  </si>
  <si>
    <t>978-1-4503-6278-8</t>
  </si>
  <si>
    <t>10.1145/3335484.3335546</t>
  </si>
  <si>
    <t>https://doi.org/10.1145/3335484.3335546</t>
  </si>
  <si>
    <t>115‚Äì119</t>
  </si>
  <si>
    <t>ICBDC '19</t>
  </si>
  <si>
    <t>event-place: Guangzhou, China</t>
  </si>
  <si>
    <t>In view of the fact that the course selection system in Colleges and universities has short burst access, large concurrent business and complex business, and combined with the existing course selection system of South China Institute of Software Engineering of Guangzhou University, an optimization scheme based on micro service and dynamic resource extension is constructed. The scheme can solve the problem of low performance of course selection system by building a micro-service architecture, splitting the business services of course selection system, scaling up the cluster of servers, and expanding the resources dynamically. The performance comparison before and after optimization shows that the performance of the course selection system has been greatly improved, and the scheme is feasible and effective.</t>
  </si>
  <si>
    <t>micro-service; course selection system; dynamic resource expansion</t>
  </si>
  <si>
    <t>8YLDVF6H</t>
  </si>
  <si>
    <t>Tang, Wenda; Ke, Yutao; Fu, Senbo; Jiang, Hongliang; Wu, Junjie; Peng, Qian; Gao, Feng</t>
  </si>
  <si>
    <t>Demeter: QoS-aware CPU scheduling to reduce power consumption of multiple black-box workloads</t>
  </si>
  <si>
    <t>Proceedings of the 13th Symposium on Cloud Computing</t>
  </si>
  <si>
    <t>978-1-4503-9414-7</t>
  </si>
  <si>
    <t>10.1145/3542929.3563476</t>
  </si>
  <si>
    <t>https://doi.org/10.1145/3542929.3563476</t>
  </si>
  <si>
    <t>31‚Äì46</t>
  </si>
  <si>
    <t>SoCC '22</t>
  </si>
  <si>
    <t>event-place: San Francisco, California</t>
  </si>
  <si>
    <t>Energy consumption in cloud data centers has become an increasingly important contributor to greenhouse gas emissions and operation costs. To reduce energy-related costs and improve environmental sustainability, most modern data centers consolidate Virtual Machine (VM) workloads belonging to different application classes, some being latency-critical (LC) and others being more tolerant to performance changes, known as best-effort (BE). However, in public cloud scenarios, the real classes of applications are often opaque to data center operators. The heterogeneous applications from different cloud tenants are usually consolidated onto the same hosts to improve energy efficiency, but it is not trivial to guarantee decent performance isolation among colocated workloads. We tackle the above challenges by introducing Demeter, a QoS-aware power management controller for heterogeneous black-box workloads in public clouds. Demeter is designed to work without offline profiling or prior knowledge about black-box workloads. Through the correlation analysis between network throughput and CPU resource utilization, Demeter automatically classifies black-box workloads as either LC or BE. By provisioning differentiated CPU management strategies (including dynamic core allocation and frequency scaling) to LC and BE workloads, Demeter achieves considerable power savings together with a minimum impact on the performance of all workloads. We discuss the design and implementation of Demeter in this work, and conduct extensive experimental evaluations to reveal its effectiveness. Our results show that Demeter not only meets the performance demand of all workloads, but also responds quickly to dynamic load changes in our cloud environment. In addition, Demeter saves an average of 10.6% power consumption than state of the art mechanisms.</t>
  </si>
  <si>
    <t>cloud computing; power management; quality of service; workload characterization</t>
  </si>
  <si>
    <t>XXKXIWC6</t>
  </si>
  <si>
    <t>Valera, Hernan Humberto Alvarez; Dalmau, Marc; Roose, Philippe; Larracoechea, Jorge; Herzog, Christina</t>
  </si>
  <si>
    <t>An energy saving approach: understanding microservices as multidimensional entities in p2p networks</t>
  </si>
  <si>
    <t>Proceedings of the 36th Annual ACM Symposium on Applied Computing</t>
  </si>
  <si>
    <t>978-1-4503-8104-8</t>
  </si>
  <si>
    <t>10.1145/3412841.3441888</t>
  </si>
  <si>
    <t>https://doi.org/10.1145/3412841.3441888</t>
  </si>
  <si>
    <t>69‚Äì78</t>
  </si>
  <si>
    <t>SAC '21</t>
  </si>
  <si>
    <t>event-place: Virtual Event, Republic of Korea</t>
  </si>
  <si>
    <t>With the use of microservices, many software solutions have been improved in terms of scalability, response efficiency, ease of load balancing among others. However, it is still a challenge to dynamically deploy them according to devices' heterogeneity and energy consumption concerns, while maintaining a defined QoS. Centralized and decentralized approaches that manage microservices deployment have the traditional pros and cons long discussed over time. While the former offer greater control over distributed application components, the latter offers frugal network negotiations, no system-wide crashes, privacy, among others.This work focuses on identifying "ideal" host candidates for microservices' execution in a decentralized network, applying run-time scheduling operations (migration or duplication) to reduce energy consumption. To do this, we created a scheduling algorithm using MAAN (a P2P approach) to interpret a decentralized network as a multidimensional resource (capacity-demand) space, which supports range queries in a logarithmic quantity of hops. In this way, a node that runs a set of microservices is able to 1) map them in terms of their execution requirements (i.e. CPU frequency, RAM capacity, Network rate and disk speed) 2) Select an ideal microservice to be moved or duplicated, 3) find ideal node(s) that meet all those requirements in an optimal computational complexity and 4) negotiate the movement or duplication of the selected microservice, by analyzing energy consumption and QoS criteria.</t>
  </si>
  <si>
    <t>cloud computing; microservices; power consumption; energy consumption; distributed algorithms; P2P</t>
  </si>
  <si>
    <t>9PLCWDL9</t>
  </si>
  <si>
    <t>Nam, T. B.; Khiem, H. G.; Triet, M. N.; Hong, K. V.; Khoa, T. D.; Bao, Q. T.; Phuc, N. T.; Hieu, M. D.; Loc, V. C. P.; Quy, T. L.; Anh, N. T.; Hien, Q. N.; Bang, L. K.; Trong, D. P. N.; Ngan, N. T. K.; Son, H.; Luong, H. H.</t>
  </si>
  <si>
    <t>SPaMeR: Securing Patient Medical Records in&amp;nbsp;the&amp;nbsp;Cloud - A Microservice and&amp;nbsp;Brokerless Architecture Approach</t>
  </si>
  <si>
    <t>Web Services ‚Äì ICWS 2023: 30th International Conference, Held as Part of the Services Conference Federation, SCF 2023, Honolulu, HI, USA, September 23‚Äì26, 2023, Proceedings</t>
  </si>
  <si>
    <t>978-3-031-44835-5</t>
  </si>
  <si>
    <t>10.1007/978-3-031-44836-2_3</t>
  </si>
  <si>
    <t>https://doi.org/10.1007/978-3-031-44836-2_3</t>
  </si>
  <si>
    <t>32‚Äì46</t>
  </si>
  <si>
    <t>event-place: Honolulu, HI, USA</t>
  </si>
  <si>
    <t>The expansion of Internet of Things (IoT) technologies has revolutionized various sectors, one of the most critical being healthcare. The effective management of Patient Medical Records (PMRs) is an area where IoT plays a significant role, and its integration with Cloud Computing offers an enormous opportunity to enhance data accessibility, efficiency, and cost-effectiveness. However, the challenge of securing PMRs in the cloud remains a key concern. This paper introduces SPaMeR, an innovative IoT platform based on microservice and brokerless architecture, tailored to address this challenge and the specific requirements of healthcare environments. SPaMeR platform incorporates and extends the core functionalities of the IoT platform designed in our previous work - data collection, device and user management, and remote device control - while specifically addressing six critical issues for healthcare data: a) secure and reliable transmission of medical data, b) energy efficiency for healthcare devices, c) high-speed and accurate data collection from medical devices, d) robust security mechanisms to protect sensitive patient information, e) scalability to accommodate the ever-growing number of patients and medical devices, and f) compliance with healthcare data regulations and standards. To demonstrate the effectiveness and feasibility of SPaMeR, we provide a comprehensive evaluation with two distinct healthcare scenarios. Our results indicate significant improvements in the areas of data security, energy efficiency, and system scalability compared to traditional healthcare platforms.</t>
  </si>
  <si>
    <t>microservice; micro-service; Internet of Things; Kafka; brokerless; gRPC; Medical record; RBAC; Single Sign-On</t>
  </si>
  <si>
    <t>VG2IIX98</t>
  </si>
  <si>
    <t>D'Angelo, Andrea; d'Aloisio, Giordano</t>
  </si>
  <si>
    <t>Grammar-Based Anomaly Detection of Microservice Systems Execution Traces</t>
  </si>
  <si>
    <t>Companion of the 15th ACM/SPEC International Conference on Performance Engineering</t>
  </si>
  <si>
    <t>979-8-4007-0445-1</t>
  </si>
  <si>
    <t>10.1145/3629527.3651844</t>
  </si>
  <si>
    <t>https://doi.org/10.1145/3629527.3651844</t>
  </si>
  <si>
    <t>77‚Äì81</t>
  </si>
  <si>
    <t>ICPE '24 Companion</t>
  </si>
  <si>
    <t>event-place: London, United Kingdom</t>
  </si>
  <si>
    <t>Microservice architectures are a widely adopted architectural pattern for large-scale applications. Given the large adoption of these systems, several works have been proposed to detect performance anomalies starting from analysing the execution traces. However, most of the proposed approaches rely on machine learning (ML) algorithms to detect anomalies. While ML methods may be effective in detecting anomalies, the training and deployment of these systems as been shown to be less efficient in terms of time, computational resources, and energy required.In this paper, we propose a novel approach based on Context-free grammar for anomaly detection of microservice systems execution traces. We employ the SAX encoding to transform execution traces into strings. Then, we select strings encoding anomalies, and for each possible anomaly, we build a Context-free grammar using the Sequitur grammar induction algorithm. We test our approach on two real-world datasets and compare it with a Logistic Regression classifier. We show how our approach is more effective in terms of training time of 15 seconds with a minimum loss in effectiveness of 5% compared to the Logistic Regression baseline.</t>
  </si>
  <si>
    <t>anomaly detection; context-free grammar; execution traces; micro service system</t>
  </si>
  <si>
    <t>BL8MQIZ4</t>
  </si>
  <si>
    <t>Attarha, Shadi; Forster, Anna</t>
  </si>
  <si>
    <t>Empowering IoT Applications with Flexible, Energy-Efficient Remote Management of Low-Power Edge Devices</t>
  </si>
  <si>
    <t>Proceedings of the 2023 International Conference on Embedded Wireless Systems and Networks</t>
  </si>
  <si>
    <t>52‚Äì55</t>
  </si>
  <si>
    <t>EWSN '23</t>
  </si>
  <si>
    <t>event-place: Rende, Italy</t>
  </si>
  <si>
    <t>In the context of the Internet of Things (IoT), reliable and energy-efficient provision of IoT applications has become critical. Equipping IoT systems with tools that enable a flexible, well-performing, and automated way of monitoring and managing IoT edge devices is an essential prerequisite. In current IoT systems, low-power edge appliances have been utilized in a way that can not be controlled and re-configured in a timely manner. Hence, conducting a trade-off solution between manageability, performance and design requirements are demanded. This paper introduces a novel approach for fine-grained monitoring and managing individual micro-services within low-power edge devices, which improves system reliability and energy efficiency. The proposed method enables operational flexibility for IoT edge devices by leveraging a modularization technique. Following a review of existing solutions for remote-managed IoT services, a detailed description of the suggested approach is presented. Also, to explore the essential design principles that must be considered in this approach, the suggested architecture is elaborated in detail. Finally, the advantages of the proposed solution to deal with disruptions are demonstrated in the proof of concept-based experiments.</t>
  </si>
  <si>
    <t>IoT; Energy Efficiency; Low-power; Operational Flexibility; Service Isolation; Service Management</t>
  </si>
  <si>
    <t>PCR376C8</t>
  </si>
  <si>
    <t>Steidl, Monika; Leitner, Michael; Urbanke, Pirmin; Gattringer, Marko; Felderer, Michael; Ristov, Sashko</t>
  </si>
  <si>
    <t>Understanding Microservice Runtime Monitoring Data for&amp;nbsp;Anomaly Detection with&amp;nbsp;Structural Equation Modeling</t>
  </si>
  <si>
    <t>Product-Focused Software Process Improvement: 25th International Conference, PROFES 2024, Tartu, Estonia, December 2‚Äì4, 2024, Proceedings</t>
  </si>
  <si>
    <t>978-3-031-78385-2</t>
  </si>
  <si>
    <t>10.1007/978-3-031-78386-9_31</t>
  </si>
  <si>
    <t>https://doi.org/10.1007/978-3-031-78386-9_31</t>
  </si>
  <si>
    <t>404‚Äì413</t>
  </si>
  <si>
    <t>event-place: Tartu, Estonia</t>
  </si>
  <si>
    <t>Microservices reliability is critical, but runtime anomalies are increasingly common due to system complexity. Rule-based and AI-based anomaly detection methods assist practitioners in analyzing runtime monitoring data (logs, traces, metrics) to identify anomalies. However, these methods rely&amp;nbsp;on high-quality datasets and deep domain knowledge to deliver accurate results. Thus, a significant challenge lies in the lack of consensus on which runtime monitoring parameters effectively represent&amp;nbsp;the system and microservices, reliably indicate anomalies,&amp;nbsp;or distinguish deviations that genuinely signal anomalies. A thorough understanding of the dataset, key monitoring parameters,&amp;nbsp;and microservice dependencies is crucial to minimize bias and&amp;nbsp;false positives, ultimately improving the effectiveness of anomaly detection methods.Thus, we investigate whether structural equation modeling&amp;nbsp;can describe the system‚Äôs or microservices‚Äô behavior via indicators extracted from runtime monitoring data and identify their causal relationships. We used EvoMaster to simulate user behavior&amp;nbsp;in TrainTicket and extract runtime monitoring data to test our model. Our results show that the identified indicators effectively describe microservices‚Äô behavior, but network indicators alone&amp;nbsp;are insufficient for describing the whole system‚Äôs behavior. The&amp;nbsp;model can also identify microservices that significantly influence&amp;nbsp;the whole system‚Äôs behavior.</t>
  </si>
  <si>
    <t>Metrics; Anomaly detection during runtime; Logs; Microservice; Monitoring data; PLS-SEM; Structural equation model; Traces</t>
  </si>
  <si>
    <t>2PZIJ4MJ</t>
  </si>
  <si>
    <t>Mehran, Narges; Kimovski, Dragi; Hellwagner, Hermann; Roman, Dumitru; Soylu, Ahmet; Prodan, Radu</t>
  </si>
  <si>
    <t>Scheduling of Distributed Applications on the Computing Continuum: A Survey</t>
  </si>
  <si>
    <t>Proceedings of the IEEE/ACM 16th International Conference on Utility and Cloud Computing</t>
  </si>
  <si>
    <t>979-8-4007-0234-1</t>
  </si>
  <si>
    <t>10.1145/3603166.3632540</t>
  </si>
  <si>
    <t>https://doi.org/10.1145/3603166.3632540</t>
  </si>
  <si>
    <t>UCC '23</t>
  </si>
  <si>
    <t>event-place: Taormina (Messina), Italy</t>
  </si>
  <si>
    <t>The demand for distributed applications has significantly increased over the past decade, with improvements in machine learning techniques fueling this growth. These applications predominantly utilize Cloud data centers for high-performance computing and Fog and Edge devices for low-latency communication for small-size machine learning model training and inference. The challenge of executing applications with different requirements on heterogeneous devices requires effective methods for solving NP-hard resource allocation and application scheduling problems. The state-of-the-art techniques primarily investigate conflicting objectives, such as the completion time, energy consumption, and economic cost of application execution on the Cloud, Fog, and Edge computing infrastructure. Therefore, in this work, we review these research works considering their objectives, methods, and evaluation tools. Based on the review, we provide a discussion on the scheduling methods in the Computing Continuum.</t>
  </si>
  <si>
    <t>energy efficiency; cloud; computing continuum; edge; placement; scheduling</t>
  </si>
  <si>
    <t>UVN6593I</t>
  </si>
  <si>
    <t>Vahabi, Shahrokh; Righetti, Francesca; Vallati, Carlo; Tonellotto, Nicola</t>
  </si>
  <si>
    <t>Energy-Efficient Resource Management for Real-Time Applications in FaaS Edge Computing Platforms</t>
  </si>
  <si>
    <t>10.1145/3603166.3632240</t>
  </si>
  <si>
    <t>https://doi.org/10.1145/3603166.3632240</t>
  </si>
  <si>
    <t>Edge computing and Function-as-a-Service are two emerging paradigms that enable a timed analysis of data directly in the proximity of cyber-physical systems and users. Function-as-a-service platforms deployed at the edge require mechanisms for resource management and allocation to schedule function execution and to scale the available resources in order to ensure the proper quality of service to applications. Large-scale deployments will also require mechanisms to control the energy consumption of the overall system, to ensure long-term sustainability. In this paper, we propose a technique to schedule function invocations on Edge resources by powering down idle edge nodes during period of low demands. In doing so, our technique aims at reducing the overall energy consumption without incurring in service level agreements violations. Experimental evaluations demonstrate that the proposed approach reduces service level agreement violations by at least 78.1% and energy consumption by at least 62.5% on average using synthetic and real-world datasets w.r.t. different baselines.</t>
  </si>
  <si>
    <t>energy efficiency; resource management; edge computing; function-as-a-service; service level agreement</t>
  </si>
  <si>
    <t>8IY924WC</t>
  </si>
  <si>
    <t>Dinga, Madalina; Malavolta, Ivano; Giamattei, Luca; Guerriero, Antonio; Pietrantuono, Roberto</t>
  </si>
  <si>
    <t>An Empirical Evaluation of&amp;nbsp;the&amp;nbsp;Energy and&amp;nbsp;Performance Overhead of&amp;nbsp;Monitoring Tools on&amp;nbsp;Docker-Based Systems</t>
  </si>
  <si>
    <t>Service-Oriented Computing: 21st International Conference, ICSOC 2023, Rome, Italy, November 28 ‚Äì December 1, 2023, Proceedings, Part I</t>
  </si>
  <si>
    <t>978-3-031-48420-9</t>
  </si>
  <si>
    <t>10.1007/978-3-031-48421-6_13</t>
  </si>
  <si>
    <t>https://doi.org/10.1007/978-3-031-48421-6_13</t>
  </si>
  <si>
    <t>181‚Äì196</t>
  </si>
  <si>
    <t>event-place: Rome, Italy</t>
  </si>
  <si>
    <t>Context. Energy efficiency is gaining importance in the design of software systems, but is still marginally addressed in the area of microservice-based systems. Energy-related aspects often get neglected in favor of other software quality attributes, such as performance, service composition, maintainability, and security.Goal. The aim of this study is to identify, synthesize and empirically evaluate the energy and performance overhead of monitoring tools employed in the microservices and DevOps context.Method. We selected four representative monitoring tools in the microservices and DevOps context. These were evaluated via a controlled experiment on an open-source Docker-based microservice benchmark system.Results. The results highlight: i) the specific frequency and workload conditions under which energy consumption and performance metrics are impacted by the tools; ii) the differences between the tools; iii) the relation between energy and performance overhead.</t>
  </si>
  <si>
    <t>64HBXE4Z</t>
  </si>
  <si>
    <t>Khairy, Mahmoud; Alawneh, Ahmad; Barnes, Aaron; Rogers, Timothy G.</t>
  </si>
  <si>
    <t>SIMR: Single Instruction Multiple Request Processing for Energy-Efficient Data Center Microservices</t>
  </si>
  <si>
    <t>Proceedings of the 55th Annual IEEE/ACM International Symposium on Microarchitecture</t>
  </si>
  <si>
    <t>978-1-6654-6272-3</t>
  </si>
  <si>
    <t>10.1109/MICRO56248.2022.00040</t>
  </si>
  <si>
    <t>https://doi.org/10.1109/MICRO56248.2022.00040</t>
  </si>
  <si>
    <t>441‚Äì463</t>
  </si>
  <si>
    <t>MICRO '22</t>
  </si>
  <si>
    <t>IEEE Press</t>
  </si>
  <si>
    <t>Chicago, Illinois, USA</t>
  </si>
  <si>
    <t>Contemporary data center servers process thousands of similar, independent requests per minute. In the interest of programmer productivity and ease of scaling, workloads in data centers have shifted from single monolithic processes toward a micro and nanoservice software architecture. As a result, single servers are now packed with many threads executing the same, relatively small task on different data.State-of-the-art data centers run these microservices on multi-core CPUs. However, the flexibility offered by traditional CPUs comes at an energy-efficiency cost. The Multiple Instruction Multiple Data execution model misses opportunities to aggregate the similarity in contemporary microservices. We observe that the Single Instruction Multiple Thread execution model, employed by GPUs, provides better thread scaling and has the potential to reduce frontend and memory system energy consumption. However, contemporary GPUs are ill-suited for the latency-sensitive microservice space.To exploit the similarity in contemporary microservices, while maintaining acceptable latency, we propose the Request Processing Unit (RPU). The RPU combines elements of out-of-order CPUs with lockstep thread aggregation mechanisms found in GPUs to execute microservices in a Single Instruction Multiple Request (SIMR) fashion. To complement the RPU, we also propose a SIMR-aware software stack that uses novel mechanisms to batch requests based on their predicted control-flow, split batches based on predicted latency divergence and map per-request memory allocations to maximize coalescing opportunities. Our resulting RPU system processes 5.7√ó more requests/joule than multi-core CPUs, while increasing single thread latency by only 1.44√ó.</t>
  </si>
  <si>
    <t>data center; GPU; microservices; SIMT</t>
  </si>
  <si>
    <t>3QBSZ9JC</t>
  </si>
  <si>
    <t>Thiede, John; Bashir, Noman; Irwin, David; Shenoy, Prashant</t>
  </si>
  <si>
    <t>Carbon Containers: A System-level Facility for Managing Application-level Carbon Emissions</t>
  </si>
  <si>
    <t>Proceedings of the 2023 ACM Symposium on Cloud Computing</t>
  </si>
  <si>
    <t>979-8-4007-0387-4</t>
  </si>
  <si>
    <t>10.1145/3620678.3624644</t>
  </si>
  <si>
    <t>https://doi.org/10.1145/3620678.3624644</t>
  </si>
  <si>
    <t>17‚Äì31</t>
  </si>
  <si>
    <t>SoCC '23</t>
  </si>
  <si>
    <t>event-place: Santa Cruz, CA, USA</t>
  </si>
  <si>
    <t>To reduce their environmental impact, cloud datacenters' are increasingly focused on optimizing applications' carbon-efficiency, or work done per mass of carbon emitted. To facilitate such optimizations, we present Carbon Containers, a simple system-level facility, which extends prior work on power containers, that automatically regulates applications' carbon emissions in response to variations in both their work-load's intensity and their energy's carbon-intensity. Specifically, Carbon Containers enable applications to specify a maximum carbon emissions rate (in g.CO2e/hr), and then transparently enforce this rate via a combination of vertical scaling, container migration, and suspend/resume while maximizing either energy-efficiency or performance.Carbon Containers are especially useful for applications that i) must continue running even during high-carbon periods, and ii) execute in regions with few variations in carbon-intensity. These low-variability regions also tend to have high average carbon-intensity, which increases the importance of regulating carbon emissions. We implement a Carbon Container prototype by extending Linux Containers to incorporate the mechanisms above and evaluate it using real workload traces and carbon-intensity data from multiple regions. We compare Carbon Containers with prior work that regulates carbon emissions by suspending/resuming applications during high/low carbon periods. We show that Carbon Containers are more carbon-efficient and improve performance while maintaining similar carbon emissions.</t>
  </si>
  <si>
    <t>Carbon-efficiency; energy-efficiency; performance</t>
  </si>
  <si>
    <t>96TRIUD2</t>
  </si>
  <si>
    <t>Kawalkar, Shreyash N</t>
  </si>
  <si>
    <t>Geo-Intelligent Architecture for Smart Grid Evolution: Addressing Contemporary Challenges through Spatial AI and Knowledge Integration</t>
  </si>
  <si>
    <t>Proceedings of the 2023 4th Asia Service Sciences and Software Engineering Conference</t>
  </si>
  <si>
    <t>979-8-4007-0853-4</t>
  </si>
  <si>
    <t>10.1145/3634814.3634838</t>
  </si>
  <si>
    <t>https://doi.org/10.1145/3634814.3634838</t>
  </si>
  <si>
    <t>171‚Äì180</t>
  </si>
  <si>
    <t>ASSE '23</t>
  </si>
  <si>
    <t>event-place: Aizu-Wakamatsu City, Japan</t>
  </si>
  <si>
    <t>This research explores the challenges of contemporary Smart Grid (SG) technology products and proposes a novel methodology to address them. Through a comprehensive survey, we identified common hurdles SG technologies face, especially with the rapid evolution of technology and the expansion of energy sector assets. Central to our methodology is the development of a conceptual architecture that is adaptive, scalable, and optimized for complex data management. Key features of this architecture include a Modular Architecture with Micro-Services, Serverless 2.0 for Scalability, and the integration of Knowledge Graphs for enhanced data-driven decision-making. At the heart of these solutions lies the synthesis of geospatial intelligence via Geo-Spatial AI and the use of cognitive mapping to bridge micro-services with energy assets, to ensure the grid's responsive adjustment to dynamic energy landscapes. By synthesizing advanced AI technologies and geospatial mapping techniques, our approach promises a leap in efficiency, adaptability, and accuracy for future Smart Grid platforms.</t>
  </si>
  <si>
    <t>AI in Modern Energy Infrastructures; AI Solutions for Smart Grid Technology Challenges; Cognitive Mapping of Micro Services to Energy Assets; Context aware Energy Management System; Geo Intelligent Software Architecture; Knowledge Graph Embedded AI; Streamlined Smart Grid Assets and Data Management</t>
  </si>
  <si>
    <t>H8PR9FFY</t>
  </si>
  <si>
    <t>Lamprakos, Christos P.; Marantos, Charalampos; Papadopoulos, Lazaros; Soudris, Dimitrios</t>
  </si>
  <si>
    <t>The Known Unknowns: Discovering Trade-Offs Between Heterogeneous Code Changes: Invited Paper</t>
  </si>
  <si>
    <t>Embedded Computer Systems: Architectures, Modeling, and Simulation: 21st International Conference, SAMOS 2021, Virtual Event, July 4‚Äì8, 2021, Proceedings</t>
  </si>
  <si>
    <t>978-3-031-04579-0</t>
  </si>
  <si>
    <t>10.1007/978-3-031-04580-6_23</t>
  </si>
  <si>
    <t>https://doi.org/10.1007/978-3-031-04580-6_23</t>
  </si>
  <si>
    <t>342‚Äì353</t>
  </si>
  <si>
    <t>event-place: Samos, Greece</t>
  </si>
  <si>
    <t>Software projects must adhere to a variety of non-functional requirements, also known as software qualities. Automated evaluation with respect to such requirements can be conducted thanks to a wide array of available tools. Each tool usually focuses on a specific quality, since heterogeneous analyses are needed for each non-functional requirement. Apart from an overall index expressing the project‚Äôs performance in terms of the software quality they specialize on, many tools recommend code changes that are expected to improve the aforementioned index. Thus, a development team that cares for more than one non-functional requirement is facing the problem of unknown trade-offs; besides improving the quality on which the tool that generated each suggestion focuses, how would this code change, if implemented, affect the rest of the non-functional requirements? We present a framework for dealing with this problem. We pick energy efficiency, technical debt and software security as our qualities of interest, and use three respective tools for the analysis of several open-source projects with regard to these qualities. We develop an extensible empirical model, based on fuzzy sets, for the characterization of each suggestion‚Äôs trade-offs. Finally, we present an intuitive visualization of said trade-offs, and suggest a method of utilizing them towards reliable decision-making.</t>
  </si>
  <si>
    <t>Software quality; Trade-off analysis; Decision-making</t>
  </si>
  <si>
    <t>J9KHST7N</t>
  </si>
  <si>
    <t>Ghosh, Anyesha; Yadwadkar, Neeraja J.; Erez, Mattan</t>
  </si>
  <si>
    <t>Fast and Efficient Scaling for Microservices with SurgeGuard</t>
  </si>
  <si>
    <t>Proceedings of the International Conference for High Performance Computing, Networking, Storage, and Analysis</t>
  </si>
  <si>
    <t>979-8-3503-5291-7</t>
  </si>
  <si>
    <t>10.1109/SC41406.2024.00103</t>
  </si>
  <si>
    <t>https://doi.org/10.1109/SC41406.2024.00103</t>
  </si>
  <si>
    <t>SC '24</t>
  </si>
  <si>
    <t>Atlanta, GA, USA</t>
  </si>
  <si>
    <t>The microservice architecture is increasingly popular for flexible, large-scale online applications. However, existing resource management mechanisms incur high latency in detecting Quality of Service (QoS) violations, and hence, fail to allocate resources effectively under commonly-observed varying load conditions. This results in over-allocation coupled with a late response that increase both the total cost of ownership and the magnitude of each QoS violation event. We present SurgeGuard, a decentralized resource controller for microservice applications specifically designed to guard application QoS during surges in load and network latency. SurgeGuard uses the key insight that for rapid detection and effective management of QoS violations, the controller must be aware of any available slack in latency and communication patterns between microservices within a task-graph. Our experiments show that for the workloads in DeathStarBench, SurgeGuard on average reduces the combined violation magnitude and duration by 61.1%% and 93.7%%, respectively, compared to the well-known Parties and Caladan algorithms, and requires 8% fewer resources than Parties.</t>
  </si>
  <si>
    <t>Cloud computing; microservices; datacenters; quality-of-service; resource management; serverless</t>
  </si>
  <si>
    <t>WWM2ZLJL</t>
  </si>
  <si>
    <t>Ca√±ete, Angel; Rodr√≠guez, Alberto; Amor, Mercedes; Fuentes, Lidia</t>
  </si>
  <si>
    <t>Energy-Aware Placement of&amp;nbsp;Network Functions in&amp;nbsp;Edge-Based Infrastructures with&amp;nbsp;Open Source MANO and&amp;nbsp;Kubernetes</t>
  </si>
  <si>
    <t>Service-Oriented Computing ‚Äì ICSOC 2022 Workshops: ASOCA, AI-PA, FMCIoT, WESOACS 2022, Sevilla, Spain, November 29 ‚Äì December 2, 2022 Proceedings</t>
  </si>
  <si>
    <t>978-3-031-26506-8</t>
  </si>
  <si>
    <t>10.1007/978-3-031-26507-5_15</t>
  </si>
  <si>
    <t>https://doi.org/10.1007/978-3-031-26507-5_15</t>
  </si>
  <si>
    <t>183‚Äì195</t>
  </si>
  <si>
    <t>event-place: Seville, Spain</t>
  </si>
  <si>
    <t>The virtualization of network functions aims to replace traditional network functions running on proprietary middleboxes with software instances running on general-purpose virtualization solutions, looking for more flexible, scalable and sustainable networks. However, despite the availability of platforms and technologies that enable its realisation, there are still technical challenges that have to be addressed to obtain those benefits. One of the challenges is the efficient placement of network functions, considering, for instance, the energy footprint among other constraints and available resources. This paper proposes an energy-aware virtual network function placement and resource-allocation solution for heterogeneous edge infrastructures that considers the computation and communication delays according to the virtual network functions‚Äô location in the infrastructure. The solution has been integrated with the ETSI-sponsored project Open Source Management and Orchestration (OSM) as an extension that allows the configuration of virtual network functions and their subsequent resource allocation and deployment at the edge, minimizing energy consumption and ensuring the quality of service. Applied to the deployment of augmented reality services in different scenarios, the results show up to a 51% reduction in energy consumption compared to the default OSM placement and quality of service compliance in all scenarios considered.</t>
  </si>
  <si>
    <t>Energy efficiency; Edge computing; B5G; Feature models; Open source mano; VNF placement</t>
  </si>
  <si>
    <t>4L2TTRXF</t>
  </si>
  <si>
    <t>Nguyen, Chanh; Mehta, Amardeep; Klein, Cristian; Elmroth, Erik</t>
  </si>
  <si>
    <t>Why cloud applications are not ready for the edge (yet)</t>
  </si>
  <si>
    <t>Proceedings of the 4th ACM/IEEE Symposium on Edge Computing</t>
  </si>
  <si>
    <t>978-1-4503-6733-2</t>
  </si>
  <si>
    <t>10.1145/3318216.3363298</t>
  </si>
  <si>
    <t>https://doi.org/10.1145/3318216.3363298</t>
  </si>
  <si>
    <t>250‚Äì263</t>
  </si>
  <si>
    <t>SEC '19</t>
  </si>
  <si>
    <t>event-place: Arlington, Virginia</t>
  </si>
  <si>
    <t>Mobile Edge Clouds (MECs) are distributed platforms in which distant data-centers are complemented with computing and storage capacity located at the edge of the network. Their wide resource distribution enables MECs to fulfill the need of low latency and high bandwidth to offer an improved user experience.As modern cloud applications are increasingly architected as collections of small, independently deployable services, they can be flexibly deployed in various configurations that combines resources from both centralized datacenters and edge locations. In principle, such applications should therefore be well-placed to exploit the advantages of MECs so as to reduce service response times.In this paper, we quantify the benefits of deploying such cloud micro-service applications on MECs. Using two popular benchmarks, we show that, against conventional wisdom, end-to-end latency does not improve significantly even when most application services are deployed in the edge location. We developed a profiler to better understand this phenomenon, allowing us to develop recommendations for adapting applications to MECs. Further, by quantifying the gains of those recommendations, we show that the performance of an application can be made to reach the ideal scenario, in which the latency between an edge datacenter and a remote datacenter has no impact on the application performance.This work thus presents ways of adapting cloud-native applications to take advantage of MECs and provides guidance for developing MEC-native applications. We believe that both these elements are necessary to drive MEC adoption.</t>
  </si>
  <si>
    <t>edge latency; micro-service; mobile application development; mobile edge clouds; profiling</t>
  </si>
  <si>
    <t>DNTRKNEN</t>
  </si>
  <si>
    <t>Zilic, Josip; De Maio, Vincenzo; Aral, Atakan; Brandic, Ivona</t>
  </si>
  <si>
    <t>Edge offloading for microservice architectures</t>
  </si>
  <si>
    <t>Proceedings of the 5th International Workshop on Edge Systems, Analytics and Networking</t>
  </si>
  <si>
    <t>978-1-4503-9253-2</t>
  </si>
  <si>
    <t>10.1145/3517206.3526266</t>
  </si>
  <si>
    <t>https://doi.org/10.1145/3517206.3526266</t>
  </si>
  <si>
    <t>1‚Äì6</t>
  </si>
  <si>
    <t>EdgeSys '22</t>
  </si>
  <si>
    <t>event-place: Rennes, France</t>
  </si>
  <si>
    <t>Edge offloading is widely used to support the execution of near real-time mobile applications. However, offloading on edge infrastructures can suffer from failures due to the absence of supporting systems and environmental factors. We propose a fault-tolerant offloading method modeled as a Markov Decision Process (MDP) based on predictions performed through Support Vector Regression (SVR). SVR is used to estimate offloading service availability, which is used by MDP for offloading decisions. Our approach is implemented in a real-world test-bed and compared with the default Kubernetes scheduler augmented with hybrid fault-tolerance.</t>
  </si>
  <si>
    <t>microservices; kubernetes; containers; edge offloading</t>
  </si>
  <si>
    <t>BMPKCL2U</t>
  </si>
  <si>
    <t>Aissat, Sara; Beaulieu, Jonathan; Bordeleau, Francis; Gascon-Samson, Julien; Poirier, Erik A.; Motamedi, Ali</t>
  </si>
  <si>
    <t>JuNo-OPS: A DevOps Framework for the Engineering of Digital Twins for Built Assets</t>
  </si>
  <si>
    <t>Proceedings of the ACM/IEEE 27th International Conference on Model Driven Engineering Languages and Systems</t>
  </si>
  <si>
    <t>979-8-4007-0622-6</t>
  </si>
  <si>
    <t>10.1145/3652620.3688266</t>
  </si>
  <si>
    <t>https://doi.org/10.1145/3652620.3688266</t>
  </si>
  <si>
    <t>496‚Äì506</t>
  </si>
  <si>
    <t>MODELS Companion '24</t>
  </si>
  <si>
    <t>event-place: Linz, Austria</t>
  </si>
  <si>
    <t>Digital Twins (DT) constitute complex software systems that need to be continuously modified/updated to meet evolving user requirements and priorities, and support continual improvement. Because they aim at monitoring and improving different system aspects, their development requires the collaboration of people from different domains of expertise, e.g. the development of a DT for built assets may involve the collaboration of experts in software engineering, thermal comfort, air quality, and energy consumption, etc. Consequently, DTs need to be engineered to enable the fast and secure integration and deployment of new code, the systematic and iterative evolution of their components, and the independent development of different system aspects by those experts.In this paper, we present JuNo-OPS, a DevOps framework for the engineering of DTs for built assets. The framework is being developed, tested and validated in the the context of a multi-function room at √âcole de Technologie Sup√©rieure (ETS). We focus on two main facets of the DT software: the microservices architecture; and the DevOps infrastructure used to support the development, continuous integration, continuous delivery and the automation thereof. We also discuss challenges and next steps related to the development and evolution of the framework.</t>
  </si>
  <si>
    <t>digital twins; microservices; DevOps; IoT; CI/CD pipelines</t>
  </si>
  <si>
    <t>4J4KC6TP</t>
  </si>
  <si>
    <t>Ordonez, Carlos; Macyna, Wojciech; Bellatreche, Ladjel</t>
  </si>
  <si>
    <t>Energy-Aware Analytics in the Cloud</t>
  </si>
  <si>
    <t>Proceedings of the International Workshop on Big Data in Emergent Distributed Environments</t>
  </si>
  <si>
    <t>979-8-4007-0679-0</t>
  </si>
  <si>
    <t>10.1145/3663741.3664789</t>
  </si>
  <si>
    <t>https://doi.org/10.1145/3663741.3664789</t>
  </si>
  <si>
    <t>BiDEDE '24</t>
  </si>
  <si>
    <t>event-place: Santiago, AA, Chile</t>
  </si>
  <si>
    <t>Big data is now mostly processed in the cloud and will keep growing, fed by databases and the Internet of Things (IoT: sensors, mobile devices, edge computing). On the other hand, AI is pushing computers and data analysis to limits we had not witnessed before. Analytics in the cloud is now a major fraction of energy consumption, among other less CPU-intensive tasks like web services. With this green computing motivation in mind, we present a survey of past research and a vision of big data analytics in the cloud. Energy consumption is difficult to minimize because it has conflicting correlated variables behind: high performance, money cost and pollution, We identify which software subsystems and hardware components have a higher impact on energy consumption, understanding how they can be tweaked or tuned to optimize energy consumption.</t>
  </si>
  <si>
    <t>X4IGCSFQ</t>
  </si>
  <si>
    <t>Vaidhyanathan, Karthik; Caporuscio, Mauro; Florio, Stefano; Muccini, Henry</t>
  </si>
  <si>
    <t>ML-enabled Service Discovery for Microservice Architecture: a QoS Approach</t>
  </si>
  <si>
    <t>Proceedings of the 39th ACM/SIGAPP Symposium on Applied Computing</t>
  </si>
  <si>
    <t>979-8-4007-0243-3</t>
  </si>
  <si>
    <t>10.1145/3605098.3635942</t>
  </si>
  <si>
    <t>https://doi.org/10.1145/3605098.3635942</t>
  </si>
  <si>
    <t>1193‚Äì1200</t>
  </si>
  <si>
    <t>SAC '24</t>
  </si>
  <si>
    <t>event-place: Avila, Spain</t>
  </si>
  <si>
    <t>Microservice architectures have gained enormous popularity due to their ability to be dynamically added/removed, replicated, and updated according to run-time needs. However, the dynamic nature of microservices introduces uncertainty, which in turn can affect the provided Quality of Service (QoS). This calls for novel service discovery mechanisms able to adapt to the variability of the QoS attributes and further perform effective service discovery and selection. To this end, this paper combines machine learning and self-adaptation techniques to perform service discovery and selection by trading off different QoS attributes. The results of our validation on a state-of-the-art microservices exemplar show that our ML-enabled approach can perform service discovery with 35% higher effectiveness with respect to existing baselines.</t>
  </si>
  <si>
    <t>machine learning; self-adaptation; service discovery</t>
  </si>
  <si>
    <t>EUN8J4KM</t>
  </si>
  <si>
    <t>Carrega, A.; Repetto, M.</t>
  </si>
  <si>
    <t>Exploiting novel software development paradigms to increase the sustainability of data centers</t>
  </si>
  <si>
    <t>Proceedings of the 9th International Conference on Utility and Cloud Computing</t>
  </si>
  <si>
    <t>978-1-4503-4616-0</t>
  </si>
  <si>
    <t>10.1145/2996890.3007878</t>
  </si>
  <si>
    <t>https://doi.org/10.1145/2996890.3007878</t>
  </si>
  <si>
    <t>310‚Äì315</t>
  </si>
  <si>
    <t>UCC '16</t>
  </si>
  <si>
    <t>event-place: Shanghai, China</t>
  </si>
  <si>
    <t>The application of effective energy management strategies in data centers is often hindered by the substantial conflict between the interests of cloud users and infrastructure owners. As a matter of fact, cloud users require that the service level they are paying for is tightly met, whereas data center owners try to cut down their operational expenses.In this paper, we propose a novel consolidation algorithm that exploits emerging software development paradigms. Our approach enables cloud users to indicate their willingness to apply energy saving mechanisms to some of their virtual resources, hence giving infrastructure managers the ability to apply more efficient workload consolidation and to switch their hardware to very low-power states. The result is an optimal trade-off between energy consumption and performance.</t>
  </si>
  <si>
    <t>energy efficiency; consolidation algorithms; green data centers; software development paradigms</t>
  </si>
  <si>
    <t>ULZWPBSI</t>
  </si>
  <si>
    <t>Chow, Ka-Ho; Deshpande, Umesh; Deenadayalan, Veera; Seshadri, Sangeetha; Liu, Ling</t>
  </si>
  <si>
    <t>Atlas: Hybrid Cloud Migration Advisor for Interactive Microservices</t>
  </si>
  <si>
    <t>Proceedings of the Nineteenth European Conference on Computer Systems</t>
  </si>
  <si>
    <t>979-8-4007-0437-6</t>
  </si>
  <si>
    <t>10.1145/3627703.3629587</t>
  </si>
  <si>
    <t>https://doi.org/10.1145/3627703.3629587</t>
  </si>
  <si>
    <t>870‚Äì887</t>
  </si>
  <si>
    <t>EuroSys '24</t>
  </si>
  <si>
    <t>Hybrid cloud provides an attractive solution to microservices for better resource elasticity. A subset of application components can be offloaded from the on-premises cluster to the cloud, where they can readily access additional resources. However, the selection of this subset is challenging because of the large number of possible combinations. A poor choice degrades the application performance, disrupts the critical services, and increases the cost to the extent of making the use of hybrid cloud unviable. This paper presents Atlas, a hybrid cloud migration advisor. Atlas uses a data-driven approach to learn how each user-facing API utilizes different components and their network footprints to drive the migration decision. It learns to accelerate the discovery of high-quality migration plans from millions and offers recommendations with customizable trade-offs among three quality indicators: end-to-end latency of user-facing APIs representing application performance, service availability, and cloud hosting costs. Atlas continuously monitors the application even after the migration for proactive recommendations. Our evaluation shows that Atlas can achieve 21% better API performance (latency) and 11% cheaper cost with less service disruption than widely used solutions.</t>
  </si>
  <si>
    <t>placement; microservices; machine learning; API; cyberattacks; hybrid cloud</t>
  </si>
  <si>
    <t>AASHMHM3</t>
  </si>
  <si>
    <t>Mehran, Narges; Kimovski, Dragi; Prodan, Radu</t>
  </si>
  <si>
    <t>MAPO: A Multi-Objective Model for IoT Application Placement in a Fog Environment</t>
  </si>
  <si>
    <t>Proceedings of the 9th International Conference on the Internet of Things</t>
  </si>
  <si>
    <t>978-1-4503-7207-7</t>
  </si>
  <si>
    <t>10.1145/3365871.3365892</t>
  </si>
  <si>
    <t>https://doi.org/10.1145/3365871.3365892</t>
  </si>
  <si>
    <t>IoT '19</t>
  </si>
  <si>
    <t>event-place: Bilbao, Spain</t>
  </si>
  <si>
    <t>The emergence of the Fog computing paradigm that leverages innetwork virtualized resources raises important challenges in terms of resource and IoT application management in a heterogeneous environment with limited computing resources. In this work, we propose a novel Pareto-based approach for application placement close to the data sources called Multi-objective IoT Application Placement in fOg (MAPO). MAPO models applications based on a finite state machine using three conflicting optimization objectives, completion time, energy consumption, and economic cost, and considering both the computation and communication aspects. In contrast to existing solutions that optimize a single objective, MAPO enables multi-objective energy and cost-aware application placement. To evaluate the quality of the MAPO placements, we created both simulated and real-world testbeds tailored for a set of medical IoT application case studies. Compared to the state-of-the-art approaches, MAPO reduces the economic cost by 28%, while decreasing the energy requirements by 29-64% on average, and improves the completion time by a factor of six.</t>
  </si>
  <si>
    <t>energy consumption; Fog computing; IoT application placement; multi-objective optimization</t>
  </si>
  <si>
    <t>QBK9JZ3F</t>
  </si>
  <si>
    <t>Reitzl, Marcus; Kimovski, Dragi</t>
  </si>
  <si>
    <t>Multi-Objective Optimisation of Container Orchestration Systems</t>
  </si>
  <si>
    <t>10.1145/3603166.3632536</t>
  </si>
  <si>
    <t>https://doi.org/10.1145/3603166.3632536</t>
  </si>
  <si>
    <t>The ever-increasing global demand for optimized resource utilization, energy efficiency, and rapid response times in cloud computing environments necessitates innovative approaches for resource management. Traditional cloud systems predominantly cater to large-scale infrastructures, often neglecting smaller-scale environments, such as edge computing infrastructures. In response to this gap, this paper introduces a novel Multi-Objective Stochastic Gradient Descent (MOSGD) approach designed to enhance the efficiency of the application placement processes beyond the cloud and closer to the edge of the network. The MOSGD optimisation addresses two crucial objectives: energy consumption and execution time. We meticulously modelled and integrated the two conflicting objectives into a unified cost function to minimise resource consumption and response time.To validate the MOSGD approach, we deployed a real-life environment utilizing the Carinthian Computing Continuum infrastructure as the target platform. The results of this research exhibit significant performance enhancements compared to two conventional methods. The findings indicate an improvement of up to 80% in energy efficiency and up to 30% reduction in execution time. These outcomes underscore the potential of the MOSGD approach to outperform traditional techniques in scenarios where large-scale procedures may exhibit suboptimal performance.</t>
  </si>
  <si>
    <t>edge computing; optimisation; pod placement</t>
  </si>
  <si>
    <t>TWR9HA67</t>
  </si>
  <si>
    <t>Munoz, Daniel-Jesus; Pinto, M√≥nica; Fuentes, Lidia</t>
  </si>
  <si>
    <t>Green software development and research with the HADAS toolkit</t>
  </si>
  <si>
    <t>Proceedings of the 11th European Conference on Software Architecture: Companion Proceedings</t>
  </si>
  <si>
    <t>978-1-4503-5217-8</t>
  </si>
  <si>
    <t>10.1145/3129790.3129818</t>
  </si>
  <si>
    <t>https://doi.org/10.1145/3129790.3129818</t>
  </si>
  <si>
    <t>205‚Äì211</t>
  </si>
  <si>
    <t>ECSA '17</t>
  </si>
  <si>
    <t>event-place: Canterbury, United Kingdom</t>
  </si>
  <si>
    <t>Energy is a critical resource, and designing a sustainable software architecture is a non-trivial task. Developers require energy metrics that support sustainable software architectures reflecting quality attributes such as security, reliability, performance, etc., identifying what are the concerns that impact more in the energy consumption. A variability model of different designs and implementations of an energy model should exist for this task, as well as a service that stores and compares the experimentation results of energy and time consumption of each concern, finding out what is the most eco-efficient solution. The experimental measurements are performed by energy experts and researchers that share the energy model and metrics in a collaborative repository. HADAS confronts these tasks modelling and reasoning with the variability of energy consuming concerns for different energy contexts, connecting HADAS variability model with its energy efficiency collaborative repository, establishing a Software Product Line (SPL) service. Our main goal is to help developers to perform sustainability analyses finding out the eco-friendliest architecture configurations. A HADAS toolkit prototype is implemented based on a Clafer model and Choco solver, and it has been tested with several case studies.</t>
  </si>
  <si>
    <t>energy efficiency; variability; optimisation; clafer; CVL; metrics; repository; software product line</t>
  </si>
  <si>
    <t>YV3ESHUL</t>
  </si>
  <si>
    <t>Li, Bolun; Zhao, Qidong; Jiao, Shuyin; Liu, Xu</t>
  </si>
  <si>
    <t>DroidPerf: Profiling Memory Objects on Android Devices</t>
  </si>
  <si>
    <t>Proceedings of the 29th Annual International Conference on Mobile Computing and Networking</t>
  </si>
  <si>
    <t>978-1-4503-9990-6</t>
  </si>
  <si>
    <t>10.1145/3570361.3592503</t>
  </si>
  <si>
    <t>https://doi.org/10.1145/3570361.3592503</t>
  </si>
  <si>
    <t>ACM MobiCom '23</t>
  </si>
  <si>
    <t>event-place: Madrid, Spain</t>
  </si>
  <si>
    <t>Optimizing performance inefficiencies in memory hierarchies is well-known for native languages, such as C and C++. There are few studies, however, on exploring memory inefficiencies in Android Runtime (ART). Running in ART, managed languages, such as Java and Kotlin, employ various abstractions, such as runtime support, ahead-of-time (AOT) compilation, and garbage collection (GC), which hide important execution details from the plain source code.In this paper, we develop DroidPerf, a lightweight, object-centric memory profiler for ART, which associates memory inefficiencies with objects created and used in Android apps. With such object-level information, DroidPerf is able to guide locality optimization on memory layouts, access patterns, and allocation patterns. Guided by DroidPerf, we optimize a number of popular Android apps and obtain significant performance gains. Many inefficiencies are confirmed by the code authors and optimization patches are under evaluation for upstreaming. As a practical tool, DroidPerf incurs 32% runtime overhead and 14% memory overhead on average. Furthermore, DroidPerf works in the production environment with off-the-shelf hardware, OS, Dalvik virtual machine, ART, and unmodified Android app source code.</t>
  </si>
  <si>
    <t>performance; profiling; Android; memory inefficiencies</t>
  </si>
  <si>
    <t>YHTMED3B</t>
  </si>
  <si>
    <t>El Akhdar, Abir; Baidada, Chafik; Kartit, Ali</t>
  </si>
  <si>
    <t>Adaptability of Microservices Architecture in IoT Systems : A Comprehensive Review</t>
  </si>
  <si>
    <t>Proceedings of the 7th International Conference on Networking, Intelligent Systems and Security</t>
  </si>
  <si>
    <t>979-8-4007-0929-6</t>
  </si>
  <si>
    <t>10.1145/3659677.3659734</t>
  </si>
  <si>
    <t>https://doi.org/10.1145/3659677.3659734</t>
  </si>
  <si>
    <t>NISS '24</t>
  </si>
  <si>
    <t>event-place: Meknes, AA, Morocco</t>
  </si>
  <si>
    <t>Abstract. This paper investigates how microservices, a transformative paradigm in cloud and enterprise applications, can adapt to the challenges presented by the Internet of Things (IoT). Microservices architecture, identified by the disintegration of monolithic software into distributed and decoupled services, presents a solution that enhances scalability and maintainability. While traditionally top-down, microservices align with IoT's need for flexible, vendor-independent service combinations. Identifying challenges in traditional IoT architectures, this research addresses a gap in the lack of a comprehensive review on the integration of microservices. Objectives include analyzing characteristics, identifying benefits and challenges, exploring best practices, and evaluating adaptability in terms of flexibility, scalability, data management, security, privacy, performance, and efficiency. We aim, through this work, to add to the existing knowledge base on microservices and IoT systems and offer valuable perspectives for practitioners and researchers in the field.</t>
  </si>
  <si>
    <t>Microservices; Internet of Things; IoT; Software Architecture; MSA; Comprehensive Review</t>
  </si>
  <si>
    <t>HRJKWXL4</t>
  </si>
  <si>
    <t>Truong, Thai Minh; Huynh, Khang Quy; Ngo, Thao Thi Thu; Luu, Ca; Le, Bang Minh</t>
  </si>
  <si>
    <t>The Microservice Based Architecture for IoT Systems in Agriculture and Aquaculture</t>
  </si>
  <si>
    <t>Proceedings of the 2024 14th International Conference on Information Communication and Management</t>
  </si>
  <si>
    <t>979-8-4007-1747-5</t>
  </si>
  <si>
    <t>10.1145/3711609.3711613</t>
  </si>
  <si>
    <t>https://doi.org/10.1145/3711609.3711613</t>
  </si>
  <si>
    <t>22‚Äì28</t>
  </si>
  <si>
    <t>ICICM '24</t>
  </si>
  <si>
    <t>The rapid advancement of Internet of Things (IoT) technologies presents significant opportunities to enhance agriculture and aquaculture practices. This paper proposed a software architecture designed based on microservices to address the complex and evolving requirements of contemporary agriculture and aquaculture systems locations. These systems demand a versatile platform capable of integrating a wide range of functionalities, including environmental monitoring, aquaculture management, and comprehensive record-keeping for crops and aquatic life. The proposed IoT system employs a microservice architecture that ensures modularity, scalability, and flexibility. This approach facilitates the seamless integration of new services and features, easy adaptation to existing systems, and efficient reuse of established components. The microservice-based architecture has been successfully implemented in the TC2 project at Can Tho University under the Japan International Cooperation Agency (JICA) initiative. The project is in remote areas through the deployment of a network of sensor and actuator nodes, supported by a robust backend and user-friendly Front End applications. This implementation demonstrated notable improvements in operational efficiency and resource management. By leveraging edge computing for real-time data processing and integrating cloud-based analytics, the system achieved reduced response times and minimized data transmission costs. The modularity of the microservices architecture also enabled easy scalability and adaptability to change environmental conditions. The success of this implementation highlights the potential of microservices-based IoT solutions to drive innovation and enhance practices in agriculture and aquaculture, laying a strong foundation for future advancements in these fields.</t>
  </si>
  <si>
    <t>Internet of Things (IoT); Microservices Architecture; Agriculture and Aquaculture</t>
  </si>
  <si>
    <t>BBGQX3GS</t>
  </si>
  <si>
    <t>Zandberg, Koen; Baccelli, Emmanuel; Yuan, Shenghao; Besson, Fr√©d√©ric; Talpin, Jean-Pierre</t>
  </si>
  <si>
    <t>Femto-containers: lightweight virtualization and fault isolation for small software functions on low-power IoT microcontrollers</t>
  </si>
  <si>
    <t>Proceedings of the 23rd ACM/IFIP International Middleware Conference</t>
  </si>
  <si>
    <t>978-1-4503-9340-9</t>
  </si>
  <si>
    <t>10.1145/3528535.3565242</t>
  </si>
  <si>
    <t>https://doi.org/10.1145/3528535.3565242</t>
  </si>
  <si>
    <t>161‚Äì173</t>
  </si>
  <si>
    <t>Middleware '22</t>
  </si>
  <si>
    <t>event-place: Quebec, QC, Canada</t>
  </si>
  <si>
    <t>Low-power operating system runtimes used on IoT microcontrollers typically provide rudimentary APIs, basic connectivity and, sometimes, a (secure) firmware update mechanism. In contrast, on less constrained hardware, networked software has entered the age of serverless, microservices and agility. With a view to bridge this gap, in the paper we design Femto-Containers, a new middleware runtime which can be embedded on heterogeneous low-power IoT devices. Femto-Containers enable the secure deployment, execution and isolation of small virtual software functions on low-power IoT devices, over the network. We implement Femto-Containers, and provide integration in RIOT, a popular open source IoT operating system. We then evaluate the performance of our implementation, which was formally verified for fault-isolation, guaranteeing that RIOT is shielded from logic loaded and executed in a Femto-Container. Our experiments on various popular micro-controller architectures (Arm Cortex-M, ESP32 and RISC-V) show that Femto-Containers offer an attractive trade-off in terms of memory footprint overhead, energy consumption, and security.</t>
  </si>
  <si>
    <t>security; IoT; middleware; container; function-as-a-service; low-power; microcontroller; virtual machine</t>
  </si>
  <si>
    <t>43F6H3KN</t>
  </si>
  <si>
    <t>Sedlak, Boris; Morichetta, Andrea; Wang, Yuhao; Fei, Yang; Wang, Liang; Dustdar, Schahram; Qu, Xiaobo</t>
  </si>
  <si>
    <t>SLO-Aware Task Offloading Within Collaborative Vehicle Platoons</t>
  </si>
  <si>
    <t>Service-Oriented Computing: 22nd International Conference, ICSOC 2024, Tunis, Tunisia, December 3‚Äì6, 2024, Proceedings, Part II</t>
  </si>
  <si>
    <t>978-981-96-0807-2</t>
  </si>
  <si>
    <t>10.1007/978-981-96-0808-9_6</t>
  </si>
  <si>
    <t>https://doi.org/10.1007/978-981-96-0808-9_6</t>
  </si>
  <si>
    <t>72‚Äì86</t>
  </si>
  <si>
    <t>event-place: Tunis, Tunisia</t>
  </si>
  <si>
    <t>In the context of autonomous vehicles (AVs), offloading is essential for guaranteeing the execution of perception tasks, e.g., mobile mapping or object detection. While existing work on offloading focused extensively on minimizing inter-vehicle networking latency, vehicle platoons (e.g., heavy-duty transport) present numerous other objectives, such as energy efficiency or data quality. To optimize these Service Level Objectives (SLOs) during operation, this work presents a purely Vehicle-to-Vehicle approach (V2V) for collaborative services offloading within a vehicle platoon. By training and using a Bayesian Network (BN), services can proactively decide to offload whenever this promises to improve platoon-wide SLO fulfillment; therefore, vehicles estimate how both sides would be impacted by offloading a service. In particular, this considers resource heterogeneity within the platoon to avoid overloading more restricted devices. We evaluate our approach in a physical setup, where vehicles in a platoon continuously (i.e., every 500 ms) interpret the SLOs of three perception services. Our probabilistic, predictive method shows promising results in handling large AV platoons; within seconds, it detects and resolves SLO violations through offloading.</t>
  </si>
  <si>
    <t>Microservices; Edge Computing; Bayesian Networks; Intelligent Transportation; Offloading; Service Level Objectives</t>
  </si>
  <si>
    <t>87YFBPKY</t>
  </si>
  <si>
    <t>Vitali, Monica</t>
  </si>
  <si>
    <t>Towards Greener Applications: Enabling Sustainable-aware Cloud Native Applications Design</t>
  </si>
  <si>
    <t>Advanced Information Systems Engineering: 34th International Conference, CAiSE 2022, Leuven, Belgium, June 6‚Äì10, 2022, Proceedings</t>
  </si>
  <si>
    <t>978-3-031-07471-4</t>
  </si>
  <si>
    <t>10.1007/978-3-031-07472-1_6</t>
  </si>
  <si>
    <t>https://doi.org/10.1007/978-3-031-07472-1_6</t>
  </si>
  <si>
    <t>93‚Äì108</t>
  </si>
  <si>
    <t>event-place: Leuven, Belgium</t>
  </si>
  <si>
    <t>Data centers energy demand is increasing. While a great deal of effort has been made to reduce the amount of CO2 generated by large cloud providers, too little has been done from the application perspective. We claim that application developers can impact the environmental footprint by enhancing the application design with additional features. Following the proposed Sustainable Application Design Process (SADP), the application design is enriched with information that can be leveraged by cloud providers to manage application execution in an energy-aware manner. This exploratory work aims to emphasize the awareness on the sustainability of applications by proposing a methodology for its evaluation. To this end, we first suggest possible actions to enrich the application design towards sustainability, and finally describe how this additional information can be leveraged in the application workflow. We discuss the feasibility of our methodology by referring to existing tools and technologies capable of supporting the design features proposed in a production environment.</t>
  </si>
  <si>
    <t>Cloud-native; Energy-efficiency; Sustainability-awareness; Sustainable applications; Workflow design</t>
  </si>
  <si>
    <t>ZEERA26W</t>
  </si>
  <si>
    <t>Vu, Tran Hoang; Dai, Nghia Hoang Ba; Khanh, Hong Nguyen Thi; Quang, Dong Nguyen Vo</t>
  </si>
  <si>
    <t>Overall Structural System Solution for Supporting Services and Tourists Management Oriented on Smart City in Viet Nam</t>
  </si>
  <si>
    <t>Proceedings of the 9th International Symposium on Information and Communication Technology</t>
  </si>
  <si>
    <t>978-1-4503-6539-0</t>
  </si>
  <si>
    <t>10.1145/3287921.3287966</t>
  </si>
  <si>
    <t>https://doi.org/10.1145/3287921.3287966</t>
  </si>
  <si>
    <t>430‚Äì435</t>
  </si>
  <si>
    <t>SoICT '18</t>
  </si>
  <si>
    <t>event-place: Danang City, Viet Nam</t>
  </si>
  <si>
    <t>Recently, "Smart tourism" has appeared as a new term to describe the application of the technological advancements that rely on sensors, big data processing technique, open data, open API, new way of connecting and exchanging between humans and machines and multi-device (such as IoT, RFID, and NFC) in tourism. When these technologies are utilized, the digital data become practical and valuable products. Besides, the mobile revolution, and specifically the role of the smartphone and its many opportunities to support travel experiences, is especially worth mentioning in this context. In addition, new management tool for the government, new business opportunities for travel agencies, as well as new experiences for tourists are created. Therefore, in this paper, a model for developing sustainable and intelligent tourism is studied and then an overall architecture model of the information system that can provide supporting services and tools for visitor management (Smart Tourism Service Centre ‚Äì STSC) is proposed for fostering the smart cities in Vietnam, in general, and Danang, in particular.</t>
  </si>
  <si>
    <t>IoT; Smart city; Micro-Services; NFC; Smart Tourism</t>
  </si>
  <si>
    <t>D3EUITD8</t>
  </si>
  <si>
    <t>Chen, Li; Wang, Hai; Hou, Fuyuan; Li, Biao; Zhang, Wangli</t>
  </si>
  <si>
    <t>Research on the Security of Internet of Things Based on Microservices Techniques</t>
  </si>
  <si>
    <t>Proceedings of the 2023 3rd International Conference on Big Data, Artificial Intelligence and Risk Management</t>
  </si>
  <si>
    <t>979-8-4007-1647-8</t>
  </si>
  <si>
    <t>10.1145/3656766.3656853</t>
  </si>
  <si>
    <t>https://doi.org/10.1145/3656766.3656853</t>
  </si>
  <si>
    <t>509‚Äì516</t>
  </si>
  <si>
    <t>ICBAR '23</t>
  </si>
  <si>
    <t>event-place: Chengdu, China</t>
  </si>
  <si>
    <t>Internet of Things technology refers to connecting different types of physical devices, sensors, and other devices together through the Internet to achieve real-time data exchange, thereby achieving real-time monitoring and data analysis. With the continuous development of internet technology, the IoT technology is becoming an important component of future smart homes, smart cities, and Industry 4.0 fields. There are multiple communication protocols and data formats between IoT devices, and a large number of monolithic structures lead to issues such as insufficient scalability and flexibility, resulting in a large number of security vulnerabilities in IoT communication, threatening network security and data privacy. Microservices technology splits a single application into multiple small services that run in separate processes, using lightweight communication mechanisms between services. The interaction between microservices uses standard communication technology, which can enhance the scalability and security of IoT device applications. This article proposes a microservice based security access model that enables fine-grained access decisions, effectively reducing attacks related to IoT device connections and data security, and providing scalable, reconfigurable, and reusable security services. We analyzed the feasibility, reliability, and efficiency of the proposed scheme through theoretical analysis and experiments. The CPU and memory usage of microservices was tested, as well as microservices concurrency performance. The experimental results show that the proposed microservices can achieve corresponding functions and return device data. The microservice scheme designed in this article can meet normal access requests and security communication.</t>
  </si>
  <si>
    <t>VBBYNP2F</t>
  </si>
  <si>
    <t>Chochliouros, Ioannis P.; Pages-Montanera, Enric; Alc√°zar-Fern√°ndez, Aitor; Zahariadis, Theodore; Velivassaki, Terpsichori-Helen; Skianis, Charalabos; Rossini, Rosaria; Belesioti, Maria; Drosos, Nikolaos; Bakiris, Emmanouil; Pedholla, Prashanth Kumar; Karkazis, Panagiotis; Samal, Astik Kumar; Contreras Murillo, Luis Miguel; Del R√≠o, Alberto; Serrano, Javier; Skias, Dimitrios; Segou, Olga E.; Waechter, Sonja</t>
  </si>
  <si>
    <t>NEMO: Building the Next Generation Meta Operating System</t>
  </si>
  <si>
    <t>Proceedings of the 3rd Eclipse Security, AI, Architecture and Modelling Conference on Cloud to Edge Continuum</t>
  </si>
  <si>
    <t>979-8-4007-0835-0</t>
  </si>
  <si>
    <t>10.1145/3624486.3624504</t>
  </si>
  <si>
    <t>https://doi.org/10.1145/3624486.3624504</t>
  </si>
  <si>
    <t>1‚Äì9</t>
  </si>
  <si>
    <t>eSAAM '23</t>
  </si>
  <si>
    <t>event-place: Ludwigsburg, Germany</t>
  </si>
  <si>
    <t>Artificial Intelligence of Things (AIoT) is one of the next big concepts to support societal changes and economic growth, being one of the fastest growing ICT segments. A specific challenge is to leverage existing technology strengths to develop solutions that sustain the European industry and values. The ongoing ŒùŒïŒúŒü (‚ÄúNext Generation Meta-Operating System‚Äù) EU-funded project intends to establish itself as the ‚Äúgame changer‚Äù of the AIoT-Edge-Cloud continuum by introducing an open source, modular and cybersecure meta-operating system, leveraging on existing technologies and introducing novel concepts, methods, tools, testing and engagement campaigns.NEMO will bring intelligence closer to the data and make AI-as-a-Service an integral part of network self-organisation and micro-services execution orchestration. Its widespread penetration and massive acceptance will be achieved via new technology, pre-commercial exploitation components and liaison with open-source communities.By defining a modular and adaptable mOS (meta-OS) architecture together with building blocks and plugins the project will ‚Äúaddress‚Äù current and future technological and business needs.</t>
  </si>
  <si>
    <t>Artificial Intelligence of Things; Meta Operating system; The Cloud-to-Thing continuum: opportunities and challenges</t>
  </si>
  <si>
    <t>M9BY5WNT</t>
  </si>
  <si>
    <t>Hasan, MD Sabbir; Alvares, Frederico; Ledoux, Thomas</t>
  </si>
  <si>
    <t>GPaaScaler: Green Energy Aware Platform Scaler for Interactive Cloud Application</t>
  </si>
  <si>
    <t>Proceedings of The10th International Conference on Utility and Cloud Computing</t>
  </si>
  <si>
    <t>978-1-4503-5149-2</t>
  </si>
  <si>
    <t>10.1145/3147213.3147227</t>
  </si>
  <si>
    <t>https://doi.org/10.1145/3147213.3147227</t>
  </si>
  <si>
    <t>79‚Äì89</t>
  </si>
  <si>
    <t>UCC '17</t>
  </si>
  <si>
    <t>event-place: Austin, Texas, USA</t>
  </si>
  <si>
    <t>Recently, smart usage of renewable energy has been a hot topic in the Cloud community. In this vein, we have recently proposed the creation of green energy awareness around Interactive Cloud Applications, but in static amount of underlying resources. This paper adds to previous ones as it considers elastic underlying infrastructure, that is, we propose a PaaS solution which efficiently utilize the elasticity nature at both infrastructure and application levels, by leveraging adaptation in facing to changing condition i.e., workload burst, performance degradation, quality of energy, etc. While applications are adapted by dynamically re-configuring their service level based on performance and/or green energy availability, the infrastructure takes care of addition/removal of resources based on application's resource demand. Both adaptive behaviors are implemented in separated modules and are coordinated in a sequential manner.We validate our approach by extensive experiments and results obtained over Grid'5000 test bed. Results show that, application can reduce significant amount of brown energy consumption by 35% and daily instance hour cost by 37% compared to a baseline approach when green energy aware adaptation is considered.</t>
  </si>
  <si>
    <t>energy consumption; autonomic computing; green it; interactive cloud application; paas; sustainable computing.</t>
  </si>
  <si>
    <t>QNXBMJ6P</t>
  </si>
  <si>
    <t>Aldinucci, Marco; Baralis, Elena Maria; Cardellini, Valeria; Colonnelli, Iacopo; Danelutto, Marco; Decherchi, Sergio; Di Modica, Giuseppe; Ferrucci, Luca; Gribaudo, Marco; Iannone, Francesco; Lapegna, Marco; Medic, Doriana; Muscianisi, Giuseppa; Righetti, Francesca; Sciacca, Eva; Tonellotto, Nicola; Tortonesi, Mauro; Trunfio, Paolo; Vardanega, Tullio</t>
  </si>
  <si>
    <t>A Systematic Mapping Study of Italian Research on Workflows</t>
  </si>
  <si>
    <t>Proceedings of the SC '23 Workshops of the International Conference on High Performance Computing, Network, Storage, and Analysis</t>
  </si>
  <si>
    <t>979-8-4007-0785-8</t>
  </si>
  <si>
    <t>10.1145/3624062.3624285</t>
  </si>
  <si>
    <t>https://doi.org/10.1145/3624062.3624285</t>
  </si>
  <si>
    <t>2065‚Äì2076</t>
  </si>
  <si>
    <t>SC-W '23</t>
  </si>
  <si>
    <t>event-place: Denver, CO, USA</t>
  </si>
  <si>
    <t>An entire ecosystem of methodologies and tools revolves around scientific workflow management. They cover crucial non-functional requirements that standard workflow models fail to target, such as interactive execution, energy efficiency, performance portability, Big Data management, and intelligent orchestration in the Computing Continuum. Characterizing and monitoring this ecosystem is crucial to developing an informed view of current and future research directions. This work conducts a systematic mapping study of the Italian workflow research community, analyzing 25 tools and 10 applications from several scientific domains in the context of the "National Research Centre for HPC, Big Data, and Quantum Computing" (ICSC). The study aims to outline the main current research directions and determine how they address the critical needs of modern scientific applications. The findings highlight a variegated research ecosystem of tools, with a prominent interest in advanced workflow orchestration and still immature but promising efforts toward energy efficiency.</t>
  </si>
  <si>
    <t>Computing Continuum; HPC; Scientific Workflows</t>
  </si>
  <si>
    <t>9RCNRBIM</t>
  </si>
  <si>
    <t>Ghorbani, Mohammadmahdi; Moghaddam, Fereydoun Farrahi; Zhang, Mengyuan; Pourzandi, Makan; Nguyen, Kim Khoa; Cheriet, Mohamed</t>
  </si>
  <si>
    <t>DistAppGaurd: Distributed Application Behaviour Profiling in Cloud-Based Environment</t>
  </si>
  <si>
    <t>Proceedings of the 37th Annual Computer Security Applications Conference</t>
  </si>
  <si>
    <t>978-1-4503-8579-4</t>
  </si>
  <si>
    <t>10.1145/3485832.3485907</t>
  </si>
  <si>
    <t>https://doi.org/10.1145/3485832.3485907</t>
  </si>
  <si>
    <t>837‚Äì848</t>
  </si>
  <si>
    <t>ACSAC '21</t>
  </si>
  <si>
    <t>event-place: Virtual Event, USA</t>
  </si>
  <si>
    <t>Today, Machine Learning (ML) techniques are increasingly used to detect abnormal behaviours of industrial applications. Since many of these applications are moving to the cloud environments, classical ML approaches are facing new challenges in accurately identifying abnormal behaviours due to the highly dynamic and heterogeneous nature of the cloud. In this paper, we propose a novel framework, DistAppGaurd, for profiling simultaneously the behaviour of all microservice components of a distributed application in the cloud. The framework can therefore, detect complex attacks that are not observable by monitoring a single process or a single microservice. DistAppGaurd utilizes the system calls executed by all the processes of an application to build a graph consisting of data exchanges among different application entities (e.g., processes and files) representing the behaviour of the application. This representation is then used by our novel miroservice-aware Autoencoder model to perform anomaly detection at runtime. The efficiency and feasibility of our approach is shown by implementing several different real-world attacks, which yields high detection rates (94%-97%) at 0.01% false alarm rate.</t>
  </si>
  <si>
    <t>anomaly detection; microservice; machine learning; autoencoder; distributed behaviour profiling</t>
  </si>
  <si>
    <t>JVT2ZT9I</t>
  </si>
  <si>
    <t>He, Xiang; Shao, Zihao; Wang, Teng; Shi, Haomai; Chen, Yin; Wang, Zhongjie</t>
  </si>
  <si>
    <t>Predicting Effect and Cost of Microservice System Evolution Using Graph Neural Network</t>
  </si>
  <si>
    <t>10.1007/978-3-031-48421-6_8</t>
  </si>
  <si>
    <t>https://doi.org/10.1007/978-3-031-48421-6_8</t>
  </si>
  <si>
    <t>103‚Äì118</t>
  </si>
  <si>
    <t>With the increasing prevalence of microservice technology, the architectural flexibility and scalability of software systems have witnessed notable advancements. However, this progress has also brought about a challenge in meeting the frequent changes in user requirements, thereby adversely affecting the quality of the system. It is crucial for microservice systems to undergo evolution through the modification of system configurations to adapt to changing requirements, and various methods for system evolution have been proposed. However, the evolution schemes generated by these methods vary in terms of the degree of improvement in quality and the cost required for evolution, such as time and money, i.e., different evolution effect and evolution cost. Considering the above, it is necessary to predict effect and cost before applying these schemes to real systems. Existing physical methods possess drawbacks such as high expenses and time-consuming setup procedures. Conversely, simulation methods, which are based on mathematical models, necessitate certain simplifications, resulting in disparities between the outcomes and the actual results. To overcome these challenges, this paper introduces a prediction method for microservice system evolution. By employing Graph Neural Network techniques to learn from historical data, this method enables precise prediction of the effects and costs associated with various microservice evolution schemes. And based on the above algorithm, an online prediction system is implemented, independent of the microservice system for long-term prediction. Experimental results validate the accuracy and robustness of the proposed prediction method.</t>
  </si>
  <si>
    <t>Prediction; Evolution Cost; Evolution Effect; Microservice system</t>
  </si>
  <si>
    <t>95WDRTJW</t>
  </si>
  <si>
    <t>Morales, Jose; Antunes, Luiz; Earl, Patrick; Edman, Robert; Hamed, Jeffrey; Reynolds, Douglas; Maffey, Katherine R; Yankel, Joseph; Yasar, Hasan</t>
  </si>
  <si>
    <t>Insights on Implementing a Metrics Baseline for Post-Deployment AI Container Monitoring</t>
  </si>
  <si>
    <t>Proceedings of the 2024 International Conference on Software and Systems Processes</t>
  </si>
  <si>
    <t>979-8-4007-0991-3</t>
  </si>
  <si>
    <t>10.1145/3666015.3666018</t>
  </si>
  <si>
    <t>https://doi.org/10.1145/3666015.3666018</t>
  </si>
  <si>
    <t>46‚Äì55</t>
  </si>
  <si>
    <t>ICSSP '24</t>
  </si>
  <si>
    <t>event-place: M\, Germany</t>
  </si>
  <si>
    <t>Post-deployment monitoring (PDM) occurs in the late stages of a DevSecOps (DSO) pipeline. Its role in DSO is critical in providing feedback loops on system performance leading to desirable changes achieving long-term system and application sustainment. Containers are the de-facto deployed artifacts in DSO for diverse forms of systems and applications including AI models. Long-term sustainment of containerized AI models requires appropriate metrics for the successful maintenance of optimal container and model computing performance and correct model inference. There is no agreed upon set of metrics that should always be present when monitoring a deployed containerized AI model. The current literature and practice can benefit from a standard baseline of metrics for long-term monitoring of containerized AI models focused on computing and inference. In this paper, we propose a candidate baseline of metrics for consideration as a standard across PDM for any containerized AI model. We present a proof-of-concept (PoC) that implements a baseline of metrics for the continuous monitoring of an operationally deployed containerized AI model. The baseline represents the minimal metrics required for any containerized model deployed and actively operating to ensure successful long-term monitoring and support of optimal operation and performance. The metrics focus on container operation, model operation, and model inference. This paper also details the raw data required for the metrics along with a PoC which demonstrates container engineering for their acquisition. The paper illustrates the baseline as a mix of dynamic metrics that are customized for each problem class (e.g., object detection, regression) and data modality together with static metrics that should be present for any containerized model. The paper further shows that a containerized AI model can be engineered to produce these metrics and describes the benefits of a standardized baseline of metrics to aid in the reduction of power consumption in the global digital enterprise.</t>
  </si>
  <si>
    <t>AI; Artificial Intelligence; Container; Continuous Deployment; Deployment; DevOps; DevSecOps.; Machine Learning; Metrics; ML; Performance</t>
  </si>
  <si>
    <t>AH39I8JA</t>
  </si>
  <si>
    <t>N. Toosi, Adel; Agarwal, Chayan; Mashayekhy, Lena; Moghaddam, Sara K.; Mahmud, Redowan; Tari, Zahir</t>
  </si>
  <si>
    <t>GreenFog: A Framework for&amp;nbsp;Sustainable Fog Computing</t>
  </si>
  <si>
    <t>Service-Oriented Computing: 20th International Conference, ICSOC 2022, Seville, Spain, November 29 ‚Äì December 2, 2022, Proceedings</t>
  </si>
  <si>
    <t>978-3-031-20983-3</t>
  </si>
  <si>
    <t>10.1007/978-3-031-20984-0_38</t>
  </si>
  <si>
    <t>https://doi.org/10.1007/978-3-031-20984-0_38</t>
  </si>
  <si>
    <t>540‚Äì549</t>
  </si>
  <si>
    <t>The alarming rate of increase in energy demand and carbon footprint of Fog environments has become a critical issue. It is, therefore, necessary to reduce the percentage of brown energy consumption in these systems and integrate renewable energy use into Fog. Renewables, however, are prone to availability fluctuations due to their variable and intermittent nature. In this paper, we propose a new Fog framework and design various optimization techniques, including linear programming optimization, linear regression estimation, and Multi-Armed Bandit (MAB) learning to optimize renewable energy use in the Fog based on a novel idea of load shaping with adaptive Quality of Service (QoS). The proposed framework, along with the optimization techniques, are tested on a real-world micro data center (Fog environment) powered by solar energy sources connected to multiple IoT devices. The results show that our proposed framework significantly reduces the difference between renewable energy generation and total energy consumption while efficiently adjusting the QoS of applications.</t>
  </si>
  <si>
    <t>DD4XQV9A</t>
  </si>
  <si>
    <t>Rao, Vishal; Singh, Vishnu; Goutham, K. S.; Kempaiah, Bharani Ujjaini; Mampilli, Ruben John; Kalambur, Subramaniam; Sitaram, Dinkar</t>
  </si>
  <si>
    <t>Scheduling Microservice Containers on Large Core Machines Through Placement and Coalescing</t>
  </si>
  <si>
    <t>Job Scheduling Strategies for Parallel Processing: 24th International Workshop, JSSPP 2021, Virtual Event, May 21, 2021, Revised Selected Papers</t>
  </si>
  <si>
    <t>978-3-030-88223-5</t>
  </si>
  <si>
    <t>10.1007/978-3-030-88224-2_5</t>
  </si>
  <si>
    <t>https://doi.org/10.1007/978-3-030-88224-2_5</t>
  </si>
  <si>
    <t>80‚Äì100</t>
  </si>
  <si>
    <t>Current applications deployed on the cloud use the microservice programming model to enable rapid deployment. Due to the loosely coupled nature of the interactions between microservices, they are well suited for the distributed nature of cloud systems. However, we are seeing a trend of increasing core counts on newer server hardware and scheduling microservices agnostic to the local organization of cores and memory on these systems leads to sub-optimal performance. In this paper, we propose a placement scheme to map containers of a microservice to various cores on such machines to maximize performance. We further study the impact of various parameters such as packet sizes and database sizes on the placement scheme and demonstrate that our placement scheme increases throughput by 22% while simultaneously lowering tail latency. Finally, we propose a mechanism to dynamically coalesce services on commonly called paths into a single container and demonstrate a further 7.5% improvement in throughput.</t>
  </si>
  <si>
    <t>Microservices; Performance; Container-scheduling; NUMA</t>
  </si>
  <si>
    <t>PL5RVD52</t>
  </si>
  <si>
    <t>Sriraman, Akshitha; Dhanotia, Abhishek; Wenisch, Thomas F.</t>
  </si>
  <si>
    <t>SoftSKU: optimizing server architectures for microservice diversity @scale</t>
  </si>
  <si>
    <t>Proceedings of the 46th International Symposium on Computer Architecture</t>
  </si>
  <si>
    <t>978-1-4503-6669-4</t>
  </si>
  <si>
    <t>10.1145/3307650.3322227</t>
  </si>
  <si>
    <t>https://doi.org/10.1145/3307650.3322227</t>
  </si>
  <si>
    <t>513‚Äì526</t>
  </si>
  <si>
    <t>ISCA '19</t>
  </si>
  <si>
    <t>event-place: Phoenix, Arizona</t>
  </si>
  <si>
    <t>The variety and complexity of microservices in warehouse-scale data centers has grown precipitously over the last few years to support a growing user base and an evolving product portfolio. Despite accelerating microservice diversity, there is a strong requirement to limit diversity in underlying server hardware to maintain hardware resource fungibility, preserve procurement economies of scale, and curb qualification/test overheads. As such, there is an urgent need for strategies that enable limited server CPU architectures (a.k.a "SKUs") to provide performance and energy efficiency over diverse microservices. To this end, we first undertake a comprehensive characterization of the top seven microservices that run on the compute-optimized data center fleet at Facebook.Our characterization reveals profound diversity in OS and I/O interaction, cache misses, memory bandwidth utilization, instruction mix, and CPU stall behavior. Whereas customizing a CPU SKU for each microservice might be beneficial, it is prohibitive. Instead, we argue for "soft SKUs", wherein we exploit coarse-grain (e.g., boot time) configuration knobs to tune the platform for a particular microservice. We develop a tool, ŒºSKU, that automates search over a soft-SKU design space using A/B testing in production and demonstrate how it can obtain statistically significant gains (up to 7.2% and 4.5% performance improvement over stock and production servers, respectively) with no additional hardware requirements.</t>
  </si>
  <si>
    <t>microservice; resource fungibility; soft SKU</t>
  </si>
  <si>
    <t>4TGPKCVJ</t>
  </si>
  <si>
    <t>Antoniou, Georgia; Volos, Haris; Bartolini, Davide B.; Rollet, Tom; Sazeides, Yiannakis; Yahya, Jawad Haj</t>
  </si>
  <si>
    <t>AgilePkgC: An Agile System Idle State Architecture for Energy Proportional Datacenter Servers</t>
  </si>
  <si>
    <t>10.1109/MICRO56248.2022.00065</t>
  </si>
  <si>
    <t>https://doi.org/10.1109/MICRO56248.2022.00065</t>
  </si>
  <si>
    <t>851‚Äì867</t>
  </si>
  <si>
    <t>Modern user-facing applications deployed in data-centers use a distributed system architecture that exacerbates the latency requirements of their constituent microservices (30‚Äì250Œºs). Existing CPU power-saving techniques degrade the performance of these applications due to the long transition latency (order of 100Œºs) to wake up from a deep CPU idle state (C-state). For this reason, server vendors recommend only enabling shallow core C-states (e.g., CC1) for idle CPU cores, thus preventing the system from entering deep package C-states (e.g., PC6) when all CPU cores are idle. This choice, however, impairs server energy proportionality since power-hungry resources (e.g., IOs, uncore, DRAM) remain active even when there is no active core to use them. As we show, it is common for all cores to be idle due to the low average utilization (e.g., 5 ‚Äì 20%) of datacenter servers running user-facing applications.We propose to reap this opportunity with AgilePkgC (APC), a new package C-state architecture that improves the energy proportionality of server processors running latency-critical applications. APC implements PC1A (package C1 agile), a new deep package C-state that a system can enter once all cores are in a shallow C-state (i.e., CC1) and has a nanosecond-scale transition latency. PC1A is based on four key techniques. First, a hardware-based agile power management unit (APMU) rapidly detects when all cores enter a shallow core C-state (CC1) and triggers the system-level power savings control flow. Second, an IO Standby Mode (IOSM) places IO interfaces (e.g., PCIe, DMI, UPI, DRAM) in shallow (nanosecond-scale transition latency) low-power modes. Third, a CLM Retention (CLMR) mode rapidly reduces the CLM (Cache-and-home-agent, Last-level-cache, and Mesh network-on-chip) domain's voltage to its retention level, drastically reducing its power consumption. Fourth, APC keeps all system PLLs active in PC1A to allow nanosecond-scale exit latency by avoiding PLL re-locking overhead.Combining these techniques enables significant power savings while requiring less than 200ns transition latency, &amp;gt;250√ó faster than existing deep package C-states (e.g., PC6), making PC1A practical for datacenter servers. Our evaluation based on an Intel Skylake-based server shows that APC reduces the energy consumption of Memcached by up to 41% (25% on average) with &amp;lt;0.1% performance degradation. APC provides similar benefits for other representative workloads.</t>
  </si>
  <si>
    <t>QIFREQCE</t>
  </si>
  <si>
    <t>Holzer, Stefan; Frangoudis, Pantelis; Tsigkanos, Christos; Dustdar, Schahram</t>
  </si>
  <si>
    <t>SMT-as-a-Service for Fog-Supported Cyber-Physical Systems</t>
  </si>
  <si>
    <t>Proceedings of the 25th International Conference on Distributed Computing and Networking</t>
  </si>
  <si>
    <t>979-8-4007-1673-7</t>
  </si>
  <si>
    <t>10.1145/3631461.3631562</t>
  </si>
  <si>
    <t>https://doi.org/10.1145/3631461.3631562</t>
  </si>
  <si>
    <t>154‚Äì163</t>
  </si>
  <si>
    <t>ICDCN '24</t>
  </si>
  <si>
    <t>event-place: Chennai, India</t>
  </si>
  <si>
    <t>Various properties related with the safe, correct, and efficient operation of Cyber-Physical Systems (CPS) can be expressed via formal languages and checked at runtime or offline by appropriate verification tools. Such tools operate on monitoring data about the CPS state and functionality, typically collected from IoT devices. A specific approach involves modeling CPS state or operations using Satisfiability Modulo Theories (SMT) formalisms, and using solver software to check whether given CPS properties are satisfied or to derive satisfiable CPS configurations. The computational requirements of this process can however be significant, which challenges its timely execution on IoT/edge devices where input date originate. To address this challenge, we present an architecture that allows the distributed execution of SMT problem solving workloads over the computing continuum as a service. Our design supports arbitrary hierarchies of solver nodes running anywhere from the IoT device to the cloud, each independently executing decision-making logic as to whether to solve an SMT problem instance locally or to recursively offload the task to other nodes in the continuum. We demonstrate the benefits of offloading by implementing and quantitatively evaluating different reinforcement learning-based decision-making strategies addressing latency minimization and energy efficiency goals, and showcase the practicability of our scheme in a fog robotics proof-of-concept.</t>
  </si>
  <si>
    <t>IoT; Computing continuum; Computation Offloading; Fog Robotics; Satisfiability Modulo Theories</t>
  </si>
  <si>
    <t>6R6TSUSW</t>
  </si>
  <si>
    <t>Tootaghaj, Diman Zad; Mercian, Anu; Adarsh, Vivek; Sharifian, Mehrnaz; Sharma, Puneet</t>
  </si>
  <si>
    <t>SmartNICs at edge for transient compute elasticity</t>
  </si>
  <si>
    <t>Proceedings of the 3rd International Workshop on Distributed Machine Learning</t>
  </si>
  <si>
    <t>978-1-4503-9922-7</t>
  </si>
  <si>
    <t>10.1145/3565010.3569065</t>
  </si>
  <si>
    <t>https://doi.org/10.1145/3565010.3569065</t>
  </si>
  <si>
    <t>9‚Äì15</t>
  </si>
  <si>
    <t>DistributedML '22</t>
  </si>
  <si>
    <t>This paper proposes a new architecture that strategically harvests the untapped compute capacity of the SmartNICs to offload transient microservices workload spikes, thereby reducing the SLA violations while providing better performance/energy consumption. This is particularly important for ML workloads at Edge deployments with stringent SLA requirements. Usage of the untapped compute capacity is more favorable than deploying extra servers, as SmartNICs are economically and operationally more desirable. We propose Spike-Offload, a low-cost and scalable platform that leverages machine learning to predict the spikes and orchestrates seamless offloading of generic microservices workloads to the SmartNICs, eliminating the need for pre-deploying expensive host servers and their under-utilization. Our SpikeOffload evaluation shows that SLA violations can be reduced by up to 20% for specific workloads. Furthermore, we demonstrate that for specific workloads our approach can potentially reduce capital expenditure (CAPEX) by more than 40%. Also, performance per unit energy consumption can be improved by upto 2X.</t>
  </si>
  <si>
    <t>edge; serverless computing; application offload; SmartNIC</t>
  </si>
  <si>
    <t>3M6P9IQX</t>
  </si>
  <si>
    <t>Grafenhorst, Simon; F√∂rderer, Kevin; Hagenmeyer, Veit</t>
  </si>
  <si>
    <t>Distribution Grid Monitoring Based on&amp;nbsp;Widely Available Smart Plugs</t>
  </si>
  <si>
    <t>Energy Informatics: Third Energy Informatics Academy Conference, EI.A 2023, Campinas, Brazil, December 6‚Äì8, 2023, Proceedings, Part II</t>
  </si>
  <si>
    <t>978-3-031-48651-7</t>
  </si>
  <si>
    <t>10.1007/978-3-031-48652-4_13</t>
  </si>
  <si>
    <t>https://doi.org/10.1007/978-3-031-48652-4_13</t>
  </si>
  <si>
    <t>195‚Äì212</t>
  </si>
  <si>
    <t>event-place: Campinas, Brazil</t>
  </si>
  <si>
    <t>The growing popularity of e-mobility, heat pumps, and renewable generation such as photovoltaics is leading to scenarios which the distribution grid was not originally designed for. Moreover, parts of the distribution grid are only sparsely instrumented, leaving the distribution system operator unaware of possible bottlenecks resulting from the introduction of such loads and renewable generation. To overcome this lack of information, we propose the use of widely available smart home devices, such as smart plugs, for grid monitoring. We detail the aggregation and storage of smart plug measurements for distribution grid monitoring and examine the accuracy of the measurements. A case study shows how the average monitoring error in a distribution grid area decreases the more measurement devices are installed. Hence, simple smart plugs can help with distribution grid monitoring and provide valuable information to the DSO.</t>
  </si>
  <si>
    <t>Distribution Grid Monitoring; Smart Grid; Smart Home Measurement Device</t>
  </si>
  <si>
    <t>GRL4PFL6</t>
  </si>
  <si>
    <t>Daniel, Jo√£o; Wang, Xiaofeng; Guerra, Eduardo</t>
  </si>
  <si>
    <t>Pattern Language for Leveraging Metadata to Reusability in APIs</t>
  </si>
  <si>
    <t>Proceedings of the 29th European Conference on Pattern Languages of Programs, People, and Practices</t>
  </si>
  <si>
    <t>979-8-4007-1683-6</t>
  </si>
  <si>
    <t>10.1145/3698322.3698344</t>
  </si>
  <si>
    <t>https://doi.org/10.1145/3698322.3698344</t>
  </si>
  <si>
    <t>EuroPLoP '24</t>
  </si>
  <si>
    <t>Nowadays, corporate systems are heterogeneous, with distributed pieces that collaborate to fulfill the requirements. Communication between autonomous components becomes a key aspect to maintain the quality of the architecture. As a consequence, remote APIs are in focus: the quality in their design might significantly impact the quality of the interacting components. We aim to assist practitioners with designing reusable APIs. We present 8 patterns: (i) ‚ÄúFlexibilize the Ingestion‚Äù that structures an API to provide seamless integration by accepting heterogeneous structures as input; (ii) ‚ÄúEnrich with Metadata‚Äù that adds a new layer containing metadata to the messages exchanged; (iii) ‚ÄúAgree on Meta Structure‚Äù that defines a common metadata structure among the communicating parts; (iv) ‚ÄúPlug the Processors In‚Äù that proposes decoupled but composable handlers for the data and metadata; then (v) ‚ÄúEmbed Metadata‚Äù, (vi) ‚ÄúConfigure Meta in Runtime‚Äù and (vii) ‚ÄúConfigure Meta during Deploy‚Äù propose different settings for the placement and setting of metadata; and (viii) ‚ÄúAdapt the Ingestion‚Äù that includes an adapter dedicated to set the metadata for ingestion when it is impossible to change the original sender.</t>
  </si>
  <si>
    <t>API; Metadata; Reusability</t>
  </si>
  <si>
    <t>9Y7CTWN2</t>
  </si>
  <si>
    <t>Tzenetopoulos, Achilleas; Marantos, Charalampos; Gavrielides, Giannos; Xydis, Sotirios; Soudris, Dimitrios</t>
  </si>
  <si>
    <t>FADE: FaaS-inspired application decomposition and Energy-aware function placement on the Edge</t>
  </si>
  <si>
    <t>Proceedings of the 24th International Workshop on Software and Compilers for Embedded Systems</t>
  </si>
  <si>
    <t>978-1-4503-9166-5</t>
  </si>
  <si>
    <t>10.1145/3493229.3493306</t>
  </si>
  <si>
    <t>https://doi.org/10.1145/3493229.3493306</t>
  </si>
  <si>
    <t>7‚Äì10</t>
  </si>
  <si>
    <t>SCOPES '21</t>
  </si>
  <si>
    <t>event-place: Eindhoven, Netherlands</t>
  </si>
  <si>
    <t>Lately, more and more applications are deployed on heterogeneous, power-constrained edge-computing devices. Bringing computation closer to the data, contributes both to latency and energy consumption reduction due to the elimination of excessive data transfers. However, while the main concern in such environments is the minimization of energy consumption, the heterogeneity in compute resources found at the edge may lead to Quality of Service (QoS) violations. At the same time, Serverless computing, the next frontier of Cloud computing has emerged to offer unprecedented elasticity by utilizing fine-grained, stateless functions. The reduction in the execution time and the modest memory footprint of such decomposed applications, allow for fine-grained resource multiplexing. In this work, we propose a methodology for application decomposition into fine-grained functions and energy-aware function placement on a cluster of edge devices subject to user-specified QoS guarantees.</t>
  </si>
  <si>
    <t>resource management; serverless; energy-aware</t>
  </si>
  <si>
    <t>HWYSISBN</t>
  </si>
  <si>
    <t>Fu, Silvery D.; Zhang, Hong; Teoh, Ryan; Priadka, Taras; Ratnasamy, Sylvia</t>
  </si>
  <si>
    <t>Toward Data-Centric Service Composition</t>
  </si>
  <si>
    <t>Proceedings of the 23rd ACM Workshop on Hot Topics in Networks</t>
  </si>
  <si>
    <t>979-8-4007-1272-2</t>
  </si>
  <si>
    <t>10.1145/3696348.3702013</t>
  </si>
  <si>
    <t>https://doi.org/10.1145/3696348.3702013</t>
  </si>
  <si>
    <t>360‚Äì367</t>
  </si>
  <si>
    <t>HotNets '24</t>
  </si>
  <si>
    <t>event-place: Irvine, CA, USA</t>
  </si>
  <si>
    <t>Microservices are increasingly used in modern applications, leading to a growing need for effective service composition solutions. However, we argue that traditional API-centric composition mechanisms (e.g., RPC, REST, and Pub/Sub) hamper the modularity of microservices. These mechanisms introduce rigid code-level coupling, scatter composition logic, and hinder visibility into cross-service data exchanges. Ultimately, these limitations complicate the maintenance and evolution of microservice-based applications. In this paper, we propose a rethinking of service composition and present Knactor, a new data-centric composition framework to restore the modularity that microservices were intended to offer. Knactor decouples service composition from service development, allowing composition to be implemented as explicit data exchanges among multiple services. Our initial case study suggests that this approach not only simplifies service composition but also opens up opportunities for data-driven policies and optimizations.</t>
  </si>
  <si>
    <t>Microservices; Design Principles; Service Composition</t>
  </si>
  <si>
    <t>43GWV8LF</t>
  </si>
  <si>
    <t>Dobaj, J√ºrgen; Schuss, Markus; Krisper, Michael; Boano, Carlo Alberto; Macher, Georg</t>
  </si>
  <si>
    <t>Dependable mesh networking patterns</t>
  </si>
  <si>
    <t>Proceedings of the 24th European Conference on Pattern Languages of Programs</t>
  </si>
  <si>
    <t>978-1-4503-6206-1</t>
  </si>
  <si>
    <t>10.1145/3361149.3361174</t>
  </si>
  <si>
    <t>https://doi.org/10.1145/3361149.3361174</t>
  </si>
  <si>
    <t>EuroPLop '19</t>
  </si>
  <si>
    <t>event-place: Irsee, Germany</t>
  </si>
  <si>
    <t>In our daily life, we are increasingly relying on connected systems ranging from smart health care devices to industrial and intelligent transportation systems, as well as smart homes and cities. The unavailability or malfunctioning of these systems could threaten human life, cause environmental damage, and significant financial loss. To prevent such large scale and mission-critical systems from malfunctioning, it is of utmost importance to establish and guaranty reliable connections to attain a dependable networked system. Generally, mesh networking technologies are used for building such systems since mesh networks provide the best performance characteristics regarding fault-tolerance, throughput, resource usage, and service level flexibility.In this paper, we summarize the major challenges in dependable network design, to subsequently present three patterns that approach redundancy on the hardware level, software-defined networking, and cross-cutting concerns like monitoring and service discovery within distributed networked systems. These three patterns should help designers and engineers in choosing the appropriate technologies for building dependable networked systems at all scales. Since dependable network engineering requires a holistic system-wide design and engineering approach, we also present a pattern map guiding to complementary and closely related patterns. System architects and system engineers responsible for building mixed-criticality systems, internet-of-things (IoT), and industrial Internet-of-Things (IIoT) systems are the target audience of the patterns presented in this paper.</t>
  </si>
  <si>
    <t>microservices; cloud architecture; dependability; IaaS; IIoT; industry 4.0; infrastructure-as-a-service; IoT; logical mesh pattern; network architecture; network design; physical mesh pattern; service mesh pattern; service-oriented architecture; SoA</t>
  </si>
  <si>
    <t>TZQAMCSP</t>
  </si>
  <si>
    <t>Caporuscio, Mauro; D‚ÄôAngelo, Mirko; Grassi, Vincenzo; Mirandola, Raffaela</t>
  </si>
  <si>
    <t>Decentralized Architecture for Energy-Aware Service Assembly</t>
  </si>
  <si>
    <t>Software Architecture: 14th European Conference, ECSA 2020, L'Aquila, Italy, September 14‚Äì18, 2020, Proceedings</t>
  </si>
  <si>
    <t>978-3-030-58922-6</t>
  </si>
  <si>
    <t>10.1007/978-3-030-58923-3_4</t>
  </si>
  <si>
    <t>https://doi.org/10.1007/978-3-030-58923-3_4</t>
  </si>
  <si>
    <t>57‚Äì72</t>
  </si>
  <si>
    <t>event-place: L'Aquila, Italy</t>
  </si>
  <si>
    <t>Contemporary application domains make more and more appealing the vision of applications built as a dynamic and opportunistic assembly of autonomous and independent resources. However, the adoption of such paradigm is challenged by: (i) the openness and scalability needs of the operating environment, which rule out approaches based on centralized architectures and, (ii) the increasing concern for sustainability issues, which makes particularly relevant, in addition to QoS constraints, the goal of reducing the application energy footprint. In this context, we contribute by proposing a decentralized architecture to build a fully functional assembly of distributed services, able to optimize its energy consumption, paying also attention to issues concerning the delivered quality of service. We suggest suitable indexes to measure from different perspectives the energy efficiency of the resulting assembly, and present the results of extensive simulation experiments to assess the effectiveness of our approach.</t>
  </si>
  <si>
    <t>NTXLFUFC</t>
  </si>
  <si>
    <t>Wang, Botao; Xu, Xu; Zhuo, Lin; Yuan, Xiangyu; Wang, Longzhi; Sun, Qixing; Fu, Wei; Teng, Kah Hou</t>
  </si>
  <si>
    <t>A Method for Optimizing Elastic Scaling Resources of Private Cloud in Digital Grid</t>
  </si>
  <si>
    <t>Proceedings of the 2024 9th International Conference on Cyber Security and Information Engineering</t>
  </si>
  <si>
    <t>979-8-4007-1813-7</t>
  </si>
  <si>
    <t>10.1145/3689236.3696171</t>
  </si>
  <si>
    <t>https://doi.org/10.1145/3689236.3696171</t>
  </si>
  <si>
    <t>944‚Äì951</t>
  </si>
  <si>
    <t>ICCSIE '24</t>
  </si>
  <si>
    <t>Cloud computing improves server utilization and reduces the number of physical servers through virtualization technology, which directly reduces energy consumption and corresponding carbon emissions. The elastic scalability of cloud platforms allows resources to automatically expand or reduce according to actual needs, avoiding excessive resource allocation and waste. In order to further investigate the positive effects of cloud platform elastic scaling on resources in enterprise IT management. This paper summarizes the change rules of elastic scaling resources on cloud in large enterprises by sorting out the business operation characteristics and resource change rules, and classifies and analyzes the three demand scenarios of periodic changes, jitter changes, and stable changes of business resources. It proves through experimental methods that the containerized deployment and elastic scaling configuration methods of cloud platforms can effectively improve the operation efficiency of cloud resources. The application method has also been promoted and verified in many different regions across the country, further proving that it can effectively help enterprises improve resource efficiency and reduce operating costs, and provide a reference for large-scale application of elastic scaling configuration in large enterprises.</t>
  </si>
  <si>
    <t>Kubernetes; Cloud platform; Digital grid; Elastic scaling; Resource scheduling</t>
  </si>
  <si>
    <t>K4WHX267</t>
  </si>
  <si>
    <t>Maranh√£o, Jo√£o Jos√©; Guerra, Eduardo Martins</t>
  </si>
  <si>
    <t>A Prompt Pattern Sequence Approach to Apply Generative AI in Assisting Software Architecture Decision-making</t>
  </si>
  <si>
    <t>10.1145/3698322.3698324</t>
  </si>
  <si>
    <t>https://doi.org/10.1145/3698322.3698324</t>
  </si>
  <si>
    <t>This paper proposes an approach that employs generative AI, specifically GPT models, to enhance decision-making in software architecture through a sequence of prompt patterns. Five prompt patterns are introduced, each targeting software architects‚Äô specific challenges when navigating complex design decisions. Through a structured and context-aware decision flow, we demonstrate how these patterns can mitigate risks, manage uncertainties, and optimize functional and non-functional requirements. The proposed approach is evaluated in two real-world scenarios and one fictional case, illustrating its practical application in optimizing operations and ensuring scalability, security, and performance. While AI demonstrates transformative potential in aiding architectural practices, we also highlight its limitations, emphasizing the importance of human oversight in validating technical assumptions and avoiding over-reliance on automated tools. This paper contributes to the ongoing dialogue on how AI can be integrated into software architecture to foster more efficient, informed, and context-sensitive decision-making processes for architects.</t>
  </si>
  <si>
    <t>Artificial Intelligence; AI Generative; Architecture Decision-Making; Design Patterns; Prompt Engineering; Prompt Patterns Sequence; Software Architecture</t>
  </si>
  <si>
    <t>3MWFAVFG</t>
  </si>
  <si>
    <t>Zimmermann, Olaf; L√ºbke, Daniel; Zdun, Uwe; Pautasso, Cesare; Stocker, Mirko</t>
  </si>
  <si>
    <t>Interface Responsibility Patterns: Processing Resources and Operation Responsibilities</t>
  </si>
  <si>
    <t>Proceedings of the European Conference on Pattern Languages of Programs 2020</t>
  </si>
  <si>
    <t>978-1-4503-7769-0</t>
  </si>
  <si>
    <t>10.1145/3424771.3424822</t>
  </si>
  <si>
    <t>https://doi.org/10.1145/3424771.3424822</t>
  </si>
  <si>
    <t>EuroPLoP '20</t>
  </si>
  <si>
    <t>event-place: Virtual Event, Germany</t>
  </si>
  <si>
    <t>Remote Application Programming Interfaces (APIs), as for instance offered in microservices architectures, are used in almost any distributed system today and are thus enablers for many digitalization efforts. It is hard to design such APIs so that they are easy and effective to use; maintaining their runtime qualities while preserving backward compatibility is equally challenging. Finding well suited granularities in terms of the architectural capabilities of endpoints and the read-write semantics of their operations are particularly important design concerns. Existing pattern languages have dealt with local APIs in object-oriented programming, with remote objects, with queue-based messaging and with service-oriented computing platforms. However, patterns or equivalent guidances for the architectural design of API endpoints, operations and their request and response message structures are still missing. In this paper, we extend our microservice API pattern language (MAP) and introduce endpoint role and operation responsibility patterns, namely Processing Resource, Computation Function, State Creation Operation, Retrieval Operation, and State Transition Operation. Known uses and examples of the patterns are drawn from public Web APIs, as well as application development and system integration projects the authors have been involved in.</t>
  </si>
  <si>
    <t>JBUZIVQT</t>
  </si>
  <si>
    <t>Akmal, Muhammad Uzair; Asif, Saara; Koval, Leonid; Mathias, Selvine G.; Knollmeyer, Simon; Grossmann, Daniel</t>
  </si>
  <si>
    <t>Layered Data-Centric AI to&amp;nbsp;Streamline Data Quality Practices for&amp;nbsp;Enhanced Automation</t>
  </si>
  <si>
    <t>Artificial Intelligence: Methodology, Systems, and Applications: 19th International Conference, AIMSA 2024, Varna, Bulgaria, September 18‚Äì20, 2024, Proceedings</t>
  </si>
  <si>
    <t>978-3-031-81541-6</t>
  </si>
  <si>
    <t>10.1007/978-3-031-81542-3_11</t>
  </si>
  <si>
    <t>https://doi.org/10.1007/978-3-031-81542-3_11</t>
  </si>
  <si>
    <t>128‚Äì142</t>
  </si>
  <si>
    <t>event-place: Varna, Bulgaria</t>
  </si>
  <si>
    <t>Most artificial intelligence (AI) applications are designed under the model-centric AI (MCAI) approach, where data scientists aim to optimize the machine learning (ML) models starting with fixed, preprocessed data. However, businesses often struggle with limited datasets, changes in data over time, and limited ML knowledge, making it difficult to maintain data quality. One potential approach is data-centric AI (DCAI), which systematically improves the data quality used to build AI systems. However, rapid growth in data volume leads to challenges in selecting the most suitable operations for enhancing data quality thereby maintaining data accuracy, completeness, consistency, and reliability in real-world applications. To address this gap, we propose a novel framework, namely Layered Data-Centric AI (LDCAI) by expanding upon the existing DCAI Pipeline. LDCAI employs a three-layered approach, starting with the DCAI layer which generates the initial training data. This data is then analyzed and refined in the Data Analysis (DA) layer by a team of data scientists and domain experts. The refined data is later sent to the Data Quality Control (DQC) layer for additional quality checks and improvements by data scientists. The entire process can be iterated as needed to continuously improve data quality, which can be fed back into the DCAI layer‚Äôs model to achieve better predictions and outcomes. The implementation is illustrated through a scalable and customizable architecture designed for optimizing data quality within AI systems.</t>
  </si>
  <si>
    <t>Artificial intelligence; Data analysis; Data quality; Data-centric</t>
  </si>
  <si>
    <t>EYMNN88U</t>
  </si>
  <si>
    <t>Huber, Florian; K√∂rber, Nikolai; Mock, Markus</t>
  </si>
  <si>
    <t>Selena: a Serverless Energy Management System</t>
  </si>
  <si>
    <t>Proceedings of the 5th International Workshop on Serverless Computing</t>
  </si>
  <si>
    <t>978-1-4503-7038-7</t>
  </si>
  <si>
    <t>10.1145/3366623.3368134</t>
  </si>
  <si>
    <t>https://doi.org/10.1145/3366623.3368134</t>
  </si>
  <si>
    <t>7‚Äì12</t>
  </si>
  <si>
    <t>WOSC '19</t>
  </si>
  <si>
    <t>event-place: Davis, CA, USA</t>
  </si>
  <si>
    <t>Reduction of CO2 emissions has become a significant challenge faced by humanity today. Energy management systems try to contribute to addressing this challenge by enabling an intelligent use and combination of different energy sources by capturing and visualizing energy usage and production data to enable energy efficiency improvement measures. In this paper, we present Selena, a prototypical energy management system that is implemented using the serverless computing paradigm. Essential design goals for Selena are both extensibility, so that many different data sources and providers (e.g., measurement systems) can be integrated easily, as well as efficient scalability, so that the system can be used from small (e.g., one building) to large installations (potentially entire neighborhoods) with deployment cost commensurate with the installation size. Our initial experiences with Selena indicate that the serverless paradigm is very well suited to capture and process energy-related data reliably and has excellent scaling properties due to the elastic compute platform that it is built upon.</t>
  </si>
  <si>
    <t>microservices; IoT; AWS Lambda; energy management systems; FaaS; serverless computing</t>
  </si>
  <si>
    <t>J7PIFZQW</t>
  </si>
  <si>
    <t>Kaur, Kuljeet; Garg, Sahil; Kaddoum, Georges; Ahmed, Syed Hassan; Jayakody, Dushantha Nalin K.</t>
  </si>
  <si>
    <t>En-OsCo: Energy-aware Osmotic Computing Framework using Hyper-heuristics</t>
  </si>
  <si>
    <t>Proceedings of the ACM MobiHoc Workshop on Pervasive Systems in the IoT Era</t>
  </si>
  <si>
    <t>978-1-4503-6805-6</t>
  </si>
  <si>
    <t>10.1145/3331052.3332473</t>
  </si>
  <si>
    <t>https://doi.org/10.1145/3331052.3332473</t>
  </si>
  <si>
    <t>19‚Äì24</t>
  </si>
  <si>
    <t>PERSIST-IoT '19</t>
  </si>
  <si>
    <t>event-place: Catania, Italy</t>
  </si>
  <si>
    <t>The proliferation of the Internet of Things (IoT) has paved the way for many cloud based applications such as smart grid, healthcare, traffic management, finance, etc. In this vein, the need of transferring large data-streams to remote data centers is a key concern for modern Cloud-based IoT paradigms. This disrupts the remote Cloud Computing model, moving applications, data and computing resources to the logical extremes of the network. Thus, to handle streaming data in IoT environments, an efficient IoT-based computing model that can dynamically handle the interplay between Cloud and Edge data centers is required. In this direction, a recent paradigm, popularly known as Osmotic Computing, has emerged to ensure the acceptable performance of widely dispersed services. However, the burden of data-offloading across multiple data centers usually leads to a consequent increase in their energy consumption which in-turn will affect the overall Quality of Service (QoS) of the IoT-based applications. Keeping focus on all these issues, a consolidated decision making framework for Osmotic Computing, i.e., En-OsCo, is designed to ensure the energy-aware dynamic management of resources. The proposed framework incorporates four significant contributions: i) Resource monitoring of Edge data centers using Extended Kalman Filter, ii) Optimal dispatch of incoming services to the Edge/Cloud setup using Hyper-heuristics, iii) Minimizing the energy consumption of underlying data centers and reducing the service latency, and iv) Reducing the search space of Hyper-heuristics by keeping track of previously made decisions using Universal Streaming Monitoring. Further, in order to validate the efficacy of the proposed En-OsCo framework, ContainerCloudSim has been used in combination of HyFlex on PlanetLab datasets. The obtained results validate the purpose of the proposed scheme in minimizing the overall energy consumption of the computing setup while considerably reducing the latency.</t>
  </si>
  <si>
    <t>Cloud Computing; Edge Computing; and Osmotic Computing; Energy Minimization; Extended Kalman Filter; Hyper-heuristics; Latency Minimization</t>
  </si>
  <si>
    <t>TYZQHQBX</t>
  </si>
  <si>
    <t>Li, Fei; Gelbke, Lars</t>
  </si>
  <si>
    <t>Microservice architecture in industrial software delivery on edge devices</t>
  </si>
  <si>
    <t>Proceedings of the 19th International Conference on Agile Software Development: Companion</t>
  </si>
  <si>
    <t>978-1-4503-6422-5</t>
  </si>
  <si>
    <t>10.1145/3234152.3234196</t>
  </si>
  <si>
    <t>https://doi.org/10.1145/3234152.3234196</t>
  </si>
  <si>
    <t>XP '18</t>
  </si>
  <si>
    <t>event-place: Porto, Portugal</t>
  </si>
  <si>
    <t>Production in Industry 4.0 calls for flexible configurations, customizable features, frequent changes, and above all, short time to market, which poses significant challenges to the practices of industrial software development and delivery. However, under strict regulations and non-negotiable requirements on safety, reliability and compliance, industrial software is still dominated by monolithic architecture that usually requires planned downtime and manual installation for each update. The result is a typical release cycle of 12-18 months with several patches during the release cycle.This paper reports our experiences in applying microservice architecture, and delivery pipeline to achieve continuous deployment for industrial control software on edge devices. They are characterized by their physical proximity to industrial equipment, limited computational resources, high avail-ability, and highly heterogeneous software environments in order to accommodate various industrial protocols and processes.</t>
  </si>
  <si>
    <t>microservice; edge computing; industrial software</t>
  </si>
  <si>
    <t>VRST2P3J</t>
  </si>
  <si>
    <t>Buschmann, Philippe; Shorim, Mostafa H. M.; Helm, Max; Br√∂ring, Arne; Carle, Georg</t>
  </si>
  <si>
    <t>Task Allocation in Industrial Edge Networks with Particle Swarm Optimization and Deep Reinforcement Learning</t>
  </si>
  <si>
    <t>Proceedings of the 12th International Conference on the Internet of Things</t>
  </si>
  <si>
    <t>978-1-4503-9665-3</t>
  </si>
  <si>
    <t>10.1145/3567445.3571114</t>
  </si>
  <si>
    <t>https://doi.org/10.1145/3567445.3571114</t>
  </si>
  <si>
    <t>239‚Äì247</t>
  </si>
  <si>
    <t>IoT '22</t>
  </si>
  <si>
    <t>event-place: Delft, Netherlands</t>
  </si>
  <si>
    <t>To avoid the disadvantages of a cloud-centric infrastructure, next-generation industrial scenarios focus on using distributed edge networks. Task allocation in distributed edge networks with regards to minimizing the energy consumption is NP-hard and requires considerable computational effort to obtain optimal results with conventional algorithms like Integer Linear Programming (ILP). We extend an existing ILP problem including an ILP heuristic for multi-workflow allocation and propose a Particle Swarm Optimization (PSO) and a Deep Reinforcement Learning (DRL) algorithm. PSO and DRL outperform the ILP heuristic with a median optimality gap of and against . DRL has the lowest upper bound for the optimality gap. It performs better than PSO for problem sizes of more than 25 tasks and PSO fails to find a feasible solution for more than 60 tasks. The execution time of DRL is significantly faster with a maximum of 1 s in comparison to PSO with a maximum of 361 s. In conclusion, our experiments indicate that PSO is more suitable for smaller and DRL for larger sized task allocation problems.</t>
  </si>
  <si>
    <t>Internet of Things (IoT); Edge Computing; Deep Reinforcement Learning; Integer Linear Programming; Particle Swarm Optimization; Task Allocation</t>
  </si>
  <si>
    <t>FHN5QKFQ</t>
  </si>
  <si>
    <t>Farahani, Reza; Loh, Frank; Roman, Dumitru; Prodan, Radu</t>
  </si>
  <si>
    <t>Serverless Workflow Management on the Computing Continuum: A Mini-Survey</t>
  </si>
  <si>
    <t>10.1145/3629527.3652901</t>
  </si>
  <si>
    <t>https://doi.org/10.1145/3629527.3652901</t>
  </si>
  <si>
    <t>146‚Äì150</t>
  </si>
  <si>
    <t>The growing desire among application providers for a cost model based on pay-per-use, combined with the need for a seamlessly integrated platform to manage the complex workflows of their applications, has spurred the emergence of a promising computing paradigm known as serverless computing. Although serverless computing was initially considered for cloud environments, it has recently been extended to other layers of the computing continuum, i.e., edge and fog. This extension emphasizes that the proximity of computational resources to data sources can further reduce costs and improve performance and energy efficiency. However, orchestrating the computing continuum in complex application workflows, including a set of serverless functions, introduces new challenges. This paper investigates the opportunities and challenges introduced by serverless computing for workflow management systems (WMS) on the computing continuum. In addition, the paper provides a taxonomy of state-of-the-art WMSs and reviews their capabilities.</t>
  </si>
  <si>
    <t>serverless computing; edge-cloud continuum; function scheduling; function-as-a-service (faas); service orchestration; sustainability; workflow; workflow management systems (wms)</t>
  </si>
  <si>
    <t>B9RSNMLF</t>
  </si>
  <si>
    <t>Martins, Lucas M. C. e; Filho, Francisco L. de Caldas; J√∫nior, Rafael T. de Sousa; Giozza, William F.; da Costa, Jo√£o Paulo C.L.</t>
  </si>
  <si>
    <t>Increasing the Dependability of IoT Middleware with Cloud Computing and Microservices</t>
  </si>
  <si>
    <t>Companion Proceedings of The10th International Conference on Utility and Cloud Computing</t>
  </si>
  <si>
    <t>978-1-4503-5195-9</t>
  </si>
  <si>
    <t>10.1145/3147234.3148092</t>
  </si>
  <si>
    <t>https://doi.org/10.1145/3147234.3148092</t>
  </si>
  <si>
    <t>203‚Äì208</t>
  </si>
  <si>
    <t>UCC '17 Companion</t>
  </si>
  <si>
    <t>Internet of Things (IoT) has left the experimental field and is reaching the final consumer in areas such as residential automation, health, transportation and government support. Since these are applications intrinsically linked to the physical world, they require more attention in aspects related to their dependability. Focusing on its availability and reliability, we present a proposal to apply the Microservices architectural pattern in an IoT middleware with web services in the monolithic architecture. We describe the reengineering that must be done in this middleware and, finally, we analyze the advantages and disadvantages of this approach, highlighting the availability improvement, optimization of the infrastructure resources, the ease of maintenance and evolution, as well as the inclination to the elasticity that the architecture allows.</t>
  </si>
  <si>
    <t>cloud computing; microservices; dependability; internet of things (iot); middleware; soa.</t>
  </si>
  <si>
    <t>VMMJJNTA</t>
  </si>
  <si>
    <t>Zhu, Xiangfeng; She, Guozhen; Xue, Bowen; Zhang, Yu; Zhang, Yongsu; Zou, Xuan Kelvin; Duan, XiongChun; He, Peng; Krishnamurthy, Arvind; Lentz, Matthew; Zhuo, Danyang; Mahajan, Ratul</t>
  </si>
  <si>
    <t>Dissecting Overheads of Service Mesh Sidecars</t>
  </si>
  <si>
    <t>10.1145/3620678.3624652</t>
  </si>
  <si>
    <t>https://doi.org/10.1145/3620678.3624652</t>
  </si>
  <si>
    <t>142‚Äì157</t>
  </si>
  <si>
    <t>Service meshes play a central role in the modern application ecosystem by providing an easy and flexible way to connect microservices of a distributed application. However, because of how they interpose on application traffic, they can substantially increase application latency and its resource consumption. We develop a tool called MeshInsight to help developers quantify the overhead of service meshes in deployment scenarios of interest and make informed trade-offs about their functionality vs. overhead. Using MeshInsight, we confirm that service meshes can have high overhead‚Äîup to 269% higher latency and up to 163% more virtual CPU cores for our benchmark applications‚Äîbut the severity is intimately tied to how they are configured and the application workload. IPC (inter-process communication) and socket writes dominate when the service mesh operates as a TCP proxy, but protocol parsing dominates when it operates as an HTTP proxy. MeshInsight also enables us to study the end-to-end impact of optimizations to service meshes. We show that not all seemingly-promising optimizations lead to a notable overhead reduction in realistic settings.</t>
  </si>
  <si>
    <t>Cloud computing; Microservices; Service Mesh</t>
  </si>
  <si>
    <t>6LTQZQ7H</t>
  </si>
  <si>
    <t>Tesfatsion, Selome Kostentinos; Klein, Cristian; Tordsson, Johan</t>
  </si>
  <si>
    <t>Virtualization Techniques Compared: Performance, Resource, and Power Usage Overheads in Clouds</t>
  </si>
  <si>
    <t>Proceedings of the 2018 ACM/SPEC International Conference on Performance Engineering</t>
  </si>
  <si>
    <t>978-1-4503-5095-2</t>
  </si>
  <si>
    <t>10.1145/3184407.3184414</t>
  </si>
  <si>
    <t>https://doi.org/10.1145/3184407.3184414</t>
  </si>
  <si>
    <t>145‚Äì156</t>
  </si>
  <si>
    <t>ICPE '18</t>
  </si>
  <si>
    <t>event-place: Berlin, Germany</t>
  </si>
  <si>
    <t>Virtualization solutions based on hypervisors or containers are enabling technologies for scalable, flexible, and cost-effective resource sharing. As the fundamental limitations of each technology are yet to be understood, they need to be regularly reevaluated to better understand the trade-off provided by latest technological advances. This paper presents an in-depth quantitative analysis of virtualization overheads in these two groups of systems and their gaps relative to native environments based on a diverse set of workloads that stress CPU, memory, storage, and networking resources. KVM and XEN are used to represent hypervisor-based virtualization, and LXC and Docker for container-based platforms. The systems were evaluated with respect to several cloud resource management dimensions including performance, isolation, resource usage, energy efficiency, start-up time, and density. Our study is useful both to practitioners to understand the current state of the technology in order to make the right decision in the selection, operation and/or design of platforms and to scholars to illustrate how these technologies evolved over time.</t>
  </si>
  <si>
    <t>performance; containers; power; isolation; resource usage; virtualization overhead; VMS</t>
  </si>
  <si>
    <t>JPE2GTE8</t>
  </si>
  <si>
    <t>Sampedro, Zebula; Holt, Aaron; Hauser, Thomas</t>
  </si>
  <si>
    <t>Continuous Integration and Delivery for HPC: Using Singularity and Jenkins</t>
  </si>
  <si>
    <t>Proceedings of the Practice and Experience on Advanced Research Computing: Seamless Creativity</t>
  </si>
  <si>
    <t>978-1-4503-6446-1</t>
  </si>
  <si>
    <t>10.1145/3219104.3219147</t>
  </si>
  <si>
    <t>https://doi.org/10.1145/3219104.3219147</t>
  </si>
  <si>
    <t>PEARC '18</t>
  </si>
  <si>
    <t>event-place: Pittsburgh, PA, USA</t>
  </si>
  <si>
    <t>Continuous integration, delivery, and deployment (CICD) is widely used in DevOps communities, as it allows for teams of all sizes to deploy rapidly-changing hardware and software resources quickly and confidently. In this paper, we will describe how University of Colorado Boulder Research Computing has adopted these practices on the RMACC Summit supercomputer [17] to allow system engineers and researchers alike to capitalize on the benefits of CICD-centric development workflows. We will introduce the topic of CICD at a high level and describe how such practices can ease common software management challenges for High-Performance Computing (HPC) resources. We will then document the infrastructure deployed for Summit, and explain how software such as Jenkins and Singularity enabled adaptation for an HPC environment. We will conclude with two case studies discussing the use of our CICD infrastructure: one case study from the perspective of a system engineer maintaining user-facing resources, and the other case study from the perspective of a researcher developing, maintaining, and using the MFiX-Exa codebase.</t>
  </si>
  <si>
    <t>containers; continuous delivery; continuous deployment; continuous integration; MFIX-Exa; Singularity; software automation; software builds</t>
  </si>
  <si>
    <t>6RDIVRXX</t>
  </si>
  <si>
    <t>Li, Xiaojuan; Zhang, Yu; Zhu, Zhengyan; Yao, Yuan; Zhou, Xingshe</t>
  </si>
  <si>
    <t>UbiCap: A Capability-based Run-time Model for Heterogeneous Sensors Management in Ubiquitous Operating System</t>
  </si>
  <si>
    <t>Proceedings of the 14th Asia-Pacific Symposium on Internetware</t>
  </si>
  <si>
    <t>979-8-4007-0894-7</t>
  </si>
  <si>
    <t>10.1145/3609437.3609448</t>
  </si>
  <si>
    <t>https://doi.org/10.1145/3609437.3609448</t>
  </si>
  <si>
    <t>134‚Äì143</t>
  </si>
  <si>
    <t>Internetware '23</t>
  </si>
  <si>
    <t>event-place: Hangzhou, China</t>
  </si>
  <si>
    <t>The Ubiquitous Operating System(UOS) is a new type of operating system in response to the new patterns and scenarios of future human-cyber-physical ternary ubiquitous computing. Compared with traditional operating systems, one of the fundamental requirements of UOS is to adaptively manage numerous heterogeneous sensors according to dynamic environments and diverse tasks. However, traditional management focuses on the sensors‚Äô parameters and interfaces without highlighting the perception effect that is users‚Äô concern and dynamic changing. It also lacks a unified management approach for heterogeneous sensors. To overcome the limitations, we propose a novel heterogeneous sensors dynamic management model UbiCap, i.e., Ubiquitous Capability, which is based on the capability abstraction and adaptive run-time capability management mechanism. The capability provides a unified abstract for heterogeneous sensors. The adaptive run-time capability management mechanism transfers the management object from low-level hardware sensors to high-level sensing capability. The capability required and the available capability are matched to support run-time adaptive sensors selection. We implement a software prototype iS2ROS(intelligent Sensor Selection Robot Operating System) based on the UbiCap model. We then simulate a forest fire spot monitoring scenario where iS2ROS selects the optimal image sensor during the identification task execution while light or weather condition changes. Experiment results show that the iS2ROS achieves comparative sensing effectiveness through UbiCap with 50% power consumption lower compared to the traditional both-sensors approach.</t>
  </si>
  <si>
    <t>adaptive; Capability; Heterogeneous Sensors Management; run-time; Ubiquitous Operating System</t>
  </si>
  <si>
    <t>2FF54VYY</t>
  </si>
  <si>
    <t>Siavvas, Miltiadis; Tsoukalas, Dimitrios; Marantos, Charalampos; Tsintzira, Angeliki-Agathi; Jankovic, Marija; Soudris, Dimitrios; Chatzigeorgiou, Alexander; Kehagias, Dionysios</t>
  </si>
  <si>
    <t>The SDK4ED Platform for Embedded Software Quality Improvement - Preliminary Overview</t>
  </si>
  <si>
    <t>Computational Science and Its Applications ‚Äì ICCSA 2020: 20th International Conference, Cagliari, Italy, July 1‚Äì4, 2020, Proceedings, Part IV</t>
  </si>
  <si>
    <t>978-3-030-58810-6</t>
  </si>
  <si>
    <t>10.1007/978-3-030-58811-3_73</t>
  </si>
  <si>
    <t>https://doi.org/10.1007/978-3-030-58811-3_73</t>
  </si>
  <si>
    <t>1035‚Äì1050</t>
  </si>
  <si>
    <t>event-place: Cagliari, Italy</t>
  </si>
  <si>
    <t>Maintaining high level of quality with respect to important quality attributes is critical for the success of modern software applications. Hence, appropriate tooling is required to help developers and project managers monitor and optimize software quality throughout the overall Software Development Lifecycle (SDLC). Moreover, embedded software engineers and developers need support to manage complex interdependencies and inherent trade-offs between design and run-time qualities. To this end, in an attempt to address these issues, we are developing the SDK4ED Platform as part of the ongoing EU-funded SDK4ED project, a software quality system that enables the monitoring and optimization of software quality, with emphasis on embedded software. The purpose of this technical paper is to provide an overview of the SDK4ED Platform and present the main novel functionalities that have been implemented within the platform until today.</t>
  </si>
  <si>
    <t>Software quality; Verification and validation</t>
  </si>
  <si>
    <t>DNEP97G4</t>
  </si>
  <si>
    <t>Carlinet, Yannick; Perrot, Nancy; Valeyre, Laurent; Wary, Jean-Philippe; Bocianiak, Krzysztof; Niewolski, Wojciech; Podlasek, Aleksandra</t>
  </si>
  <si>
    <t>Latency-Sensitive Service Chaining with Isolation Constraints</t>
  </si>
  <si>
    <t>10.1145/3642975.3678962</t>
  </si>
  <si>
    <t>https://doi.org/10.1145/3642975.3678962</t>
  </si>
  <si>
    <t>8‚Äì13</t>
  </si>
  <si>
    <t>Multi-access Edge Computing (MEC) is one of the key enablers in 6G. By offering computing capabilities near the end users, it enables lower environmental impact, higher end-to-end latency, higher resiliency, among others. It is also a critical part in the Cloud-Edge-IoT continuum. However, the deployment of services in the edge poses some security challenges. This work aims at solving orchestration issues, such as how to deal with service deployment while meeting service-specific requirements, while at the same time meeting isolation requirements, in a multi-cluster environment. Our algorithm is estimated to be around 20% better than the baseline, while at the same time offering guarantees on the communication latency and isolation requirements, which the baseline cannot offer. We were able to build an orchestration engine, with an advanced algorithm to compute optimal placement of microservices, integrated in a state-of-art emulation platform, with industry best practice. This demonstrates the feasibility in practice and efficiency of our approach.</t>
  </si>
  <si>
    <t>Edge Computing; Latency-sensitive Service; Multi-Edge Computing; Security Isolation; Service Chaining</t>
  </si>
  <si>
    <t>HERRS2B2</t>
  </si>
  <si>
    <t>Yahya, Jawad Haj; Volos, Haris; Bartolini, Davide B.; Antoniou, Georgia; Kim, Jeremie S.; Wang, Zhe; Kalaitzidis, Kleovoulos; Rollet, Tom; Chen, Zhirui; Geng, Ye; Mutlu, Onur; Sazeides, Yiannakis</t>
  </si>
  <si>
    <t>AgileWatts: An Energy-Efficient CPU Core Idle-State Architecture for Latency-Sensitive Server Applications</t>
  </si>
  <si>
    <t>10.1109/MICRO56248.2022.00063</t>
  </si>
  <si>
    <t>https://doi.org/10.1109/MICRO56248.2022.00063</t>
  </si>
  <si>
    <t>835‚Äì850</t>
  </si>
  <si>
    <t>User-facing applications running in modern datacenters exhibit irregular request patterns and are implemented using a multitude of services with tight latency requirements (30‚Äì250Œºs). These characteristics render existing energy-conserving techniques ineffective when processors are idle due to the long transition time (order of 100Œºs) from a deep CPU core idle power state (C-state). While prior works propose management techniques to mitigate this inefficiency, we tackle it at its root with AgileWatts (AW): a new deep CPU core C-state architecture optimized for datacenter server processors targeting latency-sensitive applications.AW drastically reduces the transition latency from deep CPU core idle power states while retaining most of their power savings based on three key ideas. First, AW eliminates the latency (several microseconds) of saving/restoring the core context when powering-off/-on the core in a deep idle state by i) implementing medium-grained power-gates, carefully distributed across the CPU core, and ii) retaining context in the power-ungated domain. Second, AW eliminates the flush latency (several tens of microseconds) of the L1/L2 caches when entering a deep idle state by keeping L1/L2 content power-ungated. A small control logic also remains ungated to serve cache coherence traffic. AW implements cache sleep-mode and leakage reduction for the power-ungated domain by lowering a core's voltage to the minimum operational level. Third, using a state-of-the-art power efficient all-digital phase-locked loop (ADPLL) clock generator, AW keeps the PLL active and locked during the idle state, cutting microseconds of wake-up latency at negligible power cost.Our evaluation with an accurate industrial-grade simulator calibrated against an Intel Skylake server shows that AW reduces the energy consumption of Memcached by up to 71% (35% on average) with &amp;lt;1% end-to-end performance degradation. We observe similar trends for other evaluated services (MySQL and Kafka). AW's new deep C-states C6A and C6AE reduce transition-time by up to 900√ó as compared to the deepest existing idle state C6, while consuming only 7% and 5% of the active state (C0) power, respectively.</t>
  </si>
  <si>
    <t>RHUMCMV2</t>
  </si>
  <si>
    <t>Moussa, Mohamad; Glass, Philippe; Abdennahder, Nabil; Di Marzo Serugendo, Giovanna; Couturier, Rapha√´l</t>
  </si>
  <si>
    <t>Towards a&amp;nbsp;Decentralised Federated Learning Based Compute Continuum Framework</t>
  </si>
  <si>
    <t>Service-Oriented and Cloud Computing: 10th IFIP WG 6.12 European Conference, ESOCC 2023, Larnaca, Cyprus, October 24‚Äì25, 2023, Proceedings</t>
  </si>
  <si>
    <t>978-3-031-46234-4</t>
  </si>
  <si>
    <t>10.1007/978-3-031-46235-1_14</t>
  </si>
  <si>
    <t>https://doi.org/10.1007/978-3-031-46235-1_14</t>
  </si>
  <si>
    <t>219‚Äì230</t>
  </si>
  <si>
    <t>event-place: Larnaca, Cyprus</t>
  </si>
  <si>
    <t>The proliferation of sensing device technologies, and the growing demand for data intensive IoT applications calls for a seamless interconnection of IoT, edge and cloud resources in one computing system, to form a Compute Continuum, also referred to as edge-to-cloud.This paper targets self-adaptive Machine Learning applications that rely on data coming from IoT sensors. These applications are often ‚Äúcontext-aware‚Äù, with high context sensitivity, different physical settings and complex usage patterns. Their intelligence, deployed on the edge, is updated on the fly.We present two Compute Continuum strategies for the deployment of such applications: (1) a centralised approach, which involves training a model on a centralised server, and (2) a decentralised approach using Federated Learning. The former approach involves centralising data from multiple sources onto a single server, while the latter locally decentralises both the training process and the aggregation and communication tasks across edge devices. In both cases the inference model is deployed on edge devices close to the collected data. The decentralised architecture relies on a coordination platform favouring self-adaptation and decentralised Federated Learning. Results show that the decentralised Federated Learning approach offers networking performances and privacy-preserving advantages compared to non-private centralised models, with a slight trade-off in prediction accuracy. According to our simulations, the deployment cost of the decentralised architecture is much lower than that of deployment on the centralised architecture.</t>
  </si>
  <si>
    <t>Edge; Cloud; Compute Continuum; Coordination model; Federated Learning; Self-Adaptive IoT applications</t>
  </si>
  <si>
    <t>JWHIA5PE</t>
  </si>
  <si>
    <t>Bosak, T.; Jantos, P.; Boryczko, K.</t>
  </si>
  <si>
    <t>Simulation of a big number of microservices in a highly distributed vast network</t>
  </si>
  <si>
    <t>Proceedings of the 16th EAI International Conference on Mobile and Ubiquitous Systems: Computing, Networking and Services</t>
  </si>
  <si>
    <t>978-1-4503-7283-1</t>
  </si>
  <si>
    <t>10.1145/3360774.3360790</t>
  </si>
  <si>
    <t>https://doi.org/10.1145/3360774.3360790</t>
  </si>
  <si>
    <t>378‚Äì386</t>
  </si>
  <si>
    <t>MobiQuitous '19</t>
  </si>
  <si>
    <t>event-place: Houston, Texas, USA</t>
  </si>
  <si>
    <t>The rapidly increasing number of instances and types of services, especially microservices, and the growing complexity of systems create uncertainty if the existing algorithms and solutions for such problems as service discovery or load balancing are still the case. Building a huge infrastructure for the verification purposes is often too costly and impractical in the production environment therefore it is necessary to find other ways to test architectural approaches and algorithms. One of them is simulators. For simulating very big systems like a telecommunications radio access network the simulator should have certain features: capability of simulating a huge number of services, possibility to model heterogenic and vast network, facility to add a new type of services and logic. This paper presents a concept of such a simulator of services.</t>
  </si>
  <si>
    <t>microservices; service discovery; simulation; edge cloud</t>
  </si>
  <si>
    <t>KJDXPW8G</t>
  </si>
  <si>
    <t>Hou, Xiaofeng; Liu, Jiacheng; Li, Chao; Guo, Minyi</t>
  </si>
  <si>
    <t>Unleashing the Scalability Potential of Power-Constrained Data Center in the Microservice Era</t>
  </si>
  <si>
    <t>Proceedings of the 48th International Conference on Parallel Processing</t>
  </si>
  <si>
    <t>978-1-4503-6295-5</t>
  </si>
  <si>
    <t>10.1145/3337821.3337857</t>
  </si>
  <si>
    <t>https://doi.org/10.1145/3337821.3337857</t>
  </si>
  <si>
    <t>ICPP '19</t>
  </si>
  <si>
    <t>event-place: Kyoto, Japan</t>
  </si>
  <si>
    <t>Recent scale-out cloud services have undergone a shift from monolithic applications to microservices by putting each functionality into lightweight software containers. Although traditional data center power optimization frameworks excel at per-server or per-rack management, they can hardly make informed decisions when facing microservices that have different QoS requirements on a per-service basis. In a power-constrained data center, blindly budgeting power usage could lead to a power unbalance issue: microservices on the critical path may not receive adequate power budget. This unavoidably hinders the growth of cloud productivity.To unleash the performance potential of cloud in the microservice era, this paper investigates microservice-aware data center resource management. We model microservice using a bipartite graph and propose a metric called microservice criticality factor (MCF) to measure the overall impact of performance scaling on a microservice from the whole application's perspective. We further devise ServiceFridge, a novel system framework that leverages MCF to jointly orchestrate software containers and control hardware power demand. Our detailed case study on a practical microservice application demonstrates that ServiceFridge allows data center to reduce its dynamic power by 25% with slight performance loss. It improves the mean response time by 25.2% and improves the 90th tail latency by 18.0% compared with existing schemes.</t>
  </si>
  <si>
    <t>ANESVB3I</t>
  </si>
  <si>
    <t>Carrusca, Andr√©; Gomes, Maria Cec√≠lia; Leit√£o, Jo√£o</t>
  </si>
  <si>
    <t>Microservices Management on Cloud/Edge Environments</t>
  </si>
  <si>
    <t>Service-Oriented Computing ‚Äì ICSOC 2019 Workshops: WESOACS, ASOCA, ISYCC, TBCE, and STRAPS, Toulouse, France, October 28‚Äì31, 2019, Revised Selected Papers</t>
  </si>
  <si>
    <t>978-3-030-45988-8</t>
  </si>
  <si>
    <t>10.1007/978-3-030-45989-5_8</t>
  </si>
  <si>
    <t>https://doi.org/10.1007/978-3-030-45989-5_8</t>
  </si>
  <si>
    <t>95‚Äì108</t>
  </si>
  <si>
    <t>event-place: Toulouse, France</t>
  </si>
  <si>
    <t>The microservices architecture is a promising approach for application development, deployment, and evolution, both on cloud and emerging fog/edge platforms. Microservices‚Äô single functionality, small size, and independent development/deployment support faster and cheaper scaling of pressing functionalities on cloud systems. They support applications‚Äô evolution via service reuse and smooth service modification/inclusion. Individual or sets of inter-related services may also be dynamically deployed onto resource-restricted nodes closer to end devices and data sources, which are typical of fog/edge computational platforms. The resulting system is very complex and impossible to be adequately managed manually. This work presents an automatic solution for microservices‚Äô deployment/replication in the fog/edge, adapting the system according to the runtime evaluation of client accesses and resource usage. The evaluation validates the adaptability and performance gains.</t>
  </si>
  <si>
    <t>Cloud and fog/edge computing; Microservices architecture; Self-adaptable applications</t>
  </si>
  <si>
    <t>7JQ4AXAP</t>
  </si>
  <si>
    <t>Muccini, Henry; Spalazzese, Romina; Moghaddam, Mahyar T.; Sharaf, Mohammad</t>
  </si>
  <si>
    <t>Self-adaptive IoT architectures: an emergency handling case study</t>
  </si>
  <si>
    <t>Proceedings of the 12th European Conference on Software Architecture: Companion Proceedings</t>
  </si>
  <si>
    <t>978-1-4503-6483-6</t>
  </si>
  <si>
    <t>10.1145/3241403.3241424</t>
  </si>
  <si>
    <t>https://doi.org/10.1145/3241403.3241424</t>
  </si>
  <si>
    <t>ECSA '18</t>
  </si>
  <si>
    <t>Along with the rapid growth of IoT technologies and devices, their solutions are currently being applied on various domains such as health-care, transportation and agriculture, but mainly on crowd monitoring and emergency handling. The latter is a safety critical IoT system based on collecting and analyzing the real-time data to perform proper actuation. In order to engineer such a high quality IoT application, a proper software architecture should be designed. In order for the software architecture to be able to optimize critical requirements such as fault-tolerance, performance and energy consumption, it ought to: i) adapt itself to real-time environment transformation, ii) be designed in a proper level of elements distribution. In this paper, we critically analyze a set of IoT distribution and self-adaptation patterns to identify their suitable architectural combinations. Further, we use our IoT modeling framework (CAPS) to model an emergency handling system. Based on these, we design two quality driven architectures to be used for a forest monitoring and evacuation example and qualitatively evaluate and compare them.</t>
  </si>
  <si>
    <t>self-adaptation; IoT; architectural patterns and styles; quality attributes; urban security</t>
  </si>
  <si>
    <t>Y85IBBZD</t>
  </si>
  <si>
    <t>Dias, Jo√£o Pedro; Sousa, Tiago Boldt; Restivo, Andr√©; Ferreira, Hugo Sereno</t>
  </si>
  <si>
    <t>A Pattern-Language for Self-Healing Internet-of-Things Systems</t>
  </si>
  <si>
    <t>10.1145/3424771.3424804</t>
  </si>
  <si>
    <t>https://doi.org/10.1145/3424771.3424804</t>
  </si>
  <si>
    <t>Internet-of-Things systems are assemblies of highly-distributed and heterogeneous parts that, in orchestration, work to provide valuable services to end-users in many scenarios. These systems depend on the correct operation of sensors, actuators, and third-party services, and the failure of a single one can hinder the proper functioning of the whole system, making error detection and recovery of paramount importance, but often overlooked. By drawing inspiration from other research areas, such as cloud, embedded, and mission-critical systems, we present a set of patterns for self-healing IoT systems. We discuss how their implementation can improve system reliability by providing error detection, error recovery, and health mechanisms maintenance.</t>
  </si>
  <si>
    <t>fault-tolerance; internet-of-things; patterns; self-healing</t>
  </si>
  <si>
    <t>JL6V525G</t>
  </si>
  <si>
    <t>Neatu, Darius-Florentin; Stochitoiu, Radu-Dumitru; Postoaca, Andrei-Vlad; Filip, Ion-Dorinel; Pop, Florin</t>
  </si>
  <si>
    <t>My cloudy time machine: a scalable microservice-based platform for data processing in cloud-edge systems: a proof of concept for the ROBIN-cloud project</t>
  </si>
  <si>
    <t>Proceedings of the 34th ACM/SIGAPP Symposium on Applied Computing</t>
  </si>
  <si>
    <t>978-1-4503-5933-7</t>
  </si>
  <si>
    <t>10.1145/3297280.3297427</t>
  </si>
  <si>
    <t>https://doi.org/10.1145/3297280.3297427</t>
  </si>
  <si>
    <t>1451‚Äì1458</t>
  </si>
  <si>
    <t>SAC '19</t>
  </si>
  <si>
    <t>As Cloud computing is a very well developed domain, many companies tend to move their entire activity in Cloud. At the same time, there is a tendency to move some of the data processing from Cloud to Edge as close as possible to the end devices. One main advantage of this approach is minimizing the latency in communication between the end devices and Cloud. Better usage of on premise devices is also a good achievement of the Edge offload. In this paper, we propose an architecture for applications that are connected to ROBIN-Cloud or to a general Cloud. We present how we have encapsulated Python-based microservices in Docker containers. We provide an implementation for the My Cloudy Time Machine application - GIGEL (Guided Intelligent GEared Legend), a nearby autonomous assistive robot. We use this prototype to evaluate the scalability of the proposed architecture. We also present results that show how to gain high performance by tuning a container-based embedded system.</t>
  </si>
  <si>
    <t>cloud computing; microservices; edge computing; auto-scalability; data processing</t>
  </si>
  <si>
    <t>NSM4L3PK</t>
  </si>
  <si>
    <t>Gilgur, Alexander; Coutinho, Brian; Narayanan, Iyswarya; Malani, Parth</t>
  </si>
  <si>
    <t>Transitive Power Modeling for Improving Resource Efficiency in a Hyperscale Datacenter</t>
  </si>
  <si>
    <t>Companion Proceedings of the Web Conference 2021</t>
  </si>
  <si>
    <t>978-1-4503-8313-4</t>
  </si>
  <si>
    <t>10.1145/3442442.3452057</t>
  </si>
  <si>
    <t>https://doi.org/10.1145/3442442.3452057</t>
  </si>
  <si>
    <t>182‚Äì191</t>
  </si>
  <si>
    <t>WWW '21</t>
  </si>
  <si>
    <t>event-place: Ljubljana, Slovenia</t>
  </si>
  <si>
    <t>Maintaining efficient utilization of allocated compute resources and controlling their capital and operating expenditure is important for running a hyperscale datacenter infrastructure. Power is one of the most constrained and difficult to manage resources in datacenters. Accurate accounting of power usage across clients of multi-tenant web services can improve budgeting, planning and provisioning of compute resources. In this work, we propose a queuing theory based transitive power modeling framework that estimates the total power cost of a client request across the stack of shared services running in Facebook datacenters. By capturing the non-linearity of power vs load relation, our model is able to estimate marginal change in power consumption of a system upon serving a request with a mean error of less than 4% when applied on production services. In view of the fact that datacenter capacity is planned for peak demand, we test this model at peak load to report up to 2x improvement in accuracy compared to a mathematical model. We further leverage this framework along with a distributed tracing system to estimate power demand shift for serving particular product features within fraction of a percentage and guide the decision to shift their computation at off-peak time.</t>
  </si>
  <si>
    <t>cpu; power; scalability; time shifting; transitive; utilization</t>
  </si>
  <si>
    <t>2UFRLVDQ</t>
  </si>
  <si>
    <t>Gunasekaran, Jashwant Raj; Thinakaran, Prashanth; Nachiappan, Nachiappan C.; Kandemir, Mahmut Taylan; Das, Chita R.</t>
  </si>
  <si>
    <t>Fifer: Tackling Resource Underutilization in the Serverless Era</t>
  </si>
  <si>
    <t>Proceedings of the 21st International Middleware Conference</t>
  </si>
  <si>
    <t>978-1-4503-8153-6</t>
  </si>
  <si>
    <t>10.1145/3423211.3425683</t>
  </si>
  <si>
    <t>https://doi.org/10.1145/3423211.3425683</t>
  </si>
  <si>
    <t>280‚Äì295</t>
  </si>
  <si>
    <t>Middleware '20</t>
  </si>
  <si>
    <t>Datacenters are witnessing a rapid surge in the adoption of serverless functions for microservices-based applications. A vast majority of these microservices typically span less than a second, have strict SLO requirements, and are chained together as per the requirements of an application. The aforementioned characteristics introduce a new set of challenges, especially in terms of container provisioning and management, as the state-of-the-art resource management frameworks, employed in serverless platforms, tend to look at microservice-based applications similar to conventional monolithic applications. Hence, these frameworks suffer from microservice agnostic scheduling and colossal container over-provisioning, especially during workload fluctuations, thereby resulting in poor resource utilization.In this work, we quantify the above shortcomings using a variety of workloads on a multi-node cluster managed by the Kubernetes and Brigade serverless framework. To address them, we propose Fifer ‚Äî an adaptive resource management framework to efficiently manage function-chains on serverless platforms. The key idea is to make Fifer (i) utilization conscious by efficiently bin packing jobs to fewer containers using function-aware container scaling and intelligent request batching, and (ii) at the same time, SLO-compliant by proactively spawning containers to avoid cold-starts, thus minimizing the overall response latency. Combining these benefits, Fifer improves container utilization and cluster-wide energy consumption by 4√ó and 31%, respectively, without compromising on SLO's, when compared to the state-of-the-art schedulers employed by serverless platforms.</t>
  </si>
  <si>
    <t>scheduling; serverless; resource-management; queuing</t>
  </si>
  <si>
    <t>BV4DESPN</t>
  </si>
  <si>
    <t>Alho, Riku; Raatikainen, Mikko; Myllyaho, Lalli; Nurminen, Jukka K.</t>
  </si>
  <si>
    <t>On Modularity of&amp;nbsp;Neural Networks: Systematic Review and&amp;nbsp;Open Challenges</t>
  </si>
  <si>
    <t>10.1007/978-3-031-66459-5_2</t>
  </si>
  <si>
    <t>https://doi.org/10.1007/978-3-031-66459-5_2</t>
  </si>
  <si>
    <t>18‚Äì36</t>
  </si>
  <si>
    <t>Modularity is used to manage the complexity of monolithic software systems and is a de facto practice in software engineering. Similar modularity concepts might also translate beneficially to machine learning, uncovering equivalent benefits, such as reuse opportunities. We address the research problem of modular neural networks‚Äô (MNNs) applicability, operations, and comparability to monolithic solutions. A systematic literature review is used to identify 86 studies that provide information regarding modularity compared to monolithic solutions. The selected studies address many tasks and domains, evidencing broad applicability, although applied modularity operations are limited mainly to splitting. Nearly two-thirds of studies show improvements in task accuracy compared to monolithic solutions. Only 16% of studies report performance values in their comparisons, but 82% report MNN performance benefits in training and inference time, memory, and energy consumption compared to monolithic solutions. However, publication bias can favor MNNs, and most studies were conducted in laboratory environments on focused tasks and static requirements. Nevertheless, we conclude that MNNs perform at least satisfactorily compared to monolithic solutions. Modularity can bring forth benefits for managing complexity and has the potential for development and operations performance efficiency. Therefore, modularity in neural networks opens research avenues for extending software reuse, especially regarding broadening the applicability of advanced solutions and experiences from long-term or industrial applications and use.</t>
  </si>
  <si>
    <t>deep learning; systematic literature review; modular neural networks; modularity</t>
  </si>
  <si>
    <t>4YF3F6NQ</t>
  </si>
  <si>
    <t>Gaggero, Massimo; Busonera, Giovanni; Pireddu, Luca; Zanetti, Gianluigi</t>
  </si>
  <si>
    <t>TDM Edge Gateway: A Flexible Microservice-Based Edge Gateway Architecture for Heterogeneous Sensors</t>
  </si>
  <si>
    <t>Euro-Par 2019: Parallel Processing Workshops: Euro-Par 2019 International Workshops, G√∂ttingen, Germany, August 26‚Äì30, 2019, Revised Selected Papers</t>
  </si>
  <si>
    <t>978-3-030-48339-5</t>
  </si>
  <si>
    <t>10.1007/978-3-030-48340-1_10</t>
  </si>
  <si>
    <t>https://doi.org/10.1007/978-3-030-48340-1_10</t>
  </si>
  <si>
    <t>124‚Äì135</t>
  </si>
  <si>
    <t>event-place: G√∂ttingen, Germany</t>
  </si>
  <si>
    <t>How to effectively handle heterogeneous data sources is one of the main challenges in the design of large-scale research computing platforms to collect, analyze and integrate data from IoT sensors. The platform must seamlessly support the integration of myriads of data formats and communication protocols, many being introduced after the platform has been deployed. Edge gateways, devices deployed at the edge of the network near the sensors, communicate with measurement stations using their proper protocol, receive and translate the messages to a standardized format, forward the data to the processing platform and provide local data buffering and preprocessing. In this work we present the TDM Edge Gateway architecture, which we have developed to be used in research contexts to meet the requirements of being self-built, low-cost, and compatible with current or future connected sensors.The architecture is based on a microservice-oriented design implemented with software containerization and leverages publish/subscribe Inter Process Communication to ensure modularity and resiliency. Costs and construction simplicity are ensured by adopting the popular Raspberry Pi Single Board Computer. The resulting platform is lean, flexible and easy to expand and integrate. It does not pose constraints on programming languages to use and relies on standard protocols and data models.</t>
  </si>
  <si>
    <t>Edge computing; Embedded; FIWARE; Sensor networks</t>
  </si>
  <si>
    <t>EDFBWZUP</t>
  </si>
  <si>
    <t>Ren, Haoyu; Anicic, Darko; Runkler, Thomas A.</t>
  </si>
  <si>
    <t>The synergy of complex event processing and tiny machine learning in industrial IoT</t>
  </si>
  <si>
    <t>Proceedings of the 15th ACM International Conference on Distributed and Event-Based Systems</t>
  </si>
  <si>
    <t>978-1-4503-8555-8</t>
  </si>
  <si>
    <t>10.1145/3465480.3466928</t>
  </si>
  <si>
    <t>https://doi.org/10.1145/3465480.3466928</t>
  </si>
  <si>
    <t>126‚Äì135</t>
  </si>
  <si>
    <t>DEBS '21</t>
  </si>
  <si>
    <t>event-place: Virtual Event, Italy</t>
  </si>
  <si>
    <t>Focusing on comprehensive networking, the Industrial Internet-of-Things (IIoT) facilitates efficiency and robustness in factory operations. Various intelligent sensors play a central role, as they generate a vast amount of real-time data that can provide insights into manufacturing. Complex event processing (CEP) and machine learning (ML) have been developed actively in the last years in IIoT to identify patterns in heterogeneous data streams and fuse raw data into tangible facts. In a traditional compute-centric paradigm, the raw field data are continuously sent to the cloud and processed centrally. As IIoT devices become increasingly pervasive, concerns are raised since transmitting such an amount of data is energy-intensive, vulnerable to be intercepted, and subjected to high latency. Decentralized on-device ML and CEP provide a solution where data is processed primarily on edge devices. Thus communications can be minimized. However, this is no mean feat because most IIoT edge devices are resource-constrained with low power consumption. This paper proposes a framework that exploits ML and CEP's synergy at the edge in distributed sensor networks. By leveraging tiny ML and ŒºCEP, we now shift the computation from the cloud to the resource-constrained IIoT devices and allow users to adapt on-device ML models and CEP reasoning rules flexibly on the fly. Lastly, we demonstrate the proposed solution and show its effectiveness and feasibility using an industrial use case of machine safety monitoring.</t>
  </si>
  <si>
    <t>industrial IoT; complex event processing; tiny machine learning</t>
  </si>
  <si>
    <t>6WYCE5T8</t>
  </si>
  <si>
    <t>Matz, Alexandra; G√∂tz, Clarissa</t>
  </si>
  <si>
    <t>Designing Human-Centered Interactions for Smart Environments Based on Heterogeneous, Interrelated Systems: A User Research Method for the ‚ÄúAge of Services‚Äù (URSERVe)</t>
  </si>
  <si>
    <t>Design, User Experience, and Usability. Design for Contemporary Interactive Environments: 9th International Conference, DUXU 2020, Held as Part of the 22nd HCI International Conference, HCII 2020, Copenhagen, Denmark, July 19‚Äì24, 2020, Proceedings, Part II</t>
  </si>
  <si>
    <t>978-3-030-49759-0</t>
  </si>
  <si>
    <t>10.1007/978-3-030-49760-6_7</t>
  </si>
  <si>
    <t>https://doi.org/10.1007/978-3-030-49760-6_7</t>
  </si>
  <si>
    <t>99‚Äì116</t>
  </si>
  <si>
    <t>event-place: Copenhagen, Denmark</t>
  </si>
  <si>
    <t>Heterogeneous, interrelated systems leveraging the Internet of Things (IoT) in smart environments such as a smart factory or smart city, pose many challenges for software design and development. Capturing and addressing the human needs is one of them and designing the interactions within smart applications is another. There are several reasons for this, for example diverse personas for both human as well as digital actors, a large variety of usage scenarios, a vast number of data exchange protocols, as well as data privacy and ethical concerns.On top of this, the service-based architecture of smart environments has widened the gap between software development teams and their end users. Services are highly modular, decoupled units of application logic, developed for specific task units and as such they are one or even several hierarchy layers removed from the business logic of main applications, and, in consequence, from the applications‚Äô users. Therefore, in our experience, service development groups often refrain from identifying their users and doing any kind of user research at all. The reasoning being that, because their services will only be used by applications or other services, and not directly by human or non-human users, these users cannot be identified at all or are of no importance. This paper proposes a bidirectional, complementary method to approach user research for smart environments, such as smart cities. It describes how service development teams can reach beyond the applications which consume their service to the users of these consuming apps and how, at the same time, the smart city projects can reap the benefits of the technological expertise that resides in the service development groups. Ultimately, the method helps to create a shared knowledge base which arguably fosters innovation within an organization responsible for the design, development and operation of smart environments.</t>
  </si>
  <si>
    <t>Microservices; Smart cities; Services; Human-centered design; Knowledge management; Smart environments; Smart factory; User centered design; User experience; User research</t>
  </si>
  <si>
    <t>FLKUM6I6</t>
  </si>
  <si>
    <t>Nakamura, Kiyoshy; Manzoni, Pietro; Zennaro, Marco; Cano, Juan-Carlos; Calafate, Carlos T.; Cecilia, Jos√© M.</t>
  </si>
  <si>
    <t>FUDGE: a frugal edge node for advanced IoT solutions in contexts with limited resources</t>
  </si>
  <si>
    <t>Proceedings of the 1st Workshop on Experiences with the Design and Implementation of Frugal Smart Objects</t>
  </si>
  <si>
    <t>978-1-4503-8078-2</t>
  </si>
  <si>
    <t>10.1145/3410670.3410857</t>
  </si>
  <si>
    <t>https://doi.org/10.1145/3410670.3410857</t>
  </si>
  <si>
    <t>30‚Äì35</t>
  </si>
  <si>
    <t>FRUGALTHINGS'20</t>
  </si>
  <si>
    <t>The growing connection between the Internet of Things (IoT) and Artificial Intelligence (AI) poses many challenges that require novel approaches and even a rethinking of the entire communication and processing architecture to meet new requirements for latency, reliability, power consumption and resource usage. Edge computing is a promising approach to meet these challenges that can also be beneficial in delivering advanced AI-based IoT solutions in areas where connectivity is scarce and resources are generally limited.In this paper, we introduce an edge/fog generic architecture to allow the adoption of edge solutions in IoT deployments in poorly connected and resource limited scenarios. To this end, we integrate, using microservices, an MQTT based system that can collect ingress data, handle their persistency, and coordinate data integration with the cloud using a specific service called aggregator. The edge stations have a dedicated channel with the aggregator based on LoRa to enable long-range transmissions with low power consumption. Some details of the implementation aspects are described along with some preliminary results. Initial testing of the architecture indicates that it is flexible and robust enough to become an alternative for the deployment of advanced IoT services in resource-constrained contexts.</t>
  </si>
  <si>
    <t>AI; IoT; Edge computing; LoRa</t>
  </si>
  <si>
    <t>XUX2LJBM</t>
  </si>
  <si>
    <t>Balicki, Jerzy; Balicka, Honorata; Dryja, Piotr; Tyszka, Maciej</t>
  </si>
  <si>
    <t>Multi-criteria Differential Evolution for Optimization of Virtual Machine Resources in Smart City Cloud</t>
  </si>
  <si>
    <t>Computer Information Systems and Industrial Management: 19th International Conference, CISIM 2020, Bialystok, Poland, October 16‚Äì18, 2020, Proceedings</t>
  </si>
  <si>
    <t>978-3-030-47678-6</t>
  </si>
  <si>
    <t>10.1007/978-3-030-47679-3_28</t>
  </si>
  <si>
    <t>https://doi.org/10.1007/978-3-030-47679-3_28</t>
  </si>
  <si>
    <t>332‚Äì344</t>
  </si>
  <si>
    <t>event-place: Bialystok, Poland</t>
  </si>
  <si>
    <t>In a smart city, artificial intelligence tools support citizens and urban services. From the user point of view, smart applications should bring computing to the edge of the cloud, closer to citizens with short latency. However, from the cloud designer point of view, the trade-off between cost, energy and time criteria requires the Pareto solutions. Therefore, the proposed multi-criteria differential evolution can optimize virtual machine resources in smart city clouds to find compromises between preferences of citizens and designers. In this class of distributed computer systems, smart mobile devices share computing workload with the set of virtual machines that can be migrated among the nodes of the cloud. Finally, some numerical results are studied for the laboratory cloud GUT-WUT.</t>
  </si>
  <si>
    <t>Artificial intelligence; Differential evolution; Smart city</t>
  </si>
  <si>
    <t>KFXXH7V7</t>
  </si>
  <si>
    <t>pastor, Jonathan; Menaud, Jean Marc</t>
  </si>
  <si>
    <t>SeDuCe: Toward a testbed for research on thermal and power management in datacenters</t>
  </si>
  <si>
    <t>Proceedings of the Ninth International Conference on Future Energy Systems</t>
  </si>
  <si>
    <t>978-1-4503-5767-8</t>
  </si>
  <si>
    <t>10.1145/3208903.3213523</t>
  </si>
  <si>
    <t>https://doi.org/10.1145/3208903.3213523</t>
  </si>
  <si>
    <t>513‚Äì518</t>
  </si>
  <si>
    <t>e-Energy '18</t>
  </si>
  <si>
    <t>event-place: Karlsruhe, Germany</t>
  </si>
  <si>
    <t>With the advent of Cloud Computing, the size of datacenters is ever increasing and the management of servers and their power consumption and heat production have become challenges. The management of the heat produced by servers has been experimentally less explored than the management of their power consumption. It can be partly explained by the lack of a public testbed that provides reliable access to both thermal and power metrics of server rooms. In this paper we propose SeDuCe, a testbed that targets research on power and thermal management of servers, by providing public access to precise data about the power consumption and the thermal dissipation of 48 servers integrated in Grid'5000 as the new ecotype cluster. We present the chosen software and hardware architecture for the first version of the SeDuCe testbed, highlighting its current limitation and proposing some improvements that will increase its relevance.</t>
  </si>
  <si>
    <t>UQKKQEFM</t>
  </si>
  <si>
    <t>Dalamagkas, Christos; Georgakis, Angelos; Hrissagis-Chrysagis, Kostas; Papadakis, George</t>
  </si>
  <si>
    <t>The Open V2X Management Platform</t>
  </si>
  <si>
    <t>Web Engineering: 24th International Conference, ICWE 2024, Tampere, Finland, June 17‚Äì20, 2024, Proceedings</t>
  </si>
  <si>
    <t>978-3-031-62361-5</t>
  </si>
  <si>
    <t>10.1007/978-3-031-62362-2_10</t>
  </si>
  <si>
    <t>https://doi.org/10.1007/978-3-031-62362-2_10</t>
  </si>
  <si>
    <t>133‚Äì146</t>
  </si>
  <si>
    <t>event-place: Tampere, Finland</t>
  </si>
  <si>
    <t>In this paper, we present an open-source web-based system, called Open V2X Management Platform (O-V2X-MP), which facilitates the management of charging points for electric vehicles with the goal of realizing Vehicle-to-Everything (V2X) scenarios. We describe its backend, which is composed of numerous components through a microservices architecture leveraging Docker containers. Using the C4 model methodology, we present the system context diagram with the main actors that interact with O-V2X-MP, the container diagram with the main communication flows between its components and the component diagram with the modules comprising the core of the platform. We also delve into the value-added services of O-V2X-MP, namely the billing engine, the REST APIs that enable interconnections and integration with external systems, the data analytics capabilities and the cyber-security module. We conclude with our future plans for the platform‚Äôs frontend.</t>
  </si>
  <si>
    <t>microservices; Charging points management; Electric Vehicles; OCPP protocol; Web platform</t>
  </si>
  <si>
    <t>DARDPNUJ</t>
  </si>
  <si>
    <t>Mendon√ßa, J√∫lio; Cho, Jin-Hee; Moore, Terrence J.; Nelson, Frederica F.; Lim, Hyuk; Zimmermann, Armin; Kim, Dong Seong</t>
  </si>
  <si>
    <t>Performability analysis of services in a software-defined networking adopting time-based moving target defense mechanisms</t>
  </si>
  <si>
    <t>Proceedings of the 35th Annual ACM Symposium on Applied Computing</t>
  </si>
  <si>
    <t>978-1-4503-6866-7</t>
  </si>
  <si>
    <t>10.1145/3341105.3374016</t>
  </si>
  <si>
    <t>https://doi.org/10.1145/3341105.3374016</t>
  </si>
  <si>
    <t>1180‚Äì1189</t>
  </si>
  <si>
    <t>SAC '20</t>
  </si>
  <si>
    <t>event-place: Brno, Czech Republic</t>
  </si>
  <si>
    <t>Moving target defense (MTD) has been developed as an emerging technology to enhance system/network security by randomly and continuously changing attack surface. Despite the significant progress of recent efforts in analyzing the security effectiveness of MTD mechanisms, critical gaps still exist in terms of the impact of running MTD mechanisms on system performance and dependability, exposing a critical design tradeoff between security and performance. To investigate the tradeoff, we propose performability models for evaluating services hosted in software-defined networks with a time-based MTD mechanism being deployed. We developed analytical models for evaluating key performability metrics, in terms of response time, throughput, availability, host utilization, a number of requests lost, and cost (i.e., energy consumption plus profits lost due to dropped jobs). Our results showed that using the time-based MTD mechanism can (1) improve service response time and host utilization; (2) introduce a higher number of requests lost and higher overall cost; and (3) reduce service availability while still handling most of the jobs without much performance degradation.</t>
  </si>
  <si>
    <t>moving target defense; performability; petri nets; software-defined networking</t>
  </si>
  <si>
    <t>NPZ6SD9T</t>
  </si>
  <si>
    <t>Ma, Xin; Zhang, Shengchun; Xu, Lina; Liu, Chang; Zhao, Ergang; Ding, Yujie</t>
  </si>
  <si>
    <t>Architecture Analysis of Energy Information Sharing Platform for New Power System</t>
  </si>
  <si>
    <t>Proceedings of the 7th International Conference on Cyber Security and Information Engineering</t>
  </si>
  <si>
    <t>978-1-4503-9741-4</t>
  </si>
  <si>
    <t>10.1145/3558819.3558839</t>
  </si>
  <si>
    <t>https://doi.org/10.1145/3558819.3558839</t>
  </si>
  <si>
    <t>114‚Äì120</t>
  </si>
  <si>
    <t>ICCSIE '22</t>
  </si>
  <si>
    <t>event-place: Brisbane, QLD, Australia</t>
  </si>
  <si>
    <t>Under the trend of new power system construction and digital transformation, the power system generates a large amount of data flow. It is urgent to build an energy power system information sharing platform to promote the efficient allocation of resources and maintain the orderly operation of the power system. This paper studies an energy information sharing platform for new power systems, and designs in detail from the overall architecture, development platform architecture, access architecture, deployment architecture, and functional architecture. The platform is established based on advanced information and communication technologies such as "Cloud Computing, Internet of Things, Mobile Internet, Big Data" and cloud-edge collaboration. By integrating functional modules such as coordination and optimization decision-making module, continuous power supply monitoring module, and unified information model, the construction of energy information sharing platform and system integration are realized. The platform integrates "edge technology + multi-type communication + unified platform + data fusion + business intelligence", realizes the deep integration of digital technology and physical electrical system, realizes the intelligent interaction and precise control of source, network, load and storage under the new power system.</t>
  </si>
  <si>
    <t>Energy information sharing; New power system; Platform architecture</t>
  </si>
  <si>
    <t>Z2VBFG85</t>
  </si>
  <si>
    <t>HADAS: Analysing Quality Attributes of Software Configurations</t>
  </si>
  <si>
    <t>Proceedings of the 23rd International Systems and Software Product Line Conference - Volume B</t>
  </si>
  <si>
    <t>978-1-4503-6668-7</t>
  </si>
  <si>
    <t>10.1145/3307630.3342385</t>
  </si>
  <si>
    <t>https://doi.org/10.1145/3307630.3342385</t>
  </si>
  <si>
    <t>13‚Äì16</t>
  </si>
  <si>
    <t>SPLC '19</t>
  </si>
  <si>
    <t>event-place: Paris, France</t>
  </si>
  <si>
    <t>Software Product Lines (SPLs) are highly configurable systems. Automatic analyses of SPLs rely on solvers to navigate complex dependencies among features and find legal solutions. Variability analysis tools are complex due to the diversity of products and domain-specific knowledge. On that, while there are experimental studies that analyse quality attributes, the knowledge is not easily accessible for developers, and its appliance is not trivial. Aiming to allow the industry to quality-explore SPL design spaces, we developed the HADAS assistant that: (1) models systems and collects quality attributes metrics in a cloud repository, and (2) reasons about it helping developers with quality attributes requirements.</t>
  </si>
  <si>
    <t>variability; model; software product line; attribute; NFQA; numerical</t>
  </si>
  <si>
    <t>NQTUDJXK</t>
  </si>
  <si>
    <t>Souza, Layse Santos; de Almeida Neto, Jo√£o Ribeiro; Melo, Thiago Jos√© Sandes; Soares, Michel dos Santos; Rocha, Fabio Gomes; Nascimento, Rog√©rio Patr√≠cio Chagas do</t>
  </si>
  <si>
    <t>An investigation into technology solutions for urban public monitoring through ubiquitous devices in the context of smart cities</t>
  </si>
  <si>
    <t>Proceedings of the 10th Euro-American Conference on Telematics and Information Systems</t>
  </si>
  <si>
    <t>978-1-4503-7711-9</t>
  </si>
  <si>
    <t>10.1145/3401895.3402082</t>
  </si>
  <si>
    <t>https://doi.org/10.1145/3401895.3402082</t>
  </si>
  <si>
    <t>EATIS '20</t>
  </si>
  <si>
    <t>event-place: Aveiro, Portugal</t>
  </si>
  <si>
    <t>Context: Socioeconomic development has accelerated the urbanization process and the advance of Information and Communication Technologies (ICT). In this context, population growth in urban centers manifested challenges in the economic and cultural aspects of society. Issues such as mobility and sustainability come up. ICT plays an important role in this scenario, as it enables innovative services to citizens to improve their quality of life. Objective: To identify and analyze technological solutions (tools, services, applications or products) of urban public monitoring in order to characterize them, with respect to smart cities and ubiquitous devices, from the point of view of researchers and public agents in the field. context of theoretical and applied research in the literature. Method: A Systematic Literature Mapping (SLM) was performed to characterize the research in the area. Results: It was found that most studies treat as important and global trend urban public monitoring through ubiquitous devices in the context of smart cities. Conclusion: Urban public monitoring can be performed through appropriate ICT infrastructures, using devices such as sensors to capture and transmit data in real-time. This communication takes place without the use of wires and it is necessary to worry about the energy efficiency and accuracy of these ubiquitous devices. This way, the city can become more efficient and attractive to its citizens.</t>
  </si>
  <si>
    <t>smart city; mobile devices; public monitoring; ubiquitous devices; wearables</t>
  </si>
  <si>
    <t>HA6DVCRT</t>
  </si>
  <si>
    <t>Li, Bojie; Xiang, Zihao; Wang, Xiaoliang; Ruan, Han; Zhou, Jingbin; Tan, Kun</t>
  </si>
  <si>
    <t>FastWake: Revisiting Host Network Stack for Interrupt-mode RDMA</t>
  </si>
  <si>
    <t>Proceedings of the 7th Asia-Pacific Workshop on Networking</t>
  </si>
  <si>
    <t>979-8-4007-0782-7</t>
  </si>
  <si>
    <t>10.1145/3600061.3600063</t>
  </si>
  <si>
    <t>https://doi.org/10.1145/3600061.3600063</t>
  </si>
  <si>
    <t>1‚Äì7</t>
  </si>
  <si>
    <t>APNet '23</t>
  </si>
  <si>
    <t>event-place: Hong Kong, China</t>
  </si>
  <si>
    <t>Polling and interrupt has long been a trade-off in RDMA systems. Polling has lower latency but each CPU core can only run one thread. Interrupt enables time sharing among multiple threads but has higher latency. Many applications such as databases have hundreds of threads, which is much larger than the number of cores. So, they have to use interrupt mode to share cores among threads, and the resulting RDMA latency is much higher than the hardware limits. In this paper, we analyze the root cause of high costs in RDMA interrupt delivery, and present FastWake, a practical redesign of interrupt-mode RDMA host network stack using commodity RDMA hardware, Linux OS, and unmodified applications. Our first approach to fast thread wake-up completely removes interrupts. We design a per-core dispatcher thread to poll all the completion queues of the application threads on the same core, and utilize a kernel fast path to context switch to the thread with an incoming completion event. The approach above would keep CPUs running at 100% utilization, so we design an interrupt-based approach for scenarios with power constraints. Observing that waking up a thread on the same core as the interrupt is much faster than threads on other cores, we dynamically adjust RDMA event queue mappings to improve interrupt core affinity. In addition, we revisit the kernel path of thread wake-up, and remove the overheads in virtual file system (VFS), locking, and process scheduling. Experiments show that FastWake can reduce RDMA latency by 80% on x86 and 77% on ARM at the cost of &amp;lt; 30% higher power utilization than traditional interrupts, and the latency is only 0.3 ‚àº 0.4&amp;nbsp;Œº s higher than the limits of underlying hardware. When power saving is desired, our interrupt-based approach can still reduce interrupt-mode RDMA latency by 59% on x86 and 52% on ARM.</t>
  </si>
  <si>
    <t>Context Switch; Host Network Stack; Interrupt; RDMA</t>
  </si>
  <si>
    <t>N7SUVLSL</t>
  </si>
  <si>
    <t>Andrikopoulos, Vasilios; Di Nitto, Elisabetta</t>
  </si>
  <si>
    <t>On the need to merge architectural and infrastructural considerations</t>
  </si>
  <si>
    <t>Proceedings of the 1st International Workshop on New Trends in Software Architecture</t>
  </si>
  <si>
    <t>979-8-4007-0560-1</t>
  </si>
  <si>
    <t>10.1145/3643657.3643909</t>
  </si>
  <si>
    <t>https://doi.org/10.1145/3643657.3643909</t>
  </si>
  <si>
    <t>1‚Äì4</t>
  </si>
  <si>
    <t>SATrends '24</t>
  </si>
  <si>
    <t>event-place: Lisbon, Portugal</t>
  </si>
  <si>
    <t>This work takes the position that attempting to keep a separation between the logical and deployment view of modern, cloud-native software systems only leads to a new type of technical debt that manifests during the operational side of the lifecycle. This is an issue that is fueled by the treatment of software qualities without considering where the systems under consideration are supposed to be deployed, and how long it takes until positive or negative treatments on these qualities manifest themselves. Sustainability is a particularly interesting case of a quality that requires logical and deployments views to be taken into account in a unified way.</t>
  </si>
  <si>
    <t>cloud computing; sustainability; software architecture; technical debt</t>
  </si>
  <si>
    <t>Z7FWRL4B</t>
  </si>
  <si>
    <t>Dimitrakos, Theo; Dilshener, Tezcan; Kravtsov, Alexander; Marra, Antonio La; Martinelli, Fabio; Rizos, Athanasios; Rosetti, Alessandro</t>
  </si>
  <si>
    <t>Handling Meta Attribute Information in Usage Control Policies (Short Paper)</t>
  </si>
  <si>
    <t>Emerging Technologies for Authorization and Authentication: 4th International Workshop, ETAA 2021, Darmstadt, Germany, October 8, 2021, Revised Selected Papers</t>
  </si>
  <si>
    <t>978-3-030-93746-1</t>
  </si>
  <si>
    <t>10.1007/978-3-030-93747-8_10</t>
  </si>
  <si>
    <t>https://doi.org/10.1007/978-3-030-93747-8_10</t>
  </si>
  <si>
    <t>143‚Äì151</t>
  </si>
  <si>
    <t>event-place: Darmstadt, Germany</t>
  </si>
  <si>
    <t>This work builds on top of an architecture and prototype implementation of a novel trust-aware continuous authorization technology that targets consumer Internet of Things (IoT), e.g., Smart Home to introduce a novel trust algorithm and meta attribute evaluation. Our approach extends previous work in two complementary ways: (1) By introducing a novel set of meta attributes that characterize the values of condition attributes such as Time To Live. This set of meta attributes serves as additional information that can be used by the system in order to proper caching attribute values or deciding whether or not to use an attribute already retrieved or to ask for a fresh one. (2) By minimizing the network consumption related to requesting additional and fresh attributes to sensor in IoT environments. Network is the source of major energy consumption in IoT devices, therefore being able to minimize network consumption is beneficial for the whole system.</t>
  </si>
  <si>
    <t>IoT; ABAC; Authorization; Trust; Usage control</t>
  </si>
  <si>
    <t>BX4GHA6X</t>
  </si>
  <si>
    <t>Switzer, Jennifer; Marcano, Gabriel; Kastner, Ryan; Pannuto, Pat</t>
  </si>
  <si>
    <t>Junkyard Computing: Repurposing Discarded Smartphones to Minimize Carbon</t>
  </si>
  <si>
    <t>Proceedings of the 28th ACM International Conference on Architectural Support for Programming Languages and Operating Systems, Volume 2</t>
  </si>
  <si>
    <t>978-1-4503-9916-6</t>
  </si>
  <si>
    <t>10.1145/3575693.3575710</t>
  </si>
  <si>
    <t>https://doi.org/10.1145/3575693.3575710</t>
  </si>
  <si>
    <t>400‚Äì412</t>
  </si>
  <si>
    <t>ASPLOS 2023</t>
  </si>
  <si>
    <t>event-place: Vancouver, BC, Canada</t>
  </si>
  <si>
    <t>1.5 billion smartphones are sold annually, and most are decommissioned less than two years later. Most of these unwanted smartphones are neither discarded nor recycled but languish in junk drawers and storage units. This computational stockpile represents a substantial wasted potential: modern smartphones have increasingly high-performance and energy-efficient processors, extensive networking capabilities, and a reliable built-in power supply. This project studies the ability to reuse smartphones as "junkyard computers." Junkyard computers grow global computing capacity by extending device lifetimes, which supplants the manufacture of new devices. We show that the capabilities of even decade-old smartphones are within those demanded by modern cloud microservices and discuss how to combine phones to perform increasingly complex tasks. We describe how current operation-focused metrics do not capture the actual carbon costs of compute. We propose Computational Carbon Intensity‚Äîa performance metric that balances the continued service of older devices with the superlinear runtime improvements of newer machines. We use this metric to redefine device service lifetime in terms of carbon efficiency. We develop a cloudlet of reused Pixel 3A phones. We analyze the carbon benefits of deploying large, end-to-end microservice-based applications on these smartphones. Finally, we describe system architectures and associated challenges to scale to cloudlets with hundreds and thousands of smartphones.</t>
  </si>
  <si>
    <t>cloud computing; sustainability; life cycle assessment</t>
  </si>
  <si>
    <t>NNSCN357</t>
  </si>
  <si>
    <t>Klaver, Luuk; van der Knaap, Thijs; van der Geest, Johan; Harmsma, Edwin; van der Waaij, Bram; Pileggi, Paolo</t>
  </si>
  <si>
    <t>Towards Independent Run-Time Cloud Monitoring</t>
  </si>
  <si>
    <t>Companion of the ACM/SPEC International Conference on Performance Engineering</t>
  </si>
  <si>
    <t>978-1-4503-8331-8</t>
  </si>
  <si>
    <t>10.1145/3447545.3451180</t>
  </si>
  <si>
    <t>https://doi.org/10.1145/3447545.3451180</t>
  </si>
  <si>
    <t>21‚Äì26</t>
  </si>
  <si>
    <t>ICPE '21</t>
  </si>
  <si>
    <t>event-place: Virtual Event, France</t>
  </si>
  <si>
    <t>Cloud computing services are integral to the digital transformation. They deliver greater connectivity, tremendous savings, and lower total cost of ownership. Despite such benefits and benchmarking advances, costs are still quite unpredictable, performance is unclear, security is inconsistent, and there is minimal control over aspects like data and service locality. Estimating performance of cloud environments is very hard for cloud consumers. They would like to make informed decisions about which provider better suits their needs using specialized evaluation mechanisms. Providers have their own tools reporting specific metrics, but they are potentially biased and often incomparable across providers. Current benchmarking tools allow comparison but consumers need more flexibility to evaluate environments under actual operating conditions for specialized applications. Ours is early stage work and a step towards a monitoring solution that enables independent evaluation of clouds for very specific application needs. In this paper, we present our initial architecture of the Cloud Monitor that aims to integrate existing and new benchmarks in a flexible and extensible way. By way of a simplistic demonstrator, we illustrate the concept. We report some preliminary monitoring results after a brief time of monitoring and are able to observe unexpected anomalies. The results suggest an independent monitoring solution is a powerful enabler of next generation cloud computing, not only for the consumer but potentially the whole ecosystem.</t>
  </si>
  <si>
    <t>cloud computing; benchmarking; performance evaluation; run-time monitoring</t>
  </si>
  <si>
    <t>N4J9S6I2</t>
  </si>
  <si>
    <t>Kaneko, Yu; Yokoyama, Yuhei; Monma, Nobuyuki; Terashima, Yoshiki; Teramoto, Keiichi; Kishimoto, Takuya; Saito, Takeshi</t>
  </si>
  <si>
    <t>A Microservice-Based Industrial Control System Architecture Using Cloud and&amp;nbsp;MEC</t>
  </si>
  <si>
    <t>Edge Computing ‚Äì EDGE 2020: 4th International Conference, Held as Part of the Services Conference Federation, SCF 2020, Honolulu, HI, USA, September 18-20, 2020, Proceedings</t>
  </si>
  <si>
    <t>978-3-030-59823-5</t>
  </si>
  <si>
    <t>10.1007/978-3-030-59824-2_2</t>
  </si>
  <si>
    <t>https://doi.org/10.1007/978-3-030-59824-2_2</t>
  </si>
  <si>
    <t>18‚Äì32</t>
  </si>
  <si>
    <t>Cloud computing has been adapted for various application areas. Several research projects are underway to migrate Industrial Control Systems (ICSs) to the public cloud. Some functions of ICSs require real-time processing that is difficult to migrate to the public cloud because network latency of the internet is unpredictable. Fog computing is a new computing paradigm that could address this latency issue. In particular, Multi-access Edge Computing (MEC) is a fog computing environment integrated with the 5G network, and therefore the real-time processing requirement of ICSs could be satisfied by using MEC. In this paper, we propose a microservice-based ICS architecture using the cloud and fog computing. In the architecture, each function of an ICS is implemented as a microservice and its execution locations are determined by an algorithm minimizing the total usage fee for cloud and fog computing while satisfying the real-time processing requirement. The proposed architecture and placement algorithm are evaluated by simulation under the scenario of a virtual power plant that manages distributed energy resources. The simulation result shows the proposed placement algorithm suppresses VM usage fee while satisfying the requirement of a real-time control function.</t>
  </si>
  <si>
    <t>5G; Cloud; Fog; Industrial Control System; MEC</t>
  </si>
  <si>
    <t>4WDVP7ZU</t>
  </si>
  <si>
    <t>Buzachis, Alina; Boruta, Daiana; Villari, Massimo; Spillner, Josef</t>
  </si>
  <si>
    <t>Modeling and Emulation of an Osmotic Computing Ecosystem using OsmoticToolkit</t>
  </si>
  <si>
    <t>Proceedings of the 2021 Australasian Computer Science Week Multiconference</t>
  </si>
  <si>
    <t>978-1-4503-8956-3</t>
  </si>
  <si>
    <t>10.1145/3437378.3444366</t>
  </si>
  <si>
    <t>https://doi.org/10.1145/3437378.3444366</t>
  </si>
  <si>
    <t>ACSW '21</t>
  </si>
  <si>
    <t>event-place: Dunedin, New Zealand</t>
  </si>
  <si>
    <t>Digital services are increasingly becoming cyber-physical and osmotic, combining Cloud resources with Fog, Edge, and IoT devices. This trend can be observed in the e-health domain or in smart city applications where the location of software deployments and data processing matters. Before such applications go live, careful planning with real system emulation is necessary. We claim that the OsmoticToolkit, although in the early stages, is the first emulation environment designed to address this challenge. In this paper, we introduce the emulator‚Äôs functionalities and validate experimentally with an e-health scenario, using a reference deployment of a microservice-based hospital application. The experimental results carried out show its effectiveness providing valuable support for understanding the impact on resources, workloads, and Quality of Service requirements within Cloud-Edge/Fog-IoT scenarios while preserving the users‚Äô Service Level Agreements (SLAs).</t>
  </si>
  <si>
    <t>Microservices; Deployment; Cloud Computing; Orchestration; SDN; Emulation; Osmotic Computing</t>
  </si>
  <si>
    <t>SNDLA5ND</t>
  </si>
  <si>
    <t>Thimmaraju, Kashyap; Shaik, Altaf; Fl√ºck, Sunniva; Mora, Pere Joan Fullana; Werling, Christian; Seifert, Jean-Pierre</t>
  </si>
  <si>
    <t>Security Testing The O-RAN Near-Real Time RIC &amp;amp; A1 Interface</t>
  </si>
  <si>
    <t>Proceedings of the 17th ACM Conference on Security and Privacy in Wireless and Mobile Networks</t>
  </si>
  <si>
    <t>979-8-4007-0582-3</t>
  </si>
  <si>
    <t>10.1145/3643833.3656118</t>
  </si>
  <si>
    <t>https://doi.org/10.1145/3643833.3656118</t>
  </si>
  <si>
    <t>277‚Äì287</t>
  </si>
  <si>
    <t>WiSec '24</t>
  </si>
  <si>
    <t>event-place: Seoul, Republic of Korea</t>
  </si>
  <si>
    <t>Open-Radio Access Network (O-RAN) is the next evolutionary step in mobile network architecture and operations and the Near-Real Time RAN Intelligent Controller (Near-RT RIC) plays a central role in the O-RAN architecture as it interfaces between the orchestration layer and next generation eNodeBs. In this paper we highlight the architectural weakness of a centralized controller in O-RAN by first drawing parallels with the Software-Defined Networking (SDN) controller. We then present a two part security evaluation of two open-source Near-RT RICs (ŒºONOS and OSC), focused on the newly introduced A1 interface of the Near-RT RIC. In the first part of our evaluation, we evaluate the supply-chain risks of ŒºONOS and OSC using off-the-shelf open-source dependency analysis and configuration file analysis tools. In the second part, we present our run-time security testing of the A1 API implemented by ŒºONOS and OSC using our custom O-RAN A1 Interface Testing Tool (OAITT). Our supply-chain risk analysis shows that both the open-source Near-RT RICs we evaluated have multiple dependency risks and weak or insecure configurations. We identified 211 and 285 known dependency vulnerabilities in ŒºONOS and OSC respectively of which 82 and 190 dependencies were rated as high CVSS respectively. The A1 interface contributed to a majority of the dependency risks in both Near-RT RICs. From a security misconfiguration perspective, we identified issues concerning access control, lack of encryption and poor secret management. Our run-time testing of OSC and ŒºONOS revealed the following. First, both Near-RT RICs lack TLS for the A1 interface. Second, malicious Non-Real Time RAN Intelligent Controller (Non-RT RIC)s or rApps that reside in the Non-RT RIC could tamper with policies installed in the Near-RT RIC which can impact the availability of the O-RAN. Third, the A1 protocol could be exploited by Non-RT RICs for covert communication via the Near-RT RIC. Fourth, the A1 implementation by ŒºONOS was vulnerable to degradation of service attacks (10-60s response time for GET requests) and a denial of service attack, the latter has been ethically reported and a fix is underway.</t>
  </si>
  <si>
    <t>near-real time ric; o-ran; security testing; software security</t>
  </si>
  <si>
    <t>WP35IZM2</t>
  </si>
  <si>
    <t>Khalloof, Hatem; Ciftci, Sergen; Shahoud, Shadi; Duepmeier, Clemens; Foerderer, Kevin; Hagenmeyer, Veit</t>
  </si>
  <si>
    <t>Facilitating the hybridization of parallel evolutionary algorithms in cluster computing environments</t>
  </si>
  <si>
    <t>Proceedings of the Genetic and Evolutionary Computation Conference Companion</t>
  </si>
  <si>
    <t>978-1-4503-9268-6</t>
  </si>
  <si>
    <t>10.1145/3520304.3533997</t>
  </si>
  <si>
    <t>https://doi.org/10.1145/3520304.3533997</t>
  </si>
  <si>
    <t>2001‚Äì2008</t>
  </si>
  <si>
    <t>GECCO '22</t>
  </si>
  <si>
    <t>event-place: Boston, Massachusetts</t>
  </si>
  <si>
    <t>Evolutionary Algorithms (EAs) need domain-specific adaptations for achieving better results, tend to converge to suboptimal solutions and are computationally expensive when they are applied to complex and large-scale optimization problems. For addressing these challenges, hybridizing EAs with other algorithms and methods and parallelizing them in cluster computing environments represent essential solutions. In the present paper, a new software solution for supporting the hybridizations of parallel EAs is proposed. Unlike other software solutions for hybridizing EAs, the proposed software solution provides a flexible, generic and scalable mechanism for integrating any algorithmic approach like a Machine Learning (ML) algorithm to seed the initial population of parallel EAs. It is designed based on three modern software technologies, namely microservices, container virtualization and the publish/subscribe messaging paradigm. The applicability and generality of the presented software solution is tested by hybridizing the General Learning Evolutionary Algorithm and Method (GLEAM) with ML techniques for solving the problem of scheduling Distributed Energy Resources (DERs). The benchmarking tests are performed in a cluster computing environment. The obtained results show that the new software solution represents a successful approach to facilitate the hybridization of parallel EAs paving the road for future applications of EAs in several domains.</t>
  </si>
  <si>
    <t>microservice; scalability; container; global model; hybrid evolutionary algorithms; parallel computing; parallel evolutionary algorithms; scheduling distributed energy resources; virtualization</t>
  </si>
  <si>
    <t>2HK869CC</t>
  </si>
  <si>
    <t>Wang, Li; Jiang, Yankai; Mi, Ningfang</t>
  </si>
  <si>
    <t>Advancing Serverless Computing for Scalable AI Model Inference: Challenges and Opportunities</t>
  </si>
  <si>
    <t>Proceedings of the 10th International Workshop on Serverless Computing</t>
  </si>
  <si>
    <t>979-8-4007-1336-1</t>
  </si>
  <si>
    <t>10.1145/3702634.3702950</t>
  </si>
  <si>
    <t>https://doi.org/10.1145/3702634.3702950</t>
  </si>
  <si>
    <t>WoSC10 '24</t>
  </si>
  <si>
    <t>event-place: Hong Kong, Hong Kong</t>
  </si>
  <si>
    <t>Artificial Intelligence (AI) model inference has emerged as a crucial component across numerous applications. Serverless computing, known for its scalability, flexibility, and cost-efficiency, is an ideal paradigm for executing AI model inference tasks. This survey provides a comprehensive review of recent research on AI model inference systems in serverless environments, focusing on studies published since 2019. We investigate system-level advancements aimed at optimizing performance and cost-efficiency through a range of innovative techniques. By analyzing high-impact papers from leading venues in AI model inference and serverless computing, we highlight key breakthroughs and solutions. This survey serves as a valuable resource for both practitioners and academic researchers, offering critical insights into the current state and future trends in integrating AI model inference with serverless architectures. To the best of our knowledge, this is the first survey that includes Large Language Models (LLMs) inference in the context of serverless computing.</t>
  </si>
  <si>
    <t>serverless computing; DL inference; LLMs inference; ML inference</t>
  </si>
  <si>
    <t>UW83KS7C</t>
  </si>
  <si>
    <t>Xu, Chi; Qian, Rongsheng; Fang, Hao; Ma, Xiaoqiang; Atlas, William I.; Liu, Jiangchuan; Spoljaric, Mark A.</t>
  </si>
  <si>
    <t>SALINA: Towards Sustainable Live Sonar Analytics in Wild Ecosystems</t>
  </si>
  <si>
    <t>Proceedings of the 22nd ACM Conference on Embedded Networked Sensor Systems</t>
  </si>
  <si>
    <t>979-8-4007-0697-4</t>
  </si>
  <si>
    <t>10.1145/3666025.3699323</t>
  </si>
  <si>
    <t>https://doi.org/10.1145/3666025.3699323</t>
  </si>
  <si>
    <t>68‚Äì81</t>
  </si>
  <si>
    <t>SenSys '24</t>
  </si>
  <si>
    <t>Sonar radar captures visual representations of underwater objects and structures using sound wave reflections, making it essential for exploration, mapping, and continuous surveillance in wild ecosystems. Real-time analysis of sonar data is crucial for time-sensitive applications, including environmental anomaly detection and in-season fishery management, where rapid decision-making is needed. However, the lack of both relevant datasets andpre-trained DNN models, coupled with resource limitations in wild environments, hinders the effective deployment and continuous operation of live sonar analytics.We present SALINA, a sustainable live sonar analytics system designed to address these challenges. SALINA enables real-time processing of acoustic sonar data with spatial and temporal adaptations, and features energy-efficient operation through a robust energy management module. Deployed for six months at two inland rivers in British Columbia, Canada, SALINA provided continuous 24/7 underwater monitoring, supporting fishery stewardship and wildlife restoration efforts. Through extensive real-world testing, SALINA demonstrated an up to 9.5% improvement in average precision and a 10.1% increase in tracking metrics. The energy management module successfully handled extreme weather, preventing outages and reducing contingency costs. These results offer valuable insights for long-term deployment of acoustic data systems in the wild.</t>
  </si>
  <si>
    <t>edge computing; sustainability; edge-cloud collaboration; internet of things; live analytics; sensing; solar power; sonar radar</t>
  </si>
  <si>
    <t>ASJ7T3HP</t>
  </si>
  <si>
    <t>Hartley, Tim; Zakkak, Foivos S.; Kotselidis, Christos; Luj√°n, Mikel</t>
  </si>
  <si>
    <t>An analysis of call-site patching without strong hardware support for self-modifying-code</t>
  </si>
  <si>
    <t>Proceedings of the 16th ACM SIGPLAN International Conference on Managed Programming Languages and Runtimes</t>
  </si>
  <si>
    <t>978-1-4503-6977-0</t>
  </si>
  <si>
    <t>10.1145/3357390.3361027</t>
  </si>
  <si>
    <t>https://doi.org/10.1145/3357390.3361027</t>
  </si>
  <si>
    <t>131‚Äì143</t>
  </si>
  <si>
    <t>MPLR 2019</t>
  </si>
  <si>
    <t>With micro-services continuously gaining popularity and low-power processors making their way into data centers, efficient execution of managed runtime systems on low-power architectures is also gaining interest. Apart from the inherent performance differences between high and low power processors, porting a managed runtime system to a low-power architecture may result in spuriously introducing additional overheads and design trade-offs. In this work we investigate how the lack of strong hardware support for Self Modifying Code (SMC) in low-power architectures, influences Just-In-Time (JIT) compilation and execution in modern virtual machines. In particular, we examine how low-power architectures, with no or limited hardware support for SMC, impose restrictions on call-site implementations, when the latter need to be patchable by the runtime system. We present four different memory-safe implementations for call-site generation and discuss their advantages and disadvantages in the absence of strong hardware support for SMC. Finally, we evaluate each technique on different workloads using micro-benchmarks and we evaluate the best two techniques on the Dacapo benchmark suite showcasing performance differences up to 15%.</t>
  </si>
  <si>
    <t>AArch64; JIT compilation; RISC; Self modifying code</t>
  </si>
  <si>
    <t>M6IBP97P</t>
  </si>
  <si>
    <t>Kokkinis, Argyris; Nanos, Annastasios; Siozios, Kostas</t>
  </si>
  <si>
    <t>Enabling an&amp;nbsp;Isolated and&amp;nbsp;Energy-Aware Deployment of&amp;nbsp;Computationally Intensive Kernels on&amp;nbsp;Multi-tenant Environments</t>
  </si>
  <si>
    <t>Embedded Computer Systems: Architectures, Modeling, and Simulation: 23rd International Conference, SAMOS 2023, Samos, Greece, July 2‚Äì6, 2023, Proceedings</t>
  </si>
  <si>
    <t>978-3-031-46076-0</t>
  </si>
  <si>
    <t>10.1007/978-3-031-46077-7_27</t>
  </si>
  <si>
    <t>https://doi.org/10.1007/978-3-031-46077-7_27</t>
  </si>
  <si>
    <t>411‚Äì422</t>
  </si>
  <si>
    <t>Nowadays, hardware acceleration can be used as a service for maximizing the applications‚Äô performance and achieve significant speedup in time-critical scenarios. FPGA devices inherently consume less power than GPUs and HPC systems and are candidate solutions for performing low-energy yet high-performance computations. However, hardware acceleration services require a private, isolated and flexible execution of the accelerators in multi-tenant environments without compromising the platform‚Äôs energy and performance efficiency. In this paper we aim to address this issue by proving an end-to-end methodology for the generation, virtualization and deployment of High-Level Synthesis accelerators in multi-tenant environments. We leverage approximate computing techniques and utilize the vAccel framework. Our proposed methodology was evaluated on the Xilinx Alveo U50 acceleration card, achieving energy savings up to 5.2√ó compared to the initial non energy optimized and non virtualized designs.</t>
  </si>
  <si>
    <t>virtualization; FPGA; Approximate Computing; High-Level Synthesis</t>
  </si>
  <si>
    <t>7NK7H5FM</t>
  </si>
  <si>
    <t>Souza, Abel; Jasoria, Shruti; Chakrabarty, Basundhara; Bridgwater, Alexander; Lundberg, Axel; Skogh, Filip; Ali-Eldin, Ahmed; Irwin, David; Shenoy, Prashant</t>
  </si>
  <si>
    <t>CASPER: Carbon-Aware Scheduling and Provisioning for Distributed Web Services</t>
  </si>
  <si>
    <t>Proceedings of the 14th International Green and Sustainable Computing Conference</t>
  </si>
  <si>
    <t>979-8-4007-1669-0</t>
  </si>
  <si>
    <t>10.1145/3634769.3634812</t>
  </si>
  <si>
    <t>https://doi.org/10.1145/3634769.3634812</t>
  </si>
  <si>
    <t>67‚Äì73</t>
  </si>
  <si>
    <t>IGSC '23</t>
  </si>
  <si>
    <t>event-place: Toronto, ON, Canada</t>
  </si>
  <si>
    <t>There has been a significant societal push towards sustainable practices, including in computing. Modern interactive workloads such as geo-distributed web-services exhibit various spatiotemporal and performance flexibility, enabling the possibility to adapt the location, time, and intensity of processing to align with the availability of renewable and low-carbon energy. An example is a web application hosted across multiple cloud regions, each with varying carbon intensity based on their local electricity mix. Distributed load-balancing enables the exploitation of low-carbon energy through load migration across regions, reducing web applications carbon footprint. In this paper, we present CASPER, a carbon-aware scheduling and provisioning system that primarily minimizes the carbon footprint of distributed web services while also respecting their Service Level Objectives (SLO). We formulate CASPER as an multi-objective optimization problem that considers both the variable carbon intensity and latency constraints of the network. Our evaluation reveals the significant potential of CASPER in achieving substantial reductions in carbon emissions. Compared to baseline methods, CASPER demonstrates improvements of up to 70% with no latency performance degradation.</t>
  </si>
  <si>
    <t>HKL5WFQ5</t>
  </si>
  <si>
    <t>Yu, Yangming; Zha, Zhiyong; Jin, Bo; Wu, Geng; Dong, Chenxi</t>
  </si>
  <si>
    <t>Research on Exchange and Management Platform of Enterprise Power Data Uniftcation Summit</t>
  </si>
  <si>
    <t>Intelligent Computing Methodologies: 18th International Conference, ICIC 2022, Xi'an, China, August 7‚Äì11, 2022, Proceedings, Part III</t>
  </si>
  <si>
    <t>978-3-031-13831-7</t>
  </si>
  <si>
    <t>10.1007/978-3-031-13832-4_10</t>
  </si>
  <si>
    <t>https://doi.org/10.1007/978-3-031-13832-4_10</t>
  </si>
  <si>
    <t>117‚Äì128</t>
  </si>
  <si>
    <t>event-place:  Xi'an, China</t>
  </si>
  <si>
    <t>In recent years, due to the continuous expansion of the government, enterprises, and social users for power data sharing applications, as well as the rapid expansion of data service product scope and data service access business volume, along with the continuous advancement of power data sharing interactive services, it is necessary to improve data sharing operation management and control mechanism. At the same time, on the one hand, in order to support the efficient development of the daily operation and maintenance management of data products, standardize the product operation and maintenance, including data catalog management, data product management, product drop-off, etc.; on the other hand, in order to strengthen the operation of the data sharing and interaction process, etc. This paper proposes the design of the data sharing service platform, which meets the following requirements: First, establish access service security guarantee, unified access to government, enterprise and other customers‚Äô access requests in different ways The second is to establish a standardized data service demand management, to provide data catalog query services for customers such as governments and enterprises, and to accept the data needs of these customers, forward the business department for processing, and give feedback to customers on data demand processing opinions; The third is to provide unified data Product access services, including data product query, data product application, and data product online access services; Fourth, provide unified data interface services, including data interface query services. The platform guarantees the normal operation of external power data sharing services, establishes an internal data sharing management and control mechanism, and supports the company‚Äôs data service operation management personnel to carry out data product operation management, data service upload and removal, data service authority control, data service operation monitoring and analysis, etc. Data sharing operation management and control.</t>
  </si>
  <si>
    <t>Data sharing; Enterprise power data; Management platform</t>
  </si>
  <si>
    <t>HHPMMYM8</t>
  </si>
  <si>
    <t>HoseinyFarahabady, MohammadReza; Lee, Young Choon; Zomaya, Albert Y.; Tari, Zahir</t>
  </si>
  <si>
    <t>A QoS-Aware Resource Allocation Controller for Function as a Service (FaaS) Platform</t>
  </si>
  <si>
    <t>Service-Oriented Computing: 15th International Conference, ICSOC 2017, Malaga, Spain, November 13‚Äì16, 2017, Proceedings</t>
  </si>
  <si>
    <t>978-3-319-69034-6</t>
  </si>
  <si>
    <t>10.1007/978-3-319-69035-3_17</t>
  </si>
  <si>
    <t>https://doi.org/10.1007/978-3-319-69035-3_17</t>
  </si>
  <si>
    <t>241‚Äì255</t>
  </si>
  <si>
    <t>event-place: Malaga, Spain</t>
  </si>
  <si>
    <t>Function as a Service (FaaS) is a recent event-driven serverless paradigm that allows enterprises to build their applications in a fault tolerant distributed manner. Having been considered as an attractive replacement of traditional Service Oriented Architecture (SOA), the FaaS platform leverages the management of massive data sets or the handling of event streams. However, the realization of such leverage is largely dependent on the effective exploitation of FaaS elasticity/scalability.In this paper, we present a closed-loop resource allocation controller to dynamically scale resources by predicting the future rate of incoming events and by considering the Quality of Service (QoS) enforcements requested by end-users. The performance evaluation is carried out by comparing the proposed controller with some well-known heuristics such as round robin and best-effort strategies. Experimental results confirm that the proposed controller increases the overall resource utilization by 21% on average, while reducing QoS violations by a factor of almost 3.</t>
  </si>
  <si>
    <t>Microservices; Dynamic resource allocation; Function as a Service (FaaS); Serverless Lambda Platform</t>
  </si>
  <si>
    <t>6MZ5KNTX</t>
  </si>
  <si>
    <t>Ding, Jianru; Hoffmann, Henry</t>
  </si>
  <si>
    <t>DPS: Adaptive Power Management for Overprovisioned Systems</t>
  </si>
  <si>
    <t>Proceedings of the International Conference for High Performance Computing, Networking, Storage and Analysis</t>
  </si>
  <si>
    <t>979-8-4007-0109-2</t>
  </si>
  <si>
    <t>10.1145/3581784.3607091</t>
  </si>
  <si>
    <t>https://doi.org/10.1145/3581784.3607091</t>
  </si>
  <si>
    <t>SC '23</t>
  </si>
  <si>
    <t>Maximizing performance under a power budget is essential for HPC systems and has inspired the development of many power management frameworks. These can be broadly characterized into two groups: model-based and stateless. Model-based frameworks use machine learning to achieve good performance under a power budget but are highly dependent on the quality of the learned model and the data used to train it. Stateless frameworks are more robust and require no training, but are generally lower performance. In this paper, we propose a new framework that does not require a model, but does track a small amount of state in the form of recent power dynamics. We implement this idea and test it on a public cloud running both Spark and HPC jobs. We find when total power demand is low, our framework achieves equivalent performance to prior work, but when power demand is high it achieves mean 8% performance improvement (with no reliance on a learned model).</t>
  </si>
  <si>
    <t>resource management; job scheduling; power-efficient design and power-management strategies; system interoperations and energy-aware techniques for large-scale systems</t>
  </si>
  <si>
    <t>PSTKEF2L</t>
  </si>
  <si>
    <t>Mendula, Matteo; Khodadadeh, Siavash; Bacanli, Salih Safa; Zehtabian, Sharare; Sheikh, Hassam Ullah; B√∂l√∂ni, Ladislau; Turgut, Damla; Bellavista, Paolo</t>
  </si>
  <si>
    <t>Interaction and Behaviour Evaluation for Smart Homes: Data Collection and Analytics in the ScaledHome Project</t>
  </si>
  <si>
    <t>Proceedings of the 23rd International ACM Conference on Modeling, Analysis and Simulation of Wireless and Mobile Systems</t>
  </si>
  <si>
    <t>978-1-4503-8117-8</t>
  </si>
  <si>
    <t>10.1145/3416010.3423227</t>
  </si>
  <si>
    <t>https://doi.org/10.1145/3416010.3423227</t>
  </si>
  <si>
    <t>225‚Äì233</t>
  </si>
  <si>
    <t>MSWiM '20</t>
  </si>
  <si>
    <t>event-place: Alicante, Spain</t>
  </si>
  <si>
    <t>The smart home concept can significantly benefit from predictive models that take proactive management operations on home actuators, based on users' behavior evaluation. In this paper, we use a small-scale physical model, the ScaledHome-2 testbed, to experiment with the evolution of measurements in a suburban home under different environmental scenarios. We start from the observation that, for a home to become smart, in addition to IoT sensors and actuators, we also need a predictive model of how actions taken by inhabitants and home actuators affect the internal environment of the home, reflected in the sensor readings. In this paper, we propose a technique to create such a predictive model through machine learning in various simulated weather scenarios. This paper also contributes to the literature in the field by quantitatively comparing several machine learning algorithms (K-nearest neighbor, regression trees, Support Vector Machine regression, and Long Short Term Memory deep neural networks) in their ability to create accurate and generalizable predictive models for smart homes.</t>
  </si>
  <si>
    <t>energy; iot; optimization; scaling; simulation</t>
  </si>
  <si>
    <t>DV843LHT</t>
  </si>
  <si>
    <t>Sampaio, Adalberto R.; Beschastnikh, Ivan; Maier, Daryl; Bourne, Don; Sundaresen, Vijay</t>
  </si>
  <si>
    <t>Auto-Tuning Elastic Applications in Production</t>
  </si>
  <si>
    <t>Proceedings of the 45th International Conference on Software Engineering: Software Engineering in Practice</t>
  </si>
  <si>
    <t>979-8-3503-0037-6</t>
  </si>
  <si>
    <t>10.1109/ICSE-SEIP58684.2023.00038</t>
  </si>
  <si>
    <t>https://doi.org/10.1109/ICSE-SEIP58684.2023.00038</t>
  </si>
  <si>
    <t>355‚Äì367</t>
  </si>
  <si>
    <t>ICSE-SEIP '23</t>
  </si>
  <si>
    <t>Melbourne, Australia</t>
  </si>
  <si>
    <t>Modern cloud applications must be tuned for high performance. Yet, a single static configuration is insufficient since a cloud application must deal with changes in workload, varying numbers of replicas due to auto-scaling, and upgrades to the environment and the application code itself. These dynamics can only be observed altogether during the application execution and affects different layers of the application stack. In this paper, we describe SmartTuning, a technique and tool to auto-tune cloud applications on the fly, improving resource utilization and performance under dynamic workloads.SmartTuning reacts to different workloads over time and automatically explores and adapts the application's configuration through Bayesian Optimization. SmartTuning searches for configurations that better use resources when the application is subject to auto-scaling and dynamic workloads. It minimizes the need for the operations team to instrument code or manually try out configurations in testing environments. Our evaluation of three industrial applications indicates that SmartTuning can, on average, improve application efficiency by 58% and reduce cost by 27%.</t>
  </si>
  <si>
    <t>microservices; kubernetes; auto-tuning; elastic cloud environments</t>
  </si>
  <si>
    <t>JEBTMIG4</t>
  </si>
  <si>
    <t>Bakhsh, Wazeer; Fiori, Chiara; de Luca, Stefano</t>
  </si>
  <si>
    <t>Literature Review on the Smart Port: Evolution, Technological Development, Performance Indicators of Smart Ports</t>
  </si>
  <si>
    <t>Computational Science and Its Applications ‚Äì ICCSA 2024 Workshops: Hanoi, Vietnam, July 1‚Äì4, 2024, Proceedings, Part IX</t>
  </si>
  <si>
    <t>978-3-031-65328-5</t>
  </si>
  <si>
    <t>10.1007/978-3-031-65329-2_23</t>
  </si>
  <si>
    <t>https://doi.org/10.1007/978-3-031-65329-2_23</t>
  </si>
  <si>
    <t>340‚Äì357</t>
  </si>
  <si>
    <t>event-place: Hanoi, Vietnam</t>
  </si>
  <si>
    <t>Boost in the global supply chain in the post-industry 4.0 revolution has amplified the demand for maritime ports, triggering their operational capacities, competitiveness, and sustainability concerns. Maritime ports are undergoing a paradigm shift, an evolution from goods loading and unloading terminals to highly intelligent hubs in the logistic supply chain.Existing literature on smart ports focuses on different aspects such as evolution stages, bibliometrics analysis, feasible technologies, and Key Performance Indicators (KPI).This review complements the existing ones by investigating the term ‚Äúsmart port‚Äù definition, the technology use, the Key Performance Indicators (KPIs), and providing bibliometric analysis across major databases, sourcing from journals, conferences, official websites, and books in various disciplines.Results show that the definition of ‚Äúsmart port‚Äù is still under development. Moreover, the major driver of transformation is the technology use, some technologies are mature enough for implementation and the rest are in the early stages. Importantly, along with innovative technologies, management skills play a crucial role in successful implementation. The Smartness of the port is difficult to answer but an accurate quantification of Key Performance Indicators (KPIs) can assist the ports in gauging their level of ‚Äúsmartness‚Äù.From the bibliometric perspective, there is a growing trend of smart port research, particularly in recent years. This trend is interestingly almost uniformly distributed in different geographic locations.The findings underscore the kernel role of technology in shaping smart port evolution, and performance indicators for quantifying the smartness. The investigation of the challenges for ports to implement technologies is a key area for future research.</t>
  </si>
  <si>
    <t>Industry 4.0; Container Terminal Digital transformation; Port Sustainability; Smart Port; Smart Port KPIs</t>
  </si>
  <si>
    <t>JNNJCAQR</t>
  </si>
  <si>
    <t>Toffetti, Giovanni; Militano, Leonardo; Tharaka, Ratnayake; Straub, Mark</t>
  </si>
  <si>
    <t>ROS-based Robotic Applications Orchestration in the Compute Continuum: Challenges and Approaches</t>
  </si>
  <si>
    <t>10.1145/3603166.3632555</t>
  </si>
  <si>
    <t>https://doi.org/10.1145/3603166.3632555</t>
  </si>
  <si>
    <t>With the adoption of robots growing in several industrial sectors (e.g., logistics, healthcare, agriculture) comes the experience that in "robotic applications" robots are but components of larger distributed systems and, despite their specific requirements and assumptions, should be integrated with the other elements.This paper reports on the main challenges of building distributed robotic applications and discusses different approaches in which such applications are orchestrated and managed in the compute continuum from the Cloud to the Edge of the network.</t>
  </si>
  <si>
    <t>cloud; edge; IoT; orchestration; fog; cloud robotics; compute continuum</t>
  </si>
  <si>
    <t>QZ8ASUT7</t>
  </si>
  <si>
    <t>Patel, Pratyush; Gregersen, Theo; Anderson, Thomas</t>
  </si>
  <si>
    <t>An Agile Pathway Towards Carbon-aware Clouds</t>
  </si>
  <si>
    <t>Proceedings of the 2nd Workshop on Sustainable Computer Systems</t>
  </si>
  <si>
    <t>979-8-4007-0242-6</t>
  </si>
  <si>
    <t>10.1145/3604930.3605722</t>
  </si>
  <si>
    <t>https://doi.org/10.1145/3604930.3605722</t>
  </si>
  <si>
    <t>HotCarbon '23</t>
  </si>
  <si>
    <t>event-place: Boston, MA, USA</t>
  </si>
  <si>
    <t>Climate change is a pressing threat to planetary well-being that can be addressed only by rapid near-term actions across all sectors. Yet, the cloud computing sector, with its increasingly large carbon footprint, has initiated only modest efforts to reduce emissions to date; its main approach today relies on cloud providers sourcing renewable energy from a limited global pool of options. We investigate how to accelerate cloud computing's efforts. Our approach tackles carbon reduction from a software standpoint by gradually integrating carbon awareness into the cloud abstraction. Specifically, we identify key bottlenecks to software-driven cloud carbon reduction, including (1) the lack of visibility and disaggregated control between cloud providers and users over infrastructure and applications, (2) the immense overhead presently incurred by application developers to implement carbon-aware application optimizations, and (3) the increasing complexity of carbon-aware resource management due to renewable energy variability and growing hardware heterogeneity. To overcome these barriers, we propose an agile approach that federates the responsibility and tools to achieve carbon awareness across different cloud stakeholders. As a key first step, we advocate leveraging the role of application operators in managing large-scale cloud deployments and integrating carbon efficiency metrics into their cloud usage workflow. We discuss various techniques to help operators reduce carbon emissions, such as carbon budgets, service-level visibility into emissions, and configurable-yet-centralized resource management optimizations.</t>
  </si>
  <si>
    <t>cloud computing; sustainability; carbon reduction</t>
  </si>
  <si>
    <t>EM3BEXWD</t>
  </si>
  <si>
    <t>Zuppelli, Marco; Guarascio, Massimo; Caviglione, Luca; Liguori, Angelica</t>
  </si>
  <si>
    <t>No Country for Leaking Containers: Detecting Exfiltration of Secrets Through AI and Syscalls</t>
  </si>
  <si>
    <t>Proceedings of the 19th International Conference on Availability, Reliability and Security</t>
  </si>
  <si>
    <t>979-8-4007-1718-5</t>
  </si>
  <si>
    <t>10.1145/3664476.3670884</t>
  </si>
  <si>
    <t>https://doi.org/10.1145/3664476.3670884</t>
  </si>
  <si>
    <t>ARES '24</t>
  </si>
  <si>
    <t>event-place: Vienna, Austria</t>
  </si>
  <si>
    <t>Containers offer lightweight execution environments for implementing microservices or cloud-native applications. Owing to their ubiquitous diffusion jointly with the complex interplay of hardware, computing, and network resources, effectively enforcing container security is a difficult task. Specifically, runtime detection of threats poses many challenges since container images are often immutable, and many malware deploys obfuscation or elusive mechanisms. Therefore, in this work, we propose a deep-learning-based approach for identifying the presence of two containers colluding to covertly leak secret information. In more detail, we consider a threat actor trying to exfiltrate a 4,096-bit private TLS key via five different covert channels. To decide whether containers are colluding for leaking data, the deep learning model is fed with statistical indicators of the syscalls, which are built starting from simple counters. Results indicate the effectiveness of our approach, even if some adjustments are needed to reduce the number of false positives.</t>
  </si>
  <si>
    <t>Container Leakages; Deep Learning; Security</t>
  </si>
  <si>
    <t>UNSZ2ZJG</t>
  </si>
  <si>
    <t>Boubin, Jayson G.; Babu, Naveen T. R.; Stewart, Christopher; Chumley, John; Zhang, Shiqi</t>
  </si>
  <si>
    <t>Managing edge resources for fully autonomous aerial systems</t>
  </si>
  <si>
    <t>10.1145/3318216.3363306</t>
  </si>
  <si>
    <t>https://doi.org/10.1145/3318216.3363306</t>
  </si>
  <si>
    <t>74‚Äì87</t>
  </si>
  <si>
    <t>Fully autonomous aerial systems (FAAS) fly complex missions guided wholly by software. If users choose software, compute hardware and aircraft well, FAAS can complete missions faster and safer than unmanned aerial systems piloted by humans. On the other hand, poorly managed edge resources slow down missions, waste energy and inflate costs. This paper presents a model-driven approach to manage FAAS. We fly real FAAS missions, profile compute and aircraft resource usage and model expected demands. Naive profiling approaches use traces from previous flights to infer resource usage. However, edge resources can affect where FAAS fly and which data they sense. Usage profiles can diverge greatly across edge management policies. Instead of using traces, we characterize whole flight areas to accurately model resource usage for any flight path. We combine expected resource demands to model mission throughput, i.e., missions completed per fully charged battery. We validated our model by creating FAAS, measuring mission throughput across many system settings. Our FAAS benchmarks, released through our open source FAAS suite SoftwarePilot, execute realistic missions: autonomous photography, search and rescue, and agricultural scouting using well-known software. Our model predicted throughput with 4% error across mission, software and hardware settings. Competing approaches yielded 10‚Äì24% error. We used our SoftwarePilot benchmarks to study (1) GPU acceleration, scale up, and scale out, (2) onboard, edge and cloud computing, (3) energy and monetary budgets, and (4) software driven GPU management. We found that model-driven management can boost mission throughput by 10X and reduce costs by 87%.</t>
  </si>
  <si>
    <t>TFLFWVUV</t>
  </si>
  <si>
    <t>Tourani, Reza; Bos, Austin; Misra, Satyajayant; Esposito, Flavio</t>
  </si>
  <si>
    <t>Towards security-as-a-service in multi-access edge</t>
  </si>
  <si>
    <t>10.1145/3318216.3363335</t>
  </si>
  <si>
    <t>https://doi.org/10.1145/3318216.3363335</t>
  </si>
  <si>
    <t>358‚Äì363</t>
  </si>
  <si>
    <t>The prevailing network security measures are often implemented on proprietary appliances that are deployed at fixed network locations with constant capacity. Such a rigid deployment is sometimes necessary, but undermines the flexibility of security services in meeting the demands of emerging applications, such as augmented/virtual reality, autonomous driving, and 5G for industry 4.0, which are provoked by the evolution of connected and smart devices, their heterogeneity, and integration with cloud and edge computing infrastructures.To loosen these rigid security deployments, in this paper, we propose a data-centric SECurity-as-a-Service (SECaaS) framework for elastic deployment and provisioning of security services at the Multi-Access Edge Computing (MEC) infrastructure. In particular, we discuss three security services that are suitable for edge deployment: (i) an intrusion detection and prevention system (IDPS), (ii) an access control enforcement system (ACE), and (iii) a communication anonymization service (CA). We benchmark the common security microservices along with the design and implementation of a proof of concept communication anonymization application.</t>
  </si>
  <si>
    <t>security; microservice; edge computing; virtualization; NDN</t>
  </si>
  <si>
    <t>BGR9BHZB</t>
  </si>
  <si>
    <t>Stewart, Christopher; Morris, Nathaniel; Chen, Lydia; Birke, Robert</t>
  </si>
  <si>
    <t>Performance Modeling for Short-Term Cache Allocation</t>
  </si>
  <si>
    <t>Proceedings of the 51st International Conference on Parallel Processing</t>
  </si>
  <si>
    <t>978-1-4503-9733-9</t>
  </si>
  <si>
    <t>10.1145/3545008.3545094</t>
  </si>
  <si>
    <t>https://doi.org/10.1145/3545008.3545094</t>
  </si>
  <si>
    <t>ICPP '22</t>
  </si>
  <si>
    <t>event-place: Bordeaux, France</t>
  </si>
  <si>
    <t>Short-term cache allocation grants and then revokes access to processor cache lines dynamically. For online services, short-term allocation can speed up targeted query executions and free up cache lines reserved, but normally not needed, for performance. However, in collocated settings, short-term allocation can increase cache contention, slowing down collocated query executions. To offset slowdowns, collocated services may request short-term allocation more often, making the problem worse. Short-term allocation policies manage which queries receive cache allocations and when. In collocated settings, these policies should balance targeted query speedups against slowdowns caused by recurring cache contention. We present a model-driven approach that (1) predicts response time under a given policy, (2) explores competing policies and (3) chooses policies that yield low response time for all collocated services. Our approach profiles cache usage offline, characterizes the effects of cache allocation policies using deep learning techniques and devises novel performance models for short-term allocation with online services. We tested our approach using data processing, cloud, and high-performance computing benchmarks collocated on Intel processors equipped with Cache Allocation Technology. Our models predicted median response time with 11% absolute percent error. Short-term allocation policies found using our approach out performed state-of-the-art shared cache allocation policies by 1.2‚Äì2.3X.</t>
  </si>
  <si>
    <t>MWNURXWH</t>
  </si>
  <si>
    <t>Khakimov, Abdukodir; Loborchuk, Aleksandr; Ibodullokhodzha, Ibodulaev; Poluektov, Dmitry; Elgendy, Ibrahim A.; Muthanna, Ammar</t>
  </si>
  <si>
    <t>Edge Computing Resource Allocation Orchestration System for Autonomous Vehicles</t>
  </si>
  <si>
    <t>Proceedings of the 4th International Conference on Future Networks and Distributed Systems</t>
  </si>
  <si>
    <t>978-1-4503-8886-3</t>
  </si>
  <si>
    <t>10.1145/3440749.3442594</t>
  </si>
  <si>
    <t>https://doi.org/10.1145/3440749.3442594</t>
  </si>
  <si>
    <t>ICFNDS '20</t>
  </si>
  <si>
    <t>event-place: St.Petersburg, Russian Federation</t>
  </si>
  <si>
    <t>Edge computing is the key to building 5G Networks and Future 2030 Networks. Edge computing extends the cloud computing paradigm by placing resources close to the network edges to cope with the upcoming growth of connected devices. Future applications: health monitoring and predictive services within the framework of the Smart City, Internet of things (IoT), vehicular ad hoc network, autonomous vehicles present a new set of strict requirements, such as low latency. In this paper, we develop a set of methods for managing and orchestrating new intelligent services in a new network and computing infrastructure. In addition, we consider a new prototype using an orchestration system for managing the autonomous vehicles‚Äô resources in comparison with the existing approaches to the design of high-load networks. This orchestration platform is based on independent Docker containers that running the orchestration system. The main goal of our proposed system is to build an efficient network architecture with a minimum delay to process the information based on neural networks. Finally, simulation results proved that the proposed system can significantly not only reduce the overall network load but also increase the quality of the transmitted stream across the network in comparison with traditional network architectures.</t>
  </si>
  <si>
    <t>Edge Computing; V2X; MEC; Network</t>
  </si>
  <si>
    <t>XQKG7AK9</t>
  </si>
  <si>
    <t>Fang, Zhou; Hong, Dezhi; Gupta, Rajesh K.</t>
  </si>
  <si>
    <t>Serving deep neural networks at the cloud edge for vision applications on mobile platforms</t>
  </si>
  <si>
    <t>Proceedings of the 10th ACM Multimedia Systems Conference</t>
  </si>
  <si>
    <t>978-1-4503-6297-9</t>
  </si>
  <si>
    <t>10.1145/3304109.3306221</t>
  </si>
  <si>
    <t>https://doi.org/10.1145/3304109.3306221</t>
  </si>
  <si>
    <t>36‚Äì47</t>
  </si>
  <si>
    <t>MMSys '19</t>
  </si>
  <si>
    <t>event-place: Amherst, Massachusetts</t>
  </si>
  <si>
    <t>The proliferation of high resolution cameras on embedded devices along with the growing maturity of deep neural networks (DNNs) has spawned powerful mobile vision applications. To enable applications on mobile devices, the offloading approach processes live video streams using DNNs on server-class GPU accelerators. However, their use in latency constrained applications is particularly challenging because of the large and unpredictable round-trip latency from mobile devices to the cloud computing resources. As a consequence, system designers routinely look for ways to offload to local servers at the cloud edge, known as the cloudlet. This paper explores the potential of serving multiple DNNs using the cloudlet model to implement complex vision applications on mobile devices. We present DeepQuery, a new mobile offloading system that is capable to serve DNNs with different structures for a wide range of tasks including object detection and tracking, scene graph detection, and video description. DeepQuery provides application programming interfaces to offload applications programed as Directed Acyclic Graphs of DNN queries, and employs data parallelization and input batching techniques to reduce processing delays. To improve GPU utilization, it co-locates real-time and delay-tolerant tasks on shared GPUs, and exploits a predictive and plan-ahead approach to alleviate resource contention caused by co-locating. We evaluate DeepQuery and demonstrate its effectiveness using several real world applications.</t>
  </si>
  <si>
    <t>cloud computing; edge computing; computer vision; deep neural networks; mobile computing</t>
  </si>
  <si>
    <t>HLJ2LM87</t>
  </si>
  <si>
    <t>Neupane, Bijay; Siksnys, Laurynas; Pedersen, Torben Bach; Hagensby, Rikke; Aftab, Muhammad; Eck, Bradley; Fusco, Francesco; Gormally, Robert; Purcell, Mark; Tirupathi, Seshu; Cerne, Gregor; Brus, Saso; Papageorgiou, Ioannis; Meindl, Gerhard; Roduit, Pierre</t>
  </si>
  <si>
    <t>GOFLEX: extracting, aggregating and trading flexibility based on FlexOffers for 500+ prosumers in 3 European cities [operational systems paper]</t>
  </si>
  <si>
    <t>Proceedings of the Thirteenth ACM International Conference on Future Energy Systems</t>
  </si>
  <si>
    <t>978-1-4503-9397-3</t>
  </si>
  <si>
    <t>10.1145/3538637.3538865</t>
  </si>
  <si>
    <t>https://doi.org/10.1145/3538637.3538865</t>
  </si>
  <si>
    <t>361‚Äì373</t>
  </si>
  <si>
    <t>e-Energy '22</t>
  </si>
  <si>
    <t>event-place: Virtual Event</t>
  </si>
  <si>
    <t>A demand response scheme that uses direct device control to actively exploit prosumer flexibility has been identified as a key remedy to meet the challenge of increased renewable energy sources integration. Although a number of direct control-based demand response solutions exist and have been successfully deployed and demonstrated in the real world, they are typically designed for, and are effective only at small scale and/or target specific types of loads, leading to relatively high cost-of-entry. This prohibits deploying scalable solutions.The H2020 GOFLEX project has addressed this issue and developed a scalable, general, and replicable so-called GOFLEX system, which offers a market-driven approach to solve congestion problems in distribution grids based on aggregated individual flexibilities from a wide range of prosumers, both small (incl. electric vehicles, heat-pumps, boilers, freezers, fridges) and large (incl. factories, water pumping stations, etc.). By encompassing individual prosumers, aggregators, distribution system operators, and energy multi-utilities and retailers. It is a system of systems, where all flexibilities in electricity demand, production, and storage are extracted, (dis)aggregated, optimized, and traded using the powerful and standardized FlexOffer format, yielding a general and replicable solution with low cost-of-entry. The system has been successfully deployed in Switzerland, Germany, and Cyprus where it has controlled loads of 500+ prosumers, with a total of 800MWh flexibility offered on the market, offering up to 64% of adaptability in peak demand. In this paper, we present the overall architecture of the GOFLEX system, its sub-systems, and the interaction between these sub-systems. We then discuss the configurations, observations, and key results of using the GOFLEX system both in the aforementioned 3 demo sites - within the GOFLEX project and after the project.</t>
  </si>
  <si>
    <t>GVXPF5DS</t>
  </si>
  <si>
    <t>Nguyen, Tuan D. A.; Kumar, Akash</t>
  </si>
  <si>
    <t>Maximizing the Serviceability of Partially Reconfigurable FPGA Systems in Multi-tenant Environment</t>
  </si>
  <si>
    <t>Proceedings of the 2020 ACM/SIGDA International Symposium on Field-Programmable Gate Arrays</t>
  </si>
  <si>
    <t>978-1-4503-7099-8</t>
  </si>
  <si>
    <t>10.1145/3373087.3375305</t>
  </si>
  <si>
    <t>https://doi.org/10.1145/3373087.3375305</t>
  </si>
  <si>
    <t>29‚Äì39</t>
  </si>
  <si>
    <t>FPGA '20</t>
  </si>
  <si>
    <t>event-place: Seaside, CA, USA</t>
  </si>
  <si>
    <t>In cloud computing, software is transitioning from monolithic to microservices architecture to improve the maintainability, upgradability and the flexibility of the applications. They are able to request a service with different implementations of the same functionality, including hardware accelerator, depending on cost and performance. This model opens up a new opportunity to integrate reconfigurable hardware, specifically, FPGA, in the cloud to offer such services. There are many research works discussing solutions for this problem but they focus primarily on the high-level aspects of resource manager, hypervisor or hardware architecture. The low-level physical design choices of FPGA to maximize the accelerator allocation success rate (called serviceability) is largely untouched. In this paper, we propose a design space exploration algorithm to determine the best configuration of partially reconfigurable regions (PRRs) to host the accelerators. Besides, the algorithm is capable of estimating the actual resources occupied by the PRRs on the FPGA even before floorplanning. We systematically study the effects of having more PRRs on the system in various aspects, i.e., serviceability, waiting time and resource wastage. The experiments show that at a certain number of PRRs, upto 91% serviceability can be achieved for 12 concurrent users. It is a significant improvement from 52% without our approach. The average amount of time that each request has to wait to be served is also reduced by 6.3X. Furthermore, the cumulative unused FPGA resources is reduced almost by half.</t>
  </si>
  <si>
    <t>cloud; microservice; design automation; design space exploration; floorplan; fpga; partial reconfiguration</t>
  </si>
  <si>
    <t>TYEUCDXK</t>
  </si>
  <si>
    <t>Bartolomeo, Giovanni; Cao, Jacky; Su, Xiang; Mohan, Nitinder</t>
  </si>
  <si>
    <t>Characterizing Distributed Mobile Augmented Reality Applications at the Edge</t>
  </si>
  <si>
    <t>Companion of the 19th International Conference on Emerging Networking EXperiments and Technologies</t>
  </si>
  <si>
    <t>979-8-4007-0407-9</t>
  </si>
  <si>
    <t>10.1145/3624354.3630584</t>
  </si>
  <si>
    <t>https://doi.org/10.1145/3624354.3630584</t>
  </si>
  <si>
    <t>9‚Äì18</t>
  </si>
  <si>
    <t>CoNEXT 2023</t>
  </si>
  <si>
    <t>Mobile Augmented Reality (AR) is gaining traction as a compelling application due to recent advancements in hardware and software. Previous studies have suggested that distributing AR services on an edge computing infrastructure can offer significant performance benefits, especially for consolidating concurrent clients. In this study, we shed light on several research challenges directly impacting the effective integration of distributed AR and edge computing. Specifically, we conduct extensive experiments by deploying our distributed stream processing-based AR pipeline, scAtteR, on a representative edge-cloud infrastructure managed by the Oakestra framework. We uncover several unapparent challenges that inhibit the effective marriage of distributed AR when deployed on edge and demonstrate the potential improvements through scAtteR++. We offer valuable insights and best practices to the growing AR research community, specifically those interested in leveraging edge and public cloud technologies for large-scale AR operations.</t>
  </si>
  <si>
    <t>containers; orchestration; edge computing; Augmented reality; distributed stream processing</t>
  </si>
  <si>
    <t>72VCDJU3</t>
  </si>
  <si>
    <t>Shilpika; Lusch, Bethany; Vishwanath, Venkatram; Papka, Michael E.</t>
  </si>
  <si>
    <t>An Incremental Multi-Level, Multi-Scale Approach to Assessment of Multifidelity HPC Systems</t>
  </si>
  <si>
    <t>Proceedings of the SC '24 Workshops of the International Conference on High Performance Computing, Network, Storage, and Analysis</t>
  </si>
  <si>
    <t>979-8-3503-5554-3</t>
  </si>
  <si>
    <t>10.1109/SCW63240.2024.00197</t>
  </si>
  <si>
    <t>https://doi.org/10.1109/SCW63240.2024.00197</t>
  </si>
  <si>
    <t>1576‚Äì1587</t>
  </si>
  <si>
    <t>SC-W '24</t>
  </si>
  <si>
    <t>With the growing complexity in architecture and the size of large-scale computing systems, monitoring and analyzing system behavior and events has become daunting. Monitoring data amounting to terabytes per day are collected by sensors housed in these massive systems at multiple fidelity levels and varying temporal resolutions. In this work, we develop an incremental version of multiresolution dynamic mode decomposition (mrDMD), which converts high-dimensional data to spatial-temporal patterns at varied frequency ranges. Our incremental implementation of the mrDMD algorithm (I-mrDMD) promptly reveals valuable information in the massive environment log dataset, which is then visually aligned with the processed hardware and job log datasets through our generalizable rack visualization using D3 visualization integrated into the Jupyter Notebook interface. We demonstrate the efficacy of our approach with two use scenarios on a real-world dataset from a Cray XC40 supercomputer, Theta.</t>
  </si>
  <si>
    <t>scalability; Dynamic mode decomposition; high performance computing; incremental analysis; mrDMD; online analysis; visualization</t>
  </si>
  <si>
    <t>5MQ5H52U</t>
  </si>
  <si>
    <t>Chegini, Hossein; Mahanti, Aniket</t>
  </si>
  <si>
    <t>A Framework of Automation on Context-Aware Internet of Things (IoT) Systems</t>
  </si>
  <si>
    <t>Proceedings of the 12th IEEE/ACM International Conference on Utility and Cloud Computing Companion</t>
  </si>
  <si>
    <t>978-1-4503-7044-8</t>
  </si>
  <si>
    <t>10.1145/3368235.3368848</t>
  </si>
  <si>
    <t>https://doi.org/10.1145/3368235.3368848</t>
  </si>
  <si>
    <t>157‚Äì162</t>
  </si>
  <si>
    <t>UCC '19 Companion</t>
  </si>
  <si>
    <t>event-place: Auckland, New Zealand</t>
  </si>
  <si>
    <t>An ever-increasing number of different types of objects are connecting to the Internet, and this phenomenon is called the Internet of Things(IoT). Processing the IoT generated data by Cloud Computing causes high latency. Fog Computing is a new motivation for resolving the latency issue, which is a hosting environment between the IoT and the Cloud layers. IoT applications are faced with three significant challenges: big data, device heterogeneity, and Fog resiliency. With the motivation of resolving the challenges, this proposal introduces a Microservice software framework for implementing automatic functions in the IoT-Fog-Cloud ecosystem. The proposed Microservice framework will also enable the development of IoT-based context-aware intelligent decision-making systems. We describe the functionality and contribution of each automatic function in the paper.</t>
  </si>
  <si>
    <t>cloud computing; microservice; fog computing; iot; automation; complex event processing; context-aware system; machine-to-machine(m2m)</t>
  </si>
  <si>
    <t>IYRXB7LW</t>
  </si>
  <si>
    <t>Qiao, Junfeng; Zhou, Aihua; Peng, Lin; Wang, Yiqing; Shen, Xiaofeng; Pan, Sen; Yang, Pei</t>
  </si>
  <si>
    <t>Research on the Integration and Fusion Technology of Distribution Network Data Resources Considering New Energy</t>
  </si>
  <si>
    <t>Proceedings of the 6th International Conference on Information Technologies and Electrical Engineering</t>
  </si>
  <si>
    <t>979-8-4007-0829-9</t>
  </si>
  <si>
    <t>10.1145/3640115.3640217</t>
  </si>
  <si>
    <t>https://doi.org/10.1145/3640115.3640217</t>
  </si>
  <si>
    <t>630‚Äì635</t>
  </si>
  <si>
    <t>ICITEE '23</t>
  </si>
  <si>
    <t>event-place: Changde, Hunan, China</t>
  </si>
  <si>
    <t>The essence of the construction and development of new power systems is to improve the functionality and performance of existing power systems, and the distribution network is the key to the functionality of the power system. Therefore, the upgrading and optimization of the distribution network is the key to the success of the modern energy revolution, and the development of the distribution network is also faced with management and technical challenges brought by new equipment and resources. This article proposes a distribution network data resource integration and fusion method that takes into account new energy, integrating the constantly emerging new power equipment and facilities as well as their corresponding data resources into existing power information management systems. Using the integrated distribution network data platform as the data base to support the deepening and development of distribution network business applications. Firstly, the data description characteristics of the new power equipment and facilities are sorted out, and the description rule system is extracted using the methods of power equivalence processing and equipment profiling. Due to the lack of standardized description rules for new energy equipment, it is necessary to reorganize and construct a corresponding description rule system. Then map and correspond its description rules with existing power information description rules, find its mapping method, and build a mapping rule library. Finally, based on the mapping rule library, the fusion of new energy data and existing distribution network data resources is achieved, and the accuracy and applicability of data resource fusion are verified by selecting real data from business application scenarios.</t>
  </si>
  <si>
    <t>Application validation; Data mapping rules; Data resource integration; Distribution network; New energy</t>
  </si>
  <si>
    <t>R3E76NTE</t>
  </si>
  <si>
    <t>Massa, Jacopo</t>
  </si>
  <si>
    <t>Towards a Comprehensive Approach to Resource and Conflict Management in Cloud-Edge Settings</t>
  </si>
  <si>
    <t>Proceedings of the 33rd International Symposium on High-Performance Parallel and Distributed Computing</t>
  </si>
  <si>
    <t>979-8-4007-0413-0</t>
  </si>
  <si>
    <t>10.1145/3625549.3658829</t>
  </si>
  <si>
    <t>https://doi.org/10.1145/3625549.3658829</t>
  </si>
  <si>
    <t>397‚Äì400</t>
  </si>
  <si>
    <t>HPDC '24</t>
  </si>
  <si>
    <t>event-place: Pisa, Italy</t>
  </si>
  <si>
    <t>As the Internet of Things (IoT) gains popularity, the multitude of connected devices accessing computing facilities along the Cloud-IoT continuum has risen rapidly. This growth has prompted an increase in IoT-based applications and the data they process. These applications often carry specific Quality of Service (QoS) requirements, necessitating the research of strategic management for services and data, coupled with routes across the IoT and application components. Concurrently, our research explores the integration of Intent-Based Networking (IBN) principles to manage data flows and resolve conflicts among stakeholders sharing the same infrastructure. This dual-focus approach aims to support the effective placement and management of multi-service applications on Cloud-IoT resources, considering QoS, data characteristics, and resource conflict detection and resolution. This work outlines our primary objectives and shares findings from our ongoing research.</t>
  </si>
  <si>
    <t>cloud computing; constraint and logic languages; intent-based networking; network resources allocation</t>
  </si>
  <si>
    <t>XTPMP3CX</t>
  </si>
  <si>
    <t>Zafeiropoulos, Anastasios; Filinis, Nikos; Spatharakis, Dimitrios; Dimolitsas, Ioannis; Fotopoulou, Eleni; Vassilakis, Constantinos; Papavassiliou, Symeon</t>
  </si>
  <si>
    <t>Data Management and Exchange between a Meta-Orchestration Platform and Data Spaces</t>
  </si>
  <si>
    <t>Proceedings of the 4th Eclipse Security, AI, Architecture and Modelling Conference on Data Space</t>
  </si>
  <si>
    <t>979-8-4007-0984-5</t>
  </si>
  <si>
    <t>10.1145/3685651.3686698</t>
  </si>
  <si>
    <t>https://doi.org/10.1145/3685651.3686698</t>
  </si>
  <si>
    <t>33‚Äì36</t>
  </si>
  <si>
    <t>eSAAM '24</t>
  </si>
  <si>
    <t>event-place: Mainz, Germany</t>
  </si>
  <si>
    <t>A transition is underway towards the development of orchestration systems for the distributed computing continuum, where microservices-based applications are deployed and managed over resources that span from the Internet of Things (IoT) to the edge to the cloud part of it. In parallel, distributed monitoring frameworks are deployed to manage the vast amount of data produced to assist orchestration actions, optimal deployment of Machine Learning (ML) workflows, and processing of data produced by the IoT infrastructure that are related to vertical industries. In the current work, we detail the data collection and management approach that we follow in the development of a novel meta-orchestration platform for processing and sharing such data. For the latter, the potential for exploitation of the produced data is analyzed along with the interlinkage of the meta-orchestration platform with emerging work in the domain of Data Spaces. Opportunities and limitations for such an interlinkage are discussed.</t>
  </si>
  <si>
    <t>Computing Continuum; Data Spaces; Distributed Application; Meta-Orchestration; Observability</t>
  </si>
  <si>
    <t>GM7UFSA6</t>
  </si>
  <si>
    <t>Malhi, Avleen; Apopei, Vlad; Madhikermi, Manik; Mandeep; Fr√§mling, Kary</t>
  </si>
  <si>
    <t>Smartphone Based Grape Leaf Disease Diagnosis and&amp;nbsp;Remedial System Assisted with&amp;nbsp;Explanations</t>
  </si>
  <si>
    <t>Explainable and Transparent AI and Multi-Agent Systems: 4th International Workshop, EXTRAAMAS 2022, Virtual Event, May 9‚Äì10, 2022, Revised Selected Papers</t>
  </si>
  <si>
    <t>978-3-031-15564-2</t>
  </si>
  <si>
    <t>10.1007/978-3-031-15565-9_4</t>
  </si>
  <si>
    <t>https://doi.org/10.1007/978-3-031-15565-9_4</t>
  </si>
  <si>
    <t>57‚Äì71</t>
  </si>
  <si>
    <t>Plant diseases are one of the biggest challenges faced by the agricultural sector due to the damage and economic losses in crops. Despite the importance, crop disease diagnosis is challenging because of the limited-resources farmers have. Subsequently, the early diagnosis of plant diseases results in considerable improvement in product quality. The aim of the proposed work is to design an ML-powered mobile-based system to diagnose and provide an explanation based remedy for the diseases in grape leaves using image processing and explainable artificial intelligence. The proposed system will employ the computer vision empowered with Machine Learning (ML) for plant disease recognition and explains the predictions while providing remedy for it. The developed system uses Convolutional Neural networks (CNN) as an underlying machine/deep learning engine for classifying the top disease categories and Contextual Importance and Utility (CIU) for localizing the disease areas based on prediction. The user interface is developed as an IOS mobile app, allowing farmers to capture a photo of the infected grape leaves. The system has been evaluated using various performance metrics such as classification accuracy and processing time by comparing with different state-of-the-art algorithms. The proposed system is highly compatible with the Apple ecosystem by developing IOS app with high prediction and response time. The proposed system will act as a prototype for the plant disease detector robotic system.</t>
  </si>
  <si>
    <t>Machine learning; Agriculture; Grape leaf detection; Mobile app</t>
  </si>
  <si>
    <t>ZTBS5G6T</t>
  </si>
  <si>
    <t>Nitu, Vlad; Olivier, Pierre; Tchana, Alain; Chiba, Daniel; Barbalace, Antonio; Hagimont, Daniel; Ravindran, Binoy</t>
  </si>
  <si>
    <t>Swift Birth and Quick Death: Enabling Fast Parallel Guest Boot and Destruction in the Xen Hypervisor</t>
  </si>
  <si>
    <t>Proceedings of the 13th ACM SIGPLAN/SIGOPS International Conference on Virtual Execution Environments</t>
  </si>
  <si>
    <t>978-1-4503-4948-2</t>
  </si>
  <si>
    <t>10.1145/3050748.3050758</t>
  </si>
  <si>
    <t>https://doi.org/10.1145/3050748.3050758</t>
  </si>
  <si>
    <t>1‚Äì14</t>
  </si>
  <si>
    <t>VEE '17</t>
  </si>
  <si>
    <t>event-place: Xi'an, China</t>
  </si>
  <si>
    <t>The ability to quickly set up and tear down a virtual machine is critical for today's cloud elasticity, as well as in numerous other scenarios: guest migration/consolidation, event-driven invocation of micro-services, dynamically adaptive unikernel-based applications, micro-reboots for security or stability, etc.In this paper, we focus on the process of setting up/freeing the hypervisor and host control layer data structures at boot/destruction time, showing that it does not scale in current virtualization solutions. In addition to the direct overhead of long VM set-up/destruction times, we demonstrate by experimentation the indirect costs on real world auto scaling systems. Focusing on the popular Xen hypervisor, we identify three critical issues hindering the scalability of the boot and destruction processes: serialized boot, unscalable interactions with the Xenstore at guest creation time, and remote NUMA memory scrubbing at destruction time. For each of these issues we present the design and implementation of a solution in the Xen infrastructure: parallel boot with fine-grained locking, caching of Xenstore data, and local NUMA scrubbing. We evaluate these solutions using micro-benchmarks, macro-benchmarks, and real world datacenter traces. Results show that our work improves the current Xen implementation by a significant factor, for example macro-benchmarks indicate a speedup of more than 4X in high-load scenarios.</t>
  </si>
  <si>
    <t>Cloud Computing; Elasticity; Scalability; Virtualization</t>
  </si>
  <si>
    <t>H77TN7NV</t>
  </si>
  <si>
    <t>Farahani, Reza; Kimovski, Dragi; Ristov, Sashko; Iosup, Alexandru; Prodan, Radu</t>
  </si>
  <si>
    <t>Towards Sustainable Serverless Processing of Massive Graphs on the Computing Continuum</t>
  </si>
  <si>
    <t>Companion of the 2023 ACM/SPEC International Conference on Performance Engineering</t>
  </si>
  <si>
    <t>979-8-4007-0072-9</t>
  </si>
  <si>
    <t>10.1145/3578245.3585331</t>
  </si>
  <si>
    <t>https://doi.org/10.1145/3578245.3585331</t>
  </si>
  <si>
    <t>221‚Äì226</t>
  </si>
  <si>
    <t>ICPE '23 Companion</t>
  </si>
  <si>
    <t>event-place: Coimbra, Portugal</t>
  </si>
  <si>
    <t>With the ever-increasing volume of data and the demand to analyze and comprehend it, graph processing has become an essential approach for solving complex problems in various domains, like social networks, bioinformatics, and finance. Despite the potential benefits of current graph processing platforms, they often encounter difficulties supporting diverse workloads, models, and languages. Moreover, existing platforms suffer from limited portability and interoperability, resulting in redundant efforts and inefficient resource and energy utilization due to vendor and even platform lock-in. To bridge the aforementioned gaps, the Graph-Massivizer project, funded by the Horizon Europe research and innovation program, conducts research and develops a high-performance, scalable, and sustainable platform for information processing and reasoning based on the massive graph (MG) representation of extreme data. In this paper, we briefly introduce the Graph-Massivizer platform. We explore how the emerging serverless computing paradigm can be leveraged to devise a scalable graph analytics tool over a codesigned computing continuum infrastructure. Finally, we sketch seven crucial research questions in our design and outline three ongoing and future research directions for addressing them.</t>
  </si>
  <si>
    <t>computing continuum; serverless computing; sustainability; graph processing; massive graph</t>
  </si>
  <si>
    <t>64WBSAP9</t>
  </si>
  <si>
    <t>Chen, Lili; Di, Yingqi; Zhang, Lele</t>
  </si>
  <si>
    <t>Implementation of Cloud-based Urban Rail Big Data Platform</t>
  </si>
  <si>
    <t>Proceedings of the 6th International Conference on Computer Science and Application Engineering</t>
  </si>
  <si>
    <t>978-1-4503-9600-4</t>
  </si>
  <si>
    <t>10.1145/3565387.3565402</t>
  </si>
  <si>
    <t>https://doi.org/10.1145/3565387.3565402</t>
  </si>
  <si>
    <t>CSAE '22</t>
  </si>
  <si>
    <t>event-place: Virtual Event, China</t>
  </si>
  <si>
    <t>Facing the wave of digital transformation of urban rail, it has proposed a cloud-based big data platform construction plan following the innovative urban rail development in the paper. The cloud platform provides virtualized resources and services such as computing, storage, networking, security, and Platform-as-a-Service components for the big data platform. The big data platform works as the Data-as-a-Service layer of the cloud, which integrates multiple business application data, conducts data governance, forms data assets, and provides secure, universal, and flexible data sharing services to various advanced intelligent applications. The low-code historical data interface and real-time data service is an innovative function to meet new demands for intelligent operation. Data modeling and optimization in the face of the characteristics of the Hadoop platform are also mentioned. The solution provides data support for the application of intelligent urban rail and realizes the integration of cloud and big data platforms. Meanwhile, the data is passed from producers to consumers through data reorganization of big data platforms, which could isolate the influence of data errors and model changes.</t>
  </si>
  <si>
    <t>Big Data; Cloud Platform; DaaS; Real-time Service; Urban Rail Transit</t>
  </si>
  <si>
    <t>C8FSVIVS</t>
  </si>
  <si>
    <t>Ilager, Shashikant; Balouek, Daniel; Kaddour, Sidi Mohammed; Brandic, Ivona</t>
  </si>
  <si>
    <t>Proteus: Towards Intent-driven Automated Resource Management Framework for Edge Sensor Nodes</t>
  </si>
  <si>
    <t>Proceedings of the 14th Workshop on AI and Scientific Computing at Scale Using Flexible Computing Infrastructures</t>
  </si>
  <si>
    <t>979-8-4007-0642-4</t>
  </si>
  <si>
    <t>10.1145/3659995.3660037</t>
  </si>
  <si>
    <t>https://doi.org/10.1145/3659995.3660037</t>
  </si>
  <si>
    <t>1‚Äì8</t>
  </si>
  <si>
    <t>FlexScience'24</t>
  </si>
  <si>
    <t>Edge computing provides critical resources for various latency-sensitive applications, including, safety-critical monitoring systems that process large volumes of data from sensors and IoT devices, employing machine learning pipelines for effective and reliable analysis. Such applications are deployed on specially designed Edge Sensor Nodes (ESNs) that possess various sensors and limited computing power and support multiple data analysis tasks. ESNs encounter unique operational challenges, including intermittent power supplies, limited connectivity, and dynamic application and resource requirements, which complicate runtime management. Conventional resource management platforms like Kubernetes and KubeEdge are unsuitable for the dynamic needs of ESNs due to their reliance on centralized control and expected stable conditions. To bridge this gap, our paper introduces a data-driven resource management framework tailored for the autonomous adaptation of ESNs to diverse application and infrastructure requirements. We propose an intent-based mechanism that aligns application requirements, such as end-to-end latency, with infrastructure goals like utilization levels. This mechanism translates high-level intents into actionable low-level configurations, balancing the competing demands of various applications and resources, thereby guiding us toward a more robust and efficient application management system. We have implemented a prototype system, evaluated it on an experimental testbed, and demonstrated that our approach performs better than static-only optimization approaches with minimal impact on application performance.</t>
  </si>
  <si>
    <t>edge computing; automated application management; environmental monitoring applications; intent-driven resource management; internet of things (IoT)</t>
  </si>
  <si>
    <t>XNGT8HB9</t>
  </si>
  <si>
    <t>Clausen, Christian Skafte Beck; Lehnhoff, Sebastian; Schwarz, Jan S√∂ren; J√∏rgensen, Bo N√∏rregaard; Ma, Zheng Grace</t>
  </si>
  <si>
    <t>Challenges in Transitioning from Co-simulation to Practical Application: A Case Study on Economic Emission Dispatch in a Greenhouse Compartment</t>
  </si>
  <si>
    <t>Energy Informatics: 4th Energy Informatics Academy Conference, EI.A 2024, Kuta, Bali, Indonesia, October 23‚Äì25, 2024, Proceedings, Part I</t>
  </si>
  <si>
    <t>978-3-031-74737-3</t>
  </si>
  <si>
    <t>10.1007/978-3-031-74738-0_12</t>
  </si>
  <si>
    <t>https://doi.org/10.1007/978-3-031-74738-0_12</t>
  </si>
  <si>
    <t>173‚Äì192</t>
  </si>
  <si>
    <t>event-place: Kuta, Bali, Indonesia</t>
  </si>
  <si>
    <t>Co-simulation is a widely applied method used to analyze the behavior of complex, interdisciplinary, and integrated cyber-physical control systems. Despite its prevalence, the transition from co-simulated control systems into practical applications is not discussed as much in the literature. This leaves a gap in the literature because practitioners may not be aware of these challenges. This paper aims to uncover and discuss some of the challenges that arise in the transition from a co-simulated control system to a practical application.A case study on economic emission dispatch in a Danish industrial greenhouse compartment serves as the fundament in studying these challenges. Economic emission dispatch is a method that can be used in a closed-loop arrangement to decrease costs and emissions of multiple energy production units. The case study is first implemented as a co-simulation which is subject to a subsequent practical implementation. The co-simulation implementation is governed by the open-source framework mosaik that is used extensively in smart grid applications. In contrast, the practical implementation is not governed by mosaik due to architectural design discrepancies. A key feature of the study is the use of software-in-the-loop, which means that the controller being tested is the actual software intended for deployment.The highlighted challenges include that the core abstractions (master algorithm, scenario-script, and protocol) of the co-simulation framework cannot be transferred to an operational context due to design discrepancies. Despite these challenges, the co-simulation can still serve as a baseline for comparing functional performance metrics during the transition.</t>
  </si>
  <si>
    <t>challenges; co-simulation; cyber-physical system; Economic dispatch; greenhouse; SIL; simulation-to-reality gap; software-in-the-loop; transition</t>
  </si>
  <si>
    <t>I57V5V27</t>
  </si>
  <si>
    <t>Moghaddam, Mahyar Tourchi; Muccini, Henry</t>
  </si>
  <si>
    <t>Fault-Tolerant IoT: A Systematic Mapping Study</t>
  </si>
  <si>
    <t>Software Engineering for Resilient Systems: 11th International Workshop, SERENE 2019, Naples, Italy, September 17, 2019, Proceedings</t>
  </si>
  <si>
    <t>978-3-030-30855-1</t>
  </si>
  <si>
    <t>10.1007/978-3-030-30856-8_5</t>
  </si>
  <si>
    <t>https://doi.org/10.1007/978-3-030-30856-8_5</t>
  </si>
  <si>
    <t>67‚Äì84</t>
  </si>
  <si>
    <t>event-place: Naples, Italy</t>
  </si>
  <si>
    <t>A failure may occur at all architectural levels of the Internet of Things (IoT) applications: sensor and actuator nodes can be missed, network links can be down, and processing and storage components can fail to perform properly. That is the reason for which fault-tolerance (FT) has become a crucial concern for IoT systems.Our study aims at identifying and classifying the existing FT mechanisms that can tolerate the IoT systems failure. In line with a systematic mapping study selection procedure, we picked out 60 papers among over 2300 candidate studies. To this end, we applied a rigorous classification and extraction framework to select and analyze the most influential domain-related information. Our analysis revealed the following main findings: (i) whilst researchers tend to study fault-tolerant IoT (FT-IoT) in cloud level only, several studies extend the application to fog and edge computing; (ii) there is a growing scientific interest on using the microservices architecture to address FT in IoT systems; (iii) the IoT components distribution, collaboration and intelligent elements location impact the system resiliency. This study gives a foundation to classify the existing and future approaches for fault-tolerant IoT, by classifying a set of methods, techniques and architectures that are potentially capable to reduce IoT systems failure.</t>
  </si>
  <si>
    <t>Internet of Things; Fault-tolerance; Software architecture; Systematic mapping study</t>
  </si>
  <si>
    <t>LF5898ZI</t>
  </si>
  <si>
    <t>Yi, Shanhe; Hao, Zijiang; Zhang, Qingyang; Zhang, Quan; Shi, Weisong; Li, Qun</t>
  </si>
  <si>
    <t>LAVEA: latency-aware video analytics on edge computing platform</t>
  </si>
  <si>
    <t>Proceedings of the Second ACM/IEEE Symposium on Edge Computing</t>
  </si>
  <si>
    <t>978-1-4503-5087-7</t>
  </si>
  <si>
    <t>10.1145/3132211.3134459</t>
  </si>
  <si>
    <t>https://doi.org/10.1145/3132211.3134459</t>
  </si>
  <si>
    <t>SEC '17</t>
  </si>
  <si>
    <t>event-place: San Jose, California</t>
  </si>
  <si>
    <t>Along the trend pushing computation from the network core to the edge where the most of data are generated, edge computing has shown its potential in reducing response time, lowering bandwidth usage, improving energy efficiency and so on. At the same time, low-latency video analytics is becoming more and more important for applications in public safety, counter-terrorism, self-driving cars, VR/AR, etc. As those tasks are either computation intensive or bandwidth hungry, edge computing fits in well here with its ability to flexibly utilize computation and bandwidth from and between each layer. In this paper, we present LAVEA, a system built on top of an edge computing platform, which offloads computation between clients and edge nodes, collaborates nearby edge nodes, to provide low-latency video analytics at places closer to the users. We have utilized an edge-first design and formulated an optimization problem for offloading task selection and prioritized offloading requests received at the edge node to minimize the response time. In case of a saturating workload on the front edge node, we have designed and compared various task placement schemes that are tailed for inter-edge collaboration. We have implemented and evaluated our system. Our results reveal that the client-edge configuration has a speedup ranging from 1.3x to 4x (1.2x to 1.7x) against running in local (client-cloud configuration). The proposed shortest scheduling latency first scheme outputs the best overall task placement performance for inter-edge collaboration.</t>
  </si>
  <si>
    <t>edge computing; computation offloading</t>
  </si>
  <si>
    <t>7FBUPWVF</t>
  </si>
  <si>
    <t>Kalka, Wojciech; Szydlo, Tomasz</t>
  </si>
  <si>
    <t>ŒºChaos: Moving Chaos Engineering to IoT Devices</t>
  </si>
  <si>
    <t>Computational Science ‚Äì ICCS 2024: 24th International Conference, Malaga, Spain, July 2‚Äì4, 2024, Proceedings, Part VII</t>
  </si>
  <si>
    <t>978-3-031-63785-8</t>
  </si>
  <si>
    <t>10.1007/978-3-031-63783-4_18</t>
  </si>
  <si>
    <t>https://doi.org/10.1007/978-3-031-63783-4_18</t>
  </si>
  <si>
    <t>239‚Äì254</t>
  </si>
  <si>
    <t>The concept of the Internet of Things (IoT) has been widely used in many applications. IoT devices can be exposed to various external factors, such as network congestion, signal interference, and limited network bandwidth. This paper proposes an open-source ŒºChaos software tool for the ZephyrOS real-time operating system for embedded devices. The proposed tool intends to inject failures into device‚Äôs applications in a controlled manner to improve their error-handling algorithms. The proposed novel framework fills the gap in the chaos engineering tools for edge devices in the cloud-edge continuum. In the paper, we also discuss the typical failures of IoT devices and the potential use cases of the solution.</t>
  </si>
  <si>
    <t>IoT; Chaos Engineering; fault injection; Zephyr-OS</t>
  </si>
  <si>
    <t>QFNGFPHR</t>
  </si>
  <si>
    <t>Balteanu, Vasile-Daniel; Neculai, Alexandru; Negru, Catalin; Pop, Florin; Stoica, Adrian</t>
  </si>
  <si>
    <t>Near real-time scheduling in cloud-edge platforms</t>
  </si>
  <si>
    <t>10.1145/3341105.3374046</t>
  </si>
  <si>
    <t>https://doi.org/10.1145/3341105.3374046</t>
  </si>
  <si>
    <t>1264‚Äì1271</t>
  </si>
  <si>
    <t>As Cloud-Edge architectures are becoming more and more popular, due to their improvement on the battery life of the IoT devices and the high availability of data from the Cloud, this approach also creates new problems. As data gathered from the Edge has to be transferred to the Cloud in order to be processed, the result will be a decreased responsiveness of the system. Also, devices might have to process data by themselves, as the Cloud could be unreachable at random moments in time, resulting in a reduction in battery life. Therefore, we propose an architecture that solves these problems, by introducing an intermediate layer, called Fog, which uses a task scheduling algorithm to send data received from Edge to another device that has enough resources and the required hardware and software to complete the task. In addition, the architecture is based on microservices, hence improving scalability and flexibility. In the performance analysis, we used different values to find the best node that should receive the data for processing. In addition, we compared the microservice based architecture with a monolithic one in order to see how the throughput and responsiveness of the system are affected.</t>
  </si>
  <si>
    <t>cloud computing; task scheduling; edge computing</t>
  </si>
  <si>
    <t>WCDMSPG2</t>
  </si>
  <si>
    <t>Hakiri, Akram; Dezfouli, Behnam</t>
  </si>
  <si>
    <t>Towards a Blockchain-SDN Architecture for Secure and Trustworthy 5G Massive IoT Networks</t>
  </si>
  <si>
    <t>Proceedings of the 2021 ACM International Workshop on Software Defined Networks &amp;amp; Network Function Virtualization Security</t>
  </si>
  <si>
    <t>978-1-4503-8318-9</t>
  </si>
  <si>
    <t>10.1145/3445968.3452090</t>
  </si>
  <si>
    <t>https://doi.org/10.1145/3445968.3452090</t>
  </si>
  <si>
    <t>11‚Äì18</t>
  </si>
  <si>
    <t>SDN-NFV Sec'21</t>
  </si>
  <si>
    <t>The emerging 5G mobile network is a prominent technology for addressing networking related challenges of Internet of Things (IoT). The forthcoming 5G is expected to allow low-power massive IoT devices to produce high volumes of data that can be transmitted over ultra-reliable, low-latency wireless communication services. However, IoT systems encounter several security and privacy issues to prevent unauthorized access to IoT nodes. To address these challenges, this paper introduces a novel blockchain-based architecture that leverages Software Defined Network (SDN) and Network Function Virtualization (NFV) for securing IoT transactions. A novel security appliance is introduced in a form of Virtualized Network Functions (VNFs) for improving the scalability and performance of IoT networks. Then, we introduce a novel consensus algorithm to detect and report suspected IoT nodes and mitigate malicious traffic. We evaluate and compare our proposed solution against three well-known consensus algorithms, i.e., Proof of Work (PoW), Proof of Elapsed Time (PoET), and Proof of Stake (PoS). We demonstrate that the proposed solution provides substantially lower latency and higher throughput as well as trustworthy IoT communication.</t>
  </si>
  <si>
    <t>security; IoT; NFV; SDN; blockchain; trust and confidence</t>
  </si>
  <si>
    <t>R6Q3GRIV</t>
  </si>
  <si>
    <t>D√≠az, Jessica; P√©rez, Jennifer; P√©rez, Jorge; Garbajosa, Juan</t>
  </si>
  <si>
    <t>Conceptualizing a framework for cyber-physical systems of systems development and deployment</t>
  </si>
  <si>
    <t>Proccedings of the 10th European Conference on Software Architecture Workshops</t>
  </si>
  <si>
    <t>978-1-4503-4781-5</t>
  </si>
  <si>
    <t>10.1145/2993412.3004852</t>
  </si>
  <si>
    <t>https://doi.org/10.1145/2993412.3004852</t>
  </si>
  <si>
    <t>ECSAW '16</t>
  </si>
  <si>
    <t>Cyber-physical systems (CPS) refer to the next generation of embedded ICT systems that are interconnected, collaborative and that provide users and businesses with a wide range of smart applications and services. Software in CPS applications ranges from small systems to large systems, aka. Systems of Systems (SoS), such as smart grids and cities. CPSoS require managing massive amounts of data, being aware of their emerging behavior, and scaling out to progressively evolve and add new systems. Cloud computing supports processing and storing massive amounts of data, hosting and delivering services, and configuring self-provisioned resources. Therefore, cloud computing is the natural candidate to solve CPSoS needs. However, the diversity of platforms and the low-level cloud programming models make difficult to find a common solution for the development and deployment of CPSoS. This paper presents the architectural foundations of a cloud-centric framework for automating the development and deployment of CPSoS service applications to converge towards a common open service platform for CPSoS applications. This framework relies on the well-known qualities of the microservices architecture style, the autonomic computing paradigm, and the model-driven software development approach. Its implementation and validation is on-going at two European and national projects.</t>
  </si>
  <si>
    <t>cloud computing; microservices; software architecture; cyber-physical systems; model-driven development</t>
  </si>
  <si>
    <t>C6JS2NEV</t>
  </si>
  <si>
    <t>Mahmud, Redowan; Koch, Fernando Luiz; Buyya, Rajkumar</t>
  </si>
  <si>
    <t>Cloud-Fog Interoperability in IoT-enabled Healthcare Solutions</t>
  </si>
  <si>
    <t>Proceedings of the 19th International Conference on Distributed Computing and Networking</t>
  </si>
  <si>
    <t>978-1-4503-6372-3</t>
  </si>
  <si>
    <t>10.1145/3154273.3154347</t>
  </si>
  <si>
    <t>https://doi.org/10.1145/3154273.3154347</t>
  </si>
  <si>
    <t>ICDCN '18</t>
  </si>
  <si>
    <t>event-place: Varanasi, India</t>
  </si>
  <si>
    <t>The issue of utilizing Internet of Things (IoT) in Healthcare solutions relates to the problems of latency sensitivity, uneven data load, diverse user expectations and heterogeneity of the applications. Current explorations consider Cloud Computing as the base stone to create IoT-Enable solution. Nonetheless, this environment entails limitations in terms of multi-hop distance from the data source, geographical centralized architecture, economical aspects, etc. To address these limitations, there is a surge of solutions that apply Fog Computing as an approach to bring computing resources closer to the data sources. This approach is being fomented by the growing availability of powerful edge computing at lower cost and commercial developments in the area. Nonetheless, the implementation of Cloud-Fog interoperability and integration implies in complex coordination of applications and services and the demand for intelligent service orchestrations so that solutions can make the best use of distributed resources without compromising stability, quality of services, and security. In this paper, we introduce a Fog-based IoT-Healthcare solution structure and explore the integration of Cloud-Fog services in interoperable Healthcare solutions extended upon the traditional Cloud-based structure. The scenarios are evaluated through simulations using the iFogSim simulator and the results analyzed in relation to distributed computing, reduction of latency, optimization of data communication, and power consumption. The experimental results point towards improvement in instance cost, network delay and energy usage.</t>
  </si>
  <si>
    <t>Cloud computing; Fog computing; Internet of Things; HealthCare; Interoperable architecture</t>
  </si>
  <si>
    <t>422VSTGA</t>
  </si>
  <si>
    <t>Tuli, Shreshth; Casale, Giuliano</t>
  </si>
  <si>
    <t>Optimizing the Performance of Fog Computing Environments Using AI and Co-Simulation</t>
  </si>
  <si>
    <t>Companion of the 2022 ACM/SPEC International Conference on Performance Engineering</t>
  </si>
  <si>
    <t>978-1-4503-9159-7</t>
  </si>
  <si>
    <t>10.1145/3491204.3527490</t>
  </si>
  <si>
    <t>https://doi.org/10.1145/3491204.3527490</t>
  </si>
  <si>
    <t>25‚Äì28</t>
  </si>
  <si>
    <t>ICPE '22</t>
  </si>
  <si>
    <t>event-place: Bejing, China</t>
  </si>
  <si>
    <t>This tutorial presents a performance engineering approach for optimizing the Quality of Service (QoS) of Edge/Fog/Cloud Computing environments using AI and Coupled-Simulation being developed as part of the Co-Simulation based Container Orchestration (COSCO) framework. It introduces fundamental AI and co-simulation concepts, their importance in QoS optimization and performance engineering challenges in the context of Fog computing. It also discusses how AI models, specifically, deep neural networks (DNNs), can be used in tandem with simulated estimates to take optimal resource management decisions. Additionally, we discuss a few use cases of training DNNs as surrogates to estimate key QoS metrics and utilize such models to build policies for dynamic scheduling in a distributed fog environment. The tutorial demonstrates these concepts using the COSCO framework. Metric monitoring and simulation primitives in COSCO demonstrates the efficacy of an AI and simulation based scheduler on a fog/cloud platform. Finally, we provide AI baselines for resource management problems that arise in the area of fog management.</t>
  </si>
  <si>
    <t>fog computing; performance engineering; artificial intelligence; co-simulation.</t>
  </si>
  <si>
    <t>EFLX3G8N</t>
  </si>
  <si>
    <t>Yuan, Miao; Wang, Wenshuo; Yang, Jian; Deng, Jinlong</t>
  </si>
  <si>
    <t>Design of Simulation System for Typical Application Verification and Testing of Low-voltage Intelligent IoT Power Distribution Area Fusion Terminal</t>
  </si>
  <si>
    <t>Proceedings of the 2023 3rd Guangdong-Hong Kong-Macao Greater Bay Area Artificial Intelligence and Big Data Forum</t>
  </si>
  <si>
    <t>979-8-4007-1636-2</t>
  </si>
  <si>
    <t>10.1145/3660395.3660441</t>
  </si>
  <si>
    <t>https://doi.org/10.1145/3660395.3660441</t>
  </si>
  <si>
    <t>261‚Äì266</t>
  </si>
  <si>
    <t>AIBDF '23</t>
  </si>
  <si>
    <t>As the smallest unit for power supply and distribution management, the power distribution area directly faces the access of a large number of low-voltage users, with a huge scale. In particular, with the proposal of the goal of "carbon peak, carbon neutrality" and the gradual implementation of the construction of new power systems, a large number of distributed photovoltaic, electric vehicles, energy storage, and other new source loads are connected to the power distribution area in a large-scale manner. The demand for intelligent interaction between the distribution network and users is gradually emerging and growing. The construction of digitally intelligent Internet of Things power distribution area has become a consensus and an inevitable trend. In order to promote and implement the construction of digital intelligent IoT stations, it is necessary to carry out simulation construction of low-voltage intelligent IoT stations, simulate and build real application scenarios, in order to better carry out research and exploration verification of the application of key technologies such as intelligent IoT in distribution stations. Thus providing technical support and guidance for the implementation of the new power system construction at the low-voltage substation level. This article, based on project experience, focuses on the verification methods and environmental design ideas for three typical application functions of low-voltage topology identification, fault location analysis, and power quality analysis of the intelligent integration terminal in the power distribution area, in order to provide a reference for the simulation design of low-voltage intelligent IoT power distribution area.</t>
  </si>
  <si>
    <t>35MG7R4A</t>
  </si>
  <si>
    <t>Bhasi, Vivek M.; Gunasekaran, Jashwant Raj; Thinakaran, Prashanth; Mishra, Cyan Subhra; Kandemir, Mahmut Taylan; Das, Chita</t>
  </si>
  <si>
    <t>Kraken: Adaptive Container Provisioning for Deploying Dynamic DAGs in Serverless Platforms</t>
  </si>
  <si>
    <t>Proceedings of the ACM Symposium on Cloud Computing</t>
  </si>
  <si>
    <t>978-1-4503-8638-8</t>
  </si>
  <si>
    <t>10.1145/3472883.3486992</t>
  </si>
  <si>
    <t>https://doi.org/10.1145/3472883.3486992</t>
  </si>
  <si>
    <t>153‚Äì167</t>
  </si>
  <si>
    <t>SoCC '21</t>
  </si>
  <si>
    <t>event-place: Seattle, WA, USA</t>
  </si>
  <si>
    <t>The growing popularity of microservices has led to the proliferation of online cloud service-based applications, which are typically modelled as Directed Acyclic Graphs (DAGs) comprising of tens to hundreds of microservices. The vast majority of these applications are user-facing, and hence, have stringent SLO requirements. Serverless functions, having short resource provisioning times and instant scalability, are suitable candidates for developing such latency-critical applications. However, existing serverless providers are unaware of the workflow characteristics of application DAGs, leading to container over-provisioning in many cases. This is further exacerbated in the case of dynamic DAGs, where the function chain for an application is not known a priori. Motivated by these observations, we propose Kraken, a workflow-aware resource management framework that minimizes the number of containers provisioned for an application DAG while ensuring SLO-compliance. We design and implement Kraken on OpenFaaS and evaluate it on a multi-node Kubernetes-managed cluster. Our extensive experimental evaluation using DeathStarbench workload suite and real-world traces demonstrates that Kraken spawns up to 76% fewer containers, thereby improving container utilization and saving cluster-wide energy by up to 4x and 48%, respectively, when compared to state-of-the art schedulers employed in serverless platforms.</t>
  </si>
  <si>
    <t>LJ7VE5SJ</t>
  </si>
  <si>
    <t>Zhang, Chengting; Ye, Zhihui; Jin, Wenlong; Shi, Dingke</t>
  </si>
  <si>
    <t>Research on the construction of visual intelligent park management system</t>
  </si>
  <si>
    <t>Proceedings of the 2022 6th International Conference on Electronic Information Technology and Computer Engineering</t>
  </si>
  <si>
    <t>978-1-4503-9714-8</t>
  </si>
  <si>
    <t>10.1145/3573428.3573601</t>
  </si>
  <si>
    <t>https://doi.org/10.1145/3573428.3573601</t>
  </si>
  <si>
    <t>957‚Äì960</t>
  </si>
  <si>
    <t>EITCE '22</t>
  </si>
  <si>
    <t>event-place: Xiamen, China</t>
  </si>
  <si>
    <t>With the continuous deepening and development of smart city construction, the concept of smart parks has gradually entered the public's field of vision. The construction of smart parks is an important way to realize the modernization and intelligence of park management. Through the construction of smart parks, various resources can not only be utilized and integrated, but also the operation efficiency of the parks can be comprehensively improved. The so-called wisdom not only means to increase the construction of infrastructure, but also to strengthen the construction of informatization. By establishing a set of visual intelligent park management and control platform, the originally independent subsystems can be linked according to the management characteristics of the park, so as to improve The overall management service level of the park. Based on this, the construction plan of the visualized smart park management system is proposed.</t>
  </si>
  <si>
    <t>Internet of things; Microservice architecture; Visualization</t>
  </si>
  <si>
    <t>CAB4PTA3</t>
  </si>
  <si>
    <t>Poleggi, Marco Emilio; Abdennadher, Nabil; Dupuis, Raoul; Mendon√ßa, Francisco</t>
  </si>
  <si>
    <t>Edge-to-Cloud Solutions for&amp;nbsp;Self-adaptive Machine Learning-Based IoT Applications: A Cost Comparison</t>
  </si>
  <si>
    <t>Economics of Grids, Clouds, Systems, and Services: 19th International Conference, GECON 2022, Izola, Slovenia, September 13‚Äì15, 2022, Proceedings</t>
  </si>
  <si>
    <t>978-3-031-29314-6</t>
  </si>
  <si>
    <t>10.1007/978-3-031-29315-3_8</t>
  </si>
  <si>
    <t>https://doi.org/10.1007/978-3-031-29315-3_8</t>
  </si>
  <si>
    <t>89‚Äì102</t>
  </si>
  <si>
    <t>event-place: Izola, Slovenia</t>
  </si>
  <si>
    <t>Large-scale IoT applications based on machine learning (ML) demand both edge and cloud processing for, respectively, AI inference and ML training tasks. Context-aware applications also need self-adaptive intelligence which makes their architecture even more complex. Estimating the costs of operating such edge-to-cloud deployments is challenging. To this purpose, we propose a reference service-oriented event-driven system architecture for IoT/edge applications comprising a minimal set of components, mapped on available cloud services. We then propose a resource consumption model for estimating the cost of deploying and running self-adaptive AI-assisted IoT applications on selected edge-to-cloud platforms. The model is evaluated in two scenarios: Road Traffic Management and Smart Grid. We finally provide some estimates showing how the expenditure breakdown varies significantly depending on the adopted platform: storage costs are dominant in Road Traffic Management for all providers, whereas either messaging or edge management costs may dominate the Smart Grid scenario, and, surprisingly, computing costs are almost negligible in all cases.</t>
  </si>
  <si>
    <t>IoT; Edge; Cloud; Cost Model; PaaS</t>
  </si>
  <si>
    <t>KZPPTK9M</t>
  </si>
  <si>
    <t>Abdullah, Milad</t>
  </si>
  <si>
    <t>Controlling Automatic Experiment-Driven Systems Using Statistics and&amp;nbsp;Machine Learning</t>
  </si>
  <si>
    <t>Software Architecture. ECSA 2022 Tracks and Workshops: Prague, Czech Republic, September 19‚Äì23, 2022, Revised Selected Papers</t>
  </si>
  <si>
    <t>978-3-031-36888-2</t>
  </si>
  <si>
    <t>10.1007/978-3-031-36889-9_9</t>
  </si>
  <si>
    <t>https://doi.org/10.1007/978-3-031-36889-9_9</t>
  </si>
  <si>
    <t>105‚Äì119</t>
  </si>
  <si>
    <t>event-place: Prague, Czech Republic</t>
  </si>
  <si>
    <t>Experiments are used in many modern systems to optimize their operation. Such experiment-driven systems are used in various fields, such as web-based systems, smart-* systems, and various self-adaptive systems. There is a class of these systems that derive their data from running simulations or another type of computation, such as in digital twins, online planning using probabilistic model-checking, or performance benchmarking. To obtain statistically significant results, these systems must repeat the experiments multiple times. As a result, they consume extensive computation resources. The GraalVM benchmarking project detects performance changes in the GraalVM compiler. However, the benchmarking project has an extensive usage of computational resources and time. The doctoral research project proposed in this paper focuses on controlling the experiments with the goal of reducing computation costs. The plan is to use statistical and machine learning approaches to predict the outcomes of experiments and select the experiments yielding more useful information. As an evaluation, we are applying these methods to the GraalVM benchmarking project; the initial results confirm that these methods have the potential to significantly reduce computation costs.</t>
  </si>
  <si>
    <t>Machine Learning; Experiment-Driven Systems; Statistics</t>
  </si>
  <si>
    <t>YEZZNSZH</t>
  </si>
  <si>
    <t>Garzon, Sandro Rodriguez; Walther, Sebastian; Pang, Shaoning; Deva, Bersant; K√ºpper, Axel</t>
  </si>
  <si>
    <t>Urban air pollution alert service for smart cities</t>
  </si>
  <si>
    <t>Proceedings of the 8th International Conference on the Internet of Things</t>
  </si>
  <si>
    <t>978-1-4503-6564-2</t>
  </si>
  <si>
    <t>10.1145/3277593.3277599</t>
  </si>
  <si>
    <t>https://doi.org/10.1145/3277593.3277599</t>
  </si>
  <si>
    <t>IOT '18</t>
  </si>
  <si>
    <t>event-place: Santa Barbara, California, USA</t>
  </si>
  <si>
    <t>With the advent of small, energy-efficient, interconnected and cheap air pollution sensors, communities all over the world have begun to drive forward the expansion of city-wide sensor networks in order to get a holistic picture of the air pollution level that the citizens are exposed to in their daily life. Unfortunately, the resulting insights about the current air quality need to be actively queried by the citizens, leading to situations in which the citizen is exposed to a high air pollution without being aware of it. In this article, we introduce a context-aware air pollution monitoring and alert service that proactively notifies citizens via mobile devices about highly relevant air quality information once they enter an area with an air pollution that exceeds a user-defined threshold. The service continuously determines the concentration of particulate matter throughout a given urban area, detects closed areas with a high air pollution and shares this information with the citizen's mobile devices which are in turn responsible to regularly compare a citizen's position against the areas of poor air quality. As a proof of concept, we prototypically implemented and evaluated the service by means of real world measurements taken on consecutive days within an urban area in New Zealand.</t>
  </si>
  <si>
    <t>air quality; context-aware computing; geofencing; location-based services; smart city; urban sensing</t>
  </si>
  <si>
    <t>KVJKKPW3</t>
  </si>
  <si>
    <t>Faria, Bruno; Abreu, David Perez; Velasquez, Karima; Curado, Mar√≠lia</t>
  </si>
  <si>
    <t>Self-organising Approach to&amp;nbsp;Anomaly Mitigation in&amp;nbsp;the&amp;nbsp;Cloud-to-Edge Continuum</t>
  </si>
  <si>
    <t>Cooperative Information Systems: 30th International Conference, CoopIS 2024, Porto, Portugal, November 19‚Äì21, 2024, Proceedings</t>
  </si>
  <si>
    <t>978-3-031-81374-0</t>
  </si>
  <si>
    <t>10.1007/978-3-031-81375-7_15</t>
  </si>
  <si>
    <t>https://doi.org/10.1007/978-3-031-81375-7_15</t>
  </si>
  <si>
    <t>263‚Äì279</t>
  </si>
  <si>
    <t>The cloud-to-edge continuum paradigm has permeated various application domains, including critical urban-city safety systems. In these contexts, anomalies can compromise public safety, for example, by disrupting the communication between smart city infrastructure and vehicles, which aims to prevent accidents at pedestrian crossings. Given these environments‚Äô heterogeneous and large-scale nature, manual recovery from anomalies is not feasible. Machine Learning techniques have emerged as an alternative, supporting a zero-touch approach that enables self-organising and self-healing solutions for anomaly prediction, detection, and mitigation. This paper proposes an Artificial Intelligence-driven, self-organising approach for anomaly management in the cloud-to-edge continuum, integrating both reactive and proactive mechanisms. We evaluate different Machine Learning models, including Random Forest Classifiers, Neural Networks, and Convolutional Neural Networks, to predict node performance anomalies. The simulation results obtained using the COSCO framework showcase the effectiveness of our method. It achieves an F1 score of 73% for multiclass classification, predicting different levels of anomaly severity, and 87% for binary classification, distinguishing between normal and abnormal states.</t>
  </si>
  <si>
    <t>Machine learning; Cloud-to-edge continuum; Anomaly management; Self-X; Time-series classification; Zero-touch</t>
  </si>
  <si>
    <t>PGD36PDA</t>
  </si>
  <si>
    <t>Wang, Rui; Zou, Xiaoying; Li, Yaxi; Li, Feng; Liu, Jiaoli; Wang, Rong</t>
  </si>
  <si>
    <t>Research on Power Terminal Attack Detection Technology Based on ATT&amp;amp;CK Multi-modal Perception</t>
  </si>
  <si>
    <t>Proceedings of the 2024 3rd International Conference on Cryptography, Network Security and Communication Technology</t>
  </si>
  <si>
    <t>979-8-4007-1695-9</t>
  </si>
  <si>
    <t>10.1145/3673277.3673327</t>
  </si>
  <si>
    <t>https://doi.org/10.1145/3673277.3673327</t>
  </si>
  <si>
    <t>287‚Äì294</t>
  </si>
  <si>
    <t>CNSCT '24</t>
  </si>
  <si>
    <t>event-place: Harbin, China</t>
  </si>
  <si>
    <t>There are a large number of power terminals and complex environments, facing prominent attack risks, which are related to the safe operation of the entire power grid. This paper proposes a power terminal attack detection technology based on the ATT&amp;amp;CK framework, which analyzes and detects attack behaviors through multi-modal perception. Collect attack-related data from various power terminals, combine it with the Bayesian framework to determine the attack technology, map the attack stages and realize the reconstruction of the attack path and the prediction of the attack target. Finally, the technology is applied through the data lake and microservice fusion architecture. This paper proposes a fusion method of attack data in electric power information network, solves the problem of correlation between the ATT&amp;amp;CK framework and the attack process, and expands the attack behavior detection capability of multi-source data fusion.</t>
  </si>
  <si>
    <t>2H5QCKQ9</t>
  </si>
  <si>
    <t>Poggiani, Leonardo; Puliafito, Carlo; Virdis, Antonio; Mingozzi, Enzo</t>
  </si>
  <si>
    <t>Live Migration of Multi-Container Kubernetes Pods in Multi-Cluster Serverless Edge Systems</t>
  </si>
  <si>
    <t>Proceedings of the 1st Workshop on Serverless at the Edge</t>
  </si>
  <si>
    <t>979-8-4007-0647-9</t>
  </si>
  <si>
    <t>10.1145/3660319.3660330</t>
  </si>
  <si>
    <t>https://doi.org/10.1145/3660319.3660330</t>
  </si>
  <si>
    <t>9‚Äì16</t>
  </si>
  <si>
    <t>SEATED '24</t>
  </si>
  <si>
    <t>In the cloud-native landscape, serverless computing is establishing itself as a pillar for smart provisioning of modern microservice-based applications. Due to its resounding success, serverless is rapidly emerging as a powerful paradigm in edge computing as well, wherein computing resources are geographically distributed in proximity to users. In serverless edge systems, applications can be composed by two types of microservice instances. Remote-state instances are internally stateless and access a remote state, if needed. On the other hand, a local-state instance is dedicated to a user and locally retains state information. In this work, we focus on live migration of local-state instances across an edge system operated by Kubernetes, which is the de-facto standard for microservice automated orchestration. More specifically, we propose a solution able to migrate both single-container and multi-container instances between different Kubernetes clusters. Our approach leverages the Liqo open-source project to establish a peering relationship and transfer the instance state between the involved clusters. After presenting the design and proof-of-concept implementation of the proposed solution, we outline useful insights into how to deploy it in practice and describe the experiments carried out to validate our work. Our system represents a powerful Kubernetes extension that does not require any modification to its standard API.</t>
  </si>
  <si>
    <t>serverless; kubernetes; edge computing; function as a service; migration; multi-cluster</t>
  </si>
  <si>
    <t>MS7DX8B4</t>
  </si>
  <si>
    <t>Huang, Yong Xuan; Wang, Kung Chun; Ke, Bi Shun</t>
  </si>
  <si>
    <t>Accelerating 5G Service-Based Architecture with Ebpf</t>
  </si>
  <si>
    <t>Proceedings of the 2023 12th International Conference on Networks, Communication and Computing</t>
  </si>
  <si>
    <t>979-8-4007-0926-5</t>
  </si>
  <si>
    <t>10.1145/3638837.3638883</t>
  </si>
  <si>
    <t>https://doi.org/10.1145/3638837.3638883</t>
  </si>
  <si>
    <t>200‚Äì209</t>
  </si>
  <si>
    <t>ICNCC '23</t>
  </si>
  <si>
    <t>event-place: Osaka, Japan</t>
  </si>
  <si>
    <t>Service-Based Architecture (SBA) serves as a foundational methodology for 5G core networks, as delineated by the 3rd Generation Partnership Project (3GPP). This modular approach segments the 5G Core Network into discrete, functionally autonomous Network Functions (NFs), deployed via either virtual machines or container technologies. The efficacy of the SBA execution platform significantly impacts the service capabilities of these NFs. In this study, we present an enhanced architecture that employs extended Berkeley Packet Filter (eBPF) and eXpress Data Path (XDP) technologies to fine-tune the network, security, service, and scheduling aspects within a Kubernetes framework. Additionally, eBPF‚Äôs monitoring and packet control features augment the service capabilities of 5G components, thereby improving encrypted data transmission. eBPF‚Äôs real-time monitoring aids the scheduler in making nuanced decisions, while an eBPF-driven load balancer ensures equitable service distribution. Comprehensive testing reveals that the enhanced architecture increases transmission efficiency by 17%, reduces average latency by 43%, and alleviates latency anomalies compared to conventional 5G NF platforms. It also enhances the inherent connectivity of 5G NFs by approximately 15%. For encryption-reliant applications, the architecture achieves a 17% performance gain in latency, transmission, and connectivity, while its scheduling and service balancing capabilities demonstrate a roughly 19% performance enhancement.</t>
  </si>
  <si>
    <t>5G Core Network; eBPF/XDP; Virtual Network Acceleration</t>
  </si>
  <si>
    <t>FNE2AECV</t>
  </si>
  <si>
    <t>Wang, Zerui; Liu, Yan; Arumugam Thiruselvi, Abishek; Hamou-Lhadj, Abdelwahab</t>
  </si>
  <si>
    <t>XAIport: A Service Framework for the Early Adoption of XAI in AI Model Development</t>
  </si>
  <si>
    <t>Proceedings of the 2024 ACM/IEEE 44th International Conference on Software Engineering: New Ideas and Emerging Results</t>
  </si>
  <si>
    <t>979-8-4007-0500-7</t>
  </si>
  <si>
    <t>10.1145/3639476.3639759</t>
  </si>
  <si>
    <t>https://doi.org/10.1145/3639476.3639759</t>
  </si>
  <si>
    <t>67‚Äì71</t>
  </si>
  <si>
    <t>ICSE-NIER'24</t>
  </si>
  <si>
    <t>In this study, we propose the early adoption of Explainable AI (XAI) with a focus on three properties: Quality of explanation, the explanation summaries should be consistent across multiple XAI methods; Architectural Compatibility, for effective integration in XAI, the architecture styles of both the XAI methods and the models to be explained must be compatible with the framework; Configurable operations, XAI explanations are operable, akin to machine learning operations. Thus, an explanation for AI models should be reproducible and tractable to be trustworthy. We present XAIport, a framework of XAI microservices encapsulated into Open APIs to deliver early explanations as observation for learning model quality assurance. XAIport enables configurable XAI operations along with machine learning development. We quantify the operational costs of incorporating XAI with three cloud computer vision services on Microsoft Azure Cognitive Services, Google Cloud Vertex AI, and Amazon Rekognition. Our findings show comparable operational costs between XAI and traditional machine learning, with XAIport significantly improving both cloud AI model performance and explanation stability.</t>
  </si>
  <si>
    <t>MLOps; XAI; deployment strategy; operational cost analysis</t>
  </si>
  <si>
    <t>FK6XDACG</t>
  </si>
  <si>
    <t>Gao, Wenjing; Cao, Xingzhao; Zhou, Cheng; Wang, Jian; Song, Lianxin; Li, Jiawei</t>
  </si>
  <si>
    <t>Exploratory Practice of SME Digital Transformation via Industrial Internet: A Case of Self-Developed APP</t>
  </si>
  <si>
    <t>Proceedings of the First International Workshop on IoT Datasets for Multi-Modal Large Model</t>
  </si>
  <si>
    <t>979-8-4007-1297-5</t>
  </si>
  <si>
    <t>10.1145/3698385.3699872</t>
  </si>
  <si>
    <t>https://doi.org/10.1145/3698385.3699872</t>
  </si>
  <si>
    <t>9‚Äì17</t>
  </si>
  <si>
    <t>IOTMMIM '24</t>
  </si>
  <si>
    <t>Small and medium-sized enterprises (SMEs) encounter various disadvantages in scale, policy, capital, technology, talent, and resources during the digital transformation journey. Consequently, issues such as "No willingness to transform", "No courage to transform", and "No ability to transform" pose significant challenges for them in implementing digital transformation. This paper takes a self-developed industrial Internet application as an example to deeply explore the path through which the industrial Internet empowers the digital transformation of SMEs. This application embraces a new digital transformation empowerment framework for SMEs that this paper proposes. This framework comprehensively presents the approaches to empower the digital transformation of SMEs from the aspects of empowerment strategy, service capability, collaboration scenarios, and technical architecture. Through cases in multiple comprehensive scenarios, this paper validates the effectiveness of this framework and the digital application developed based on it.</t>
  </si>
  <si>
    <t>Digital Transformation; Industrial Internet; Small and Medium Enterprises; SMEs</t>
  </si>
  <si>
    <t>JW3M7AWJ</t>
  </si>
  <si>
    <t>Zhao, Yuxuan; Weng, Weikang; van Nieuwpoort, Rob; Uta, Alexandru</t>
  </si>
  <si>
    <t>In Serverless, OS Scheduler Choice Costs Money: A Hybrid Scheduling Approach for Cheaper FaaS</t>
  </si>
  <si>
    <t>Proceedings of the 25th International Middleware Conference</t>
  </si>
  <si>
    <t>979-8-4007-0623-3</t>
  </si>
  <si>
    <t>10.1145/3652892.3700757</t>
  </si>
  <si>
    <t>https://doi.org/10.1145/3652892.3700757</t>
  </si>
  <si>
    <t>172‚Äì184</t>
  </si>
  <si>
    <t>Middleware '24</t>
  </si>
  <si>
    <t>In Function-as-a-Service (FaaS) serverless, large applications are split into short-lived stateless functions. Deploying functions is mutually profitable: users need not be concerned with resource management, while providers can keep their servers at high utilization rates running thousands of functions concurrently on a single machine. It is exactly this high concurrency that comes at a cost. The standard Linux Completely Fair Scheduler (CFS) switches often between tasks, which leads to prolonged execution times. We present evidence that relying on the default Linux CFS scheduler increases serverless workloads cost by up to 10√ó.In this article, we raise awareness and make a case for rethinking the OS-level scheduling in Linux for serverless workloads composed of many short-lived processes. To make serverless more affordable we introduce a hybrid two-level scheduling approach that relies on FaaS characteristics. Short-running functions are executed in FIFO fashion without preemption, while longer-running functions are passed to CFS after a certain time period. We show that tailor-made OS scheduling is able to significantly reduce user-facing costs without adding any provider-facing overhead.</t>
  </si>
  <si>
    <t>FaaS; serverless computing; cost for serverless; CPU scheduling</t>
  </si>
  <si>
    <t>Y553WAZ9</t>
  </si>
  <si>
    <t>Andersen, Michael P; Kolb, John; Chen, Kaifei; Culler, David E.; Katz, Randy</t>
  </si>
  <si>
    <t>Democratizing authority in the built environment</t>
  </si>
  <si>
    <t>Proceedings of the 4th ACM International Conference on Systems for Energy-Efficient Built Environments</t>
  </si>
  <si>
    <t>978-1-4503-5544-5</t>
  </si>
  <si>
    <t>10.1145/3137133.3137151</t>
  </si>
  <si>
    <t>https://doi.org/10.1145/3137133.3137151</t>
  </si>
  <si>
    <t>BuildSys '17</t>
  </si>
  <si>
    <t>Operating systems and applications in the built environment have relied upon central authorization and management mechanisms which restrict their scalability, especially with respect to administrative overhead. We propose a new set of primitives encompassing syndication, security, and service execution that unifies the management of applications and services across the built environment, while enabling participants to individually delegate privilege across multiple administrative domains with no loss of security or manageability. We show how to leverage a decentralized authorization syndication platform to extend the design of building operating systems beyond the single administrative domain of a building. The authorization system leveraged is based on blockchain smart contracts to permit decentralized and democratized delegation of authorization without central trust. Upon this, a publish/subscribe syndication tier and a containerized service execution environment are constructed. Combined, these mechanisms solve problems of delegation, federation, device protection and service execution that arise throughout the built environment. We leverage a high-fidelity city-scale emulation to verify the scalability of the authorization tier, and briefly describe a prototypical democratized operating system for the built environment using this foundation.</t>
  </si>
  <si>
    <t>microservices; federation; syndication; built environment</t>
  </si>
  <si>
    <t>P9E8X7A9</t>
  </si>
  <si>
    <t>Chondrogiannis, Efthymios; Karanastasis, Efstathios; Andronikou, Vassiliki; SpƒÉtaru, Adrian; Nanos, Anastassios; Kretsis, Aristotelis; Kokkinos, Panagiotis</t>
  </si>
  <si>
    <t>Intent-Based AI-Enhanced Service Orchestration for Application Deployment and Execution in the Cloud Continuum</t>
  </si>
  <si>
    <t>10.1007/978-3-031-46235-1_17</t>
  </si>
  <si>
    <t>https://doi.org/10.1007/978-3-031-46235-1_17</t>
  </si>
  <si>
    <t>251‚Äì262</t>
  </si>
  <si>
    <t>Given the complexity of contemporary applications, the varying goals and intents of their owners, and the availability of resources with fundamentally different characteristics and capabilities, the optimal deployment and execution of applications and their internal components is a rather challenging subject in the Cloud Continuum era. This includes the selection and the configuration of the resources to adequately cover the set technological and business requirements and constraints from the side of both application owners and resource providers. The aforementioned process is often and to a great extent, done manually and hence not optimally, with direct impact to the execution of an application and the usage or the available resources. In this work, we present the approach followed for the design and development of a Service Orchestrator equipped with AI techniques and the underlying multi-layered abstraction model enabling its functionality. These components were incorporated in a platform for infrastructure-agnostic deployment of data-intensive applications and tested in real-life scenarios.</t>
  </si>
  <si>
    <t>Edge Computing; Abstraction Models; Cloud Continuum; Intent-based Application Deployment and Execution; Machine Learning Techniques; Service Orchestration</t>
  </si>
  <si>
    <t>K37X894B</t>
  </si>
  <si>
    <t>Liebenberg, Martin; Jarke, Matthias</t>
  </si>
  <si>
    <t>Information Systems Engineering with Digital Shadows: Concept and Case Studies: An Exploratory Paper</t>
  </si>
  <si>
    <t>Advanced Information Systems Engineering: 32nd International Conference, CAiSE 2020, Grenoble, France, June 8‚Äì12, 2020, Proceedings</t>
  </si>
  <si>
    <t>978-3-030-49434-6</t>
  </si>
  <si>
    <t>10.1007/978-3-030-49435-3_5</t>
  </si>
  <si>
    <t>https://doi.org/10.1007/978-3-030-49435-3_5</t>
  </si>
  <si>
    <t>70‚Äì84</t>
  </si>
  <si>
    <t>The production sector has faced many difficulties in taking full advantage of opportunities found in other web application domains. Production research has focused on sophisticated mathematical models ranging from molecular materials modeling to efficient production control to inter-company supply network logistics. Often, these models have no closed-form solutions; this led to intense simulation research for individual modeling viewpoints, often labeled ‚ÄúDigital Twins‚Äù.However, the complexity of the overall system precludes Digital Twins covering more than just a few system perspectives, especially if near-realtime performance is required. Moreover, the wide variety of individual situations and behaviors is usually captured only as statistical uncertainty. In order to achieve better performance and more context adaptation, the interdisciplinary research cluster ‚ÄúInternet of Production‚Äù at RWTH Aachen University is exploring the concept of ‚ÄúDigital Shadows‚Äù. Digital Shadows can be understood as compact views on dynamic processes, usually combining condensed measurement data with highly efficient simplified mathematical models. In this exploratory paper, we argue based on a couple of initial case studies that Digital Shadows are not just valuable carriers of deep engineering knowledge but due to their small size also help in reducing network congestion and enabling edge computing. These properties could make Digital Shadows an interesting solution to address resilience in other information-intensive dynamic systems.</t>
  </si>
  <si>
    <t>Collaborative information systems; Database views; Digital shadows; Internet of Production (IoP); World Wide Lab (WWL)</t>
  </si>
  <si>
    <t>RBCRP7L4</t>
  </si>
  <si>
    <t>Spalazzese, Romina; De Sanctis, Martina; Alkhabbas, Fahed; Davidsson, Paul</t>
  </si>
  <si>
    <t>Shaping IoT Systems Together: The&amp;nbsp;User-System Mixed-Initiative Paradigm and&amp;nbsp;Its Challenges</t>
  </si>
  <si>
    <t>Software Architecture: 17th European Conference, ECSA 2023, Istanbul, Turkey, September 18‚Äì22, 2023, Proceedings</t>
  </si>
  <si>
    <t>978-3-031-42591-2</t>
  </si>
  <si>
    <t>10.1007/978-3-031-42592-9_15</t>
  </si>
  <si>
    <t>https://doi.org/10.1007/978-3-031-42592-9_15</t>
  </si>
  <si>
    <t>221‚Äì229</t>
  </si>
  <si>
    <t>event-place: Istanbul, T√ºrkiye</t>
  </si>
  <si>
    <t>Internet of Things (IoT) systems are often complex and have to deal with many challenges at the same time, both from a human and technical perspective. In this vision paper, we (i) describe IoT-Together , the Mixed-initiative Paradigm that we devise for IoT user-system collaboration and (ii)&amp;nbsp;critically analyze related architectural challenges.</t>
  </si>
  <si>
    <t>Goal-driven IoT Systems; Intelligent IoT Systems; Mixed-initiative paradigm; Novel Experiences; User-System Collaboration</t>
  </si>
  <si>
    <t>T9SQZAWT</t>
  </si>
  <si>
    <t>Delaitre, Sabine; Pulgar Guti√©rrez, Jos√© Maria</t>
  </si>
  <si>
    <t>Vulnerability detection tool in source code by building and leveraging semantic code graph.</t>
  </si>
  <si>
    <t>10.1145/3664476.3670942</t>
  </si>
  <si>
    <t>https://doi.org/10.1145/3664476.3670942</t>
  </si>
  <si>
    <t>The paper presents different vulnerability detection tools to ensure the security of software applications and container environments from a preventive and holistic approach. The solution aims to improve the quality and security of software by leveraging knowledge graph technology for a more accurate and comprehensive detection process of vulnerabilities. The ambition is to detect the vulnerabilities in the whole software supply chain and to support developers holding security as a key component over the Software Development life-cycle. We design reliable tools by building a semantic graph-based abstraction of the code from the compiler state, and we reach high accuracy by developing different static code analyzers optimizing the detection of software vulnerabilities in the source code and dependencies. In this paper, we will introduce the cybersecurity suite composed of different vulnerability detection tools to promote developer autonomy and security automation over the software supply chain. The main tool (DocSpot) detects vulnerabilities in the application source code and leverages knowledge graph technology. The second tool (DocDocker) scans for vulnerabilities in containers, and the third one (SirDocker) detects orchestration vulnerabilities, e.g. related to configuration, recommends secure best practices, and supports secure management of the containers and container images. The main contributions to the field of security automation are detailed and the first experiments and results of the tools are exposed. Finally, we describe the contributions to improving security in software and IoT applications.</t>
  </si>
  <si>
    <t>Application Security Testing; Automation; DevOps framework; Knowledge graph; Preventive secure systems; Vulnerability detection in Code</t>
  </si>
  <si>
    <t>WT4RBZQ6</t>
  </si>
  <si>
    <t>Cao, Suzhi; Han, Hao; Wei, Junyong; Zhao, Yi; Yang, Shuling; Yan, Lei</t>
  </si>
  <si>
    <t>Space Cloud-Fog Computing: Architecture, Application and Challenge</t>
  </si>
  <si>
    <t>Proceedings of the 3rd International Conference on Computer Science and Application Engineering</t>
  </si>
  <si>
    <t>978-1-4503-6294-8</t>
  </si>
  <si>
    <t>10.1145/3331453.3361637</t>
  </si>
  <si>
    <t>https://doi.org/10.1145/3331453.3361637</t>
  </si>
  <si>
    <t>CSAE '19</t>
  </si>
  <si>
    <t>event-place: Sanya, China</t>
  </si>
  <si>
    <t>With the development of space technology, it is an inevitable trend to build a flexible and efficient computing system for space-based information network. Traditional limited computing in single satellite cannot meet the increasing needs and cannot make effective use of the resources. This paper proposes a space-based cloud-fog computing architecture, which applies cloud-fog computing system to the space-based information network, and then we introduce the deployment of the architecture, and describe its typical application. At last, we analyze the challenges and future development of space cloud-fog computing.</t>
  </si>
  <si>
    <t>Edge Computing; Virtualization; Cloud-fog computing system; Space-based information network</t>
  </si>
  <si>
    <t>NNYH8B9X</t>
  </si>
  <si>
    <t>Gheibi, Omid; Weyns, Danny</t>
  </si>
  <si>
    <t>Lifelong self-adaptation: self-adaptation meets lifelong machine learning</t>
  </si>
  <si>
    <t>Proceedings of the 17th Symposium on Software Engineering for Adaptive and Self-Managing Systems</t>
  </si>
  <si>
    <t>978-1-4503-9305-8</t>
  </si>
  <si>
    <t>10.1145/3524844.3528052</t>
  </si>
  <si>
    <t>https://doi.org/10.1145/3524844.3528052</t>
  </si>
  <si>
    <t>1‚Äì12</t>
  </si>
  <si>
    <t>SEAMS '22</t>
  </si>
  <si>
    <t>event-place: Pittsburgh, Pennsylvania</t>
  </si>
  <si>
    <t>In the past years, machine learning (ML) has become a popular approach to support self-adaptation. While ML techniques enable dealing with several problems in self-adaptation, such as scalable decision-making, they are also subject to inherent challenges. In this paper, we focus on one such challenge that is particularly important for self-adaptation: ML techniques are designed to deal with a set of predefined tasks associated with an operational domain; they have problems to deal with new emerging tasks, such as concept shift in input data that is used for learning. To tackle this challenge, we present lifelong self-adaptation: a novel approach to self-adaptation that enhances self-adaptive systems that use ML techniques with a lifelong ML layer. The lifelong ML layer tracks the running system and its environment, associates this knowledge with the current tasks, identifies new tasks based on differentiations, and updates the learning models of the self-adaptive system accordingly. We present a reusable architecture for lifelong self-adaptation and apply it to the case of concept drift caused by unforeseen changes of the input data of a learning model that is used for decision-making in self-adaptation. We validate lifelong self-adaptation for two types of concept drift using two cases.</t>
  </si>
  <si>
    <t>MM536D6R</t>
  </si>
  <si>
    <t>Bhasi, Vivek M.; Gunasekaran, Jashwant Raj; Sharma, Aakash; Kandemir, Mahmut Taylan; Das, Chita</t>
  </si>
  <si>
    <t>Cypress: input size-sensitive container provisioning and request scheduling for serverless platforms</t>
  </si>
  <si>
    <t>10.1145/3542929.3563464</t>
  </si>
  <si>
    <t>https://doi.org/10.1145/3542929.3563464</t>
  </si>
  <si>
    <t>257‚Äì272</t>
  </si>
  <si>
    <t>The growing popularity of the serverless platform has seen an increase in the number and variety of applications (apps) being deployed on it. The majority of these apps process user-provided input to produce the desired results. Existing work in the area of input-sensitive profiling has empirically shown that many such apps have input size-dependent execution times which can be determined through modelling techniques. Nevertheless, existing serverless resource management frameworks are agnostic to the input size-sensitive nature of these apps. We demonstrate in this paper that this can potentially lead to container over-provisioning and/or end-to-end Service Level Objective (SLO) violations. To address this, we propose Cypress, an input size-sensitive resource management framework, that minimizes the containers provisioned for apps, while ensuring a high degree of SLO compliance. We perform an extensive evaluation of Cypress on top of a Kubernetes-managed cluster using 5 apps from the AWS Serverless Application Repository and/or Open-FaaS Function Store with real-world traces and varied input size distributions. Our experimental results show that Cypress spawns up to 66% fewer containers, thereby, improving container utilization and saving cluster-wide energy by up to 2.95X and 23%, respectively, versus state-of-the-art frameworks, while remaining highly SLO-compliant (up to 99.99%).</t>
  </si>
  <si>
    <t>scheduling; serverless; input size; resource-management</t>
  </si>
  <si>
    <t>NMU28XS7</t>
  </si>
  <si>
    <t>Casalicchio, Emiliano</t>
  </si>
  <si>
    <t>Autonomic Orchestration of Containers: Problem Definition and Research Challenges</t>
  </si>
  <si>
    <t>Proceedings of the 10th EAI International Conference on Performance Evaluation Methodologies and Tools on 10th EAI International Conference on Performance Evaluation Methodologies and Tools</t>
  </si>
  <si>
    <t>978-1-63190-141-6</t>
  </si>
  <si>
    <t>10.4108/eai.25-10-2016.2266649</t>
  </si>
  <si>
    <t>https://doi.org/10.4108/eai.25-10-2016.2266649</t>
  </si>
  <si>
    <t>287‚Äì290</t>
  </si>
  <si>
    <t>VALUETOOLS'16</t>
  </si>
  <si>
    <t>ICST (Institute for Computer Sciences, Social-Informatics and Telecommunications Engineering)</t>
  </si>
  <si>
    <t>Brussels, BEL</t>
  </si>
  <si>
    <t>event-place: Taormina, Italy</t>
  </si>
  <si>
    <t>Today, a new technology is going to change the way cloud platforms are designed and managed. This technology is called container. A container is a software environment where to install an application or application component and all the library dependencies, the binaries, and a basic configuration needed to run the application. The container technology promises to solve many cloud application issues, for example the application portability problem and the virtual machine performance overhead problem. The cloud industry is adopting the container technology both for internal usage and as commercial offering. However, we are far away from the maturity stage and there are still manyresearch challenges to be solved. One of them is container orchestration, that make it possible to define how to select, deploy, monitor, and dynamically control the configuration ofmulti-container packaged applications in the cloud. This paper presents the problem of autonomic container orchestration,analyze the state of the art solutions and discuss open challenges.</t>
  </si>
  <si>
    <t>cloud computing; docker; autonomic computing; service orchestration; container</t>
  </si>
  <si>
    <t>M5ZI5K3D</t>
  </si>
  <si>
    <t>Wang, Dongjie; Chen, Zhengzhang; Fu, Yanjie; Liu, Yanchi; Chen, Haifeng</t>
  </si>
  <si>
    <t>Incremental Causal Graph Learning for Online Root Cause Analysis</t>
  </si>
  <si>
    <t>Proceedings of the 29th ACM SIGKDD Conference on Knowledge Discovery and Data Mining</t>
  </si>
  <si>
    <t>979-8-4007-0103-0</t>
  </si>
  <si>
    <t>10.1145/3580305.3599392</t>
  </si>
  <si>
    <t>https://doi.org/10.1145/3580305.3599392</t>
  </si>
  <si>
    <t>2269‚Äì2278</t>
  </si>
  <si>
    <t>KDD '23</t>
  </si>
  <si>
    <t>event-place: Long Beach, CA, USA</t>
  </si>
  <si>
    <t>The task of root cause analysis (RCA) is to identify the root causes of system faults/failures by analyzing system monitoring data. Efficient RCA can greatly accelerate system failure recovery and mitigate system damages or financial losses. However, previous research has mostly focused on developing offline RCA algorithms, which often require manually initiating the RCA process, a significant amount of time and data to train a robust model, and then being retrained from scratch for a new system fault.In this paper, we propose CORAL, a novel online RCA framework that can automatically trigger the RCA process and incrementally update the RCA model. CORAL consists of Trigger Point Detection, Incremental Disentangled Causal Graph Learning, and Network Propagation-based Root Cause Localization. The Trigger Point Detection component aims to detect system state transitions automatically and in near-real-time. To achieve this, we develop an online trigger point detection approach based on multivariate singular spectrum analysis and cumulative sum statistics. To efficiently update the RCA model, we propose an incremental disentangled causal graph learning approach to decouple the state-invariant and state-dependent information. After that, CORAL applies a random walk with restarts to the updated causal graph to accurately identify root causes. The online RCA process terminates when the causal graph and the generated root cause list converge. Extensive experiments on three real-world datasets demonstrate the effectiveness and superiority of the proposed framework.</t>
  </si>
  <si>
    <t>causal structure learning; disentangled graph learning; incremental learning; root cause analysis; trigger point detection</t>
  </si>
  <si>
    <t>8C75D3YP</t>
  </si>
  <si>
    <t>Tsutsumi, Keishin; Phung-Duc, Tuan; Truong, Hong-Linh</t>
  </si>
  <si>
    <t>Queueing Analysis of&amp;nbsp;an&amp;nbsp;Ensemble Machine Learning System</t>
  </si>
  <si>
    <t>Analytical and Stochastic Modelling Techniques and Applications: 28th International Conference, ASMTA 2024, Venice, Italy, June 14, 2024, Proceedings</t>
  </si>
  <si>
    <t>978-3-031-70752-0</t>
  </si>
  <si>
    <t>10.1007/978-3-031-70753-7_7</t>
  </si>
  <si>
    <t>https://doi.org/10.1007/978-3-031-70753-7_7</t>
  </si>
  <si>
    <t>97‚Äì111</t>
  </si>
  <si>
    <t>event-place: Venice, Italy</t>
  </si>
  <si>
    <t>Recent advances in AI/ML technologies have accelerated the development of various ML applications. One of the major trends in AI/ML application development is the increasing use of multiple ML models to support high-accuracy inference in a complex end-to-end ML serving. However, testing the right configuration of multiple ML models is expensive, and the application requirements for ML inferences are highly dependent on various factors like the quality of ML models, computing resource performance, and data quality. In this context, techniques and methods that help to emulate and analyze ML inference characteristics using queueing theory can reduce the development effort and cost for ML services encapsulating ML models but also the entire ML system. In this paper, we modeled and analyzed a queueing model for an ML system that uses ensemble learning as an inference method with a new rule and clarified the impacts of model design in ensemble learning on the system‚Äôs performance. As a result, we demonstrate the usefulness of the analysis for understanding possible configurations and their efficiency in the ML system through queueing analysis and simulation.</t>
  </si>
  <si>
    <t>6UPRGKR4</t>
  </si>
  <si>
    <t>Anderson, Patrick; Aranas, Erika Blancada; Assaf, Youssef; Behrendt, Raphael; Black, Richard; Caballero, Marco; Cameron, Pashmina; Canakci, Burcu; De Carvalho, Thales; Chatzieleftheriou, Andromachi; Storan Clarke, Rebekah; Clegg, James; Cletheroe, Daniel; Cooper, Bridgette; Deegan, Tim; Donnelly, Austin; Drevinskas, Rokas; Gaunt, Alexander; Gkantsidis, Christos; Gomez Diaz, Ariel; Haller, Istvan; Hong, Freddie; Ilieva, Teodora; Joshi, Shashidhar; Joyce, Russell; Kunkel, Mint; Lara, David; Legtchenko, Sergey; Liu, Fanglin Linda; Magalhaes, Bruno; Marzoev, Alana; Mcnett, Marvin; Mohan, Jayashree; Myrah, Michael; Nguyen, Trong; Nowozin, Sebastian; Ogus, Aaron; Overweg, Hiske; Rowstron, Antony; Sah, Maneesh; Sakakura, Masaaki; Scholtz, Peter; Schreiner, Nina; Sella, Omer; Smith, Adam; Stefanovici, Ioan; Sweeney, David; Thomsen, Benn; Verkes, Govert; Wainman, Phil; Westcott, Jonathan; Weston, Luke; Whittaker, Charles; Wilke Berenguer, Pablo; Williams, Hugh; Winkler, Thomas; Winzeck, Stefan</t>
  </si>
  <si>
    <t>Project Silica: Towards Sustainable Cloud Archival Storage in Glass</t>
  </si>
  <si>
    <t>Proceedings of the 29th Symposium on Operating Systems Principles</t>
  </si>
  <si>
    <t>979-8-4007-0229-7</t>
  </si>
  <si>
    <t>10.1145/3600006.3613208</t>
  </si>
  <si>
    <t>https://doi.org/10.1145/3600006.3613208</t>
  </si>
  <si>
    <t>166‚Äì181</t>
  </si>
  <si>
    <t>SOSP '23</t>
  </si>
  <si>
    <t>event-place: Koblenz, Germany</t>
  </si>
  <si>
    <t>Sustainable and cost-effective long-term storage remains an unsolved problem. The most widely used storage technologies today are magnetic (hard disk drives and tape). They use media that degrades over time and has a limited lifetime, which leads to inefficient, wasteful, and costly solutions for long-lived data. This paper presents Silica: the first cloud storage system for archival data underpinned by quartz glass, an extremely resilient media that allows data to be left in situ indefinitely. The hardware and software of Silica have been co-designed and co-optimized from the media up to the service level with sustainability as a primary objective. The design follows a cloud-first, data-driven methodology underpinned by principles derived from analyzing the archival workload of a large public cloud service. Silica can support a wide range of archival storage workloads and ushers in a new era of sustainable, cost-effective storage.</t>
  </si>
  <si>
    <t>data center; sustainability; archival; cloud storage; cold storage; disaggregation; glass; storage</t>
  </si>
  <si>
    <t>Z9M6KL95</t>
  </si>
  <si>
    <t>C√©rin, Christophe; Andres, Fr√©d√©ric; Geldwerth-Feniger, Danielle</t>
  </si>
  <si>
    <t>Towards an emulation tool based on ontologies and data life cycles for studying smart buildings</t>
  </si>
  <si>
    <t>978-1-4503-8465-0</t>
  </si>
  <si>
    <t>10.1145/3460866.3461772</t>
  </si>
  <si>
    <t>https://doi.org/10.1145/3460866.3461772</t>
  </si>
  <si>
    <t>BiDEDE '21</t>
  </si>
  <si>
    <t>In this paper, we share our vision to study a complex Information Technology (IT) system handling a massive amount of data in the context of 'smart buildings.' One technique for analyzing complex IT systems relies on emulation, where the final software system is fully deployed on real architectures, and is evaluated in considering "small" instances of situations the system is supposed to solve. We propose a software architecture for studying the ecosystem of 'smart buildings'. This software architecture is built: 1) on top of ontologies for the description of smart buildings; 2) on a special tool for mastering the life cycle of data produced by sensors and actuators inside the buildings.We assume that it is equally important to model both the building's components and the flow of data produced inside the building. We use existing software components for both goals and to make real our concerns. According to a translational methodology, we also discuss use cases for illustrating the potential of our approach and the particular challenges associated with making the two main components of our emulation tool inter-operate.Therefore, our main contribution is to propose a comprehensive, ambitious and realistic research plan to guide communities. The paper illustrates how computer scientists and smart buildings domain scientists may communicate to address and solve specific research problems related to Big Data in emergent distributed environments. We are also guessing that experimental results that can demonstrate the practicality of the proposed combination of tools could be devised in the future, based on our broad vision. The paper is, first and foremost, a visionary paper.</t>
  </si>
  <si>
    <t>big data tools; data life cycle; emulation principles; ontology; smart buildings; systems and methods</t>
  </si>
  <si>
    <t>SPMM2PFX</t>
  </si>
  <si>
    <t>Zhao, Laiping; Yang, Yanan; Zhang, Kaixuan; Zhou, Xiaobo; Qiu, Tie; Li, Keqiu; Bao, Yungang</t>
  </si>
  <si>
    <t>Rhythm: component-distinguishable workload deployment in datacenters</t>
  </si>
  <si>
    <t>Proceedings of the Fifteenth European Conference on Computer Systems</t>
  </si>
  <si>
    <t>978-1-4503-6882-7</t>
  </si>
  <si>
    <t>10.1145/3342195.3387534</t>
  </si>
  <si>
    <t>https://doi.org/10.1145/3342195.3387534</t>
  </si>
  <si>
    <t>EuroSys '20</t>
  </si>
  <si>
    <t>event-place: Heraklion, Greece</t>
  </si>
  <si>
    <t>Cloud service providers improve resource utilization by co-locating latency-critical (LC) workloads with best-effort batch (BE) jobs in datacenters. However, they usually treat an LC workload as a whole when allocating resources to BE jobs and neglect the different features of components of an LC workload. This kind of coarse-grained co-location method leaves a significant room for improvement in resource utilization.Based on the observation of the inconsistent interference tolerance abilities of different LC components, we propose a new abstraction called Servpod, which is a collection of a LC parts that are deployed on the same physical machine together, and show its merits on building a fine-grained co-location framework. The key idea is to differentiate the BE throughput launched with each LC Servpod, i.e., Servpod with high interference tolerance ability can be deployed along with more BE jobs. Based on Servpods, we present Rhythm, a co-location controller that maximizes the resource utilization while guaranteeing LC service's tail latency requirement. It quantifies the interference tolerance ability of each servpod through the analysis of tail-latency contribution. We evaluate Rhythm using LC services in forms of containerized processes and microservices, and find that it can improve the system throughput by 31.7%, CPU utilization by 26.2%, and memory bandwidth utilization by 34% while guaranteeing the SLA (service level agreement).</t>
  </si>
  <si>
    <t>QGPPIJTN</t>
  </si>
  <si>
    <t>Dalibor, Manuela; Michael, Judith; Rumpe, Bernhard; Varga, Simon; Wortmann, Andreas</t>
  </si>
  <si>
    <t>Towards a Model-Driven Architecture for Interactive Digital Twin Cockpits</t>
  </si>
  <si>
    <t>Conceptual Modeling: 39th International Conference, ER 2020, Vienna, Austria, November 3‚Äì6, 2020, Proceedings</t>
  </si>
  <si>
    <t>978-3-030-62521-4</t>
  </si>
  <si>
    <t>10.1007/978-3-030-62522-1_28</t>
  </si>
  <si>
    <t>https://doi.org/10.1007/978-3-030-62522-1_28</t>
  </si>
  <si>
    <t>377‚Äì387</t>
  </si>
  <si>
    <t>Digital twins promise tremendous potential to reduce time and cost in the smart manufacturing of Industry 4.0. Engineering and monitoring interactive digital twins currently demands integrating different piecemeal technologies that effectively hinders their application and deployment. Current research on digital twins focuses on specific implementations or abstract models on how digital twins could be conceived. We propose model-driven software engineering to realize interactive digital twins and user-specific cockpits to interact with the digital twin by generating the infrastructure from common data structure models. To this end, we present a model-driven architecture for digital twins, its integration with an interactive cockpit, and a systematic method of realizing both. Through this, modeling, deploying, and monitoring interactive digital twins becomes more feasible and fosters their successful application in smart manufacturing.</t>
  </si>
  <si>
    <t>Digital Twins; Information systems; Model-driven software engineering; Smart manufacturing</t>
  </si>
  <si>
    <t>93K9SH6V</t>
  </si>
  <si>
    <t>Gain, Gaulthier; Soldani, Cyril; Huici, Felipe; Mathy, Laurent</t>
  </si>
  <si>
    <t>Want more unikernels? inflate them!</t>
  </si>
  <si>
    <t>10.1145/3542929.3563473</t>
  </si>
  <si>
    <t>https://doi.org/10.1145/3542929.3563473</t>
  </si>
  <si>
    <t>510‚Äì525</t>
  </si>
  <si>
    <t>Unikernels are on the rise in the cloud. These lightweight virtual machines (VMs) specialized to a single application offer the same level of isolation as full-blown VMs, while providing performance superior to standard Linux-based VMs or even to containers. However, their inherent specialization renders memory deduplication ineffective, causing unikernels, in practice, to consume more memory than their small memory footprint would suggest. This makes them less advantageous when thousands of SaaS and/or FaaS unikernels instances have to run on the same server.In this paper we introduce a novel approach to build the next generation of networked services and lambda functions by improving unikernel's memory layout so that it is more likely to share identical pages with other unikernels deployed on the system. Our approach supports SaaS and FaaS architectures and can be used with ASLR. Our experiments show that our approach can reduce the amount of physical memory used by a set of unikernels running on the same server by as much as 3x, with next to no overhead on applications performance.</t>
  </si>
  <si>
    <t>virtualization; virtual machine; alignment; deduplication; hypervisor; memory; operating systems; unikernels</t>
  </si>
  <si>
    <t>CDMGPNU3</t>
  </si>
  <si>
    <t>Mock, Markus; Arlt, Stefan</t>
  </si>
  <si>
    <t>Upilio: Leveraging the&amp;nbsp;Serverless Paradigm for&amp;nbsp;Building a&amp;nbsp;Versatile IoT Application</t>
  </si>
  <si>
    <t>Service-Oriented and Cloud Computing: 9th IFIP WG 6.12 European Conference, ESOCC 2022, Wittenberg, Germany, March 22‚Äì24, 2022, Proceedings</t>
  </si>
  <si>
    <t>978-3-031-04717-6</t>
  </si>
  <si>
    <t>10.1007/978-3-031-04718-3_8</t>
  </si>
  <si>
    <t>https://doi.org/10.1007/978-3-031-04718-3_8</t>
  </si>
  <si>
    <t>121‚Äì136</t>
  </si>
  <si>
    <t>event-place: Wittenberg, Germany</t>
  </si>
  <si>
    <t>Serverless computing has emerged over the last couple of years as a flexible paradigm for deploying cloud-based applications and allowing developers to focus on their applications and reduce application maintenance costs over the lifetime of an application. However, there has not been an examination of whether a complex application can be built and operated with high performance and low operating cost relying entirely on the serverless paradigm. This paper presents the design, implementation, performance, and cost evaluation of what we believe to be a representative kind of IoT application, a cloud-based energy data management system named Upilio. Upilio is a versatile data collection and analysis platform for IoT sensor data. Upilio‚Äôs functionality is implemented entirely using AWS Lambda serverless functions and managed services to store data, and even the graphical user interface does not need a dedicated web server. Our empirical evaluation shows that the system, including its serverless online analytics (OLAP) functionality, is cost-effective, requiring only a fraction of the server cost necessary for operating such a system using on-premise hardware. Thus, Upilio demonstrates that complex IoT system scenarios can be implemented successfully with good performance and cost characteristics leveraging the serverless paradigm.</t>
  </si>
  <si>
    <t>IoT; FaaS; Serverless Computing</t>
  </si>
  <si>
    <t>KH9BH2EA</t>
  </si>
  <si>
    <t>Liakos, Christos; Panagopoulos, Aimilios Christos; Karkazis, Panagiotis</t>
  </si>
  <si>
    <t>Smart Business Processing in Industry 4.0</t>
  </si>
  <si>
    <t>Proceedings of the 26th Pan-Hellenic Conference on Informatics</t>
  </si>
  <si>
    <t>978-1-4503-9854-1</t>
  </si>
  <si>
    <t>10.1145/3575879.3575963</t>
  </si>
  <si>
    <t>https://doi.org/10.1145/3575879.3575963</t>
  </si>
  <si>
    <t>32‚Äì37</t>
  </si>
  <si>
    <t>PCI '22</t>
  </si>
  <si>
    <t>In the context of the Internet of Things and Industry 4.0 innovative technologies have been emerged namely Digital Twins, Business Process Management frameworks, Big Data analysis, and they are now available and ready to be used in order to create new management models. These models implement the interconnection of the structural elements of the production chain (machines, sensors, humans, etc.), by gathering and processing useful information, targeting on automated decisions, problems solving in real-time, and the flexible adjustment of the production process. In the current work, we present and evaluate a management architecture of a business process management flow to identify the alterations on digitally replicated industrial machinery and the impact they have on a production line.</t>
  </si>
  <si>
    <t>Digital Twin; Industry 4.0; Industrial Internet of Things; Business Process Management</t>
  </si>
  <si>
    <t>S76QBXMM</t>
  </si>
  <si>
    <t>Zheng, Kangzhen; Ni, Yanyan; Qi, Hongtao; Tang, Xu</t>
  </si>
  <si>
    <t>Data Analysis and Decision Support Effect of Big Data Mining in Energy Internet Cyber-Physical Systems</t>
  </si>
  <si>
    <t>Proceedings of the 3rd International Conference on Electronic Information Technology and Smart Agriculture</t>
  </si>
  <si>
    <t>979-8-4007-1677-5</t>
  </si>
  <si>
    <t>10.1145/3641384.3641495</t>
  </si>
  <si>
    <t>https://doi.org/10.1145/3641384.3641495</t>
  </si>
  <si>
    <t>198‚Äì203</t>
  </si>
  <si>
    <t>ICEITSA '23</t>
  </si>
  <si>
    <t>The construction of energy Internet can realize the massive collection of load-side data, and the local utilization of load-side data through edge computing devices can effectively reduce the pressure of cloud computing and communication system, but the computing and solving ability of edge devices is worse than that of cloud, and too many computing tasks of edge devices may also affect the overall scheduling. Therefore, this paper combines big data mining technology to analyze the data analysis and decision support in the cyber-physical systems of energy Internet, and studies the optimal scheduling method of energy Internet in cloud edge environment around the multi-energy complementary process and accurate demand response of energy Internet. The research results show that the energy Internet information model based on information physical fusion takes into account the plug-and-play characteristics of distributed devices in the network, and at the same time reflects the multi-time scale characteristics of energy Internet, taking into account the autonomy of specific devices in the network and so on. From the experimental evaluation, it can be seen that big data mining has a good effect on data analysis and decision support in energy Internet cyber-physical systems.</t>
  </si>
  <si>
    <t>data analysis; Big Data Mining; Cyberphysics; Decision Support; Energy Internet</t>
  </si>
  <si>
    <t>XK8RLY8G</t>
  </si>
  <si>
    <t>Abdul Majeed, Ayesha; Kilpatrick, Peter; Spence, Ivor; Varghese, Blesson</t>
  </si>
  <si>
    <t>Performance Estimation of Container-Based Cloud-to-Fog Offloading</t>
  </si>
  <si>
    <t>10.1145/3368235.3368847</t>
  </si>
  <si>
    <t>https://doi.org/10.1145/3368235.3368847</t>
  </si>
  <si>
    <t>151‚Äì156</t>
  </si>
  <si>
    <t>Fog computing offloads latency critical services of a Cloud application onto resources located at the edge of the network that are in close proximity to end-user devices. The research in this paper is motivated towards characterising and estimating the time taken to offload a service using containers, which is investigated in the context of the 'Save and Load' container migration technique. To this end, the research addresses questions such as whether fog offloading can be accurately modelled and which system and network related parameters influence offloading. These are addressed by exploring a catalogue of 21 different metrics both at the system and process levels that is used as input to four estimation techniques using a collective model and individual models to predict the time taken for offloading. The study is pursued by collecting over 1.1 million data points and the preliminary results indicate that offloading can be modelled accurately.</t>
  </si>
  <si>
    <t>containers; edge computing; fog computing; offloading</t>
  </si>
  <si>
    <t>HXRZBYXI</t>
  </si>
  <si>
    <t>Zhou, Xin; Wu, Yuxuan</t>
  </si>
  <si>
    <t>CNDAS-WF: Cloud Native Data Analysis System Based On Workflow Engine</t>
  </si>
  <si>
    <t>Proceedings of the 2023 6th International Conference on Software Engineering and Information Management</t>
  </si>
  <si>
    <t>978-1-4503-9823-7</t>
  </si>
  <si>
    <t>10.1145/3584871.3584891</t>
  </si>
  <si>
    <t>https://doi.org/10.1145/3584871.3584891</t>
  </si>
  <si>
    <t>141‚Äì146</t>
  </si>
  <si>
    <t>ICSIM '23</t>
  </si>
  <si>
    <t>event-place: Palmerston North, New Zealand</t>
  </si>
  <si>
    <t>With the development of modern big data technology, data size in daily life is expanding rapidly and data relationship is more complex. However, the requirements of data analysis for different resources continuous to surging. Therefore, how to handle a large number of data analysis tasks with complex dependencies efficiently become the challenge. In this paper, we design and implement a cloud native data analysis system based on workflow engine. The system arranges the data analysis tasks, which deployed by containers, with dependency through the workflow engine based on cloud native technology. Flexibility of container cloud makes data analysis procedure effective and efficient. In addition, we designed a workflow engine and an operation and maintenance subsystem for overall system platform anomaly detection. Finally, we verify the effectiveness and efficiency of the system through scientific workflow data. The cloud native data analysis system based on workflow engine has passed all tests and has been applied in small and medium-sized enterprises.</t>
  </si>
  <si>
    <t>Kubernetes; workflow; data analysis; cloud native</t>
  </si>
  <si>
    <t>G482H7IS</t>
  </si>
  <si>
    <t>Mahapatra, Rohan; Ghodrati, Soroush; Ahn, Byung Hoon; Kinzer, Sean; Wang, Shu-Ting; Xu, Hanyang; Karthikeyan, Lavanya; Sharma, Hardik; Yazdanbakhsh, Amir; Alian, Mohammad; Esmaeilzadeh, Hadi</t>
  </si>
  <si>
    <t>In-Storage Domain-Specific Acceleration for Serverless Computing</t>
  </si>
  <si>
    <t>Proceedings of the 29th ACM International Conference on Architectural Support for Programming Languages and Operating Systems, Volume 2</t>
  </si>
  <si>
    <t>979-8-4007-0385-0</t>
  </si>
  <si>
    <t>10.1145/3620665.3640413</t>
  </si>
  <si>
    <t>https://doi.org/10.1145/3620665.3640413</t>
  </si>
  <si>
    <t>530‚Äì548</t>
  </si>
  <si>
    <t>ASPLOS '24</t>
  </si>
  <si>
    <t>event-place: La Jolla, CA, USA</t>
  </si>
  <si>
    <t>While (I) serverless computing is emerging as a popular form of cloud execution, datacenters are going through major changes: (II) storage dissaggregation in the system infrastructure level and (III) integration of domain-specific accelerators in the hardware level. Each of these three trends individually provide significant benefits; however, when combined the benefits diminish. On the convergence of these trends, the paper makes the observation that for serverless functions, the overhead of accessing dissaggregated storage overshadows the gains from accelerators. Therefore, to benefit from all these trends in conjunction, we propose In-Storage Domain-Specific Acceleration for Serverless Computing (dubbed DSCS-Serverless1). The idea contributes a server-less model that utilizes a programmable accelerator embedded within computational storage to unlock the potential of acceleration in disaggregated datacenters. Our results with eight applications show that integrating a comparatively small accelerator within the storage (DSCS-Serverless) that fits within the storage's power constraints (25 Watts), significantly outperforms a traditional disaggregated system that utilizes NVIDIA RTX 2080 Ti GPU (250 Watts). Further, the work highlights that disaggregation, serverless model, and the limited power budget for computation in storage device require a different design than the conventional practices of integrating microprocessors and FPGAs. This insight is in contrast with current practices of designing computational storage devices that are yet to address the challenges associated with the shifts in datacenters. In comparison with two such conventional designs that use ARM cores or a Xilinx FPGA, DSCS-Serverless provides 3.7√ó and 1.7√ó end-to-end application speedup, 4.3√ó and 1.9√ó energy reduction, and 3.2√ó and 2.3√ó better cost efficiency, respectively.</t>
  </si>
  <si>
    <t>serverless computing; accelerator; computational storage drive (CSD); deep neural network (DNN); disaggregated datacenter; domain specific architecture (DSA); in-storage acceleration; large language model (LLM); neural processing unit (NPU); serverless function; storage systems</t>
  </si>
  <si>
    <t>W88C4Q4J</t>
  </si>
  <si>
    <t>Brandon, Colm; Singh, Amandeep; Margaria, Tiziana</t>
  </si>
  <si>
    <t>Model Driven Development for&amp;nbsp;AI-Based Healthcare Systems: A Review</t>
  </si>
  <si>
    <t>Bridging the Gap Between AI and Reality: First International Conference, AISoLA 2023, Crete, Greece, October 23‚Äì28, 2023, Selected Papers</t>
  </si>
  <si>
    <t>978-3-031-73740-4</t>
  </si>
  <si>
    <t>10.1007/978-3-031-73741-1_15</t>
  </si>
  <si>
    <t>https://doi.org/10.1007/978-3-031-73741-1_15</t>
  </si>
  <si>
    <t>245‚Äì265</t>
  </si>
  <si>
    <t>event-place: Crete, Greece</t>
  </si>
  <si>
    <t>We review our experience with integrating Artificial Intelligence (AI) into healthcare systems following the Model-Driven Development (MDD) approach. At a time when AI has the potential to instigate&amp;nbsp;a paradigm shift in the health sector, better integrating healthcare experts in the development of these technologies is of paramount importance. We see MDD as a useful way to better&amp;nbsp;embed non-technical stakeholders in the development process. The main&amp;nbsp;goal of this review is to reflect on our experiences to date&amp;nbsp;with MDD and AI in the context of developing healthcare systems. Four case studies that fall within that scope but&amp;nbsp;have different profiles are introduced and summarised: the&amp;nbsp;MyMM application for Multiple Myeloma diagnosis; CNN-HAR, that studies the ability to do AI on the edge for IoT-supported human activity recognition; the HIPPP web based portal for patient information&amp;nbsp;in public health; and Cinco de Bio, a new model driven platform&amp;nbsp;used for the first time to support a better cell-level understanding&amp;nbsp;of diseases. Based on the aforementioned case studies we discuss&amp;nbsp;the characteristics, the challenges faced and the postive outcomes achieved.</t>
  </si>
  <si>
    <t>Artificial Intelligence Applications; Digital Thread; Health Informatics; Low-code/no-code; Model Driven Development</t>
  </si>
  <si>
    <t>4N4DWH4W</t>
  </si>
  <si>
    <t>Fang, Zhou; Lin, Jeng-Hau; Srivastava, Mani B.; Gupta, Rajesh K.</t>
  </si>
  <si>
    <t>Multi-tenant mobile offloading systems for real-time computer vision applications</t>
  </si>
  <si>
    <t>Proceedings of the 20th International Conference on Distributed Computing and Networking</t>
  </si>
  <si>
    <t>978-1-4503-6094-4</t>
  </si>
  <si>
    <t>10.1145/3288599.3288634</t>
  </si>
  <si>
    <t>https://doi.org/10.1145/3288599.3288634</t>
  </si>
  <si>
    <t>21‚Äì30</t>
  </si>
  <si>
    <t>ICDCN '19</t>
  </si>
  <si>
    <t>event-place: Bangalore, India</t>
  </si>
  <si>
    <t>Offloading techniques enable many emerging computer vision applications on mobile platforms by executing compute-intensive tasks on resource-rich servers. Although there have been a significant amount of research efforts devoted in optimizing mobile offloading frameworks, most previous works are evaluated in a single-tenant setting, that is, a server is assigned to a single client. However, in a practical scenario that servers must handle tasks from many clients running diverse applications, contention on shared server resources may degrade application performance. In this work, we study scheduling techniques to improve serving performance in multi-tenant mobile offloading systems, for computer vision algorithms running on CPUs and deep neural networks (DNNs) running on GPUs. For CPU workloads, we present methods to mitigate resource contention and to improve delay using a Plan-Schedule approach. The planning phase predicts future workloads from all clients, estimates contention, and adjusts future task start times to remove or reduce contention. The scheduling phase dispatches arriving offloaded tasks to the server that minimizes contention. For DNN workloads running on GPUs, we propose adaptive batching algorithms using information of batch size, model complexity and system load to achieve the best Quality of Service (QoS), which are measured from accuracy and delay of DNN tasks. We demonstrate the improvement of serving performance using several real-world applications with different server deployments.</t>
  </si>
  <si>
    <t>5YY6YXTR</t>
  </si>
  <si>
    <t>Gerakos, Kostantinos; Panagidi, Kakia; Andreou, Charalampos; Zampouras, Dimitris</t>
  </si>
  <si>
    <t>MOTIVE - Time-Optimized Contextual Information Flow On Unmanned Vehicles</t>
  </si>
  <si>
    <t>Proceedings of the 19th ACM International Symposium on Mobility Management and Wireless Access</t>
  </si>
  <si>
    <t>978-1-4503-9079-8</t>
  </si>
  <si>
    <t>10.1145/3479241.3486691</t>
  </si>
  <si>
    <t>https://doi.org/10.1145/3479241.3486691</t>
  </si>
  <si>
    <t>53‚Äì62</t>
  </si>
  <si>
    <t>MobiWac '21</t>
  </si>
  <si>
    <t>The last decades, an increasing interest has been witnessed on the exploitation of unmanned vehicles in fields such as environmental monitoring, commercial air surveillance, domestic policing, geophysical surveys, disaster relief, scientific research, civilian casualties, search and rescue operations, maritime patrol,traffic management, etc. Regardless of the domain (i.e., aerial, ground or surface) that they belong to, the key elements that distinguish them as the leading edge of their technology, are the provided degree of autonomy (i.e., the ability to make decisions without human intervention) and the endurance and the payload that they can support. The mobile IoT paradigm has been significantly expanded with the proliferation of drones and unmanned robotic devices. End-to-end communication and edge decision support are major challenges when operating with mobile nodes and especially with drones. In this paper, we propose a framework that uses two decision making stochastic optimization models of on-line control unit applied on transmission functionalities of mobile and static nodes adaptive to changes in network quality statistics. This is driven by a novel dynamic suppression control of telemetry process and control messages based on the principles of the Optimal Stopping Theory (OST). MOTIVE's time-optimized control mechanism ensures the optimal delivery of critical information from unmanned vehicles to ground control station and vice versa. The main goal, through this proposal, is to significantly enhance the operation of unmanned vehicles when operating under saturated, high traffic wireless networks.</t>
  </si>
  <si>
    <t>apache kafka; change detection; message distributed platform; optimal stopping theory; queue prioritization</t>
  </si>
  <si>
    <t>T6RPIYRW</t>
  </si>
  <si>
    <t>Ploennigs, Joern; Semertzidis, Konstantinos; Lorenzi, Fabio; Mihindukulasooriya, Nandana</t>
  </si>
  <si>
    <t>Scaling Knowledge Graphs for&amp;nbsp;Automating AI of&amp;nbsp;Digital Twins</t>
  </si>
  <si>
    <t>The Semantic Web ‚Äì ISWC 2022: 21st International Semantic Web Conference, Virtual Event, October 23‚Äì27, 2022, Proceedings</t>
  </si>
  <si>
    <t>978-3-031-19432-0</t>
  </si>
  <si>
    <t>10.1007/978-3-031-19433-7_46</t>
  </si>
  <si>
    <t>https://doi.org/10.1007/978-3-031-19433-7_46</t>
  </si>
  <si>
    <t>810‚Äì826</t>
  </si>
  <si>
    <t>Digital Twins are digital representations of systems in the Internet of Things (IoT) that are often based on AI models that are trained on data from those systems. Semantic models are used increasingly to link these datasets from different stages of the IoT systems life-cycle together and to automatically configure the AI modelling pipelines. This combination of semantic models with AI pipelines running on external datasets raises unique challenges particular if rolled out at scale. Within this paper we will discuss the unique requirements of applying semantic graphs to automate Digital Twins in different practical use cases. We will introduce the benchmark dataset DTBM that reflects these characteristics and look into the scaling challenges of different knowledge graph technologies. Based on these insights we will propose a reference architecture that is in-use in multiple products in IBM and derive lessons learned for scaling knowledge graphs for configuring AI models for Digital Twins.</t>
  </si>
  <si>
    <t>Internet of Things; Machine learning; Scalability; Digital twins; Knowledge graphs; Semantic models</t>
  </si>
  <si>
    <t>LWN7TJHN</t>
  </si>
  <si>
    <t>Bogdanov, Alexander; Khvatov, Valery; Uteshev, Alexei; Shchegoleva, Nadezhda</t>
  </si>
  <si>
    <t>Virtual Blockchain Network for Secure Financial and Industrial Applications</t>
  </si>
  <si>
    <t>Computational Science and Its Applications ‚Äì ICCSA 2024 Workshops: Hanoi, Vietnam, July 1‚Äì4, 2024, Proceedings, Part I</t>
  </si>
  <si>
    <t>978-3-031-65153-3</t>
  </si>
  <si>
    <t>10.1007/978-3-031-65154-0_9</t>
  </si>
  <si>
    <t>https://doi.org/10.1007/978-3-031-65154-0_9</t>
  </si>
  <si>
    <t>142‚Äì161</t>
  </si>
  <si>
    <t>This study introduces blockchain virtualization as a solution to tackle modern challenges. Evaluating the DGT network as a model, experiments probe the impact of virtualization (network-of-networks) on scaling and latency, shedding light on its potential for enhanced performance. Conclusively, the study emphasizes the significance of blockchain virtualization for enhancing blockchain performance and scalability. Future directions of research are discussed, including testing of security and privacy within virtualized environments and the potential of virtualization in shaping cloud-based blockchain-as-a-service solutions. In sum, blockchain virtualization emerges as a pivotal innovation poised to redefine the landscape of blockchain technology and its applications.</t>
  </si>
  <si>
    <t>decentralization; DGT; Layer 1 digital platform; multi-party computation over blockchain</t>
  </si>
  <si>
    <t>QLVMT9HM</t>
  </si>
  <si>
    <t>Gao, Jinming; Zhu, Pingfei; Xiong, Genxin; Shu, Yanfei</t>
  </si>
  <si>
    <t>Research and Application of MSC Integrated Intelligent Platform for Software Development and Operation in Large-scale Software Engineering</t>
  </si>
  <si>
    <t>Proceedings of the 2024 International Symposium on Integrated Circuit Design and Integrated Systems</t>
  </si>
  <si>
    <t>979-8-4007-1822-9</t>
  </si>
  <si>
    <t>10.1145/3702191.3702193</t>
  </si>
  <si>
    <t>https://doi.org/10.1145/3702191.3702193</t>
  </si>
  <si>
    <t>7‚Äì13</t>
  </si>
  <si>
    <t>ICDIS '24</t>
  </si>
  <si>
    <t>With the deepening development of digital transformation, the power marketing business is showing diversified expansion and development trends, and the system architecture is shifting from chimney systems to platformization, ecologicalization, and centralization. To solve the problems of difficult collaboration, R&amp;amp;D management, and unified technical architecture in large-scale software engineering organizations, this article proposes the design and construction of a large-scale enterprise digital project R&amp;amp;D and production tool MSC based on a domestic cloud platform, which integrates business needs, product design, software development, and operation and maintenance management. MSC has shared R&amp;amp;D capabilities and supports collaborative operations in multiple locations. MSC efficiently supports the full stack R&amp;amp;D of various digital products, meets the real-time unified management requirements of a set of code and versions for the entire software network, and effectively solves the problem of same root and same origin from large-scale software engineering design to software development.</t>
  </si>
  <si>
    <t>msc; power system; quadrature scheduling; research and transportation integration</t>
  </si>
  <si>
    <t>4ZPSVJRQ</t>
  </si>
  <si>
    <t>Kumari, Anisha; Sahoo, Bibhudatta; Behera, Ranjan Kumar; Misra, Sanjay; Sharma, Mayank Mohan</t>
  </si>
  <si>
    <t>Evaluation of Integrated Frameworks for Optimizing QoS in Serverless Computing</t>
  </si>
  <si>
    <t>Computational Science and Its Applications ‚Äì ICCSA 2021: 21st International Conference, Cagliari, Italy, September 13‚Äì16, 2021, Proceedings, Part VII</t>
  </si>
  <si>
    <t>978-3-030-87006-5</t>
  </si>
  <si>
    <t>10.1007/978-3-030-87007-2_20</t>
  </si>
  <si>
    <t>https://doi.org/10.1007/978-3-030-87007-2_20</t>
  </si>
  <si>
    <t>277‚Äì288</t>
  </si>
  <si>
    <t>Serverless computing is an emerging cloud deployment model where developers can concentrate on developing application logic without worrying about the underlying architecture. It is similar to the platform as a service (PaaS) but at the functional level. Applications are usually deployed in the form of a set of functions independently and each function may be executed at separate servers thus also named as function as a service (FaaS). Serverless at the edge can handle thousands of concurrent functions invocations to process various kinds of events generated from resources like database, system logs, and other storage units, etc. A number of serverless frameworks like Openfaas, Openwhisk, Microsoft Azure, Amazon AWS allow dynamic scaling to handle the parallel request of stateless functions from the client-side. A separate container manager may be provisioned to handle distributed load for data processing. In this paper, we have evaluated the performance of serverless frameworks for parallel loads in terms of response time and throughput. In this paper, we have shown that the serverless framework is suitable for handling dynamic applications that can be executed on a number of stateless functions. An extensive comparison of the performance of serverless frameworks in handling concurrent invocations in terms of response time and throughput is also presented. It has been observed that Openwhisk is found to be the better serverless framework in terms of elasticity and scalability.</t>
  </si>
  <si>
    <t>Serverless computing; Orchestration; Function-as-a-service; Openfaas; OpenWhisk</t>
  </si>
  <si>
    <t>6WG6MTEG</t>
  </si>
  <si>
    <t>Seemakhupt, Korakit; Stephens, Brent E.; Khan, Samira; Liu, Sihang; Wassel, Hassan; Yeganeh, Soheil Hassas; Snoeren, Alex C.; Krishnamurthy, Arvind; Culler, David E.; Levy, Henry M.</t>
  </si>
  <si>
    <t>A Cloud-Scale Characterization of Remote Procedure Calls</t>
  </si>
  <si>
    <t>10.1145/3600006.3613156</t>
  </si>
  <si>
    <t>https://doi.org/10.1145/3600006.3613156</t>
  </si>
  <si>
    <t>498‚Äì514</t>
  </si>
  <si>
    <t>The global scale and challenging requirements of modern cloud applications have led to the development of complex, widely distributed, service-oriented applications. One enabler of such applications is the remote procedure call (RPC), which provides location-independent communication and hides the myriad of cloud communication complexities and requirements within the RPC stack. Understanding RPCs is thus one key to understanding the behavior of cloud applications. While there have been numerous studies of RPCs in distributed systems, as well as attempts to optimize RPC overheads with both software and hardware, there is still a lack of knowledge about the characteristics of RPCs "in the wild" in the modern cloud environment.To address this gap, we present, to the best of our knowledge, the first large-scale fleet-wide study of RPCs. Our study is conducted at Google, where we measured the infrastructure supporting Google's user-facing, billion-user web services, such as Google Search, Gmail, Maps, and YouTube, and the information and data management systems that support them. To carry out the study, we examined over 10,000 different RPC methods sampled from over one billion traces, along with statistics collected every 30 minutes over a period of nearly two years. Among other things, we consider the volume, throughput and growth rate of RPCs in the datacenter, the latency of RPCs and their components (the "RPC latency tax"), and the structure of RPC call chains. Our analysis shows that the characteristics, scope and complexity of RPCs at hyperscale differ significantly from the assumptions made in prior research. Overall, our work provides new insights into RPC usage and characteristics at the largest scale and motivates further research on optimizing the diverse behavior of this crucial communication mechanism.</t>
  </si>
  <si>
    <t>cloud computing; distributed computing; communications systems; remote procedure call</t>
  </si>
  <si>
    <t>7VN2SQBC</t>
  </si>
  <si>
    <t>Boussaa, Mohamed; Barais, Olivier; Baudry, Benoit; Suny√©, Gerson</t>
  </si>
  <si>
    <t>Automatic non-functional testing of code generators families</t>
  </si>
  <si>
    <t>Proceedings of the 2016 ACM SIGPLAN International Conference on Generative Programming: Concepts and Experiences</t>
  </si>
  <si>
    <t>978-1-4503-4446-3</t>
  </si>
  <si>
    <t>10.1145/2993236.2993256</t>
  </si>
  <si>
    <t>https://doi.org/10.1145/2993236.2993256</t>
  </si>
  <si>
    <t>202‚Äì212</t>
  </si>
  <si>
    <t>GPCE 2016</t>
  </si>
  <si>
    <t>event-place: Amsterdam, Netherlands</t>
  </si>
  <si>
    <t>The intensive use of generative programming techniques provides an elegant engineering solution to deal with the heterogeneity of platforms and technological stacks. The use of domain-specific languages for example, leads to the creation of numerous code generators that automatically translate highlevel system specifications into multi-target executable code. Producing correct and efficient code generator is complex and error-prone. Although software designers provide generally high-level test suites to verify the functional outcome of generated code, it remains challenging and tedious to verify the behavior of produced code in terms of non-functional properties. This paper describes a practical approach based on a runtime monitoring infrastructure to automatically check the potential inefficient code generators. This infrastructure, based on system containers as execution platforms, allows code-generator developers to evaluate the generated code performance. We evaluate our approach by analyzing the performance of Haxe, a popular high-level programming language that involves a set of cross-platform code generators. Experimental results show that our approach is able to detect some performance inconsistencies that reveal real issues in Haxe code generators.</t>
  </si>
  <si>
    <t>code generator; code quality; non-functional properties; testing</t>
  </si>
  <si>
    <t>N4MVJJ2Y</t>
  </si>
  <si>
    <t>Gartziandia, Aitor; Arrieta, Aitor; Agirre, Aitor; Sagardui, Goiuria; Arratibel, Maite</t>
  </si>
  <si>
    <t>Using regression learners to predict performance problems on software updates: a case study on elevators dispatching algorithms</t>
  </si>
  <si>
    <t>10.1145/3412841.3441894</t>
  </si>
  <si>
    <t>https://doi.org/10.1145/3412841.3441894</t>
  </si>
  <si>
    <t>135‚Äì144</t>
  </si>
  <si>
    <t>Remote software deployment and updating has long been commonplace in many different fields, but now, the increasing expansion of IoT and CPSoS (Cyber-Physcal System of Systems) has highlighted the need for additional mechanisms in these systems, to ensure the correct behaviour of the deployed software version after deployment. In this sense, this paper investigates the use of Machine Learning algorithms to predict acceptable behaviour in system performance of a new software release. By monitoring the real performance, eventual unexpected problems can be identified. Based on previous knowledge and actual run-time information, the proposed approach predicts the response time that can be considered acceptable for the new software release, and this information is used to identify problematic releases. The mechanism has been applied to the post-deployment monitoring of traffic algorithms in elevator systems. To evaluate the approach, we have used performance mutation testing, obtaining good results. This paper makes two contributions. First, it proposes several regression learners that have been trained with different types of traffic profiles to efficiently predict response time of the traffic dispatching algorithm. This prediction is then compared with the actual response time of the new algorithm release, and provides a verdict about its performance. Secondly, a comparison of the different learners is performed.</t>
  </si>
  <si>
    <t>machine learning; cyber-physical systems; performance bugs</t>
  </si>
  <si>
    <t>2Y5EF9YW</t>
  </si>
  <si>
    <t>Liu, Hao; Gao, Qian; Li, Jiang; Liao, Xiaochao; Xiong, Hao; Chen, Guangxing; Wang, Wenlin; Yang, Guobao; Zha, Zhiwei; Dong, Daxiang; Dou, Dejing; Xiong, Haoyi</t>
  </si>
  <si>
    <t>JIZHI: A Fast and Cost-Effective Model-As-A-Service System for Web-Scale Online Inference at Baidu</t>
  </si>
  <si>
    <t>Proceedings of the 27th ACM SIGKDD Conference on Knowledge Discovery &amp;amp; Data Mining</t>
  </si>
  <si>
    <t>978-1-4503-8332-5</t>
  </si>
  <si>
    <t>10.1145/3447548.3467146</t>
  </si>
  <si>
    <t>https://doi.org/10.1145/3447548.3467146</t>
  </si>
  <si>
    <t>3289‚Äì3298</t>
  </si>
  <si>
    <t>KDD '21</t>
  </si>
  <si>
    <t>event-place: Virtual Event, Singapore</t>
  </si>
  <si>
    <t>In modern internet industries, deep learning based recommender systems have became an indispensable building block for a wide spectrum of applications, such as search engine, news feed, and short video clips. However, it remains challenging to carry the well-trained deep models for online real-time inference serving, with respect to the time-varying web-scale traffics from billions of users, in a cost-effective manner. In this work, we present JIZHI - a Model-as-a-Service system - that per second handles hundreds of millions of online inference requests to huge deep models with more than trillions of sparse parameters, for over twenty real-time recommendation services at Baidu, Inc. In JIZHI, the inference workflow of every recommendation request is transformed to a Staged Event-Driven Pipeline (SEDP), where each node in the pipeline refers to a staged computation or I/O intensive task processor. With traffics of real-time inference requests arrived, each modularized processor can be run in a fully asynchronized way and managed separately. Besides, JIZHI introduces the heterogeneous and hierarchical storage to further accelerate the online inference process by reducing unnecessary computations and potential data access latency induced by ultra-sparse model parameters. Moreover, an intelligent resource manager has been deployed to maximize the throughput of JIZHI over the shared infrastructure by searching the optimal resource allocation plan from historical logs and fine-tuning the load shedding policies over intermediate system feedback. Extensive experiments have been done to demonstrate the advantages of JIZHI from the perspectives of end-to-end service latency, system-wide throughput, and resource consumption. Since launched in July 2019, JIZHI has helped Baidu saved more than ten million US dollars in hardware and utility costs per year while handling 200% more traffics without sacrificing the inference efficiency.</t>
  </si>
  <si>
    <t>intelligent resource management; MLOPS; online inference; recommendation system</t>
  </si>
  <si>
    <t>9V72Q7J5</t>
  </si>
  <si>
    <t>Stentoumis, Christos; Katsiokalis, Minas; Bikiris, Panagiotis; Karantakis, Nikos</t>
  </si>
  <si>
    <t>Engineering a&amp;nbsp;BIM-Based Mixed Reality Application for&amp;nbsp;the&amp;nbsp;Life-Cycle Management of&amp;nbsp;Buildings</t>
  </si>
  <si>
    <t>Extended Reality: International Conference, XR Salento 2024, Lecce, Italy, September 4‚Äì7, 2024, Proceedings, Part I</t>
  </si>
  <si>
    <t>978-3-031-71706-2</t>
  </si>
  <si>
    <t>10.1007/978-3-031-71707-9_18</t>
  </si>
  <si>
    <t>https://doi.org/10.1007/978-3-031-71707-9_18</t>
  </si>
  <si>
    <t>240‚Äì248</t>
  </si>
  <si>
    <t>event-place: Lecce, Italy</t>
  </si>
  <si>
    <t>In this research and innovation work, we propose an open and interoperable approach for exploiting the various building data collected across the different phases of a building‚Äôs life cycle via a BIM-based Mixed Reality (MR) platform. Building information modelling (BIM) has gradually gained attention in recent decades and is widely considered a key to digitising and optimising the building life cycle. Yet, there are significant challenges in the standardization of methodologies, interoperability of solutions, and data exchange, as well as the usability of BIM-related solutions. Moreover, modern or renovated buildings produce extensive real-time data on top of the static data organised in BIM, and it is commonly accepted that most professionals in the field do not have access to the critical static or dynamic data that accompany a building project. Here, we exploit MR as an advanced user interface for enhanced interaction with building static and dynamic data instantiated by a BIM model, while we address a seamless conversion of BIM data to an online visual digital twin that supports the MR mobile application.</t>
  </si>
  <si>
    <t>BIM; building life-cycle management; Mixed Reality</t>
  </si>
  <si>
    <t>MKLQ82DK</t>
  </si>
  <si>
    <t>Ghosh, Ushasi; Chiejina, Azuka Jude; Stephenson, Nathan Hughes; Shah, Vijay K; Shakkottai, Srinivas; Bharadia, Dinesh</t>
  </si>
  <si>
    <t>DEMO: SPARC: Spatio-Temporal Adaptive Resource Control for Multi-site Spectrum Management in NextG Cellular Networks</t>
  </si>
  <si>
    <t>Proceedings of the 30th Annual International Conference on Mobile Computing and Networking</t>
  </si>
  <si>
    <t>979-8-4007-0489-5</t>
  </si>
  <si>
    <t>10.1145/3636534.3701547</t>
  </si>
  <si>
    <t>https://doi.org/10.1145/3636534.3701547</t>
  </si>
  <si>
    <t>2312‚Äì2314</t>
  </si>
  <si>
    <t>ACM MobiCom '24</t>
  </si>
  <si>
    <t>event-place: Washington D.C., DC, USA</t>
  </si>
  <si>
    <t>This work presents SPARC (Spatio-Temporal Adaptive Resource Control), a novel approach for multi-site spectrum management in NextG cellular networks. SPARC addresses the challenge of limited licensed spectrum in dynamic environments. We leverage the O-RAN architecture to develop a multi-timescale RAN Intelligent Controller (RIC) framework, featuring an xApp for near-real-time interference detection and localization, and a ŒºApp for real-time intelligent resource allocation. By utilizing base stations as spectrum sensors, SPARC enables efficient and fine-grained dynamic resource allocation across multiple sites, enhancing signal-to-noise ratio (SNR) by up to 7dB, spectral efficiency by up to 15%, and overall system throughput by up to 20%.</t>
  </si>
  <si>
    <t>interference detection; traffic; RAN intelligent control</t>
  </si>
  <si>
    <t>JC387TWZ</t>
  </si>
  <si>
    <t>Golestani, Hossein; Mirhosseini, Amirhossein; Wenisch, Thomas F.</t>
  </si>
  <si>
    <t>Software Data Planes: You Can't Always Spin to Win</t>
  </si>
  <si>
    <t>978-1-4503-6973-2</t>
  </si>
  <si>
    <t>10.1145/3357223.3362737</t>
  </si>
  <si>
    <t>https://doi.org/10.1145/3357223.3362737</t>
  </si>
  <si>
    <t>337‚Äì350</t>
  </si>
  <si>
    <t>SoCC '19</t>
  </si>
  <si>
    <t>Today's datacenters demand high-performance, energy-efficient software data planes, which are widely used in many areas including fast network packet processing, network function virtualization, high-speed data transfer in storage systems, and I/O virtualization. Modern software data planes bypass OS I/O stacks and rely on cores spinning on user-level queues as a fast notification mechanism. Whereas spin-polling can improve latency and throughput, it entails significant shortcomings, especially when scaling to large numbers of cores/queues. In this paper, we pinpoint and quantify challenges of spin-polling‚Äìbased software data planes using Intel's Data Plane Development Kit (DPDK) as a representative infrastructure. We characterize four scalability issues of software data planes: (1) Full-tilt spinning cores perform more (useless) polling work when there is less work pending in the queues; (2) Spin-polling scales poorly with the number of polled queues due to processor cache capacity constraints, especially when traffic is unbalanced; (3) Operation rate limits (transactions per second) as well as a Polling Tax (the overhead of polling, which is considerable even when operating at saturation throughput) result in poor core scalability. (4) Whereas shared queues can mitigate load imbalance and head-of-line-blocking, synchronization overheads limit their potential benefits. We identify root causes of these issues and discuss solution directions to improve hardware and software abstractions for better performance, efficiency, and scalability in software data planes.</t>
  </si>
  <si>
    <t>data planes; spin-polling; user-level queues</t>
  </si>
  <si>
    <t>DFICAY5M</t>
  </si>
  <si>
    <t>Ergasheva, Shokhista; Gudkov, Mikhail; Kruglov, Artem; Succi, Giancarlo; Vasques, Xavier; Zagidullina, Aliya</t>
  </si>
  <si>
    <t>Obtaining Data from the Third-Party Systems for Software Development Process Analysis</t>
  </si>
  <si>
    <t>Proceedings of the 3rd International Conference on Information Management and Management Science</t>
  </si>
  <si>
    <t>978-1-4503-7546-7</t>
  </si>
  <si>
    <t>10.1145/3416028.3416046</t>
  </si>
  <si>
    <t>https://doi.org/10.1145/3416028.3416046</t>
  </si>
  <si>
    <t>82‚Äì86</t>
  </si>
  <si>
    <t>IMMS '20</t>
  </si>
  <si>
    <t>Organizations nowadays have plenty number of choices to improve their software processes with the help of several third-party software process evaluation applications. Basically, for any kind of evaluation method, the software process metrics should be measured. Mainly it can be organized in different ways, as far as metrics collection from developers' devices is also not an easy task. This paper introduces our proposed framework to track and analyze the software development process, which gives important insights into the process and the product. In addition, integration of the external third-party agents for development management tools like Trello and SonarQube. The detailed architecture of the framework and it's agent relations are given with the precise metrics lists that are retrieved from the mentioned data sources.</t>
  </si>
  <si>
    <t>Development tools; management utilities; productivity; software development tracking</t>
  </si>
  <si>
    <t>P7IY22GT</t>
  </si>
  <si>
    <t>Huang, Jin; Zeng, Zeng; Wu, Peng; Xu, Caiyun; Li, Xiuyi</t>
  </si>
  <si>
    <t>Edge computing framework design for power intelligent IoT</t>
  </si>
  <si>
    <t>Proceedings of the 2024 International Conference on Advanced Robotics, Automation Engineering and Machine Learning</t>
  </si>
  <si>
    <t>979-8-4007-1711-6</t>
  </si>
  <si>
    <t>10.1145/3677454.3677455</t>
  </si>
  <si>
    <t>https://doi.org/10.1145/3677454.3677455</t>
  </si>
  <si>
    <t>1‚Äì5</t>
  </si>
  <si>
    <t>ARAEML '24</t>
  </si>
  <si>
    <t>As the construction of the smart grid moves forward gradually, hundreds of millions of terminal devices will be linked to it. The central master station will be under tremendous pressure due to the enormous diverse daily incremental data gathering, computation, and transmission produced by these devices. With edge computing, a new computing paradigm that moves data storage and computation closer to the user, real-time and effective lightweight data processing is made possible, regional autonomy is realized, and communication and computation at the cloud master are less stressful. The edge computing framework may satisfy the requirements of the power grid in terms of precise sensing, unified IoT, edge intelligence, and open sharing since it is an open software platform that supports edge computing. In order to lay the groundwork for the development of edge intelligence in the power grid, we first analyze the demand for typical business scenarios related to power transmission, substation, and distribution. Next, we present the target positioning and design principles of the edge computing framework in the power grid. Finally, we design the edge computing framework's functional architecture based on meeting the technical requirements of the electric power Internet of things.</t>
  </si>
  <si>
    <t>Edge computing; Information interaction; Intelligent sensing; Power IoT</t>
  </si>
  <si>
    <t>4P8VMH8W</t>
  </si>
  <si>
    <t>Zhang, Xuyang; Ni, Li; Zhu, Hang; Shen, Jialu; Wang, Lei</t>
  </si>
  <si>
    <t>Research on intelligent operation and maintenance system of distributed photovoltaic power station based on Internet of Things technology</t>
  </si>
  <si>
    <t>Proceedings of the 2024 International Conference on Generative Artificial Intelligence and Information Security</t>
  </si>
  <si>
    <t>979-8-4007-0956-2</t>
  </si>
  <si>
    <t>10.1145/3665348.3665413</t>
  </si>
  <si>
    <t>https://doi.org/10.1145/3665348.3665413</t>
  </si>
  <si>
    <t>380‚Äì387</t>
  </si>
  <si>
    <t>GAIIS '24</t>
  </si>
  <si>
    <t>event-place: Kuala Lumpur, Malaysia</t>
  </si>
  <si>
    <t>With the rapid development of renewable energy, especially solar energy, distributed photovoltaic power plants have become a crucial component of energy transition. In order to improve the operational efficiency and reduce maintenance costs of photovoltaic power plants, this paper proposes an IoT-based intelligent operation and maintenance system for distributed photovoltaic power plants. The system integrates advanced sensor networks, cloud computing, big data analysis, and artificial intelligence technologies to achieve real-time monitoring, fault prediction, performance optimization, and automated maintenance decision-making for photovoltaic power plants. Through a series of experiments, this paper validates the effectiveness of the proposed system in improving the operational efficiency of photovoltaic power plants, ensuring stable system operation, and optimizing energy output. Furthermore, this research explores the application challenges and strategies of IoT technology in the operation and maintenance of photovoltaic power plants, providing new perspectives and methods for the intelligent management and maintenance of photovoltaic power plants.</t>
  </si>
  <si>
    <t>MUMTJUUH</t>
  </si>
  <si>
    <t>Savasci, Mehmet; Ali-Eldin, Ahmed; Eker, Johan; Robertsson, Anders; Shenoy, Prashant</t>
  </si>
  <si>
    <t>DDPC: Automated Data-Driven Power-Performance Controller Design on-the-fly for Latency-sensitive Web Services</t>
  </si>
  <si>
    <t>Proceedings of the ACM Web Conference 2023</t>
  </si>
  <si>
    <t>978-1-4503-9416-1</t>
  </si>
  <si>
    <t>10.1145/3543507.3583437</t>
  </si>
  <si>
    <t>https://doi.org/10.1145/3543507.3583437</t>
  </si>
  <si>
    <t>3067‚Äì3076</t>
  </si>
  <si>
    <t>WWW '23</t>
  </si>
  <si>
    <t>event-place: Austin, TX, USA</t>
  </si>
  <si>
    <t>Traditional power reduction techniques such as DVFS or RAPL are challenging to use with web services because they significantly affect the services‚Äô latency and throughput. Previous work suggested the use of controllers based on control theory or machine learning to reduce performance degradation under constrained power. However, generating these controllers is challenging as every web service applications running in a data center requires a power-performance model and a fine-tuned controller. In this paper, we present DDPC, a system for autonomic data-driven controller generation for power-latency management. DDPC automates the process of designing and deploying controllers for dynamic power allocation to manage the power-performance trade-offs for latency-sensitive web applications such as a social network. For each application, DDPC uses system identification techniques to learn an adaptive power-performance model that captures the application‚Äôs power-latency trade-offs which is then used to generate and deploy a Proportional-Integral (PI) power controller with gain-scheduling to dynamically manage the power allocation to the server running application using RAPL. We evaluate DDPC with two realistic latency-sensitive web applications under varying load scenarios. Our results show that DDPC is capable of autonomically generating and deploying controllers within a few minutes reducing the active power allocation of a web-server by more than 50% compared to state-of-the-art techniques while maintaining the latency well below the target of the application.</t>
  </si>
  <si>
    <t>datacenter; power-management; Web service performance</t>
  </si>
  <si>
    <t>F5SFSYZ8</t>
  </si>
  <si>
    <t>Stingl, Lukas; Knierim, Michael T.</t>
  </si>
  <si>
    <t>OpenBCI Meets the Web: A Scalable, Customizable Platform for Open-Source EEG Data Collection</t>
  </si>
  <si>
    <t>Companion of the 2024 on ACM International Joint Conference on Pervasive and Ubiquitous Computing</t>
  </si>
  <si>
    <t>979-8-4007-1058-2</t>
  </si>
  <si>
    <t>10.1145/3675094.3678482</t>
  </si>
  <si>
    <t>https://doi.org/10.1145/3675094.3678482</t>
  </si>
  <si>
    <t>925‚Äì929</t>
  </si>
  <si>
    <t>UbiComp '24</t>
  </si>
  <si>
    <t>event-place: Melbourne VIC, Australia</t>
  </si>
  <si>
    <t>The traditional process of EEG-based BCI data collection is cum- bersome and expertise-dependent due to complex hardware in- strumentation, but also because data collection software typically comes as an on-premise solution with features tailored to trained experimenters. To overcome these limitations, we herein present a customizable platform for EEG data collection using OpenBCI hardware, that simplifies and accelerates the EEG setup process. The proposed system integrates various adaptations of the Open- BCI recording hardware, enabling easy customizability for versatile electrode configurations. The frontend, developed with Vue 3 and D3.js, provides real-time impedance checks and data visualization, while the backend, utilizing Apache, Node.js, and Flask, ensures efficient data transmission and storage. This platform addresses critical needs for cross-platform compatibility, customizability, effi- cient session management, and user-friendly interfaces, making it ideal for large-scale and field studies. The automated data manage- ment and real-time feedback enhance data quality and reliability, supporting various research applications.</t>
  </si>
  <si>
    <t>eeg; exg; headphones; open-ceegrids; openbci; wearable bci</t>
  </si>
  <si>
    <t>EM7X3GWA</t>
  </si>
  <si>
    <t>Kapsalis, Panagiotis; Rimassa, Giovanni; Zeydan, Engin; Via, Selva; Risso, Fulvio; Chiasserini, Carla Fabiana; Vivo, Giulio</t>
  </si>
  <si>
    <t>A Next Generation Architecture for Internet of Things in the Automotive Supply Chain for Electric Vehicles</t>
  </si>
  <si>
    <t>Proceedings of the Twenty-Fifth International Symposium on Theory, Algorithmic Foundations, and Protocol Design for Mobile Networks and Mobile Computing</t>
  </si>
  <si>
    <t>979-8-4007-0521-2</t>
  </si>
  <si>
    <t>10.1145/3641512.3690035</t>
  </si>
  <si>
    <t>https://doi.org/10.1145/3641512.3690035</t>
  </si>
  <si>
    <t>428‚Äì433</t>
  </si>
  <si>
    <t>MobiHoc '24</t>
  </si>
  <si>
    <t>This paper presents a next-generation architecture that focuses on the advancement of edge computing and Internet of Things (IoT) technologies in the context of the automotive supply value chain for electric vehicles (EVs). First, we outline the general architecture design, the specific layers and their goals. Based on the principles of the proposed architecture, we also give a use case for improving the traceability, monitoring and efficiency of EV battery transportation using innovative approaches in federated data spaces, AI-powered inference and orchestration of a multi-objective computational continuum. The automotive supply chain use case is presented with potential Key Performance Indicators (KPIs) while emphasizing the potential impact on operational efficiency, cost reduction and sustainability. By addressing the current limitations in distributed intelligence, data governance, and cross-domain interoperability, we emphasize the importance of real-time data processing, dynamic field governance, and energy-efficient machine learning in the context of the electric vehicle supply chain. At the end of the paper, a discussion and comparative analysis highlights the advances over existing technologies and frameworks and identifies future directions to further improve innovations and applications in this area.</t>
  </si>
  <si>
    <t>distributed computing; cloud orchestration; decentralized AI; edge data processing; IoT orchestration</t>
  </si>
  <si>
    <t>8PSU4A5E</t>
  </si>
  <si>
    <t>Dobaj, J√ºrgen; Riel, Andreas; Krug, Thomas; Seidl, Matthias; Macher, Georg; Egretzberger, Markus</t>
  </si>
  <si>
    <t>Towards digital twin-enabled DevOps for CPS providing architecture-based service adaptation &amp;amp; verification at runtime</t>
  </si>
  <si>
    <t>10.1145/3524844.3528057</t>
  </si>
  <si>
    <t>https://doi.org/10.1145/3524844.3528057</t>
  </si>
  <si>
    <t>132‚Äì143</t>
  </si>
  <si>
    <t>Background: Industrial Product-Service Systems (IPSS) denote a service-oriented way of providing access to cyber-physical systems' (CPS) capabilities. The design of such systems bears high risk due to uncertainty in requirements related to service function and behavior, operation environments, and evolving customer needs. Such risks and uncertainties are well known in the IT sector, where DevOps principles ensure continuous system improvement through reliable and frequent delivery processes. A modular and service-oriented system architecture complements these processes to facilitate IT system adaptation and evolution.Objective: This work proposes a method to use and extend the Digital Twins (DTs) of IPSS assets for enabling the continuous optimization of CPS service delivery and the latter's adaptation to changing needs and environments. This reduces uncertainty during design and operations by assuring IPSS integrity and availability, especially for design and service adaptations at CPS runtime.Methodology: The method builds on transferring IT DevOps principles to DT-enabled CPS IPSS. The chosen design approach integrates, reuses, and aligns the DT processing and communication resources with DevOps requirements derived from literature.Results: We use these requirements to propose a DT-enabled self-adaptive CPS model, which guides the realization of DT-enabled DevOps in CPS IPSS. We further propose detailed design models for operation-critical DTs that integrate CPS closed-loop control and architecture-based CPS adaptation. This integrated approach enables the implementation of A/B testing as a use case and central concept to enable CPS IPSS service adaptation and reconfiguration.Conclusion: The self-adaptive CPS model and DT design concept have been validated in an evaluation environment for operation-critical CPS IPSS. The demonstrator achieved sub-millisecond cycle times during service A/B testing at runtime without causing CPS operation interferences and downtime.</t>
  </si>
  <si>
    <t>self-adaptation; DevOps; CPS; digital twin; deployment; IPSS</t>
  </si>
  <si>
    <t>IY2AUWGW</t>
  </si>
  <si>
    <t>Roh, Seol; Jeong, Hong-Ju; Boo, Hacksung; Huh, Eui-Nam</t>
  </si>
  <si>
    <t>An Efficient Serverless-VM Switching Mechanism for Cloud Cost Optimization</t>
  </si>
  <si>
    <t>Proceedings of the 2024 9th International Conference on Intelligent Information Technology</t>
  </si>
  <si>
    <t>979-8-4007-1671-3</t>
  </si>
  <si>
    <t>10.1145/3654522.3654594</t>
  </si>
  <si>
    <t>https://doi.org/10.1145/3654522.3654594</t>
  </si>
  <si>
    <t>482‚Äì486</t>
  </si>
  <si>
    <t>ICIIT '24</t>
  </si>
  <si>
    <t>event-place: Ho Chi Minh City, Vietnam</t>
  </si>
  <si>
    <t>This research introduces an efficient switching mechanism between serverless architecture and traditional Virtual Machines within a cloud environment. Serverless computing, especially Function-as-a-Service, is gaining prominence due to its scalability, flexibility, and cost-effectiveness. This study presents a methodology that leverages the strengths of both serverless architecture and VMs to minimize operational costs and optimize performance. In this paper, to combines the benefits of serverless computing and VMs to enhance the utilization of cloud resources for switching mechanism. The algorithm promotes efficient resource allocation based on various metrics, including traffic load, cost, and execution time. Additionally, we employ a PID controller for facilitating seamless transitions between serverless and VM environments. Through in-depth analysis using large-scale data processing scenarios, we demonstrate how adopting a serverless architecture can lead to cost savings and improved resource utilization.</t>
  </si>
  <si>
    <t>Cost effectiveness; Serverless; Switchable Event Manager</t>
  </si>
  <si>
    <t>X8PB4Y9B</t>
  </si>
  <si>
    <t>Shen, Jian; Dai, Yang; Dong, Xiaofeng</t>
  </si>
  <si>
    <t>Research on Grid Edge Agent Based on Enhanced Analysis of Distribution Network Information Processing</t>
  </si>
  <si>
    <t>Proceedings of the 4th International Conference on Computer Science and Application Engineering</t>
  </si>
  <si>
    <t>978-1-4503-7772-0</t>
  </si>
  <si>
    <t>10.1145/3424978.3425133</t>
  </si>
  <si>
    <t>https://doi.org/10.1145/3424978.3425133</t>
  </si>
  <si>
    <t>CSAE '20</t>
  </si>
  <si>
    <t>In the deepening construction of the strong smart grid and the rapid development of the ubiquitous IoT distribution network, issues such as lack of management and poor sharing of data during the mutual penetration and fusion of multiple types of data in the electric power Internet of Things are highlighted. Based on the analysis of the current situation of data acquisition and control of middle and low voltage distribution network, the information processing system of distribution network based on grid edge agent is proposed in this paper. The data of distribution network are analyzed and mined from multiple levels and angles, and the autonomic computing function similar to human brain is endowed to the distribution grid. In this paper, a comprehensive behavioral atlas of distribution network is constructed, and intelligent assisted strategy technology is proposed and successfully applied in the power system of a city in Jiangsu. This article introduces the system design concept, overall architecture and main functions in detail, and prospects its core technology and potential application range. The pilot application proved the rationality of the technical concept.</t>
  </si>
  <si>
    <t>Event evolution graph; Low-voltage distribution network; Network edge agent; Regional autonomy; Ubiquitous power IoT</t>
  </si>
  <si>
    <t>GSKW8RMI</t>
  </si>
  <si>
    <t>Sukhoroslov, Oleg; Gorokhovskii, Maksim</t>
  </si>
  <si>
    <t>Benchmarking DAG Scheduling Algorithms on&amp;nbsp;Scientific Workflow Instances</t>
  </si>
  <si>
    <t>Supercomputing: 9th Russian Supercomputing Days, RuSCDays 2023, Moscow, Russia, September 25‚Äì26, 2023, Revised Selected Papers, Part II</t>
  </si>
  <si>
    <t>978-3-031-49434-5</t>
  </si>
  <si>
    <t>10.1007/978-3-031-49435-2_1</t>
  </si>
  <si>
    <t>https://doi.org/10.1007/978-3-031-49435-2_1</t>
  </si>
  <si>
    <t>3‚Äì20</t>
  </si>
  <si>
    <t>event-place: Moscow, Russia</t>
  </si>
  <si>
    <t>Many real-world applications executed on distributed computing systems are organized as directed acyclic graphs (DAGs) of tasks. The algorithm employed for scheduling these tasks across the system has a substantial impact on the achieved performance. Despite the numerous DAG scheduling algorithms proposed by researchers, there is a lack of benchmarks that evaluate the performance of such algorithms on a set of real application instances in realistic conditions. Thus developers of runtime systems often resort to the use of simple but inefficient algorithms. In this work we aim to fill this gap by proposing a benchmark for evaluating DAG scheduling algorithms based on a set of 150 real-world workflow instances with up to 1695 tasks and 10 realistic cluster configurations with multi-core machines. We apply this benchmark for evaluation of 16 scheduling algorithms including the well-known static algorithms and the commonly used in practice dynamic algorithms. The obtained results demonstrate that the proposed benchmark allows to clearly separate and compare the algorithms performance from different angles and to make important observations.</t>
  </si>
  <si>
    <t>Benchmark; Simulation; Distributed computing; DAG scheduling; Task graph; Workflow</t>
  </si>
  <si>
    <t>KUPVJQAY</t>
  </si>
  <si>
    <t>Shi, Zeshun; Zhou, Huan; Hu, Yang; Koulouzis, Spiros; Rubia, Carlos; Zhao, Zhiming</t>
  </si>
  <si>
    <t>Co-located and Orchestrated Network Fabric (CONF): An Automated Cloud Virtual Infrastructure for Social Network Applications</t>
  </si>
  <si>
    <t>10.1007/978-3-030-48340-1_36</t>
  </si>
  <si>
    <t>https://doi.org/10.1007/978-3-030-48340-1_36</t>
  </si>
  <si>
    <t>464‚Äì475</t>
  </si>
  <si>
    <t>Cloud environments can provide virtualized, elastic, controllable and high-quality on-demand infrastructure services for supporting complex distributed applications. However, existing IaaS (Infrastructure-as-a-Service) solutions mainly focus on the automated integration or deployment of generic applications; they lack flexible infrastructure planning and provisioning solutions and do not have rich support for the high service quality and trustworthiness required by social network applications. This paper introduces an automated cloud virtual infrastructure solution for social network applications, called Co-located and Orchestrated Network Fabric (CONF), which was conducted in a recently funded EU H2020 project ARTICONF. CONF aims to improve the existing infrastructure support in the DevOps lifecycle of social network applications to optimize QoS performance metrics as well as ensure fast recovery in the presence of faults or performance drops.</t>
  </si>
  <si>
    <t>Cloud; Social network applications; Virtual infrastructure</t>
  </si>
  <si>
    <t>3GSPWJUI</t>
  </si>
  <si>
    <t>Avritzer, Alberto; Britto, Ricardo; Trubiani, Catia; Russo, Barbara; Janes, Andrea; Camilli, Matteo; van Hoorn, Andr√©; Heinrich, Robert; Rapp, Martina; Hen√ü, J√∂rg</t>
  </si>
  <si>
    <t>A Multivariate Characterization and Detection of Software Performance Antipatterns</t>
  </si>
  <si>
    <t>Proceedings of the ACM/SPEC International Conference on Performance Engineering</t>
  </si>
  <si>
    <t>978-1-4503-8194-9</t>
  </si>
  <si>
    <t>10.1145/3427921.3450246</t>
  </si>
  <si>
    <t>https://doi.org/10.1145/3427921.3450246</t>
  </si>
  <si>
    <t>61‚Äì72</t>
  </si>
  <si>
    <t>Context. Software Performance Antipatterns (SPAs) research has focused on algorithms for the characterization, detection, and solution of antipatterns. However, existing algorithms are based on the analysis of runtime behavior to detect trends on several monitored variables (e.g., response time, CPU utilization, and number of threads) using pre-defined thresholds. Objective. In this paper, we introduce a new approach for SPA characterization and detection designed to support continuous integration/delivery/deployment (CI/CDD) pipelines, with the goal of addressing the lack of computationally efficient algorithms.Method. Our approach includes SPA statistical characterization using a multivariate analysis approach of load testing experimental results to identify the services that have the largest impact on system scalability.More specifically, we introduce a layered decomposition approach that implements statistical analysis based on response time to characterize load testing experimental results. A distance function is used to match experimental results to SPAs.Results. We have instantiated the introduced methodology by applying it to a large complex telecom system. We were able to automatically identify the top five services that are scalability choke points. In addition, we were able to automatically identify one SPA. We have validated the engineering aspects of our methodology and the expected benefits by means of a domain experts' survey.Conclusion. We contribute to the state-of-the-art by introducing a novel approach to support computationally efficient SPA characterization and detection in large complex systems using performance testing results. We have compared the computational efficiency of the proposed approach with state-of-the-art heuristics. We have found that the approach introduced in this paper grows linearly, which is a significant improvement over existing techniques.</t>
  </si>
  <si>
    <t>multivariate analysis; software performance antipattern characterization; software performance antipattern detection</t>
  </si>
  <si>
    <t>JLE6WL76</t>
  </si>
  <si>
    <t>Sethuraman, Manasvini; Sarma, Anirudh; Ghaisas, Netra; Bauskar, Adwait; Dhekne, Ashutosh; Sivasubramaniam, Anand; Ramachandran, Kishore</t>
  </si>
  <si>
    <t>BASS: A Resource Orchestrator to Account for Vagaries in Network Conditions in Community Wi-Fi Mesh</t>
  </si>
  <si>
    <t>10.1145/3652892.3700754</t>
  </si>
  <si>
    <t>https://doi.org/10.1145/3652892.3700754</t>
  </si>
  <si>
    <t>131‚Äì144</t>
  </si>
  <si>
    <t>We investigate the issue of deploying applications on a set of loosely coupled compute devices, connected through a wireless mesh, typical in community networks. Wireless mesh networks experience significant temporal and spatial variations in link bandwidth. When application components, modeled as a directed acyclic graph, need to be scheduled on such a mesh with bandwidth constraints (and variations), the problem of mapping components to specific compute nodes becomes an instance of bin packing with constraints of CPU, memory, and bandwidth limits within the mesh. To make the scheduling tractable, we propose BASS (Bandwidth Aware Scheduling System), and develop heuristics for scheduling, based on the directed graph topology of the application components. We evaluate BASS on an emulated mesh using bandwidth traces collected from an actual wireless testbed - CityLab. Detailed evaluations show that contemporary orchestration frameworks can plug in BASS to provide better end-to-end performance for the applications deployed on the mesh while reducing resource utilization.</t>
  </si>
  <si>
    <t>PGE2CMPV</t>
  </si>
  <si>
    <t>Serrano-Gutierrez, Pablo; Ayala, Inmaculada; Fuentes, Lidia</t>
  </si>
  <si>
    <t>FUSPAQ: A Function Selection Platform to Adjust QoS in a FaaS Application</t>
  </si>
  <si>
    <t>10.1007/978-3-031-26507-5_20</t>
  </si>
  <si>
    <t>https://doi.org/10.1007/978-3-031-26507-5_20</t>
  </si>
  <si>
    <t>249‚Äì260</t>
  </si>
  <si>
    <t>Function as a Service (FaaS) development has numerous benefits for application deployment, management, and maintenance. However, the lack of control over the infrastructure and, often, over the FaaS platform itself, makes it necessary to look for external solutions that allow the operation of the application to be adapted to different requirements or changing execution conditions. In a FaaS application, the quality of service (QoS) is determined by the characteristics of the functions executed to perform each workflow operation. Deciding the most suitable functions providing a QoS is a complex process due to the high variability of possible function implementations, each giving different qualities. Leaving this task in the hands of the developer is not a good solution and makes it difficult to program the application. We present FUSPAQ, a framework for working with serverless architectures, which can automatically select the best functions executed at runtime to satisfy specific QoS requirements. With this objective, a Software Product Line approach is used, modeling the application‚Äôs tasks and operations using Feature Models that specify the variability of functions that can perform the same operation as a family of functions. We use Z3, a cross-platform satisfiability modulo theories (SMT) solver, to generate optimal configurations. As requirements can change over time, the system automatically adapts to these changes to continue maintaining the desired QoS. We test our approach with different QoS parameters, and analyse the value added to serverless frameworks.</t>
  </si>
  <si>
    <t>FaaS; Serverless; QoS; Feature model; Software product line</t>
  </si>
  <si>
    <t>KQHDGR2A</t>
  </si>
  <si>
    <t>Zhao, Yixue</t>
  </si>
  <si>
    <t>Mobile-app analysis and instrumentation techniques reimagined with DECREE</t>
  </si>
  <si>
    <t>Proceedings of the 41st International Conference on Software Engineering: Companion Proceedings</t>
  </si>
  <si>
    <t>10.1109/ICSE-Companion.2019.00086</t>
  </si>
  <si>
    <t>https://doi.org/10.1109/ICSE-Companion.2019.00086</t>
  </si>
  <si>
    <t>218‚Äì221</t>
  </si>
  <si>
    <t>ICSE '19</t>
  </si>
  <si>
    <t>Montreal, Quebec, Canada</t>
  </si>
  <si>
    <t>A large number of mobile-app analysis and instrumentation techniques have emerged in the past decade. However, those techniques' components are difficult to extract and reuse outside their original tools, their evaluation results are hard to reproduce, and the tools themselves are hard to compare. This paper introduces DECREE, an infrastructure intended to guide such techniques to be reproducible, practical, reusable, and easy to adopt in practice. DECREE allows researchers and developers to easily discover existing solutions to their needs, enables unbiased and reproducible evaluation, and supports easy construction and execution of replication studies. The paper describes DECREE's three modules and its potential to fundamentally alter how research is conducted in this area.</t>
  </si>
  <si>
    <t>J6HJYYBV</t>
  </si>
  <si>
    <t>Sampaio, Lilia; Silva, F√°bio; Souza, Amanda; Brito, Andrey; Felber, Pascal</t>
  </si>
  <si>
    <t>Secure and Privacy-Aware Data Dissemination for Cloud-Based Applications</t>
  </si>
  <si>
    <t>10.1145/3147213.3147230</t>
  </si>
  <si>
    <t>https://doi.org/10.1145/3147213.3147230</t>
  </si>
  <si>
    <t>47‚Äì56</t>
  </si>
  <si>
    <t>In this paper we propose a data dissemination platform that supports data security and different privacy levels even when the platform and the data are hosted by untrusted infrastructures. The proposed system aims at enabling an application ecosystem that uses off-the-shelf trusted platforms (in this case, Intel SGX), so that users may allow or disallow third parties to access the live data stream with a specific sensitivity-level. Moreover, this approach does not require users to manage the encryption keys directly. Our experiments show that such an approach is indeed practical for medium scale systems, where participants disseminate small volumes of data at a time, such as in smart grids and IoT environments.</t>
  </si>
  <si>
    <t>cloud computing; iot; data security; privacy; sgx; trusted execution</t>
  </si>
  <si>
    <t>KGVUZJZH</t>
  </si>
  <si>
    <t>Mellone, Gennaro; De Vita, Ciro Giuseppe; Caramiello, Dario; Singh, David Exposito; Blas, Javier Garcia; Ciaramella, Angelo</t>
  </si>
  <si>
    <t>Workflows' applications in computational environmental science: a survey</t>
  </si>
  <si>
    <t>Proceedings of the 2nd Workshop on Workflows in Distributed Environments</t>
  </si>
  <si>
    <t>979-8-4007-0546-5</t>
  </si>
  <si>
    <t>10.1145/3642978.3652833</t>
  </si>
  <si>
    <t>https://doi.org/10.1145/3642978.3652833</t>
  </si>
  <si>
    <t>WiDE '24</t>
  </si>
  <si>
    <t>This survey paper explores the different applications of workflows in computational environmental science. Workflows are crucial in streamlining complex computational processes, enabling researchers to manage and analyze large-scale environmental data effectively. The paper reviews existing literature, methodologies, and tools associated with workflow applications in environmental science, highlighting their impact on research efficiency, reproducibility, and collaboration. By examining case studies and emerging trends, this survey aims to provide insights into the current landscape of workflow applications within the computational environmental science domain.</t>
  </si>
  <si>
    <t>survey; computational environmental science; workflows</t>
  </si>
  <si>
    <t>XLJQ3IZN</t>
  </si>
  <si>
    <t>Ayaz, Berk; Slamnik-Krije≈°torac, Nina; Marquez-Barja, Johann</t>
  </si>
  <si>
    <t>Data Management Platform For Smart Orchestration of Decentralized and Heterogeneous Vehicular Edge Networks</t>
  </si>
  <si>
    <t>Proceedings of the 2022 ACM Conference on Information Technology for Social Good</t>
  </si>
  <si>
    <t>978-1-4503-9284-6</t>
  </si>
  <si>
    <t>10.1145/3524458.3547254</t>
  </si>
  <si>
    <t>https://doi.org/10.1145/3524458.3547254</t>
  </si>
  <si>
    <t>118‚Äì124</t>
  </si>
  <si>
    <t>GoodIT '22</t>
  </si>
  <si>
    <t>Intelligent edge orchestration has become a vital component within next generation communication networks, such as 5G. They offer optimal resource allocation and service distribution, hence allow for full utilization of the opportunities provided by those networks. Orchestrators make use of Machine Learning (ML) techniques to determine the most optimal operational decisions, such as deployment and scaling of services, ensuring the quality of the service performance. The training and validation of these models require significant amount of data. However, in such environments we deal with heterogeneous and distributed data sources, in which the data needs to be collected and pre-processed efficiently, and as such, made ready-to-use for these ML models. Hence, in this paper several state-of-the-art data management technologies suitable for edge computing and orchestration are investigated and compared. After investigating the theoretical features of these technologies, they are deployed and tested on the Smart Highway testbed. The strengths and shortcomings of these systems are presented and compared based on the Quality of Service (QoS) requirements for various vehicular services dealing with highly mobile users, i.e., vehicles, which are considered as quite stringent. This hybrid platform, combining several data management technologies, will be used to assist and enrich the research on smart edge orchestration at IDLab and serve as a reference for other interested parties.</t>
  </si>
  <si>
    <t>Edge Computing; ActiveMQ; Data Management; Edge Orchestration; Kafka; Pulsar; V2X; Zenoh</t>
  </si>
  <si>
    <t>73V37M5R</t>
  </si>
  <si>
    <t>Soumplis, Polyzois; Kokkinos, Panagiotis; Varvarigos, Emmanouel</t>
  </si>
  <si>
    <t>Efficient Resource Provisioning in Critical Infrastructures Based on Multi-Agent Rollout Enabled by Deep Q-Learning</t>
  </si>
  <si>
    <t>Advances in Visual Computing: 18th International Symposium, ISVC 2023, Lake Tahoe, NV, USA, October 16‚Äì18, 2023, Proceedings, Part I</t>
  </si>
  <si>
    <t>978-3-031-47968-7</t>
  </si>
  <si>
    <t>10.1007/978-3-031-47969-4_17</t>
  </si>
  <si>
    <t>https://doi.org/10.1007/978-3-031-47969-4_17</t>
  </si>
  <si>
    <t>210‚Äì223</t>
  </si>
  <si>
    <t>event-place: Lake Tahoe, NV, USA</t>
  </si>
  <si>
    <t>Next-generation smart environments, an integral part of our modern lives, integrate computing and networking technologies to enrich our experiences. Harnessing cutting-edge technologies like the Internet of Things, Artificial Intelligence, and Edge Computing, they function under the control of critical infrastructures often processing complex computer vision tasks such as object recognition and image segmentation in real-time. These infrastructures manage vast volumes of data with intensive computational demands. In response to these challenges, infrastructures have evolved to distributed that consists of resources of different capabilities and different operators. Within these environments, the security and communication among different domains are fundamental. Each domain potentially has different levels of security requirements and may use various protocols for communication. As data travels across these domains, it is exposed to a variety of threats, including data breaches, cyberattacks, and unauthorized access. In such a environment, where multiple domains co-exist, each with its own unique resources and security specifications, communication constraints across them further complicate the resource allocation process. This complexity is further increased by the diverse computing and networking constraints imposed by applications. In this work, we propose a multi-Agent Deep Reinforcement Learning mechanism that operates based on multi-Agent Rollout and deep Q-learning in order to serve the different applications‚Äô requirements. The proposed optimization mechanism considers multiple objectives during the resource allocation process and tries to fulfill the specific constraints set by the demands and the broader objectives set by the infrastructure operator. Through rigorous evaluations, we showcase the effectiveness and efficiency of our proposed mechanisms in accommodating the heterogeneous and stringent workload requirements, whilst optimizing the use of infrastructure resources. Our simulation experiments confirm that the proposed mechanism can substantially enhance the efficiency of resource allocation in critical infrastructures.</t>
  </si>
  <si>
    <t>Reinforcement Learning; critical infrastructure; Deep Q-Learning; multi-Agent Rollout</t>
  </si>
  <si>
    <t>9GWWYRDC</t>
  </si>
  <si>
    <t>Branco da Silva, Paulo Ricardo; Henriques Sales de Lima, Jo√£o Paulo; Costa Alves, Erika; Farfan, William Sanchez; Coutinho, Victor Aguiar; Paiva, Thomas William do Prado; Feferman, Daniel Lazkani; Neto, Francisco Hugo Costa</t>
  </si>
  <si>
    <t>Evaluation of the Latency of Machine Learning Random Access DDoS Detection in Open RAN</t>
  </si>
  <si>
    <t>10.1145/3636534.3701546</t>
  </si>
  <si>
    <t>https://doi.org/10.1145/3636534.3701546</t>
  </si>
  <si>
    <t>2306‚Äì2311</t>
  </si>
  <si>
    <t>A testbed with open-source tools and commercial equipment is designed to investigate the timing of ML-based xApp operations in DDoS attack detection during the Random Access procedure. Results show high-precision and high-recall ML classifiers operating faster than the Medium Access Control (MAC) layer's Contention Resolution timer. For classifiers with over 97% precision and recall, XGBoost has the fastest execution time and the narrowest estimated run time probability density function.</t>
  </si>
  <si>
    <t>machine learning; RIC; DDoS; open RAN; signaling storm</t>
  </si>
  <si>
    <t>AJG8A34R</t>
  </si>
  <si>
    <t>Dazzi, Patrizio; Ferrucci, Luca; Danelutto, Marco; Tserpes, Konstantinos; Makris, Antonios; Theodoropoulos, Theodoros; Massa, Jacopo; Carlini, Emanuele; Mordacchini, Matteo</t>
  </si>
  <si>
    <t>Urgent Edge Computing</t>
  </si>
  <si>
    <t>Proceedings of the 4th Workshop on Flexible Resource and Application Management on the Edge</t>
  </si>
  <si>
    <t>979-8-4007-0641-7</t>
  </si>
  <si>
    <t>10.1145/3659994.3660315</t>
  </si>
  <si>
    <t>https://doi.org/10.1145/3659994.3660315</t>
  </si>
  <si>
    <t>7‚Äì14</t>
  </si>
  <si>
    <t>FRAME '24</t>
  </si>
  <si>
    <t>This position paper introduces Urgent Edge Computing (UEC) as a paradigm shift addressing the evolving demands of time-sensitive applications in distributed edge environments, in time-critical scenarios. With a focus on ultra-low latency, availability, resource management, decentralization, self-organization, and robust security, UEC aims to facilitate operations in critical scenarios such as disaster response, environmental monitoring, and smart city management. This paper outlines and discusses the key requirements, challenges, and enablers along with a conceptual architecture. The paper also outlines the potential applications of Urgent Edge Computing.</t>
  </si>
  <si>
    <t>resource management; edge computing; decentralized computing; urgent computing</t>
  </si>
  <si>
    <t>QXZ66AY8</t>
  </si>
  <si>
    <t>Krivic, Petar; Guberovic, Emanuel; Zarko, Ivana Podnar; Cavrak, Igor</t>
  </si>
  <si>
    <t>Evaluation of selected technologies for the implementation of meter data management system</t>
  </si>
  <si>
    <t>Proceedings of the 10th International Conference on the Internet of Things</t>
  </si>
  <si>
    <t>978-1-4503-8758-3</t>
  </si>
  <si>
    <t>10.1145/3410992.3410999</t>
  </si>
  <si>
    <t>https://doi.org/10.1145/3410992.3410999</t>
  </si>
  <si>
    <t>IoT '20</t>
  </si>
  <si>
    <t>event-place: Malm√∂, Sweden</t>
  </si>
  <si>
    <t>Implementation of an efficient meter data management system presents a challenging task since it has to process and store a large number of incoming time-series data entries in almost real-time. A number of solutions for efficient processing and storage of big data streams are today available as open source or commercial software. However, the choice of the most applicable solution highly depends on the requirements of a specific use case scenario since the performance of the aforementioned solutions often vary depending on the specific use-case parameters (e.g. incoming data frequency, average size of a single data entry, etc.). Thus, in this paper we examine different platforms adequate for the implementation of a smart metering data acquisition system, to identify the most efficient ones among the considered candidates. The most important requirement of our meter data management system is to offer a stable solution that processes and stores high volumes of continuously incoming data readings with minimal loss-rate. For this purpose we propose a modular solution where components communicate over a message-queuing system, while the ultimate data repository is a NoSQL database. After carrying out all the specifically designed performance tests, we identify the following platforms as the most promising ones to implement our smart metering solution: Kafka as the messaging broker and time-series database InfluxDB. Finally, we verified that our MDMS successfully processes and stores 2.5 M data entries in a time period under eight minutes which confirms its targeted performance efficiency.</t>
  </si>
  <si>
    <t>Kafka; InfluxDB; MDMS; smart metering; time-series data</t>
  </si>
  <si>
    <t>NQ8BT4LU</t>
  </si>
  <si>
    <t>Ekele, Emeka; Oyewale, Christianah Titilope; Abolade, Akintomiwa Mayowa</t>
  </si>
  <si>
    <t>Leveraging Human-Computer Interaction (HCI) for Enhancing Military Operations in Nigeria</t>
  </si>
  <si>
    <t>Proceedings of the 4th African Human Computer Interaction Conference</t>
  </si>
  <si>
    <t>979-8-4007-0887-9</t>
  </si>
  <si>
    <t>10.1145/3628096.3629081</t>
  </si>
  <si>
    <t>https://doi.org/10.1145/3628096.3629081</t>
  </si>
  <si>
    <t>319‚Äì321</t>
  </si>
  <si>
    <t>AfriCHI '23</t>
  </si>
  <si>
    <t>event-place: East London, South Africa</t>
  </si>
  <si>
    <t>The Nigerian Military interaction with the HCI-based system in daily operation shows why they can further be assisted in enhancing the HCI-based system managing their activities. The panel discussion is on how they can further leverage the use of the HCI-based system in improving their operations in Nigeria.</t>
  </si>
  <si>
    <t>Criminal Activities; Human-Computer Interaction; Nigerian Military; Technological Solutions; UI/UX</t>
  </si>
  <si>
    <t>WNUFR7DU</t>
  </si>
  <si>
    <t>Hu, Juncheng; Zhou, Youtian; Mo, Chunbao</t>
  </si>
  <si>
    <t>Design and Optimization Strategy of a CNN Aided Pre-hospital Diagnosis System for Myocardial Infarction</t>
  </si>
  <si>
    <t>Digital Human Modeling and Applications in Health, Safety, Ergonomics and Risk Management: 15th International Conference, DHM 2024, Held as Part of the 26th HCI International Conference, HCII 2024, Washington, DC, USA, June 29‚ÄìJuly 4, 2024, Proceedings, Part II</t>
  </si>
  <si>
    <t>978-3-031-61062-2</t>
  </si>
  <si>
    <t>10.1007/978-3-031-61063-9_19</t>
  </si>
  <si>
    <t>https://doi.org/10.1007/978-3-031-61063-9_19</t>
  </si>
  <si>
    <t>280‚Äì299</t>
  </si>
  <si>
    <t>event-place: Washington DC, USA</t>
  </si>
  <si>
    <t>Myocardial Infarction (MI), commonly known as a heart attack, is a prevalent acute cardiovascular disease and one of the deadliest types of cardiovascular diseases in China. Electrocardiogram (ECG) serves as the primary tool for analysis and diagnosis, recording the heart‚Äôs electrical activity to detect abnormal patterns. ECG exhibits nonlinear and unstable characteristics, with its noise being random. Therefore, the extraction and identification of ECG features related to MI are crucial for intelligent assisted diagnosis of heart attacks. In this paper, a MI assisted pre-hospital diagnosis system based on CNN (Convolution Neural Network, CNN) is designed, to assist healthcare professionals in improving the accuracy and efficiency of MI diagnosis. The MI assisted diagnosis system, based on the CNN MI intelligent diagnostic model, is established with the goal of intelligent identification of MI in the context of computer-aided diagnosis systems. It aims to address key issues such as automatic feature extraction and analysis diagnosis, focusing on ECG research and exploring MI intelligent identification methods based on CNN. This system is dedicated to providing assistance and support for clinical diagnosis by healthcare professionals, enhancing diagnostic accuracy and efficiency to ensure early diagnosis and timely treatment of MI. Additionally, in cases of sudden cardiac emergencies among ECG users, the system is capable of providing timely assistance and treatment plans, offering critical support to ECG users in need.</t>
  </si>
  <si>
    <t>Healthcare; Artificial Intelligence &amp;amp; CNN; Diagnosis System; Myocardial Infarction; Smart Services</t>
  </si>
  <si>
    <t>QMQVZB9X</t>
  </si>
  <si>
    <t>Cloete, A. H.; Booysen, M. J.; Sandell, R. C.; van der Merwe, A. B.</t>
  </si>
  <si>
    <t>Smart electric water heaters: a system architecture proposal for scalable IoT</t>
  </si>
  <si>
    <t>Proceedings of the Second International Conference on Internet of Things, Data and Cloud Computing</t>
  </si>
  <si>
    <t>978-1-4503-4774-7</t>
  </si>
  <si>
    <t>10.1145/3018896.3025168</t>
  </si>
  <si>
    <t>https://doi.org/10.1145/3018896.3025168</t>
  </si>
  <si>
    <t>ICC '17</t>
  </si>
  <si>
    <t>event-place: Cambridge, United Kingdom</t>
  </si>
  <si>
    <t>Energy and water are scarce resources in South Africa, and the management thereof is receiving increased attention. One rare place where energy and water coincide is in water heaters, which consume over 30% of household energy in South Africa and collectively pass over 500 billion litres of water annually. These resource-hungry devices are not well managed and tend to be physically inaccessible and difficult to understand for users. The advent of wireless and cloud computing technology brought expectations of simple management of a multitude of devices and the so-called Internet of Things. A few solutions have been proposed for remote water heater management, but these are not scalable, and have not been benchmarked for scalability above tens of units. This paper proposes an end-to-end architecture to monitor and control EWHs based on MQTT, and specific emphasis is placed on the technologies suitable for large-scale cross-domain interoperability. The performance of the system with 10,000 connections and the results of a pilot deployment are presented.</t>
  </si>
  <si>
    <t>internet of things; smart cities; electric water heaters</t>
  </si>
  <si>
    <t>ZB2ZNQFG</t>
  </si>
  <si>
    <t>Ramisetty, Rajeswara Rao; Qu, Chengyi; Aktar, Rumana; Wang, Songjie; Calyam, Prasad; Palaniappan, Kannappan</t>
  </si>
  <si>
    <t>Dynamic Computation Off-loading and Control based on Occlusion Detection in Drone Video Analytics</t>
  </si>
  <si>
    <t>Proceedings of the 21st International Conference on Distributed Computing and Networking</t>
  </si>
  <si>
    <t>978-1-4503-7751-5</t>
  </si>
  <si>
    <t>10.1145/3369740.3369793</t>
  </si>
  <si>
    <t>https://doi.org/10.1145/3369740.3369793</t>
  </si>
  <si>
    <t>ICDCN '20</t>
  </si>
  <si>
    <t>event-place: Kolkata, India</t>
  </si>
  <si>
    <t>Unmanned Aerial Vehicles (UAVs) or drones equipped with cameras are extensively used in different scenarios such as surveillance of hazardous locations, disaster response and crime fighting. The related video streaming/analytics requires real-time drone-to-Ground Control Station (GCS) communication and computation co-ordination for desired user Quality of Experience (QoE). In situations where the quality of the video can be affected by occlusions (e.g., image distortion, frame stalling) due to network bottlenecks, there is a need to dynamically make decisions on the computation offloading and networking protocols in order to properly handle the video data for real world application purposes. In this paper, we propose a novel function-centric computing approach that helps a user to perform drone video analytics to assess a wide-area scene to chart a plan of action. Our approach involves handling network impairments affecting the switching between high resolution/low resolution video capture, or change of camera direction for assessment of the scene effectively. It also features a novel video quality enhancing algorithm based on occlusion-detection that adapts to video impairments related to image distortion and frame stalling. Our experiment results from a realistic testbed show that our approach can efficiently choose the suitable networking protocols (i.e., TCP/HTTP, UDP/RTP, QUIC) and orchestrate both the camera control on the drone, and the computation off-loading of the video analytics over limited edge computing resources. The performance improvements for computation off-loading involving our video quality enhancing algorithm are shown for different network conditions in terms of occlusion rate and processing times.</t>
  </si>
  <si>
    <t>Computation off-loading; Drone video analytics; Multimedia networking protocols; Network management; Occlusion detection</t>
  </si>
  <si>
    <t>FREFNK64</t>
  </si>
  <si>
    <t>Kotilainen, Pyry; Heikkil√§, Ville; Syst√§, Kari; Mikkonen, Tommi</t>
  </si>
  <si>
    <t>Towards Liquid AI in&amp;nbsp;IoT with&amp;nbsp;WebAssembly: A Prototype Implementation</t>
  </si>
  <si>
    <t>Mobile Web and Intelligent Information Systems: 19th International Conference, MobiWIS 2023, Marrakech, Morocco, August 14‚Äì16, 2023, Proceedings</t>
  </si>
  <si>
    <t>978-3-031-39763-9</t>
  </si>
  <si>
    <t>10.1007/978-3-031-39764-6_9</t>
  </si>
  <si>
    <t>https://doi.org/10.1007/978-3-031-39764-6_9</t>
  </si>
  <si>
    <t>129‚Äì141</t>
  </si>
  <si>
    <t>event-place: Marrakech, Morocco</t>
  </si>
  <si>
    <t>An Internet of Things (IoT) system typically comprises numerous subsystems and devices, such as sensors, actuators, gateways for internet connectivity, cloud services, end-user applications, and analytics. Currently, these subsystems are built using a wide range of programming technologies and tools, posing challenges in migrating functionality between them. In our previous work, we have proposed so-called liquid software, where different subsystems are developed using a consistent set of technologies and functions can flow from one computer to another. In this paper, we introduce a prototype implementation of liquid artificial intelligence features, which can be flexibly deployed at the cloud-edge continuum.</t>
  </si>
  <si>
    <t>Internet of Things; AI; ML; IoT; Artificial intelligence; Machine learning; WoT; Isomorphic software; Liquid software; Web of Things</t>
  </si>
  <si>
    <t>MWUS9UXS</t>
  </si>
  <si>
    <t>Tsiachri Renta, Pelagia; Sotiriadis, Stelios; Petrakis, Euripides G.M.</t>
  </si>
  <si>
    <t>Healthcare Sensor Data Management on the Cloud</t>
  </si>
  <si>
    <t>Proceedings of the 2017 Workshop on Adaptive Resource Management and Scheduling for Cloud Computing</t>
  </si>
  <si>
    <t>978-1-4503-5116-4</t>
  </si>
  <si>
    <t>10.1145/3110355.3110359</t>
  </si>
  <si>
    <t>https://doi.org/10.1145/3110355.3110359</t>
  </si>
  <si>
    <t>25‚Äì30</t>
  </si>
  <si>
    <t>ARMS-CC '17</t>
  </si>
  <si>
    <t>event-place: Washington, DC, USA</t>
  </si>
  <si>
    <t>The quality of medical services can be significantly improved by supporting health care procedures with new technologies such as Cloud computing and Internet of Things (IoTs). The need to monitor patient's health remotely and in real time becomes more and more a vital requirement, especially for chronic patients and elderly. In this work, we focus on the management of health care related data stored on the Cloud produced by Bluetooth low energy devices. We present a Cloud based IoT Management System that collects vital user data (e.g. cardiac pulse rate and blood oxygen saturation) on real time. Our solution enables sensor data collection and processing fast and efficient, while users such as medical personnel can subscribe to patient's data and get notifications. The system is designed based on microservices and includes a notification service for both health care providers and patients minimizing the risk of late response to emergency conditions. Alerts are produced according to predefined rules and on patient specific reaction plans. We present an experimental study where we evaluate our system based on real world sensors, while we generate a synthetic dataset for simulating thousands of users. The results are prosperous, as the system responds close to real time even under heavy loads binding to the limits of the web server that receives the service request. The heaviest workload simulates 2000 user requests (while 80 are executed concurrently) is completed in less than 13 seconds when the system deployed in a virtual machine of 2GB RAM, 1 VCPU and 20GB Disk.</t>
  </si>
  <si>
    <t>cloud computing; internet of things</t>
  </si>
  <si>
    <t>RXK3FJAF</t>
  </si>
  <si>
    <t>Carnevali, Laura; Paolieri, Marco; Picano, Benedetta; Reali, Riccardo; Scommegna, Leonardo; Vicario, Enrico</t>
  </si>
  <si>
    <t>A Quantitative Approach to&amp;nbsp;Coordinated Scaling of&amp;nbsp;Resources in&amp;nbsp;Complex Cloud Computing Workflows</t>
  </si>
  <si>
    <t>Computer Performance Engineering and Stochastic Modelling: 19th European Workshop, EPEW 2023, and 27th International Conference, ASMTA 2023, Florence, Italy, June 20‚Äì23, 2023, Proceedings</t>
  </si>
  <si>
    <t>978-3-031-43184-5</t>
  </si>
  <si>
    <t>10.1007/978-3-031-43185-2_21</t>
  </si>
  <si>
    <t>https://doi.org/10.1007/978-3-031-43185-2_21</t>
  </si>
  <si>
    <t>309‚Äì324</t>
  </si>
  <si>
    <t>event-place: Florence, Italy</t>
  </si>
  <si>
    <t>Resource scaling is widely employed in cloud computing to adapt system operation to internal (i.e.,&amp;nbsp;application) and external (i.e.,&amp;nbsp;environment) changes. We present a quantitative approach for coordinated vertical scaling of resources in cloud computing workflows, aimed at satisfying an agreed Service Level Objective&amp;nbsp;(SLO) by improving the workflow end-to-end (e2e) response time distribution. Workflows consist of IaaS services running on dedicated clusters, statically reserved before execution. Services are composed through sequence, choice/merge, and balanced split/join blocks, and have generally distributed (i.e.,&amp;nbsp;non-Markovian) durations possibly over bounded supports, facilitating fitting of analytical distributions from observed data. Resource allocation is performed through an efficient heuristics guided by the mean makespans of sub-workflows. The heuristics performs a top-down visit of the hierarchy of services, and it exploits an efficient compositional method to derive the response time distribution and the mean makespan of each sub-workflow. Experimental results on a workflow with high concurrency degree appear promising for feasibility and effectiveness of the approach.</t>
  </si>
  <si>
    <t>Cloud computing; complex workflow structure; coordinated scaling; end-to-end response time distribution; stochastic workflow</t>
  </si>
  <si>
    <t>RJZ3IWN3</t>
  </si>
  <si>
    <t>Cardellini, Valeria; Lo Presti, Francesco; Nardelli, Matteo; Rossi, Fabiana</t>
  </si>
  <si>
    <t>Self-adaptive Container Deployment in the Fog: A Survey</t>
  </si>
  <si>
    <t>Algorithmic Aspects of Cloud Computing: 5th International Symposium, ALGOCLOUD 2019, Munich, Germany, September 10, 2019, Revised Selected Papers</t>
  </si>
  <si>
    <t>978-3-030-58627-0</t>
  </si>
  <si>
    <t>10.1007/978-3-030-58628-7_6</t>
  </si>
  <si>
    <t>https://doi.org/10.1007/978-3-030-58628-7_6</t>
  </si>
  <si>
    <t>77‚Äì102</t>
  </si>
  <si>
    <t>event-place: Munich, Germany</t>
  </si>
  <si>
    <t>The fast increasing presence of Internet-of-Things and fog computing resources exposes new challenges due to heterogeneity and non-negligible network delays among resources as well as the dynamism of operating conditions. Such a variable computing environment leads the applications to adopt an elastic and decentralized execution. To simplify the application deployment and run-time management, containers are widely used nowadays. The deployment of a container-based application over a geo-distributed computing infrastructure is a key task that has a significant impact on the application non-functional requirements (e.g., performance, security, cost). In this survey, we first develop a taxonomy based on the goals, the scope, the actions, and the methodologies considered to adapt at run-time the application deployment. Then, we use it to classify some of the existing research results. Finally, we identify some open challenges that arise for the application deployment in the fog. In literature, we can find many different approaches for adapting the containers deployment, each tailored for optimizing a specific objective, such as the application response time, its deployment cost, or the efficient utilization of the available computing resources. However, although several solutions for deploying containers exist, those explicitly considering the distinctive features of fog computing are at the early stages: indeed, existing solutions scale containers without considering their placement, or do not consider the heterogeneity, the geographic distribution, and mobility of fog resources.</t>
  </si>
  <si>
    <t>Fog computing; Containers; Elasticity; Placement; Self-adaptive systems</t>
  </si>
  <si>
    <t>9U3N9UPL</t>
  </si>
  <si>
    <t>Chen, Wenqiang; Wang, Ziqi; Quan, Pengrui; Peng, Zhencan; Lin, Shupei; Srivastava, Mani; Matusik, Wojciech; Stankovic, John</t>
  </si>
  <si>
    <t>Robust Finger Interactions with COTS Smartwatches via Unsupervised Siamese Adaptation</t>
  </si>
  <si>
    <t>Proceedings of the 36th Annual ACM Symposium on User Interface Software and Technology</t>
  </si>
  <si>
    <t>979-8-4007-0132-0</t>
  </si>
  <si>
    <t>10.1145/3586183.3606794</t>
  </si>
  <si>
    <t>https://doi.org/10.1145/3586183.3606794</t>
  </si>
  <si>
    <t>UIST '23</t>
  </si>
  <si>
    <t>event-place: San Francisco, CA, USA</t>
  </si>
  <si>
    <t>Wearable devices like smartwatches and smart wristbands have gained substantial popularity in recent years. However, their small interfaces create inconvenience and limit computing functionality. To fill this gap, we propose ViWatch, which enables robust finger interactions under deployment variations, and relies on a single IMU sensor that is ubiquitous in COTS smartwatches. To this end, we design an unsupervised Siamese adversarial learning method. We built a real-time system on commodity smartwatches and tested it with over one hundred volunteers. Results show that the system accuracy is about 97% over a week. In addition, it is resistant to deployment variations such as different hand shapes, finger activity strengths, and smartwatch positions on the wrist. We also developed a number of mobile applications using our interactive system and conducted a user study where all participants preferred our unsupervised approach to supervised calibration. The demonstration of ViWatch is shown at https://youtu.be/N5-ggvy2qfI.</t>
  </si>
  <si>
    <t>Finger Interaction; Gesture Recognition; Unsupervised Adversarial Training; Vibration Sensing</t>
  </si>
  <si>
    <t>DASTWGLT</t>
  </si>
  <si>
    <t>Markoska, Elena; Lazarova-Molnar, Sanja</t>
  </si>
  <si>
    <t>The Synergy of Simulation and Time Series Forecasting for Live Performance Testing of Smart Buildings</t>
  </si>
  <si>
    <t>Proceedings of the 21st International Conference on Information Integration and Web-Based Applications &amp;amp; Services</t>
  </si>
  <si>
    <t>978-1-4503-7179-7</t>
  </si>
  <si>
    <t>10.1145/3366030.3366093</t>
  </si>
  <si>
    <t>https://doi.org/10.1145/3366030.3366093</t>
  </si>
  <si>
    <t>579‚Äì583</t>
  </si>
  <si>
    <t>iiWAS2019</t>
  </si>
  <si>
    <t>Differences in requirements for reliability in buildings imply the different needs for calculation of expected building behaviour. In this paper we examine four techniques for calculating expected behaviour of buildings. Two of them are simulation techniques, namely, a white box EnergyPlus model and a √¶ static tool as per the requirements of the Danish government. The other two are machine learning techniques, namely an ARIMA model, and an long short-term memory artificial recurrent neural network, used in deep learning. We compare and contrast these four techniques based on their accuracy of forecast, as well as execution time to forecast a new data point. Furthermore, we provide an algorithm for selection of forecasting technique based on terms such as availability, accuracy, and execution time requirements, to facilitate real time threshold generation in light of building performance testing.</t>
  </si>
  <si>
    <t>deep learning; smart buildings; performance testing; Real-time performance evaluation; threshold discovery</t>
  </si>
  <si>
    <t>J3E82T2E</t>
  </si>
  <si>
    <t>Akasiadis, Charilaos; Iatrakis, Georgios; Spanoudakis, Nikolaos; Chalkiadakis, Georgios</t>
  </si>
  <si>
    <t>An Open MAS/IoT-Based Architecture for&amp;nbsp;Large-Scale V2G/G2V</t>
  </si>
  <si>
    <t>Advances in Practical Applications of Agents, Multi-Agent Systems, and Complex Systems Simulation. The PAAMS Collection: 20th International Conference, PAAMS 2022, L'Aquila, Italy, July 13‚Äì15, 2022, Proceedings</t>
  </si>
  <si>
    <t>978-3-031-18191-7</t>
  </si>
  <si>
    <t>10.1007/978-3-031-18192-4_1</t>
  </si>
  <si>
    <t>https://doi.org/10.1007/978-3-031-18192-4_1</t>
  </si>
  <si>
    <t>3‚Äì14</t>
  </si>
  <si>
    <t>In this paper we put forward an open multi-agent systems (MAS) architecture for the important and challenging to engineer vehicle-to-grid (V2G) and grid-to-vehicle (G2V) energy transfer problem domains. To promote scalability, our solution is provided in the form of modular microservices that are interconnected using a multi-protocol Internet of Things (IoT) platform. On the one hand, the low-level modularity of Smart Grid services allows the seamless integration of different agent strategies, pricing mechanisms and algorithms; and on the other, the IoT-based implementation offers both direct applicability in real-world settings, as well as advanced analytics capabilities by enabling digital twins models for Smart Grid ecosystems. We describe our MAS/IoT-based architecture and present results from simulations that incorporate large numbers of heterogeneous Smart Grid agents, which might follow different strategies for their decision making tasks. Our framework enables the testing of various schemes in simulation mode, and can also be used as the basis for the implementation of real-world prototypes for the delivery of large-scale V2G/G2V services.</t>
  </si>
  <si>
    <t>Internet of things; Smart grid; Open multi-agent systems</t>
  </si>
  <si>
    <t>7J6AUD5Z</t>
  </si>
  <si>
    <t>Apat, Hemant K; Alkhayyat, Ahmed; Vidyarthi, Ankit; Barik, Rabindra K</t>
  </si>
  <si>
    <t>Leveraging Towards Serverless Edge Computing Model for Intelligent IoMT Applications</t>
  </si>
  <si>
    <t>Proceedings of the 2023 Fifteenth International Conference on Contemporary Computing</t>
  </si>
  <si>
    <t>979-8-4007-0022-4</t>
  </si>
  <si>
    <t>10.1145/3607947.3607969</t>
  </si>
  <si>
    <t>https://doi.org/10.1145/3607947.3607969</t>
  </si>
  <si>
    <t>127‚Äì132</t>
  </si>
  <si>
    <t>IC3-2023</t>
  </si>
  <si>
    <t>event-place: Noida, India</t>
  </si>
  <si>
    <t>Internet of Medical Things(IoMT) devices connect billions of sensors consisting of a large volume of computation-intensive and time-sensitive tasks in the health sector. These tasks need to be processed or executed by different computational devices used in the network infrastructure for getting meaningful information. Due to the resource-constrained nature of IoMT devices, the devices mostly offload these tasks to various edge devices. The IoMT-Cloud paradigm provides different services storage, computation, and communication for the execution of various IoMT applications with elasticity and scalability on the pay-per-use model. Despite the wonderful benefits of cloud computing, there are various issues that remain unsolved like the response time of an IoMT application must satisfy hard deadlines, and Quality of Service(QoS) parameters. In order to improve the response time, and QoS, a decentralized distributed computing paradigm named Edge computing has emerged as a potential solution to provide computing and networking resources at the edge of the network for different IoT application domains. In this article, a serverless edge computing framework is proposed that provides various IoMT services to emerging healthcare applications. It also provides the mathematical derivations of the model along with its client IoMT applications layer, edge layer, and cloud layer.</t>
  </si>
  <si>
    <t>cloud computing; FaaS; serverless computing; edge computing; fog computing; QoS; Internet of Medical Things</t>
  </si>
  <si>
    <t>C95RIBN8</t>
  </si>
  <si>
    <t>Dini, Vick; Tamburri, Damian Andrew; Di Nitto, Elisabetta</t>
  </si>
  <si>
    <t>Electric Vehicle Fast-Charging Software: Architectural Considerations Towards Trustworthiness</t>
  </si>
  <si>
    <t>Software Architecture: 18th European Conference, ECSA 2024, Luxembourg City, Luxembourg, September 3‚Äì6, 2024, Proceedings</t>
  </si>
  <si>
    <t>978-3-031-70796-4</t>
  </si>
  <si>
    <t>10.1007/978-3-031-70797-1_19</t>
  </si>
  <si>
    <t>https://doi.org/10.1007/978-3-031-70797-1_19</t>
  </si>
  <si>
    <t>288‚Äì304</t>
  </si>
  <si>
    <t>event-place: Luxembourg City, Luxembourg</t>
  </si>
  <si>
    <t>The industry of electric vehicle charging stations is rapidly evolving. As more people purchase electric vehicles, the need for an efficient and reliable charging service value chain becomes paramount. In this paper we perform a literature review and topic modeling in the field to identify the most relevant topics and challenges therein as well as any standard or reference software architectures proposed to date. Subsequently, by means of ethnomethodological research and interview study with industry practitioners from an emerging Charging Point Operator (CPO) we identify major practical architectural concerns. We conclude that typical -Ops issues related to monitoring and autonomous runtime management of fast-charging software architectures are not addressed in the literature so far, and yet are the most critical for practitioners; this inspired a revised augment of state-of-the-art reference architecture frameworks‚Äîoffered as the first key original contribution of this paper‚Äîfor practitioners and researchers to use in the future. Finally, evaluating such framework with practitioners‚Äô insights, we elaborated a second key contribution of this work, namely, six architectural considerations to be taken into account towards trustworthy electric vehicle fast-charging software architectures of the future.</t>
  </si>
  <si>
    <t>software architecture; software engineering; charging station; cloud-edge computing; electric vehicle; fast charging</t>
  </si>
  <si>
    <t>BQVI8HVJ</t>
  </si>
  <si>
    <t>Christofidi, Georgia; Papaioannou, Konstantinos; Doudali, Thaleia Dimitra</t>
  </si>
  <si>
    <t>Is Machine Learning Necessary for Cloud Resource Usage Forecasting?</t>
  </si>
  <si>
    <t>10.1145/3620678.3624790</t>
  </si>
  <si>
    <t>https://doi.org/10.1145/3620678.3624790</t>
  </si>
  <si>
    <t>544‚Äì554</t>
  </si>
  <si>
    <t>Robust forecasts of future resource usage in cloud computing environments enable high efficiency in resource management solutions, such as autoscaling and overcommitment policies. Production-level systems use lightweight combinations of historical information to enable practical deployments. Recently, Machine Learning (ML) models, in particular Long Short Term Memory (LSTM) neural networks, have been proposed by various works, for their improved predictive capabilities. Following this trend, we train LSTM models and observe high levels of prediction accuracy, even on unseen data. Upon meticulous visual inspection of the results, we notice that although the predicted values seem highly accurate, they are nothing but versions of the original data shifted by one time step into the future. Yet, this clear shift seems to be enough to produce a robust forecast, because the values are highly correlated across time. We investigate time series data of various resource usage metrics (CPU, memory, network, disk I/O) across different cloud providers and levels, such as at the physical or virtual machine-level and at the application job-level. We observe that resource utilization displays very small variations in consecutive time steps. This insight can enable very simple solutions, such as data shifts, to be used for cloud resource forecasting and deliver highly accurate predictions. This is the reason why we ask whether complex machine learning models are even necessary to use. We envision that practical resource management systems need to first identify the extent to which simple solutions can be effective, and resort to using machine learning to the extent that enables its practical use.</t>
  </si>
  <si>
    <t>Machine Learning; Cloud Computing; Data Persistence; Forecasting; Long Short Term Memory; Persistent Forecast; Prediction; Resource Usage</t>
  </si>
  <si>
    <t>BHGQH3W2</t>
  </si>
  <si>
    <t>Lepekhin, Aleksandr; Borremans, Alexandra; Ilin, Igor; Jantunen, Sami</t>
  </si>
  <si>
    <t>A systematic mapping study on internet of things challenges</t>
  </si>
  <si>
    <t>Proceedings of the 1st International Workshop on Software Engineering Research &amp;amp; Practices for the Internet of Things</t>
  </si>
  <si>
    <t>10.1109/SERP4IoT.2019.00009</t>
  </si>
  <si>
    <t>https://doi.org/10.1109/SERP4IoT.2019.00009</t>
  </si>
  <si>
    <t>SERP4IoT '19</t>
  </si>
  <si>
    <t>The challenge of developing IoT-based systems has been found to be a complex problem It is influenced by number of factors: heterogeneous devices/resources, various perception-action cycles and widely distributed devices and computing resources. Increasing complexity and immaturity to deal with it have resulted in growing range of problems and challenges in IoT development. This paper identifies essential IoT-related challenges by conducting a systematic mapping study of existing IoT literature. To this end, we distil information with respect to IoT-related: 1) challenges, 2) experimental studies, and 3) recommendations for future research. We then discuss our findings in order to understand better the general state of IoT research, potential gaps in research, and implications for future research.</t>
  </si>
  <si>
    <t>IoT; internet of things; IoT challenges; IoT development; systematic mapping study</t>
  </si>
  <si>
    <t>DP5D6ZMA</t>
  </si>
  <si>
    <t>Park, Misun; Bhardwaj, Ketan; Gavrilovska, Ada</t>
  </si>
  <si>
    <t>Pocket: ML Serving from the Edge</t>
  </si>
  <si>
    <t>Proceedings of the Eighteenth European Conference on Computer Systems</t>
  </si>
  <si>
    <t>978-1-4503-9487-1</t>
  </si>
  <si>
    <t>10.1145/3552326.3587459</t>
  </si>
  <si>
    <t>https://doi.org/10.1145/3552326.3587459</t>
  </si>
  <si>
    <t>46‚Äì62</t>
  </si>
  <si>
    <t>EuroSys '23</t>
  </si>
  <si>
    <t>One of the major challenges in serving ML applications is the resource pressure introduced by the underlying ML frameworks. This becomes a bigger problem at resource-constrained, multi-tenant edge server locations, where it is necessary to scale to a larger number of clients with a fixed resource envelope. Naive approaches which simply minimize the resource budget allocation of each application result in performance degradation that voids the benefits expected from operating at the edge.This paper presents Pocket - a new approach for serving ML applications in settings like the edge, based on a shared ML runtime backend as a service and lightweight ML application pocket containers. Key to realizing Pocket is use of lightweight IPC, support for cross-client isolation, and a novel resource amplification method which inlines resource reallocation with IPC. The latter ensures just-in-time assignment of the limited edge resources where they're most needed, thereby reducing contention effects and boosting overall performance and efficiency. Experimental evaluations demonstrate that Pocket can scale to 1.3‚Äì20√ó more clients with the same amount of resources while reducing response time by 20‚Äì80% compared to monolithic designs.</t>
  </si>
  <si>
    <t>resource management; containers; edge computing; isolation; IPC; ML serving; runtime-as-a-service; visual analytics</t>
  </si>
  <si>
    <t>XLQCIK9Q</t>
  </si>
  <si>
    <t>Siddiqui, Sarah Ali; Mahmood, Adnan</t>
  </si>
  <si>
    <t>Towards Fog-based Next Generation Internet of Vehicles Architecture</t>
  </si>
  <si>
    <t>Proceedings of the 1st International Workshop on Communication and Computing in Connected Vehicles and Platooning</t>
  </si>
  <si>
    <t>978-1-4503-5925-2</t>
  </si>
  <si>
    <t>10.1145/3267195.3267200</t>
  </si>
  <si>
    <t>https://doi.org/10.1145/3267195.3267200</t>
  </si>
  <si>
    <t>15‚Äì21</t>
  </si>
  <si>
    <t>C3VP '18</t>
  </si>
  <si>
    <t>event-place: New Delhi, India</t>
  </si>
  <si>
    <t>Internet of Vehicles (IoV) is an integral component of the Intelligent Transportation System (ITS) with the vision to acquire and process data for improving traffic safety. In IoV, vehicles communicate by exchanging messages with other vehicles and roadside infrastructure subsequently generating a large volume of data often referred to as big data, and which demands a massive storage and high computational capability with minimal possible delay. The aim of this paper is to take a step forward in outlining the current state-of-the-art in IoV and analyzing the improved data processing and storage features by utilizing big data analytics and fog computing paradigm. We further presented a preliminary simulation result to demonstrate that the introduction of fog improves the overall system performance by ensuring low-latency critical for especially vehicular safety applications. Moreover, this paper briefly discusses a fog computing based IoV crime assistant and highlight some of its challenges which needs to be addressed in order to enhance the performance of such systems.</t>
  </si>
  <si>
    <t>fog computing; big data analytics; intelligent transportation systems; internet of vehicles</t>
  </si>
  <si>
    <t>PQC35M7I</t>
  </si>
  <si>
    <t>Madhyastha, Meghana; Lillaney, Kunal; Browne, James; Vogelstein, Joshua T.; Burns, Randal</t>
  </si>
  <si>
    <t>BLOCKSET (Block-Aligned Serialized Trees): Reducing Inference Latency for Tree ensemble Deployment</t>
  </si>
  <si>
    <t>10.1145/3447548.3467368</t>
  </si>
  <si>
    <t>https://doi.org/10.1145/3447548.3467368</t>
  </si>
  <si>
    <t>1170‚Äì1179</t>
  </si>
  <si>
    <t>We present methods to serialize and deserialize gradient-boosted trees and random forests that optimize inference latency when models are not loaded into memory. This arises when models are larger than memory, but also systematically when models are deployed on low-resource devices in the Internet of Things or run as cloud microservices where resources are allocated on demand. Block-Aligned Serialized Trees (BLOCKSET) introduce the concept of selective access for random forests and gradient boosted trees in which only the parts of the model needed for inference are deserialized and loaded into memory. %BLOCKSET combines concepts from external memory algorithms and data-parallel %layouts of random forests that maximize I/O-density for in-memory models. Using principles from external memory algorithms, we block-align the serialization format in order to minimize the number of I/Os. For gradient boosted trees, this results in a more than five time reduction in inference latency over layouts that do not perform selective access and a 2 times latency reduction over techniques that are selective, but do not encode I/O block boundaries in the layout.</t>
  </si>
  <si>
    <t>DQETMRMD</t>
  </si>
  <si>
    <t>Lanubile, Filippo; Mart√≠nez-Fern√°ndez, Silverio; Quaranta, Luigi</t>
  </si>
  <si>
    <t>Teaching MLOps in Higher Education through Project-Based Learning</t>
  </si>
  <si>
    <t>Proceedings of the 45th International Conference on Software Engineering: Software Engineering Education and Training</t>
  </si>
  <si>
    <t>979-8-3503-2259-0</t>
  </si>
  <si>
    <t>10.1109/ICSE-SEET58685.2023.00015</t>
  </si>
  <si>
    <t>https://doi.org/10.1109/ICSE-SEET58685.2023.00015</t>
  </si>
  <si>
    <t>95‚Äì100</t>
  </si>
  <si>
    <t>ICSE-SEET '23</t>
  </si>
  <si>
    <t>Building and maintaining production-grade ML-enabled components is a complex endeavor that goes beyond the current approach of academic education, focused on the optimization of ML model performance in the lab. In this paper, we present a project-based learning approach to teaching MLOps, focused on the demonstration and experience with emerging practices and tools to automatize the construction of ML-enabled components. We examine the design of a course based on this approach, including laboratory sessions that cover the end-to-end ML component life cycle, from model building to production deployment. Moreover, we report on preliminary results from the first edition of the course. During the present year, an updated version of the same course is being delivered in two independent universities; the related learning outcomes will be evaluated to analyze the effectiveness of project-based learning for this specific subject.</t>
  </si>
  <si>
    <t>machine learning; data science; model deployment; reproducibility; software engineering for AI</t>
  </si>
  <si>
    <t>KRJ65YB8</t>
  </si>
  <si>
    <t>Pantin, Roman</t>
  </si>
  <si>
    <t>Developing a Dynamic Decision-Support Framework for Higher Education Management Systems through Real-time Information Extraction</t>
  </si>
  <si>
    <t>Proceedings of the 7th International Conference on Future Networks and Distributed Systems</t>
  </si>
  <si>
    <t>979-8-4007-0903-6</t>
  </si>
  <si>
    <t>10.1145/3644713.3644786</t>
  </si>
  <si>
    <t>https://doi.org/10.1145/3644713.3644786</t>
  </si>
  <si>
    <t>497‚Äì502</t>
  </si>
  <si>
    <t>ICFNDS '23</t>
  </si>
  <si>
    <t>event-place: Dubai, United Arab Emirates</t>
  </si>
  <si>
    <t>In the changing world of education, it is crucial for institutions to have the ability to make well informed decisions based on data. This paper presents an innovative Decision Support Framework (DDSF), for managing higher education systems. The DDSF utilizes real time information extraction to improve the decision-making process. It combines data analytics and user centric design to provide insights to education administrators. By gathering data from sources like records, financial reports and social media analytics the DDSF uses natural language processing (NLP) and machine learning (ML) algorithms to extract and interpret real time information. This information is then organized in a manner for analysis. The framework is adaptable allowing for the inclusion of emerging data streams ensuring relevance and usefulness. To evaluate the effectiveness of the DDSF we conducted a pilot study at a university. The results indicated improvements in meeting student needs optimizing resource allocation and enhancing operational efficiency. The framework also enables policy development by foreseeing challenges and identifying opportunities, within the education sector. The DDSF brings about a way of managing education by providing a strong platform for institutions to succeed in a competitive and constantly evolving environment. It emphasizes the significance of extracting real time information to guide planning and operational excellence. Future studies will concentrate on expanding the framework, for use, across institutions and incorporating analytics to improve foresight abilities.</t>
  </si>
  <si>
    <t>DEHRZLCH</t>
  </si>
  <si>
    <t>Antoniƒá, Aleksandar; Marjanoviƒá, Martina; ≈Ωarko, Ivana Podnar</t>
  </si>
  <si>
    <t>Modeling Aggregate Input Load of Interoperable Smart City Services</t>
  </si>
  <si>
    <t>Proceedings of the 11th ACM International Conference on Distributed and Event-Based Systems</t>
  </si>
  <si>
    <t>978-1-4503-5065-5</t>
  </si>
  <si>
    <t>10.1145/3093742.3093928</t>
  </si>
  <si>
    <t>https://doi.org/10.1145/3093742.3093928</t>
  </si>
  <si>
    <t>34‚Äì43</t>
  </si>
  <si>
    <t>DEBS '17</t>
  </si>
  <si>
    <t>event-place: Barcelona, Spain</t>
  </si>
  <si>
    <t>The Internet of Things (IoT) is expanding and reaching the maturity level beyond initial deployments. An integrative and interoperable IoT platform proves to be a suitable execution environment for Smart City services because users simultaneously use multiple services, while an IoT platform enables cross-service data sharing. A large number of various IoT and mobile devices as well as the corresponding services can generate tremendous input load on an underlying IoT platform. Thus, it is crucial to analyze the overall input rate on Smart City services to ensure predefined quality of service (e.g., low latency required by some IoT services). An aggregate input rate which characterizes a real world deployment can be used to check if a platform is able to adequately support multiple services running in parallel and to evaluate its overall performance.In this paper we review IoT-based Smart City services to identify key applications characterizing the domain, e.g., smart mobility, smart utilities, and citizen-driven mobile crowd sensing services. Next, we analyze the potential load which such applications pose on IoT services that continuously process the generated data streams. The analysis is used to create a model estimating an aggregate load generated by Smart City applications. We simulate a number of characteristic application compositions to provide insight about the aggregate input load and its potential impact on the performance of Smart City services. The proposed model is a first step towards predicting the processing load of Smart City services to facilitate the assessment and planning of required resources for continuous processing of sensor data in the context of Smart City services.</t>
  </si>
  <si>
    <t>Internet of Things; input load; model; Smart City services</t>
  </si>
  <si>
    <t>S89IWAU6</t>
  </si>
  <si>
    <t>Gupta, Udit; Hsia, Samuel; Saraph, Vikram; Wang, Xiaodong; Reagen, Brandon; Wei, Gu-Yeon; Lee, Hsien-Hsin S.; Brooks, David; Wu, Carole-Jean</t>
  </si>
  <si>
    <t>DeepRecSys: a system for optimizing end-to-end at-scale neural recommendation inference</t>
  </si>
  <si>
    <t>Proceedings of the ACM/IEEE 47th Annual International Symposium on Computer Architecture</t>
  </si>
  <si>
    <t>978-1-7281-4661-4</t>
  </si>
  <si>
    <t>10.1109/ISCA45697.2020.00084</t>
  </si>
  <si>
    <t>https://doi.org/10.1109/ISCA45697.2020.00084</t>
  </si>
  <si>
    <t>982‚Äì995</t>
  </si>
  <si>
    <t>ISCA '20</t>
  </si>
  <si>
    <t>Virtual Event</t>
  </si>
  <si>
    <t>Neural personalized recommendation is the cornerstone of a wide collection of cloud services and products, constituting significant compute demand of cloud infrastructure. Thus, improving the execution efficiency of recommendation directly translates into infrastructure capacity saving. In this paper, we propose DeepRecSched, a recommendation inference scheduler that maximizes latency-bounded throughput by taking into account characteristics of inference query size and arrival patterns, model architectures, and underlying hardware systems. By carefully optimizing task versus data-level parallelism, DeepRecSched improves system throughput on server class CPUs by 2x across eight industry-representative models. Next, we deploy and evaluate this optimization in an at-scale production datacenter which reduces end-to-end tail latency across a wide variety of recommendation models by 30%. Finally, DeepRecSched demonstrates the role and impact of specialized AI hardware in optimizing system level performance (QPS) and power efficiency (QPS/watt) of recommendation inference.In order to enable the design space exploration of customized recommendation systems shown in this paper, we design and validate an end-to-end modeling infrastructure, DeepRecInfra. DeepRecInfra enables studies over a variety of recommendation use cases, taking into account at-scale effects, such as query arrival patterns and recommendation query sizes, observed from a production datacenter, as well as industry-representative models and tail latency targets.</t>
  </si>
  <si>
    <t>9N2TF35D</t>
  </si>
  <si>
    <t>Cui, Ling; Shi, Tianyi; Lu, Ruifang; Zhang, Tiankui</t>
  </si>
  <si>
    <t>Autoscaling in Mobile Edge Computing Based on Multi-Agent Reinforcement Learning</t>
  </si>
  <si>
    <t>Proceedings of the 2023 9th International Conference on Communication and Information Processing</t>
  </si>
  <si>
    <t>979-8-4007-0890-9</t>
  </si>
  <si>
    <t>10.1145/3638884.3638966</t>
  </si>
  <si>
    <t>https://doi.org/10.1145/3638884.3638966</t>
  </si>
  <si>
    <t>520‚Äì527</t>
  </si>
  <si>
    <t>ICCIP '23</t>
  </si>
  <si>
    <t>event-place: Lingshui, China</t>
  </si>
  <si>
    <t>Mobile edge computing (MEC) has emerged as a transformative paradigm by deploying computing and storage resources at the edge of access networks. This enables real-time processing, reduces latency, and improves user experiences, particularly with the advent of 5G networks. However, the limited resources of edge servers pose a challenge in ensuring service-level agreement (SLA) while optimizing resource utilization. Autoscaling, a dynamic resource adjustment mechanism, can play a pivotal role in meeting these demands. This paper explores the application of multi-agent reinforcement learning (MARL) to address autoscaling in MEC. The proposed algorithm models the horizontal autoscaling problem in MEC, defines state and action spaces, and introduces a global reward function. Additionally, time-series data prediction enhances scaling responsiveness. A testing platform is employed to validate the algorithm‚Äôs effectiveness. This work contributes a novel approach to autoscaling in MEC, addressing the complex interplay of autonomous scaling decisions, SLA compliance, and resource optimization within edge server clusters.</t>
  </si>
  <si>
    <t>autoscaling; mobile edge computing; reinforcement learning</t>
  </si>
  <si>
    <t>N2HTXA6G</t>
  </si>
  <si>
    <t>Fiebig, Florian; Kochanneck, Sebastian; Mauser, Ingo; Schmeck, Hartmut</t>
  </si>
  <si>
    <t>Detecting Occupancy in Smart Buildings by Data Fusion from Low-cost Sensors: Poster Description</t>
  </si>
  <si>
    <t>Proceedings of the Eighth International Conference on Future Energy Systems</t>
  </si>
  <si>
    <t>978-1-4503-5036-5</t>
  </si>
  <si>
    <t>10.1145/3077839.3081675</t>
  </si>
  <si>
    <t>https://doi.org/10.1145/3077839.3081675</t>
  </si>
  <si>
    <t>259‚Äì261</t>
  </si>
  <si>
    <t>e-Energy '17</t>
  </si>
  <si>
    <t>event-place: Shatin, Hong Kong</t>
  </si>
  <si>
    <t>This poster presents ongoing work on an occupancy detection system based on data fusion of various low-cost sensors within a real smart building and compares the results of different classification approaches.</t>
  </si>
  <si>
    <t>Information Fusion; Occupancy Detection; Smart Building</t>
  </si>
  <si>
    <t>FLMJHHJT</t>
  </si>
  <si>
    <t>Garlisi, Domenico; Restuccia, Gabriele; Tinnirello, Ilenia; Cuomo, Francesca; Chatzigiannakis, Ioannis</t>
  </si>
  <si>
    <t>Real-Time Leakage Zone Detection in&amp;nbsp;Water Distribution Networks: A Machine Learning-Based Stream Processing Algorithm</t>
  </si>
  <si>
    <t>Algorithmic Aspects of Cloud Computing: 8th International Symposium, ALGOCLOUD 2023, Amsterdam, The Netherlands, September 5, 2023, Revised Selected Papers</t>
  </si>
  <si>
    <t>978-3-031-49360-7</t>
  </si>
  <si>
    <t>10.1007/978-3-031-49361-4_5</t>
  </si>
  <si>
    <t>https://doi.org/10.1007/978-3-031-49361-4_5</t>
  </si>
  <si>
    <t>86‚Äì99</t>
  </si>
  <si>
    <t>event-place: Amsterdam, The Netherlands</t>
  </si>
  <si>
    <t>This work presents LEAKSTREAM, a novel approach for detecting leakages in water distribution networks by leveraging the power of clustering and stream processing techniques, combined with advanced machine learning approaches. Given the critical importance of efficient water management and the significant economic and environmental consequences of undetected leaks, it is crucial to develop innovative strategies that can accurately and promptly identify anomalies within distribution networks.Our proposed method focuses on an algorithm that creates clusters of nodes in the water distribution network, taking into account their spatial proximity and hydraulic characteristics. We employ stream processing to efficiently handle large-scale real-time data generated from meters installed at consumer locations throughout the network.The results of our study indicate that the proposed leakage detection algorithm effectively employs a generalization technique to detect events not included in the training data. We show performance in terms of precision and loss in the case of 75 different leakages positions in a water distribution network which extends in an area of 7√ó3.5sqkm. Furthermore, its capacity to process data at the edge and in real-time enables prompt responses and mitigation measures, thereby reducing the overall impact of leaks on both the environment and infrastructure.Our results attain an average accuracy of detecting and localizing the zone of the leakages of about 98.6% when leakages are not present during the training of the ML models.</t>
  </si>
  <si>
    <t>IoT; stream processing; neural network; k-means clustering; leakage detection; LoRaWAN; water supply system; WDN</t>
  </si>
  <si>
    <t>2CDA7JVV</t>
  </si>
  <si>
    <t>Samaniego, Mayra; Deters, Ralph</t>
  </si>
  <si>
    <t>Digital Twins and Blockchain for IoT Management</t>
  </si>
  <si>
    <t>Proceedings of the 5th ACM International Symposium on Blockchain and Secure Critical Infrastructure</t>
  </si>
  <si>
    <t>979-8-4007-0198-6</t>
  </si>
  <si>
    <t>10.1145/3594556.3594611</t>
  </si>
  <si>
    <t>https://doi.org/10.1145/3594556.3594611</t>
  </si>
  <si>
    <t>64‚Äì74</t>
  </si>
  <si>
    <t>BSCI '23</t>
  </si>
  <si>
    <t>event-place: Melbourne, VIC, Australia</t>
  </si>
  <si>
    <t>Security and privacy are primary concerns in IoT management. Security breaches in IoT resources, such as smart sensors, can leak sensitive data and compromise the privacy of individuals. Effective IoT management requires a comprehensive approach to prioritize access security and data privacy protection. Digital twins create virtual representations of IoT resources. Blockchain adds decentralization, transparency, and reliability to IoT systems. This research integrates digital twins and blockchain to manage access to IoT data streaming. Digital twins are used to encapsulate data access and view configurations. Access is enabled on digital twins, not on IoT resources directly. Trust structures programmed as smart contracts are the ones that manage access to digital twins. Consequently, IoT resources are not exposed to third parties, and access security breaches can be prevented. Blockchain has been used to validate digital twins and store their configuration. The research presented in this paper enables multitenant access and customization of data streaming views and abstracts the complexity of data access management. This approach provides access and configuration security and data privacy protection.</t>
  </si>
  <si>
    <t>security; IoT; internet of things; distributed systems; blockchain; Digital twins; privacy; access management; consensus; data streaming; data trust; smart contracts; trust</t>
  </si>
  <si>
    <t>82BAUDZ9</t>
  </si>
  <si>
    <t>Akkermans, Sven; Crispo, Bruno; Joosen, Wouter; Hughes, Danny</t>
  </si>
  <si>
    <t>Polyglot CerberOS: Resource Security, Interoperability and Multi-Tenancy for IoT Services on a Multilingual Platform</t>
  </si>
  <si>
    <t>Proceedings of the 15th EAI International Conference on Mobile and Ubiquitous Systems: Computing, Networking and Services</t>
  </si>
  <si>
    <t>978-1-4503-6093-7</t>
  </si>
  <si>
    <t>10.1145/3286978.3286997</t>
  </si>
  <si>
    <t>https://doi.org/10.1145/3286978.3286997</t>
  </si>
  <si>
    <t>59‚Äì68</t>
  </si>
  <si>
    <t>MobiQuitous '18</t>
  </si>
  <si>
    <t>event-place: New York, NY, USA</t>
  </si>
  <si>
    <t>The Internet of Things (IoT) promises to tackle a range of environmental challenges and deliver large efficiency gains in industry by embedding computational intelligence, sensing and control in our physical environment. Multiple independent parties are increasingly seeking to leverage shared IoT infrastructure, using a similar model to the cloud, and thus require constrained IoT devices to become microservice-hosting platforms that can securely and concurrently execute their code and interoperate. This vision demands that heterogeneous services, peripherals and platforms are provided with an expanded set of security guarantees to prevent third-party services from hijacking the platform, resource-level access control and accounting, and strong isolation between running processes to prevent unauthorized access to third-party services and data. This paper introduces Polyglot CerberOS, a resource-secure operating system for multi-tenant IoT devices that is realised through a reconfigurable virtual machine which can simultaneously execute interoperable services, written in different languages. We evaluate Polyglot CerberOS on IETF Class-1 devices running both Java and C services. The results show that interoperability and strong security guarantees for multilingual services on multi-tenant commodity IoT devices are feasible, in terms of performance and memory overhead, and transparent for developers.</t>
  </si>
  <si>
    <t>Internet of Things; Security; Interoperability; Services</t>
  </si>
  <si>
    <t>VX3HLTQW</t>
  </si>
  <si>
    <t>Fang, Jianliang; Jiong, Ye; Wei, Jiang; Shangxing, Ye; Yingjie, Xie; Haiqing, Lu; Dong, Dawei; Zhen, Jianfeng</t>
  </si>
  <si>
    <t>Calculation of Theoretical Line Loss of Full-Voltage Power Grid Based on Multi-Source Data Fusion</t>
  </si>
  <si>
    <t>The 2nd International Conference on Computing and Data Science</t>
  </si>
  <si>
    <t>978-1-4503-8957-0</t>
  </si>
  <si>
    <t>10.1145/3448734.3450869</t>
  </si>
  <si>
    <t>https://doi.org/10.1145/3448734.3450869</t>
  </si>
  <si>
    <t>CONF-CDS 2021</t>
  </si>
  <si>
    <t>event-place: Stanford, CA, USA</t>
  </si>
  <si>
    <t>Because of the many influencing factors, a large amount of basic data, complex abnormal diagnosis and analysis, and low efficiency of troubleshooting in the current low- and medium-voltage distribution network line loss management, combined with years of line loss management experience, this article focuses on the strategic goals of the energy Internet and is based on Cloud platform applies big data and cloud computing technology to online loss business management, improves the stability and accuracy of theoretical line loss index calculation, and strengthens the platform analysis function to provide relevant line loss lean management work from the perspective of theoretical line loss Business support.</t>
  </si>
  <si>
    <t>full voltage level; line loss calculation; Multi-source data fusion; smart grid</t>
  </si>
  <si>
    <t>9X7FAZZD</t>
  </si>
  <si>
    <t>Pfeiffer, J√©r√¥me; Fuch√ü, Dominik; K√ºhn, Thomas; Liebhart, Robin; Neumann, Dirk; Neim√∂ck, Christer; Seiler, Christian; Koziolek, Anne; Wortmann, Andreas</t>
  </si>
  <si>
    <t>Modeling Languages for Automotive Digital Twins: A Survey Among the German Automotive Industry</t>
  </si>
  <si>
    <t>979-8-4007-0504-5</t>
  </si>
  <si>
    <t>10.1145/3640310.3674100</t>
  </si>
  <si>
    <t>https://doi.org/10.1145/3640310.3674100</t>
  </si>
  <si>
    <t>92‚Äì103</t>
  </si>
  <si>
    <t>MODELS '24</t>
  </si>
  <si>
    <t>The demand for digital twins and suitable modeling techniques in the automotive industry is increasing rapidly. Yet, there is no common understanding of digital twins in automotive, nor are there modeling techniques established to create automotive digital twins. Recent studies on digital twins focus on the analysis of the literature on digital twins for automotive or in general and, thus, neglect the industrial perspective of automotive practitioners. To mitigate this gap between scientific literature and the industrial perspective, we conducted a questionnaire survey among experts in the German automotive industry to identify i) the desired purposes for and capabilities of digital twins and ii) the modeling techniques related to engineering and operating digital twins across the phases of automotive development. To this end, we contacted 189 members of the Software-Defined Car research project and received 96 responses. The results show that digital twins are considered most useful in the usage and support phase of automotive development, representing vehicles as-operated. Moreover, simulation models, source code, and business process models are currently considered the most important models to be integrated into a digital twin alongside the associated, established tools.</t>
  </si>
  <si>
    <t>digital twins; survey; automotive; modeling languages</t>
  </si>
  <si>
    <t>73UJ34RV</t>
  </si>
  <si>
    <t>Le, Yanfang; Chang, Hyunseok; Mukherjee, Sarit; Wang, Limin; Akella, Aditya; Swift, Michael M.; Lakshman, T. V.</t>
  </si>
  <si>
    <t>UNO: uniflying host and smart NIC offload for flexible packet processing</t>
  </si>
  <si>
    <t>Proceedings of the 2017 Symposium on Cloud Computing</t>
  </si>
  <si>
    <t>978-1-4503-5028-0</t>
  </si>
  <si>
    <t>10.1145/3127479.3132252</t>
  </si>
  <si>
    <t>https://doi.org/10.1145/3127479.3132252</t>
  </si>
  <si>
    <t>506‚Äì519</t>
  </si>
  <si>
    <t>SoCC '17</t>
  </si>
  <si>
    <t>event-place: Santa Clara, California</t>
  </si>
  <si>
    <t>Increasingly, smart Network Interface Cards (sNICs) are being used in data centers to offload networking functions (NFs) from host processors thereby making these processors available for tenant applications. Modern sNICs have fully programmable, energy-efficient multi-core processors on which many packet processing functions, including a full-blown programmable switch, can run. However, having multiple switch instances deployed across the host hypervisor and the attached sNICs makes controlling them difficult and data plane operations more complex.This paper proposes a generalized SDN-controlled NF offload architecture called UNO. It can transparently offload dynamically selected host processors' packet processing functions to sNICs by using multiple switches in the host while keeping the data centerwide network control and management planes unmodified. UNO exposes a single virtual control plane to the SDN controller and hides dynamic NF offload behind a unified virtual management plane. This enables UNO to make optimal use of host's and sNIC's combined packet processing capabilities with local optimization based on locally observed traffic patterns and resource consumption, and without central controller involvement. Experimental results based on a real UNO prototype in realistic scenarios show promising results: it can save processing worth up to 8 CPU cores, reduce power usage by up to 2x, and reduce the control plane overhead by more than 50%.</t>
  </si>
  <si>
    <t>networking and SDNs; virtualization and containers</t>
  </si>
  <si>
    <t>DR6925LZ</t>
  </si>
  <si>
    <t>Reichelt, David Georg; K√ºhne, Stefan; Hasselbring, Wilhelm</t>
  </si>
  <si>
    <t>PeASS: a tool for identifying performance changes at code level</t>
  </si>
  <si>
    <t>Proceedings of the 34th IEEE/ACM International Conference on Automated Software Engineering</t>
  </si>
  <si>
    <t>978-1-7281-2508-4</t>
  </si>
  <si>
    <t>10.1109/ASE.2019.00123</t>
  </si>
  <si>
    <t>https://doi.org/10.1109/ASE.2019.00123</t>
  </si>
  <si>
    <t>1146‚Äì1149</t>
  </si>
  <si>
    <t>ASE '19</t>
  </si>
  <si>
    <t>San Diego, California</t>
  </si>
  <si>
    <t>We present PeASS (Performance Analysis of Software System versions), a tool for detecting performance changes at source code level that occur between different code versions. By using PeASS, it is possible to identify performance regressions that happened in the past to fix them.PeASS measures the performance of unit tests in different source code versions. To achieve statistic rigor, measurements are repeated and analyzed using an agnostic t-test. To execute a minimal amount of tests, PeASS uses a regression test selection.We evaluate PeASS on a selection of Apache Commons projects and show that 81% of all unit test covered performance changes can be found by PeASS. A video presentation is available at https://www.youtube.com/watch?v=RORFEGSCh6Y and PeASS can be downloaded from https://github.com/DaGeRe/peass.</t>
  </si>
  <si>
    <t>FBCXNRYD</t>
  </si>
  <si>
    <t>Valdez, Wilson; Baniata, Hamza; Markus, Andras; Kertesz, Attila</t>
  </si>
  <si>
    <t>Towards a&amp;nbsp;Simulation as&amp;nbsp;a&amp;nbsp;Service Platform for&amp;nbsp;the&amp;nbsp;Cloud-to-Things Continuum</t>
  </si>
  <si>
    <t>Euro-Par 2023: Parallel Processing Workshops: Euro-Par 2023 International Workshops, Limassol, Cyprus, August 28 ‚Äì September 1, 2023, Revised Selected Papers, Part II</t>
  </si>
  <si>
    <t>978-3-031-48802-3</t>
  </si>
  <si>
    <t>10.1007/978-3-031-48803-0_6</t>
  </si>
  <si>
    <t>https://doi.org/10.1007/978-3-031-48803-0_6</t>
  </si>
  <si>
    <t>65‚Äì75</t>
  </si>
  <si>
    <t>In the past years, we have seen an unprecedented pace of technological development in smart applications. Smart Systems incorporate securely connected sensors, actuators, and data processing resources to provide digital services. They provide a wide range of smart applications using emerging technologies that address governmental or industrial processes or citizen life in smart cities, and many of them have been affected by the COVID-19 pandemic which involved a general lack of trust. Integrating Blockchain-based data management into smart systems can enhance the performance, trust, and privacy of their applications, which are getting more and more crucial. In this paper, we propose a vision for a unified Simulation as a Service platform, which will be able to model and investigate Blockchain-based smart systems exploiting IoT, Fog, and Cloud Computing infrastructures.</t>
  </si>
  <si>
    <t>Internet of Things; Cloud Computing; Blockchain; Fog Computing; Simulation</t>
  </si>
  <si>
    <t>MCRBB6DW</t>
  </si>
  <si>
    <t>Jindal, Anshul; Frielinghaus, Julian; Chadha, Mohak; Gerndt, Michael</t>
  </si>
  <si>
    <t>Courier: delivering serverless functions within heterogeneous FaaS deployments</t>
  </si>
  <si>
    <t>Proceedings of the 14th IEEE/ACM International Conference on Utility and Cloud Computing</t>
  </si>
  <si>
    <t>978-1-4503-8564-0</t>
  </si>
  <si>
    <t>10.1145/3468737.3494097</t>
  </si>
  <si>
    <t>https://doi.org/10.1145/3468737.3494097</t>
  </si>
  <si>
    <t>UCC '21</t>
  </si>
  <si>
    <t>event-place: Leicester, United Kingdom</t>
  </si>
  <si>
    <t>With the advent of serverless computing in different domains, there is a growing need for dynamic adaption to handle diverse and heterogeneous functions. However, serverless computing is currently limited to homogeneous Function-as-a-Service (FaaS) deployments or simply FaaS Deployment (FaaSD) consisting of deployments of serverless functions using a FaaS platform in a region with certain memory configurations. Extending serverless computing to support Heterogeneous FaaS Deployments (HeteroFaaSDs) consisting of multiple FaaSDs with variable configurations (FaaS platform, region, and memory) and dynamically load balancing the invocations of the functions across these FaaSDs within a HeteroFaaSD can provide an optimal way for handling such serverless functions.In this paper, we present a software system called Courier that is responsible for optimally distributing the invocations of the functions (called delivering of serverless functions) within the HeteroFaaSDs based on the execution time of the functions on the FaaSDs comprising the HeteroFaaSDs. To this end, we developed two approaches: Auto Weighted Round-Robin (AWRR) and PerFunction Auto Weighted Round-Robin (PFAWRR) that use functions execution times for delivering serverless functions within a HeteroFaaSD to reduce the overall execution time. We demonstrate and evaluate the functioning of our developed tool on three HeteroFaaSDs using three FaaS platforms: 1) on-premise Open-Whisk, 2) AWS Lambda, and 3) Google Cloud Functions (GCF). We show that Courier can improve the overall performance of the invocations of the functions within a HeteroFaaSD as compared to traditional load balancing algorithms.</t>
  </si>
  <si>
    <t>serverless computing; function-as-a-service; functions delivery</t>
  </si>
  <si>
    <t>7ZI82THM</t>
  </si>
  <si>
    <t>Jayaram, K. R.; Muthusamy, Vinod; Dube, Parijat; Ishakian, Vatche; Wang, Chen; Herta, Benjamin; Boag, Scott; Arroyo, Diana; Tantawi, Asser; Verma, Archit; Pollok, Falk; Khalaf, Rania</t>
  </si>
  <si>
    <t>FfDL: A Flexible Multi-tenant Deep Learning Platform</t>
  </si>
  <si>
    <t>Proceedings of the 20th International Middleware Conference</t>
  </si>
  <si>
    <t>978-1-4503-7009-7</t>
  </si>
  <si>
    <t>10.1145/3361525.3361538</t>
  </si>
  <si>
    <t>https://doi.org/10.1145/3361525.3361538</t>
  </si>
  <si>
    <t>82‚Äì95</t>
  </si>
  <si>
    <t>Middleware '19</t>
  </si>
  <si>
    <t>Deep learning (DL) is becoming increasingly popular in several application domains and has made several new application features involving computer vision, speech recognition and synthesis, self-driving automobiles, drug design, etc. feasible and accurate. As a result, large scale "on-premise" and "cloud-hosted" deep learning platforms have become essential infrastructure in many organizations. These systems accept, schedule, manage and execute DL training jobs at scale.This paper describes the design, implementation and our experiences with FfDL, a DL platform used at IBM. We describe how our design balances dependability with scalability, elasticity, flexibility and efficiency. We examine FfDL qualitatively through a retrospective look at the lessons learned from building, operating, and supporting FfDL; and quantitatively through a detailed empirical evaluation of FfDL, including the overheads introduced by the platform for various DL models, the load and performance observed in a real case study using FfDL within our organization, the frequency of various faults observed including faults that we did not anticipate, and experiments demonstrating the benefits of various scheduling policies. FfDL has been open-sourced.</t>
  </si>
  <si>
    <t>cluster scheduling; deep learning platform; fault tolerance; gang scheduling</t>
  </si>
  <si>
    <t>2Q7ZF8C3</t>
  </si>
  <si>
    <t>Liu, Xu; Hu, Junfeng; Li, Yuan; Diao, Shizhe; Liang, Yuxuan; Hooi, Bryan; Zimmermann, Roger</t>
  </si>
  <si>
    <t>UniTime: A Language-Empowered Unified Model for Cross-Domain Time Series Forecasting</t>
  </si>
  <si>
    <t>Proceedings of the ACM Web Conference 2024</t>
  </si>
  <si>
    <t>979-8-4007-0171-9</t>
  </si>
  <si>
    <t>10.1145/3589334.3645434</t>
  </si>
  <si>
    <t>https://doi.org/10.1145/3589334.3645434</t>
  </si>
  <si>
    <t>4095‚Äì4106</t>
  </si>
  <si>
    <t>WWW '24</t>
  </si>
  <si>
    <t>event-place: Singapore, Singapore</t>
  </si>
  <si>
    <t>Multivariate time series forecasting plays a pivotal role in contemporary web technologies. In contrast to conventional methods that involve creating dedicated models for specific time series application domains, this research advocates for a unified model paradigm that transcends domain boundaries. However, learning an effective cross-domain model presents the following challenges. First, various domains exhibit disparities in data characteristics, e.g., the number of variables, posing hurdles for existing models that impose inflexible constraints on these factors. Second, the model may encounter difficulties in distinguishing data from various domains, leading to suboptimal performance in our assessments. Third, the diverse convergence rates of time series domains can also result in compromised empirical performance. To address these issues, we propose UniTime for effective cross-domain time series learning. Concretely, UniTime can flexibly adapt to data with varying characteristics. It also uses domain instructions and a Language-TS Transformer to offer identification information and align two modalities. In addition, UniTime employs masking to alleviate domain convergence speed imbalance issues. Our extensive experiments demonstrate the effectiveness of UniTime in advancing state-of-the-art forecasting performance and zero-shot transferability.</t>
  </si>
  <si>
    <t>time series forecasting; language models</t>
  </si>
  <si>
    <t>2J87D54J</t>
  </si>
  <si>
    <t>Fowers, Jeremy; Ovtcharov, Kalin; Papamichael, Michael; Massengill, Todd; Liu, Ming; Lo, Daniel; Alkalay, Shlomi; Haselman, Michael; Adams, Logan; Ghandi, Mahdi; Heil, Stephen; Patel, Prerak; Sapek, Adam; Weisz, Gabriel; Woods, Lisa; Lanka, Sitaram; Reinhardt, Steven K.; Caulfield, Adrian M.; Chung, Eric S.; Burger, Doug</t>
  </si>
  <si>
    <t>A configurable cloud-scale DNN processor for real-time AI</t>
  </si>
  <si>
    <t>Proceedings of the 45th Annual International Symposium on Computer Architecture</t>
  </si>
  <si>
    <t>978-1-5386-5984-7</t>
  </si>
  <si>
    <t>10.1109/ISCA.2018.00012</t>
  </si>
  <si>
    <t>https://doi.org/10.1109/ISCA.2018.00012</t>
  </si>
  <si>
    <t>ISCA '18</t>
  </si>
  <si>
    <t>Los Angeles, California</t>
  </si>
  <si>
    <t>Interactive AI-powered services require low-latency evaluation of deep neural network (DNN) models‚Äîaka "realtime AI". The growing demand for computationally expensive, state-of-the-art DNNs, coupled with diminishing performance gains of general-purpose architectures, has fueled an explosion of specialized Neural Processing Units (NPUs). NPUs for interactive services should satisfy two requirements: (1) execution of DNN models with low latency, high throughput, and high efficiency, and (2) flexibility to accommodate evolving state-of-the-art models (e.g., RNNs, CNNs, MLPs) without costly silicon updates.This paper describes the NPU architecture for Project Brainwave, a production-scale system for real-time AI. The Brainwave NPU achieves more than an order of magnitude improvement in latency and throughput over state-of-the-art GPUs on large RNNs at a batch size of 1. The NPU attains this performance using a single-threaded SIMD ISA paired with a distributed microarchitecture capable of dispatching over 7M operations from a single instruction. The spatially distributed microarchitecture, scaled up to 96,000 multiply-accumulate units, is supported by hierarchical instruction decoders and schedulers coupled with thousands of independently addressable high-bandwidth on-chip memories, and can transparently exploit many levels of fine-grain SIMD parallelism. When targeting an FPGA, microarchitectural parameters such as native datapaths and numerical precision can be "synthesis specialized" to models at compile time, enabling high FPGA performance competitive with hardened NPUs. When running on an Intel Stratix 10 280 FPGA, the Brainwave NPU achieves performance ranging from ten to over thirty-five teraflops, with no batching, on large, memory-intensive RNNs.</t>
  </si>
  <si>
    <t>accelerator architectures; field programmable gate arrays; neural network hardware</t>
  </si>
  <si>
    <t>SBYT4DXE</t>
  </si>
  <si>
    <t>Ravindra, Pushkara; Khochare, Aakash; Reddy, Siva Prakash; Sharma, Sarthak; Varshney, Prateeksha; Simmhan, Yogesh</t>
  </si>
  <si>
    <t>: An Adaptive Orchestration Platform for Hybrid Dataflows across Cloud and Edge</t>
  </si>
  <si>
    <t>10.1007/978-3-319-69035-3_28</t>
  </si>
  <si>
    <t>https://doi.org/10.1007/978-3-319-69035-3_28</t>
  </si>
  <si>
    <t>395‚Äì410</t>
  </si>
  <si>
    <t>The Internet of Things (IoT) is offering unprecedented observational data that are used for managing Smart City utilities. Edge and Fog gateway devices are an integral part of IoT deployments to acquire real-time data and enact controls. Recently, Edge-computing is emerging as first-class paradigm to complement Cloud-centric analytics. But a key limitation is the lack of a platform-as-a-service for applications spanning Edge and Cloud. Here, we propose , an orchestration platform for dataflows across distributed resources. ‚Äôs hybrid dataflow composition can operate on diverse data models ‚Äì streams, micro-batches and files, and interface with native runtime engines like TensorFlow and Storm to execute them. It manages the application‚Äôs lifecycle, including container-based deployment and a registry for state management. can schedule the dataflow on different Edge, Fog&amp;nbsp;and&amp;nbsp;Cloud resources, and also perform dynamic task migration between resources. We validate the platform for executing video analytics and sensor streams for Smart Traffic and Smart Utility applications on Raspberry Pi, NVidia TX1, ARM64 and Azure Cloud VM resources, and present our results.</t>
  </si>
  <si>
    <t>Q2CL8ZYZ</t>
  </si>
  <si>
    <t>Arin, Ikrar Adinata; Supangkat, Suhono Harso; Gaol, Ford Lumban; Ranti, Benny</t>
  </si>
  <si>
    <t>Smart Services Implementation in Smart Cities: A Comprehensive Review of State-of-the-art Technologies</t>
  </si>
  <si>
    <t>Proceedings of the 2023 5th International Conference on Management Science and Industrial Engineering</t>
  </si>
  <si>
    <t>979-8-4007-0838-1</t>
  </si>
  <si>
    <t>10.1145/3603955.3603971</t>
  </si>
  <si>
    <t>https://doi.org/10.1145/3603955.3603971</t>
  </si>
  <si>
    <t>291‚Äì296</t>
  </si>
  <si>
    <t>MSIE '23</t>
  </si>
  <si>
    <t>event-place: Chiang Mai, Thailand</t>
  </si>
  <si>
    <t>This paper discusses comprehensively the advanced technologies used in the implementation of smart services, which are key elements of a smart city. Smart cities are becoming eco-friendly, livable, and sustainable to deliver essential services to their citizens by leveraging internet and communication technology advancements. Starting from a short literature review about smart cities and smart services, a recent trend in the technology used to implement smart services is collected. Smart service can be defined as a service conveyed using intelligent products that possess awareness and connectivity. All kinds of smart services can be connected in smart cities to offer citizens comprehensive solutions. Pre-emptive services, self-services, or highly interactive services, for example, have the potential to be implemented using current technology such as the internet of things, artificial intelligence, cloud computing, big data, machine learning, machine-to-machine communications, and the digital twin. Therefore, there is scope for research and implementation of other technology for smart services in the future.</t>
  </si>
  <si>
    <t>G9DCHB3L</t>
  </si>
  <si>
    <t>Aslanpour, Mohammad S.; Toosi, Adel N.; Cicconetti, Claudio; Javadi, Bahman; Sbarski, Peter; Taibi, Davide; Assuncao, Marcos; Gill, Sukhpal Singh; Gaire, Raj; Dustdar, Schahram</t>
  </si>
  <si>
    <t>Serverless Edge Computing: Vision and Challenges</t>
  </si>
  <si>
    <t>10.1145/3437378.3444367</t>
  </si>
  <si>
    <t>https://doi.org/10.1145/3437378.3444367</t>
  </si>
  <si>
    <t>Born from a need for a pure ‚Äúpay-per-use‚Äù model and highly scalable platform, the ‚ÄúServerless‚Äù paradigm emerged and has the potential to become a dominant way of building cloud applications. Although it was originally designed for cloud environments, Serverless is finding its position in the Edge Computing landscape, aiming to bring computational resources closer to the data source. That is, Serverless is crossing cloud borders to assess its merits in Edge computing, whose principal partner will be the Internet of Things (IoT) applications. This move sounds promising as Serverless brings particular benefits such as eliminating always-on services causing high electricity usage, for instance. However, the community is still hesitant to uptake Serverless Edge Computing because of the cloud-driven design of current Serverless platforms, and distinctive characteristics of edge landscape and IoT applications. In this paper, we evaluate both sides to shed light on the Serverless new territory. Our in-depth analysis promotes a broad vision for bringing Serverless to the Edge Computing. It also issues major challenges for Serverless to be met before entering Edge computing.</t>
  </si>
  <si>
    <t>ZMZDNE6G</t>
  </si>
  <si>
    <t>Rousseaux, Tom; Crochet, Christophe; Aoga, John; Legay, Axel</t>
  </si>
  <si>
    <t>Network Simulator-Centric Compositional Testing</t>
  </si>
  <si>
    <t>Formal Techniques for Distributed Objects, Components, and Systems: 44th IFIP WG 6.1 International Conference, FORTE 2024, Held as Part of the 19th International Federated Conference on Distributed Computing Techniques, DisCoTec 2024, Groningen, The Netherlands, June 17‚Äì21, 2024, Proceedings</t>
  </si>
  <si>
    <t>978-3-031-62644-9</t>
  </si>
  <si>
    <t>10.1007/978-3-031-62645-6_10</t>
  </si>
  <si>
    <t>https://doi.org/10.1007/978-3-031-62645-6_10</t>
  </si>
  <si>
    <t>177‚Äì196</t>
  </si>
  <si>
    <t>event-place: Groningen, The Netherlands</t>
  </si>
  <si>
    <t>This article introduces a novel methodology, Network Simulator-centric Compositional Testing (NSCT), to enhance the verification of network protocols with a particular focus on time-varying network properties. NSCT follows a Model-Based Testing (MBT) approach. These approaches usually struggle to test and represent time-varying network properties. NSCT also aims to achieve more accurate and reproducible protocol testing. It is implemented using the Ivy tool and the Shadow network simulator. This enables online debugging of real protocol implementations. A case study on an implementation of QUIC (picoquic) is presented, revealing an error in its compliance with a time-varying specification. This error has subsequently been rectified, highlighting NSCT‚Äôs effectiveness in uncovering and addressing real-world protocol implementation issues. The article underscores NSCT‚Äôs potential in advancing protocol testing methodologies, offering a notable contribution to the field of network protocol verification.</t>
  </si>
  <si>
    <t>Adverse Stimuli; Concrete Implementation; Formal Specifications; Internet protocols; Model-Based Testing; Network Simulator; QUIC; Software verification and validation; Time-varying Network Properties</t>
  </si>
  <si>
    <t>PSP4YWWZ</t>
  </si>
  <si>
    <t>Empl, Philip; B√∂hm, Fabian; Pernul, G√ºnther</t>
  </si>
  <si>
    <t>Process-Aware Intrusion Detection in MQTT Networks</t>
  </si>
  <si>
    <t>Proceedings of the Fourteenth ACM Conference on Data and Application Security and Privacy</t>
  </si>
  <si>
    <t>979-8-4007-0421-5</t>
  </si>
  <si>
    <t>10.1145/3626232.3653271</t>
  </si>
  <si>
    <t>https://doi.org/10.1145/3626232.3653271</t>
  </si>
  <si>
    <t>91‚Äì102</t>
  </si>
  <si>
    <t>CODASPY '24</t>
  </si>
  <si>
    <t>Intrusion Detection Systems (IDS) allow for detecting malicious activities in organizational networks and hosts. As the Industrial Internet of Things (Industrial IoT) has gained momentum and attackers become process-aware, it elevates the focus on anomaly-based Network Intrusion Detection Systems (NIDS) in IoT. While previous research has primarily concentrated on fortifying SCADA systems with NIDS, keeping track of the latest advancements in resource-efficient messaging (e.g., MQTT, CoAP, and OPC-UA) is paramount. In our work, we straightforwardly derive IoT processes for NIDS using distributed tracing and process mining. We introduce a pioneering framework called MISSION which effectively captures, consolidates, and models MQTT flows, leading to a heightened process awareness in NIDS. Through our prototypical implementation, we demonstrate exceptional performance and high-quality models. Moreover, our experiments provide empirical evidence for rediscovering pre-defined processes and successfully detecting two distinct MQTT attacks in a simulated IoT network.</t>
  </si>
  <si>
    <t>distributed tracing; internet of things; ids; mqtt; process mining</t>
  </si>
  <si>
    <t>HC8JKMTM</t>
  </si>
  <si>
    <t>Gusev, Marjan; Patel, Shushma; Tasic, Jurij</t>
  </si>
  <si>
    <t>Stimulating Intellectual Activity with Adaptive Environment (SMILE)</t>
  </si>
  <si>
    <t>Proceedings of the 8th Balkan Conference in Informatics</t>
  </si>
  <si>
    <t>978-1-4503-5285-7</t>
  </si>
  <si>
    <t>10.1145/3136273.3136283</t>
  </si>
  <si>
    <t>https://doi.org/10.1145/3136273.3136283</t>
  </si>
  <si>
    <t>BCI '17</t>
  </si>
  <si>
    <t>event-place: Skopje, Macedonia</t>
  </si>
  <si>
    <t>As of 2016, 47.5 million people have dementia worldwide according to the World Health Organization, and it is expected that this number will nearly double every 20 years, reaching 100 million sooner than 2030. The goal of the SMILE concept is to help the elderly to live independently and to prevent/delay dementia. It should improve the quality of life of elderly by introducing healthy habits and a lifelong involvement in mentally and socially stimulating activities. It should reduce social isolation, i.e. high degree of loneliness, dissatisfaction with social contacts, and decreased social network. The focus is on prevention of gradual decline in memory function and planning ability, as well. Applying social network concepts provides easier social interaction for older people. Using stimulating and interactive environment enhances and maintains brain plasticity through social interaction. So far there are no published articles or projects that are targeted at the same goal to develop a self-care social interactive TV system as a Service, which is the aim of the SMILE concept. There are a lot of projects and papers about the relevant technologies, however not the integrated approach, which is the key innovation in this concept.</t>
  </si>
  <si>
    <t>Adaptive environment; Avatars; elderly support; Self-health Care; Social Networks; Tablets; wearable telemedicine sensors</t>
  </si>
  <si>
    <t>BYGW7L2Z</t>
  </si>
  <si>
    <t>Salapura, Valentina; Beaty, Kirk A.; Bivens, Alan; Kim, Minkyong; Li, Min</t>
  </si>
  <si>
    <t>Towards building an analytics platform in the cloud</t>
  </si>
  <si>
    <t>Proceedings of the 12th ACM International Conference on Computing Frontiers</t>
  </si>
  <si>
    <t>978-1-4503-3358-0</t>
  </si>
  <si>
    <t>10.1145/2742854.2747279</t>
  </si>
  <si>
    <t>https://doi.org/10.1145/2742854.2747279</t>
  </si>
  <si>
    <t>CF '15</t>
  </si>
  <si>
    <t>event-place: Ischia, Italy</t>
  </si>
  <si>
    <t>Recently enterprises have been able to leverage two revolutionary new tools for gaining a competitive advantage for their business ‚Äì cloud computing and analytic applications. Cloud computing unburdens them from running and maintaining their compute resources, whereas analytic applications comb through their big data to provide new insights for a competitive advantage in the market. Analytic applications are carefully tailored to their target problems. While there is a lot of work published on both the mechanics of cloud computing as well as analytic methods for distilling insights from a variety of data, there is little work available about the cloud influence on the analytics platforms which aim at lowering the barrier for the creation, deployment, scaling and maintenance of next generation analytic workloads. This paper discusses the challenges we are facing today in order to provide an analytics platform to reduce cost and increase performance of analytics applications in the cloud computing environment.</t>
  </si>
  <si>
    <t>cloud computing; agile cluster provisioning; analytics application; analytics platform; cluster sizing; in memory computing; MapReduce; spark</t>
  </si>
  <si>
    <t>UJGYSRQE</t>
  </si>
  <si>
    <t>Karhula, Pekka; Janak, Jan; Schulzrinne, Henning</t>
  </si>
  <si>
    <t>Checkpointing and Migration of IoT Edge Functions</t>
  </si>
  <si>
    <t>Proceedings of the 2nd International Workshop on Edge Systems, Analytics and Networking</t>
  </si>
  <si>
    <t>978-1-4503-6275-7</t>
  </si>
  <si>
    <t>10.1145/3301418.3313947</t>
  </si>
  <si>
    <t>https://doi.org/10.1145/3301418.3313947</t>
  </si>
  <si>
    <t>60‚Äì65</t>
  </si>
  <si>
    <t>EdgeSys '19</t>
  </si>
  <si>
    <t>event-place: Dresden, Germany</t>
  </si>
  <si>
    <t>The serverless and functions as a service (FaaS) paradigms are currently trending among cloud providers and are now increasingly being applied to the network edge, and to the Internet of Things (IoT) devices. The benefits include reduced latency for communication, less network traffic and increased privacy for data processing. However, there are challenges as IoT devices have limited resources for running multiple simultaneous containerized functions, and also FaaS does not typically support long-running functions. Our implementation utilizes Docker and CRIU for checkpointing and suspending long-running blocking functions. The results show that checkpointing is slightly slower than regular Docker pause, but it saves memory and allows for more long-running functions to be run on an IoT device. Furthermore, the resulting checkpoint files are small, hence they are suitable for live migration and backing up stateful functions, therefore improving availability and reliability of the system.</t>
  </si>
  <si>
    <t>serverless; Internet of Things; checkpointing; function as a service; light-weight virtualization</t>
  </si>
  <si>
    <t>I3T4K54Y</t>
  </si>
  <si>
    <t>Pan, Haochen; Chard, Ryan; Zhou, Sicheng; Kamatar, Alok; Vescovi, Rafael; Hayot-Sasson, Val√©rie; Bauer, Andr√©; Gonthier, Maxime; Chard, Kyle; Foster, Ian</t>
  </si>
  <si>
    <t>Octopus: Experiences with a Hybrid Event-Driven Architecture for Distributed Scientific Computing</t>
  </si>
  <si>
    <t>10.1109/SCW63240.2024.00071</t>
  </si>
  <si>
    <t>https://doi.org/10.1109/SCW63240.2024.00071</t>
  </si>
  <si>
    <t>496‚Äì507</t>
  </si>
  <si>
    <t>Scientific research increasingly relies on distributed computational resources, storage systems, networks, and instruments, ranging from HPC and cloud systems to edge devices. Event-driven architecture (EDA) benefits applications targeting distributed research infrastructures by enabling the organization, communication, processing, reliability, and security of events generated from many sources. To support the development of scientific EDA, we introduce Octopus, a hybrid, cloud-to-edge event fabric designed to link many local event producers and consumers with cloud-hosted brokers, and to provide a fabric for developing resilient applications. Octopus can be scaled to meet demand, permits the deployment of highly available Triggers for automatic event processing, and enforces fine-grained access control. We identify requirements in self-driving laboratories, scientific data automation, online task scheduling, epidemic modeling, and dynamic workflow management use cases, and present results demonstrating Octopus' ability to meet those requirements. Octopus supports producing and consuming events at a rate of over 4.2 M and 9.6 M events per second, respectively, from distributed clients.</t>
  </si>
  <si>
    <t>Event-driven architecture; research automation; scientific computing</t>
  </si>
  <si>
    <t>YI5DYEZL</t>
  </si>
  <si>
    <t>Osaba, Eneko; Benguria, Gorka; Lobo, Jesus L.; Diaz-De-Arcaya, Josu; Alonso, Juncal; Etxaniz, I√±aki</t>
  </si>
  <si>
    <t>Optimizing IaC Configurations: a Case Study Using Nature-inspired Computing</t>
  </si>
  <si>
    <t>Proceedings of the 2023 6th International Conference on Computational Intelligence and Intelligent Systems</t>
  </si>
  <si>
    <t>979-8-4007-0906-7</t>
  </si>
  <si>
    <t>10.1145/3638209.3638223</t>
  </si>
  <si>
    <t>https://doi.org/10.1145/3638209.3638223</t>
  </si>
  <si>
    <t>85‚Äì90</t>
  </si>
  <si>
    <t>CIIS '23</t>
  </si>
  <si>
    <t>event-place: Tokyo, Japan</t>
  </si>
  <si>
    <t>In the last years, one of the fields of artificial intelligence that has been investigated the most is nature-inspired computing. The research done on this specific topic showcases the interest that sparks in researchers and practitioners, who put their focus on this paradigm because of the adaptability and ability of nature-inspired algorithms to reach high-quality outcomes on a wide range of problems. In fact, this kind of methods has been successfully applied to solve real-world problems in heterogeneous fields such as medicine, transportation, industry, or software engineering. Our main objective with this paper is to describe a tool based on nature-inspired computing for solving a specific software engineering problem. The problem faced consists of optimizing Infrastructure as Code deployment configurations. For this reason, the name of the system is IaC Optimizer Platform. A prototypical version of the IOP was described in previous works, in which the functionality of this platform was introduced. With this paper, we take a step forward by describing the final release of the IOP, highlighting its main contribution regarding the current state-of-the-art, and justifying the decisions made on its implementation. Also, we contextualize the IOP within the complete platform in which it is embedded, describing how a user can benefit from its use. To do that, we also present and solve a real-world use case.</t>
  </si>
  <si>
    <t>Combinatorial Optimization; Multi-objective Optimization; Nature-inspired Computing; PIACERE</t>
  </si>
  <si>
    <t>ERCSEWJI</t>
  </si>
  <si>
    <t>Costantini, Alessandro; Duma, Doina Cristina; Martelli, Barbara; Antonacci, Marica; Galletti, Matteo; Tisbeni, Simone Rossi; Bellavista, Paolo; Di Modica, Giuseppe; Nehls, Daniel; Ahouangonou, Jean-Christian; Delamarre, Cedric; Cesini, Daniele</t>
  </si>
  <si>
    <t>A Cloud-Edge Orchestration Platform for the Innovative Industrial Scenarios of the IoTwins Project</t>
  </si>
  <si>
    <t>Computational Science and Its Applications ‚Äì ICCSA 2021: 21st International Conference, Cagliari, Italy, September 13‚Äì16, 2021, Proceedings, Part II</t>
  </si>
  <si>
    <t>978-3-030-86959-5</t>
  </si>
  <si>
    <t>10.1007/978-3-030-86960-1_37</t>
  </si>
  <si>
    <t>https://doi.org/10.1007/978-3-030-86960-1_37</t>
  </si>
  <si>
    <t>533‚Äì543</t>
  </si>
  <si>
    <t>The concept of digital twins has growing more and more interest not only in the academic field but also among industrial environments thanks to the fact that the Internet of Things has enabled its cost-effective implementation. Digital twins (or digital models) refer to a virtual representation of a physical product or process that integrate data from various sources such as data APIs, historical data, embedded sensors and open data, giving to the manufacturers an unprecedented view into how their products are performing. The EU-funded IoTwins project plans to build testbeds for digital twins in order to run real-time computation as close to the data origin as possible (e.g., IoT Gateway or Edge nodes), and whilst batch-wise tasks such as Big Data analytics and Machine Learning model training are advised to run on the Cloud, where computing resources are abundant. In this paper, the basic concepts of the IoTwins project, its reference architecture, functionalities and components have been presented and discussed.</t>
  </si>
  <si>
    <t>IoT; Edge; Cloud; Digital twins; Digital models</t>
  </si>
  <si>
    <t>XELLGSM2</t>
  </si>
  <si>
    <t>Qiu, Yiming; Kang, Qiao; Liu, Ming; Chen, Ang</t>
  </si>
  <si>
    <t>Clara: Performance Clarity for SmartNIC Offloading</t>
  </si>
  <si>
    <t>Proceedings of the 19th ACM Workshop on Hot Topics in Networks</t>
  </si>
  <si>
    <t>978-1-4503-8145-1</t>
  </si>
  <si>
    <t>10.1145/3422604.3425929</t>
  </si>
  <si>
    <t>https://doi.org/10.1145/3422604.3425929</t>
  </si>
  <si>
    <t>16‚Äì22</t>
  </si>
  <si>
    <t>HotNets '20</t>
  </si>
  <si>
    <t>The gap between CPU and networking speeds has motivated the development of SmartNICs for near-network processing. Recent work has shown that many network functions can benefit from SmartNIC offloading, but identifying the best porting strategy requires hand-tuning and workload-specific optimizations. The developer has no easy way to understand the ported performance beforehandWe are developing a tool called Clara, whose goal is to provide performance clarity for SmartNIC offloading. Clara can analyze an unported NF in its original form, and predict its performance when ported to a SmartNIC target. This automated workflow enables the developer to easily customize offloading strategies, obtain performance insights, and identify suitable SmartNIC models for her workloads. Clara's key technical roadmap is to emulate a compiler, lowering an unported program to a SmartNIC target logically, without performing code generation. This results in a mapping from core NF logic to SmartNIC hardware resources, and Clara then plugs in NIC parameters to predict the performance for specific workloads. We describe our progress so far, and report initial validation results with Netronome hardware.</t>
  </si>
  <si>
    <t>network functions; performance prediction; smartnics</t>
  </si>
  <si>
    <t>MSJ6P75F</t>
  </si>
  <si>
    <t>Reiss, Steven P.; Xin, Qi</t>
  </si>
  <si>
    <t>Building dynamic, long-running systems</t>
  </si>
  <si>
    <t>Proceedings of the 4th International Workshop on Software Engineering for Systems-of-Systems</t>
  </si>
  <si>
    <t>978-1-4503-4172-1</t>
  </si>
  <si>
    <t>10.1145/2897829.2897831</t>
  </si>
  <si>
    <t>https://doi.org/10.1145/2897829.2897831</t>
  </si>
  <si>
    <t>SESoS '16</t>
  </si>
  <si>
    <t>event-place: Austin, Texas</t>
  </si>
  <si>
    <t>Complex applications that are effectively systems-of-systems are becoming more common and more useful. Our goal is to devise new ways of architecting such systems that will make their programming easier. We take a component oriented approach. A component's interface, which we call an outerface, includes not only the syntax of the component, but also its semantics and constraints on its use. Implementations of outerfaces are defined separately. Our underlying framework, TAIGA, lets the user code directly to the outerface and automatically finds, validates and binds an appropriate implementation. The framework handles component evolution and failure by detected changes and dynamically revalidating and rebinding possibly new implementations to existing outerfaces while maintaining the running system. We are currently working on extending this framework to handle modern, distributed systems-of-systems.</t>
  </si>
  <si>
    <t>distributed systems; evolution; interfaces</t>
  </si>
  <si>
    <t>553JBKY4</t>
  </si>
  <si>
    <t>Bose, Abhik; Kirtikar, Shailendra; Chirumamilla, Shivaji; Shah, Rinku; Vutukuru, Mythili</t>
  </si>
  <si>
    <t>AccelUPF: accelerating the 5G user plane using programmable hardware</t>
  </si>
  <si>
    <t>Proceedings of the Symposium on SDN Research</t>
  </si>
  <si>
    <t>978-1-4503-9892-3</t>
  </si>
  <si>
    <t>10.1145/3563647.3563651</t>
  </si>
  <si>
    <t>https://doi.org/10.1145/3563647.3563651</t>
  </si>
  <si>
    <t>1‚Äì15</t>
  </si>
  <si>
    <t>SOSR '22</t>
  </si>
  <si>
    <t>The latest generation of 5G telecommunication networks are expected to provide high throughput and low latency while catering to diverse applications like mobile broadband, dense IoT, and self-driving cars. A high performance User Plane Function (UPF), the main element in the 5G user plane, is critical to achieving these performance goals. This paper presents AccelUPF, a 5G UPF that offloads functionality to programmable dataplane hardware for performance acceleration. While prior work has proposed accelerating the UPF by offloading its data forwarding functionality to programmable hardware, the Packet Forwarding Control Protocol (PFCP) messages from the control plane that configure the hardware data forwarding rules were still processed in software. We show that only offloading data forwarding and not PFCP message processing leads to suboptimal performance in the UPF for applications like IoT that have a much higher ratio of PFCP messages to data traffic, due to a bottleneck at the software control plane that configures the hardware packet forwarding rules. In contrast to prior work, AccelUPF offloads both PFCP message processing as well as data forwarding to programmable hardware. AccelUPF overcomes several technical challenges pertaining to the processing of the complex variable-sized PFCP messages within the memory and compute constraints of programmable hardware platforms. Our evaluation of AccelUPF implemented over a Netronome programmable NIC and an Intel Tofino programmable switch demonstrates performance gains over the state-of-the-art UPFs for real-world traffic scenarios.</t>
  </si>
  <si>
    <t>in-network computation; 5G core; 5G user plane; programmable networks</t>
  </si>
  <si>
    <t>ITHGJFHN</t>
  </si>
  <si>
    <t>Weiner, Johannes; Agarwal, Niket; Schatzberg, Dan; Yang, Leon; Wang, Hao; Sanouillet, Blaise; Sharma, Bikash; Heo, Tejun; Jain, Mayank; Tang, Chunqiang; Skarlatos, Dimitrios</t>
  </si>
  <si>
    <t>TMO: transparent memory offloading in datacenters</t>
  </si>
  <si>
    <t>Proceedings of the 27th ACM International Conference on Architectural Support for Programming Languages and Operating Systems</t>
  </si>
  <si>
    <t>978-1-4503-9205-1</t>
  </si>
  <si>
    <t>10.1145/3503222.3507731</t>
  </si>
  <si>
    <t>https://doi.org/10.1145/3503222.3507731</t>
  </si>
  <si>
    <t>609‚Äì621</t>
  </si>
  <si>
    <t>ASPLOS '22</t>
  </si>
  <si>
    <t>event-place: Lausanne, Switzerland</t>
  </si>
  <si>
    <t>The unrelenting growth of the memory needs of emerging datacenter applications, along with ever increasing cost and volatility of DRAM prices, has led to DRAM being a major infrastructure expense. Alternative technologies, such as NVMe SSDs and upcoming NVM devices, offer higher capacity than DRAM at a fraction of the cost and power. One promising approach is to transparently offload colder memory to cheaper memory technologies via kernel or hypervisor techniques. The key challenge, however, is to develop a datacenter-scale solution that is robust in dealing with diverse workloads and large performance variance of different offload devices such as compressed memory, SSD, and NVM. This paper presents TMO, Meta‚Äôs transparent memory offloading solution for heterogeneous datacenter environments. TMO introduces a new Linux kernel mechanism that directly measures in realtime the lost work due to resource shortage across CPU, memory, and I/O. Guided by this information and without any prior application knowledge, TMO automatically adjusts how much memory to offload to heterogeneous devices (e.g., compressed memory or SSD) according to the device‚Äôs performance characteristics and the application‚Äôs sensitivity to memory-access slowdown. TMO holistically identifies offloading opportunities from not only the application containers but also the sidecar containers that provide infrastructure-level functions. To maximize memory savings, TMO targets both anonymous memory and file cache, and balances the swap-in rate of anonymous memory and the reload rate of file pages that were recently evicted from the file cache. TMO has been running in production for more than a year, and has saved between 20-32% of the total memory across millions of servers in our large datacenter fleet. We have successfully upstreamed TMO into the Linux kernel.</t>
  </si>
  <si>
    <t>Datacenters; Memory Management; Non-volatile Memory; Operating Systems</t>
  </si>
  <si>
    <t>7ZVUAQRR</t>
  </si>
  <si>
    <t>Pavlenko, Anna; Cahoon, Joyce; Zhu, Yiwen; Kroth, Brian; Nelson, Michael; Carter, Andrew; Liao, David; Wright, Travis; Camacho-Rodr√≠guez, Jes√∫s; Saur, Karla</t>
  </si>
  <si>
    <t>Vertically Autoscaling Monolithic Applications with CaaSPER: Scalable Container-as-a-Service Performance Enhanced Resizing Algorithm for the Cloud</t>
  </si>
  <si>
    <t>Companion of the 2024 International Conference on Management of Data</t>
  </si>
  <si>
    <t>979-8-4007-0422-2</t>
  </si>
  <si>
    <t>10.1145/3626246.3653378</t>
  </si>
  <si>
    <t>https://doi.org/10.1145/3626246.3653378</t>
  </si>
  <si>
    <t>241‚Äì254</t>
  </si>
  <si>
    <t>SIGMOD/PODS '24</t>
  </si>
  <si>
    <t>event-place: Santiago AA, Chile</t>
  </si>
  <si>
    <t>Kubernetes has emerged as a prominent open-source platform for managing cloud applications, including stateful databases. These monolithic applications rely on vertical scaling, adjusting CPU cores based on load fluctuations. However, our analysis of Kubernetes-based Database-as-a-Service (DBaaS) offerings at Microsoft revealed that many customers consistently over-provision resources for peak workloads, neglecting cost-saving opportunities through resource scale-down. We found that there is a gap in the ability of existing vertical autoscaling tools to minimize resource slack and respond promptly to throttling, leading to increased costs and impacting crucial metrics such as throughput and availability.To address this challenge, we propose CaaSPER, a vertical autoscaling algorithm that blends reactive and proactive strategies. By dynamically adjusting CPU resources, CaaSPER minimizes resource slack, maintains optimal CPU utilization, and reduces throttling. Importantly, customers have the flexibility to prioritize either cost savings or high performance based on their preferences. Extensive testing demonstrates that CaaSPER effectively reduces throttling and keeps CPU utilization within target levels. CaaSPER is designed to be application-agnostic and platform-agnostic, with potential for extension to other applications requiring vertical autoscaling.</t>
  </si>
  <si>
    <t>kubernetes; containers; resource optimization; vertical auto-scaling</t>
  </si>
  <si>
    <t>UIRMGDWB</t>
  </si>
  <si>
    <t>Liechti, Olivier; Pr√©vost, Laurent; Delaye, Valentin; Hennebert, Jean; Grivel, Vincent; Rey, Jean-Philippe; Depraz, Jonathan; Sommer, Marc</t>
  </si>
  <si>
    <t>Enabling reactive cities with the iFLUX middleware</t>
  </si>
  <si>
    <t>Proceedings of the 6th International Workshop on the Web of Things</t>
  </si>
  <si>
    <t>978-1-4503-4045-8</t>
  </si>
  <si>
    <t>10.1145/2834791.2834794</t>
  </si>
  <si>
    <t>https://doi.org/10.1145/2834791.2834794</t>
  </si>
  <si>
    <t>WoT '15</t>
  </si>
  <si>
    <t>This paper presents the iFLUX middleware, designed to provide a lightweight integration solution for Smart City applications. Based on three core abstractions, namely event sources, action targets and rules, iFLUX makes it very easy to expose sensors and actuators through REST APIs so that they can be integrated in application-level workflows. Sensors and actuators can be smart objects integrating hardware and software, but can also be pure software services. In the paper, we introduce the iFLUX programming model and describe how it has been implemented in a middleware platform. We also report on how the platform has been used and evaluated in various contexts. While iFLUX has been initially designed in the context of Smart City applications, it is generic and applicable to other domains where hardware and software components are connected through the Web.</t>
  </si>
  <si>
    <t>smart city; integration middleware; rule engine</t>
  </si>
  <si>
    <t>GKQQ7KB8</t>
  </si>
  <si>
    <t>Ilarri, Sergio; Fumanal, Irene; Trillo-Lado, Raquel</t>
  </si>
  <si>
    <t>An Experience with the Implementation of a Rule-Based Triggering Recommendation Approach for Mobile Devices</t>
  </si>
  <si>
    <t>The 23rd International Conference on Information Integration and Web Intelligence</t>
  </si>
  <si>
    <t>978-1-4503-9556-4</t>
  </si>
  <si>
    <t>10.1145/3487664.3487806</t>
  </si>
  <si>
    <t>https://doi.org/10.1145/3487664.3487806</t>
  </si>
  <si>
    <t>562‚Äì570</t>
  </si>
  <si>
    <t>iiWAS2021</t>
  </si>
  <si>
    <t>In the current Big Data era, mobile context-aware recommender systems can play a key role to help citizens and tourists to make good decisions. Ideally, these systems should be proactive, able to detect the right moment and place to offer suggestions of a specific type of item or activity to the user. For this purpose, push-based recommender systems can be used, exploiting context rules to decide when a specific type of recommendation should be triggered. However, experiences regarding the implementation of these types of systems are scarce. Motivated by this, in this paper, we describe our design and implementation efforts focusing on the ability to fire suitable recommendations, without user intervention, whenever it is required. In our proposal, the mobile user can activate, deactivate, parametrize, and define rules in an easy way, to obtain a better user personalization. Besides, the recommendation triggering is performed on the mobile device, which allows minimizing the amount of wireless communications and helps to protect the user‚Äôs privacy (as context data is evaluated locally on the device, rather than by an external server). We have analyzed several technological options and evaluated the performance and scalability of our proposal, showing its feasibility.</t>
  </si>
  <si>
    <t>data management; mobile devices; mobile computing; context rules; mobile context-aware recommender systems; push-based recommendations</t>
  </si>
  <si>
    <t>4QCWPIUF</t>
  </si>
  <si>
    <t>Chen, Shuang; Delimitrou, Christina; Mart√≠nez, Jos√© F.</t>
  </si>
  <si>
    <t>PARTIES: QoS-Aware Resource Partitioning for Multiple Interactive Services</t>
  </si>
  <si>
    <t>Proceedings of the Twenty-Fourth International Conference on Architectural Support for Programming Languages and Operating Systems</t>
  </si>
  <si>
    <t>978-1-4503-6240-5</t>
  </si>
  <si>
    <t>10.1145/3297858.3304005</t>
  </si>
  <si>
    <t>https://doi.org/10.1145/3297858.3304005</t>
  </si>
  <si>
    <t>107‚Äì120</t>
  </si>
  <si>
    <t>ASPLOS '19</t>
  </si>
  <si>
    <t>event-place: Providence, RI, USA</t>
  </si>
  <si>
    <t>Multi-tenancy in modern datacenters is currently limited to a single latency-critical, interactive service, running alongside one or more low-priority, best-effort jobs. This limits the efficiency gains from multi-tenancy, especially as an increasing number of cloud applications are shifting from batch jobs to services with strict latency requirements. We present PARTIES, a QoS-aware resource manager that enables an arbitrary number of interactive, latency-critical services to share a physical node without QoS violations. PARTIES leverages a set of hardware and software resource partitioning mechanisms to adjust allocations dynamically at runtime, in a way that meets the QoS requirements of each co-scheduled workload, and maximizes throughput for the machine. We evaluate PARTIES on state-of-the-art server platforms across a set of diverse interactive services. Our results show that PARTIES improves throughput under QoS by 61% on average, compared to existing resource managers, and that the rate of improvement increases with the number of co-scheduled applications per physical host.</t>
  </si>
  <si>
    <t>cloud computing; quality of service; datacenters; resource management; interference; isolation; resource partitioning</t>
  </si>
  <si>
    <t>WZM6JD4A</t>
  </si>
  <si>
    <t>Duan, Kaiyue; Li, Yusen; Marbach, Trent G.; Wang, Gang; Liu, Xiaoguang</t>
  </si>
  <si>
    <t>Improving Load Balancing for Modern Data Centers Through Resource Equivalence Classes</t>
  </si>
  <si>
    <t>Service-Oriented Computing: 19th International Conference, ICSOC 2021, Virtual Event, November 22‚Äì25, 2021, Proceedings</t>
  </si>
  <si>
    <t>978-3-030-91430-1</t>
  </si>
  <si>
    <t>10.1007/978-3-030-91431-8_34</t>
  </si>
  <si>
    <t>https://doi.org/10.1007/978-3-030-91431-8_34</t>
  </si>
  <si>
    <t>548‚Äì562</t>
  </si>
  <si>
    <t>Load balancing is one of the most significant concerns for data center (DC) management, and the basic method is reassigning applications from overloaded servers to underloaded servers. However, to ensure the service availability, during the reassignment of an application, some resources (i.e., transient resources) are consumed simultaneously on its initial server and its target server, which imposes a challenge for load balancing. The latest research has proposed a concept called resource equivalence class (REC: a set of resource configurations such that a latency-critical (LC) application running with any one of them can meet the QoS target). In this paper, we use the REC to improve the load balancing for a DC where multiple LC applications have already been co-located on servers with the service availability and QoS requirements. We formulate the proposed load rebalancing problem as a multi-objective constrained programming model. To solve the proposed problem, we propose to use a machine learning-based classification model to construct the RECs for applications, and we develop a local search (LS) algorithm to approximate the optimal solution. We evaluate the proposed algorithm via simulated experiments using real LC applications. To our knowledge, it is the first time to use REC for improving load balancing.</t>
  </si>
  <si>
    <t>Load rebalancing; Local search; Resource equivalence class</t>
  </si>
  <si>
    <t>VI39YIBA</t>
  </si>
  <si>
    <t>Mei√üner, Echo; Erb, Benjamin; Kargl, Frank; Tichy, Matthias</t>
  </si>
  <si>
    <t>Retro-Œª: An Event-sourced Platform for Serverless Applications with Retroactive Computing Support</t>
  </si>
  <si>
    <t>Proceedings of the 12th ACM International Conference on Distributed and Event-Based Systems</t>
  </si>
  <si>
    <t>978-1-4503-5782-1</t>
  </si>
  <si>
    <t>10.1145/3210284.3210285</t>
  </si>
  <si>
    <t>https://doi.org/10.1145/3210284.3210285</t>
  </si>
  <si>
    <t>76‚Äì87</t>
  </si>
  <si>
    <t>DEBS '18</t>
  </si>
  <si>
    <t>event-place: Hamilton, New Zealand</t>
  </si>
  <si>
    <t>State changes over time are inherent characteristics of stateful applications. So far, there are almost no attempts to make the past application history programmatically accessible or even modifiable. This is primarily due to the complexity of temporal changes and a difficult alignment with prevalent programming primitives and persistence strategies. Retroactive computing enables powerful capabilities though, including computations and predictions of alternate application timelines, post-hoc bug fixes, or retroactive state explorations. We propose an event-driven programming model that is oriented towards serverless computing and applies retroaction to the event sourcing paradigm. Our model is deliberately restrictive, but therefore keeps the complexity of retroactive operations in check. We introduce retro-Œª, a runtime platform that implements the model and provides retroactive capabilites to its applications. While retro-Œª only shows negligible performance overheads compared to similar solutions for running regular applications, it enables its users to execute retroactive computations on the application histories as part of its programming model.</t>
  </si>
  <si>
    <t>serverless computing; event processing; event sourcing; event-driven architecture; retroaction; retroactive computing</t>
  </si>
  <si>
    <t>Z7LFELA6</t>
  </si>
  <si>
    <t>Adiga, Narasimha; Bonanno, James; Collura, Adam; Heizmann, Matthias; Prasky, Brian R.; Saporito, Anthony</t>
  </si>
  <si>
    <t>The IBM zl5 high frequency mainframe branch predictor</t>
  </si>
  <si>
    <t>10.1109/ISCA45697.2020.00014</t>
  </si>
  <si>
    <t>https://doi.org/10.1109/ISCA45697.2020.00014</t>
  </si>
  <si>
    <t>27‚Äì39</t>
  </si>
  <si>
    <t>The design of the modern, enterprise-class IBM z15 branch predictor is described. Implemented as a multi-level look-ahead structure, the branch predictor is capable of predicting branch direction and target addresses, augmented with multiple auxiliary direction, target, and power predictors. Predictions are made asynchronously, and later integrated into the processor pipeline. The design is optimized for the unique workloads executed on these enterprise-class systems, including compute intensive and both large instruction and data footprint workloads. This paper highlights the major operations and functions of the IBM z15 branch predictor, including its pipeline, prediction structures and verification methodology. Explanations as to how the design matured to its current state are also provided.</t>
  </si>
  <si>
    <t>KPBMFRYK</t>
  </si>
  <si>
    <t>Hviid, Jakob; Johansen, Aslak; Caleb Sangogboye, Fisayo; Kj√¶rgaard, Mikkel Baun</t>
  </si>
  <si>
    <t>OPM: An Ontology-Based Package Manager for Building Operating Systems</t>
  </si>
  <si>
    <t>Proceedings of the 11th International Conference on the Internet of Things</t>
  </si>
  <si>
    <t>978-1-4503-8566-4</t>
  </si>
  <si>
    <t>10.1145/3494322.3494338</t>
  </si>
  <si>
    <t>https://doi.org/10.1145/3494322.3494338</t>
  </si>
  <si>
    <t>118‚Äì125</t>
  </si>
  <si>
    <t>IoT '21</t>
  </si>
  <si>
    <t>event-place: St.Gallen, Switzerland</t>
  </si>
  <si>
    <t>The energy sector is experiencing new challenges with the move to green energy. One of these challenges is keeping a stable energy grid when transitioning the production to unpredictable energy generation from green sources. Demand Response (DR) can mitigate some of the lack of predictability by influencing the consumer‚Äôs load profile. Unfortunately, the cost of implementing DR, and the required infrastructure, vastly overshadows the benefits for the consumer, thereby negating the incentive to invest. Therefore, reducing the initial cost of investment is a critical factor for the success of DR. Building Operating Systems (BOS) is one possible avenue to achieve DR functionality in buildings. This paper seeks to reduce initial investment costs of BOSes, by introducing an ontology-based package manager (OPM), that dynamically resolves dependencies and installs services. An ontology-based approach to dependency resolution allows for loosely defined dependencies but also takes the context of the service into account, as well as requirements in terms of sensor availability and physical layout of the building. The OPM is evaluated by deploying a BOS and accompanying services for occupancy prediction. By significantly reducing deployment complexity, results show considerable time savings, and thereby cost reductions, on deployment and maintenance activities.</t>
  </si>
  <si>
    <t>ontology; containerization; deployment; building operating systems; dependency resolution; OWL; Package manager</t>
  </si>
  <si>
    <t>NZJ38G65</t>
  </si>
  <si>
    <t>Valle, Pablo; Arrieta, Aitor; Arratibel, Maite</t>
  </si>
  <si>
    <t>Applying and Extending the Delta Debugging Algorithm for Elevator Dispatching Algorithms (Experience Paper)</t>
  </si>
  <si>
    <t>Proceedings of the 32nd ACM SIGSOFT International Symposium on Software Testing and Analysis</t>
  </si>
  <si>
    <t>979-8-4007-0221-1</t>
  </si>
  <si>
    <t>10.1145/3597926.3598117</t>
  </si>
  <si>
    <t>https://doi.org/10.1145/3597926.3598117</t>
  </si>
  <si>
    <t>1055‚Äì1067</t>
  </si>
  <si>
    <t>ISSTA 2023</t>
  </si>
  <si>
    <t>Elevator systems are one kind of Cyber-Physical Systems (CPSs), and as such, test cases are usually complex and long in time. This is mainly because realistic test scenarios are employed (e.g., for testing elevator dispatching algorithms, typically a full day of passengers traveling through a system of elevators is used). However, in such a context, when needing to reproduce a failure, it is of high benefit to provide the minimal test input to the software developers. This way, analyzing and trying to localize the root-cause of the failure is easier and more agile. Delta debugging has been found to be an efficient technique to reduce failure-inducing test inputs. In this paper, we enhance this technique by first monitoring the environment at which the CPS operates as well as its physical states. With the monitored information, we search for stable states of the CPS during the execution of the simulation. In a second step, we use such identified stable states to help the delta debugging algorithm isolate the failure-inducing test inputs more efficiently. We report our experience of applying our approach into an industrial elevator dispatching algorithm. An empirical evaluation carried out with real operational data from a real installation of elevators suggests that the proposed environment-wise delta debugging algorithm is between 1.3 to 1.8 times faster than the traditional delta debugging, while producing a larger reduction in the failure-inducing test inputs. The results provided by the different implemented delta debugging algorithm versions are qualitatively assessed with domain experts. This assessment provides new insights and lessons learned, such as, potential applications of the delta debugging algorithm beyond debugging.</t>
  </si>
  <si>
    <t>Cyber-Physical Systems; Delta Debugging; Simulation-based Testing</t>
  </si>
  <si>
    <t>P7FCCLLR</t>
  </si>
  <si>
    <t>Harsh, Piyush; Ribera Laszkowski, Juan Francisco; Edmonds, Andy; Quang Thanh, Tran; Pauls, Michael; Vlaskovski, Radoslav; Avila-Garc√≠a, Orlando; Pages, Enric; Gort√°zar Bellas, Francisco; Gallego Carrillo, Micael</t>
  </si>
  <si>
    <t>Cloud Enablers For Testing Large-Scale Distributed Applications</t>
  </si>
  <si>
    <t>10.1145/3368235.3368838</t>
  </si>
  <si>
    <t>https://doi.org/10.1145/3368235.3368838</t>
  </si>
  <si>
    <t>35‚Äì42</t>
  </si>
  <si>
    <t>Testing large-scale distributed systems (also known as testing in the large) is a challenge that spreads across different technical domains and areas of expertise. Current methods and tools provide some minimal guarantees in relation to the correctness of their functional properties and have serious limitations when evaluating their extra-functional properties in realistic conditions, such as scalability, availability and performance efficiency. Cloud Testing and more specifically "testing in the cloud‚Äù has arisen to tackle those challenges. In this new paradigm, cloud-based environment and infrastructure are used to run realistic end-to-end and/or system-level tests, collect test data and analyse them. In this paper we present a set of cloud-native services to take from the tester the responsibility of managing the resources and complementary services required to simulate realistic operational conditions and production environments. Specifically, they provide cloud testing capabilities such as logs and measurements collection from both testing jobs and system under test; test data analytics and visualization; provisioning and operation of additional services and processes to replicate realistic production ecosystems; support to scalability and diversity of underlying testing infrastructure; and replication of the operational conditions of the software under test through its instrumentation. We present the architecture of the cloud testing solution and the detailed design of each of the services; we also evaluate their relative contribution to satisfy different needs in the context of test execution.</t>
  </si>
  <si>
    <t>scalability; testing; continuous integration; cloud testing; continuous testing; large-scale distributed systems; reliability</t>
  </si>
  <si>
    <t>DK78MAA8</t>
  </si>
  <si>
    <t>Matevska, Jasminka; Soldin, Marvin</t>
  </si>
  <si>
    <t>Enabling IoT Connectivity and&amp;nbsp;Interoperability by&amp;nbsp;Using Automated Gateways</t>
  </si>
  <si>
    <t>10.1007/978-3-031-36889-9_21</t>
  </si>
  <si>
    <t>https://doi.org/10.1007/978-3-031-36889-9_21</t>
  </si>
  <si>
    <t>300‚Äì317</t>
  </si>
  <si>
    <t>As an essential part of the Industry 4.0 strategy, the Internet of Things is developing to ‚ÄúInternet of Everything‚Äù. The number of interconnected devices and the amount of data produced increases constantly. Various devices are communicating using various protocols, exchanging data using various data formats and connecting to various software applications. In an IoT-Architecture, a gateway is a fundamental component needed for enabling device interoperability. While a great deal of research has already been done on IoT in cloud computing, fog computing, and edge computing, there is still no intensive activity in the field of gateways in particular. Even the basic gateways can act as a proxy between low-end IoT devices and data centres, automated gateways can provide significantly higher functionality to solve the problems of diversity of protocols, data formats and the custom needs of various devices including used applications. This paper presents a concept of an automated gateway dealing with the problems of protocol conversion, device management, middleware abstraction, resource management and traffic optimisation. The gateway is designed as a modular plug-and-play architecture and was evaluated for MQTT, ZigBee, WebSocket and Amazon WebServices. The architecture can be extended by including additional modules to support further protocols and services. Finally, the gateway defines its protocol and translates incoming messages into an optional uniform format, which can be used by the client to enable more complex message flows. Thus, it provides a solid foundation for further development towards standardization of communication interfaces and interoperability of IoT devices.</t>
  </si>
  <si>
    <t>Internet of Things; Automated Gateway; Communication Protocols; Connectivity; Industry 4.0; Interoperability; IoT Architecture</t>
  </si>
  <si>
    <t>FHHCITSN</t>
  </si>
  <si>
    <t>Xu, Bin; Liu, Xusheng; Zhao, Wei; Li, Ziqian; Wang, Chenfei; Zhu, Qing</t>
  </si>
  <si>
    <t>Research on the Architecture and Key Technologies of the Ubiquitous Customer Service Operating System for State Grid</t>
  </si>
  <si>
    <t>2021 2nd International Conference on Artificial Intelligence and Information Systems</t>
  </si>
  <si>
    <t>978-1-4503-9020-0</t>
  </si>
  <si>
    <t>10.1145/3469213.3470417</t>
  </si>
  <si>
    <t>https://doi.org/10.1145/3469213.3470417</t>
  </si>
  <si>
    <t>ICAIIS 2021</t>
  </si>
  <si>
    <t>event-place: Chongqing, China</t>
  </si>
  <si>
    <t>Traditional customer service systems can hardly satisfy the high quality and efficiency requirements in the digital and intelligent era, to tackle this issue, advanced data and artificial intelligence technology are required to be integrated. Based on the ubiquitous operating system theory and take the State Grid customer service as a business scenario, this paper proposes an intelligent customer service platform. The platform takes the ubiquitous power customer service operating system as its core, manages and information multiplexes the massive data resources systematically to support customer service in a high-efficiency and intelligent manner. This paper studies the architecture of the platform and the key technologies involved, and implemented core applications at the industrial level. The paper also discusses the reliability of the system and proposed a reliability guarantee mechanism for customer service operating system. The demonstration system was verified in the actual production environment of the State Grid, and finally proved that this system can effectively improve the work efficiency of the customer service team and reduce operation and maintenance costs.</t>
  </si>
  <si>
    <t>6ZGRSX38</t>
  </si>
  <si>
    <t>Luo, Min</t>
  </si>
  <si>
    <t>Future Lies with Edge Computing</t>
  </si>
  <si>
    <t>Edge Computing ‚Äì EDGE 2022: 6th International Conference, Held as Part of the Services Conference Federation, SCF 2022, Honolulu, HI, USA, December 10‚Äì14, 2022, Proceedings</t>
  </si>
  <si>
    <t>978-3-031-23469-9</t>
  </si>
  <si>
    <t>10.1007/978-3-031-23470-5_7</t>
  </si>
  <si>
    <t>https://doi.org/10.1007/978-3-031-23470-5_7</t>
  </si>
  <si>
    <t>80‚Äì106</t>
  </si>
  <si>
    <t>This paper presents a relatively comprehensive survey of recent advances in edge computing, including key drivers and business benefits for typical business use cases. A reference architecture with a supporting service model is proposed that can be used as the starting point for any organization to adopt edge computing. A list of challenges and future work is also assembled for both the academic and industrial research and development.</t>
  </si>
  <si>
    <t>Security; Internet of Things (IoT); Edge computing; Artificial intelligence; Reliability; Cloud datacenter; Distributed DBMS/SQL; Distributed systems; Edge datacenter; Machine learning; Scalability; Tiered architecture</t>
  </si>
  <si>
    <t>8G3XPW8B</t>
  </si>
  <si>
    <t>Mohamed, Saleh; Forshaw, Matthew; Thomas, Nigel; Dinn, Andrew</t>
  </si>
  <si>
    <t>Performance and Dependability Evaluation of Distributed Event-based Systems: A Dynamic Code-injection Approach</t>
  </si>
  <si>
    <t>Proceedings of the 8th ACM/SPEC on International Conference on Performance Engineering</t>
  </si>
  <si>
    <t>978-1-4503-4404-3</t>
  </si>
  <si>
    <t>10.1145/3030207.3030245</t>
  </si>
  <si>
    <t>https://doi.org/10.1145/3030207.3030245</t>
  </si>
  <si>
    <t>349‚Äì352</t>
  </si>
  <si>
    <t>ICPE '17</t>
  </si>
  <si>
    <t>Distributed stream processing and event-based systems are an increasingly critical component in contemporary large-scale data processing applications, and are often subject to strict latency and reliability requirements. However, to achieve scalability demands, they are often deployed on distributed clusters of heterogeneous nodes, causing unpredictable runtime performance and complex fault characteristics.The behaviour of these systems is poorly understood, and existing performance and dependability evaluation techniques are ill-equipped to handle the challenges introduced by the complex and distributed nature of event-based systems.We develop a dynamic code-injection approach to evaluate the performance and dependability of stream processing and event-based systems. Our approach supports fine-grained instrumentation of applications and their runtime infrastructure, and the dynamic injection of code mutations and faults into a production system at runtime. We demonstrate the proposed approach by performing instrumentation and code injection on a distributed Apache Spark cluster.</t>
  </si>
  <si>
    <t>performance; dependability; fault injection; event-based systems</t>
  </si>
  <si>
    <t>VLJJ5Y7F</t>
  </si>
  <si>
    <t>Kadron, undefinedsmet Burak; Rosner, Nicol√°s; Bultan, Tevfik</t>
  </si>
  <si>
    <t>Feedback-driven side-channel analysis for networked applications</t>
  </si>
  <si>
    <t>Proceedings of the 29th ACM SIGSOFT International Symposium on Software Testing and Analysis</t>
  </si>
  <si>
    <t>978-1-4503-8008-9</t>
  </si>
  <si>
    <t>10.1145/3395363.3397365</t>
  </si>
  <si>
    <t>https://doi.org/10.1145/3395363.3397365</t>
  </si>
  <si>
    <t>260‚Äì271</t>
  </si>
  <si>
    <t>ISSTA 2020</t>
  </si>
  <si>
    <t>Information leakage in software systems is a problem of growing importance. Networked applications can leak sensitive information even when they use encryption. For example, some characteristics of network packets, such as their size, timing and direction, are visible even for encrypted traffic. Patterns in these characteristics can be leveraged as side channels to extract information about secret values accessed by the application. In this paper, we present a new tool called AutoFeed for detecting and quantifying information leakage due to side channels in networked software applications. AutoFeed profiles the target system and automatically explores the input space, explores the space of output features that may leak information, quantifies the information leakage, and identifies the top-leaking features. Given a set of input mutators and a small number of initial inputs provided by the user, AutoFeed iteratively mutates inputs and periodically updates its leakage estimations to identify the features that leak the greatest amount of information about the secret of interest. AutoFeed uses a feedback loop for incremental profiling, and a stopping criterion that terminates the analysis when the leakage estimation for the top-leaking features converges. AutoFeed also automatically assigns weights to mutators in order to focus the search of the input space on exploring dimensions that are relevant to the leakage quantification. Our experimental evaluation on the benchmarks shows that AutoFeed is effective in detecting and quantifying information leaks in networked applications.</t>
  </si>
  <si>
    <t>dynamic program analysis; input generation; network traffic analysis; Side-channel analysis</t>
  </si>
  <si>
    <t>YW8M8NRF</t>
  </si>
  <si>
    <t>Ossen, Sabra; Brasilino, Lucas R. B.; Dalessandro, Luke; Swany, Martin</t>
  </si>
  <si>
    <t>Enabling Stateful Functions for Stream Processing in the Programmable Data Plane</t>
  </si>
  <si>
    <t>Proceedings of the 2nd Workshop on High Performance Serverless Computing</t>
  </si>
  <si>
    <t>978-1-4503-9311-9</t>
  </si>
  <si>
    <t>10.1145/3526060.3535461</t>
  </si>
  <si>
    <t>https://doi.org/10.1145/3526060.3535461</t>
  </si>
  <si>
    <t>24‚Äì30</t>
  </si>
  <si>
    <t>HiPS '22</t>
  </si>
  <si>
    <t>event-place: Minneapolis, MN, USA</t>
  </si>
  <si>
    <t>Sensor-rich environments are crucial components of the Internet of Things ecosystem and benefit from real-time applications. Many applications perform real-time analytics on these IoT workloads by performing continuous stream processing for a window of sequence data elements. However, executing light-weight stateful functions on server CPUs adds to the communication latency of each small message in a high data rate environment, primarily due to messages traveling through a complex network stack to reach the CPU. Thus, we present an in-network function deployment architecture with low latency and low resource footprint by introducing a new compute layer. We propose an FPGA-based Switch/NIC prototype with a compute layer utilizing RISC-V soft cores and High-Level Synthesis modules. We evaluate the design for two microbenchmarks on a Zynq 7000 FPGA each, achieving less than 10 Œºs in latency and consuming less than 6 % of resources.</t>
  </si>
  <si>
    <t>stream processing; programmable networks; fpga; in-network computing; risc-v soft core; stateful faas</t>
  </si>
  <si>
    <t>RJF6S7NW</t>
  </si>
  <si>
    <t>Mei√üner, Echo; Erb, Benjamin; Kargl, Frank</t>
  </si>
  <si>
    <t>Performance Engineering in Distributed Event-sourced Systems</t>
  </si>
  <si>
    <t>10.1145/3210284.3219770</t>
  </si>
  <si>
    <t>https://doi.org/10.1145/3210284.3219770</t>
  </si>
  <si>
    <t>242‚Äì245</t>
  </si>
  <si>
    <t>Distributed event-sourced systems adopt a fairly new architectural style for data-intensive applications that maintains the full history of the application state. However, the performance implications of such systems are not yet well explored, let alone how the performance of these systems can be improved. A central issue is the lack of systematic performance engineering approaches that take into account the specific characteristics of these systems. To address this problem, we suggest a methodology for performance engineering and performance analysis of distributed event-sourced systems based on specific measurements and subsequent, targeted optimizations. The methodology blends in well into existing software engineering processes and helps developers to identify bottlenecks and to resolve performance issues. Using our structured approach, we improved an existing event-sourced system prototype and increased its performance considerably.</t>
  </si>
  <si>
    <t>event processing; event sourcing; performance engineering</t>
  </si>
  <si>
    <t>N2SFI5GC</t>
  </si>
  <si>
    <t>Liang, Mingyu; Fu, Wenyin; Feng, Louis; Lin, Zhongyi; Panakanti, Pavani; Zheng, Shengbao; Sridharan, Srinivas; Delimitrou, Christina</t>
  </si>
  <si>
    <t>Mystique: Enabling Accurate and Scalable Generation of Production AI Benchmarks</t>
  </si>
  <si>
    <t>Proceedings of the 50th Annual International Symposium on Computer Architecture</t>
  </si>
  <si>
    <t>979-8-4007-0095-8</t>
  </si>
  <si>
    <t>10.1145/3579371.3589072</t>
  </si>
  <si>
    <t>https://doi.org/10.1145/3579371.3589072</t>
  </si>
  <si>
    <t>ISCA '23</t>
  </si>
  <si>
    <t>event-place: Orlando, FL, USA</t>
  </si>
  <si>
    <t>Building large AI fleets to support the rapidly growing DL workloads is an active research topic for modern cloud providers. Generating accurate benchmarks plays an essential role in designing the fast-paced software and hardware solutions in this space. Two fundamental challenges to make this scalable are (i) workload representativeness and (ii) the ability to quickly incorporate changes to the fleet into the benchmarks.To overcome these issues, we propose Mystique, an accurate and scalable framework for production AI benchmark generation. It leverages the PyTorch execution trace (ET), a new feature that captures the runtime information of AI models at the granularity of operators, in a graph format, together with their metadata. By sourcing fleet ETs, we can build AI benchmarks that are portable and representative. Mystique is scalable, due to its lightweight data collection, in terms of runtime overhead and instrumentation effort. It is also adaptive because ET composability allows flexible control on benchmark creation.We evaluate our methodology on several production AI models, and show that benchmarks generated with Mystique closely resemble original AI models, both in execution time and system-level metrics. We also showcase the portability of the generated benchmarks across platforms, and demonstrate several use cases enabled by the fine-grained composability of the execution trace.</t>
  </si>
  <si>
    <t>cloud computing; benchmarking; artificial intelligence; code generation; performance cloning</t>
  </si>
  <si>
    <t>6VZACEWW</t>
  </si>
  <si>
    <t>Spi≈°akov√°, Vikt√≥ria; Klus√°ƒçek, Dalibor; Hejtm√°nek, Luk√°≈°</t>
  </si>
  <si>
    <t>Using Kubernetes in&amp;nbsp;Academic Environment: Problems and&amp;nbsp;Approaches</t>
  </si>
  <si>
    <t>Job Scheduling Strategies for Parallel Processing: 25th International Workshop, JSSPP 2022, Virtual Event, June 3, 2022, Revised Selected Papers</t>
  </si>
  <si>
    <t>978-3-031-22697-7</t>
  </si>
  <si>
    <t>10.1007/978-3-031-22698-4_12</t>
  </si>
  <si>
    <t>https://doi.org/10.1007/978-3-031-22698-4_12</t>
  </si>
  <si>
    <t>235‚Äì253</t>
  </si>
  <si>
    <t>In this work, we discuss our experience when utilizing the Kubernetes orchestrator (K8s) to efficiently allocate resources in a heterogeneous and dynamic academic environment. In the commercial world, the ‚Äúpay per use‚Äù model is a strong regulating factor for efficient resource usage. In the academic environment, resources are usually provided ‚Äúfor free‚Äù to the end-users, thus they often lack a clear motivation to plan their use efficiently. In this paper, we show three major sources of inefficiencies. One is the users‚Äô requirement to have interactive computing environments, where the users need resources for their application as soon as possible. Users do not appreciate waiting for interactive environments, but constantly keeping some resources available for interactive tasks is inefficient. The second phenomenon is observable in both interactive and batch workloads; users tend to overestimate necessary limits for their computations, thus wasting resources. Finally, Kubernetes does not support fair-sharing functionality (dynamic user priorities) which hampers the efforts when developing a fair scheme for Pod/job scheduling and/or eviction. We discuss various approaches to deal with these problems such as scavenger jobs, placeholder jobs, Kubernetes-specific resource allocation policies, separate clusters, priority classes, and novel hybrid cloud approach. We also show that all these proposals open interesting scheduling-related questions that are hard to answer with existing Kubernetes tools and policies. Last but not least, we provide a real workload trace from our installation to the scheduling community which captures these phenomena.</t>
  </si>
  <si>
    <t>HPC; Kubernetes; Resource management; Cloud; Scheduling</t>
  </si>
  <si>
    <t>8PE2S5YJ</t>
  </si>
  <si>
    <t>Capizzi, Antonio; Distefano, Salvatore; Mazzara, Manuel</t>
  </si>
  <si>
    <t>From DevOps to DevDataOps: Data Management in DevOps Processes</t>
  </si>
  <si>
    <t>Software Engineering Aspects of Continuous Development and New Paradigms of Software Production and Deployment: Second International Workshop, DEVOPS 2019, Ch√¢teau de Villebrumier, France, May 6‚Äì8, 2019, Revised Selected Papers</t>
  </si>
  <si>
    <t>978-3-030-39305-2</t>
  </si>
  <si>
    <t>10.1007/978-3-030-39306-9_4</t>
  </si>
  <si>
    <t>https://doi.org/10.1007/978-3-030-39306-9_4</t>
  </si>
  <si>
    <t>52‚Äì62</t>
  </si>
  <si>
    <t>event-place: Villebrumier, France</t>
  </si>
  <si>
    <t>DevOps is a quite effective approach for managing software development and operation, as confirmed by plenty of success stories in real applications and case studies. DevOps is now becoming the main-stream solution adopted by the software industry in development, able to reduce the time to market and costs while improving quality and ensuring evolvability and adaptability of the resulting software architecture. Among the aspects to take into account in a DevOps process, data is assuming strategic importance, since it allows to gain insights from the operation directly into the development, the main objective of a DevOps approach. Data can be therefore considered as the fuel of the DevOps process, requiring proper solutions for its management. Based on the amount of data generated, its variety, velocity, variability, value and other relevant features, DevOps data management can be mainly framed into the BigData category. This allows exploiting BigData solutions for the management of DevOps data generated throughout the process, including artefacts, code, documentation, logs and so on. This paper aims at investigating data management in DevOps processes, identifying related issues, challenges and potential solutions taken from the BigData world as well as from new trends adopting and adapting DevOps approaches in data management, i.e. DataOps.</t>
  </si>
  <si>
    <t>X4KFA47H</t>
  </si>
  <si>
    <t>Wolski, Rich; Krintz, Chandra; Bakir, Fatih; George, Gareth; Lin, Wei-Tsung</t>
  </si>
  <si>
    <t>CSPOT: portable, multi-scale functions-as-a-service for IoT</t>
  </si>
  <si>
    <t>10.1145/3318216.3363314</t>
  </si>
  <si>
    <t>https://doi.org/10.1145/3318216.3363314</t>
  </si>
  <si>
    <t>236‚Äì249</t>
  </si>
  <si>
    <t>In this paper, we present CSPOT, a distributed runtime system implementing a functions-as-service (FaaS) programming model for the "Internet of Things" (IoT). With FaaS, developers express arbitrary computations as simple functions that are automatically invoked and managed by a cloud platform in response to events. We extend this FaaS model so that it is suitable for use in all tiers of scale for IoT - sensors, edge devices, and cloud - to facilitate robust, portable, and low-latency IoT application development and deployment.To enable this, we combine the use of Linux containers and namespaces for isolation and portability, an append-only object store for robust persistence, and a causal event log for triggering functions and tracking event dependencies. We present the design and implementation of CSPOT, detail its abstractions and APIs, and overview examples of its use. We empirically evaluate the performance of CSPOT using different devices and applications and find that it implements function invocation with significantly lower latency than other FaaS offerings, while providing portability across tiers and similar data durability characteristics.</t>
  </si>
  <si>
    <t>serverless; IoT; distributed systems; append-only; cloud functions; portability</t>
  </si>
  <si>
    <t>R4LGHBPS</t>
  </si>
  <si>
    <t>Singhal, Rekha; Chahal, Dheeraj; Kunde, Shruti; Mishra, Mayank; Nambiar, Manoj</t>
  </si>
  <si>
    <t>A Vision on Accelerating Enterprise IT System 2.0</t>
  </si>
  <si>
    <t>Proceedings of the Fourth International Workshop on Data Management for End-to-End Machine Learning</t>
  </si>
  <si>
    <t>978-1-4503-8023-2</t>
  </si>
  <si>
    <t>10.1145/3399579.3399863</t>
  </si>
  <si>
    <t>https://doi.org/10.1145/3399579.3399863</t>
  </si>
  <si>
    <t>DEEM '20</t>
  </si>
  <si>
    <t>event-place: Portland, OR, USA</t>
  </si>
  <si>
    <t>The proliferation of commodity based big data platforms and an exponential increase in the research in machine learning techniques lead to a change in application development paradigm from traditional control-flow Software 1.0 to data-flow Software 2.0 programming paradigm e.g. use of machine learning based models over customer-scoring methods for generating recommendations. The Software 2.0 paradigm is a data-driven programming that requires specialized data management to get clean, governed and unbiased data sets, well defined neural network architectures for building a model, efficient model training, extensive testing and high performance deployment. Unlike Software 1.0 paradigm, a Software 2.0 program's output is probabilistic in nature as the correctness is highly dependent on the size and quality of the input data, however the program's performance is deterministic. This has led to the research in specialized hardware and high performance architectures for deep-learning algorithms. Also, the nature of Software 2.0 paradigm brings in heterogeneity in the whole life cycle starting from an application development until its deployment in the production environment and hence posing numerous architecture and performance challenges.In this paper, we outline the research problems that will emerge due to migration of apart of Software 1.0 to Software 2.0. We present the challenges and the approaches to address them, for accelerating the development and deployment of Software 2.0 programs. We also envision evolution of existing enterprise IT systems to the data-driven enterprise IT systems, referred to as EIT 2.0. We have compared a conventional development life-cycle of applications with that in EIT 2.0. We address research problems and approaches with the related state-of-art in the performance engineering of modern enterprise applications during its life cycle in EIT 2.0.</t>
  </si>
  <si>
    <t>Accelerating EIT 2.0; data driven IT; Enterprise IT 2.0; Software 2.0</t>
  </si>
  <si>
    <t>PMWVGWRK</t>
  </si>
  <si>
    <t>Ciobanu, CƒÉtƒÉlin Bogdan; Stramondo, Giulio; Varbanescu, Ana Lucia; Brokalakis, Andreas; Nikitakis, Antonis; Tucci, Lorenzo Di; Rabozzi, Marco; Stornaiuolo, Luca; Santambrogio, Marco; Chrysos, Grigorios; Vatsolakis, Charalampos; Georgios, Charitopoulos; Pnevmatikatos, Dionisios</t>
  </si>
  <si>
    <t>EXTRA: an open platform for reconfigurable architectures</t>
  </si>
  <si>
    <t>Proceedings of the 18th International Conference on Embedded Computer Systems: Architectures, Modeling, and Simulation</t>
  </si>
  <si>
    <t>978-1-4503-6494-2</t>
  </si>
  <si>
    <t>10.1145/3229631.3236092</t>
  </si>
  <si>
    <t>https://doi.org/10.1145/3229631.3236092</t>
  </si>
  <si>
    <t>220‚Äì229</t>
  </si>
  <si>
    <t>SAMOS '18</t>
  </si>
  <si>
    <t>event-place: Pythagorion, Greece</t>
  </si>
  <si>
    <t>Reconfigurable hardware is becoming increasingly mainstream, evolving to a valid alternative to Graphics Processing Units-based hardware accelerators. However, several major challenges remain for migrating existing software to heterogeneous reconfigurable architectures. The EXTRA project aims to develop an integrated environment for developing and programming reconfigurable architectures. The EXTRA platform enables the joint optimization of architecture, tools, and reconfiguration technology, and targets the future High Performance Computing hardware nodes. In this paper, we present four innovative EXTRA technologies: (1) a hardware-software co-design framework; (2) a parallel memory system; (3) a decoupled access execute framework for reconfigurable technology; and (4) transparent access and virtualization of reconfigurable hardware accelerators. Moreover, we describe how the EXTRA technologies targeting the Amazon F1 cloud compute instances can be used in medical applications such as the retinal image segmentation.</t>
  </si>
  <si>
    <t>FPGA; CAOS; DAER; exascale; PolyMem; polymorphic; RACOS</t>
  </si>
  <si>
    <t>C4EX6GG4</t>
  </si>
  <si>
    <t>Wang, Lei; Chen, Haiming; Qin, Wei</t>
  </si>
  <si>
    <t>NBUFlow: A Dataflow Based Universal Task Orchestration and&amp;nbsp;Offloading Platform for&amp;nbsp;Low-Cost Development of&amp;nbsp;IoT Systems with&amp;nbsp;Cloud-Edge-Device Collaborative Computing</t>
  </si>
  <si>
    <t>Algorithms and Architectures for Parallel Processing: 21st International Conference, ICA3PP 2021, Virtual Event, December 3‚Äì5, 2021, Proceedings, Part II</t>
  </si>
  <si>
    <t>978-3-030-95387-4</t>
  </si>
  <si>
    <t>10.1007/978-3-030-95388-1_44</t>
  </si>
  <si>
    <t>https://doi.org/10.1007/978-3-030-95388-1_44</t>
  </si>
  <si>
    <t>665‚Äì681</t>
  </si>
  <si>
    <t>With the development of intelligent hardware technology, the heterogeneity of IoT devices in the edge and end layers, and diversity of application scenarios bring unprecedented challenges to the growth of IoT systems, mainly including a large amount of code be written for task construction in a cloud-edge-device collaborative environment, the inflexible configuration of offloading policies, and the high overhead in task scheduling/offloading. A dataflow based low-cost task orchestration and offloading platform, named as NBUFlow, is proposed to solve these problems. It is featured by defining tasks based on visualized dashboard of Node-RED to realize convenient and low-cost development of IoT systems, and multiple offload strategies of deployment and multi-task parallel processing based on dataflow migration. The performance of the platform in terms of complete time of task deployment are verified through experiments. Results show that the completion time of task offloading can be reduced by three times compared with the container migration-based offloading method.</t>
  </si>
  <si>
    <t>Internet of Things (IoT); Edge computing; Node-RED</t>
  </si>
  <si>
    <t>DXGCYQW2</t>
  </si>
  <si>
    <t>Yussupov, Vladimir; Breitenb√ºcher, Uwe; Leymann, Frank; Wurster, Michael</t>
  </si>
  <si>
    <t>A Systematic Mapping Study on Engineering Function-as-a-Service Platforms and Tools</t>
  </si>
  <si>
    <t>Proceedings of the 12th IEEE/ACM International Conference on Utility and Cloud Computing</t>
  </si>
  <si>
    <t>978-1-4503-6894-0</t>
  </si>
  <si>
    <t>10.1145/3344341.3368803</t>
  </si>
  <si>
    <t>https://doi.org/10.1145/3344341.3368803</t>
  </si>
  <si>
    <t>229‚Äì240</t>
  </si>
  <si>
    <t>UCC'19</t>
  </si>
  <si>
    <t>Function-as-a-Service (FaaS) is a novel cloud service model allowing to develop fine-grained, provider-managed cloud applications. In this work, we investigate which challenges motivate researchers to introduce or enhance FaaS platforms and tools. We use a systematic mapping study method to collect and analyze the relevant scientific literature, which helps us answering the three clearly-defined research questions. We design our study using well-established guidelines and systematically apply it to 62 selected publications. The collected and synthesized data provides useful insights into the main challenges that motivate researchers to work on this topic and can be helpful in identifying research gaps for future research.</t>
  </si>
  <si>
    <t>serverless; systematic mapping study; function-as-a-service; faas</t>
  </si>
  <si>
    <t>QHBGS4PB</t>
  </si>
  <si>
    <t>Carver, Jeffrey C.; Dieste, Oscar; Kraft, Nicholas A.; Lo, David; Zimmermann, Thomas</t>
  </si>
  <si>
    <t>How Practitioners Perceive the Relevance of ESEM Research</t>
  </si>
  <si>
    <t>Proceedings of the 10th ACM/IEEE International Symposium on Empirical Software Engineering and Measurement</t>
  </si>
  <si>
    <t>978-1-4503-4427-2</t>
  </si>
  <si>
    <t>10.1145/2961111.2962597</t>
  </si>
  <si>
    <t>https://doi.org/10.1145/2961111.2962597</t>
  </si>
  <si>
    <t>ESEM '16</t>
  </si>
  <si>
    <t>event-place: Ciudad Real, Spain</t>
  </si>
  <si>
    <t>Background: The relevance of ESEM research to industry practitioners is key to the long-term health of the conference. Aims: The goal of this work is to understand how ESEM research is perceived within the practitioner community and provide feedback to the ESEM community ensure our research remains relevant. Method: To understand how practitioners perceive ESEM research, we replicated previous work by sending a survey to several hundred industry practitioners at a number of companies around the world. We asked the survey participants to rate the relevance of the research described in 156 ESEM papers published between 2011 and 2015. Results: We received 9,941 ratings by 437 practitioners who labeled ideas as Essential, Worth-while, Unimportant, or Unwise. The results showed that overall, industrial practitioners find the work published in ESEM to be valuable: 67% of all ratings were essential or worthwhile. We found no correlation between citation count and perceived relevance of the papers. Through a qualitative analysis, we also identified a number of research themes on which practitioners would like to see an increased research focus. Conclusions: The work published in ESEM is generally relevant to industrial practitioners. There are a number of topics for which those practitioners would like to see additional research undertaken.</t>
  </si>
  <si>
    <t>Survey; ESEM Conference; Industrial Relevance</t>
  </si>
  <si>
    <t>5L3D8TM5</t>
  </si>
  <si>
    <t>Kozhevnikov, Sergey; Skobelev, Petr; Pribyl, Ondrej; Sv√≠tek, Miroslav</t>
  </si>
  <si>
    <t>Development of Resource-Demand Networks for Smart Cities 5.0</t>
  </si>
  <si>
    <t>Industrial Applications of Holonic and Multi-Agent Systems: 9th International Conference, HoloMAS 2019, Linz, Austria, August 26‚Äì29, 2019, Proceedings</t>
  </si>
  <si>
    <t>978-3-030-27877-9</t>
  </si>
  <si>
    <t>10.1007/978-3-030-27878-6_16</t>
  </si>
  <si>
    <t>https://doi.org/10.1007/978-3-030-27878-6_16</t>
  </si>
  <si>
    <t>203‚Äì217</t>
  </si>
  <si>
    <t>In the paper, the new vision of ‚ÄúSmart City 5.0‚Äù is presented. It is based on a previously developed model of Smart City 4.0 and implementing the concept of the complex adaptive system for balancing conflict interests of different city actors. These actors can include business, transport, energy and water supply providers, entertainment and other services and can be unified based on resource and demand model.The paper describes the general principals, functionality and the architecture of the digital multi-agent platform for creating eco-system of ‚ÄúSmart City 5.0‚Äù. It is designed as holonic p2p network of smart services and technological components for supporting demand-resource relations.It is shown that in proposed eco-system smart services can interact both vertically and horizontally supporting competition and cooperation behavior on the basis of specialized protocols of p2p network. In the future, each smart service is considered as an autonomous cyber-physical multi-agent system which can be decomposed on a lower level of smaller services recursively.The first prototypes of smart services and their interaction are presented, the next steps for future research work are outlined.</t>
  </si>
  <si>
    <t>Artificial intelligence; Digital eco-system; Holonic system; Multi-agent technology; Smart City 5.0; Smart services</t>
  </si>
  <si>
    <t>KA7GCG95</t>
  </si>
  <si>
    <t>Rosenberg, Doug; Boehm, Barry; Wang, Bo; Qi, Kan</t>
  </si>
  <si>
    <t>Rapid, evolutionary, reliable, scalable system and software development: the resilient agile process</t>
  </si>
  <si>
    <t>Proceedings of the 2017 International Conference on Software and System Process</t>
  </si>
  <si>
    <t>978-1-4503-5270-3</t>
  </si>
  <si>
    <t>10.1145/3084100.3084107</t>
  </si>
  <si>
    <t>https://doi.org/10.1145/3084100.3084107</t>
  </si>
  <si>
    <t>60‚Äì69</t>
  </si>
  <si>
    <t>ICSSP '17</t>
  </si>
  <si>
    <t>The increasing pace of change in competition, technology, and complexity of software-intensive systems has increased the demand for rapid, reliable, scalable, and evolvable processes. Agile methods have made significant contributions to speeding up software development, but often encounter problems with reliability, scalability, and evolvability. Over the past 3 years, we have been experimenting with an approach called Resilient Agile (RA), which addresses these problems while also speeding up development by finding enablers for parallel systems engineering, development, and test. This paper summarizes our experience in defining and evolving RA by applying it to three representative emergent-technology applications: Location-Based Advertising, Picture Sharing, and Bad Driver Reporting. In comparison with the mainstream Architected Agile process that we had been using on similar systems, the RA process achieved fewer defects and significant speedups in system development and evolution. The paper summarizes the overall challenge of software schedule compression; identifies managed parallel development as generally the most powerful but least-practiced strategy for schedule compression; summarizes the key elements required to support parallelism, including specific model-driven system development techniques, automatic generation of key elements and realistic schedule and effort estimation. It then summarizes the three successful Resilient Agile projects to date, provides criteria for selecting a Resilient Agile process, and summarizes the key techniques for scaling up Resilient Agile, using a previous million-line command and control project as an example.</t>
  </si>
  <si>
    <t>microservice architecture; code generation; agile development; ICSM; MVC; NoSQL; parallel development; rapid delivery; resilient software; REST; scalable software development; schedule compression; UML modeling; use case driven development</t>
  </si>
  <si>
    <t>GC8NHE77</t>
  </si>
  <si>
    <t>Karagiannis, Ioannis; Mavrogiannis, Konstantinos; Soldatos, John; Drakoulis, Dimitris; Troiano, Ernesto; Polyviou, Ariana</t>
  </si>
  <si>
    <t>Blockchain Based Sharing of Security Information for Critical Infrastructures of the Finance Sector</t>
  </si>
  <si>
    <t>Computer Security: ESORICS 2019 International Workshops, IOSec, MSTEC, and FINSEC, Luxembourg City, Luxembourg, September 26‚Äì27, 2019, Revised Selected Papers</t>
  </si>
  <si>
    <t>978-3-030-42050-5</t>
  </si>
  <si>
    <t>10.1007/978-3-030-42051-2_16</t>
  </si>
  <si>
    <t>https://doi.org/10.1007/978-3-030-42051-2_16</t>
  </si>
  <si>
    <t>226‚Äì241</t>
  </si>
  <si>
    <t>Recent security incidents in the finance sector have demonstrated the importance of sharing security information across financial institutions, as a means of mitigating risks and boosting the early preparedness against relevant attacks. However, financial institutions are in several cases reluctant to share security information beyond what is imposed by applicable regulations. In this paper, we introduce a blockchain-based solution for sharing security information in a decentralized way, which boosts security and trust in the information sharing process. We also illustrate how the information that is shared across financial institutions can serve as a basis for collaborative security services such as risk assessment.</t>
  </si>
  <si>
    <t>Security; Blockchain; Cyber security; Critical infrastructure protection; Finance; Information sharing</t>
  </si>
  <si>
    <t>5LU8Y476</t>
  </si>
  <si>
    <t>Knoche, Holger; Eichelberger, Holger</t>
  </si>
  <si>
    <t>Using the Raspberry Pi and Docker for Replicable Performance Experiments: Experience Paper</t>
  </si>
  <si>
    <t>10.1145/3184407.3184431</t>
  </si>
  <si>
    <t>https://doi.org/10.1145/3184407.3184431</t>
  </si>
  <si>
    <t>305‚Äì316</t>
  </si>
  <si>
    <t>Replicating software performance experiments is difficult. A common obstacle to replication is that recreating the hardware and software environments is often impractical. As researchers usually run their experiments on the hardware and software that happens to be available to them, recreating the experiments would require obtaining identical hardware, which can lead to high costs. Recreating the software environment is also difficult, as software components such as particular library versions might no longer be available. Cheap, standardized hardware components like the Raspberry Pi and portable software containers like the ones provided by Docker are a potential solution to meet the challenge of replicability. In this paper, we report on experiences from replicating performance experiments on Raspberry Pi devices with and without Docker and show that good replication results can be achieved for microbenchmarks such as JMH. Replication of macrobenchmarks like SPECjEnterprise 2010 proves to be much more difficult, as they are strongly affected by (non-standardized) peripherals. Inspired by previous microbenchmarking experiments on the Pi platform, we furthermore report on a systematic analysis of response time fluctuations, and present lessons learned on dos and don¬ªts for replicable performance experiments.</t>
  </si>
  <si>
    <t>performance benchmark; Raspberry pi; replicability; single-board computer</t>
  </si>
  <si>
    <t>EKTCVA9B</t>
  </si>
  <si>
    <t>Li, Jia; Nejati, Shiva; Sabetzadeh, Mehrdad; McCallen, Michael</t>
  </si>
  <si>
    <t>A domain-specific language for simulation-based testing of IoT edge-to-cloud solutions</t>
  </si>
  <si>
    <t>Proceedings of the 25th International Conference on Model Driven Engineering Languages and Systems</t>
  </si>
  <si>
    <t>978-1-4503-9466-6</t>
  </si>
  <si>
    <t>10.1145/3550355.3552405</t>
  </si>
  <si>
    <t>https://doi.org/10.1145/3550355.3552405</t>
  </si>
  <si>
    <t>367‚Äì378</t>
  </si>
  <si>
    <t>MODELS '22</t>
  </si>
  <si>
    <t>event-place: Montreal, Quebec, Canada</t>
  </si>
  <si>
    <t>The Internet of things (IoT) is increasingly prevalent in domains such as emergency response, smart cities and autonomous vehicles. Simulation plays a key role in the testing of IoT systems, noting that field testing of a complete IoT product may be infeasible or prohibitively expensive. In this paper, we propose a domain-specific language (DSL) for generating edge-to-cloud simulators. An edge-to-cloud simulator executes the functionality of a large array of edge devices that communicate with cloud applications. Our DSL, named IoTECS, is the result of a collaborative project with an IoT analytics company, Cheetah Networks. The industrial use case that motivates IoTECS is ensuring the scalability of cloud applications by putting them under extreme loads from IoT devices connected to the edge. We implement IoTECS using Xtext and empirically evaluate its usefulness. We further reflect on the lessons learned.</t>
  </si>
  <si>
    <t>IoT; simulation; domain-specific languages; stress testing; xtext</t>
  </si>
  <si>
    <t>E2AXKXZF</t>
  </si>
  <si>
    <t>Zhang, Qian; Wang, Jiyuan; Kim, Miryung</t>
  </si>
  <si>
    <t>HeteroFuzz: fuzz testing to detect platform dependent divergence for heterogeneous applications</t>
  </si>
  <si>
    <t>Proceedings of the 29th ACM Joint Meeting on European Software Engineering Conference and Symposium on the Foundations of Software Engineering</t>
  </si>
  <si>
    <t>978-1-4503-8562-6</t>
  </si>
  <si>
    <t>10.1145/3468264.3468610</t>
  </si>
  <si>
    <t>https://doi.org/10.1145/3468264.3468610</t>
  </si>
  <si>
    <t>242‚Äì254</t>
  </si>
  <si>
    <t>ESEC/FSE 2021</t>
  </si>
  <si>
    <t>As specialized hardware accelerators like FPGAs become a prominent part of the current computing landscape, software applications are increasingly constructed to leverage heterogeneous architectures. Such a trend is already happening in the domain of machine learning and Internet-of-Things (IoT) systems built on edge devices. Yet, debugging and testing methods for heterogeneous applications are currently lacking. These applications may look similar to regular C/C++ code but include hardware synthesis details in terms of preprocessor directives. Therefore, their behavior under heterogeneous architectures may diverge significantly from CPU due to hardware synthesis details. Further, the compilation and hardware simulation cycle takes an enormous amount of time, prohibiting frequent invocations required for fuzz testing. We propose a novel fuzz testing technique, called HeteroFuzz, designed to specifically target heterogeneous applications and to detect platform-dependent divergence. The key essence of HeteroFuzz is that it uses a three-pronged approach to reduce the long latency of repetitively invoking a hardware simulator on a heterogeneous application. First, in addition to monitoring code coverage as a fuzzing guidance mechanism, we analyze synthesis pragmas in kernel code and monitor accelerator-relevant value spectra. Second, we design dynamic probabilistic mutations to increase the chance of hitting divergent behavior under different platforms. Third, we memorize the boundaries of seen kernel inputs and skip HLS simulator invocation if it can expose only redundant divergent behavior. We evaluate HeteroFuzz on seven real-world heterogeneous applications with FPGA kernels. HeteroFuzz is 754X faster in exposing the same set of distinct divergence symptoms than naive fuzzing. Probabilistic mutations contribute to 17.5X speed up than the one without. Selective invocation of HLS simulation contributes to 8.8X speed up than the one without.</t>
  </si>
  <si>
    <t>Fuzz testing; heterogeneous applications; platform-dependent divergence</t>
  </si>
  <si>
    <t>UWIF85XP</t>
  </si>
  <si>
    <t>Fleischmann, Albert; Stary, Christian</t>
  </si>
  <si>
    <t>Dependable data sharing in dynamic IoT-systems: subject-oriented process design, complex event processing, and blockchains</t>
  </si>
  <si>
    <t>Proceedings of the 11th International Conference on Subject-Oriented Business Process Management</t>
  </si>
  <si>
    <t>978-1-4503-6250-4</t>
  </si>
  <si>
    <t>10.1145/3329007.3329009</t>
  </si>
  <si>
    <t>https://doi.org/10.1145/3329007.3329009</t>
  </si>
  <si>
    <t>S-BPM ONE '19</t>
  </si>
  <si>
    <t>Internet of Things (IoT) applications are increasingly used in domains critical for society and adapted to individual needs. Thereby, various physical entities, humans and computer programs are dynamically networked while being situated in different locations. For system stakeholders, reliable operation requires intelligible design and adaptability at run time. The more users can adjust IoT systems dynamically, the more transparent has to be how specific requirements can be met. Executable and role-specific process models are a viable starting point, as they represent the behavior of components and the flow of control. However, they need to be extended with effective data exchange mechanisms between IoT system elements. In this paper, we utilize the subject-oriented concept and notation for role-specific process modeling and communication design of IoT systems and enrich them with a data sharing facility, so-called shared input pools. In order to avoid a single point of failure in system operation, we propose to implement them as blockchains. IoT-elements can then interact and exchange data in a semantically correct and robust way, in particular when behavior changes may occur dynamically.</t>
  </si>
  <si>
    <t>internet of things; events; reliable communications; S-BPM; shared input pool; subject orientation</t>
  </si>
  <si>
    <t>CAG4YZ2G</t>
  </si>
  <si>
    <t>Dibowski, Henrik; Massa Gray, Francesco</t>
  </si>
  <si>
    <t>Applying Knowledge Graphs as Integrated Semantic Information Model for the Computerized Engineering of Building Automation Systems</t>
  </si>
  <si>
    <t>The Semantic Web: 17th International Conference, ESWC 2020, Heraklion, Crete, Greece, May 31‚ÄìJune 4, 2020, Proceedings</t>
  </si>
  <si>
    <t>978-3-030-49460-5</t>
  </si>
  <si>
    <t>10.1007/978-3-030-49461-2_36</t>
  </si>
  <si>
    <t>https://doi.org/10.1007/978-3-030-49461-2_36</t>
  </si>
  <si>
    <t>616‚Äì631</t>
  </si>
  <si>
    <t>event-place: Heraklion, Crete, Greece</t>
  </si>
  <si>
    <t>During the life cycle of a smart building, an extensive amount of heterogeneous information is required to plan, construct, operate and maintain the building and its technical systems. Traditionally, there is an information gap between the different phases and stakeholders, leading to information being exchanged, processed and stored in a variety of mostly human-readable documents. This paper shows how a knowledge graph can be established as integrated information model that can provide the required information for all phases in a machine-interpretable way. The knowledge graph describes and connects all relevant information, which allows combining and applying it in a holistic way. This makes the knowledge graph a key enabler for a variety of advanced, computerized engineering tasks, ranging from the planning and design phases over the commissioning and the operation of a building. The computerized engineering of building automation systems (BAS) with an advanced software tool chain is presented as such a use case in more detail. The knowledge graph is based on standard semantic web technologies and builds on existing ontologies, such as the Brick and QUDT ontologies, with various novel extensions presented in this paper. Special attention is given to the rich semantic definition of the entities, such as the equipment and the typically thousands of datapoints in a BAS, which can be achieved as a combination of contextual modeling and semantic tagging.</t>
  </si>
  <si>
    <t>Knowledge graph; Analytics; Building automation system; Building controls; Information model; Semantic definition; Semantic tagging</t>
  </si>
  <si>
    <t>6E2BBESJ</t>
  </si>
  <si>
    <t>Li, Ang; Geng, Tong; Wang, Tianqi; Herbordt, Martin; Song, Shuaiwen Leon; Barker, Kevin</t>
  </si>
  <si>
    <t>BSTC: a novel binarized-soft-tensor-core design for accelerating bit-based approximated neural nets</t>
  </si>
  <si>
    <t>978-1-4503-6229-0</t>
  </si>
  <si>
    <t>10.1145/3295500.3356169</t>
  </si>
  <si>
    <t>https://doi.org/10.1145/3295500.3356169</t>
  </si>
  <si>
    <t>SC '19</t>
  </si>
  <si>
    <t>event-place: Denver, Colorado</t>
  </si>
  <si>
    <t>Binarized neural networks (or BNNs) promise tremendous performance improvement over traditional DNNs through simplified bit-level computation and significantly reduced memory access/storage cost. In addition, it has advantages of low-cost, low-energy, and high-robustness, showing great potential in resources-constrained, volatile, and latency-critical applications, which are critical for future HPC, cloud, and edge applications. However, the promised significant performance gain of BNN inference has never been fully demonstrated on general-purpose processors, particularly on GPUs, due to: (i) the challenge of extracting and leveraging sufficient finegrained bit-level-parallelism to saturate GPU cores when the batch size is small; (ii) the fundamental design conflict between bit-based BNN algorithm and word-based architecture; and (iii) architecture &amp;amp; performance unfriendly to BNN network design. To address (i) and (ii), we propose a binarized-soft-tensor-core as a software-hardware codesign approach to construct bit-manipulation capability for modern GPUs and thereby effectively harvest bit-level-parallelism (BLP). To tackle (iii), we propose intra- and inter-layer fusion techniques so that the entire BNN inference execution can be packed into a single GPU kernel, and so avoid the high-cost of frequent launching and releasing. Experiments show that our Singular-Binarized-Neural-Network (SBNN) design can achieve over 1000X speedup for raw inference latency over the state-of-the-art full-precision BNN inference for AlexNet on GPUs. Comparisons with CPU, GPU, FPGA and Xeon-Phi demonstrate the effectiveness of our design. SBNN is opensourced and available at https://github.com/uuudown/SBNN.</t>
  </si>
  <si>
    <t>5222KZNR</t>
  </si>
  <si>
    <t>Kr√≥l, Micha≈Ç; Psaras, Ioannis</t>
  </si>
  <si>
    <t>NFaaS: named function as a service</t>
  </si>
  <si>
    <t>Proceedings of the 4th ACM Conference on Information-Centric Networking</t>
  </si>
  <si>
    <t>978-1-4503-5122-5</t>
  </si>
  <si>
    <t>10.1145/3125719.3125727</t>
  </si>
  <si>
    <t>https://doi.org/10.1145/3125719.3125727</t>
  </si>
  <si>
    <t>134‚Äì144</t>
  </si>
  <si>
    <t>ICN '17</t>
  </si>
  <si>
    <t>In the past, the Information-centric networking (ICN) community has focused on issues mainly pertaining to traditional content delivery (e.g., routing and forwarding scalability, congestion control and in-network caching). However, to keep up with future Internet architectural trends the wider area of future Internet paradigms, there is a pressing need to support edge/fog computing environments, where cloud functionality is available more proximate to where the data is generated and needs processing.With this goal in mind, we propose Named Function as a Service (NFaaS), a framework that extends the Named Data Networking architecture to support in-network function execution. In contrast to existing works, NFaaSbuilds on very lightweight VMs and allows for dynamic execution of custom code. Functions can be downloaded and run by any node in the network. Functions can move between nodes according to user demand, making resolution of moving functions a first-class challenge. NFaaSincludes a Kernel Store component, which is responsible not only for storing functions, but also for making decisions on which functions to run locally. NFaaSincludes a routing protocol and a number of forwarding strategies to deploy and dynamically migrate functions within the network. We validate our design through extensive simulations, which show that delay-sensitive functions are deployed closer to the edge, while less delay-sensitive ones closer to the core.</t>
  </si>
  <si>
    <t>mobile edge computing; function migration; information centric networking; network architectures; networks</t>
  </si>
  <si>
    <t>XFY697PS</t>
  </si>
  <si>
    <t>Cito, J√ºrgen; Leitner, Philipp; Fritz, Thomas; Gall, Harald C.</t>
  </si>
  <si>
    <t>The making of cloud applications: an empirical study on software development for the cloud</t>
  </si>
  <si>
    <t>Proceedings of the 2015 10th Joint Meeting on Foundations of Software Engineering</t>
  </si>
  <si>
    <t>978-1-4503-3675-8</t>
  </si>
  <si>
    <t>10.1145/2786805.2786826</t>
  </si>
  <si>
    <t>https://doi.org/10.1145/2786805.2786826</t>
  </si>
  <si>
    <t>393‚Äì403</t>
  </si>
  <si>
    <t>ESEC/FSE 2015</t>
  </si>
  <si>
    <t>event-place: Bergamo, Italy</t>
  </si>
  <si>
    <t>Cloud computing is gaining more and more traction as a deployment and provisioning model for software. While a large body of research already covers how to optimally operate a cloud system, we still lack insights into how professional software engineers actually use clouds, and how the cloud impacts development practices. This paper reports on the first systematic study on how software developers build applications for the cloud. We conducted a mixed-method study, consisting of qualitative interviews of 25 professional developers and a quantitative survey with 294 responses. Our results show that adopting the cloud has a profound impact throughout the software development process, as well as on how developers utilize tools and data in their daily work. Among other things, we found that (1) developers need better means to anticipate runtime problems and rigorously define metrics for improved fault localization and (2) the cloud offers an abundance of operational data, however, developers still often rely on their experience and intuition rather than utilizing metrics. From our findings, we extracted a set of guidelines for cloud development and identified challenges for researchers and tool vendors.</t>
  </si>
  <si>
    <t>cloud computing; user study</t>
  </si>
  <si>
    <t>N6YFVMYT</t>
  </si>
  <si>
    <t>journalArticle</t>
  </si>
  <si>
    <t>Liu, Guozhi; Lin, Weiwei; Zhang, Haotong; Lin, Jianpeng; Peng, Shaoliang; Li, Keqin</t>
  </si>
  <si>
    <t>Public Datasets for Cloud Computing: A Comprehensive Survey</t>
  </si>
  <si>
    <t>ACM Comput. Surv.</t>
  </si>
  <si>
    <t>0360-0300</t>
  </si>
  <si>
    <t>10.1145/3719003</t>
  </si>
  <si>
    <t>https://doi.org/10.1145/3719003</t>
  </si>
  <si>
    <t>2025-03</t>
  </si>
  <si>
    <t>Place: New York, NY, USA Publisher: Association for Computing Machinery</t>
  </si>
  <si>
    <t>Publicly available datasets are vital to researchers because they permit the testing of new algorithms under a variety of conditions and ensure the verifiability and reproducibility of scientific experiments. In cloud computing research, there is a particular dependence on obtaining load traces and network traces from real cloud computing clusters, which are used for designing energy efficiency prediction, workload analysis, and anomaly detection solutions. To address the current lack of a comprehensive overview and thorough analysis of cloud computing datasets and to gain insight into their current status and future trends, in this article, we provide a comprehensive survey of existing publicly cloud computing datasets. First, we utilize a systematic mapping approach to analyze 968 scientific papers from 6 scientific databases, resulting in the retrieval of 42 datasets related to cloud computing. Second, we categorize these datasets based on 11 characteristics to assist researchers in quickly finding datasets suitable for their specific needs. Third, we provide detailed descriptions of each dataset to assist researchers in gaining a clearer understanding of their characteristics. Fourth, we select 12 mainstream datasets and conduct a comprehensive analysis and comparison of their characteristics. Finally, we discuss the weaknesses of existing datasets, identify challenges, provide recommendations for long-term dataset maintenance and updates, and outline directions for the future creation of new cloud computing datasets. Related resources are available at .</t>
  </si>
  <si>
    <t>anomaly detection; Cloud computing; datasets; energy efficiency; resource allocation; security; task scheduling; workload</t>
  </si>
  <si>
    <t>LM7GRJ9G</t>
  </si>
  <si>
    <t>Muralidhar, Rajeev; Borovica-Gajic, Renata; Buyya, Rajkumar</t>
  </si>
  <si>
    <t>Energy Efficient Computing Systems: Architectures, Abstractions and Modeling to Techniques and Standards</t>
  </si>
  <si>
    <t>10.1145/3511094</t>
  </si>
  <si>
    <t>https://doi.org/10.1145/3511094</t>
  </si>
  <si>
    <t>2022-09</t>
  </si>
  <si>
    <t>11s</t>
  </si>
  <si>
    <t>Computing systems have undergone a tremendous change in the last few decades with several inflexion points. While Moore‚Äôs law guided the semiconductor industry to cram more and more transistors and logic into the same volume, the limits of instruction-level parallelism (ILP) and the end of Dennard‚Äôs scaling drove the industry towards multi-core chips. More recently, we have entered the era of domain-specific architectures (DSA) and chips for new workloads like artificial intelligence (AI) and machine learning (ML). These trends continue, arguably with other limits, along with challenges imposed by tighter integration, extreme form factors and increasingly diverse workloads, making systems more complex to architect, design, implement and optimize from an energy efficiency perspective. Energy efficiency has now become a first order design parameter and constraint across the entire spectrum of computing devices.Many research surveys have gone into different aspects of energy efficiency techniques implemented in hardware and microarchitecture across devices, servers, HPC/cloud, data center systems along with improved software, algorithms, frameworks, and modeling energy/thermals. Somewhat in parallel, the semiconductor industry has developed techniques and standards around specification, modeling/simulation, benchmarking and verification of complex chips; these areas have not been addressed in detail by previous research surveys. This survey aims to bring these domains holistically together, present the latest in each of these areas, highlight potential gaps and challenges, and discuss opportunities for the next generation of energy efficient systems. The survey is composed of a systematic categorization of key aspects of building energy efficient systems - (1) specification - the ability to precisely specify the power intent, attributes or properties at different layers (2) modeling and simulation of the entire system or subsystem (hardware or software or both) so as to be able to experiment with possible options and perform what-if analysis, (3) techniques used for implementing energy efficiency at different levels of the stack, (4) verification techniques used to provide guarantees that the functionality of complex designs are preserved, and (5) energy efficiency benchmarks, standards and consortiums that aim to standardize different aspects of energy efficiency, including cross-layer optimizations.</t>
  </si>
  <si>
    <t>dynamic power management; Energy efficiency; low power; low power optimizations; modeling; platform-level power management; specification</t>
  </si>
  <si>
    <t>AJNIS4WN</t>
  </si>
  <si>
    <t>Brondolin, Rolando; Santambrogio, Marco D.</t>
  </si>
  <si>
    <t>A Black-box Monitoring Approach to Measure Microservices Runtime Performance</t>
  </si>
  <si>
    <t>ACM Trans. Archit. Code Optim.</t>
  </si>
  <si>
    <t>1544-3566</t>
  </si>
  <si>
    <t>10.1145/3418899</t>
  </si>
  <si>
    <t>https://doi.org/10.1145/3418899</t>
  </si>
  <si>
    <t>2020-11</t>
  </si>
  <si>
    <t>Microservices changed cloud computing by moving the applications‚Äô complexity from one monolithic executable to thousands of network interactions between small components. Given the increasing deployment sizes, the architectural exploitation challenges, and the impact on data-centers‚Äô power consumption, we need to efficiently track this complexity. Within this article, we propose a black-box monitoring approach to track microservices at scale, focusing on architectural metrics, power consumption, application performance, and network performance. The proposed approach is transparent w.r.t. the monitored applications, generates less overhead w.r.t. black-box approaches available in the state-of-the-art, and provides fine-grain accurate metrics.</t>
  </si>
  <si>
    <t>cloud computing; docker; kubernetes; Microservices; network performance monitoring; performance monitoring; power attribution</t>
  </si>
  <si>
    <t>TM8PJJ5E</t>
  </si>
  <si>
    <t>Lin, Weiwei; Shi, Fang; Wu, Wentai; Li, Keqin; Wu, Guangxin; Mohammed, Al-Alas</t>
  </si>
  <si>
    <t>A Taxonomy and Survey of Power Models and Power Modeling for Cloud Servers</t>
  </si>
  <si>
    <t>10.1145/3406208</t>
  </si>
  <si>
    <t>https://doi.org/10.1145/3406208</t>
  </si>
  <si>
    <t>2020-09</t>
  </si>
  <si>
    <t>Due to the increasing demand of cloud resources, the ever-increasing number and scale of cloud data centers make their massive power consumption a prominent issue today. Evidence reveals that the behaviors of cloud servers make the major impact on data centers‚Äô power consumption. Although extensive research can be found in this context, a systematic review of the models and modeling methods for the entire hierarchy (from underlying hardware components to the upper-layer applications) of the cloud server is still missing, which is supposed to cover the relevant studies on physical and virtual cloud server instances, server components, and cloud applications. In this article, we summarize a broad range of relevant studies from three perspectives: power data acquisition, power models, and power modeling methods for cloud servers (including bare-metal, virtual machine (VM), and container instances). We present a comprehensive taxonomy on the collection methods of server-level power data, the existing mainstream power models at multiple levels from hardware to software and application, and commonly used methods for modeling power consumption including classical regression analysis and emerging methods like reinforcement learning. Throughout the work, we introduce a variety of models and methods, illustrating their implementation, usability, and applicability while discussing the limitations of existing approaches and possible ways of improvement. Apart from reviewing existing studies on server power models and modeling methods, we further figure out several open challenges and possible research directions, such as the study on modeling the power consumption of lightweight virtual units like unikernel and the necessity of further explorations toward empowering server power estimation/prediction with machine learning. As power monitoring is drawing increasing attention from cloud service providers (CSPs), this survey provides useful guidelines on server power modeling and can be inspiring for further research on energy-efficient data centers.</t>
  </si>
  <si>
    <t>data center; Cloud server; power consumption; power model; power modeling</t>
  </si>
  <si>
    <t>C5KJ2NX7</t>
  </si>
  <si>
    <t>Yang, Yihong; Zhou, Zhangbing; Shu, Lei; Zhou, Feng; Gaaloul, Walid; Khan, Arif Ali</t>
  </si>
  <si>
    <t>Web 3.0-Enabled Microservice Re-Scheduling for Heterogenous Resources Co-Optimization in Metaverse-Integrated Edge Networks</t>
  </si>
  <si>
    <t>ACM Trans. Auton. Adapt. Syst.</t>
  </si>
  <si>
    <t>1556-4665</t>
  </si>
  <si>
    <t>10.1145/3715700</t>
  </si>
  <si>
    <t>https://doi.org/10.1145/3715700</t>
  </si>
  <si>
    <t>2025-01</t>
  </si>
  <si>
    <t>The Web 3.0 and metaverse can empower intelligent application of Connected Autonomous Vehicles (CAVs). The adoption of edge computing can contribute to the low latency interaction between CAVs and the metaverse. Microservices are widely deployed on edge networks and the cloud nowadays. User's requests from CAVs are typically fulfilled through the composition of microservices, which may be hosted by contiguous edge nodes. Requests may differ on their required resources at runtime. Consequently, when requests are continuously injected into edge networks, the usage of heterogenous resources, including CPU, memory, and network bandwidth, may not be the same, or differ significantly, on certain edge nodes. This happens especially when burst requests are injected into the network to be satisfied concurrently. Therefore, the usage of heterogenous resources provided by edge nodes should be co-optimized through re-scheduling microservices. To address this challenge, this paper proposes a Web 3.0-enabled Microservice Re-Scheduling approach (called MRS), which is a migration-based mechanism integrating a placement strategy. Specifically, we formulate the microservice re-scheduling task as a multi-objective and multi-constraint optimization problem, which can be solved through a penalty signal-integrated framework and an improved pointer network. Extensive experiments are conducted on two real-world datasets. Evaluation results show that our MRS performs better than the counterparts with improvements of at least 7.7%, 2.4% and 2.2% in terms of network throughput, latency and energy consumption.</t>
  </si>
  <si>
    <t>Connected Autonomous Vehicles (CAVs); Heterogenous Resources Co-Optimization; Metaverse; Microservice Re-Scheduling; Web 3.0</t>
  </si>
  <si>
    <t>2Z9RTGP7</t>
  </si>
  <si>
    <t>Antoniou, Georgia; Bartolini, Davide; Volos, Haris; Kleanthous, Marios; Wang, Zhe; Kalaitzidis, Kleovoulos; Rollet, Tom; Li, Ziwei; Mutlu, Onur; Sazeides, Yiannakis; Haj Yahya, Jawad</t>
  </si>
  <si>
    <t>Agile C-states: A Core C-state Architecture for Latency Critical Applications Optimizing both Transition and Cold-Start Latency</t>
  </si>
  <si>
    <t>10.1145/3674734</t>
  </si>
  <si>
    <t>https://doi.org/10.1145/3674734</t>
  </si>
  <si>
    <t>2024-11</t>
  </si>
  <si>
    <t>Latency-critical applications running in modern datacenters exhibit irregular request arrival patterns and are implemented using multiple services with strict latency requirements (30‚Äì250Œºs). These characteristics render existing energy-saving idle CPU sleep states ineffective due to the performance overhead caused by the state‚Äôs transition latency. Besides the state transition latency, another important contributor to the performance overhead of sleep states is the cold-start latency, or in other words, the time required to warm up the microarchitectural state (e.g., cache contents, branch predictor metadata) that is flushed or discarded when transitioning to a lower-power state. Both the transition latency and cold-start latency can be particularly detrimental to the performance of latency critical applications with short execution times. While prior work focuses on mitigating the effects of transition and cold-start latency by optimizing request scheduling, in this work we propose a redesign of the core C-state architecture for latency-critical applications. In particular, we introduce C6Awarm, a new Agile core C-state that drastically reduces the performance overhead caused by idle sleep state transition latency and cold-start latency while maintaining significant energy savings. C6Awarm achieves its goals by (1) implementing medium-grained power gating, (2) preserving the microarchitectural state of the core, and (3) keeping the clock generator and PLL active and locked. Our analysis for a set of microservices based on an Intel Skylake server shows that C6Awarm manages to reduce the energy consumption by up to 70% with limited performance degradation (at most 2%).</t>
  </si>
  <si>
    <t>microservices; datacenters; Power management; C-states; idle states</t>
  </si>
  <si>
    <t>RY5UNK2Y</t>
  </si>
  <si>
    <t>Wang, Ziliang; Zhu, Shiyi; Li, Jianguo; Jiang, Wei; Ramakrishnan, K. K.; Yan, Meng; Zhang, Xiaohong; Liu, Alex X.</t>
  </si>
  <si>
    <t>DeepScaling: Autoscaling Microservices With Stable CPU Utilization for Large Scale Production Cloud Systems</t>
  </si>
  <si>
    <t>IEEE/ACM Trans. Netw.</t>
  </si>
  <si>
    <t>1063-6692</t>
  </si>
  <si>
    <t>10.1109/TNET.2024.3400953</t>
  </si>
  <si>
    <t>https://doi.org/10.1109/TNET.2024.3400953</t>
  </si>
  <si>
    <t>2024-05</t>
  </si>
  <si>
    <t>3961‚Äì3976</t>
  </si>
  <si>
    <t>Publisher: IEEE Press</t>
  </si>
  <si>
    <t>Cloud service providers often provision excessive resources to meet the desired Service Level Objectives (SLOs), by setting lower CPU utilization targets. This can result in a waste of resources and a noticeable increase in power consumption in large-scale cloud deployments. To address this issue, this paper presents DeepScaling, an innovative solution for minimizing resource cost while ensuring SLO requirements are met in a dynamic, large-scale production microservice-based system. We propose DeepScaling, which introduces three innovative components to adaptively refine the target CPU utilization of servers in the data center, and we maintain it at a stable value to meet SLO constraints while using minimum amount of system resources. First, DeepScaling forecasts workloads for each service using a Spatio-temporal Graph Neural Network. Secondly, it estimates CPU utilization with a Deep Neural Network, considering factors such as periodic tasks and traffic. Finally, it uses a modified Deep Q-Network (DQN) to generate an autoscaling policy that controls service resources to maximize service stability while meeting SLOs. Evaluation of DeepScaling in Ant Group‚Äôs large-scale cloud environment shows that it outperforms state-of-the-art autoscaling approaches in terms of maintaining stable performance and resource savings. The deployment of DeepScaling in the real-world environment of 1900+ microservices saves the provisioning of over 100,000 CPU cores per day, on average.</t>
  </si>
  <si>
    <t>3TCTP6JQ</t>
  </si>
  <si>
    <t>Pallewatta, Samodha; Kostakos, Vassilis; Buyya, Rajkumar</t>
  </si>
  <si>
    <t>Placement of Microservices-based IoT Applications in Fog Computing: A Taxonomy and Future Directions</t>
  </si>
  <si>
    <t>10.1145/3592598</t>
  </si>
  <si>
    <t>https://doi.org/10.1145/3592598</t>
  </si>
  <si>
    <t>2023-07</t>
  </si>
  <si>
    <t>14s</t>
  </si>
  <si>
    <t>The Fog computing paradigm utilises distributed, heterogeneous and resource-constrained devices at the edge of the network for efficient deployment of latency-critical and bandwidth-hungry IoT application services. Moreover, MicroService Architecture (MSA) is increasingly adopted to keep up with the rapid development and deployment needs of fast-evolving IoT applications. Due to the fine-grained modularity of the microservices and their independently deployable and scalable nature, MSA exhibits great potential in harnessing Fog and Cloud resources, thus giving rise to novel paradigms like Osmotic computing. The loosely coupled nature of the microservices, aided by the container orchestrators and service mesh technologies, enables the dynamic composition of distributed and scalable microservices to achieve diverse performance requirements of the IoT applications using distributed Fog resources. To this end, efficient placement of microservice plays a vital role, and scalable placement algorithms are required to utilise the said characteristics of the MSA while overcoming novel challenges introduced by the architecture. Thus, we present a comprehensive taxonomy of recent literature on microservices-based IoT applications placement within Fog computing environments. Furthermore, we organise multiple taxonomies to capture the main aspects of the placement problem, analyse and classify related works, identify research gaps within each category, and discuss future research directions.</t>
  </si>
  <si>
    <t>Fog computing; application placement; Internet of Things; microservice architecture; Osmotic computing</t>
  </si>
  <si>
    <t>PGA678FX</t>
  </si>
  <si>
    <t>Soussi, Wissem; G√ºr, G√ºrkan; Stiller, Burkhard</t>
  </si>
  <si>
    <t>Democratizing Container Live Migration for Enhanced Future Networks - A Survey</t>
  </si>
  <si>
    <t>10.1145/3704436</t>
  </si>
  <si>
    <t>https://doi.org/10.1145/3704436</t>
  </si>
  <si>
    <t>2024-12</t>
  </si>
  <si>
    <t>Emerging cloud-centric networks span from edge clouds to large-scale datacenters with shared infrastructure among multiple tenants and applications with high availability, isolation, fault tolerance, security, and energy efficiency demands. Live migration (LiMi) plays an increasingly critical role in these environments by enabling seamless application mobility covering the edge-to-cloud continuum and maintaining these requirements. This paper presents a comprehensive survey of recent advancements that democratize LiMi, making it more applicable to a broader range of scenarios and network environments both for virtual machines (VMs) and containers, and analyzes LiMi‚Äôs technical underpinnings and optimization techniques. It also delves into the issue of connections handover, presenting a taxonomy to categorize methods of traffic redirection synthesized from the existing literature. Finally, it identifies technical challenges and paves the way for future research directions in this key technology.</t>
  </si>
  <si>
    <t>edge-to-cloud continuum; Moving Target Defense (MTD); Service live migration; traffic session handover</t>
  </si>
  <si>
    <t>92XCWGQ8</t>
  </si>
  <si>
    <t>Ghammam, Anwar; Khalsi, Rania; Kessentini, Marouane; Hassan, Foyzul</t>
  </si>
  <si>
    <t>Efficient Management of Containers for Software Defined Vehicles</t>
  </si>
  <si>
    <t>ACM Trans. Softw. Eng. Methodol.</t>
  </si>
  <si>
    <t>1049-331X</t>
  </si>
  <si>
    <t>10.1145/3672461</t>
  </si>
  <si>
    <t>https://doi.org/10.1145/3672461</t>
  </si>
  <si>
    <t>Containerization technology, such as Docker, is gaining in popularity in newly established software-defined vehicle architectures (SDVA). However, executing those containers can quickly become computationally expensive in constrained environments, given the limited CPU, memory, and energy resources in the Electric Control Units (ECU) of SDVA. Consequently, the efficient management of these containers is crucial for enabling the on-demand usage of the applications in the vehicle based on the available resources while considering several constraints and priorities, including failure tolerance, security, safety, and comfort. In this article, we propose a dynamic software container management approach for constrained environments such as embedded devices/ECUs in SDVA within smart cars. To address the conflicting objectives and constraints within the vehicle, we design a novel search-based approach based on multi-objective optimization. This approach facilitates the allocation, movement, or suspension of containers between ECUs in the cluster. Collaborating with our industry partner, Ford Motor Company, we evaluate our approach using different real-world software-defined scenarios. These scenarios involve using heterogeneous clusters of ECU devices in vehicles based on real-world software containers and use-case studies from the automotive industry. The experimental results demonstrate that our scheduler outperforms existing scheduling algorithms, including the default Docker scheduler -Spread- commonly used in automotive applications. Our proposed scheduler exhibits superior performance in terms of energy and resource cost efficiency. Specifically, it achieves a 35% reduction in energy consumption in power-saving mode compared to the scheduler employed by Ford Motor Company. Additionally, our scheduler effectively distributes workload among the ECUs in the cluster, minimizing resource usage, and dynamically adjusts to the real-time requirements and constraints of the car environment. This work will serve as a fundamental building block in the automotive industry to efficiently manage software containers in smart vehicles, considering constraints and priorities in the real world.</t>
  </si>
  <si>
    <t>docker; Dynamic scheduling; management of software containers; many-objective optimization; software defined vehicles</t>
  </si>
  <si>
    <t>6YV74MN4</t>
  </si>
  <si>
    <t>Min, Dongmoon; Byun, Ilkwon; Lee, Gyu-Hyeon; Kim, Jangwoo</t>
  </si>
  <si>
    <t>CoolDC: A Cost-Effective Immersion-Cooled Datacenter with Workload-Aware Temperature Scaling</t>
  </si>
  <si>
    <t>10.1145/3664925</t>
  </si>
  <si>
    <t>https://doi.org/10.1145/3664925</t>
  </si>
  <si>
    <t>2024-09</t>
  </si>
  <si>
    <t>For datacenter architects, it is the most important goal to minimize the datacenter‚Äôs total cost of ownership for the target performance (i.e., TCO/performance). As the major component of a datacenter is a server farm, the most effective way of reducing TCO/performance is to improve the server‚Äôs performance and power efficiency. To achieve the goal, we claim that it is highly promising to reduce each server‚Äôs temperature to its most cost-effective point (or temperature scaling).In this article, we propose CoolDC, a novel and immediately applicable low-temperature cooling method to minimize the datacenter‚Äôs TCO. The key idea is to find and apply the most cost-effective sub-freezing temperature to target servers and workloads. For that purpose, we first apply the immersion cooling method to the entire servers to maintain a stable low temperature with little extra cooling and maintenance costs. Second, we define the TCO-optimal temperature for datacenter operation (e.g., 248K 273K (-25‚ÑÉ 0‚ÑÉ)) by carefully estimating all the costs and benefits at low temperatures. Finally, we propose CoolDC, our immersion-cooling datacenter architecture to run every workload at its own TCO-optimal temperature. By incorporating our low-temperature workload-aware temperature scaling, CoolDC achieves 12.7% and 13.4% lower TCO/performance than the conventional air-cooled and immersion-cooled datacenters, respectively, without any modification to existing computers.</t>
  </si>
  <si>
    <t>Datacenter architecture; low-temperature computing; temperature scaling</t>
  </si>
  <si>
    <t>5P4E5WIY</t>
  </si>
  <si>
    <t>Dealing with Drift of Adaptation Spaces in Learning-based Self-Adaptive Systems Using Lifelong Self-Adaptation</t>
  </si>
  <si>
    <t>10.1145/3636428</t>
  </si>
  <si>
    <t>https://doi.org/10.1145/3636428</t>
  </si>
  <si>
    <t>2024-02</t>
  </si>
  <si>
    <t>Recently, machine learning (ML) has become a popular approach to support self-adaptation. ML has been used to deal with several problems in self-adaptation, such as maintaining an up-to-date runtime model under uncertainty and scalable decision-making. Yet, exploiting ML comes with inherent challenges. In this article, we focus on a particularly important challenge for learning-based self-adaptive systems: drift in adaptation spaces. With adaptation space, we refer to the set of adaptation options a self-adaptive system can select from to adapt at a given time based on the estimated quality properties of the adaptation options. A drift of adaptation spaces originates from uncertainties, affecting the quality properties of the adaptation options. Such drift may imply that the quality of the system may deteriorate, eventually, no adaptation option may satisfy the initial set of adaptation goals, or adaptation options may emerge that allow enhancing the adaptation goals. In ML, such a shift corresponds to a novel class appearance, a type of concept drift in target data that common ML techniques have problems dealing with. To tackle this problem, we present a novel approach to self-adaptation that enhances learning-based self-adaptive systems with a lifelong ML layer. We refer to this approach as lifelong self-adaptation. The lifelong ML layer tracks the system and its environment, associates this knowledge with the current learning tasks, identifies new tasks based on differences, and updates the learning models of the self-adaptive system accordingly. A human stakeholder may be involved to support the learning process and adjust the learning and goal models. We present a general architecture for lifelong self-adaptation and apply it to the case of drift of adaptation spaces that affects the decision-making in self-adaptation. We validate the approach for a series of scenarios with a drift of adaptation spaces using the DeltaIoT exemplar.</t>
  </si>
  <si>
    <t>concept drift; lifelong self-adaptation; machine-learning; novel class appearance; Self-adaptation</t>
  </si>
  <si>
    <t>K6Q6XXS4</t>
  </si>
  <si>
    <t>Shi, Yimin; Duan, Haihan; Yang, Lei; Cai, Wei</t>
  </si>
  <si>
    <t>An Energy-efficient and Privacy-aware Decomposition Framework for Edge-assisted Federated Learning</t>
  </si>
  <si>
    <t>ACM Trans. Sen. Netw.</t>
  </si>
  <si>
    <t>1550-4859</t>
  </si>
  <si>
    <t>10.1145/3522741</t>
  </si>
  <si>
    <t>https://doi.org/10.1145/3522741</t>
  </si>
  <si>
    <t>2022-11</t>
  </si>
  <si>
    <t>Deep Learning (DL) is an essential technology for modern intelligent sensor network and interactive multimedia applications, having problems with user data privacy when training on a central cloud. While Federated Learning (FL) motivates to preserve user privacy, it also causes new problems of lower user terminal usability and training efficiency, which caused substantial energy consumption. This article proposes a novel energy-efficient and privacy-aware decomposition framework to improve user-side FL efficiency under pre-defined privacy requirements with the assistance of Mobile Edge Computing (MEC) and Software Decomposition. It takes the propagation of each neural layer as the migrating unit and considers the tradeoff relationship between privacy and efficiency. We also propose an online scheduling algorithm to optimize the framework‚Äôs training performance. Furthermore, we summarize eight privacy-sensitive information classes on which existing privacy attacks base and design configurable privacy preservation mechanisms for each class. Simulations and experiments prove the effectiveness of our framework and algorithm in FL efficiency improvement and the effects of different privacy constraints on the overall training efficiency.</t>
  </si>
  <si>
    <t>distributed computing; federated learning; Mobile edge computing; software decomposition</t>
  </si>
  <si>
    <t>2HJJDMS2</t>
  </si>
  <si>
    <t>Carri√≥n, Carmen</t>
  </si>
  <si>
    <t>Kubernetes Scheduling: Taxonomy, Ongoing Issues and Challenges</t>
  </si>
  <si>
    <t>10.1145/3539606</t>
  </si>
  <si>
    <t>https://doi.org/10.1145/3539606</t>
  </si>
  <si>
    <t>2022-12</t>
  </si>
  <si>
    <t>Continuous integration enables the development of microservices-based applications using container virtualization technology. Container orchestration systems such as Kubernetes, which has become the de facto standard, simplify the deployment of container-based applications. However, developing efficient and well-defined orchestration systems is a challenge. This article focuses specifically on the scheduler, a key orchestrator task that assigns physical resources to containers. Scheduling approaches are designed based on different Quality of Service (QoS) parameters to provide limited response time, efficient energy consumption, better resource utilization, and other things. This article aims to establish insight knowledge into Kubernetes scheduling, find the main gaps, and thus guide future research in the area. Therefore, we conduct a study of empirical research on Kubernetes scheduling techniques and present a new taxonomy for Kubernetes scheduling. The challenges, future direction, and research opportunities are also discussed.</t>
  </si>
  <si>
    <t>scheduling; containers; Kubernetes; orchestration; survey</t>
  </si>
  <si>
    <t>HGDKQYJN</t>
  </si>
  <si>
    <t>Tournaire, Thomas; Castel-Taleb, Hind; Hyon, Emmanuel</t>
  </si>
  <si>
    <t>Efficient Computation of Optimal Thresholds in Cloud Auto-scaling Systems</t>
  </si>
  <si>
    <t>ACM Trans. Model. Perform. Eval. Comput. Syst.</t>
  </si>
  <si>
    <t>2376-3639</t>
  </si>
  <si>
    <t>10.1145/3603532</t>
  </si>
  <si>
    <t>https://doi.org/10.1145/3603532</t>
  </si>
  <si>
    <t>We consider a horizontal and dynamic auto-scaling technique in a cloud system where virtual machines hosted on a physical node are turned on and off to minimise energy consumption while meeting performance requirements. Finding cloud management policies that adapt the system to the load is not straightforward, and we consider here that virtual machines are turned on and off depending on queue load thresholds. We want to compute the optimal threshold values that minimize consumption costs and penalty costs (when performance requirements are not met). To solve this problem, we propose several optimisation methods, based on two different mathematical approaches. The first one is based on queueing theory and uses local search heuristics coupled with the stationary distributions of Markov chains. The second approach tackles the problem using Markov Decision Process (MDP) in which we assume that the policy is of a special multi-threshold type called hysteresis. We improve the heuristics of the former approach with the aggregation of Markov chains and queues approximation techniques. We assess the benefit of threshold-aware algorithms for solving MDPs. Then we carry out theoretical analyzes of the two approaches. We also compare them numerically and we show that all of the presented MDP algorithms strongly outperform the local search heuristics. Finally, we propose a cost model for a real scenario of a cloud system to apply our optimisation algorithms and to show their practical relevance. The major scientific contribution of the article is a set of fast (almost in real time) load-based threshold computation methods that can be used by a cloud provider to optimize its financial costs.</t>
  </si>
  <si>
    <t>Markov processes; cloud system; Decision processes; heuristics; hysteresis queues</t>
  </si>
  <si>
    <t>C5QJ2N8L</t>
  </si>
  <si>
    <t>Pham, Minh; Hoang, Doan B.; Chaczko, Zenon</t>
  </si>
  <si>
    <t>Congestion-Aware and Energy-Aware Virtual Network Embedding</t>
  </si>
  <si>
    <t>10.1109/TNET.2019.2958367</t>
  </si>
  <si>
    <t>https://doi.org/10.1109/TNET.2019.2958367</t>
  </si>
  <si>
    <t>2020-02</t>
  </si>
  <si>
    <t>Network virtualization is an inherent component of future internet architectures. Network resources are virtualized from the underlying substrate and elastically provisioned and offered to customers on-demand. Optimal allocation of network resources in terms of utilization, quality of service, and energy consumption has been a challenge. Existing solutions consider congestion control in a single-objective virtual network embedding (VNE) problem. This paper defines a multiple-objective VNE problem called the congestion-aware, energy-aware VNE (CEVNE). The aim is to seek a solution that saves cost, saves energy and avoids network congestion simultaneously. CEVNE modelling techniques and solution approaches apply both the weighting method and the constraint method to search for pareto-optimal solutions that produce the best compromised solutions for all three objectives. Solving VNE problem is, however, NP-hard. A heuristic solution is proposed involving a two-stage coordinated CEVNE. The node-mapping algorithm searches for the sub-optimal solutions for three objectives. The link mapping process is an SDN-based heuristic algorithm that deploys a path service and a resource monitoring application on an SDN controller. The solution is realized using SDN, Segment Routing, and open network operating system platform (ONOS) technologies. The energy minimization is implemented with a registry that keeps track of active nodes and sets inactive nodes to sleep mode. The evaluation results showed that the multiple-objective CEVNE approach is feasible and achieves its goals of optimizing the resource allocation, improving the runtime, saving the energy consumption and controlling the network congestion.</t>
  </si>
  <si>
    <t>GVYEKMTL</t>
  </si>
  <si>
    <t>Malhotra, Ruchika; Bansal, Anjali; Kessentini, Marouane</t>
  </si>
  <si>
    <t>A Systematic Literature Review on Maintenance of Software Containers</t>
  </si>
  <si>
    <t>10.1145/3645092</t>
  </si>
  <si>
    <t>https://doi.org/10.1145/3645092</t>
  </si>
  <si>
    <t>2024-04</t>
  </si>
  <si>
    <t>Nowadays, cloud computing is gaining tremendous attention to deliver information via the internet. Virtualization plays a major role in cloud computing as it deploys multiple virtual machines on the same physical machine and thus results in improving resource utilization. Hypervisor-based virtualization and containerization are two commonly used approaches in operating system virtualization. In this article, we provide a systematic literature review on various phases in maintenance of containers including container image detection, container scheduling, container security measures, and performance evaluation of containers. We have selected 145 primary studies out of which 24% of studies are related to container performance evaluation, 42% of studies are related to container scheduling techniques, 22% of studies are related to container security measures, and 12% of studies are related to container image detection process. A few studies are related to container image detection process and evaluation of container security measures. Resource utilization is the most considered performance objective in almost all container scheduling techniques. We conclude that there is a need to introduce new tagging approaches, smell detection approaches, and also new approaches to detect and resolve threat issues in containers so that we can maintain the security of containers.</t>
  </si>
  <si>
    <t>kubernetes; orchestration; performance evaluation; Containers; Docker; scheduling techniques; vulnerability</t>
  </si>
  <si>
    <t>CBPHDE7W</t>
  </si>
  <si>
    <t>Queiroz, Rui; Cruz, Tiago; Mendes, J√©r√¥me; Sousa, Pedro; Sim√µes, Paulo</t>
  </si>
  <si>
    <t>Container-based Virtualization for Real-time Industrial Systems‚ÄîA Systematic Review</t>
  </si>
  <si>
    <t>10.1145/3617591</t>
  </si>
  <si>
    <t>https://doi.org/10.1145/3617591</t>
  </si>
  <si>
    <t>2023-10</t>
  </si>
  <si>
    <t>Industrial Automation and Control systems have matured into a stable infrastructure model that has been kept fundamentally unchanged, using discrete embedded systems (such as Programmable Logic Controllers) to implement the first line of sensorization, actuation, and process control and stations and servers providing monitoring, supervision, logging/database and data-sharing capabilities, among others. More recently, with the emergence of the Industry 4.0 paradigm and the need for more flexibility, there has been a steady trend towards virtualizing some of the automation station/server components, first by using virtual machines and, more recently, by using container technology. This trend is pushing for better support for real-time requirements on enabling virtualization technologies such as virtual machines and containers. This article provides a systematic review on the use of container virtualization in real-time environments such as cyber-physical systems, assessing how existing and emerging technologies can fulfill the associated requirements. Starting by reviewing fundamental concepts related to container technology and real-time requirements, it goes on to present the methodology and results of a systematic study of 37 selected papers covering aspects related to the enforcement of real-time constrains within container hosts and the expected task latency on such environments, as well as an overview of container platforms and orchestration mechanisms for RT systems.</t>
  </si>
  <si>
    <t>industrial automation control systems; latency; Real-time containers; virtualization of cyber-physical systems</t>
  </si>
  <si>
    <t>DNZGA826</t>
  </si>
  <si>
    <t>Karmakar, Prasenjit; Pradhan, Swadhin; Chakraborty, Sandip</t>
  </si>
  <si>
    <t>Exploring Indoor Air Quality Dynamics in Developing Nations: A Perspective from India</t>
  </si>
  <si>
    <t>ACM J. Comput. Sustain. Soc.</t>
  </si>
  <si>
    <t>10.1145/3685694</t>
  </si>
  <si>
    <t>https://doi.org/10.1145/3685694</t>
  </si>
  <si>
    <t>Indoor air pollution is a major issue in developing countries such as India and Bangladesh, exacerbated by factors such as traditional cooking methods, insufficient ventilation, and cramped living conditions, all of which elevate the risk of health issues such as lung infections and cardiovascular diseases. With the World Health Organization associating around 3.2 million annual deaths globally to household air pollution, the gravity of the problem is clear. Yet, extensive empirical studies exploring these unique patterns and indoor pollution‚Äôs extent are missing. To fill this gap, we carried out a 6-months long field study involving over 30 households, uncovering the complexity of indoor air pollution in developing countries, such as the longer lingering time of volatile organic compounds (VOCs) in the air or the significant influence of air circulation on the spatiotemporal distribution of pollutants. We introduced an innovative Internet of Things (IoT) air quality sensing platform, the Distributed Air QuaLiTy MONitor (DALTON), explicitly designed to meet the needs of these nations, considering factors such as cost, sensor type, accuracy, network connectivity, power, and usability. As a result of a multi-device deployment, the platform identifies pollution hot spots in low- and middle-income households in developing nations. It identifies best practices to minimize daily indoor pollution exposure. Our extensive qualitative survey estimates an overall system usability score of 2.04, indicating an efficient system for air quality monitoring.</t>
  </si>
  <si>
    <t>best practices; Indoor pollution; pollution dynamics</t>
  </si>
  <si>
    <t>4KG36JMZ</t>
  </si>
  <si>
    <t>Azimi, Reza; Fox, Tyler; Gonzalez, Wendy; Reda, Sherief</t>
  </si>
  <si>
    <t>Scale-Out vs Scale-Up: A Study of ARM-based SoCs on Server-Class Workloads</t>
  </si>
  <si>
    <t>10.1145/3232162</t>
  </si>
  <si>
    <t>https://doi.org/10.1145/3232162</t>
  </si>
  <si>
    <t>2018-08</t>
  </si>
  <si>
    <t>ARM 64-bit processing has generated enthusiasm to develop ARM-based servers that are targeted for both data centers and supercomputers. In addition to the server-class components and hardware advancements, the ARM software environment has grown substantially over the past decade. Major development ecosystems and libraries have been ported and optimized to run on ARM, making ARM suitable for server-class workloads. There are two trends in available ARM SoCs: mobile-class ARM SoCs that rely on the heterogeneous integration of a mix of CPU cores, GPGPU streaming multiprocessors (SMs), and other accelerators, and the server-class SoCs that instead rely on integrating a larger number of CPU cores with no GPGPU support and a number of IO accelerators. For scaling the number of processing cores, there are two different paradigms: mobile-class SoCs that use scale-out architecture in the form of a cluster of simpler systems connected over a network, and server-class ARM SoCs that use the scale-up solution and leverage symmetric multiprocessing to pack a large number of cores on the chip. In this article, we present ScaleSoC cluster, which is a scale-out solution based on mobile class ARM SoCs. ScaleSoC leverages fast network connectivity and GPGPU acceleration to improve performance and energy efficiency compared to previous ARM scale-out clusters. We consider a wide range of modern server-class parallel workloads to study both scaling paradigms, including latency-sensitive transactional workloads, MPI-based CPU and GPGPU-accelerated scientific applications, and emerging artificial intelligence workloads. We study the performance and energy efficiency of ScaleSoC compared to server-class ARM SoCs and discrete GPGPUs in depth. We quantify the network overhead on the performance of ScaleSoC and show that packing a large number of ARM cores on a single chip does not necessarily guarantee better performance, due to the fact that shared resources, such as last-level cache, become performance bottlenecks. We characterize the GPGPU accelerated workloads and demonstrate that for applications that can leverage the better CPU-GPGPU balance of the ScaleSoC cluster, performance and energy efficiency improve compared to discrete GPGPUs.</t>
  </si>
  <si>
    <t>ARM computing; GPGPU acceleration; scale-out clusters</t>
  </si>
  <si>
    <t>HJBL2RA9</t>
  </si>
  <si>
    <t>Tian, Hao; Xu, Xiaolong; Wu, Hongyue; Zhao, Qingzhan; Dai, Jianguo; Khan, Maqbool</t>
  </si>
  <si>
    <t>Cost-Efficient Deep Neural Network Placement in Edge Intelligence-Enabled Internet of Things</t>
  </si>
  <si>
    <t>10.1145/3685930</t>
  </si>
  <si>
    <t>https://doi.org/10.1145/3685930</t>
  </si>
  <si>
    <t>2024-08</t>
  </si>
  <si>
    <t>Edge intelligence (EI) integrates edge computing and artificial intelligence empowering service providers to deploy deep neural networks (DNNs) on edge servers in proximity to users to provision intelligent applications (e.g., autonomous driving) for ubiquitous Internet of Things (IoT) in smart cities, which facilitates the quality of experience (QoE) of users and improves the processing and energy efficiency. However, considering DNN is typically computational-intensive and resource-hungry, conventional placement approaches ignore the influence of multi-dimensional resource requirements (processor, memory, etc.), which may degrade the real-time performance. Moreover, with the increasing scale of geo-distributed edge servers, centralized decision-making is still challenging to find the optimal strategies effectively. To overcome these shortcomings, in this paper we propose a game theoretic DNN placement approach in EI-enabled IoT. First, a DNN placement optimization problem is formulated to maximize system benefits, which is proven to be (mathcal Nmathcal P ) -hard and model the original problem as an exact potential game (EPG). Moreover, an EPG-based DNN model placement algorithm, named EPOL, is designed for edge servers to make sub-optimal strategies independently and theoretical analysis is possessed to guarantee the performance of EPOL. Finally, real-world dataset based experimental results corroborate the superiority and effectiveness of EPOL.</t>
  </si>
  <si>
    <t>Internet of Things; DNN placement; Edge intelligence; Game theory</t>
  </si>
  <si>
    <t>DET5XK6Y</t>
  </si>
  <si>
    <t>Viola, Roberto; Mart√≠n, √Ångel; Zorrilla, Mikel; Montalb√°n, Jon; Angueira, Pablo; Muntean, Gabriel-Miro</t>
  </si>
  <si>
    <t>A Survey on Virtual Network Functions for Media Streaming: Solutions and Future Challenges</t>
  </si>
  <si>
    <t>10.1145/3567826</t>
  </si>
  <si>
    <t>https://doi.org/10.1145/3567826</t>
  </si>
  <si>
    <t>2023-02</t>
  </si>
  <si>
    <t>Media services must ensure an enhanced user‚Äôs perceived quality during content playback to attract and retain audiences, especially while the streams are distributed remotely via networks. Thus, media streaming services rely heavily on good and predictable network performance when delivered to a large number of people. Furthermore, as the quality of media content gets high, the network performance demands are also increasing, and meeting them is challenging. Network functions devoted to improving media streaming services become essential to cope with the high dynamics of network performance and user mobility. Furthermore, new networking paradigms and architectures under the 5G networks umbrella are bringing new possibilities to deploy smart network functions, which monitor the media streaming services through live and objective metrics and boost them in real-time. This survey overviews the state-of-the-art technologies and solutions proposed to apply new network functions for enhancing media streaming.</t>
  </si>
  <si>
    <t>Media streaming; network functions; network virtualization</t>
  </si>
  <si>
    <t>B7EYBU9L</t>
  </si>
  <si>
    <t>Lumpp, Francesco; Panato, Marco; Bombieri, Nicola; Fummi, Franco</t>
  </si>
  <si>
    <t>A Design Flow Based on Docker and Kubernetes for ROS-based Robotic Software Applications</t>
  </si>
  <si>
    <t>ACM Trans. Embed. Comput. Syst.</t>
  </si>
  <si>
    <t>1539-9087</t>
  </si>
  <si>
    <t>10.1145/3594539</t>
  </si>
  <si>
    <t>https://doi.org/10.1145/3594539</t>
  </si>
  <si>
    <t>Human-centered robotic applications are becoming pervasive in the context of robotics and smart manufacturing, and such a pervasiveness is even more expected with the shift to Industry 5.0. The always increasing level of autonomy of modern robotic platforms requires the integration of software applications from different domains to implement artificial intelligence, cognition, and human-robot/robot-robot interaction. Developing and (re)configuring such a multi-domain software to meet functional constraints is a challenging task. Even more challenging is customizing the software to satisfy non-functional requirements such as real-time, reliability, and energy efficiency. In this context, the concept of Edge-Cloud continuum is gaining consensus as a solution to address functional and non-functional constraints in a seamless way. Containerization and orchestration are becoming a standard practice, as they allow for better information flow among different network levels as well as increased modularity in the use of multi-domain software components. Nevertheless, the adoption of such a practice along the design flow, from simulation to the deployment of complex robotic applications by addressing the de facto development standards (e.g., ROS - Robotic Operating System) is still an open problem. We present a design methodology based on Docker and Kubernetes that enables containerization and orchestration of ROS-based robotic SW applications for heterogeneous and hierarchical HW architectures. The methodology aims at (i) integrating and verifying multi-domain components since early in the design flow, (ii) mapping software tasks to containers to minimize the performance and memory footprint overhead, (iii) clustering containers to efficiently distribute load across the edge-cloud architecture by minimizing resource utilization, and (iv) enabling multi-domain verification of functional and non-functional constraints before deployment. The article presents the results obtained with a real case of study, in which the design methodology has been applied to program the mission of a Robotnik RB-Kairos mobile robot in an industrial agile production chain. We have obtained reduced load on the robot‚Äôs HW with minimal performance and network overhead, thanks to the optimized distributed system.</t>
  </si>
  <si>
    <t>Kubernetes; Docker; ROS; Edge-Cloud computing; K3S; robotic applications</t>
  </si>
  <si>
    <t>VTDWR3ZM</t>
  </si>
  <si>
    <t>Zhao, Laiping; Cui, Yushuai; Yang, Yanan; Zhou, Xiaobo; Qiu, Tie; Li, Keqiu; Bao, Yungang</t>
  </si>
  <si>
    <t>Component-distinguishable Co-location and Resource Reclamation for High-throughput Computing</t>
  </si>
  <si>
    <t>ACM Trans. Comput. Syst.</t>
  </si>
  <si>
    <t>0734-2071</t>
  </si>
  <si>
    <t>10.1145/3630006</t>
  </si>
  <si>
    <t>https://doi.org/10.1145/3630006</t>
  </si>
  <si>
    <t>1‚Äì2</t>
  </si>
  <si>
    <t>Cloud service providers improve resource utilization by co-locating latency-critical (LC) workloads with best-effort batch (BE) jobs in datacenters. However, they usually treat multi-component LCs as monolithic applications and treat BEs as ‚Äúsecond-class citizens‚Äù when allocating resources to them. Neglecting the inconsistent interference tolerance abilities of LC components and the inconsistent preemption loss of BE workloads can result in missed co-location opportunities for higher throughput.We present Rhythm, a co-location controller that deploys workloads and reclaims resources rhythmically for maximizing the system throughput while guaranteeing LC service‚Äôs tail latency requirement. The key idea is to differentiate the BE throughput launched with each LC component, that is, components with higher interference tolerance can be deployed together with more BE jobs. It also assigns different reclamation priority values to BEs by evaluating their preemption losses into a multi-level reclamation queue. We implement and evaluate Rhythm using workloads in the form of containerized processes and microservices. Experimental results show that it can improve the system throughput by 47.3%, CPU utilization by 38.6%, and memory bandwidth utilization by 45.4% while guaranteeing the tail latency requirement.</t>
  </si>
  <si>
    <t>co-locating; Datacenters; resource utilization; tail latency</t>
  </si>
  <si>
    <t>X76WLUES</t>
  </si>
  <si>
    <t>Jeyaraj, Rathinaraja; Balasubramaniam, Anandkumar; M.A., Ajay Kumara; Guizani, Nadra; Paul, Anand</t>
  </si>
  <si>
    <t>Resource Management in Cloud and Cloud-influenced Technologies for Internet of Things Applications</t>
  </si>
  <si>
    <t>10.1145/3571729</t>
  </si>
  <si>
    <t>https://doi.org/10.1145/3571729</t>
  </si>
  <si>
    <t>2023-03</t>
  </si>
  <si>
    <t>The trend of adopting Internet of Things (IoT) in healthcare, smart cities, Industry 4.0, and so on is increasing by means of cloud computing, which provides on-demand storage and computation facilities over the Internet. To meet specific requirements of IoT applications, the cloud has also shifted its service offering platform to its next-generation models, such as fog, mist, and dew computing. As a result, the cloud and IoT have become part and parcel of smart applications that play significant roles in improving the quality of human life. In addition to the inherent advantages of advanced cloud models, to improve the performance of IoT applications further, it is essential to understand how the resources in the cloud and cloud-influenced platforms are managed to support various phases in the end-to-end IoT deployment. Considering this importance, in this article, we provide a brief description, a systematic review, and possible research directions on every aspect of resource management tasks, such as workload modeling, resource provisioning, workload scheduling, resource allocation, load balancing, energy management, and resource heterogeneity in such advanced platforms, from a cloud perspective. The primary objective of this article is to help early researchers gain insight into the underlying concepts of resource management tasks in the cloud for IoT applications.</t>
  </si>
  <si>
    <t>Cloud computing; resource allocation; Internet of Things; edge computing; dew computing; fog computing; load balancing; mist computing; resource heterogeneity; resource provisioning; resource scheduling</t>
  </si>
  <si>
    <t>7ANE5QZJ</t>
  </si>
  <si>
    <t>Shen, Zhishu; Jin, Jiong; Tan, Cheng; Tagami, Atsushi; Wang, Shangguang; Li, Qing; Zheng, Qiushi; Yuan, Jingling</t>
  </si>
  <si>
    <t>A Survey of Next-generation Computing Technologies in Space-air-ground Integrated Networks</t>
  </si>
  <si>
    <t>10.1145/3606018</t>
  </si>
  <si>
    <t>https://doi.org/10.1145/3606018</t>
  </si>
  <si>
    <t>2023-08</t>
  </si>
  <si>
    <t>Space-air-ground integrated networks (SAGINs) are key elements for facilitating high-speed seamless connectivity to the devices/users in infrastructure-less environments, where the traditional terrestrial networks are critically infeasible or uneconomical to be fully deployed. This article comprehensively surveys the advanced computing technologies that support the utilization of SAGINs for infrastructure-less environments. The advanced computing technologies refer to the emerging computing techniques, tools, and the processes that can be utilized to support SAGINs in handling the increasing computing tasks. The main contents include: (1) background of SAGINs, (2) typical use cases of SAGINs in infrastructure-less environments, (3) advanced computing technologies to assist SAGINs to meet the requirements of various services in infrastructure-less environments, (4) the related practical initiatives, and (5) the open research challenges and the future research directions.</t>
  </si>
  <si>
    <t>Internet of Things; computing and networking convergence; infrastructure-less environments; Space-air-ground integrated networks</t>
  </si>
  <si>
    <t>XZ62WK74</t>
  </si>
  <si>
    <t>Zhang, Wenzhao; Gao, Yi; Dong, Wei</t>
  </si>
  <si>
    <t>Providing Realtime Support for Containerized Edge Services</t>
  </si>
  <si>
    <t>ACM Trans. Internet Technol.</t>
  </si>
  <si>
    <t>1533-5399</t>
  </si>
  <si>
    <t>10.1145/3617123</t>
  </si>
  <si>
    <t>https://doi.org/10.1145/3617123</t>
  </si>
  <si>
    <t>2023-11</t>
  </si>
  <si>
    <t>Containers have emerged as a popular technology for edge computing platforms. Although there are varieties of container orchestration frameworks, e.g., Kubernetes to provide high-reliable services for cloud infrastructure, providing real-time support at the containerized edge systems (CESs) remains a challenge. In this paper, we propose EdgeMan, a holistic edge service management framework for CESs, which consists of (1) a model-assisted event-driven lightweight online scheduling algorithm to provide request-level execution plans; (2) a bottleneck-metric-aware progressive resource allocation mechanism to improve resource efficiency. We then build a testbed that installed three containerized services with different latency sensitivities for concrete evaluation. Additionally, we adopt real-world data traces from Alibaba and Twitter for large-scale emulations. Extensive experiments demonstrate that the deadline miss ratio of time-sensitive services run with EdgeMan&amp;nbsp;is reduced by 85.9%&amp;nbsp;on average compared with that of existing methods in both industry and academia.</t>
  </si>
  <si>
    <t>cloud-native; containerized edge service; Realtime support</t>
  </si>
  <si>
    <t>X7HMT8UX</t>
  </si>
  <si>
    <t>Sobhy, Dalia; Minku, Leandro; Bahsoon, Rami; Kazman, Rick</t>
  </si>
  <si>
    <t>Continuous and Proactive Software Architecture Evaluation: An IoT Case</t>
  </si>
  <si>
    <t>10.1145/3492762</t>
  </si>
  <si>
    <t>https://doi.org/10.1145/3492762</t>
  </si>
  <si>
    <t>2022-03</t>
  </si>
  <si>
    <t>Design-time evaluation is essential to build the initial software architecture to be deployed. However, experts‚Äô assumptions made at design-time are unlikely to remain true indefinitely in systems that are characterized by scale, hyperconnectivity, dynamism, and uncertainty in operations (e.g. IoT). Therefore, experts‚Äô design-time decisions can be challenged at run-time. A continuous architecture evaluation that systematically assesses and intertwines design-time and run-time decisions is thus necessary. This paper proposes the first proactive approach to continuous architecture evaluation of the system leveraging the support of simulation. The approach evaluates software architectures by not only tracking their performance over time, but also forecasting their likely future performance through machine learning of simulated instances of the architecture. This enables architects to make cost-effective informed decisions on potential changes to the architecture. We perform an IoT case study to show how machine learning on simulated instances of architecture can fundamentally guide the continuous evaluation process and influence the outcome of architecture decisions. A series of experiments is conducted to demonstrate the applicability and effectiveness of the approach. We also provide the architect with recommendations on how to best benefit from the approach through choice of learners and input parameters, grounded on experimentation and evidence.</t>
  </si>
  <si>
    <t>IoT; Continuous evaluation; software architecture evaluation; time series forecasting</t>
  </si>
  <si>
    <t>EN7444BV</t>
  </si>
  <si>
    <t>Casadei, Roberto; Aguzzi, Gianluca; Audrito, Giorgio; Damiani, Ferruccio; Pianini, Danilo; Scarso, Giordano; Torta, Gianluca; Viroli, Mirko</t>
  </si>
  <si>
    <t>Software Engineering for Collective Cyber-Physical Ecosystems</t>
  </si>
  <si>
    <t>10.1145/3712004</t>
  </si>
  <si>
    <t>https://doi.org/10.1145/3712004</t>
  </si>
  <si>
    <t>Today's distributed and pervasive computing addresses large-scale cyber-physical ecosystems, characterised by dense and large networks of devices capable of computation, communication and interaction with the environment and people. While most research focuses on treating these systems as ‚Äúcomposites‚Äù (i.e., heterogeneous functional complexes), recent developments in fields such as self-organising systems and swarm robotics have opened up a complementary perspective: treating systems as ‚Äúcollectives‚Äù (i.e., uniform, collaborative, and self-organising groups of entities). This article explores the motivations, state of the art, and implications of this ‚Äúcollective computing paradigm‚Äù in software engineering. In particular, it discusses its peculiar challenges, implied by characteristics like distribution, situatedness, large scale, and cooperative nature. These challenges outline significant directions for future research in software engineering, touching on aspects such as macro-programming, collective intelligence, self-adaptive middleware, learning/synthesis of collective behaviour, human involvement, safety and security in collective cyber-physical ecosystems.</t>
  </si>
  <si>
    <t>edge-cloud continuum; collective adaptive systems; cyber-physical ecosystems; distributed artificial intelligence; macro-programming; multi-agent systems; swarm intelligence</t>
  </si>
  <si>
    <t>NW96YK3J</t>
  </si>
  <si>
    <t>Costa, Breno; Bachiega, Joao; de Carvalho, Leonardo Rebou√ßas; Araujo, Aleteia P. F.</t>
  </si>
  <si>
    <t>Orchestration in Fog Computing: A Comprehensive Survey</t>
  </si>
  <si>
    <t>10.1145/3486221</t>
  </si>
  <si>
    <t>https://doi.org/10.1145/3486221</t>
  </si>
  <si>
    <t>2022-01</t>
  </si>
  <si>
    <t>Fog computing is a paradigm that brings computational resources and services to the network edge in the vicinity of user devices, lowering latency and connecting with cloud computing resources. Unlike cloud computing, fog resources are based on constrained and heterogeneous nodes whose connectivity can be unstable. In this complex scenario, there is a need to define and implement orchestration processes to ensure that applications and services can be provided, considering the settled agreements. Although some publications have dealt with orchestration in fog computing, there are still some diverse definitions and functional intersection with other areas, such as resource management and monitoring. This article presents a systematic review of the literature with focus on orchestration in fog computing. A generic architecture of fog orchestration is presented, created from the consolidation of the analyzed proposals, bringing to light the essential functionalities addressed in the literature. This work also highlights the main challenges and open research questions.</t>
  </si>
  <si>
    <t>resource management; Fog computing; orchestration; monitoring</t>
  </si>
  <si>
    <t>NE4JI44E</t>
  </si>
  <si>
    <t>Zamanzadeh Darban, Zahra; Webb, Geoffrey I.; Pan, Shirui; Aggarwal, Charu; Salehi, Mahsa</t>
  </si>
  <si>
    <t>Deep Learning for Time Series Anomaly Detection: A Survey</t>
  </si>
  <si>
    <t>10.1145/3691338</t>
  </si>
  <si>
    <t>https://doi.org/10.1145/3691338</t>
  </si>
  <si>
    <t>2024-10</t>
  </si>
  <si>
    <t>Time series anomaly detection is important for a wide range of research fields and applications, including financial markets, economics, earth sciences, manufacturing, and healthcare. The presence of anomalies can indicate novel or unexpected events, such as production faults, system defects, and heart palpitations, and is therefore of particular interest. The large size and complexity of patterns in time series data have led researchers to develop specialised deep learning models for detecting anomalous patterns. This survey provides a structured and comprehensive overview of state-of-the-art deep learning for time series anomaly detection. It provides a taxonomy based on anomaly detection strategies and deep learning models. Aside from describing the basic anomaly detection techniques in each category, their advantages and limitations are also discussed. Furthermore, this study includes examples of deep anomaly detection in time series across various application domains in recent years. Finally, it summarises open issues in research and challenges faced while adopting deep anomaly detection models to time series data.</t>
  </si>
  <si>
    <t>Anomaly detection; deep learning; multivariate time series; outlier detection; time series; univariate time series</t>
  </si>
  <si>
    <t>REJ5FMQV</t>
  </si>
  <si>
    <t>Zhong, Zhiheng; Xu, Minxian; Rodriguez, Maria Alejandra; Xu, Chengzhong; Buyya, Rajkumar</t>
  </si>
  <si>
    <t>Machine Learning-based Orchestration of Containers: A Taxonomy and Future Directions</t>
  </si>
  <si>
    <t>10.1145/3510415</t>
  </si>
  <si>
    <t>https://doi.org/10.1145/3510415</t>
  </si>
  <si>
    <t>10s</t>
  </si>
  <si>
    <t>Containerization is a lightweight application virtualization technology, providing high environmental consistency, operating system distribution portability, and resource isolation. Existing mainstream cloud service providers have prevalently adopted container technologies in their distributed system infrastructures for automated application management. To handle the automation of deployment, maintenance, autoscaling, and networking of containerized applications, container orchestration is proposed as an essential research problem. However, the highly dynamic and diverse feature of cloud workloads and environments considerably raises the complexity of orchestration mechanisms. Machine learning algorithms are accordingly employed by container orchestration systems for behavior modeling and prediction of multi-dimensional performance metrics. Such insights could further improve the quality of resource provisioning decisions in response to the changing workloads under complex environments. In this article, we present a comprehensive literature review of existing machine learning-based container orchestration approaches. Detailed taxonomies are proposed to classify the current researches by their common features. Moreover, the evolution of machine learning-based container orchestration technologies from the year 2016 to 2021 has been designed based on objectives and metrics. A comparative analysis of the reviewed techniques is conducted according to the proposed taxonomies, with emphasis on their key characteristics. Finally, various open research challenges and potential future directions are highlighted.</t>
  </si>
  <si>
    <t>cloud computing; machine learning; resource provisioning; Container orchestration; systematic review</t>
  </si>
  <si>
    <t>26HTZCWH</t>
  </si>
  <si>
    <t>Li, Huan; Lu, Hua; Jensen, Christian S.; Tang, Bo; Cheema, Muhammad Aamir</t>
  </si>
  <si>
    <t>Spatial Data Quality in the Internet of Things: Management, Exploitation, and Prospects</t>
  </si>
  <si>
    <t>10.1145/3498338</t>
  </si>
  <si>
    <t>https://doi.org/10.1145/3498338</t>
  </si>
  <si>
    <t>2022-02</t>
  </si>
  <si>
    <t>With the continued deployment of the Internet of Things (IoT), increasing volumes of devices are being deployed that emit massive spatially referenced data. Due in part to the dynamic, decentralized, and heterogeneous architecture of the IoT, the varying and often low quality of spatial IoT data (SID) presents challenges to applications built on top of this data. This survey aims to provide unique insight to practitioners who intend to develop IoT-enabled applications and to researchers who wish to conduct research that relates to data quality in the IoT setting. The survey offers an inventory analysis of major data quality dimensions in SID and covers significant data characteristics and associated quality considerations. The survey summarizes data quality related technologies from both task and technique perspectives. Organizing the technologies from the task perspective, it covers recent progress in SID quality management, encompassing location refinement, uncertainty elimination, outlier removal, fault correction, data integration, and data reduction; and it covers low-quality SID exploitation, encompassing querying, analysis, and decision-making techniques. Finally, the survey covers emerging trends and open issues concerning the quality of SID.</t>
  </si>
  <si>
    <t>Internet of Things; geo-sensory data; location refinement; quality management; spatial computing; spatial queries; spatiotemporal data cleaning; spatiotemporal dependencies</t>
  </si>
  <si>
    <t>6DF4EHAT</t>
  </si>
  <si>
    <t>Siqueira, Frank; Davis, Joseph G.</t>
  </si>
  <si>
    <t>Service Computing for Industry 4.0: State of the Art, Challenges, and Research Opportunities</t>
  </si>
  <si>
    <t>10.1145/3478680</t>
  </si>
  <si>
    <t>https://doi.org/10.1145/3478680</t>
  </si>
  <si>
    <t>2021-10</t>
  </si>
  <si>
    <t>Recent advances in the large-scale adoption of information and communication technologies in manufacturing processes, known as Industry 4.0 or Smart Manufacturing, provide us a window into how the manufacturing sector will evolve in the coming decades. As a result of these initiatives, manufacturing firms have started to integrate a series of emerging technologies into their processes that will change the way products are designed, manufactured, and consumed. This article provides a comprehensive review of how service-oriented computing is being employed to develop the required software infrastructure for Industry 4.0 and identifies the major challenges and research opportunities that ensue. Particular attention is paid to the microservices architecture, which is increasingly recognized as offering a promising approach for developing innovative industrial applications. This literature review is based on the current state of the art on service computing for Industry 4.0 as described in a large corpus of recently published research papers, which helped us to identify and explore a series of challenges and opportunities for the development of this emerging technology frontier, with the goal of facilitating its widespread adoption.</t>
  </si>
  <si>
    <t>digital twins; microservices; industry 4.0; industrial IoT; Service-oriented architecture</t>
  </si>
  <si>
    <t>3PA5VCAA</t>
  </si>
  <si>
    <t>Mahmud, Redowan; Ramamohanarao, Kotagiri; Buyya, Rajkumar</t>
  </si>
  <si>
    <t>Application Management in Fog Computing Environments: A Taxonomy, Review and Future Directions</t>
  </si>
  <si>
    <t>10.1145/3403955</t>
  </si>
  <si>
    <t>https://doi.org/10.1145/3403955</t>
  </si>
  <si>
    <t>2020-07</t>
  </si>
  <si>
    <t>The Internet of Things (IoT) paradigm is being rapidly adopted for the creation of smart environments in various domains. The IoT-enabled cyber-physical systems associated with smart city, healthcare, Industry 4.0 and Agtech handle a huge volume of data and require data processing services from different types of applications in real time. The Cloud-centric execution of IoT applications barely meets such requirements as the Cloud datacentres reside at a multi-hop distance from the IoT devices. Fog computing, an extension of Cloud at the edge network, can execute these applications closer to data sources. Thus, Fog computing can improve application service delivery time and resist network congestion. However, the Fog nodes are highly distributed and heterogeneous, and most of them are constrained in resources and spatial sharing. Therefore, efficient management of applications is necessary to fully exploit the capabilities of Fog nodes. In this work, we investigate the existing application management strategies in Fog computing and review them in terms of architecture, placement and maintenance. Additionally, we propose a comprehensive taxonomy and highlight the research gaps in Fog-based application management. We also discuss a perspective model and provide future research directions for further improvement of application management in Fog computing.</t>
  </si>
  <si>
    <t>Fog computing; application placement; Internet of Things; application architecture; application maintenance</t>
  </si>
  <si>
    <t>TJWA7Z7Z</t>
  </si>
  <si>
    <t>Ghosh, Ushasi; Chiejina, Azuka; Stephenson, Nathan; Shah, Vijay K; Shakkottai, Srinivas; Bharadia, Dinesh</t>
  </si>
  <si>
    <t>SPARC: Spatio-Temporal Adaptive Resource Control for Multi-site Spectrum Management in NextG Cellular Networks</t>
  </si>
  <si>
    <t>Proc. ACM Netw.</t>
  </si>
  <si>
    <t>10.1145/3696405</t>
  </si>
  <si>
    <t>https://doi.org/10.1145/3696405</t>
  </si>
  <si>
    <t>CoNEXT4</t>
  </si>
  <si>
    <t>This work presents SPARC (Spatio-Temporal Adaptive Resource Control), a novel approach for multi-site spectrum management in NextG cellular networks. SPARC addresses the challenge of limited licensed spectrum in dynamic environments. We leverage the O-RAN architecture to develop a multi-timescale RAN Intelligent Controller (RIC) framework, featuring an xApp for near-real-time interference detection and localization, and a xApp for real-time intelligent resource allocation. By utilizing base stations as spectrum sensors, SPARC enables efficient and fine-grained dynamic resource allocation across multiple sites, enhancing signal-to-noise ratio (SNR) by up to 7dB, spectral efficiency by up to 15%, and overall system throughput by up to 20%. Comprehensive evaluations, including emulations and over-the-air experiments, demonstrate the significant performance gains achieved through SPARC, showcasing it as a promising solution for optimizing resource efficiency and network performance in NextG cellular networks.</t>
  </si>
  <si>
    <t>interference detection; ran intelligent control; traffic</t>
  </si>
  <si>
    <t>XNTAB9DX</t>
  </si>
  <si>
    <t>Golpayegani, Fateneh; Chen, Nanxi; Afraz, Nima; Gyamfi, Eric; Malekjafarian, Abdollah; Sch√§fer, Dominik; Krupitzer, Christian</t>
  </si>
  <si>
    <t>Adaptation in Edge Computing: A Review on Design Principles and Research Challenges</t>
  </si>
  <si>
    <t>10.1145/3664200</t>
  </si>
  <si>
    <t>https://doi.org/10.1145/3664200</t>
  </si>
  <si>
    <t>Edge computing places the computational services and resources closer to the user proximity, to reduce latency, and ensure the quality of service and experience. Low latency, context awareness and mobility support are the major contributors to edge-enabled smart systems. Such systems require handling new situations and change on the fly and ensuring the quality of service while only having access to constrained computation and communication resources and operating in mobile, dynamic and ever-changing environments. Hence, adaptation and self-organisation are crucial for such systems to maintain their performance, and operability while accommodating new changes in their environment.This article reviews the current literature in the field of adaptive edge computing systems. We use a widely accepted taxonomy, which describes the important aspects of adaptive behaviour implementation in computing systems. This taxonomy discusses aspects such as adaptation reasons, the various levels an adaptation strategy can be implemented, the time of reaction to a change, categories of adaptation technique and control of the adaptive behaviour. In this article, we discuss how these aspects are addressed in the literature and identify the open research challenges and future direction in adaptive edge computing systems.The results of our analysis show that most of the identified approaches target adaptation at the application level, and only a few focus on middleware, communication infrastructure and context. Adaptations that are required to address the changes in the context, changes caused by users or in the system itself are also less explored. Furthermore, most of the literature has opted for reactive adaptation, although proactive adaptation is essential to maintain the edge computing systems‚Äô performance and interoperability by anticipating the required adaptations on the fly. Additionally, most approaches apply a centralised adaptation control, which does not perfectly fit the mostly decentralised/distributed edge computing settings.</t>
  </si>
  <si>
    <t>edge computing; Adaptation; edge-enabled; MAPE-loop</t>
  </si>
  <si>
    <t>Z82YX2F3</t>
  </si>
  <si>
    <t>Jamil, Bushra; Ijaz, Humaira; Shojafar, Mohammad; Munir, Kashif; Buyya, Rajkumar</t>
  </si>
  <si>
    <t>Resource Allocation and Task Scheduling in Fog Computing and Internet of Everything Environments: A Taxonomy, Review, and Future Directions</t>
  </si>
  <si>
    <t>10.1145/3513002</t>
  </si>
  <si>
    <t>https://doi.org/10.1145/3513002</t>
  </si>
  <si>
    <t>The Internet of Everything paradigm is being rapidly adopted in developing applications for different domains like smart agriculture, smart city, big data streaming, and so on. These IoE applications are leveraging cloud computing resources for execution. Fog computing, which emerged as an extension of cloud computing, supports mobility, heterogeneity, geographical distribution, context awareness, and services such as storage, processing, networking, and analytics on nearby fog nodes. The resource-limited, heterogeneous, dynamic, and uncertain fog environment makes task scheduling a great challenge that needs to be investigated. The article is motivated by this consideration and presents a systematic, comprehensive, and detailed comparative study by discussing the merits and demerits of different scheduling algorithms, focused optimization metrics, and evaluation tools in the fog computing and IoE environment. The goal of this survey article is fivefold. First, we review the fog computing and IoE paradigms. Second, we delineate the optimization metric engaged with fog computing and IoE environment. Third, we review, classify, and compare existing scheduling algorithms dealing with fog computing and IoE environment paradigms by leveraging some examples. Fourth, we rationalize the scheduling algorithms and point out the lesson learned from the survey. Fifth, we discuss the open issues and future research directions to improve scheduling in fog computing and the IoE environment.</t>
  </si>
  <si>
    <t>Cloud computing; resource allocation; task scheduling; fog computing; Internet of Everything (IoE); Internet of Things (IoT)</t>
  </si>
  <si>
    <t>2NY47VEN</t>
  </si>
  <si>
    <t>Varghese, Blesson; Wang, Nan; Bermbach, David; Hong, Cheol-Ho; Lara, Eyal De; Shi, Weisong; Stewart, Christopher</t>
  </si>
  <si>
    <t>A Survey on Edge Performance Benchmarking</t>
  </si>
  <si>
    <t>10.1145/3444692</t>
  </si>
  <si>
    <t>https://doi.org/10.1145/3444692</t>
  </si>
  <si>
    <t>2021-04</t>
  </si>
  <si>
    <t>Edge computing is the next Internet frontier that will leverage computing resources located near users, sensors, and data stores to provide more responsive services. Therefore, it is envisioned that a large-scale, geographically dispersed, and resource-rich distributed system will emerge and play a key role in the future Internet. However, given the loosely coupled nature of such complex systems, their operational conditions are expected to change significantly over time. In this context, the performance characteristics of such systems will need to be captured rapidly, which is referred to as performance benchmarking, for application deployment, resource orchestration, and adaptive decision-making. Edge performance benchmarking is a nascent research avenue that has started gaining momentum over the past five years. This article first reviews articles published over the past three decades to trace the history of performance benchmarking from tightly coupled to loosely coupled systems. It then systematically classifies previous research to identify the system under test, techniques analyzed, and benchmark runtime in edge performance benchmarking.</t>
  </si>
  <si>
    <t>benchmark runtime; Edge computing; edge performance benchmarking; system under test; techniques analyzed</t>
  </si>
  <si>
    <t>TNGD2ET4</t>
  </si>
  <si>
    <t>Syed, Naeem; Anwar, Adnan; Baig, Zubair; Zeadally, Sherali</t>
  </si>
  <si>
    <t>Artificial Intelligence as a Service (AIaaS) for Cloud, Fog and the Edge: State-of-the-Art Practices</t>
  </si>
  <si>
    <t>10.1145/3712016</t>
  </si>
  <si>
    <t>https://doi.org/10.1145/3712016</t>
  </si>
  <si>
    <t>Artificial Intelligence (AI) fosters enormous business opportunities that build and utilize private AI models. Implementing AI models at scale and ensuring cost-effective production of AI-based technologies through entirely in-house capabilities is a challenge. The success of the Infrastructure as a Service (IaaS) and Software as a Service (SaaS) Cloud Computing models can be leveraged to facilitate a cost-effective and scalable AI service paradigm, namely, ‚ÄòAI as a Service.‚Äô We summarize current state-of-the-art solutions for AI-as-a-Service (AIaaS), and we discuss its prospects for growth and opportunities to advance the concept. To this end, we perform a thorough review of recent research on AI and various deployment strategies for emerging domains considering both technical as well as survey articles. Next, we identify various characteristics and capabilities that need to be met before an AIaaS model can be successfully designed and deployed. Based on this we present a general framework of an AIaaS architecture that integrates the required aaS characteristics with the capabilities of AI. We also compare various approaches for offering AIaaS to end users. Finally, we illustrate several real-world use cases for AIaaS models, followed by a discussion of some of the challenges that must be addressed to enable AIaaS adoption.</t>
  </si>
  <si>
    <t>IoT; AIaaS; Artificial intelligence; Artificial intelligence as a Service; Cloud Computing; Edge</t>
  </si>
  <si>
    <t>9MRAAKH4</t>
  </si>
  <si>
    <t>Buyya, Rajkumar; Srirama, Satish Narayana; Casale, Giuliano; Calheiros, Rodrigo; Simmhan, Yogesh; Varghese, Blesson; Gelenbe, Erol; Javadi, Bahman; Vaquero, Luis Miguel; Netto, Marco A. S.; Toosi, Adel Nadjaran; Rodriguez, Maria Alejandra; Llorente, Ignacio M.; Vimercati, Sabrina De Capitani Di; Samarati, Pierangela; Milojicic, Dejan; Varela, Carlos; Bahsoon, Rami; Assuncao, Marcos Dias De; Rana, Omer; Zhou, Wanlei; Jin, Hai; Gentzsch, Wolfgang; Zomaya, Albert Y.; Shen, Haiying</t>
  </si>
  <si>
    <t>A Manifesto for Future Generation Cloud Computing: Research Directions for the Next Decade</t>
  </si>
  <si>
    <t>10.1145/3241737</t>
  </si>
  <si>
    <t>https://doi.org/10.1145/3241737</t>
  </si>
  <si>
    <t>2018-11</t>
  </si>
  <si>
    <t>The Cloud computing paradigm has revolutionised the computer science horizon during the past decade and has enabled the emergence of computing as the fifth utility. It has captured significant attention of academia, industries, and government bodies. Now, it has emerged as the backbone of modern economy by offering subscription-based services anytime, anywhere following a pay-as-you-go model. This has instigated (1) shorter establishment times for start-ups, (2) creation of scalable global enterprise applications, (3) better cost-to-value associativity for scientific and high-performance computing applications, and (4) different invocation/execution models for pervasive and ubiquitous applications. The recent technological developments and paradigms such as serverless computing, software-defined networking, Internet of Things, and processing at network edge are creating new opportunities for Cloud computing. However, they are also posing several new challenges and creating the need for new approaches and research strategies, as well as the re-evaluation of the models that were developed to address issues such as scalability, elasticity, reliability, security, sustainability, and application models. The proposed manifesto addresses them by identifying the major open challenges in Cloud computing, emerging trends, and impact areas. It then offers research directions for the next decade, thus helping in the realisation of Future Generation Cloud Computing.</t>
  </si>
  <si>
    <t>Cloud computing; Fog computing; serverless computing; sustainability; scalability; application development; Cloud economics; data management; InterCloud</t>
  </si>
  <si>
    <t>HPXYFJ85</t>
  </si>
  <si>
    <t>Barrios, Carlos; Kumar, Mohan</t>
  </si>
  <si>
    <t>Service Caching and Computation Reuse Strategies at the Edge: A Survey</t>
  </si>
  <si>
    <t>10.1145/3609504</t>
  </si>
  <si>
    <t>https://doi.org/10.1145/3609504</t>
  </si>
  <si>
    <t>2023-09</t>
  </si>
  <si>
    <t>With the proliferation of connected devices including smartphones, novel network connectivity and management methods are needed to meet user Quality of Experience (QoE) and computational demands of contemporary applications. Service caching and computation reuse techniques are being employed to alleviate challenges due to scalability, interoperability, and mobility, as well as to reduce application latency by enabling caching at the edge. This survey provides a taxonomy for service caching and computation reuse and describes the current state of the research and its challenges. This is the first survey that provides a comprehensive analysis and suggests future research directions on this topic.</t>
  </si>
  <si>
    <t>computation deduplication; computation reuse; Service caching; task caching</t>
  </si>
  <si>
    <t>AKYJEP8Z</t>
  </si>
  <si>
    <t>Sun, Danfeng; Hu, Junjie; Wu, Huifeng; Wu, Jia; Yang, Jian; Sheng, Quan Z.; Dustdar, Schahram</t>
  </si>
  <si>
    <t>A Comprehensive Survey on Collaborative Data-access Enablers in the IIoT</t>
  </si>
  <si>
    <t>10.1145/3612918</t>
  </si>
  <si>
    <t>https://doi.org/10.1145/3612918</t>
  </si>
  <si>
    <t>The scope of the Industrial Internet of Things (IIoT) has stretched beyond manufacturing to include energy, healthcare, transportation, and all that tomorrow‚Äôs smart cities will entail. The realm of IIoT includes smart sensors, actuators, programmable logic controllers, distributed control systems (DCS), embedded devices, supervisory control, and data acquisition systems‚Äîall produced by manufacturers for different purposes and with different data structures and formats; designed according to different standards and made to follow different protocols. In this sea of incompatibility, how can we flexibly acquire these heterogeneous data, and how can we uniformly structure them to suit thousands of different applications? In this article, we survey the four pillars of information science that enable collaborative data access in an IIoT‚Äîstandardization, data acquisition, data fusion, and scalable architecture‚Äîto provide an up-to-date audit of current research in the field. Here, standardization in IIoT relies on standards and technologies to make things communicative; data acquisition attempts to transparently collect data through plug-and-play architectures, reconfigurable schemes, or hardware expansion; data fusion refers to the techniques and strategies for overcoming heterogeneity in data formats and sources; and scalable architecture provides basic techniques to support heterogeneous requirements. The article also concludes with an overview of the frontier researches and emerging technologies for supporting or challenging data access from the aspects of 5G, machine learning, blockchain, and semantic web.</t>
  </si>
  <si>
    <t>RC45RQYR</t>
  </si>
  <si>
    <t>Da Silva, Thiago Pereira; Batista, Thais; Lopes, Frederico; Neto, Aluizio Rocha; Delicato, Fl√°via C.; Pires, Paulo F.; Da Rocha, Atslands R.</t>
  </si>
  <si>
    <t>Fog Computing Platforms for Smart City Applications: A Survey</t>
  </si>
  <si>
    <t>10.1145/3488585</t>
  </si>
  <si>
    <t>https://doi.org/10.1145/3488585</t>
  </si>
  <si>
    <t>Emerging IoT applications with stringent requirements on latency and data processing have posed many challenges to cloud-centric platforms for Smart Cities. Recently, Fog Computing has been advocated as a promising approach to support such new applications and handle the increasing volume of IoT data and devices. The Fog Computing paradigm is characterized by a horizontal system-level architecture where devices close to end-users and IoT devices are used for processing, storage, and networking functions. Fog Computing platforms aim to facilitate the development of applications and systems for Smart Cities by providing services and abstractions designed to integrate data from IoT devices and various information systems deployed in the city. Despite the potential of the Fog Computing paradigm, the literature still lacks a broad, comprehensive overview of what has been investigated on the use of such paradigm in platforms for Smart Cities and open issues to be addressed in future research and development. In this paper, a systematic mapping study was performed and we present a comprehensive understanding of the use of the Fog Computing paradigm in Smart Cities platforms, providing an overview of the current state of research on this topic, and identifying important gaps in the existing approaches and promising research directions.</t>
  </si>
  <si>
    <t>Fog computing; edge computing; smart cities</t>
  </si>
  <si>
    <t>GZFZSKKN</t>
  </si>
  <si>
    <t>Liu, Xunyun; Buyya, Rajkumar</t>
  </si>
  <si>
    <t>Resource Management and Scheduling in Distributed Stream Processing Systems: A Taxonomy, Review, and Future Directions</t>
  </si>
  <si>
    <t>10.1145/3355399</t>
  </si>
  <si>
    <t>https://doi.org/10.1145/3355399</t>
  </si>
  <si>
    <t>2020-05</t>
  </si>
  <si>
    <t>Stream processing is an emerging paradigm to handle data streams upon arrival, powering latency-critical application such as fraud detection, algorithmic trading, and health surveillance. Though there are a variety of Distributed Stream Processing Systems (DSPSs) that facilitate the development of streaming applications, resource management and task scheduling is not automatically handled by the DSPS middleware and requires a laborious process to tune toward specific deployment targets. As the advent of cloud computing has supported renting resources on-demand, it is of great interest to review the research progress of hosting streaming systems in clouds under certain Service Level Agreements (SLA) and cost constraints. In this article, we introduce the hierarchical structure of streaming systems, define the scope of the resource management problem, and present a comprehensive taxonomy in this context covering critical research topics such as resource provisioning, operator parallelisation, and task scheduling. The literature is then reviewed following the taxonomy structure, facilitating a deeper understanding of the research landscape through classification and comparison of existing works. Finally, we discuss the open issues and future research directions toward realising an automatic, SLA-aware resource management framework.</t>
  </si>
  <si>
    <t>task scheduling; distributed stream processing systems; Resource management; stream processing</t>
  </si>
  <si>
    <t>9P9GE58W</t>
  </si>
  <si>
    <t>Neha, Benazir; Panda, Sanjaya Kumar; Sahu, Pradip Kumar; Sahoo, Kshira Sagar; Gandomi, Amir H.</t>
  </si>
  <si>
    <t>A Systematic Review on Osmotic Computing</t>
  </si>
  <si>
    <t>ACM Trans. Internet Things</t>
  </si>
  <si>
    <t>10.1145/3488247</t>
  </si>
  <si>
    <t>https://doi.org/10.1145/3488247</t>
  </si>
  <si>
    <t>Osmotic computing in association with related computing paradigms (cloud, fog, and edge) emerges as a promising solution for handling bulk of security-critical as well as latency-sensitive data generated by the digital devices. It is a growing research domain that studies deployment, migration, and optimization of applications in the form of microservices across cloud/edge infrastructure. It presents dynamically tailored microservices in technology-centric environments by exploiting edge and cloud platforms. Osmotic computing promotes digital transformation and furnishes benefits to transportation, smart cities, education, and healthcare. In this article, we present a comprehensive analysis of osmotic computing through a systematic literature review approach. To ensure high-quality review, we conduct an advanced search on numerous digital libraries to extracting related studies. The advanced search strategy identifies 99 studies, from which 29 relevant studies are selected for a thorough review. We present a summary of applications in osmotic computing build on their key features. On the basis of the observations, we outline the research challenges for the applications in this research field. Finally, we discuss the security issues resolved and unresolved in osmotic computing.</t>
  </si>
  <si>
    <t>Osmotic computing; edge computing; fog computing</t>
  </si>
  <si>
    <t>LFGU9AY5</t>
  </si>
  <si>
    <t>Pal, Asmita; Desai, Keerthana; Chatterjee, Rahul; San Miguel, Joshua</t>
  </si>
  <si>
    <t>Camouflage: Utility-Aware Obfuscation for Accurate Simulation of Sensitive Program Traces</t>
  </si>
  <si>
    <t>10.1145/3650110</t>
  </si>
  <si>
    <t>https://doi.org/10.1145/3650110</t>
  </si>
  <si>
    <t>Trace-based simulation is a widely used methodology for system design exploration. It relies on realistic traces that represent a range of behaviors necessary to be evaluated, containing a lot of information about the application, its inputs and the underlying system on which it was generated. Consequently, generating traces from real-world executions risks leakage of sensitive information. To prevent this, traces can be obfuscated before release. However, this can undermine their ideal utility, i.e., how realistically a program behavior was captured. To address this, we propose Camouflage, a novel obfuscation framework, designed with awareness of the necessary architectural properties required to preserve trace utility, while ensuring secrecy of the inputs used to generate the trace. Focusing on memory access traces, our extensive evaluation on various benchmarks shows that camouflaged traces preserve the performance measurements of the original execution, with an average œÑ correlation of 0.66. We model input secrecy as an input indistinguishability problem and show that the average security loss is 7.8%, which is better than traces generated from the state-of-the-art.</t>
  </si>
  <si>
    <t>Performance characterization; Privacy of traces; Synthetic trace generation</t>
  </si>
  <si>
    <t>VXJJXMIP</t>
  </si>
  <si>
    <t>Do, Jaeyoung; Ferreira, Victor C.; Bobarshad, Hossein; Torabzadehkashi, Mahdi; Rezaei, Siavash; Heydarigorji, Ali; Souza, Diego; Goldstein, Brunno F.; Santiago, Leandro; Kim, Min Soo; Lima, Priscila M. V.; Fran√ßa, Felipe M. G.; Alves, Vladimir</t>
  </si>
  <si>
    <t>Cost-effective, Energy-efficient, and Scalable Storage Computing for Large-scale AI Applications</t>
  </si>
  <si>
    <t>ACM Trans. Storage</t>
  </si>
  <si>
    <t>1553-3077</t>
  </si>
  <si>
    <t>10.1145/3415580</t>
  </si>
  <si>
    <t>https://doi.org/10.1145/3415580</t>
  </si>
  <si>
    <t>2020-10</t>
  </si>
  <si>
    <t>The growing volume of data produced continuously in the Cloud and at the Edge poses significant challenges for large-scale AI applications to extract and learn useful information from the data in a timely and efficient way. The goal of this article is to explore the use of computational storage to address such challenges by distributed near-data processing. We describe Newport, a high-performance and energy-efficient computational storage developed for realizing the full potential of in-storage processing. To the best of our knowledge, Newport is the first commodity SSD that can be configured to run a server-like operating system, greatly minimizing the effort for creating and maintaining applications running inside the storage. We analyze the benefits of using Newport by running complex AI applications such as image similarity search and object tracking on a large visual dataset. The results demonstrate that data-intensive AI workloads can be efficiently parallelized and offloaded, even to a small set of Newport drives with significant performance gains and energy savings. In addition, we introduce a comprehensive taxonomy of existing computational storage solutions together with a realistic cost analysis for high-volume production, giving a good big picture of the economic feasibility of the computational storage technology.</t>
  </si>
  <si>
    <t>Computational storage; in-storage processing; neural network; object tracking; similarity search; solid-state drive</t>
  </si>
  <si>
    <t>CDC5F2NF</t>
  </si>
  <si>
    <t>Avasalcai, Cosmin; Tsigkanos, Christos; Dustdar, Schahram</t>
  </si>
  <si>
    <t>Adaptive Management of Volatile Edge Systems at Runtime With Satisfiability</t>
  </si>
  <si>
    <t>10.1145/3470658</t>
  </si>
  <si>
    <t>https://doi.org/10.1145/3470658</t>
  </si>
  <si>
    <t>2021-09</t>
  </si>
  <si>
    <t>Edge computing offers the possibility of deploying applications at the edge of the network. To take advantage of available devices‚Äô distributed resources, applications often are structured as microservices, often having stringent requirements of low latency and high availability. However, a decentralized edge system that the application may be intended for is characterized by high volatility, due to devices making up the system being unreliable or leaving the network unexpectedly. This makes application deployment and assurance that it will continue to operate under volatility challenging. We propose an adaptive framework capable of deploying and efficiently maintaining a microservice-based application at runtime, by tackling two intertwined problems: (i) finding a microservice placement across device hosts and (ii) deriving invocation paths that serve it. Our objective is to maintain correct functionality by satisfying given requirements in terms of end-to-end latency and availability, in a volatile edge environment. We evaluate our solution quantitatively by considering performance and failure recovery.</t>
  </si>
  <si>
    <t>edge computing; Resource management; distributed systems; adaptive systems</t>
  </si>
  <si>
    <t>TM8KMN25</t>
  </si>
  <si>
    <t>Lin, Weiwei; Xiong, Chennian; Wu, Wentai; Shi, Fang; Li, Keqin; Xu, Minxian</t>
  </si>
  <si>
    <t>Performance Interference of Virtual Machines: A Survey</t>
  </si>
  <si>
    <t>10.1145/3573009</t>
  </si>
  <si>
    <t>https://doi.org/10.1145/3573009</t>
  </si>
  <si>
    <t>The rapid development of cloud computing with virtualization technology has benefited both academia and industry. For any cloud data center at scale, one of the primary challenges is how to effectively orchestrate a large number of virtual machines (VMs) in a performance-aware and cost-effective manner. A key problem here is that the performance interference between VMs can significantly undermine the efficiency of cloud data centers, leading to performance degradation and additional operation cost. To address this issue, extensive studies have been conducted to investigate the problem from different aspects. In this survey, we make a comprehensive investigation into the causes of VM interference and provide an in-depth review of existing research and solutions in the literature. We first categorize existing studies on interference models according to their modeling objectives, metrics used, and modeling methods. Then we revisit interference-aware strategies for scheduling optimization as well as co-optimization-based approaches. Finally, the survey identifies open challenges with respect to VM interference in data centers and discusses possible research directions to provide insights for future research in the area.</t>
  </si>
  <si>
    <t>Cloud data center; measuring and modeling; scheduling optimization; VM performance interference</t>
  </si>
  <si>
    <t>UUYIWRLB</t>
  </si>
  <si>
    <t>Anderson, Patrick; Aranas, Erika; Assaf, Youssef; Behrendt, Raphael; Black, Richard; Caballero, Marco; Cameron, Pashmina; Canakci, Burcu; Chatzieleftheriou, Andromachi; Clarke, Rebekah; Clegg, James; Cletheroe, Daniel; Cooper, Bridgette; De Carvalho, Thales; Deegan, Tim; Donnelly, Austin; Drevinskas, Rokas; Gaunt, Alexander; Gkantsidis, Christos; Gomez Diaz, Ariel; Haller, Istvan; Hong, Freddie; Ilieva, Teodora; Joshi, Shashidhar; Joyce, Russell; Kunkel, William; Lara, David; Legtchenko, Sergey; Liu, Fanglin; Magalhaes, Bruno; Marzoev, Alana; McNett, Marvin; Mohan, Jayashree; Myrah, Michael; Nguyen, Truong; Nowozin, Sebastian; Ogus, Aaron; Overweg, Hiske; Rowstron, Antony; Sah, Maneesh; Sakakura, Masaaki; Scholtz, Peter; Schreiner, Nina; Sella, Omer; Smith, Adam; Stefanovici, Ioan; Sweeney, David; Thomsen, Benn; Verkes, Govert; Wainman, Phil; Westcott, Jonathan; Weston, Luke; Whittaker, Charles; Wilke Berenguer, Pablo; Williams, Hugh; Winkler, Thomas; Winzeck, Stefan</t>
  </si>
  <si>
    <t>10.1145/3708996</t>
  </si>
  <si>
    <t>https://doi.org/10.1145/3708996</t>
  </si>
  <si>
    <t>2025-02</t>
  </si>
  <si>
    <t>Sustainable and cost-effective long-term storage remains an unsolved problem. The most widely used storage technologies today are magnetic (hard disk drives and tape). They use media that degrades over time and has a limited lifetime, which leads to inefficient, wasteful, and costly solutions for long-lived data. This article presents Silica: the first cloud storage system for archival data underpinned by quartz glass, an extremely resilient media that allows data to be left in situ indefinitely. The hardware and software of Silica have been co-designed and co-optimized from the media up to the service level with sustainability as a primary objective. The design follows a cloud-first, data-driven methodology underpinned by principles derived from analyzing the archival workload of a large public cloud service. Silica can support a wide range of archival storage workloads and ushers in a new era of sustainable, cost-effective storage.</t>
  </si>
  <si>
    <t>data center; sustainability; archival; cloud storage; cold storage; disaggregation; glass; Storage</t>
  </si>
  <si>
    <t>ZMN323SY</t>
  </si>
  <si>
    <t>Duc, Thang Le; Leiva, Rafael Garc√≠a; Casari, Paolo; √ñstberg, Per-Olov</t>
  </si>
  <si>
    <t>Machine Learning Methods for Reliable Resource Provisioning in Edge-Cloud Computing: A Survey</t>
  </si>
  <si>
    <t>10.1145/3341145</t>
  </si>
  <si>
    <t>https://doi.org/10.1145/3341145</t>
  </si>
  <si>
    <t>2019-09</t>
  </si>
  <si>
    <t>Large-scale software systems are currently designed as distributed entities and deployed in cloud data centers. To overcome the limitations inherent to this type of deployment, applications are increasingly being supplemented with components instantiated closer to the edges of networks‚Äîa paradigm known as edge computing. The problem of how to efficiently orchestrate combined edge-cloud applications is, however, incompletely understood, and a wide range of techniques for resource and application management are currently in use.This article investigates the problem of reliable resource provisioning in joint edge-cloud environments, and surveys technologies, mechanisms, and methods that can be used to improve the reliability of distributed applications in diverse and heterogeneous network environments. Due to the complexity of the problem, special emphasis is placed on solutions to the characterization, management, and control of complex distributed applications using machine learning approaches. The survey is structured around a decomposition of the reliable resource provisioning problem into three categories of techniques: workload characterization and prediction, component placement and system consolidation, and application elasticity and remediation. Survey results are presented along with a problem-oriented discussion of the state-of-the-art. A summary of identified challenges and an outline of future research directions are presented to conclude the article.</t>
  </si>
  <si>
    <t>cloud computing; placement; machine learning; edge computing; optimization; autoscaling; consolidation; distributed systems; Reliability; remediation</t>
  </si>
  <si>
    <t>ZNBH6I39</t>
  </si>
  <si>
    <t>Murillo, Juan M.; Garcia-Alonso, Jose; Moguel, Enrique; Barzen, Johanna; Leymann, Frank; Ali, Shaukat; Yue, Tao; Arcaini, Paolo; P√©rez-Castillo, Ricardo; Garc√≠a Rodr√≠guez de Guzm√°n, Ignacio; Piattini, Mario; Ruiz-Cort√©s, Antonio; Brogi, Antonio; Zhao, Jianjun; Miranskyy, Andriy; Wimmer, Manuel</t>
  </si>
  <si>
    <t>Quantum Software Engineering: Roadmap and Challenges Ahead</t>
  </si>
  <si>
    <t>10.1145/3712002</t>
  </si>
  <si>
    <t>https://doi.org/10.1145/3712002</t>
  </si>
  <si>
    <t>As quantum computers advance, the complexity of the software they can execute increases as well. To ensure this software is efficient, maintainable, reusable, and cost-effective ‚Äîkey qualities of any industry-grade software‚Äî mature software engineering practices must be applied throughout its design, development, and operation. However, the significant differences between classical and quantum software make it challenging to directly apply classical software engineering methods to quantum systems. This challenge has led to the emergence of Quantum Software Engineering as a distinct field within the broader software engineering landscape. In this work, a group of active researchers analyse in depth the current state of quantum software engineering research. From this analysis, the key areas of quantum software engineering are identified and explored in order to determine the most relevant open challenges that should be addressed in the next years. These challenges help identify necessary breakthroughs and future research directions for advancing Quantum Software Engineering.</t>
  </si>
  <si>
    <t>open challenges; QSE; Quantum Computing; Quantum Software Engineering</t>
  </si>
  <si>
    <t>CQYATE92</t>
  </si>
  <si>
    <t>Bayram, Firas; Ahmed, Bestoun S.</t>
  </si>
  <si>
    <t>Towards Trustworthy Machine Learning in Production: An Overview of the Robustness in MLOps Approach</t>
  </si>
  <si>
    <t>10.1145/3708497</t>
  </si>
  <si>
    <t>https://doi.org/10.1145/3708497</t>
  </si>
  <si>
    <t>Artificial intelligence (AI), and especially its sub-field of Machine Learning (ML), are impacting the daily lives of everyone with their ubiquitous applications. In recent years, AI researchers and practitioners have introduced principles and guidelines to build systems that make reliable and trustworthy decisions. From a practical perspective, conventional ML systems process historical data to extract the features that are consequently used to train ML models that perform the desired task. However, in practice, a fundamental challenge arises when the system needs to be operationalized and deployed to evolve and operate in real-life environments continuously. To address this challenge, Machine Learning Operations (MLOps) have emerged as a potential recipe for standardizing ML solutions in deployment. Although MLOps demonstrated great success in streamlining ML processes, thoroughly defining the specifications of robust MLOps approaches remains of great interest to researchers and practitioners. In this paper, we provide a comprehensive overview of the trustworthiness property of MLOps systems. Specifically, we highlight technical practices to achieve robust MLOps systems. In addition, we survey the existing research approaches that address the robustness aspects of ML systems in production. We also review the tools and software available to build MLOps systems and summarize their support to handle the robustness aspects. Finally, we present the open challenges and propose possible future directions and opportunities within this emerging field. The aim of this paper is to provide researchers and practitioners working on practical AI applications with a comprehensive view to adopt robust ML solutions in production environments.</t>
  </si>
  <si>
    <t>machine learning; Artificial intelligence; DataOps; MLOps systems; model performance; ModelOps; robustness; Trustworthy AI</t>
  </si>
  <si>
    <t>ST4V59E9</t>
  </si>
  <si>
    <t>Gilman, Ekaterina; Bugiotti, Francesca; Khalid, Ahmed; Mehmood, Hassan; Kostakos, Panos; Tuovinen, Lauri; Ylipulli, Johanna; Su, Xiang; Ferreira, Denzil</t>
  </si>
  <si>
    <t>Addressing Data Challenges to Drive the Transformation of Smart Cities</t>
  </si>
  <si>
    <t>ACM Trans. Intell. Syst. Technol.</t>
  </si>
  <si>
    <t>2157-6904</t>
  </si>
  <si>
    <t>10.1145/3663482</t>
  </si>
  <si>
    <t>https://doi.org/10.1145/3663482</t>
  </si>
  <si>
    <t>Cities serve as vital hubs of economic activity and knowledge generation and dissemination. As such, cities bear a significant responsibility to uphold environmental protection measures while promoting the welfare and living comfort of their residents. There are diverse views on the development of smart cities, from integrating Information and Communication Technologies into urban environments for better operational decisions to supporting sustainability, wealth, and comfort of people. However, for all these cases, data are the key ingredient and enabler for the vision and realization of smart cities. This article explores the challenges associated with smart city data. We start with gaining an understanding of the concept of a smart city, how to measure that the city is a smart one, and what architectures and platforms exist to develop one. Afterwards, we research the challenges associated with the data of the cities, including availability, heterogeneity, management, analysis, privacy, and security. Finally, we discuss ethical issues. This article aims to serve as a ‚Äúone-stop shop‚Äù covering data-related issues of smart cities with references for diving deeper into particular topics of interest.</t>
  </si>
  <si>
    <t>machine learning; smart city; Big data; data analysis; urban computing</t>
  </si>
  <si>
    <t>7HZ28AHM</t>
  </si>
  <si>
    <t>Andersen, Michael P.; Kolb, John; Chen, Kaifei; Fierro, Gabe; Culler, David E.; Katz, Randy</t>
  </si>
  <si>
    <t>Democratizing Authority in the Built Environment</t>
  </si>
  <si>
    <t>10.1145/3199665</t>
  </si>
  <si>
    <t>https://doi.org/10.1145/3199665</t>
  </si>
  <si>
    <t>2018-12</t>
  </si>
  <si>
    <t>3‚Äì4</t>
  </si>
  <si>
    <t>Operating systems and applications in the built environment have relied upon central authorization and management mechanisms that restrict their scalability, especially with respect to administrative overhead. We propose a new set of primitives encompassing syndication, security, and service execution that unifies the management of applications and services across the built environment, while enabling participants to individually delegate privilege across multiple administrative domains with no loss of security or manageability. We show how to leverage a decentralized authorization syndication platform to extend the design of building operating systems beyond the single administrative domain of a building. The authorization system leveraged is based on blockchain smart contracts to permit decentralized and democratized delegation of authorization without central trust. Upon this, a publish/subscribe syndication tier and a containerized service execution environment are constructed. Combined, these mechanisms solve problems of delegation, federation, device protection and service execution that arise throughout the built environment. We leverage a high-fidelity city-scale emulation to verify the scalability of the authorization tier, and briefly describe a prototypical democratized operating system for the built environment using this foundation.This is an extension of work presented in Ref.&amp;nbsp;[3].</t>
  </si>
  <si>
    <t>microservices; Built environment; federation; syndication</t>
  </si>
  <si>
    <t>F38T4NDM</t>
  </si>
  <si>
    <t>Nickel, Matthias; G√∂hringer, Diana</t>
  </si>
  <si>
    <t>A Survey on Architectures, Hardware Acceleration and Challenges for In-Network Computing</t>
  </si>
  <si>
    <t>ACM Trans. Reconfigurable Technol. Syst.</t>
  </si>
  <si>
    <t>1936-7406</t>
  </si>
  <si>
    <t>10.1145/3699514</t>
  </si>
  <si>
    <t>https://doi.org/10.1145/3699514</t>
  </si>
  <si>
    <t>By moving data and computation away from the end user to more powerful servers in the cloud or to cloudlets at the edge, end user devices only need to compute locally for small amounts of data and when low latency is required. However, with the advent of 6G and Internet-of-Everything, the demand for more powerful networks continues to grow. The introduction of Software-Defined Networking and Network Function Virtualization has allowed us to rethink networks and use them for more than just routing data to servers. In addition, the use of more powerful network devices is bringing new life to the concept of active networks in the form of in-network computing. In-Network Computing provides the ability to move applications into the network and process data on programmable network devices as they are transmitted. In this work, we provide an overview of in-network computing and its enabling technologies. We take a look at the programmability and different hardware architectures for SmartNICs and switches, focusing primarily on accelerators such as FPGAs. We discuss the state of the art and challenges in this area, and look at CGRAs, a class of hardware accelerators that have not been widely discussed in this context.</t>
  </si>
  <si>
    <t>CGRA; FPGA; In-Network Computing; SoC; Software-Defined Networking</t>
  </si>
  <si>
    <t>28U94YVT</t>
  </si>
  <si>
    <t>Li, Jing; Guo, Song; Liang, Weifa; Wang, Jianping; Chen, Quan; Xu, Zichuan; Xu, Wenzheng</t>
  </si>
  <si>
    <t>AoI-Aware User Service Satisfaction Enhancement in Digital Twin-Empowered Edge Computing</t>
  </si>
  <si>
    <t>10.1109/TNET.2023.3324704</t>
  </si>
  <si>
    <t>https://doi.org/10.1109/TNET.2023.3324704</t>
  </si>
  <si>
    <t>1677‚Äì1690</t>
  </si>
  <si>
    <t>The emerging digital twin technique enhances the network management efficiency and provides comprehensive insights on network performance, through mapping physical objects to their digital twins. The user satisfaction on digital twin-enabled service relies on the freshness of digital twin data, which is measured by the Age of Information (AoI). Due to long service delays, the use of the remote cloud for delay-sensitive service provisioning faces serious challenges. Mobile Edge Computing (MEC), as an ideal paradigm for delay-sensitive services, is able to realize real-time data communication between physical objects and their digital twins at the network edge. However, the mobility of physical objects and dynamics of user query arrivals make seamless service provisioning in MEC become challenging. In this paper, we investigate dynamic digital twin placements for improving user service satisfaction in MEC environments, by introducing a novel metric to measure user service satisfaction based on the AoI concept and formulating two user service satisfaction enhancement problems: the static and dynamic utility maximization problems under static and dynamic digital twin placement schemes. To this end, we first formulate an Integer Linear Programming (ILP) solution to the static utility maximization problem when the problem size is small; otherwise, we propose a performance-guaranteed approximation algorithm. We then propose an online algorithm with a provable competitive ratio for the dynamic utility maximization problem, by considering dynamic user query services. Finally, we evaluate the performance of the proposed algorithms via simulations. Simulation results demonstrate that the proposed algorithms outperform the comparison baseline algorithms, improving the algorithm performance by at least 10.7%, compared to the baseline algorithms.</t>
  </si>
  <si>
    <t>A53XLMXP</t>
  </si>
  <si>
    <t>Ren, Ju; Zhang, Deyu; He, Shiwen; Zhang, Yaoxue; Li, Tao</t>
  </si>
  <si>
    <t>A Survey on End-Edge-Cloud Orchestrated Network Computing Paradigms: Transparent Computing, Mobile Edge Computing, Fog Computing, and Cloudlet</t>
  </si>
  <si>
    <t>10.1145/3362031</t>
  </si>
  <si>
    <t>https://doi.org/10.1145/3362031</t>
  </si>
  <si>
    <t>2019-10</t>
  </si>
  <si>
    <t>Sending data to the cloud for analysis was a prominent trend during the past decades, driving cloud computing as a dominant computing paradigm. However, the dramatically increasing number of devices and data traffic in the Internet-of-Things (IoT) era are posing significant burdens on the capacity-limited Internet and uncontrollable service delay. It becomes difficult to meet the delay-sensitive and context-aware service requirements of IoT applications by using cloud computing alone. Facing these challenges, computing paradigms are shifting from the centralized cloud computing to distributed edge computing. Several new computing paradigms, including Transparent Computing, Mobile Edge Computing, Fog Computing, and Cloudlet, have emerged to leverage the distributed resources at network edge to provide timely and context-aware services. By integrating end devices, edge servers, and cloud, they form a hierarchical IoT architecture, i.e., End-Edge-Cloud orchestrated architecture to improve the performance of IoT systems. This article presents a comprehensive survey of these emerging computing paradigms from the perspective of end-edge-cloud orchestration. Specifically, we first introduce and compare the architectures and characteristics of different computing paradigms. Then, a comprehensive survey is presented to discuss state-of-the-art research in terms of computation offloading, caching, security, and privacy. Finally, some potential research directions are envisioned for fostering continuous research efforts.</t>
  </si>
  <si>
    <t>fog computing; cloudlet; End-edge-cloud orchestration; mobile edge computing; network computing; transparent computing</t>
  </si>
  <si>
    <t>MLANJATZ</t>
  </si>
  <si>
    <t>Bellavista, Paolo; Bicocchi, Nicola; Fogli, Mattia; Giannelli, Carlo; Mamei, Marco; Picone, Marco</t>
  </si>
  <si>
    <t>An Entanglement-Aware Middleware for Digital Twins</t>
  </si>
  <si>
    <t>10.1145/3699520</t>
  </si>
  <si>
    <t>https://doi.org/10.1145/3699520</t>
  </si>
  <si>
    <t>The development of the Digital Twin (DT) approach is tilting research from initial approaches that aim at promoting early adoption to sophisticated attempts to develop, deploy, and maintain applications based on DTs. In this context, we propose a highly dynamic and distributed ecosystem where containerized DTs co-evolve with an orchestration middleware. DTs provide digitalized representations of the targeted physical systems, while the orchestration middleware monitors and re-configures the deployed DTs in light of application constraints, available resources, and the quality of cyber-physical entanglement. First, we lay out the reference scenario. Then, we discuss the limitations of current approaches and identify a set of requirements that shape both DTs and the orchestration middleware. Subsequently, we describe a blueprint architecture that meets those requirements. Finally, we report empirical evidence on both the feasibility and the effectiveness of a proof-of-concept implementation of the proposed ecosystem.</t>
  </si>
  <si>
    <t>digital twins; middleware; Cyber-physical systems; entanglement</t>
  </si>
  <si>
    <t>5ZQH7DNR</t>
  </si>
  <si>
    <t>Paleyes, Andrei; Urma, Raoul-Gabriel; Lawrence, Neil D.</t>
  </si>
  <si>
    <t>Challenges in Deploying Machine Learning: A Survey of Case Studies</t>
  </si>
  <si>
    <t>10.1145/3533378</t>
  </si>
  <si>
    <t>https://doi.org/10.1145/3533378</t>
  </si>
  <si>
    <t>In recent years, machine learning has transitioned from a field of academic research interest to a field capable of solving real-world business problems. However, the deployment of machine learning models in production systems can present a number of issues and concerns. This survey reviews published reports of deploying machine learning solutions in a variety of use cases, industries, and applications and extracts practical considerations corresponding to stages of the machine learning deployment workflow. By mapping found challenges to the steps of the machine learning deployment workflow, we show that practitioners face issues at each stage of the deployment process. The goal of this article is to lay out a research agenda to explore approaches addressing these challenges.</t>
  </si>
  <si>
    <t>Machine learning applications; sofware deployment</t>
  </si>
  <si>
    <t>JEJNLD4V</t>
  </si>
  <si>
    <t>Rac, Samuel; Brorsson, Mats</t>
  </si>
  <si>
    <t>Cost-aware Service Placement and Scheduling in the Edge-Cloud Continuum</t>
  </si>
  <si>
    <t>10.1145/3640823</t>
  </si>
  <si>
    <t>https://doi.org/10.1145/3640823</t>
  </si>
  <si>
    <t>2024-03</t>
  </si>
  <si>
    <t>The edge to data center computing continuum is the aggregation of computing resources located anywhere between the network edge (e.g., close to 5G antennas), and servers in traditional data centers. Kubernetes is the de facto standard for the orchestration of services in data center environments, where it is very efficient. It, however, fails to give the same performance when including edge resources. At the edge, resources are more limited, and networking conditions are changing over time.In this article, we present a methodology that lowers the costs of running applications in the edge-to-cloud computing continuum. This methodology can adapt to changing environments, e.g., moving end-users. We are also monitoring some Key Performance Indicators of the applications to ensure that cost optimizations do not negatively impact their Quality of Service. In addition, to ensure that performances are optimal even when users are moving, we introduce a background process that periodically checks if a better location is available for the service and, if so, moves the service. To demonstrate the performance of our scheduling approach, we evaluate it using a vehicle cooperative perception use case, a representative 5G application. With this use case, we can demonstrate that our scheduling approach can robustly lower the cost in different scenarios, while other approaches that are already available fail in either being adaptive to changing environments or will have poor cost-effectiveness in some scenarios.</t>
  </si>
  <si>
    <t>Cloud computing; resource allocation; scheduling; Kubernetes; edge computing; 5G; container orchestration</t>
  </si>
  <si>
    <t>L8PYIKIN</t>
  </si>
  <si>
    <t>Hamissi, Asma; Dhraief, Amine</t>
  </si>
  <si>
    <t>A Survey on the Unmanned Aircraft System Traffic Management</t>
  </si>
  <si>
    <t>10.1145/3617992</t>
  </si>
  <si>
    <t>https://doi.org/10.1145/3617992</t>
  </si>
  <si>
    <t>The Unmanned Aircraft System Traffic Management (UTM) system is a set of services offering an automated management of the airspace and thus providing safe and secure Unmanned Aerial Vehicle (UAV) flights in both controlled and uncontrolled airspace. Controlled airspace refers to the portion of the airspace that is under the authority of Air Traffic Control (ATC) and where separation services are offered, while uncontrolled airspace refers to the portion of airspace where aircraft are not regulated by ATC. This article is a comprehensive survey of the existing UTMs development efforts with a focus on the different UTMs architectures, the provided services, the used communication technologies and the decision-making process within UTMs. We firstly review the different UTM architecture and propose a novel UTM taxonomy based on high-level qualitative criteria. Secondly, we detail the services provided by UTMs with an emphasis on the used technologies in the identification, the surveillance, the monitoring, and the deconfliction services. Effective decision-making is crucial, particularly in emergency scenarios such as Air-to-Ground (A2G) communication loss, battery or motor malfunction, or encountering aerial obstacles, among other potential hazards. Despite its significance, the UTM decision-making process is not enough considered in the literature and especially in UTM surveys. We analyze and compare in this article both the centralized and decentralized UTM decision-making. Centralized decision-making is not conducted in real-time and primarily relies on Air-to-Ground (A2G) communication. In the decentralized case, the decision-making process primarily relies on communication and collaboration among UAVs with varying degrees of autonomy. We show in this paper that centralized decision-making may encounter issues with packet loss and imperfect data, which can negatively impact the quality of decision-making. We also highlight that the decentralized decision-making may also face challenges related to security and scalability, which can hinder its effectiveness. Finally, evaluating the performance of UTMs on a real environment raises several challenges and the simulation is a cost-effective alternative. Hence, we provide a summary of the existing UTMs simulators and discuss their main features.</t>
  </si>
  <si>
    <t>performance; architecture; services; UAV; communication; decision-making; simulators; UTM</t>
  </si>
  <si>
    <t>4D7H4EPQ</t>
  </si>
  <si>
    <t>Ma, Xueyan</t>
  </si>
  <si>
    <t>The Application Research of Distributed Interface Coordination Based on Deep Reinforcement Learning in English MOOC Platform</t>
  </si>
  <si>
    <t>ACM Trans. Asian Low-Resour. Lang. Inf. Process.</t>
  </si>
  <si>
    <t>2375-4699</t>
  </si>
  <si>
    <t>10.1145/3614428</t>
  </si>
  <si>
    <t>https://doi.org/10.1145/3614428</t>
  </si>
  <si>
    <t>Developing information technology and other business management firms is not the same as technological advancement. The only way we can declare that complete technical progress is in place and operating well in the nation is if the education system has been built. The educational system is set up to instruct pupils via wireless technologies and online classes. Advancement in online classes has resulted in the Massive Open Online Courses (MOOC) Platform. The advantage of the MOOC platform is that it is a platform that provides free online courses for anyone to register and continue the course at their own pace. On this MOOC platform, implementing Deep Reinforcement Learning (DRL) aids in choosing the course and learning through an intelligent mechanism. The transmission between students and teachers will significantly rise because of this teaching strategy through the Distributed Interface Coordination (DIC) mechanism where the resources are distributed in the wireless networking environment. Additionally, the registered students should possess privileges to access the resources. This combination of DIC with DRL can be termed as DIC-DRL model for the proposed system. The data was collected using a low packet rate and outdated wireless connection technologies. The suggested model has a 97.67 percent accuracy rate in comparison with the existing model's support vector machine (SVM) mechanism.</t>
  </si>
  <si>
    <t>Deep Reinforcement Learning (DRL); DIC-DRL model; Distributed Interface Coordination (DIC); English Learning; intelligent mechanism; Massive Open Online Courses (MOOC) Platform; Support Vector Machine (SVM); Wireless networking environment</t>
  </si>
  <si>
    <t>YHQFK5BU</t>
  </si>
  <si>
    <t>Korala, Harindu; Georgakopoulos, Dimitrios; Jayaraman, Prem Prakash; Yavari, Ali</t>
  </si>
  <si>
    <t>A Survey of Techniques for Fulfilling the Time-Bound Requirements of Time-Sensitive IoT Applications</t>
  </si>
  <si>
    <t>10.1145/3510411</t>
  </si>
  <si>
    <t>https://doi.org/10.1145/3510411</t>
  </si>
  <si>
    <t>This article surveys existing techniques for meeting the time-bound requirements of time-sensitive applications in the Internet of Things (IoT). To provide the foundation for identifying and classifying relevant techniques, we present three sample time-sensitive IoT applications and their time-bound requirements, describe the main computation and network resources in IoT that can be used to process such applications, and identify the main challenges in meeting their time-bound requirements. Based on these, the article presents a comprehensive literature review of existing techniques and tools that can help meet application-specific time-bound requirements in IoT. The article also includes a gap analysis in existing research outcomes and proposes research directions for bridging the remaining research gaps in supporting time-sensitive IoT applications.</t>
  </si>
  <si>
    <t>Internet of Things (IoT); time sensitive; time-bound</t>
  </si>
  <si>
    <t>45TAH7DP</t>
  </si>
  <si>
    <t>Merlino, Giovanni; Dautov, Rustem; Distefano, Salvatore; Bruneo, Dario</t>
  </si>
  <si>
    <t>Enabling Workload Engineering in Edge, Fog, and Cloud Computing through OpenStack-based Middleware</t>
  </si>
  <si>
    <t>10.1145/3309705</t>
  </si>
  <si>
    <t>https://doi.org/10.1145/3309705</t>
  </si>
  <si>
    <t>2019-04</t>
  </si>
  <si>
    <t>To enable and support smart environments, a recent ICT trend promotes pushing computation from the remote Cloud as close to data sources as possible, resulting in the emergence of the Fog and Edge computing paradigms. Together with Cloud computing, they represent a stacked architecture, in which raw datasets are first pre-processed locally at the Edge and then vertically offloaded to the Fog and/or the Cloud. However, as hardware is becoming increasingly powerful, Edge devices are seen as candidates for offering data processing capabilities, able to pool and share computing resources to achieve better performance at a lower network latency‚Äîa pattern that can be also applied to Fog nodes. In these circumstances, it is important to enable efficient, intelligent, and balanced allocation of resources, as well as their further orchestration, in an elastic and transparent manner. To address such a requirement, this article proposes an OpenStack-based middleware platform through which resource containers at the Edge, Fog, and Cloud levels can be discovered, combined, and provisioned to end users and applications, thereby facilitating and orchestrating offloading processes. As demonstrated through a proof of concept on an intelligent surveillance system, by converging the Edge, Fog, and Cloud, the proposed architecture has the potential to enable faster data processing, as compared to processing at the Edge, Fog, or Cloud levels separately. This also allows architects to combine different offloading patterns in a flexible and fine-grained manner, thus providing new workload engineering patterns. Measurements demonstrated the effectiveness of such patterns, even outperforming edge clusters.</t>
  </si>
  <si>
    <t>cloud computing; edge; IoT; Fog; big data; offloading; smart environment; Stack4Things</t>
  </si>
  <si>
    <t>JGQ6PMNH</t>
  </si>
  <si>
    <t>Liu, Xuanzhe; Yu, Meihua; Ma, Yun; Huang, Gang; Mei, Hong; Liu, Yunxin</t>
  </si>
  <si>
    <t>i-Jacob: An Internetware-Oriented Approach to Optimizing Computation-Intensive Mobile Web Browsing</t>
  </si>
  <si>
    <t>10.1145/3093899</t>
  </si>
  <si>
    <t>https://doi.org/10.1145/3093899</t>
  </si>
  <si>
    <t>2018-03</t>
  </si>
  <si>
    <t>Web browsing is always a key requirement of Internet users. Current mobile Web apps can contain computation-intensive JavaScript logics and thus affect browsing performance. Learning from our over-decade research and development experiences of the Internetware paradigm, we present the novel and generic i-Jacob approach to improving the performance of mobile Web browsing with effective JavaScript-code offloading. Our approach proposes a programming abstraction to make mobile Web situational and adaptive to contexts, by specifying the computation-intensive and ‚Äú offloadable ‚Äù code, and develops a platform-independent lightweight runtime spanning the mobile devices and the cloud. We demonstrate the efficiency of i-Jacob with some typical computation-intensive tasks over various combinations of hardware, operating systems, browsers, and network connections. The improvements can reach up to 49√ó speed-up in response time and 90% saving in energy.</t>
  </si>
  <si>
    <t>performance; energy; JavaScript offloading; Mobile Web</t>
  </si>
  <si>
    <t>HLIANRHN</t>
  </si>
  <si>
    <t>Lubbers, Mart; Koopman, Pieter; Ramsingh, Adrian; Singer, Jeremy; Trinder, Phil</t>
  </si>
  <si>
    <t>Could Tierless Languages Reduce IoT Development Grief?</t>
  </si>
  <si>
    <t>10.1145/3572901</t>
  </si>
  <si>
    <t>https://doi.org/10.1145/3572901</t>
  </si>
  <si>
    <t>Internet of Things (IoT) software is notoriously complex, conventionally comprising multiple tiers. Traditionally an IoT developer must use multiple programming languages and ensure that the components interoperate correctly. A novel alternative is to use a single tierless language with a compiler that generates the code for each component and ensures their correct interoperation.We report a systematic comparative evaluation of two tierless language technologies for IoT stacks: one for resource-rich sensor nodes (Clean with iTask) and one for resource-constrained sensor nodes (Clean with iTask and mTask). The evaluation is based on four implementations of a typical smart campus application: two tierless and two Python-based tiered.(1) We show that tierless languages have the potential to significantly reduce the development effort for IoT systems, requiring 70% less code than the tiered implementations. Careful analysis attributes this code reduction to reduced interoperation (e.g., two embedded domain-specific languages and one paradigm versus seven languages and two paradigms), automatically generated distributed communication, and powerful IoT programming abstractions. (2) We show that tierless languages have the potential to significantly improve the reliability of IoT systems, describing how Clean iTask/mTask maintains type safety, provides higher-order failure management, and simplifies maintainability. (3) We report the first comparison of a tierless IoT codebase for resource-rich sensor nodes with one for resource-constrained sensor nodes. The comparison shows that they have similar code size (within 7%), and functional structure. (4) We present the first comparison of two tierless IoT languages, one for resource-rich sensor nodes and the other for resource-constrained sensor nodes.</t>
  </si>
  <si>
    <t>IoT stacks; Tierless languages</t>
  </si>
  <si>
    <t>M6SBFFEW</t>
  </si>
  <si>
    <t>Mampage, Anupama; Karunasekera, Shanika; Buyya, Rajkumar</t>
  </si>
  <si>
    <t>A Holistic View on Resource Management in Serverless Computing Environments: Taxonomy and Future Directions</t>
  </si>
  <si>
    <t>10.1145/3510412</t>
  </si>
  <si>
    <t>https://doi.org/10.1145/3510412</t>
  </si>
  <si>
    <t>Serverless computing has emerged as an attractive deployment option for cloud applications in recent times. The unique features of this computing model include rapid auto-scaling, strong isolation, fine-grained billing options, and access to a massive service ecosystem, which autonomously handles resource management decisions. This model is increasingly being explored for deployments in geographically distributed edge and fog computing networks as well, due to these characteristics. Effective management of computing resources has always gained a lot of attention among researchers. The need to automate the entire process of resource provisioning, allocation, scheduling, monitoring, and scaling has resulted in the need for specialized focus on resource management under the serverless model. In this article, we identify the major aspects covering the broader concept of resource management in serverless environments and propose a taxonomy of elements that influence these aspects, encompassing characteristics of system design, workload attributes, and stakeholder expectations. We take a holistic view on serverless environments deployed across edge, fog, and cloud computing networks. We also analyse existing works discussing aspects of serverless resource management using this taxonomy. This article further identifies gaps in literature and highlights future research directions for improving capabilities of this computing model.</t>
  </si>
  <si>
    <t>workload characterization; resource management; resource scheduling; application modelling; performance prediction; resource scaling; Serverless computing</t>
  </si>
  <si>
    <t>RJFIIJ82</t>
  </si>
  <si>
    <t>Wang, Minhu; Xu, Mingwei; Wu, Jianping</t>
  </si>
  <si>
    <t>Understanding I/O Direct Cache Access Performance for End Host Networking</t>
  </si>
  <si>
    <t>Proc. ACM Meas. Anal. Comput. Syst.</t>
  </si>
  <si>
    <t>10.1145/3508042</t>
  </si>
  <si>
    <t>https://doi.org/10.1145/3508042</t>
  </si>
  <si>
    <t>Direct Cache Access (DCA) enables a network interface card (NIC) to load and store data directly on the processor cache, as conventional Direct Memory Access (DMA) is no longer suitable as the bridge between NIC and CPU in the era of 100 Gigabit Ethernet. As numerous I/O devices and cores compete for scarce cache resources, making the most of DCA for networking applications with varied objectives and constraints is a challenge, especially given the increasing complexity of modern cache hardware and I/O stacks. In this paper, we reverse engineer details of one commercial implementation of DCA, Intel's Data Direct I/O (DDIO), to explicate the importance of hardware-level investigation into DCA. Based on the learned knowledge of DCA and network I/O stacks, we (1) develop an analytical framework to predict the effectiveness of DCA (i.e., its hit rate) under certain hardware specifications, system configurations, and application properties; (2) measure penalties of the ineffective use of DCA (i.e., its miss penalty) to characterize its benefits; and (3) show that our reverse engineering, measurement, and model contribute to a deeper understanding of DCA, which in turn helps diagnose, optimize, and design end-host networking.</t>
  </si>
  <si>
    <t>direct cache access; end host networking</t>
  </si>
  <si>
    <t>J27ARFTE</t>
  </si>
  <si>
    <t>Shafiei, Hossein; Khonsari, Ahmad; Mousavi, Payam</t>
  </si>
  <si>
    <t>Serverless Computing: A Survey of Opportunities, Challenges, and Applications</t>
  </si>
  <si>
    <t>10.1145/3510611</t>
  </si>
  <si>
    <t>https://doi.org/10.1145/3510611</t>
  </si>
  <si>
    <t>The emerging serverless computing paradigm has attracted attention from both academia and industry. This paradigm brings benefits such as less operational complexity, a pay-as-you-go pricing model, and an auto-scaling feature. The paradigm opens up new opportunities and challenges for cloud application developers. In this article, we present a comprehensive overview of the past development as well as the recent advances in research areas related to serverless computing. First, we survey serverless applications introduced in the literature. We categorize applications in eight domains and separately discuss the objectives and the viability of the serverless paradigm along with challenges in each of those domains. We then classify those challenges into nine topics and survey the proposed solutions. Finally, we present the areas that need further attention from the research community and identify open problems.</t>
  </si>
  <si>
    <t>serverless computing; Cloud services; function-as-a-service (FaaS)</t>
  </si>
  <si>
    <t>BVAY64B5</t>
  </si>
  <si>
    <t>Jarkas, Omar; Ko, Ryan; Dong, Naipeng; Mahmud, Redowan</t>
  </si>
  <si>
    <t>A Container Security Survey: Exploits, Attacks, and Defenses</t>
  </si>
  <si>
    <t>10.1145/3715001</t>
  </si>
  <si>
    <t>https://doi.org/10.1145/3715001</t>
  </si>
  <si>
    <t>Containerization significantly boosts cloud computing efficiency by reducing resource consumption, enhancing scalability, and simplifying orchestration. Yet, these same features introduce notable security vulnerabilities due to the shared Linux kernel and reduced isolation compared to traditional virtual machines (VMs). This architecture, while resource-efficient, increases susceptibility to software vulnerabilities, exposing containers to potential breaches; a single kernel vulnerability could compromise all containers on the same host. Existing academic research on container security is often theoretical and lacks empirical data on the nature of attacks, exploits, and vulnerabilities. Studies that do look at vulnerabilities often focus on specific types. This lack of detailed data and breadth hampers the development of effective mitigation strategies and restricts insights into the inherent weaknesses of containers. To address these gaps, our study introduces a novel taxonomy integrating academic knowledge with industry insights and real-world vulnerabilities, creating a comprehensive and actionable framework for container security. We analyzed over 200 container-related vulnerabilities, categorizing them into 47 exploit types across 11 distinct attack vectors. This taxonomy not only advances theoretical understanding but also facilitates the identification of vulnerabilities and the implementation of effective mitigation strategies in containerized environments. Our approach enhances the resilience of these environments by mapping vulnerabilities to their corresponding exploits and mitigation strategies, especially in complex, multi-tenant cloud settings. By providing actionable insights, our taxonomy helps practitioners enhance container security. Our findings have identified critical areas for further investigation, thereby laying a comprehensive foundation for future research and improving container security in cloud environments.</t>
  </si>
  <si>
    <t>cloud computing; confidential computing; Containerization security; hardware-based security; vulnerabilities</t>
  </si>
  <si>
    <t>B3DQ34Y7</t>
  </si>
  <si>
    <t>Puliafito, Carlo; Mingozzi, Enzo; Longo, Francesco; Puliafito, Antonio; Rana, Omer</t>
  </si>
  <si>
    <t>Fog Computing for the Internet of Things: A Survey</t>
  </si>
  <si>
    <t>10.1145/3301443</t>
  </si>
  <si>
    <t>https://doi.org/10.1145/3301443</t>
  </si>
  <si>
    <t>Research in the Internet of Things (IoT) conceives a world where everyday objects are connected to the Internet and exchange, store, process, and collect data from the surrounding environment. IoT devices are becoming essential for supporting the delivery of data to enable electronic services, but they are not sufficient in most cases to host application services directly due to their intrinsic resource constraints. Fog Computing (FC) can be a suitable paradigm to overcome these limitations, as it can coexist and cooperate with centralized Cloud systems and extends the latter toward the network edge. In this way, it is possible to distribute resources and services of computing, storage, and networking along the Cloud-to-Things continuum. As such, FC brings all the benefits of Cloud Computing (CC) closer to end (user) devices. This article presents a survey on the employment of FC to support IoT devices and services. The principles and literature characterizing FC are described, highlighting six IoT application domains that may benefit from the use of this paradigm. The extension of Cloud systems towards the network edge also creates new challenges and can have an impact on existing approaches employed in Cloud-based deployments. Research directions being adopted by the community are highlighted, with an indication of which of these are likely to have the greatest impact. An overview of existing FC software and hardware platforms for the IoT is also provided, along with the standardisation efforts in this area initiated by the OpenFog Consortium (OFC).</t>
  </si>
  <si>
    <t>cloud computing; Fog computing; internet of things; topological proximity</t>
  </si>
  <si>
    <t>YGR6PB53</t>
  </si>
  <si>
    <t>Sobhy, Dalia; Bahsoon, Rami; Minku, Leandro; Kazman, Rick</t>
  </si>
  <si>
    <t>Evaluation of Software Architectures under Uncertainty: A Systematic Literature Review</t>
  </si>
  <si>
    <t>10.1145/3464305</t>
  </si>
  <si>
    <t>https://doi.org/10.1145/3464305</t>
  </si>
  <si>
    <t>2021-08</t>
  </si>
  <si>
    <t>Context: Evaluating software architectures in uncertain environments raises new challenges, which require continuous approaches. We define continuous evaluation as multiple evaluations of the software architecture that begins at the early stages of the development and is periodically and repeatedly performed throughout the lifetime of the software system. Numerous approaches have been developed for continuous evaluation; to handle dynamics and uncertainties at run-time, over the past years, these approaches are still very few, limited, and lack maturity. Objective: This review surveys efforts on architecture evaluation and provides a unified terminology and perspective on the subject. Method: We conducted a systematic literature review to identify and analyse architecture evaluation approaches for uncertainty including continuous and non-continuous, covering work published between 1990‚Äì2020. We examined each approach and provided a classification framework for this field. We present an analysis of the results and provide insights regarding open challenges. Major results and conclusions: The survey reveals that most of the existing architecture evaluation approaches typically lack an explicit linkage between design-time and run-time. Additionally, there is a general lack of systematic approaches on how continuous architecture evaluation can be realised or conducted. To remedy this lack, we present a set of necessary requirements for continuous evaluation and describe some examples.</t>
  </si>
  <si>
    <t>Continuous software architecture evaluation; design-time software architecture evaluation; run-time software architecture evaluation; uncertainty</t>
  </si>
  <si>
    <t>GAFQCIKE</t>
  </si>
  <si>
    <t>Tang, Li; Hu, Haibo; Gabbouj, Moncef; Ye, Qingqing; Xiang, Yang; Li, Jin; Li, Lang</t>
  </si>
  <si>
    <t>A Survey on Securing Image-Centric Edge Intelligence</t>
  </si>
  <si>
    <t>ACM Trans. Multimedia Comput. Commun. Appl.</t>
  </si>
  <si>
    <t>1551-6857</t>
  </si>
  <si>
    <t>10.1145/3700792</t>
  </si>
  <si>
    <t>https://doi.org/10.1145/3700792</t>
  </si>
  <si>
    <t>Facing enormous data generated at the network edge, Edge Intelligence (EI) emerges as the fusion of Edge Computing and Artificial Intelligence, revolutionizing edge data processing and intelligent decision-making. Nonetheless, this emergent mode presents a complex array of security challenges, particularly prominent in image-centric applications due to the sheer volume of visual data and its direct connection to user privacy. These challenges include safeguarding model/image privacy and ensuring model integrity against various security threats, such as model poisoning. Essentially, those threats originate from data attacks, suggesting data protection as a promising solution. Although data protection measures are well-established in other domains, image-centric EI necessitates focused research. This survey examines the security issues inherent to image-centric EI and outlines the protection efforts, providing a comprehensive overview of the landscape. We begin by introducing EI, detailing its operational mechanics and associated security issues. We then explore the technologies facilitating security enhancement (e.g., differential privacy) and edge intelligence (e.g., compact networks and distributed learning frameworks). Next, we categorize security strategies by their application in data preparation, training, and inference, with a focus on image-based contexts. Despite these efforts on security, our investigation identifies research gaps. We also outline promising research directions to bridge these gaps, bolstering security frameworks in image-centric EI applications.</t>
  </si>
  <si>
    <t>48INE4AI</t>
  </si>
  <si>
    <t>Gheibi, Omid; Weyns, Danny; Quin, Federico</t>
  </si>
  <si>
    <t>Applying Machine Learning in Self-adaptive Systems: A Systematic Literature Review</t>
  </si>
  <si>
    <t>10.1145/3469440</t>
  </si>
  <si>
    <t>https://doi.org/10.1145/3469440</t>
  </si>
  <si>
    <t>Recently, we have been witnessing a rapid increase in the use of machine learning techniques in self-adaptive systems. Machine learning has been used for a variety of reasons, ranging from learning a model of the environment of a system during operation to filtering large sets of possible configurations before analyzing them. While a body of work on the use of machine learning in self-adaptive systems exists, there is currently no systematic overview of this area. Such an overview is important for researchers to understand the state of the art and direct future research efforts. This article reports the results of a systematic literature review that aims at providing such an overview. We focus on self-adaptive systems that are based on a traditional Monitor-Analyze-Plan-Execute (MAPE)-based feedback loop. The research questions are centered on the problems that motivate the use of machine learning in self-adaptive systems, the key engineering aspects of learning in self-adaptation, and open challenges in this area. The search resulted in 6,709 papers, of which 109 were retained for data collection. Analysis of the collected data shows that machine learning is mostly used for updating adaptation rules and policies to improve system qualities, and managing resources to better balance qualities and resources. These problems are primarily solved using supervised and interactive learning with classification, regression, and reinforcement learning as the dominant methods. Surprisingly, unsupervised learning that naturally fits automation is only applied in a small number of studies. Key open challenges in this area include the performance of learning, managing the effects of learning, and dealing with more complex types of goals. From the insights derived from this systematic literature review, we outline an initial design process for applying machine learning in self-adaptive systems that are based on MAPE feedback loops.</t>
  </si>
  <si>
    <t>Self-adaptation; feedback loops; MAPE-K</t>
  </si>
  <si>
    <t>M7N6N4DJ</t>
  </si>
  <si>
    <t>Welsh, Thomas; Benkhelifa, Elhadj</t>
  </si>
  <si>
    <t>On Resilience in Cloud Computing: A Survey of Techniques across the Cloud Domain</t>
  </si>
  <si>
    <t>10.1145/3388922</t>
  </si>
  <si>
    <t>https://doi.org/10.1145/3388922</t>
  </si>
  <si>
    <t>Cloud infrastructures are highly favoured as a computing delivery model worldwide, creating a strong societal dependence. It is therefore vital to enhance their resilience, providing persistent service delivery under a variety of conditions. Cloud environments are highly complex and continuously evolving. Additionally, the plethora of use-cases ensures requirements for persistent service delivery vary. As a contribution to knowledge, this work surveys resilience techniques for cloud environments. We apply a novel perspective using a layered model of traditional and emerging cloud paradigms. Works are then classified according to the Resilinets model. For each layer, the most common techniques with limitations are derived including an actor‚Äôs strength in influencing resilience in the cloud with each technique. We conclude with some future challenges to the field of resilient cloud computing.</t>
  </si>
  <si>
    <t>cloud; edge; survey; fog; Resilience</t>
  </si>
  <si>
    <t>FZ5BDYZW</t>
  </si>
  <si>
    <t>Weyns, Danny; Gerostathopoulos, Ilias; Abbas, Nadeem; Andersson, Jesper; Biffl, Stefan; Brada, Premek; Bures, Tomas; Di Salle, Amleto; Galster, Matthias; Lago, Patricia; Lewis, Grace; Litoiu, Marin; Musil, Angelika; Musil, Juergen; Patros, Panos; Pelliccione, Patrizio</t>
  </si>
  <si>
    <t>Self-Adaptation in Industry: A Survey</t>
  </si>
  <si>
    <t>10.1145/3589227</t>
  </si>
  <si>
    <t>https://doi.org/10.1145/3589227</t>
  </si>
  <si>
    <t>2023-05</t>
  </si>
  <si>
    <t>Computing systems form the backbone of many areas in our society, from manufacturing to traffic control, healthcare, and financial systems. When software plays a vital role in the design, construction, and operation, these systems are referred to as software-intensive systems. Self-adaptation equips a software-intensive system with a feedback loop that either automates tasks that otherwise need to be performed by human operators or deals with uncertain conditions. Such feedback loops have found their way to a variety of practical applications; typical examples are an elastic cloud to adapt computing resources and automated server management to respond quickly to business needs. To gain insight into the motivations for applying self-adaptation in practice, the problems solved using self-adaptation and how these problems are solved, and the difficulties and risks that industry faces in adopting self-adaptation, we performed a large-scale survey. We received 184 valid responses from practitioners spread over 21 countries. Based on the analysis of the survey data, we provide an empirically grounded overview the of state of the practice in the application of self-adaptation. From that, we derive insights for researchers to check their current research with industrial needs, and for practitioners to compare their current practice in applying self-adaptation. These insights also provide opportunities for applying self-adaptation in practice and pave the way for future industry-research collaborations.</t>
  </si>
  <si>
    <t>Self-adaptation; survey; industry</t>
  </si>
  <si>
    <t>6TWBXYSL</t>
  </si>
  <si>
    <t>Li, Zijun; Guo, Linsong; Cheng, Jiagan; Chen, Quan; He, Bingsheng; Guo, Minyi</t>
  </si>
  <si>
    <t>The Serverless Computing Survey: A Technical Primer for Design Architecture</t>
  </si>
  <si>
    <t>10.1145/3508360</t>
  </si>
  <si>
    <t>https://doi.org/10.1145/3508360</t>
  </si>
  <si>
    <t>The development of cloud infrastructures inspires the emergence of cloud-native computing. As the most promising architecture for deploying microservices, serverless computing has recently attracted more and more attention in both industry and academia. Due to its inherent scalability and flexibility, serverless computing becomes attractive and more pervasive for ever-growing Internet services. Despite the momentum in the cloud-native community, the existing challenges and compromises still wait for more advanced research and solutions to further explore the potential of the serverless computing model. As a contribution to this knowledge, this article surveys and elaborates the research domains in the serverless context by decoupling the architecture into four stack layers: Virtualization, Encapsule, System Orchestration, and System Coordination. Inspired by the security model, we highlight the key implications and limitations of these works in each layer, and make suggestions for potential challenges to the field of future serverless computing.</t>
  </si>
  <si>
    <t>FaaS; Serverless computing; architecture design; Lambda paradigm</t>
  </si>
  <si>
    <t>P75ZQB4U</t>
  </si>
  <si>
    <t>Ye, Peigen; Wang, Wenfeng; Mi, Bing; Chen, Kongyang</t>
  </si>
  <si>
    <t>EdgeStreaming: Secure Computation Intelligence in Distributed Edge Networks for Streaming Analytics</t>
  </si>
  <si>
    <t>10.1145/3686161</t>
  </si>
  <si>
    <t>https://doi.org/10.1145/3686161</t>
  </si>
  <si>
    <t>In modern information systems, real-time streaming data are generated in various vertical application scenarios, such as industrial security cameras, household intelligent devices, mobile robots and among others. However, these low-end devices can hardly provide real-time and accurate data analysis functionalities due to their limited on-board performances. Traditional centralized server computing also suffers from its prolonged transmission latency, resulting in huge response time. To deal with this problem, this paper presents a novel distributed computation intelligent system with nearby edge devices, abbreviated as EdgeStreaming, to facilitate rapid and accurate analysis of streaming data. Firstly, we thoroughly explore the available edge devices surrounding the terminal to generate an internally interconnected edge network. This edge network real-time perceives and updates the internal resource status of each edge device, such as computational and storage resources. Dynamic allocation of external computational or storage demands can be made based on the current load of individual edge devices. Consequently, the streaming data perceived by external terminal devices can be transmitted in real-time to any edge gateway. The edge network employs a well-designed task scheduling strategy to partition and allocate streaming data processing demands to one or multiple edge devices. Additionally, it customizes computational requirements judiciously, for instance, by utilizing model compression to expedite computation speed. We deployed an edge network comprising multiple Raspberry Pis, NVIDIA Jetson Nano, and Jetson NVIDIA TX2 devices, successfully achieving real-time analysis and detection of video streaming data. We believe our work provides new technological support for the real-time processing of streaming data.</t>
  </si>
  <si>
    <t>Blockchain; Distributed Computing; Edge Computing; Streaming Data</t>
  </si>
  <si>
    <t>HXHUZN67</t>
  </si>
  <si>
    <t>Barriga, Arturo; Barriga, Jos√© A.; P√©rez-Toledano, Miguel A.; Clemente, Pedro J.</t>
  </si>
  <si>
    <t>Model-Driven Development Towards Distributed Intelligent Systems</t>
  </si>
  <si>
    <t>10.1145/3687472</t>
  </si>
  <si>
    <t>https://doi.org/10.1145/3687472</t>
  </si>
  <si>
    <t>A Distributed Intelligent System (DIS) encompasses a set of intelligent subsystems and components that collaborate to perform tasks and solve problems. Given the advancements of paradigms such as the Internet of Things, along with the advancements of technologies such as Machine Learning and Digital Twins, DISs are on the rise. These systems are increasingly integrating components that perform intelligent functions, and these intelligent functions are increasingly heterogeneous and varied. Moreover, there is no standardized framework to help researchers and practitioners adequately address DISs. As a result, the complexity, interoperability issues, and development time and costs of these systems are growing. However, Model-Driven Development (MDD) can help to address these challenges by providing a Domain-Specific Language (DSL) for developing DISs. In this work, a DSL for the design, validation, generation, and deployment of DISs is proposed. Firstly, the proposed DSL captures in a metamodel the key and high-level abstract concepts of the distinct DISs documented in the literature. Then, it allows modeling of DISs conforming to this metamodel. Subsequently, the DSL enables formal validation of the modeled systems. Lastly, it allows the generation and deployment of all DISs into production. Therefore, the work undertaken in this communication provides a methodological, formal, and standardized approach to defining and developing DISs from a high level of abstraction. This work allows users to address DISs by facilitating agility, minimizing manual tasks, and reducing the number of defects introduced in their development. To illustrate the applicability of the proposed DSL, a real case study of an agricultural digital twin is presented.</t>
  </si>
  <si>
    <t>Internet of Things; model-driven development; digital twin; Distributed intelligent system; model-to- text transformation</t>
  </si>
  <si>
    <t>CQHGZGWB</t>
  </si>
  <si>
    <t>Li, Yuhao; Sun, Dan; Lee, Benjamin C.</t>
  </si>
  <si>
    <t>Dynamic Colocation Policies with Reinforcement Learning</t>
  </si>
  <si>
    <t>10.1145/3375714</t>
  </si>
  <si>
    <t>https://doi.org/10.1145/3375714</t>
  </si>
  <si>
    <t>2020-03</t>
  </si>
  <si>
    <t>We draw on reinforcement learning frameworks to design and implement an adaptive controller for managing resource contention. During runtime, the controller observes the dynamic system conditions and optimizes control policies that satisfy latency targets yet improve server utilization. We evaluate a physical prototype that guarantees 95th percentile latencies for a search engine and improves server utilization by up to 70%, compared to exclusively reserving servers for interactive services, for varied batch workloads in machine learning.</t>
  </si>
  <si>
    <t>machine learning; adaptive control; Resource contention</t>
  </si>
  <si>
    <t>9F75MJTN</t>
  </si>
  <si>
    <t>Berenberg, Anna; Calder, Brad</t>
  </si>
  <si>
    <t>Deployment Archetypes for Cloud Applications</t>
  </si>
  <si>
    <t>10.1145/3498336</t>
  </si>
  <si>
    <t>https://doi.org/10.1145/3498336</t>
  </si>
  <si>
    <t>This is a survey article that explores six Cloud-based deployment archetypes for Cloud applications and the tradeoffs between them to achieve high availability, low end-user latency, and acceptable costs. These are (1) Zonal, (2) Regional, (3) Multi-regional, (4) Global, (5) Hybrid, and (6) Multi-cloud deployment archetypes. The goal is to classify cloud applications into a set of deployment archetypes and deployment models that tradeoff their needs around availability, latency, and geographical constraints with a focus on serving applications. This enables application owners to better examine the tradeoffs of each deployment model and what is needed for achieving the availability and latency goals for their application.</t>
  </si>
  <si>
    <t>cloud architecture; cloud archetypes; cloud availability; Cloud deployments</t>
  </si>
  <si>
    <t>KJTTU8FX</t>
  </si>
  <si>
    <t>Hilman, Muhammad H.; Rodriguez, Maria A.; Buyya, Rajkumar</t>
  </si>
  <si>
    <t>Multiple Workflows Scheduling in Multi-tenant Distributed Systems: A Taxonomy and Future Directions</t>
  </si>
  <si>
    <t>10.1145/3368036</t>
  </si>
  <si>
    <t>https://doi.org/10.1145/3368036</t>
  </si>
  <si>
    <t>Workflows are an application model that enables the automated execution of multiple interdependent and interconnected tasks. They are widely used by the scientific community to manage the distributed execution and dataflow of complex simulations and experiments. As the popularity of scientific workflows continue to rise, and their computational requirements continue to increase, the emergence and adoption of multi-tenant computing platforms that offer the execution of these workflows as a service becomes widespread. This article discusses the scheduling and resource provisioning problems particular to this type of platform. It presents a detailed taxonomy and a comprehensive survey of the current literature and identifies future directions to foster research in the field of multiple workflow scheduling in multi-tenant distributed computing systems.</t>
  </si>
  <si>
    <t>multi-tenant platforms; multiple workflows scheduling; Scientific workflows</t>
  </si>
  <si>
    <t>DFK2T9TU</t>
  </si>
  <si>
    <t>Masson, Charles; Rim, Jee E.; Lee, Homin K.</t>
  </si>
  <si>
    <t>DDSketch: a fast and fully-mergeable quantile sketch with relative-error guarantees</t>
  </si>
  <si>
    <t>Proc. VLDB Endow.</t>
  </si>
  <si>
    <t>2150-8097</t>
  </si>
  <si>
    <t>10.14778/3352063.3352135</t>
  </si>
  <si>
    <t>https://doi.org/10.14778/3352063.3352135</t>
  </si>
  <si>
    <t>2019-08</t>
  </si>
  <si>
    <t>2195‚Äì2205</t>
  </si>
  <si>
    <t>Publisher: VLDB Endowment</t>
  </si>
  <si>
    <t>Summary statistics such as the mean and variance are easily maintained for large, distributed data streams, but order statistics (i.e., sample quantiles) can only be approximately summarized. There is extensive literature on maintaining quantile sketches where the emphasis has been on bounding the rank error of the sketch while using little memory. Unfortunately, rank error guarantees do not preclude arbitrarily large relative errors, and this often occurs in practice when the data is heavily skewed.Given the distributed nature of contemporary large-scale systems, another crucial property for quantile sketches is mergeablility, i.e., several combined sketches must be as accurate as a single sketch of the same data. We present the first fully-mergeable, relative-error quantile sketching algorithm with formal guarantees. The sketch is extremely fast and accurate, and is currently being used by Datadog at a wide-scale.</t>
  </si>
  <si>
    <t>84MABRJ8</t>
  </si>
  <si>
    <t>Son, Heesuk; Lee, Chaiwoo; FakhrHosseini, Shabnam; Lee, Shenghung; Coughlin, Joseph F.; Rudnik, John</t>
  </si>
  <si>
    <t>Reshaping the Smart Home Research and Development in the Pandemic Era: Considerations around Scalable and Easy-to-Install Design</t>
  </si>
  <si>
    <t>Proc. ACM Hum.-Comput. Interact.</t>
  </si>
  <si>
    <t>10.1145/3512961</t>
  </si>
  <si>
    <t>https://doi.org/10.1145/3512961</t>
  </si>
  <si>
    <t>2022-04</t>
  </si>
  <si>
    <t>CSCW1</t>
  </si>
  <si>
    <t>Smart home research has traditionally included visiting participants' homes to build testbed environments and evaluate their experience. However, in-person home deployment poses limitations around scalability and is not a feasible method in the context of the COVID-19 pandemic. The smart home research community is now facing the need to reshape and innovate research methods and design approaches. This study introduces a scalable smart home platform prototype that demonstrates possible solutions to address issues and limitations posed by the pandemic, such as improving package design, enabling user-driven installation, and facilitating remote evaluation and maintenance. The prototype uses off-the-shelf products with specially designed packaging to ensure interoperability as well as ease of shipping and installation. In this study, the prototype kits were shipped to participants' homes to understand and evaluate user perceptions and experiences around installation and initial use. Responses to a post-installation questionnaire and remote monitoring of system status showed that the participants easily completed their self-installation of the prototype without any on-site support. The study also showed potential for a scenario-based evaluation of the prototype using a remote, contactless research procedure.</t>
  </si>
  <si>
    <t>scalability; case study; pandemic; research method design; smart home; user experience</t>
  </si>
  <si>
    <t>KJGBMNJH</t>
  </si>
  <si>
    <t>Michel, Oliver; Bifulco, Roberto; R√©tv√°ri, G√°bor; Schmid, Stefan</t>
  </si>
  <si>
    <t>The Programmable Data Plane: Abstractions, Architectures, Algorithms, and Applications</t>
  </si>
  <si>
    <t>10.1145/3447868</t>
  </si>
  <si>
    <t>https://doi.org/10.1145/3447868</t>
  </si>
  <si>
    <t>2021-05</t>
  </si>
  <si>
    <t>Programmable data plane technologies enable the systematic reconfiguration of the low-level processing steps applied to network packets and are key drivers toward realizing the next generation of network services and applications. This survey presents recent trends and issues in the design and implementation of programmable network devices, focusing on prominent abstractions, architectures, algorithms, and applications proposed, debated, and realized over the past years. We elaborate on the trends that led to the emergence of this technology and highlight the most important pointers from the literature, casting different taxonomies for the field, and identifying avenues for future research.</t>
  </si>
  <si>
    <t>in-network computation; network programmability; packet processing; Programmable data planes; programmable switches</t>
  </si>
  <si>
    <t>SL737AF8</t>
  </si>
  <si>
    <t>Hoffpauir, Kyle; Simmons, Jacob; Schmidt, Nikolas; Pittala, Rachitha; Briggs, Isaac; Makani, Shanmukha; Jararweh, Yaser</t>
  </si>
  <si>
    <t>A Survey on Edge Intelligence and Lightweight Machine Learning Support for Future Applications and Services</t>
  </si>
  <si>
    <t>J. Data and Information Quality</t>
  </si>
  <si>
    <t>1936-1955</t>
  </si>
  <si>
    <t>10.1145/3581759</t>
  </si>
  <si>
    <t>https://doi.org/10.1145/3581759</t>
  </si>
  <si>
    <t>2023-06</t>
  </si>
  <si>
    <t>As the number of devices connected to the Internet has grown larger, so too has the intensity of the tasks that these devices need to perform. Modern networks are more frequently working to perform computationally intensive tasks on low-power devices and low-end hardware. Current architectures and platforms tend towards centralized and resource-rich cloud computing approaches to address these deficits. However, edge computing presents a much more viable and flexible alternative. Edge computing refers to a distributed and decentralized network architecture in which demanding tasks such as image recognition, smart city services, and high-intensity data processing tasks can be distributed over a number of integrated network devices. In this article, we provide a comprehensive survey for emerging edge intelligence applications, lightweight machine learning algorithms, and their support for future applications and services. We start by analyzing the rise of cloud computing, discuss its weak points, and identify situations in which edge computing provides advantages over traditional cloud computing architectures. We then divulge details of the survey: the first section identifies opportunities and domains for edge computing growth, the second identifies algorithms and approaches that can be used to enhance edge intelligence implementations, and the third specifically analyzes situations in which edge intelligence can be enhanced using any of the aforementioned algorithms or approaches. In this third section, lightweight machine learning approaches are detailed. A more in-depth analysis and discussion of future developments follows. The primary discourse of this article is in service of an effort to ensure that appropriate approaches are applied adequately to artificial intelligence implementations in edge systems, mainly, the lightweight machine learning approaches.</t>
  </si>
  <si>
    <t>cloud computing; quality of service; edge computing; Edge intelligence; artificial intelligence; lightweight machine learning; network services</t>
  </si>
  <si>
    <t>N7M9KXVR</t>
  </si>
  <si>
    <t>Herbst, Nikolas; Bauer, Andr√©; Kounev, Samuel; Oikonomou, Giorgos; Eyk, Erwin Van; Kousiouris, George; Evangelinou, Athanasia; Krebs, Rouven; Brecht, Tim; Abad, Cristina L.; Iosup, Alexandru</t>
  </si>
  <si>
    <t>Quantifying Cloud Performance and Dependability: Taxonomy, Metric Design, and Emerging Challenges</t>
  </si>
  <si>
    <t>10.1145/3236332</t>
  </si>
  <si>
    <t>https://doi.org/10.1145/3236332</t>
  </si>
  <si>
    <t>In only a decade, cloud computing has emerged from a pursuit for a service-driven information and communication technology (ICT), becoming a significant fraction of the ICT market. Responding to the growth of the market, many alternative cloud services and their underlying systems are currently vying for the attention of cloud users and providers. To make informed choices between competing cloud service providers, permit the cost-benefit analysis of cloud-based systems, and enable system DevOps to evaluate and tune the performance of these complex ecosystems, appropriate performance metrics, benchmarks, tools, and methodologies are necessary. This requires re-examining old system properties and considering new system properties, possibly leading to the re-design of classic benchmarking metrics such as expressing performance as throughput and latency (response time). In this work, we address these requirements by focusing on four system properties: (i) elasticity of the cloud service, to accommodate large variations in the amount of service requested, (ii)&amp;nbsp;performance isolation between the tenants of shared cloud systems and resulting performance variability, (iii)&amp;nbsp;availability of cloud services and systems, and (iv) the operational risk of running a production system in a cloud environment. Focusing on key metrics for each of these properties, we review the state-of-the-art, then select or propose new metrics together with measurement approaches. We see the presented metrics as a foundation toward upcoming, future industry-standard cloud benchmarks.</t>
  </si>
  <si>
    <t>cloud; Metrics; benchmarking; availability; elasticity; operational risk; performance isolation; performance variability</t>
  </si>
  <si>
    <t>AACHU5V3</t>
  </si>
  <si>
    <t>Cederbladh, Johan; Cicchetti, Antonio; Suryadevara, Jagadish</t>
  </si>
  <si>
    <t>Early Validation and Verification of System Behaviour in Model-based Systems Engineering: A Systematic Literature Review</t>
  </si>
  <si>
    <t>10.1145/3631976</t>
  </si>
  <si>
    <t>https://doi.org/10.1145/3631976</t>
  </si>
  <si>
    <t>In the Systems Engineering (SE) domain there has been a paradigm shift from document-based to model-based system development artefacts; in fact, new methodologies are emerging to meet the increasing complexity of current systems and the corresponding growing need of digital workflows. In this regard, Model-Based Systems Engineering (MBSE) is considered as a key enabler by many central players of the SE community. MBSE has reached an adequate level of maturity, and there exist documented success stories in its adoption in industry. In particular, one significant benefit of utilising MBSE when compared to the traditional manual and document-centric workflows is that models are available from early phases of systems development; these enable a multitude of analyses prior any implementation effort together with other relevant capabilities, like the automation of development tasks. Nonetheless, it is noticeable there is a lack of a common understanding for how formal analyses for the verification and validation (V&amp;amp;V) of systems behaviour, specifically in the early phases of development, could be placed in an MBSE setting.In this article, we report on the planning, execution, and results of a systematic literature review regarding the early V&amp;amp;V of systems behaviour in the context of model-based systems engineering. The review aims to provide a structured representation of the state of the art with respect to motivations, proposed solutions, and limitations. From an initial set of potentially relevant 701 peer-reviewed publications we selected 149 primary studies, which we analysed according to a rigorous data extraction, analysis, and synthesis process. Based on our results, early V&amp;amp;V has usually the goal of checking the quality of a system design to avoid discovering flaws when parts are being concretely realised; SysML is a de facto standard for describing the system under study, while the solutions for the analyses tend to be varied; also V&amp;amp;V analyses tend to target varied properties with a slight predominance of functional concerns, and following the variation mentioned so far the proposed solutions are largely context specific; the proposed approaches are usually presented without explicit limitations, while when limitations are discussed, readiness of the solutions, handling of analyses simplifications/assumptions, and languages/tools integration are among the most frequently mentioned issues.Based on the survey results and the standard SE practices, we discuss how the current state-of-the-art MBSE supports early V&amp;amp;V of systems behaviour with a special focus on industrial adoption and identify relevant challenges to be researched further.</t>
  </si>
  <si>
    <t>MBSE; system behaviour; systematic literature review; validation; verification</t>
  </si>
  <si>
    <t>H2MEMVU3</t>
  </si>
  <si>
    <t>Macedo, Ricardo; Paulo, Jo√£o; Pereira, Jos√©; Bessani, Alysson</t>
  </si>
  <si>
    <t>A Survey and Classification of Software-Defined Storage Systems</t>
  </si>
  <si>
    <t>10.1145/3385896</t>
  </si>
  <si>
    <t>https://doi.org/10.1145/3385896</t>
  </si>
  <si>
    <t>The exponential growth of digital information is imposing increasing scale and efficiency demands on modern storage infrastructures. As infrastructure complexity increases, so does the difficulty in ensuring quality of service, maintainability, and resource fairness, raising unprecedented performance, scalability, and programmability challenges. Software-Defined Storage (SDS) addresses these challenges by cleanly disentangling control and data flows, easing management, and improving control functionality of conventional storage systems. Despite its momentum in the research community, many aspects of the paradigm are still unclear, undefined, and unexplored, leading to misunderstandings that hamper the research and development of novel SDS technologies. In this article, we present an in-depth study of SDS systems, providing a thorough description and categorization of each plane of functionality. Further, we propose a taxonomy and classification of existing SDS solutions according to different criteria. Finally, we provide key insights about the paradigm and discuss potential future research directions for the field.</t>
  </si>
  <si>
    <t>distributed storage; Software-defined storage; storage infrastructures</t>
  </si>
  <si>
    <t>876WVSK8</t>
  </si>
  <si>
    <t>Elhoseny, Mohamed; Lakhan, Abdullah; Rashid, Ahmed; Mohammed, Mazin; Abdulkareem, Karrar</t>
  </si>
  <si>
    <t>Underwater Sensor Multi-Parameter Scheduling for Heterogenous Computing Nodes</t>
  </si>
  <si>
    <t>10.1145/3476513</t>
  </si>
  <si>
    <t>https://doi.org/10.1145/3476513</t>
  </si>
  <si>
    <t>Sensor-aware distributed workflow applications are becoming increasingly popular underwater. The apps are marine operations that generate data and process it based on its characteristics. Mobile-fog-cloud paradigms, as well as computing such as sensor nodes, have emerged. As previously stated, the nodes can be combined into a single system to achieve several goals. Many factors are considered, including network contents, workload fluctuation, variable execution durations, deadlines, and bandwidth. As a result, scheduling mobile workflow systems with multiple parameters might be challenging. The study suggests a novel content-efficient decision-aware task scheduling (CATSA) method for defining and adapting to complicated environmental changes. The CATSA consists of several components that work together to perform various benchmarks in the system, including a decision planner, sequencing, and scheduling. As evidenced by test findings during evaluation, the suggested architecture outperforms current studies regarding workflow execution quality of services and improved the makespan 30% and deadline meeting 40% in the study.</t>
  </si>
  <si>
    <t>scheduling; content; decision; marine; parameters; sensor; Water</t>
  </si>
  <si>
    <t>AQLBUI6Q</t>
  </si>
  <si>
    <t>Husen, Arif; Chaudary, Muhammad Hasanain; Ahmad, Farooq</t>
  </si>
  <si>
    <t>A Survey on Requirements of Future Intelligent Networks: Solutions and Future Research Directions</t>
  </si>
  <si>
    <t>10.1145/3524106</t>
  </si>
  <si>
    <t>https://doi.org/10.1145/3524106</t>
  </si>
  <si>
    <t>The context of this study examines the requirements of Future Intelligent Networks (FIN), solutions, and current research directions through a survey technique. The background of this study is hinged on the applications of Machine Learning (ML) in the networking field. Through careful analysis of literature and real-world reports, we noted that ML has significantly expedited decision-making processes, enhanced intelligent automation, and helped resolve complex problems economically in different fields of life. Various researchers have also envisioned future networks incorporating intelligent functions and operations with ML. Several efforts have been made to automate individual functions and operations in the networking domain; however, most of the existing ML models proposed in the literature lack several vital requirements. Hence, this study aims to present a comprehensive summary of the requirements of FIN and propose a taxonomy of different network functionalities that needs to be equipped with ML techniques. The core objectives of this study are to provide a taxonomy of requirements envisioned for end-to-end FIN, relevant ML techniques, and their analysis to find research gaps, open issues, and future research directions. The real benefit of ML applications in any domain can only be ensured if intelligent capabilities cover all of its components. We observed that future generations of networks are heterogeneous, multi-vendor, and multidimensional, and ML can provide optimal results only if intelligent capabilities are used on a holistic scale. Realizing intelligence on a holistic scale is only possible if the ML algorithms can solve heterogeneous problems in a multi-vendor and multidimensional environment. ML models must be reliable and efficient, support, and possess the capability to learn and share the knowledge across the network layers and administrative domains to solve issues. First, this study ascertains the requirements of the FIN and proposes their taxonomy through reviews on envisioned ideas by various researchers and articles gathered from reputed conferences and standard developing organizations using keyword queries. Second, we have reviewed existing studies on ML applications focusing on coverage, heterogeneity, distributed architecture, and cross-domain knowledge learning and sharing. Our study observed that in the past, ML applications were focused mainly on an individual/isolated level only, and aspects of global and deep holistic learning with cross-layer/cross-domain knowledge sharing with agile ML operations are not explored at large. We recommend that the issues mentioned previously be addressed with improved ML architecture and agile operations and propose an ML pipeline based architecture for FIN. The significant contribution of this study is the impetus for researchers to seek ML models suitable for a modular, distributed, multi-domain, and multi-layer environment and provide decision making on a global or holistic rather than an individual function level.</t>
  </si>
  <si>
    <t>cross-administrative domain learning; cross-layer learning; deep holistic learning; feature sharing; Future intelligent networks; global learning; knowledge sharing</t>
  </si>
  <si>
    <t>6RPPFU5X</t>
  </si>
  <si>
    <t>Fei, Xincai; Liu, Fangming; Zhang, Qixia; Jin, Hai; Hu, Hongxin</t>
  </si>
  <si>
    <t>Paving the Way for NFV Acceleration: A Taxonomy, Survey and Future Directions</t>
  </si>
  <si>
    <t>10.1145/3397022</t>
  </si>
  <si>
    <t>https://doi.org/10.1145/3397022</t>
  </si>
  <si>
    <t>2020-08</t>
  </si>
  <si>
    <t>As a recent innovation, network functions virtualization (NFV)‚Äîwith its core concept of replacing hardware middleboxes with software network functions (NFs) implemented in commodity servers‚Äîpromises cost savings and flexibility benefits. However, transitioning NFs from special-purpose hardware to commodity servers has turned out to be more challenging than expected, as it inevitably incurs performance penalties due to bottlenecks in both software and hardware. To achieve performance comparable to hardware middleboxes, there is a strong demand for a speedup in NF processing, which plays a crucial role in the success of NFV. In this article, we study the performance challenges that exist in general-purpose servers and simultaneously summarize the typical performance bottlenecks in NFV. Through reviewing the progress in the field of NFV acceleration, we present a new taxonomy of the state-of-the-art efforts according to various acceleration approaches. We discuss the surveyed works and identify the respective advantages and disadvantages in each category. We then discuss the products, solutions, and projects emerged in industry. We also present a gap analysis to improve current solutions and highlight promising research trends that can be explored in the future.</t>
  </si>
  <si>
    <t>high performance; Network functions virtualization; NFV acceleration</t>
  </si>
  <si>
    <t>VF2G6PG9</t>
  </si>
  <si>
    <t>Davoudian, Ali; Liu, Mengchi</t>
  </si>
  <si>
    <t>Big Data Systems: A Software Engineering Perspective</t>
  </si>
  <si>
    <t>10.1145/3408314</t>
  </si>
  <si>
    <t>https://doi.org/10.1145/3408314</t>
  </si>
  <si>
    <t>Big Data Systems (BDSs) are an emerging class of scalable software technologies whereby massive amounts of heterogeneous data are gathered from multiple sources, managed, analyzed (in batch, stream or hybrid fashion), and served to end-users and external applications. Such systems pose specific challenges in all phases of software development lifecycle and might become very complex by evolving data, technologies, and target value over time. Consequently, many organizations and enterprises have found it difficult to adopt BDSs. In this article, we provide insight into three major activities of software engineering in the context of BDSs as well as the choices made to tackle them regarding state-of-the-art research and industry efforts. These activities include the engineering of requirements, designing and constructing software to meet the specified requirements, and software/data quality assurance. We also disclose some open challenges of developing effective BDSs, which need attention from both researchers and practitioners.</t>
  </si>
  <si>
    <t>Big Data; Big Data systems; quality assurance; requirements engineering; software engineering; software reference architecture</t>
  </si>
  <si>
    <t>AAN3BPW2</t>
  </si>
  <si>
    <t>Silva, Samira; Pelliccione, Patrizio; Bertolino, Antonia</t>
  </si>
  <si>
    <t>Self-Adaptive Testing in the Field</t>
  </si>
  <si>
    <t>10.1145/3627163</t>
  </si>
  <si>
    <t>https://doi.org/10.1145/3627163</t>
  </si>
  <si>
    <t>We are increasingly surrounded by systems connecting us with the digital world and facilitating our life by supporting our work, leisure, activities at home, health, and so on. These systems are pressed by two forces. On the one side, they operate in environments that are increasingly challenging due to uncertainty and uncontrollability. On the other side, they need to evolve, often in a continuous fashion, to meet changing needs, to offer new functionalities, or also to fix emerging failures. To make the picture even more complex, these systems rarely work in isolation and often need to collaborate with other systems, as well as humans. All such facets call for moving their validation during operation, as offered by approaches called testing in the field.In this article, we observe that even the field-based testing approaches should change over time to follow and adapt to the changes and evolution of collaborating systems or environments or users‚Äô behaviors. We provide a taxonomy of this new category of testing that we call self-adaptive testing in the field (SATF), together with a reference architecture for SATF approaches. To achieve this objective, we surveyed the literature and collected feedback and contributions from experts in the domain via a questionnaire and interviews.</t>
  </si>
  <si>
    <t>knowledge gaps; self-adaptive testing; Software testing in the field</t>
  </si>
  <si>
    <t>Z8TWHADV</t>
  </si>
  <si>
    <t>Golec, Muhammed; Walia, Guneet Kaur; Kumar, Mohit; Cuadrado, Felix; Gill, Sukhpal Singh; Uhlig, Steve</t>
  </si>
  <si>
    <t>Cold Start Latency in Serverless Computing: A Systematic Review, Taxonomy, and Future Directions</t>
  </si>
  <si>
    <t>10.1145/3700875</t>
  </si>
  <si>
    <t>https://doi.org/10.1145/3700875</t>
  </si>
  <si>
    <t>Recently, academics and the corporate sector have paid attention to serverless computing, which enables dynamic scalability and an economic model. In serverless computing, users only pay for the time they actually use resources, enabling zero scaling to optimise cost and resource utilisation. However, this approach also introduces the serverless cold start problem. Researchers have developed various solutions to address the cold start problem, yet it remains an unresolved research area. In this article, we propose a systematic literature review on cold start latency in serverless computing. Furthermore, we create a detailed taxonomy of approaches to cold start latency, which we use to investigate existing techniques for reducing the cold start time and frequency. We have classified the current studies on cold start latency into several categories such as caching and application-level optimisation-based solutions, as well as Artificial Intelligence/Machine Learning-based solutions. Moreover, we have analyzed the impact of cold start latency on quality of service, explored current cold start latency mitigation methods, datasets, and implementation platforms, and classified them into categories based on their common characteristics and features. Finally, we outline the open challenges and highlight the possible future directions.</t>
  </si>
  <si>
    <t>cloud computing; survey; Serverless computing; function as a service; cold start latency</t>
  </si>
  <si>
    <t>HDL94VKF</t>
  </si>
  <si>
    <t>Picone, Marco; Mamei, Marco; Zambonelli, Franco</t>
  </si>
  <si>
    <t>A Flexible and Modular Architecture for Edge Digital Twin: Implementation and Evaluation</t>
  </si>
  <si>
    <t>10.1145/3573206</t>
  </si>
  <si>
    <t>https://doi.org/10.1145/3573206</t>
  </si>
  <si>
    <t>IoT systems based on Digital Twins (DTs) ‚Äî virtual copies of physical objects and systems ‚Äî can be very effective to enable data-driven services and promote better control and decisions, in particular by exploiting distributed approaches where cloud and edge computing cooperate effectively. In this context, digital twins deployed on the edge represents a new strategic element to design a new wave of distributed cyber-physical applications. Existing approaches are generally focused on fragmented and domain-specific monolithic solutions and are mainly associated to model-driven, simulative or descriptive visions. The idea of extending the DTs role to support last-mile digitalization and interoperability through a set of general purpose and well-defined properties and capabilities is still underinvestigated. In this paper, we present the novel Edge Digital Twins (EDT) architectural model and its implementation, enabling the lightweight replication of physical devices providing an efficient digital abstraction layer to support the autonomous and standard collaboration of things and services. We model the core capabilities with respect to the recent definition of the state of the art, present the software architecture and a prototype implementation. Extensive experimental analysis shows the obtained performance in multiple IoT application contexts and compares them with that of state-of-the-art approaches.</t>
  </si>
  <si>
    <t>Internet of Things; edge computing; Digital Twin</t>
  </si>
  <si>
    <t>RGNKQRC8</t>
  </si>
  <si>
    <t>Ferroni, Matteo; Corna, Andrea; Damiani, Andrea; Brondolin, Rolando; Kubiatowicz, John D.; Sciuto, Donatella; Santambrogio, Marco D.</t>
  </si>
  <si>
    <t>MARC: A Resource Consumption Modeling Service for Self-Aware Autonomous Agents</t>
  </si>
  <si>
    <t>10.1145/3127499</t>
  </si>
  <si>
    <t>https://doi.org/10.1145/3127499</t>
  </si>
  <si>
    <t>2017-11</t>
  </si>
  <si>
    <t>Autonomicity is a golden feature when dealing with a high level of complexity. This complexity can be tackled partitioning huge systems in small autonomous modules, i.e., agents. Each agent then needs to be capable of extracting knowledge from its environment and to learn from it, in order to fulfill its goals: this could not be achieved without proper modeling techniques that allow each agent to gaze beyond its sensors. Unfortunately, the simplicity of agents and the complexity of modeling do not fit together, thus demanding for a third party to bridge the gap.Given the opportunities in the field, the main contributions of this work are twofold: (1) we propose a general methodology to model resource consumption trends and (2) we implemented it into MARC, a Cloud-service platform that produces Models-as-a-Service, thus relieving self-aware agents from the burden of building their custom modeling framework. In order to validate the proposed methodology, we set up a custom simulator to generate a wide spectrum of controlled traces: this allowed us to verify the correctness of our framework from a general and comprehensive point of view.</t>
  </si>
  <si>
    <t>autoregressive with exogenous variable models; discrete Markov models; Model-as-a-service; resource consumption</t>
  </si>
  <si>
    <t>2HKD4ZKE</t>
  </si>
  <si>
    <t>Kundan, Shivam; Marinakis, Theodoros; Anagnostopoulos, Iraklis; Kagaris, Dimitri</t>
  </si>
  <si>
    <t>A Pressure-Aware Policy for Contention Minimization on Multicore Systems</t>
  </si>
  <si>
    <t>10.1145/3524616</t>
  </si>
  <si>
    <t>https://doi.org/10.1145/3524616</t>
  </si>
  <si>
    <t>2022-05</t>
  </si>
  <si>
    <t>Modern Chip Multiprocessors (CMPs) are integrating an increasing amount of cores to address the continually growing demand for high-application performance. The cores of a CMP share several components of the memory hierarchy, such as Last-Level Cache (LLC) and main memory. This allows for considerable gains in multithreaded applications while also helping to maintain architectural simplicity. However, sharing resources can also result in performance bottleneck due to contention among concurrently executing applications. In this work, we formulate a fine-grained application characterization methodology that leverages Performance Monitoring Counters (PMCs) and Cache Monitoring Technology (CMT) in Intel processors. We utilize this characterization methodology to develop two contention-aware scheduling policies, one static and one dynamic, that co-schedule applications based on their resource-interference profiles. Our approach focuses on minimizing contention on both the main-memory bandwidth and the LLC by monitoring the pressure that each application inflicts on these resources. We achieve performance benefits for diverse workloads, outperforming Linux and three state-of-the-art contention-aware schedulers in terms of system throughput and fairness for both single and multithreaded workloads. Compared with Linux, our policy achieves up to 16% greater throughput for single-threaded and up to 40% greater throughput for multithreaded applications. Additionally, the policies increase fairness by up to 65% for single-threaded and up to 130% for multithreaded ones.</t>
  </si>
  <si>
    <t>Chip multiprocessors; contention-aware scheduling; fairness; Linux; pressure minimization; throughput</t>
  </si>
  <si>
    <t>QR2E8TQA</t>
  </si>
  <si>
    <t>√Ökesson, Alfred; Gehrmann, Christian; Hedin, G√∂rel; Johnsson, Bj√∂rn A.; Magnusson, Boris; Nordahl, Mattias; Ramezanian, Sara; Stankovski Wagner, Paul</t>
  </si>
  <si>
    <t>A Trust Establishment and Key Management Architecture for Hospital-at-Home</t>
  </si>
  <si>
    <t>ACM Trans. Comput. Healthcare</t>
  </si>
  <si>
    <t>10.1145/3700144</t>
  </si>
  <si>
    <t>https://doi.org/10.1145/3700144</t>
  </si>
  <si>
    <t>The landscape of healthcare is experiencing a digitalization shift, transferring many medical activities to the patients‚Äô homes, a phenomenon commonly referred to as Hospital-at-Home. While Internet of Things (IoT) devices facilitate the building of such systems, there is a need for powerful middleware that encapsulates device-to-device communication and enables the construction of user-friendly, secure, and robust Hospital-at-Home systems. A key challenge for such middleware is to build a trustworthy and lightweight key management system allowing different devices in the system to exchange messages securely. In this article, we present a simple, easily manageable and scalable such architecture which, in addition, supports long-term data protection using post-quantum cryptographic primitives. Our proposed solution utilizes a Merkle tree to enable the IoT devices to establish trust between each other automatically, even in the absence of an Internet connection. We have implemented the architecture and present performance figures as well as a security analysis of our approach.</t>
  </si>
  <si>
    <t>Hospital-at-Home; IoT Middleware; Key Management; Post Quantum Cryptography; Trust Establishment</t>
  </si>
  <si>
    <t>CJZ78K5L</t>
  </si>
  <si>
    <t>Ball, Thomas; de Halleux, Peli; Devine, James; Hodges, Steve; Moskal, Micha≈Ç</t>
  </si>
  <si>
    <t>Jacdac: Service-Based Prototyping of Embedded Systems</t>
  </si>
  <si>
    <t>Proc. ACM Program. Lang.</t>
  </si>
  <si>
    <t>10.1145/3656405</t>
  </si>
  <si>
    <t>https://doi.org/10.1145/3656405</t>
  </si>
  <si>
    <t>2024-06</t>
  </si>
  <si>
    <t>PLDI</t>
  </si>
  <si>
    <t>The traditional approach to programming embedded systems is monolithic: firmware on a microcontroller contains both application code and the drivers needed to communicate with sensors and actuators, using low-level protocols such as I2C, SPI, and RS232. In comparison, software development for the cloud has moved to a service-based development and operation paradigm: a service provides a discrete unit of functionality that can be accessed remotely by an application, or other service, but is independently managed and updated. We propose, design, implement, and evaluate a service-based approach to prototyping embedded systems called Jacdac. Jacdac defines a service specification language, designed especially for embedded systems, along with a host of specifications for a variety of sensors and actuators. With Jacdac, each sensor/actuator in a system is paired with a low-cost microcontroller that advertises the services that represent the functionality of the underlying hardware over an efficient and low-cost single-wire bus protocol. A separate microcontroller executes the user's application program, which is a client of the Jacdac services on the bus. Our evaluation shows that Jacdac supports a service-based abstraction for sensors/actuators at low cost and reasonable performance, with many benefits for prototyping: ease of use via the automated discovery of devices and their capabilities, substitution of same-service devices for each other, as well as high-level programming, monitoring, and debugging. We also report on the experience of bringing Jacdac to commercial availability via third-party manufacturers.</t>
  </si>
  <si>
    <t>embedded systems; microcontrollers; plug-and-play; services</t>
  </si>
  <si>
    <t>WQ3JZNNX</t>
  </si>
  <si>
    <t>Russo Russo, Gabriele; Cardellini, Valeria; Lo Presti, Francesco</t>
  </si>
  <si>
    <t>Hierarchical Auto-scaling Policies for Data Stream Processing on Heterogeneous Resources</t>
  </si>
  <si>
    <t>10.1145/3597435</t>
  </si>
  <si>
    <t>https://doi.org/10.1145/3597435</t>
  </si>
  <si>
    <t>Data Stream Processing (DSP) applications analyze data flows in near real-time by means of operators, which process and transform incoming data. Operators handle high data rates running parallel replicas across multiple processors and hosts. To guarantee consistent performance without wasting resources in the face of variable workloads, auto-scaling techniques have been studied to adapt operator parallelism at run-time. However, most of the effort has been spent under the assumption of homogeneous computing infrastructures, neglecting the complexity of modern environments.We consider the problem of deciding both how many operator replicas should be executed and which types of computing nodes should be acquired. We devise heterogeneity-aware policies by means of a two-layered hierarchy of controllers. While application-level components steer the adaptation process for whole applications, aiming to guarantee user-specified requirements, lower-layer components control auto-scaling of single operators. We tackle the fundamental challenge of performance and workload uncertainty, exploiting Bayesian optimization (BO) and reinforcement learning (RL) to devise policies. The evaluation shows that our approach is able to meet users‚Äô requirements in terms of response time and adaptation overhead, while minimizing the cost due to resource usage, outperforming state-of-the-art baselines. We also demonstrate how partial model information is exploited to reduce training time for learning-based controllers.</t>
  </si>
  <si>
    <t>resource management; reinforcement learning; Auto-scaling; Data Stream Processing</t>
  </si>
  <si>
    <t>NU4P9E3M</t>
  </si>
  <si>
    <t>Ray, Kaustabha; Banerjee, Ansuman</t>
  </si>
  <si>
    <t>Horizontal Auto-Scaling for Multi-Access Edge Computing Using Safe Reinforcement Learning</t>
  </si>
  <si>
    <t>10.1145/3475991</t>
  </si>
  <si>
    <t>https://doi.org/10.1145/3475991</t>
  </si>
  <si>
    <t>Multi-Access Edge Computing (MEC) has emerged as a promising new paradigm allowing low latency access to services deployed on edge servers to avert network latencies often encountered in accessing cloud services. A key component of the MEC environment is an auto-scaling policy which is used to decide the overall management and scaling of container instances corresponding to individual services deployed on MEC servers to cater to traffic fluctuations. In this work, we propose a Safe Reinforcement Learning (RL)-based auto-scaling policy agent that can efficiently adapt to traffic variations to ensure adherence to service specific latency requirements. We model the MEC environment using a Markov Decision Process (MDP). We demonstrate how latency requirements can be formally expressed in Linear Temporal Logic (LTL). The LTL specification acts as a guide to the policy agent to automatically learn auto-scaling decisions that maximize the probability of satisfying the LTL formula. We introduce a quantitative reward mechanism based on the LTL formula to tailor service specific latency requirements. We prove that our reward mechanism ensures convergence of standard Safe-RL approaches. We present experimental results in practical scenarios on a test-bed setup with real-world benchmark applications to show the effectiveness of our approach in comparison to other state-of-the-art methods in literature. Furthermore, we perform extensive simulated experiments to demonstrate the effectiveness of our approach in large scale scenarios.</t>
  </si>
  <si>
    <t>auto-scaling; Multi-access edge computing; safe reinforcement learning</t>
  </si>
  <si>
    <t>F8FL5TCZ</t>
  </si>
  <si>
    <t>Or-Meir, Ori; Nissim, Nir; Elovici, Yuval; Rokach, Lior</t>
  </si>
  <si>
    <t>Dynamic Malware Analysis in the Modern Era‚ÄîA State of the Art Survey</t>
  </si>
  <si>
    <t>10.1145/3329786</t>
  </si>
  <si>
    <t>https://doi.org/10.1145/3329786</t>
  </si>
  <si>
    <t>Although malicious software (malware) has been around since the early days of computers, the sophistication and innovation of malware has increased over the years. In particular, the latest crop of ransomware has drawn attention to the dangers of malicious software, which can cause harm to private users as well as corporations, public services (hospitals and transportation systems), governments, and security institutions. To protect these institutions and the public from malware attacks, malicious activity must be detected as early as possible, preferably before it conducts its harmful acts. However, it is not always easy to know what to look for‚Äîespecially when dealing with new and unknown malware that has never been seen. Analyzing a suspicious file by static or dynamic analysis methods can provide relevant and valuable information regarding a file's impact on the hosting system and help determine whether the file is malicious or not, based on the method's predefined rules. While various techniques (e.g., code obfuscation, dynamic code loading, encryption, and packing) can be used by malware writers to evade static analysis (including signature-based anti-virus tools), dynamic analysis is robust to these techniques and can provide greater understanding regarding the analyzed file and consequently can lead to better detection capabilities. Although dynamic analysis is more robust than static analysis, existing dynamic analysis tools and techniques are imperfect, and there is no single tool that can cover all aspects of malware behavior. The most recent comprehensive survey performed in this area was published in 2012. Since that time, the computing environment has changed dramatically with new types of malware (ransomware, cryptominers), new analysis methods (volatile memory forensics, side-channel analysis), new computing environments (cloud computing, IoT devices), new machine-learning algorithms, and more. The goal of this survey is to provide a comprehensive and up-to-date overview of existing methods used to dynamically analyze malware, which includes a description of each method, its strengths and weaknesses, and its resilience against malware evasion techniques. In addition, we include an overview of prominent studies presenting the usage of machine-learning methods to enhance dynamic malware analysis capabilities aimed at detection, classification, and categorization.</t>
  </si>
  <si>
    <t>behavioral analysis; detection; Dynamic analysis; evasion; malware</t>
  </si>
  <si>
    <t>8KZU4N9U</t>
  </si>
  <si>
    <t>Hannou, Fatma-Zohra; Lefran√ßois, Maxime; Jouvelot, Pierre; Charpenay, Victor; Zimmermann, Antoine</t>
  </si>
  <si>
    <t>A Survey on IoT Programming Platforms: A Business-Domain Experts Perspective</t>
  </si>
  <si>
    <t>10.1145/3699954</t>
  </si>
  <si>
    <t>https://doi.org/10.1145/3699954</t>
  </si>
  <si>
    <t>The vast growth and digitalization potential offered by the Internet of Things (IoT) is hindered by substantial barriers in accessibility, interoperability, and complexity, mainly affecting small organizations and non-technical entities. This survey article provides a detailed overview of the landscape of IoT programming platforms, focusing specifically on the development support they offer for varying end user profiles, ranging from developers with IoT expertise to business experts willing to take advantage of IoT solutions to automate their organization processes. The survey examines a range of IoT platforms, classified according to their programming approach between general-purpose programming solutions, model-driven programming, mashups, and end-user programming. Necessary IoT and programming backgrounds are described to empower non-technical readers with a comprehensive field summary. In addition, the article compares the features of the most representative platforms and provides decision insights and guidelines to support end users in selecting appropriate IoT platforms for their use cases. This work contributes to narrowing the knowledge gap between IoT specialists and end users, breaking accessibility barriers and further promoting the integration of IoT technologies in various domains.1</t>
  </si>
  <si>
    <t>Internet of Things; IoT platforms; IoT programming; smart agriculture; smart building</t>
  </si>
  <si>
    <t>CRKQLE5G</t>
  </si>
  <si>
    <t>Murturi, Ilir; Dustdar, Schahram</t>
  </si>
  <si>
    <t>DECENT: A Decentralized Configurator for Controlling Elasticity in Dynamic Edge Networks</t>
  </si>
  <si>
    <t>10.1145/3530692</t>
  </si>
  <si>
    <t>https://doi.org/10.1145/3530692</t>
  </si>
  <si>
    <t>2022-08</t>
  </si>
  <si>
    <t>Recent advancements in distributed systems have enabled deploying low-latency and highly resilient edge applications close to the IoT domain at the edge of the network. The broad range of edge application requirements combined with heterogeneous, resource-constrained, and dynamic edge networks make it particularly challenging to configure and deploy them. Besides that, missing elastic capabilities on the edge makes it difficult to operate such applications under dynamic workloads. To this end, this article proposes a lightweight, self-adaptive, and decentralized mechanism (DECENT) for (1) deploying edge applications on edge resources and on premises of Edge-Cloud infrastructure and (2) controlling elasticity requirements. DECENT enables developers to characterize their edge applications by specifying elasticity requirements, which are automatically captured, interpreted, and enforced by our decentralized elasticity interpreters. In response to dynamic workloads, edge applications automatically adapt in compliance with their elasticity requirements. We discuss the architecture, processes of the approach, and the experiment conducted on a real-world testbed to validate its feasibility on low-powered edge devices. Furthermore, we show performance and adaptation aspects through an edge safety application and its evolution in elasticity space (i.e., cost, resource, and quality).</t>
  </si>
  <si>
    <t>edge computing; Internet of Things (IoT); Elasticity; edge-cloud</t>
  </si>
  <si>
    <t>7W7L2G93</t>
  </si>
  <si>
    <t>Wen, Jinfeng; Chen, Zhenpeng; Jin, Xin; Liu, Xuanzhe</t>
  </si>
  <si>
    <t>Rise of the Planet of Serverless Computing: A Systematic Review</t>
  </si>
  <si>
    <t>10.1145/3579643</t>
  </si>
  <si>
    <t>https://doi.org/10.1145/3579643</t>
  </si>
  <si>
    <t>Serverless computing is an emerging cloud computing paradigm, being adopted to develop a wide range of software applications. It allows developers to focus on the application logic in the granularity of function, thereby freeing developers from tedious and error-prone infrastructure management. Meanwhile, its unique characteristic poses new challenges to the development and deployment of serverless-based applications. To tackle these challenges, enormous research efforts have been devoted. This article provides a comprehensive literature review to characterize the current research state of serverless computing. Specifically, this article covers 164 articles on 17 research directions of serverless computing, including performance optimization, programming framework, application migration, multi-cloud development, testing and debugging, and so on. It also derives research trends, focus, and commonly-used platforms for serverless computing, as well as promising research opportunities.</t>
  </si>
  <si>
    <t>Serverless computing; literature view</t>
  </si>
  <si>
    <t>WPABXNUN</t>
  </si>
  <si>
    <t>Coullon, H√©l√©ne; Henrio, Ludovic; Loulergue, Fr√©d√©ric; Robillard, Simon</t>
  </si>
  <si>
    <t>Component-based Distributed Software Reconfiguration:A Verification-oriented Survey</t>
  </si>
  <si>
    <t>10.1145/3595376</t>
  </si>
  <si>
    <t>https://doi.org/10.1145/3595376</t>
  </si>
  <si>
    <t>Distributed software built from components has become a mainstay of service-oriented applications, which frequently undergo reconfigurations to adapt to changes in their operating environment or their functional requirements. Given the complexity of distributed software and the adverse effects of incorrect reconfigurations, a suitable methodology is needed to ensure the correctness of reconfigurations in component-based systems. This survey gives the reader a global perspective over existing formal techniques that pursue this goal. It distinguishes different ways in which formal methods can improve the reliability of reconfigurations, and lists techniques that contribute to solving each of these particular scientific challenges.</t>
  </si>
  <si>
    <t>verification; component-based software engineering; formal methods; Reconfiguration; software adaptation</t>
  </si>
  <si>
    <t>KAHXKK8Q</t>
  </si>
  <si>
    <t>Li, Ji You; Zhang, Jiachi; Zhou, Wenchao; Liu, Yuhang; Zhang, Shuai; Xue, Zhuoming; Xu, Ding; Fan, Hua; Zhou, Fangyuan; Li, Feifei</t>
  </si>
  <si>
    <t>Eigen: End-to-End Resource Optimization for Large-Scale Databases on the Cloud</t>
  </si>
  <si>
    <t>10.14778/3611540.3611565</t>
  </si>
  <si>
    <t>https://doi.org/10.14778/3611540.3611565</t>
  </si>
  <si>
    <t>3795‚Äì3807</t>
  </si>
  <si>
    <t>Increasingly, cloud database vendors host large-scale geographically distributed clusters to provide cloud database services. When managing the clusters, we observe that it is challenging to simultaneously maximizing the resource allocation ratio and resource availability. This problem becomes more severe in modern cloud database clusters, where resource allocations occur more frequently and on a greater scale. To improve the resource allocation ratio without hurting resource availability, we introduce Eigen, a large-scale cloud-native cluster management system for large-scale databases on the cloud. Based on a resource flow model, we propose a hierarchical resource management system and three resource optimization algorithms that enable end-to-end resource optimization. Furthermore, we demonstrate the system optimization that promotes user experience by reducing scheduling latencies and improving scheduling throughput. Eigen has been launched in a large-scale public-cloud production environment for 30+ months and served more than 30+ regions (100+ available zones) globally. Based on the evaluation of real-world clusters and simulated experiments, Eigen can improve the allocation ratio by over 27% (from 60% to 87.0%) on average, while the ratio of delayed resource provisions is under 0.1%.</t>
  </si>
  <si>
    <t>UPVJ59HX</t>
  </si>
  <si>
    <t>Sarwar, Kinza; Yongchareon, Sira; Yu, Jian; Ur Rehman, Saeed</t>
  </si>
  <si>
    <t>A Survey on Privacy Preservation in Fog-Enabled Internet of Things</t>
  </si>
  <si>
    <t>10.1145/3474554</t>
  </si>
  <si>
    <t>https://doi.org/10.1145/3474554</t>
  </si>
  <si>
    <t>2021-11</t>
  </si>
  <si>
    <t>Despite the rapid growth and advancement in the Internet of Things (IoT), there are critical challenges that need to be addressed before the full adoption of the IoT. Data privacy is one of the hurdles towards the adoption of IoT as there might be potential misuse of users‚Äô data and their identity in IoT applications. Several researchers have proposed different approaches to reduce privacy risks. However, most of the existing solutions still suffer from various drawbacks, such as huge bandwidth utilization and network latency, heavyweight cryptosystems, and policies that are applied on sensor devices and in the cloud. To address these issues, fog computing has been introduced for IoT network edges providing low latency, computation, and storage services. In this survey, we comprehensively review and classify privacy requirements for an in-depth understanding of privacy implications in IoT applications. Based on the classification, we highlight ongoing research efforts and limitations of the existing privacy-preservation techniques and map the existing IoT schemes with Fog-enabled IoT schemes to elaborate on the benefits and improvements that Fog-enabled IoT can bring to preserve data privacy in IoT applications. Lastly, we enumerate key research challenges and point out future research directions.</t>
  </si>
  <si>
    <t>Internet of Things; fog computing; Content privacy; context privacy; Fog-enabled IoT; IoT privacy</t>
  </si>
  <si>
    <t>5KVZC7LT</t>
  </si>
  <si>
    <t>Tocz√©, Klervie; Fahs, Ali J.; Pierre, Guillaume; Nadjm-Tehrani, Simin</t>
  </si>
  <si>
    <t>VioLinn: Proximity-aware Edge Placementwith Dynamic and Elastic Resource Provisioning</t>
  </si>
  <si>
    <t>10.1145/3573125</t>
  </si>
  <si>
    <t>https://doi.org/10.1145/3573125</t>
  </si>
  <si>
    <t>Deciding where to handle services and tasks, as well as provisioning an adequate amount of computing resources for this handling, is a main challenge of edge computing systems. Moreover, latency-sensitive services constrain the type and location of edge devices that can provide the needed resources. When available resources are scarce there is a possibility that some resource allocation requests are denied.In this work, we propose the VioLinn system to tackle the joint problems of task placement, service placement, and edge device provisioning. Dealing with latency-sensitive services is achieved through proximity-aware algorithms that ensure the tasks are handled close to the end-user. Moreover, the concept of spare edge device is introduced to handle sudden load variations in time and space without having to continuously overprovision. Several spare device selection algorithms are proposed with different cost/performance tradeoffs.Evaluations are performed both in a Kubernetes-based testbed and using simulations and show the benefit of using spare devices for handling localized load spikes with higher quality of service (QoS) and lower computing resource usage. The study of the different algorithms shows that it is possible to achieve this increase in QoS with different tradeoffs against cost and performance.</t>
  </si>
  <si>
    <t>resource management; Kubernetes; elasticity; Edge/fog computing</t>
  </si>
  <si>
    <t>UG8I5HLG</t>
  </si>
  <si>
    <t>Will, Newton C.; Maziero, Carlos A.</t>
  </si>
  <si>
    <t>Intel Software Guard Extensions Applications: A Survey</t>
  </si>
  <si>
    <t>10.1145/3593021</t>
  </si>
  <si>
    <t>https://doi.org/10.1145/3593021</t>
  </si>
  <si>
    <t>Data confidentiality is a central concern in modern computer systems and services, as sensitive data from users and companies are being increasingly delegated to such systems. Several hardware-based mechanisms have been recently proposed to enforce security guarantees of sensitive information. Hardware-based isolated execution environments are a class of such mechanisms, in which the operating system and other low-level components are removed from the trusted computing base. One of such mechanisms is the Intel Software Guard Extensions (Intel SGX), which creates the concept of enclave to encapsulate sensitive components of applications and their data. Despite being largely applied in several computing areas, SGX has limitations and performance issues that must be addressed for the development of secure solutions. This text brings a categorized literature review of the ongoing research on the Intel SGX architecture, discussing its applications and providing a classification of the solutions that take advantage of SGX mechanisms. We analyze and categorize 293 papers that rely on SGX to provide integrity, confidentiality, and privacy to users and data, regarding different contexts and goals. We also discuss research challenges and provide future directions in the field of enclaved execution, particularly when using SGX.</t>
  </si>
  <si>
    <t>confidentiality; Hardware-based security; integrity; processor extensions</t>
  </si>
  <si>
    <t>BPBP5CPK</t>
  </si>
  <si>
    <t>Ali, Isra Mohamed; Caprolu, Maurantonio; Pietro, Roberto Di</t>
  </si>
  <si>
    <t>Foundations, Properties, and Security Applications of Puzzles: A Survey</t>
  </si>
  <si>
    <t>10.1145/3396374</t>
  </si>
  <si>
    <t>https://doi.org/10.1145/3396374</t>
  </si>
  <si>
    <t>Cryptographic algorithms have been used not only to create robust ciphertexts but also to generate cryptograms that, contrary to the classic goal of cryptography, are meant to be broken. These cryptograms, generally called puzzles, require the use of a certain amount of resources to be solved, hence introducing a cost that is often regarded as a time delay‚Äîthough it could involve other metrics as well, such as bandwidth. These powerful features have made puzzles the core of many security protocols, acquiring increasing importance in the IT security landscape. The concept of a puzzle has subsequently been extended to other types of schemes that do not use cryptographic functions, such as CAPTCHAs, which are used to discriminate humans from machines. Overall, puzzles have experienced a renewed interest with the advent of Bitcoin, which uses a CPU-intensive puzzle as proof of work. In this article, we provide a comprehensive study of the most important puzzle construction schemes available in the literature, categorizing them according to several attributes, such as resource type, verification type, and applications. We have redefined the term puzzle by collecting and integrating the scattered notions used in different works, to cover all the existing applications. Moreover, we provide an overview of the possible applications, identifying key requirements and different design approaches. Finally, we highlight the features and limitations of each approach, providing a useful guide for the future development of new puzzle schemes.</t>
  </si>
  <si>
    <t>Bandwidth-bound puzzle; Bitcoin; CAPTCHA; CPU-bound puzzle; Cryptocurrency; Cryptographic puzzle; Human-bound puzzle; Memory-bound puzzle; Network-bound puzzle; Proof-of-Work</t>
  </si>
  <si>
    <t>RLJZ3KMU</t>
  </si>
  <si>
    <t>Calegari, Patrice; Levrier, Marc; Balczy≈Ñski, Pawe≈Ç</t>
  </si>
  <si>
    <t>Web Portals for High-performance Computing: A Survey</t>
  </si>
  <si>
    <t>ACM Trans. Web</t>
  </si>
  <si>
    <t>1559-1131</t>
  </si>
  <si>
    <t>10.1145/3197385</t>
  </si>
  <si>
    <t>https://doi.org/10.1145/3197385</t>
  </si>
  <si>
    <t>2019-02</t>
  </si>
  <si>
    <t>This article addresses web interfaces for High-performance Computing (HPC) simulation software. First, it presents a brief history, starting in the 1990s with Java applets, of web interfaces used for accessing and making best possible use of remote HPC resources. It introduces HPC web-based portal use cases. Then it identifies and discusses the key features, among functional and non-functional requirements, that characterize such portals. A brief state of the art is then presented. The design and development of Bull extreme factory Computing Studio v3 (XCS3) is chosen as a common thread for showing how the identified key features can all be implemented in one software: multi-tenancy, multi-scheduler compatibility, complete control through an HTTP RESTful API, customizable user interface with Responsive Web Design, HPC application template framework, remote visualization, and access through the Authentication, Authorization, and Accounting security framework with the Role-Based Access Control permission model. Non-functional requirements (security, usability, performance, reliability) are discussed, and the article concludes by giving perspective for future work.</t>
  </si>
  <si>
    <t>cloud computing; HPC; application templates; customizable GUI; dashboards; High-performance computing; HPC-as-a-service; HPCaaS; job management; RESTful API; SaaS; science gateway; service-oriented architectures; software-as-a-service; user interface; web portal</t>
  </si>
  <si>
    <t>RQRII3QX</t>
  </si>
  <si>
    <t>Ali, Ahsan; Pinciroli, Riccardo; Yan, Feng; Smirni, Evgenia</t>
  </si>
  <si>
    <t>Optimizing inference serving on serverless platforms</t>
  </si>
  <si>
    <t>10.14778/3547305.3547313</t>
  </si>
  <si>
    <t>https://doi.org/10.14778/3547305.3547313</t>
  </si>
  <si>
    <t>2022-06</t>
  </si>
  <si>
    <t>2071‚Äì2084</t>
  </si>
  <si>
    <t>Serverless computing is gaining popularity for machine learning (ML) serving workload due to its autonomous resource scaling, easy to use and pay-per-use cost model. Existing serverless platforms work well for image-based ML inference, where requests are homogeneous in service demands. That said, recent advances in natural language processing could not fully benefit from existing serverless platforms as their requests are intrinsically heterogeneous.Batching requests for processing can significantly increase ML serving efficiency while reducing monetary cost, thanks to the pay-per-use pricing model adopted by serverless platforms. Yet, batching heterogeneous ML requests leads to additional computation overhead as small requests need to be "padded" to the same size as large requests within the same batch. Reaching effective batching decisions (i.e., which requests should be batched together and why) is non-trivial: the padding overhead coupled with the serverless auto-scaling forms a complex optimization problem.To address this, we develop Multi-Buffer Serving (MBS), a framework that optimizes the batching of heterogeneous ML inference serving requests to minimize their monetary cost while meeting their service level objectives (SLOs). The core of MBS is a performance and cost estimator driven by analytical models supercharged by a Bayesian optimizer. MBS is prototyped and evaluated on AWS using bursty workloads. Experimental results show that MBS preserves SLOs while outperforming the state-of-the-art by up to 8 x in terms of cost savings while minimizing the padding overhead by up to 37 x with 3 x less number of serverless function invocations.</t>
  </si>
  <si>
    <t>KPQJIW42</t>
  </si>
  <si>
    <t>Wu, Caesar; Buyya, Rajkumar; Ramamohanarao, Kotagiri</t>
  </si>
  <si>
    <t>Cloud Pricing Models: Taxonomy, Survey, and Interdisciplinary Challenges</t>
  </si>
  <si>
    <t>10.1145/3342103</t>
  </si>
  <si>
    <t>https://doi.org/10.1145/3342103</t>
  </si>
  <si>
    <t>This article provides a systematic review of cloud pricing in an interdisciplinary approach. It examines many historical cases of pricing in practice and tracks down multiple roots of pricing in research. The aim is to help both cloud service provider (CSP) and cloud customers to capture the essence of cloud pricing when they need to make a critical decision either to achieve competitive advantages or to manage cloud resource effectively. Currently, the number of available pricing schemes in the cloud market is overwhelming. It is an intricate issue to understand these schemes and associated pricing models clearly due to involving several domains of knowledge, such as cloud technologies, microeconomics, operations research, and value theory. Some earlier studies have introduced this topic unsystematically. Their approaches inevitably lead to much confusion for many cloud decision-makers. To address their weaknesses, we present a comprehensive taxonomy of cloud pricing, which is driven by a framework of three fundamental pricing strategies that are built on nine cloud pricing categories. These categories can be further mapped onto a total of 60 pricing models. Many of the pricing models have been already adopted by CSPs. Others have been widespread across in other industries. We give descriptions of these model categories and highlight both advantages and disadvantages. Moreover, this article offers an extensive survey of many cloud pricing models that were proposed by many researchers during the past decade. Based on the survey, we identify four trends of cloud pricing and the general direction, which is moving from intrinsic value per physical box to extrinsic value per serverless sandbox. We conclude that hyper-converged cloud resources pool supported by cloud orchestration, virtual machine, Open Application Programming Interface, and serverless sandbox will drive the future of cloud pricing.</t>
  </si>
  <si>
    <t>cloud price model; Cloud services provider (CSP); cost-based pricing; market-based pricing; value-based pricing</t>
  </si>
  <si>
    <t>69CQLYEQ</t>
  </si>
  <si>
    <t>Wang, Chengpeng; Yao, Peisen; Tang, Wensheng; Shi, Qingkai; Zhang, Charles</t>
  </si>
  <si>
    <t>Complexity-guided container replacement synthesis</t>
  </si>
  <si>
    <t>10.1145/3527312</t>
  </si>
  <si>
    <t>https://doi.org/10.1145/3527312</t>
  </si>
  <si>
    <t>OOPSLA1</t>
  </si>
  <si>
    <t>Containers, such as lists and maps, are fundamental data structures in modern programming languages. However, improper choice of container types may lead to significant performance issues. This paper presents Cres, an approach that automatically synthesizes container replacements to improve runtime performance. The synthesis algorithm works with static analysis techniques to identify how containers are utilized in the program, and attempts to select a method with lower time complexity for each container method call. Our approach can preserve program behavior and seize the opportunity of reducing execution time effectively for general inputs. We implement Cres and evaluate it on 12 real-world Java projects. It is shown that Cres synthesizes container replacements for the projects with 384.2 KLoC in 14 minutes and discovers six categories of container replacements, which can achieve an average performance improvement of 8.1%.</t>
  </si>
  <si>
    <t>data structure specification; program optimization; program synthesis</t>
  </si>
  <si>
    <t>E3S9X3PK</t>
  </si>
  <si>
    <t>Oikonomou, Panagiotis; Karanika, Anna; Anagnostopoulos, Christos; Kolomvatsos, Kostas</t>
  </si>
  <si>
    <t>On the Use of Intelligent Models towards Meeting the Challenges of the Edge Mesh</t>
  </si>
  <si>
    <t>10.1145/3456630</t>
  </si>
  <si>
    <t>https://doi.org/10.1145/3456630</t>
  </si>
  <si>
    <t>2021-07</t>
  </si>
  <si>
    <t>Nowadays, we are witnessing the advent of the Internet of Things (IoT) with numerous devices performing interactions between them or with their environment. The huge number of devices leads to huge volumes of data that demand the appropriate processing. The ‚Äúlegacy‚Äù approach is to rely on Cloud where increased computational resources can realize any desired processing. However, the need for supporting real-time applications requires a reduced latency in the provision of outcomes. Edge Computing (EC) comes as the ‚Äúsolver‚Äù of the latency problem. Various processing activities can be performed at EC nodes having direct connection with IoT devices. A number of challenges should be met before we conclude a fully automated ecosystem where nodes can cooperate or understand their status to efficiently serve applications. In this article, we perform a survey of the relevant research activities towards the vision of Edge Mesh (EM), i.e., a ‚Äúcover‚Äù of intelligence upon the EC. We present the necessary hardware and discuss research outcomes in every aspect of EC/EM nodes functioning. We present technologies and theories adopted for data, tasks, and resource management while discussing how machine learning and optimization can be adopted in the domain.</t>
  </si>
  <si>
    <t>Internet of Things; Machine Learning; Edge Computing; Data Management; Edge Mesh; Resources Management; Tasks Management</t>
  </si>
  <si>
    <t>KUGYFHJH</t>
  </si>
  <si>
    <t>Luu, Quang-Trung; Kerboeuf, Sylvaine; Mouradian, Alexandre; Kieffer, Michel</t>
  </si>
  <si>
    <t>A Coverage-Aware Resource Provisioning Method for Network Slicing</t>
  </si>
  <si>
    <t>10.1109/TNET.2020.3019098</t>
  </si>
  <si>
    <t>https://doi.org/10.1109/TNET.2020.3019098</t>
  </si>
  <si>
    <t>2020-12</t>
  </si>
  <si>
    <t>2393‚Äì2406</t>
  </si>
  <si>
    <t>With network slicing in 5G networks, Mobile Network Operators can create various slices for Service Providers (SPs) to accommodate customized services. Usually, the various Service Function Chains (SFCs) belonging to a slice are deployed on a best-effort basis. Nothing ensures that the Infrastructure Provider (InP) will be able to allocate enough resources to cope with the increasing demands of some SP. Moreover, in many situations, slices have to be deployed over some geographical area: coverage as well as minimum per-user rate constraints have then to be taken into account. This paper takes the InP perspective and proposes a slice resource &amp;lt;italic&amp;gt;provisioning&amp;lt;/italic&amp;gt; approach to cope with multiple slice demands in terms of computing, storage, coverage, and rate constraints. The resource requirements of the various SFCs within a slice are aggregated within a graph of Slice Resource Demands (SRD). Infrastructure nodes and links have then to be provisioned so as to satisfy all SRDs. This problem leads to a Mixed Integer Linear Programming formulation. A two-step approach is considered, with several variants, depending on whether the constraints of each slice to be provisioned are taken into account sequentially or jointly. Once provisioning has been performed, any slice deployment strategy may be considered on the reduced-size infrastructure graph on which resources have been provisioned. Simulation results demonstrate the effectiveness of the proposed approach compared to a more classical direct slice embedding approach.</t>
  </si>
  <si>
    <t>AAWH9RDK</t>
  </si>
  <si>
    <t>Fokaefs, Marios; Barna, Cornel; Litoiu, Marin</t>
  </si>
  <si>
    <t>From DevOps to BizOps: Economic Sustainability for Scalable Cloud Applications</t>
  </si>
  <si>
    <t>10.1145/3139290</t>
  </si>
  <si>
    <t>https://doi.org/10.1145/3139290</t>
  </si>
  <si>
    <t>Virtualization of resources in cloud computing has enabled developers to commission and recommission resources at will and on demand. This virtualization is a coin with two sides. On one hand, the flexibility in managing virtual resources has enabled developers to efficiently manage their costs; they can easily remove unnecessary resources or add resources temporarily when the demand increases. On the other hand, the volatility of such environment and the velocity with which changes can occur may have a greater impact on the economic position of a stakeholder and the business balance of the overall ecosystem. In this work, we recognise the business ecosystem of cloud computing as an economy of scale and explore the effect of this fact on decisions concerning scaling the infrastructure of web applications to account for fluctuations in demand. The goal is to reveal and formalize opportunities for economically optimal scaling that takes into account not only the cost of infrastructure but also the revenue from service delivery and eventually the profit of the service provider. The end product is a scaling mechanism that makes decisions based on both performance and economic criteria and takes adaptive actions to optimize both performance and profitability for the system.</t>
  </si>
  <si>
    <t>Cloud computing; DevOps; self-adaptive systems; software engineering economics</t>
  </si>
  <si>
    <t>IEEE Conferences</t>
  </si>
  <si>
    <t>A. Krylovskiy; M. Jahn; E. Patti</t>
  </si>
  <si>
    <t>Designing a Smart City Internet of Things Platform with Microservice Architecture</t>
  </si>
  <si>
    <t>2015 3rd International Conference on Future Internet of Things and Cloud</t>
  </si>
  <si>
    <t>10.1109/FiCloud.2015.55</t>
  </si>
  <si>
    <t>Fraunhofer FIT, Sankt Augustin, Germany; Fraunhofer FIT, Sankt Augustin, Germany; Dept. of Control and Computer Engineering, Italy</t>
  </si>
  <si>
    <t>The Internet of Things (IoT) is being adopted in different application domains and is recognized as one of the key enablers of the Smart City vision. Despite the standardization efforts and wide adoption of Web standards and cloud computing technologies, however, building large-scale Smart City IoT platforms in practice remains challenging. The dynamically changing IoT environment requires these systems to be able to scale and evolve over time adopting new technologies and requirements. In response to the similar challenges in building large-scale distributed applications and platforms on the Web, micro service architecture style has emerged and gained a lot of popularity in the industry in recent years. In this work, we share our early experience of applying the micro service architecture style to design a Smart City IoT platform. Our experience suggests significant benefits provided by this architectural style compared to the more generic Service-Oriented Architecture (SOA) approaches, as well as highlights some of the challenges it introduces.</t>
  </si>
  <si>
    <t>978-1-4673-8103-1</t>
  </si>
  <si>
    <t>https://ieeexplore.ieee.org/stamp/stamp.jsp?arnumber=7300793</t>
  </si>
  <si>
    <t>Smart cities;Computer architecture;Data models;Standards;Architecture;Interoperability</t>
  </si>
  <si>
    <t>F. Rossi; M. Nardelli; V. Cardellini</t>
  </si>
  <si>
    <t>Horizontal and Vertical Scaling of Container-Based Applications Using Reinforcement Learning</t>
  </si>
  <si>
    <t>2019 IEEE 12th International Conference on Cloud Computing (CLOUD)</t>
  </si>
  <si>
    <t>2159-6190</t>
  </si>
  <si>
    <t>10.1109/CLOUD.2019.00061</t>
  </si>
  <si>
    <t>Dept. of Computer Science and Civil Engineering, University of Rome Tor Vergata, Italy; Dept. of Computer Science and Civil Engineering, University of Rome Tor Vergata, Italy; Dept. of Computer Science and Civil Engineering, University of Rome Tor Vergata, Italy</t>
  </si>
  <si>
    <t>Software containers are changing the way distributed applications are executed and managed on cloud computing resources. Interestingly, containers offer the possibility of handling workload fluctuations by exploiting both horizontal and vertical elasticity "on the fly". However, most of the existing control policies consider horizontal and vertical scaling as two disjointed control knobs. In this paper, we propose Reinforcement Learning (RL) solutions for controlling the horizontal and vertical elasticity of container-based applications with the goal to increase the flexibility to cope with varying workloads. Although RL represents an interesting approach, it may suffer from a possible long learning phase, especially when nothing about the system is known a-priori. To speed up the learning process and identify better adaptation policies, we propose RL solutions that exploit different degrees of knowledge about the system dynamics (i.e., Q-learning, Dyna-Q, and Model-based). We integrate the proposed policies in Elastic Docker Swarm, our extension that introduces self-adaptation capabilities in the container orchestration tool Docker Swarm. We demonstrate the effectiveness and flexibility of model-based RL policies through simulations and prototype-based experiments.</t>
  </si>
  <si>
    <t>978-1-7281-2705-7</t>
  </si>
  <si>
    <t>https://ieeexplore.ieee.org/stamp/stamp.jsp?arnumber=8814555</t>
  </si>
  <si>
    <t>Reinforcement Learning, Elasticity, Self adaptation, Container, Docker</t>
  </si>
  <si>
    <t>Elasticity;Containers;Adaptation models;Cloud computing;Computational modeling;System dynamics;Tools</t>
  </si>
  <si>
    <t>J. Santos; T. Wauters; B. Volckaert; F. De Turck</t>
  </si>
  <si>
    <t>Towards Network-Aware Resource Provisioning in Kubernetes for Fog Computing Applications</t>
  </si>
  <si>
    <t>2019 IEEE Conference on Network Softwarization (NetSoft)</t>
  </si>
  <si>
    <t>10.1109/NETSOFT.2019.8806671</t>
  </si>
  <si>
    <t>IDLab, Ghent University - imec, Gent, Belgium; IDLab, Ghent University - imec, Gent, Belgium; IDLab, Ghent University - imec, Gent, Belgium; IDLab, Ghent University - imec, Gent, Belgium</t>
  </si>
  <si>
    <t>Nowadays, the Internet of Things (IoT) continues to expand at enormous rates. Smart Cities powered by connected sensors promise to transform public services from transportation to environmental monitoring and healthcare to improve citizen welfare. Furthermore, over the last few years, Fog Computing has been introduced to provide an answer to the massive growth of heterogeneous devices connected to the network. Nevertheless, providing a proper resource scheduling for delay-sensitive and data-intensive services in Fog Computing environments is still a key research domain. Therefore, in this paper, a network-aware scheduling approach for container-based applications in Smart City deployments is proposed. Our proposal has been validated on the Kubernetes platform, an open source orchestrator for the automatic management and deployment of micro-services. Our approach has been implemented as an extension to the default scheduling mechanism available in Kubernetes, enabling Kubernetes to make resource provisioning decisions based on the current status of the network infrastructure. Evaluations based on Smart City container-based applications have been carried out to compare the performance of the proposed scheduling approach with the standard scheduling feature available in Kubernetes. Results show that the proposed approach achieves reductions of 80% in terms of network latency when compared to the default scheduling mechanism.</t>
  </si>
  <si>
    <t>978-1-5386-9376-6</t>
  </si>
  <si>
    <t>https://ieeexplore.ieee.org/stamp/stamp.jsp?arnumber=8806671</t>
  </si>
  <si>
    <t>Smart Cities;IoT;Fog Computing;Resource Provisioning;Kubernetes</t>
  </si>
  <si>
    <t>Internet of Things;Containers;Smart cities;Servers;Scheduling;Edge computing;Processor scheduling</t>
  </si>
  <si>
    <t>J. Backman; S. Yrj√∂l√§; K. Valtanen; O. M√§mmel√§</t>
  </si>
  <si>
    <t>Blockchain network slice broker in 5G: Slice leasing in factory of the future use case</t>
  </si>
  <si>
    <t>2017 Internet of Things Business Models, Users, and Networks</t>
  </si>
  <si>
    <t>10.1109/CTTE.2017.8260929</t>
  </si>
  <si>
    <t>VTT Technical Research Centre of Finland Ltd., Oulu, Finland; Nokia, Oulu, Finland; VTT Technical Research Centre of Finland Ltd., Oulu, Finland; VTT Technical Research Centre of Finland Ltd., Oulu, Finland</t>
  </si>
  <si>
    <t>5G Network Slice Broker concept aims to enable mobile virtual network operators, over-the-top providers, and industry vertical market players to request and lease resources from infrastructure providers dynamically according to needs. In the future digital factory, the leasing of resources could also happen autonomously by manufacturing equipment. This paper presents Blockchain Slice Leasing Ledger Concept and analysis of its applicability in the Factory of the Future. The novel concept utilizes 5G Network Slice Broker in a Blockchain to reduce service creation time and enable manufacturing equipment autonomously and dynamically acquire the slice needed for more efficient operations.</t>
  </si>
  <si>
    <t>978-1-5386-3197-3</t>
  </si>
  <si>
    <t>https://ieeexplore.ieee.org/stamp/stamp.jsp?arnumber=8260929</t>
  </si>
  <si>
    <t>blockchain;manufacturing;network management;network slicing;5G;IIoT</t>
  </si>
  <si>
    <t>5G mobile communication;Production facilities;Reliability;Manufacturing;Peer-to-peer computing</t>
  </si>
  <si>
    <t>S. Latre; P. Leroux; T. Coenen; B. Braem; P. Ballon; P. Demeester</t>
  </si>
  <si>
    <t>City of things: An integrated and multi-technology testbed for IoT smart city experiments</t>
  </si>
  <si>
    <t>2016 IEEE International Smart Cities Conference (ISC2)</t>
  </si>
  <si>
    <t>10.1109/ISC2.2016.7580875</t>
  </si>
  <si>
    <t>Department of Mathematics and Computer Science, University of Antwerp - iMinds, Belgium; Department of Information Technology, Ghent University - iMinds, Belgium; Free University of Brussels - iMinds, Belgium; Department of Mathematics and Computer Science, University of Antwerp - iMinds, Belgium; Free University of Brussels - iMinds, Belgium; Department of Information Technology, Ghent University - iMinds, Belgium</t>
  </si>
  <si>
    <t>While smart cities have the potential to monitor and control the city in real-time through sensors and actuators, there is still an important road ahead to evolve from isolated smart city experiments to real large-scale deployments. Important research questions remain on how and which wireless technologies should be setup for connecting the city, how the data should be analysed and how the acceptance by users of applications can be assessed. In this paper we present the City of Things testbed, which is a smart city testbed located in the city of Antwerp, Belgium to address these questions. It allows the setup and validation of new smart city experiments both at a technology and user level. City of Things consists of a multi-wireless technology network infrastructure, the capacity to easily perform data experiments on top and a living lab approach to validate the experiments. In comparison to other smart city testbeds, City of Things consists of an integrated approach, allowing experimentation on three different layers: networks, data and living lab while supporting a wide range of wireless technologies. We give an overview of the City of Things architecture, explain how researchers can perform smart city experiments and illustrate this by a case study on air quality.</t>
  </si>
  <si>
    <t>978-1-5090-1846-8</t>
  </si>
  <si>
    <t>https://ieeexplore.ieee.org/stamp/stamp.jsp?arnumber=7580875</t>
  </si>
  <si>
    <t>Smart cities;Wireless sensor networks;Logic gates;Wireless communication;Intelligent sensors</t>
  </si>
  <si>
    <t>A. Brogi; S. Forti; A. Ibrahim</t>
  </si>
  <si>
    <t>How to Best Deploy Your Fog Applications, Probably</t>
  </si>
  <si>
    <t>2017 IEEE 1st International Conference on Fog and Edge Computing (ICFEC)</t>
  </si>
  <si>
    <t>10.1109/ICFEC.2017.8</t>
  </si>
  <si>
    <t>Universita degli Studi di Pisa, Pisa, Toscana, IT; Universita degli Studi di Pisa, Pisa, Toscana, IT; Universita degli Studi di Pisa, Pisa, Toscana, IT</t>
  </si>
  <si>
    <t>Deploying composite applications to Fog nodes in a QoS-and context-aware manner is challenging due to the heterogeneity and scale of Fog infrastructures. Application components must be provided with the software and hardware capabilities they need. Communication links that support interactions between components must meet certain QoS (latency and bandwidth). On the other hand, different Fog and Cloud nodes provide different software and hardware capabilities, and actual communication links support different QoS over time. In this paper we present a prototype (FogTorchII) capable of determining deployments of composite applications to Fog infrastructures, which fulfil software, hardware and QoS requirements. FogTorchII exploits Monte Carlo simulations to take into account possible variations of the QoS of communication links. It classifies eligible deployments both in terms of QoS-assurance and of Fog resource consumption. We illustrate the utility of FogTorchII over a motivating example where we compare different possible deployments for a smart agriculture application.</t>
  </si>
  <si>
    <t>978-1-5090-3047-7</t>
  </si>
  <si>
    <t>https://ieeexplore.ieee.org/stamp/stamp.jsp?arnumber=8014366</t>
  </si>
  <si>
    <t>Fog applications;QoS;Monte Carlo simulations</t>
  </si>
  <si>
    <t>Quality of service;Bandwidth;Hardware;Cloud computing;Agriculture;Sensors</t>
  </si>
  <si>
    <t>Q. Zhang; L. Liu; C. Pu; Q. Dou; L. Wu; W. Zhou</t>
  </si>
  <si>
    <t>A Comparative Study of Containers and Virtual Machines in Big Data Environment</t>
  </si>
  <si>
    <t>2018 IEEE 11th International Conference on Cloud Computing (CLOUD)</t>
  </si>
  <si>
    <t>10.1109/CLOUD.2018.00030</t>
  </si>
  <si>
    <t>IBM Thomas J. Watson Research, New York, USA; College of Computing, Georgia Institute of Technology, Georgia, USA; College of Computing, Georgia Institute of Technology, Georgia, USA; Software School, Yunnan University, Yunnan, China; Software School, Yunnan University, Yunnan, China; Software School, Yunnan University, Yunnan, China</t>
  </si>
  <si>
    <t>Container technique is gaining increasing attention in recent years and has become an alternative to traditional virtual machines. Some of the primary motivations for the enterprise to adopt the container technology include its conveniency to encapsulate and deploy applications, lightweight operations, as well as efficiency and flexibility in resources sharing. However, there still lacks an in-depth and systematic comparison study on how big data applications, such as Spark jobs, perform between a container environment and a virtual machine environment. In this paper, by running various Spark applications with different configurations, we evaluate the two environments from many interesting aspects, such as how convenient the execution environment can be set up, what are makespans of different workloads running in each setup, how efficient the hardware resources, such as CPU and memory, are utilized, and how well each environment can scale. The results show that compared with virtual machines, containers provide a more easy-to-deploy and scalable environment for big data workloads. The research work in this paper can help practitioners and researchers to make more informed decisions on tuning their cloud environment and configuring the big data applications, so as to achieve better performance and higher resources utilization.</t>
  </si>
  <si>
    <t>978-1-5386-7235-8</t>
  </si>
  <si>
    <t>https://ieeexplore.ieee.org/stamp/stamp.jsp?arnumber=8457798</t>
  </si>
  <si>
    <t>virtual machine;container;cloud computing</t>
  </si>
  <si>
    <t>Containers;Cloud computing;Virtual machining;Big Data;Sparks;Hardware;Resource management</t>
  </si>
  <si>
    <t>J. von Kistowski; S. Eismann; N. Schmitt; A. Bauer; J. Grohmann; S. Kounev</t>
  </si>
  <si>
    <t>TeaStore: A Micro-Service Reference Application for Benchmarking, Modeling and Resource Management Research</t>
  </si>
  <si>
    <t>2018 IEEE 26th International Symposium on Modeling, Analysis, and Simulation of Computer and Telecommunication Systems (MASCOTS)</t>
  </si>
  <si>
    <t>2375-0227</t>
  </si>
  <si>
    <t>10.1109/MASCOTS.2018.00030</t>
  </si>
  <si>
    <t>University of W√ºrzburg; University of W√ºrzburg; University of W√ºrzburg; University of W√ºrzburg; University of W√ºrzburg; University of W√ºrzburg</t>
  </si>
  <si>
    <t>Modern distributed applications offer complex performance behavior and many degrees of freedom regarding deployment and configuration. Researchers employ various methods of analysis, modeling, and management that leverage these degrees of freedom to predict or improve non-functional properties of the software under consideration. In order to demonstrate and evaluate their applicability in the real world, methods resulting from such research areas require test and reference applications that offer a range of different behaviors, as well as the necessary degrees of freedom. Existing production software is often inaccessible for researchers or closed off to instrumentation. Existing testing and benchmarking frameworks, on the other hand, are either designed for specific testing scenarios, or they do not offer the necessary degrees of freedom. Further, most test applications are difficult to deploy and run, or are outdated. In this paper, we introduce the TeaStore, a state-of-the-art micro-service-based test and reference application. TeaStore offers services with different performance characteristics and many degrees of freedom regarding deployment and configuration to be used as a benchmarking framework for researchers. The TeaStore allows evaluating performance modeling and resource management techniques; it also offers instrumented variants to enable extensive run-time analysis. We demonstrate TeaStore's use in three contexts: performance modeling, cloud resource management, and energy efficiency analysis. Our experiments show that TeaStore can be used for evaluating novel approaches in these contexts and also motivates further research in the areas of performance modeling and resource management.</t>
  </si>
  <si>
    <t>978-1-5386-6886-3</t>
  </si>
  <si>
    <t>https://ieeexplore.ieee.org/stamp/stamp.jsp?arnumber=8526888</t>
  </si>
  <si>
    <t>Microservice;Benchmarking;Performance;Power;Energy Efficiency;Models;Auto Scaler;Container;Cloud</t>
  </si>
  <si>
    <t>Benchmark testing;Software;Analytical models;Resource management;Predictive models;Instruments</t>
  </si>
  <si>
    <t>Z. Yang; P. Nguyen; H. Jin; K. Nahrstedt</t>
  </si>
  <si>
    <t>MIRAS: Model-based Reinforcement Learning for Microservice Resource Allocation over Scientific Workflows</t>
  </si>
  <si>
    <t>2019 IEEE 39th International Conference on Distributed Computing Systems (ICDCS)</t>
  </si>
  <si>
    <t>2575-8411</t>
  </si>
  <si>
    <t>10.1109/ICDCS.2019.00021</t>
  </si>
  <si>
    <t>University of Illinois at Urbana-Champaign, Urbana, IL, USA; University of Illinois at Urbana-Champaign, Urbana, IL, USA; Shanghai Jiao Tong University, Shanghai, China; University of Illinois at Urbana-Champaign, Urbana, IL, USA</t>
  </si>
  <si>
    <t>Microservice, an architectural design that decomposes applications into loosely coupled services, is adopted in modern software design, including cloud-based scientific workflow processing. The microservice design makes scientific workflow systems more modular, more flexible, and easier to develop. However, cloud deployment of microservice workflow execution systems doesn't come for free, and proper resource management decisions have to be made in order to achieve certain performance objective (e.g., response time) within constraint operation cost. Nevertheless, effective online resource allocation decisions are hard to achieve due to dynamic workloads and the complicated interactions of microservices in each workflow. In this paper, we propose an adaptive resource allocation approach for microservice workflow system based on recent advances in reinforcement learning. Our approach (1) assumes little prior knowledge of the microservice workflow system and does not require any elaborately designed model or crafted representative simulator of the underlying system, and (2) avoids high sample complexity which is a common drawback of model-free reinforcement learning when applied to real-world scenarios. We show that our proposed approach automatically achieves effective policy for resource allocation with limited number of time-consuming interactions with the microservice workflow system. We perform extensive evaluations to validate the effectiveness of our approach and demonstrate that it outperforms existing resource allocation approaches with read-world emulated workflows.</t>
  </si>
  <si>
    <t>978-1-7281-2519-0</t>
  </si>
  <si>
    <t>https://ieeexplore.ieee.org/stamp/stamp.jsp?arnumber=8885267</t>
  </si>
  <si>
    <t>Microservice;resource allocation;reinforcement learning</t>
  </si>
  <si>
    <t>Task analysis;Resource management;Microsoft Windows;Adaptation models;Cloud computing;Delays;Computational modeling</t>
  </si>
  <si>
    <t>T. Vresk; I. ƒåavrak</t>
  </si>
  <si>
    <t>Architecture of an interoperable IoT platform based on microservices</t>
  </si>
  <si>
    <t>2016 39th International Convention on Information and Communication Technology, Electronics and Microelectronics (MIPRO)</t>
  </si>
  <si>
    <t>10.1109/MIPRO.2016.7522321</t>
  </si>
  <si>
    <t>Koncar elektronika i informatika, Zagreb, Croatia; Faculty of Electrical Engineering and Computing, University of Zagreb, Zagreb, Croatia</t>
  </si>
  <si>
    <t>The vision of the Internet of Things enabled the development of a wide spectrum of services, applications and ecosystems, deemed infeasible not long ago. However, lack of standardization poses a number of questions still requiring proper addressing. Due to the need of supporting large number of users and significant data processing throughput, Internet of Things requires a specific approach towards the problem of providing sufficient scalability and performance, clearly pointing towards the distribution of effort among a large number of small and specialized services. Reflecting on the importance of coexistence of heterogeneous systems supporting the Internet of Things, this paper presents an overview of the specific problems inherent to the IoT and the proposal of an architecture of a microservice based middleware aimed at connecting heterogeneous IoT devices. The middleware functionality is achieved irrespective of the size and complexity of a given device network, both from the data model aspect and from the aspect of connecting existing and newly created middleware components.</t>
  </si>
  <si>
    <t>978-953-233-086-1</t>
  </si>
  <si>
    <t>https://ieeexplore.ieee.org/stamp/stamp.jsp?arnumber=7522321</t>
  </si>
  <si>
    <t>Internet of things;Data models;Protocols;Interoperability;Computer architecture;Standardization;Scalability</t>
  </si>
  <si>
    <t>S. Ghodrati; B. H. Ahn; J. Kyung Kim; S. Kinzer; B. R. Yatham; N. Alla; H. Sharma; M. Alian; E. Ebrahimi; N. S. Kim; C. Young; H. Esmaeilzadeh</t>
  </si>
  <si>
    <t>Planaria: Dynamic Architecture Fission for Spatial Multi-Tenant Acceleration of Deep Neural Networks</t>
  </si>
  <si>
    <t>2020 53rd Annual IEEE/ACM International Symposium on Microarchitecture (MICRO)</t>
  </si>
  <si>
    <t>10.1109/MICRO50266.2020.00062</t>
  </si>
  <si>
    <t>Alternative Computing Technologies (ACT) Lab, University of California, San Diego; Alternative Computing Technologies (ACT) Lab, University of California, San Diego; Alternative Computing Technologies (ACT) Lab, University of California, San Diego; Alternative Computing Technologies (ACT) Lab, University of California, San Diego; Alternative Computing Technologies (ACT) Lab, University of California, San Diego; Alternative Computing Technologies (ACT) Lab, University of California, San Diego; Bigstream Inc.; Kansas University; NVIDIA Research; University of Illinois Urbana-Champaign; Google Inc.; Alternative Computing Technologies (ACT) Lab, University of California, San Diego</t>
  </si>
  <si>
    <t>Deep Neural Networks (DNNs) have reinvigorated real-world applications that rely on learning patterns of data and are permeating into different industries and markets. Cloud infrastructure and accelerators that offer INFerence-as-a-Service (INFaaS) have become the enabler of this rather quick and invasive shift in the industry. To that end, mostly accelerator-based INFaaS (Google's TPU [1], NVIDIA T4 [2], Microsoft Brainwave [3], etc.) has become the backbone of many real-life applications. However, as the demand for such services grows, merely scaling-out the number of accelerators is not economically cost-effective. Although multi-tenancy has propelled datacenter scalability, it has not been a primary factor in designing DNN accelerators due to the arms race for higher speed and efficiency. This paper sets out to explore this timely requirement of multi-tenancy through a new dimension: dynamic architecture fission. To that end, we define Planaria1 that can dynamically fission (break) into multiple smaller yet full-fledged DNN engines at runtime. This microarchitectural capability enables spatially co-locating multiple DNN inference services on the same hardware, offering simultaneous multi-tenant DNN acceleration. To realize this dynamic reconfigurability, we first devise breakable omni-directional systolic arrays for DNN acceleration that allows omni-directional flow of data. Second, it uses this capability and a unique organization of on-chip memory, interconnection, and compute resources to enable fission in systolic array based DNN accelerators. Architecture fission and its associated flexibility enables an extra degree of freedom for task scheduling, that even allows breaking the accelerator with regard to the server load, DNN topology, and task priority. As such, it can simultaneously co-locate DNNs to enhance utilization, throughput, QoS, and fairness. We compare the proposed design to PREMA [4], a recent effort that offers multi-tenancy by time-multiplexing the DNN accelerator across multiple tasks. We use the same frequency, the same amount of compute and memory resources for both accelerators. The results show significant benefits with (soft, medium, hard) QoS requirements, in throughput (7.4√ó, 7.2√ó, 12.2√ó), SLA satisfaction rate (45%, 15%, 16%), and fairness (2.1√ó, 2.3√ó, 1.9√ó).</t>
  </si>
  <si>
    <t>978-1-7281-7383-2</t>
  </si>
  <si>
    <t xml:space="preserve">Google; Qualcomm; Microsoft; Xilinx; National Science Foundation; Air Force Office of Scientific Research; </t>
  </si>
  <si>
    <t>https://ieeexplore.ieee.org/stamp/stamp.jsp?arnumber=9251939</t>
  </si>
  <si>
    <t>Accelerators;Deep Neural Networks;DNN;DNN Acceleration;Multi-Tenancy;Spatial DNN Task Co-Location;Multi-Tenant DNN Acceleration;Dynamic Architecture Fission;Omni-Directional Systolic Arrays</t>
  </si>
  <si>
    <t>Industries;Microarchitecture;Computer architecture;Quality of service;Throughput;Acceleration;Task analysis</t>
  </si>
  <si>
    <t>S. Niknam; A. Roy; H. S. Dhillon; S. Singh; R. Banerji; J. H. Reed; N. Saxena; S. Yoon</t>
  </si>
  <si>
    <t>Intelligent O-RAN for Beyond 5G and 6G Wireless Networks</t>
  </si>
  <si>
    <t>2022 IEEE Globecom Workshops (GC Wkshps)</t>
  </si>
  <si>
    <t>10.1109/GCWkshps56602.2022.10008676</t>
  </si>
  <si>
    <t>Wireless@VT, Virginia Tech, Blacksburg, VA; MediaTek, San Jose, CA; Wireless@VT, Virginia Tech, Blacksburg, VA; Samsung R&amp;D India-Bangalore; Samsung R&amp;D India-Bangalore; Wireless@VT, Virginia Tech, Blacksburg, VA; San Jose State University, CA; Samsung Electronics, Suwon, Korea</t>
  </si>
  <si>
    <t>Building on the principles of openness and intelligence, there has been a concerted global effort from the operators towards enhancing the radio access network (RAN) architecture. The objective is to build an operator-defined RAN architecture (and associated interfaces) on open hardware that provides intelligent radio control for beyond fifth generation (5G) as well as future sixth generation (6G) wireless networks. Specifically, the open-radio access network (O-RAN) alliance has been formed by merging xRAN forum and C-RAN alliance to formally define the requirements that would help achieve this objective. Owing to the importance of O-RAN in the current wireless landscape, this article provides an introduction to the concepts, principles, and requirements of the Open RAN as specified by the O-RAN alliance. In order to illustrate the role of intelligence in O-RAN, we propose an intelligent radio resource management scheme to handle traffic congestion and demonstrate its efficacy on a real-world dataset obtained from a large operator. A high-level architecture of this deployment scenario that is compliant with the O-RAN requirements is also discussed. The article concludes with key technical challenges and open problems for future research and development.</t>
  </si>
  <si>
    <t>978-1-6654-5975-4</t>
  </si>
  <si>
    <t xml:space="preserve">Oak Ridge National Laboratory; </t>
  </si>
  <si>
    <t>https://ieeexplore.ieee.org/stamp/stamp.jsp?arnumber=10008676</t>
  </si>
  <si>
    <t>Open RAN;6G;beyond 5G;radio resource management;machine learning;intelligent controller</t>
  </si>
  <si>
    <t>6G mobile communication;5G mobile communication;Wireless networks;Architecture;Merging;Resource management;Traffic congestion</t>
  </si>
  <si>
    <t>N. M. Kumar; K. Atluri; S. Palaparthi</t>
  </si>
  <si>
    <t>Internet of Things (IoT) in Photovoltaic Systems</t>
  </si>
  <si>
    <t>2018 National Power Engineering Conference (NPEC)</t>
  </si>
  <si>
    <t>10.1109/NPEC.2018.8476807</t>
  </si>
  <si>
    <t>Faculty of Electrical and Electronics Engineering, Universiti Malaysia Pahang, Pekan, Pahang, Malaysia; Department of Electrical and Electronics Engineering, Karunya University, Coimbatore, Tamil Nadu, India; Bulwaark Integrated Systems Pvt. Ltd., Ameer pet, Hyderabad, India</t>
  </si>
  <si>
    <t>Solar energy is one of the greatest attractions among the renewable energy re-sources used for electrification. Harnessing solar energy needs photovoltaic (PV) system that converts light energy from sun into direct electricity. Photovoltaic systems can be installed at any place where sufficient energy potentials are avail-able. The major challenge in the PV systems is to study its performance as it is varying with respect to various parameters and system components functioning. Hence real time monitoring system is needed to assess its performance. This study briefs about the use of internet of things (IoT) in performance monitoring and real time control of PV systems. Focus is made on the IoT need and its architecture for PV systems with relevant discussions. Use of IoT enhances the understanding over the real time operating parameters. This helps in accessing the control over the PV systems installed at remote areas, effective and fast fault diagnosis, maintenance, recording generation and performance data for analysis.</t>
  </si>
  <si>
    <t>978-1-5386-3803-3</t>
  </si>
  <si>
    <t>https://ieeexplore.ieee.org/stamp/stamp.jsp?arnumber=8476807</t>
  </si>
  <si>
    <t>Solar energy;Photovoltaic systems;Internet of Things (IoT);performance moni-toring;real time monitoring</t>
  </si>
  <si>
    <t>Photovoltaic systems;Internet of Things;Remote monitoring;Maintenance engineering;Servers</t>
  </si>
  <si>
    <t>M. Symeonides; Z. Georgiou; D. Trihinas; G. Pallis; M. D. Dikaiakos</t>
  </si>
  <si>
    <t>Fogify: A Fog Computing Emulation Framework</t>
  </si>
  <si>
    <t>2020 IEEE/ACM Symposium on Edge Computing (SEC)</t>
  </si>
  <si>
    <t>10.1109/SEC50012.2020.00011</t>
  </si>
  <si>
    <t>Department of Computer Science, University of Cyprus; Department of Computer Science, University of Cyprus; Department of Computer Science, University of Nicosia; Department of Computer Science, University of Cyprus; Department of Computer Science, University of Cyprus</t>
  </si>
  <si>
    <t>Fog Computing is emerging as the dominating paradigm bridging the compute and connectivity gap between sensing devices and latency-sensitive services. However, experimenting and evaluating IoT services is a daunting task involving the manual configuration and deployment of a mixture of geodistributed physical and virtual infrastructure with different resource and network requirements. This results in sub-optimal, costly and error-prone deployments due to numerous unexpected overheads not initially envisioned in the design phase and underwhelming testing conditions not resembling the end environment. In this paper, we introduce Fogify, an emulator easing the modeling, deployment and large-scale experimentation of fog and edge testbeds. Fogify provides a toolset to: (i) model complex fog topologies comprised of heterogeneous resources, network capabilities and QoS criteria; (ii) deploy the modelled configuration and services using popular containerized descriptions to a cloud or local environment; (iii) experiment, measure and evaluate the deployment by injecting faults and adapting the configuration at runtime to test different ‚Äúwhat-if‚Äù scenarios that reveal the limitations of a service before introduced to the public. In the evaluation, proof-of-concept IoT services with real-world workloads are introduced to show the wide applicability and benefits of rapid prototyping via Fogify.</t>
  </si>
  <si>
    <t>978-1-7281-5943-0</t>
  </si>
  <si>
    <t>https://ieeexplore.ieee.org/stamp/stamp.jsp?arnumber=9355701</t>
  </si>
  <si>
    <t>Fog Computing;Internet of Things</t>
  </si>
  <si>
    <t>Runtime;Network topology;Emulation;Rapid prototyping;Topology;Internet of Things;Edge computing</t>
  </si>
  <si>
    <t>R. Yu; V. T. Kilari; G. Xue; D. Yang</t>
  </si>
  <si>
    <t>Load Balancing for Interdependent IoT Microservices</t>
  </si>
  <si>
    <t>IEEE INFOCOM 2019 - IEEE Conference on Computer Communications</t>
  </si>
  <si>
    <t>2641-9874</t>
  </si>
  <si>
    <t>10.1109/INFOCOM.2019.8737450</t>
  </si>
  <si>
    <t>Arizona State University, Tempe, AZ; Arizona State University, Tempe, AZ; Arizona State University, Tempe, AZ; Colorado School of Mines, Golden, CO</t>
  </si>
  <si>
    <t>Advances in virtualization technologies and edge computing have inspired a new paradigm for Internet-of-Things (IoT) application development. By breaking a monolithic application into loosely coupled microservices, great gain can be achieved in performance, flexibility and robustness. In this paper, we study the important problem of load balancing across IoT microservice instances. A key difficulty in this problem is the interdependencies among microservices: the load on a successor microservice instance directly depends on the load distributed from its predecessor microservice instances. We propose a graph-based model for describing the load dependencies among microservices. Based on the model, we first propose a basic formulation for load balancing, which can be solved optimally in polynomial time. The basic model neglects the quality-of-service (QoS) of the IoT application. We then propose a QoS-aware load balancing model, based on a novel abstraction that captures a realization of the application's internal logic. The QoS-aware load balancing problem is NP-hard. We propose a fully polynomial-time approximation scheme for the QoS-aware problem. We show through simulation experiments that our proposed algorithm achieves enhanced QoS compared to heuristic solutions.</t>
  </si>
  <si>
    <t>978-1-7281-0515-4</t>
  </si>
  <si>
    <t>https://ieeexplore.ieee.org/stamp/stamp.jsp?arnumber=8737450</t>
  </si>
  <si>
    <t>IoT;microservice;application graph;load balancing;fully polynomial-time approximation scheme</t>
  </si>
  <si>
    <t>Load management;Quality of service;Load modeling;Internet of Things;Delays;Computational modeling;Cloud computing</t>
  </si>
  <si>
    <t>J. C. Talwana; H. J. Hua</t>
  </si>
  <si>
    <t>Smart World of Internet of Things (IoT) and Its Security Concerns</t>
  </si>
  <si>
    <t>2016 IEEE International Conference on Internet of Things (iThings) and IEEE Green Computing and Communications (GreenCom) and IEEE Cyber, Physical and Social Computing (CPSCom) and IEEE Smart Data (SmartData)</t>
  </si>
  <si>
    <t>10.1109/iThings-GreenCom-CPSCom-SmartData.2016.64</t>
  </si>
  <si>
    <t>East China University of Science and Technology, Shanghai, Shanghai, CN; Dep. of Computer Science and Information Engineering, East China University of Science Technology, Shanghai, China</t>
  </si>
  <si>
    <t>Due to increasing number of internet users, popularity of Broadband Internet also increasing. Hence the connection cost should be decrease due to Wi Fi connectivity and built-in sensors in devices as well the maximum number of devices should be connected through a common medium. To meet all these requirements, the technology so called Internet of Things is evolved. Internet of Things (IoT) can be considered as a connection of computing devices like smart phones, coffee maker, washing machines, wearable device with an internet. IoT create network and connect "things" and people together by creating relationship between either people-people, people-things or things-things. As the number of device connection is increased, it increases the Security risk. Security is the biggest issue for IoT at any companies across the globe. Furthermore, privacy and data sharing can again be considered as a security concern for IoT. Companies, those who use IoT technique, need to find a way to store, track, analyze and make sense of the large amounts of data that will be generated. Few security techniques of IoT are necessary to implement to protect your confidential and important data as well for device protection through some internet security threats.</t>
  </si>
  <si>
    <t>978-1-5090-5880-8</t>
  </si>
  <si>
    <t>https://ieeexplore.ieee.org/stamp/stamp.jsp?arnumber=7917092</t>
  </si>
  <si>
    <t>Internet of Things (IoT);Smart world;Smart computing devices;IoT Security Concerns</t>
  </si>
  <si>
    <t>Internet of Things;Security;Intelligent sensors;Wireless communication;Real-time systems</t>
  </si>
  <si>
    <t>A. Kwan; J. Wong; H. -A. Jacobsen; V. Muthusamy</t>
  </si>
  <si>
    <t>HyScale: Hybrid and Network Scaling of Dockerized Microservices in Cloud Data Centres</t>
  </si>
  <si>
    <t>10.1109/ICDCS.2019.00017</t>
  </si>
  <si>
    <t>University of Toronto, Toronto, ON, Canada; University of Toronto, Toronto, ON, Canada; University of Toronto, Toronto, ON, Canada; Thomas J. Watson Research Center, Yorktown Heights, NY, USA</t>
  </si>
  <si>
    <t>When designing modern software, care must be taken to allow for applications to scale based on the demands of its users while still accommodating flexibility in development. Recently, microservices architectures have garnered the attention of many organizations-providing higher levels of scalability, availability, and fault isolation. Many organizations choose to host their microservices architectures in cloud data centres to offset costs. Incidentally, data centres become over-encumbered during peak usage hours and underutilized during off-peak hours. Traditional microservice scaling methods perform either horizontal or vertical scaling exclusively. When used in combination, however, these methods offer complementary benefits and compensate for each other's deficiencies. To leverage the high availability of horizontal scaling and the fine-grained resource control of vertical scaling, we developed two novel hybrid autoscaling algorithms and a dedicated network scaling algorithm and benchmarked them against Google's popular Kubernetes horizontal autoscaling algorithm. Results indicated up to 1.49x speedups in response times for our hybrid algorithms, and 1.69x speedups for our network algorithm under high-burst network loads.</t>
  </si>
  <si>
    <t>https://ieeexplore.ieee.org/stamp/stamp.jsp?arnumber=8885318</t>
  </si>
  <si>
    <t>Docker, microservices, autoscaling, cloud</t>
  </si>
  <si>
    <t>Containers;Data centers;Resource management;Cloud computing;Computer architecture;Hardware;Measurement</t>
  </si>
  <si>
    <t>M. Gusev</t>
  </si>
  <si>
    <t>A dew computing solution for IoT streaming devices</t>
  </si>
  <si>
    <t>2017 40th International Convention on Information and Communication Technology, Electronics and Microelectronics (MIPRO)</t>
  </si>
  <si>
    <t>10.23919/MIPRO.2017.7973454</t>
  </si>
  <si>
    <t>Faculty of Computer Sciences and Engineering, Ss. Cyril and Methodius University, Skopje, Macedonia</t>
  </si>
  <si>
    <t>Most people refer to modern mobile and wireless ubiquitous solutions as an IoT application. The advances of the technology and establishment of cloud-based systems emerge the idea of the connected world over Internet based on distributed processing sites. In this paper, we discuss the dew computing architectural approach for IoT solutions and give an organizational overview of the dew server and its connections with IoT devices in the overall cloud-based solutions. Dew servers act as another computing layer in the cloud-based architecture for IoT solutions, and we present its specific goals and requirements. This is compared to the fog computing and cloudlet solutions with an overview of the overall computing trends. The dew servers are analyzed from architectural and organizational aspect as devices that collect, process and offload streaming data from the IoT sensors and devices, besides the communication with higher-level servers in the cloud.</t>
  </si>
  <si>
    <t>978-953-233-090-8</t>
  </si>
  <si>
    <t>https://ieeexplore.ieee.org/stamp/stamp.jsp?arnumber=7973454</t>
  </si>
  <si>
    <t>Mobile Cloud Computing;Cloudlet;Edge computing;Fog computing;computation offload</t>
  </si>
  <si>
    <t>Servers;Cloud computing;Computer architecture;Mobile communication;Intelligent sensors</t>
  </si>
  <si>
    <t>S. J. Clement; D. W. McKee; J. Xu</t>
  </si>
  <si>
    <t>Service-Oriented Reference Architecture for Smart Cities</t>
  </si>
  <si>
    <t>2017 IEEE Symposium on Service-Oriented System Engineering (SOSE)</t>
  </si>
  <si>
    <t>10.1109/SOSE.2017.29</t>
  </si>
  <si>
    <t>University of Leeds, Leeds, West Yorkshire, GB; School of Computing University of Leeds, Leeds, UK; School of Computing University of Leeds, Leeds, UK</t>
  </si>
  <si>
    <t>The trend towards turning existing cities into smart cities is growing. Facilitated by advances in computing such as Cloud services and Internet of Things (IoT), smart cities propose to bring integrated, autonomous systems together to improve quality of life for their inhabitants. Systems such as autonomous vehicles, smart grids and intelligent traffic management are in the initial stages of development. However, as of yet there, is no holistic architecture on which to integrate these systems into a smart city. Additionally, the existing systems and infrastructure of cities is extensive and critical to their operation. We cannot simply replace these systems with smarter versions, instead the system intelligence must augment the existing systems. In this paper we propose a service oriented reference architecture for smart cities which can tackle these problems and identify some related open research questions. The abstract architecture encapsulates the way in which different aspects of the service oriented approach span through the layers of existing city infrastructure. Additionally, the extensible provision of services by individual systems allows for the organic growth of the smart city as required.</t>
  </si>
  <si>
    <t>978-1-5090-6320-8</t>
  </si>
  <si>
    <t>https://ieeexplore.ieee.org/stamp/stamp.jsp?arnumber=7943295</t>
  </si>
  <si>
    <t>Cloud;SOA;Services;Smart-City;Architecture;Autonomous-System</t>
  </si>
  <si>
    <t>Smart cities;Computer architecture;Cloud computing;Automation;Robots;Computational modeling</t>
  </si>
  <si>
    <t>N. G. Bachiega; P. S. L. Souza; S. M. Bruschi; S. d. R. S. de Souza</t>
  </si>
  <si>
    <t>Container-Based Performance Evaluation: A Survey and Challenges</t>
  </si>
  <si>
    <t>2018 IEEE International Conference on Cloud Engineering (IC2E)</t>
  </si>
  <si>
    <t>10.1109/IC2E.2018.00075</t>
  </si>
  <si>
    <t>University of S√£o Paulo, S√£o Carlos, Brazil; University of S√£o Paulo, S√£o Carlos, Brazil; University of S√£o Paulo, S√£o Carlos, Brazil; University of S√£o Paulo, S√£o Carlos, Brazil</t>
  </si>
  <si>
    <t>Virtualization is an expanding technology in all areas of research and development. It has been widely accepted because of characteristics such as elasticity and flexibility in delivering on-demand resources. Nowadays, containers are a new form of virtualization and they have been highlighted as large technology companies are giving more support to them. Containers are a type of OS-level virtualization, in which the kernel allows the existence of multiple isolated instances. This paper presents a survey of recent research and challenges involving containers, focusing on performance evaluation. To achieve this goal, we performed a systematic mapping considering the main databases (Springer, IEEE, ACM, and Scopus), raising the challenges of the area and prospects of future work, considering the recent use of containers. We have observed that there is still little research related to performance evaluation of containers and we consider this topic very important since performance is fundamental to the design and adoption of projects.</t>
  </si>
  <si>
    <t>978-1-5386-5008-0</t>
  </si>
  <si>
    <t>https://ieeexplore.ieee.org/stamp/stamp.jsp?arnumber=8360360</t>
  </si>
  <si>
    <t>containers;virtualization;performance evaluation</t>
  </si>
  <si>
    <t>Containers;Virtualization;Performance evaluation;Analytical models;Kernel;Systematics;Virtual machining</t>
  </si>
  <si>
    <t>E. Raj; D. Buffoni; M. Westerlund; K. Ahola</t>
  </si>
  <si>
    <t>Edge MLOps: An Automation Framework for AIoT Applications</t>
  </si>
  <si>
    <t>2021 IEEE International Conference on Cloud Engineering (IC2E)</t>
  </si>
  <si>
    <t>10.1109/IC2E52221.2021.00034</t>
  </si>
  <si>
    <t>TietoEVRY, Helsinki, Finland; TietoEVRY, Stockholm, Sweden; Arcada University of Applied Sciences, Helsinki, Finland; VTT, Espoo, Finland</t>
  </si>
  <si>
    <t>Artificial Intelligence of Things (AIoT) is the combination of artificial intelligence (AI) technologies with the Internet of Things (IoT) infrastructure to achieve more efficient IoT operations and decision making. Edge computing is emerging to enable AIoT applications. In this paper, we develop an Edge MLOps framework for automating Machine Learning at the edge, enabling continuous model training, deployment, delivery and monitoring. To achieve this, we synergize cloud and edge environments. We experimentally validate our framework on a forecasting air quality situation. During validation, the framework showed stability and automatically retrained, integrated, and deployed models for specific environments when their performance deteriorated under a certain threshold.</t>
  </si>
  <si>
    <t>978-1-6654-4970-0</t>
  </si>
  <si>
    <t>https://ieeexplore.ieee.org/stamp/stamp.jsp?arnumber=9610376</t>
  </si>
  <si>
    <t>Edge Computing;Machine Learning;IoT;5G Networks;AI;Automation;Digital Transformation;MLOps</t>
  </si>
  <si>
    <t>Training;Cloud computing;Automation;Atmospheric modeling;Computational modeling;Pipelines;Collaborative work</t>
  </si>
  <si>
    <t>A. Chouman; D. M. Manias; A. Shami</t>
  </si>
  <si>
    <t>Towards Supporting Intelligence in 5G/6G Core Networks: NWDAF Implementation and Initial Analysis</t>
  </si>
  <si>
    <t>2022 International Wireless Communications and Mobile Computing (IWCMC)</t>
  </si>
  <si>
    <t>2376-6506</t>
  </si>
  <si>
    <t>10.1109/IWCMC55113.2022.9824403</t>
  </si>
  <si>
    <t>ECE Department, Western University, London, ON, Canada; ECE Department, Western University, London, ON, Canada; ECE Department, Western University, London, ON, Canada</t>
  </si>
  <si>
    <t>Wireless networks, in the fifth-generation and beyond, must support diverse network applications which will support the numerous and demanding connections of today's and tomorrow's devices. Requirements such as high data rates, low latencies, and reliability are crucial considerations and artificial intelligence is incorporated to achieve these requirements for a large number of connected devices. Specifically, intelligent methods and frameworks for advanced analysis are employed by the 5G Core Network Data Analytics Function (NWDAF) to detect patterns and ascribe detailed action information to accommodate end users and improve network performance. To this end, the work presented in this paper incorporates a functional NWDAF into a 5G network developed using open source software. Furthermore, an analysis of the network data collected by the NWDAF and the valuable insights which can be drawn from it have been presented with detailed Network Function interactions. An example application of such insights used for intelligent network management is outlined. Finally, the expected limitations of 5G networks are discussed as motivation for the development of 6G networks.</t>
  </si>
  <si>
    <t>978-1-6654-6749-0</t>
  </si>
  <si>
    <t>https://ieeexplore.ieee.org/stamp/stamp.jsp?arnumber=9824403</t>
  </si>
  <si>
    <t>5G;6G;Core Networks;NWDAF;Intelligent Networks</t>
  </si>
  <si>
    <t>Performance evaluation;Intelligent networks;5G mobile communication;Wireless networks;Predictive models;Reliability;Noise measurement</t>
  </si>
  <si>
    <t>K. Fu; W. Zhang; Q. Chen; D. Zeng; X. Peng; W. Zheng; M. Guo</t>
  </si>
  <si>
    <t>QoS-Aware and Resource Efficient Microservice Deployment in Cloud-Edge Continuum</t>
  </si>
  <si>
    <t>2021 IEEE International Parallel and Distributed Processing Symposium (IPDPS)</t>
  </si>
  <si>
    <t>1530-2075</t>
  </si>
  <si>
    <t>10.1109/IPDPS49936.2021.00102</t>
  </si>
  <si>
    <t>Shanghai Jiao Tong University; Shanghai Jiao Tong University; Shanghai Jiao Tong University; China University of Geosciences; Fudan University; Shanghai Jiao Tong University; Shanghai Jiao Tong University</t>
  </si>
  <si>
    <t>User-facing services are now evolving towards the microservice architecture where a service is built by connecting multiple microservice stages. While an entire service is heavy, the microservice architecture shows the opportunity to only offload some microservice stages to the edge devices that are close to the end users. However, emerging techniques often result in the violation of Quality-of-Service (QoS) of microservice-based services in cloud-edge continuum, as they do not consider the communication overhead or the resource contention between microservices.We propose Nautilus, a runtime system that effectively deploys microservice-based user-facing services in cloud-edge continuum. It ensures the QoS of microservice-based user-facing services while minimizing the required computational resources. Nautilus is comprised of a communication-aware microservice mapper, a contention-aware resource manager and a load-aware microservice scheduler. The mapper divides the microservice graph into multiple partitions based on the communication overhead and maps the partitions to the nodes. On each node, the resource manager determines the optimal resource allocation for its microservices based on reinforcement learning that may capture the complex contention behaviors. The microservice scheduler monitors the QoS of the entire service, and migrates microservices from busy nodes to idle ones at runtime. Our experimental results show that Nautilus reduces the computational resource usage by 23.9% and the network bandwidth usage by 53.4%, while achieving the required 99%-ile latency.</t>
  </si>
  <si>
    <t>978-1-6654-4066-0</t>
  </si>
  <si>
    <t>https://ieeexplore.ieee.org/stamp/stamp.jsp?arnumber=9460542</t>
  </si>
  <si>
    <t>Distributed processing;Runtime;Quality of service;Computer architecture;Reinforcement learning;Bandwidth;Resource management</t>
  </si>
  <si>
    <t>E. Patti; A. Acquaviva</t>
  </si>
  <si>
    <t>IoT platform for Smart Cities: Requirements and implementation case studies</t>
  </si>
  <si>
    <t>2016 IEEE 2nd International Forum on Research and Technologies for Society and Industry Leveraging a better tomorrow (RTSI)</t>
  </si>
  <si>
    <t>10.1109/RTSI.2016.7740618</t>
  </si>
  <si>
    <t>Dept. of Control and Computer Engineering, Politecnico di Torino, Italy; Dept. of Control and Computer Engineering, Politecnico di Torino, Italy</t>
  </si>
  <si>
    <t>Internet-of-Things (IoT) is considered as the key player to move forward the Smart City vision. Indeed, pervasive devices can enable a fain-grained monitoring of buildings and energy distribution networks. Thus, such information can be used to enhance energy optimization in our cities. However, interoperability among heterogeneous devices is a challenging task. Furthermore, all these IoT devices produce a huge amount of data that must be collected and post-processed, thus entering into the Big Data domain. Therefore, a distributed IoT platform for energy management has to be designed for i) enabling the interoperability among heterogeneous IoT devices and ii) handling such huge amount of data. In this paper, we describe the requirements to be addressed in order to develop an IoT platform for Smart City. We also present two distributed IoT platforms we developed to improve the energy management in Smart City. Finally, based on our experience in a real-world case study, we provide an estimation of the amount of energy-related information our presented platforms have to manage.</t>
  </si>
  <si>
    <t>978-1-5090-1131-5</t>
  </si>
  <si>
    <t>https://ieeexplore.ieee.org/stamp/stamp.jsp?arnumber=7740618</t>
  </si>
  <si>
    <t>Smart City;Internet-of-Things;Software Architecture;Distributed Infrastructure;Big Data</t>
  </si>
  <si>
    <t>A. Bauer; V. Lesch; L. Versluis; A. Ilyushkin; N. Herbst; S. Kounev</t>
  </si>
  <si>
    <t>Chamulteon: Coordinated Auto-Scaling of Micro-Services</t>
  </si>
  <si>
    <t>10.1109/ICDCS.2019.00199</t>
  </si>
  <si>
    <t>University of W√ºrzburg, Wurzburg, Germany; University of W√ºrzburg, Wurzburg, Germany; Vrije Universiteit Amsterdam, Amsterdam, Netherlands; Delft University of Technology, Delft, Netherlands; University of W√ºrzburg, Wurzburg, Germany; University of W√ºrzburg, Wurzburg, Germany</t>
  </si>
  <si>
    <t>Nowadays, in order to keep track of the fast changing requirements of Internet applications, auto-scaling is used as an essential mechanism for adapting the number of provisioned resources to the resource demand. The straightforward approach is to deploy a set of common and opensource single-service auto-scalers for each service independently. However, this deployment leads to problems such as bottleneck-shifting and increased oscillations. Existing auto-scalers that scale applications consisting of multiple services are kept closed-source. To face these challenges, we first survey existing auto-scalers and highlight current challenges. Then, we introduce Chamulteon, a redesign of our previously introduced mechanism, which can scale applications consisting of multiple services in a coordinated manner. We evaluate Chamulteon against four different well-cited auto-scalers in four sets of measurement-based experiments where we use diverse environments (VM vs. Docker), real-world traces, and vary the scale of the demanded resources. Overall, Chamulteon achieves the best auto-scaling performance based on established user-oriented and endorsed elasticity metrics.</t>
  </si>
  <si>
    <t>https://ieeexplore.ieee.org/stamp/stamp.jsp?arnumber=8885153</t>
  </si>
  <si>
    <t>Cloud Computing;Auto-Scaling;Elasticity;Workload Forecasting;Service Demand Estimation;Container;Benchmarking;Metrics</t>
  </si>
  <si>
    <t>Cloud computing;Measurement;Virtual machining;Predictive models;Time factors;Benchmark testing;Queueing analysis</t>
  </si>
  <si>
    <t>L. Toka; G. Dobreff; B. Fodor; B. Sonkoly</t>
  </si>
  <si>
    <t>Adaptive AI-based auto-scaling for Kubernetes</t>
  </si>
  <si>
    <t>2020 20th IEEE/ACM International Symposium on Cluster, Cloud and Internet Computing (CCGRID)</t>
  </si>
  <si>
    <t>10.1109/CCGrid49817.2020.00-33</t>
  </si>
  <si>
    <t>MTA-BME Network Softwarization Research Group, Budapest University of Technology and Economics, Hungary; MTA-BME Network Softwarization Research Group, Budapest University of Technology and Economics, Hungary; MTA-BME Network Softwarization Research Group, Budapest University of Technology and Economics, Hungary; MTA-BME Network Softwarization Research Group, Budapest University of Technology and Economics, Hungary</t>
  </si>
  <si>
    <t>Kubernetes, the prevalent container orchestrator for cloud-deployed web applications, offers an automatic scaling feature for the application provider in order to meet the ever-changing amount of demand from its clients. This auto-scaling service, however, requires a seemingly difficult parameter set to be customized by the application provider, and those management parameters are static while incoming web request dynamics often change, not to mention the fact that scaling decisions are inherently reactive, instead of being proactive. Therefore we set the ultimate goal of making cloud-based web applications' management easier and more effective. We propose a Kubernetes scaling engine that makes the auto-scaling decisions apt for handling the actual variability of incoming requests. In this engine various AI-based forecast methods compete with each other via a short-term evaluation loop in order to always give the lead to the method that suits best the actual request dynamics, as soon as possible. We also introduce a compact management parameter for the cloud-tenant application provider in order to easily set their sweet spot in the resource over-provisioning vs. SLA violation trade-off. The multi-forecast scaling engine and the proposed management parameter are evaluated both in simulations and with measurements on our collected web traces to show the improved quality of fitting provisioned resources to service demand. We find that with just a few competing forecast methods, our auto-scaling engine, implemented in Kubernetes, results in significantly less lost requests with slightly more provisioned resources compared to the default baseline.</t>
  </si>
  <si>
    <t>978-1-7281-6095-5</t>
  </si>
  <si>
    <t>https://ieeexplore.ieee.org/stamp/stamp.jsp?arnumber=9139654</t>
  </si>
  <si>
    <t>cloud computing;artificial intelligence;auto-scaling;Kubernetes;forecast;resource management</t>
  </si>
  <si>
    <t>Cloud computing;Containers;Adaptation models;Servers;Engines;Measurement;Resource management</t>
  </si>
  <si>
    <t>A. Lertsinsrubtavee; A. Ali; C. Molina-Jimenez; A. Sathiaseelan; J. Crowcroft</t>
  </si>
  <si>
    <t>PiCasso: A lightweight edge computing platform</t>
  </si>
  <si>
    <t>2017 IEEE 6th International Conference on Cloud Networking (CloudNet)</t>
  </si>
  <si>
    <t>10.1109/CloudNet.2017.8071529</t>
  </si>
  <si>
    <t>Computer Laboratory, University of Cambridge, UK; Computer Laboratory, University of Cambridge, UK; Computer Laboratory, University of Cambridge, UK; Computer Laboratory, University of Cambridge, UK; Computer Laboratory, University of Cambridge, UK</t>
  </si>
  <si>
    <t>Recent trends show that deploying low cost devices with lightweight virtualisation services is an attractive alternative for supporting the computational requirements at the network edge. Examples include inherently supporting the computational needs for local applications like smart cities and applications with stringent Quality of Service (QoS) requirements which are naturally hard to satisfy by traditional cloud infrastructures or supporting multi-access edge computing requirements of network in the box type solutions. The implementation of such a platform demands precise knowledge of several key system parameters, including the load that a service can tolerate and the number of service instances that a device can host. In this paper, we introduce PiCasso, a platform for lightweight service orchestration at the edges, and discuss the benchmarking results aimed at identifying the critical parameters that PiCasso needs to take into consideration.</t>
  </si>
  <si>
    <t>978-1-5090-4026-1</t>
  </si>
  <si>
    <t>https://ieeexplore.ieee.org/stamp/stamp.jsp?arnumber=8071529</t>
  </si>
  <si>
    <t>Virtualization of Network Equipment;Mobile Cloud Computing;Content and Service Distribution;Edge Cloud</t>
  </si>
  <si>
    <t>Containers;Engines;Monitoring;Quality of service;Web servers;Hardware;Cloud computing</t>
  </si>
  <si>
    <t>A. Melis; S. Mirri; C. Prandi; M. Prandini; P. Salomoni; F. Callegati</t>
  </si>
  <si>
    <t>CrowdSensing for smart mobility through a service-oriented architecture</t>
  </si>
  <si>
    <t>10.1109/ISC2.2016.7580861</t>
  </si>
  <si>
    <t>Department of Electrical and Information Engineering, Universit√† di Bologna, Italy; Department of Computer Science and Engineering, Universit√† di Bologna, Italy; Department of Computer Science and Engineering, Universit√† di Bologna, Italy; Department of Computer Science and Engineering, Universit√† di Bologna, Italy; Department of Computer Science and Engineering, Universit√† di Bologna, Italy; Department of Electrical and Information Engineering, Universit√† di Bologna, Italy</t>
  </si>
  <si>
    <t>Crowdsensing is a powerful approach to build representations of specific aspects of reality which are of interest for citizens in smart cities, and in particular for people with special needs. In this work, we present an application of the microservice paradigm to create a mobility services platform. By exposing each part of the process as a microservice, we achieve the ability of developing applications as orchestration of available components. Moreover, we leverage the possibility of sharing data between different applications in a controlled environment.</t>
  </si>
  <si>
    <t>https://ieeexplore.ieee.org/stamp/stamp.jsp?arnumber=7580861</t>
  </si>
  <si>
    <t>MaaS;Microservices;Sensing;Data Quality</t>
  </si>
  <si>
    <t>Sensors;Quality management;Conferences;Reliability;Smart cities;Biological system modeling;Prototypes</t>
  </si>
  <si>
    <t>S. Wang; Q. Li; M. Xu; X. Ma; A. Zhou; Q. Sun</t>
  </si>
  <si>
    <t>Tiansuan Constellation: An Open Research Platform</t>
  </si>
  <si>
    <t>2021 IEEE International Conference on Edge Computing (EDGE)</t>
  </si>
  <si>
    <t>2767-9918</t>
  </si>
  <si>
    <t>10.1109/EDGE53862.2021.00022</t>
  </si>
  <si>
    <t>State Key Laboratory of Networking and Switching Technology, Beijing University of Posts and Telecommunications, Beijing, China; State Key Laboratory of Networking and Switching Technology, Beijing University of Posts and Telecommunications, Beijing, China; State Key Laboratory of Networking and Switching Technology, Beijing University of Posts and Telecommunications, Beijing, China; State Key Laboratory of Networking and Switching Technology, Beijing University of Posts and Telecommunications, Beijing, China; State Key Laboratory of Networking and Switching Technology, Beijing University of Posts and Telecommunications, Beijing, China; State Key Laboratory of Networking and Switching Technology, Beijing University of Posts and Telecommunications, Beijing, China</t>
  </si>
  <si>
    <t>Satellite network is the first step towards interstellar voyages. It can provide global Internet connectivity everywhere on the earth, where most areas cannot access the Internet by the terrestrial infrastructure due to the geographic accessibility and high deployment cost. The space industry experiences a rise in large low-earth-orbit satellite constellations to achieve universal connectivity. The research community is also urgent to do some leading research to bridge the connectivity divide. Researchers now conduct their work by simulation, which is far from enough. However, experiments on real satellites are hindered by the exceptionally high bar of space technology, such as deployment cost and unknown risks. To solve the above challenges, we are eager to contribute to the universal connectivity and build an open research platform, Tiansuan constellation, to support experiments on real satellite networks. We discuss the potential research topics that would benefit from Tiansuan. We provide two case studies that have already been deployed in two experimental satellites of Tiansuan.</t>
  </si>
  <si>
    <t>978-1-6654-0062-6</t>
  </si>
  <si>
    <t xml:space="preserve">National Key R&amp;D Program of China(grant numbers:2018YFE0205503); NSFC(grant numbers:62032003,61922017,61921003); Beijing University of Posts and Telecommunications; </t>
  </si>
  <si>
    <t>https://ieeexplore.ieee.org/stamp/stamp.jsp?arnumber=9712016</t>
  </si>
  <si>
    <t>Satellite Internet;Satellite Edge Computing;6G;Testbed</t>
  </si>
  <si>
    <t>Satellite constellations;Satellites;Costs;Space technology;Operating systems;Low earth orbit satellites;Internet</t>
  </si>
  <si>
    <t>C. -H. Chou; L. N. Bhuyan; D. Wong</t>
  </si>
  <si>
    <t>ŒºDPM: Dynamic Power Management for the Microsecond Era</t>
  </si>
  <si>
    <t>2019 IEEE International Symposium on High Performance Computer Architecture (HPCA)</t>
  </si>
  <si>
    <t>2378-203X</t>
  </si>
  <si>
    <t>10.1109/HPCA.2019.00032</t>
  </si>
  <si>
    <t>Ph.D. studies at UCR, Xilinx, Inc.; Department of Computer Science &amp; Engineering, University of California, Riverside; Department of Electrical &amp; Computer Engineering, University of California, Riverside</t>
  </si>
  <si>
    <t>The complex, distributed nature of data centers have spawned the adoption of distributed, multi-tiered software architectures, consisting of many inter-connected microservices. These microservices exhibit extremely short request service times, often less than 250Œºs. We show that these ‚Äúkiller microsecond‚Äù service times can cause state-of-the-art dynamic power management techniques to break down, due to short idle period length and low power state transition overheads. In this paper, we propose ŒºDPM, a dynamic power management scheme for the microsecond era that coordinates request delaying, per-core sleep states, and voltage frequency scaling. The idea is to postpone the wake up of a CPU as long as possible and then adjust the frequency so that the tail latency constraint of requests are satisfied just-in-time. ŒºDPM reduces processor energy consumption by up to 32% and consistently outperforms state-of-the-art techniques by 2√ó.</t>
  </si>
  <si>
    <t>978-1-7281-1444-6</t>
  </si>
  <si>
    <t>https://ieeexplore.ieee.org/stamp/stamp.jsp?arnumber=8675218</t>
  </si>
  <si>
    <t>Dynamic power management;DVFS;Sleep states</t>
  </si>
  <si>
    <t>Power system management;Servers;Energy consumption;Power demand;Data centers;Market research;Linux</t>
  </si>
  <si>
    <t>M. Santos De Brito; S. Hoque; R. Steinke; A. Willner</t>
  </si>
  <si>
    <t>Towards Programmable Fog Nodes in Smart Factories</t>
  </si>
  <si>
    <t>2016 IEEE 1st International Workshops on Foundations and Applications of Self* Systems (FAS*W)</t>
  </si>
  <si>
    <t>10.1109/FAS-W.2016.57</t>
  </si>
  <si>
    <t>Dept. of Exact &amp; Technol. Sci., Universidade Estadual de Santa Cruz, Ilheus, BA, BR; Architekturen der Vermittlungsknoten, Tech. Univ. Berlin, Germany; Software-based Infrastructures (NGNI) Fraunhofer FOKUS, Berlin, Germany; Software-based Infrastructures (NGNI) Fraunhofer FOKUS, Berlin, Germany</t>
  </si>
  <si>
    <t>Starting with the invention of the steam engine in the 18th century, the industrial revolutions formed an ecosystem of over 20 billion connected devices with unforeseeable influence to the Gross Domestic Product (GDP). Predictions are that, by 2020 the connectable assets will generate about 44 ZB of data, which pose interesting challenges related to privacy, connectivity, scalability and others. A current line of action is the development of Cyber-Physical Systems (CPSs), which can be monitored and controlled by private clouds or edge systems. Our approach is to bring functionalities, such as analytics, as close to the devices as possible (denoted as Fog Computing) to reduce latency and enhance data privacy and communication robustness. As a starting point we're extending a standard-compliant Machine-To-Machine Communication (M2M) architecture with container based orchestration mechanisms to enable CPSs to be programmable, autonomous and to communicate peer-to-peer. As the main field of application we are considering in particular smart factory environments and Industrial Internet domains in general.</t>
  </si>
  <si>
    <t>978-1-5090-3651-6</t>
  </si>
  <si>
    <t>https://ieeexplore.ieee.org/stamp/stamp.jsp?arnumber=7789474</t>
  </si>
  <si>
    <t>Fog Computing;M2M;OneM2M;IIRA;RAMI</t>
  </si>
  <si>
    <t>Peer-to-peer computing;Cloud computing;Machine-to-machine communications;Computer architecture;Industries</t>
  </si>
  <si>
    <t>P. Townend; S. Clement; D. Burdett; R. Yang; J. Shaw; B. Slater; J. Xu</t>
  </si>
  <si>
    <t>Invited Paper: Improving Data Center Efficiency Through Holistic Scheduling In Kubernetes</t>
  </si>
  <si>
    <t>2019 IEEE International Conference on Service-Oriented System Engineering (SOSE)</t>
  </si>
  <si>
    <t>2642-6587</t>
  </si>
  <si>
    <t>10.1109/SOSE.2019.00030</t>
  </si>
  <si>
    <t>Edgetic Ltd., Leeds, UK; Edgetic Ltd., Leeds, UK; Edgetic Ltd., Leeds, UK; Edgetic Ltd., Leeds, UK; Edgetic Ltd., Leeds, UK; Edgetic Ltd., Leeds, UK; School of Computing, University of Leeds</t>
  </si>
  <si>
    <t>Data centers are the infrastructure that underpins modern distributed service-oriented systems. They are complex systems-of-systems, with many interacting elements, that consume vast amounts of power. Demand for such facilities is growing rapidly, leading to significant global environmental impact. The data center industry has conducted much research into efficiency improvements, but this has mostly been at the physical infrastructure level. Research into software-based solutions for improving efficiency is greatly needed. However, most current research does not take a holistic view of the data center that considers virtual and physical infrastructures as well as business process. This is crucial if a solution is to be applied in a realistic setting. This paper describes the complex, system-of-systems nature of data centers, and discusses the service models used in the industry. We describe a holistic scheduling system that replaces the default scheduler in the Kubernetes container system, taking into account both software and hardware models. We discuss the initial results of deploying this scheme in a real data center, where power consumption reductions of 10-20% were observed. We show that by introducing hardware modelling into a software-based solution, an intelligent scheduler can make significant improvements in data center efficiency. We conclude by looking at some of the future work that needs to be performed in this area.</t>
  </si>
  <si>
    <t>978-1-7281-1442-2</t>
  </si>
  <si>
    <t>https://ieeexplore.ieee.org/stamp/stamp.jsp?arnumber=8705815</t>
  </si>
  <si>
    <t>kubernetes;docker;containers;energy;power;efficiency;data center;scheduling;behavior;modeling;analytics;holistic;pue;interference</t>
  </si>
  <si>
    <t>Data centers;Servers;Software;Industries;Cooling;Hardware;Data models</t>
  </si>
  <si>
    <t>D. Pizzolli; G. Cossu; D. Santoro; L. Capra; C. Dupont; D. Charalampos; F. De Pellegrini; F. Antonelli; S. Cretti</t>
  </si>
  <si>
    <t>Cloud4IoT: A Heterogeneous, Distributed and Autonomic Cloud Platform for the IoT</t>
  </si>
  <si>
    <t>2016 IEEE International Conference on Cloud Computing Technology and Science (CloudCom)</t>
  </si>
  <si>
    <t>2330-2186</t>
  </si>
  <si>
    <t>10.1109/CloudCom.2016.0082</t>
  </si>
  <si>
    <t>CREATE-NET, Trento, Italy; CREATE-NET, Trento, Italy; CREATE-NET, Trento, Italy; CREATE-NET, Trento, Italy; CREATE-NET, Trento, Italy; CREATE-NET, Trento, Italy; CREATE-NET, Trento, Italy; CREATE-NET, Trento, Italy; CREATE-NET, Trento, Italy</t>
  </si>
  <si>
    <t>We introduce Cloud4IoT, a platform offering automatic deployment, orchestration and dynamic configuration of IoT support software components and data-intensive applications for data processing and analytics, thus enabling plug-and-play integration of new sensor objects and dynamic workload scalability. Cloud4IoT enables the concept of Infrastructure as Code in the IoT context: it empowers IoT operations with the flexibility and elasticity of Cloud services. Furthermore it shifts traditionally centralized Cloud architectures towards a more distributed and decentralized computation paradigm, as required by IoT technologies, bridging the gap between Cloud Computing and IoT ecosystems. Thus, Cloud4IoT is playing a role similar to the one covered by solutions like Fog Computing, Cloudlets or Mobile Edge Cloud. The hierarchical architecture of Cloud4IoThosts a central Cloud platform and multiple remote edge Cloud modules supporting dedicated devices, namely the IoT Gateways, through which new sensor objects are made accessible to the platform. Overall, the platform is designed in order to support systems where IoT-based and data intensive applications may pose specific requirements for low latency, restricted available bandwidth, or data locality. Cloud4IoT is built on several Open Source technologies for containerisation and implementations of standards, protocols and services for the IoT. We present the implementation of the platform and demonstrate it in two different use cases.</t>
  </si>
  <si>
    <t>978-1-5090-1445-3</t>
  </si>
  <si>
    <t>https://ieeexplore.ieee.org/stamp/stamp.jsp?arnumber=7830723</t>
  </si>
  <si>
    <t>PaaS;Orchestrator;Internet of Things;Open-Stack;Fog Computing;Edge Cloud;Docker;Kubernetes</t>
  </si>
  <si>
    <t>P. Kiss; A. Reale; C. J. Ferrari; Z. Istenes</t>
  </si>
  <si>
    <t>Deployment of IoT applications on 5G edge</t>
  </si>
  <si>
    <t>2018 IEEE International Conference on Future IoT Technologies (Future IoT)</t>
  </si>
  <si>
    <t>10.1109/FIOT.2018.8325595</t>
  </si>
  <si>
    <t>Dept. of Data Science and Engineering, ELTE University ‚Äî Hungary, Budapest, Hungary; Dept. of Programming Languages and Computing, ELTE University ‚Äî Hungary, Budapest, Hungary; Dept. of Programming Languages and Computing, ELTE University ‚Äî Hungary, Budapest, Hungary; Dept. of Software Technology and Methodology, ELTE University ‚Äî Hungary, Budapest, Hungary</t>
  </si>
  <si>
    <t>The key for the future Internet of Things (IoT) is the shift from a static architecture to a dynamically evolving, self-organizing one. Devices of extremely varying capabilities need to collaborate and access all information necessary to ensure their optimal work, keeping a certain flexibility in the network configuration. The supporting infrastructure should be able to optimize resource consumption and to allow the connected device to interact with the most convenient node in the network, without compromising the perceived Quality of the Service. The work as a whole is an effort to summarize the process to build an offloading framework for arbitrary task of IoT devices. Another main contribution is the collection of requirements for this new IoT networks and computing systems, in particular the need for Edge Computing, Offloading paradigms and an underlying infrastructure which could be supported by means of 5th Generation mobile networks standards, Clustering and the use of Artificial Intelligence. In this paper we do not present an actual, finalized implementation but we propose and analyze a global view of the problem and identify some specific possible technical solutions.</t>
  </si>
  <si>
    <t>978-1-5386-1208-8</t>
  </si>
  <si>
    <t>https://ieeexplore.ieee.org/stamp/stamp.jsp?arnumber=8325595</t>
  </si>
  <si>
    <t>IoT networks;Edge Computing;5G;Artificial Intelligence</t>
  </si>
  <si>
    <t>Edge computing;Cloud computing;5G mobile communication;Task analysis;Real-time systems;Internet of Things;Servers</t>
  </si>
  <si>
    <t>L. Carnevale; A. Celesti; A. Galletta; S. Dustdar; M. Villari</t>
  </si>
  <si>
    <t>From the Cloud to Edge and IoT: a Smart Orchestration Architecture for Enabling Osmotic Computing</t>
  </si>
  <si>
    <t>2018 32nd International Conference on Advanced Information Networking and Applications Workshops (WAINA)</t>
  </si>
  <si>
    <t>10.1109/WAINA.2018.00122</t>
  </si>
  <si>
    <t>Department of Mathematics and Computer Science, University of Messina, Messina, Italy; Department of Mathematics and Computer Science, University of Messina, Messina, Italy; Department of Mathematics and Computer Science, University of Messina, Messina, Italy; Distributed Systems Group TU Wien, Vienna, Austria; Department of Mathematics and Computer Science, University of Messina, Messina, Italy</t>
  </si>
  <si>
    <t>The latest technological and conceptual developments have destroyed the centralized Cloud Computing model, moving Cloud services in emerging ICT infrastructures such as Edge, Fog and Internet of Things (IoT) that are closer to end users. Specifically, current Cloud computing programming models and resource orchestration techniques are challenged by the recent evolution of the IoT phenomenon because smart devices are becoming more and more pervasive, powerful and inexpensive. Therefore, services need to be place near such devices. In this regard, the Osmotic Computing aims to provide a new computing paradigm based on the deployment and migration strategies related to the infrastructures and applications requirements across Cloud, Edge, Fog an IoT layers. In this scientific paper, we investigate the Smart Orchestration of a new software abstraction called MicroELement (MEL), that encapsulates resources, services and data necessary to run IoT applications. Several use cases are presented for describing the Artificial Intelligence processes that enables the MELs deployment.</t>
  </si>
  <si>
    <t>978-1-5386-5395-1</t>
  </si>
  <si>
    <t>https://ieeexplore.ieee.org/stamp/stamp.jsp?arnumber=8418107</t>
  </si>
  <si>
    <t>Osmotic Computing;Edge Computing;Cloud Computing;IoT;Orchestration;Elasticity;Artificial Intelligence</t>
  </si>
  <si>
    <t>Cloud computing;Computer architecture;Computational modeling;Containers;Quality of service;Internet of Things</t>
  </si>
  <si>
    <t>X. Hou; C. Li; J. Liu; L. Zhang; Y. Hu; M. Guo</t>
  </si>
  <si>
    <t>ANT-Man: Towards Agile Power Management in the Microservice Era</t>
  </si>
  <si>
    <t>SC20: International Conference for High Performance Computing, Networking, Storage and Analysis</t>
  </si>
  <si>
    <t>10.1109/SC41405.2020.00082</t>
  </si>
  <si>
    <t>Dept. of Computer Science and Engineering, Shanghai Jiao Tong University; Dept. of Computer Science and Engineering, Shanghai Jiao Tong University; Dept. of Computer Science and Engineering, Shanghai Jiao Tong University; Dept. of Computer Science and Engineering, Shanghai Jiao Tong University; Dept. of Computer Science and Engineering, University of Texas, Dallas; Dept. of Computer Science and Engineering, Shanghai Jiao Tong University</t>
  </si>
  <si>
    <t>The emerging trend of decomposing cloud applications into microservices has raised new questions about managing the performance/power trade-off of a datacenter at microsecondscale. We introduce ANT-Man, an Auto, Native and Transparent power Management framework that can exploit fine-grained microservice variability for system efficiency. To achieve this, ANT-Man abstracts away two major sources of latency overhead in traditional hierarchical power management frameworks. First, ANT-Man proposes an auto power budgeting scheme for reducing the power coordination latency at the datacenter level. It can proactively determine the power budget tailored to each individual microservice. Second, ANT-Man proposes a native and transparent power control scheme to overcome the power configuration latency for each microservice. It enables super-fast power budget enforcement with nanosecond-scale performance scaling. Extensive experiments on our prototyped system show that ANT-Man could slash power consumption by $ 7.8\sim 43.5\%$ and in the meantime reduce the $95^{\text{th}}$ tail latency by $ 9.7\sim 12.5\%$ compared to existing techniques.</t>
  </si>
  <si>
    <t>978-1-7281-9998-6</t>
  </si>
  <si>
    <t>https://ieeexplore.ieee.org/stamp/stamp.jsp?arnumber=9355316</t>
  </si>
  <si>
    <t>microservice;variability;power management</t>
  </si>
  <si>
    <t>Power demand;Power system management;Power control;Market research;Large-scale systems;Optimization;Next generation networking</t>
  </si>
  <si>
    <t>A. R. Manu; J. K. Patel; S. Akhtar; V. K. Agrawal; K. N. B. S. Murthy</t>
  </si>
  <si>
    <t>Docker container security via heuristics-based multilateral security-conceptual and pragmatic study</t>
  </si>
  <si>
    <t>2016 International Conference on Circuit, Power and Computing Technologies (ICCPCT)</t>
  </si>
  <si>
    <t>10.1109/ICCPCT.2016.7530217</t>
  </si>
  <si>
    <t>CORI-ISE Dept Electronic city, Bangalore; MTech(IIIT), Electronic city PESIT VTU Bangalore, Karnataka, India; Engineer IV, Cisco Systems, Bangalore, Karnataka, India; ISE Dept, VTU, Bangalore, Karnataka, India; PESIT, PES University, Bangalore, Karnataka, India</t>
  </si>
  <si>
    <t>In this paper we attempt to provide unified security and privacy multilateral security architecture for cloud services stack, using key latest technology via LxC in general and Docker containers in specific. Docker is one of the first to use LxC at such a large scale, but LxC is not a very new concept, it is around for quite some time. Docker container service is a key Platform as a Service (PaaS) based engine. Unified layered cloud computing multilateral security implementation addresses the potential risks associated with cloud computing environment. It also specifies when, at what time, where, and how to apply security controls. Unified Design includes the structured connection between the components of cloud ecosystem for basket and bucket of unified cloud-based hybrid services using micro service oriented venture architectural services realized in terms of PAAS using Docker container as a service. We surveyed various industry/academic professionals and based on our experience we tried to understand the challenges they faced while using the cloud system. We tried to understand the security challenges, incidents, story pieces, accidents, experience they faced while designing, implementing and using the cloud services/resources virtually via online. This work helps to assess the security design and architecture quality using multilateral security framework for Docker container. We try to present the architecture using OSI/TCP/IP stack model with reference to Cloud service stack model and deployment stack model and try to propose the balanced multilateral security prototype with reference to Docker Container security architecture.</t>
  </si>
  <si>
    <t>978-1-5090-1277-0</t>
  </si>
  <si>
    <t>https://ieeexplore.ieee.org/stamp/stamp.jsp?arnumber=7530217</t>
  </si>
  <si>
    <t>Multilateral Security;Docker Container security;PAAS security;Cloud computing Security</t>
  </si>
  <si>
    <t>Security;Containers;Cloud computing;Computer architecture;Computational modeling;Linux;Teamwork</t>
  </si>
  <si>
    <t>W. M. S. Stout; V. E. Urias</t>
  </si>
  <si>
    <t>Challenges to securing the Internet of Things</t>
  </si>
  <si>
    <t>2016 IEEE International Carnahan Conference on Security Technology (ICCST)</t>
  </si>
  <si>
    <t>2153-0742</t>
  </si>
  <si>
    <t>10.1109/CCST.2016.7815675</t>
  </si>
  <si>
    <t>Sandia National Laboratories, Albuquerque, New Mexico; Sandia National Laboratories, Albuquerque, New Mexico</t>
  </si>
  <si>
    <t>Great advances in technology have paved the way for the computerization and interconnectedness of the world around us. The Internet of Things (IoT) describes a network comprised of physical objects or ‚Äúthings‚Äù embedded with electronics, software, sensors and connectivity to achieve greater value and service by exchanging data with manufacturers, users, and/or other connected devices. However, it is often the case that some of these devices are constrained by limited processing power, memory, and power consumption. These limitations may enable adverse effects as the IoT becomes pervasive, reaching into infrastructure, vehicles, and homes. As history has shown, the architects of the Internet were focused primarily on the efficiency and scaling aspects of data transfer protocols; at the dawn of the Internet, network and computer security were vacant research areas. The current trend shows the IoT market growing at an accelerated rate - will security again become an afterthought? The goal of this paper is to provide to not only a better understanding of the various IoT domains, but to survey the shortcomings and challenges to securing IoT devices and their interactions with cloud and enterprise applications.</t>
  </si>
  <si>
    <t>978-1-5090-1072-1</t>
  </si>
  <si>
    <t>https://ieeexplore.ieee.org/stamp/stamp.jsp?arnumber=7815675</t>
  </si>
  <si>
    <t>internet of things;cyber security;physical security;cloud;data center;software defined networking</t>
  </si>
  <si>
    <t>Y. Shi; Y. E. Sagduyu</t>
  </si>
  <si>
    <t>Adversarial Machine Learning for Flooding Attacks on 5G Radio Access Network Slicing</t>
  </si>
  <si>
    <t>2021 IEEE International Conference on Communications Workshops (ICC Workshops)</t>
  </si>
  <si>
    <t>2694-2941</t>
  </si>
  <si>
    <t>10.1109/ICCWorkshops50388.2021.9473567</t>
  </si>
  <si>
    <t>Virginia Tech, Blacksburg, VA, USA; Intelligent Automation, Inc., Rockville, MD, USA</t>
  </si>
  <si>
    <t>Network slicing manages network resources as virtual resource blocks (RBs) for the 5G Radio Access Network (RAN). Each communication request comes with quality of experience (QoE) requirements such as throughput and latency/deadline, which can be met by assigning RBs, communication power, and processing power to the request. For a completed request, the achieved reward can be measured by the weight (priority) of this request. The accumulated reward over time should be maximized by allocating resources, e.g., with reinforcement learning. In this paper, we introduce a novel flooding attack on 5G network slicing, where an adversary generates fake network slicing requests to consume the 5G RAN resources that would be otherwise available to real requests. The adversary observes the spectrum and builds a request generation algorithm through reinforcement learning that decides on how to craft fake requests to maximize the reward of fake requests over time, which in turn minimizes the reward of real requests over time. We show that the portion of the reward achieved by real requests may be much less than the reward that would be achieved when there was no attack. We also show that this flooding attack is more effective than other benchmark attacks such as generating random fake requests and fake requests with the minimum resource requirement (lowest QoE requirement). Finally, we evaluate how the attack performance depends on system parameters such as the weight and the generation rate of fake requests, and the channel condition. Our results show that the flooding attack poses a major threat for network slicing in terms of starving 5G RAN resources and denying service to real network slicing requests.</t>
  </si>
  <si>
    <t>978-1-7281-9441-7</t>
  </si>
  <si>
    <t xml:space="preserve">U.S. Army; </t>
  </si>
  <si>
    <t>https://ieeexplore.ieee.org/stamp/stamp.jsp?arnumber=9473567</t>
  </si>
  <si>
    <t>Weight measurement;5G mobile communication;Network slicing;Conferences;Reinforcement learning;Throughput;Quality of experience</t>
  </si>
  <si>
    <t>M. S. Aslanpour; A. N. Toosi; M. A. Cheema; R. Gaire</t>
  </si>
  <si>
    <t>Energy-Aware Resource Scheduling for Serverless Edge Computing</t>
  </si>
  <si>
    <t>2022 22nd IEEE International Symposium on Cluster, Cloud and Internet Computing (CCGrid)</t>
  </si>
  <si>
    <t>10.1109/CCGrid54584.2022.00028</t>
  </si>
  <si>
    <t>Department of Software Systems and Cybersecurity, Faculty of Information Technology, Monash University, Clayton, Australia; Department of Software Systems and Cybersecurity, Faculty of Information Technology, Monash University, Clayton, Australia; Department of Software Systems and Cybersecurity, Faculty of Information Technology, Monash University, Clayton, Australia; CSIRO DATA61, Australia</t>
  </si>
  <si>
    <t>In this paper, we present energy-aware scheduling for Serverless edge computing. Energy awareness is critical since edge nodes, in many Internet of Things (IoT) domains, are meant to be powered by renewable energy sources that are variable, making low-powered and/or overloaded (bottleneck) nodes unavailable and not operating their services. This awareness is also required since energy challenges have not been previously addressed by Serverless, largely due to its origin in cloud computing. To achieve this, we formally model an energy-aware resource scheduling problem in Serverless edge computing, given a cluster of battery-operated and renewable-energy powered nodes. Then, we devise zone-oriented and priority-based algorithms to improve the operational availability of bottleneck nodes. As assets, our algorithm coins terms ‚Äústicky offloading‚Äù and ‚Äúwarm scheduling‚Äù in the interest of the Quality of Service (QoS). We evaluate our proposal against well-known benchmarks using real-world implementations on a cluster of Raspberry Pis enabled with container orchestration, Kubernetes, and Serverless computing, OpenFaaS, where edge nodes are powered by real-world solar irradiation. Experimental results achieve significant improvements, up to 33%, in helping bottleneck node's operational availability while preserving the QoS. With energy awareness, now Serverless can unconditionally offer its resource efficiency and portability at the edge.</t>
  </si>
  <si>
    <t>978-1-6654-9956-9</t>
  </si>
  <si>
    <t>https://ieeexplore.ieee.org/stamp/stamp.jsp?arnumber=9826101</t>
  </si>
  <si>
    <t>edge computing;Serverless;function-as-a-service;energy-aware;scheduling</t>
  </si>
  <si>
    <t>Wireless communication;Renewable energy sources;Computational modeling;Clustering algorithms;Serverless computing;Quality of service;Benchmark testing</t>
  </si>
  <si>
    <t>V. Ziegler; T. Wild; M. Uusitalo; H. Flinck; V. R√§is√§nen; K. H√§t√∂nen</t>
  </si>
  <si>
    <t>Stratification of 5G evolution and Beyond 5G</t>
  </si>
  <si>
    <t>2019 IEEE 2nd 5G World Forum (5GWF)</t>
  </si>
  <si>
    <t>10.1109/5GWF.2019.8911739</t>
  </si>
  <si>
    <t>Bell Labs &amp; CTO Nokia, Munich, Germany; Bell Labs Nokia, Stuttgart, Germany; Bell Labs Nokia, Espoo, Finland; Bell Labs Nokia, Espoo, Finland; Bell Labs Nokia, Espoo, Finland; Bell Labs Nokia, Espoo, Finland</t>
  </si>
  <si>
    <t>The next decade will bring exciting transformation in physical, digital and biological worlds. While requirements and use cases for Beyond 5G (B5G) are not fully clear at this time, an attempt at stratification of 5G evolution and B5G has been developed. Such stratification, i.e., decomposition into candidate technologies, will include technology scenarios of 5G evolution to fully deliver on the most demanding of 5G requirements and use cases eventually as well as novel architectural and technology concepts to be broadly linked with 6G. With 6G, we may associate Terahertz (THz) spectrum-based radio access, network as a sensor, alternative compute architecture, edge centric and flow-based core architecture as well as design-time driven, automated and secure network of networks. Key attributes and characteristics of the associated technology scenarios are described.</t>
  </si>
  <si>
    <t>978-1-7281-3627-1</t>
  </si>
  <si>
    <t>https://ieeexplore.ieee.org/stamp/stamp.jsp?arnumber=8911739</t>
  </si>
  <si>
    <t>B5G;5G evolution;6G;Vision 2030;cellular communication;wireless</t>
  </si>
  <si>
    <t>5G mobile communication;Evolution (biology);6G mobile communication;Robot sensing systems;Computer architecture;Ecosystems;3GPP</t>
  </si>
  <si>
    <t>N. Salhab; R. Rahim; R. Langar; R. Boutaba</t>
  </si>
  <si>
    <t>Machine Learning Based Resource Orchestration for 5G Network Slices</t>
  </si>
  <si>
    <t>2019 IEEE Global Communications Conference (GLOBECOM)</t>
  </si>
  <si>
    <t>2576-6813</t>
  </si>
  <si>
    <t>10.1109/GLOBECOM38437.2019.9013129</t>
  </si>
  <si>
    <t>University Paris-Est, LIGM-CNRS UMR 8049, UPEM, Marne-la-Vall√©e, France; Faculty of Science, LTRM, Lebanese University, Tripoli, Lebanon; University Paris-Est, LIGM-CNRS UMR 8049, UPEM, Marne-la-Vall√©e, France; David R. Cheriton School, University of Waterloo, Waterloo, Canada</t>
  </si>
  <si>
    <t>5G will serve heterogeneous demands in terms of data-rate, reliability, latency, and efficiency. Mobile operators shall be able to serve all of these requirements using shared network infrastructure's resources. To this end, we propose in this paper a framework for resource orchestration for 5G network slices implementing four Quality of Service pillars. Starting from traffic classification, demands are marked so that they are best served by dedicated logical virtual networks called Network Slices (NSs). To optimally serve multiple NSs over the same physical network, we then implement a new dynamic slicing approach of network resources exploiting Machine Learning (ML). Indeed, as demands change dynamically, a mere recursive optimization leading to progressive convergence towards an optimum slice is not sufficient. Consequently, we need an initial well-informed slicing decision of physical resources from a total available resource pool. Moreover, we formalize both admission control and slice scheduler modules as Knapsack problems. Using our 5G experimental prototype based on OpenAirInterface (OAI), we generate a realistic dataset for evaluating ML based approaches as well as two baselines solutions (i.e. static slicing and uninformed random slicing-decisions). Simulation results show that using regression trees as an ML based approach for both classification and prediction, outperform other alternative solutions in terms of prediction accuracy and throughput.</t>
  </si>
  <si>
    <t>978-1-7281-0962-6</t>
  </si>
  <si>
    <t>https://ieeexplore.ieee.org/stamp/stamp.jsp?arnumber=9013129</t>
  </si>
  <si>
    <t>5G mobile communication;Quality of service;Resource management;Throughput;Prediction algorithms;Machine learning;Prototypes</t>
  </si>
  <si>
    <t>G. di Orio; P. Mal√≥; J. Barata</t>
  </si>
  <si>
    <t>NOVAAS: A Reference Implementation of Industrie4.0 Asset Administration Shell with best-of-breed practices from IT engineering</t>
  </si>
  <si>
    <t>IECON 2019 - 45th Annual Conference of the IEEE Industrial Electronics Society</t>
  </si>
  <si>
    <t>2577-1647</t>
  </si>
  <si>
    <t>10.1109/IECON.2019.8927081</t>
  </si>
  <si>
    <t>Departamento de Engenharia Electrot√©cnica, FCT-UNL, UNINOVA, Caparica, Portugal; Departamento de Engenharia Electrot√©cnica, FCT-UNL, UNINOVA, Caparica, Portugal; Departamento de Engenharia Electrot√©cnica, FCT-UNL, UNINOVA, Caparica, Portugal</t>
  </si>
  <si>
    <t>The fundamental role played by ‚Äúnew technologies‚Äù to enhance the manufacturing infrastructure, products and services is confirmed by the strategies, roadmaps and initiatives established by the developed countries such as EU-28, US, China and Japan. Putting the light on Europe, the key priorities for manufacturing are aligned with the Industry 4.0 strategy/program where the proliferation of cyber-physical systems (CPSs) and technologies like predictive data analytics, cloud and edge computing are creating the foundation for smart factory, i.e. the efficient and effective connection between products, processes and their related services. However, even if the smart factory vision is quite clear, in practice, it is still unclear how it can be implemented in a way to allow the transparent data exchange between all the layers of a manufacturing company, as well as, between the manufacturing company and the value chain partners. Within the German Industrie4.0 program, the Asset Administration Shell concept is defined to create a standardized digital representation of the asset while ensuring interoperability between all the applications within the manufacturing ecosystem. In this paper, an implementation of the asset administration shell is provided - also called NOVAAS - based on the deep usage of internet technologies, languages and software engineering techniques and methods (such as DevOps, microservices, continuous integration, etc.). The main goal is to contribute towards a generic and extensible reference implementation of the concept.</t>
  </si>
  <si>
    <t>978-1-7281-4878-6</t>
  </si>
  <si>
    <t>https://ieeexplore.ieee.org/stamp/stamp.jsp?arnumber=8927081</t>
  </si>
  <si>
    <t>Cyber-physical systems;Industry 4.0;RAMI 4.0;Asset administration shell;interoperability</t>
  </si>
  <si>
    <t>Manufacturing;Industries;Companies;Interoperability;Sensors;Monitoring;Data mining</t>
  </si>
  <si>
    <t>M. Taneja; J. Byabazaire; A. Davy; C. Olariu</t>
  </si>
  <si>
    <t>Fog assisted application support for animal behaviour analysis and health monitoring in dairy farming</t>
  </si>
  <si>
    <t>2018 IEEE 4th World Forum on Internet of Things (WF-IoT)</t>
  </si>
  <si>
    <t>10.1109/WF-IoT.2018.8355141</t>
  </si>
  <si>
    <t>CONNECT- Centre for Future Networks and Communications, Ireland; CONNECT- Centre for Future Networks and Communications, Ireland; CONNECT- Centre for Future Networks and Communications, Ireland; Innovation Exchange, IBM Ireland, Dublin</t>
  </si>
  <si>
    <t>With the exponential growth rate of technology, the future of all activities, including dairy farming involves an omnipresence of widely connected devices. Internet of things (IoT), fog computing, cloud computing and data analytics together offer a great opportunity to increase productivity in the dairy industry. In this paper, we present a fog computing assisted application system for animal behaviour analysis and health monitoring in a dairy farming scenario. The sensed data from sensors is sent to a fog based platform for data classification and analysis, which includes decision making capabilities. The solution aims towards keeping track of the animals' well-being by delivering early warning alerts generated through behavioural analytics, thus aiding the farmer to monitor the health of their livestock and the capability to identify potential diseases at an early stage, thereby also helping in increasing milk yield and productivity. The proposed system follows a service based model, avoids vendor lock-in, and is also scalable to add new features such as the detection of calving, heat, and issues like lameness.</t>
  </si>
  <si>
    <t>978-1-4673-9944-9</t>
  </si>
  <si>
    <t>https://ieeexplore.ieee.org/stamp/stamp.jsp?arnumber=8355141</t>
  </si>
  <si>
    <t>Fog Computing;Cloud Computing;Internet of Things (IoT);Smart Farm;Dairy Farming;Real-time;Data Analytics;Microservices</t>
  </si>
  <si>
    <t>Cloud computing;Cows;Monitoring;Sensors;Internet of Things;Edge computing</t>
  </si>
  <si>
    <t>P. Thinakaran; J. R. Gunasekaran; B. Sharma; M. T. Kandemir; C. R. Das</t>
  </si>
  <si>
    <t>Kube-Knots: Resource Harvesting through Dynamic Container Orchestration in GPU-based Datacenters</t>
  </si>
  <si>
    <t>2019 IEEE International Conference on Cluster Computing (CLUSTER)</t>
  </si>
  <si>
    <t>2168-9253</t>
  </si>
  <si>
    <t>10.1109/CLUSTER.2019.8891040</t>
  </si>
  <si>
    <t>The Pennsylvania State University; The Pennsylvania State University; Facebook, Inc.; The Pennsylvania State University; The Pennsylvania State University</t>
  </si>
  <si>
    <t>Compute heterogeneity is increasingly gaining prominence in modern datacenters due to the addition of accelerators like GPUs and FPGAs. We observe that datacenter schedulers are agnostic of these emerging accelerators, especially their resource utilization footprints, and thus, not well equipped to dynamically provision them based on the application needs. We observe that the state-of-the-art datacenter schedulers fail to provide fine-grained resource guarantees for latency-sensitive tasks that are GPU-bound. Specifically for GPUs, this results in resource fragmentation and interference leading to poor utilization of allocated GPU resources. Furthermore, GPUs exhibit highly linear energy efficiency with respect to utilization and hence proactive management of these resources is essential to keep the operational costs low while ensuring the end-to-end Quality of Service (QoS) in case of user-facing queries.Towards addressing the GPU orchestration problem, we build Knots, a GPU-aware resource orchestration layer and integrate it with the Kubernetes container orchestrator to build Kube- Knots. Kube-Knots can dynamically harvest spare compute cycles through dynamic container orchestration enabling co-location of latency-critical and batch workloads together while improving the overall resource utilization. We design and evaluate two GPU-based scheduling techniques to schedule datacenter-scale workloads through Kube-Knots on a ten node GPU cluster. Our proposed Correlation Based Prediction (CBP) and Peak Prediction (PP) schemes together improves both average and 99th percentile cluster-wide GPU utilization by up to 80% in case of HPC workloads. In addition, CBP+PP improves the average job completion times (JCT) of deep learning workloads by up to 36% when compared to state-of-the-art schedulers. This leads to 33% cluster-wide energy savings on an average for three different workloads compared to state-of-the-art GPU-agnostic schedulers. Further, the proposed PP scheduler guarantees the end-to-end QoS for latency-critical queries by reducing QoS violations by up to 53% when compared to state-of-the-art GPU schedulers.</t>
  </si>
  <si>
    <t>978-1-7281-4734-5</t>
  </si>
  <si>
    <t>https://ieeexplore.ieee.org/stamp/stamp.jsp?arnumber=8891040</t>
  </si>
  <si>
    <t>Graphics processing units;Containers;Measurement;Task analysis;Quality of service;Resource management;Correlation</t>
  </si>
  <si>
    <t>S. Nastic; T. Pusztai; A. Morichetta; V. C. Pujol; S. Dustdar; D. Vii; Y. Xiong</t>
  </si>
  <si>
    <t>Polaris Scheduler: Edge Sensitive and SLO Aware Workload Scheduling in Cloud-Edge-IoT Clusters</t>
  </si>
  <si>
    <t>2021 IEEE 14th International Conference on Cloud Computing (CLOUD)</t>
  </si>
  <si>
    <t>10.1109/CLOUD53861.2021.00034</t>
  </si>
  <si>
    <t>Reinvent Labs GmbH, Vienna, Austria; Distributed Systems Group, TU Wien, Vienna, Austria; Distributed Systems Group, TU Wien, Vienna, Austria; Distributed Systems Group, TU Wien, Vienna, Austria; Distributed Systems Group, TU Wien, Vienna, Austria; Futurewei Technologies, Inc., Santa Clara, CA, USA; Futurewei Technologies, Inc., Santa Clara, CA, USA</t>
  </si>
  <si>
    <t>Application workload scheduling in hybrid Cloud-Edge-IoT infrastructures has been extensively researched over the last years. The recent trend of containerizing application workloads, both in the cloud and on the edge, has further fueled the need for more advanced scheduling solutions in these hybrid infrastructures. Unfortunately, most of the current approaches are not fully sensitive to the edge properties and also lack adequate support for Service Level Objective (SLO) awareness. Previously, we introduced software defined gateways (SDGs), which enable managing novel edge resources at scale. At the same time Kubernetes was initially released. In spite of not being specifically developed for the edge, Kubernetes implements many of the design principles introduced by our SDGs, making it suitable for building SDG extensions on top of it. In this paper we present Polaris Scheduler - a novel scheduling framework, which enables edge sensitive and SLO aware scheduling in the Cloud-Edge-IoT Continuum. Polaris Scheduler is being developed as a part of Linux Foundation's Centaurus project. We discuss the main research challenges, the approach, and the vision of SLO aware edge sensitive scheduling.</t>
  </si>
  <si>
    <t>978-1-6654-0060-2</t>
  </si>
  <si>
    <t>https://ieeexplore.ieee.org/stamp/stamp.jsp?arnumber=9582166</t>
  </si>
  <si>
    <t>Edge Computing;Service Level Objectives;Elasticity;Container Scheduling</t>
  </si>
  <si>
    <t>Cloud computing;Processor scheduling;Linux;Conferences;Buildings;Logic gates;Market research</t>
  </si>
  <si>
    <t>X. Xu; S. Huang; L. Feagan; Y. Chen; Y. Qiu; Y. Wang</t>
  </si>
  <si>
    <t>EAaaS: Edge Analytics as a Service</t>
  </si>
  <si>
    <t>2017 IEEE International Conference on Web Services (ICWS)</t>
  </si>
  <si>
    <t>10.1109/ICWS.2017.130</t>
  </si>
  <si>
    <t>IBM China Research Laboratory; IBM China Research Laboratory; IBM China Research Laboratory; IBM China Research Laboratory; IBM China Research Laboratory; IBM China Research Laboratory</t>
  </si>
  <si>
    <t>In the Internet of Things (IoT) era, with ubiquitous remote sensing devices and other diverse data sources, nearly everything can forward voluminous data continuously, in real-time, which drives demand to perform real-time analytics on uninterrupted IoT data flows. The typical resultant approach is a cloud-centered architecture providing an analytic service for real-time IoT data processing. However, a cloud-centered IoT analytic service cannot guarantee real-time responsiveness has a high-fee pay-as-you-go business model, and opens data privacy concerns. Hence, it becomes rational to shift analytic workloads to the edge and provide a management service for edge analysis. Existing work on providing edge analytics as a service encountered challenges such as lacking a lightweight way to compose IoT applications based on multiple service providers, lacking a flexible and unified way to define domain-specific analytic logic, and maintaining efficiency when processing data on a resource-limited edge. This paper presents EAaaS, a scalable analytic service for enabling real-time edge analytics in IoT scenarios. In this work, we propose a unified rule-based analytic model to ease user's programming efforts in specifying rule-based analytic logic. Moreover, we also designed and implemented a high performance edge engine to apply rule-based analytic on incoming device data streams. To simplify the access to EAaaS service, a group of RESTful web interfaces is also designed for edge analytic management on cloud and flexible composition with external services. EAaaS is implemented as a part of IBM Watson IoT Platform, which is a cloud service for elementary IoT application development on IBM Bluemix cloud announced by IBM recently. We have conducted proof of correctness (PoC) of EAaaS with customers from boat racing in the U.S. and collected valuable feedback from customers for further enhancement of EAaaS's flexibility and usability.</t>
  </si>
  <si>
    <t>978-1-5386-0752-7</t>
  </si>
  <si>
    <t>https://ieeexplore.ieee.org/stamp/stamp.jsp?arnumber=8029781</t>
  </si>
  <si>
    <t>Internet of Things; Real-time event processing; Rule-based edge analytic</t>
  </si>
  <si>
    <t>Logic gates;Analytical models;Data models;Real-time systems;Cloud computing;Monitoring;Edge computing</t>
  </si>
  <si>
    <t>R. Yang; X. Ouyang; Y. Chen; P. Townend; J. Xu</t>
  </si>
  <si>
    <t>Intelligent Resource Scheduling at Scale: A Machine Learning Perspective</t>
  </si>
  <si>
    <t>2018 IEEE Symposium on Service-Oriented System Engineering (SOSE)</t>
  </si>
  <si>
    <t>10.1109/SOSE.2018.00025</t>
  </si>
  <si>
    <t>BDBC, Beihang University; University of Leeds; University of Leeds; Edgetic Limited; BDBC, Beihang University</t>
  </si>
  <si>
    <t>Resource scheduling in a computing system addresses the problem of packing tasks with multi-dimensional resource requirements and non-functional constraints. The exhibited heterogeneity of workload and server characteristics in Cloud-scale or Internet-scale systems is adding further complexity and new challenges to the problem. Compared with,,,, existing solutions based on ad-hoc heuristics, Machine Learning (ML) has the potential to improve further the efficiency of resource management in large-scale systems. In this paper we,,,, will describe and discuss how ML could be used to understand automatically both workloads and environments, and to help to cope with scheduling-related challenges such as consolidating co-located workloads, handling resource requests, guaranteeing application's QoSs, and mitigating tailed stragglers. We will introduce a generalized ML-based solution to large-scale resource scheduling and demonstrate its effectiveness through a case study that deals with performance-centric node classification and straggler mitigation. We believe that an MLbased method will help to achieve architectural optimization and efficiency improvement.</t>
  </si>
  <si>
    <t>978-1-5386-5207-7</t>
  </si>
  <si>
    <t>https://ieeexplore.ieee.org/stamp/stamp.jsp?arnumber=8359158</t>
  </si>
  <si>
    <t>Resource Scheduling;machine learning;resource management;straggler</t>
  </si>
  <si>
    <t>Task analysis;Processor scheduling;Resource management;Machine learning;Quality of service;Data centers;Servers</t>
  </si>
  <si>
    <t>S. Zeb; M. A. Rathore; A. Mahmood; S. A. Hassan; J. Kim; M. Gidlund</t>
  </si>
  <si>
    <t>Edge Intelligence in Softwarized 6G: Deep Learning-enabled Network Traffic Predictions</t>
  </si>
  <si>
    <t>2021 IEEE Globecom Workshops (GC Wkshps)</t>
  </si>
  <si>
    <t>10.1109/GCWkshps52748.2021.9682131</t>
  </si>
  <si>
    <t>School of Electrical Engineering &amp; Computer Science (SEECS), National University of Sciences &amp; Technology (NUST), Pakistan; School of Electrical Engineering &amp; Computer Science, Gwangju Institute of Science &amp; Technology (GIST), Gwangju, South Korea; Department of Information Systems &amp; Technology, Mid Sweden University, Sweden; School of Electrical Engineering &amp; Computer Science (SEECS), National University of Sciences &amp; Technology (NUST), Pakistan; School of Electrical Engineering &amp; Computer Science, Gwangju Institute of Science &amp; Technology (GIST), Gwangju, South Korea; Department of Information Systems &amp; Technology, Mid Sweden University, Sweden</t>
  </si>
  <si>
    <t>The 6G vision is envisaged to enable agile network expansion and rapid deployment of new on-demand microservices (e.g., visibility services for data traffic management, mobile edge computing services) closer to the network‚Äôs edge IoT devices. However, providing one of the critical features of network visibility services, i.e., data flow prediction in the network, is challenging at the edge devices within a dynamic cloud-native environment as the traffic flow characteristics are random and sporadic. To provide the AI-native services for the 6G vision, we propose a novel edge-native framework to provide an intelligent prognosis technique for data traffic management in this paper. The prognosis model uses long short-term memory (LSTM)-based encoder-decoder deep learning, which we train on real time-series multivariate data records collected from the edge ¬µ-boxes of a selected testbed network. Our result accurately predicts the statistical characteristics of data traffic and verifies the trained model against the ground truth observations. Moreover, we validate our novel framework with two performance metrics for each feature of the multivariate data.</t>
  </si>
  <si>
    <t>978-1-6654-2390-8</t>
  </si>
  <si>
    <t xml:space="preserve">Vinnova; </t>
  </si>
  <si>
    <t>https://ieeexplore.ieee.org/stamp/stamp.jsp?arnumber=9682131</t>
  </si>
  <si>
    <t>6G;network traffic flow;forecasting;deep learning;cloud-native deployments;edge computing</t>
  </si>
  <si>
    <t>6G mobile communication;Measurement;Intelligent networks;Multi-access edge computing;Computational modeling;Microservice architectures;Telecommunication traffic</t>
  </si>
  <si>
    <t>N. H. Kumar; S. Baskaran; S. Hariraj; V. Krishnan</t>
  </si>
  <si>
    <t>An Autonomous Aquaponics System Using 6LoWPAN Based WSN</t>
  </si>
  <si>
    <t>2016 IEEE 4th International Conference on Future Internet of Things and Cloud Workshops (FiCloudW)</t>
  </si>
  <si>
    <t>10.1109/W-FiCloud.2016.37</t>
  </si>
  <si>
    <t>Experienced Researcher Ericsson Research; Senior Software Engineer Ericsson R&amp;D; B. Tech Information Tech. Anna University; NA</t>
  </si>
  <si>
    <t>Aquaponics is a groundbreaking food production technique that combines both traditional methods of aquaculture and hydroponics to grow both fish and crops in a single integrated system. Aquaponics system uses fish wastes to provide essential nutrients to the plants. In return plants serve as a bio-filter for the fish in a symbiotic relationship. The purpose of this paper is to showcase how to build an efficient Internet of Things (IoT) application for aquaponics in order to create an autonomous, self-regulating system with the help of Wireless Sensor Network (WSN). An open standard of WSN called 6LoWPAN is being used in this system which helps us to construct a global infrastructure. The designed aquaponic system is composed of sensor devices that can sense and collect information of the various dimensions of the water quality involved and store it in a cloud database. This means that the human intervention would be considerably less when compared to the traditional methods of aquaponics. In addition to the traditional technique, with the help of Next-Gen Telco technologies, i.e., using their high bandwidth and low latency, infected fishes are detected automatically on time and treat them to ensure the balance in our aquaponics ecosystem. In this paper we propose an end-to-end system to enable "Connected Aquaponics" which includes WSN and Next-Gen Telco to increase the crop yield and provide organic sustainable food to the world community.</t>
  </si>
  <si>
    <t>978-1-5090-3946-3</t>
  </si>
  <si>
    <t>https://ieeexplore.ieee.org/stamp/stamp.jsp?arnumber=7592711</t>
  </si>
  <si>
    <t>Aquaponics;6LoWPAN;5G;IoT;IP-based Wireless Sensor Network</t>
  </si>
  <si>
    <t>Fish;Wireless sensor networks;Robot sensing systems;Temperature sensors;Agriculture;Monitoring;Wireless communication</t>
  </si>
  <si>
    <t>V. Ziegler; S. Yrj√∂l√§</t>
  </si>
  <si>
    <t>How To Make 6G a General Purpose Technology: Prerequisites and value creation paradigm shift</t>
  </si>
  <si>
    <t>2021 Joint European Conference on Networks and Communications &amp; 6G Summit (EuCNC/6G Summit)</t>
  </si>
  <si>
    <t>2575-4912</t>
  </si>
  <si>
    <t>10.1109/EuCNC/6GSummit51104.2021.9482431</t>
  </si>
  <si>
    <t>Nokia Bell Labs &amp; CTO, Munich, Germany; Nokia, Oulu, Finland</t>
  </si>
  <si>
    <t>6G era and the post-pandemic future will be driven by the need and the opportunity to serve society and mankind in the 2030s by connecting the physical, digital and biological worlds. Novel use cases will provide value from augmenting human intelligence, creating new digital worlds and controlling the automatons for step change in efficiency and labor productivity and safety. We propose and explore a framework of 6G composite value from novel use cases as well as from 6G research, technology and architecture. Key components of the framework are input in terms of capital and labor, process and performance improvement, value output as well as ecosystem enabling parameters. Process and performance improvement will be driven by 6G enabling technologies such as pervasive Artificial Intelligence and Machine Learning, sub-Terahertz spectrum and new spectrum technologies, network co-design for radio sensing and communications and, technologies to cater for extreme connectivity requirements. A variety of innovations in 6G network architecture such as het-cloud transformation, leverage of specialized networks, radio access and core network convergence as well as novel security technologies for trust will be part of the anticipated technology push. Ecosystem enabling parameters will need to include open collaboration, vehicles of the shared economy such as open source as well as spectrum regulation aspects. Results indicate that 6G can be characterized as an emerging general-purpose technology being pervasive, having dynamism for continuous technical improvements, and enabling innovational complementarities across a wide range of industry sectors.</t>
  </si>
  <si>
    <t>978-1-6654-1526-2</t>
  </si>
  <si>
    <t>https://ieeexplore.ieee.org/stamp/stamp.jsp?arnumber=9482431</t>
  </si>
  <si>
    <t>ecosystem;business model;cellular communication;sub-networks;wireless networks;6G</t>
  </si>
  <si>
    <t>6G mobile communication;Performance evaluation;Industries;Scalability;Ecosystems;Collaboration;Regulation</t>
  </si>
  <si>
    <t>P. Maiti; J. Shukla; B. Sahoo; A. K. Turuk</t>
  </si>
  <si>
    <t>Efficient Data Collection for IoT Services in Edge Computing Environment</t>
  </si>
  <si>
    <t>2017 International Conference on Information Technology (ICIT)</t>
  </si>
  <si>
    <t>10.1109/ICIT.2017.40</t>
  </si>
  <si>
    <t>Department of Computer Science and Engineering, National Institute of Technology, Rourkela, Odisha; Department of Computer Science and Engineering, National Institute of Technology, Rourkela, Odisha; Department of Computer Science and Engineering, National Institute of Technology, Rourkela, Odisha; Department of Computer Science and Engineering, National Institute of Technology, Rourkela, Odisha</t>
  </si>
  <si>
    <t>The Internet of Things (IoT) represents a major change in sensor data collection. It is predicted that 50 billion devices will produce a large amount of data by 2020. This data needs to be stored efficiently so that it can be efficiently retrieved on demand for real-time application. Most of the Cloud-IoT solutions focus on centralized data collection and storage which is not appropriate for efficient data collection and utilization. For addressing such diverse set of requirements,resources are placed near to the data sources for processing and fast real-time decision making instead of sending all the data to the Cloud. The gateway is such a type of edge device that collects data from smart sensors, but it does not have any pre-processing or decision-making capabilities. Therefore, the gateway has to be made smarter with Fog capabilities and named as Fog Smart Gateway(FSG). We represent the distributed Cloud-IoT solution where data optimally distributed among mini-clouds/Fog nodes. The processing of IoT traffic is taken care of by Virtual Machines(VMs) facilitated by distributed mini-clouds/Fog nodes and located within the edge devices. We optimized the number of mini-clouds placement to reduce the total latency and power consumption induced by traffic aggregation and processing. However, there has been little research on fog node placement. Our results show that the optimal distribution of mini-clouds in the IoT network could yield a total energy saving and reduction in latency compared to processing IoT data in a conventional cloud system.</t>
  </si>
  <si>
    <t>978-1-5386-2924-6</t>
  </si>
  <si>
    <t>https://ieeexplore.ieee.org/stamp/stamp.jsp?arnumber=8423891</t>
  </si>
  <si>
    <t>Fog computing;Fog node;IoT;Edge devices;Service latency;Energy consumption</t>
  </si>
  <si>
    <t>Cloud computing;Logic gates;Edge computing;Real-time systems;Data collection;Data centers;Internet of Things</t>
  </si>
  <si>
    <t>G. Valecce; S. Strazzella; A. Radesca; L. A. Grieco</t>
  </si>
  <si>
    <t>Solarfertigation: Internet of Things Architecture for Smart Agriculture</t>
  </si>
  <si>
    <t>2019 IEEE International Conference on Communications Workshops (ICC Workshops)</t>
  </si>
  <si>
    <t>2474-9133</t>
  </si>
  <si>
    <t>10.1109/ICCW.2019.8756735</t>
  </si>
  <si>
    <t>Sf System srl, Carosino(TA), Italy; Sf System srl, Carosino(TA), Italy; Next Generation Team, Chi≈üinƒÉu, Moldova; CNIT, Politecnico di Bari, Bari, Italy</t>
  </si>
  <si>
    <t>Smart agriculture is a promising Internet of Things (IoT) application domain in the Industry 4.0 framework. Climate changes affect the natural resources exploitation policies becoming a serious matter in the agricultural and food production context. Continuous monitoring of environmental parameters and agricultural processes automation can lead to resources optimization and production maximization. This work proposes both the conceptual model and the design of Solarfertigation, an IoT system, specifically designed for smart agriculture. In particular, the envisioned solution is able to detect some of the most meaningful terrain parameters to feed a decision-making process that drives automated fertilization and irrigation subsystems. In addition, to attain energy self-sustainability, Solarfertigation is powered by a photovoltaic plant. The key features of Solarfertigation are illustrated throughout this contribution together with its preliminary prototype implementation.</t>
  </si>
  <si>
    <t>978-1-7281-2373-8</t>
  </si>
  <si>
    <t>https://ieeexplore.ieee.org/stamp/stamp.jsp?arnumber=8756735</t>
  </si>
  <si>
    <t>Climate change;Smart agriculture;Internet of Things;Solar energy</t>
  </si>
  <si>
    <t>I. P. Zarko; S. Soursos; I. Gojmerac; E. G. Ostermann; G. Insolvibile; M. Plociennik; P. Reichl; G. Bianchi</t>
  </si>
  <si>
    <t>Towards an IoT framework for semantic and organizational interoperability</t>
  </si>
  <si>
    <t>2017 Global Internet of Things Summit (GIoTS)</t>
  </si>
  <si>
    <t>10.1109/GIOTS.2017.8016253</t>
  </si>
  <si>
    <t>Faculty of Electrical Engineering and Computing, University of Zagreb, Croatia; Intracom SA Telecom Solutions, Greece; AIT Austrian Institute of Technology GmbH, Center for Digital Safety &amp; Security, Austria; ATOS Spain SA, Spain; Nextworks SrI, Italy; IBCh PAS, IPoznan Supercomputing and Networking Center, Poland; Faculty of Computer Science, University of Vienna, Austria; CNIT, University of Roma Tor Vergata, Rome, Italy</t>
  </si>
  <si>
    <t>While the current highly fragmented Internet of Things (IoT) ecosystem is characterized by an increasing number of platforms, their interoperability and collaboration is quite challenging to achieve, even more so due to numerous standardization initiatives. However, interoperability remains essential for future IoT deployments to facilitate the emergence of novel cross-domain applications and business opportunities. In this paper we present the interoperability approach pursued by the H2020 project symbIoTe which aims at creating a flexible interoperability framework supporting both semantic and organizational interoperability. While semantic interoperability, as a prerequisite for platform cooperation, has been widely addressed in literature, symbIoTe goes a step further to propose novel aspects of organizational interoperability by introducing a concept of IoT platform federations and roaming IoT devices. We present the symbIoTe architecture, highlight its major technical contributions, and provide an overview of current system implementation with focus on Cloud-based services which create a new perspective on IoT interoperability.</t>
  </si>
  <si>
    <t>978-1-5090-5873-0</t>
  </si>
  <si>
    <t>https://ieeexplore.ieee.org/stamp/stamp.jsp?arnumber=8016253</t>
  </si>
  <si>
    <t>Interoperability;Semantics;Collaboration;Ecosystems;Cloud computing;Smart devices;Ontologies</t>
  </si>
  <si>
    <t>A. B. A. Alaasam; G. Radchenko; A. Tchernykh</t>
  </si>
  <si>
    <t>Stateful Stream Processing for Digital Twins: Microservice-Based Kafka Stream DSL</t>
  </si>
  <si>
    <t>2019 International Multi-Conference on Engineering, Computer and Information Sciences (SIBIRCON)</t>
  </si>
  <si>
    <t>10.1109/SIBIRCON48586.2019.8958367</t>
  </si>
  <si>
    <t>School of Electrical Engineering and Computer Science, South Ural State University, Chelyabinsk, Russia; School of Electrical Engineering and Computer Science, South Ural State University, Chelyabinsk, Russia; South Ural State University, Chelyabinsk, Russia</t>
  </si>
  <si>
    <t>Digital Twin is a virtual representation of a technological process or a piece of equipment, that supports monitoring, control and state prediction based on the data, gathered from the sensor networks. To parallelize event processing and produce near-real-time insights over data streams, Digital Twin should be implemented based on an Event-Driven architecture. The Event-Driven architecture is loosely-coupled by its nature. One of the recent possible solutions for loose coupling system is a Microservice approach, a cohesive and independent process that interacts using messages. Stateless behavior is the nature of the microservice, but on the other hand, the vast majority of stream processing in Digital Twin imply stateful operations. Thus, in this paper, we propose a case-study of the possibility to use Apache Kafka Stream API (Kafka stream DSL) to build stateful microservice for real-time manufacturing data analysis. Also, in the presented work we discuss the fulfillment of such requirements as fault tolerance, processing latency, and scalability to support the stateful stream processing in Digital Twins implementation.</t>
  </si>
  <si>
    <t>978-1-7281-4401-6</t>
  </si>
  <si>
    <t>https://ieeexplore.ieee.org/stamp/stamp.jsp?arnumber=8958367</t>
  </si>
  <si>
    <t>Digital Twin;Sensors;Stream processing;Event-Driven;Apache Kafka;Microservice</t>
  </si>
  <si>
    <t>A. Batyuk; V. Voityshyn; V. Verhun</t>
  </si>
  <si>
    <t>Software Architecture Design of the Real- Time Processes Monitoring Platform</t>
  </si>
  <si>
    <t>2018 IEEE Second International Conference on Data Stream Mining &amp; Processing (DSMP)</t>
  </si>
  <si>
    <t>10.1109/DSMP.2018.8478589</t>
  </si>
  <si>
    <t>Dept. of Automated Control Systems, Lviv Polytechnic National University, Lviv, Ukraine; Dept. of Automated Control Systems, Lviv Polytechnic National University, Lviv, Ukraine; Dept. of Automated Control Systems, Lviv Polytechnic National University, Lviv, Ukraine</t>
  </si>
  <si>
    <t>Understanding of how business processes are executed in real-life is vitally important for a company. Any process leaves a digital footprint that can be transformed into so-called event logs and analyzed with process mining techniques. A software platform with the purpose of near realtime processes monitoring is implemented. Design of the represented platform is based on the lambda architecture combining online and offline process mining algorithms with advanced analytics based on machine learning.</t>
  </si>
  <si>
    <t>978-1-5386-2874-4</t>
  </si>
  <si>
    <t>https://ieeexplore.ieee.org/stamp/stamp.jsp?arnumber=8478589</t>
  </si>
  <si>
    <t>process mining;event data;event logs;business process management;BPM;XES;lambda architecture</t>
  </si>
  <si>
    <t>Data mining;Software;Computer architecture;Real-time systems;Task analysis;Monitoring;Software algorithms</t>
  </si>
  <si>
    <t>A. Kadu; M. Singh</t>
  </si>
  <si>
    <t>Comparative Analysis of e-Health Care Telemedicine System Based on Internet of Medical Things and Artificial Intelligence</t>
  </si>
  <si>
    <t>2021 2nd International Conference on Smart Electronics and Communication (ICOSEC)</t>
  </si>
  <si>
    <t>10.1109/ICOSEC51865.2021.9591941</t>
  </si>
  <si>
    <t>School of Electrical and Electronics Engineering, Lovely Professional University, Punjab, India; School of Electrical and Electronics Engineering, Lovely Professional University, Punjab, India</t>
  </si>
  <si>
    <t>With the advancement and widespread use of artificial intelligence (AI) in a variety of fields, experts in the field of medicine have begun to actualize their powers in handling and analyzing data for telemedicine. Outpatients who require medical treatment but are unable to obtain it due to a lack of finances or limited access might benefit from telemedicine platforms, which provide unique and creative alternatives. Due to the difficulties in using telemedicine, it is necessary to develop its capacities and adaptability in order to overcome telemedicine problems. The Internet of Things (IoT) is a steady progress in technology that allows for the extension of relationships across the internet (IoT), and the development of the capacity to manage information has created more significant chances for the global health sector, notably telemedicine. The advantages of combining telemedicine and AI provided limitless chances for advancement, and this article surveyed the literature on existing work. Information analysis cooperation, intelligent aid diagnosis, healthcare information technology, and patient monitoring are the four most recent developments in this field. This paper also discusses how AI and telemedicine have been used to improve continuous monitoring, as well as the difficulties they are meant to address.</t>
  </si>
  <si>
    <t>978-1-6654-3368-6</t>
  </si>
  <si>
    <t>https://ieeexplore.ieee.org/stamp/stamp.jsp?arnumber=9591941</t>
  </si>
  <si>
    <t>Telemedicine;Artificial Intelligence (AI);Internet of Thing (IoT);Healthcare;Fog Computing</t>
  </si>
  <si>
    <t>Patient monitoring;Telemedicine;Medical services;Organizations;Tools;Internet of Things;Artificial intelligence</t>
  </si>
  <si>
    <t>N. Gupta; K. Anantharaj; K. Subramani</t>
  </si>
  <si>
    <t>Containerized Architecture for Edge Computing in Smart Home : A consistent architecture for model deployment</t>
  </si>
  <si>
    <t>2020 International Conference on Computer Communication and Informatics (ICCCI)</t>
  </si>
  <si>
    <t>2329-7190</t>
  </si>
  <si>
    <t>10.1109/ICCCI48352.2020.9104073</t>
  </si>
  <si>
    <t>Things Platform Samsung Research Institute, Bangalore; Things Platform Samsung Research Institute, Bangalore; Things Platform Samsung Research Institute, Bangalore</t>
  </si>
  <si>
    <t>Network bandwidth and high latency are the main bottlenecks of cloud computing. To combat such scenarios, new paradigm Edge Computing is used. Edge computing shifts the computation of resources from centralized cloud closer to the devices which generates data. Edge Computing reduces the response time, latency and improves the battery life while maintaining data safety and privacy. The distributed architecture of edge computing makes resource management an important aspect of edge computing. In such a resource constrained environment edge devices should be capable of processing all types of request coming from IoT devices. With the advancement in Data science and Machine learning models in different domains, many intelligent services have emerged to provide better user experience. These deep learning models have frequent updates to adapt to new hardware and software requirements. These models also have some installation dependencies and requirement of cross platform compatibility for training and prediction. In home edge environment, these issues are more important due to resource constraint in terms of memory and computing power. Also, due to the availability of extensive list of deep learning models for different service, it is difficult to maintain an environment supporting such models across various devices in the smart home to support all services. To solve this issue in smart home environment, this paper proposes architecture, using containerization techniques to deploy and manage the deep learning models. This paper also explains about the steps to convert the existing model into containers. Minimal space requirement on the edge device, data privacy, low latency along with device independence for deep learning models are prime benefits of the architecture proposed. To test the performance of the architecture, deep learning model was containerized and compared with the actual model deployed in the same edge environment. The experimental results demonstrated the performance is almost similar of the containerized architecture in terms of model execution time and CPU load vs execution time. But it comes with ease of model deployment and cross platform model execution.</t>
  </si>
  <si>
    <t>978-1-7281-4514-3</t>
  </si>
  <si>
    <t>https://ieeexplore.ieee.org/stamp/stamp.jsp?arnumber=9104073</t>
  </si>
  <si>
    <t>Containers;Deep Learning Model;Edge computing;Dockers;Micro service;Distributed Computing;Smart Home</t>
  </si>
  <si>
    <t>Deep learning;Performance evaluation;Adaptation models;Data privacy;Computational modeling;Computer architecture;Smart homes</t>
  </si>
  <si>
    <t>J. Haavisto; M. Arif; L. Lov√©n; T. Lepp√§nen; J. Riekki</t>
  </si>
  <si>
    <t>Open-source RANs in Practice: an Over-The-Air Deployment for 5G MEC</t>
  </si>
  <si>
    <t>2019 European Conference on Networks and Communications (EuCNC)</t>
  </si>
  <si>
    <t>10.1109/EuCNC.2019.8801973</t>
  </si>
  <si>
    <t>Center for Ubiquitous Computing, University of Oulu, Oulu, Finland; Centre for Wireless Communications, University of Oulu, Oulu, Finland; Center for Ubiquitous Computing, University of Oulu, Oulu, Finland; Center for Ubiquitous Computing, University of Oulu, Oulu, Finland; Center for Ubiquitous Computing, University of Oulu, Oulu, Finland</t>
  </si>
  <si>
    <t>Edge computing that leverages cloud resources to the proximity of user devices is seen as the future infrastructure for distributed applications. However, developing and deploying edge applications, that rely on cellular networks, is burdensome. Such network infrastructures are often based on proprietary components, each with unique programming abstractions and interfaces. To facilitate straightforward deployment of edge applications, we introduce open-source software (OSS) based radio access network (RAN) on over-the-air (OTA) commercial spectrum with Development Operations (DevOps) capabilities. OSS allows software modifications and integrations of the system components, e.g., Evolved Packet Core (EPC) and edge hosts running applications, required for new data pipelines and optimizations not addressed in standardization. Such an OSS infrastructure enables further research and prototyping of novel end-user applications in an environment familiar to software engineers without telecommunications background. We evaluated the presented infrastructure with end-to-end (E2E) OTA testing, resulting in 7.5MB/s throughput and latency of 21ms, which shows that the presented infrastructure provides low latency for edge applications.</t>
  </si>
  <si>
    <t>978-1-7281-0546-8</t>
  </si>
  <si>
    <t>https://ieeexplore.ieee.org/stamp/stamp.jsp?arnumber=8801973</t>
  </si>
  <si>
    <t>Y. P. Pratama; D. Kurnia Basuki; S. Sukaridhoto; A. A. Yusuf; H. Yulianus; F. Faruq; F. B. Putra</t>
  </si>
  <si>
    <t>Designing of a Smart Collar for Dairy Cow Behavior Monitoring with Application Monitoring in Microservices and Internet of Things-Based Systems</t>
  </si>
  <si>
    <t>2019 International Electronics Symposium (IES)</t>
  </si>
  <si>
    <t>10.1109/ELECSYM.2019.8901676</t>
  </si>
  <si>
    <t>Department of Informatics and Computer Engineering, Politeknik Elektronika Negeri Surabaya, Surabaya, Indonesia; Department of Informatics and Computer Engineering, Politeknik Elektronika Negeri Surabaya, Surabaya, Indonesia; Department of Informatics and Computer Engineering, Politeknik Elektronika Negeri Surabaya, Surabaya, Indonesia; Department of Informatics and Computer Engineering, Politeknik Elektronika Negeri Surabaya, Surabaya, Indonesia; Department of Informatics and Computer Engineering, Politeknik Elektronika Negeri Surabaya, Surabaya, Indonesia; Department of Informatics and Computer Engineering, Politeknik Elektronika Negeri Surabaya, Surabaya, Indonesia; Department of Informatics and Computer Engineering, Politeknik Elektronika Negeri Surabaya, Surabaya, Indonesia</t>
  </si>
  <si>
    <t>In Indonesia there is still no monitoring system regarding the condition of cattle in real-time, which is currently used is a microchip RFID Ear Tag which is planted in cattle ears but there is still no communication with the Internet of Things to facilitate cattle farmers in terms of monitoring. The current monitoring is still using human power, this is certainly not effective, especially if you have to monitor the condition of large numbers of cows in a large farm. The instrument of this study there are 3 main parts, namely building a (1) collar device can read body temperature (MLX90615), heart rate sensor(MAX30100), and movement in cattle(GY-25), (2) building a base station for local server management, and (3) web applications to visualize data and analytic health conditions. By collecting data from temperature sensors, heart rate sensors, and inertial measurement unit mounted on the neck of a dairy cow is sent via an internet connection. The collected data is stored and classified using machine learning to produce normal, less normal and abnormal health classification outputs. Moreover, based on the axis sensor produce a graphical output to find out the cows are standing, lying down and eating.</t>
  </si>
  <si>
    <t>978-1-7281-4449-8</t>
  </si>
  <si>
    <t>https://ieeexplore.ieee.org/stamp/stamp.jsp?arnumber=8901676</t>
  </si>
  <si>
    <t>Dairy Cows Monitoring;Standing;Lying;Eating;Machine Learning;Internet of Things</t>
  </si>
  <si>
    <t>K. Rao; G. Coviello; W. -P. Hsiung; S. Chakradhar</t>
  </si>
  <si>
    <t>ECO: Edge-Cloud Optimization of 5G applications</t>
  </si>
  <si>
    <t>2021 IEEE/ACM 21st International Symposium on Cluster, Cloud and Internet Computing (CCGrid)</t>
  </si>
  <si>
    <t>10.1109/CCGrid51090.2021.00078</t>
  </si>
  <si>
    <t>NEC Laboratories America, Princeton, NJ; NEC Laboratories America, Princeton, NJ; NEC Laboratories America, San Jose, CA; NEC Laboratories America, Princeton, NJ</t>
  </si>
  <si>
    <t>Centralized cloud computing with 100+ milliseconds network latencies cannot meet the tens of milliseconds to sub-millisecond response times required for emerging 5G applications like autonomous driving, smart manufacturing, tactile internet, and augmented or virtual reality. We describe a new, dynamic runtime that enables such applications to make effective use of a 5G network, computing at the edge of this network, and resources in the centralized cloud, at all times. Our runtime continuously monitors the interaction among the microservices, estimates the data produced and exchanged among the microservices, and uses a novel graph min-cut algorithm to dynamically map the microservices to the edge or the cloud to satisfy application-specific response times. Our runtime also handles temporary network partitions, and maintains data consistency across the distributed fabric by using microservice proxies to reduce WAN bandwidth by an order of magnitude, all in an application-specific manner by leveraging knowledge about the application's functions, latency-critical pipelines and intermediate data. We illustrate the use of our runtime by successfully mapping two complex, representative real-world video analytics applications to the AWS/Verizon Wavelength edge-cloud architecture, and improving application response times by 2x when compared with a static edge-cloud implementation.</t>
  </si>
  <si>
    <t>978-1-7281-9586-5</t>
  </si>
  <si>
    <t>https://ieeexplore.ieee.org/stamp/stamp.jsp?arnumber=9499456</t>
  </si>
  <si>
    <t>edge-cloud optimization;microservices;runtime;AWS Wavelength;5G applications</t>
  </si>
  <si>
    <t>Tactile Internet;Cloud computing;Runtime;5G mobile communication;Distributed databases;Time factors;Optimization</t>
  </si>
  <si>
    <t>M. Moussaoui; E. Bertin; N. Crespi</t>
  </si>
  <si>
    <t>5G shortcomings and Beyond-5G/6G requirements</t>
  </si>
  <si>
    <t>2022 1st International Conference on 6G Networking (6GNet)</t>
  </si>
  <si>
    <t>10.1109/6GNet54646.2022.9830439</t>
  </si>
  <si>
    <t>Orange Innovation, Caen, France; Orange Innovation, Caen, France; IMT, Telecom SudParis, Institut Polytechnique de Paris, Palaiseau, France</t>
  </si>
  <si>
    <t>Although 5G is designed to provide a large range of new digital services such as immersive experiences, connected machines, and Internet of Things (IoT), 5G networks may not be able to completely meet the needs of emerging novel applications, as well as to address the future needs of the business and regulatory ecosystem. Beyond 5G (B5G) and Sixth Generation (6G) wireless systems are expected to overcome 5G network limits and support a broader range of new use cases in this rapidly expanding digital era. In this survey article, we provide a summary of the major 5G networks shortcomings that are discussed in the literature and classify them into a taxonomy of six primary domains. For each of these domains, we also highlight and discuss the research challenges that will be faced in the development of future B5G and 6G networks.</t>
  </si>
  <si>
    <t>978-1-6654-6763-6</t>
  </si>
  <si>
    <t>https://ieeexplore.ieee.org/stamp/stamp.jsp?arnumber=9830439</t>
  </si>
  <si>
    <t>5G;B5G;6G;challenges;limitations;requirements</t>
  </si>
  <si>
    <t>6G mobile communication;Wireless communication;5G mobile communication;Taxonomy;Ecosystems;Internet of Things;Business</t>
  </si>
  <si>
    <t>K. Dolui; C. Kiraly</t>
  </si>
  <si>
    <t>Towards Multi-Container Deployment on IoT Gateways</t>
  </si>
  <si>
    <t>2018 IEEE Global Communications Conference (GLOBECOM)</t>
  </si>
  <si>
    <t>10.1109/GLOCOM.2018.8647688</t>
  </si>
  <si>
    <t>imec-Distrinet Katholieke Universiteit Leuven; OpenIoT Research Unit FBK CREATE-NET</t>
  </si>
  <si>
    <t>Stringent latency requirements in advanced Internet of Things (IoT) applications as well as an increased load on cloud data centers have prompted a move towards a more decentralized approach, bringing storage and processing of IoT data closer to the end-devices through the deployment of multi-purpose IoT gateways. However, the resource constrained nature and diversity of these gateways pose a challenge in developing applications that can be deployed widely. This challenge can be overcome with containerization, a form of lightweight virtualization, bringing support for a wide range of hardware architectures and operating system agnostic deployment of applications on IoT gateways. This paper discusses the architectural aspects of containerization, and studies the suitability of available containerization tools for multi-container deployment in the context of IoT gateways. We present containerization in the context of AGILE, a multi-container and micro-service based open source framework for IoT gateways, developed as part of a Horizon 2020 project. Our study of containerized services to perform common gateway functions like device discovery, data management and cloud integration among others, reveal the advantages of having a containerized environment for IoT gateways with regard to use of base image hierarchies and image layering for in-container and cross-container performance optimizations. We illustrate these results in a set of benchmark experiments in this paper.</t>
  </si>
  <si>
    <t>978-1-5386-4727-1</t>
  </si>
  <si>
    <t>https://ieeexplore.ieee.org/stamp/stamp.jsp?arnumber=8647688</t>
  </si>
  <si>
    <t>Docker;containerization;Internet of Things;gateway;edge computing;cloud computing;fog computing</t>
  </si>
  <si>
    <t>Internet of Things;Logic gates;Containers;Cloud computing;Protocols;Computer architecture;Performance evaluation</t>
  </si>
  <si>
    <t>F. Quin; D. Weyns; O. Gheibi</t>
  </si>
  <si>
    <t>Decentralized Self-Adaptive Systems: A Mapping Study</t>
  </si>
  <si>
    <t>2021 International Symposium on Software Engineering for Adaptive and Self-Managing Systems (SEAMS)</t>
  </si>
  <si>
    <t>2157-2321</t>
  </si>
  <si>
    <t>10.1109/SEAMS51251.2021.00014</t>
  </si>
  <si>
    <t>Department of Computer Science, Katholieke Universiteit Leuven, Belgium; Katholieke Universiteit Leuven, Belgium, Linnaeus University, Sweden; Department of Computer Science, Katholieke Universiteit Leuven, Belgium</t>
  </si>
  <si>
    <t>With the increasing ubiquity and scale of self-adaptive systems, there is a growing need to decentralize the functionality that realizes self-adaptation. Our focus is on architecture-based self-adaptive systems where one or more functions for monitoring, analyzing, planning, and executing are realized by multiple components that coordinate with one another. While some earlier studies have shed light on existing work on the decentralization of self-adaptive systems, there is currently no clear overview of the state of the art in decentralization of self-adaptive systems. Yet, having a precise view on the state of the art in decentralized self-adaptive systems is crucial for researchers to understand existing solutions and drive future research efforts. To address this gap, we conducted a mapping study. The study focused on papers published at 24 important venues that publish research on self-adaptation. The study focused on the motivations for choosing a decentralized approach to realize self-adaptation, the adaptation functions that are decentralized, the realization of the coordination, and the open challenges in the area.</t>
  </si>
  <si>
    <t>978-1-6654-0289-7</t>
  </si>
  <si>
    <t>https://ieeexplore.ieee.org/stamp/stamp.jsp?arnumber=9462034</t>
  </si>
  <si>
    <t>self adaptive systems;decentralization;MAPE K;mapping study</t>
  </si>
  <si>
    <t>Adaptive systems;Planning;Monitoring;Software engineering</t>
  </si>
  <si>
    <t>B. R. Ferrer; W. M. Mohammed; E. Chen; J. L. M. Lastra</t>
  </si>
  <si>
    <t>Connecting web-based IoT devices to a cloud-based manufacturing platform</t>
  </si>
  <si>
    <t>IECON 2017 - 43rd Annual Conference of the IEEE Industrial Electronics Society</t>
  </si>
  <si>
    <t>10.1109/IECON.2017.8217516</t>
  </si>
  <si>
    <t>Tampere University of Technology, Tampere, Finland; Tampere University of Technology, Tampere, Finland; Tampere University of Technology, Tampere, Finland; Tampere University of Technology, Tampere, Finland</t>
  </si>
  <si>
    <t>The Internet of Things (IoT) considers interconnected things e.g., devices that consumes web services through the internet. Such kind of devices may vary from smart phones, smart TVs, medical devices or industrial devices. Thanks to the development of the ICT field, many standards supports the existence of the IoT devices: HTTP (Hypertext Transferring Protocol), MQTT (Message Queue Telemetry Transport), and EtherCAT, among others. The challenge is to allow these devices to communicate with cloud applications wherein the mismatch of communication protocols may occur. In this context, this research work presents an approach for connecting industrial Remote Terminal Units (RTUs) with the Cloud Collaborative Manufacturing Networks (C2NET) project cloud-based platform for publishing the factory shopfloor data. In this manner, the C2NET platform exploits data that is generated by industrial equipment for further actions, such as the optimization of production plans. The presented approach is tested within the deployment of web-service enabled controllers in a real industrial case known as the FASTory line.</t>
  </si>
  <si>
    <t>978-1-5386-1127-2</t>
  </si>
  <si>
    <t>https://ieeexplore.ieee.org/stamp/stamp.jsp?arnumber=8217516</t>
  </si>
  <si>
    <t>Industry 4.0;cloud-based platform;internet of things;web services;cyber-physical systems</t>
  </si>
  <si>
    <t>Protocols;Cloud computing;Manufacturing;Collaboration;Standards;Production facilities;Industries</t>
  </si>
  <si>
    <t>F. Kelbert; F. Gregor; R. Pires; S. K√∂psell; M. Pasin; A. Havet; V. Schiavoni; P. Felber; C. Fetzer; P. Pietzuch</t>
  </si>
  <si>
    <t>SecureCloud: Secure big data processing in untrusted clouds</t>
  </si>
  <si>
    <t>Design, Automation &amp; Test in Europe Conference &amp; Exhibition (DATE), 2017</t>
  </si>
  <si>
    <t>1558-1101</t>
  </si>
  <si>
    <t>10.23919/DATE.2017.7926999</t>
  </si>
  <si>
    <t>Imperial College, London, United Kingdom; TU Dresden, Germany; University of Neuch√¢tel, Switzerland; TU Dresden, Germany; University of Neuch√¢tel, Switzerland; University of Neuch√¢tel, Switzerland; University of Neuch√¢tel, Switzerland; University of Neuch√¢tel, Switzerland; TU Dresden, Germany; Imperial College, London, United Kingdom</t>
  </si>
  <si>
    <t>We present the SecureCloud EU Horizon 2020 project, whose goal is to enable new big data applications that use sensitive data in the cloud without compromising data security and privacy. For this, SecureCloud designs and develops a layered architecture that allows for (i) the secure creation and deployment of secure micro-services; (ii) the secure integration of individual micro-services to full-fledged big data applications; and (iii) the secure execution of these applications within untrusted cloud environments. To provide security guarantees, SecureCloud leverages novel security mechanisms present in recent commodity CPUs, in particular, Intel's Software Guard Extensions (SGX). SecureCloud applies this architecture to big data applications in the context of smart grids. We describe the SecureCloud approach, initial results, and considered use cases.</t>
  </si>
  <si>
    <t>978-3-9815370-8-6</t>
  </si>
  <si>
    <t>https://ieeexplore.ieee.org/stamp/stamp.jsp?arnumber=7926999</t>
  </si>
  <si>
    <t>Containers;Cloud computing;Hardware;Program processors;Encryption</t>
  </si>
  <si>
    <t>J. Islam; E. Harjula; T. Kumar; P. Karhula; M. Ylianttila</t>
  </si>
  <si>
    <t>Docker Enabled Virtualized Nanoservices for Local IoT Edge Networks</t>
  </si>
  <si>
    <t>2019 IEEE Conference on Standards for Communications and Networking (CSCN)</t>
  </si>
  <si>
    <t>2644-3252</t>
  </si>
  <si>
    <t>10.1109/CSCN.2019.8931321</t>
  </si>
  <si>
    <t>Centre for Wireless Communication, University of Oulu, Finland; Centre for Wireless Communication, University of Oulu, Finland; Centre for Wireless Communication, University of Oulu, Finland; VTT Technical Research Centre of Finland; Centre for Wireless Communication, University of Oulu, Finland</t>
  </si>
  <si>
    <t>The following topics are dealt with: 3G mobile communication; 5G mobile communication; telecommunication traffic; Internet of Things; quality of service; telecommunication network reliability; virtualisation; telecommunication security; Long Term Evolution; cellular radio.</t>
  </si>
  <si>
    <t>978-1-7281-0864-3</t>
  </si>
  <si>
    <t>https://ieeexplore.ieee.org/stamp/stamp.jsp?arnumber=8931321</t>
  </si>
  <si>
    <t>Edge Computing;IoT;Microservices;Nanoservices;Virtualization;Orchestration</t>
  </si>
  <si>
    <t>Internet of Things;Containers;Python;Computer architecture;Cloud computing;Economic indicators;Servers</t>
  </si>
  <si>
    <t>G. Urgese; P. Azzoni; J. v. Deventer; J. Delsing; E. Macii</t>
  </si>
  <si>
    <t>An Engineering Process model for managing a digitalised life-cycle of products in the Industry 4.0</t>
  </si>
  <si>
    <t>NOMS 2020 - 2020 IEEE/IFIP Network Operations and Management Symposium</t>
  </si>
  <si>
    <t>2374-9709</t>
  </si>
  <si>
    <t>10.1109/NOMS47738.2020.9110365</t>
  </si>
  <si>
    <t>Politecnico di Torino, Torino (TO), ITALY; EUROTECH S.p.A., Amaro (UD), ITALY; Lule√• University of Technology, Lule√•, SWEDEN; Lule√• University of Technology, Lule√•, SWEDEN; Politecnico di Torino, Torino (TO), ITALY</t>
  </si>
  <si>
    <t>The Internet of Things (IoT), and more specifically the industrial IoT, is revolutionising industry. This technology has catalyzed the fourth industrial revolution and inspired movements such as Industry 4.0, the Industrial Internet Consortium and Society 5.0. Morphing an industrial process or assembly line to aggregate Internet-connected devices and systems does not complete the picture. The concept penetrates all aspects of the engineering process (EP) which encompasses the full life-cycle of the product/solution. Phases of the EP traditionally tended to be sequential but, with the IoT, can now evolve and influence other phases throughout the product/solution life-cycle. The EU-funded Arrowhead Tools project aims to promote a service-oriented architecture (SOA) to allow tools within each phase of the engineering process to interact with each other. This paper, applies the proposed EP model to a real value chain composed of multiple stakeholders adopting different EPs for the life-cycle management of a Smart Boiler System.</t>
  </si>
  <si>
    <t>978-1-7281-4973-8</t>
  </si>
  <si>
    <t>https://ieeexplore.ieee.org/stamp/stamp.jsp?arnumber=9110365</t>
  </si>
  <si>
    <t>Industries;Production;Ontologies;Maintenance engineering;Boilers;Fourth Industrial Revolution;Service-oriented architecture</t>
  </si>
  <si>
    <t>A. Bhattacharjee; Y. Barve; S. Khare; S. Bao; Z. Kang; A. Gokhale; T. Damiano</t>
  </si>
  <si>
    <t>STRATUM: A BigData-as-a-Service for Lifecycle Management of IoT Analytics Applications</t>
  </si>
  <si>
    <t>2019 IEEE International Conference on Big Data (Big Data)</t>
  </si>
  <si>
    <t>10.1109/BigData47090.2019.9006518</t>
  </si>
  <si>
    <t>EECS Dept, Vanderbilt University, Nashville, TN, USA; EECS Dept, Vanderbilt University, Nashville, TN, USA; EECS Dept, Vanderbilt University, Nashville, TN, USA; EECS Dept, Vanderbilt University, Nashville, TN, USA; EECS Dept, Vanderbilt University, Nashville, TN, USA; EECS Dept, Vanderbilt University, Nashville, TN, USA; Lockheed Martin Advanced Technology Labs, Cherry Hill, NJ, USA</t>
  </si>
  <si>
    <t>Smart Internet of Things (IoT) applications require real-time and robust predictive analytics, which are based on Machine Learning (ML) models. Building ML models from Big Data is not only time-consuming, but developers often lack the needed expertise for feature engineering, parameter tuning, and model selection. The proliferation of ML libraries and frameworks, data ingestion tools, stream and batch processing engines, visualization techniques, and the range of available hardware platforms further exacerbates the system design, rapid development, and deployment problems. Finally, resource constraints of IoT require that the execution of the analytics engine be distributed across the cloud-edge spectrum. To overcome these daunting challenges, we present Stratum, which is an event-driven Big Data-as-a-Service offering for IoT analytics lifecycle management. Stratum provides users with an intuitive, declarative mechanism based on the principles of model-driven engineering to specify the application and infrastructure requirements. It automates the deployment via generative programming principles. This paper highlights the problems that Stratum resolves, demonstrating its capabilities using real-world case studies.</t>
  </si>
  <si>
    <t>978-1-7281-0858-2</t>
  </si>
  <si>
    <t>https://ieeexplore.ieee.org/stamp/stamp.jsp?arnumber=9006518</t>
  </si>
  <si>
    <t>AI/ML platform;Big Data Analytics;IoT;Cloud/Edge Resource Management;Deployment;Automation;Domain-Specific Modeling</t>
  </si>
  <si>
    <t>Data models;Analytical models;Computational modeling;Pipelines;Cloud computing;Task analysis;Training</t>
  </si>
  <si>
    <t>S. Ilager; R. Muralidhar; R. Buyya</t>
  </si>
  <si>
    <t>Artificial Intelligence (AI)-Centric Management of Resources in Modern Distributed Computing Systems</t>
  </si>
  <si>
    <t>2020 IEEE Cloud Summit</t>
  </si>
  <si>
    <t>10.1109/IEEECloudSummit48914.2020.00007</t>
  </si>
  <si>
    <t>Cloud Computing and Distributed Systems (CLOUDS) Laboratory, School of Computing and Information Systems, The University of Melbourne, Australia; Amazon Web Services (AWS), Australia; Cloud Computing and Distributed Systems (CLOUDS) Laboratory, School of Computing and Information Systems, The University of Melbourne, Australia</t>
  </si>
  <si>
    <t>Contemporary Distributed Computing Systems (DCS) such as Cloud Data Centers are large scale, complex, heterogeneous, and distributed across multiple networks and geographical boundaries. On the other hand, the Internet of Things (IoT)-driven applications are producing a huge amount of data that requires real-time processing and fast response. Managing these resources efficiently to provide reliable services to end-users or applications is a challenging task. The existing Resource Management Systems (RMS) rely on either static or heuristic solutions inadequate for such composite and dynamic systems. The advent of Artificial Intelligence (AI) due to data availability and processing capabilities manifested into possibilities of exploring data-driven solutions in RMS tasks that are adaptive, accurate, and efficient. In this regard, this paper aims to draw the motivations and necessities for data-driven solutions in resource management. It identifies the challenges associated with it and outlines the potential future research directions detailing where and how to apply the data-driven techniques in the different RMS tasks. Finally, it provides a conceptual data-driven RMS model for DCS and presents the two real-time use cases (GPU frequency scaling and data centre resource management from Google Cloud and Microsoft Azure) demonstrating AI-centric approaches' feasibility.</t>
  </si>
  <si>
    <t>978-1-7281-8266-7</t>
  </si>
  <si>
    <t>https://ieeexplore.ieee.org/stamp/stamp.jsp?arnumber=9283696</t>
  </si>
  <si>
    <t>Distributed Computing;Resource Management;AI Techniques;Edge Computing;Cloud Computing</t>
  </si>
  <si>
    <t>Data centers;Cloud computing;Computational modeling;Real-time systems;Resource management;Artificial intelligence;Task analysis</t>
  </si>
  <si>
    <t>D. Chemodanov; C. Qu; O. Opeoluwa; S. Wang; P. Calyam</t>
  </si>
  <si>
    <t>Policy-Based Function-Centric Computation Offloading for Real-Time Drone Video Analytics</t>
  </si>
  <si>
    <t>2019 IEEE International Symposium on Local and Metropolitan Area Networks (LANMAN)</t>
  </si>
  <si>
    <t>1944-0375</t>
  </si>
  <si>
    <t>10.1109/LANMAN.2019.8847112</t>
  </si>
  <si>
    <t>University of Missouri-Columbia, USA; University of Missouri-Columbia, USA; University of Missouri-Columbia, USA; University of Missouri-Columbia, USA; University of Missouri-Columbia, USA</t>
  </si>
  <si>
    <t>Computer vision applications are increasingly used on mobile Internet-of-Things (IoT) devices such as drones. They provide real-time support in disaster/incident response or crowd protest management scenarios by e.g., counting human/vehicles, or recognizing faces/objects. However, deployment of such applications for real-time video analytics at geo-distributed areas presents new challenges in processing intensive media-rich data to meet users' Quality of Experience (QoE) expectations, due to limited computing power on the devices. In this paper, we present a novel policy-based decision computation offloading scheme that not only facilitates trade-offs in performance vs. cost, but also aids in offloading decision to either an Edge, Cloud or Function-Centric Computing resource architecture for real-time video analytics. To evaluate our offloading scheme, we decompose an existing computer vision pipeline for object/motion detection and object classification into a chain of container-based micro-service functions that communicate via a RESTful API. We evaluate the performance of our scheme on a realistic geo-distributed edge/core cloud testbed using different policies and computing architectures. Results show how our scheme utilizes state-of-the-art computation offloading techniques to Pareto-optimally trade-off performance (i.e., frames-per-second) vs. cost factors (using Amazon Web Services Lambda pricing) during real-time drone video analytics, and thus fosters effective environmental situational awareness.</t>
  </si>
  <si>
    <t>978-1-7281-1434-7</t>
  </si>
  <si>
    <t>https://ieeexplore.ieee.org/stamp/stamp.jsp?arnumber=8847112</t>
  </si>
  <si>
    <t>Cloud/fog Computing;function-centric computing;drone video analytics;computation offloading policies.</t>
  </si>
  <si>
    <t>Drones;Streaming media;Real-time systems;Cloud computing;Servers;Computer architecture;Pipelines</t>
  </si>
  <si>
    <t>T. Jeong; J. Chung; J. W. -K. Hong; S. Ha</t>
  </si>
  <si>
    <t>Towards a distributed computing framework for Fog</t>
  </si>
  <si>
    <t>2017 IEEE Fog World Congress (FWC)</t>
  </si>
  <si>
    <t>10.1109/FWC.2017.8368528</t>
  </si>
  <si>
    <t>POSTECH, Korea; POSTECH, Korea; Princeton University, USA; University of Colorado, Boulder, USA</t>
  </si>
  <si>
    <t>Fog computing paradigm has introduced the concept of processing data near the data source. Unlike the cloud, fog computing includes devices with highly varying resources such as heterogeneous computing power, battery, bandwidth, delay, and mobility. The existing distributed computing frameworks, however, have mainly focused on the cloud environment where resources are highly consolidated and stable. This paper presents Crystal, a distributed computing framework for fog. An application consisting of one or multiple Crystal instances offers distributed processing and computing while taking advantage of location transparency, self-healing, auto-scaling and mobility support. Our prototype implementation of MapReduce on Crystal shows benefits of fog computing ‚Äî fault-tolerant distributed processing over heterogeneous, unreliable, fog nodes while reducing overall latency, thanks to the framework enabling processing close to the data source.</t>
  </si>
  <si>
    <t>978-1-5386-3666-4</t>
  </si>
  <si>
    <t>https://ieeexplore.ieee.org/stamp/stamp.jsp?arnumber=8368528</t>
  </si>
  <si>
    <t>Crystals;Peer-to-peer computing;Cloud computing;Edge computing;Distributed databases;Programming</t>
  </si>
  <si>
    <t>Y. Zhichun; S. Yu; Y. Fan; L. Yang; S. Lei; Y. Fangbin</t>
  </si>
  <si>
    <t>Topology identification method of low voltage distribution network based on data association analysis</t>
  </si>
  <si>
    <t>2020 5th Asia Conference on Power and Electrical Engineering (ACPEE)</t>
  </si>
  <si>
    <t>10.1109/ACPEE48638.2020.9136335</t>
  </si>
  <si>
    <t>Electric Power Research Institute, State Grid Hubei Electric Power Co.,Ltd, Wuhan, China; Electric Power Research Institute, State Grid Hubei Electric Power Co.,Ltd, Wuhan, China; Electric Power Research Institute, State Grid Hubei Electric Power Co.,Ltd, Wuhan, China; Electric Power Research Institute, State Grid Hubei Electric Power Co.,Ltd, Wuhan, China; Electric Power Research Institute, State Grid Hubei Electric Power Co.,Ltd, Wuhan, China; Electric Power Research Institute, State Grid Hubei Electric Power Co.,Ltd, Wuhan, China</t>
  </si>
  <si>
    <t>This paper introduces a topology identification method of low-voltage distribution network based on data association analysis. The low-voltage distribution network to be identified is divided into the single distribution transformer power off station areas, multiple distribution transformer station areas caused by 10kV distribution line power outage and the distribution transformer areas without power interruption based on low-voltage distribution network blackout event, restoration power on event and geographic location information. In each type of station area, Tanimoto similarity coefficient is used to calculate the correlation and non-correlation between distribution transformer, branch box, meter box and smart meter in each group, so as to achieve the topology identification of the low-voltage distribution network. And then the identified topology can be verified by combining the topology verification rules of the same distribution transformer station area has the same of outage and live state, outage duration, geographical location, power supply radius and so on. Through the actual case, it is proved that the method proposed in this paper can solve the problems of large amount of calculation, inaccuracy of calculation results, and inability to verify based on the existing big data mining methods. It realizes the efficient and accurate identification of distribution transformer substation topology, and improves the information level and data quality of distribution network.</t>
  </si>
  <si>
    <t>978-1-7281-5281-3</t>
  </si>
  <si>
    <t>https://ieeexplore.ieee.org/stamp/stamp.jsp?arnumber=9136335</t>
  </si>
  <si>
    <t>Low voltage distribution network;Internet of things;topology identification;association analysis;topology verification</t>
  </si>
  <si>
    <t>Meters;Low voltage;Substations;Network topology;Power supplies;Distribution networks;Transformers</t>
  </si>
  <si>
    <t>S. Parsaeefard; I. Tabrizian; A. Leon-Garcia</t>
  </si>
  <si>
    <t>Artificial Intelligence as a Service (AI-aaS) on Software-Defined Infrastructure</t>
  </si>
  <si>
    <t>10.1109/CSCN.2019.8931372</t>
  </si>
  <si>
    <t>NA; NA; NA</t>
  </si>
  <si>
    <t>This paper investigates a paradigm for offering artificial intelligence as a service (AI-aaS) on software-defined infrastructures (SDIs). The increasing complexity of networking and computing infrastructures is already driving the introduction of automation in networking and cloud computing management systems. Here we consider how these automation mechanisms can be leveraged to offer AI-aaS. Use cases for AI-aaS are easily found in addressing smart applications in sectors such as transportation, manufacturing, energy, water, air quality, and emissions. We propose an architectural scheme based on SDIs where each AI-aaS application is comprised of a monitoring, analysis, policy, execution plus knowledge (MAPE-K) loop (MKL). Each application is composed as one or more specific service chains embedded in SDI, some of which will include a Machine Learning (ML) pipeline. Our model includes a new training plane and an AI-aaS plane to deal with the model-development and operational phases of AI applications. We also consider the role of an ML/MKL sandbox in ensuring coherency and consistency in the operation of multiple parallel MKL loops.</t>
  </si>
  <si>
    <t>https://ieeexplore.ieee.org/stamp/stamp.jsp?arnumber=8931372</t>
  </si>
  <si>
    <t>Artificial intelligence;Engines;Quality of service;Monitoring;Cloud computing;Smart cities;Robot sensing systems</t>
  </si>
  <si>
    <t>M. Camilli; C. Bellettini; A. Gargantini; P. Scandurra</t>
  </si>
  <si>
    <t>Online Model-Based Testing under Uncertainty</t>
  </si>
  <si>
    <t>2018 IEEE 29th International Symposium on Software Reliability Engineering (ISSRE)</t>
  </si>
  <si>
    <t>2332-6549</t>
  </si>
  <si>
    <t>10.1109/ISSRE.2018.00015</t>
  </si>
  <si>
    <t>Dept. of Computer Science, Universit√† degli Studi di Milano, Milano, Italy; Dept. of Computer Science, Universit√† degli Studi di Milano, Milano, Italy; Dept. of Management, Information and Production Engineering, Universit√† degli Studi di Bergamo, Bergamo, Italy; Dept. of Management, Information and Production Engineering, Universit√† degli Studi di Bergamo, Bergamo, Italy</t>
  </si>
  <si>
    <t>Modern software systems are required to operate in a highly uncertain and changing environment. They have to control the satisfaction of their requirements at run-time, and possibly adapt and cope with situations that have not been completely addressed at design-time. Software engineering methods and techniques are, more than ever, forced to deal with change and uncertainty (lack of knowledge) explicitly. For tackling the challenge posed by uncertainty in delivering more reliable systems, this paper proposes a novel online Model-based Testing technique that complements classic test case generation based on pseudo-random sampling strategies with an uncertainty-aware sampling strategy. To deal with system uncertainty during testing, the proposed strategy builds on an Inverse Uncertainty Quantification approach that is related to the discrepancy between the measured data at run-time (while the system executes) and a Markov Decision Process model describing the behavior of the system under test. To this purpose, a conformance game approach is adopted in which tests feed a Bayesian inference calibrator that continuously learns from test data to tune the system model and the system itself. A comparative evaluation between the proposed uncertainty-aware sampling policy and classical pseudo-random sampling policies is also presented using the Tele Assistance System running example, showing the differences in achieved accuracy and efficiency.</t>
  </si>
  <si>
    <t>978-1-5386-8321-7</t>
  </si>
  <si>
    <t>https://ieeexplore.ieee.org/stamp/stamp.jsp?arnumber=8539067</t>
  </si>
  <si>
    <t>Uncertainty quantification;Reliability under Uncertainty;Bayesian Calibration;Online Model-based Testing</t>
  </si>
  <si>
    <t>Uncertainty;Bayes methods;Probabilistic logic;Testing;Markov processes;Software reliability</t>
  </si>
  <si>
    <t>K. Kaur; S. Garg; G. Kaddoum; F. Gagnon; D. N. K. Jayakody</t>
  </si>
  <si>
    <t>EnLoB: Energy and Load Balancing-Driven Container Placement Strategy for Data Centers</t>
  </si>
  <si>
    <t>2019 IEEE Globecom Workshops (GC Wkshps)</t>
  </si>
  <si>
    <t>10.1109/GCWkshps45667.2019.9024592</t>
  </si>
  <si>
    <t>Electrical Engineering Department, √âcole de technologie sup√©rieure, Canada; Electrical Engineering Department, √âcole de technologie sup√©rieure, Canada; Electrical Engineering Department, √âcole de technologie sup√©rieure, Canada; Electrical Engineering Department, Ecole de technologie superieure, Montreal, QC, Canada; School of Computer Science and Robotics, National Research Tomsk Polytechnic University, Russia</t>
  </si>
  <si>
    <t>Cloud data centers (DCs) can be aptly regarded as the epicenter of today's business and economy; which support seamless data processing, analysis, and storage. However, various studies advocate that the existing DCs are often underutilized. To be precise, almost 30% of the installed DCs in the United States are comatose. In addition to this, the existing DC architecture leads to extensive energy utilization, which severely hampers the environment and places a severe risk on the power sector. Thus, it is highly essential to reduce DC's energy utilization through efficient resource consolidation approaches. In this work, we investigate the joint impact of resource consolidation and load balancing on cutting down the energy utilization indices of the cloud DCs. In this vein, we formulate a multi-objective optimization problem (MOOP) for container placement across heterogeneous infrastructure, primarily with the intent to minimize the overall energy consumption and balance the load amongst the operating hosts. However, due to the hardness of the underlying problem and its infeasibility to furnish optimal solutions in polynomial time, we designed an online solution based on the incremental exploration of the solution space to map containers on the available array of hosts such that the objectives mentioned above can be attained. Finally, we evaluated the performance of the proposed algorithm in contrast to an existing algorithm on real-time workload traces obtained from PlanetLab. The obtained results confirm the superior performance of the proposed algorithm relative state-of-the-art.</t>
  </si>
  <si>
    <t>978-1-7281-0960-2</t>
  </si>
  <si>
    <t>https://ieeexplore.ieee.org/stamp/stamp.jsp?arnumber=9024592</t>
  </si>
  <si>
    <t>Containers;Energy consumption;Mathematical model;Load management;Bandwidth;Linear programming;Optimization</t>
  </si>
  <si>
    <t>A. F. R. Trajano; A. A. M. de Sousa; E. B. Rodrigues; J. N. de Souza; A. de Castro Callado; E. F. Coutinho</t>
  </si>
  <si>
    <t>Leveraging Mobile Edge Computing on Smart Grids Using LTE Cellular Networks</t>
  </si>
  <si>
    <t>2019 IEEE Symposium on Computers and Communications (ISCC)</t>
  </si>
  <si>
    <t>2642-7389</t>
  </si>
  <si>
    <t>10.1109/ISCC47284.2019.8969784</t>
  </si>
  <si>
    <t>Instituto Atl√¢ntico, Fortaleza, Brazil; Instituto Atl√¢ntico, Fortaleza, Brazil; Instituto Atl√¢ntico, Fortaleza, Brazil; Instituto Atl√¢ntico, Fortaleza, Brazil; Instituto Atl√¢ntico, Fortaleza, Brazil; Instituto Atl√¢ntico, Fortaleza, Brazil</t>
  </si>
  <si>
    <t>Given the advance of the Smart Grid technology, the electrical grid is now in a process of transformation never seen in history. This new grid model allows customers and providers to generate and manage electrical power efficiently. To support such transformation, a key element of the model is the communication network responsible for delivering measurement data from sensors on the grid to the applications that analyze and adapt distribution according to demands. This work proposes and evaluates a system architecture that copes with reliability and latency demands that are of much importance for a successful Smart Grid deployment, also considering the internal design of distributed applications in the context of Smart Grids. The architecture adopts a Mobile Edge Computing based infrastructure that is suitable for 4G and 5G mobile cellular networks. Experiments made on NS-3 shows that the proposed system architecture is capable of handling a realistic number of smart meters while providing low latency and network reliability, supporting many use cases of a Smart Grid deployment.</t>
  </si>
  <si>
    <t>978-1-7281-2999-0</t>
  </si>
  <si>
    <t>https://ieeexplore.ieee.org/stamp/stamp.jsp?arnumber=8969784</t>
  </si>
  <si>
    <t>Smart meters;Reliability;Internet of Things;Edge computing;Cellular networks;Servers;Smart grids</t>
  </si>
  <si>
    <t>S. Paul; T. V. Sarath</t>
  </si>
  <si>
    <t>End to End IoT Based Hazard Monitoring System</t>
  </si>
  <si>
    <t>2018 International Conference on Inventive Research in Computing Applications (ICIRCA)</t>
  </si>
  <si>
    <t>10.1109/ICIRCA.2018.8597430</t>
  </si>
  <si>
    <t>Department of Electrical and Electronics Engineering, Amrita University, India; Department of Electrical and Electronics Engineering, Amrita University, India</t>
  </si>
  <si>
    <t>One of the term that can be heard lot in the networking world these days is IoT or Internet of Things. The internet of things is changing much about the world people live in from the way they drive to how they make purchases and even how they get energy for their homes and many more. On the other hand, incidents due to industrial hazard are common leading to loss of life, health or property. So an attempt is made to develop an intelligent system for industrial hazard monitoring using IoT which will be useful to the society by reducing the effects of hazard to a great extent. So keeping this in mind an IoT based hazard monitoring system is implemented using raspberry-pi as the gateway node which receives the data from a heterogeneous network to monitor the readings of different nodes. Sensor data is stored into a MySQL database using MQTT as the messaging protocol. Also focus is laid on periodically collecting the data which can be accessed by the end users using a dynamic web page with an option for graphical view of the data. Moreover, a notification system using AWS IoT platform is implemented for alert situations. Furthermore, interoperability among the end nodes is taken into account by proposing a method which will remove the dependency on a particular vendor along with its own data format.</t>
  </si>
  <si>
    <t>978-1-5386-2456-2</t>
  </si>
  <si>
    <t>https://ieeexplore.ieee.org/stamp/stamp.jsp?arnumber=8597430</t>
  </si>
  <si>
    <t>IoT (Internet of Things);Industrial hazard;Raspberry pi;nRF24L01;XBee;Interoperability;MQTT;AWS IoT</t>
  </si>
  <si>
    <t>Hazards;Protocols;Monitoring;Logic gates;Cloud computing;Interoperability;Internet of Things</t>
  </si>
  <si>
    <t>M. Antonini; M. Pincheira; M. Vecchio; F. Antonelli</t>
  </si>
  <si>
    <t>Tiny-MLOps: a framework for orchestrating ML applications at the far edge of IoT systems</t>
  </si>
  <si>
    <t>2022 IEEE International Conference on Evolving and Adaptive Intelligent Systems (EAIS)</t>
  </si>
  <si>
    <t>2473-4691</t>
  </si>
  <si>
    <t>10.1109/EAIS51927.2022.9787703</t>
  </si>
  <si>
    <t>OpenIoT Research Unit, DI Center, Fondazione Bruno Kessler, Trento, Italy; OpenIoT Research Unit, DI Center, Fondazione Bruno Kessler, Trento, Italy; OpenIoT Research Unit, DI Center, Fondazione Bruno Kessler, Trento, Italy; OpenIoT Research Unit, DI Center, Fondazione Bruno Kessler, Trento, Italy</t>
  </si>
  <si>
    <t>Empowering the Internet of Things devices with Artificial Intelligence capabilities can transform all vertical applications domains within the next few years. Current approaches favor hosting Machine Learning (ML) models on Linux-based single-board computers. Nevertheless, these devices‚Äô cost and energy requirements limit the possible application scenarios. Conversely, today‚Äôs available 32-bit microcontrollers have much lower costs and only need a few milliwatts to operate, making them an energy-efficient and cost-effective alternative. However, the latter devices, usually referred to as far edge devices, have stringent resource constraints and host non-Linux-based embedded real-time operating systems. Therefore, orchestrating such devices executing portions of ML applications represents a major challenge with current tools and frameworks. This paper formally introduces the Tiny-MLOps framework as the specialization of standard ML orchestration practices, including far edge devices in the loop. To this aim, we will tailor each phase of the classical ML orchestration loop to the reduced resources available onboard typical IoT devices. We will rely on the proposed framework to deliver adaptation and evolving capabilities to resource-constrained IoT sensors mounted on an industrial rotary machine to detect anomalies. As a feasibility study, We will show how to programmatically re-deploy ML-based anomaly detection models to far edge devices. Our preliminary experiments measuring the system performance in terms of deployment, loading, and inference latency of the ML models will corroborate the usefulness of our proposal.</t>
  </si>
  <si>
    <t>978-1-6654-3706-6</t>
  </si>
  <si>
    <t xml:space="preserve">Provincia Autonoma di Trento; </t>
  </si>
  <si>
    <t>https://ieeexplore.ieee.org/stamp/stamp.jsp?arnumber=9787703</t>
  </si>
  <si>
    <t>Adaptation models;Costs;Image edge detection;System performance;Transforms;Real-time systems;Sensors</t>
  </si>
  <si>
    <t>M. Symeonides; D. Trihinas; Z. Georgiou; G. Pallis; M. Dikaiakos</t>
  </si>
  <si>
    <t>Query-Driven Descriptive Analytics for IoT and Edge Computing</t>
  </si>
  <si>
    <t>2019 IEEE International Conference on Cloud Engineering (IC2E)</t>
  </si>
  <si>
    <t>10.1109/IC2E.2019.00-12</t>
  </si>
  <si>
    <t>Department of Computer Science, University of Cyprus; Department of Computer Science, University of Cyprus; Department of Computer Science, University of Cyprus; Department of Computer Science, University of Cyprus; Department of Computer Science, University of Cyprus</t>
  </si>
  <si>
    <t>With consumers embracing the prevalence of ubiquitously connected smart devices, Edge Computing is emerging as a principal computing paradigm for latency-sensitive and in-proximity services. However, as the plethora of data generated across connected devices continues to vastly increase, the need to query the "edge" and derive in-time analytic insights is more evident than ever. This paper introduces our vision for a rich and declarative query model abstraction particularly tailored for the unique characteristics of Edge Computing and presents a prototype framework that realizes our vision. Towards this, the declarative query model enables users to express high-level and descriptive analytic insights, while our framework compiles, optimizes and executes the query plan decoupled from the programming model of the underlying data processing engine. Afterwards, we showcase a number of potential use-cases which stand to benefit from the realization of query-driven descriptive analytics for edge computing. We conclude by elaborating on the open challenges that still must be addressed to realize our vision and potential research opportunities for the academic community to further advance the current State-of-the-Art.</t>
  </si>
  <si>
    <t>978-1-7281-0218-4</t>
  </si>
  <si>
    <t>https://ieeexplore.ieee.org/stamp/stamp.jsp?arnumber=8790179</t>
  </si>
  <si>
    <t>Edge Computing, Cloud Computing, Big Data, Stream Processing, Query Execution;Edge Computing;Cloud Computing;Big Data;Stream Processing;Query Execution</t>
  </si>
  <si>
    <t>Measurement;Computational modeling;Internet of Things;Optimization;Edge computing;Engines;Analytical models</t>
  </si>
  <si>
    <t>J. Lv; M. Wei; Y. Yu</t>
  </si>
  <si>
    <t>A Container Scheduling Strategy Based on Machine Learning in Microservice Architecture</t>
  </si>
  <si>
    <t>2019 IEEE International Conference on Services Computing (SCC)</t>
  </si>
  <si>
    <t>2474-2473</t>
  </si>
  <si>
    <t>10.1109/SCC.2019.00023</t>
  </si>
  <si>
    <t>Sun Yat-sen University, Guangzhou, China; Sun Yat-sen University, Guangzhou, China; Sun Yat-sen University, Guangzhou, China</t>
  </si>
  <si>
    <t>Good progress has been made in the microservice technology in recent years due to the development of docker container technology. Although microservice architecture can adjust the number of containers, there is a new problem. That is according to the current load pressure of services, how to adjust the number of containers accurately and quickly in real time, especially when the load pressure of services suddenly increases or decreases. In order to deal with the problem, a container scheduling strategy based on machine learning is proposed in this paper. The paper uses the data set obtained by our experiments to train random forest regression model in advance to predict the required containers of services in the next time window, according to the current load pressure of services. Large amounts of data has been collected to make the data set for the experiment. Based on the data set, random forest regression model has been trained in advance to predict the number of required containers of services in next time window. When adjusting the number of containers to balance load pressure of services, the proposed algorithm saves 50% of the time compared with traditional algorithms. In addition, the accuracy is 10%~38% higher compared with other machine learning algorithms.</t>
  </si>
  <si>
    <t>978-1-7281-2720-0</t>
  </si>
  <si>
    <t>https://ieeexplore.ieee.org/stamp/stamp.jsp?arnumber=8813951</t>
  </si>
  <si>
    <t>microservices;docker container;machine learning;random forest regression;scheduling strategy</t>
  </si>
  <si>
    <t>M. Camelo; L. Cominardi; M. Gramaglia; M. Fiore; A. Garcia-Saavedra; L. Fuentes; D. De Vleeschauwer; P. Soto-Arenas; N. Slamnik-Krijestorac; J. Ballesteros; C. -Y. Chang; G. Baldoni; J. M. Marquez-Barja; P. Hellinckx; S. Latr√©</t>
  </si>
  <si>
    <t>Requirements and Specifications for the Orchestration of Network Intelligence in 6G</t>
  </si>
  <si>
    <t>2022 IEEE 19th Annual Consumer Communications &amp; Networking Conference (CCNC)</t>
  </si>
  <si>
    <t>2331-9860</t>
  </si>
  <si>
    <t>10.1109/CCNC49033.2022.9700729</t>
  </si>
  <si>
    <t>IDLab., University of Antwerp - imec; ADLINK Technology; University Carlos III of Madrid; IMDEA Networks Institute; NEC Laboratories Europe; Universidad de Mailaga; Nokia Bell Labs; IDLab., University of Antwerp - imec; IDLab., University of Antwerp - imec; Universidad de Mailaga; Nokia Bell Labs; ADLINK Technology; IDLab., University of Antwerp - imec; IDLab., University of Antwerp - imec; IDLab., University of Antwerp - imec</t>
  </si>
  <si>
    <t>Next-generation mobile networks are expected to flaunt highly (if not fully) automated management. To achieve such a vision, Artificial Intelligence (AI) and Machine Learning (ML) techniques will be key enablers to craft the required intelligence for networking, i.e., Network Intelligence (NI), empowering myriad of orchestrators and controllers across network domains. In this paper, we elaborate on the DAEMON architectural model, which proposes introducing a NI Orchestration layer for the effective end-to-end coordination of NI instances deployed across the whole mobile network infrastructure. Specifically, we first outline requirements and specifications for NI design that stem from data management, control timescales, and network technology characteristics. Then, we build on such analysis to derive initial principles for the design of the NI Orchestration layer, focusing on (i) proposals for the interaction loop between NI instances and the NI Orchestrator, and (ii) a unified representation of NI algorithms based on an extended MAPE-K model. Our work contributes to the definition of the interfaces and operation of a NI Orchestration layer that foster a native integration of NI in mobile network architectures.</t>
  </si>
  <si>
    <t>978-1-6654-3161-3</t>
  </si>
  <si>
    <t>https://ieeexplore.ieee.org/stamp/stamp.jsp?arnumber=9700729</t>
  </si>
  <si>
    <t>Network Intelligence;Mobile Networks;Orchestration;6G</t>
  </si>
  <si>
    <t>6G mobile communication;Analytical models;Focusing;Machine learning;Network architecture;Proposals;Next generation networking</t>
  </si>
  <si>
    <t>M. Paolino; S. Pinneterre; D. Raho</t>
  </si>
  <si>
    <t>FPGA virtualization with accelerators overcommitment for network function virtualization</t>
  </si>
  <si>
    <t>2017 International Conference on ReConFigurable Computing and FPGAs (ReConFig)</t>
  </si>
  <si>
    <t>10.1109/RECONFIG.2017.8279796</t>
  </si>
  <si>
    <t>Virtual Open Systems, Grenoble, France; Virtual Open Systems, Grenoble, France; Virtual Open Systems, Grenoble, France</t>
  </si>
  <si>
    <t>Network Functions Virtualisation (NFV) is revolutionizing the telecom operators data centers as well as the way in which virtualization is applied to high performance/high availability scenarios. Hardware accelerators, and in particular FPGAs, are a very promising solution for NFV, both for their high performance, predictability, programmability and reconfigurability. Recently, consolidation is brought to its limit in this field with lightweight virtualization techniques, which require a high overcommitment of FPGA accelerators resources in order to cope with the needs of thousands of guests. The lack of such virtualization support, together with cloud integration and programmability issues, limits the deployment of FPGAs in NFV. This paper presents the Virtualization Manager (VirtManager), an FPGA IP block which enables accelerators overcommitment with direct guest access. This is a key feature to enable the acceleration of thousands of guests, as it is the case for lightweight VMs, containers and unikernels. This paper's main contribution is a novel architecture for FPGA virtualization with support for resources overcommitment, NFV management and orchestration. A performance analysis of the accelerators context switch mechanism is included to prove the feasibility of the proposed approach.</t>
  </si>
  <si>
    <t>978-1-5386-3797-5</t>
  </si>
  <si>
    <t>https://ieeexplore.ieee.org/stamp/stamp.jsp?arnumber=8279796</t>
  </si>
  <si>
    <t>Field programmable gate arrays;Virtualization;Switches;Hardware;Context;Telecommunications;Computer architecture</t>
  </si>
  <si>
    <t>G. Rigazzi; J. -P. Kainulainen; C. Turyagyenda; A. Mourad; J. Ahn</t>
  </si>
  <si>
    <t>An Edge and Fog Computing Platform for Effective Deployment of 360 Video Applications</t>
  </si>
  <si>
    <t>2019 IEEE Wireless Communications and Networking Conference Workshop (WCNCW)</t>
  </si>
  <si>
    <t>10.1109/WCNCW.2019.8902860</t>
  </si>
  <si>
    <t>InterDigital Germany GmbH, Berlin, Germany; InterDigital Europe, London, UK; InterDigital Europe, London, UK; InterDigital Europe, London, UK; InterDigital Asia, Seoul, South Korea</t>
  </si>
  <si>
    <t>Immersive video applications based on 360 video streaming require high-bandwidth, high-reliability and low-latency 5G connectivity but also flexible, low-latency and cost-effective computing deployment. This paper proposes a novel solution for decomposing and distributing the end-to-end 360 video streaming service across three computing tiers, namely cloud, edge and constrained fog, in order of proximity to the end user client. The streaming service is aided with an adaptive viewport technique. The proposed solution is based on the H2020 5G-CORAL system architecture using micro-services-based design and a unified orchestration and control across all three tiers based on Fog05. Performance evaluation of the proposed solution shows noticeable reduction in bandwidth consumption, energy consumption, and deployment costs, as compared to a solution where the streaming service is all delivered out of one computing location such as the Cloud.</t>
  </si>
  <si>
    <t>978-1-7281-0922-0</t>
  </si>
  <si>
    <t>https://ieeexplore.ieee.org/stamp/stamp.jsp?arnumber=8902860</t>
  </si>
  <si>
    <t>eMBB;360 video;fog computing;edge computing</t>
  </si>
  <si>
    <t>Streaming media;Cloud computing;Edge computing;Servers;5G mobile communication;Bandwidth;Data centers</t>
  </si>
  <si>
    <t>P. Ruiu; A. Scionti; J. Nider; M. Rapoport</t>
  </si>
  <si>
    <t>Workload Management for Power Efficiency in Heterogeneous Data Centers</t>
  </si>
  <si>
    <t>2016 10th International Conference on Complex, Intelligent, and Software Intensive Systems (CISIS)</t>
  </si>
  <si>
    <t>10.1109/CISIS.2016.107</t>
  </si>
  <si>
    <t>Istituto Superiore Mario Boella (ISMB), Torino, Italy; Istituto Superiore Mario Boella (ISMB), Torino, Italy; IBM Haifa Research Labs, Haifa, Haifa, IL; IBM Research and Development, Haifa Research Lab</t>
  </si>
  <si>
    <t>The cloud computing paradigm has recently emerged as a convenient solution for running different workloads on highly parallel and scalable infrastructures. One major appeal of cloud computing is its capability of abstracting hardware resources and making them easy to use. Conversely, one of the major challenges for cloud providers is the energy efficiency improvement of their infrastructures. Aimed at overcoming this challenge, heterogeneous architectures have started to become part of the standard equipment used in data centers. Despite this effort, heterogeneous systems remain difficult to program and manage, while their effectiveness has been proven only in the HPC domain. Cloud workloads are different in nature and a way to exploit heterogeneity effectively is still lacking. This paper takes a first step towards an effective use of heterogeneous architectures in cloud infrastructures. It presents an in-depth analysis of cloud workloads, highlighting where energy efficiency can be obtained. The microservices paradigm is then presented as a way of intelligently partitioning applications in such a way that different components can take advantage of the heterogeneous hardware, thus providing energy efficiency. Finally, the integration of microservices and heterogeneous architectures, as well as the challenge of managing legacy applications, is presented in the context of the OPERA project.</t>
  </si>
  <si>
    <t>978-1-5090-0987-9</t>
  </si>
  <si>
    <t>https://ieeexplore.ieee.org/stamp/stamp.jsp?arnumber=7791858</t>
  </si>
  <si>
    <t>cloud computing;power efficiency;workload management;microservices;heterogeneous data center</t>
  </si>
  <si>
    <t>Servers;Cloud computing;Hardware;Computer architecture;Power demand;Programming;Cooling</t>
  </si>
  <si>
    <t>L. R. Rodrigues; M. Pasin; O. C. Alves; C. C. Miers; M. A. Pillon; P. Felber; G. P. Koslovski</t>
  </si>
  <si>
    <t>Network-Aware Container Scheduling in Multi-Tenant Data Center</t>
  </si>
  <si>
    <t>10.1109/GLOBECOM38437.2019.9013128</t>
  </si>
  <si>
    <t>Graduate Program in Applied Computing, Santa Catarina State University, Joinville, Brazil; University of Neuch√¢tel (UniNE), Institut d'informatique, Switzerland; Graduate Program in Applied Computing, Santa Catarina State University, Joinville, Brazil; Graduate Program in Applied Computing, Santa Catarina State University, Joinville, Brazil; Graduate Program in Applied Computing, Santa Catarina State University, Joinville, Brazil; University of Neuch√¢tel (UniNE), Institut d'informatique, Switzerland; Graduate Program in Applied Computing, Santa Catarina State University, Joinville, Brazil</t>
  </si>
  <si>
    <t>Network management on multi-tenant container-based data center has critical impact on performance. Tenants encapsulate applications in containers abstracting away details on hosting infrastructures, and entrust data center management framework with the provisioning of network Quality-of-Service requirements. In this paper, we propose a network-aware multi-criteria container scheduler to jointly process containers and network requirements. We introduce a new Mixed Integer Linear Programming formulation for network-aware scheduling encompassing both tenants and providers metrics. We describe two GPU-accelerated modules to address the complexity barrier of the problem and efficiently process scheduling requests. Our experiments show that our scheduling approach accounting for both network and containers outperforms traditional algorithms used by containers orchestrators.</t>
  </si>
  <si>
    <t>https://ieeexplore.ieee.org/stamp/stamp.jsp?arnumber=9013128</t>
  </si>
  <si>
    <t>Containers;Servers;Bandwidth;Quality of service;Resource management;Scheduling;Processor scheduling</t>
  </si>
  <si>
    <t>A. Al-Qamash; I. Soliman; R. Abulibdeh; M. Saleh</t>
  </si>
  <si>
    <t>Cloud, Fog, and Edge Computing: A Software Engineering Perspective</t>
  </si>
  <si>
    <t>2018 International Conference on Computer and Applications (ICCA)</t>
  </si>
  <si>
    <t>10.1109/COMAPP.2018.8460443</t>
  </si>
  <si>
    <t>Department of Computer Science and Engineering, Qatar University, Doha, Qatar; Department of Computer Science and Engineering, Qatar University, Doha, Qatar; Department of Computer Science and Engineering, Qatar University, Doha, Qatar; Department of Computer Science and Engineering, Qatar University, Doha, Qatar</t>
  </si>
  <si>
    <t>Cloud, Fog, and Edge Computing paradigms have been introduced for data-driven organizations in order to facilitate data computation and processing in an easier manner. Considering that there has been a huge increase in the amount of data produced over the past couple of years, and it is expected that the amount of data produced will exponentially grow, recent research has focused on utilizing these paradigms in order to satisfy the growing demand of fast computation and data storage. In order to recognize the most suitable use for these models, this paper will evaluate the three computing paradigms: cloud computing, fog computing, and edge computing in terms of their architectures. Furthermore, a comparative analysis of the non-functional requirements is conducted and used to propose the use of each paradigm in real-life applications.</t>
  </si>
  <si>
    <t>978-1-5386-4371-6</t>
  </si>
  <si>
    <t>https://ieeexplore.ieee.org/stamp/stamp.jsp?arnumber=8460443</t>
  </si>
  <si>
    <t>software;cloud computing;fog computing;edge computing;applications</t>
  </si>
  <si>
    <t>Cloud computing;Edge computing;Computational modeling;Software as a service;Computer architecture;Organizations</t>
  </si>
  <si>
    <t>Y. K. Kim; M. R. HoseinyFarahabady; Y. C. Lee; A. Y. Zomaya; R. Jurdak</t>
  </si>
  <si>
    <t>Dynamic Control of CPU Usage in a Lambda Platform</t>
  </si>
  <si>
    <t>2018 IEEE International Conference on Cluster Computing (CLUSTER)</t>
  </si>
  <si>
    <t>10.1109/CLUSTER.2018.00041</t>
  </si>
  <si>
    <t>The University of Sydney, School of IT, Australia; The University of Sydney, School of IT, Australia; Department of Computing, Macquarie University, Sydney, Australia; The University of Sydney, School of IT, Australia; DATA61, CSIRO, Brisbane, Australia</t>
  </si>
  <si>
    <t>Lambda platform is a new concept based on an event-driven server-less computation that empowers application developers to build scalable enterprise software in a virtualized environment without provisioning or managing any physical servers (a server-less solution). In reality, however, devising an effective consolidation method to host multiple Lambda functions into a single machine is challenging. The existing simple resource allocation algorithms, such as the round-robin policy used in many commercial server-less systems, suffer from lack of responsiveness to a sudden surge in the incoming workload. This will result in an unsatisfactory performance degradation that is directly experienced by the end-user of a Lambda application. In this paper, we address the problem of CPU cap management in a Lambda platform for ensuring different QoS enforcement levels in a platform with shared resources, in case of fluctuations and sudden surges in the incoming workload requests. To this end, we present a closed-loop (feedback-based) CPU cap controller, which fulfills the QoS levels enforced by the application owners. The controller adjusts the number of working threads per QoS class and dispatches the outstanding Lambda functions along with the associated events to the most appropriate working thread. The proposed solution reduces the QoS violations by an average of 6.36 times compared to the round-robin policy. It can also maintain the end-to-end response time of applications belonging to the highest priority QoS class close to the target set-point while decreasing the overall response time by up to 52%.</t>
  </si>
  <si>
    <t>978-1-5386-8319-4</t>
  </si>
  <si>
    <t>https://ieeexplore.ieee.org/stamp/stamp.jsp?arnumber=8514884</t>
  </si>
  <si>
    <t>Server-less computing, FaaS (Function as a Service), QoS-aware resource manager, Dynamic CPU usage control</t>
  </si>
  <si>
    <t>Quality of service;Instruction sets;Delays;Time factors;Surges;Resource management</t>
  </si>
  <si>
    <t>A. Leadbetter; D. Smyth; R. Fuller; E. O'Grady; A. Shepherd</t>
  </si>
  <si>
    <t>Where big data meets linked data: Applying standard data models to environmental data streams</t>
  </si>
  <si>
    <t>2016 IEEE International Conference on Big Data (Big Data)</t>
  </si>
  <si>
    <t>10.1109/BigData.2016.7840943</t>
  </si>
  <si>
    <t>Marine Institute Rinville, Oranmore, Galway, Ireland; Marine Institute Rinville, Oranmore, Galway, Ireland; Marine Institute Rinville, Oranmore, Galway, Ireland; Marine Institute Rinville, Oranmore, Galway, Ireland; Biological and Chemical Oceanography Data Management Office, Woods Hole Oceanographic Institution Woods Hole, Massachusetts</t>
  </si>
  <si>
    <t>In August 2015, a new seafloor observatory was deployed in Galway Bay, Ireland. The sensors on the observatory platform are connected by fibre-optic cable to a shore station, where a broadband connection allows data transfer to the Marine Institute's data centre. This setup involved the development of a new data acquisition system which takes advantage of open source streaming data solutions developed in response to the Big Data paradigm, in particular the Velocity aspect. This activity merges concepts from the arenas of both Big Data and Internet of Things where data standardisation is not normally considered. This paper considers the architecture implemented to stream marine data from instrument to end user and offers suggestions on how to standardise these data streams.</t>
  </si>
  <si>
    <t>978-1-4673-9005-7</t>
  </si>
  <si>
    <t>https://ieeexplore.ieee.org/stamp/stamp.jsp?arnumber=7840943</t>
  </si>
  <si>
    <t>Linked Data;Big Data;streaming data;oceano-graphic data management;Earth Science Informatics</t>
  </si>
  <si>
    <t>Instruments;Big data;Oceans;Observatories;Vocabulary;Standards;Sensors</t>
  </si>
  <si>
    <t>J. von Kistowski; M. Deffner; S. Kounev</t>
  </si>
  <si>
    <t>Run-Time Prediction of Power Consumption for Component Deployments</t>
  </si>
  <si>
    <t>2018 IEEE International Conference on Autonomic Computing (ICAC)</t>
  </si>
  <si>
    <t>2474-0756</t>
  </si>
  <si>
    <t>10.1109/ICAC.2018.00025</t>
  </si>
  <si>
    <t>Universit√§t W√ºrzburg; Universit√§t W√ºrzburg; Universit√§t W√ºrzburg</t>
  </si>
  <si>
    <t>The Power consumption of servers in data centers depends greatly on the software running on each server and how it interacts with the hardware. Different deployments of distributed software components on heterogeneous servers can lead to significant differences in power consumption, depending on the server allocation and the current workload. As workloads and load intensity change, components may be re-deployed or exchanged in order to reduce the power consumption for the current load profile. The decision on which component to place on which server during run-time remains difficult as the power consumption that would result from such a placement remains unknown. Existing work on component deployment optimization at run-time focuses on maximizing performance or considers power in the context of static design time decisions. In this paper, we introduce a model to predict the power consumption of component placements at run-time based on the load and power profile collected for a running distributed application in a heterogeneous environment. In addition, we present a model that enables the use of our approach without dedicated power measurement devices, predicting power consumption based on load intensity and performance counters. We show that we can predict the power consumption of two different distributed web applications with a mean absolute percentage error of 2.21% and with an error of 1.04% when predicting a previously unobserved load level.</t>
  </si>
  <si>
    <t>978-1-5386-5139-1</t>
  </si>
  <si>
    <t>https://ieeexplore.ieee.org/stamp/stamp.jsp?arnumber=8498136</t>
  </si>
  <si>
    <t>Power;Energy;Prediction;Server;Regression;SERT;Component;Service;Microservice</t>
  </si>
  <si>
    <t>Predictive models;Power demand;Load modeling;Servers;Throughput;Data models;Software</t>
  </si>
  <si>
    <t>M. HoseinyFarahabady; J. Taheri; Z. Tari; A. Y. Zomaya</t>
  </si>
  <si>
    <t>A Dynamic Resource Controller for a Lambda Architecture</t>
  </si>
  <si>
    <t>2017 46th International Conference on Parallel Processing (ICPP)</t>
  </si>
  <si>
    <t>2332-5690</t>
  </si>
  <si>
    <t>10.1109/ICPP.2017.42</t>
  </si>
  <si>
    <t>The University of Sydney, Sydney, NSW, AU; Department of Computer Science, Karlstad University, Sweden; RMIT University School of Science, Melbourne, Australia; The University of Sydney School of IT, NSW, Australia</t>
  </si>
  <si>
    <t>Lambda architecture is a novel event-driven serverless paradigm that allows companies to build scalable and reliable enterprise applications. As an attractive alternative to traditional service oriented architecture (SOA), Lambda architecture can be used in many use cases including BI tools, in-memory graph databases, OLAP, and streaming data processing. In practice, an important aim of Lambda's service providers is devising an efficient way to co-locate multiple Lambda functions with different attributes into a set of available computing resources. However, previous studies showed that consolidated workloads can compete fiercely for shared resources, resulting in severe performance variability/degradation. This paper proposes a resource allocation mechanism for a Lambda platform based on the model predictive control framework. Performance evaluation is carried out by comparing the proposed solution with multiple resource allocation heuristics, namely enhanced versions of spread and binpack, and best-effort approaches. Results confirm that the proposed controller increases the overall resource utilization by 37% on average and achieves a significant improvement in preventing QoS violation incidents compared to others.</t>
  </si>
  <si>
    <t>978-1-5386-1042-8</t>
  </si>
  <si>
    <t>https://ieeexplore.ieee.org/stamp/stamp.jsp?arnumber=8025307</t>
  </si>
  <si>
    <t>Dynamic Resource Allocation;Performance degradation;Lambda Platform Processing;Shared Resource Interference</t>
  </si>
  <si>
    <t>Quality of service;Resource management;Sensitivity;Memory management;Interference;Servers</t>
  </si>
  <si>
    <t>M. Radovan; B. Golub</t>
  </si>
  <si>
    <t>Trends in IoT security</t>
  </si>
  <si>
    <t>10.23919/MIPRO.2017.7973624</t>
  </si>
  <si>
    <t>Daimler AG, Stuttgart, Germany; Adnet d.o.o., Zagreb, Croatia</t>
  </si>
  <si>
    <t>The incredible rapid development of internet technologies, primarily thanks to omnipresent access of high speed broadband internet access and supporting technologies like Big Data, Cloud Computing, REST/Web services as well as cheap electronic equipment that use new wireless communications standards, lead to equal rapid growth of number of smart devices - ‚Äúthings‚Äù - connected to the internet. Increased number of connected smart devices results with huge daily data traffic on the internet and data volume stored and available on the internet. IoT becomes part of our homes and our companies, and security in these systems is very important. What does that outlook hold for the next 5, 10 or 20 years, will mostly depend on the development of security standards, user behavior and education in a next few years. This paper is trying to summary and analyze trends in IoT standards regarding security.</t>
  </si>
  <si>
    <t>https://ieeexplore.ieee.org/stamp/stamp.jsp?arnumber=7973624</t>
  </si>
  <si>
    <t>Internet of Things (IoT);Cybersecurity;SCADA</t>
  </si>
  <si>
    <t>Security;Standards;Market research;Cloud computing;Computer architecture;Protocols</t>
  </si>
  <si>
    <t>A. Hegde; R. Ghosh; T. Mukherjee; V. Sharma</t>
  </si>
  <si>
    <t>SCoPe: A Decision System for Large Scale Container Provisioning Management</t>
  </si>
  <si>
    <t>2016 IEEE 9th International Conference on Cloud Computing (CLOUD)</t>
  </si>
  <si>
    <t>10.1109/CLOUD.2016.0038</t>
  </si>
  <si>
    <t>Xerox Research Center India, Bangalore, India; Xerox Research Center India, Bangalore, India; Xerox Research Center India, Bangalore, India; Xerox Research Center India, Bangalore, India</t>
  </si>
  <si>
    <t>Operating system (OS) containers provide a process level virtualization in a multi-tenant Cloud environment. Such containers are becoming increasingly popular in developer community as they facilitate fast development and delivery of enterprise class Cloud services. Furthermore, these containers share a common OS and hence, they have a low resource foot-print leading to reduced provisioning time. In this paper, we investigate such promise of containers while provisioning large scale 3-tier applications. First, through benchmarking, we observe that at very large scale, several application scaling factors (e.g., number of containers of an application provisioned in parallel, application load) and system state parameters (e.g., number of applications and containers running on a system) introduce variability in application provisioning time because of resource bottleneck in general, and specifically due to the OS process overhead. To address such variability, we propose a provisioning decision management system SCoPe that provides an application partitioning and provisioning strategy where we determine the maximum number of containers of every application that can be provisioned in parallel across physical machines, while meeting the service level agreement (SLA) on provisioning time and Cloud provider specific objectives (e.g., maximize consolidation of applications, minimize operating cost). This joint partitioning and provisioning problem is NP-hard and we propose a greedy heuristic solution. Using real data set and through extensive experiments, we demonstrate the performance of SCoPe for large scale container based application provisioning. Compared to other well-known heuristics, SCoPe can reduce the partitioning by 5x or more, while meeting SLAs.</t>
  </si>
  <si>
    <t>978-1-5090-2619-7</t>
  </si>
  <si>
    <t>https://ieeexplore.ieee.org/stamp/stamp.jsp?arnumber=7820275</t>
  </si>
  <si>
    <t>Containers;Cloud computing;Benchmark testing;Aggregates;Engines;Virtualization;Google</t>
  </si>
  <si>
    <t>O. Debauche; R. A. Abdelouahid; S. Mahmoudi; Y. Moussaoui; A. Marzak; P. Manneback</t>
  </si>
  <si>
    <t>RevoCampus: a Distributed Open Source and Low-cost Smart Campus</t>
  </si>
  <si>
    <t>2020 3rd International Conference on Advanced Communication Technologies and Networking (CommNet)</t>
  </si>
  <si>
    <t>10.1109/CommNet49926.2020.9199640</t>
  </si>
  <si>
    <t>Faculty of Engineering - ILIA/Infortech, University of Mons Mons, Belgium; Faculty of Sciences Ben M‚ÄôSik, University Hassan II Casablanca, Morocco; Faculty of Engineering - ILIA / Infortech, University of Mons, Mons, Belgium; EILCO Student, University of Coastal Opal Coast, Calais, France; Faculty of Sciences Ben M‚ÄôSik, University Hassan II Casablanca, Morocco; Faculty of Engineering - ILIA / Infortech, University of Mons, Mons, Belgium</t>
  </si>
  <si>
    <t>Smart Campus can be assimilated to small smart cities in which learning experience and living conditions are improved by smart environment and IoT concepts. In this paper, we present (R)evoCampus our Smart Campus solution based diverted smart Home interoperable protocol platforms, micro controllers ESP32, low-cost sensors. This architecture uses at same time the principles of IoT, smart environment technologies, and smart city concepts to develop an effective use of the resources, and to improve the quality of life inside the whole University. In the proposed solution, Wi-Fi protocol is used for communication in indoor while outdoor communications are ensured by LoRaWAN protocol.</t>
  </si>
  <si>
    <t>978-1-7281-8704-4</t>
  </si>
  <si>
    <t>https://ieeexplore.ieee.org/stamp/stamp.jsp?arnumber=9199640</t>
  </si>
  <si>
    <t>Smart Campus;Smart City;Smart Environment;Internet of Things</t>
  </si>
  <si>
    <t>Temperature sensors;Computer architecture;Wireless fidelity;Protocols;Architecture;Temperature measurement</t>
  </si>
  <si>
    <t>M. Daneva; B. Lazarov</t>
  </si>
  <si>
    <t>Requirements for smart cities: Results from a systematic review of literature</t>
  </si>
  <si>
    <t>2018 12th International Conference on Research Challenges in Information Science (RCIS)</t>
  </si>
  <si>
    <t>2151-1357</t>
  </si>
  <si>
    <t>10.1109/RCIS.2018.8406655</t>
  </si>
  <si>
    <t>Universiteit Twente, Enschede, Overijssel, NL; Universiteit Twente, Enschede, Overijssel, NL</t>
  </si>
  <si>
    <t>Smart cities are gaining increasingly more importance in both research and business circles. Much effort is spent to defining what a smart city is and how it could be realized with today's or future technologies. However, from requirements engineering perspective, our knowledge of smart cities is fragmented; little is known about the requirements for smart cities as complex systems, or as systems of systems, in specific application domains. In this paper, we elicit requirements for smart city systems by carrying out a systematic review of scientific literature focused on the so-called ‚Äúhard‚Äù domains of smart cities. Based on 32 selected publications, we gathered and classified requirements in respect to three types of smart city systems (instrumented, interconnected, and intelligent systems) and four classes of requirements: end-to-end experience, architectural, security, and infrastructure requirements. Our most important findings are that: (1) most authors took a bottom-up approach to defining requirements for smart cities; their efforts focused mainly on requirements important for designing an architecture that could scale up to any size and include any device or system; and (2) very little is mentioned on the newly emerging security and privacy challenges that are critical to gain the citizens' acceptance of smart city apps.</t>
  </si>
  <si>
    <t>978-1-5386-6517-6</t>
  </si>
  <si>
    <t>https://ieeexplore.ieee.org/stamp/stamp.jsp?arnumber=8406655</t>
  </si>
  <si>
    <t>Smart city systems;Requirements engineering;Software architecture;Systematic literature review;Empirical study</t>
  </si>
  <si>
    <t>Smart cities;Instruments;Security;Intelligent systems;Data mining;Systematics</t>
  </si>
  <si>
    <t>J. Yu; A. Vandanapu; C. Qu; S. Wang; P. Calyam</t>
  </si>
  <si>
    <t>Energy-aware Dynamic Computation Offloading for Video Analytics in Multi-UAV Systems</t>
  </si>
  <si>
    <t>2020 International Conference on Computing, Networking and Communications (ICNC)</t>
  </si>
  <si>
    <t>2325-2626</t>
  </si>
  <si>
    <t>10.1109/ICNC47757.2020.9049797</t>
  </si>
  <si>
    <t>Department of ECE, Purdue University; Department of CS, University of Illinois at Chicago; Departmant of ECE, University of Missouri, Columbia; Departmant of ECE, University of Missouri, Columbia; Departmant of ECE, University of Missouri, Columbia</t>
  </si>
  <si>
    <t>Multi-Unmanned Aerial Vehicle (UAV) systems with high-resolution cameras have been found to be useful for operations such as disaster management and smart farming. These systems feature Flying Ad-Hoc Networks (FANETs) that connect the computation edge with UAVs and a Ground Control Station (GCS) through air-to-ground network links. Leveraging the edge computation resources effectively with energy-awareness, and dealing with intermittent failures of FANET links are the major challenges in supporting video processing applications. In this paper, we propose a novel energy-aware dynamic computation offloading scheme for UAV systems, which provides the ability to intelligently share tasks among individual UAVs and allows for parallel execution of tasks while evenly distributing energy consumption. Intelligence gathering is performed using machine learning to create resource consumption profiles for a given set of video processing tasks prior to scheduling. Our scheme handles the problem of computation offloading tasks as a job-shop scheduling problem where we aim to minimize the total energy consumption in the edge resources while minimizing video processing times to meet application requirements. Our experimental results show our energy-aware dynamic offloading scheme enables lower processing time for low drone-to-ground server ratios and consumes less energy when compared to other offloading schemes. Notably, these results also hold in various other multi-UAV scenarios involving largely different number of detected objects.</t>
  </si>
  <si>
    <t>978-1-7281-4905-9</t>
  </si>
  <si>
    <t>https://ieeexplore.ieee.org/stamp/stamp.jsp?arnumber=9049797</t>
  </si>
  <si>
    <t>Multi-access Edge Computing;Flying Ad-Hoc Networks;Function-Centric Computing;UAV-based edge computing;Job Shop Scheduling</t>
  </si>
  <si>
    <t>Energy consumption;Job shop scheduling;Processor scheduling;Optimal scheduling;Machine learning;Autonomous aerial vehicles;Task analysis</t>
  </si>
  <si>
    <t>S. Dustdar; I. Murturi</t>
  </si>
  <si>
    <t>Towards Distributed Edge-based Systems</t>
  </si>
  <si>
    <t>2020 IEEE Second International Conference on Cognitive Machine Intelligence (CogMI)</t>
  </si>
  <si>
    <t>10.1109/CogMI50398.2020.00021</t>
  </si>
  <si>
    <t>Distributed Systems Group, TU Wien, Vienna, Austria; Distributed Systems Group, TU Wien, Vienna, Austria</t>
  </si>
  <si>
    <t>In the past few years, researchers from academia and industry stakeholders suggest adding more computational resources (i.e., storage, networking, and processing) closer to the end-users and IoT domain, respectively, at the edge of the network. Such computation entities perceived as edge devices aim to overcome high-latency issues between the cloud and the IoT domain. Thus, processing IoT data streams closer to the end-users and IoT domain can solve several operational challenges. Since then, a plethora of application-specific IoT systems are introduced, mainly hard-coded, inflexible, and limited extensibility for future changes. Additionally, most IoT systems maintain a centralized design to operate without considering the dynamic nature of edge networks. In this paper, we discuss some of the research issues, challenges, and potential solutions to enable: i) deploying edge functions on edge resources in a distributed manner and ii) deploying and scaling edge applications on-premises of Edge-Cloud infrastructure. Additionally, we discuss in detail the three-tier Edge-Cloud architecture. Finally, we introduce a conceptual framework that aims to enable easy configuration and deployment of edge-based systems on top of heterogeneous edge infrastructure and present our vision within a smart city scenario.</t>
  </si>
  <si>
    <t>978-1-7281-4144-2</t>
  </si>
  <si>
    <t>https://ieeexplore.ieee.org/stamp/stamp.jsp?arnumber=9319337</t>
  </si>
  <si>
    <t>Edge-Cloud Continuum;Edge-based Systems;Distributed Edge Functions</t>
  </si>
  <si>
    <t>Internet of Things;Cloud computing;Computer architecture;Servers;Computational modeling;Software as a service;Smart cities</t>
  </si>
  <si>
    <t>A. De Iasio; A. Furno; L. Goglia; E. Zimeo</t>
  </si>
  <si>
    <t>A Microservices Platform for Monitoring and Analysis of IoT Traffic Data in Smart Cities</t>
  </si>
  <si>
    <t>10.1109/BigData47090.2019.9006025</t>
  </si>
  <si>
    <t>University of Sannio, Benevento, Italy; ENTPE, IFSTTAR LICIT UMR T9401, Univ. of Lyon, Lyon, France; University of Sannio, Benevento, Italy; CINI Smart City Lab, University of Sannio, Benevento, Italy</t>
  </si>
  <si>
    <t>The ongoing digitization of cities, enabled by the diffusion of interconnected sensors and devices, makes it possible to continuously collect and analyze huge streams of data at extremely large spatio-temporal scales and fine resolutions. These data can be used to monitor, detect and anticipate different kinds of infrastructure vulnerabilities and anomalies, as well as to implement more personalized services that could improve citizens' life. In this new context, full of opportunities, it is difficult to foresee and develop, in advance, the set of applications and services that can be potentially useful for administrators and citizens to solve the manifold compelling needs a city may have to face. Novel ICT paradigms and technologies can help designing agile, general-purpose smart city platforms aimed at supporting the collection and treatment of large-scale, multi-source (streams of) data and the development of novel applications that could fulfill diverse functional requirements under strict non-functional constraints. This paper presents the reference architecture, a prototype implementation and a city-scale case-study evaluation of PROMENADE, a platform that exploits IoT/Fog/Cloud paradigms, microservices and DevOps infrastructures to guarantee continuous development of robust and reliable applications for real-time monitoring and analysis of traffic data generated by IoT devices in large smart cities. The prototype has been evaluated in a case study concerning the quasi real-time detection of road networks vulnerabilities via centrality measures from on-line traffic conditions, emulated from off-line real datasets available for the city of Lyon, France.</t>
  </si>
  <si>
    <t>https://ieeexplore.ieee.org/stamp/stamp.jsp?arnumber=9006025</t>
  </si>
  <si>
    <t>IoT Platform;Microservices;Smart cities;Traffic monitoring;Resilience</t>
  </si>
  <si>
    <t>Smart cities;Real-time systems;Big Data;Roads;Cloud computing;Monitoring</t>
  </si>
  <si>
    <t>A TinyML approach to non-repudiable anomaly detection in extreme industrial environments</t>
  </si>
  <si>
    <t>2022 IEEE International Workshop on Metrology for Industry 4.0 &amp; IoT (MetroInd4.0&amp;IoT)</t>
  </si>
  <si>
    <t>10.1109/MetroInd4.0IoT54413.2022.9831517</t>
  </si>
  <si>
    <t>Unforeseen failures of industrial assets may lead to unexpected downtime with a huge impact on critical business processes. Therefore, modern assets usually include several embedded sensors and processing units, allowing to monitor certain operational parameters, i.e., Condition Monitoring. The sensed data can be later analyzed using Machine Learning (ML) approaches to detect anomalies and anticipate failures. Furthermore, the Internet of Things can provide the tools to extend Condition Monitoring to legacy assets that do not have onboard sensing capabilities. In general, these IoT devices offer the opportunity to move ML processing closer to the monitored asset, thus reducing costs and simplifying the anomaly detection system. However, extreme industrial environments present harsh operating conditions and limited resources, further exacerbated by the reduced computation capabilities of most IoT devices. This paper proposes an ML-based anomaly detection system that uses a retrofitting kit based on a constrained and cost-effective IoT device. Despite its limited resources, the latter executes a state-of-the-art unsupervised anomaly detection algorithm locally, autonomously learning the normality behavior of the monitored asset. Furthermore, to improve the transparency of the monitoring process, we propose to leverage blockchain technology as a non-repudiable repository of information, also assessing the impact of such implementation choice in terms of costs and overhead.</t>
  </si>
  <si>
    <t>978-1-6654-1093-9</t>
  </si>
  <si>
    <t xml:space="preserve">European Union; </t>
  </si>
  <si>
    <t>https://ieeexplore.ieee.org/stamp/stamp.jsp?arnumber=9831517</t>
  </si>
  <si>
    <t>Internet of Things;Machine Learning;TinyML;Condition Monitoring;Anomaly Detection;Blockchain</t>
  </si>
  <si>
    <t>Condition monitoring;Costs;Maintenance engineering;Data models;Sensors;Blockchains;Internet of Things</t>
  </si>
  <si>
    <t>S. K. Mohalik; N. C. Narendra; R. Badrinath; D. -H. Le</t>
  </si>
  <si>
    <t>Adaptive Service-Oriented Architectures for Cyber Physical Systems</t>
  </si>
  <si>
    <t>10.1109/SOSE.2017.10</t>
  </si>
  <si>
    <t>Ericsson Res., Bangalore, India; Ericsson Res., Bangalore, India; Ericsson Research, Bangalore, India; Vienna University of Technology, Vienna, Austria</t>
  </si>
  <si>
    <t>Service-oriented architecture (SOA) for Cyber PhysicalSystems (CPS) can be implemented through the abstractionof sensing and actuation capabilities of devices as microservicesand providing data processing and decision-making services athigher levels. However, specific to CPS, the critical requirementof adaptivity must be taken into account so that thearchitectures can autonomously handle the dynamic changes inthe devices and their environment making them transparent tothe applications. Towards this, we implement the well-knownMAPE-K (Monitor, Analyze, Plan, Act, using stored Knowledge)reference architecture from autonomic computing, with the corePlan function powered by AI planning techniques. The proof ofconcept prototype is built upon our earlier works: InteropAdapt, a middleware for interoperability of control actions between theapplication layer and the device layer, and HINC, an informationmodel that harmonizes IoT resources spanning devices, networkfunctions and cloud resources. We illustrate our ideas via realisticexamples in the building automation domain.</t>
  </si>
  <si>
    <t>https://ieeexplore.ieee.org/stamp/stamp.jsp?arnumber=7943291</t>
  </si>
  <si>
    <t>Planning;Artificial intelligence;Service-oriented architecture;Sensors;Monitoring;Computer architecture</t>
  </si>
  <si>
    <t>K. Govindarajan; S. Kamburugamuve; P. Wickramasinghe; V. Abeykoon; G. Fox</t>
  </si>
  <si>
    <t>Task Scheduling in Big Data - Review, Research Challenges, and Prospects</t>
  </si>
  <si>
    <t>2017 Ninth International Conference on Advanced Computing (ICoAC)</t>
  </si>
  <si>
    <t>10.1109/ICoAC.2017.8441494</t>
  </si>
  <si>
    <t>School of Informatics and Computing, Indiana University, Bloomington, USA; School of Informatics and Computing, Indiana University, Bloomington, USA; School of Informatics and Computing, Indiana University, Bloomington, USA; School of Informatics and Computing, Indiana University, Bloomington, USA; School of Informatics and Computing, Indiana University, Bloomington, USA</t>
  </si>
  <si>
    <t>In a Big data computing, the processing of data requires a large amount of CPU cycles and network bandwidth and disk I/O. Dataflow is a programming model for processing Big data which consists of tasks organized in a graph structure. Scheduling these tasks is one of the key active research areas which mainly aims to place the tasks on available resources. It is essential to effectively schedule the tasks, in a manner that minimizes task completion time and increases utilization of resources. In recent years, researchers have discussed and presented different task scheduling algorithms. In this research study, we have investigated the state-of-art of various task scheduling algorithms, scheduling considerations for batch and streaming processing, and task scheduling algorithms in the wellknown open-source big data platforms. Furthermore, this study proposes a new task scheduling system to alleviate the problems persists in the existing task scheduling for big data.</t>
  </si>
  <si>
    <t>978-1-5386-4349-5</t>
  </si>
  <si>
    <t>https://ieeexplore.ieee.org/stamp/stamp.jsp?arnumber=8441494</t>
  </si>
  <si>
    <t>Big Data;MapReduce;Dataflow;Task Scheduling Model;Twister2;Static and Dynamic Task Scheduling</t>
  </si>
  <si>
    <t>Task analysis;Big Data;Dynamic scheduling;Scheduling algorithms;Data models</t>
  </si>
  <si>
    <t>A. Mudvari; N. Makris; L. Tassiulas</t>
  </si>
  <si>
    <t>ML-driven scaling of 5G Cloud-Native RANs</t>
  </si>
  <si>
    <t>2021 IEEE Global Communications Conference (GLOBECOM)</t>
  </si>
  <si>
    <t>10.1109/GLOBECOM46510.2021.9685874</t>
  </si>
  <si>
    <t>Dept. of Electrical Engineering, Yale University, New Haven, CT, USA; Dept. of Electrical Engineering, Yale University, New Haven, CT, USA; Dept. of Electrical Engineering, Yale University, New Haven, CT, USA</t>
  </si>
  <si>
    <t>The evolution of the different network functions to a cloud-native configuration creates fertile ground for the efficient management and reconfiguration of the network. Through the wide application of softwarization and virtualization, cloud-native approaches can extend even to the RAN, that has been dominated by monolithic non-configurable hardware equipment in the past generations of mobile network access. As such, a cloud-native deployment can cover the end-to-end 5G network architecture, from the Core Network to the base stations, with the respective services benefiting from several advanced features, such as automatic scaling of the deployed functions based on monitored metrics. Through the application of Machine Learning, the evolution of the metrics can be predicted and thus the respective functions can be pro-actively scaled. In this work, we use an end-to-end real-world cloud-native deployment of a 5G network, and deal with two different types of scaling, applied at three different parts of the network: vertical scaling for the base station, and horizontal scaling for control and user plane functions of the core network. We use a real-world dataset for replicating traffic over our setup and closely monitor the evolution of metrics from different parts of the network. By applying Machine Learning methods, we accurately predict the future network load and use it to decide on the pro-active allocation of resources for the RAN and the Core Network.</t>
  </si>
  <si>
    <t>978-1-7281-8104-2</t>
  </si>
  <si>
    <t xml:space="preserve">National Science Foundation(grant numbers:CNS 2112562); Office of Naval Research(grant numbers:N00014-19-1-2566); </t>
  </si>
  <si>
    <t>https://ieeexplore.ieee.org/stamp/stamp.jsp?arnumber=9685874</t>
  </si>
  <si>
    <t>5G network;cloud-native;auto-scaling;Machine Learning;Kubernetes;OpenAirInterface</t>
  </si>
  <si>
    <t>Measurement;Cloud computing;Base stations;5G mobile communication;Machine learning;Predictive models;Telemetry</t>
  </si>
  <si>
    <t>M. Prabhu; A. Hanumanthaiah</t>
  </si>
  <si>
    <t>Edge Computing-Enabled Healthcare Framework to Provide Telehealth Services</t>
  </si>
  <si>
    <t>2022 International Conference on Wireless Communications Signal Processing and Networking (WiSPNET)</t>
  </si>
  <si>
    <t>10.1109/WiSPNET54241.2022.9767142</t>
  </si>
  <si>
    <t>Center for Wireless Networks and Applications (WNA), Amrita Vishwa Vidyapeetham, Amritapuri, India; Center for Wireless Networks and Applications (WNA), Amrita Vishwa Vidyapeetham, Amritapuri, India</t>
  </si>
  <si>
    <t>Telemedicine has the potential to bridge the huge urban-rural health divide that exists in many developing economies in the fastest and the most affordable way. Cloud Computing holds promise for providing an efficient, cost-effective, and pervasive telemedicine paradigm. With cloud computing, biomedical sensor data can be stored and analyzed remotely by remotely distributed servers. However, a huge volume of data is generated by smart medical devices [1]. Thus, there is a need to leverage the Edge Computing paradigm to process data closer to the source of data generation. This paper presents a healthcare framework that incorporates a promising Edge-IoT ecosystem - the EdgeX Foundry for the telehealth use case of Blood Pressure monitoring. The end-to-end system is broadly divided into three parts: the User subsystem, the Edge subsystem, and the Cloud subsystem. This paper presents the use of EdgeX Foundry for a telehealth application.</t>
  </si>
  <si>
    <t>978-1-6654-9648-3</t>
  </si>
  <si>
    <t>https://ieeexplore.ieee.org/stamp/stamp.jsp?arnumber=9767142</t>
  </si>
  <si>
    <t>Edge Computing;Internet of Things;telemedicine;EdgeX Foundry</t>
  </si>
  <si>
    <t>Wireless communication;Cloud computing;Medical devices;Telemedicine;Medical services;Signal processing;Foundries</t>
  </si>
  <si>
    <t>S. Henning; W. Hasselbring; A. M√∂bius</t>
  </si>
  <si>
    <t>A Scalable Architecture for Power Consumption Monitoring in Industrial Production Environments</t>
  </si>
  <si>
    <t>2019 IEEE International Conference on Fog Computing (ICFC)</t>
  </si>
  <si>
    <t>10.1109/ICFC.2019.00024</t>
  </si>
  <si>
    <t>Software Engineering Group, Kiel University, Kiel, Germany; Software Engineering Group, Kiel University, Kiel, Germany; IBAK Helmut Hunger GmbH &amp; Co. KG, Kiel, Wehdenweg 122, Germany</t>
  </si>
  <si>
    <t>Detailed knowledge about the electrical power consumption in industrial production environments is a prerequisite to reduce and optimize their power consumption. Today's industrial production sites are equipped with a variety of sensors that, inter alia, monitor electrical power consumption in detail. However, these environments often lack an automated data collation and analysis. We present a system architecture that integrates different sensors and analyzes and visualizes the power consumption of devices, machines, and production plants. It is designed with a focus on scalability to support production environments of various sizes and to handle varying loads. We argue that a scalable architecture in this context must meet requirements for fault tolerance, extensibility, real-time data processing, and resource efficiency. As a solution, we propose a microservice-based architecture augmented by big data and stream processing techniques. Applying the fog computing paradigm, parts of it are deployed in an elastic, central cloud while other parts run directly, decentralized in the production environment. A prototype implementation of this architecture presents solutions how different kinds of sensors can be integrated and their measurements can be continuously aggregated. In order to make analyzed data comprehensible, it features a single-page web application that provides different forms of data visualization. We deploy this pilot implementation in the data center of a medium-sized enterprise, where we successfully monitor the power consumption of 16 servers. Furthermore, we show the scalability of our architecture with 20,000 simulated sensors.</t>
  </si>
  <si>
    <t>978-1-7281-3236-5</t>
  </si>
  <si>
    <t>https://ieeexplore.ieee.org/stamp/stamp.jsp?arnumber=8822045</t>
  </si>
  <si>
    <t>Power-Consumption-Monitoring;Software-Architecture;Microservices;Big-Data;Stream-Processing</t>
  </si>
  <si>
    <t>Sensors;Computer architecture;Monitoring;Data visualization;Business;Bridges</t>
  </si>
  <si>
    <t>L. Zhou; L. N. Bhuyan; K. K. Ramakrishnan</t>
  </si>
  <si>
    <t>Goldilocks: Adaptive Resource Provisioning in Containerized Data Centers</t>
  </si>
  <si>
    <t>10.1109/ICDCS.2019.00072</t>
  </si>
  <si>
    <t>Computer Science and Engineering Department, University of California Riverside, Riverside, CA, USA; Computer Science and Engineering Department, University of California Riverside, Riverside, CA, USA; Computer Science and Engineering Department, University of California Riverside, Riverside, CA, USA</t>
  </si>
  <si>
    <t>Power management in data centers is challenging because of fluctuating workloads and strict task completion time requirements. Recent resource provisioning systems, such as Borg and RC-Informed, pack tasks on servers to save power. However, current power optimization frameworks based on packing leave very little headroom for spikes, and the task completion times are compromised. In this paper, we design Goldilocks, a novel resource provisioning system for optimizing both power and task completion time by allocating tasks to servers in groups. Tasks hosted in containers are grouped together by running a graph partitioning algorithm. Containers communicating frequently are placed together, which improves the task completion times. We also leverage new findings on power consumption of modern-day servers to ensure that their utilizations are in a range where they are power-proportional. Both testbed implementation measurements and large-scale trace-driven simulations prove that Goldilocks outperforms all the previous works on data center power saving. Goldilocks saves power by 11.7%-26.2% depending on the workload, whereas the best of the implemented alternatives, Borg, saves 8.9%-22.8%. The energy per request for the Twitter content caching workload in Goldilocks is only 33% of RC-Informed. Finally, the best alternative in terms of task completion time, E-PVM, has 1.17-3.29 times higher task completion times than Goldilocks across different workloads.</t>
  </si>
  <si>
    <t>https://ieeexplore.ieee.org/stamp/stamp.jsp?arnumber=8885168</t>
  </si>
  <si>
    <t>power management;task completion time;data center;graph partitioning</t>
  </si>
  <si>
    <t>Servers;Task analysis;Data centers;Containers;Power demand;Facebook;Partitioning algorithms</t>
  </si>
  <si>
    <t>Y. M. Ramirez; V. Podolskiy; M. Gerndt</t>
  </si>
  <si>
    <t>Capacity-Driven Scaling Schedules Derivation for Coordinated Elasticity of Containers and Virtual Machines</t>
  </si>
  <si>
    <t>2019 IEEE International Conference on Autonomic Computing (ICAC)</t>
  </si>
  <si>
    <t>10.1109/ICAC.2019.00029</t>
  </si>
  <si>
    <t>Chair of Computer Architecture and Parallel Systems, Technical University of Munich, Munich, Germany; Chair of Computer Architecture and Parallel Systems, Technical University of Munich, Munich, Germany; Chair of Computer Architecture and Parallel Systems, Technical University of Munich, Munich, Germany</t>
  </si>
  <si>
    <t>With the growing complexity of microservice applications and proliferation of containers, scaling of cloud applications became challenging. Containers enabled the adaptation of the application capacity to the changing workload on the finer level of granularity than it was possible only with virtual machines. The common way to automate the adaptation of a cloud application is via autoscaling. Autoscaling is provided both on the level of virtual machines and containers. Its accuracy on dynamic workloads suffers significantly from the reactive nature of the available autoscaling solutions. The aim of the paper is to explore potential improvements of autoscaling by designing and evaluating several predictive-based autoscaling policies. These policies are naive (used as a baseline), best resource pair, only-Delta-load, always-resize, resize when beneficial. The scaling policies were implemented in Scaling Policy Derivation Tool (SPDT). SPDT takes the long-term forecast of the workload and the capacity model of microservices as input to produce the sequence of scaling actions scheduled for the execution in future with the aims to meet the service level objectives and minimize the costs. Policies implemented in SPDT were evaluated for three microservice applications and several workload patterns. The tests demonstrate that the combination of horizontal and vertical scaling enables more flexibility and reduces costs. Schedule derivation according to some policies might be compute-intensive, therefore careful consideration of the optimization objective (e.g. cost minimization or timeliness of the scaling policy) is required from the user of SPDT.</t>
  </si>
  <si>
    <t>978-1-7281-2411-7</t>
  </si>
  <si>
    <t>https://ieeexplore.ieee.org/stamp/stamp.jsp?arnumber=8831221</t>
  </si>
  <si>
    <t>Cloud Computing, Containers, Microservices, Predictive Autoscaling, Scaling Policies, Self-Adaptive Cloud</t>
  </si>
  <si>
    <t>Containers;Cloud computing;Virtualization;Random access memory;Virtual machining;Schedules;Tools</t>
  </si>
  <si>
    <t>T. Nguyen; R. Katila; T. N. Gia</t>
  </si>
  <si>
    <t>A Novel Internet-of-Drones and Blockchain-based System Architecture for Search and Rescue</t>
  </si>
  <si>
    <t>2021 IEEE 18th International Conference on Mobile Ad Hoc and Smart Systems (MASS)</t>
  </si>
  <si>
    <t>2155-6814</t>
  </si>
  <si>
    <t>10.1109/MASS52906.2021.00044</t>
  </si>
  <si>
    <t>Center for Ubiquitous Computing, University of Oulu, Oulu, Finland; Department of Computing, University of Turku, Turku, Finland; Department of Computing, University of Turku, Turku, Finland</t>
  </si>
  <si>
    <t>With the development in information and communications technology (ICT) and drones such as Internet-of-Things (IoT), edge computing, image processing, and autonomous drones, solutions supporting search and rescue (SAR) missions can be developed with more intelligent capabilities. In most of the drone and unmanned aerial vehicle (UAV) based systems supporting SAR missions, several drones deployed in different areas acquire images and videos that are sent to a ground control station (GCS) for processing and detecting a missing person. Although this offers many advantages, such as easy management and deployment, the approach still has many limitations. For example, when a connection between a drone and a GCS has some problems, the quality of service cannot be maintained. Many drone and UAV-based systems do not support flexibility, transparency, security, and traceability. In this paper, we propose a novel Internet-of-Drones (IoD) architecture using blockchain technology. We implement the proposed architecture with different drones, edge servers, and a Hyperledger blockchain network. The proof-of-concept design demonstrates that the proposed architecture can offer high-level services such as prolonging the operating time of a drone, improving the capability of detecting humans accurately, and a high level of transparency, traceability, and security.</t>
  </si>
  <si>
    <t>978-1-6654-4935-9</t>
  </si>
  <si>
    <t xml:space="preserve">Academy of Finland; </t>
  </si>
  <si>
    <t>https://ieeexplore.ieee.org/stamp/stamp.jsp?arnumber=9637730</t>
  </si>
  <si>
    <t>Internet-of-Drones;Edge computing;Blockchain;Hyperledger Fabric;Search and rescue</t>
  </si>
  <si>
    <t>Systems architecture;Computer architecture;Quality of service;Autonomous aerial vehicles;Information and communication technology;Blockchains;Security</t>
  </si>
  <si>
    <t>N. Salhab; R. Rahim; R. Langar</t>
  </si>
  <si>
    <t>NFV Orchestration Platform for 5G over On-the-fly Provisioned Infrastructure</t>
  </si>
  <si>
    <t>IEEE INFOCOM 2019 - IEEE Conference on Computer Communications Workshops (INFOCOM WKSHPS)</t>
  </si>
  <si>
    <t>10.1109/INFCOMW.2019.8845141</t>
  </si>
  <si>
    <t>LIGM, University Paris-Est, France, Paris, France; Faculty of Science, Lebanese University; LIGM-CNRS, UPEM, Marne-la-Vall√©e, Paris, France</t>
  </si>
  <si>
    <t>Multiple services with heterogeneous characteristics are anticipated with fifth generation of mobile communications (5G). Each requires an infrastructure tuned to serve requirements. To maintain affordability, operators will provide these services over a common infrastructure segmented into different network slices. A slice is a logical network built using Virtualized Network Functions (VNFs) that are enabled by leveraging Network Function Virtualization (NFV) and Software-Defined Networking (SDN). Orchestration is key for saving costs when tailoring infrastructures due to scarcity of resources. In this demo, we present an on-the-fly provisioned infrastructure used to implement 5G Core Network (CN) as a Service (CNaaS). Our platform is designed for high-availability with self-healing capability. It uses Docker Swarm as an orchestrator and OpenAirInterface (OAI) for virtualizing the CN. We demonstrate resiliency, effortless on-demand scaling and orchestrated auto-scaling using bin-packing or spreading strategies for achieving elasticity.</t>
  </si>
  <si>
    <t>978-1-7281-1878-9</t>
  </si>
  <si>
    <t>https://ieeexplore.ieee.org/stamp/stamp.jsp?arnumber=8845141</t>
  </si>
  <si>
    <t>Docker Swarm;Microservices;Orchestration;Auto-scaling;Elasticity;Cloud Architecture;OAI</t>
  </si>
  <si>
    <t>5G mobile communication;Computer architecture;Elasticity;Containers;Cloud computing;Network function virtualization;Resilience</t>
  </si>
  <si>
    <t>A. Buzachis; A. Galletta; A. Celesti; M. Fazio; M. Villari</t>
  </si>
  <si>
    <t>Development of a Smart Metering Microservice Based on Fast Fourier Transform (FFT) for Edge/Internet of Things Environments</t>
  </si>
  <si>
    <t>2019 IEEE 3rd International Conference on Fog and Edge Computing (ICFEC)</t>
  </si>
  <si>
    <t>10.1109/CFEC.2019.8733148</t>
  </si>
  <si>
    <t>Department of Mathematics, Computer Science, Physics and Earth Sciences, University of Messina, Messina, Italy; Department of Mathematics, Computer Science, Physics and Earth Sciences, University of Messina, Messina, Italy; Department of Mathematics, Computer Science, Physics and Earth Sciences, University of Messina, Messina, Italy; Department of Mathematics, Computer Science, Physics and Earth Sciences, University of Messina, Messina, Italy; Department of Mathematics, Computer Science, Physics and Earth Sciences, University of Messina, Messina, Italy</t>
  </si>
  <si>
    <t>In recent years, great attention has been given to new Internet of Things (IoT) technologies. The IoT concept is nowadays intrinsic to traditional products and services. With its rapid development, more and more small smart devices are connected over the Internet in order to monitor, collect and exchange data in real-time to provide smart IoT-as-a-Services (IoTaaS). A few years ago, IoT devices exclusively sent data to a centralized Cloud data center; today it is possible to perform "on board" processing tasks at the Edge of the network and subsequently share or use the obtained results closer to users. This paper, focusing on a smart grid scenario, investigates the possibility of creating an IoTaaS for smart metering, including a microservice for IoT devices capable of acquiring and processing electrical data using the Fast Fourier Transform (FFT) algorithm. In particular, we experimentally use the smart metering IoTaaS running on a Raspberry Pi 3 device to perform a harmonic analysis of a frequency signal of the domestic electrical grid in order to characterize the non-linear loads associated to the electronic devices (e.g., smart TV, computers, etc) with the purpose of monitoring their status and preventing possible malfunctions and faults.</t>
  </si>
  <si>
    <t>978-1-7281-2365-3</t>
  </si>
  <si>
    <t>https://ieeexplore.ieee.org/stamp/stamp.jsp?arnumber=8733148</t>
  </si>
  <si>
    <t>Smart metering;smart grid;energy;power;FFT;Cloud Computing;Internet of Things;Edge Computing.</t>
  </si>
  <si>
    <t>Cloud computing;Harmonic analysis;Internet of Things;Monitoring;Power quality;Fast Fourier transforms</t>
  </si>
  <si>
    <t>I. Kilanioti; G. Rizzo; B. M. Masini; A. Bazzi; D. P. M. Osorio; F. Linsalata; M. Magarini; D. L√∂schenbrand; T. Zemen; A. Kliks</t>
  </si>
  <si>
    <t>Intelligent Transportation Systems in the Context of 5G-Beyond and 6G Networks</t>
  </si>
  <si>
    <t>2022 IEEE Conference on Standards for Communications and Networking (CSCN)</t>
  </si>
  <si>
    <t>10.1109/CSCN57023.2022.10050942</t>
  </si>
  <si>
    <t>School of Electrical and Computer Engineering, National Technical University of Athens, Athens, Greece; HES-SO Valais, Switzerland; CNR-IEIIT and Wilab, CNIT, Bologna, Italy; DEI, Universit√† di Bologna, and WiLab, CNIT, Bologna, Italy; Centre for Wireless Communications, University of Oulu, Oulu, Finland; Dept. Electronics, Information and Bioengineering, Politecnico di Milano, Milano, Italy; Dept. Electronics, Information and Bioengineering, Politecnico di Milano, Milano, Italy; AIT AIT Austrian Institute of Technology, Vienna, Austria; AIT AIT Austrian Institute of Technology, Vienna, Austria; Institute of Radiocommunications, Poznan University of Technology, Poznan, Poland</t>
  </si>
  <si>
    <t>The role of wireless communications in guaranteeing safe and resource-efficient intelligent transportation systems (ITS) is of great significance. With the advent of a new technological epoch in cellular network development, various novel technical solutions are being considered as key enablers for future 5G-beyond and 6G networks. In this position paper, we identify and discuss three key pillars in the wireless network evolution that we suppose to be the foundation for the practical deployment of mass ITS. We first show how edge-located solutions may help in data delivery, next we present the role of the integrated communications and sensing paradigm (ICAS) in vehicular communications, and finally, we concentrate on advances in cellular-based sidelink communications.</t>
  </si>
  <si>
    <t>978-1-6654-7621-8</t>
  </si>
  <si>
    <t>https://ieeexplore.ieee.org/stamp/stamp.jsp?arnumber=10050942</t>
  </si>
  <si>
    <t>ITS;V2X communications;ICAS;short-range communications;content caching;6G</t>
  </si>
  <si>
    <t>6G mobile communication;Cellular networks;Wireless networks;Focusing;Sensors;Reliability;Intelligent transportation systems</t>
  </si>
  <si>
    <t>A. Carrega; L. Caviglione; M. Repetto; M. Zuppelli</t>
  </si>
  <si>
    <t>Programmable Data Gathering for Detecting Stegomalware</t>
  </si>
  <si>
    <t>2020 6th IEEE Conference on Network Softwarization (NetSoft)</t>
  </si>
  <si>
    <t>10.1109/NetSoft48620.2020.9165537</t>
  </si>
  <si>
    <t>CNIT - S3ITI; CNR - IMATI; CNR - IMATI; CNR - IMATI</t>
  </si>
  <si>
    <t>The ‚Äúarm race‚Äù against malware developers requires to collect a wide variety of performance measurements, for instance to face threats leveraging information hiding and steganography. Unfortunately, this process could be time-consuming, lack of scalability and cause performance degradations within computing and network nodes. Moreover, since the detection of steganographic threats is poorly generalizable, being able to collect attack-independent indicators is of prime importance. To this aim, the paper proposes to take advantage of the extended Berkeley Packet Filter to gather data for detecting stegomalware. To prove the effectiveness of the approach, it also reports some preliminary experimental results obtained as the joint outcome of two H2020 Projects, namely ASTRID and SIMARGL.</t>
  </si>
  <si>
    <t>978-1-7281-5684-2</t>
  </si>
  <si>
    <t>https://ieeexplore.ieee.org/stamp/stamp.jsp?arnumber=9165537</t>
  </si>
  <si>
    <t>eBPF;syscall tracing;stegomalware;covert channels;detection</t>
  </si>
  <si>
    <t>Malware;Monitoring;Virtualization;Virtual machining;Computer security</t>
  </si>
  <si>
    <t>K. Sideris; R. Nejabati; D. Simeonidou</t>
  </si>
  <si>
    <t>Seer: Empowering Software Defined Networking with Data Analytics</t>
  </si>
  <si>
    <t>2016 15th International Conference on Ubiquitous Computing and Communications and 2016 International Symposium on Cyberspace and Security (IUCC-CSS)</t>
  </si>
  <si>
    <t>10.1109/IUCC-CSS.2016.033</t>
  </si>
  <si>
    <t>High Performance Networks Group, University of Bristol, UK; High Performance Networks Group, University of Bristol, UK; High Performance Networks Group, University of Bristol, UK</t>
  </si>
  <si>
    <t>Network complexity is increasing, making network control and orchestration a challenging task. The proliferation of network information and tools for data analytics can provide an important insight into resource provisioning and optimisation. The network knowledge incorporated in software defined networking can facilitate the knowledge driven control, leveraging the network programmability. We present Seer: a flexible, highly configurable data analytics platform for network intelligence based on software defined networking and big data principles. Seer combines a computational engine with a distributed messaging system to provide a scalable, fault tolerant and real-time platform for knowledge extraction. Our first prototype uses Apache Spark for streaming analytics and open network operating system (ONOS) controller to program a network in real-time. The first application we developed aims to predict the mobility pattern of mobile devices inside a smart city environment.</t>
  </si>
  <si>
    <t>978-1-5090-5566-1</t>
  </si>
  <si>
    <t>https://ieeexplore.ieee.org/stamp/stamp.jsp?arnumber=7828600</t>
  </si>
  <si>
    <t>Big data;data analytics;data mining;knowledge centric networking (KCN);software defined networking (SDN);Seer</t>
  </si>
  <si>
    <t>Knowledge engineering;Data mining;Data analysis;Big data;Software defined networking;Optimization;IEEE 802.11 Standard</t>
  </si>
  <si>
    <t>U. Acar; R. F. Ustok; S. Keskin; D. Breitgand; A. Weit</t>
  </si>
  <si>
    <t>Programming Tools for Rapid NFV-Based Media Application Development in 5G Networks</t>
  </si>
  <si>
    <t>2018 IEEE Conference on Network Function Virtualization and Software Defined Networks (NFV-SDN)</t>
  </si>
  <si>
    <t>10.1109/NFV-SDN.2018.8725610</t>
  </si>
  <si>
    <t>Netas Telekomunikasyon Anonim Sirketi, Istanbul, TURKEY; Netas Telekomunikasyon Anonim Sirketi, Istanbul, TURKEY; Netas Telekomunikasyon Anonim Sirketi, Istanbul, TURKEY; IBM Research, Haifa, ISRAEL; IBM Research, Haifa, ISRAEL</t>
  </si>
  <si>
    <t>The emergence of virtualisation and Infrastructure-as-a-Service (IaaS) have dramatically transformed the telecom industry through network function virtualisation (NFV). A recently introduced cloud-native concept, Platform as a Service (PaaS), ensures to further boost the performance, portability and cost efficiency of the NFV. The 5G-MEDIA project proposes the application of a serverless paradigm known as Function-as-a- Service (FaaS) to NFV for the media applications exploiting the 5G technologies. In addition to integration of FaaS, the 5G-MEDIA application/service development kit (SDK) supports microservice-based application development for both hypervisor-based and containerized approaches, specifically supporting Docker, unikernel and LXC. In this paper, we provide an overview of the 5G-MEDIA SDK which is built to support NFV-based next generation media applications and to achieve a development time in the order of minutes. Furthermore, implementations of FaaS Emulation and FaaS command line interface (CLI) tools are also presented.</t>
  </si>
  <si>
    <t>978-1-5386-8281-4</t>
  </si>
  <si>
    <t>https://ieeexplore.ieee.org/stamp/stamp.jsp?arnumber=8725610</t>
  </si>
  <si>
    <t>5G;5G MEDIA;NFV;SDK</t>
  </si>
  <si>
    <t>Tools;Media;FAA;5G mobile communication;Emulation;Containers;Computer architecture</t>
  </si>
  <si>
    <t>C. Sarathchandra; S. Robitzsch; M. Ghassemian; U. Olvera-Hernandez</t>
  </si>
  <si>
    <t>Enabling Bi-directional Haptic Control in Next Generation Communication Systems: Research, Standards, and Vision</t>
  </si>
  <si>
    <t>2021 IEEE Conference on Standards for Communications and Networking (CSCN)</t>
  </si>
  <si>
    <t>10.1109/CSCN53733.2021.9686137</t>
  </si>
  <si>
    <t>InterDigital Europe Ltd, London, United Kingdom; InterDigital Europe Ltd, London, United Kingdom; InterDigital Europe Ltd, London, United Kingdom; InterDigital Canada Lt√©e, Montreal, Canada</t>
  </si>
  <si>
    <t>Human multi-modality information such as audio (hearing) and visual (sight) or a combination thereof audiovisual are transferred over communication networks. Yet interacting sense of touch (haptic) and particularly the kinaesthetic (muscular movement) component has much stricter end-to-end latency communication requirements between tactile user ends. The statements in this paper, to enable bi-directional haptic control, indeed follow the widely accepted understanding that edge computing is one of the key drivers behind Tactile Internet aiming to bring control and user plane services closer to where they are needed. However, with an updated wider analysis of (pre)standardisation activities that are chartered around Tactile Internet, this paper highlights the technology gaps and recommends open research topics in this area.</t>
  </si>
  <si>
    <t>978-1-6654-2349-6</t>
  </si>
  <si>
    <t xml:space="preserve">European Commission(grant numbers:H2020-ICT-42-2020,957242); </t>
  </si>
  <si>
    <t>https://ieeexplore.ieee.org/stamp/stamp.jsp?arnumber=9686137</t>
  </si>
  <si>
    <t>Tactile Internet;B5G;Haptic;Multi-modality;Ultra-low latency communication;Use Cases;IEEE;3GPP;IETF;Standards</t>
  </si>
  <si>
    <t>Tactile Internet;Visualization;Technological innovation;Bidirectional control;Medical services;Real-time systems;Standards</t>
  </si>
  <si>
    <t>E. J. Cedillo-Elias; J. A. Orizaga-Trejo; V. M. Larios; L. A. Maciel Arellano</t>
  </si>
  <si>
    <t>Smart Government infrastructure based in SDN Networks: the case of Guadalajara Metropolitan Area</t>
  </si>
  <si>
    <t>2018 IEEE International Smart Cities Conference (ISC2)</t>
  </si>
  <si>
    <t>10.1109/ISC2.2018.8656801</t>
  </si>
  <si>
    <t>Smart Cities Innovation Center, University of Guadalajara, Guadalajara, M√©xico; Smart Cities Innovation Center, University of Guadalajara, Guadalajara, M√©xico; Smart Cities Innovation Center, University of Guadalajara, Guadalajara, M√©xico; Jalisco State Government, Coordinaci√≥n de Desarrollo de Tecnolog√≠a Financiera, Guadalajara, Jalisco</t>
  </si>
  <si>
    <t>Guadalajara city is in transformation towards being a Smart City, for that it has to improve its IT infrastructure. As part of the Smart City development process in Guadalajara Metropolitan Area, Jalisco State Government is improving its IT infrastructure towards a Smart Government developing more services connected to the citizens. With 8.14 million inhabitants in Jalisco State, the 61% has concentrated in de metropolitan zone; every online service must support connectivity of millions of users in peak periods with a good quality of service and user experience. As an example, each year the government has to collect taxes for the city, creating peaks of connectivity into tax offices. With the integration of Cloud Computing services, we present a study of accessibility for the citizens through to mobile platforms looking to orchestrate data flows with Private Cloud Infrastructure and Software Defined Networks (SDN). Based on open source solutions, this paper presents a collaborative experience among Government and Academia in the implementation of a private Cloud together with SDN technologies offering advantages in Cloud services to improve Smart Government services. Also through of implementation of IoT devices, the tax offices sense and monitor different environment variables to improve services.</t>
  </si>
  <si>
    <t>978-1-5386-5959-5</t>
  </si>
  <si>
    <t>https://ieeexplore.ieee.org/stamp/stamp.jsp?arnumber=8656801</t>
  </si>
  <si>
    <t>Smart Cities;infrastructure;Smart Government;SDN Networks;Cloud Environment for Government</t>
  </si>
  <si>
    <t>Government;Cloud computing;Smart cities;Finance;Software defined networking;Computer architecture</t>
  </si>
  <si>
    <t>F. AKLAMANU; S. RANDRIAMASY; E. RENAULT</t>
  </si>
  <si>
    <t>Demo: Intent-Based 5G IoT Application Network Slice Deployment</t>
  </si>
  <si>
    <t>2019 10th International Conference on Networks of the Future (NoF)</t>
  </si>
  <si>
    <t>10.1109/NoF47743.2019.9015048</t>
  </si>
  <si>
    <t>Nokia Bell Labs, Nozay, France; Nokia Bell Labs, Nozay, France; Samovar, CNRS, Institut Polytechnique de Paris, Evry, France</t>
  </si>
  <si>
    <t>Current Telco Network Service Provisioning requires proficient expertise on Infrastructure equipment. Moreover the process is tedious and erroneous making Network Service lifecycle a daunting task for Network Operators (NOs) and 3rd Party Network Tenants. This paper, proposes an Over-The-Top Intent Based Network Framework for Network Slice Provisioning. The aim is to automate the task of network slicing through a declarative approach known as Intents while hiding the network complexity. We provide an experimental validation of the Intent Framework with a deployment scenario of a 5G IoT Application Network Slice.</t>
  </si>
  <si>
    <t>978-1-7281-4445-0</t>
  </si>
  <si>
    <t>https://ieeexplore.ieee.org/stamp/stamp.jsp?arnumber=9015048</t>
  </si>
  <si>
    <t>5G mobile communication;Cloud computing;Monitoring;Random access memory;Biomedical monitoring;Software;Manuals</t>
  </si>
  <si>
    <t>R. Sanchez-Iborra; S. Covaci; J. Santa; J. Sanchez-Gomez; J. Gallego-Madrid; A. F. Skarmeta</t>
  </si>
  <si>
    <t>MEC-Assisted End-to-End 5G-Slicing for IoT</t>
  </si>
  <si>
    <t>10.1109/GLOBECOM38437.2019.9013623</t>
  </si>
  <si>
    <t>University of Murcia, Murcia, Spain; Technical University Berlin, Berlin, Germany; Technical University of Cartagena, Cartagena, Spain; University of Murcia, Murcia, Spain; University of Murcia, Murcia, Spain; University of Murcia, Murcia, Spain</t>
  </si>
  <si>
    <t>The Internet of Things (IoT) has emerged as a key horizontal technology enabler within the 5G ecosystem, characterized by supporting the heterogeneity of end-devices, radio-access technologies, and services. Network slicing techniques allow to configure dedicated networks with assured resources to specific users or applications over a common physical infrastructure. This paper describes a novel end- to-end network slicing framework for IoT services in 5G systems, based on a Multi-Access Edge Computing (MEC) and central cloud architecture that permits the flexible and dynamic placement of micro-services encapsulated as Virtualized Network Functions (VNFs) along the end-to-end path. The critical analysis of the validation results highlights the performance and flexibility gains of our proposal. It allows deploying end-to-end slices over a number of participating domains in a very short time, it is able to isolate slices with guaranteed Quality of Service (QoS) parameters, and shows great scalability in terms of number of connected end-devices and application services.</t>
  </si>
  <si>
    <t>https://ieeexplore.ieee.org/stamp/stamp.jsp?arnumber=9013623</t>
  </si>
  <si>
    <t>5G mobile communication;Quality of service;Network slicing;Internet of Things;Scalability;Computer architecture;Industries</t>
  </si>
  <si>
    <t>W. Smith; G. Kuperman; M. Chan; E. Morgan; H. Nguyen; N. Schear; B. Vu; A. Weinert; M. Weyant; D. Whisman</t>
  </si>
  <si>
    <t>Cloud computing in tactical environments</t>
  </si>
  <si>
    <t>MILCOM 2017 - 2017 IEEE Military Communications Conference (MILCOM)</t>
  </si>
  <si>
    <t>2155-7586</t>
  </si>
  <si>
    <t>10.1109/MILCOM.2017.8170823</t>
  </si>
  <si>
    <t>MIT Lincoln Laboratory; MIT Lincoln Laboratory; MIT Lincoln Laboratory; MIT Lincoln Laboratory; MIT Lincoln Laboratory; MIT Lincoln Laboratory; MIT Lincoln Laboratory; MIT Lincoln Laboratory; MIT Lincoln Laboratory; MIT Lincoln Laboratory</t>
  </si>
  <si>
    <t>Ground personnel at the tactical edge often lack data and analytics that would increase their effectiveness. To address this problem, this work investigates methods to deploy cloud computing capabilities in tactical environments. Our approach is to identify representative applications and to design a system that spans the software/hardware stack to support such applications while optimizing the use of scarce resources. This paper presents our high-level design and the results of initial experiments that indicate the validity of our approach.</t>
  </si>
  <si>
    <t>978-1-5386-0595-0</t>
  </si>
  <si>
    <t>https://ieeexplore.ieee.org/stamp/stamp.jsp?arnumber=8170823</t>
  </si>
  <si>
    <t>Cloud computing;Computer architecture;Streaming media;Quality of service;Bandwidth;Personnel</t>
  </si>
  <si>
    <t>J. Gal√°n-Jim√©nez; A. G. Vegas; J. Berrocal</t>
  </si>
  <si>
    <t>Energy-efficient deployment of IoT applications in remote rural areas using UAV networks</t>
  </si>
  <si>
    <t>2022 14th IFIP Wireless and Mobile Networking Conference (WMNC)</t>
  </si>
  <si>
    <t>2473-3644</t>
  </si>
  <si>
    <t>10.23919/WMNC56391.2022.9954292</t>
  </si>
  <si>
    <t>Department of Computer Systems and Telematics Engineering, University of Extremadura, C√°ceres, Spain; Department of Computer Systems and Telematics Engineering, University of Extremadura, C√°ceres, Spain; Department of Computer Systems and Telematics Engineering, University of Extremadura, C√°ceres, Spain</t>
  </si>
  <si>
    <t>The Internet penetration rates are increasing every year, reaching more than 80% in developed countries. However, there are at least two billion people living in rural and low-income areas experiencing a complete lack of Internet connectivity, which prevents the deployment of key services such as remote health-care, emergency services, remote learning, or personal communications. In order to bring services closer to people living in rural areas, this paper exploits the capabilities of Unmanned Aerial Vehicles (UAVs) to propose an UAV-based network architecture and an energy-efficient algorithm to deploy IoT applications that can improve the quality of life of rural population. In particular, IoT applications are decomposed into microservices, which are deployed into a subset of UAVs to overcome the limitations of running the whole IoT application at a single UAV, which could result in worse outcomes due to their battery and computation limitations. Simulation results over a realistic scenario show the effectiveness of the proposed solution, evaluating the percentage of IoT requests that are served to users in the area under evaluation and reducing the energy consumption required by UAVs when handling such requests.</t>
  </si>
  <si>
    <t>978-3-903176-52-2</t>
  </si>
  <si>
    <t xml:space="preserve">European Regional Development Fund; </t>
  </si>
  <si>
    <t>https://ieeexplore.ieee.org/stamp/stamp.jsp?arnumber=9954292</t>
  </si>
  <si>
    <t>Energy efficiency;UAV;IoT;microservices;digital divide</t>
  </si>
  <si>
    <t>Wireless communication;Energy consumption;Simulation;Sociology;Microservice architectures;Network architecture;Autonomous aerial vehicles</t>
  </si>
  <si>
    <t>D. Kaklis; P. Eirinakis; G. Giannakopoulos; C. Spyropoulos; T. J. Varelas; I. Varlamis</t>
  </si>
  <si>
    <t>A big data approach for Fuel Oil Consumption estimation in the maritime industry</t>
  </si>
  <si>
    <t>2022 IEEE Eighth International Conference on Big Data Computing Service and Applications (BigDataService)</t>
  </si>
  <si>
    <t>10.1109/BigDataService55688.2022.00014</t>
  </si>
  <si>
    <t>Dep. of Informatics and Telematics, Danaos Research Center, NCSR Demokritos, Harokopio University of Athens, Athens, Greece; Department of Industrial Management &amp; Technology, University of Piraeus, Piraeus, Greece; Institute of Informatics &amp; Telecoms NCSR Demokritos, Athens, Greece; Institute of Informatics &amp; Telecoms NCSR Demokritos, Athens, Greece; Danaos Research Center, Piraeus, Greece; Department of Informatics and Telematics, Harokopio University of Athens, Athens, Greece</t>
  </si>
  <si>
    <t>Route optimization has been a research topic for many years in the maritime industry and it constitutes one of the key components to improving energy efficiency and sustainability in ship operations. This paper deals with the challenge of estimating Fuel Oil Consumption (FOC) in the context of Weather Routing (WR). Given a plethora of features collected from the vessel‚Äôs Automatic Identification System (AIS) or on-board sensor installations, we examine how a predictive FOC scheme can be coupled with WR optimization algorithms in order to reduce the vessel‚Äôs FOC, emissions, and the overall cost of a voyage. In order to handle the amount of data required for FOC prediction, we employ a streaming pipeline that harvests data in real-time from different sources and processes them appropriately for visualization, causal analysis, and forecasting purposes. In this direction, we first conduct an exploratory analysis to examine and unveil the importance and inter-association between the various variables related to sea-keeping and weather features, in order to utilize them effectively in the context of a FOC predictive scheme. Furthermore, we introduce a novel recurrent neural network architecture that approximates ideally the underlying function describing the features and the vessel‚Äôs FOC by taking into account historical data, and we showcase the results. Finally, we demonstrate how the FOC prediction model can be coupled with a WR algorithm to propose the optimal route for a vessel in terms of FOC efficiency.</t>
  </si>
  <si>
    <t>978-1-6654-5890-0</t>
  </si>
  <si>
    <t xml:space="preserve">Stavros Niarchos Foundation; </t>
  </si>
  <si>
    <t>https://ieeexplore.ieee.org/stamp/stamp.jsp?arnumber=9898181</t>
  </si>
  <si>
    <t>big data collection;information processing;vessel data;fuel oil consumption;weather routing optimization;recurrent neural networks</t>
  </si>
  <si>
    <t>Industries;Recurrent neural networks;Oils;Big Data;Routing;Prediction algorithms;Fuels</t>
  </si>
  <si>
    <t>M. R. S. Sedghpour; P. Townend</t>
  </si>
  <si>
    <t>Service Mesh and eBPF-Powered Microservices: A Survey and Future Directions</t>
  </si>
  <si>
    <t>2022 IEEE International Conference on Service-Oriented System Engineering (SOSE)</t>
  </si>
  <si>
    <t>10.1109/SOSE55356.2022.00027</t>
  </si>
  <si>
    <t>Department of Computing Science, Ume√• University, Ume√•, Sweden; Department of Computing Science, Ume√• University, Ume√•, Sweden</t>
  </si>
  <si>
    <t>Modern software development practice has seen a profound shift in architectural design, moving from monolithic approaches to distributed, microservice-based architectures. This allows for much simpler and faster application orchestration and management, especially in cloud-based systems, with the result being that orchestration systems themselves are becoming a key focus of computing research.Orchestration system research addresses many different subject areas, including scheduling, automation, and security. However, the key characteristic that is common throughout is the complex and dynamic nature of distributed, multi-tenant cloud-based microservice systems that must be orchestrated. This complexity has led to many challenges in areas such as inter-service communication, observability, reliability, single cluster to multi-cluster, hybrid environments, and multi-tenancy.The concept of service meshes has been introduced to handle this complexity. In essence, a service mesh is an infrastructure layer built directly into the microservices - or the nodes of orchestrators - as a set of configurable proxies that are responsible for the management, observability, and security of microservices.Service meshes aim to be a full networking solution for microservices; however, they also introduce overhead into a system - this can be significant for low-powered edge devices, as service mesh proxies work in user space and are responsible for processing the incoming and outgoing traffic of each service. To mitigate performance issues caused by these proxies, the industry is pushing the boundaries of monitoring and security to kernel space by employing eBPF for faster and more efficient responses.We propose that the movement towards the use of service meshes as a networking solution for most of the required features by industry - combined with their integration with eBPF - is the next key trend in the evolution of microservices. This paper highlights the challenges of this movement, explores its current state, and discusses future opportunities in the context of microservices.</t>
  </si>
  <si>
    <t>978-1-6654-7534-1</t>
  </si>
  <si>
    <t>https://ieeexplore.ieee.org/stamp/stamp.jsp?arnumber=9912629</t>
  </si>
  <si>
    <t>Service-Oriented Computing;Microservice;Service Mesh;eBPF</t>
  </si>
  <si>
    <t>Industries;Runtime;Service-oriented systems engineering;Microservice architectures;Software;Complexity theory;Security</t>
  </si>
  <si>
    <t>J. Nakazato; M. Kuchitsu; A. Pawar; S. Masuko; K. Tokugawa; K. Kubota; K. Maruta; K. Sakaguchi</t>
  </si>
  <si>
    <t>Proof-of-Concept of Distributed Optimization of Micro-Services on Edge Computing for Beyond 5G</t>
  </si>
  <si>
    <t>2022 IEEE 95th Vehicular Technology Conference: (VTC2022-Spring)</t>
  </si>
  <si>
    <t>2577-2465</t>
  </si>
  <si>
    <t>10.1109/VTC2022-Spring54318.2022.9860668</t>
  </si>
  <si>
    <t>Rakuten Mobile, Inc., Rakuten Crimson House, 1-14-1 Tamagawa, Setagaya-ku, Tokyo, Japan; Rakuten Mobile, Inc., Rakuten Crimson House, 1-14-1 Tamagawa, Setagaya-ku, Tokyo, Japan; Rakuten Mobile, Inc., Rakuten Crimson House, 1-14-1 Tamagawa, Setagaya-ku, Tokyo, Japan; Rakuten Mobile, Inc., Rakuten Crimson House, 1-14-1 Tamagawa, Setagaya-ku, Tokyo, Japan; Tokyo Institute of Technology, Ookayama, Meguro-ku, Tokyo, Japan; Tokyo Institute of Technology, Ookayama, Meguro-ku, Tokyo, Japan; Tokyo Institute of Technology, Ookayama, Meguro-ku, Tokyo, Japan; Tokyo Institute of Technology, Ookayama, Meguro-ku, Tokyo, Japan</t>
  </si>
  <si>
    <t>3G and 4G mobile services have become widespread in our lifecycle, and expectations for a better quality of throughput/latency experience are being placed to 5G era. In recent two years, 5G pilot services have been launched to deal with the drastic increase in mobile devices and application types. However, since 5G adopts a higher frequency than conventional 3G/4G, base stations must be densified. Therefore, virtualization resources for softwarization in various technologies (e.g., Virtualized RAN (Radio Access Network), Virtualized Core, Virtualized Applications) are more appreciated. In this research, we focus on edge computing, which is one of the cores of Beyond 5G, to utilize the virtualization resources. Critical potentials of edge computing are traffic reduction, low latency, and high security for mobile networks. However, various studies were made based only on numerical analysis or parts of the trial of the experiment due to a lack of technical preparation for end-to-end (E2E) environments (e.g., devices, RAN, Core, applications, human resources) with software/hardware flexibility. To show the state-of-the-art edge computing for Beyond 5G (B5G), we established a true E2E B5G Edge Cloud in Ookayama Campus of Tokyo Institute of Technology, Japan. In addition, focusing on the effective use of computation resources in Edge Clouds as an advantage of edge computing, we proposed a cloud-native with network function deployment architecture for computation resource sharing in different Edge Clouds. Specifically, we focused on Virtualized CU (Central Unit) in RAN and proposed to operate CU-CP (Control Plane) and CU-UP (User Plane) in different Edge Cloud. Its feasibility is validated through a measurement.</t>
  </si>
  <si>
    <t>978-1-6654-8243-1</t>
  </si>
  <si>
    <t xml:space="preserve">National Institute of Information and Communications Technology; </t>
  </si>
  <si>
    <t>https://ieeexplore.ieee.org/stamp/stamp.jsp?arnumber=9860668</t>
  </si>
  <si>
    <t>Edge Cloud;Virtualization;Proof-of-Concept;Micro-Service;Beyond 5G</t>
  </si>
  <si>
    <t>Cloud computing;Vehicular and wireless technologies;5G mobile communication;Computer architecture;Throughput;Resource management;Virtualization</t>
  </si>
  <si>
    <t>A. Kaur; R. Kumar; S. Saxena</t>
  </si>
  <si>
    <t>Osmotic Computing and Related Challenges: A Survey</t>
  </si>
  <si>
    <t>2020 Sixth International Conference on Parallel, Distributed and Grid Computing (PDGC)</t>
  </si>
  <si>
    <t>2573-3079</t>
  </si>
  <si>
    <t>10.1109/PDGC50313.2020.9315757</t>
  </si>
  <si>
    <t>Computer Science and Engg. Dept., Thapar Institute of Engg. &amp; Tech., Patiala, India; Computer Science and Engg. Dept., Thapar Institute of Engg. &amp; Tech., Patiala, India; Computer Science and Engg. Dept., Thapar Institute of Engg. &amp; Tech., Patiala, India</t>
  </si>
  <si>
    <t>Internet of Things (IoT) is associated with a worldwide network of interconnecting devices which are further connected to the internet, thus considerably increasing the number, range and type of devices. These devices provide anywhere and anytime connection to anyone. The IoT devices produce a large volume of data which necessitates data management. Osmotic Computing (OC), a new paradigm is driven by an increase in the resource capability or capacity at the network edge. The process of OC represents how to migrate services across the data centre to the network edge. Thus, it implies the dynamic management of macroservices and microservices across edge and cloud data centres. The goal of this work is to identify key findings of OC.</t>
  </si>
  <si>
    <t>978-1-7281-7132-6</t>
  </si>
  <si>
    <t>https://ieeexplore.ieee.org/stamp/stamp.jsp?arnumber=9315757</t>
  </si>
  <si>
    <t>Osmotic Computing;IoT;Microservices;Service Migration;MicroELements</t>
  </si>
  <si>
    <t>Cloud computing;Internet of Things;Osmosis;Data centers;Solvents;Edge computing;Computer architecture</t>
  </si>
  <si>
    <t>E. Blasch; R. Xu; S. Y. Nikouei; Y. Chen</t>
  </si>
  <si>
    <t>A Study of Lightweight DDDAS Architecture for Real-Time Public Safety Applications Through Hybrid Simulation</t>
  </si>
  <si>
    <t>2019 Winter Simulation Conference (WSC)</t>
  </si>
  <si>
    <t>1558-4305</t>
  </si>
  <si>
    <t>10.1109/WSC40007.2019.9004727</t>
  </si>
  <si>
    <t>Dynamic Data and Information Processing, Air Force Office of Scientific Research, Arlington, VA, USA; Dept. of Electrical and Computer Engineering, Binghamton University, SUNY, Binghamton, NY, USA; Dept. of Electrical and Computer Engineering, Binghamton University, SUNY, Binghamton, NY, USA; Dept. of Electrical and Computer Engineering, Binghamton University, SUNY, Binghamton, NY, USA</t>
  </si>
  <si>
    <t>Utilizing the Dynamic Data Driven Applications Systems (DDDAS) framework for Smart Cities, a Smart Public Safety (SPS) system has become feasible by integrating heterogeneous computing devices to collaboratively provide public safety services. However, a service oriented architecture (SOA) is difficult to provide scalable and extensible services in a city-wide distributed Internet of Things (IoT)-based SPS system. Furthermore, traditional management and security solutions rely on a centralized authority, which can be the performance bottleneck or single point of failure. Inspired by the microservices architecture and blockchain technology, a Lightweight IoT based Smart Public Safety (LISPS) framework is proposed on top of a permissioned blockchain network. Through decoupling a monolithic complex system into independent sub-tasks, the LISPS system possesses high flexibility in the design process and online maintenance. The experimental results demonstrate the feasibility of the approach to provide a secured data sharing and access control mechanism.</t>
  </si>
  <si>
    <t>978-1-7281-3283-9</t>
  </si>
  <si>
    <t>https://ieeexplore.ieee.org/stamp/stamp.jsp?arnumber=9004727</t>
  </si>
  <si>
    <t>USGov</t>
  </si>
  <si>
    <t>Data models;Sensors;Computer architecture;Computational modeling;Adaptation models;Safety</t>
  </si>
  <si>
    <t>J. A. Valdivia; X. Lim√≥n; K. Cortes-Verdin</t>
  </si>
  <si>
    <t>Quality attributes in patterns related to microservice architecture: a Systematic Literature Review</t>
  </si>
  <si>
    <t>2019 7th International Conference in Software Engineering Research and Innovation (CONISOFT)</t>
  </si>
  <si>
    <t>10.1109/CONISOFT.2019.00034</t>
  </si>
  <si>
    <t>School of Statistics and Informatics, Universidad Veracruzana, Xalapa, Ver, Mexico; School of Statistics and Informatics, Universidad Veracruzana, Xalapa, Ver, Mexico; School of Statistics and Informatics, Universidad Veracruzana, Xalapa, Ver, Mexico</t>
  </si>
  <si>
    <t>Microservices is an interesting option for those who want to migrate their systems to improve performance, maintainability, scalability, and interoperability. Microservice architecture is a collection of self-sufficient services working together to provide functionalities. Nowadays, there are many options to build microservices, some of them are lead by patterns. However, the mapping between quality attributes and patterns is not clear yet. This systematic literature review presents a microservice pattern collection, it describes their benefits and the association between patterns and quality attributes. Finally, some metrics of quality attributes are identified.</t>
  </si>
  <si>
    <t>978-1-7281-2524-4</t>
  </si>
  <si>
    <t>https://ieeexplore.ieee.org/stamp/stamp.jsp?arnumber=9105640</t>
  </si>
  <si>
    <t>Microservices;Patterns;Quality attributes;Software architecture</t>
  </si>
  <si>
    <t>S. Strobl; M. Kl√∂ppel-Gersdorf; T. Otto; J. Grimm</t>
  </si>
  <si>
    <t>C-ITS Pilot in Dresden ‚Äì Designing a modular C-ITS architecture</t>
  </si>
  <si>
    <t>2019 6th International Conference on Models and Technologies for Intelligent Transportation Systems (MT-ITS)</t>
  </si>
  <si>
    <t>10.1109/MTITS.2019.8883376</t>
  </si>
  <si>
    <t>Intelligent Transport Systems, Fraunhofer Institute for Transportation and Infrastructure Systems IVI, Dresden, Germany; Intelligent Transport Systems, Fraunhofer Institute for Transportation and Infrastructure Systems IVI, Dresden, Germany; Intelligent Transport Systems, Fraunhofer Institute for Transportation and Infrastructure Systems IVI, Dresden, Germany; Intelligent Transport Systems, Fraunhofer Institute for Transportation and Infrastructure Systems IVI, Dresden, Germany</t>
  </si>
  <si>
    <t>Cooperative Intelligent Transport Systems (C-ITS) have seen increased interest in recent years, with several ongoing activities and first practical implementations. While clearly V2X-communication will play a significant role in all C-ITS deployments, several key components, such as the wireless communication technology and the message formats, are still evolving. This calls for a modular approach when designing C-ITS infrastructure, especially when considering a real world urban environment. Such environments are characterized by heterogeneous traffic light hardware and traffic management systems. This paper focuses on the modular architecture of the C-ITS pilot in Dresden. For example, a highly flexible communication stack is developed for this special purpose. It fully supports the message types standardized by European Telecommunications Standards Institute (ETSI) on the one hand, while on the other hand allowing the rapid implementation and test of novel message types and contents. This went hand in hand with the development of a modular roadside unit, enabling the rapid implementation of service applications on its central processing unit. In combination with a cloud-based backend, a real-time C-ITS service platform with a hybrid communication concept is developed. This paper presents a modular architecture and best practice guidelines based on experiences of the C-ITS pilot in Dresden. First results of research topics, such as latency measurements, are shown. The ongoing C-ITS deployment in Dresden is part of the initiative "Synchrone Mobilit√§t 2023", which aims at advancing Intelligent Transport Systems. Focusing on automated and connected driving in urban areas, the research and development projects under its umbrella initiate scientific and technological developments and provide comprehensive test facilities. Automated and connected driving in urban areas requires not only simulations and test drives on test sites but also enormous testing effort under real traffic conditions. The Dresden Testbed offers outstanding conditions to conduct real-world test with a multitude of test kilometers and the experience of different traffic scenarios.</t>
  </si>
  <si>
    <t>978-1-5386-9484-8</t>
  </si>
  <si>
    <t>https://ieeexplore.ieee.org/stamp/stamp.jsp?arnumber=8883376</t>
  </si>
  <si>
    <t>V2X;automated and connected vehicles;communication in ITS</t>
  </si>
  <si>
    <t>Cloud computing;Roads;Urban areas;Real-time systems;Testing;ETSI</t>
  </si>
  <si>
    <t>M. Symeonides; D. Trihinas; G. Pallis; M. D. Dikaiakos; C. Psomas; I. Krikidis</t>
  </si>
  <si>
    <t>5G-Slicer: An emulator for mobile IoT applications deployed over 5G network slices</t>
  </si>
  <si>
    <t>2022 IEEE/ACM Seventh International Conference on Internet-of-Things Design and Implementation (IoTDI)</t>
  </si>
  <si>
    <t>10.1109/IoTDI54339.2022.00008</t>
  </si>
  <si>
    <t>Department of Computer Science, University of Cyprus; Department of Computer Science, University of Nicosia; Department of Computer Science, University of Cyprus; Department of Computer Science, University of Cyprus; Department of Electrical and Computer Engineering, University of Cyprus; Department of Electrical and Computer Engineering, University of Cyprus</t>
  </si>
  <si>
    <t>5G is emerging as a key mobile network technology offering Gbps transmission rates, lower communication latency, and support for 10-100x more connected devices. The full exploitation of 5G relies on network slicing, a network virtualization technique where operators split a physical network among a wide number and variety of services, in accordance to their individual needs. However, experimentation with 5G-enabled services and measurement of key performance indicators (KPIs) over network slices is extremely challenging as it requires the deployment and coordination of numerous physical devices, including edge and cloud resources. In this paper, we introduce 5G-Slicer; an open and extensible framework for modeling and rapid experimentation of 5G-enabled services via a scalable network slicing emulator. Through modeling abstractions, our solution eases the definition of 5G network slices, virtual and physical fog resources, and the mobility of involved entities. With the blueprint of an emulated testbed at hand, users can create reproducible experiments to evaluate application functionality and KPIs by injecting load, faults and even changing runtime configurations. To show the wide applicability of 5G-Slicer, we introduce a proof-of-concept use-case that encompasses different scenarios for capacity management in a city-scale intelligent transportation service. Evaluation results exploiting real 5G data show that 5G-slicer presents, at most, an 11.7% deviation when comparing actual and emulated network Quality of Service (QoS).</t>
  </si>
  <si>
    <t>978-1-6654-9641-4</t>
  </si>
  <si>
    <t>https://ieeexplore.ieee.org/stamp/stamp.jsp?arnumber=9797405</t>
  </si>
  <si>
    <t>Network Slicing;Edge Computing;Mobility</t>
  </si>
  <si>
    <t>Cloud computing;Runtime;5G mobile communication;Scalability;Network slicing;Emulation;Transportation</t>
  </si>
  <si>
    <t>T. Leppanen</t>
  </si>
  <si>
    <t>Distributed Artificial Intelligence with Multi-Agent Systems for MEC</t>
  </si>
  <si>
    <t>2019 28th International Conference on Computer Communication and Networks (ICCCN)</t>
  </si>
  <si>
    <t>2637-9430</t>
  </si>
  <si>
    <t>10.1109/ICCCN.2019.8846960</t>
  </si>
  <si>
    <t>Center for Ubiquitous Computing, University of Oulu, Finland</t>
  </si>
  <si>
    <t>In this paper, the Multi-access Edge Computing (MEC) system architecture, as defined by the ETSI standards, is modeled as a multi-agent system. MEC system management services and application execution components are designed as software agents, facilitating distributed artificial intelligence capabilities in their operation and cooperation. Further, the integration of current agent technologies into the standardized MEC system is discussed. Lastly, a case study is presented on how to integrate an existing Internet of Things agent framework and agent-based edge application seamlessly to the MEC system.</t>
  </si>
  <si>
    <t>978-1-7281-1856-7</t>
  </si>
  <si>
    <t>https://ieeexplore.ieee.org/stamp/stamp.jsp?arnumber=8846960</t>
  </si>
  <si>
    <t>Edge computing;Cloud computing;Computer architecture;Software agents;Virtualization;Systems architecture;Multi-agent systems</t>
  </si>
  <si>
    <t>L. Maziero; T. B. Marchesan; C. H. Barriquello; D. P. Bernardon; F. G. Carloto; F. G. Reck; W. D. Vizzotto; F. V. Garcia</t>
  </si>
  <si>
    <t>Monitoring of Electric Parameters in the Federal University of Santa Maria Using LoRaWAN Technology</t>
  </si>
  <si>
    <t>2019 IEEE PES Innovative Smart Grid Technologies Conference - Latin America (ISGT Latin America)</t>
  </si>
  <si>
    <t>2643-8798</t>
  </si>
  <si>
    <t>10.1109/ISGT-LA.2019.8895425</t>
  </si>
  <si>
    <t>Federal University of Santa Maria, Santa Maria, Brazil; Federal University of Santa Maria, Santa Maria, Brazil; Federal University of Santa Maria, Santa Maria, Brazil; Federal University of Santa Maria, Santa Maria, Brazil; Federal University of Santa Maria, Santa Maria, Brazil; Federal University of Santa Maria, Santa Maria, Brazil; Federal University of Santa Maria, Santa Maria, Brazil; Federal University of Santa Maria, Santa Maria, Brazil</t>
  </si>
  <si>
    <t>In this work, introductory concepts and explanations related to the implementation of a measurement system of electric quantities in public buildings and distribution transformers in the Federal University of Santa Maria campus are presented, which are based on the LoRaWAN protocols for communication. The analysis is performed on a pilot LoRaWAN communication network in order to validate and verify the performance in a real environment. The energy meters are operating in Class A of the LoRaWAN protocol at 915-928 MHz. The main analysis performed is the packet delivery rate to the LoRaWAN network server, it's also presented the development of a panel for the analysis of electrical quantities, which presents features ranging from simple to advanced analysis. It is through the analysis of the packet delivery rate that LoRaWAN network performance metrics are generated, thus, applying strategies that mitigate costs and increase the robustness and reliability of the LoRaWAN network.</t>
  </si>
  <si>
    <t>978-1-5386-9567-8</t>
  </si>
  <si>
    <t>https://ieeexplore.ieee.org/stamp/stamp.jsp?arnumber=8895425</t>
  </si>
  <si>
    <t>LoRaWAN;Package Delivery Fee;Public Buildings;Electric Quantities</t>
  </si>
  <si>
    <t>A. Luntovskyy; B. Shubyn</t>
  </si>
  <si>
    <t>Highly-Distributed Systems Based on Micro-Services and their Construction Paradigms</t>
  </si>
  <si>
    <t>2020 IEEE 15th International Conference on Advanced Trends in Radioelectronics, Telecommunications and Computer Engineering (TCSET)</t>
  </si>
  <si>
    <t>10.1109/TCSET49122.2020.235378</t>
  </si>
  <si>
    <t>Saxon Study Academy, BA Dresden University of Coop. Education, Dresden, Germany; Institute of Telecommunications and Radioelectronics, Lviv Polytechnic National University, Lviv, Ukraine</t>
  </si>
  <si>
    <t>A definition for the HDS, as well as the demarcation to conventional distributed systems, were given. Typical architectures for HDS were discussed which affect increasing of QoS and of so-called QoE (Quality of Experience). The distinguishing features for HDS are clearly formulated. The advanced SWT (Software Technologies) approaches lead to use of young flexible service-oriented architectures like Micro-Services, which provide higher performance and small latencies, as well as better scalability, energy-efficiency and autarky.One possible option in the frame of HDS regarding security, privacy, authentication and compulsoriness of workflow steps, modules and service execution for such apps Blockchain and Smart Contracting are. The theoretical issues are proven via the represented examples and case studies.</t>
  </si>
  <si>
    <t>978-1-7281-5566-1</t>
  </si>
  <si>
    <t>https://ieeexplore.ieee.org/stamp/stamp.jsp?arnumber=9088603</t>
  </si>
  <si>
    <t>Highly-Distributed Systems;Agile Process Models;Quality of Experience;Service-Oriented Architectures;Micro-Services;DevOps;Scrum;Conway‚Äôs Law;Blockchain</t>
  </si>
  <si>
    <t>M. Gusev; S. Ristov; R. Prodan; M. Dzanko; I. Bilic</t>
  </si>
  <si>
    <t>Resilient IoT eHealth solutions in case of disasters</t>
  </si>
  <si>
    <t>2017 9th International Workshop on Resilient Networks Design and Modeling (RNDM)</t>
  </si>
  <si>
    <t>10.1109/RNDM.2017.8093024</t>
  </si>
  <si>
    <t>FCSE, Ss. Cyril and Methodius University, Skopje, Macedonia; FCSE, Ss. Cyril and Methodius University, Skopje, Macedonia; Distributed and Parallel Systems Group, University of Innsbruck, Innsbruck, Austria; Faculty of Electrical Engineering and Comnuting, University of Zagreb, Zagreb, Croatia; Faculty of Economics, University of Split, Split, Croatia</t>
  </si>
  <si>
    <t>Disaster-resilient solutions are those realistic, time dependent and policy driven processes to enable technical solutions working even in the case of a disaster. Two issues are tackled within this paper, what are the eHealth IoT solutions for disasters and analyze if these eHealth IoT solutions can be disaster-resilient. We present a scenario when eHealth IoT solutions can be used to manage the consequences after a natural or any other disaster as a kind of a technology-enabled crisis management. Consequences occur when the existing policies allow unpreparedness, unprotectedness, and inability to respond effectively. Technology-enabled disaster resilience, in our case, is a way-out strategy using an eHealth IoT solution. We introduce a new IoT eHealth solution to be used in an emergency after a disaster. However, the design of this solution should be also disaster resilient, without dependence on infrastructure that might be also exposed to a disaster. The corresponding architecture and solution are described and their properties analyzed.</t>
  </si>
  <si>
    <t>978-1-5386-0671-1</t>
  </si>
  <si>
    <t>https://ieeexplore.ieee.org/stamp/stamp.jsp?arnumber=8093024</t>
  </si>
  <si>
    <t>IoT;eHealth;information resilience</t>
  </si>
  <si>
    <t>Sensors;Medical diagnostic imaging;Resilience;Hospitals</t>
  </si>
  <si>
    <t>N. Blefari-Melazzi; S. Bartoletti; L. Chiaraviglio; F. Morselli; E. Baena; G. Bernini; D. Giustiniano; M. Hunukumbure; G. Solmaz; K. Tsagkaris</t>
  </si>
  <si>
    <t>LOCUS: Localization and analytics on-demand embedded in the 5G ecosystem</t>
  </si>
  <si>
    <t>2020 European Conference on Networks and Communications (EuCNC)</t>
  </si>
  <si>
    <t>10.1109/EuCNC48522.2020.9200961</t>
  </si>
  <si>
    <t>CNIT, Univ. of Roma Tor Vergata; CNIT, IEIIT-CNR, Bologna; CNIT, Univ. of Roma Tor Vergata; CNIT, Univ. of Ferrara, Italy; Departamento Ingenier√≠a de Comunicaciones, Universidad de M√°laga, Malaga, Spain; Nextworks, Pisa, Italy; IMDEA Networks, Madrid, Spain; Samsung, London, UK; NEC Laboratories Europe, Heidelberg, Germany; Incelligent, Athens, Greece</t>
  </si>
  <si>
    <t>Location information and context-awareness are essential for a variety of existing and emerging 5G-based applications. Nevertheless, navigation satellite systems are denied in in-door environments, current cellular systems fail to provide high-accuracy localization, and other local localization technologies (e.g., Wi-Fi or Bluetooth) imply high deployment, maintenance and integration costs. Raw spatiotemporal data are not sufficient by themselves and need to be integrated with tools for the analysis of the behavior of physical targets, to extract relevant features of interests. In this paper, we present LOCUS, an H2020 project (https://www.locus-project.eu/) funded by the European Commission, aiming at the design and implementation of an innovative location management layered platform which will be able to: i) improve localization accuracy, close to theoretical bounds, as well as localization security and privacy, ii) extend localization with physical analytics, iii) extract value out from the combined interaction of localization and analytics, while guaranteeing users' privacy.</t>
  </si>
  <si>
    <t>978-1-7281-4355-2</t>
  </si>
  <si>
    <t>https://ieeexplore.ieee.org/stamp/stamp.jsp?arnumber=9200961</t>
  </si>
  <si>
    <t>5G mobile communication;Computer architecture;3GPP;Virtualization;Software;Europe;Security</t>
  </si>
  <si>
    <t>M. G. Khan; J. Taheri; M. A. Khoshkholghi; A. Kassler; C. Cartwright; M. Darula; S. Deng</t>
  </si>
  <si>
    <t>A Performance Modelling Approach for SLA-Aware Resource Recommendation in Cloud Native Network Functions</t>
  </si>
  <si>
    <t>10.1109/NetSoft48620.2020.9165482</t>
  </si>
  <si>
    <t>Department of R&amp;D and Portfolio Ericsson, Stockholm, Sweden; Department of Computer Science, Karlstad University, Karlstad, Sweden; Department of Computer Science, Karlstad University, Karlstad, Sweden; Department of Computer Science, Karlstad University, Karlstad, Sweden; Department of R&amp;D and Portfolio Ericsson, Stockholm, Sweden; Department of R&amp;D and Portfolio Ericsson, Stockholm, Sweden; College of Computer Science and Technology, Zhejiang University, Hangzhou, China</t>
  </si>
  <si>
    <t>Network Function Virtualization (NFV) becomes the primary driver for the evolution of 5G networks, and in recent years, Network Function Cloudification (NFC) proved to be an inevitable part of this evolution. Microservice architecture also becomes the de facto choice for designing a modern Cloud Native Network Function (CNF) due to its ability to decouple components of each CNF into multiple independently manageable microservices. Even though taking advantage of microservice architecture in designing CNFs solves specific problems, this additional granularity makes estimating resource requirements for a Production Environment (PE) a complex task and sometimes leads to an over-provisioned PE. Traditionally, performance engineers dimension each CNF within a Service Function Chain (SFC) in a smaller Performance Testing Environment (PTE) through a series of performance benchmarks. Then, considering the Quality of Service (QoS) constraints of a Service Provider (SP) that are guaranteed in the Service Level Agreement (SLA), they estimate the required resources to set up the PE. In this paper, we used a machine learning approach to model the impact of each microservice's resource configuration (i.e., CPU and memory) on the QoS metrics (i.e. serving throughput and latency) of each SFC in a PTE. Then, considering an SP's Service Level Objectives (SLO), we proposed an algorithm to predict each microservice's resource capacities in a PE. We evaluated the accuracy of our prediction on a prototype of a cloud native 5G Home Subscriber Server (HSS). Our model showed 95%-78% accuracy in a PE that has 2-5 times more computing resources than the PTE.</t>
  </si>
  <si>
    <t>https://ieeexplore.ieee.org/stamp/stamp.jsp?arnumber=9165482</t>
  </si>
  <si>
    <t>Network Function Virtualization;Cloud Native Network Functions;Machine Learning;Service Level Agreement;Quality of Service</t>
  </si>
  <si>
    <t>Quality of service;Measurement;Cloud computing;Resource management;Benchmark testing;Virtualization;Computer architecture</t>
  </si>
  <si>
    <t>S. Wu; C. Denninnart; X. Li; Y. Wang; M. A. Salehi</t>
  </si>
  <si>
    <t>Descriptive and Predictive Analysis of Aggregating Functions in Serverless Clouds: the Case of Video Streaming</t>
  </si>
  <si>
    <t>2020 IEEE 22nd International Conference on High Performance Computing and Communications; IEEE 18th International Conference on Smart City; IEEE 6th International Conference on Data Science and Systems (HPCC/SmartCity/DSS)</t>
  </si>
  <si>
    <t>10.1109/HPCC-SmartCity-DSS50907.2020.00004</t>
  </si>
  <si>
    <t>High Performance Cloud Computing (HPCC) Lab, University of Louisiana at Lafayette, Louisiana, USA; High Performance Cloud Computing (HPCC) Lab, University of Louisiana at Lafayette, Louisiana, USA; Twitch.tv, California, USA; Department of Computer Science, Southwest Petroleum University, Chengdu, China; High Performance Cloud Computing (HPCC) Lab, University of Louisiana at Lafayette, Louisiana, USA</t>
  </si>
  <si>
    <t>Serverless clouds allocate multiple tasks (e.g., microservices) from multiple users on a shared pool of computing resources. This enables serverless cloud providers to reduce their resource usage by transparently aggregate similar tasks of a certain context (e.g., video processing) that share the whole or part of their computation. To this end, it is crucial to know the amount of time-saving achieved by aggregating the tasks. Lack of such knowledge can lead to uninformed merging and scheduling decisions that, in turn, can cause deadline violation of either the merged tasks or other following tasks. Accordingly, in this paper, we study the problem of estimating execution-time saving resulted from merging tasks with the example in the context of video processing. To learn the execution-time saving in different forms of merging, we first establish a set of benchmarking videos and examine a wide variety of video processing tasks-with and without merging in place. We observed that although merging can save up to 44% in the execution-time, the number of possible merging cases is intractable. Hence, in the second part, we leverage the benchmarking results and develop a method based on Gradient Boosting Decision Tree (GBDT) to estimate the time-saving for any given task merging case. Experimental results show that the method can estimate the time-saving with the error rate of 0.04, measured based on Root Mean Square Error (RMSE).</t>
  </si>
  <si>
    <t>978-1-7281-7649-9</t>
  </si>
  <si>
    <t xml:space="preserve">Louisiana Board of Regents; </t>
  </si>
  <si>
    <t>https://ieeexplore.ieee.org/stamp/stamp.jsp?arnumber=9407824</t>
  </si>
  <si>
    <t>Task Merging;Oversubscription;Serverless;Cloud Computing;Video Stream Processing;Gradient Boosting Decision Tree (GBDT)</t>
  </si>
  <si>
    <t>Processor scheduling;Merging;Measurement uncertainty;Streaming media;Benchmark testing;Boosting;Decision trees</t>
  </si>
  <si>
    <t>V. Podolskiy; A. Jindal; M. Gerndt; Y. Oleynik</t>
  </si>
  <si>
    <t>Forecasting Models for Self-Adaptive Cloud Applications: A Comparative Study</t>
  </si>
  <si>
    <t>2018 IEEE 12th International Conference on Self-Adaptive and Self-Organizing Systems (SASO)</t>
  </si>
  <si>
    <t>1949-3681</t>
  </si>
  <si>
    <t>10.1109/SASO.2018.00015</t>
  </si>
  <si>
    <t>Department of Computer Architecture and Parallel Systems, Technical University of Munich, Garching, Munich, Germany; Department of Computer Architecture and Parallel Systems, Technical University of Munich, Garching, Munich, Germany; Department of Computer Architecture and Parallel Systems, Technical University of Munich, Garching, Munich, Germany; Instana GmbH, San Mateo, CA</t>
  </si>
  <si>
    <t>With the introduction of autoscaling, clouds have strengthened their position as self-adaptive systems. Nevertheless, the reactive nature of the existing autoscaling solutions provided by major Infrastructure-as-a-Service (IaaS) cloud services providers (CSP) heavily limits the ability of cloud applications for self-adaptation. The major reason of such limitations is the necessity for the manual configuration of the autoscaling rules. With the evolution of monitoring systems, it became possible to employ the data-driven approaches to derive the parameters of scaling rules in order to enable the autoscaling in advance, i.e. the predictive autoscaling. The change in the amount of requests to microservices could be considered as a reason to adapt the virtual infrastructure underlying the cloud application. By forecasting the amount of requests to cloud application, it is possible to estimate the upcoming demand to replicate the microservices in advance. Hence, anticipation of the demand on the cloud application helps to evolve its self-adaptive properties. In the scope of the paper, the authors have tested various extrapolation models on the real anonymized requests time series data for 261 microservices provided by the industry partner Instana. The tested models are: various seasonal ARIMA models with GARCH modifications and outliers detection, exponential smoothing models, singular spectrum analysis (SSA), support vector regression (SVR), and simple linear regression. In order to evaluate the accuracy of these models, an interval score was used. The time required to fit and use each model was also evaluated. Comparative results of this research and the classification of forecasting models based on the interval accuracy score and model fitting time are provided in the paper. The study provides an approach to evaluate the quality of forecasting models to be used for self-adapting cloud applications and virtual infrastructure.</t>
  </si>
  <si>
    <t>978-1-5386-5172-8</t>
  </si>
  <si>
    <t>https://ieeexplore.ieee.org/stamp/stamp.jsp?arnumber=8614278</t>
  </si>
  <si>
    <t>requests forecasting;self-adaptive cloud;microservice;seasonal ARIMA;GARCH;SSA;SVR</t>
  </si>
  <si>
    <t>Forecasting;Time series analysis;Predictive models;Cloud computing;Mathematical model;Computational modeling;Smoothing methods</t>
  </si>
  <si>
    <t>D. Arcelli; V. Cortellessa; D. Di Pompeo; R. Eramo; M. Tucci</t>
  </si>
  <si>
    <t>Exploiting Architecture/Runtime Model-Driven Traceability for Performance Improvement</t>
  </si>
  <si>
    <t>2019 IEEE International Conference on Software Architecture (ICSA)</t>
  </si>
  <si>
    <t>10.1109/ICSA.2019.00017</t>
  </si>
  <si>
    <t>Department of Information Engineering, University of L'Aquila, Italy; Department of Information Engineering, University of L'Aquila, Italy; Department of Information Engineering, University of L'Aquila, Italy; Department of Information Engineering, University of L'Aquila, Italy; Department of Information Engineering, University of L'Aquila, Italy</t>
  </si>
  <si>
    <t>Model-Driven Engineering techniques may achieve a major support to the software development when they allow to manage relationships between a running system and its architectural model. These relationships can be exploited for different goals, such as the software evolution due to new functional requirements. In this paper, we define and use relationships that work as support to the performance improvement of a running system. In particular, we combine: (i) a bidirectional model transformation framework tailored to define relationships between performance monitoring data and an architectural model, with (ii) a technique for detecting performance antipatterns and for suggesting architectural changes, aimed at removing performance problems identified on the basis of runtime information. The result is an integrated approach that exploits traceability relationships between the monitoring data and the architectural model to derive recommended refactoring solutions for the system performance improvement. The approach has been applied to an e-commerce application based on microservices that has been designed by means of UML software models profiled with MARTE.</t>
  </si>
  <si>
    <t>978-1-7281-0528-4</t>
  </si>
  <si>
    <t>https://ieeexplore.ieee.org/stamp/stamp.jsp?arnumber=8703902</t>
  </si>
  <si>
    <t>Software Performance;Architecture Traceability;Model-Driven Engineering</t>
  </si>
  <si>
    <t>Unified modeling language;Runtime;Analytical models;Software;Data models;Monitoring;Performance analysis</t>
  </si>
  <si>
    <t>M. Mekki; N. Toumi; A. Ksentini</t>
  </si>
  <si>
    <t>Microservices Configurations and the Impact on the Performance in Cloud Native Environments</t>
  </si>
  <si>
    <t>2022 IEEE 47th Conference on Local Computer Networks (LCN)</t>
  </si>
  <si>
    <t>0742-1303</t>
  </si>
  <si>
    <t>10.1109/LCN53696.2022.9843385</t>
  </si>
  <si>
    <t>Communication system department, EURECOM, Sophia Antipolis, France; Communication system department, EURECOM, Sophia Antipolis, France; Communication system department, EURECOM, Sophia Antipolis, France</t>
  </si>
  <si>
    <t>Cloud-native rethinks the application architecture by embracing a micro-service approach, where each microservice is packaged into containers to run in a centralized or an edge cloud. When deploying the container running the micro-service, the tenant has to specify the amount of CPU and memory limit to run their workload. However, it is not straightforward for a tenant to know in advance the computing amount that allows running the microservice optimally. This will impact the service performances and the infrastructure provider, particularly if the resource overprovisioning approach is used. To overcome this issue, we conduct in this paper an experimental study aiming to detect if a tenant‚Äôs configuration allows running its service optimally. We run several experiments on a cloud-native platform, using different types of applications under different resource configurations. The obtained results provide insights on how to detect and correct performance degradation due to misconfiguration of the service resource.</t>
  </si>
  <si>
    <t>978-1-6654-8001-7</t>
  </si>
  <si>
    <t>https://ieeexplore.ieee.org/stamp/stamp.jsp?arnumber=9843385</t>
  </si>
  <si>
    <t>Degradation;Computational modeling;Memory management;Microservice architectures;Containers;Computer networks;Communications technology</t>
  </si>
  <si>
    <t>A. Elsts; F. Hassani Bijarbooneh; M. Jacobsson; K. Sagonas</t>
  </si>
  <si>
    <t>ProFuN TG: A tool for programming and managing performance-aware sensor network applications</t>
  </si>
  <si>
    <t>2015 IEEE 40th Local Computer Networks Conference Workshops (LCN Workshops)</t>
  </si>
  <si>
    <t>10.1109/LCNW.2015.7365924</t>
  </si>
  <si>
    <t>Department of Information Technology, Uppsala University, Sweden; Department of Information Technology, Uppsala University, Sweden; Department of Information Technology, Uppsala University, Sweden; Department of Information Technology, Uppsala University, Sweden</t>
  </si>
  <si>
    <t>Sensor network macroprogramming methodologies such as the Abstract Task Graph hold the promise of enabling high-level sensor network application development. However, progress in this area is hampered by the scarcity of tools, and also because of insufficient focus on developing tool support for programming applications aware of performance requirements.</t>
  </si>
  <si>
    <t>978-1-4673-6773-8</t>
  </si>
  <si>
    <t>https://ieeexplore.ieee.org/stamp/stamp.jsp?arnumber=7365924</t>
  </si>
  <si>
    <t>Programming;Runtime;Hardware;Seals;Wireless sensor networks;Heating;Middleware</t>
  </si>
  <si>
    <t>R. Wang; X. Mou; J. Sun; P. Liu; X. Guo; T. Wo; X. Liu</t>
  </si>
  <si>
    <t>Cloud-Edge Collaborative Industrial Robotic Intelligent Service Platform</t>
  </si>
  <si>
    <t>2020 IEEE International Conference on Joint Cloud Computing</t>
  </si>
  <si>
    <t>10.1109/JCC49151.2020.00020</t>
  </si>
  <si>
    <t>State key Lab of Software Development Environment, Beihang University, Beijing, China; State key Lab of Software Development Environment, Beihang University, Beijing, China; State key Lab of Software Development Environment, Beihang University, Beijing, China; State key Lab of Software Development Environment, Beihang University, Beijing, China; State key Lab of Software Development Environment, Beihang University, Beijing, China; State key Lab of Software Development Environment, Beihang University, Beijing, China; State key Lab of Software Development Environment, Beihang University, Beijing, China</t>
  </si>
  <si>
    <t>With the development of industrial automation and intelligence deepening, industrial robots' installations increase rapidly. The traditional robot operation and management methods are no longer suitable for current requirements. Cloud computing and big data technology together are deemed to form a promising and possible solution to this challenge. From this point of view, this paper proposes a novel industrial robotics cloud platform architecture, and application orchestration and containerized software appliance technology-enabled cloud-edge collaboration mechanism is designed therein. Two exemplary and real-world case studies, supervisory control and data acquisition, and industrial robot predictive maintenance, are further conducted to demonstrate our architecture's generality and versatility.</t>
  </si>
  <si>
    <t>978-1-7281-6981-1</t>
  </si>
  <si>
    <t>https://ieeexplore.ieee.org/stamp/stamp.jsp?arnumber=9183661</t>
  </si>
  <si>
    <t>Cloud Robotics, Cloud-edge Collaboration, Intelligent Service Architecture, Service Orchestration</t>
  </si>
  <si>
    <t>Cloud computing;Service robots;Collaboration;Robot sensing systems;Computer architecture;Engines</t>
  </si>
  <si>
    <t>G. Rzevski; S. Kozhevnikov; M. Svitek</t>
  </si>
  <si>
    <t>Smart City as an Urban Ecosystem</t>
  </si>
  <si>
    <t>2020 Smart City Symposium Prague (SCSP)</t>
  </si>
  <si>
    <t>10.1109/SCSP49987.2020.9133849</t>
  </si>
  <si>
    <t>The Open University, Milton Keynes and Digital Ecosystems Ltd, London; Czech Institute of Informatics, Robotics and Cybernetics, Czech Technical University, Prague; Faculty of Transportation Sciences, Czech Technical University, Prague</t>
  </si>
  <si>
    <t>Traditionally, cities evolved over time into current quite rigid urban conurbations. As complexity of our political, social and economic environment increases, cities begin to experience new pressures - traffic congestion, pollution, immigration, overcrowding, inadequacy of services, to mention just a few, which affect both citizens and visitors. Digital technology now exists that we could use to turn rigid cities into Urban Ecosystems. The paper provides an updated definition of Smart City as an Urban Ecosystem, it analyses problems experienced by cities caused by complexity of the Internet-based global economy and describes an advanced solution - to design cities as urban ecosystems capable of delivering services to citizens and visitors under conditions of complexity. The authors have developed an evolutionary methodology that ensure a minimum of disruptions to city services during its transformation into an urban ecosystem. Design of Smart City ontology is provided as an example.</t>
  </si>
  <si>
    <t>978-1-7281-6821-0</t>
  </si>
  <si>
    <t>https://ieeexplore.ieee.org/stamp/stamp.jsp?arnumber=9133849</t>
  </si>
  <si>
    <t>Smart City;Complex Adaptive Systems;Urban Ecosystems;Selforganisation;Coevolution</t>
  </si>
  <si>
    <t>Economics;Adaptive systems;Pollution;Smart cities;Ecosystems;Transportation;Ontologies</t>
  </si>
  <si>
    <t>R. Kraft; F. Birk; M. Reichert; A. Deshpande; W. Schlee; B. Langguth; H. Baumeister; T. Probst; M. Spiliopoulou; R. Pryss</t>
  </si>
  <si>
    <t>Design and Implementation of a Scalable Crowdsensing Platform for Geospatial Data of Tinnitus Patients</t>
  </si>
  <si>
    <t>2019 IEEE 32nd International Symposium on Computer-Based Medical Systems (CBMS)</t>
  </si>
  <si>
    <t>2372-9198</t>
  </si>
  <si>
    <t>10.1109/CBMS.2019.00068</t>
  </si>
  <si>
    <t>Institute of Databases and Information Systems, Ulm University, Germany; Institute of Databases and Information Systems, Ulm University, Germany; Institute of Databases and Information Systems, Ulm University, Germany; Department of Speech-Language-Hearing Sciences, Hofstra University, New York, USA; Clinic and Policlinic for Psychiatry and Psychotherapy, University of Regensburg, Germany; Clinic and Policlinic for Psychiatry and Psychotherapy, University of Regensburg, Germany; Department of Clinical Psychology and Psychotherapy, Ulm University, Germany; Department for Psychotherapy and Biopsychosocial Health, Danube University Krems, Austria; Department of Technical and Business Information Systems, Otto-von-Guericke-University, Magdeburg, Germany; Institute of Databases and Information Systems, Ulm University, Germany</t>
  </si>
  <si>
    <t>Smart devices and low-powered sensors are becoming increasingly ubiquitous and nowadays almost all of these devices are connected, which is a promising foundation for crowdsensing of data related to various environmental phenomena. Resulting data is especially meaningful when it is related to time and location. Interestingly, many existing approaches built their solution on monolithic backends that process data on a per-request basis. However, for many scenarios, such technical setting is not suitable for managing data requests of a large crowd. For example, when dealing with millions of data points, still many challenges arise for modern smartphones if calculations or advanced visualization features must be accomplished directly on the smartphone. Therefore, the work at hand proposes an architectural design for managing geospatial data of tinnitus patients, which combines a cloudnative approach with Big Data concepts used in the Internet of Things. The presented architectural design shall serve as a generic foundation to implement (1) a scalable backend for a platform that covers the aforementioned crowdsensing requirements as well as to provide (2) a sophisticated stream processing concept to calculate and pre-aggregate incoming measurement data of tinnitus patients. Following this, this paper presents a visualization feature to provide users with a comprehensive overview of noise levels in their environment based on noise measurements. This shall help tinnitus or hearing-impaired patients to avoid locations with a burdensome sound level.</t>
  </si>
  <si>
    <t>978-1-7281-2286-1</t>
  </si>
  <si>
    <t>https://ieeexplore.ieee.org/stamp/stamp.jsp?arnumber=8787488</t>
  </si>
  <si>
    <t>mHealth, crowdsensing, tinnitus, geospatial data, architectural design</t>
  </si>
  <si>
    <t>Geospatial analysis;Sensors;Noise measurement;Data visualization;Pollution measurement;Area measurement;Time measurement</t>
  </si>
  <si>
    <t>A. Tzenetopoulos; D. Masouros; K. Koliogeorgi; S. Xydis; D. Soudris; A. Chazapis; C. Kozanitis; A. Bilas; C. Pinto; H. -N. Nguyen; S. Louloudakis; G. Gardikis; G. Vamvakas; M. Aubrun; C. Symeonidou; V. Spitadakis; K. Xylogiannopoulos; B. Peischl; T. E. Kalayci; A. Stocker; J. -T. Acquaviva</t>
  </si>
  <si>
    <t>EVOLVE: Towards Converging Big-Data, High-Performance and Cloud-Computing Worlds</t>
  </si>
  <si>
    <t>2022 Design, Automation &amp; Test in Europe Conference &amp; Exhibition (DATE)</t>
  </si>
  <si>
    <t>10.23919/DATE54114.2022.9774698</t>
  </si>
  <si>
    <t>Institute of Communication and Computer Systems (ICCS), Athens, Greece; Institute of Communication and Computer Systems (ICCS), Athens, Greece; Institute of Communication and Computer Systems (ICCS), Athens, Greece; Institute of Communication and Computer Systems (ICCS), Athens, Greece; Institute of Communication and Computer Systems (ICCS), Athens, Greece; Institute of Computer Science, FORTH, Heraklion, Greece; Institute of Computer Science, FORTH, Heraklion, Greece; Institute of Computer Science, FORTH, Heraklion, Greece; IBM Research Europe, Dublin, Ireland; ATOS/Bull, Paris, France; Sunlight.io, Heraklion, Greece; Space Hellas S.A., Athens, Greece; Space Hellas S.A., Athens, Greece; Thales Alenia Space, Toulouse, France; NEUROCOM Luxembourg, Luxembourg; NEUROCOM Luxembourg, Luxembourg; AVL List GmbH, Graz, Austria; AVL List GmbH, Graz, Austria; Virtual Vehicle Research GmbH, Graz, Austria; Virtual Vehicle Research GmbH, Graz, Austria; DataDirect Networks, Paris, France</t>
  </si>
  <si>
    <t>EVOLVE is a pan European Innovation Action that aims to fully-integrate High-Performance-Computing (HPC) hardware with state-of-the-art software technologies under a unique testbed, that enables the convergence of HPC, Cloud and Big-Data worlds and increases our ability to extract value from massive and demanding datasets. EVOLVE's advanced compute platform combines HPC-enabled capabilities, with transparent deployment in high abstraction level, and a versatile Big-Data processing stack for end-to-end workflows. Hence, domain experts have the potential to improve substantially the efficiency of existing services or introduce new models in the respective domains, e.g., automotive services, bus transportation, maritime surveillance and others. In this paper, we describe EVOLVE's testbed, and evaluate the performance of the integrated pilots from different domains.</t>
  </si>
  <si>
    <t>978-3-9819263-6-1</t>
  </si>
  <si>
    <t xml:space="preserve">Horizon 2020(grant numbers:825061); </t>
  </si>
  <si>
    <t>https://ieeexplore.ieee.org/stamp/stamp.jsp?arnumber=9774698</t>
  </si>
  <si>
    <t>HPC;Cloud-computing;Big-Data;computing platform;accelerators;interference;resource orchestration</t>
  </si>
  <si>
    <t>Ports (computers);Cloud computing;Technological innovation;Data analysis;Surveillance;Europe;Seaports</t>
  </si>
  <si>
    <t>P. Bellavista; L. Foschini; N. Ghiselli; A. Reale</t>
  </si>
  <si>
    <t>MQTT-based Middleware for Container Support in Fog Computing Environments</t>
  </si>
  <si>
    <t>10.1109/ISCC47284.2019.8969615</t>
  </si>
  <si>
    <t>University of Bologna, Italy; University of Bologna, Italy; University of Bologna, Italy; IBM Research, Dublin, Ireland</t>
  </si>
  <si>
    <t>Distributed architectures where the Internet of Things (IoT) and the cloud are efficiently integrated play an increasingly important role for IoT solutions. Among these architectures, there is a growing interest in the ones that support the opportunity of functionality offloading towards either intermediate fog nodes or IoT end devices. Relevant existing research work has mainly focused so far on virtual machine and container migration to intermediate fog nodes and on migration of very simple functions to IoT endpoints (to preserve their limited resources available). In this paper, we originally concentrate on the gap associated with benefitting from fog functionality at resource-powerful IoT endpoints, to create a continuum deployment that glues IoT devices and the cloud. In particular, this paper originally presents a middleware that manages application deployment and life-cycle by simplifying and optimizing management operations such as device configuration and application constraint satisfaction. The proposed solution particularly fits highly articulated scenarios with large numbers of IoT devices and intermediate fog nodes, by supporting the opportunity to offload functionality in a split way between IoT endpoints and edge nodes. The reported experimental results confirm the feasibility of our approach in term of overhead, scalability, and application life-cycle management.</t>
  </si>
  <si>
    <t>https://ieeexplore.ieee.org/stamp/stamp.jsp?arnumber=8969615</t>
  </si>
  <si>
    <t>IoT;Fog Computing;Multi-access Edge Computing;Middleware;IBM Watson IoT‚Ñ¢;MQTT</t>
  </si>
  <si>
    <t>Internet of Things;Computer architecture;Middleware;Cloud computing;Performance evaluation;Containers;Standards</t>
  </si>
  <si>
    <t>O. Barais; J. Bourcier; Y. -D. Bromberg; C. Dion</t>
  </si>
  <si>
    <t>Towards microservices architecture to transcode videos in the large at low costs</t>
  </si>
  <si>
    <t>2016 International Conference on Telecommunications and Multimedia (TEMU)</t>
  </si>
  <si>
    <t>10.1109/TEMU.2016.7551918</t>
  </si>
  <si>
    <t>IRISA, University of Rennes 1, Bretagne Atlantique; IRISA, University of Rennes 1, Bretagne Atlantique; IRISA, University of Rennes 1, Bretagne Atlantique; B-COM, Rennes, France</t>
  </si>
  <si>
    <t>The increasing popularity of videos over Internet, combined with the wide heterogeneity of various kinds of end users' devices, imposes strong requirements on the underlying infrastructure and computing resources to meet the users expectations. In particular, designing an adequate transcoding workflow in the cloud to stream videos at large scale is: (i) costly, and (ii) complex. By inheriting key concepts from the software engineering domain, such as separation of concerns and microservice architecture style, we are giving our experience feedbacks of building both a low cost and efficient transcoding platform over an ad hoc computing cloud built around a rack of Raspberry Pis.</t>
  </si>
  <si>
    <t>978-1-4673-8409-4</t>
  </si>
  <si>
    <t>https://ieeexplore.ieee.org/stamp/stamp.jsp?arnumber=7551918</t>
  </si>
  <si>
    <t>Videos;Transcoding;Cloud computing;Containers;Streaming media;Servers</t>
  </si>
  <si>
    <t>M. Cinque; R. Della Corte; A. Pecchia</t>
  </si>
  <si>
    <t>Advancing Monitoring in Microservices Systems</t>
  </si>
  <si>
    <t>2019 IEEE International Symposium on Software Reliability Engineering Workshops (ISSREW)</t>
  </si>
  <si>
    <t>10.1109/ISSREW.2019.00060</t>
  </si>
  <si>
    <t>Dipartimento di Ingegneria Elettrica e delle Tecnologie dell'Informazione, Universit√† degli Studi di Napoli Federico II, Naples, Italy; Dipartimento di Ingegneria Elettrica e delle Tecnologie dell'Informazione, Universit√† degli Studi di Napoli Federico II, Naples, Italy; Dipartimento di Ingegneria Elettrica e delle Tecnologie dell'Informazione, Universit√† degli Studi di Napoli Federico II, Naples, Italy</t>
  </si>
  <si>
    <t>Monitoring is a core reliability engineering practice to gain insights into production systems. New trends in microservices exacerbate the role of monitoring. This paper discusses key challenges in microservices monitoring. We introduce our proposal for a novel monitoring framework, which aims to cope with existing challenges by means of non-intrusive techniques that capitalize on passive tracing and log analysis. We present our ongoing work on the topic and preliminary outcomes.</t>
  </si>
  <si>
    <t>978-1-7281-5138-0</t>
  </si>
  <si>
    <t>https://ieeexplore.ieee.org/stamp/stamp.jsp?arnumber=8990285</t>
  </si>
  <si>
    <t>Microservices, monitoring, tracing, log analysis</t>
  </si>
  <si>
    <t>E. Markoska; N. Jakica; S. Lazarova-Molnar; M. K. Kragh</t>
  </si>
  <si>
    <t>Assessment of Building Intelligence Requirements for Real Time Performance Testing in Smart Buildings</t>
  </si>
  <si>
    <t>2019 4th International Conference on Smart and Sustainable Technologies (SpliTech)</t>
  </si>
  <si>
    <t>10.23919/SpliTech.2019.8783002</t>
  </si>
  <si>
    <t>M√¶rsk Mc-Kinney M√∏ller Institute, University of Southern Denmark, Odense, Denmark; Department of Technology and Innovation, University of Southern Denmark, Odense, Denmark; M√¶rsk Mc-Kinney M√∏ller Institute, University of Southern Denmark, Odense, Denmark; Department of Technology and Innovation, University of Southern Denmark, Odense, Denmark</t>
  </si>
  <si>
    <t>Buildings contribute with 32% to the world's overall energy consumption. Given documented discrepancies between the design and operation of buildings, concepts such as continuous commissioning and performance testing (PTing) have emerged. To increase the applicability and customizability of real-time performance monitoring, PTing frameworks utilize metadata schemas and generic libraries of tests. However, real-time PTing requires enhanced instrumentation in the building, such as meters and sensors. Considering the usage and age of buildings, different buildings impose more stringent requirements for sensing equipment in terms of applicability of PTing. Prior work establishes a framework for automatic discovery of performance tests, and their continuous execution without human intervention. In this paper, we provide an algorithm for automatic estimation of the Smart Readiness Indicator (SRI), a metric for measuring the technological readiness of a building proposed by the European Commission. In line with our PTing framework, we estimate a minimal SRI for PTing to be 23%, implying high applicability across a variety of buildings. We evaluate a case study building for its SRI and perform sensitivity analyses of the SRI specific requirements against the PT-SRI.</t>
  </si>
  <si>
    <t>978-953-290-091-0</t>
  </si>
  <si>
    <t>https://ieeexplore.ieee.org/stamp/stamp.jsp?arnumber=8783002</t>
  </si>
  <si>
    <t>smart buildings;performance testing;smart readiness indicator;building intelligence</t>
  </si>
  <si>
    <t>Metadata;Software;Hardware;Building services;Instruments;Real-time systems</t>
  </si>
  <si>
    <t>J. Mart√≠nez; A. Romero-Garc√©s; C. Su√°rez; R. Marfi; K. L. Hing Ting; A. Iglesias; J. Garc√≠a; F. Fern√°ndez; A. Due√±as; L. V. Calderita; A. Bandera; J. P. Bandera</t>
  </si>
  <si>
    <t>Towards a robust robotic assistant for Comprehensive Geriatric Assessment procedures: updating the CLARC system</t>
  </si>
  <si>
    <t>2018 27th IEEE International Symposium on Robot and Human Interactive Communication (RO-MAN)</t>
  </si>
  <si>
    <t>1944-9437</t>
  </si>
  <si>
    <t>10.1109/ROMAN.2018.8525818</t>
  </si>
  <si>
    <t>Universidad de M√°laga, M√°laga, Spain; Universidad de M√°laga, M√°laga, Spain; Hospital Universitario Virgen del Rec√≠o, Seville, Spain; Universidad de M√°laga, M√°laga, Spain; Troyes University of Technology, France; Universidad Carlos III de Madrid, Legan√©s, Madrid, Spain; Universidad Carlos III de Madrid, Legan√©s, Madrid, Spain; Universidad Carlos III de Madrid, Legan√©s, Madrid, Spain; Hospital Universitario Virgen del Rec√≠o, Seville, Spain; Universidad de M√°laga, M√°laga, Spain; Universidad de M√°laga, M√°laga, Spain; Universidad de M√°laga, M√°laga, Spain</t>
  </si>
  <si>
    <t>Socially assistive robots appear as a powerful tool in the upcoming silver society. They are among the technologies for Assisted Living, offering a natural interface with smart environments, while helping people through social interaction. The CLARC project aims to develop a socially assistive robot to help clinicians perform Comprehensive Geriatric Assessment (CGA) procedures. This robot autonomously drives some tests and processes, saving time for the clinician to perform more added-value activities, like designing care plans. The project has recently finished its first two phases, and now it faces its final one. This paper details the current prototype of the CLARC system and the main results collected so far during its evaluation. Then, it describes the updates and modifications planned for the next year, in which long term extensive evaluations will be conducted to validate its acceptability and utility.</t>
  </si>
  <si>
    <t>978-1-5386-7980-7</t>
  </si>
  <si>
    <t>https://ieeexplore.ieee.org/stamp/stamp.jsp?arnumber=8525818</t>
  </si>
  <si>
    <t>Computer architecture;Prototypes;Software;Robot sensing systems;Sociology</t>
  </si>
  <si>
    <t>A. Kretsis; P. Kokkinos; P. Soumplis; J. J. V. Olmos; M. Feh√©r; M. Sipos; D. E. Lucani; D. Khabi; D. Masouros; K. Siozios; P. Bourgos; S. Tsekeridou; F. Zyulkyarov; E. Karanastasis; E. Chondrogiannis; V. Andronikou; A. F. Gomez; S. Panica; G. Iuhasz; A. Nanos; C. Chalios; M. Varvarigos</t>
  </si>
  <si>
    <t>SERRANO: Transparent Application Deployment in a Secure, Accelerated and Cognitive Cloud Continuum</t>
  </si>
  <si>
    <t>2021 IEEE International Mediterranean Conference on Communications and Networking (MeditCom)</t>
  </si>
  <si>
    <t>10.1109/MeditCom49071.2021.9647689</t>
  </si>
  <si>
    <t>Institute of Communication &amp; Computer Systems, School of Electrical &amp; Computer Engin., NTUA, Greece; Institute of Communication &amp; Computer Systems, School of Electrical &amp; Computer Engin., NTUA, Greece; Institute of Communication &amp; Computer Systems, School of Electrical &amp; Computer Engin., NTUA, Greece; NVIDIA Corporation, Israel; Chocolate Cloud ApS, Denmark; Chocolate Cloud ApS, Denmark; Chocolate Cloud ApS, Denmark; High Performance Computing Center, Universitaet Stuttgart, Germany; Aristotle University of Thessaloniki, Greece; Aristotle University of Thessaloniki, Greece; Intrasoft International SA, Luxembourg; Intrasoft International SA, Luxembourg; Inbestme Europe Agencia de Valores S.A., Spain; Innovation Acts Limited, Cyprus; Innovation Acts Limited, Cyprus; Innovation Acts Limited, Cyprus; Ideko S. Coop, Spain; Universitatea de Vest din Timi≈üoara, Romania; Universitatea de Vest din Timi≈üoara, Romania; Nubificus Ltd, United Kingdom; Nubificus Ltd, United Kingdom; Institute of Communication &amp; Computer Systems, School of Electrical &amp; Computer Engin., NTUA, Greece</t>
  </si>
  <si>
    <t>We are witnessing a wave of emerging cloud computing technologies and services that empower advanced applications from different vertical sectors, with diverse requirements. These trends give rise to a number of fundamental challenges that relate to the application deployment, the support of heterogeneous infrastructures and the provided security. In this setting, the SERRANO project steps in to define an intent-based paradigm of operating federated infrastructures consisting of edge, cloud and HPC resources, which will be realized through the SERRANO platform. Applications‚Äô high-level requirements will be translated to infrastructure-aware configuration parameters. SERRANO orchestration will then provide adaptive and efficient access to secure by design and accelerated resources. In this way, SERRANO will support cloud-native applications and services towards the cloud continuum.</t>
  </si>
  <si>
    <t>978-1-6654-4505-4</t>
  </si>
  <si>
    <t>https://ieeexplore.ieee.org/stamp/stamp.jsp?arnumber=9647689</t>
  </si>
  <si>
    <t>cloud computing;edge computing;HPC;security;hardware acceleration;orchestration</t>
  </si>
  <si>
    <t>Computers;Cloud computing;Technological innovation;Privacy;Conferences;Computer architecture;Market research</t>
  </si>
  <si>
    <t>H. H. A. Valera; M. Dalmau; P. Roose; J. Larracoechea; C. Herzog</t>
  </si>
  <si>
    <t>DRACeo: A smart simulator to deploy energy saving methods in microservices based networks</t>
  </si>
  <si>
    <t>2020 IEEE 29th International Conference on Enabling Technologies: Infrastructure for Collaborative Enterprises (WETICE)</t>
  </si>
  <si>
    <t>2641-8169</t>
  </si>
  <si>
    <t>10.1109/WETICE49692.2020.00026</t>
  </si>
  <si>
    <t>E2S UPPA, University of Pau, 64600 Anglet, FRANCE; E2S UPPA, University of Pau, 64600 Anglet, FRANCE; E2S UPPA, University of Pau, 64600 Anglet, FRANCE; E2S UPPA, University of Pau, 64600 Anglet, FRANCE; EFFICIT SAS - Mauzac, France</t>
  </si>
  <si>
    <t>Nowadays, many researchers work to identify microservices-based application deployments and scheduling solutions to save energy without decreasing functional QoS. In this work, we present DRACeo: A simulator that allows facing this challenge in a simple and efficient way, enabling its users to focus uniquely on microservices deployment/scheduling algorithms and its hardware/software repercussions (load vs. energy consumption) without worrying about low-level network configurations or operating system issues. DRACeo is able to deploy and schedule (move, duplicate, start/stop) microservices and their dependencies on various devices with software and hardware heterogeneity (CPU, bandwidth, RAM, Battery, etc.), taking into account various scheduling heuristics algorithms: centralized vs non-centralized. To do this, DRACeo allows deploying custom network topologies based on client-server schemes or p2p distributions, where devices can (dis)appear, turn on/off obeying random circumstances or user strategies. Finally, the simulator performs relevant operations such as QoS definition, resource monitoring, calculation of energy saved and consumption tracking (at device and network level). We tested some ideas based on our previous work ‚ÄúKaligreen‚Äù to demonstrate the effectiveness of DRACeo.</t>
  </si>
  <si>
    <t>978-1-7281-6975-0</t>
  </si>
  <si>
    <t>https://ieeexplore.ieee.org/stamp/stamp.jsp?arnumber=9338525</t>
  </si>
  <si>
    <t>microservices;middleware;energy;consumption;CPU;network;hard disk;prototype;simulator</t>
  </si>
  <si>
    <t>Performance evaluation;Schedules;Software algorithms;Random access memory;Quality of service;Software;Scheduling</t>
  </si>
  <si>
    <t>J. Pastor; J. M. Menaud</t>
  </si>
  <si>
    <t>SeDuCe: a Testbed for Research on Thermal and Power Management in Datacenters</t>
  </si>
  <si>
    <t>2018 26th International Conference on Software, Telecommunications and Computer Networks (SoftCOM)</t>
  </si>
  <si>
    <t>1847-358X</t>
  </si>
  <si>
    <t>10.23919/SOFTCOM.2018.8555773</t>
  </si>
  <si>
    <t>IMT Atlantique - Nantes; IMT Atlantique - Nantes</t>
  </si>
  <si>
    <t>978-9-5329-0087-3</t>
  </si>
  <si>
    <t>https://ieeexplore.ieee.org/stamp/stamp.jsp?arnumber=8555773</t>
  </si>
  <si>
    <t>Datacenters;Scientific testbed;Thermal management;Power management;Green computing</t>
  </si>
  <si>
    <t>Servers;Temperature sensors;Power demand;Cooling;Temperature measurement;Thermal management;Monitoring</t>
  </si>
  <si>
    <t>K. Rehman; O. Kipouridis; S. Karnouskos; O. Frendo; H. Dickel; J. Lipps; N. Verzano</t>
  </si>
  <si>
    <t>A Cloud-based Development Environment using HLA and Kubernetes for the Co-simulation of a Corporate Electric Vehicle Fleet</t>
  </si>
  <si>
    <t>2019 IEEE/SICE International Symposium on System Integration (SII)</t>
  </si>
  <si>
    <t>2474-2325</t>
  </si>
  <si>
    <t>10.1109/SII.2019.8700423</t>
  </si>
  <si>
    <t>SAP, Dietmar Hopp Allee 16, Walldorf, Germany; SAP, Dietmar Hopp Allee 16, Walldorf, Germany; SAP, Dietmar Hopp Allee 16, Walldorf, Germany; SAP, Dietmar Hopp Allee 16, Walldorf, Germany; SAP, Dietmar Hopp Allee 16, Walldorf, Germany; SAP, Dietmar Hopp Allee 16, Walldorf, Germany; SAP, Dietmar Hopp Allee 16, Walldorf, Germany</t>
  </si>
  <si>
    <t>Decision makers in modern enterprises need to assess so-called "what-if" scenarios and select the best of breed among the available alternatives. Although simulation plays a pivotal role in niche cases, it is an undervalued tool in the broader enterprise context. Its proliferation has not kept up with recent technological advances such as big data, cloud computing, graphics processing units clusters, and cross-layer enterprise integration. Based on such new developments, new capabilities can be realized that go beyond single-purpose simulations, and are an excellent fit for studying heterogeneous, independently developed System-of-Systems (SoS), in a multitude of scenarios in complex and dynamic enterprise environments. Co-simulation efforts can provide new insights on the enterprise operations including compelling visualizations of possible simulated alternatives, thereby assisting decision makers in their strategy selection. To move beyond niche applications, however, simulated systems need to integrate in real-time, a continually increasing amount of data (both real and simulated), stemming from various domains and their systems. This work presents a way to achieve such distributed simulations in modern enterprise environments, based on HighLevel Architecture (HLA), as well as their coordination via the Run-Time Infrastructure (RTI). In an example scenario featuring a co-simulation of a corporate electric vehicle fleet, it is shown how various software subsystems interact to enable business users to visually investigate scenarios, as well as how such a system can be deployed and operated within a modern enterprise IT landscape.</t>
  </si>
  <si>
    <t>978-1-5386-3615-2</t>
  </si>
  <si>
    <t>https://ieeexplore.ieee.org/stamp/stamp.jsp?arnumber=8700423</t>
  </si>
  <si>
    <t>Containers;Computer architecture;Tools;Data visualization;Solid modeling;Three-dimensional displays;Data models</t>
  </si>
  <si>
    <t>D. de la Bastida; F. J. Lin</t>
  </si>
  <si>
    <t>OpenStack-Based Highly Scalable IoT/M2M Platforms</t>
  </si>
  <si>
    <t>2017 IEEE International Conference on Internet of Things (iThings) and IEEE Green Computing and Communications (GreenCom) and IEEE Cyber, Physical and Social Computing (CPSCom) and IEEE Smart Data (SmartData)</t>
  </si>
  <si>
    <t>10.1109/iThings-GreenCom-CPSCom-SmartData.2017.110</t>
  </si>
  <si>
    <t>EECS International Graduate Program, National Chiao Tung University, Hsinchu City, Taiwan; Department of Computer Science, National Chiao Tung University, Hsinchu City, Taiwan</t>
  </si>
  <si>
    <t>The IoT/M2M platforms are emerging to provide a common service layer for various types of new IoT applications. It is foreseen billions of IoT/M2M devices will soon be connected to those IoT/M2M platforms hosted in the cloud. In this research we propose a highly scalable OpenStack-based architecture for IoT/M2M platforms. Our unique contribution consists of leveraging the advanced functionalities of OpenStack to introduce a master node specifically designed for IoT/M2M scalability in the cloud and a load balancing queue node cooperating with the master node for fair distribution of incoming traffic among platform nodes. Using four different types of IoT/M2M applications: smart meter, Bluetooth tags, eHealth, and video, we show that compared to LBAAS and Heat that are OpenStack native load balancing and scalability functions, in most cases our proposed system is capable of achieving the fastest response time and the lowest computational cost with acceptable tradeoff of more energy consumption.</t>
  </si>
  <si>
    <t>978-1-5386-3066-2</t>
  </si>
  <si>
    <t>https://ieeexplore.ieee.org/stamp/stamp.jsp?arnumber=8276829</t>
  </si>
  <si>
    <t>Cloud Computing;Internet of Things;Machine to Machine communications;Scalability;OpenStack</t>
  </si>
  <si>
    <t>Heating systems;Internet of Things;Conferences;Green computing;Social computing;Handheld computers;Cloud computing</t>
  </si>
  <si>
    <t>A. S. Gaur; J. Budakoti; C. -H. Lung</t>
  </si>
  <si>
    <t>Design and Performance Evaluation of Containerized Microservices on Edge Gateway in Mobile IoT</t>
  </si>
  <si>
    <t>2018 IEEE International Conference on Internet of Things (iThings) and IEEE Green Computing and Communications (GreenCom) and IEEE Cyber, Physical and Social Computing (CPSCom) and IEEE Smart Data (SmartData)</t>
  </si>
  <si>
    <t>10.1109/Cybermatics_2018.2018.00055</t>
  </si>
  <si>
    <t>Department of Systems and Computer Engineering, Carleton University, Ottawa, Canada; Department of Systems and Computer Engineering, Carleton University, Ottawa, Canada; Department of Systems and Computer Engineering, Carleton University, Ottawa, Canada</t>
  </si>
  <si>
    <t>Recently, Internet of Things (IoT) has drawn a great deal of attention and is envisioned in various sectors in the near future due to its promising benefits. However, the constant and rapid growth in IoT devices also brings new challenges due to constrained power and resources associated to them. One of the challenges is to provide seamless connectivity in mobile IoT. Secondly, IoT devices may stream enormous amount of data; hence, providing a solution that can effectively reduce service cost of data transfer. Finally, there are challenges in management and deployment of services running at mobile IoT Edge Gateway. In this context, containerized virtualization solution could play a key role in support of efficient management and deployment of microservices to provide seamless connectivity. This paper proposes a lightweight container-based virtualization technology for IoT, which employs Docker container-based microservices architecture for effectively deploying applications in a virtualized ecosystem. We evaluated the performance of the proposed solution on real IoT testbed using Raspberry Pi 3 as a mobile IoT Edge Gateway for network handover decision making among various alternatives, such as Wi-Fi, Radio, and Satellite. The results demonstrated better performance compared with the native environment, i.e., the one without introduction of a virtualization layer. The results also showed that the Docker container produces negligible resource overhead and can be used on resource constrained mobile IoT Edge Gateway devices like Raspberry Pi 3 for efficiently managing IoT application and services.</t>
  </si>
  <si>
    <t>978-1-5386-7975-3</t>
  </si>
  <si>
    <t>https://ieeexplore.ieee.org/stamp/stamp.jsp?arnumber=8726693</t>
  </si>
  <si>
    <t>Container virtualization;Internet of Things (IoT);service orchestration;Edge Computing;Mobility Management;Network Function Virtualization (NFV);Microservices;Network Handover</t>
  </si>
  <si>
    <t>Internet of Things;Logic gates;Containers;Handover;Wireless fidelity;Virtualization</t>
  </si>
  <si>
    <t>A. Iosup; G. Andreadis; V. Van Beek; M. Bijman; E. Van Eyk; M. Neacsu; L. Overweel; S. Talluri; L. Versluis; M. Visser</t>
  </si>
  <si>
    <t>The OpenDC Vision: Towards Collaborative Datacenter Simulation and Exploration for Everybody</t>
  </si>
  <si>
    <t>2017 16th International Symposium on Parallel and Distributed Computing (ISPDC)</t>
  </si>
  <si>
    <t>10.1109/ISPDC.2017.25</t>
  </si>
  <si>
    <t>Vrije Universiteit Amsterdam, Amsterdam, Noord-Holland, NL; Delft University of Technology, Delft, Netherlands; Delft University of Technology, Delft, Zuid-Holland, Netherlands; Delft University of Technology; Delft University of Technology, Delft, Zuid-Holland, NL; Vrije Universiteit Amsterdam; Delft University of Technology; Delft University of Technology; Vrije Universiteit Amsterdam; Delft University of Technology</t>
  </si>
  <si>
    <t>In the new Digital Economy, massive computer systems, often grouped in datacenters, serve as factories "producing" cloud services with massive consumption. However, to afford cloud services globally, we must address new research challenges in designing, operating, and using modern datacenters. We must also address challenges in educating and training the next generation of datacenter engineers. Addressing such challenges, in this work we present our vision on OpenDC: we envision the exploration of various datacenter concepts and technologies, using existing and new scientific methods, enabling new education practices and topics, and leading to the creation of new software and data artifacts. We present the datacenter concepts and technologies we are currently planning to explore using OpenDC. We identify the scientific methods we want to use, and explain our vision of education practices. We present the architecture and open-source program underlying the OpenDC software, and the format and open-access data we use for datacenter experiments. We conclude with an open invitation for the community to join our effort.</t>
  </si>
  <si>
    <t>978-1-5386-0862-3</t>
  </si>
  <si>
    <t>https://ieeexplore.ieee.org/stamp/stamp.jsp?arnumber=8121623</t>
  </si>
  <si>
    <t>OpenDC;datacenter operation;scheduling;cloud computing;big data;Simulation;Experimentation</t>
  </si>
  <si>
    <t>Cloud computing;FAA;Job shop scheduling;Resource management</t>
  </si>
  <si>
    <t>P. Koenig; J. Mangler; S. Rinderle-Ma</t>
  </si>
  <si>
    <t>Compliance Monitoring on Process Event Streams from Multiple Sources</t>
  </si>
  <si>
    <t>2019 International Conference on Process Mining (ICPM)</t>
  </si>
  <si>
    <t>10.1109/ICPM.2019.00026</t>
  </si>
  <si>
    <t>Faculty of Computer Science, University of Vienna, Vienna, Austria; Austrian Center of Digital Production, Vienna, Austria; Faculty of Computer Science, University of Vienna, Vienna, Austria</t>
  </si>
  <si>
    <t>Comprehensive and continuous compliance monitoring is crucial for many process scenarios, e.g., machine-spanning production processes. However, business process execution data is often scattered over several heterogeneous event sources and needs to be seamlessly incorporated into the data structure of the compliance checking system. The proposed COMS approach offers the possibility to define business rules based on process behaviour and the ability to handle events from different information system sources in an integrated way. COMS consists of a generic event data structure to store process information, a rule language, and matching concepts. COMS concepts are prototypically implemented and evaluated based on a real-world event stream from the manufacturing domain.</t>
  </si>
  <si>
    <t>978-1-7281-0919-0</t>
  </si>
  <si>
    <t>https://ieeexplore.ieee.org/stamp/stamp.jsp?arnumber=8786042</t>
  </si>
  <si>
    <t>Process Monitoring;Compliance Monitoring;Process Matching;Rule Matching;Event based Compliance Checking</t>
  </si>
  <si>
    <t>Data structures;Engines;Business;Monitoring;Information systems;Xenon;Web services</t>
  </si>
  <si>
    <t>B. -C. Chifor; S. -C. Arseni; I. Matei; I. Bica</t>
  </si>
  <si>
    <t>Security-Oriented Framework for Internet of Things Smart-Home Applications</t>
  </si>
  <si>
    <t>2019 22nd International Conference on Control Systems and Computer Science (CSCS)</t>
  </si>
  <si>
    <t>2379-0482</t>
  </si>
  <si>
    <t>10.1109/CSCS.2019.00033</t>
  </si>
  <si>
    <t>Faculty of Information Systems and Cyber Security, ‚ÄùFerdinand I‚Äù Military Technical Academy, Bucharest, Romania; Faculty of Information Systems and Cyber Security, ‚ÄùFerdinand I‚Äù Military Technical Academy, Bucharest, Romania; Faculty of Information Systems and Cyber Security, ‚ÄùFerdinand I‚Äù Military Technical Academy, Bucharest, Romania; Faculty of Information Systems and Cyber Security, ‚ÄùFerdinand I‚Äù Military Technical Academy, Bucharest, Romania</t>
  </si>
  <si>
    <t>The rapid growth of Internet of Things (IoT) connected devices will have a great impact on people's personal lives. Even if, at the beginning of the technological advance, IoT was used only in the industrial applications, now it has reached regular consumers, enabling Smart-Home applications. In the IoT landscape, Smart-Home applications need to meet certain requirements, such as enriching the user experience or allowing the integration with an IoT Cloud platform and a smartphone management solution. In a Smart-Home architecture, remote access, whether or not using a trusted Cloud, requires secure authentication and authorization mechanisms in order to protect against unauthorized actions. This paper proposes a Smart-Home security framework which consists in a Secure Cloud platform and a smartphone based command authorization solution. The Secure Cloud acts as proxy between the IoT devices and a third-party Cloud vendor and the smartphone authorization mechanism allows the user to control the commands received by the IoT device.</t>
  </si>
  <si>
    <t>978-1-7281-2331-8</t>
  </si>
  <si>
    <t>https://ieeexplore.ieee.org/stamp/stamp.jsp?arnumber=8745225</t>
  </si>
  <si>
    <t>Smart-Home;smartphone;authorization;IoT Cloud;EAP-NOOB;SDP</t>
  </si>
  <si>
    <t>M. P. Shopov</t>
  </si>
  <si>
    <t>IoT gateway for smart metering in electrical power systems - software architecture</t>
  </si>
  <si>
    <t>10.23919/MIPRO.2017.7973565</t>
  </si>
  <si>
    <t>Department of Computer systems and Technologies, Technical University of Sofia, Plovdiv, Bulgaria</t>
  </si>
  <si>
    <t>The paper presents an implementation of IoT gateway for smart metering in electrical power systems. The gateway is based on Ubuntu Core operating system and connects power meters with external cloud services. Several software architecture design patterns are evaluated. Adaptation of them for the design of the software architecture of the gateway application is described in the paper. Based on the proposed software architecture an example IoT gateway implementation is suggested.</t>
  </si>
  <si>
    <t>https://ieeexplore.ieee.org/stamp/stamp.jsp?arnumber=7973565</t>
  </si>
  <si>
    <t>Logic gates;Computer architecture;Software architecture;Power systems;Security;Meters;Data models</t>
  </si>
  <si>
    <t>M. Pomalo; V. T. Le; N. El Ioini; C. Pahl; H. R. Barzegar</t>
  </si>
  <si>
    <t>Service Migration in Multi-domain Cellular Networks based on Machine Learning Approaches</t>
  </si>
  <si>
    <t>2020 7th International Conference on Internet of Things: Systems, Management and Security (IOTSMS)</t>
  </si>
  <si>
    <t>10.1109/IOTSMS52051.2020.9340223</t>
  </si>
  <si>
    <t>Free University of Bozen-Bolzano, Bozen-Bolzano, Italy; Free University of Bozen-Bolzano, Bozen-Bolzano, Italy; Free University of Bozen-Bolzano, Bozen-Bolzano, Italy; Free University of Bozen-Bolzano, Bozen-Bolzano, Italy; Free University of Bozen-Bolzano, Bozen-Bolzano, Italy</t>
  </si>
  <si>
    <t>The number of mobile subscribers has increased drastically with the deployment of high-performance mobile cellular networks such as Long Term Evolution (4G) (LTE), and the upcoming 5th Generation Mobile Cellular Network (5G). Seamless connectivity is an important factor to provide better Quality-of-Service (QoS) as well as Quality-of-Experience (QoE) in cellular networks. In this regard, the utilization of Mobile Edge Computing (MEC) technology allows to bring required mobile services close to the end users to reduce latency, and increase service quality. However, switching between MECs nodes needs to be optimized in order to satisfy the expected quality of service as well as to guarantee service continuity SC. This paper addresses this problem by proposing a methodology and a prediction algorithm to boost SC in a MEC configuration.</t>
  </si>
  <si>
    <t>978-0-7381-2460-5</t>
  </si>
  <si>
    <t>https://ieeexplore.ieee.org/stamp/stamp.jsp?arnumber=9340223</t>
  </si>
  <si>
    <t>IoT;Edge computing;Cloud computing;Service continuity;5G mobile communication;Prediction algorithm</t>
  </si>
  <si>
    <t>Cellular networks;Quality of service;Switches;Handover;Prediction algorithms;Security;Long Term Evolution</t>
  </si>
  <si>
    <t>J. Krzywda; A. Ali-Eldin; E. Wadbro; P. -O. √ñstberg; E. Elmroth</t>
  </si>
  <si>
    <t>ALPACA: Application Performance Aware Server Power Capping</t>
  </si>
  <si>
    <t>10.1109/ICAC.2018.00014</t>
  </si>
  <si>
    <t>Dept. Computing Science, Ume√• University, Ume√•, Sweden; College of Information and Computer Sciences, University of Massachusetts Amherst; Dept. Computing Science, Ume√• University, Ume√•, Sweden; Dept. Computing Science, Ume√• University, Ume√•, Sweden; Dept. Computing Science, Ume√• University, Ume√•, Sweden</t>
  </si>
  <si>
    <t>Server power capping limits the power consumption of a server to not exceed a specific power budget. This allows data center operators to reduce the peak power consumption at the cost of performance degradation of hosted applications. Previous work on server power capping rarely considers Quality-of-Service (QoS) requirements of consolidated services when enforcing the power budget. In this paper, we introduce ALPACA, a framework to reduce QoS violations and overall application performance degradation for consolidated services. ALPACA reduces unnecessary high power consumption when there is no performance gain, and divides the power among the running services in a way that reduces the overall QoS degradation when the power is scarce. We evaluate ALPACA using four applications: MediaWiki, SysBench, Sock Shop, and CloudSuite's Web Search benchmark. Our experiments show that ALPACA reduces the operational costs of QoS penalties and electricity by up to 40% compared to a non optimized system.</t>
  </si>
  <si>
    <t>https://ieeexplore.ieee.org/stamp/stamp.jsp?arnumber=8498125</t>
  </si>
  <si>
    <t>power capping;power budgeting;power performance tradeoffs;performance degradation</t>
  </si>
  <si>
    <t>Servers;Power demand;Quality of service;Degradation;Data centers;Actuators;Time factors</t>
  </si>
  <si>
    <t>P. Cedillo; A. Garc√≠a; J. D. C√°rdenas; A. Bermeo</t>
  </si>
  <si>
    <t>A Systematic Literature Review of Electronic Invoicing, Platforms and Notification Systems</t>
  </si>
  <si>
    <t>2018 International Conference on eDemocracy &amp; eGovernment (ICEDEG)</t>
  </si>
  <si>
    <t>2573-1998</t>
  </si>
  <si>
    <t>10.1109/ICEDEG.2018.8372338</t>
  </si>
  <si>
    <t>Computer Science Department, University of Cuenca, Cuenca, Ecuador; Systems Engineering School, University of Cuenca, Cuenca, Ecuador; Systems Engineering School, University of Cuenca, Cuenca, Ecuador; Faculty of Engineering, University of Cuenca, Cuenca, Ecuador</t>
  </si>
  <si>
    <t>In the XXI century, electronic commerce is considered as an alternative to reduce costs, increase the productivity, among other benefits, all of them perceived through the digitalization of billing. Although there is a large amount of literature on this field, such literature is not focused on electronic invoicing platforms with notification delivery. Thus, the present systematic literature review has been performed, it is based on a reliable, auditable and rigorous methodology in order to know and clarify the state of the art in the subject associated to electronic invoicing, technological aspects related and notification systems. The analysis of the 39 selected papers from a total of 1202, shows the absence of studies that relate the use of notifications into e-invoicing systems.</t>
  </si>
  <si>
    <t>978-1-5386-2521-7</t>
  </si>
  <si>
    <t>https://ieeexplore.ieee.org/stamp/stamp.jsp?arnumber=8372338</t>
  </si>
  <si>
    <t>e-invoicing;electronic billing;notification;security;sms;mail;platform;review</t>
  </si>
  <si>
    <t>Security;Systematics;Electronic commerce;Business;Manuals;Cloud computing;Information systems</t>
  </si>
  <si>
    <t>T. Cucinotta; L. Abeni; M. Marinoni; A. Balsini; C. Vitucci</t>
  </si>
  <si>
    <t>Reducing Temporal Interference in Private Clouds through Real-Time Containers</t>
  </si>
  <si>
    <t>2019 IEEE International Conference on Edge Computing (EDGE)</t>
  </si>
  <si>
    <t>10.1109/EDGE.2019.00036</t>
  </si>
  <si>
    <t>Scuola Superiore Sant‚ÄôAnna, Pisa, Italy; Scuola Superiore Sant‚ÄôAnna, Pisa, Italy; Scuola Superiore Sant‚ÄôAnna, Pisa, Italy; Scuola Superiore Sant‚ÄôAnna, Pisa, Italy; Ericsson AB, Stockholm, Sweden</t>
  </si>
  <si>
    <t>Providing innovative resource-efficient solutions able to mitigate temporal interference among cloud services, concurrently sharing the same underlying platform, is crucial to deploy highly time-sensitive applications at the edge of the network where resources are strongly restrained, and timing constraints are stringent. A notable example is provided by the allocation of virtualized network functions in the radio access network of modern mobile networks, such as 5G. This paper describes a kernel mechanism that can be applied to the design of an architecture providing fine-grain control of the temporal interferences among concurrent real-time services while avoiding overheads related to machine virtualization. On top of them, a model is proposed to meet the required end-to-end application performance through tuning of parameters in the underlying novel architecture. We show that theoretical latency/load curves match closely with experimental data gathered from a real implementation carried out using both a networking microbenchmark and a real IMS application.</t>
  </si>
  <si>
    <t>978-1-7281-2708-8</t>
  </si>
  <si>
    <t>https://ieeexplore.ieee.org/stamp/stamp.jsp?arnumber=8812232</t>
  </si>
  <si>
    <t>cloud computing;edge computing;real-time scheduling;temporal isolation;performance modeling;network function virtualization</t>
  </si>
  <si>
    <t>Cloud computing;Containers;Real-time systems;Servers;Resource management;Kernel;Linux</t>
  </si>
  <si>
    <t>S. Leroux; P. Simoens; M. Lootus; K. Thakore; A. Sharma</t>
  </si>
  <si>
    <t>TinyMLOps: Operational Challenges for Widespread Edge AI Adoption</t>
  </si>
  <si>
    <t>2022 IEEE International Parallel and Distributed Processing Symposium Workshops (IPDPSW)</t>
  </si>
  <si>
    <t>10.1109/IPDPSW55747.2022.00160</t>
  </si>
  <si>
    <t>hotg.ai; Ghent University - imec; hotg.ai; hotg.ai; hotg.ai</t>
  </si>
  <si>
    <t>Deploying machine learning applications on edge devices can bring clear benefits such as improved reliability, latency and privacy but it also introduces its own set of challenges. Most works focus on the limited computational resources of edge platforms but this is not the only bottleneck standing in the way of widespread adoption. In this paper we list several other challenges that a Tiny ML practitioner might need to consider when operationalizing an application on edge devices. We focus on tasks such as monitoring and managing the application, common functionality for a MLOps platform, and show how they are complicated by the distributed nature of edge deployment. We also discuss issues that are unique to edge applications such as protecting a model's intellectual property and verifying its integrity.</t>
  </si>
  <si>
    <t>978-1-6654-9747-3</t>
  </si>
  <si>
    <t>https://ieeexplore.ieee.org/stamp/stamp.jsp?arnumber=9835378</t>
  </si>
  <si>
    <t>TinyML;Edge AI;MLOps;TinyMLOps</t>
  </si>
  <si>
    <t>Privacy;Distributed processing;Conferences;Machine learning;Intellectual property;Reliability;Task analysis</t>
  </si>
  <si>
    <t>J. Kristan; P. Azzoni; L. R√∂mer; S. E. Jeroschewski; E. Londero</t>
  </si>
  <si>
    <t>Evolving the Ecosystem: Eclipse Arrowhead integrates Eclipse IoT</t>
  </si>
  <si>
    <t>NOMS 2022-2022 IEEE/IFIP Network Operations and Management Symposium</t>
  </si>
  <si>
    <t>10.1109/NOMS54207.2022.9789922</t>
  </si>
  <si>
    <t>Bosch.IO GmbH, Berlin, Germany; Eurotech Group, Trento, Italy; Bosch.IO GmbH, Berlin, Germany; Bosch.IO GmbH, Berlin, Germany; Eurotech Group, Amaro, Italy</t>
  </si>
  <si>
    <t>Eclipse Arrowhead is an open and flexible framework for industrial IoT scenarios based on service-oriented principles. It allows building highly configurable Systems of Systems by connecting systems running on devices in a local cloud. Part of Arrowhead‚Äôs flexibility is its ability to integrate other systems and tools through core services. In a previous study, we identified projects from Eclipse IoT, one of the largest open source communities for Internet of Things (IoT), building production-ready systems and tools for IoT. Based on this study, we integrated suitable projects into the Eclipse Arrowhead Framework, validating our initial findings and providing integrations complementing Arrowhead‚Äôs core functionality. The paper summarizes the integrations and gives an outlook on the next steps.</t>
  </si>
  <si>
    <t>978-1-6654-0601-7</t>
  </si>
  <si>
    <t xml:space="preserve">Ministry of Education; </t>
  </si>
  <si>
    <t>https://ieeexplore.ieee.org/stamp/stamp.jsp?arnumber=9789922</t>
  </si>
  <si>
    <t>IoT;IIoT;Eclipse Arrowhead;Eclipse IoT;Hono;hawkBit;Ditto;Kura;Kapua</t>
  </si>
  <si>
    <t>Cloud computing;Buildings;System of systems;Industrial Internet of Things</t>
  </si>
  <si>
    <t>V. Q. Rodriguez; F. Guillemin</t>
  </si>
  <si>
    <t>VNF modeling towards the cloud-RAN implementation</t>
  </si>
  <si>
    <t>2017 International Conference on Networked Systems (NetSys)</t>
  </si>
  <si>
    <t>10.1109/NetSys.2017.7903950</t>
  </si>
  <si>
    <t>Orange Labs, France; Orange Labs, France</t>
  </si>
  <si>
    <t>We address in this paper the problem of modeling Virtual Network Functions (VNFs) in order to devise execution principles. We specifically represent a VNF as a chain of sub-functions or micro-services and investigate its processing on a multi-core platform. Instead of reserving dedicated resources to a VNF, we specifically examine the gain that can be obtained by resource pooling, namely a pool of cores which is shared by active VNFs. The driving use case of this study is the virtualization and the cloudification of Radio Access Network functions, in particular Base Band Unit (BBU) functions. We validate this approach by simulation and show that an adequate threading model can reduce the VNF runtime. Obtained results open the door towards the Cloud-RAN implementation since some BBU tasks might be hosted in geographically distant data centers.</t>
  </si>
  <si>
    <t>978-1-5090-4394-1</t>
  </si>
  <si>
    <t>https://ieeexplore.ieee.org/stamp/stamp.jsp?arnumber=7903950</t>
  </si>
  <si>
    <t>NFV;VNF;Cloud-RAN;BBU;channel coding;multi-core;global scheduling</t>
  </si>
  <si>
    <t>Cloud computing;Servers;Multicore processing;Radio access networks;Instruction sets;Runtime</t>
  </si>
  <si>
    <t>L. Sarakis; P. Trakadas; J. Martrat; S. Prior; O. Trullols-Cruces; E. Coronado; M. Centenaro; G. Kontopoulos; E. Atxutegi; P. Gkonis; S. Gonzalez-Diaz; A. Antonopoulos; S. Siddiqui; P. Merino</t>
  </si>
  <si>
    <t>Cost-Efficient 5G Non-Public Network Roll-Out: The Affordable5G Approach</t>
  </si>
  <si>
    <t>10.1109/MeditCom49071.2021.9647555</t>
  </si>
  <si>
    <t>General Department, National and Kapodistrian University of Athens, Psachna, Greece; General Department, National and Kapodistrian University of Athens, Psachna, Greece; Atos, Spain; Acceleran, Belgium; NearbyComputing S.L., Barcelona, Spain; i2CAT Foundation, Barcelona, Spain; Athonet S.r.l., Bolzano Vicentino, Italy; Eight Bells Ltd., Athens, Greece; Nemergent Solutions SL, Spain; General Department, National and Kapodistrian University of Athens, Psachna, Greece; Atos, Spain; NearbyComputing S.L., Barcelona, Spain; i2CAT Foundation, Barcelona, Spain; ITIS Software, University of Malaga, Spain</t>
  </si>
  <si>
    <t>The era of 5G broadband wireless networks is inextricably connected with the provision of high data rates to mobile users, as well as bandwidth demanding and low latency applications. While large scale deployments of 5G Public Networks are ongoing, enterprises are interested to deploy their own 5G Non Public Networks (NPNs), customized to better serve their specific use cases. To this end, the goal of this paper is to present an architectural approach for cost-efficient 5G Standalone NPN deployment, leveraging cell densification, disaggregated RAN with open interfaces, edge computing and AI/ML-based network optimization. For this purpose, open solutions, such as O-RAN and MANO frameworks for cloud native micro-service deployments are adopted. Furthermore, research, development and deployment challenges are also discussed.</t>
  </si>
  <si>
    <t xml:space="preserve">European Commission; </t>
  </si>
  <si>
    <t>https://ieeexplore.ieee.org/stamp/stamp.jsp?arnumber=9647555</t>
  </si>
  <si>
    <t>5G;O-RAN;NFV;Standalone Non-Public Networks;AI/ML-based network optimization</t>
  </si>
  <si>
    <t>Automation;5G mobile communication;Network slicing;Wireless networks;Computer architecture;Quality of service;Synchronization</t>
  </si>
  <si>
    <t>A. Mimidis; E. Ollora; J. Soler; S. Bessem; L. Roullet; S. Van Rossem; S. Pinneterre; M. Paolino; D. Raho; X. Du; J. Chesterfield; M. Flouris; L. Mariani; O. Riganelli; M. Mobilio; A. Ramos; I. Labrador; A. Broadbent; P. Veitch; M. Zembra</t>
  </si>
  <si>
    <t>The Next Generation Platform as a Service Cloudifying Service Deployments in Telco-Operators Infrastructure</t>
  </si>
  <si>
    <t>2018 25th International Conference on Telecommunications (ICT)</t>
  </si>
  <si>
    <t>10.1109/ICT.2018.8464838</t>
  </si>
  <si>
    <t>DTU Fotonik, Lyngby, Denmark; DTU Fotonik, Lyngby, Denmark; DTU Fotonik, Lyngby, Denmark; Nokia-Bell Labs, Paris, France; Nokia-Bell Labs, Paris, France; Ghent University - imec, Ghent, Belgium; Virtual Open Systems, Grenoble, France; Virtual Open Systems, Grenoble, France; Virtual Open Systems, Grenoble, France; OnApp, London, United Kingdom; OnApp, London, United Kingdom; OnApp, London, United Kingdom; University of Milano-Bicocca, Milano, Italy; University of Milano-Bicocca, Milano, Italy; University of Milano-Bicocca, Milano, Italy; ATOS, Madrid, Spain; ATOS, Madrid, Spain; British Telecom, London, UnitedKingdom; British Telecom, London, UnitedKingdom; Vertical M2M, Par√≠s, France</t>
  </si>
  <si>
    <t>5G standard emerges at a particular time in technology history when cloud transforms deeply almost all industries and services: it becomes obvious that innovations have to be made cloud-native for being successful. 5G must become the ubiquitous fabric blending universal connectivity (to humans, robots, sensors...) with cloud versatility and scalability. For realizing this vision, another model than laaS must be adopted, the Platform as a Service (PaaS), which should be built to support telco-grade requirements and combine all sort of third-party applications. These are the core objectives of the Next Generation Platform as a Service (NGPaaS) project, a H2020 5G PPP Phase 2 project. The paper presents the project fundamentals, its architectural proposal and most relevant features.</t>
  </si>
  <si>
    <t>978-1-5386-2321-3</t>
  </si>
  <si>
    <t>https://ieeexplore.ieee.org/stamp/stamp.jsp?arnumber=8464838</t>
  </si>
  <si>
    <t>telco;microservices;5G;PaaS;DevOps;Dev-for-Operations;SDN;NFV;FPGA;vSwitch;ioT;cloud native</t>
  </si>
  <si>
    <t>5G mobile communication;Monitoring;Field programmable gate arrays;Business;Virtualization;Platform as a service</t>
  </si>
  <si>
    <t>T. Kasidakis; G. Polychronis; M. Koutsoubelias; S. Lalis</t>
  </si>
  <si>
    <t>Reducing the Mission Time of Drone Applications through Location-Aware Edge Computing</t>
  </si>
  <si>
    <t>2021 IEEE 5th International Conference on Fog and Edge Computing (ICFEC)</t>
  </si>
  <si>
    <t>10.1109/ICFEC51620.2021.00014</t>
  </si>
  <si>
    <t>University of Thessaly, Volos, Greece; University of Thessaly, Volos, Greece; University of Thessaly, Volos, Greece; University of Thessaly, Volos, Greece</t>
  </si>
  <si>
    <t>In data-driven applications, which go beyond simple data collection, drones may need to process sensor measurements at certain locations, during the mission. However, the onboard computing platforms typically have strong resource limitations, which may lead to significant delays and long mission times. To address this problem, we explore the potential of offloading heavyweight computations from the drone to nearby edge computing infrastructure. We discuss a concrete implementation for a service-oriented application software stack, which takes offloading decisions based on the expected service invocation time and the locations of the servers expected to be available in the mission area. We evaluate our implementation using an experimental setup that combines a hardware-in-the-loop and software-in-the-loop configuration. Our results show that the proposed approach can reduce the total mission time significantly, by up to 48% vs local-only processing, and by 10% vs more naive opportunistic offloading, depending on the mission scenario.</t>
  </si>
  <si>
    <t>978-1-6654-0291-0</t>
  </si>
  <si>
    <t>https://ieeexplore.ieee.org/stamp/stamp.jsp?arnumber=9458891</t>
  </si>
  <si>
    <t>Drones;edge computing;service-oriented computing;computation offloading;location-aware computing</t>
  </si>
  <si>
    <t>Runtime;Conferences;Data collection;Delays;Servers;Resource management;Application software</t>
  </si>
  <si>
    <t>M. Gusev; A. Guseva</t>
  </si>
  <si>
    <t>State-of-the-art of cloud solutions based on ECG sensors</t>
  </si>
  <si>
    <t>IEEE EUROCON 2017 -17th International Conference on Smart Technologies</t>
  </si>
  <si>
    <t>10.1109/EUROCON.2017.8011162</t>
  </si>
  <si>
    <t>Ss. Cyril and Methodius University, Skopje, Macedonia; Innovation Dooel, Skopje, Macedonia</t>
  </si>
  <si>
    <t>In this paper, we overview current products available on the market, patents, and state-of-the-art of research for cloud solutions based on wearable ECG biosensors. Building a medical cloud that uses such sensors motivates us for a 24h healthcare monitoring service. Furthermore, we identify several challenges, which have to be solved to enable a complete solution for a generic medical cloud capable of communication with medical institutions and caregivers. The analyzed ICT challenges include reception of streaming data from sensors, preprocessing of streams and their storage, automated analysis of received data, monitoring of specific ECG-related data, etc. The analyzed patents can be categorized as methods for 1) measuring ECG, 2) communicating with the main module, 3) managing heart condition and 4) for cardio-physiological mathematical modeling. Only methods for signal communication and management of heart condition based on wearable patched ECG sensors are analyzed in this paper for their application as a cloud-based heart monitoring system.</t>
  </si>
  <si>
    <t>978-1-5090-3843-5</t>
  </si>
  <si>
    <t>https://ieeexplore.ieee.org/stamp/stamp.jsp?arnumber=8011162</t>
  </si>
  <si>
    <t>IoT;cloud computing;mobile healthcare;ECG biosensors;cloudlet;dew computing;fog computing</t>
  </si>
  <si>
    <t>Electrocardiography;Monitoring;Cloud computing;Wireless sensor networks;Biosensors;Mobile communication</t>
  </si>
  <si>
    <t>P. Nirmal; I. Disanayaka; D. Haputhanthri; A. Wijayasiri</t>
  </si>
  <si>
    <t>Transportation Mode Detection Using Crowdsourced Smartphone Data</t>
  </si>
  <si>
    <t>2021 28th Conference of Open Innovations Association (FRUCT)</t>
  </si>
  <si>
    <t>2305-7254</t>
  </si>
  <si>
    <t>10.23919/FRUCT50888.2021.9347625</t>
  </si>
  <si>
    <t>University of Moratuwa, Sri Lanka; University of Moratuwa, Sri Lanka; University of Moratuwa, Sri Lanka; University of Moratuwa, Sri Lanka</t>
  </si>
  <si>
    <t>Smartphones have gained immense popularity among people and they incorporate several sophisticated capabilities like sensors that broaden the domain of usability. Consequently, smartphone-based crowdsourcing methods show importance as an efficient data acquisition strategy. GPS receiver and sensors like accelerometer and gyroscope can be used to gather data which helps identify the travel mode of the smartphone user. Numerous research projects have been conducted regarding the area of concern and this study uses GPS and Accelerometer data collected from smartphones using crowdsourced methods to develop a robust public transport mode detection approach using machine learning algorithms.</t>
  </si>
  <si>
    <t>978-9-5269-2444-1</t>
  </si>
  <si>
    <t xml:space="preserve">World Bank; </t>
  </si>
  <si>
    <t>https://ieeexplore.ieee.org/stamp/stamp.jsp?arnumber=9347625</t>
  </si>
  <si>
    <t>Accelerometers;Transportation;Feature extraction;Sensors;Mobile applications;Smart phones;Global Positioning System</t>
  </si>
  <si>
    <t>R. Bless; B. Bloessl; M. Hollick; M. Corici; H. Karl; D. Krummacker; D. Lindenschmitt; H. D. Schotten; L. Wimmer</t>
  </si>
  <si>
    <t>Dynamic network (re-)configuration across time, scope, and structure</t>
  </si>
  <si>
    <t>2022 Joint European Conference on Networks and Communications &amp; 6G Summit (EuCNC/6G Summit)</t>
  </si>
  <si>
    <t>10.1109/EuCNC/6GSummit54941.2022.9815813</t>
  </si>
  <si>
    <t>Institute of Telematics, Karlsruhe Institute of Technology; Secure Mobile Networking Lab, TU, Darmstadt; Secure Mobile Networking Lab, TU, Darmstadt; Fraunhofer FOKUS, TU, Berlin; Hasso-Plattner-Institute, University of Potsdam; German Research Center for Artificial Intelligence (DFKI GmbH); University of Kaiserslautern; German Research Center for Artificial Intelligence (DFKI GmbH); IHP‚ÄîLeibniz Institute for High Performance Microelectronics</t>
  </si>
  <si>
    <t>Today‚Äôs wired and wireless networks offer data transportation and service delivery over a wide range of locations, devices types, and usage scenarios. While they do adapt to changing situations, they are, at their core, essentially still static. In this paper, we attempt to collect challenges and opportunities to substantially broaden the adaptation options for networks with respect to both data transport and service delivery. We discuss options ranging from device technology to network architectures.</t>
  </si>
  <si>
    <t>978-1-6654-9871-5</t>
  </si>
  <si>
    <t>https://ieeexplore.ieee.org/stamp/stamp.jsp?arnumber=9815813</t>
  </si>
  <si>
    <t>6G mobile communication;Wireless networks;Transportation;Network architecture;Distance measurement</t>
  </si>
  <si>
    <t>A. Mirhosseini; H. Golestani; T. F. Wenisch</t>
  </si>
  <si>
    <t>HyperPlane: A Scalable Low-Latency Notification Accelerator for Software Data Planes</t>
  </si>
  <si>
    <t>10.1109/MICRO50266.2020.00074</t>
  </si>
  <si>
    <t>University of Michigan; University of Michigan; University of Michigan</t>
  </si>
  <si>
    <t>I/O software stacks have evolved rapidly due to the growing speed of I/O devices-including network adapters, storage devices, and accelerators-and the emergence of microservice-based programming models. Datacenters rely on fast, efficient Software Data Planes (SDPs), which orchestrate data transfer between applications and I/O devices. Modern data planes are user-level software stacks, wherein cores spin-poll a large number of queues to avoid the attendant overheads of kernel-based I/O. Cores often poll empty queues before finding work in non-empty ones. Interrogating empty queues hurts peak throughput, tail latency, and energy efficiency as it often entails fruitless cache misses. In this work, we propose HyperPlane, an efficient accelerator for the notification mechanism of SDPs. The key features of HyperPlane are (1) avoiding iteration over empty I/O queues, unlike software-only designs, resulting in queue scalability, (2) halting execution when I/O queues are idle, leading to work proportionality and energy efficiency, and (3) efficiently sharing queues across cores to enjoy strong theoretical properties of scale-up queuing. HyperPlane is realized through a hardware subsystem associated with a familiar programming model. HyperPlane's microarchitecture consists of a monitoring set that watches for work arrival from I/O, and a ready set, which tracks ready queues and distributes work to cores based on various service policies and priority levels. We show that HyperPlane improves peak throughput by 4.1√ó and tail latency by 16.4√ó compared to a state-of-the-art SDP.</t>
  </si>
  <si>
    <t>https://ieeexplore.ieee.org/stamp/stamp.jsp?arnumber=9251997</t>
  </si>
  <si>
    <t>software data plane;acceleration;spin-polling;notification</t>
  </si>
  <si>
    <t>Microarchitecture;Scalability;Programming;Throughput;Software;Queueing analysis;Monitoring</t>
  </si>
  <si>
    <t>S. Debdas; S. Mohanty; B. Biswas; A. Chhangani; S. Samanta; S. Chakraborty</t>
  </si>
  <si>
    <t>IoT Based Fog and Cloud Analytics in Smart Dairy Farming</t>
  </si>
  <si>
    <t>2021 International Conference in Advances in Power, Signal, and Information Technology (APSIT)</t>
  </si>
  <si>
    <t>10.1109/APSIT52773.2021.9641456</t>
  </si>
  <si>
    <t>School of Electrical Engineering, KIIT deemed to be University, Bhubaneswar, India; School of Electrical Engineering, KIIT deemed to be University, Bhubaneswar, India; School of Computer Engineering, KIIT deemed to be University, Bhubaneswar, India; School of Computer Engineering, KIIT deemed to be University, Bhubaneswar, India; School of Electronics Engineering, KIIT deemed to be University, Bhubaneswar, India; School of Computer Engineering, KIIT deemed to be University, Bhubaneswar, India</t>
  </si>
  <si>
    <t>Today, we find the growing need of interconnecting devices and networks around us to achieve smarter technology. We are in an era where every field of human livelihood and ecommerce can be enhanced by deploying sensors and incorporating IoT. Dairy farming is no exception. In this paper, we provide a subtle idea to enhance revenue and milk production from dairy farming by early detection of lameness in cattle through deployment of sensors and cloud technology. The early detection helps taking necessary precautions by farmer. The paper aims to provide a cost effective way for early detection of lameness feature in cattle and also states the other benefits and challenges associated with it.</t>
  </si>
  <si>
    <t>978-1-6654-2506-3</t>
  </si>
  <si>
    <t>https://ieeexplore.ieee.org/stamp/stamp.jsp?arnumber=9641456</t>
  </si>
  <si>
    <t>Cloud computing;Internet of Things;Sensors;Management;Agriculture;Data;Farming</t>
  </si>
  <si>
    <t>Cloud computing;Visualization;Dairy products;Animals;Production;Machine learning;Cows</t>
  </si>
  <si>
    <t>S. Spinsante; A. Strazza; C. Dobre; L. Bajenaru; C. X. Mavromoustakis; J. M. Batalla; P. Krawiec; G. Georgescu; G. Molan; H. Gonzalez-Velez; A. M. Herghelegiu; G. I. Prada; R. Draghici</t>
  </si>
  <si>
    <t>Integrated Consumer Technologies for Older Adults' Quality of Life Improvement: the vINCI Project</t>
  </si>
  <si>
    <t>2019 IEEE 23rd International Symposium on Consumer Technologies (ISCT)</t>
  </si>
  <si>
    <t>2159-1423</t>
  </si>
  <si>
    <t>10.1109/ISCE.2019.8901042</t>
  </si>
  <si>
    <t>Department of Information Engineering, Universita‚Äô Politecnica delle Marche, Ancona, Italy; Department of Information Engineering, Universita‚Äô Politecnica delle Marche, Ancona, Italy; National Institute for Research and Development in Informatics, Bucharest, Romania; National Institute for Research and Development in Informatics, Bucharest, Romania; Department of Computer Science, University of Nicosia, Nicosia, Cyprus; National Institute of Telecommunications, Warsaw, Poland; National Institute of Telecommunications, Warsaw, Poland; Connected Medical Devices, Bucharest, Romania; Comtrade Digital Services, Slovenia; National College of Ireland, Dublin, Ireland; University of Medicine and Pharmacy ‚ÄúCarol Davila‚Äù, Bucharest, Romania; University of Medicine and Pharmacy ‚ÄúCarol Davila‚Äù, Bucharest, Romania; National Institute of Gerontology and Geriatrics ‚ÄúAna Aslan‚Äù</t>
  </si>
  <si>
    <t>A low physical activity is one of the most important lifestyle risk factors for many chronic conditions in the older age. To tackle this issue, the consequences of which have relevant impact on the sustainability of national welfare in many developed countries, consumer technologies may be leveraged to offer easy-to-use tools enabling older adults to optimize their health-related quality of life, and promote an active and healthy longevity. This paper describes a technical platform named vINCI, obtained by the integration of consumer technologies with Assisted Living solutions and services, where multiple wearable devices work together to create an aggregated solution able to capture the various facets of events leading to the decrease in the perceived health-related quality of life, as typically associated with old age. Supporting the feedback of specialized medical evaluations, the vINCI technology enables elderly not only to self-evaluate their physical activity level, but also to change their behaviors and lifestyle in the long-term.</t>
  </si>
  <si>
    <t>978-1-7281-3570-0</t>
  </si>
  <si>
    <t>https://ieeexplore.ieee.org/stamp/stamp.jsp?arnumber=8901042</t>
  </si>
  <si>
    <t>Consumer technologies integration;Assisted Living;Quality of Life;platform</t>
  </si>
  <si>
    <t>O. Rana; M. Shaikh; M. Ali; A. Anjum; L. Bittencourt</t>
  </si>
  <si>
    <t>Vertical Workflows: Service Orchestration across Cloud &amp; Edge Resources</t>
  </si>
  <si>
    <t>2018 IEEE 6th International Conference on Future Internet of Things and Cloud (FiCloud)</t>
  </si>
  <si>
    <t>10.1109/FiCloud.2018.00058</t>
  </si>
  <si>
    <t>School of Computer Science &amp; Informatics, Cardiff University, UK; School of Computer Science &amp; Informatics, Cardiff University, UK; University of Derby, UK; University of Derby, UK; University of Campinas, Brazil</t>
  </si>
  <si>
    <t>Currently devices used for data capture often differ from those that are used to subsequently carry out analysis on such data. Many Internet of Things (IoT) applications today involve data capture from sensors that are close to the phenomenon being measured, with such data subsequently being transmitted to Cloud data centers for analysis and storage. Increasing availability of storage and processing devices closer to the data capture device, perhaps over a one-hop network connection or even directly connected to the IoT device itself, requires more efficient allocation of processing across such edge devices and data centers. We refer to these as "vertical workflows" - i.e. workflows which are enacted across resources that can vary in: (i) type and behaviour; (ii) processing and storage capacity; (iii) latency and security profiles. Understanding how a workflow pipeline can be enacted across these resource types is outlined, motivated through two scenarios. The overall objective considered is the completion of the workflow within some deadline constraint, but with flexibility on where data processing is carried out.</t>
  </si>
  <si>
    <t>978-1-5386-7503-8</t>
  </si>
  <si>
    <t>https://ieeexplore.ieee.org/stamp/stamp.jsp?arnumber=8458035</t>
  </si>
  <si>
    <t>Sensor Applications, Cloud Computing, Fog &amp; Edge Resource Allocation</t>
  </si>
  <si>
    <t>Cloud computing;Sensors;Pipelines;Streaming media;Data centers;Edge computing;Internet of Things</t>
  </si>
  <si>
    <t>A. Buzachis; A. Galletta; A. Celesti; L. Carnevale; M. Villari</t>
  </si>
  <si>
    <t>Towards Osmotic Computing: a Blue-Green Strategy for the Fast Re-Deployment of Microservices</t>
  </si>
  <si>
    <t>10.1109/ISCC47284.2019.8969621</t>
  </si>
  <si>
    <t>Department of MIFT, University of Messina, Messina, Italy; Department of MIFT, University of Messina, Messina, Italy; Department of MIFT, University of Messina, Messina, Italy; Department of MIFT, University of Messina, Messina, Italy; Department of MIFT, University of Messina, Messina, Italy</t>
  </si>
  <si>
    <t>The rapid development of Cloud, Edge, Fog Computing and Internet of Things (IoT) technologies has played a key role in the Industry 4.0 evolution. In this context, the Osmotic Computing paradigm, theorized in 2016 as integration between a centralized Cloud layer and Edge and/or IoT layers, has further emphasized the Industry 4.0 objectives including productivity and Quality of Services (QoS). This emerging paradigm proposes a new elastic management model of microservices, where deployment and migration strategies are strongly related to the underlaying infrastructure requirements (i.e., load balancing, reliability, availability, and so on) and applications (i.e., anomalies detection, awareness of the context, proximity, QoS, and so on). Specifically, knowing that an Osmotic application must have a failover behavior (highly horizontally/vertically scalable, 24 hours 24 available, fault-tolerant and secure), this paper highlights the Osmotic ecosystem platform focusing on the implementation of a blue-green mechanism for the fast re-deployment of microservices, exploiting emerging technologies, such as Docker, Kubernetes, Agento and MongoDB. Experiments shows the time required to arrange, deploy and destroy microservices.</t>
  </si>
  <si>
    <t>https://ieeexplore.ieee.org/stamp/stamp.jsp?arnumber=8969621</t>
  </si>
  <si>
    <t>Osmotic Computing;Cloud Computing;Edge Computing;IoT;Orchestration;Microservice.</t>
  </si>
  <si>
    <t>Cloud computing;Computer architecture;Containers;Internet of Things;Quality of service;Monitoring;Measurement</t>
  </si>
  <si>
    <t>G. Gil; D. Corujo; P. Pedreiras</t>
  </si>
  <si>
    <t>Cloud Native Computing for Industry 4.0: Challenges and Opportunities</t>
  </si>
  <si>
    <t>2021 26th IEEE International Conference on Emerging Technologies and Factory Automation (ETFA )</t>
  </si>
  <si>
    <t>10.1109/ETFA45728.2021.9613386</t>
  </si>
  <si>
    <t>Department of Electronics, Telecommunications and Informatics, University of Aveiro, Aveiro, Portugal; Department of Electronics, Telecommunications and Informatics, University of Aveiro, Aveiro, Portugal; Department of Electronics, Telecommunications and Informatics, University of Aveiro, Aveiro, Portugal</t>
  </si>
  <si>
    <t>Cloud-based architectures are advantageous in aspects such as scalability, reliability and resource utilization efficiency, to name just a few, thus being considered one of the pillars of Industry 4.0. However, in this domain, cloud computing platforms are subject to specific requirements, namely in what concerns real-time performance, determinism and fault-tolerance. This paper focuses on cloud native computing, which is an emerging and promising cloud-computing paradigm, specifically addressing its applicability to real-time systems. Firstly, it introduces the architecture of cloud native applications, discussing their principles, potential advantages and challenges. Then it addresses the opportunities and constraints of such technologies when applied to industrial real-time systems.</t>
  </si>
  <si>
    <t>978-1-7281-2989-1</t>
  </si>
  <si>
    <t>https://ieeexplore.ieee.org/stamp/stamp.jsp?arnumber=9613386</t>
  </si>
  <si>
    <t>Real-time systems;Industrial Informatics;Cloud native;Scheduling;Quality-of-Service</t>
  </si>
  <si>
    <t>Cloud computing;Processor scheduling;Scalability;Computer architecture;Maintenance engineering;Solids;Real-time systems</t>
  </si>
  <si>
    <t>S. Y. Jang; B. Kostadinov; D. Lee</t>
  </si>
  <si>
    <t>Microservice-based Edge Device Architecture for Video Analytics</t>
  </si>
  <si>
    <t>2021 IEEE/ACM Symposium on Edge Computing (SEC)</t>
  </si>
  <si>
    <t>10.1145/3453142.3491283</t>
  </si>
  <si>
    <t>KAIST, Daejeon, South Korea; KAIST, Daejeon, South Korea; KAIST, Daejeon, South Korea</t>
  </si>
  <si>
    <t>With today's ubiquitous deployment of video cameras and other edge devices, progress in edge computing is happening at an incredible speed. Yet, one aspect of real-time video analytics at the edge that is still underdeveloped is the support for processing multitenant, multi-application scenarios with a limited set of resources. Existing systems either fail to provide the necessary performance, or rely too heavily on edge or cloud servers to handle the workload. This work proposes a new approach, inspired by both Function-as-a-Service and microservices architecture in order to efficiently place and execute video analytics pipelines on edge devices. The main contributions of this work are the ability to dynamically add and run new applications on already deployed systems, and the capability to horizontally distribute pipelines across other neigh-bouring edge devices. We prototype an implementation that we evaluate using multiple concurrent applications per device. Results show that our system provides more flexibility for on-the-fly re-configuration than existing works do, with 20 % improvement in latency and 3.9 X increase in throughput.</t>
  </si>
  <si>
    <t>978-1-4503-8390-5</t>
  </si>
  <si>
    <t xml:space="preserve">IITP; </t>
  </si>
  <si>
    <t>https://ieeexplore.ieee.org/stamp/stamp.jsp?arnumber=9709018</t>
  </si>
  <si>
    <t>edge computing;video analytics;microservices;serverless;realtime</t>
  </si>
  <si>
    <t>Performance evaluation;Visual analytics;Pipelines;Microservice architectures;Smart cameras;Computer architecture;Streaming media</t>
  </si>
  <si>
    <t>A. Amiruddin; A. A. P. Ratna; R. Harwahyu; R. F. Sari</t>
  </si>
  <si>
    <t>Secure multi-protocol gateway for Internet of Things</t>
  </si>
  <si>
    <t>2018 Wireless Telecommunications Symposium (WTS)</t>
  </si>
  <si>
    <t>10.1109/WTS.2018.8363934</t>
  </si>
  <si>
    <t>Sekolah Tinggi Sandi Negara, Bogor, Indonesia; Universitas Indonesia, Depok, Jawa Barat, ID; Faculty of Engineering, Universitas Indonesia, Depok, Indonesia; Faculty of Engineering, Universitas Indonesia, Depok, Indonesia</t>
  </si>
  <si>
    <t>The diversity of applications and protocols is a big challenge for the Internet of Things (IoT) devices to communicate in collecting data or exchanging messages without a hitch of protocol differences. In addition, security features are required to secure data transmitted between the end devices and the server. In this study, we developed a secure multiprotocol gateway that supports for RF, ZigBee, BLE, and Ethernet protocols and utilizes TCP / IP protocols for advanced data processing after the gateway exit. Additionally, we added a data encryption algorithm for data security transmitted through the proposed gateway. To display the data the server receives, we added a dashboard to the gateway. The proposed multiprotocol gateway has been simulated using testbed environment in which the transmitted data was encrypted by default. The results showed that WiFi has the highest throughput compared to BLE and XBee, while the transmission delay tends to increase for all protocols but WiFI has the lowest delay compared to XBee and BLE.</t>
  </si>
  <si>
    <t>978-1-5386-3395-3</t>
  </si>
  <si>
    <t>https://ieeexplore.ieee.org/stamp/stamp.jsp?arnumber=8363934</t>
  </si>
  <si>
    <t>Bluetooth Low Energy;gateway;Internet of Things;multiprotocol;WiFi;ZigBee</t>
  </si>
  <si>
    <t>Logic gates;Protocols;Wireless fidelity;Servers;ZigBee;Encryption;Sensors</t>
  </si>
  <si>
    <t>J. Alcaraz-Calero; I. -P. Belikaidis; C. J. Bernardos Cano; P. Bisson; D. Bourse; M. Bredel; D. Camps-Mur; T. Chen; X. Costa-Perez; P. Demestichas; M. Doll; S. E. Elayoubi; A. Georgakopoulos; A. M√§mmel√§; H. -P. Mayer; M. Payaro; B. Sayadi; M. S. Siddiqui; M. Tercero; Q. Wang</t>
  </si>
  <si>
    <t>Leading innovations towards 5G: Europe's perspective in 5G infrastructure public-private partnership (5G-PPP)</t>
  </si>
  <si>
    <t>2017 IEEE 28th Annual International Symposium on Personal, Indoor, and Mobile Radio Communications (PIMRC)</t>
  </si>
  <si>
    <t>2166-9589</t>
  </si>
  <si>
    <t>10.1109/PIMRC.2017.8292654</t>
  </si>
  <si>
    <t>University of the West of Scotland, UK; WINGS ICT Solutions, Athens, Greece; Universidad Carlos III de Madrid, Madrid, Spain; Thales Group, Paris, France; Nokia Bell Labs, Paris, France; NEC Europe, Heidelberg, Germany; Fundac√≠o i2CAT, Barcelona, Spain; VTT, Oulu, Finland; NEC Europe, Heidelberg, Germany; University of Piraeus, Piraeus, Greece; Nokia Bell Labs., Stuttgart, Germany; Orange Labs, Paris, France; WINGS ICT Solutions, Athens, Greece; VTT, Oulu, Finland; Nokia Bell Labs, Stuttgart, Germany; CTTC/CERCA, Barcelona, Spain; Nokia Bell Labs, Paris, France; Fundac√≠o i2CAT, Barcelona, Spain; Ericsson, Kista, Sweden; University of the West of Scotland, UK</t>
  </si>
  <si>
    <t>The paper elaborates on the technological and architectural innovations researched and developed by 5G-PPP Phase 1 projects and covering innovation areas such as 5G system design and evaluation, novel air interfaces, network management and security as well as virtualization and service deployment aspects.</t>
  </si>
  <si>
    <t>978-1-5386-3531-5</t>
  </si>
  <si>
    <t>https://ieeexplore.ieee.org/stamp/stamp.jsp?arnumber=8292654</t>
  </si>
  <si>
    <t>5G-PPP;5G system design;air interfaces;network management;security;virtualization</t>
  </si>
  <si>
    <t>5G mobile communication;Computer architecture;Technological innovation;Europe;Security;Communication channels</t>
  </si>
  <si>
    <t>M. M√§ntyl√§; M. Varela; S. Hashemi</t>
  </si>
  <si>
    <t>Pinpointing Anomaly Events in Logs from Stability Testing ‚Äì N-Grams vs. Deep-Learning</t>
  </si>
  <si>
    <t>2022 IEEE International Conference on Software Testing, Verification and Validation Workshops (ICSTW)</t>
  </si>
  <si>
    <t>2159-4848</t>
  </si>
  <si>
    <t>10.1109/ICSTW55395.2022.00056</t>
  </si>
  <si>
    <t>M3S, ITEE, University of Oulu, Oulu, Finland; Profilence, Oulu, Finland; M3S, ITEE, University of Oulu, Oulu, Finland</t>
  </si>
  <si>
    <t>As stability testing execution logs can be very long, software engineers need help in locating anomalous events. We develop and evaluate two models for scoring individual log-events for anomalousness, namely an N-Gram model and a Deep Learning model with LSTM (Long short-term memory). Both are trained on normal log sequences only. We evaluate the models with long log sequences of Android stability testing in our company case and with short log sequences from HDFS (Hadoop Distributed File System) public dataset. We evaluate next event prediction accuracy and computational efficiency. The LSTM model is more accurate in stability testing logs (0.848 vs 0.865), whereas in HDFS logs the N-Gram is slightly more accurate (0.904 vs 0.900). The N-Gram model has far superior computational efficiency compared to the Deep model (4 to 13 seconds vs 16 minutes to nearly 4 hours), making it the preferred choice for our case company. Scoring individual log events for anomalousness seems like a good aid for root cause analysis of failing test cases, and our case company plans to add it to its online services. Despite the recent surge in using deep learning in software system anomaly detection, we found limited benefits in doing so. However, future work should consider whether our finding holds with different LSTM-model hyper-parameters, other datasets, and with other deep-learning approaches that promise better accuracy and computational efficiency than LSTM based models.</t>
  </si>
  <si>
    <t>978-1-6654-9628-5</t>
  </si>
  <si>
    <t>https://ieeexplore.ieee.org/stamp/stamp.jsp?arnumber=9787957</t>
  </si>
  <si>
    <t>software execution logs;anomaly detection;software testing;stability testing;reliability testing;deep-learning;LSTM;N-gram;failure localization</t>
  </si>
  <si>
    <t>Deep learning;Software testing;Root cause analysis;Computational modeling;Conferences;Companies;Software systems</t>
  </si>
  <si>
    <t>M. Lyaskov; G. Spasov; G. Petrova</t>
  </si>
  <si>
    <t>A practical implementation of smart home energy data storage and control application based on cloud services</t>
  </si>
  <si>
    <t>2017 XXVI International Scientific Conference Electronics (ET)</t>
  </si>
  <si>
    <t>10.1109/ET.2017.8124387</t>
  </si>
  <si>
    <t>Department of Computer Systems; Department of Computer Systems; Department of Electronics, Technical University of Sofia, Plovdiv, Bulgaria</t>
  </si>
  <si>
    <t>This paper presents the development and realization of distributed energy data storage and control application based on cloud technologies. The LAN is built by cloud connected devices and Olinuxino A20 single board computer. The developed application utilizes microservices based architecture which improves code maintenance, enables easier scalability and improves the reliability of the system. The implemented application presents three services: DeviceHive connector, Database and Schedule service. Each of them uses its own instance of a database for storing service related data. This approach enables the performing of local control over the demand response without using cloud control logic. The application is built using mostly open source software modules.</t>
  </si>
  <si>
    <t>978-1-5386-1753-3</t>
  </si>
  <si>
    <t>https://ieeexplore.ieee.org/stamp/stamp.jsp?arnumber=8124387</t>
  </si>
  <si>
    <t>Smart Homes;Home Energy Management Systems;Cloud-based Smart Homes;Microservices architecture</t>
  </si>
  <si>
    <t>Databases;Schedules;Cloud computing;Computer architecture;Smart homes;Servers;Memory</t>
  </si>
  <si>
    <t>B. Chen; B. Eck; F. Fusco; R. Gormally; M. Purcell; M. Sinn; S. Tirupathi</t>
  </si>
  <si>
    <t>Castor: Contextual IoT Time Series Data and Model Management at Scale</t>
  </si>
  <si>
    <t>2018 IEEE International Conference on Data Mining Workshops (ICDMW)</t>
  </si>
  <si>
    <t>2375-9259</t>
  </si>
  <si>
    <t>10.1109/ICDMW.2018.00213</t>
  </si>
  <si>
    <t>IBM Research, Ireland; IBM Research, Ireland; IBM Research, Ireland; IBM Research, Ireland; IBM Research, Ireland; IBM Research, Ireland; IBM Research, Ireland</t>
  </si>
  <si>
    <t>We demonstrate Castor, a cloud-based system for contextual IoT time series data and model management at scale. Castor is designed to assist Data Scientists in (a) exploring and retrieving all relevant time series and contextual information that is required for their predictive modelling tasks; (b) seamlessly storing and deploying their predictive models in a cloud production environment; (c) monitoring the performance of all predictive models in productions and (semi-)automatically retraining them in case of performance deterioration. The main features of Castor are: (1) an efficient pipeline for ingesting IoT time series data in real time; (2) a scalable, hybrid data management service for both time series and contextual data; (3) a versatile semantic model for contextual information which can be easily adopted to different application domains; (4) an abstract framework for developing and storing predictive models in R or Python; (5) deployment services which automatically train and/or score predictive models upon user-defined conditions. We demonstrate Castor for a real-world Smart Grid use case and discuss how it can be adopted to other application domains such as Smart Buildings, Telecommunication, Retail or Manufacturing.</t>
  </si>
  <si>
    <t>978-1-5386-9288-2</t>
  </si>
  <si>
    <t>https://ieeexplore.ieee.org/stamp/stamp.jsp?arnumber=8637473</t>
  </si>
  <si>
    <t>time series management;model management;big data;IoT;prediction;cloud</t>
  </si>
  <si>
    <t>Data models;Time series analysis;Predictive models;Context modeling;Load modeling;Training;Semantics</t>
  </si>
  <si>
    <t>D. Namiot; M. S. -S. Ventspils; Y. I. Daradkeh</t>
  </si>
  <si>
    <t>On internet of things education</t>
  </si>
  <si>
    <t>2017 20th Conference of Open Innovations Association (FRUCT)</t>
  </si>
  <si>
    <t>10.23919/FRUCT.2017.8071327</t>
  </si>
  <si>
    <t>Lomonosov Moscow State University, Moscow, Russia; University College, Ventspils, Latvia; Prince Sattam bin Abdulaziz University, Wadi Aldawaser, KSA</t>
  </si>
  <si>
    <t>In this paper, we discuss educational courses for Internet of Things and related areas such as Machine to Machine communications and Smart Cities. The Internet of Things models introduce many new business prospects and, of course, they should be presented in the university curriculum. The purpose of the discussed educational program is to examine issues related to information and communication technologies used in Internet of Things projects and related areas based on them, such as Smart Cities. The educational course proposed in this paper aims to introduce students to modern information technology, standing for such areas as Machine to Machine communications, Internet of Things, and Smart Cities.</t>
  </si>
  <si>
    <t>978-9-5268-6530-0</t>
  </si>
  <si>
    <t>https://ieeexplore.ieee.org/stamp/stamp.jsp?arnumber=8071327</t>
  </si>
  <si>
    <t>Smart cities;Machine-to-machine communications;Computer architecture;Standards;Programming;Tools</t>
  </si>
  <si>
    <t>A. R. Chopra; N. -K. C. Nair</t>
  </si>
  <si>
    <t>A Review of Methodical Decentralisation of Energy and Energy Transactions Utilising Distributed Ledger via Transition Architecture Based Framework</t>
  </si>
  <si>
    <t>2020 IEEE Power and Energy Conference at Illinois (PECI)</t>
  </si>
  <si>
    <t>10.1109/PECI48348.2020.9064650</t>
  </si>
  <si>
    <t>Electrical, Computer and Software Engineering Department, The University of Auckland, Auckland, New Zealand; Electrical, Computer and Software Engineering Department, The University of Auckland, Auckland, New Zealand</t>
  </si>
  <si>
    <t>This paper is a review of literature, resources and advances in peer to peer ledger technology adoption and not just the evolution of ledger technology in power sector. It also introduces the concept of transition architectures from the field of enterprise architecture to fill the gap in adoption. It reviews the possibility of de-centralising energy optimally and the possibility of using an architecture roadmap of milestones (transition states) via transition architectures to enhance adoption rates. The paper evaluates features of distributed ledgers. It identifies the core features that can be introduced independent of each other, thereby making a minimal usable product in each transition state via transition architectures with a view of target state that would encompass all core features. It covers engaging the current participants (generators, transmission, distributors, metering, retailers, prosumers, banks, regulators and others); and how a gradual evolving nature via transition architectures would increase adoption due to smooth transition as the roles of current participants evolve while the market dynamics re-orchestrates. A discussion and proposal for a custom distributed ledger framework for energy domain balancing decentralisation, immutability, verification and transparency in a gradual manner; to address privacy, compliance, regulations and peer to peer trading is presented.</t>
  </si>
  <si>
    <t>978-1-7281-5299-8</t>
  </si>
  <si>
    <t>https://ieeexplore.ieee.org/stamp/stamp.jsp?arnumber=9064650</t>
  </si>
  <si>
    <t>Blockchain;Hyper ledger;Digital Ledger;Dynamic Energy Resources;Peer to Peer Energy Trading</t>
  </si>
  <si>
    <t>Computer architecture;Energy resources;Peer-to-peer computing;Dynamic scheduling;Privacy</t>
  </si>
  <si>
    <t>H. T. Malazi; S. Clarke</t>
  </si>
  <si>
    <t>Distributed Service Placement and Workload Orchestration in a Multi-access Edge Computing Environment</t>
  </si>
  <si>
    <t>2021 IEEE International Conference on Services Computing (SCC)</t>
  </si>
  <si>
    <t>10.1109/SCC53864.2021.00037</t>
  </si>
  <si>
    <t>Distributed Systems Group, SCSS, Trinity College Dublin, Dublin, Ireland; Distributed Systems Group, SCSS, Trinity College Dublin, Dublin, Ireland</t>
  </si>
  <si>
    <t>Multi-access edge computing (MEC) aims to execute mobile cloud services in edge servers located near end-users to provide higher Quality of Experience (QoE). Centralised methods for dynamic service placement in MEC require central access to control every server, which is challenging where servers belong to different administrative domains. Other approaches use distributed decision-making, but most of them do not consider cooperation between servers. Dynamic, distributed service placement can potentially provide workload orchestration and higher QoE. However, this is challenging where service demand patterns are non-stationary. This paper proposes a multi-armed bandit-based method where servers cooperatively decide to host service replicas by applying reinforcement learning that uses service characteristics and context information to minimise response time and backhaul traffic. By sharing cached services, the servers achieve better workload distribution while autonomously making placement decisions. The simulations demonstrate improvements in response time and reduction in backhaul traffic compared to close baselines.</t>
  </si>
  <si>
    <t>978-1-6654-1683-2</t>
  </si>
  <si>
    <t xml:space="preserve">Science Foundation Ireland; </t>
  </si>
  <si>
    <t>https://ieeexplore.ieee.org/stamp/stamp.jsp?arnumber=9592440</t>
  </si>
  <si>
    <t>Mobile edge computing;Reinforcement learning;Service caching;Service offloading;Service orchestration</t>
  </si>
  <si>
    <t>Costs;Distance learning;Simulation;Decision making;Service computing;Reinforcement learning;Network architecture</t>
  </si>
  <si>
    <t>S. Henning; W. Hasselbring</t>
  </si>
  <si>
    <t>Scalable and Reliable Multi-Dimensional Aggregation of Sensor Data Streams</t>
  </si>
  <si>
    <t>10.1109/BigData47090.2019.9006452</t>
  </si>
  <si>
    <t>Software Engineering Group, Kiel University, Kiel; Software Engineering Group, Kiel University, Kiel</t>
  </si>
  <si>
    <t>Ever-increasing amounts of data and requirements to process them in real time lead to more and more analytics platforms and software systems being designed according to the concept of stream processing. A common area of application is the processing of continuous data streams from sensors, for example, IoT devices or performance monitoring tools. In addition to analyzing pure sensor data, analyses of data for groups of sensors often need to be performed as well. Therefore, data streams of the individual sensors have to be continuously aggregated to a data stream for a group. Motivated by a real-world application scenario, we propose that such a stream aggregation approach has to allow for aggregating sensors in hierarchical groups, support multiple such hierarchies in parallel, provide reconfiguration at runtime, and preserve the scalability and reliability qualities induced by applying stream processing techniques. We propose a stream processing architecture fulfilling these requirements, which can be integrated into existing big data architectures. We present a pilot implementation of such an extended architecture and show how it is used in industry. Furthermore, in experimental evaluations we show that our solution scales linearly with the amount of sensors and provides adequate reliability in the case of faults.</t>
  </si>
  <si>
    <t>https://ieeexplore.ieee.org/stamp/stamp.jsp?arnumber=9006452</t>
  </si>
  <si>
    <t>Computer architecture;Topology;Reliability;Buildings;Power demand;Scalability;Production</t>
  </si>
  <si>
    <t>A. Fischer; D. Bhamare; A. Kassler</t>
  </si>
  <si>
    <t>On the Construction of Optimal Embedding Problems for Delay-Sensitive Service Function Chains</t>
  </si>
  <si>
    <t>10.1109/ICCCN.2019.8847151</t>
  </si>
  <si>
    <t>Media Tech. and Computer Science, Deggendorf Institute of Technology Electrical Eng, Deggendorf, Germany; Computer Science Department, Karlstad Universitet, Karlstad, Sweden; Computer Science Department, Karlstad Universitet, Karlstad, Sweden</t>
  </si>
  <si>
    <t>Network Function Virtualization (NFV) with minimum-delay service function chains will be a key enabling technology for next generation mobile networks, such as 5G. In this paper, we present a new approach to generate problem instances for the cost optimized delay sensitive Virtualized Network Function (VNF) placement and routing problem, where we know by construction the optimal solution for the given objective function. Our approach produces problem instances, which can be used to test and benchmark heuristic algorithms against. We then implement an Affinity based simulated annealing (ABSA) heuristic approach for cost optimized delay aware placement of VNFs along with a set of greedy approaches. We evaluate the implemented approaches against the optimal solution by generating several problem instances using our proposed method.</t>
  </si>
  <si>
    <t>https://ieeexplore.ieee.org/stamp/stamp.jsp?arnumber=8847151</t>
  </si>
  <si>
    <t>Delays;Substrates;Linear programming;Data centers;Benchmark testing;Topology;Routing</t>
  </si>
  <si>
    <t>S. C. Jepsen; T. Worm; A. Johansen; S. Lazarova-Molnar; M. B. Kj√¶rgaard; E. -Y. Kang; J. Friederich; J. E. Heredia Mena; R. Soltani; S. L. S√∏rensen; J. Hjort Schwee</t>
  </si>
  <si>
    <t>A Research Setup Demonstrating Flexible Industry 4.0 Production</t>
  </si>
  <si>
    <t>2021 International Symposium ELMAR</t>
  </si>
  <si>
    <t>1334-2630</t>
  </si>
  <si>
    <t>10.1109/ELMAR52657.2021.9550961</t>
  </si>
  <si>
    <t>SDU Software Engineering, University of Southern Denmark, Odense, Denmark; SDU Software Engineering, University of Southern Denmark, Odense, Denmark; SDU Software Engineering, University of Southern Denmark, Odense, Denmark; SDU Software Engineering, University of Southern Denmark, Odense, Denmark; SDU Software Engineering, University of Southern Denmark, Odense, Denmark; SDU Software Engineering, University of Southern Denmark, Odense, Denmark; SDU Software Engineering, University of Southern Denmark, Odense, Denmark; SDU Software Engineering, University of Southern Denmark, Odense, Denmark; SDU Software Engineering, University of Southern Denmark, Odense, Denmark; SDU Software Engineering, University of Southern Denmark, Odense, Denmark; SDU Software Engineering, University of Southern Denmark, Odense, Denmark</t>
  </si>
  <si>
    <t>The recent Industry 4.0 (I4.0) initiative has a heavy focus on enabling flexible production, such that production systems can react dynamically and cost-effectively to respond to market needs. For this reason, we need demonstration facilities to advance research within the I4.0 production and promote advanced production processes for industries. This paper aims to introduce a setup that we have developed for our University‚Äôs I4.0 Laboratory (I4.0 lab) that enables advanced and flexible experiments in terms of use-cases for advanced production processes and experiments with both robotics and automated production solutions and software. The presented work is part of a more extensive constructive research process and our experience with setting up an advanced cell-based production line. The contribution of the paper is 1) the analysis of requirements for an I4.0 research platform, 2) a model for an I4.0 laboratory, 3) the application of the constructive research method to the I4.0 laboratory, 4) a proposal for a concrete research setup, and 5) outlining further research questions, experiments, and projects that can be based on the setup.</t>
  </si>
  <si>
    <t>978-1-6654-4437-8</t>
  </si>
  <si>
    <t>https://ieeexplore.ieee.org/stamp/stamp.jsp?arnumber=9550961</t>
  </si>
  <si>
    <t>Collaborative Robotic and Automated Solutions;Industry 4.0;Flexible Production;University Industry 4.0 Laboratory;Research Experiments</t>
  </si>
  <si>
    <t>Industries;Production systems;Analytical models;Systematics;Service robots;Education;Collaboration</t>
  </si>
  <si>
    <t>M. S. Islam; H. Verma; L. Khan; M. Kantarcioglu</t>
  </si>
  <si>
    <t>Secure Real-Time Heterogeneous IoT Data Management System</t>
  </si>
  <si>
    <t>2019 First IEEE International Conference on Trust, Privacy and Security in Intelligent Systems and Applications (TPS-ISA)</t>
  </si>
  <si>
    <t>10.1109/TPS-ISA48467.2019.00037</t>
  </si>
  <si>
    <t>Department of Computer Science, The University of Texas at Dallas, Richardson, Texas; Department of Computer Science, The University of Texas at Dallas, Richardson, Texas; Department of Computer Science, The University of Texas at Dallas, Richardson, Texas; Department of Computer Science, The University of Texas at Dallas, Richardson, Texas</t>
  </si>
  <si>
    <t>The growing adoption of IoT devices in our daily life engendered a need for secure systems to safely store and analyze sensitive data as well as the real-time data processing system to be as fast as possible. The cloud services used to store and process sensitive data are often come out to be vulnerable to outside threats. Furthermore, to analyze streaming IoT data swiftly, they are in need of a fast and efficient system. The Paper will envision the aspects of complexity dealing with real time data from various devices in parallel, building solution to ingest data from different IOT devices, forming a secure platform to process data in a short time, and using various techniques of IOT edge computing to provide meaningful intuitive results to users. The paper envisions two modules of building a real time data analytics system. In the first module, we propose to maintain confidentiality and integrity of IoT data, which is of paramount importance, and manage large-scale data analytics with real-time data collection from various IoT devices in parallel. We envision a framework to preserve data privacy utilizing Trusted Execution Environment (TEE) such as Intel SGX, end-to-end data encryption mechanism, and strong access control policies. Moreover, we design a generic framework to simplify the process of collecting and storing heterogeneous data coming from diverse IoT devices. In the second module, we envision a drone-based data processing system in real-time using edge computing and on-device computing. As, we know the use of drones is growing rapidly across many application domains including real-time monitoring, remote sensing, search and rescue, delivery of goods, security and surveillance, civil infrastructure inspection etc. This paper demonstrates the potential drone applications and their challenges discussing current research trends and provide future insights for potential use cases using edge and on-device computing.</t>
  </si>
  <si>
    <t>978-1-7281-6741-1</t>
  </si>
  <si>
    <t>https://ieeexplore.ieee.org/stamp/stamp.jsp?arnumber=9014355</t>
  </si>
  <si>
    <t>IoT, data security, trusted execution environment, machine learning, edge device, edge computing, cloud, drones, real-time systems, embedded devices</t>
  </si>
  <si>
    <t>Cloud computing;Real-time systems;Edge computing;Drones;Performance evaluation;Software;Machine learning</t>
  </si>
  <si>
    <t>K. Kinkar; P. Bhosale; A. Kasar; V. Gutte</t>
  </si>
  <si>
    <t>Carbon Footprint Analysis: Need for Green Cloud Computing</t>
  </si>
  <si>
    <t>2022 International Conference on Electronics and Renewable Systems (ICEARS)</t>
  </si>
  <si>
    <t>10.1109/ICEARS53579.2022.9752341</t>
  </si>
  <si>
    <t>School of Computer Engineering and Technology, Dr. Vishwanath Karad MIT World Peace University, Pune, India; School of Computer Engineering and Technology, Dr. Vishwanath Karad MIT World Peace University, Pune, India; School of Computer Engineering and Technology, Dr. Vishwanath Karad MIT World Peace University, Pune, India; School of Computer Engineering and Technology, Dr. Vishwanath Karad MIT World Peace University, Pune, India</t>
  </si>
  <si>
    <t>Energy usage increased in tandem with the growth of cloud computing. This proliferation in energy usage has consequently resulted in a humongous increase in the surrounding carbon footprint. Furthermore, the exponential rise of 'data servers' and other infrastructure is driving up energy consumption. As a result, a reduction in energy use will result in a lesser carbon footprint in the surrounding environment. Green-computing in "cloud computing" is the finding and development of energy-saving digital solutions for reducing carbon pollution in the atmosphere. Green Cloud computing intends to accomplish effective processing and computing infrastructure use and reduce energy usage. In this paper, the carbon footprint produced by cloud infrastructures is analyzed and the compelling need for Green cloud computingis suggested. It is critical to ensure that the foreseeable growth of cloud computing is economically sound.</t>
  </si>
  <si>
    <t>978-1-6654-8425-1</t>
  </si>
  <si>
    <t>https://ieeexplore.ieee.org/stamp/stamp.jsp?arnumber=9752341</t>
  </si>
  <si>
    <t>Cloud computing;Reducing energy consumption;Datacenter;Green cloud computing;Energy efficiency;Sustainable computing</t>
  </si>
  <si>
    <t>Cloud computing;Renewable energy sources;Energy consumption;Data centers;Pollution;Green products;Carbon dioxide</t>
  </si>
  <si>
    <t>Q. P. Van; D. Verchere; H. Tran-Quang; D. Zeghlache</t>
  </si>
  <si>
    <t>Container-Based Microservices SDN Control Plane for Open Disaggregated Optical Networks</t>
  </si>
  <si>
    <t>2019 21st International Conference on Transparent Optical Networks (ICTON)</t>
  </si>
  <si>
    <t>2161-2064</t>
  </si>
  <si>
    <t>10.1109/ICTON.2019.8840430</t>
  </si>
  <si>
    <t>Nokia Bell Labs, Nozay, France; Nokia Bell Labs, Nozay, France; Telecom Sud-Paris, √âvry; Telecom Sud-Paris, √âvry</t>
  </si>
  <si>
    <t>Optical networks are undergoing a massive transformation heading the open optical systems with services automation. The Software Defined Networking (SDN), Open Line System (OLS) disaggregation and standardization of data models including IETF, OpenConfig, OpenROADM, Transport-API, are the key factors driving this transformation. In this paper, we first introduce the evolution of optical networks, then we present a container-based microservices SDN control platform and explain how this optical network control platform as a service supports this evolution. Finally, a demonstration of the container-based microservices platform with 4-step scenario is presented and validated.</t>
  </si>
  <si>
    <t>978-1-7281-2779-8</t>
  </si>
  <si>
    <t>https://ieeexplore.ieee.org/stamp/stamp.jsp?arnumber=8840430</t>
  </si>
  <si>
    <t>SDN;microservices architecture;service provisioning;Docker container.</t>
  </si>
  <si>
    <t>Optical fiber networks;Integrated optics;Optical fibers;Optical switches;Software;Computer architecture</t>
  </si>
  <si>
    <t>P. Kotsampopoulos; A. Dimeas; A. Chronis; G. Saridaki; N. Hatziargyriou; S. Maiti; C. Chakraborty</t>
  </si>
  <si>
    <t>EU-India Collaboration for Smarter Microgrids: RE-EMPOWERED project</t>
  </si>
  <si>
    <t>2022 IEEE PES Innovative Smart Grid Technologies Conference Europe (ISGT-Europe)</t>
  </si>
  <si>
    <t>10.1109/ISGT-Europe54678.2022.9960371</t>
  </si>
  <si>
    <t>School of Electrical and Computer Engineering, National Technical University of Athens, Athens, Greece; School of Electrical and Computer Engineering, National Technical University of Athens, Athens, Greece; School of Electrical and Computer Engineering, National Technical University of Athens, Athens, Greece; School of Electrical and Computer Engineering, National Technical University of Athens, Athens, Greece; School of Electrical and Computer Engineering, National Technical University of Athens, Athens, Greece; Dept. of Electrical Engineering, Indian Institute of Technology Kharagpur, Kharagpur, India; Dept. of Electrical Engineering, Indian Institute of Technology Kharagpur, Kharagpur, India</t>
  </si>
  <si>
    <t>Recent technical, economic, social and environmental challenges related to global energy transition have gained increased interest from research institutes and industrial companies from all across the world. RE-EMPOWERED is a joint research program, in which European and Indian partners have joined forces to demonstrate innovative solutions for effective energy management, power forecasting techniques, added grid resilience, grid stable operation, energy sector integration, digitalization and power electronics control. The developed tools will be tested in four demo sites in Europe and India aiming to shed light on these timely research areas in the reign of power networks dominated by distributed and renewable sources generation.</t>
  </si>
  <si>
    <t>978-1-6654-8032-1</t>
  </si>
  <si>
    <t>https://ieeexplore.ieee.org/stamp/stamp.jsp?arnumber=9960371</t>
  </si>
  <si>
    <t>microgrids;energy management;energy efficiency;EU;India</t>
  </si>
  <si>
    <t>Economics;Renewable energy sources;Europe;Microgrids;Companies;Power electronics;Smart grids</t>
  </si>
  <si>
    <t>B. Perk; C. Bayraktaroƒülu; E. D. Doƒüu; F. Safdar Ali; √ñ. √ñkasap</t>
  </si>
  <si>
    <t>Joulin: Blockchain-based P2P Energy Trading Using Smart Contracts</t>
  </si>
  <si>
    <t>2020 IEEE Symposium on Computers and Communications (ISCC)</t>
  </si>
  <si>
    <t>10.1109/ISCC50000.2020.9219696</t>
  </si>
  <si>
    <t>Department of Computer Engineering, Ko√ß University, Istanbul, Turkey; Department of Computer Engineering, Ko√ß University, Istanbul, Turkey; Department of Computer Engineering, Ko√ß University, Istanbul, Turkey; Department of Computer Engineering, Ko√ß University, Istanbul, Turkey; Department of Computer Engineering, Ko√ß University, Istanbul, Turkey</t>
  </si>
  <si>
    <t>As a decentralized immutable ledger where several trustless peers can reach consensus with each other without the need of any trusted third party, blockchain technology fits perfectly with the peer-to-peer (P2P) energy trading paradigm. In this paper, we propose, design and analyze a marketplace for energy trading based on smart contracts on the blockchain. The proposed system named Joulin serves as a competitive and efficient marketplace where peers can both produce, buy and sell energy depending on their needs. As a proof-of-concept, we developed the prototype of the Joulin system using Ethereum blockchain. Our results, in terms of usability, flexibility and resiliency, demonstrate the potential to achieve an easily extendable and reliable system with low transaction costs. Low Ethereum gas costs and quick response times demonstrate usability. Our smart contracts have also been tested with security tools to ensure that they are not vulnerable to outside manipulations.</t>
  </si>
  <si>
    <t>978-1-7281-8086-1</t>
  </si>
  <si>
    <t>https://ieeexplore.ieee.org/stamp/stamp.jsp?arnumber=9219696</t>
  </si>
  <si>
    <t>P2P energy trading;blockchain;smart contracts;Ethereum</t>
  </si>
  <si>
    <t>Costs;Uncertainty;Smart contracts;Stability analysis;Blockchains;Peer-to-peer computing;Time factors</t>
  </si>
  <si>
    <t>J. Thaler; W. Shin; S. Roberts; J. H. Rogers; T. Rosedahl</t>
  </si>
  <si>
    <t>Hybrid Approach to HPC Cluster Telemetry and Hardware Log Analytics</t>
  </si>
  <si>
    <t>2020 IEEE High Performance Extreme Computing Conference (HPEC)</t>
  </si>
  <si>
    <t>2643-1971</t>
  </si>
  <si>
    <t>10.1109/HPEC43674.2020.9286239</t>
  </si>
  <si>
    <t>IBM; Oak Ridge National Laboratory; IBM; Oak Ridge National Laboratory; IBM</t>
  </si>
  <si>
    <t>The number of computer processing nodes and processor cores in cluster systems is growing rapidly. Discovering, and reacting to, a hardware or environmental issue in a timely manner enables proper fault isolation, improves quality of service, and improves system up-time. In the case of performance impacts and node outages, RAS policies can direct actions such as job quiescence or migration. Additionally, power consumption, thermal information, and utilization metrics can be used to provide cluster energy and cooling efficiency improvements as well as optimized job placement. This paper describes a highly scalable telemetry architecture that allows event aggregation, application of RAS policies, and provides the ability for cluster control system feedback. The architecture advances existing approaches by including both programmable policies, which are applied as events stream through the hierarchical network to persistence storage, and treatment of sensor telemetry in an extensible framework. This implementation has proven robust and is in use in both cloud and HPC environments including the Summit system of 4,608 nodes at Oak Ridge National Laboratory [5].</t>
  </si>
  <si>
    <t>978-1-7281-9219-2</t>
  </si>
  <si>
    <t>https://ieeexplore.ieee.org/stamp/stamp.jsp?arnumber=9286239</t>
  </si>
  <si>
    <t>Storms;Computer architecture;Real-time systems;Hardware;Telemetry;Monitoring;Optimization</t>
  </si>
  <si>
    <t>T. Lewandowski; D. Henze; M. Sauer; J. Nickles; B. Bruegge</t>
  </si>
  <si>
    <t>A Software Architecture to enable Self-Organizing, Collaborative IoT Ressource Networks</t>
  </si>
  <si>
    <t>2020 Fifth International Conference on Fog and Mobile Edge Computing (FMEC)</t>
  </si>
  <si>
    <t>10.1109/FMEC49853.2020.9144772</t>
  </si>
  <si>
    <t>Chair for Applied Software Engineering, Technical University of Munich, Munich, Germany; Chair for Applied Software Engineering, Technical University of Munich, Munich, Germany; Corporate Technology Siemens AG, Munich, Germany; Corporate Technology Siemens AG, Munich, Germany; Chair for Applied Software Engineering, Technical University of Munich, Munich, Germany</t>
  </si>
  <si>
    <t>Since recent years, the industrial world is facing a significant change from components and systems that are designed and configured for one well-analyzed scenario using well-established technologies to a demand for highly dynamic systems that continuously introduce the latest technologies and are capable of handling ever-changing use case environments. Thus, there is a need for new approaches on how to design and setup such systems. One of these approaches is Collaborative IoT, which focuses on researching the necessary designs, infrastructure, and technology to build ecosystems of loosely coupled, autonomous systems that interact in an ad-hoc fashion and establish service compositions and new distributed applications on demand. This paper presents a software architecture design for Industrial IoT systems to approach these targets as well as a reference implementation showing the feasibility of the architectural design in a Collaborative IoT smart factory scenario. The developed AiB architecture enables heterogeneous IoT systems to form task execution ecosystems that dynamically address new incoming tasks by creating service compositions across participating devices, which were not defined during design time.</t>
  </si>
  <si>
    <t>978-1-7281-7216-3</t>
  </si>
  <si>
    <t>https://ieeexplore.ieee.org/stamp/stamp.jsp?arnumber=9144772</t>
  </si>
  <si>
    <t>Industrial IoT;Distributed Computing;Fog Computing;Edge Computing;Collaborative;Autonomous Systems</t>
  </si>
  <si>
    <t>Collaboration;Edge computing;Ecosystems;Computer architecture;Cloud computing;Task analysis;Software architecture</t>
  </si>
  <si>
    <t>G. Kormpakis; P. Kapsalis; K. Alexakis; S. Pelekis; E. Karakolis; H. Doukas</t>
  </si>
  <si>
    <t>An Advanced Visualisation Engine with Role-Based Access Control for Building Energy Visual Analytics</t>
  </si>
  <si>
    <t>2022 13th International Conference on Information, Intelligence, Systems &amp; Applications (IISA)</t>
  </si>
  <si>
    <t>10.1109/IISA56318.2022.9904353</t>
  </si>
  <si>
    <t>Decision Support Systems Laboratory, School of Electrical and Computer Engineering, National Technical University of Athens, Athens, Greece; Decision Support Systems Laboratory, School of Electrical and Computer Engineering, National Technical University of Athens, Athens, Greece; Decision Support Systems Laboratory, School of Electrical and Computer Engineering, National Technical University of Athens, Athens, Greece; Decision Support Systems Laboratory, School of Electrical and Computer Engineering, National Technical University of Athens, Athens, Greece; Decision Support Systems Laboratory, School of Electrical and Computer Engineering, National Technical University of Athens, Athens, Greece; Decision Support Systems Laboratory, School of Electrical and Computer Engineering, National Technical University of Athens, Athens, Greece</t>
  </si>
  <si>
    <t>One of the main challenges of today‚Äôs societies is the avoidance of the climate change since the climate crisis in now more evident than ever. Buildings have a large share of total energy consumption and, thus, it is obvious that actions should be taken to reduce their needs. Taking into consideration that nowadays data related to building‚Äôs metrics are available in significantly higher rate than in the past, due to the advance of the related technologies, it is necessary to find ways to exploit them in order to draw useful inferences regarding their consumptions and how they can be reduced. For that reason, in this paper we present a Visualisation Engine, which offers a variety of visualisations over stored data. With the usage of the proposed Visualisation Engine, we envision to be able to conduct sufficient research over the data, to generate insightful information regarding their behaviour, and to assist the development of useful solutions towards the direction of more energy efficient buildings.</t>
  </si>
  <si>
    <t>978-1-6654-6390-4</t>
  </si>
  <si>
    <t>https://ieeexplore.ieee.org/stamp/stamp.jsp?arnumber=9904353</t>
  </si>
  <si>
    <t>building data;energy efficiency;visualisations;visual analytics</t>
  </si>
  <si>
    <t>Measurement;Access control;Energy consumption;Climate change;Visual analytics;Buildings;Data visualization</t>
  </si>
  <si>
    <t>G. Shen; J. Dai; H. Moustafa; L. Zhai</t>
  </si>
  <si>
    <t>5G and Edge Computing Enabling Experience Delivery Network (XDN) for Immersive Media</t>
  </si>
  <si>
    <t>2021 IEEE 22nd International Conference on High Performance Switching and Routing (HPSR)</t>
  </si>
  <si>
    <t>2325-5609</t>
  </si>
  <si>
    <t>10.1109/HPSR52026.2021.9481809</t>
  </si>
  <si>
    <t>Intel Corporation, Oregon, USA; Intel Corporation, Shangahai, China; Intel Corporation, Santa Clara, USA; Intel Corporation, Shangahai, China</t>
  </si>
  <si>
    <t>With 5G and Edge Computing, media services observe a very big revolution nowadays. LTE led to media services evolution through enabling video streaming anytime, anywhere, and to any connected mobile device. CDN offered HTTP-based solutions for media streaming services, however real-time communication (RTC) and interactive traffic are not fully supported. 5G and Edge Computing are now enabling new experience through an Experience Delivery Network (XDN), where content creation is in real-time, on the fly and equally uses upstream and downstream links. Real-time Communication (RTC) with 5G and Edge Computing allows negligible latency between the communicating parties and is promising not only for immersive media, but also for Cloud Gaming and Tele-health applications. In this paper, we present a 360 Immersive Media solution using Intel-incubated Open WebRTC Toolkit (OWT) and edge computing platforms, while allowing media ingestion over 5G networks from multiple cameras, media control and 360 media distribution over 5G networks. Microservices architecture is used for media ingestion, control, and distribution functions, allowing the solution deployment across multiple edge computing clusters and sites. We implemented a prototype for our solution, and we present a performance evaluation showing the gain in terms of bandwidth and latency besides the modular deployment.</t>
  </si>
  <si>
    <t>978-1-6654-4005-9</t>
  </si>
  <si>
    <t>https://ieeexplore.ieee.org/stamp/stamp.jsp?arnumber=9481809</t>
  </si>
  <si>
    <t>5G;Edge Computing;Immersive Media;Real-time Communication;WebRTC;Experience Delivery Network</t>
  </si>
  <si>
    <t>Performance evaluation;5G mobile communication;Prototypes;Switches;Media;Streaming media;Routing</t>
  </si>
  <si>
    <t>Z. Bouida; I. AlShiab; Y. Rafique; A. Jarwan; M. Moorjmalani; S. K. Kuri; M. Ibnkahla</t>
  </si>
  <si>
    <t>Carleton-Cisco IoT Testbed: Architecture, Features, and Applications</t>
  </si>
  <si>
    <t>10.1109/GCWkshps52748.2021.9681940</t>
  </si>
  <si>
    <t>Systems and Computer Engineering Department, Carleton University, ON, Canada; Systems and Computer Engineering Department, Carleton University, ON, Canada; Systems and Computer Engineering Department, Carleton University, ON, Canada; Systems and Computer Engineering Department, Carleton University, ON, Canada; Systems and Computer Engineering Department, Carleton University, ON, Canada; Systems and Computer Engineering Department, Carleton University, ON, Canada; Systems and Computer Engineering Department, Carleton University, ON, Canada</t>
  </si>
  <si>
    <t>The Carleton-Cisco Internet of Things (IoT) testbed is being built at Carleton University‚Äôs IoT Lab. Hosting diverse applications, the testbed adopts a layered approach composed of four layers: Sensing, Edge, Fog, and Cloud layers. The IoT testbed is distributed over multiple sites at Carleton University‚Äôs Campus and the City of Ottawa. In this paper, we first present the architecture and the features of the testbed. Then, we give an overview of the applications running on the testbed and their underlying techniques and protocols. In particular, we highlight the use of Edge computing and data analytics in selected applications. We also present the testbed‚Äôs deployment challenges and the proposed solutions.</t>
  </si>
  <si>
    <t>https://ieeexplore.ieee.org/stamp/stamp.jsp?arnumber=9681940</t>
  </si>
  <si>
    <t>Artificial intelligence;Cisco Systems;Cloud computing;Edge computing;Fog computing;IoT</t>
  </si>
  <si>
    <t>Cloud computing;Protocols;Data analysis;Conferences;Urban areas;Computer architecture;Sensors</t>
  </si>
  <si>
    <t>A. Bari≈°iƒá; V. Amaral; M. Challenger</t>
  </si>
  <si>
    <t>Enhancing Occupants Comfort and Well-being through a Smart Office setup</t>
  </si>
  <si>
    <t>2020 43rd International Convention on Information, Communication and Electronic Technology (MIPRO)</t>
  </si>
  <si>
    <t>2623-8764</t>
  </si>
  <si>
    <t>10.23919/MIPRO48935.2020.9245212</t>
  </si>
  <si>
    <t>Universidade NOVA de Lisboa, NOVA LINCS, DI, FCT, Lisboa, Portugal; Universidade NOVA de Lisboa, NOVA LINCS, DI, FCT, Lisboa, Portugal; Electronics and ICT Department, University of Antwerp, Belgium</t>
  </si>
  <si>
    <t>A smart office, a particular case of Building Automation, represents a physical environment enriched with sensing, actuation, communication and computation capabilities aiming at acquiring and exploiting knowledge about the environment and its inhabitants. A fundamental goal of smart offices is to ensure a comfortable working environment as well as adapting to the circumstances related to optimizing specific variables which indicate the safety and energy efficiency of the office, as well as the health and productivity of its occupants.In this position paper, we illustrate a representative system by exploring emerging technologies, which presents a unique set of challenges and opportunities to research a new generation of software control systems, by supporting non-intrusive interfaces, that put the occupant's at the center of the system's concerns, by focusing on comfort and well-being while still leveraging the occupants' behaviour.</t>
  </si>
  <si>
    <t>978-953-233-099-1</t>
  </si>
  <si>
    <t>https://ieeexplore.ieee.org/stamp/stamp.jsp?arnumber=9245212</t>
  </si>
  <si>
    <t>Productivity;Focusing;Control systems;Software;Energy efficiency;Sensors;Safety</t>
  </si>
  <si>
    <t>V. Jain; S. Panda; S. Qi; K. K. Ramakrishnan</t>
  </si>
  <si>
    <t>Evolving to 6G: Improving the Cellular Core to lower control and data plane latency</t>
  </si>
  <si>
    <t>10.1109/6GNet54646.2022.9830519</t>
  </si>
  <si>
    <t>University of California, Riverside; University of California, Riverside; University of California, Riverside; University of California, Riverside</t>
  </si>
  <si>
    <t>With the commercialization and deployment of 5G, efforts are beginning to explore the design of the next generation of cellular networks, called 6G. New and constantly evolving use cases continue to place performance demands, especially for low latency communications, as these are still challenges for the 3GPP-specified 5G design, and will have to be met by the 6G design. Therefore, it is helpful to re-examine several aspects of the current cellular network‚Äôs design and implementation.Based on our understanding of the 5G cellular network specifications, we explore different implementation options for a dis-aggregated 5G core and their performance implications. To improve the data plane performance, we consider advanced packet classification mechanisms to support fast packet processing in the User Plane Function (UPF), to improve the poor performance and scalability of the current design based on linked lists. Importantly, we implement the UPF function on a SmartNIC for forwarding and tunneling. The SmartNIC provides the fastpath for device traffic, while more complex functions of buffering and processing flows that suffer a miss on the SmartNIC P4 tables are processed by the host-based UPF. Compared to an efficient DPDK-based host UPF, the SmartNIC UPF increases the throughput for 64 Byte packets by almost 2√ó. Furthermore, we lower the packet forwarding latency by 3.75√ó by using the SmartNIC. In addition, we propose a novel context-level QoS mechanism that dynamically updates the Packet Detection Rule priority and resource allocation of a flow based on the user context. By combining our innovations, we can achieve low latency and high throughput that will help us evolve to the next generation 6G cellular networks.</t>
  </si>
  <si>
    <t xml:space="preserve">National Science Foundation; </t>
  </si>
  <si>
    <t>https://ieeexplore.ieee.org/stamp/stamp.jsp?arnumber=9830519</t>
  </si>
  <si>
    <t>Cellular core;Low latency;SmartNIC</t>
  </si>
  <si>
    <t>6G mobile communication;Cellular networks;Technological innovation;5G mobile communication;Scalability;Quality of service;Tunneling</t>
  </si>
  <si>
    <t>N. Mehran; Z. N. Samani; D. Kimovski; R. Prodan</t>
  </si>
  <si>
    <t>Matching-based Scheduling of Asynchronous Data Processing Workflows on the Computing Continuum</t>
  </si>
  <si>
    <t>2022 IEEE International Conference on Cluster Computing (CLUSTER)</t>
  </si>
  <si>
    <t>10.1109/CLUSTER51413.2022.00021</t>
  </si>
  <si>
    <t>Institute of Information Technology, Alpen-Adria-Universit√§t, Klagenfurt, Austria; Institute of Information Technology, Alpen-Adria-Universit√§t, Klagenfurt, Austria; Institute of Information Technology, Alpen-Adria-Universit√§t, Klagenfurt, Austria; Institute of Information Technology, Alpen-Adria-Universit√§t, Klagenfurt, Austria</t>
  </si>
  <si>
    <t>Today's distributed computing infrastructures en-compass complex workflows for real-time data gathering, transferring, storage, and processing, quickly overwhelming centralized cloud centers. Recently, the computing continuum that federates the Cloud services with emerging Fog and Edge devices represents a relevant alternative for supporting the next-generation data processing workflows. However, eminent challenges in automating data processing across the computing continuum still exist, such as scheduling heterogeneous devices across the Cloud, Fog, and Edge layers. We propose a new scheduling algorithm called C3 -MATCH, based on matching theory principles, involving two sets of players negotiating different utility functions: 1) workflow microservices that prefer computing devices with lower data processing and queuing times; 2) computing continuum devices that prefer microservices with corresponding resource requirements and less data transmission time. We evaluate $C^{3}$-MATCH using real-world road sign inspection and sentiment analysis workflows on a federated computing continuum across four Cloud, Fog, and Edge providers. Our combined simulation and real execution results reveal that $C^{3}$-MATCH achieves up to 67% lower completion time than three state-of-the-art methods with 10 ms-1000 ms higher transmission time.</t>
  </si>
  <si>
    <t>978-1-6654-9856-2</t>
  </si>
  <si>
    <t xml:space="preserve">European Commission's Horizon 2020 program(grant numbers:101016835); Austrian Research Promotion Agency (FFG)(grant numbers:888098); </t>
  </si>
  <si>
    <t>https://ieeexplore.ieee.org/stamp/stamp.jsp?arnumber=9912724</t>
  </si>
  <si>
    <t>Computing continuum;Cloud;Fog;Edge;asynchronous communication;scheduling;matching theory</t>
  </si>
  <si>
    <t>Sentiment analysis;Scheduling algorithms;Roads;Microservice architectures;Cluster computing;Data processing;Scheduling</t>
  </si>
  <si>
    <t>A. Coutinho; H. Rodrigues; C. Prazeres; F. Greve</t>
  </si>
  <si>
    <t>Scalable Fogbed for Fog Computing Emulation</t>
  </si>
  <si>
    <t>2018 IEEE Symposium on Computers and Communications (ISCC)</t>
  </si>
  <si>
    <t>1530-1346</t>
  </si>
  <si>
    <t>10.1109/ISCC.2018.8538484</t>
  </si>
  <si>
    <t>Department of Technology, State University of Feira de Santana; Department of Technology, State University of Feira de Santana; Computer Science Department, Federal University of Bahia; Computer Science Department, Federal University of Bahia</t>
  </si>
  <si>
    <t>The fog computing model integrates cloud services into the network on a widely distributed level to overcome challengers of cloud-based IoT platforms. The deployment of IoT solutions employing a fog architecture requires a decentralized and scalable computing infrastructure, which places networking, compute and storage resources in a hierarchy of levels arranged between the data source and the cloud. Despite recent advances in fog platforms, there exists no readily available testbed which can help researchers to design and evaluate fog applications on a truly IoT scale. The current fog prototyping tools are adapted from cloud middleware or network simulators to enable the evaluation of fog solutions in limited environments. This paper presents a framework and toolset integration that uses the Fogbed emulator to enable fog distributed testbeds in virtualized environments. Unlike current approaches, the proposed framework allows for the deployment and testing of fog components in a scalable way. Its design is compatible with real world technologies and meets the requirements of low cost, flexible setup and supports third-party systems through standard interfaces. A case study is presented to demonstrate the emulation of fog distributed components and services using a cluster approach. In addition, future developments and research directions are discussed.</t>
  </si>
  <si>
    <t>978-1-5386-6950-1</t>
  </si>
  <si>
    <t>https://ieeexplore.ieee.org/stamp/stamp.jsp?arnumber=8538484</t>
  </si>
  <si>
    <t>Cloud computing;Computer architecture;Edge computing;Computational modeling;Testing;Containers;Tools</t>
  </si>
  <si>
    <t>A. Homay; M. de Sousa; A. Zoitl; M. Wollschlaeger</t>
  </si>
  <si>
    <t>Service Granularity in Industrial Automation and Control Systems</t>
  </si>
  <si>
    <t>2020 25th IEEE International Conference on Emerging Technologies and Factory Automation (ETFA)</t>
  </si>
  <si>
    <t>1946-0759</t>
  </si>
  <si>
    <t>10.1109/ETFA46521.2020.9212048</t>
  </si>
  <si>
    <t>Faculty of Computer Science, Technische Universitat Dresden, Dresden, Germany; Faculty of Enigineering, University of Porto, Porto, Portugal; LIT | CPS Lab, Johannes Kepler University Linz, Linz, Austria; Faculty of Computer Science, Technische Universitat Dresden, Dresden, Germany</t>
  </si>
  <si>
    <t>Applying service-oriented concepts in industrial control and automation systems requires developing new architectural concepts to make it more adaptable to this context. In the scope of service-oriented systems one of the main challenges is defining the right granularity for every service in the system. This paper presents a systematic classification of methods to decompose the services. Identifying and using the correct granularity for each service is expected to lead to higher system flexibility, scalability, and in general to improving service deployment and maintenance. To find the best granularity for a service several approaches have been proposed, some of which are based on modeling and others based on service quality analysis. The approach we propose is based on modeling.</t>
  </si>
  <si>
    <t>978-1-7281-8956-7</t>
  </si>
  <si>
    <t>https://ieeexplore.ieee.org/stamp/stamp.jsp?arnumber=9212048</t>
  </si>
  <si>
    <t>service;granularity;automation;feed-forward;feed- backward;control loop</t>
  </si>
  <si>
    <t>Analytical models;Systematics;Scalability;Industrial control;Conferences;Maintenance engineering;Control systems</t>
  </si>
  <si>
    <t>A. Souza; L. Izidio; A. Rocha; N. Cacho; T. Batista</t>
  </si>
  <si>
    <t>Sapparchi: An Architecture for Smart City Applications from Edge, Fog and Cloud Computing</t>
  </si>
  <si>
    <t>2019 IEEE International Smart Cities Conference (ISC2)</t>
  </si>
  <si>
    <t>2687-8860</t>
  </si>
  <si>
    <t>10.1109/ISC246665.2019.9071686</t>
  </si>
  <si>
    <t>Department of Informatics and Applied Mathematics, Federal University of Rio Grande do Norte, Natal, Brazil; Department of Informatics and Applied Mathematics, Federal University of Rio Grande do Norte, Natal, Brazil; Department of Informatics and Applied Mathematics, Federal University of Rio Grande do Norte, Natal, Brazil; Department of Informatics and Applied Mathematics, Federal University of Rio Grande do Norte, Natal, Brazil; Department of Informatics and Applied Mathematics, Federal University of Rio Grande do Norte, Natal, Brazil</t>
  </si>
  <si>
    <t>In the Smart Cities context, a plethora of Middleware Platforms has been proposed to support applications execution and data processing. However, just a few of them have explored the overall Smart Cities computing environment. The vast majority focuses on specific domains, typically presenting a sensor-acquisition architecture for processing in Cloud Computing. Most recent initiatives try to include Cloud Computing and Edge Computing, while few of them use the three computing levels (Cloud, Fog, and Edge). Besides, many of these platforms do not define the services that should be deployed at each level, nor how the developer can better use each feature. This work fulfills this gap presenting an architecture for applications classifying services implemented by a typical Computing Environment of Smart Cities. Our architecture uses all the computational levels (Cloud, Fog, Edge) of a city infrastructure, and it defines how to deploy each type of service at each level. We also present an example of the proposed architecture that we are implementing in the city of Natal, where some evaluative tests have been carried out.</t>
  </si>
  <si>
    <t>978-1-7281-0846-9</t>
  </si>
  <si>
    <t>https://ieeexplore.ieee.org/stamp/stamp.jsp?arnumber=9071686</t>
  </si>
  <si>
    <t>fog computing;edge computing;serverless</t>
  </si>
  <si>
    <t>Smart cities;Computational modeling;Computer architecture;Cloud computing;Edge computing;Software</t>
  </si>
  <si>
    <t>M. Gokan Khan; S. Bastani; J. Taheri; A. Kassler; S. Deng</t>
  </si>
  <si>
    <t>NFV-Inspector: A Systematic Approach to Profile and Analyze Virtual Network Functions</t>
  </si>
  <si>
    <t>2018 IEEE 7th International Conference on Cloud Networking (CloudNet)</t>
  </si>
  <si>
    <t>10.1109/CloudNet.2018.8549333</t>
  </si>
  <si>
    <t>Department of Computer Science, Karlstad University, Karlstad, Sweden; Department of Computer Science, Karlstad University, Karlstad, Sweden; Department of Computer Science, Karlstad University, Karlstad, Sweden; Department of Computer Science, Karlstad University, Karlstad, Sweden; College of Computer Science and Technology, Zhejiang University, Hangzhou, China</t>
  </si>
  <si>
    <t>Network Function Virtualization (NFV) focuses on decoupling network functions from proprietary hardware (i.e., middleboxes) by leveraging virtualization technology. Combining it with Software Defined Networking (SDN) enables us to chain network services much easier and faster. The main idea of using these technologies is to consolidate several Virtual Network Functions (VNFs) into a fewer number of commodity servers to reduce costs, increase VNFs fluidity and improve resource efficiency. However, the resource allocation and placement of VNFs in the network is a multifaceted decision problem that depends on many factors, including VNFs resource demand characteristics, arrival rate, configuration of underlying infrastructure, available resources and agreed Quality of Services (QoS) in Service Level Agreements (SLAs). This paper presents a bottom-up open-source NFV analysis platform (NFV-Inspector) to (1) systematically profile and classify VNFs based on resource capacities, traffic demand rate, underlying system properties, placement of VNFs in the network, etc. and (2) extract/calculate the correlation among the QoS metrics and resource utilization of VNFs. We evaluated our approach using an emulated virtual Evolved Packet Core platform (Open5GCore) to showcase how complex relation among various NFV service chains can be systematically profiled and analyzed.</t>
  </si>
  <si>
    <t>978-1-5386-6831-3</t>
  </si>
  <si>
    <t>https://ieeexplore.ieee.org/stamp/stamp.jsp?arnumber=8549333</t>
  </si>
  <si>
    <t>Network Function Virtualization;Profiling;Quality of Service;Classification;Software Defined Networking</t>
  </si>
  <si>
    <t>Benchmark testing;Quality of service;Resource management;Correlation;Monitoring;Containers;Optimization</t>
  </si>
  <si>
    <t>J. Robberechts; A. Sinaeepourfard; T. Goethals; B. Volckaert</t>
  </si>
  <si>
    <t>A Novel Edge-to-Cloud-as-a-Service (E2CaaS) Model for Building Software Services in Smart Cities</t>
  </si>
  <si>
    <t>2020 21st IEEE International Conference on Mobile Data Management (MDM)</t>
  </si>
  <si>
    <t>2375-0324</t>
  </si>
  <si>
    <t>10.1109/MDM48529.2020.00079</t>
  </si>
  <si>
    <t>Department of Information Technology, Ghent University, Ghent, Belgium; Department of Computer Science, Norwegian University of Science and Technology, Trondheim, Norway; Department of Information Technology, Ghent University, Ghent, Belgium; Department of Information Technology, Ghent University, Ghent, Belgium</t>
  </si>
  <si>
    <t>The main goal of a smart city is to enhance the quality of life of its inhabitants by providing services using Information and Communications Technology (ICT) components in a city. ICT components include not only Internet of Things (IoT) data sources spread across the city, but also traditional non-IoT data sources. Managing all ICT components in a smart city can be challenging and results in many complexities. Consequently, there is a need for ICT management architectures. Traditional solutions are often based on a centralized ICT architecture using Cloud technologies. Recently, the number of ICT components, services, and their corresponding complexities are growing, leading to large-scale ICT architectures. Centralized Cloud solutions cannot cope with the ever-expanding demands of this kind of architectures. The limitations of the centralized approaches necessitate the design of a new ICT architecture, using distributed technologies, for every layer and element of the city. Many solutions for management from Edge-to-Cloud (E2C) through distributed technologies are forthcoming, including Decentralized-to-Centralized ICT (DC2C-ICT) and Distributed-to-Centralized ICT (D2C-ICT) architectures. The DC2C-ICT architecture and its components work on their own tasks and are solely communicating with a centralized platform. On the other hand, components of the D2C-ICT architecture can work together to provide the services for the citizens across different layers from E2C. Therefore, the D2CICT architecture is less dependent on the central Cloud-based entity, but harder to design and manage. In this paper, an ‚ÄúEdge-to-Cloud-as-a-Service (E2CaaS) ‚Äù model is proposed together with a model on how to build efficient software services in smart cities through different layers of E2C. The most important tasks for building these services are the management of‚ÄúData/Database,‚Äù ‚ÄúResources,‚Äù and ‚ÄúNetwork Communication and Cybersecurity issues‚Äù.</t>
  </si>
  <si>
    <t>978-1-7281-4663-8</t>
  </si>
  <si>
    <t>https://ieeexplore.ieee.org/stamp/stamp.jsp?arnumber=9162334</t>
  </si>
  <si>
    <t>Smart City;IoT;Edge-to-Cloud;Distributed-to-Centralized ICT architecture;Edge-to-Cloud-as-a-Service</t>
  </si>
  <si>
    <t>Conferences;5G mobile communication</t>
  </si>
  <si>
    <t>I. Farris; A. Orsino; L. Militano; M. Nitti; G. Araniti; L. Atzori; A. Iera</t>
  </si>
  <si>
    <t>Federations of connected things for delay-sensitive IoT services in 5G environments</t>
  </si>
  <si>
    <t>2017 IEEE International Conference on Communications (ICC)</t>
  </si>
  <si>
    <t>1938-1883</t>
  </si>
  <si>
    <t>10.1109/ICC.2017.7996644</t>
  </si>
  <si>
    <t>DIIES Department, University Mediterranea of Reggio Calabria, Italy; Tampere University of Technology, Finland; DIIES Department, University Mediterranea of Reggio Calabria, Italy; DIEE Department, University of Cagliari, Italy; DIIES Department, University Mediterranea of Reggio Calabria, Italy; DIEE Department, University of Cagliari, Italy; DIIES Department, University Mediterranea of Reggio Calabria, Italy</t>
  </si>
  <si>
    <t>In this paper the MIFaaS (Mobile-IoT-Federation-as-a-Service) paradigm is proposed to support delay sensitive applications in the Internet of Things (IoT). This objective is reached by leveraging on the federation of distributed services and things at the infrastructure Edge and exploiting the real-world awareness and capabilities of IoT devices at the ground. MIFaaS enables value-added services by implementing the dynamic cooperation among private/public clouds of IoT objects with the purpose to enhance the efficiency in the provisioning of delay-constrained IoT services and increase the number of successfully delivered IoT services. The proposed paradigm is studied in a cellular environment based on standard Long Term Evolution (LTE). The simulative results we present demonstrate how the proposed federation solution of private/public IoT clouds outperforms alternative solutions with no federations and support of resources offered by the Cloud. Moreover, an analysis of the limitations and of the possible enhancements for cellular systems to support the proposed paradigm is drawn.</t>
  </si>
  <si>
    <t>978-1-4673-8999-0</t>
  </si>
  <si>
    <t>https://ieeexplore.ieee.org/stamp/stamp.jsp?arnumber=7996644</t>
  </si>
  <si>
    <t>Cloud computing;Iterative closest point algorithm;Long Term Evolution;5G mobile communication;Femtocells;Internet of Things</t>
  </si>
  <si>
    <t>S. B. Nath; S. K. Addya; S. Chakraborty; S. K. Ghosh</t>
  </si>
  <si>
    <t>Green Containerized Service Consolidation in Cloud</t>
  </si>
  <si>
    <t>ICC 2020 - 2020 IEEE International Conference on Communications (ICC)</t>
  </si>
  <si>
    <t>10.1109/ICC40277.2020.9149173</t>
  </si>
  <si>
    <t>Department of Computer Science and Engineering, Indian Institute of Technology Kharagpur, India; Department of Computer Science and Engineering, National Institute of Technology Karnataka, Surathkal, India; Department of Computer Science and Engineering, Indian Institute of Technology Kharagpur, India; Department of Computer Science and Engineering, Indian Institute of Technology Kharagpur, India</t>
  </si>
  <si>
    <t>In the presence of latency sensitive geo-distributed applications, users require fast service for their queries. Cloud computing provides physical servers from its data center in order to process user requests. The cloud data center consumes a huge amount of energy due to lack of management of the data center servers as the container-based service consolidation is a nontrivial task. Since the containers require less resource footprint, consolidating it in servers might make resource availability sparse. In order to reduce the energy consumption of the cloud data center, we have proposed a green container-based consolidation of the services so that the maximum number of servers can be put into idle mode without affecting the application quality of experience. The service consolidation problem has been formulated as an optimization problem considering minimization of total energy consumption of the data center as the objective, and an algorithm named Energy Aware Service consolidation using baYesian optimization (EASY) has been proposed to solve the optimization. We have evaluated the EASY algorithm in simulation using python. The experimental results have shown that EASY improves the total energy consumption of the data centers. This improvement comes at the cost of a small increase of service response time as there exists a trade-off between energy consumption and service response time.</t>
  </si>
  <si>
    <t>978-1-7281-5089-5</t>
  </si>
  <si>
    <t>https://ieeexplore.ieee.org/stamp/stamp.jsp?arnumber=9149173</t>
  </si>
  <si>
    <t>Cloud Computing;Container;Service Consolidation;Energy Consumption;Bayesian optimization</t>
  </si>
  <si>
    <t>Containers;Servers;Nickel;Data centers;Cloud computing;Energy consumption;Optimization</t>
  </si>
  <si>
    <t>G. J√°r√≥; A. Hilt; L. Nagy; M. √Å. T√ºndik; J. Varga</t>
  </si>
  <si>
    <t>Evolution towards Telco-Cloud: Reflections on Dimensioning, Availability and Operability : (Invited Paper)</t>
  </si>
  <si>
    <t>2019 42nd International Conference on Telecommunications and Signal Processing (TSP)</t>
  </si>
  <si>
    <t>10.1109/TSP.2019.8768807</t>
  </si>
  <si>
    <t>Nokia Software, Budapest, Hungary; Nokia Software, Budapest, Hungary; Nokia Software, Budapest, Hungary; Nokia Software, Budapest, Hungary; Nokia Bell Laboratories, Budapest, Hungary</t>
  </si>
  <si>
    <t>There are multiple drivers of moving away from physical implementation of telecommunication network elements towards software (SW) only deployments in all IP networks. One of the major motivations is the possibility to use commercial IT hardware as platform, due to cost efficiency and the common required experience for hardware (HW) operation and maintenance. The growing demand for decoupling HW and application SW requires an increasing utilization of virtualization. On top of IT-grade HW, the virtualized network functions can be deployed to the cloud. However, to fulfill the strict requirements of telecommunication networks on cloud, there are special configurations and best practices that shall be followed. These led to the notion of `Telco-Cloud'. The rapidly increasing amount of cloud-based Virtual Network Functions introduced new concepts for dimensioning, deployment, operation, management, licensing, and monitoring. Several established availability and operability requirements and expectations are inherited also from the legacy world of Physical Network Functions, meanwhile the telecommunication world itself undergoes a continuous change towards the new worlds of Telco-Cloud and 5G. This paper gives an overview of the transition to Telco-Cloud, basic dimensioning and availability design concepts and some operability challenges are discussed. Finally, a few examples are shown from research and development, as well as feedback from real operator networks.</t>
  </si>
  <si>
    <t>978-1-7281-1864-2</t>
  </si>
  <si>
    <t>https://ieeexplore.ieee.org/stamp/stamp.jsp?arnumber=8768807</t>
  </si>
  <si>
    <t>Telco-Cloud;PNF;VNF;TAS;dimensioning;capacity;traffic profile;pooling;redundancy;availability</t>
  </si>
  <si>
    <t>Virtualization;Cloud computing;Switches;Telecommunications;Software;Hardware</t>
  </si>
  <si>
    <t>A. Meslin; N. Rodriguez; M. Endler</t>
  </si>
  <si>
    <t>A Scalable Multilayer Middleware for Distributed Monitoring and Complex Event Processing for Smart Cities</t>
  </si>
  <si>
    <t>10.1109/ISC2.2018.8656961</t>
  </si>
  <si>
    <t>PUC-Rio, UFRJ, Rio de Janeiro, Brazil; PUC-Rio, Rio de Janeiro, Brazil; PUC-Rio, Rio de Janeiro, Brazil</t>
  </si>
  <si>
    <t>In this paper, we present a hierarchical, distributed, cloud-based, context-aware architecture for collecting, processing and distributing data in a smart city. The architecture we are proposing has three hierarchical levels, and supports complex event processing (CEP) in several of them. At the lower layer, several mobile objects work as interfaces to sensors and actuators and provide processing capability for local filtering and detection. A second level, consisting of gateways and processing nodes, processes information from its locale and sends the data received from the mobile objects to the storage level using the existing network infrastructure. The highest level provides support for structured storage and queries of the information. Applications outside the platform can collect data through the external interface of the highest level. The system is under development using the InterSCity platform in the upper layer, the ContextNet middleware at the middle layer, and the Mobile-Hub application at the lower layer. It currently collects and processes data on buses running in the City of Rio de Janeiro.</t>
  </si>
  <si>
    <t>https://ieeexplore.ieee.org/stamp/stamp.jsp?arnumber=8656961</t>
  </si>
  <si>
    <t>Smart City;Internet of Things;Fog Computing</t>
  </si>
  <si>
    <t>Intelligent sensors;Actuators;Logic gates;Smart cities;Real-time systems</t>
  </si>
  <si>
    <t>Prajeesha; A. M</t>
  </si>
  <si>
    <t>EDGE Computing Application in SMART GRID-A Review</t>
  </si>
  <si>
    <t>2021 Second International Conference on Electronics and Sustainable Communication Systems (ICESC)</t>
  </si>
  <si>
    <t>10.1109/ICESC51422.2021.9532792</t>
  </si>
  <si>
    <t>Department of Electronics and Communication Engineering, PES University, Bangalore, Karnataka, India; Department of Electronics and Communication Engineering, PES University, Bangalore, Karnataka, India</t>
  </si>
  <si>
    <t>The exponential demand for power has led to serious concerns related to reliability and efficiency when transporting power to far-flung areas. The power grid is an essential arrangement for distributing and delivering the power from different power stations to customers. Monitoring of this electric grid is now the key module in the power grid system and it prevents the entire system from unpredictable power disturbances, inflexible energy rates, outages, unnoticeable frauds. Advanced technologies like edge computing, 5G, AI have revolutionized the power system to the smart grid. Data visualization, load forecasting, failure prediction, self-healing along with edge computing make smart grid convenient by reducing delay and providing faster responses. The definitions of SMART Grid and Edge Computing are discussed in the first session. Later the review is done and analysis is made on the effect of Edge Computing on SMART Grid by illustrating a few Smart applications. This paper will give an overview on Edge Computing Application on Smart Grid and what are the advantages of Smart Grid over existing conventional grid.</t>
  </si>
  <si>
    <t>978-1-6654-2867-5</t>
  </si>
  <si>
    <t>https://ieeexplore.ieee.org/stamp/stamp.jsp?arnumber=9532792</t>
  </si>
  <si>
    <t>Smart Grid;Edge Computing;Real Time Monitoring;Cloud Computing;Smart Meter;Intelligent Electronic Devices (IED's);Radio Access Network;Micro Grid;Smart Applications</t>
  </si>
  <si>
    <t>Cloud computing;Real-time systems;Time measurement;Smart meters;Smart grids;Servers;Security</t>
  </si>
  <si>
    <t>V. M. Tovarnitchi</t>
  </si>
  <si>
    <t>Cloud-Based Architectures for Environment Monitoring</t>
  </si>
  <si>
    <t>2017 21st International Conference on Control Systems and Computer Science (CSCS)</t>
  </si>
  <si>
    <t>10.1109/CSCS.2017.109</t>
  </si>
  <si>
    <t>Faculty of Automatic Control and Computers, University Politehnica of Bucharest, Bucharest, Romania</t>
  </si>
  <si>
    <t>Aiming to keep under control a particular system or environment or to ensure that it works as expected there is a need to know what-when-why happens there. Various conditions and environmental factors can lead to errors, unexpected behavior or loss of control. To pursue these factors manually is time consuming, error prone, slow and usually quite expensive. Monitoring is quite complex and challenging activity, but with recent advances of technology in many areas there is a good premise for automating almost each activity in monitoring of any system, process, and environment. The basic activity of monitoring is gathering data, which with high degree of accuracy will make us more informed and will help us to take more correct decision. This paper shows the main questions identified while trying to design architecture for an environment monitoring system, the main characteristics which such system should have and the technologies and standards proposed to be used in order to support required functionalities.</t>
  </si>
  <si>
    <t>978-1-5386-1839-4</t>
  </si>
  <si>
    <t>https://ieeexplore.ieee.org/stamp/stamp.jsp?arnumber=7968637</t>
  </si>
  <si>
    <t>Environment Monitoring;Context-Awareness;Distributed Systems;Cloud Computing;Reactive Systems;Microservices Architecture;Actor Model;Cloud-based Architectures;Internet of Things</t>
  </si>
  <si>
    <t>Monitoring;Sensors;Cloud computing;Protocols;Context;Data visualization;Computer architecture</t>
  </si>
  <si>
    <t>T. Sanislav; G. D. Mois; S. Folea</t>
  </si>
  <si>
    <t>Digital Twins in the Internet of Things Context</t>
  </si>
  <si>
    <t>2021 29th Telecommunications Forum (TELFOR)</t>
  </si>
  <si>
    <t>10.1109/TELFOR52709.2021.9653240</t>
  </si>
  <si>
    <t>Department of Automation, Technical University of Cluj-Napoca, Cluj-Napoca, Romania; Department of Automation, Technical University of Cluj-Napoca, Cluj-Napoca, Romania; Department of Automation, Technical University of Cluj-Napoca, Cluj-Napoca, Romania</t>
  </si>
  <si>
    <t>Digital Twin is a term currently popular among researchers in the context of digitalization, Cyber-Physical Systems and Industry 4.0. Therefore, this paper gives a brief history of the Digital Twin concept and presents its main components as they have been introduced by two well known architectures. Different applications of Digital Twins in manufacturing, healthcare, smart cities, and agriculture are shown. Their analysis emphasized that the implementation of the Digital Twin concept is still in its infancy and several key challenges must be considered. Among those, communications, big data analysis, and security have received the most attention from the research community and industry. Two different architectures, that use two different communication protocols to transmit the acquired data describing the physical system to be replicated in the digital world are given as use-case systems. These identify the Internet of Things vision as a key enabler of Digital Twin implementations.</t>
  </si>
  <si>
    <t>978-1-6654-2585-8</t>
  </si>
  <si>
    <t>https://ieeexplore.ieee.org/stamp/stamp.jsp?arnumber=9653240</t>
  </si>
  <si>
    <t>Cloud computing;Communication protocols;Cyber-physical systems;Digital twin;Internet of Things</t>
  </si>
  <si>
    <t>Protocols;Smart cities;Digital twin;Computational modeling;Medical services;Computer architecture;Predictive models</t>
  </si>
  <si>
    <t>Z. Hameed; F. Ahmad; S. u. Rehman; Z. Ghafoor</t>
  </si>
  <si>
    <t>IoT Based Communication Technologies to Integrate and Maximize the Efficiency of Renewable Energy Resources with Smart Grid</t>
  </si>
  <si>
    <t>2020 International Conference on Computing and Information Technology (ICCIT-1441)</t>
  </si>
  <si>
    <t>10.1109/ICCIT-144147971.2020.9213730</t>
  </si>
  <si>
    <t>Faculty of Engineering and Technology, The Superior College, Lahore, Pakistan; Faculty of Engineering and Technology, The Superior College, Lahore, Pakistan; Faculty of Engineering and Technology, The Superior College, Lahore, Pakistan; The Superior College, Lahore, Pakistan</t>
  </si>
  <si>
    <t>One of the future goal in smart grid that maximize the performance of the system up to 100% and in this production large amount should be obtained from renewable energy resources. To make a reduction in the cost of energy, geothermal sources and fossil fuels are also used with smart grid to increase the efficiency of the grid. Today due to high cost of energy, very high losses in the actual power system, risks occur due to nuclear and oil and gas energy, and globally environment changes are the way of motivating to convert these sources into conventional energy sources. So today is the era of SG with integrating of renewable energy resources to maximize the efficiency and reduce the cost and make the system more stable. Traditional power systems are converted into smart grids due high efficiency, more securable, more reliable, and especially highly protection of the user data and bi directional energy flow. Due to this in this paper we discuss the IOT (Internet of things) based communication technologies to make the system more stable with high efficiency, minimum cost and with high protection of the user data in smart grid. IOT aided smart grid systems that consist of existing applications, prototypes and architectures. This research paper also highlights the challenges, open issues and a lot of research directions for the internet of things (IOT)-aided smart grid systems.</t>
  </si>
  <si>
    <t>978-1-7281-2680-7</t>
  </si>
  <si>
    <t>https://ieeexplore.ieee.org/stamp/stamp.jsp?arnumber=9213730</t>
  </si>
  <si>
    <t>fossil fuels;geothermal sources;renewable energy resources (RES);internet of things (IOT);smart grid</t>
  </si>
  <si>
    <t>Smart grids;Frequency modulation;Reliability;Internet of Things;Renewable energy sources;Wide area networks</t>
  </si>
  <si>
    <t>P. Pico-Valencia; J. A. Holgado-Terriza; X. Qui√±√≥nez-Ku</t>
  </si>
  <si>
    <t>A Brief Survey of the Main Internet-Based Approaches. An Outlook from the Internet of Things Perspective</t>
  </si>
  <si>
    <t>2020 3rd International Conference on Information and Computer Technologies (ICICT)</t>
  </si>
  <si>
    <t>10.1109/ICICT50521.2020.00091</t>
  </si>
  <si>
    <t>System Engineering and Computing, PUCE, Esmeraldas, Ecuador; Software Engineering Department, University of Granada, Granada, Spain; System Engineering and Computing, PUCE, Esmeraldas, Ecuador</t>
  </si>
  <si>
    <t>The Internet of Things (IoT) is an approach that arose as an alternative to handle billions of digital devices, people and services of the real-world which are interconnected over Internet. In this paper, we present a comprehensive survey where main paradigms associated with IoT -Internet of Services (IoS), Internet of People (IoP), Internet of Content (IoC) and the emerging Internet of Agents (IoA)- are outlined. We analyze these paradigms in terms of their definition, scope, goals and their correlation with the IoT in order to identify the main challenges that will involve to the next generation of the IoT applying a process of agentification to achieve more autonomous, collaborative and intelligent IoT systems.</t>
  </si>
  <si>
    <t>978-1-7281-7283-5</t>
  </si>
  <si>
    <t>https://ieeexplore.ieee.org/stamp/stamp.jsp?arnumber=9092160</t>
  </si>
  <si>
    <t>Internet of things;Internet of people;Internet of content;Internet of agents</t>
  </si>
  <si>
    <t>Internet of Things;Ecosystems;Computer architecture;Smart phones;Task analysis;Tools</t>
  </si>
  <si>
    <t>M. A. Habibi; A. G. S√°nchez; I. L. Pav√≥n; B. Han; G. Landi; B. Sayadi; C. Ntogkas; I. -P. Belikaidis; H. D. Schotten; P. Serrano; J. P√©rez-Valero; A. Virdis</t>
  </si>
  <si>
    <t>Enabling Network and Service Programmability in 6G Mobile Communication Systems</t>
  </si>
  <si>
    <t>2022 IEEE Future Networks World Forum (FNWF)</t>
  </si>
  <si>
    <t>2770-7679</t>
  </si>
  <si>
    <t>10.1109/FNWF55208.2022.00063</t>
  </si>
  <si>
    <t>Technische Universit√§t Kaiserslautern; ATOS Research &amp; Innovation; ATOS Research &amp; Innovation; Technische Universit√§t Kaiserslautern; Nextworks; NOKIA Bell-Labs; WINGS ICT Solutions; WINGS ICT Solutions; Technische Universit√§t Kaiserslautern; Universidad Carlos III de Madrid; Universidad Carlos III de Madrid; University of Pisa</t>
  </si>
  <si>
    <t>Network programmability is crucial for addressing the multiplicity and heterogeneity of Network Services, the diversity of the underlying infrastructure of Sixth-Generation (6G) communication systems, and the requirements for maximum efficiency. The programmability of a service platform enables algorithmic network management by leveraging contemporary software virtualization technologies. Moreover, network programmability will abstract the essential network/service and resource configuration, as well as the production and administration of policy lifecycles, as the number of local breakouts (both public and private) is anticipated to grow exponentially. Network programmability is the central point of interest for Hexa-X, the European 6G flagship project, which aims to facilitate the dynamic adaptation to changing network situations and requirements for the most efficient use of available resources. To explore such a critical enabler of futuristic mobile networks, this article addresses the role of network and service programmability and its impact on various aspects of 6G within the context of Hexa-X. In order to accomplish this, the article begins by discussing Hexa-X's proposed service Management and Orchestration (M&amp;O) framework for 6G. Based on this framework, it identifies and explores in greater detail the programmability of four primary processes in 6G: expressing application and service requirements; service description models and profiling; monitoring and diagnostics; and reasoning. Beyond the scope of the Hexa-X, this article aims to serve as a foundation for future research into network and service programmability in 6G.</t>
  </si>
  <si>
    <t>978-1-6654-6250-1</t>
  </si>
  <si>
    <t>https://ieeexplore.ieee.org/stamp/stamp.jsp?arnumber=10056710</t>
  </si>
  <si>
    <t>6G;Intent-based Processes;Monitoring and Diagnostic;Network Profiling;Network Programmability;Programmable Processes;Reasoning;Service Description;Service Management and Orchestration;Service Programmability</t>
  </si>
  <si>
    <t>6G mobile communication;Software algorithms;Europe;Production;Dynamic scheduling;Software;Cognition</t>
  </si>
  <si>
    <t>T. Mahn; A. Klein</t>
  </si>
  <si>
    <t>Energy-Efficient Application-Aware Mobile Edge Computing with Multiple Access Points</t>
  </si>
  <si>
    <t>2020 IEEE 31st Annual International Symposium on Personal, Indoor and Mobile Radio Communications</t>
  </si>
  <si>
    <t>10.1109/PIMRC48278.2020.9217376</t>
  </si>
  <si>
    <t>Communications Engineering Lab, TU Darmstadt, Germany; Communications Engineering Lab, TU Darmstadt, Germany</t>
  </si>
  <si>
    <t>The offloading decision making of multiple mobile units in a mobile edge computing (MEC) scenario with multiple access points, each with an attached cloudlet server, is investigated. This scenario bears a joint problem to be solved: the assignment of mobile units to access points, the allocation of the shared communication and computation resources and the offloading decision of each mobile unit. Additionally, the offloading decision is influenced by the availability of the required software for the computation of the task of the mobile unit that may not be available at the cloudlet and has to be downloaded before starting the computation. The proposed offloading decision making and resource allocation problem is formulated as a global optimization problem. To handle higher numbers of mobile units in the network and also achieve a greatly faster convergence, a game theoretic algorithm for the individual offloading decisions is introduced. In numerical simulations, the game based algorithm is shown to deliver results close to the optimum solution, while requiring only a small number of iterations until convergence to a Nash equilibrium.</t>
  </si>
  <si>
    <t>978-1-7281-4490-0</t>
  </si>
  <si>
    <t>https://ieeexplore.ieee.org/stamp/stamp.jsp?arnumber=9217376</t>
  </si>
  <si>
    <t>Task analysis;Software;Servers;Optimization;Cloud computing;Games;Resource management</t>
  </si>
  <si>
    <t>A. Chawla; P. Babu; T. Gawande; E. Aumayr; P. Jacob; S. Fallon</t>
  </si>
  <si>
    <t>Intelligent Monitoring of IoT Devices using Neural Networks</t>
  </si>
  <si>
    <t>2021 24th Conference on Innovation in Clouds, Internet and Networks and Workshops (ICIN)</t>
  </si>
  <si>
    <t>2472-8144</t>
  </si>
  <si>
    <t>10.1109/ICIN51074.2021.9385543</t>
  </si>
  <si>
    <t>Software Research Institute Athlone Institute of Technology, Athlone, Ireland; Cloud Pipeline Engineering Workday, Dublin, Ireland; Application Development Platform Ericsson, Athlone, Ireland; Network Management Lab Ericsson, Athlone, Ireland; Software Research Institute Athlone Institute of Technology, Athlone, Ireland; Software Research Institute Athlone Institute of Technology, Athlone, Ireland</t>
  </si>
  <si>
    <t>The Internet of Things (IoT) has seen expeditious growth in recent times with 7 billion connected devices in 2020, thus leading to the vital importance of real-time monitoring of IoT devices. Through this paper, we demonstrate the idea of building a cloud-native application to monitor smart home devices. The application intends to provide valuable performance metrics from the perspective of end-users and react to anomalies in real-time. In this demo paper, we conduct the demonstration using Autoencoder (an unsupervised technique) based Deep Neural Networks (DNNs) to learn the normal operating conditions of power consumption of smart devices. When an anomaly is detected, the DNNs take proactive action and send appropriate commands back to the device. In addition, the users are provided with a real-time graphical representation of power consumption. This will help to save electricity on a domestic as well as industrial level. Finally, we discuss the future prospects of monitoring IoT devices.</t>
  </si>
  <si>
    <t>978-1-7281-7705-2</t>
  </si>
  <si>
    <t>https://ieeexplore.ieee.org/stamp/stamp.jsp?arnumber=9385543</t>
  </si>
  <si>
    <t>IoT devices;Deep Learning;Microservices;cloud-native application</t>
  </si>
  <si>
    <t>Cloud computing;Technological innovation;Power demand;Neural networks;Real-time systems;Internet of Things;Monitoring</t>
  </si>
  <si>
    <t>M. Xu</t>
  </si>
  <si>
    <t>Research on 5G UAV Smart Grid Inspection Technology Based on Digital Twin</t>
  </si>
  <si>
    <t>2021 IEEE 7th International Conference on Cloud Computing and Intelligent Systems (CCIS)</t>
  </si>
  <si>
    <t>10.1109/CCIS53392.2021.9754652</t>
  </si>
  <si>
    <t>CETC Taiji Computer Co., Ltd., Beijing, China</t>
  </si>
  <si>
    <t>At present, 5G, UAV, Beidou Positioning, artificial intelligence and digital twin technology are accelerating the deep integration with industrial departments such as transmission grid. This paper studies the intelligent application of 5G UAV based on digital twin in transmission grid, especially the key technologies of transmission line inspection, digital twin technology and 5G UAV technology, Through the research, it is found that the intelligent inspection of transmission line using UAV for data acquisition and supervision, 5G as transmission channel and digital twin as dynamic simulation tool has the characteristics of immersive monitoring operation, intelligent fault diagnosis, automatic problem tracking and remote centralized control command, which can improve the inspection efficiency of transmission line, dynamic monitoring around substation. The results of fault detection, emergency treatment and self-healing are remarkable. The application of digital twin technology to simulate unmanned unit inspection of transmission lines, substations and key components such as insulators, as well as inspection track and early warning tracking, are more realistic, intelligent, effective and safe, which can improve the overall economic efficiency of power grid transmission supply, operation and maintenance, At the same time, it also improves the intelligent level of power grid and provides a reference for the in-depth research of the technical system.</t>
  </si>
  <si>
    <t>978-1-6654-4149-0</t>
  </si>
  <si>
    <t>https://ieeexplore.ieee.org/stamp/stamp.jsp?arnumber=9754652</t>
  </si>
  <si>
    <t>5G;UAV;Digital twins;Smart grid;Power inspection</t>
  </si>
  <si>
    <t>Degradation;Visualization;Power transmission lines;Substations;5G mobile communication;Digital twin;Data acquisition</t>
  </si>
  <si>
    <t>E. Politi; I. Varlamis; K. Tserpes; M. Larsen; G. Dimitrakopoulos</t>
  </si>
  <si>
    <t>The future of safe BVLOS drone operations with respect to system and service engineering</t>
  </si>
  <si>
    <t>10.1109/SOSE55356.2022.00022</t>
  </si>
  <si>
    <t>Department of Informatics and Telematics, Harokopio University of Athens, Greece; Department of Informatics and Telematics, Harokopio University of Athens, Greece; Department of Informatics and Telematics, Harokopio University of Athens, Greece; AnyWi Technologies, Leiden, Nethherlands; Department of Informatics and Telematics, Harokopio University of Athens, Greece</t>
  </si>
  <si>
    <t>Unmanned aerial vehicles (UAVs) have witnessed a dramatic increase in use over the last 20 years, gradually becoming popular tools for a variety of applications, while they contribute to a remarkable number of scientific advances in engineering, remote sensing, and computer science. Drones are an example of an edge device that uses technologies like visual search, image recognition, object detection, and tracking to provide a variety of solutions, ranging from construction, and traffic monitoring to cartography, among others. In order to develop new services and promote creative business models, BVLOS drones are turning into aerial sensing platforms that produce data and fuse data flows coming from current sensors in order to operate. Given this landscape, the combination of cloud and edge computing resources seems to be a promising solution that addresses computation-intensive offloading and latency difficulties.</t>
  </si>
  <si>
    <t>https://ieeexplore.ieee.org/stamp/stamp.jsp?arnumber=9912613</t>
  </si>
  <si>
    <t>UAVs;market analysis;cloud-edge computing;BVLOS drones</t>
  </si>
  <si>
    <t>Visualization;Service-oriented systems engineering;Object detection;Sensor fusion;Turning;Search problems;Sensors</t>
  </si>
  <si>
    <t>L. CHAARI; S. CHAHBANI; J. REZGUI</t>
  </si>
  <si>
    <t>MAV-DTLS toward Security Enhancement of the UAV-GCS Communication</t>
  </si>
  <si>
    <t>2020 IEEE 92nd Vehicular Technology Conference (VTC2020-Fall)</t>
  </si>
  <si>
    <t>10.1109/VTC2020-Fall49728.2020.9348584</t>
  </si>
  <si>
    <t>Digital Research Center of Sfax (CRNS) Laboratory of Technologies for Smart Systems (LT2S), Sfax University, Tunisia; Digital Research Center of Sfax (CRNS) Laboratory of Technologies for Smart Systems (LT2S), Sfax University, Tunisia; Laboratoire Recherche Informatique Maisonneuve (LRIMa), Montreal, Canada</t>
  </si>
  <si>
    <t>Currently, Unmanned Aerial Vehicles (UAVs) are gaining a lot of attention due to their different potentialities and use cases. We can use UAVs to track intruders, to capture images and videos in harsh areas and to boost the coverage of existing cellular systems. For all these context and scenario security of the communication system between UAV and its ground control station (GCS) is primordial. The standardized point-to-point communication protocol between UAV and the GCS named MAVLINK has several vulnerabilities. MAVLINK used to carry telemetry, to control, and to command small UAVs. UAV-GCS communication link could be attacked. In this context, this paper proposes MAV-DTLS mechanism to enhance the security of the communication links between UAVs and the GCS. We have described the main issues of our proposed solution that empowers secure communication between UAV and GCS. The obtained result proof that MAV-DTLS resist to the different studied attacks (DOS, GPS spoofing, MItM, Data modification).</t>
  </si>
  <si>
    <t>978-1-7281-9484-4</t>
  </si>
  <si>
    <t>https://ieeexplore.ieee.org/stamp/stamp.jsp?arnumber=9348584</t>
  </si>
  <si>
    <t>Unmanned Aerial Vehicles;UAV;Ground control station;Vulnerabilities;Security;MAVLINK</t>
  </si>
  <si>
    <t>Vehicular and wireless technologies;Protocols;Resists;Unmanned aerial vehicles;Security;Telemetry;Videos</t>
  </si>
  <si>
    <t>C. L. Chamas; D. Cordeiro; M. M. Eler</t>
  </si>
  <si>
    <t>Comparing REST, SOAP, Socket and gRPC in computation offloading of mobile applications: An energy cost analysis</t>
  </si>
  <si>
    <t>2017 IEEE 9th Latin-American Conference on Communications (LATINCOM)</t>
  </si>
  <si>
    <t>10.1109/LATINCOM.2017.8240185</t>
  </si>
  <si>
    <t>University of S√£o Paulo, S√£o Paulo, Brazil; University of S√£o Paulo, S√£o Paulo, Brazil; University of S√£o Paulo, S√£o Paulo, Brazil</t>
  </si>
  <si>
    <t>There has been a high concern regarding the energy saving on mobile devices recently, for mobile devices have been performing increasingly complex tasks over time. The computation offloading is one of the most popular techniques used by developers as an effective way of saving energy on mobile devices, which consists on executing complex tasks in external servers with different purposes including save energy. Deciding towards offloading certain tasks requires to understand the influence of the amount of data, amount of computation, and the network profile. Several studies have investigated the influence of different wireless flavours, such as 3G, 4G and wifi, but no study has investigated the influence of the communication choices on the energy cost. Therefore, in this paper, we present an experiment we conducted to evaluate the energy consumption of different communication protocols and architectural styles, namely REST, SOAP, Socket and gRPC, when executing algorithms of different complexities and different input sizes and types. Results show that local execution is more economic with less complex algorithms and small input data. When it comes to remote execution, REST is the most economic choice followed by Socket. Moreover, our data show that computation offloading can save up to 10 time as much energy when compared to local execution for some executions configurations.</t>
  </si>
  <si>
    <t>978-1-5386-2098-4</t>
  </si>
  <si>
    <t>https://ieeexplore.ieee.org/stamp/stamp.jsp?arnumber=8240185</t>
  </si>
  <si>
    <t>Batteries;Energy consumption;Sorting;Mobile handsets;Sockets;Servers</t>
  </si>
  <si>
    <t>A. Carrega; M. Repetto; G. Robino; G. Portomauro</t>
  </si>
  <si>
    <t>OpenStack extensions for QoS and energy efficiency in edge computing</t>
  </si>
  <si>
    <t>2018 Third International Conference on Fog and Mobile Edge Computing (FMEC)</t>
  </si>
  <si>
    <t>10.1109/FMEC.2018.8364044</t>
  </si>
  <si>
    <t>CNIT, S3ITI National Lab, Genoa, Italy; CNIT, S3ITI National Lab, Genoa, Italy; CNIT, S3ITI National Lab, Genoa, Italy; DITEN, University of Genoa, Genoa, Italy</t>
  </si>
  <si>
    <t>Mobility has always been a big challenge in cellular networks, because it is responsible for traffic fluctuations that eventually result into inconstant resource usage and the need for proper Quality of Service management. When applications get deployed at the network edge, the challenges even grow because software is harder to hand-over than traffic streams. Cloud technologies have been designed with different specifications, and should be properly revised to balance efficiency and effectiveness in distributed and capillary infrastructures. In this paper, we propose some extensions to OpenStack for power management and Quality of Service. Our framework provides additional APIs for setting the service level and interacting with power-saving mechanisms. It is designed to be easily integrated with modern software orchestration tools and workload consolidation algorithms. We report real measurements from an experimental proof-of-concept.</t>
  </si>
  <si>
    <t>978-1-5386-5896-3</t>
  </si>
  <si>
    <t>https://ieeexplore.ieee.org/stamp/stamp.jsp?arnumber=8364044</t>
  </si>
  <si>
    <t>Energy efficiency;QoS;mobile edge computing</t>
  </si>
  <si>
    <t>Quality of service;Cloud computing;Edge computing;Power system management;Power demand;Virtualization</t>
  </si>
  <si>
    <t>M. -I. Corici; V. Gowtham; T. Magedanz; A. Prakash; F. Schreiner</t>
  </si>
  <si>
    <t>NEMI: A 6G-ready) AI-enabled Autonomic Network Management System for Open Campus Networks</t>
  </si>
  <si>
    <t>10.1109/GCWkshps56602.2022.10008626</t>
  </si>
  <si>
    <t>Software-based Networks (NGNI), Fraunhofer FOKUS, Berlin, Germany; Software-based Networks (NGNI), Fraunhofer FOKUS, Berlin, Germany; Software-based Networks (NGNI), Fraunhofer FOKUS, Berlin, Germany; Software-based Networks (NGNI), Fraunhofer FOKUS, Berlin, Germany; Software-based Networks (NGNI), Fraunhofer FOKUS, Berlin, Germany</t>
  </si>
  <si>
    <t>The management of ultra-dense, high-capacity beyond-5G networks becomes increasingly complex due to the network complexity, density and heterogeneity of the various, distributed and dis-aggregated network elements. Traditional, monolithic, policy-based network management systems are incapable of meeting many requirements of beyond 5G networks, slow, error-prone and complex to administrate. AI-enabled, distributed, autonomous network management systems overcome many limitations of current management systems and reduce the complexity from an administrative perspective. This work introduces a novel autonomous network management system for beyond 5G networks ‚ÄúNEMI‚Äù. It presents its application in dis-aggregated, beyond 5G network architectures for low latency QoS and mobility management and provides a preliminary validation of its functions for reliability and resilience in fixed, satellite and 5G networks, highlighting the benefits of distributed, AI-enabled autonomous network management.</t>
  </si>
  <si>
    <t>https://ieeexplore.ieee.org/stamp/stamp.jsp?arnumber=10008626</t>
  </si>
  <si>
    <t>AI-enabled Network Management;Autonomic Networking;6G;Campus Networks;Open RAN;Intent Based Networking</t>
  </si>
  <si>
    <t>6G mobile communication;Satellites;5G mobile communication;Conferences;Quality of service;Network architecture;Complexity theory</t>
  </si>
  <si>
    <t>J. . -M. Estar√°n; E. Dutisseuil; H. Mardoyan; G. de Valicourt; A. Dupas; Q. P. Van; D. Verchere; B. Uscumlic; P. Dong; Y. -K. Chen; S. Bigo; Y. Pointurier</t>
  </si>
  <si>
    <t>Cloud-BOSS Intra-Data Center Network: On-Demand QoS Guarantees via ŒºŒ≤ Optical Slot Switching</t>
  </si>
  <si>
    <t>2017 European Conference on Optical Communication (ECOC)</t>
  </si>
  <si>
    <t>10.1109/ECOC.2017.8346190</t>
  </si>
  <si>
    <t>Nokia Bell Labs, Route de Villejust, Nozay, France; Nokia Bell Labs, Route de Villejust, Nozay, France; Nokia Bell Labs, Route de Villejust, Nozay, France; Nokia Bell Labs, Route de Villejust, Nozay, France; Nokia Bell Labs, Route de Villejust, Nozay, France; Nokia Bell Labs, Route de Villejust, Nozay, France; Nokia Bell Labs, Route de Villejust, Nozay, France; Nokia Bell Labs, Route de Villejust, Nozay, France; Nokia Bell Labs, Route de Villejust, Nozay, France; Nokia Bell Labs, Route de Villejust, Nozay, France; Nokia Bell Labs, Route de Villejust, Nozay, France; Nokia Bell Labs, Route de Villejust, Nozay, France</t>
  </si>
  <si>
    <t>We propose Cloud-BOSS, an intra-data center network leveraging original optical components and custom SDN control to enable sub-wavelength network slicing and on-demand QoS guarantees. We demonstrate a 3-ToR real-time prototype.</t>
  </si>
  <si>
    <t>978-1-5386-5624-2</t>
  </si>
  <si>
    <t>https://ieeexplore.ieee.org/stamp/stamp.jsp?arnumber=8346190</t>
  </si>
  <si>
    <t>Optical switches;Quality of service;Optical fiber networks;Cloud computing;Optical interconnections;Data centers</t>
  </si>
  <si>
    <t>I. -C. Wang; S. Qi; E. Liri; K. K. Ramakrishnan</t>
  </si>
  <si>
    <t>Towards a Proactive Lightweight Serverless Edge Cloud for Internet-of-Things Applications</t>
  </si>
  <si>
    <t>2021 IEEE International Conference on Networking, Architecture and Storage (NAS)</t>
  </si>
  <si>
    <t>10.1109/NAS51552.2021.9605384</t>
  </si>
  <si>
    <t>Edge cloud solutions that bring the cloud closer to the sensors can be very useful to meet the low latency requirements of many Internet-of-Things (IoT) applications. However, IoT traffic can also be intermittent, so running applications constantly can be wasteful. Therefore, having a serverless edge cloud that is responsive and provides low-latency features is a very attractive option for a resource and cost-efficient IoT application environment.In this paper, we discuss the key components needed to support IoT traffic in the serverless edge cloud and identify the critical challenges that make it difficult to directly use existing serverless solutions such as Knative, for IoT applications. These include overhead from heavyweight components for managing the overall system and software adaptors for communication protocol translation used in off-the-shelf serverless platforms that are designed for large-scale centralized clouds. The latency imposed by ‚Äòcold start‚Äô is a further deterrent.To address these challenges we redesign several components of the Knative serverless framework. We use a streamlined protocol adaptor to leverage the MQTT IoT protocol in our serverless framework for IoT event processing. We also create a novel, event-driven proxy based on the extended Berkeley Packet Filter (eBPF), to replace the regular heavyweight Knative queue proxy. Our preliminary experimental results show that the event-driven proxy is a suitable replacement for the queue proxy in an IoT serverless environment and results in lower CPU usage and a higher request throughput.</t>
  </si>
  <si>
    <t>978-1-7281-7744-1</t>
  </si>
  <si>
    <t>https://ieeexplore.ieee.org/stamp/stamp.jsp?arnumber=9605384</t>
  </si>
  <si>
    <t>Internet-of-Things;serverless;edge cloud</t>
  </si>
  <si>
    <t>Energy consumption;Protocols;Conferences;Computer architecture;Throughput;Software;Sensors</t>
  </si>
  <si>
    <t>D. Overbeck; F. Kurtz; S. B√∂cker; C. Wietfeld</t>
  </si>
  <si>
    <t>Design of a 5G Network Slicing Architecture for Mixed-Critical Services in Cellular Energy Systems</t>
  </si>
  <si>
    <t>2022 IEEE International Conference on Communications, Control, and Computing Technologies for Smart Grids (SmartGridComm)</t>
  </si>
  <si>
    <t>10.1109/SmartGridComm52983.2022.9961023</t>
  </si>
  <si>
    <t>Communication Networks Institute, TU Dortmund University, Dortmund; Communication Networks Institute, TU Dortmund University, Dortmund; Communication Networks Institute, TU Dortmund University, Dortmund; Communication Networks Institute, TU Dortmund University, Dortmund</t>
  </si>
  <si>
    <t>The shift towards renewable energies is increasing communication demands, particularly in novel energy grid architectures. One such approach is the concept of cellular energy systems, which divide the grid into regions with the potential to operate independently. Management of the resulting energy flows between and within cells is highly complex. Thus communication becomes increasingly challenging. A promising method for handling the resulting mixed-critical data flows is the fifth generation of mobile radio networks, i.e., 5G. It enables reliable communication in public and private infrastructures via network slicing. Here, a single physical network is split up into multiple slices, each addressing the requirements of various services and devices optimally. This enables cost-efficient communications based on widely available Information and Communications Technology (ICT) infrastructures. In this work we provide an integrated architecture as well as a physical cellular energy system testing setup. This is supported by an open-source 4G/5G software stack and gateways for handling mixed-critical grid communications. The physical testbed is located at the Smart Grid Technology Lab (SGTL) at TU Dortmund university and enables real-world analysis of relevant scenarios. Results illustrate the capabilities of Radio Access Network (RAN) network slicing and provide insights on deploying dedicated mobile radio networks in cellular energy systems with mixed-critical services.</t>
  </si>
  <si>
    <t>978-1-6654-3254-2</t>
  </si>
  <si>
    <t xml:space="preserve">Federal Ministry for Economic Affairs and Climate Action (BMWK)(grant numbers:16KISK038); </t>
  </si>
  <si>
    <t>https://ieeexplore.ieee.org/stamp/stamp.jsp?arnumber=9961023</t>
  </si>
  <si>
    <t>System testing;Renewable energy sources;5G mobile communication;Network slicing;Computer architecture;Smart grids;Information and communication technology</t>
  </si>
  <si>
    <t>≈Å. Falas; P. Schauer; P. ≈öwiƒÖtek; R. Trzaska</t>
  </si>
  <si>
    <t>Practical Implementation of Internet of Things Service Systems Architecture</t>
  </si>
  <si>
    <t>2017 25th International Conference on Systems Engineering (ICSEng)</t>
  </si>
  <si>
    <t>10.1109/ICSEng.2017.57</t>
  </si>
  <si>
    <t>Chair of Computer Science, Wroclaw University of Technology, Wroclaw, Poland; Chair of Computer Science, Wroclaw University of Technology, Wroclaw, Poland; Chair of Computer Science, Wroclaw University of Technology, Wroclaw, Poland; Chair of Computer Science, Wroclaw University of Technology, Wroclaw, Poland</t>
  </si>
  <si>
    <t>The concept of Internet of Things (IoT) which lately was perceived as emerging paradigm is now becoming an important field for innovation-based companies who are developing and deploying solutions tailored to their clients' needs. Despite the fact that there were numerous IoT models which were proposed in research papers, many of them were lacking practical architecture examples and empirical studies providing guidelines for practitioners implementing such systems and proving their usefulness and adjustment to real life requirements. The goal of this article is to provide IoT researchers and developers with a practical service-based architecture for IoT devices, which is focused on solving key challenges related to distributed IoT systems deployment. The article will describe research works in this field and key challenges, description of IoT device model which was a base for this research, a practical implementation of IoT device architecture utilizing this model and our results from empirical studies.</t>
  </si>
  <si>
    <t>978-1-5386-0610-0</t>
  </si>
  <si>
    <t>https://ieeexplore.ieee.org/stamp/stamp.jsp?arnumber=8121686</t>
  </si>
  <si>
    <t>Internet of Things;Microservice Architecture;IoT Device Model;IoT Device Architecture</t>
  </si>
  <si>
    <t>Computer architecture;Computer science;Biological system modeling;Hardware;Edge computing;Security;Architecture</t>
  </si>
  <si>
    <t>B. Bordel; R. Alcarria; T. Robles; G. de la Torre; I. Carretero</t>
  </si>
  <si>
    <t>Digital user-industry interactions and Industry 4.0 services to improve customers‚Äô experience and satisfaction in the European bakery sector</t>
  </si>
  <si>
    <t>2021 16th Iberian Conference on Information Systems and Technologies (CISTI)</t>
  </si>
  <si>
    <t>2166-0727</t>
  </si>
  <si>
    <t>10.23919/CISTI52073.2021.9476568</t>
  </si>
  <si>
    <t>Universidad Polit√©cnica de Madrid (UPM), Madrid, Espa√±a; Universidad Polit√©cnica de Madrid (UPM), Madrid, Espa√±a; Universidad Polit√©cnica de Madrid (UPM), Madrid, Espa√±a; Codan ESPA√ëA S.A, Madrid, Espa√±a; Codan ESPA√ëA S.A, Madrid, Espa√±a</t>
  </si>
  <si>
    <t>Future Industry 4.0 is focused on improving production processes through the employment of digital services and technologies. One of the potential approaches to this new paradigm is the creation of information flows across the entire value chain to empower users, increase their knowledge about the product they are buying and feedback producers with data about the customers' opinions, preferences, and recommendations. To allow a transparent path for information in the value chain, new digital platforms and tools are needed to connect users, producers, and suppliers. DEMETER is a European project focused on improving the efficiency of agri-food sector, according to Industry 4.0 principles. In this paper, we are describing the use case of DEMETER project focused on bakery industry. Five different experiments focused on sharing four different information sources, together with the corresponding tools to guarantee the reliability and transparency of that information, are planned. Recently, results from the first experiment have been obtained and are reported in this paper. Results show how users' satisfaction highly increases when enriched and personalized production information about products is available through, for example, mobile applications. In the future, this mechanism will include more information from suppliers and other related agents to analyze if this also represents a relevant increase in the users' satisfaction.</t>
  </si>
  <si>
    <t>978-989-54659-1-0</t>
  </si>
  <si>
    <t>https://ieeexplore.ieee.org/stamp/stamp.jsp?arnumber=9476568</t>
  </si>
  <si>
    <t>Digital services;Industry 4.0;Users‚Äô satisfation;DEMETER;Bakery industry;mobile applications</t>
  </si>
  <si>
    <t>Industries;Employment;Europe;Production;Tools;Mobile applications;Reliability</t>
  </si>
  <si>
    <t>M. Gundall; J. Stegmann; M. Reichardt; H. D. Schotten</t>
  </si>
  <si>
    <t>Downtime Optimized Live Migration of Industrial Real-Time Control Services</t>
  </si>
  <si>
    <t>2022 IEEE 31st International Symposium on Industrial Electronics (ISIE)</t>
  </si>
  <si>
    <t>2163-5145</t>
  </si>
  <si>
    <t>10.1109/ISIE51582.2022.9831601</t>
  </si>
  <si>
    <t>German Research Center for Artificial Intelligence GmbH (DFKI), Kaiserslautern, Germany; German Research Center for Artificial Intelligence GmbH (DFKI), Kaiserslautern, Germany; German Research Center for Artificial Intelligence GmbH (DFKI), Kaiserslautern, Germany; German Research Center for Artificial Intelligence GmbH (DFKI), Kaiserslautern, Germany</t>
  </si>
  <si>
    <t>Live migration of services is a prerequisite for vari-ous use cases that must be fulfilled for the realization of Industry 4.0. In addition, many different types of services need to provide mobility and consequently need to be migrated live. These can be offloaded algorithms from mobile devices, such as unmanned vehi-cles or robots, security services, communication services or classic control tasks. In particular, the latter place very high demands on determinism and latency. Here, it is of utmost importance that the downtime of the service is as low as possible. Since existing live migration approaches try to optimize multiple metrics such as downtime, migration time as well as energy consumption, which are equally relevant in the IT domain, it is not possible to use any of these approaches without adoptions. Therefore, a novel concept is proposed that builds on top of both existing migration approaches as well as virtualization technologies and aims primarily at minimizing service downtime. Furthermore, the concept is evaluated using a test environment. The results show that a sub-millisecond downtime can be achieved with the proposed concept. Moreover, the total migration time is in the range of several hundred milliseconds for the highest performance setting and two seconds for a non-invasive approach.</t>
  </si>
  <si>
    <t>978-1-6654-8240-0</t>
  </si>
  <si>
    <t>https://ieeexplore.ieee.org/stamp/stamp.jsp?arnumber=9831601</t>
  </si>
  <si>
    <t>Live migration;Redeployment;container;control services;real-time;industrial automation;IT-OT convergence;mo-bility;flexibility</t>
  </si>
  <si>
    <t>Measurement;Service robots;Mission critical systems;Process control;Real-time systems;Mobile handsets;Fourth Industrial Revolution</t>
  </si>
  <si>
    <t>A. Clemm; C. Westphal</t>
  </si>
  <si>
    <t>Challenges and Opportunities in Green Networking</t>
  </si>
  <si>
    <t>2022 IEEE 8th International Conference on Network Softwarization (NetSoft)</t>
  </si>
  <si>
    <t>2693-9789</t>
  </si>
  <si>
    <t>10.1109/NetSoft54395.2022.9844020</t>
  </si>
  <si>
    <t>Futurewei, Santa Clara, USA; Futurewei, Santa Clara, USA</t>
  </si>
  <si>
    <t>Reducing mankind‚Äôs carbon footprint and becoming more sustainable is rapidly becoming one of the main challenges of our age. The networking industry needs to respond to those challenges not only by enabling applications that allow users to save energy (such as, replacing travel with teleconferencing), but also by making networking technology itself significantly more energy-efficient. As a result, the aspect of minimizing network power consumption is rapidly increasing in importance. This position paper aims to articulate opportunities where energy efficiency of networks can be improved, to point out the associated technical challenges, and to identify corresponding research challenges.</t>
  </si>
  <si>
    <t>978-1-6654-0694-9</t>
  </si>
  <si>
    <t>https://ieeexplore.ieee.org/stamp/stamp.jsp?arnumber=9844020</t>
  </si>
  <si>
    <t>Green IP;sustainability;energy effiency;carbon footprint;networking protocols;New IP</t>
  </si>
  <si>
    <t>Industries;Teleconferencing;Power demand;Conferences;Energy efficiency;IP networks;Carbon footprint</t>
  </si>
  <si>
    <t>A. Chebaane; S. Spornraft; A. Khelil</t>
  </si>
  <si>
    <t>Container-based Task Offloading for Time-Critical Fog Computing</t>
  </si>
  <si>
    <t>2020 IEEE 3rd 5G World Forum (5GWF)</t>
  </si>
  <si>
    <t>10.1109/5GWF49715.2020.9221486</t>
  </si>
  <si>
    <t>Department of Computer Science, Landshut University of Applied Sciences, Landshut, Germany; Department of Computer Science, Landshut University of Applied Sciences, Landshut, Germany; Department of Computer Science, Landshut University of Applied Sciences, Landshut, Germany</t>
  </si>
  <si>
    <t>Moving applications from the local Internet of Things (IoT) device to the neighboring infrastructures has been the highlight of the current distributed computing era. Due to high latency and network bottlenecks, Cloud Computing has become rather problematic for real-time applications. Accordingly, Fog Computing, well supported by 5G, has been presented as the missing piece to provide along with cloud computing for virtually all applications. Application virtualization through containers has become more and more popular in the context of Cloud Computing as it simplifies live migration of the application or it‚Äôs selected tasks. The concept has been adapted to Fog computing too, However, time-critical task migration and in particular task offloading have not been sufficiently investigated. This work proposes a novel approach to offload time-critical application tasks from the application initiator to surrounding Fog nodes based on Docker containers and Checkpointing. The result is a flexible layer-oriented framework that effectively restricts the offloading to only necessary steps in only two message rounds. Performance evaluations show that through careful easy arrangements the framework performs remarkably well concerning offloading latency.</t>
  </si>
  <si>
    <t>978-1-7281-7299-6</t>
  </si>
  <si>
    <t>https://ieeexplore.ieee.org/stamp/stamp.jsp?arnumber=9221486</t>
  </si>
  <si>
    <t>5G;Fog Computing;Task Offloading;Checkpoints;Application Virtualisation;Latency-Critical Applications;Networked Vehicles</t>
  </si>
  <si>
    <t>Performance evaluation;Cloud computing;5G mobile communication;Processor scheduling;Containers;Real-time systems;Time factors</t>
  </si>
  <si>
    <t>M. Ali; P. Scandurra; F. Moretti; L. Blaso; M. Leccisi; F. Leccese</t>
  </si>
  <si>
    <t>From Big Data to Smart Data-centric Software Architectures for City Analytics: the case of the PELL Smart City Platform</t>
  </si>
  <si>
    <t>2021 IEEE International Conference on Smart Data Services (SMDS)</t>
  </si>
  <si>
    <t>10.1109/SMDS53860.2021.00023</t>
  </si>
  <si>
    <t>University of Bergamo, Bergamo, Italy; University of Bergamo, Bergamo, Italy; TERIN-SEN-SCC, ENEA, Rome-Ispra, Italy; TERIN-SEN-SCC, ENEA, Rome-Ispra, Italy; Universit√° degli Studi Roma Tre, Rome, Italy; Universit√° degli Studi Roma Tre, Rome, Italy</t>
  </si>
  <si>
    <t>Applications of Big Data to smart cities are nearly limitless. However, challenges emerged with handling data with new magnitude of dimensionality, heterogeneity, required processing timeliness, and the lack of reported development experiences on how to turn Big Data into Smart Data may hinder the adoption of Big Data technologies in delivering smarter city services.This paper reports our experience in developing a Smart Big Data-centric software platform for tracking city performance. Here we examine how to design such a platform by exploiting architectural styles and open source technology for Big data management. We describe the actual development of an instance of it, the PELL Smart City Platform, for processing and managing urban data in the domain of public lighting. In particular, we focus on the formulation and evaluation of key performance indicators related to energy consumption to derive Smart Data from Big Data in the context of public street lighting.</t>
  </si>
  <si>
    <t>978-1-6654-0058-9</t>
  </si>
  <si>
    <t>https://ieeexplore.ieee.org/stamp/stamp.jsp?arnumber=9592506</t>
  </si>
  <si>
    <t>Big data;smart city services;key performance indicators;public street lighting;energy consumption</t>
  </si>
  <si>
    <t>Energy consumption;Smart cities;Software architecture;Conferences;Key performance indicator;Lighting;Big Data</t>
  </si>
  <si>
    <t>P. P. T.; S. K. L.</t>
  </si>
  <si>
    <t>Smart City Services - Challenges and Approach</t>
  </si>
  <si>
    <t>2019 International Conference on Machine Learning, Big Data, Cloud and Parallel Computing (COMITCon)</t>
  </si>
  <si>
    <t>10.1109/COMITCon.2019.8862243</t>
  </si>
  <si>
    <t>BEL Software Technology Centre Bharat Electronics Limited, Bangalore, India; BEL Software Technology Centre Bharat Electronics Limited, Bangalore, India</t>
  </si>
  <si>
    <t>Smart city as a concept envisions building of smart services in heterogeneous domains like health care, waste management, traffic management by intelligently managing and controlling web of interconnected heterogeneous end systems. Smart city requires development of technology that leverages data generated from Internet of things and also to control these end systems in a smart manner. This paper describes various possible smart city services and adaptation of micro services based architectural approach in building smart services. The Paper further describes security and privacy considerations that need to be addressed in micro services based approach.</t>
  </si>
  <si>
    <t>978-1-7281-0211-5</t>
  </si>
  <si>
    <t>https://ieeexplore.ieee.org/stamp/stamp.jsp?arnumber=8862243</t>
  </si>
  <si>
    <t>Internet of Things;Smart City;Micro Services;Security in Smart City;Privacy in Smart City;Smart city architecture</t>
  </si>
  <si>
    <t>Connectors;Smart cities;Smart devices;Water resources;Data analysis;Intelligent sensors</t>
  </si>
  <si>
    <t>X. Merino; C. Otero; D. Nieves-Acaron; B. Luchterhand</t>
  </si>
  <si>
    <t>Towards Orchestration in the Cloud-Fog Continuum</t>
  </si>
  <si>
    <t>SoutheastCon 2021</t>
  </si>
  <si>
    <t>1558-058X</t>
  </si>
  <si>
    <t>10.1109/SoutheastCon45413.2021.9401822</t>
  </si>
  <si>
    <t>Dept. Computer Engineering and Sciences, Florida Institute of Technology, Melbourne, FL, USA; Dept. Computer Engineering and Sciences, Florida Institute of Technology, Melbourne, FL, USA; Dept. Computer Engineering and Sciences, Florida Institute of Technology, Melbourne, FL, USA; Dept. Computer Engineering and Sciences, Florida Institute of Technology, Melbourne, FL, USA</t>
  </si>
  <si>
    <t>The growth of the Internet-of-Things has led to a rise in the need of computing power, storage, and network resources. As more data are being generated at the edge of the networks, the cloud model that enabled the affordable, on-demand, lease of these resources is ill-fitted to handle the volume and variety of data traveling to the core of the cloud and back. Some applications further showcase the limitations of the cloud by requiring strict low-latency communication and location awareness. Fog computing has been proposed as a solution to these issues that stem from the cloud's centralization. The fog is an emerging computing paradigm, conceived as an extension to the cloud, that aims to facilitate the creation of scalable infrastructures in the vicinity of the end-user. By decentralizing resources, it promises to optimize bandwidth consumption at the core and edge of the network while reducing latency between the service and the end-user. In this paper, we identify the requirements needed to orchestrate loads in the Cloud-Fog continuum and propose an architecture, built on available, open-source, components, that orchestrates loads with consideration to their geographical needs. We provide several levels of features (DNS-like service discovery, service mesh, health checks, encryption-as-a-service, among others) available to the operator and evaluate their quality-of-service implications, with respect to network latency and bandwidth, when compared to a simple deployment baseline.</t>
  </si>
  <si>
    <t>978-1-6654-0379-5</t>
  </si>
  <si>
    <t>https://ieeexplore.ieee.org/stamp/stamp.jsp?arnumber=9401822</t>
  </si>
  <si>
    <t>cloud computing;fog computing;orchestration;IoT;architecture;latency</t>
  </si>
  <si>
    <t>Scalability;Computer architecture;Bandwidth;Quality of service;Containers;Tools;Telemetry</t>
  </si>
  <si>
    <t>C. A. Ouedraogo; S. Medjiah; C. Chassot; J. Aguilar</t>
  </si>
  <si>
    <t>Flyweight Network Functions for Network Slicing in IoT</t>
  </si>
  <si>
    <t>2018 International Conference on Smart Communications in Network Technologies (SaCoNeT)</t>
  </si>
  <si>
    <t>10.1109/SaCoNeT.2018.8585516</t>
  </si>
  <si>
    <t>Univ. Toulouse INSA, Toulouse, France; Univ. Toulouse INSA, Toulouse, France; Univ. Toulouse INSA, Toulouse, France; Universidad de Los Andes, CEMISID, M√©rida, Venezuela</t>
  </si>
  <si>
    <t>This paper proposes an approach for the network slicing provisioning for Internet of Things (IoT) platforms based on the concept of flyweight network functions (fNF). The network slicing is a main characteristic of the 5G networks that our proposal extends to IoT platforms, in order to support the most diverse QoS requirements. The paper defines the fNF concept and presents its utilization in the context of network slices provisioning for IoT applications having QoS requirements and sharing the same IoT platform. Additionally, we present a use case and a comparison with previous works.</t>
  </si>
  <si>
    <t>978-1-5386-9493-0</t>
  </si>
  <si>
    <t>https://ieeexplore.ieee.org/stamp/stamp.jsp?arnumber=8585516</t>
  </si>
  <si>
    <t>Network Function;Flyweight Network Function;Network Slicing;Internet of Things (IoT).</t>
  </si>
  <si>
    <t>Noise measurement;Network slicing;Quality of service;Virtualization;Internet of Things;Containers;5G mobile communication</t>
  </si>
  <si>
    <t>M. Tamrakar; S. Jain; R. Doriya</t>
  </si>
  <si>
    <t>Security Issues in Fog Computing</t>
  </si>
  <si>
    <t>2021 5th International Conference on Intelligent Computing and Control Systems (ICICCS)</t>
  </si>
  <si>
    <t>10.1109/ICICCS51141.2021.9432317</t>
  </si>
  <si>
    <t>Department of Information Technology, NIT Raipur, Raipur, INDIA; Department of Information Technology, NIT Raipur, Raipur, INDIA; Department of Information Technology, NIT Raipur, Raipur, INDIA</t>
  </si>
  <si>
    <t>Fog computing (FC) is complementary to cloud, and widely used for communication, computation, and storage in real time IoT devices and applications. Fog nodes are present in FC that is connected to many IoT devices through different gateways that makes FC prone to attacks. Due to vulnerable nature of FC, security has been always a prominent issue and that needs to be talk about and resolved efficiently. In this paper, different security issues of FC are discussed along with the causes. The presented paper mainly focuses on the solutions of the FC security issues with blockchain (BC) technology and categorizes the solutions in detailed table form. BC-FC integration is an important factor for understanding security solutions of FC, which is also discussed in a well-organized manner.</t>
  </si>
  <si>
    <t>978-1-6654-1272-8</t>
  </si>
  <si>
    <t>https://ieeexplore.ieee.org/stamp/stamp.jsp?arnumber=9432317</t>
  </si>
  <si>
    <t>Blockchain;Fog Computing;Authentication;Data Integrity;Privacy;Trust</t>
  </si>
  <si>
    <t>Fault tolerance;Data privacy;Distributed ledger;Smart contracts;Fault tolerant systems;Blockchain;Logic gates</t>
  </si>
  <si>
    <t>N. Schmitt; L. Iffl√§nder; A. Bauer; S. Kounev</t>
  </si>
  <si>
    <t>Online Power Consumption Estimation for Functions in Cloud Applications</t>
  </si>
  <si>
    <t>10.1109/ICAC.2019.00018</t>
  </si>
  <si>
    <t>Chair of Software Engineering, University of W√ºrzburg, W√ºrzburg, Germany; Chair of Software Engineering, University of W√ºrzburg, W√ºrzburg, Germany; Chair of Software Engineering, University of W√ºrzburg, W√ºrzburg, Germany; Chair of Software Engineering, University of W√ºrzburg, W√ºrzburg, Germany</t>
  </si>
  <si>
    <t>The growth of cloud services leads to more and more data centers that are increasingly larger and consume considerable amounts of power. To increase energy efficiency, informed decisions on workload placement and provisioning are essential. Micro-services and the upcoming serverless platforms with more granular deployment options exacerbate this problem. For this reason, knowing the power consumption of the deployed application becomes crucial, providing the necessary information for autonomous decision making. However, the actual power draw of a server running a specific application under load is not available without specialized measurement equipment or power consumption models. Yet, granularity is often only down to machine level and not application level. In this paper, we propose a monitoring and modeling approach to estimate power consumption on an application function level. The model uses performance counters that are allocated to specific functions to assess their impact on the total power consumption. Hence our model applies to a large variety of servers and for micro-service and serverless workloads. Our model uses an additional correction to minimize falsely allocated performance counters and increase accuracy. We validate the proposed approach on real hardware with a dedicated benchmarking application. The evaluation shows that our approach can be used to monitor application power consumption down to the function level with high accuracy for reliable workload provisioning and placement decisions.</t>
  </si>
  <si>
    <t>https://ieeexplore.ieee.org/stamp/stamp.jsp?arnumber=8831214</t>
  </si>
  <si>
    <t>Energy efficiency, serverless, micro-services, code offloading, DevOps</t>
  </si>
  <si>
    <t>Power demand;Data centers;Power measurement;Load modeling;Monitoring;Hardware;Software</t>
  </si>
  <si>
    <t>G. L. Scoccia; P. Migliarini; M. Autili</t>
  </si>
  <si>
    <t>Challenges in Developing Desktop Web Apps: a Study of Stack Overflow and GitHub</t>
  </si>
  <si>
    <t>2021 IEEE/ACM 18th International Conference on Mining Software Repositories (MSR)</t>
  </si>
  <si>
    <t>2574-3864</t>
  </si>
  <si>
    <t>10.1109/MSR52588.2021.00039</t>
  </si>
  <si>
    <t>DISIM, University of L‚ÄôAquila, L‚ÄôAquila, Italy; DISIM, University of L‚ÄôAquila, L‚ÄôAquila, Italy; DISIM, University of L‚ÄôAquila, L‚ÄôAquila, Italy</t>
  </si>
  <si>
    <t>Software companies have an interest in reaching the maximum amount of potential customers while, at the same time, providing a frictionless experience. Desktop web app frameworks are promising in this respect, allowing developers and companies to reuse existing code and knowledge of web applications to create cross-platform apps integrated with native APIs. Despite their growing popularity, existing challenges in employing these technologies have not been documented, and it is hard for individuals and companies to weigh benefits and pros against drawbacks and cons.In this paper, we address this issue by investigating the challenges that developers frequently experience when adopting desktop web app frameworks. To achieve this goal, we mine and apply topic modeling techniques to a dataset of 10,822 Stack Overflow posts related to the development of desktop web applications. Analyzing the resulting topics, we found that: i) developers often experience issues regarding the build and deployment processes for multiple platforms; ii) reusing existing libraries and development tools in the context of desktop applications is often cumbersome; iii) it is hard to solve issues that arise when interacting with native APIs. Furthermore, we confirm our finding by providing evidence that the identified issues are also present in the issue reports of 453 open-source applications publicly hosted on GitHub.</t>
  </si>
  <si>
    <t>978-1-7281-8710-5</t>
  </si>
  <si>
    <t>https://ieeexplore.ieee.org/stamp/stamp.jsp?arnumber=9463138</t>
  </si>
  <si>
    <t>Web technologies;Desktop apps;Stack Over-flow;GitHub;Topic modeling</t>
  </si>
  <si>
    <t>Knowledge engineering;Companies;Tools;Libraries;Data mining;Open source software;Software development management</t>
  </si>
  <si>
    <t>D. Adami; S. Giordano; M. Tamburello</t>
  </si>
  <si>
    <t>A Monitoring Application for Animal Repelling Devices in Smart Agriculture</t>
  </si>
  <si>
    <t>2020 IEEE 25th International Workshop on Computer Aided Modeling and Design of Communication Links and Networks (CAMAD)</t>
  </si>
  <si>
    <t>2378-4873</t>
  </si>
  <si>
    <t>10.1109/CAMAD50429.2020.9209316</t>
  </si>
  <si>
    <t>CNIT Research Unit - Dept. of Information Engineering, University of Pisa Via Caruso, Pisa, Italy; Dept. of Information Engineering, University of Pisa Via Caruso, Pisa, Italy; Dept. of Information Engineering, University of Pisa Via Caruso, Pisa, Italy</t>
  </si>
  <si>
    <t>Monitoring the operational status of IoT devices is a fundamental task for the deployment of reliable IoT-based applications. This task is even more crucial when such applications are deployed in rural environments, as typically occurs in Smart Agriculture, due to the long distance and wide area to be covered for implementing cost-effective solutions. Starting from an innovative IoT deployment for defending crops against ungulates attacks, this paper provides a comprehensive description about the design, development, and assessment of a monitoring application for IoT animal repelling devices. To achieve the maximum level of flexibility and scalability, modern virtualization technologies (i.e., containers) have been adopted for the development of the monitoring application. Finally, experimental results obtained from the utilization of the monitoring application in a realworld scenario are reported.</t>
  </si>
  <si>
    <t>978-1-7281-6339-0</t>
  </si>
  <si>
    <t>https://ieeexplore.ieee.org/stamp/stamp.jsp?arnumber=9209316</t>
  </si>
  <si>
    <t>IoT;virtualization;monitoring;Smart Agriculture</t>
  </si>
  <si>
    <t>Monitoring;Animals;Agriculture;Containers;Logic gates;Cloud computing;Network servers</t>
  </si>
  <si>
    <t>R. Bolla; L. Sambolino; D. Tigano; M. Repetto</t>
  </si>
  <si>
    <t>Enhancing Energy-Efficient Cloud Management through Code Annotations and the Green Abstraction Layer</t>
  </si>
  <si>
    <t>2015 IEEE/ACM 8th International Conference on Utility and Cloud Computing (UCC)</t>
  </si>
  <si>
    <t>10.1109/UCC.2015.95</t>
  </si>
  <si>
    <t>DITEN ‚Äì University of Genoa, Italy; DITEN ‚Äì University of Genoa, Italy; DITEN ‚Äì University of Genoa, Italy; CNIT ‚Äì RU of Genoa, Italy</t>
  </si>
  <si>
    <t>Cloud computing has emerged as a flexible and efficient paradigm to provide IT resources on-demand. However, it has also raised new challenges for infrastructure providers to manage large-scale deployments in an efficient and effective way. In this paper, we present the trade-off between energy consumption and performance. We outline a novel framework for efficient and effective resource consolidation in data centers, building on latest trends in software development practice and recent standards for energy efficiency. In particular, we consider the usage of code annotations from software developers and the adoption of a "green abstraction layer" to model the trade-off between performance and energy consumption.</t>
  </si>
  <si>
    <t>978-0-7695-5697-0</t>
  </si>
  <si>
    <t>https://ieeexplore.ieee.org/stamp/stamp.jsp?arnumber=7431470</t>
  </si>
  <si>
    <t>Energy efficiency;cloud computing;green abstraction layer;software annotations</t>
  </si>
  <si>
    <t>Cloud computing;Quality of service;Resource management;Power demand;Servers;Monitoring</t>
  </si>
  <si>
    <t>E. A. -M. Al-Masri; Y. Bai</t>
  </si>
  <si>
    <t>Invited Paper: A Service-Oriented Approach for Assessing the Quality of Data for the Internet of Things</t>
  </si>
  <si>
    <t>10.1109/SOSE.2019.00013</t>
  </si>
  <si>
    <t>School of Engineering and Technology, University of Washington Tacoma, Tacoma, Washington, USA; School of Engineering and Technology, University of Washington Tacoma, Tacoma, Washington, USA</t>
  </si>
  <si>
    <t>An integral component of nearly all Internet of Things (IoT) systems or applications relies on the deployment and utilization of sensors which often yield massive volumes of disparate and distributed heterogeneous data. This sensor data is often transformed into usable information that can provide valuable insights for further facilitating the decision making process or enforcing strategic policies. Managing this raw data generated by IoT sensors while enforcing a certain level of quality is becoming a challenging task particularly for mission critical applications (e.g. homeland security, disaster preparedness, etc.). In this paper, we introduce the Quality of Data for IoT Devices (QoDID) framework that attempts to address key challenges associated with the collection and processing of raw sensor data used in IoT systems or applications. Throughout the paper, we discuss the overall architecture, use cases and implementation details of QoDID. We further use our QoDID framework to provide insights on improving the data acquisition processes involving devices and sensors in IoT systems.</t>
  </si>
  <si>
    <t>https://ieeexplore.ieee.org/stamp/stamp.jsp?arnumber=8705797</t>
  </si>
  <si>
    <t>IoT sensors, sensor data, data fusion, IoT devices, Internet of Things, quality of service, quality of data, QoS, knowledge discovery, data preprocessing, data transformation, data representation, predictive analytics, sampling techniques, high-quality data, sensor faults, sensor fusion</t>
  </si>
  <si>
    <t>M. Boussaa; O. Barais; B. Baudry; G. Suny√©</t>
  </si>
  <si>
    <t>NOTICE: A Framework for Non-Functional Testing of Compilers</t>
  </si>
  <si>
    <t>2016 IEEE International Conference on Software Quality, Reliability and Security (QRS)</t>
  </si>
  <si>
    <t>10.1109/QRS.2016.45</t>
  </si>
  <si>
    <t>Diverse team INRIA, Rennes, France; Diverse team INRIA, Rennes, France; Diverse team INRIA, Rennes, France; AtlanMod team INRIA, Nantes, France</t>
  </si>
  <si>
    <t>Generally, compiler users apply different optimizations to generate efficient code with respect to non-functional properties such as energy consumption, execution time, etc. However, due to the huge number of optimizations provided by modern compilers, finding the best optimization sequence for a specific objective and a given program is more and more challenging. This paper proposes NOTICE, a component-based framework for non-functional testing of compilers through the monitoring of generated code in a controlled sand-boxing environment. We evaluate the effectiveness of our approach by verifying the optimizations performed by the GCC compiler. Our experimental results show that our approach is able to auto-tune compilers according to user requirements and construct optimizations that yield to better performance results than standard optimization levels. We also demonstrate that NOTICE can be used to automatically construct optimization levels that represent optimal trade-offs between multiple non-functional properties such as execution time and resource usage requirements.</t>
  </si>
  <si>
    <t>978-1-5090-4127-5</t>
  </si>
  <si>
    <t>https://ieeexplore.ieee.org/stamp/stamp.jsp?arnumber=7589813</t>
  </si>
  <si>
    <t>software quality;non-functional properties;compilers;testing</t>
  </si>
  <si>
    <t>Optimization;Program processors;Memory management;Testing;Sociology;Statistics</t>
  </si>
  <si>
    <t>A. Sattari; R. Ehsani; T. Lepp√§nen; S. Pirttikangas; J. Riekki</t>
  </si>
  <si>
    <t>Edge-supported Microservice-based Resource Discovery for Mist Computing</t>
  </si>
  <si>
    <t>2020 IEEE Intl Conf on Dependable, Autonomic and Secure Computing, Intl Conf on Pervasive Intelligence and Computing, Intl Conf on Cloud and Big Data Computing, Intl Conf on Cyber Science and Technology Congress (DASC/PiCom/CBDCom/CyberSciTech)</t>
  </si>
  <si>
    <t>10.1109/DASC-PICom-CBDCom-CyberSciTech49142.2020.00087</t>
  </si>
  <si>
    <t>Center for Ubiquitous Computing, University of Oulu, Finland; Center for Ubiquitous Computing, University of Oulu, Finland; Center for Ubiquitous Computing, University of Oulu, Finland; Center for Ubiquitous Computing, University of Oulu, Finland; Center for Ubiquitous Computing, University of Oulu, Finland</t>
  </si>
  <si>
    <t>Mist computing extends the Internet of Things computing infrastructures to the IoT devices at the edges of the networks. The dynamic characteristics of the IoT environments and resource limitations of the devices introduce challenges to the orchestration of the mist platform resources. In this paper, we present a hybrid resource discovery solution for mist, based on the IETF CoRE Resource Directories deployed as containerized Microservices to the supporting edge devices. This way the directory instances can be deployed on-demand as part of the edge platform, where each instance serves a mist network connected to the hosting edge device. This enables low latency resource queries at one-hop distance for the mist applications. At the edge layer, the directories form a distributed discovery infrastructure, connecting resources in disparate mist networks with each other and cloud and edge applications. A real-world prototype of such discovery infrastructure is implemented, based on low resource edge devices hosting the directory instances and low-power embedded devices as the mist resource servers and clients. The prototype is evaluated with latency and power consumption measurements, where the results show that discovery latency is as low as half a millisecond with a low power consumption.</t>
  </si>
  <si>
    <t>978-1-7281-6609-4</t>
  </si>
  <si>
    <t>https://ieeexplore.ieee.org/stamp/stamp.jsp?arnumber=9251203</t>
  </si>
  <si>
    <t>Distributed Resource Directory;Container;Energy Efficiency;Low Latency;Fog Computing</t>
  </si>
  <si>
    <t>Power demand;Power measurement;Prototypes;Standardization;Dynamic scheduling;Internet of Things;Servers</t>
  </si>
  <si>
    <t>R. Brondolin; M. D. Santambrogio</t>
  </si>
  <si>
    <t>PRESTO: a latency-aware power-capping orchestrator for cloud-native microservices</t>
  </si>
  <si>
    <t>2020 IEEE International Conference on Autonomic Computing and Self-Organizing Systems (ACSOS)</t>
  </si>
  <si>
    <t>10.1109/ACSOS49614.2020.00021</t>
  </si>
  <si>
    <t>Politecnico di Milano, DEIB, Milano, IT; Politecnico di Milano, DEIB, Milano, IT</t>
  </si>
  <si>
    <t>Power consumption is a major concern for cloud data-centers. In this context, cloud-native applications emerged in the last few years and fostered the adoption of the cloud computing model across many organizations. Cloud-native workloads are highly heterogeneous, co-located and latency-sensitive and are able to scale to a high number of machines. To properly manage their power consumption, within this paper we propose Power REgulator for Service Time Optimization (PRESTO), a latency-aware power-capping orchestrator. PRESTO defines an Observe Decide Act (ODA) loop to manage power consumption and average latency of microservice-based workloads by considering all the network interactions between microservices in the cluster. PRESTO reduces the power consumption by 37.13% on average with a control error that is below 12.5% and below 1.5ms on average w.r.t. an unconstrained execution.</t>
  </si>
  <si>
    <t>978-1-7281-7277-4</t>
  </si>
  <si>
    <t>https://ieeexplore.ieee.org/stamp/stamp.jsp?arnumber=9196364</t>
  </si>
  <si>
    <t>Autonomic power management;Latency awareness;Container orchestration</t>
  </si>
  <si>
    <t>Servers;Power demand;Cloud computing;Monitoring;Measurement;Containers;Instruments</t>
  </si>
  <si>
    <t>A. Yao; J. Li; F. Wang; J. Zhao; H. Liu; J. Zhang; J. Zhang; A. Zhou; Y. Song; J. Xu; P. Sun; K. Zhu; N. Ahuja; D. Zhu; S. Kuo</t>
  </si>
  <si>
    <t>A Memory RAS System Design and Engineering Practice in High Temperature Ambient Data Center</t>
  </si>
  <si>
    <t>2020 19th IEEE Intersociety Conference on Thermal and Thermomechanical Phenomena in Electronic Systems (ITherm)</t>
  </si>
  <si>
    <t>2577-0799</t>
  </si>
  <si>
    <t>10.1109/ITherm45881.2020.9190253</t>
  </si>
  <si>
    <t>Baidu; Baidu; Baidu; Baidu; Baidu; Baidu; Intel; Intel; Intel; Intel; Intel; Intel; Intel; Intel; Intel</t>
  </si>
  <si>
    <t>Data center infrastructure uptime increasing, unplanned downtime reduction and data integrity main-taining are increasingly critical in today's real-time, service-level agreement (SLA)-driven cloud service business environment. Server, as backbone of cloud computing, has been developing and evolving with diverse challenges of preserving data integrity, increasing availability, minimizing planned downtime, especially in high temperature ambient (HTA) data center environment So, rock robust server system design for reliability, availability, and serviceability (RAS) are crucial for cloud service providers. Memory errors in server are among the most common hardware causes of machine crashes in production sites with large-scale systems. The higher temperature environment, the more errors. The typical response to memory failures is to replace any affected memory modules, which makes memory modules among the most commonly replaced server components. So, memory failures and their correction are very costly. Based on data collection and failure analysis from Baidu infrastructure maintenance group, server system memory (uncorrectable error) failure rate is Top 1 in data center. For reducing memory failure rate and related server downtime, Baidu developed an advanced server handling memory correctable and uncorrectable errors throughout a "6 pillars" complete application stack, from the underlying hardware to the scheduling system. Such solutions involve three components: (1) reliability, how the solution preserves data integrity; (2) availability, how it guarantees uninterrupted operation with minimal degradation; and (3) serviceability, how it simplifies proactively and reactively dealing with failed or potentially failed components. Availability is not an independent vector. This paper addresses Baidu rack server memory RAS architecture and design, scoping from Intel Xeon processor hardware errors avoidance, detection and correction RAS features for system reliability and improves fault tolerance; failure identification and reconfiguration such as leakage bucket based software-enhanced error recovery and error containment; extending to kernel level page retirement as well as high availability scheduler. Also, Memory RAS system design specific for HTA data center environment is detail introduced. Then, the related lab test procedure, data, and observations are summarized at the end of each section. Overall conclusion and future work plan are summarized in the end.</t>
  </si>
  <si>
    <t>978-1-7281-9764-7</t>
  </si>
  <si>
    <t>https://ieeexplore.ieee.org/stamp/stamp.jsp?arnumber=9190253</t>
  </si>
  <si>
    <t>Reliability;Availability;and Serviceability (RAS);Memory;Advanced Double Device Data Correction;Hwpoison;Recovery and Containment;High Temperature Ambient (HTA)</t>
  </si>
  <si>
    <t>Data centers;Servers;Error correction codes;Reliability;Circuit faults;Data integrity;Cloud computing</t>
  </si>
  <si>
    <t>M. Rahmouni; M. Hanifi; C. Savaglio; G. Fortino; M. Ghogho</t>
  </si>
  <si>
    <t>An AIoT Framework for Precision Agriculture</t>
  </si>
  <si>
    <t>2022 IEEE Intl Conf on Dependable, Autonomic and Secure Computing, Intl Conf on Pervasive Intelligence and Computing, Intl Conf on Cloud and Big Data Computing, Intl Conf on Cyber Science and Technology Congress (DASC/PiCom/CBDCom/CyberSciTech)</t>
  </si>
  <si>
    <t>10.1109/DASC/PiCom/CBDCom/Cy55231.2022.9927989</t>
  </si>
  <si>
    <t>TICLab, College of Engineering &amp; Architecture, International University of Rabat, Morocco; TICLab, College of Engineering &amp; Architecture, International University of Rabat, Morocco; Institute for High Performance Computing and Networking (ICAR), National Research Council (CNR) of Italy; Department of Computer Science, Modeling, Electronics and Systems Engineering (DIMES), University of Calabria, Italy; TICLab, College of Engineering &amp; Architecture, International University of Rabat, Morocco</t>
  </si>
  <si>
    <t>The rapid development of AI and IoT recently resulted in the Artificial Intelligence of Things (AIoT), whose applications in many areas are already boosting enormous business potential. In particular, AIoT promises a disruptive impact in the agriculture domain, promoting efficiency and autonomy through the synergistic exploitation of modern technologies such as smart sensors, image processing, Cloud computing, data analytics, network communication, etc. In this paper, we present our AIoT framework, showcasing how AIoT could impact modern agriculture by implementing data-driven solutions based on low-cost devices and open source technologies, empowered by Edge Intelligence. AIoT will help not only in increasing the quantity and quality of food production, but also in enhancing the efficiency of agricultural operations.</t>
  </si>
  <si>
    <t>978-1-6654-6297-6</t>
  </si>
  <si>
    <t>https://ieeexplore.ieee.org/stamp/stamp.jsp?arnumber=9927989</t>
  </si>
  <si>
    <t>Precision Agriculture;Internet of Things;Artificial Intelligence;Smart Irrigation System</t>
  </si>
  <si>
    <t>Cloud computing;Irrigation;Data analysis;Image processing;Image edge detection;Production;Internet of Things</t>
  </si>
  <si>
    <t>Z. Min; S. Shekhar; C. Mahmoudi; V. Formicola; S. Gokhale; A. Gokhale</t>
  </si>
  <si>
    <t>Software-defined Dynamic 5G Network Slice Management for Industrial Internet of Things</t>
  </si>
  <si>
    <t>2022 IEEE 21st International Symposium on Network Computing and Applications (NCA)</t>
  </si>
  <si>
    <t>2643-7929</t>
  </si>
  <si>
    <t>10.1109/NCA57778.2022.10013530</t>
  </si>
  <si>
    <t>Dept. of CS, Vanderbilt University, Nashville, TN, USA; Siemens Technology, Princeton, USA; Siemens Technology, Princeton, USA; Dept. of ECE, California Polytechnic in Pomona, Pomona, CA, USA; Dept. of CSE, University of Connecticut, Storrs, CT, USA; Dept. of CS, Vanderbilt University, Nashville, TN, USA</t>
  </si>
  <si>
    <t>This paper addresses the challenges of delivering fine-grained Quality of Service (QoS) and communication determinism over 5G wireless networks for real-time and autonomous needs of Industrial Internet of Things (IIoT) applications while effectively sharing network resources. Specifically, this work presents DANSM, a software-defined, dynamic and autonomous network slice management middleware for 5G-based IIoT use cases, such as adaptive robotic repair. The novelty of our approach lies in (1) the use of multiple M/M/1 queues to formulate a 5G network resource scheduling optimization problem comprising service-level and system-level objectives; (2) the design of a heuristics-based solution to overcome the NP-hard properties of this optimization problem, and (3) the implementation of a software-defined solution that incorporates the heuristics to dynamically and autonomously provision and manage 5G network slices that deliver predictable communications to IIoT use cases. Empirical studies evaluating DANSM on our testbed comprising a Free5GC-based core and UERANSIM-based simulations reveal that the software-defined DANSM solution can efficiently balance the traffic load in the data plane thereby reducing the end-to-end response time and improve the service performance by completing 34% more subtasks than a Modified Greedy Algorithm (MGA), 64% more subtasks than First Fit Descending (FFD) and 22% more subtasks than Best Fit Descending (BFD) approaches all while minimizing operational costs.</t>
  </si>
  <si>
    <t>979-8-3503-9730-7</t>
  </si>
  <si>
    <t>https://ieeexplore.ieee.org/stamp/stamp.jsp?arnumber=10013530</t>
  </si>
  <si>
    <t>5G;Software Defined Networking (SDN);Dynamic network slice management;Industrial Internet of Things (IIoT);Autonomous systems;Predictable performance</t>
  </si>
  <si>
    <t>5G mobile communication;Service robots;Wireless networks;Quality of service;Telecommunication traffic;Real-time systems;Time factors</t>
  </si>
  <si>
    <t>P. Engelhard; A. Zachlod; J. Schulz-Zander; S. Du</t>
  </si>
  <si>
    <t>Toward scalable and virtualized massive wireless sensor networks</t>
  </si>
  <si>
    <t>2019 International Conference on Networked Systems (NetSys)</t>
  </si>
  <si>
    <t>10.1109/NetSys.2019.8854518</t>
  </si>
  <si>
    <t>Wireless Communication and Networks, Fraunhofer Heinrich Hertz Institute, Berlin, Germany; Wireless Communication and Networks, Fraunhofer Heinrich Hertz Institute, Berlin, Germany; Wireless Communication and Networks, Fraunhofer Heinrich Hertz Institute, Berlin, Germany; TU Berlin, Berlin, Germany</t>
  </si>
  <si>
    <t>In this paper, we present a system which leverages the programming language P4 for massive wireless sensor networks. In particular, we describe a sliceable WiFi based architecture for massive wireless sensor networks. Our system leverages overhearing of 802.11 frames at multiple WiFi APs on a shop floor to reduce the impairment by collisions. We combine our system with a scalable unified analytics engine. Our system allows dynamic up- and down-scaling by following a container and micro-service approach. The integration of the services is achieved through message bus system, which also allows us division of responsibility. Moreover, one of our key contributions is a IEEE 802.11 extension to the P4 switch. In particular, our P4 extension allows us to place 802.11 functionality in the data path. Specifically, the virtualized 802.11 network functions can be installed directly on a P4 switch. Our evaluations indicate, that our 802.11 P4 extension does not degrade the packet forwarding performance.</t>
  </si>
  <si>
    <t>978-1-7281-0568-0</t>
  </si>
  <si>
    <t>https://ieeexplore.ieee.org/stamp/stamp.jsp?arnumber=8854518</t>
  </si>
  <si>
    <t>wireless;sensor;WiFi;WSNs;SDN;NFV;slicing;processing architecture</t>
  </si>
  <si>
    <t>Wireless sensor networks;IEEE 802.11 Standard;Monitoring;Wireless communication;Sensors;Protocols;Wireless fidelity</t>
  </si>
  <si>
    <t>S. Merkouche; C. Bouanaka</t>
  </si>
  <si>
    <t>A Hybrid approach for containerized Microservices auto-scaling</t>
  </si>
  <si>
    <t>2022 IEEE/ACS 19th International Conference on Computer Systems and Applications (AICCSA)</t>
  </si>
  <si>
    <t>2161-5330</t>
  </si>
  <si>
    <t>10.1109/AICCSA56895.2022.10017677</t>
  </si>
  <si>
    <t>LIRE Laboratory University of Constantine 2-Abdelhamid Mehri, Constantine, Algeria; LIRE Laboratory University of Constantine 2-Abdelhamid Mehri, Constantine, Algeria</t>
  </si>
  <si>
    <t>microservices are subject to an unpredictable and variant workload that challenges their quality of service. There-fore, several approaches emerge in the literature proposing auto-scaling policies as a promising solution to deal with such unpredictable increase/decrease of the workload. However, they generally deal with a specific and unique quality of service as cost-aware, latency-aware and other specific quality-awareness. We propose a multicriteria approach for microservice-based applications' auto-scaling. By means of a layered architecture, we present a hybrid auto-scaling solution that ensures an autonomous auto-scaling of microservices to enable them maintaining their specific required qualities. Moreover, a cooperative policy is applied to maintain the system overall qualities by identifying a compromise plan when the adaptation concerns different qualities of the system. The present work combines the efficiency of the hybrid strategy with the multicriteria selection principle to reach an autonomous-cooperative auto-scaling approach.</t>
  </si>
  <si>
    <t>979-8-3503-1008-5</t>
  </si>
  <si>
    <t>https://ieeexplore.ieee.org/stamp/stamp.jsp?arnumber=10017677</t>
  </si>
  <si>
    <t>Cloud Computing;Quality of Service;Microser-vice architectures;Auto-scaling;Containers</t>
  </si>
  <si>
    <t>Schedules;Processor scheduling;Computational modeling;Microservice architectures;Quality of service;Computer architecture;Large-scale systems</t>
  </si>
  <si>
    <t>A. Khusnutdinov; D. Usachev; M. Mazzara; A. Khan; I. Panchenko</t>
  </si>
  <si>
    <t>Open Source Platform Digital Personal Assistant</t>
  </si>
  <si>
    <t>10.1109/WAINA.2018.00062</t>
  </si>
  <si>
    <t>Innopolis University Innopolis, Russia; Innopolis University Innopolis, Russia; Innopolis University Innopolis, Russia; Innopolis University Innopolis, Russia; Innopolis University Innopolis, Russia</t>
  </si>
  <si>
    <t>Nowadays Digital Personal Assistants (DPA) become more and more popular. DPAs help to increase quality of life especially for elderly or disabled people. In this paper we develop an open source DPA and smart home system as a 3- rd party extension to show the functionality of the assistant. The system is designed to use the DPA as a learning platform for engineers to provide them with the opportunity to create and test their own hypothesis. The DPA is able to recognize users' commands in natural language and transform it to the set of machine commands that can be used to control different 3rdparty application. We use smart home system as an example of such 3rd-party. We demonstrate that the system is able to control home appliances, like lights, or to display information about the current state of the home, like temperature, through a dialogue between a user and the Digital Personal Assistant.</t>
  </si>
  <si>
    <t>https://ieeexplore.ieee.org/stamp/stamp.jsp?arnumber=8418047</t>
  </si>
  <si>
    <t>Personal Assistant;Smart Home;Conversation Support;Command recognition</t>
  </si>
  <si>
    <t>Smart homes;Task analysis;Sensors;Internet of Things;Temperature measurement;Natural languages</t>
  </si>
  <si>
    <t>H. Kuwahara; Y. -F. Hsu; K. Matsuda; M. Matsuoka</t>
  </si>
  <si>
    <t>Real-Time Workload Allocation Optimizer for Computing Systems by Using Deep Learning</t>
  </si>
  <si>
    <t>10.1109/CLOUD.2019.00040</t>
  </si>
  <si>
    <t>Graduate School of Information Science and Technology, Osaka University, Osaka, Japan; Cybermedia Center, Osaka University, Osaka, Japan; Cybermedia Center, Osaka University, Osaka, Japan; Cybermedia Center, Osaka University, Osaka, Japan</t>
  </si>
  <si>
    <t>With the increase of the Internet of Things (IoT) business, the number of edge computing systems are rapidly increasing. Reducing the power consumption of these computing systems has become a social issue. For that purpose, we proposed and demonstrated the power consumption reduction method by the optimal task assignment technology. Specifically, for sequential real-time jobs, we proposed a workload allocation optimizer (WAO) to minimize the power consumption of computing systems. This assignment algorithm achieved a 13% power reduction compared to the worst job assignment.</t>
  </si>
  <si>
    <t>https://ieeexplore.ieee.org/stamp/stamp.jsp?arnumber=8814506</t>
  </si>
  <si>
    <t>Data Center, Cloud, Workload Allocation, CFD, Deep Learning, Power Consumption Model</t>
  </si>
  <si>
    <t>A. Ghorab; M. Abuibaid; M. St-Hilaire</t>
  </si>
  <si>
    <t>SDN-based Service Discovery and Assignment Framework to Preserve Service Availability in Telco-based Multi-Access Edge Computing</t>
  </si>
  <si>
    <t>2022 IEEE 6th International Conference on Fog and Edge Computing (ICFEC)</t>
  </si>
  <si>
    <t>10.1109/ICFEC54809.2022.00022</t>
  </si>
  <si>
    <t>Carleton University, Ottawa, Canada; Carleton University, Ottawa, Canada; Carleton University, Ottawa, Canada</t>
  </si>
  <si>
    <t>The ever-growing number of connected User Equipment (UE), e.g., Internet of Things (IoT) devices, Connected Autonomous Vehicles (CAVs), has driven the evolution of Software-Defined Networks (SDN) and Fifth-Generation (5G) Networks to push the computing resources closer to the UE. Towards that end, Multi-access Edge Computing (MEC) and Network Function Virtualization (NFV) are promising solutions to facilitate the deployment of the required user‚Äôs service instances within an approximately one-hop communication range. However, discovering and assigning such service instances to the UE to maintain a high service availability is still an open challenge in the 3rd Generation Partnership Project (3GPP) standards due to the UE mobility and Telco network heterogeneity. This paper proposes an SDN-based dynamic service discovery and assignment framework for a distributed MEC infrastructure. The proposed framework considers various decision parameters such as UE‚Äôs location, the service instance‚Äôs demand (i.e., resource utilization), the network link status, and the service instance performance requirements (i.e., service profile) to offer a generic solution for discovering and assigning the service instances to the UE. The framework implementation results show an enhancement of the packet delivery ratio and a lower users‚Äô perceived latency.</t>
  </si>
  <si>
    <t>978-1-6654-9524-0</t>
  </si>
  <si>
    <t>https://ieeexplore.ieee.org/stamp/stamp.jsp?arnumber=9798959</t>
  </si>
  <si>
    <t>Multi-access Edge Computing;Network Function Virtualization;Service Assignment;Service Discovery;Software-Defined Networks</t>
  </si>
  <si>
    <t>Multi-access edge computing;5G mobile communication;Conferences;Machine learning;Network function virtualization;Internet of Things;Servers</t>
  </si>
  <si>
    <t>P. V. V. Paiva; M. R. Batista; M. V. Cruz; G. B. Filho; J. J. G. Ramos</t>
  </si>
  <si>
    <t>ROSANA: Robot for Social Interaction in Unstructured Dynamic Environments</t>
  </si>
  <si>
    <t>2020 Latin American Robotics Symposium (LARS), 2020 Brazilian Symposium on Robotics (SBR) and 2020 Workshop on Robotics in Education (WRE)</t>
  </si>
  <si>
    <t>2643-685X</t>
  </si>
  <si>
    <t>10.1109/LARS/SBR/WRE51543.2020.9307160</t>
  </si>
  <si>
    <t>Robotics and Computer Vision Lab - Renato Archer IT Center, Campinas, Brazil; Robotics and Computer Vision Lab - Renato Archer IT Center, Campinas, Brazil; Robotics and Computer Vision Lab - Renato Archer IT Center, Campinas, Brazil; Robotics and Computer Vision Lab - Renato Archer IT Center, Campinas, Brazil; Robotics and Computer Vision Lab - Renato Archer IT Center, Campinas, Brazil</t>
  </si>
  <si>
    <t>Socially Interactive Robots must have the ability to interact with humans in a socially appropriate manner. Such a task requires a high level of perception of the robotic agent. A high degree of perception requires considerable computational power, something challenging to achieve in mobile robotics. Robots need to balance operating time, batteries (autonomy and weight), embedded sensors, and processing hardware. One way to overcome the mobile agents' perception limitations is to move the data processing capabilities to external processing units. In this article, we present the initial results of the ROSANA platform, a socially interactive robot for public environments capable of interacting with humans in the wild. ROSANA has a high level of visual perception, thanks to an architecture based on cloud services. We named this approach as Perception as a Service - PPaaS. Case studies exemplify the integration between the mobile agent and the cloud in the ROSANA architecture like detection, interaction with humans, and route planning considering humans in unstructured and dynamic environments.</t>
  </si>
  <si>
    <t>978-0-7381-1153-7</t>
  </si>
  <si>
    <t xml:space="preserve">National Council for Scientific and Technological Development(grant numbers:301653/2020-8,301646/2020-1,301642/2020-6); </t>
  </si>
  <si>
    <t>https://ieeexplore.ieee.org/stamp/stamp.jsp?arnumber=9307160</t>
  </si>
  <si>
    <t>Socially Interactive Robots;Cloud Robotics;Computer Vision;Human-Robot Interaction</t>
  </si>
  <si>
    <t>Robots;Robot sensing systems;Cloud computing;Computer architecture;Navigation;Task analysis;Real-time systems</t>
  </si>
  <si>
    <t>H. Song; A. Soylu; D. Roman</t>
  </si>
  <si>
    <t>Towards Cognitive Self-Management of IoT-Edge-Cloud Continuum based on User Intents</t>
  </si>
  <si>
    <t>2022 IEEE/ACM 15th International Conference on Utility and Cloud Computing (UCC)</t>
  </si>
  <si>
    <t>10.1109/UCC56403.2022.00055</t>
  </si>
  <si>
    <t>SINTEF Digital, Norway; Oslo Metropolitan University, Norway; SINTEF Digital, Norway</t>
  </si>
  <si>
    <t>Elasticity of the computing continuum with on demand availability allows for automated provisioning and release of computing resources as needed; however, this self management capability is severely limited due to the lack of knowledge on historical and timely resource utilisation and means for stakeholders to express their needs in a high-level manner. In this paper, we introduce and discuss a new concept ‚Äì intent-based cognitive continuum for sustainable elasticity.</t>
  </si>
  <si>
    <t>978-1-6654-6087-3</t>
  </si>
  <si>
    <t>https://ieeexplore.ieee.org/stamp/stamp.jsp?arnumber=10061781</t>
  </si>
  <si>
    <t>Computing continuum;intent-based computing</t>
  </si>
  <si>
    <t>Cloud computing;Elasticity;Stakeholders;Resource management</t>
  </si>
  <si>
    <t>S. Forsstr√∂m; U. Jennehag; P. √ñsterberg; V. Kardeby; J. Lindqvist</t>
  </si>
  <si>
    <t>Surveying and Identifying the Communication Platforms of the Internet of Things</t>
  </si>
  <si>
    <t>2018 Global Internet of Things Summit (GIoTS)</t>
  </si>
  <si>
    <t>10.1109/GIOTS.2018.8534556</t>
  </si>
  <si>
    <t>Department of Information Systems and Technology, Mid Sweden University, Sundsvall, Sweden; Department of Information Systems and Technology, Mid Sweden University, Sundsvall, Sweden; Department of Information Systems and Technology, Mid Sweden University, Sundsvall, Sweden; RISE Acreo, Hudiksvall, Sweden; RISE Acreo, Hudiksvall, Sweden</t>
  </si>
  <si>
    <t>Research and industry invest time and resources in producing Internet of Things-based services, and the concept of Internet of Things platforms is climbing in the hype cycle for emerging technologies. Consequently, there is a vast number of enabling technologies, making it difficult to find the most suitable platform. The aim and goal of this article is to list and identify the currently available communication platforms for the Internet of Things. In this work we surveyed the area and found over 128 different platforms for communication of data between things and services, out of which 42 fulfilled our listed basic requirements for being an IoT communication platform.</t>
  </si>
  <si>
    <t>978-1-5386-6451-3</t>
  </si>
  <si>
    <t>https://ieeexplore.ieee.org/stamp/stamp.jsp?arnumber=8534556</t>
  </si>
  <si>
    <t>Internet of Things;Standards;Protocols;Security;Industries</t>
  </si>
  <si>
    <t>Z. Yao; I. Papapanagiotou</t>
  </si>
  <si>
    <t>A trace-driven evaluation of cloud computing schedulers for IaaS</t>
  </si>
  <si>
    <t>10.1109/ICC.2017.7996822</t>
  </si>
  <si>
    <t>Computer and Information Technology, Purdue University, West Lafayette, IN, USA; Platform Engineering Netflix, Inc., Los Gatos, CA, USA</t>
  </si>
  <si>
    <t>Prior work in the Cloud domain has mainly focused on evaluating systems using synthetic workloads. Nonetheless, synthetic workloads are not always an accurate depiction of the real-world as they have been generated based on assumptions and statistical distributions that are not representative of the actual traffic that flows from the applications and microservices to the lower layers of the Cloud infrastructure. Moreover, the selection of diverse assumptions and distributions create additional complications on a fair comparison between platforms and reduces the ability to reproduce the experiment. In this paper, we compare synthetic workloads used in prior research with the Eucalyptus cloud traces. We find that the distributions employed in the synthetic workloads are not always in-line with the real usage pattern. Therefore, to deliver realistic and reproducible research outcomes, we propose a trace-driven research methodology and showcase an experimental design which employs a workload trace and simulation method. The experiment provides practical suggestions from a realistic input and environmental setting. In addition, it is straightforward to replicate the experiment so that the accepting process of research outcome is shorted by a practical implementation.</t>
  </si>
  <si>
    <t>https://ieeexplore.ieee.org/stamp/stamp.jsp?arnumber=7996822</t>
  </si>
  <si>
    <t>Cloud computing;Statistical distributions;Resource management;Containers;Generators;Production;Google</t>
  </si>
  <si>
    <t>S. Zheng; F. Huang; C. Li; H. Wang</t>
  </si>
  <si>
    <t>A Cloud Resource Prediction and Migration Method for Container Scheduling</t>
  </si>
  <si>
    <t>2021 IEEE Conference on Telecommunications, Optics and Computer Science (TOCS)</t>
  </si>
  <si>
    <t>10.1109/TOCS53301.2021.9689034</t>
  </si>
  <si>
    <t>Network Planning Research Innovation Center, Beijing Research Institute of China Telecom, Beijing, China; Network Planning Research Innovation Center, Beijing Research Institute of China Telecom, Beijing, China; Network Planning Research Innovation Center, Beijing Research Institute of China Telecom, Beijing, China; Network Planning Research Innovation Center, Beijing Research Institute of China Telecom, Beijing, China</t>
  </si>
  <si>
    <t>With the continuous evolution of cloud-native, more and more applications are deployed on the container. As the business platform runs many container instances and has complex dependency relationships, the load of cloud resources fluctuates due to service status, resulting in task scheduling difficulties and affecting service stability. In this paper, we propose a container resource migration scheduling algorithm called UVPOC, and establish a two-level scheduler mechanism to monitor global real-time resources, choosing LTSM to predict the trend of the dominant resource utilization and determine whether to perform container migration or Virtual Machines (VMs) pre-boot to implement resource allocation. In addition, we choose CloudSim open source tool for simulation experiments. The results show that our UVPOC algorithm can improve the global resource utilization of containers and virtual machines, and reduce the energy consumption of data center resources.</t>
  </si>
  <si>
    <t>978-1-6654-2498-1</t>
  </si>
  <si>
    <t>https://ieeexplore.ieee.org/stamp/stamp.jsp?arnumber=9689034</t>
  </si>
  <si>
    <t>container;LSTM;predict;scheduling;CloudSim</t>
  </si>
  <si>
    <t>Cloud computing;Energy consumption;Data centers;Scheduling algorithms;Time series analysis;Containers;Prediction algorithms</t>
  </si>
  <si>
    <t>J. Gedeon; M. Wagner; J. Heuschkel; L. Wang; M. Muhlhauser</t>
  </si>
  <si>
    <t>A Microservice Store for Efficient Edge Offloading</t>
  </si>
  <si>
    <t>10.1109/GLOBECOM38437.2019.9014114</t>
  </si>
  <si>
    <t>Telecooperation Lab, Technische Universit√§t Darmstadt, Germany; Telecooperation Lab, Technische Universit√§t Darmstadt, Germany; Telecooperation Lab, Technische Universit√§t Darmstadt, Germany; Telecooperation Lab, Technische Universit√§t Darmstadt, Germany; Telecooperation Lab, Technische Universitat Darmstadt, Darmstadt, Germany</t>
  </si>
  <si>
    <t>Current edge computing frameworks require tight coupling between mobile clients and surrogates, i.e., the offloaded code has been preconfigured with its required execution environment. In many cases, this includes prior transfers of code blocks or execution environments from mobile devices to the offloading infrastructure. This approach incurs additional latency and is detrimental for the energy consumption of the mobile devices. In this paper, we propose the concept of a microservice store. Using the microservice abstraction common in software development and following the serverless paradigm, we envision a repository through which said services are made accessible to developers and can be re-used across applications. We implement a proof-of-concept edge computing system based on a microservice repository and demonstrate its benefits with real-world applications on mobile devices. Our results show that we were able to reduce latencies by up to 14x and save up to 94% of battery life.</t>
  </si>
  <si>
    <t>https://ieeexplore.ieee.org/stamp/stamp.jsp?arnumber=9014114</t>
  </si>
  <si>
    <t>Edge computing;Object detection;Mobile handsets;Containers;Semantics;Cloud computing;Image edge detection</t>
  </si>
  <si>
    <t>I. Haris; V. Bisanovic; B. Wally; T. Rausch; D. Ratasich; S. Dustdar; G. Kappel; R. Grosu</t>
  </si>
  <si>
    <t>Sensyml: Simulation Environment for large-scale IoT Applications</t>
  </si>
  <si>
    <t>10.1109/IECON.2019.8927756</t>
  </si>
  <si>
    <t>TU Wien, Vienna, Austria; TU Wien, Vienna, Austria; TU Wien, Vienna, Austria; TU Wien, Vienna, Austria; TU Wien, Vienna, Austria; TU Wien, Vienna, Austria; TU Wien, Vienna, Austria; TU Wien, Vienna, Austria</t>
  </si>
  <si>
    <t>IoT systems are becoming an increasingly important component of the civil and industrial infrastructure. With the growth of these IoT ecosystems, their complexity is also growing exponentially. In this paper we explore the problem of testing and evaluating large scale IoT systems at design time. To this end we employ simulated sensors with the physical and geographical characteristics of real sensors. Moreover, we propose Sensyml, a simulation environment that is capable of generating big data from cyber-physical models and real-world data. To the best of our knowledge it is the first approach to use a hybrid integration of real and simulated sensor data, that is also capable of being integrated into existing IoT systems. Sensyml is a cloud based Infrastructure-as-a-Service (IaaS) system that enables users to test both functionality and scalability of their IoT applications.</t>
  </si>
  <si>
    <t>https://ieeexplore.ieee.org/stamp/stamp.jsp?arnumber=8927756</t>
  </si>
  <si>
    <t>IoT;scalability;System-of-Systems;simulation;sensors</t>
  </si>
  <si>
    <t>Scalability;Cloud computing;Quality of service;Ecosystems;Biological system modeling;Sensor phenomena and characterization</t>
  </si>
  <si>
    <t>I. Rendroyoko; A. D. Setiawan; Suhardi</t>
  </si>
  <si>
    <t>Development of Meter Data Management System Based-on Event-Driven Streaming Architecture for IoT-based AMI Implementation</t>
  </si>
  <si>
    <t>2021 3rd International Conference on High Voltage Engineering and Power Systems (ICHVEPS)</t>
  </si>
  <si>
    <t>10.1109/ICHVEPS53178.2021.9601104</t>
  </si>
  <si>
    <t>School of Electrical Engineering and Informatics, Institute Technology of Bandung, Bandung, Indonesia; Department of Electrical Engineering, Jakarta Global University, Jakarta, Indonesia; School of Electrical Engineering and Informatics, Institute Technology of Bandung, Bandung, Indonesia</t>
  </si>
  <si>
    <t>Building an accurate, precise, fast, and extensive capacity metering system is mandatory for electricity utility companies. Therefore, several years ago, utilities have built automated meter reading (AMR) systems to run energy measurement business processes to help companies earn revenue. With the growing demand for utilities for detailed and real-time energy measurements at customers, utility companies need to migrate technology from AMR to Advance Metering Infrastructure (AMI). This effort will require the development of information technology and supporting equipment. One of them is the Meter Data Management System (MDMS). It is an essential part of the AMI system to handle the utility company's business processes and the Service Level Agreement (SLA). This paper discusses developing an MDMS for an electricity company's AMI energy measurement system using an IoT-based approach. It leads to a massive meter reading in a certain interval period and handling such conditions required implementing the event-based streaming architecture. The Head-End System (HES) uses the enhanced AMR-based one. The measurement results of the proposed MDMS-HES for AMI show the reading process can handle massive meter reading precisely and detect any abnormal measurement quantities. The reading interval only takes 37.5% of the SLA required by the utility company to read 100% of the meter population. This advanced capability can guarantee better measurement results and guarantee the certainty of the company's revenue.</t>
  </si>
  <si>
    <t>978-1-6654-4354-8</t>
  </si>
  <si>
    <t>https://ieeexplore.ieee.org/stamp/stamp.jsp?arnumber=9601104</t>
  </si>
  <si>
    <t>AMI;MDMS;IoT;Streaming platform</t>
  </si>
  <si>
    <t>Meters;Sociology;Energy measurement;Companies;Real-time systems;Power systems;Statistics</t>
  </si>
  <si>
    <t>M. Zasadzi≈Ñski; M. Sol√©; A. Brandon; V. Munt√©s-Mulero; D. Carrera</t>
  </si>
  <si>
    <t>Next Stop "NoOps": Enabling Cross-System Diagnostics Through Graph-Based Composition of Logs and Metrics</t>
  </si>
  <si>
    <t>10.1109/CLUSTER.2018.00039</t>
  </si>
  <si>
    <t>CA Technologies, Barcelona, Spain; CA Technologies, Barcelona, Spain; Universitat Politecnica de Madrid, Madrid, Spain; CA Technologies, Barcelona, Spain; Universitat Politecnica de Catalunya, Barcelona, Spain</t>
  </si>
  <si>
    <t>Performing diagnostics in IT systems is an increasingly complicated task, and it is not doable in satisfactory time by even the most skillful operators. Systems and their architecture change very rapidly in response to business and user demand. Many organizations see value in the maintenance and management model of NoOps that stands for No Operations. One of the implementations of this model is a system that is maintained automatically without any human intervention. The path to NoOps involves not only precise and fast diagnostics but also reusing as much knowledge as possible after the system is reconfigured or changed. The biggest challenge is to leverage knowledge on one IT system and reuse this knowledge for diagnostics of another, different system. We propose a framework of weighted graphs which can transfer knowledge, and perform high-quality diagnostics of IT systems. We encode all possible data in a graph representation of a system state and automatically calculate weights of these graphs. Then, thanks to the evaluation of similarity between graphs, we transfer knowledge about failures from one system to another and use it for diagnostics. We successfully evaluate the proposed approach on Spark, Hadoop, Kafka and Cassandra systems.</t>
  </si>
  <si>
    <t>https://ieeexplore.ieee.org/stamp/stamp.jsp?arnumber=8514882</t>
  </si>
  <si>
    <t>graphs;similarity;diagnostics;root cause classification;logs;NoOps;Big Data</t>
  </si>
  <si>
    <t>Measurement;Knowledge transfer;Computer architecture;Maintenance engineering;Sparks;Automation</t>
  </si>
  <si>
    <t>A. Lojo; L. Rubio; J. M. Ruano; T. Di Mascio; L. Pomante; E. Ferrari; I. G. Vega; F. K. G√ºrkaynak; M. L. Esnaola; V. Orani; J. Abella</t>
  </si>
  <si>
    <t>The ECSEL FRACTAL Project: A Cognitive Fractal and Secure edge based on a unique Open-Safe-Reliable-Low Power Hardware Platform</t>
  </si>
  <si>
    <t>2020 23rd Euromicro Conference on Digital System Design (DSD)</t>
  </si>
  <si>
    <t>10.1109/DSD51259.2020.00069</t>
  </si>
  <si>
    <t>IKERLAN, S. Coop., Arrasate, Spain; IKERLAN, S. Coop., Arrasate, Spain; IKERLAN, S. Coop., Arrasate, Spain; Universit√† degli studi dell‚ÄôAquila, Aquila, Italy; Universit√† degli studi dell‚ÄôAquila, Aquila, Italy; Rulex Innovation Labs s.r.l., Genoa, Italy; Soros Gabinete, Sevilla, Spain; ETH, Z√ºrich, Switzerland; CAF Signalling, Madrid, Spain; National Research Council of Italy (CNR) - IEIIT Institute, Genoa, Italy; Barcelona Supercomputing Center, Barcelona, Spain</t>
  </si>
  <si>
    <t>The objective of the FRACTAL project is to create a new approach to reliable edge computing. The computing node will be the building block of scalable Internet of Things (from Low Computing to High Computing Edge Nodes). The cognitive skill will be given by an internal and external architecture that allows forecasting its internal performance and the state of the surrounding world. The node will have the capability of learning how to improve its performance against the uncertainty of the environment. New industrial functions will flourish through the created space of the cognitive system. Cognitive advantages are brought to a resilient edge and a computing paradigm that lay down between the physical world and the cloud.</t>
  </si>
  <si>
    <t>978-1-7281-9535-3</t>
  </si>
  <si>
    <t>https://ieeexplore.ieee.org/stamp/stamp.jsp?arnumber=9217800</t>
  </si>
  <si>
    <t>Edge computing;artificial intelligence;cognitive systems;Internet of Things</t>
  </si>
  <si>
    <t>Fractals;Cloud computing;Cognitive systems;Meters;Edge computing;Internet of Things</t>
  </si>
  <si>
    <t>B. M. Khorsandi; R. Bassoli; G. Bernini; M. Ericson; H. P. Frank Fitzek; A. Gati; H. Harkous; M. Hoffmann; I. L. Pavon; G. Landi; D. Lopez; D. Rapone; B. Richerzhagen; P. Rugeland; P. Schneider; E. Selva; T. Svensson; E. U. Soykan; S. W√§nstedt; S. Wunderer</t>
  </si>
  <si>
    <t>6G E2E Architecture Framework with Sustainability and Security Considerations</t>
  </si>
  <si>
    <t>10.1109/GCWkshps56602.2022.10008585</t>
  </si>
  <si>
    <t>Nokia Strategy &amp; Technology, Munich, Germany; Technische Universit√§t Dresden, Dresden, Germany; Nextworks, Pisa, Italy; Ericsson Research, Stockholm, Sweden; Technische Universit√§t Dresden, Dresden, Germany; Orange Innovation, Paris, France; Nokia Strategy &amp; Technology, Munich, Germany; Nokia Strategy &amp; Technology, Munich, Germany; Atos Spain SAE, Madrid, Spain; Nextworks, Pisa, Italy; Telefonica, Madrid, Spain; Access Innovation Department, TIM, Turin, Italy; Siemens AG, Munich, Germany; Ericsson Research, Stockholm, Sweden; Nokia Strategy &amp; Technology, Munich, Germany; Orange Innovation, Paris, France; Chalmers University of Technology Gothenburg, Sweden; Ericsson Research, Istanbul, Turkey; Ericsson Research, Stockholm, Sweden; Nokia Mobile Networks, Ulm, Germany</t>
  </si>
  <si>
    <t>The research on 6G in the EU-funded flagship project Hexa-X started with the investigation of the most important technology enablers and the evaluation of relevant 6G use cases. The next step is to integrate these enablers in a 6G E2E architecture that fulfills all use case-based Key Performance (KPI) and Key Value Indicators (KVI) and that follows the guidelines of general architectural principles. In addition, the main focus of an E2E 6G architecture must be on security and sustainability which both will have increased importance for future communication networks and society.</t>
  </si>
  <si>
    <t>https://ieeexplore.ieee.org/stamp/stamp.jsp?arnumber=10008585</t>
  </si>
  <si>
    <t>E2E architecture;sustainability;security;6G</t>
  </si>
  <si>
    <t>6G mobile communication;Conferences;Security;Communication networks;Sustainable development;Guidelines</t>
  </si>
  <si>
    <t>Y. Shuai; J. Yimu; L. Shangdong; Y. Qifan; L. Kui; S. Sisi</t>
  </si>
  <si>
    <t>MEMTV: a Research on Multi-level Edge Computing Model for Traffic Video Processing</t>
  </si>
  <si>
    <t>2020 Chinese Automation Congress (CAC)</t>
  </si>
  <si>
    <t>2688-0938</t>
  </si>
  <si>
    <t>10.1109/CAC51589.2020.9327729</t>
  </si>
  <si>
    <t>School of Computer Science, Nanjing University of Posts and Telecommunications, Nanjing, China; School of Computer Science, Nanjing University of Posts and Telecommunications, Nanjing, China; School of Computer Science, Nanjing University of Posts and Telecommunications, Nanjing, China; School of Computer Science, Nanjing University of Posts and Telecommunications, Nanjing, China; School of Computer Science, Nanjing University of Posts and Telecommunications, Nanjing, China; School of Computer Science, Nanjing University of Posts and Telecommunications, Nanjing, China</t>
  </si>
  <si>
    <t>Real-time traffic video data analysis and processing technology is an important part of intelligent urban transportation, real-time urban traffic planning, reducing urban traffic congestion, has certain application value. Aiming at the problem that network transmission link resources are limited and it is difficult to meet the real-time analysis and processing of massive video data uploading to the cloud. In this paper, we propose MEMTV, a multi-level edge computing model based on big data machine. The model obtains scene semantic information by processing traffic video data at the edge intelligent terminal, and uploads the scene semantic information as textual metadata to the edge server for analysis, while the edge server only does the inference of the model, and the update training of the model is performed in the cloud, which does not affect the edge data processing while ensuring the high reliability of the prediction model. The experimental results show that the MEMTV can effectively process traffic video stream data.</t>
  </si>
  <si>
    <t>978-1-7281-7687-1</t>
  </si>
  <si>
    <t xml:space="preserve">Natural Science Foundation of Jiangsu Province; </t>
  </si>
  <si>
    <t>https://ieeexplore.ieee.org/stamp/stamp.jsp?arnumber=9327729</t>
  </si>
  <si>
    <t>intelligent transportation;edge computing;big data machine;video processing</t>
  </si>
  <si>
    <t>Streaming media;Target tracking;Servers;Real-time systems;Prediction algorithms;Object detection;Big Data</t>
  </si>
  <si>
    <t>N. Dimitriou; A. Garbi; K. Vasilakis; A. Schoofs; A. Taha; M. Nikiforakis; S. Kotsilitis; T. G. Papaioannou; D. Kotsopoulos; C. Bardaki; F. Pursche; N. Deliyski</t>
  </si>
  <si>
    <t>ChArGED: Implementing a framework for improving energy efficiency in public buildings through IoTenabled energy disaggregation and serious games</t>
  </si>
  <si>
    <t>2018 IEEE International Conference on Pervasive Computing and Communications Workshops (PerCom Workshops)</t>
  </si>
  <si>
    <t>10.1109/PERCOMW.2018.8480290</t>
  </si>
  <si>
    <t>European Dynamics S.A., Brussels, Belgium; European Dynamics S.A., Brussels, Belgium; European Dynamics S.A., Brussels, Belgium; Wattics Ltd, Dublin, Ireland; Wattics Ltd, Dublin, Ireland; Plegma Labs S.A., Athens, Greece; Plegma Labs S.A., Athens, Greece; Athens University of Economics and Business, Athens, Greece; Athens University of Economics and Business, Athens, Greece; Athens University of Economics and Business, Athens, Greece; Bosch Software Innovations GmbH, Cologne, Germany; Bosch Software Innovations GmbH, Cologne, Germany</t>
  </si>
  <si>
    <t>This paper reports on the approach for the design and development of the H2020 ChArGED project framework. ChArGED addresses energy wastage and proposes a framework that aims to facilitate achieving greater energy efficiency in public buildings. The framework leverages IoT-enabled low-cost devices, to improve energy disaggregation mechanisms that provide energy use and -consequently- wastage information at the device, area and end-user level. The identified wastages are concurrently targeted by a gamified application that feeds personalized real-time recommendations to each individual enduser. The ChArGED solution is being developed iteratively, with the end-users' engagement during the analysis, design and development phases in public buildings located in 3 different countries: Luxembourg (Mus√©e National d'Histoire et d'Art), Spain (EcoUrbanBuilding, Institut Catal√† d'Energia headquarters, Barcelona) and Greece (General Secretariat of the Municipality of Athens).</t>
  </si>
  <si>
    <t>978-1-5386-3227-7</t>
  </si>
  <si>
    <t>https://ieeexplore.ieee.org/stamp/stamp.jsp?arnumber=8480290</t>
  </si>
  <si>
    <t>energy efficiency;gamification;public buildings</t>
  </si>
  <si>
    <t>S. A. Mikkelsen; R. H. Jacobsen; A. F. Terkelsen</t>
  </si>
  <si>
    <t>DB&amp;A: An Open Source Web Service for Meter Data Management</t>
  </si>
  <si>
    <t>2016 IEEE Symposium on Service-Oriented System Engineering (SOSE)</t>
  </si>
  <si>
    <t>10.1109/SOSE.2016.26</t>
  </si>
  <si>
    <t>Department of Engineering, Aarhus University; Department of Engineering, Aarhus University; Haugstad &amp; Terkelsen ApS</t>
  </si>
  <si>
    <t>With the increasing number of initiatives dealing with storing meter data, systems that perform Meter Data Management (MDM) constitute a critical component for realising the potential benefits of the smart grid. However, most of the MDM systems designed today are generalised to such an extent that they do not consider the relational structure of electrical system. Furthermore, these systems do often not restrict themselves to specific data latency requirements. To address this issue, this paper presents the Database &amp; Analytics (DB&amp;A), an open reference implementation for a MDM system that is instantiated as a web service. Its design is based on a set of design goals, an explicitly addressed data latency scope and five real-world scenarios. We present an abstract model of the metering hierarchy that allows MDM systems to be used as compositional services, forming a service tree. Moreover, we provide implementation details about analytic functions to support the service tree. The DB&amp;A is evaluated on a cloud and embedded platform using a subset of data constructed from a case study that includes 8 months of real data. The results show that the DB&amp;A complies with the boundaries of the defined data latency scope for the cloud and embedded platform.</t>
  </si>
  <si>
    <t>978-1-5090-2253-3</t>
  </si>
  <si>
    <t>https://ieeexplore.ieee.org/stamp/stamp.jsp?arnumber=7473004</t>
  </si>
  <si>
    <t>Data management;RESTful;service-oriented architecture;smart grid;web service</t>
  </si>
  <si>
    <t>Smart grids;Web services;Computer architecture;Databases;Real-time systems;Business;Smart meters</t>
  </si>
  <si>
    <t>D. Ayed; P. -A. Dragan; E. F√©lix; Z. A. Mann; E. Salant; R. Seidl; A. Sidiropoulos; S. Taylor; R. Vitorino</t>
  </si>
  <si>
    <t>Protecting sensitive data in the cloud-to-edge continuum: The FogProtect approach</t>
  </si>
  <si>
    <t>10.1109/CCGrid54584.2022.00037</t>
  </si>
  <si>
    <t>Thales, Palaiseau, France; University of Duisburg-Essen, Essen, Germany; Thales, Palaiseau, France; University of Amsterdam, Amsterdam, The Netherlands; IBM Research, Haifa, Israel; Nokia Bell Labs, Munich, Germany; Athens Technology Center, Athens, Greece; University of Southampton, Southampton, UK; Ubiwhere, Aveiro, Portugal</t>
  </si>
  <si>
    <t>Data produced by end devices like smartphones, sensors or IoT devices can be stored and processed across a continuum of compute resources, from end devices via fog nodes to the cloud, enabling reduced latency, increased processing speed and energy savings. However, the data may be sensitive (e.g., personal data or confidential commercially sensitive information), with regulatory or other requirements for its protection. Protecting sensitive data in the dynamic, heterogeneous, and decentralized cloud-to-edge continuum is very challenging. This paper describes a solution: FogProtect, an integrated set of four technologies to protect data in the cloud-to-edge continuum. Fog-Protect addresses four concerns: (i) control and enforcement of distributed data access and usage; (ii) management of distributed data protection policies; (iii) risk assessment for data assets in the cloud-to-edge continuum; (iv) automated optimisation and adaptation to address identified risks. FogProtect operates dynamically, reacting to system changes or detected vulnerabilities to keep the data secure across the cloud- to-edge continuum. This paper describes an overview of the FogProtect concept, discusses each of the four approaches, and illustrates their usage for the protection of data in three real-world use cases.</t>
  </si>
  <si>
    <t xml:space="preserve">Horizon 2020(grant numbers:871525); </t>
  </si>
  <si>
    <t>https://ieeexplore.ieee.org/stamp/stamp.jsp?arnumber=9826058</t>
  </si>
  <si>
    <t>fog computing;edge computing;data protection;security;privacy</t>
  </si>
  <si>
    <t>Cloud computing;Smart cities;Data protection;Distributed databases;Organizations;Production facilities;Sensors</t>
  </si>
  <si>
    <t>X. Sun; T. Li; M. Chen; L. Liu</t>
  </si>
  <si>
    <t>Key technology applications and development prospects of Ubiquitous Electric Internet of Things</t>
  </si>
  <si>
    <t>2019 IEEE Sustainable Power and Energy Conference (iSPEC)</t>
  </si>
  <si>
    <t>10.1109/iSPEC48194.2019.8975114</t>
  </si>
  <si>
    <t>Sales Department of State Grid, Shanghai Fengxian Electric Power Supply Company, Shanghai, China; Sales Department of State Grid, Shanghai Fengxian Electric Power Supply Company, Shanghai, China; Sales Department of State Grid, Shanghai Fengxian Electric Power Supply Company, Shanghai, China; Party committee office of State Grid, Shanghai Fengxian Electric Power Supply Company, Shanghai, China</t>
  </si>
  <si>
    <t>The traditional power system management mode does not meet the demand of the power system in the new era, and it is urgent to apply advanced technologies such as Internet of Things (IoT), cloud computing and big data technology. Ubiquitous electric IoT is a new type of power system network generated by the deep integration of traditional technology and IoT. Through the interconnection and interoperability between intellectual platform and power system equipment, the comprehensive sensing, data fusion and intelligent application are realized to meet the lean management needs of the power system and support the rapid development of the energy Internet. In this paper, the hierarchy of ubiquitous electric IoT is introduced, the application of state sensing devices and intelligent equipment is analyzed, the development prospects of ubiquitous electric IoT is explored and several key technologies for the future development is suggested.</t>
  </si>
  <si>
    <t>978-1-7281-4930-1</t>
  </si>
  <si>
    <t>https://ieeexplore.ieee.org/stamp/stamp.jsp?arnumber=8975114</t>
  </si>
  <si>
    <t>Ubiquitous Electric Internet of Things;state sensing;smart devices;RFID;augmented reality(AR);intelligent robots;primary and secondary device integration;power supply service command platform;5G communication;blockchain technology</t>
  </si>
  <si>
    <t>A. Xie; Y. Peng</t>
  </si>
  <si>
    <t>Improving the Quality of Inference for Applications using Chained DNN Models during Edge Server Handover</t>
  </si>
  <si>
    <t>2022 IEEE/ACM 7th Symposium on Edge Computing (SEC)</t>
  </si>
  <si>
    <t>10.1109/SEC54971.2022.00079</t>
  </si>
  <si>
    <t>Division of Computing and Software Systems, University of Washington Bothell, Bothell, WA, USA; Division of Computing and Software Systems, University of Washington Bothell, Bothell, WA, USA</t>
  </si>
  <si>
    <t>Recent advances in deep neural networks (DNNs) have greatly benefited mobile applications that perform real-time video analytics. However, mobile devices' computing power usually limits them from inferring complex DNN models timely. Edge intelligence has emerged to help mobile apps offload DNN inference tasks to powerful edge servers for accelerated inference services. One major challenge that edge intelligence faces is maintaining a satisfactory quality of service when users move across edge servers. To address this issue, we propose a novel solution to help improve the quality of inference services for real-time video analytics applications that use chained DNN models. This solution includes two schemes: one maximizes the use of mobile devices to improve inference quality during the handover between edge servers, and the other provides offloading decisions to minimize the end-to-end inference delay when edge servers are available. We evaluate the proposed scheme using a DNN-based realtime traffic monitoring application through testbed and simulation experiments. The results show that our solution can improve inference quality by 52% during handover compared to the greedy algorithm-based solution.</t>
  </si>
  <si>
    <t>978-1-6654-8611-8</t>
  </si>
  <si>
    <t>https://ieeexplore.ieee.org/stamp/stamp.jsp?arnumber=9996800</t>
  </si>
  <si>
    <t>edge computing;handover;model chain;quality of inference</t>
  </si>
  <si>
    <t>Performance evaluation;Analytical models;Visual analytics;Handover;Real-time systems;Mobile handsets;Mobile applications</t>
  </si>
  <si>
    <t>S. Tiwari; B. B. M</t>
  </si>
  <si>
    <t>Energy Cognizant Scheduling in Three-Layer Cloud Architecture: A Systematic Review</t>
  </si>
  <si>
    <t>2022 3rd International Conference on Issues and Challenges in Intelligent Computing Techniques (ICICT)</t>
  </si>
  <si>
    <t>10.1109/ICICT55121.2022.10064614</t>
  </si>
  <si>
    <t>Department of Computer Science and Engineering, Amrita School of Computing Amrita Vishwa Vidyapeetham, Bengaluru, India; Department of Computer Science and Engineering, Amrita School of Computing Amrita Vishwa Vidyapeetham, Bengaluru, India</t>
  </si>
  <si>
    <t>Today‚Äô$s$ era is of intelligent devices connected to serve various real-time applications. These numerous IoT devices collect enormous amounts of data, which are then transferred to the cloud for further processing and analysis. Most of these tasks are delay-sensitive and require processing within their deadline. These tasks require high-speed computing and storage resources for their processing. Although the cloud layer provides enormous processing and storage capability, we can not ignore the amount of delay in response generation. Thus, other two lower layers, i.e., the Edge layer and the fog layer, should also be considered to develop an efficient algorithm for task scheduling and load balancing. These three layers vary in terms of resource availability and communication latency. Currently, the increased focus of many new researchers on improving the performance metrics in the cloud architecture, such as energy efficiency, resource utilization, and latency, leads to the requirement of a detailed review of previous work done in this area. Although many review articles are on the web, most focus only on a single layer. Thus, The current study considers all three layers, edge, fog, and cloud, to present a detailed systematic review of algorithms based on load balancing and scheduling at task and VM levels. This study aims to compare and analyze the available papers based on the focused layers, the methodology used, performance matrices, advantages, and future scopes.</t>
  </si>
  <si>
    <t>978-1-6654-8268-4</t>
  </si>
  <si>
    <t>https://ieeexplore.ieee.org/stamp/stamp.jsp?arnumber=10064614</t>
  </si>
  <si>
    <t>energy-efficiency;task and VM scheduling;load-balancing;edge computing;fogcomputing;cloud computing</t>
  </si>
  <si>
    <t>Measurement;Cloud computing;Systematics;Computer architecture;Load management;Scheduling;Energy efficiency</t>
  </si>
  <si>
    <t>D. L√≥pez-de-Ipi√±a; J. el Busto; D. Lauzurica; D. Casado</t>
  </si>
  <si>
    <t>Social Coin: Blockchain-mediated incentivization of citizens for sustainable collaborative processes</t>
  </si>
  <si>
    <t>2021 6th International Conference on Smart and Sustainable Technologies (SpliTech)</t>
  </si>
  <si>
    <t>10.23919/SpliTech52315.2021.9566325</t>
  </si>
  <si>
    <t>Deusto Tech, University of Deusto, Bilbao, Spain; Deusto Tech, University of Deusto, Bilbao, Spain; Deusto Tech, University of Deusto, Bilbao, Spain; Deusto Tech, University of Deusto, Bilbao, Spain</t>
  </si>
  <si>
    <t>Citizen and end-user engagement to seek their collaboration in common good collaborative processes is hard to sustain in time. Self-motivation is not enough to guarantee sustainability of co-creation or crowdsourcing campaigns. Long-time sustainability is essential to achieve effective and positive behaviour change. This work describes our efforts to give place to an auditing and rewarding mechanism for collaborative processes enacted by the application of Blockchain. This is achieved by introducing a Social Coin. This paper describes the architecture to enable such solution and the implications of choosing different Blockchain networks for its implementation. The aim is to get ready to assess such currency in real deployments where a suite of social good campaigns encouraging fulfilment of sustainable development goals are fostered.</t>
  </si>
  <si>
    <t>978-953-290-112-2</t>
  </si>
  <si>
    <t>https://ieeexplore.ieee.org/stamp/stamp.jsp?arnumber=9566325</t>
  </si>
  <si>
    <t>Blockchain;co-production;IoP</t>
  </si>
  <si>
    <t>Crowdsourcing;Collaboration;Blockchains;Sustainable development;Currencies</t>
  </si>
  <si>
    <t>E. Markoska; S. Lazarova-Molnar</t>
  </si>
  <si>
    <t>LEAF: Live Building Performance Evaluation Framework</t>
  </si>
  <si>
    <t>2019 Fourth International Conference on Fog and Mobile Edge Computing (FMEC)</t>
  </si>
  <si>
    <t>10.1109/FMEC.2019.8795329</t>
  </si>
  <si>
    <t>M√¶rsk McKinney M√∏ller Institute, University of Southern Denmark, Odense, Denmark; M√¶rsk McKinney M√∏ller Institute, University of Southern Denmark, Odense, Denmark</t>
  </si>
  <si>
    <t>Buildings contribute to approx. 32% of the world's energy consumption, and as such, are one of the prime producers of CO2 emissions. Given documented discrepancies between the designed and operational behaviour of buildings, concepts such as continuous commissioning and performance testing have emerged. Performance testing utilises metadata schemas and generic libraries of tests to increase applicability and customizability of real-time performance monitoring. In this paper we present LEAF: a Live building performance EvAluation Framework. LEAF has been developed as a result of an extensive survey with building management professionals, who gave insight into the preferences for management of various buildings. We present LEAF's microservice-style architecture, to increase reusability of its processes by other building intelligence applications, and use it to develop a performance monitoring application for a case study building. Furthermore, the live streaming processing of building operational data has posed significant challenges to the application of LEAF. We discuss these challenges and offer directions for their solutions.</t>
  </si>
  <si>
    <t>978-1-7281-1796-6</t>
  </si>
  <si>
    <t>https://ieeexplore.ieee.org/stamp/stamp.jsp?arnumber=8795329</t>
  </si>
  <si>
    <t>smart buildings;performance testing;metadata models;microservices</t>
  </si>
  <si>
    <t>V. Mitroviƒá; M. Mijalkoviƒá</t>
  </si>
  <si>
    <t>Power quality data logger with internet access</t>
  </si>
  <si>
    <t>2017 International Symposium on Power Electronics (Ee)</t>
  </si>
  <si>
    <t>10.1109/PEE.2017.8171702</t>
  </si>
  <si>
    <t>The School of Electrical and Computer Engineering of Applied Studies, Belgrade, Serbia; The School of Electrical and Computer Engineering of Applied Studies, Belgrade, Serbia</t>
  </si>
  <si>
    <t>This paper describes originally designed monophase power quality data logger (PQL), a successor of monophase power quality analyzer (PQA) presented earlier. The primary purpose of the analyzer was to illustrate the capabilities of the used development board to the students of Microprocessor software and to help the students of Power networks to visualize disturbances generated by different electronic devices. Power Quality Data Logger adds time as another variable and enables students to visualize and measure power quality or distortions over time. If PQA is compared to a still photo camera, then PQL can be compared to a movie camera. The main idea was to extend the functionality of the predecessor in the way that data could be recorded or streamed in real time, allowing the user to analyze them on-site or off-site, in real time or later. An independent network module has been added to the device, making it capable to stream data over the LAN or the Internet.</t>
  </si>
  <si>
    <t>978-1-5386-3502-5</t>
  </si>
  <si>
    <t>https://ieeexplore.ieee.org/stamp/stamp.jsp?arnumber=8171702</t>
  </si>
  <si>
    <t>Power Electronics;Quality Analizer;Data Logger;DSP;Microcontroller;IoT;MQTT;Blynk</t>
  </si>
  <si>
    <t>Harmonic analysis;Voltage measurement;Frequency measurement;Power quality;Real-time systems;Current measurement;Protocols</t>
  </si>
  <si>
    <t>A. Selmani; M. Outanoute; M. A. Alaoui; M. El Khayat; M. Guerbaoui; A. Ed-dahhak; A. Lachhab; B. Bouchikhi</t>
  </si>
  <si>
    <t>Multithreading design for an embedded irrigation system running on solar power</t>
  </si>
  <si>
    <t>2018 4th International Conference on Optimization and Applications (ICOA)</t>
  </si>
  <si>
    <t>10.1109/ICOA.2018.8370519</t>
  </si>
  <si>
    <t>Sensors Electronic &amp; Instrumentation Team, Moulay Ismail University, Meknes, Morocco; Modelling Systems Control &amp; Telecommunications Team, Moulay Ismail University, Meknes, Morocco; Modelling Systems Control &amp; Telecommunications Team, Moulay Ismail University, Meknes, Morocco; Sensors Electronic &amp; Instrumentation Team, Moulay Ismail University, Meknes, Morocco; Modelling Systems Control &amp; Telecommunications Team, Moulay Ismail University, Meknes, Morocco; Sensors Electronic &amp; Instrumentation Team, Moulay Ismail University, Meknes, Morocco; Modelling Systems Control &amp; Telecommunications Team, Moulay Ismail University, Meknes, Morocco; Modelling Systems Control &amp; Telecommunications Team, Moulay Ismail University, Meknes, Morocco</t>
  </si>
  <si>
    <t>Technologies of irrigation systems are developed with a focus on intelligent water management, advanced features and remote control of solar photovoltaic watering systems (SPVWSs). The new generation of inexpensive microcontrollers comes with high level of computation capability and provides low-cost solutions. In this direction, this paper presents a new multithreading design and implementation of an embedded irrigation system running on solar power. The design combines the advanced concepts of concurrency programming, namely multithreading and virtual timers, with the embedded computing resources of smart devices. According to the design and test results through an experimental greenhouse, this device provides an accuracy real-time management of all activities of the SPVWS with eventually a low power consumption.</t>
  </si>
  <si>
    <t>978-1-5386-4225-2</t>
  </si>
  <si>
    <t>https://ieeexplore.ieee.org/stamp/stamp.jsp?arnumber=8370519</t>
  </si>
  <si>
    <t>greenhouse;java platform;embedded system;multithreading design;solar irrigation</t>
  </si>
  <si>
    <t>Irrigation;Temperature sensors;Task analysis;Green products;Multithreading;Control systems</t>
  </si>
  <si>
    <t>Y. Alahmad; A. Agarwal; M. Zaman; N. Goel</t>
  </si>
  <si>
    <t>Container Placement for Resource Utilization in Cyber Physical Cloud Systems</t>
  </si>
  <si>
    <t>10.1109/ICCWorkshops50388.2021.9473688</t>
  </si>
  <si>
    <t>Department of Computer Science and Software Engineering, Concordia University, Montreal, Canada; Department of Electrical and Computer Engineering, Concordia University, Montreal, Canada; Cistel Technology, Ottawa, Canada; Cistech Ltd., Ottawa, Canada</t>
  </si>
  <si>
    <t>Cloud computing is considered a convenient and promising solution to handle the fast and large growth of Cyber Physical Systems (CPSs). Cloud platform can provide networking access to resources such as Virtual Machines and Containers for data storage, communication, processing, and decision making for the services provided by CPSs. Placement of the virtual resources at the cloud platform plays a key role on the quality of the service and utilization of the resources. Data analysis show that many of the requested resources are wasted and not utilized properly due to inappropriate placement of the virtual computing resources. This paper tackles Container placement problem in CPSs from resource requested and utilization perspectives. The present problem is mapped as an optimization Integer Linear Programming (ILP) model. A heuristic approach that uses deep learning Artificial Neural Networks (ANN) is proposed to solve the ILP model. To evaluate the ILP model, we use a large dataset collected from Alibaba group computing cluster. The results of the current study show that a large number of the resources can be saved and utilized using the proposed solution.</t>
  </si>
  <si>
    <t xml:space="preserve">Mitacs; </t>
  </si>
  <si>
    <t>https://ieeexplore.ieee.org/stamp/stamp.jsp?arnumber=9473688</t>
  </si>
  <si>
    <t>container;placement;cloud computing;cyber physical systems</t>
  </si>
  <si>
    <t>Deep learning;Cloud computing;Computational modeling;Conferences;Artificial neural networks;Containers;Integer linear programming</t>
  </si>
  <si>
    <t>H. Rocha; G. Delsart; A. Andersson; A. Bousselmi; A. Conte; A. Gati; A. M. Masucci; C. Grangeat; C. Cavdar; D. Marquet; E. Alexandri; G. Akpoli-Johnson; H. -O. Scheck; J. Gascon; L. Nuaymi; L. Salahaldin; M. E. Tabach; M. M. A. Hossain; S. E. Elayoubi; S. Imadali; T. Chahed; V. Jonsson; W. Yoro; X. Campderros</t>
  </si>
  <si>
    <t>SooGREEN: Service-oriented optimization of green mobile networks</t>
  </si>
  <si>
    <t>2017 15th International Symposium on Modeling and Optimization in Mobile, Ad Hoc, and Wireless Networks (WiOpt)</t>
  </si>
  <si>
    <t>10.23919/WIOPT.2017.7959935</t>
  </si>
  <si>
    <t>Eurico Ferreira, Trofa, Portugal; Orange Gardens, Chatillon, France; Tele2, Sverige AB, Kista, Sweden; Orange Gardens, 44 Avenue de la R√©publique, 92320 Ch√°tillon, France; Nokia, Nozay, France; Orange Gardens, Chatillon, France; Orange Gardens, Chatillon, France; Nokia, Nozay, France; KTH Royal Institute of Technology, Kista, Sweden; Orange Gardens, Chatillon, France; Orange Gardens, Chatillon, France; Institut Mines Telecom, France; Nokia, Kista, Sweden; Orange Gardens, Chatillon, France; Nokia, Kista, Sweden; Nokia, Kista, Sweden; Orange Gardens, Chatillon, France; KTH Royal Institute of Technology, Kista, Sweden; Orange Gardens, 44 Avenue de la R√©publique, 92320 Ch√°tillon, France; Orange Gardens, Chatillon, France; Nokia, Kista, Sweden; Tele2, Sverige AB, Kista, Sweden; Orange Gardens, Chatillon, France; Orange Gardens, Chatillon, France</t>
  </si>
  <si>
    <t>Today, mobile networks are witnessing an exponential growth of traffic volumes, linked to new services, especially for smart cities and smart-grid. The European Celtic-Plus SooGREEN project, started mid 2015, is targeting to reduce the energy consumption of the services in different mobile architectures in interaction with smart-grid. So GREEN is focused on the services energy consumption modelling and measurement, the dynamic optimization of the mobile access network and of the content delivery, the design of an Energy Efficient Virtualized and Centralized Radio Access Network (RAN), and the bi-directional interaction of the mobile network with the smart-grid. This paper presents insight into the project after its first year, and discusses research trends in green communication networks for the future.</t>
  </si>
  <si>
    <t>978-3-9018-8290-6</t>
  </si>
  <si>
    <t>https://ieeexplore.ieee.org/stamp/stamp.jsp?arnumber=7959935</t>
  </si>
  <si>
    <t>Services;Radio access network;Virtualisation;Smart-grid;Energy efficiency</t>
  </si>
  <si>
    <t>Mobile communication;Mobile computing;Device-to-device communication;Energy consumption;Batteries;Energy efficiency;Smart grids</t>
  </si>
  <si>
    <t>A. Medeiros; A. Di Maio; T. Braun; A. Neto</t>
  </si>
  <si>
    <t>Service Chaining Graph: Latency- and Energy-aware Mobile VR Deployment over MEC Infrastructures</t>
  </si>
  <si>
    <t>GLOBECOM 2022 - 2022 IEEE Global Communications Conference</t>
  </si>
  <si>
    <t>10.1109/GLOBECOM48099.2022.10001403</t>
  </si>
  <si>
    <t>Institute of Computer Science, University of Bern, Bern, Switzerland; Institute of Computer Science, University of Bern, Bern, Switzerland; Institute of Computer Science, University of Bern, Bern, Switzerland; Department of Informatics and Applied Mathematics (DIMAp), Federal University of Rio Grande do Norte, Natal, Brazil</t>
  </si>
  <si>
    <t>Perceptual studies show that the Quality of Service (QoS) of large-scale Mobile Virtual Reality (MVR) applications is positively correlated to video frame rate and the duration of the immersive experience. These metrics depend on the sum of computation and network latency needed to generate and deliver a video frame to the Head-Mounted Display (HMD) and the power consumption on the HMD. Recent research shows that Multi-access Edge Computing (MEC) can support mobile HMDs to reduce their computing latency, but its potential to maintain the acceptable end-to-end (E2E) latency and reduce power consumption under high mobility conditions remains unexplored. This paper proposes Service Chaining Graph (SCG), an orchestrator to split VR applications into atomic services and deploy them across HMDs and MEC servers according to an optimization problem that aims to jointly minimize latency and energy consumption. Through simulations, we show that SCG reduces E2E latency by up to 74% in three high-mobility user-dense scenarios compared to four widely used service-migration strategies against a moderate increase in power consumption. Unlike other approaches, SCG can find a balance between average latency and energy consumption by migrating services between MEC servers and HMDs according to a policy depending on application requirements.</t>
  </si>
  <si>
    <t>978-1-6654-3540-6</t>
  </si>
  <si>
    <t>https://ieeexplore.ieee.org/stamp/stamp.jsp?arnumber=10001403</t>
  </si>
  <si>
    <t>Mobile Virtual Reality;Multi-access Edge Computing;Service Function Chaining;Service Offloading;End-to-end Latency and Energy Optimization</t>
  </si>
  <si>
    <t>Measurement;Energy consumption;Solid modeling;Power demand;Multi-access edge computing;Resists;Quality of service</t>
  </si>
  <si>
    <t>L. Militano; A. Zafeiropoulos; E. Fotopoulou; R. Bruschi; C. Lombardo; A. Edmonds; S. Papavassiliou</t>
  </si>
  <si>
    <t>AI-powered Infrastructures for Intelligence and Automation in Beyond-5G Systems</t>
  </si>
  <si>
    <t>10.1109/GCWkshps52748.2021.9682117</t>
  </si>
  <si>
    <t>Zurich University of Applied Sciences, Switzerland; Institute of Communication and Computer Systems, National Technical University of Athens, Athens, Greece; Institute of Communication and Computer Systems, National Technical University of Athens, Athens, Greece; University of Genoa, Genoa, Italy; CNIT S2N National Laboratory, Genoa, Italy; Terraview GmbH, Switzerland; Institute of Communication and Computer Systems, National Technical University of Athens, Athens, Greece</t>
  </si>
  <si>
    <t>In this paper, a vision for beyond-5G systems is proposed where automation and intelligence in cloud-native infrastructures are in focus. Exploiting the convergence of cloud technologies at the edge and mobile communication networks, a set of technological solutions is discussed that will play a fundamental role on the path from 5G towards future 6G systems. Currently, a strong need is felt in the telecommunication world for greater automation to meet the extreme requirements expected for 6G applications. Artificial Intelligence (AI) is gaining momentum as one of the main enabling technologies for beyond-5G networks. Reinforcement Learning (RL) and Federated Learning (FL) are here proposed as technologies to enhance automation and improve the intelligence of orchestration mechanisms of both network services and applications. These technologies are brought together in a comprehensive cloud-native architectural vision to fill the gap between current 5G systems and AI-powered systems of the future.</t>
  </si>
  <si>
    <t>https://ieeexplore.ieee.org/stamp/stamp.jsp?arnumber=9682117</t>
  </si>
  <si>
    <t>6G systems;Federated Learning;Artificial Intelligence;Reinforcement Learning;Automation;Edge Computing</t>
  </si>
  <si>
    <t>6G mobile communication;Industries;Automation;5G mobile communication;Machine vision;Standardization;Reinforcement learning</t>
  </si>
  <si>
    <t>A. Gartziandia; J. Ayerdi; A. Arrieta; S. Ali; T. Yue; A. Agirre; G. Sagardui; M. Arratibel</t>
  </si>
  <si>
    <t>Microservices for Continuous Deployment, Monitoring and Validation in Cyber-Physical Systems: an Industrial Case Study for Elevators Systems</t>
  </si>
  <si>
    <t>2021 IEEE 18th International Conference on Software Architecture Companion (ICSA-C)</t>
  </si>
  <si>
    <t>10.1109/ICSA-C52384.2021.00014</t>
  </si>
  <si>
    <t>Ikerlan; Mondragon University; Mondragon University; Simula Research Laboratory; Simula Research Laboratory; Ikerlan; Mondragon University; Orona</t>
  </si>
  <si>
    <t>Cyber-Physical Systems (CPSs) are systems that integrate digital cyber computations with physical processes. The software embedded in CPSs has a long life-cycle, requiring constant evolution to support new requirements, bug fixes, and deal with hardware obsolescence. To date, the development of software for CPSs is fragmented, which makes it extremely expensive. This could be substantially enhanced by tightly connecting the development and operation phases, as is done in other software engineering domains (e.g., web engineering through DevOps). Nevertheless, there are still complex issues that make it difficult to use DevOps techniques in the CPS domain, such as those related to hardware-software co-design. To pave the way towards DevOps in the CPS domain, in this paper we instantiate part of the reference architecture presented in the H2020 Adeptness project, which is based on microservices that allow for the continuous deployment, monitoring and validation of CPSs. To this end, we elaborate a systematic methodology that considers as input both domain expertise and a previously defined taxonomy for DevOps in the CPS domain. We obtain a generic microservice template that can be used in any kind of CPS. In addition, we instantiate this architecture in the context of an industrial case study from the elevation domain.</t>
  </si>
  <si>
    <t>978-1-6654-3910-7</t>
  </si>
  <si>
    <t>https://ieeexplore.ieee.org/stamp/stamp.jsp?arnumber=9425852</t>
  </si>
  <si>
    <t>Microservices;DevOps;Cyber-Physical Systems</t>
  </si>
  <si>
    <t>Systematics;Software architecture;Conferences;Taxonomy;Computer architecture;Cyber-physical systems;Software</t>
  </si>
  <si>
    <t>D. Huru; C. Leordeanu; E. Apostol; V. Cristea</t>
  </si>
  <si>
    <t>BigClue: Towards a generic IoT cross-domain data processing platform</t>
  </si>
  <si>
    <t>2018 IEEE 14th International Conference on Intelligent Computer Communication and Processing (ICCP)</t>
  </si>
  <si>
    <t>10.1109/ICCP.2018.8516597</t>
  </si>
  <si>
    <t>Faculty of Automatic Control and Computers, University Politehnica of Bucharest, Romania; Faculty of Automatic Control and Computers, University Politehnica of Bucharest, Romania; Faculty of Automatic Control and Computers, University Politehnica of Bucharest, Romania; Faculty of Automatic Control and Computers, University Politehnica of Bucharest, Romania</t>
  </si>
  <si>
    <t>Initially IoT systems have been built as isolated solutions for each problem domain. This has implied a lack of standardization and interoperability. The global IoT vision aims to integrate distinct problem domains into a unified network in order to offer enriched context and meaningful correlations. Connecting global platforms with multiple IoT sensor networks will imply increased data processing requirements. In this paper we first present the main technical challenges and non-functional requirements demanded by a cross-domain IoT data processing platform. We then propose a cloud based data processing architecture that integrates a collection of suitable frameworks from existing state of the art work. In the end we validate the proposal with a reference implementation.</t>
  </si>
  <si>
    <t>978-1-5386-8445-0</t>
  </si>
  <si>
    <t>https://ieeexplore.ieee.org/stamp/stamp.jsp?arnumber=8516597</t>
  </si>
  <si>
    <t>IoT;data processing;cross-domain platform;big data;cloud computing</t>
  </si>
  <si>
    <t>Real-time systems;Data processing;Cognition;Computer architecture;Monitoring;Cloud computing;Middleware</t>
  </si>
  <si>
    <t>M. Maksimoviƒá</t>
  </si>
  <si>
    <t>The role of Osmotic computing in Internet of Things</t>
  </si>
  <si>
    <t>2018 17th International Symposium INFOTEH-JAHORINA (INFOTEH)</t>
  </si>
  <si>
    <t>10.1109/INFOTEH.2018.8345538</t>
  </si>
  <si>
    <t>University of East Sarajevo, Faculty of Electrical Engineering, East Sarajevo, Bosnia and Herzegovina</t>
  </si>
  <si>
    <t>The evolution of the Internet of Things (IoT) considerably increases number, type and range of smart Internet-enabled devices that provide the connection of anyone, anywhere, anyhow, and anytime, therefore revolutionizing almost every aspect of our lives (e.g., education, healthcare, industry, transport, agriculture, etc.). The Internet-aware devices produce rapidly increased IoT data volumes what implies necessity for efficient execution of IoT data management tasks. Alongside well-known concepts of Cloud, Fog and Edge computing, a term Osmotic computing appears as a support for efficient execution of IoT services and applications across different computing infrastructures. This paper introduces basic principles of Osmotic computing and analyzes its significance in the IoT vision. Therefore, the main benefits as well as challenges for the Osmotic computing utilization in IoT have been discussed.</t>
  </si>
  <si>
    <t>978-1-5386-4907-7</t>
  </si>
  <si>
    <t>https://ieeexplore.ieee.org/stamp/stamp.jsp?arnumber=8345538</t>
  </si>
  <si>
    <t>Osmotic computing;Internet of Things (IoT);Cloud computing;Fog computing;Edge computing</t>
  </si>
  <si>
    <t>Cloud computing;Edge computing;Internet of Things;Task analysis;Servers;Resource management</t>
  </si>
  <si>
    <t>P. Kapsalis; G. Kormpakis; K. Alexakis; E. Karakolis; S. Mouzakitis; D. Askounis</t>
  </si>
  <si>
    <t>A Reasoning Engine Architecture for Building Energy Metadata Management</t>
  </si>
  <si>
    <t>10.1109/IISA56318.2022.9904419</t>
  </si>
  <si>
    <t>During the Buildings‚Äô lifecycle, massive amounts of data, that contain information related to their energy consumption, are generated. Towards the creation of smart building networks, this produced information must be intercepted and harmonized according to building ontologies and schemas. The pattern recognition from building metadata is based on inferencing and intelligent querying, that can be achieved with the utilization of graph and property databases that deploy and host building information. This paper presents a Reasoning Engine Architecture implemented in the context of the H2020 project called MATRYCS that persists building semantic information. It will be leveraged to support real life applications by improving the inference operations.</t>
  </si>
  <si>
    <t>https://ieeexplore.ieee.org/stamp/stamp.jsp?arnumber=9904419</t>
  </si>
  <si>
    <t>Inference analytics;building metadata management;semantic enrichment;reasoning engine;energy efficiency;intelligent querying;graph knowledge database</t>
  </si>
  <si>
    <t>Energy consumption;Smart buildings;Databases;Architecture;Semantics;Metadata;Ontologies</t>
  </si>
  <si>
    <t>U. Kushwaha; P. Gupta; S. Airen; M. Kuliha</t>
  </si>
  <si>
    <t>Analysis of CNN Model with Traditional Approach and Cloud AI based Approach</t>
  </si>
  <si>
    <t>2022 International Conference on Automation, Computing and Renewable Systems (ICACRS)</t>
  </si>
  <si>
    <t>10.1109/ICACRS55517.2022.10029179</t>
  </si>
  <si>
    <t>Department of Information Technology, Shri G.S. Institute of Technology and Science, Indore, M.P, India; Department of Information Technology, Shri G.S. Institute of Technology and Science, Indore, M.P, India; Department of Information Technology, Shri G.S. Institute of Technology and Science, Indore, M.P, India; Department of Information Technology, Shri G.S. Institute of Technology and Science, Indore, M.P, India</t>
  </si>
  <si>
    <t>A plethora of work has been done in the field of AI, including research and real-time applications; however, cloud computing and its technologies have amended Artificial Intelligence applications; cloud computing has aided a lot in deep learning, which is a subset of AI; with the use of cloud computing, the performance and improvement of data set and model, the time and resource consuming process has become much more facile. Making data sets suitable for model training is a time-consuming operation; hence, a transfer learning idea is proposed for simplification, but it must be concrete to the desired data set. The advancement of cloud AI and the usage of resources such as the GPU made it possible to train and evaluate CNN models in less time. This study compares the performance and feasibility of CPU-based local computers and GPU-based cloud platforms like Google colaboratory in terms of speed, power, and security.</t>
  </si>
  <si>
    <t>978-1-6654-6084-2</t>
  </si>
  <si>
    <t>https://ieeexplore.ieee.org/stamp/stamp.jsp?arnumber=10029179</t>
  </si>
  <si>
    <t>Artificial Intelligence (AI);Transfer Learning;Convolution Neural Network (CNN);Data augmentation;Cloud AI</t>
  </si>
  <si>
    <t>Training;Cloud computing;Renewable energy sources;Computational modeling;Neural networks;Transfer learning;Data models</t>
  </si>
  <si>
    <t>H. Le; N. Achir; K. Boussetta</t>
  </si>
  <si>
    <t>Fog Services Provider Architecture for IoT</t>
  </si>
  <si>
    <t>2020 11th International Conference on Network of the Future (NoF)</t>
  </si>
  <si>
    <t>10.1109/NoF50125.2020.9249177</t>
  </si>
  <si>
    <t>L2TI, Universit√© Sorbonne Paris Nord, Villetaneuse, France; L2TI, Universit√© Sorbonne Paris Nord, Villetaneuse, France; L2TI, Universit√© Sorbonne Paris Nord, Villetaneuse, France</t>
  </si>
  <si>
    <t>The prominence of Internet of Things (IoT) devices is characterized by a wide diversity of network access technologies, including Wi-Fi, Cellular, Lo-Ra, ZigBee, or Bluetooth. Dealing with such heterogeneity is still very challenging. Current cloud computing solutions can sustain a considerable amount of diverse data that are generated by geographically spread IoT devices. However, this task is quite challenging for time-sensitive services. Moreover, IoT heterogeneous devices are always managed by different application systems, and there are no unified storage and management solutions for information on IoT devices. In this paper, we propose a microservice architecture based on Fog computing paradigm named Fog services Provider (FSP) for IoT devices to perceive and flexibly manage heterogeneous devices in ubiquitous environments. A novel aspect of this service architecture is to build a general data model to describe and store data of IoT heterogeneous devices based on Semantic Web technologies. Besides, we also propose a data converting algorithm from relational databases to a unified format, and demonstrates procedures with effective management to register and access those devices into FSP architecture.</t>
  </si>
  <si>
    <t>978-1-7281-8055-7</t>
  </si>
  <si>
    <t>https://ieeexplore.ieee.org/stamp/stamp.jsp?arnumber=9249177</t>
  </si>
  <si>
    <t>Fog computing;device management;heterogeneity;distributed management;Internet of Things;Semantic Web;Interoperability</t>
  </si>
  <si>
    <t>Semantic Web;Zigbee;Computer architecture;Data models;Service-oriented architecture;Internet of Things;Edge computing</t>
  </si>
  <si>
    <t>L. Hasimi; A. Poniszewska-Mara≈Ñda; T. Krym</t>
  </si>
  <si>
    <t>Smart City Concept Using BI/BO Model for the Ticket System in Urban Transport</t>
  </si>
  <si>
    <t>2021 International Conference on Software, Telecommunications and Computer Networks (SoftCOM)</t>
  </si>
  <si>
    <t>10.23919/SoftCOM52868.2021.9559116</t>
  </si>
  <si>
    <t>Institute of Information Technology, Lodz University of Technology, Lodz, Poland; Institute of Information Technology, Lodz University of Technology, Lodz, Poland; Institute of Information Technology, Lodz University of Technology, Poland, Lodz, Poland</t>
  </si>
  <si>
    <t>Current ways of paying the fare in public transport systems are slowly getting outdated. They are seen as uneconomical and environmentally unfriendly. There is significant market demand to make them effortless and more convenient for passengers. One of the approaches to solving this problem is Be In/Be Out (BIBO) system that ensures making public transport payment contactless, without the demand of any action from the passenger. This research addresses the approach on making a prototype of the BIBO application working in the environment of the public transport system located in Lodz, Poland. The system is based on wireless connection with the use of the Bluetooth Low Energy modules located on passengers‚Äô mobile devices and beacons installed in public transport vehicles. Entering the vehicle automatically starts a charge of fare from the passenger‚Äôs digital wallet while leaving the vehicle stops this process and finishes the transaction.</t>
  </si>
  <si>
    <t>978-953-290-109-2</t>
  </si>
  <si>
    <t>https://ieeexplore.ieee.org/stamp/stamp.jsp?arnumber=9559116</t>
  </si>
  <si>
    <t>Beacon technology;Bluetooth Low Energy;mobile ticketing in public transport;Smart City</t>
  </si>
  <si>
    <t>Wireless communication;Bluetooth;Web services;Smart cities;Prototypes;Hardware;User experience</t>
  </si>
  <si>
    <t>G. Ouffou√©; F. Za√Ødi; A. R. Cavalli; M. Lallali</t>
  </si>
  <si>
    <t>How Web Services Can Be Tolerant to Intruders through Diversification</t>
  </si>
  <si>
    <t>10.1109/ICWS.2017.50</t>
  </si>
  <si>
    <t>LRI, Universit√© Paris-Saclay, Orsav, France; LRI, Universit√© Paris-Saclay, Orsav, France; Montimage, Paris; UMR 6285, Lab-STICC, Brest</t>
  </si>
  <si>
    <t>The efforts and findings of the last decades of research on the formalization and the verification of Web services have given a certain level of assurance on Web services. However new challenges such as high availability and security issues are not fully addressed. In fact, Web services are exposed to attacks that appear continuously. These issues have naturally paved the way to a new research topic that aims at providing new techniques for making Web services attack tolerant. In this paper, we present a state of the art of attack tolerance, especially for Web services. We also present our approach to address such issues through a combination of techniques leveraging in particular diversification. The paper ends with our promising results and a discussion to highlight the perspectives and research direction.</t>
  </si>
  <si>
    <t>https://ieeexplore.ieee.org/stamp/stamp.jsp?arnumber=8029792</t>
  </si>
  <si>
    <t>Attack tolerance;Monitoring;Web services;Software diversity;Adaptation;Software Engineering</t>
  </si>
  <si>
    <t>Computer architecture;Quality of service;Cloud computing;Security;Companies</t>
  </si>
  <si>
    <t>J. Amin; P. Ruthiraphong</t>
  </si>
  <si>
    <t>Cloud-based Gait Analysis Using a Single IMU for Parkinson Disease</t>
  </si>
  <si>
    <t>2021 18th International Conference on Electrical Engineering/Electronics, Computer, Telecommunications and Information Technology (ECTI-CON)</t>
  </si>
  <si>
    <t>10.1109/ECTI-CON51831.2021.9454716</t>
  </si>
  <si>
    <t>Department of Biomedical Engineering, Faculty of Engineering Mahidol University, Nakhon Pathom, Thailand; Department of Rehabilitation Medicine, Faculty of Medicine Ramathibodi Hospital Mahidol University, Bangkok, Thailand</t>
  </si>
  <si>
    <t>Freezing of gait (FOG) is one of the most common disabling symptoms in Parkinson disease (PD), causing a high risk of falling and lost life quality. There is no curative treatment due to a lack of understanding of the pathophysiology. Early detection with a proper customized rehabilitation program can slow the disease‚Äôs progression and extend their independent living. Furthermore, the objective and real-time monitoring of gait patterns is also important as it can be used to adjust treatment programs and follow up the clinical progress effectively. However, the assessment nowadays is typically depending on a subjective FOQ questionnaire. This paper proposes a low-cost wearable IMU sensor that integrates cloud computing technology to monitor and assess PD patients‚Äô gait. The device uses a single IMU sensor, which combines a 3-axis gyroscope and a 3-axis accelerometer, to record dynamic acceleration and perform gravity compensation. The preliminary results from 14 patients show that the proposed device can display freezing episodes and variability or decreased acceleration correlated with falling risk. Moreover, the proposed cloud platform can be applied to other telehealth services.</t>
  </si>
  <si>
    <t>978-1-6654-0382-5</t>
  </si>
  <si>
    <t>https://ieeexplore.ieee.org/stamp/stamp.jsp?arnumber=9454716</t>
  </si>
  <si>
    <t>Gait analysis;freezing of gait;Parkinson disease;IMU sensor;cloud computing;telehealth</t>
  </si>
  <si>
    <t>Legged locomotion;Cloud computing;Telemedicine;Turning;Real-time systems;Personal digital devices;Wearable devices</t>
  </si>
  <si>
    <t>S. P. Kovalyov; A. A. Nebera</t>
  </si>
  <si>
    <t>A Platform-Based Approach to Implementation of Future Smart Distributed Energy Control Systems</t>
  </si>
  <si>
    <t>2020 2nd International Conference on Control Systems, Mathematical Modeling, Automation and Energy Efficiency (SUMMA)</t>
  </si>
  <si>
    <t>10.1109/SUMMA50634.2020.9280709</t>
  </si>
  <si>
    <t>V. A. Trapeznikov Institute of Control Sciences of Russian Academy of Sciences, Moscow, Russia; JSC RTSoft, Moscow, Russia</t>
  </si>
  <si>
    <t>Smart distributed energy is a combination of advanced power supply and information technologies that enable reliable and efficient management of circuit segments with distributed energy sources, electric energy storage systems, and controlled load. Smooth operation of such segments requires high level of unification and automation for such procedures as information exchange between participants of management cycles, optimal operation planning for equipment included into physical or virtual groups, clearing of financial transactions, etc. In order to meet such requirements with minimal time and labor, it is proposed to compose and operate applied control systems within the framework of a digital platform. The platform architecture is presented based upon reusable functional microservices, viz. small, loosely connected, and easily modifiable components with an open application program interface, that interact in a unified information environment. Applications that automate various business functions of smart distributed energy control are composed from calls to microservices, adapters of interaction with external systems, and graphical user interface. Algorithms are presented as part of the platform's mathematical means, for automatic modeling and analyzing electrical modes, forecasting load/generation and external technical and economic factors, and solving optimization control problems. Procedures for composing and operating digital twins of smart distributed energy objects over the platform's data bases and streams are described.</t>
  </si>
  <si>
    <t>978-1-7281-8840-9</t>
  </si>
  <si>
    <t>https://ieeexplore.ieee.org/stamp/stamp.jsp?arnumber=9280709</t>
  </si>
  <si>
    <t>smart distributed energy;digital platform;load and generation forecast;optimal equipment operation planning</t>
  </si>
  <si>
    <t>Automation;Virtual groups;Predictive models;Control systems;Stability analysis;Planning;Mathematical model</t>
  </si>
  <si>
    <t>A. S. Bushehri; S. Keivanpour; M. Azam; G. Nicolescu</t>
  </si>
  <si>
    <t>Anomalous energy detection for resource-constrained embedded systems using tracing data analysis</t>
  </si>
  <si>
    <t>2021 International Conference on Electrical, Computer and Energy Technologies (ICECET)</t>
  </si>
  <si>
    <t>10.1109/ICECET52533.2021.9698794</t>
  </si>
  <si>
    <t>Industrial Engineering, √âcole Polytechnique de Montr√©al, Montreal, Canada; Industrial Engineering, Ecole Polytechnique de Montr√©al, Montreal, Canada; CIISE, Concordia University, Montreal, Canada; Computer and Software Engineering, Ecole Polytechnique de Montr√©al, Montreal, Canada</t>
  </si>
  <si>
    <t>Since the multi-sensor embedded systems are spread all over the urban and suburban areas, there should be a real-time performance analysis framework to monitor the energy consumption of sensors and services. To this end, applying artificial intelligence to model the behavior can play a key role in improving operational efficiency and over-consumption detection. Most of the energy over-consumption detection approaches make use of external devices such as smart plugs or designed for smart buildings rather than computing devices. Through this paper, a new architecture is proposed in which we extract real-time execution traces after identifying the suspicious running applications using the dynamic binary instrumentation technique. The output of this step is fed to a data analytic framework to detect any behavioral anomalies such as over-threshold energy consumption. Finally, depending on the decision made by the anomaly detection step, some sensors might be switched to the standby mode in order to meet the essential expectations for other sensors or services. Since we have a resource-constrained embedded system and a real-time decision-making constraint on sensor control, the amount of computation that could be done in real-time varies a lot. Accordingly, the desired performance may dictate how, when, and where the processing operations might occur (on the embedded system or on a remote server). This work is mainly focused on anomaly detection operations using tracing data analysis. The experimental results show that the over-consumption detection model achieves a high level of accuracy metrics for classifying abnormal consumption behavior.</t>
  </si>
  <si>
    <t>978-1-6654-4231-2</t>
  </si>
  <si>
    <t>https://ieeexplore.ieee.org/stamp/stamp.jsp?arnumber=9698794</t>
  </si>
  <si>
    <t>Anomaly Detection;Dynamic Binary Instrumentation (DBI);Tracing;Power Consumption;Energy Consumption;System Call</t>
  </si>
  <si>
    <t>Energy consumption;Embedded systems;Data analysis;Smart buildings;Instruments;Computational modeling;Switches;Real-time systems;Sensor systems;Anomaly detection</t>
  </si>
  <si>
    <t>V. Moysiadis; K. Tsakos; P. Sarigiannidis; E. G. M. Petrakis; A. D. Boursianis; S. K. Goudos</t>
  </si>
  <si>
    <t>A Cloud Computing web-based application for Smart Farming based on microservices architecture</t>
  </si>
  <si>
    <t>2022 11th International Conference on Modern Circuits and Systems Technologies (MOCAST)</t>
  </si>
  <si>
    <t>10.1109/MOCAST54814.2022.9837727</t>
  </si>
  <si>
    <t>Dept. of Electrical and Computer Engineering, University of Western Macedonia, Kozani, Greece; Intelligent Systems Laboratory School of Electrical and Computer Engineering, Technical University of Crete, Chania, Greece; Dept. of Electrical and Computer Engineering, University of Western Macedonia, Kozani, Greece; Intelligent Systems Laboratory School of Electrical and Computer Engineering, Technical University of Crete, Chania, Greece; Department of Physics, Aristotle University of Thessaloniki, Thessaloniki, Greece; Department of Physics, Aristotle University of Thessaloniki, Thessaloniki, Greece</t>
  </si>
  <si>
    <t>The agriculture sector is envisioning a revolution of traditional farming supported by Information and Communications Technologies (ICT) and Cloud Computing is one of them. This tendency is called Smart Farming and promises to boost productivity while reducing production costs and chemical inputs. Cloud Computing aims to provide the necessary resources and the central orchestration of all devices involved in a Smart Farming scenario. To achieve high scalability, usability and performance in Cloud-based applications, we have to move from a monolithic development approach to microservices architecture using cutting edge technologies like containerisation. This paper presents a Smart Farming application based on Cloud Computing that promises to provide useful information to agronomists and farmers to support their decisions based on measurements from ground sensors and images captured from UAVs or ground cameras. Our implementation is based on microservices architecture using Docker Containers as the virtualisation technology. Each microservice runs on a different container and communicates through a RESTful API interface. The proposed architecture is highly scalable in future upgrades and promises high performance and security.</t>
  </si>
  <si>
    <t>978-1-6654-6717-9</t>
  </si>
  <si>
    <t>https://ieeexplore.ieee.org/stamp/stamp.jsp?arnumber=9837727</t>
  </si>
  <si>
    <t>Smart Farming;Cloud Computing;Microservices;Containerisation</t>
  </si>
  <si>
    <t>Smart agriculture;Productivity;Cloud computing;Machine learning algorithms;Scalability;Microservice architectures;Computer architecture</t>
  </si>
  <si>
    <t>S. Jin; B. Sun; Y. Zhou; H. Han; Q. Li; C. Xu; X. Jin</t>
  </si>
  <si>
    <t>Video Sensor Security System in IoT Based on Edge Computing</t>
  </si>
  <si>
    <t>2020 International Conference on Wireless Communications and Signal Processing (WCSP)</t>
  </si>
  <si>
    <t>2472-7628</t>
  </si>
  <si>
    <t>10.1109/WCSP49889.2020.9299709</t>
  </si>
  <si>
    <t>College of Information &amp; Electronic Engineering, Zhejiang University Zhejiang City University, Hangzhou, China; College of Information Science &amp; Electronic Engineering, Zhejiang University Zhejiang City University, Hangzhou, China; College of Information Science &amp; Electronic Engineering, Zhejiang University Zhejiang City University, Hangzhou, China; College of Information &amp; Electronic Engineering, Zhejiang University Zhejiang City University, Hangzhou, China; College of Information &amp; Electronic Engineering, Zhejiang University Zhejiang City University, Hangzhou, China; Hangzhou PAX Electronic Technology Co., Ltd, Hangzhou, China; College of Information Science &amp; Electronic Engineering, Zhejiang University Zhejiang City University, Hangzhou, China</t>
  </si>
  <si>
    <t>Security is the most urgent problem in big data of video sensor networks. A security protection system is designed to promote the security and privacy of big data in edge computing called video sensor security system. In the system, an intrusion detection model based on deep neural network is proposed and implemented to monitor the traffic as a passive defense of the sensing layer on edge computing platform EdgeX Foundry. Camera pattern noise is used as a credential for authentication as the active defense of the sensing layer. The camera will not access the edge network until passing intrusion detection model verification and authentication which ensures that unauthorized users will not be accessed to EdgeX Foundry. In the double security protection, this security protection system has been proved to have good performance and high security.</t>
  </si>
  <si>
    <t>978-1-7281-7236-1</t>
  </si>
  <si>
    <t>https://ieeexplore.ieee.org/stamp/stamp.jsp?arnumber=9299709</t>
  </si>
  <si>
    <t>edge computing;deep neural network;intrusion detection system;pattern noise;video IoT</t>
  </si>
  <si>
    <t>Security;Image edge detection;Edge computing;Foundries;Intrusion detection;Cameras;Logic gates</t>
  </si>
  <si>
    <t>B. Warnke; Y. C. Sehgelmeble; J. Mantler; S. Groppe; S. Fischer</t>
  </si>
  <si>
    <t>SIMORA: SIMulating Open Routing protocols for Application interoperability on edge devices</t>
  </si>
  <si>
    <t>10.1109/ICFEC54809.2022.00013</t>
  </si>
  <si>
    <t>IFIS, University of L√ºbeck, L√ºbeck, Germany; ITM, University of L√ºbeck, L√ºbeck, Germany; IFIS, University of L√ºbeck, L√ºbeck, Germany; IFIS, University of L√ºbeck, L√ºbeck, Germany; ITM, University of L√ºbeck, L√ºbeck, Germany</t>
  </si>
  <si>
    <t>In low-power networks, sending data over the network is one of the largest energy consumers. Therefore, any application running in such an environment must reduce the volume of communication caused by their presence. All the state of the art network simulators focus on specific parts of the network stack. Due to this specialization, the application interface is simplified in a way, that often only fictive and abstract applications can be simulated. However, we want to gain insights about the interoperability between routing and real application for the purpose of reducing communication costs. For this purpose, we propose our new simulator SIMORA in this contribution. In order to demonstrate the possibilities of SIMORA, we deploy a simple distributed application. Then, we develop advanced techniques like the dynamic content multicast to reduce the number of messages and the volume of data sent. In our experiments, we achieve reductions of up to 94% in number of messages and 29% in bytes transferred over the network compared to the traditional multicast approach.</t>
  </si>
  <si>
    <t xml:space="preserve">Deutsche Forschungsgemeinschaft; </t>
  </si>
  <si>
    <t>https://ieeexplore.ieee.org/stamp/stamp.jsp?arnumber=9799165</t>
  </si>
  <si>
    <t>Simulator;Multicast;Multi Hop Network Topology;Application-Simulation</t>
  </si>
  <si>
    <t>Costs;Conferences;Routing;Routing protocols;Interoperability;Edge computing</t>
  </si>
  <si>
    <t>W. Zhang; Y. Ming; G. Li</t>
  </si>
  <si>
    <t>Research on Application of Computer Big Data and Mobile Communication Technology in Intelligent Nursing Service Platform</t>
  </si>
  <si>
    <t>2022 IEEE International Conference on Electrical Engineering, Big Data and Algorithms (EEBDA)</t>
  </si>
  <si>
    <t>10.1109/EEBDA53927.2022.9744729</t>
  </si>
  <si>
    <t>Nusring School, Qiqihar Medicail University, Qiqihar, China; Pathology School, Qiqihar Medicail University, Qiqihar, China; Nusring School, Qiqihar Medicail University, Qiqihar, China</t>
  </si>
  <si>
    <t>The current Chinese medical and health information system has developed into the ‚Äúpeople-oriented‚Äù regional medical information field. The traditional medical industry is facing increasing pressure. The existing medical environment inevitably produces many health needs that cannot meet the health needs of the Chinese people. Mobile health system refers to the provision of health service information through the use of mobile communication technologies, such as mobile phones, PDAs or satellite communications. In the field of mobile Internet, medical and health applications based on mobile terminal systems such as Android, iOS and Windows Phone are the mainstay. This paper designs a smart outpatient nursing service platform based on Java Web technology, and verifies the feasibility of the system through system construction and actual testing.</t>
  </si>
  <si>
    <t>978-1-6654-1606-1</t>
  </si>
  <si>
    <t>https://ieeexplore.ieee.org/stamp/stamp.jsp?arnumber=9744729</t>
  </si>
  <si>
    <t>computer;big data;smart clinic;nursing service platform</t>
  </si>
  <si>
    <t>Cloud computing;Java;Big Data;Mobile communication;Market research;Windows;Smart phones</t>
  </si>
  <si>
    <t>V. Mak-Hau; A. Henkel; M. Abdelrazek; S. Rajasegarar; A. Anwar; A. Fletcher</t>
  </si>
  <si>
    <t>DŒºDT: the Deakin University Microgrid Digital Twin</t>
  </si>
  <si>
    <t>2022 IEEE PES 14th Asia-Pacific Power and Energy Engineering Conference (APPEEC)</t>
  </si>
  <si>
    <t>10.1109/APPEEC53445.2022.10072197</t>
  </si>
  <si>
    <t>School of Information Technology, Deakin University, Geelong, Australia; ARC Research Hub, IFM, Deakin University, Geelong, Australia; School of Information Technology, Deakin University, Geelong, Australia; School of Information Technology, Deakin University, Geelong, Australia; School of Information Technology, Deakin University, Geelong, Australia; Hycel Office of DVC Research, Deakin University, Geelong, Australia</t>
  </si>
  <si>
    <t>In 2021, the largest solar farm and renewable energy microgrid to date at an Australian university commenced operation. Located at the Waurn Ponds campus of Deakin University, the microgrid will be a key enabler for the University to achieve its carbon neutrality and 100% renewable electricity targets by 2025. The 14-hectare solar farm is capable of producing up to 7.25MW power which translates to 54% of the electricity demand of the campus. To enable real time system monitoring, data analysis, power output prediction, and simulation of the microgrid for answering what-if questions, a digital twin was developed in-house. In this paper, we present the Deakin Microgrid Digital Twin $(\mathbf{D}\mu \mathbf{DT})$ with a focus on the health monitoring functionalities (essentially a microgrid assessment tool), including: efficiency monitoring, alarm analytics, and Artificial Intelligence (AI)-driven anomaly detection. The design of the digital twin is general in nature, with software, machine learning and visualisation components designed to make it possible for utility extensions beyond the Microgrid application.</t>
  </si>
  <si>
    <t>978-1-6654-6738-4</t>
  </si>
  <si>
    <t>https://ieeexplore.ieee.org/stamp/stamp.jsp?arnumber=10072197</t>
  </si>
  <si>
    <t>microgrid;digital twin;data visualisation;data analytics</t>
  </si>
  <si>
    <t>Renewable energy sources;Data analysis;Microgrids;Machine learning;Predictive models;Software;Real-time systems</t>
  </si>
  <si>
    <t>M. F. Murk; N. Zahid; A. H. Sodhro; B. Zahid</t>
  </si>
  <si>
    <t>Decentralized Smart Grid System:A Survey On Machine Learning-Based Intrusion Detection Approaches</t>
  </si>
  <si>
    <t>2022 IEEE 96th Vehicular Technology Conference (VTC2022-Fall)</t>
  </si>
  <si>
    <t>10.1109/VTC2022-Fall57202.2022.10012710</t>
  </si>
  <si>
    <t>Department of Management Sciences &amp; Technology, The Begum Nusrat Bhutto Women University, Sukkur, Pakistan; Office of Research, Innovation and Commercialization (ORIC), The University of Faisalabad, Faisalabad, Pakistan; Department of Computer Science, National University of Computer and Emerging Sciences, Islamabad, Pakistan; Department of Computer Science, Kristianstad University, Kristianstad</t>
  </si>
  <si>
    <t>Smart grid is a two-way communication technology power system that sends information between the control server and consumer. It consists of different IoTs connected to a smart meter, creating a network known as the HAN home area network, and collections of these smart meters form a NAN neighbor area network. This data has been transferred to a WAN-wide area network, where the control server will share and analyze the information. The information shared in all layers has been secured in order to maintain this infrastructure. Traditional systems like firewalls‚Äô general cryptographic techniques can detect anomalies for known attacks, but they sometimes fail to provide efficient security for unknown or real-time attacks. There should be a complete framework to detect real-time intruders and attacks. Here, NIDS using machine learning approach has been discussed in this survey report. Most ML techniques are able to detect real-time attacks with less time overhead and higher accuracy. On the basis of accuracy, detection rate, and F1 score, ten different types of datasets were evaluated and analyzed.</t>
  </si>
  <si>
    <t>978-1-6654-5468-1</t>
  </si>
  <si>
    <t>https://ieeexplore.ieee.org/stamp/stamp.jsp?arnumber=10012710</t>
  </si>
  <si>
    <t>NIDS;Smart Grids;Smart Meters</t>
  </si>
  <si>
    <t>Training;Meters;Vehicular and wireless technologies;Machine learning;Real-time systems;Smart meters;Smart grids</t>
  </si>
  <si>
    <t>N. A. Kulatunga; D. J. B. S. Sampaio</t>
  </si>
  <si>
    <t>IoT Platforms and Hardware Integrations for Industry 4.0 Applications</t>
  </si>
  <si>
    <t>2019 14th Conference on Industrial and Information Systems (ICIIS)</t>
  </si>
  <si>
    <t>2164-7011</t>
  </si>
  <si>
    <t>10.1109/ICIIS47346.2019.9063256</t>
  </si>
  <si>
    <t>Department of Engineering Technology, Purdue University Northwest, Hammond, Indiana, USA; Department of Electrical Engineering, Sao Paulo State University (UNESP), Guaratinguet√°, Brazil</t>
  </si>
  <si>
    <t>The concept of Industry 4.0 (I4.0) or the 4th Industrial Revolution, formulated in Germany, now spreading through the world, challenges the existing manufacturing industry to adopt new standards to increase productivity and save resources through the Internet of Thing (IoT) platforms. Adaptation of I4.0 has been sluggish due to lack of training and skill. Engineers and technicians need new skills, related hardware and software solutions to transform Industry 3.0 (I3.0) manufacturing facilities to I4.0 facility. Machines in I4.0 factory are cyber-physical systems with capabilities to make their own decisions based on data collected via cloud-based IoT platforms. These platforms consist of data subscribers and publishers and are analyzed through machine learning algorithms. This paper describes available technologies to implement I4.0 in a manufacturing facility, using Energy Management 4.0 as an example. The smart factory must reach a certain maturity related energy management. The technology presented in this paper helps to achieve some maturity level without spending high initial investments. These technologies are also applicable to realize economic savings in other aspects of I4.0.</t>
  </si>
  <si>
    <t>978-1-7281-3706-3</t>
  </si>
  <si>
    <t>https://ieeexplore.ieee.org/stamp/stamp.jsp?arnumber=9063256</t>
  </si>
  <si>
    <t>Industry 4.0;Internet of Things</t>
  </si>
  <si>
    <t>J. Georgiou; M. Symeonides; M. Kasioulis; D. Trihinas; G. Pallis; M. D. Dikaiakos</t>
  </si>
  <si>
    <t>BenchPilot: Repeatable &amp; Reproducible Benchmarking for Edge Micro-DCs</t>
  </si>
  <si>
    <t>2022 IEEE Symposium on Computers and Communications (ISCC)</t>
  </si>
  <si>
    <t>10.1109/ISCC55528.2022.9912882</t>
  </si>
  <si>
    <t>Department of Computer Science, University of Cyprus; Department of Computer Science, University of Cyprus; Department of Computer Science, University of Cyprus; Department of Computer Science, University of Nicosia; Department of Computer Science, University of Cyprus; Department of Computer Science, University of Cyprus</t>
  </si>
  <si>
    <t>Micro-Datacenters (DCs) are emerging as key en-ablers for Edge computing and 5G mobile networks by pro-viding processing power closer to IoT devices to extract timely analytic insights. However, the performance evaluation of data stream processing on micro-DCs is a daunting task due to difficulties raised by the time-consuming setup, configuration and heterogeneity of the underlying environment. To address these challenges, we introduce BenchPilot, a modular and highly customizable benchmarking framework for edge micro-DCs. BenchPilot provides a high-level declarative model for describing experiment testbeds and scenarios that automates the bench-marking process on Streaming Distributed Processing Engines (SDPEs). The latter enables users to focus on performance analysis instead of dealing with the complex and time-consuming setup. BenchPilot instantiates the underlying cluster, performs repeatable experimentation, and provides a unified monitoring stack in heterogeneous Micro-DCs. To highlight the usability of BenchPilot, we conduct experiments on two popular streaming engines, namely Apache Storm and Flink. Our experiments compare the engines based on performance, CPU utilization, energy consumption, temperature, and network I/O.</t>
  </si>
  <si>
    <t>978-1-6654-9792-3</t>
  </si>
  <si>
    <t>https://ieeexplore.ieee.org/stamp/stamp.jsp?arnumber=9912882</t>
  </si>
  <si>
    <t>Edge Computing;Internet of Things</t>
  </si>
  <si>
    <t>Energy consumption;Storms;Telecommunication traffic;Benchmark testing;Central Processing Unit;Servers;Usability</t>
  </si>
  <si>
    <t>A. Zafeiropoulos; E. Fotopoulou; A. Gonz√°lez-Vidal; A. Skarmeta</t>
  </si>
  <si>
    <t>Detaching the design, development and execution of big data analysis processes: A case study based on energy and behavioral analytics</t>
  </si>
  <si>
    <t>10.1109/GIOTS.2018.8534525</t>
  </si>
  <si>
    <t>Network Softwarization and Internet of Things Group Ubitech, Athens, Greece; Network Softwarization and Internet of Things Group Ubitech, Athens, Greece; Departamento de Ingenier√≠a de la Informaci√≥n y las Comunicaciones, Universidad de Murcia, Murcia, Spain; Departamento de Ingenier√≠a de la Informaci√≥n y las Comunicaciones, Universidad de Murcia, Murcia, Spain</t>
  </si>
  <si>
    <t>Numerous tools and approaches are evolving towards the support of data mining and analysis processes, focusing on part or the overall lifecycle of such processes. In parallel, penetration of data analytics tools in the market is continuously increasing, along with their adoption by various stakeholders, including data scientists, decision and policy makers and business analysts. However, given the wide diversity in the needs for realizing an analysis and the level of expertise of the various stakeholders, there is a need for design and implementation of analysis toolkits that can support part or the overall lifecycle of an analysis process, without imposing dependencies on the type of tool or technology to be used. In the current manuscript, an approach for detaching the design, development and execution of big data analysis processes is detailed, focusing on the realization of energy and behavioral analytics, targeted to supporting the increase of energy efficiency in smart buildings through behavioral change of the citizens. The overall architectural approach as well as the set of energy and behavioral analysis processes integrated are detailed.</t>
  </si>
  <si>
    <t>https://ieeexplore.ieee.org/stamp/stamp.jsp?arnumber=8534525</t>
  </si>
  <si>
    <t>Data analytics;Open APIs;energy analytics;behavioral analytics;OpenCPU</t>
  </si>
  <si>
    <t>Big Data;Data analysis;Tools;Entropy;Clustering algorithms;Stakeholders;Energy consumption</t>
  </si>
  <si>
    <t>T. -H. Wang; Y. -C. Chen; C. -M. Hsu; K. -S. Hsu; H. -C. Young</t>
  </si>
  <si>
    <t>Auto scaling of containerized ACSs for CPE management</t>
  </si>
  <si>
    <t>2016 18th Asia-Pacific Network Operations and Management Symposium (APNOMS)</t>
  </si>
  <si>
    <t>10.1109/APNOMS.2016.7737232</t>
  </si>
  <si>
    <t>Network Management Laboratory, Chunghwa Telecom Laboratories, Taoyuan, Taiwan; Department of Information Management, National Chi Nan University, Puli, Nantou, Taiwan; Network Management Laboratory, Chunghwa Telecom Laboratories, Taoyuan, Taiwan; Network Management Laboratory, Chunghwa Telecom Laboratories, Taoyuan, Taiwan; Network Management Laboratory, Chunghwa Telecom Laboratories, Taoyuan, Taiwan</t>
  </si>
  <si>
    <t>The increased popularity of over-the-top (OTT) services such as voice calls and text messaging popular has a great impact on the business of traditional telecom operations. It is important for a telecommunications company to maximize resource utilization so as to decrease OPEX/CAPEX (Operating Expense/Capital Expenditure). On the other hand, the deployment of a variety of digital services for broadband Internet access may complicate telecom operations. When more digital appliances, such as set-top boxes and IP cameras, are deployed at home, more configurations are required in both CPEs and POPs. CWMP is a management protocol between CPEs and auto configuration servers (ACSs) for remote management of those home network devices. It simplifies the service activation and configuration, and provides functionalities of diagnostics and monitoring. The scalability of ACS is an important issue as more CPEs and more configurations are needed, especially when a lot of Internet of Things (IoT) are widely adopted. This paper focuses on ACS containerization to deliver services quickly and to scale well. To dynamically control and manage the containerize ACS, we propose a middleware approach to support container management and to improve scalability horizontally based on designated policies.</t>
  </si>
  <si>
    <t>978-4-88552-304-5</t>
  </si>
  <si>
    <t>https://ieeexplore.ieee.org/stamp/stamp.jsp?arnumber=7737232</t>
  </si>
  <si>
    <t>Virtualization;Container;CWMP;TR-069</t>
  </si>
  <si>
    <t>Containers;Microprogramming;Computer architecture;Servers;Telecommunications;Virtualization;Resource management</t>
  </si>
  <si>
    <t>K. Halba; E. Griffor; A. Lbath; A. Dahbura</t>
  </si>
  <si>
    <t>A Framework for the Composition of IoT and CPS Capabilities</t>
  </si>
  <si>
    <t>2021 IEEE 45th Annual Computers, Software, and Applications Conference (COMPSAC)</t>
  </si>
  <si>
    <t>0730-3157</t>
  </si>
  <si>
    <t>10.1109/COMPSAC51774.2021.00176</t>
  </si>
  <si>
    <t>Grenoble Alpes University, Grenoble, France; National Institute of Standards and Technology, Gaithersburg, Maryland, USA; Grenoble Alpes University, Grenoble, France; Johns Hopkins University, Baltimore, Maryland, USA</t>
  </si>
  <si>
    <t>By 2030, over a half trillion devices will be connected to the internet. With so many devices providing a wide range of features, there is a need for a framework for innovation and reuse of Internet of Things (IoT) and Cyber-Physical Systems (CPS) capabilities. Such framework should facilitate the composition of capabilities and provide stakeholders means to reliably model and verify compositions. An IoT and CPS Composition Framework (ICCF) is proposed to achieve this goal. ICCF is based on the NIST CPS framework composition guidelines, intuitive composition semantics inspired from the mPlane protocol, and strong formal verification capabilities of the Temporal Logic of Actions (TLA) formal descriptors and tools. This paper demonstrates why such framework, semantics, and formal specification and verification components form a powerful and intuitive composition framework that satisfies different stakeholders concerns. To achieve this purpose, semantics and formal specification of the composition algebra were provided, a well-being composite capability within a smart building was specified, its prototype model in a formal verification tool was run, an analysis of the results of symbolic execution quantitatively and qualitatively was performed, and assessment of the trustworthiness of the composition was done. Lastly, implementation details were provided and proposed extensions to other domains such as smart transportation and smart health were discussed.</t>
  </si>
  <si>
    <t>978-1-6654-2463-9</t>
  </si>
  <si>
    <t>https://ieeexplore.ieee.org/stamp/stamp.jsp?arnumber=9529560</t>
  </si>
  <si>
    <t>Framework;IoT;CPS;ICCF;Capability;Algebra;Composition;Trustworthiness</t>
  </si>
  <si>
    <t>Technological innovation;Semantics;Smart healthcare;Tools;Software;Smart transportation;Stakeholders</t>
  </si>
  <si>
    <t>S. Thorve; A. Vullikanti; S. Swarup; H. Mortveit; M. Marathe</t>
  </si>
  <si>
    <t>Modular and Extensible Pipelines for Residential Energy Demand Modeling and Simulation</t>
  </si>
  <si>
    <t>2022 Winter Simulation Conference (WSC)</t>
  </si>
  <si>
    <t>10.1109/WSC57314.2022.10015339</t>
  </si>
  <si>
    <t>Biocomplexity Institute, University of Virginia, Charlottesville, Virginia, USA; Biocomplexity Institute, University of Virginia, Charlottesville, Virginia, USA; Biocomplexity Institute, University of Virginia, Charlottesville, Virginia, USA; Biocomplexity Institute, University of Virginia, Charlottesville, Virginia, USA; Biocomplexity Institute, University of Virginia, Charlottesville, Virginia, USA</t>
  </si>
  <si>
    <t>The landscape of residential energy modeling is changing rapidly. With increase in the availability of data, ‚ÄòModeling &amp; Simulation‚Äô systems are becoming ubiquitous. However, reusing or extending these simulations is complicated due to sparse commonality in design and interoperability. One solution to this conundrum is developing modular and extensible pipelines. In this paper, we define a set of five pipelines inspired by microservices-oriented architecture. Four modular pipeline templates are defined, Data Processing Pipeline, Modeling and Simulation Pipeline, Validation Pipeline, Visual Analytics Pipeline; each encapsulating details of important tasks in modern-day complex systems. In addition, one custom pipeline is developed, for composing tasks that can be executed concurrently, called Parallelizable Pipeline. We instantiate this pipeline architecture for designing a synthetic energy demand modeling system. The value of the pipeline is demonstrated via three case studies ‚Äì two of these studies provide new insights into issues related to equity and climate change impact.</t>
  </si>
  <si>
    <t>978-1-6654-7661-4</t>
  </si>
  <si>
    <t xml:space="preserve">NSF(grant numbers:OAC-1916805); </t>
  </si>
  <si>
    <t>https://ieeexplore.ieee.org/stamp/stamp.jsp?arnumber=10015339</t>
  </si>
  <si>
    <t>Analytical models;Climate change;Visual analytics;Pipelines;Microservice architectures;Data processing;Data models</t>
  </si>
  <si>
    <t>M. -O. Pahl; S. Liebald</t>
  </si>
  <si>
    <t>Information-Centric IoT Middleware Overlay: VSL</t>
  </si>
  <si>
    <t>10.1109/NetSys.2019.8854515</t>
  </si>
  <si>
    <t>Technische Universit√§t M√ºnchen; Technische Universit√§t M√ºnchen</t>
  </si>
  <si>
    <t>The heart of the Internet of Things (IoT) is data. IoT services processes data from sensors that interface their physical surroundings, and from other software such as Internet weather databases. They produce data to control physical environments via actuators, and offer data to other services. More recently, service-centric designs for managing the IoT have been proposed. Data-centric or name-based communication architectures complement these developments very well. Especially for edge-based or site-local installations, data-centric Internet architectures can be implemented already today, as they do not require any changes at the core. We present the Virtual State Layer (VSL), a site-local data-centric architecture for the IoT. Special features of our solution are full separation of logic and data in IoT services, offering the data-centric VSL interface directly to developers, which significantly reduces the overall system complexity, explicit data modeling, a semantically-rich data item lookup, stream connections between services, and security-by-design. We evaluate our solution regarding usability, performance, scalability, resilience, energy efficiency, and security.</t>
  </si>
  <si>
    <t>https://ieeexplore.ieee.org/stamp/stamp.jsp?arnumber=8854515</t>
  </si>
  <si>
    <t>Internet of Things;middleware;data-centric;service-centric;name-based;information-centric</t>
  </si>
  <si>
    <t>Internet of Things;Object oriented modeling;Data models;Context modeling;Peer-to-peer computing;Computer architecture</t>
  </si>
  <si>
    <t>R. P. Niaky; P. V. Tahami</t>
  </si>
  <si>
    <t>Evaluation and Analysis of IoT-based Smart City Design Parameters</t>
  </si>
  <si>
    <t>2021 7th International Conference on Web Research (ICWR)</t>
  </si>
  <si>
    <t>10.1109/ICWR51868.2021.9443114</t>
  </si>
  <si>
    <t>Electrical &amp; Computer Engineering Faculty, University of Tabriz, Tabriz, Iran; Electrical &amp; Computer Engineering Faculty, University of Tabriz, Tabriz, Iran</t>
  </si>
  <si>
    <t>The smart city is a framework created primarily from information and communication technology to develop, expand, and promote sustainable development practices to address the growing challenges of urbanization. Smart city development is one of the most challenging issues in recent years. The smart city as new technology has attracted various sectors, including the economy and urban services. Smart cities as new technology have attracted the attention of various industry sectors, economy, transportation, urban services, and investment. One of the challenges facing smart city studies is that, after nearly a decade, a comprehensive evaluation plan for smart cities has not been presented. Through the studies, criteria have been provided to provide a suitable evaluation plan. In this article, evaluation strategies are presented. Also, the analysis of the most effective criteria for presenting a smart city plan using IoT technology and providing a comprehensive view of the smart city, the required security, and its efficient architecture is presented. With modern communications, the loss of costs and economic capital is prevented in the smart city, and human resources are used optimally. The smart city is complex systematic engineering. This requires planning, construction, management, and implementation and evaluation, optimization, and regulation to build a smart city in a forward-looking, logical, and effective way. The challenges ahead for smartening can be divided into categories that will be examined in detail. Finally, a general conclusion is presented from all studies that the only purpose of the intelligent industry is to improve living standards.</t>
  </si>
  <si>
    <t>978-1-6654-0426-6</t>
  </si>
  <si>
    <t>https://ieeexplore.ieee.org/stamp/stamp.jsp?arnumber=9443114</t>
  </si>
  <si>
    <t>Internet of Energy;Smart City;Smart Home</t>
  </si>
  <si>
    <t>Industries;Text mining;Systematics;Smart cities;Transportation;Computer architecture;Security</t>
  </si>
  <si>
    <t>A. Melis; S. Mirri; C. Prandi; M. Prandini; P. Salomoni</t>
  </si>
  <si>
    <t>A Microservice-Based Architecture for the Development of Accessible, Crowdsensing-Based Mobility Platforms</t>
  </si>
  <si>
    <t>2016 International Conference on Collaboration Technologies and Systems (CTS)</t>
  </si>
  <si>
    <t>10.1109/CTS.2016.0093</t>
  </si>
  <si>
    <t>Department of Electrical and Information Engineering, University of Bologna; Department of Computer Science and Engineering, University of Bologna; Department of Electrical and Information Engineering, University of Bologna; Department of Electrical and Information Engineering, University of Bologna; Department of Electrical and Information Engineering, University of Bologna</t>
  </si>
  <si>
    <t>Crowdsensing is a powerful approach to collaboratively build representations of specific aspects of reality which are of great interest for people with special needs. In this paper, we present an evolution of the classical, vertical approach to detect urban barriers and other features to later exploit this knowledge in accessible route planning. By exposing every single part of the process as a microservice, we achieve the ability to develop novel applications as orchestration of available components. Moreover, in the resulting platform, we leverage the possibility to share data between different applications in a controlled environment.</t>
  </si>
  <si>
    <t>978-1-5090-2300-4</t>
  </si>
  <si>
    <t>https://ieeexplore.ieee.org/stamp/stamp.jsp?arnumber=7871031</t>
  </si>
  <si>
    <t>smart city;accessible and smart mobility;crowd-sensing;crowdsourcing;service oriented architecture</t>
  </si>
  <si>
    <t>Sensors;Prototypes;Crowdsourcing;Context;Accelerometers;Smart cities</t>
  </si>
  <si>
    <t>Z. Li; B. Perez; S. A. Khan; B. Feldhaus; D. Zhao</t>
  </si>
  <si>
    <t>A New Design of Smart Plug for Real-time IoT Malware Detection</t>
  </si>
  <si>
    <t>2021 IEEE Microelectronics Design &amp; Test Symposium (MDTS)</t>
  </si>
  <si>
    <t>2573-7600</t>
  </si>
  <si>
    <t>10.1109/MDTS52103.2021.9476113</t>
  </si>
  <si>
    <t>Dept. of Computer Science, Old Dominion University; Dept. of Computer Science, Old Dominion University; Dept. of Computer Science, Old Dominion University; Dept. of Computer Science, Old Dominion University; Dept. of Computer Science, Old Dominion University</t>
  </si>
  <si>
    <t>While Internet of Things (IoT) services are becoming pervasive, the cyber-attacks against IoT devices are in a sharp rise as well. Tailored for IoT devices, a low-cost, universal and real-time malware detection system is proposed that audits the side-channel power consumption data and extracts the distinguishable power features to detect malicious behaviors. In this paper, a new design of smart plug which is a core component of the system is designed, developed and prototyped to enable real-time power data collection, preprocessing and streaming for IoT malware detection on the fly. Our results demonstrate the promising performance of the smart plug in achieving real-time power auditing and high accuracy malware detection.</t>
  </si>
  <si>
    <t>978-1-6654-2480-6</t>
  </si>
  <si>
    <t>https://ieeexplore.ieee.org/stamp/stamp.jsp?arnumber=9476113</t>
  </si>
  <si>
    <t>smart plug;power auditing;malware detection</t>
  </si>
  <si>
    <t>Power demand;Microcontrollers;Feature extraction;Universal Serial Bus;Real-time systems;Malware;Internet of Things</t>
  </si>
  <si>
    <t>Z. Long; B. Wen; X. Chen; J. Wu; J. Zhang</t>
  </si>
  <si>
    <t>Demand-side Ubiquitous Electric power Internet of Things: Architecture, Functionalities and Technologies</t>
  </si>
  <si>
    <t>2020 Chinese Control And Decision Conference (CCDC)</t>
  </si>
  <si>
    <t>1948-9447</t>
  </si>
  <si>
    <t>10.1109/CCDC49329.2020.9164391</t>
  </si>
  <si>
    <t>Guangdong Power Grid Corporation Information Center, Guangzhou, China; Guangdong Power Grid Corporation Information Center, Guangzhou, China; Guangdong Power Grid Corporation Information Center, Guangzhou, China; Guangdong Power Grid Corporation Information Center, Guangzhou, China; Guangdong Power Grid Corporation Information Center, Guangzhou, China</t>
  </si>
  <si>
    <t>The demand side management of power consumption is one of the most important components in fulfilling the promise of smart grid. In such context, the smart metering, monitoring and control terminals close to the customers effectively serve as the devices and components for the implementation of smart functionalities. Currently, to effectively support the operation of energy Internet system and services, the ubiquitous electric power Internet of Things (IoT) that forms a flexible electricity energy allocation and management platform is proposed and developed for promoting the development of integrated diverse energy services and new businesses. This paper presents the demand-side ubiquitous power Internet of Things architecture and key technologies as well as the requirements. In conclusion, the IoT enabled infrastructure can significantly improve the system performance in the future for power utilities.</t>
  </si>
  <si>
    <t>978-1-7281-5855-6</t>
  </si>
  <si>
    <t>https://ieeexplore.ieee.org/stamp/stamp.jsp?arnumber=9164391</t>
  </si>
  <si>
    <t>ubiquitous electric power Internet of Things;demand side management;edge computing;electric terminal;smart functionality;system security</t>
  </si>
  <si>
    <t>Internet of Things;Power systems;Meters;Computer architecture;Security;Maintenance engineering;Cloud computing</t>
  </si>
  <si>
    <t>A. Brito; C. Fetzer; S. K√∂psell; M. Pasin; P. Felber; K. Fonseca; M. Rosa; L. Gomes; R. Riella; C. Prado; L. F. R. da Costa Carmo; D. Lucani; M. Sipos; L. Nagy; M. Feh√©r</t>
  </si>
  <si>
    <t>Cloud Challenge: Secure End-to-End Processing of Smart Metering Data</t>
  </si>
  <si>
    <t>2018 IEEE/ACM International Conference on Utility and Cloud Computing Companion (UCC Companion)</t>
  </si>
  <si>
    <t>10.1109/UCC-Companion.2018.00031</t>
  </si>
  <si>
    <t>UFCG Campina Grande, Brazil; TU Dresden, Dresden, Germany; TU Dresden, Dresden, Germany; Imperial College London, London, United Kingdom; UNINE, Neuchatel, Switzerland; UNINE, Neuchatel, Switzerland; UTFPR, Curitiba, Brazil; UTFPR, Curitiba, Brazil; UTFPR, Curitiba, Brazil; LACTEC, Curitiba, Brazil; INMETRO, Rio de Janeiro, Brazil; INMETRO, Rio de Janeiro, Brazil; Chocolate Cloud ApS, Aalborg, Denmark; Chocolate Cloud ApS, Aalborg, Denmark; Chocolate Cloud ApS, Aalborg, Denmark</t>
  </si>
  <si>
    <t>Cloud computing considerably reduces the costs of deploying applications through on-demand, automated, and fine-granular allocation of resources. Even in private settings, cloud computing platforms enable agile and self-service management, which means that physical resources are shared more efficiently. Nevertheless, using shared infrastructures also creates more opportunities for attacks and data breaches. In this paper, we describe the SecureCloud approach. The SecureCloud project aims to enable confidentiality and integrity of data and applications running in potentially untrusted cloud environments. The project leverages technologies such as Intel SGX, OpenStack and Kubernetes to provide a cloud platform that supports secure applications. In addition, the project provides tools that help generating cloud-native, secure applications and services to be deployed on potentially untrusted clouds. The results have been validated in the smart grid scenario and enabled a data workflow that is protected end-to-end: from the collection of data to the generation of high-level information such as fraud alerts.</t>
  </si>
  <si>
    <t>978-1-7281-0359-4</t>
  </si>
  <si>
    <t>https://ieeexplore.ieee.org/stamp/stamp.jsp?arnumber=8605754</t>
  </si>
  <si>
    <t>cloud computing;trusted computing;security;privacy;trusted execution environment</t>
  </si>
  <si>
    <t>Cloud computing;Smart meters;Runtime;Python;Tools;Smart grids</t>
  </si>
  <si>
    <t>A. Arrieta; M. Otaegi; L. Han; G. Sagardui; S. Ali; M. Arratibel</t>
  </si>
  <si>
    <t>Automating Test Oracle Generation in DevOps for Industrial Elevators</t>
  </si>
  <si>
    <t>2022 IEEE International Conference on Software Analysis, Evolution and Reengineering (SANER)</t>
  </si>
  <si>
    <t>1534-5351</t>
  </si>
  <si>
    <t>10.1109/SANER53432.2022.00044</t>
  </si>
  <si>
    <t>Mondragon University; Mondragon University; Simula Research Laboratory; Mondragon University; Simula Research Laboratory; Orona</t>
  </si>
  <si>
    <t>Orona is a world-renowned elevators developer. During elevators' lives, their software continues to evolve, e.g., due to hardware obsolescence, requirements changes, vulnerabilities, and bug corrections. Such continuous evolution demands the continuous testing of industrial elevators with the minimum manual effort possible. To this end, we present a tool, whose core component is a domain-specific language (DSL) with which a user can specify test oracles at a higher level of abstraction and independent of a testing level. The DSL also supports specifying uncertainty-aware test oracles to test elevators under various uncertainties inherent in them. Finally, the DSL is also equipped with test oracle generation that generates test oracle code automatically at the different DevOps testing levels (i.e., Software and Hardware-in-the-Loop test levels, and in operation) to enable reuse of test oracles across these levels. We evaluated this DSL with an industrial elevators case study at Orona's site to specify and generate test oracles. The evaluation showed that the high expressiveness of the DSL permits the high-level definition of test oracles in our industrial context. Based on the industrial application, we discuss our experiences and lessons learned.</t>
  </si>
  <si>
    <t>978-1-6654-3786-8</t>
  </si>
  <si>
    <t>https://ieeexplore.ieee.org/stamp/stamp.jsp?arnumber=9825900</t>
  </si>
  <si>
    <t>Domain Specific Language;Test Oracle Gener-ation;Cyber-Physical Systems;Evolution</t>
  </si>
  <si>
    <t>Uncertainty;Conferences;Computer bugs;Manuals;Elevators;Software;Hardware</t>
  </si>
  <si>
    <t>Y. Xiong; D. Zhuo; S. Moon; M. Xie; I. Ackerman; Q. Hoole</t>
  </si>
  <si>
    <t>Amino - A Distributed Runtime for Applications Running Dynamically Across Device, Edge and Cloud</t>
  </si>
  <si>
    <t>2018 IEEE/ACM Symposium on Edge Computing (SEC)</t>
  </si>
  <si>
    <t>10.1109/SEC.2018.00046</t>
  </si>
  <si>
    <t>Seattle Cloud Lab, Huawei R&amp;D USA, Bellevue, WA; Seattle Cloud Lab, Huawei R&amp;D USA, Bellevue, WA; Seattle Cloud Lab, Huawei R&amp;D USA, Bellevue, WA; Seattle Cloud Lab, Huawei R&amp;D USA, Bellevue, WA; Seattle Cloud Lab, Huawei R&amp;D USA, Bellevue, WA; Seattle Cloud Lab, Huawei R&amp;D USA, Bellevue, WA</t>
  </si>
  <si>
    <t>This paper presents a framework and runtime system, Amino, for developing and executing distributed applications in highly dynamic computing environment consisting of cloud resources, edge nodes and/or devices such as phones and smart cameras. This work is based on Sapphire [1] - a general-purpose distributed programming platform. In Sapphire, application objects (called Sapphire Objects) run inside kernel servers (KS), and Kernel server instance runs on every device or cloud node. Between Kernel Server and an application object is a layer called Deployment Manager (DM). Inbound and outbound communications to/from Sapphire objects will be intercepted and processed by deployment manager. Each DM provides one specific distributed system capabilities, e.g. caching, resource leasing, replication, data partitioning etc. Programmers selectively choose DMs to manage Sapphire objects. As part of this work (Amino), we re-implemented and extended Sapphire platform to support the invocation of methods on objects written in multiple languages and to support attaching multiple DMs to a Sapphire object for increased distribution capabilities. Finally, in the work, we introduce a code offloading design for dynamically moving application objects between devices and cloud servers at runtime to optimize a user specified objective, e.g. to reduce latency or to save energy consumption.</t>
  </si>
  <si>
    <t>978-1-5386-9445-9</t>
  </si>
  <si>
    <t>https://ieeexplore.ieee.org/stamp/stamp.jsp?arnumber=8567691</t>
  </si>
  <si>
    <t>Edge Computing;Distributed Systems;Cloud Computing;Programming Framework</t>
  </si>
  <si>
    <t>Servers;Kernel;Runtime;Programming;Cloud computing;Java;Object oriented modeling</t>
  </si>
  <si>
    <t>S. -V. Oprea; A. B√¢ra; V. Diaconita; D. Preotescu; O. B. T√∂r</t>
  </si>
  <si>
    <t>Big Data solutions - data ingestion and stream processing for demand response management</t>
  </si>
  <si>
    <t>2019 23rd International Conference on System Theory, Control and Computing (ICSTCC)</t>
  </si>
  <si>
    <t>2372-1618</t>
  </si>
  <si>
    <t>10.1109/ICSTCC.2019.8885519</t>
  </si>
  <si>
    <t>Department of Economic Informatics and Cybernetics, Bucharest University of Economic Studies, Bucharest, Romania; Department of Economic Informatics and Cybernetics, Bucharest University of Economic Studies, Bucharest, Romania; Department of Economic Informatics and Cybernetics, Bucharest University of Economic Studies, Bucharest, Romania; Energy Romanian Centre, Bucharest, Romania; Engineering Procurement Research, Bucharest, Romania</t>
  </si>
  <si>
    <t>The electricity demand has become more and more active significantly contributing to the sustainable development of the power systems. In this era, the demand response or the electricity consumers' reaction needs to be quick. Thus, the data processing is relevant for many parties such as consumers, suppliers, grid and market operators. Multiple activities such as the consumption monitoring, appliances scheduling, integration of local micro-generation, implementation of the advanced tariff scheme, electric vehicles and storage devices management are various data sources that are continuously generated and requires Big Data technologies. In this paper, we investigate a pipeline solution (data ingestion and stream processing) for demand response management considering the progress of sensors and communication systems that generate a large volume of data.</t>
  </si>
  <si>
    <t>978-1-7281-0699-1</t>
  </si>
  <si>
    <t>https://ieeexplore.ieee.org/stamp/stamp.jsp?arnumber=8885519</t>
  </si>
  <si>
    <t>Demand response;Spark Streaming;Kafka</t>
  </si>
  <si>
    <t>Load management;Big Data;Sensors;Power systems;Demand side management;Economics;Wireless sensor networks</t>
  </si>
  <si>
    <t>A. El Malki; U. Zdun</t>
  </si>
  <si>
    <t>Evaluation of API Request Bundling and its Impact on Performance of Microservice Architectures</t>
  </si>
  <si>
    <t>10.1109/SCC53864.2021.00060</t>
  </si>
  <si>
    <t>Faculty of Computer Science, Research Group Software Architecture, University of Vienna, Austria; Faculty of Computer Science, Research Group Software Architecture, University of Vienna, Austria</t>
  </si>
  <si>
    <t>The widespread adoption of Microservice architectures has posed many challenges regarding API design for these architectures. Several API best practices and patterns have been proposed that could help API designers ensure API quality attributes such as reliability, availability, and performance. API Request Bundling, which is in focus of this paper, is one of those patterns that aims at optimizing performance. The pattern promises substantial performance gains, but can also lead to significant drawbacks such as increased development effort and application complexity. So far, there is little to no rigorously acquired knowledge to judge whether applying Request Bundling is worth the costs in a given Microservice architecture. To improve this situation, we performed an empirical study based on a Microservice-based open source business application using realistic workload scenarios. To estimate the performance impact of Request Bundling, we derived a regression model and performed a multivariate regression analysis. These selected regression models can help distributed system engineers and architects to estimate the gain in performance, in terms of round-trip time, with or without Request Bundling. Our approach followed in the paper, can be customized to other Microservice architectures or to study other performance-related Microservice patterns.</t>
  </si>
  <si>
    <t>https://ieeexplore.ieee.org/stamp/stamp.jsp?arnumber=9592439</t>
  </si>
  <si>
    <t>API Request Bundling;Modeling;Microservices;Cloud;Performance</t>
  </si>
  <si>
    <t>Costs;Conferences;Service computing;Computer architecture;Performance gain;Reliability engineering;Multivariate regression</t>
  </si>
  <si>
    <t>B. D. Cruz; J. Cheng; Z. Song; E. Tilevich</t>
  </si>
  <si>
    <t>Understanding the Potential of Edge-Based Participatory Sensing: an Experimental Study</t>
  </si>
  <si>
    <t>2020 IEEE 91st Vehicular Technology Conference (VTC2020-Spring)</t>
  </si>
  <si>
    <t>10.1109/VTC2020-Spring48590.2020.9129084</t>
  </si>
  <si>
    <t>Software Innovations Lab, Virginia Tech; Software Innovations Lab, Virginia Tech; Software Innovations Lab, Virginia Tech; Software Innovations Lab, Virginia Tech</t>
  </si>
  <si>
    <t>Participatory sensing uses both local devices for data collection and cloud-based servers for processing. However, transferring the collected data to the cloud can lead to draining device battery power and cause network bandwidth bottlenecks, especially for large multimedia files. In this paper, we investigate how the processing resources at the edge of the network can be leveraged to enable efficient participatory sensing that avoids heavy network traffic. In particular, we report on the experiences of designing, implementing, and evaluating a sensing system that constructs indoor maps by recognizing door signs. A distinguishing characteristic of our system is an almost exclusive use of edge-based processing for tasks that include ML-based image recognition, human-assisted data verification, data model retraining, and administrative data flow aggregation. Our evaluation shows that our system architecture effectively leverages the available edge resources, while greatly reducing network traffic. Based on our experiences of implementing and evaluating our system prototype, we identify several open research directions for further advancing edge-based participatory sensing.</t>
  </si>
  <si>
    <t>978-1-7281-5207-3</t>
  </si>
  <si>
    <t>https://ieeexplore.ieee.org/stamp/stamp.jsp?arnumber=9129084</t>
  </si>
  <si>
    <t>Sensors;Servers;Task analysis;Image recognition;Wireless fidelity;Mobile handsets;Systems architecture</t>
  </si>
  <si>
    <t>L. Salvan; A. Marois; M. Kopf; J. -F. Gagnon</t>
  </si>
  <si>
    <t>Sensors-Enabled Human State Monitoring System for Tactical Settings</t>
  </si>
  <si>
    <t>2022 IEEE Conference on Cognitive and Computational Aspects of Situation Management (CogSIMA)</t>
  </si>
  <si>
    <t>2379-1675</t>
  </si>
  <si>
    <t>10.1109/CogSIMA54611.2022.9903277</t>
  </si>
  <si>
    <t>Thales Research and Technology Canada, Qu√©bec, Canada; Thales Research and Technology Canada, Qu√©bec, Canada; Thales Research and Technology Canada, Qu√©bec, Canada; Thales Research and Technology Canada, Qu√©bec, Canada</t>
  </si>
  <si>
    <t>There is potential great value in turning physiological and behavioral data into actionable information in tactical environments. However, the design of an appropriate system in terms of measurement accuracy, wearing comfort and technical feasibility, for instance for forces training in realistic conditions, therefore requires addressing multiple scientific and technical challenges. The current paper focuses on work realized to address four challenges identified in recent efforts in the development of an integrated wearable system. These four challenges pertain to: 1) Data management; 2) Wearable sensors; 3) Algorithms and models; and 4) Human factors considerations. Components were developed and integrated to tackle each of the four challenges and the integrated system was tested on participants during field trials. The system referred to ‚ÄúReadiness Evaluation: QUantified INdividuals‚Äù (REQUIN), offers a dashboard to visualize in real time the various metrics collected and calculated by the system, including metrics derived from wearable sensors and models. Results of the field trials are discussed in regard with the four challenges addressed in the paper and recommendations for further research are presented, including using alternative sensing technologies for blood oxygenation measures and improving the models‚Äô specificity. This study represents a critical step in the integration of real-time sensing technologies for applications involving collective situation management and control.</t>
  </si>
  <si>
    <t>978-1-6654-8330-8</t>
  </si>
  <si>
    <t>https://ieeexplore.ieee.org/stamp/stamp.jsp?arnumber=9903277</t>
  </si>
  <si>
    <t>Biomonitoring;Wearable;Artificial Intelligence;Situation Visualization;Collaboration;Situation Management</t>
  </si>
  <si>
    <t>Crown</t>
  </si>
  <si>
    <t>Measurement;Training;Force measurement;Data visualization;Human factors;Turning;Real-time systems</t>
  </si>
  <si>
    <t>R. H. Cestari; S. Ducos; E. Exposito</t>
  </si>
  <si>
    <t>iPaaS in Agriculture 4.0: An Industrial Case</t>
  </si>
  <si>
    <t>10.1109/WETICE49692.2020.00018</t>
  </si>
  <si>
    <t>Universit√© de Pau et des Pays de l‚Äô Adour, Anglet, France; Universit√© de Pau et des Pays de l‚Äô Adour, Anglet, France; Universit√© de Pau et des Pays de l‚Äô Adour, Anglet, France</t>
  </si>
  <si>
    <t>Current automation approaches in the Industry 4.0 have generated increased interest in the utilization of Integration Platforms as a Service (iPaaS) cloud architectures in order to unify and synchronize several systems, applications, and services in order to build smart solutions for automated and adaptive industrial process management. Existing iPaaS solutions present several out-of-the-box connectors and automation engines for easier integration of customers' projects, but show issues regarding overall adaptation outside their scope, brand locking, and occasionally high prices. Moreover, existing platforms fail to respond adequately to the needs of deploying multiple decision models capable of offering automated or semi-automated management of processes, thanks to the integration of the large diversity of data and event sources as well as the different physical or logical action entities. With the popularization of open-source software and applications such as BPM Engines, Machine Learning libraries, and Integration suites and libraries, it is possible to develop a fully customizable and adaptable, open-source iPaaS that can be used both in and outside industrial applications. In this paper, we propose a generic iPaaS architecture implemented on the basis of several open source solutions boasting integration, interoperability, and automated decision-making capabilities in the domain of Agriculture 4.0. A proof-of-concept based on these solutions is presented, as well as a case study on MA√èSADOUR's grain storage process with a comparison with the currently human-operated tasks.</t>
  </si>
  <si>
    <t>https://ieeexplore.ieee.org/stamp/stamp.jsp?arnumber=9338587</t>
  </si>
  <si>
    <t>agriculture;iPaaS;integration;automation;interoperability</t>
  </si>
  <si>
    <t>Automation;Computer architecture;Libraries;Agriculture;Task analysis;Open source software;Engines</t>
  </si>
  <si>
    <t>A. Ghorab; M. St-Hilaire</t>
  </si>
  <si>
    <t>SDN-Based Service Function Chaining Framework for Kubernetes Cluster Using OvS</t>
  </si>
  <si>
    <t>2022 32nd International Telecommunication Networks and Applications Conference (ITNAC)</t>
  </si>
  <si>
    <t>2474-154X</t>
  </si>
  <si>
    <t>10.1109/ITNAC55475.2022.9998380</t>
  </si>
  <si>
    <t>Department of Systems and Computer Engineering, Carleton University, Ottawa, Canada; Department of Systems and Computer Engineering, Carleton University, Ottawa, Canada</t>
  </si>
  <si>
    <t>The ongoing demand for deploying Virtual Network Functions (VNFs) in cloud environments is driving the motivation to also deploy and enable Service Function Chaining (SFC). However, deploying SFC in a cloud environment includes multiple subproblems such as implementing an SFC-compatible infrastructure, routing design, placement, and scaling. We believe the deployment of SFC-compatible infrastructures and the routing design issues need further attention as they are fundamental constituents of SFC-enabled cloud environments. In this paper, we present a new flexible SFC framework using a multi-nodes Kubernetes cluster, a Software-Defined Networking (SDN) controller, and an OpenFlow-enabled virtual switch known as Open vSwitch (OvS) to deploy and steer the user traffic to a distributed SFC. We demonstrate the correctness of the proposed SFC framework by monitoring the OvS flow table on Kubernetes worker nodes.</t>
  </si>
  <si>
    <t>978-1-6654-7103-9</t>
  </si>
  <si>
    <t>https://ieeexplore.ieee.org/stamp/stamp.jsp?arnumber=9998380</t>
  </si>
  <si>
    <t>Service Function Chaining (SFC);Kubernetes;Software-Defined Networking (SDN);Open vSwitch (OvS)</t>
  </si>
  <si>
    <t>Cloud computing;Service function chaining;Scalability;Quality of service;Switches;Routing;Web servers</t>
  </si>
  <si>
    <t>D. Yang; J. Liu; Y. Xia; Z. Wang; H. Ding; S. Meng</t>
  </si>
  <si>
    <t>Research on the Integrated Space-Air-Ground Communication Network Based on Network Slicing and its Key Technologies</t>
  </si>
  <si>
    <t>2020 IEEE Sustainable Power and Energy Conference (iSPEC)</t>
  </si>
  <si>
    <t>10.1109/iSPEC50848.2020.9350949</t>
  </si>
  <si>
    <t>China Electric Power Research Institute, Beijing, China; Harbin Power Supply Company, SGCC, Harbin, China; China Electric Power Research Institute, Beijing, China; China Electric Power Research Institute, Beijing, China; China Electric Power Research Institute, Beijing, China; China Electric Power Research Institute, Beijing, China</t>
  </si>
  <si>
    <t>In recent years, with the power network continuously developed and constructed, various new types of services are constantly emerging. Diversified business needs and the surge data of users and terminal devices pose new challenges to the current architecture of power communication network. Thus, the network need to be upgraded by using related technologies to meet the requirements of the so-called Energy Internet's development. Network slicing technology can build multiple logical networks with differentiated performance on the same physical infrastructure according to different service requirements. The personalized customization and security isolation brought by network slicing can better meet the needs of service requirements while saving network construction costs. The Integrated Space-Air-Ground (SAG) Communication Network can achieve a ubiquitous network coverage and be applied in emergency communication scenario. Therefore, network slicing technology can be introduced to the wireless communication part of the Integrated SAG network to solve the problems faced by current power communication network. This paper first introduces the concept and advantages of network slicing technology and analyzes current state of the power communication network, then proposes an Integrated SAG Network architecture based on network slicing and finally discusses its key technologies.</t>
  </si>
  <si>
    <t>978-1-7281-9164-5</t>
  </si>
  <si>
    <t>https://ieeexplore.ieee.org/stamp/stamp.jsp?arnumber=9350949</t>
  </si>
  <si>
    <t>Network Slicing;5G;Satellite Communication;Integrated Network;NFV</t>
  </si>
  <si>
    <t>Wireless communication;Network slicing;Ultra reliable low latency communication;Communication networks;Security;Resource management;Surges</t>
  </si>
  <si>
    <t>B. K. Alotaibi; U. Baroudi</t>
  </si>
  <si>
    <t>Offload and Schedule Tasks in Health Environment using Ant Colony Optimization at Fog Master</t>
  </si>
  <si>
    <t>10.1109/IWCMC55113.2022.9825020</t>
  </si>
  <si>
    <t>Information and Computer Science Department, King Fahd University of Petroleum and Minerals, Dhahran, Saudi Arabia; Department of Computer Engineering, Research Center for Smart Cities and Logistics, King Fahd University of Petroleum and Minerals, Dhahran, Saudi Arabia</t>
  </si>
  <si>
    <t>The time sensitivity of healthcare applications leads to the urgent need to process the data with minimum delay. The limited resources in end-user devices make offloading the tasks to the fog node to process them essential. Fog node can process the tasks near the end-user, which reduce the delay caused by offloading them into the cloud. Fog nodes in the fog layer can collaborate to process tasks. A balanced task schedule in the fog layer will make the fog nodes collaborate to reduce the response time. In this work, we start by computing a probability for each task to decide whether the task will offload to the fog master or not. This probability will allow the fog node to process some of the received tasks without the need for offloading. We only offload the tasks whose probability exceeds a threshold value to the fog master. The fog master run the Ant Colony Optimization algorithm to schedule the task to a suitable node in the fog layer. The simulation results show that the proposed load balancer provides better results in reducing the delay.</t>
  </si>
  <si>
    <t>https://ieeexplore.ieee.org/stamp/stamp.jsp?arnumber=9825020</t>
  </si>
  <si>
    <t>ACO;Fog computing;Load balancing;Task offloading</t>
  </si>
  <si>
    <t>Wireless communication;Schedules;Ant colony optimization;Cloud computing;Sensitivity;Simulation;Quality of service</t>
  </si>
  <si>
    <t>C. Alexakos; A. Komninos; C. Anagnostopoulos; G. Kalogeras; A. Savvopoulos; A. Kalogeras</t>
  </si>
  <si>
    <t>Building an Industrial IoT Infrastructure with open Source Software for Smart Energy</t>
  </si>
  <si>
    <t>2019 First International Conference on Societal Automation (SA)</t>
  </si>
  <si>
    <t>10.1109/SA47457.2019.8938057</t>
  </si>
  <si>
    <t>Industrial Systems Institute, ATHENA R.C., Patras, Greece; Industrial Systems Institute, ATHENA R.C., Patras, Greece; Industrial Systems Institute, ATHENA R.C., Patras, Greece; Industrial Systems Institute, ATHENA R.C., Patras, Greece; Industrial Systems Institute, ATHENA R.C., Patras, Greece; Industrial Systems Institute, ATHENA R.C., Patras, Greece</t>
  </si>
  <si>
    <t>Internet of Things is the cornerstone of most of the modern technological achievements and one of the biggest sources of data. The petabytes of data generated by telemetry sensors are already used for statistical analysis or the creation of prediction models used in various applications in the area of smart cities, smart building, smart health, smart energy, etc. On the other hand, the expansion of IoT forced the need of more standardized approaches such the ones used in industrial automation. The Industrial Internet of Things (IIoT), as part of Industry 4.0 concept, promotes the cyber physical systems (CPS) as sensors and actuators that will build the modern automation world in and out of the factories. This article studies the IIoT reference architectures and the existing open source IoT platforms for proposing an integrated architecture for installing IIoT infrastructure that can collect and analyze big volume of data, easy and with low cost. The approach is evaluated in a smart building scenario.</t>
  </si>
  <si>
    <t>978-1-7281-3345-4</t>
  </si>
  <si>
    <t>https://ieeexplore.ieee.org/stamp/stamp.jsp?arnumber=8938057</t>
  </si>
  <si>
    <t>IoT architecture;industrial IoT;open source software;smart energy</t>
  </si>
  <si>
    <t>Computer architecture;Data analysis;Industries;Protocols</t>
  </si>
  <si>
    <t>I. V. Ara√∫jo; S. R. Lima; A. D. Br√≠zido</t>
  </si>
  <si>
    <t>IEEE 802.1X Virtual Network Function Development for NG-PON Architecture</t>
  </si>
  <si>
    <t>2022 International Conference on Software, Telecommunications and Computer Networks (SoftCOM)</t>
  </si>
  <si>
    <t>10.23919/SoftCOM55329.2022.9911396</t>
  </si>
  <si>
    <t>Centro Algoritmi, Universidade do Minho Braga, Portugal; Centro Algoritmi, Universidade do Minho Braga, Portugal; Dire√ß√£o de Sistemas de Rede (DSR), Altice Labs, Aveiro, Portugal</t>
  </si>
  <si>
    <t>The Open Broadband - Broadband Access Abstraction (OB-BAA) architecture aims to modernize the information technology components of broadband networks, more specif-ically the Central Offices (CO). CO stands out for being a vital aggregator of different access networks, such as optical, mobile, and cabled networks, benefiting from the paradigm of Software-Defined Networks (SDN). This paper aims to discuss the development of a virtualized network function (VNF) for network security to be integrated as a component of an OB-BAA architecture guided by an SDN controller. In particular, the IEEE 802.1X protocol is applied in a broadband NG-PON architecture for authentication and authorization of network equipment. The developed components were containerized and inserted in the Docker and Kubernetes virtualization frameworks. The proof-of-concept evaluates performance metrics, namely computational resource utilization and execution time of VNF processes, in usage tests with multiple supplicants and distinct operational modes, to attest to the most promising virtualization scenarios.</t>
  </si>
  <si>
    <t>978-953-290-117-7</t>
  </si>
  <si>
    <t xml:space="preserve">FCT(grant numbers:UIDB/00319/2020); </t>
  </si>
  <si>
    <t>https://ieeexplore.ieee.org/stamp/stamp.jsp?arnumber=9911396</t>
  </si>
  <si>
    <t>Passive Optical Network;Central Office;Virtual Network Function;Software-Defined Network;Golang</t>
  </si>
  <si>
    <t>Authorization;Scalability;Authentication;Computer architecture;Software;Broadband communication;Telecommunications</t>
  </si>
  <si>
    <t>N. V. Toutova; A. G. Erokhin; A. V. Toutov; M. F. Vanina; E. A. Frolova</t>
  </si>
  <si>
    <t>Principals of Optimal Cloud Resource Management</t>
  </si>
  <si>
    <t>2022 Intelligent Technologies and Electronic Devices in Vehicle and Road Transport Complex (TIRVED)</t>
  </si>
  <si>
    <t>10.1109/TIRVED56496.2022.9965456</t>
  </si>
  <si>
    <t>Moscow Technical University of Communications and Informatics, Moscow, Russia; Moscow Technical University of Communications and Informatics, Moscow, Russia; Moscow Technical University of Communications and Informatics, Moscow, Russia; Moscow Technical University of Communications and Informatics, Moscow, Russia; Moscow Technical University of Communications and Informatics, Moscow, Russia</t>
  </si>
  <si>
    <t>Cloud data centers are complex systems consisting of a number of subsystems, such as computing, telecommunication and engineering subsystems. Each of these subsystems has its own optimization tasks. The paper provides an overview of the main directions and tasks of resource optimization in cloud computing. Particular attention is paid to the computing subsystem, where optimization tasks such as initial and dynamic placement of virtual machines, optimization of resource scaling processes and migration of virtual machines and containers are solved. Based on the aims of the cloud computing participants, in this work the principles of optimal resource management, such as the principle of stability, energy efficiency and individuality, are formulated for the first time. The results of the work on the formation of the main cycle of computing work to optimize the process of managing cloud data center resources are presented.</t>
  </si>
  <si>
    <t>979-8-3503-9770-3</t>
  </si>
  <si>
    <t>https://ieeexplore.ieee.org/stamp/stamp.jsp?arnumber=9965456</t>
  </si>
  <si>
    <t>Cloud Computing;Data Center;Resource Management;Optimization;Resource allocation;Virtual Machine Placement;VM Migration</t>
  </si>
  <si>
    <t>Industries;Cloud computing;Data centers;Roads;Virtual machining;Information and communication technology;Resource management</t>
  </si>
  <si>
    <t>F. Martella; G. Parrino; G. Ciulla; R. D. Bernardo; A. Celesti; M. Fazio; M. Villari</t>
  </si>
  <si>
    <t>Virtual Device Model extending NGSI-LD for FaaS at the Edge</t>
  </si>
  <si>
    <t>10.1109/CCGrid51090.2021.00079</t>
  </si>
  <si>
    <t>Department MIFT, University of Messina, Italy; Engineer; Research &amp; Development Laboratory, Engineering Ingegneria Informatica, Palermo, Italy; Research &amp; Development Laboratory, Engineering Ingegneria Informatica, Palermo, Italy; Department MIFT, University of Messina, Italy; Department MIFT, University of Messina, Italy; Department MIFT, University of Messina, Italy</t>
  </si>
  <si>
    <t>Smart environments are composed of an ever-increasing number of heterogeneous resources and devices for collecting and processing of a large amount of context data. These activities can be performed at the edge of the smart area, over a distributed and heterogeneous infrastructure, so to be close to the end-user and optimize response time. However, it is hard to define a data model able to support data exchange among different systems and between systems and users. This paper presents the key features of a smart environment and introduces the concept of virtual device, that is an abstracted component characterized by specific high-level functionalities. Then, the paper proposes a data model useful to represent and optimize the adoption of virtual device in smart environments. To better explain the data model features and benefits, we refer to a video surveillance use case, where a smart camera is able to provide the solid angle detection as a service.</t>
  </si>
  <si>
    <t>https://ieeexplore.ieee.org/stamp/stamp.jsp?arnumber=9499631</t>
  </si>
  <si>
    <t>Edge computing;NGSI-LD;IoT Cloud;Data Modeling;Virtual Device;Smart environments</t>
  </si>
  <si>
    <t>Performance evaluation;Cloud computing;Image edge detection;Smart cameras;Video surveillance;Solids;Feature extraction</t>
  </si>
  <si>
    <t>S. Panda; K. K. Ramakrishnan; L. N. Bhuyan</t>
  </si>
  <si>
    <t>pMACH: Power and Migration Aware Container scHeduling</t>
  </si>
  <si>
    <t>2021 IEEE 29th International Conference on Network Protocols (ICNP)</t>
  </si>
  <si>
    <t>2643-3303</t>
  </si>
  <si>
    <t>10.1109/ICNP52444.2021.9651911</t>
  </si>
  <si>
    <t>University of California, Riverside, CA; University of California, Riverside, CA; University of California, Riverside, CA</t>
  </si>
  <si>
    <t>Data center workload fluctuations need periodic, but careful scheduling to minimize power consumption while meeting the task completion time requirements. Existing data center scheduling systems tightly pack containers to save power. However, with the growth of multi-tiered applications, there is a significant need to account for the affinity between application components, to minimize communication overheads and latency. Centralized container scheduling systems using graph partitioning algorithms cause a significant number of task migrations, with associated downtime.We design pMACH, a novel distributed container scheduling scheme for optimizing both power and task completion time in data centers. It minimizes task migrations and packs frequently communicating containers together without overloading servers. pMACH operates at peak energy efficiency, thus reducing energy consumption while also providing greater headroom for unpredictable workload spikes. We also propose in-network monitoring using smartNICs (sNIC) to measure the communications and then perform scheduling in a hierarchical, parallelized framework to achieve high performance and scalability. pMACH is based on incremental partitioning and it leverages the previous scheduling decision to significantly reduce the number of containers moved between servers, avoiding application downtime.Both testbed measurements and large-scale trace-driven simulations show that pMACH saves at least 13.44% more power compared to previous scheduling systems. It speeds task completion, reducing the 95th percentile by a factor of 1.76-2.11 compared to existing container scheduling schemes. Compared to other static graph-based approaches, our incremental partitioning technique reduces migrations per epoch by 82%.</t>
  </si>
  <si>
    <t>978-1-6654-4131-5</t>
  </si>
  <si>
    <t>https://ieeexplore.ieee.org/stamp/stamp.jsp?arnumber=9651911</t>
  </si>
  <si>
    <t>Data center scheduling;power saving;cost saving;meeting SLA</t>
  </si>
  <si>
    <t>Data centers;Power measurement;Power demand;Protocols;Scalability;Containers;Scheduling</t>
  </si>
  <si>
    <t>S. Vakilinia; C. Truchan; J. Kempf; H. Elbiaze</t>
  </si>
  <si>
    <t>Automated Enforcement of SLA for Cloud Services</t>
  </si>
  <si>
    <t>10.1109/CLOUD.2018.00014</t>
  </si>
  <si>
    <t>Ericsson Research Team; Ericsson Research Team; Ericsson Research Team; Departement Informatique, Universite Quebec a Montreal</t>
  </si>
  <si>
    <t>Orchestration and management of cloud computing entities necessitate measuring and analysis of real-time monitored performance metrics. However, decision making in current management platforms are addressed separately in different cloud stack layers. These isolated active management decisions may degrade the total performance of the cloud system. Since, cloud computing platforms lack an integrated analytics and management capability, in this paper, we propose an integrated platform to detect and predict situations where corrective actions are required. First, a Dynamic Bayesian Network (DBN) is trained and updated by collected data to calculate the causal dependencies among various entities in different cloud service layers. The correlation values are then fed into a Long Short-Term Memory (LSTM) neural network to predict the future states. States that violate the Service Level Agreement(SLA) of cloud services are learned with training data, and if the forecasted states threaten the SLA of cloud services, associated events are generated to trigger management actions. Next, management actions are assigned a different set of events using a reinforcement learning approach. A set of experiments based on collected data from a real cloud service environment is conducted to validate the proposed approach. Experimental results indicate that the proposed method outperforms the current management solutions and improves web request response time by up to 7% and decreases SLA violation by 79% in the context of web application auto-scaling.</t>
  </si>
  <si>
    <t>https://ieeexplore.ieee.org/stamp/stamp.jsp?arnumber=8457782</t>
  </si>
  <si>
    <t>Cloud Computing, Dynamic Bayesian Network, Deep Learning, Reinforcement Algorithm</t>
  </si>
  <si>
    <t>Cloud computing;Measurement;Correlation;Neural networks;Bayes methods;Monitoring;Clouds</t>
  </si>
  <si>
    <t>J. Wang; J. Wang; Z. Zhu; J. Qin; W. Yuan; H. Zhang; Y. Fan; C. Liu; W. Niu; S. Li</t>
  </si>
  <si>
    <t>Research on Construction of the Smart Internet of Vehicles</t>
  </si>
  <si>
    <t>2021 IEEE International Conference on Power, Intelligent Computing and Systems (ICPICS)</t>
  </si>
  <si>
    <t>10.1109/ICPICS52425.2021.9524104</t>
  </si>
  <si>
    <t>Electric Power Marketing Training Department, State Grid of China Technology College, Jinan, China; Electric Power Marketing Training Department, State Grid of China Technology College, Jinan, China; Electric Power Marketing Training Department, State Grid of China Technology College, Jinan, China; Electric Power Marketing Training Department, State Grid of China Technology College, Jinan, China; Electric Power Marketing Training Department, State Grid of China Technology College, Jinan, China; Electric Power Marketing Training Department, State Grid of China Technology College, Jinan, China; Electric Power Marketing Training Department, State Grid of China Technology College, Jinan, China; Electric Power Marketing Training Department, State Grid of China Technology College, Jinan, China; Electric Power Marketing Training Department, State Grid of China Technology College, Jinan, China; Electric Power Marketing Training Department, State Grid of China Technology College, Jinan, China</t>
  </si>
  <si>
    <t>The Internet of vehicles industry is a new industry deeply integrated with automobile, electronics, information communication, road transportation and other industries. As the most extensive charging network construction project in the world, the Smart Internet of Vehicles has built a lightweight MQTT(Message Queuing Telemetry Transport) Internet of things platform and realized the cloud platforms + micro-services Architecture. It won the 2018 international Edison Award, which is recognition of State Grid‚Äôs years of deep research in electric vehicle service platform and related technologies. In view of the development and future application of the Smart Internet of Vehicles platform, this paper puts forward some constructive ideas and suggestions from six aspects, combined with the continuous development of V2X (vehicle to everything).</t>
  </si>
  <si>
    <t>978-1-6654-4130-8</t>
  </si>
  <si>
    <t>https://ieeexplore.ieee.org/stamp/stamp.jsp?arnumber=9524104</t>
  </si>
  <si>
    <t>Smart Internet of Vehicles;Electric Vehicle Services;V2X;Charge service</t>
  </si>
  <si>
    <t>Industries;Space vehicles;Cloud computing;Technological innovation;Roads;Transportation;Electric vehicles</t>
  </si>
  <si>
    <t>M. Arnesano; J. Dyson; M. Fagiani; A. Mancini; G. M. Revel; M. Severini; S. Squartini; L. Zampetti; P. Zingaretti</t>
  </si>
  <si>
    <t>An IoT Solution for Energy Management at Building and District Level</t>
  </si>
  <si>
    <t>2018 14th IEEE/ASME International Conference on Mechatronic and Embedded Systems and Applications (MESA)</t>
  </si>
  <si>
    <t>10.1109/MESA.2018.8449168</t>
  </si>
  <si>
    <t>Department of Industrial Engineering and Mathematical Sciences (DIISM), Universit√† Politecnica delle Marche, Ancona, Italy; Department of Information Engineering (DII), Universit√† Politecnica delle Marche, Ancona, Italy; Department of Information Engineering (DII), Universit√† Politecnica delle Marche, Ancona, Italy; Department of Information Engineering (DII), Universit√† Politecnica delle Marche, Ancona, Italy; Department of Industrial Engineering and Mathematical Sciences (DIISM), Universit√† Politecnica delle Marche, Ancona, Italy; Department of Information Engineering (DII), Universit√† Politecnica delle Marche, Ancona, Italy; Department of Information Engineering (DII), Universit√† Politecnica delle Marche, Ancona, Italy; Department of Industrial Engineering and Mathematical Sciences (DIISM), Universit√† Politecnica delle Marche, Ancona, Italy; Department of Information Engineering (DII), Universit√† Politecnica delle Marche, Ancona, Italy</t>
  </si>
  <si>
    <t>Today the monitoring of energy variables plays a key-role in the proper management of buildings to optimize costs along with the low emission profile and comfortable environments. The monitoring could be augmented by adding also optimization aspects that could decrease the energy/costs. Up to now the optimization is performed by using building and context (district) data, but with no or rough evaluation of comfort conditions delivered to the occupants. The work presented in this paper is derived from the ENERGIS project that takes into account individual buildings and districts including detailed comfort conditions representing a novelty in the Energy Management System. The monitoring is used to locally sense the energy demand while the optimization is performed at two different scales. The first optimization tries to consider different aspects related to the thermal management of rooms, supported by a novel sensor that is able to evaluate the comfort taking into account the room model and to control the thermal actuators to track a comfort set-point. The second level of optimization starts from the collected data from each building to set-up a district model that is able to map and then predict the energy demand enabling an energy management that is built on the concept of ‚Äúsharing‚Äù. This paper outlines the overall system architecture that exploits the benefit of IoT also showing the first optimization level performed on a business office showing the overall pipeline that starts from the sensing of environment and ends with the control of actuators to track an optimized set-point.</t>
  </si>
  <si>
    <t>978-1-5386-4643-4</t>
  </si>
  <si>
    <t>https://ieeexplore.ieee.org/stamp/stamp.jsp?arnumber=8449168</t>
  </si>
  <si>
    <t>Buildings;Optimization;Energy management;Monitoring;Actuators;Meteorology;Thermal management</t>
  </si>
  <si>
    <t>D. Apostolou; Y. Verginadis; G. Mentzas</t>
  </si>
  <si>
    <t>In the Fog: Application Deployment for the Cloud Continuum</t>
  </si>
  <si>
    <t>2021 12th International Conference on Information, Intelligence, Systems &amp; Applications (IISA)</t>
  </si>
  <si>
    <t>10.1109/IISA52424.2021.9555532</t>
  </si>
  <si>
    <t>Deprtment of Informatics, University of Piraeus, Piraeus, Greece; Department of Business Administration, Athens University of Economics and Business, Athens, Greece; School of Electrical and Computer Engineering, National Technical University of Athens, Athens, Greece</t>
  </si>
  <si>
    <t>Serverless and the Function-as-a-Service (FaaS) paradigms are seen as two enabling technologies for next-generation computing on the cloud continuum. This article discusses prominent frameworks to deploy and monitor applications that span the cloud continuum. It discusses associated challenges and proposes a novel architecture for a framework that manages intelligently multi-cloud, fog and edge resources in order to cope with the requirements of FaaS-enabled applications and services.</t>
  </si>
  <si>
    <t>978-1-6654-0032-9</t>
  </si>
  <si>
    <t>https://ieeexplore.ieee.org/stamp/stamp.jsp?arnumber=9555532</t>
  </si>
  <si>
    <t>cloud continuum;fog computing;serverless</t>
  </si>
  <si>
    <t>Cloud computing;Image edge detection;FAA;Telecommunication traffic;Tools;Throughput;Task analysis</t>
  </si>
  <si>
    <t>D. Karadimas; C. Panagiotou; J. Gialelis; C. Koulamas; S. Koubias</t>
  </si>
  <si>
    <t>Process based Machine Learning for Energy Optimization in Industrial Enterprises</t>
  </si>
  <si>
    <t>2021 10th Mediterranean Conference on Embedded Computing (MECO)</t>
  </si>
  <si>
    <t>2637-9511</t>
  </si>
  <si>
    <t>10.1109/MECO52532.2021.9460275</t>
  </si>
  <si>
    <t>Industrial Systems Institute Patras Science Park building, Stadiou Str Platani, Patra, Greece; Industrial Systems Institute Patras Science Park building, Stadiou Str Platani, Patra, Greece; Industrial Systems Institute Patras Science Park building, Stadiou Str Platani, Patra, Greece; Industrial Systems Institute Patras Science Park building, Stadiou Str Platani, Patra, Greece; Industrial Systems Institute Patras Science Park building, Stadiou Str Platani, Patra, Greece</t>
  </si>
  <si>
    <t>This paper presents the design, implementation and primary evaluation of a tool that aims to support industrial processes towards the optimization of energy consumption. The authors describe in the first part of this paper the processes followed in an industrial environment and particularly the Product Cost Accounting Information System. The second part is devoted to the technical details of the system that integrates dominant simulation tools for data generation, machine learning algorithms for energy consumption predictions, and all the appropriate mechanisms that deliver the required scalability and flexibility of the system to serve its purpose.</t>
  </si>
  <si>
    <t>978-1-6654-3912-1</t>
  </si>
  <si>
    <t>https://ieeexplore.ieee.org/stamp/stamp.jsp?arnumber=9460275</t>
  </si>
  <si>
    <t>data simulation;energyplus;machine learning;energy consumption;industrial processes;prediction models</t>
  </si>
  <si>
    <t>Energy consumption;Machine learning algorithms;Scalability;Machine learning;Production;Tools;Predictive models</t>
  </si>
  <si>
    <t>J. P. de Brito Gon√ßalves; R. Lima Gomes; R. da Silva Villaca; E. Municio; J. Marquez-Barja</t>
  </si>
  <si>
    <t>A Quality of Service Compliance System Empowered by Smart Contracts and Oracles</t>
  </si>
  <si>
    <t>2020 IEEE International Conference on Blockchain (Blockchain)</t>
  </si>
  <si>
    <t>10.1109/Blockchain50366.2020.00077</t>
  </si>
  <si>
    <t>Federal University of Espirito Santo (Ufes), Vitoria‚ÄìES, Brazil; Federal University of Espirito Santo (Ufes), Vitoria‚ÄìES, Brazil; Federal University of Espirito Santo (Ufes), Vitoria‚ÄìES, Brazil; Federal University of Espirito Santo (Ufes), Vitoria‚ÄìES, Brazil; IDLab ‚Äì imec ‚Äì University of Antwerp, Antwerp, Belgium</t>
  </si>
  <si>
    <t>Service Level Agreements (SLAs) are used in contracts between two parts, which can be, as an example, between service providers or between customers and service providers. SLA clauses represent key aspects in the relationship between them. In order to enforce service reliability and SLA compliance, a continuous monitoring of Quality of Service metrics is required. Since policy breach is usually subject to expensive penalties, using external entities acting as trustful references is a common practice in order to avoid frequent legal disputes, external entities are usually required to verify it. However, coordination between different actors to agree in one transaction is difficult, because it can open up possibilities for multiple fraud attempts. We argue that this can be done more efficiently using Smart Contracts, programs that are executed in a blockchain. Such data is stored in a distributed structure without the need of an external entity to ensure data integrity and reliability. Smart contracts can also makes easy the charging or possibly compensating SLA violations. In this paper we propose a solution empowered by smart contracts in order to simplify, and to automate the process of SLA validation, i.e, verify if the contract is being respected. We perform some experiments and evaluate a proof of concept using data from a real network infrastructure in Brazil.</t>
  </si>
  <si>
    <t>978-0-7381-0495-9</t>
  </si>
  <si>
    <t>https://ieeexplore.ieee.org/stamp/stamp.jsp?arnumber=9284773</t>
  </si>
  <si>
    <t>Blockchain;Service Level Agreement;Smart Contracts;Quality of Service</t>
  </si>
  <si>
    <t>Measurement;Law;Smart contracts;Blockchain;Quality of service;Reliability;Monitoring</t>
  </si>
  <si>
    <t>G. v. Laszewski; A. Orlowski; R. H. Otten; R. Markowitz; S. Gandhi; A. Chai; G. C. Fox; W. L. Chang</t>
  </si>
  <si>
    <t>Using Cloudmesh GAS for Speedy Generation of Hybrid Multi-Cloud Auto Generated AI Services</t>
  </si>
  <si>
    <t>10.1109/COMPSAC51774.2021.00032</t>
  </si>
  <si>
    <t>Dept. of Intelligent Systems Engineering, Indiana University, Bloomington, IN, USA; Dept. of Intelligent Systems Engineering, Indiana University, Bloomington, IN, USA; Dept. of Intelligent Systems Engineering, Indiana University, Bloomington, IN, USA; Dept. of Intelligent Systems Engineering, Indiana University, Bloomington, IN, USA; Dept. of Intelligent Systems Engineering, Indiana University, Bloomington, IN, USA; Dept. of Intelligent Systems Engineering, Indiana University, Bloomington, IN, USA; Dept. of Intelligent Systems Engineering, Indiana University, Bloomington, IN, USA; Information Access Division, National Institute of Standards and Technology, Gaithersburg, MD, USA</t>
  </si>
  <si>
    <t>Today‚Äôs problems require a plethora of analytics tasks to be conducted to tackle state-of-the-art computational challenges posed in society impacting many areas including health care, automotive, banking, natural language processing, image detection, and many more data analytics-related tasks. Sharing existing analytics functions allows reuse and reduces overall effort. However, integrating deployment frameworks in the age of cloud computing are often out of reach for domain experts. Simple frameworks are needed that allow even non-experts to deploy and host services in the cloud. To avoid vendor lock-in, we require a generalized composable analytics service framework that allows users to integrate their services and those offered in clouds, not only by one, but by many cloud compute and service providers.We report on work that we conducted to provide a service integration framework for composing generalized analytics frame-works on multi-cloud providers that we call our Generalized AI Service (GAS) Generator. We demonstrate the framework‚Äôs usability by showcasing useful analytics workflows on various cloud providers, including AWS, Azure, and Google, and edge computing IoT devices. The examples are based on Scikit learn so they can be used in educational settings, replicated, and expanded upon. Benchmarks are used to compare the different services and showcase general replicability.</t>
  </si>
  <si>
    <t>https://ieeexplore.ieee.org/stamp/stamp.jsp?arnumber=9529524</t>
  </si>
  <si>
    <t>Software/Software Engineering;Tools;Programming Environments/Construction Tools;Code generation;Distributed systems;Artificial Intelligence;code generation;AI services;multi-cloud;hybrid cloud;OpenAPI;REST;cloudmesh</t>
  </si>
  <si>
    <t>Performance evaluation;Support vector machines;Cloud computing;Runtime;Benchmark testing;Tools;Generators</t>
  </si>
  <si>
    <t>L. D'Agati; Z. Benomar; F. Longo; G. Merlino; A. Puliafito; G. Tricomi</t>
  </si>
  <si>
    <t>IoT/Cloud-Powered Crowdsourced Mobility Services For Green Smart Cities</t>
  </si>
  <si>
    <t>2021 IEEE 20th International Symposium on Network Computing and Applications (NCA)</t>
  </si>
  <si>
    <t>10.1109/NCA53618.2021.9685607</t>
  </si>
  <si>
    <t>Department of Engineering, University of Messina, Italy; Department of Engineering, University of Messina, Italy; CINI: National Interuniversity Consortium for Informatics, Rome, Italy; CINI: National Interuniversity Consortium for Informatics, Rome, Italy; CINI: National Interuniversity Consortium for Informatics, Rome, Italy; CINI: National Interuniversity Consortium for Informatics, Rome, Italy</t>
  </si>
  <si>
    <t>Air pollution is one of today's most biggest problems, mostly due to greenhouse gas emissions that have increased exponentially since the mid-twentieth century. Today's society is the main culprit due to the emissions caused by the industriaV-manufacturing processes and the different transportation means. In particular, the cities, always affected by traffic congestion and traversed by uncountable vehicles, are crucial points where actuate solutions can mitigate the pollutants generated by the vehicles. The cities, enhanced by the Internet of Things (IoT) advent, are becoming ‚ÄúSmart‚Äù thanks to the data generated by IoT devices. The ubiquitous distribution and the possibility of correlating data from different sources (voluntary shared or freeware) have enabled the crowdsourced initiative to realize applications exploiting these data. In this work, a multilevel IoT/Cloud infrastructure lends itself to offering solutions to citizens to solve daily life problems. The architecture, putting in place means to conceive an exciting application, is investigated through different use cases linked to current cities issues: public mobility, free parking slot detection, and air quality monitoring.</t>
  </si>
  <si>
    <t>978-1-6654-9550-9</t>
  </si>
  <si>
    <t>https://ieeexplore.ieee.org/stamp/stamp.jsp?arnumber=9685607</t>
  </si>
  <si>
    <t>IoT;Cloud;Stack4Things;OpenStack;Blockchain</t>
  </si>
  <si>
    <t>Industries;Smart cities;Transportation;Computer architecture;Internet of Things;Security;Proposals</t>
  </si>
  <si>
    <t>M. Abu-Elkheir; H. S. Hassanein</t>
  </si>
  <si>
    <t>Orchestrating access to smart city services</t>
  </si>
  <si>
    <t>2015 11th International Conference on Innovations in Information Technology (IIT)</t>
  </si>
  <si>
    <t>10.1109/INNOVATIONS.2015.7381505</t>
  </si>
  <si>
    <t>Faculty of Computer and Information Sciences, Mansoura University, Mansoura, Egypt; School of Computing, Queen's University, Kingston, ON, Canada</t>
  </si>
  <si>
    <t>Smart cities are poised to provide innovative public services to citizens, communities, corporations, and governmental bodies. Realization and management of these services is assumed to take place centrally, and according to well-defined policies established by city authorities. However, the proliferation of connected devices and crowd-sensing made it possible for ad hoc services to emerge before strict policies and architectures were enforced, and with little provision of interoperability. Furthermore, many existing services in today's cities use networks of privately-owned smart devices, which confine such services to local domains because of ownership and corporate governance. We propose a resource cooperation approach that orchestrates access to connected devices across local domains in order to compose new and potentially large-scale services that are not necessarily bound by local ownership. The resource cooperation approach makes informed recruitment of network segments from local network domains in response to stakeholder queries, which will be posted to a centralized authority responsible for smart city services. Our approach aims at maximizing the utility of city-wide services while maintaining local governance and minimizing performance degradation of service provisioning within local domains. The approach will also facilitate the composition of new smart city services from existing heterogeneous resources, thus minimizing the need to deploy dedicated service infrastructures.</t>
  </si>
  <si>
    <t>978-1-4673-8511-4</t>
  </si>
  <si>
    <t>https://ieeexplore.ieee.org/stamp/stamp.jsp?arnumber=7381505</t>
  </si>
  <si>
    <t>smart city;resource cooperation;orchestration</t>
  </si>
  <si>
    <t>Smart cities;Recruitment;Cities and towns;Stakeholders;Technological innovation;Pricing;Information technology</t>
  </si>
  <si>
    <t>J. Soares; N. Silva; V. Shah; H. Rodrigues</t>
  </si>
  <si>
    <t>A Road Condition Service Based on a Collaborative Mobile Sensing Approach</t>
  </si>
  <si>
    <t>10.1109/PERCOMW.2018.8480346</t>
  </si>
  <si>
    <t>Departamento de Sistemas de Informa√ß√£o, Universidade do Minho, Guimar√£es, Portugal; Departamento de Sistemas de Informa√ß√£o, Universidade do Minho, Guimar√£es, Portugal; Departamento de Sistemas de Informa√ß√£o, Universidade do Minho, Guimar√£es, Portugal; Departamento de Sistemas de Informa√ß√£o, Universidade do Minho, Guimar√£es, Portugal</t>
  </si>
  <si>
    <t>Road pavement conditions influence the daily lives of both drivers and passengers. Anomalies in road pavement can cause discomfort, increase stress, cause mechanical failures in vehicles and compromise safety of road users. Detecting and surveying road condition/anomalies requires expensive and specially designed equipment and vehicles, that cost considerable amounts of money, and require specialized workers to operate them. As an alternative, an emergent sensing paradigm is being discussed as a promising mechanism for collecting large-scale real-world data. In this paper we describe our experience on the design, implementation and deployment of a cloud based road anomaly information management service, that combines Collaborative Mobile Sensing and data-mining approaches, to provide a practical solution for detecting, identifying and managing road anomaly information. Additionally, we identify technical challenges and propose guidelines that may help to improve this type of services and applications.</t>
  </si>
  <si>
    <t>https://ieeexplore.ieee.org/stamp/stamp.jsp?arnumber=8480346</t>
  </si>
  <si>
    <t>road anomaly detection;road condition service;road condition monitoring;road condition service architecture;collaborative mobile sensing;data-mining</t>
  </si>
  <si>
    <t>Roads;Sensors;Data acquisition;Smart phones;Collaboration;Data processing;Vehicles</t>
  </si>
  <si>
    <t>M. Kazlauskas; D. Navakauskas</t>
  </si>
  <si>
    <t>Case Study of a Multisensor Patient Network and Microservices Managed by Fog Computing</t>
  </si>
  <si>
    <t>2021 IEEE 9th Workshop on Advances in Information, Electronic and Electrical Engineering (AIEEE)</t>
  </si>
  <si>
    <t>2689-7342</t>
  </si>
  <si>
    <t>10.1109/AIEEE54188.2021.9670226</t>
  </si>
  <si>
    <t>Department of Electronic Systems, Vilnius Gediminas Technical University, Vilnius, Lithuania; Department of Electronic Systems, Vilnius Gediminas Technical University, Vilnius, Lithuania</t>
  </si>
  <si>
    <t>Fog Computing is a new paradigm of Internet of Things shifting services from Cloud closer to the Edge. It allows real-time execution, low latency, effective energy consumption and data privacy. Fog Computing solutions could greatly benefit Health Care as it is one of the most expensive person-centered industries. This article discusses a case of multisensor patient health data collection network working with Fog Computing devices and the Cloud. Patient multisensor network simulations of Fog and Cloud Computing hardware and Microservices with iFogSim2 were performed to estimate the performance ensuring quality of service requirements. Multisensor application model and performance evaluation for different multisensor scenarios utilizing distributed Microservice placement is presented.</t>
  </si>
  <si>
    <t>978-1-6654-6712-4</t>
  </si>
  <si>
    <t>https://ieeexplore.ieee.org/stamp/stamp.jsp?arnumber=9670226</t>
  </si>
  <si>
    <t>Fog Computing;Internet of Things;Health Care;Microservices;Cloud Computing;Simulation</t>
  </si>
  <si>
    <t>Performance evaluation;Cloud computing;Computational modeling;Microservice architectures;Quality of service;Data collection;Mobile handsets</t>
  </si>
  <si>
    <t>J. W√•hsl√©n; T. Lindh</t>
  </si>
  <si>
    <t>Smartphone-centric Wi-Fi device-to-device sensor communication for user mobility in AAL services</t>
  </si>
  <si>
    <t>2016 IEEE 27th Annual International Symposium on Personal, Indoor, and Mobile Radio Communications (PIMRC)</t>
  </si>
  <si>
    <t>10.1109/PIMRC.2016.7794565</t>
  </si>
  <si>
    <t>KTH, School of Technology and Health, Stockholm, Sweden; KTH, School of Technology and Health, Stockholm, Sweden</t>
  </si>
  <si>
    <t>This paper evaluates a use-case for smartphone-centric Wi-Fi device-to-device sensor communication that enables user mobility in ambient assisted living (AAL) services. A real-time performance measurement method has been developed and implemented to evaluate the smartphone's ability to act as a hub and gateway for Wi-Fi connected sensor nodes. The results show that Wi-Fi Direct and Wi-Fi Hotspot are feasible solutions for smartphone-centric device-to-device communication that enables user mobility. In addition, a cloud-based web application for monitoring and displaying sensor data has been implemented.</t>
  </si>
  <si>
    <t>978-1-5090-3254-9</t>
  </si>
  <si>
    <t>https://ieeexplore.ieee.org/stamp/stamp.jsp?arnumber=7794565</t>
  </si>
  <si>
    <t>wireless local area networks;device-to-device communication;mobility;ambient assisted living</t>
  </si>
  <si>
    <t>IEEE 802.11 Standard;Smart phones;Monitoring;Ambient assisted living;Cameras;Device-to-device communication;Loss measurement</t>
  </si>
  <si>
    <t>A. Liu; X. Du; N. Wang; R. Qiao; Y. Ning; L. Zhang</t>
  </si>
  <si>
    <t>Medical health data sharing scheme based on blockchain and attribute-based encryption</t>
  </si>
  <si>
    <t>2021 4th International Conference on Information Communication and Signal Processing (ICICSP)</t>
  </si>
  <si>
    <t>10.1109/ICICSP54369.2021.9611865</t>
  </si>
  <si>
    <t>Information Engineering University He&amp;#x0027;nan Province Key Laboratory of Information Security, ZhengZhou, China; Information Engineering University He&amp;#x0027;nan Province Key Laboratory of Information Security, ZhengZhou, China; Information Engineering University He&amp;#x0027;nan Province Key Laboratory of Information Security, ZhengZhou, China; Zhoukou Normal University Information Engineering University, Zhoukou, China; Information Engineering University He&amp;#x0027;nan Province Key Laboratory of Information Security, ZhengZhou, China; Information Engineering University He&amp;#x0027;nan Province Key Laboratory of Information Security, ZhengZhou, China</t>
  </si>
  <si>
    <t>With the development of medical digitization, smart medical care and medical big data technologies, secure storage and sharing of medical data have become the hotspot of research in the field of medical technology. However, Fragmentation of medical data is much more serious, and many data becomes data islands that are difficult to apply to medical research. At the same time, the centralized control of medical data by third-party institutions has security bottlenecks and performance bottlenecks, which also lead to frequent data leakage incidents. To solve this problem, we propose a medical health data sharing scheme based on blockchain and attribute-based encryption. The model implements decentralized, tamper-proof, traceable data sharing based on a distributed blockchain system. And an attribute-based encryption is used to protect the privacy of patient's medical data. The cryptographic method is used to implement fine-grained access control of the data. The model can reduce the cost of data sharing and improve the efficiency of data utilization while protecting the data security. Finally, compared with the existing medical data sharing methods, our model has certain advantages and good scalability in some aspects.</t>
  </si>
  <si>
    <t>978-1-6654-0757-1</t>
  </si>
  <si>
    <t xml:space="preserve">National Key Research and Development Program of China(grant numbers:2018YFB0803603,2016YFB0501901); National Natural Science Foundation of China(grant numbers:61802436,61902447); </t>
  </si>
  <si>
    <t>https://ieeexplore.ieee.org/stamp/stamp.jsp?arnumber=9611865</t>
  </si>
  <si>
    <t>blockchain;medical health data;data sharing;privacy protection;access control</t>
  </si>
  <si>
    <t>Access control;Data privacy;Scalability;Smart contracts;Medical services;Signal processing;Data models</t>
  </si>
  <si>
    <t>L. Coppolino; S. D'Antonio; G. Mazzeo; G. Papale; L. Sgaglione; F. Campanile</t>
  </si>
  <si>
    <t>An Approach for Securing Critical Applications in Untrusted Clouds</t>
  </si>
  <si>
    <t>2018 26th Euromicro International Conference on Parallel, Distributed and Network-based Processing (PDP)</t>
  </si>
  <si>
    <t>2377-5750</t>
  </si>
  <si>
    <t>10.1109/PDP2018.2018.00076</t>
  </si>
  <si>
    <t>Department of Engineering, University of Naples ‚ÄúParthenope‚Äù, Naples, Italy; Department of Engineering, University of Naples ‚ÄúParthenope‚Äù, Naples, Italy; Department of Engineering, University of Naples ‚ÄúParthenope‚Äù, Naples, Italy; Department of Engineering, University of Naples ‚ÄúParthenope‚Äù, Naples, Italy; Department of Engineering, University of Naples ‚ÄúParthenope‚Äù, Naples, Italy; Department of Engineering, University of Naples ‚ÄúParthenope‚Äù, Naples, Italy</t>
  </si>
  <si>
    <t>The cloud computing has recently emerged as compelling paradigm for managing and delivery services over the internet. However, users as well as critical infrastructure operators, have legitimate concerns about the confidentiality, integrity and availability, in short the dependability, of applications and their data hosted on a third-party cloud. The dependability is become a commercial imperative for cloud providers, especially to support cloud computing for critical infrastructures. In this paper the SecureCloud project, its approach and goals are presented. SecureCloud aims to remove technical impediments to dependable cloud computing, encouraging and enabling a greater uptake of cost-effective, environment-friendly, and innovative cloud solutions, in particular, for critical infrastructure applications.</t>
  </si>
  <si>
    <t>978-1-5386-4975-6</t>
  </si>
  <si>
    <t>https://ieeexplore.ieee.org/stamp/stamp.jsp?arnumber=8374499</t>
  </si>
  <si>
    <t>Trusted Cloud Computing;Intel Software Guard eXtension (SGX);Critical infrastructures</t>
  </si>
  <si>
    <t>Cloud computing;Critical infrastructure;Smart homes;Security;Containers;Smart grids</t>
  </si>
  <si>
    <t>C. Rotsos; A. Farshad; N. Hart; A. Aguado; S. Bidkar; K. Sideris; D. King; L. Fawcett; J. Bird; A. Mauthe; N. Race; D. Hutchison</t>
  </si>
  <si>
    <t>Baguette: Towards End-to-End Service Orchestration in Heterogeneous Networks</t>
  </si>
  <si>
    <t>10.1109/IUCC-CSS.2016.035</t>
  </si>
  <si>
    <t>School of Computing and Communication, Lancaster University; School of Computing and Communication, Lancaster University; School of Computing and Communication, Lancaster University; Department of Electrical and Electronic Engineering, Bristol University; Department of Electrical and Electronic Engineering, Bristol University; Department of Electrical and Electronic Engineering, Bristol University; British Telecom; School of Computing and Communication, Lancaster University; School of Computing and Communication, Lancaster University; School of Computing and Communication, Lancaster University; School of Computing and Communication, Lancaster University; School of Computing and Communication, Lancaster University</t>
  </si>
  <si>
    <t>Network services are the key mechanism for operators to introduce intelligence and generate profit from their infrastructures. The growth of the number of network users and the stricter application network requirements have highlighted a number of challenges in orchestrating services using existing production management and configuration protocols and mechanisms. Recent networking paradigms like Software Defined Networking (SDN) and Network Function Virtualization (NFV), provide a set of novel control and management interfaces that enable unprecedented automation, flexibility and openness capabilities in operator infrastructure management. This paper presents Baguette, a novel and open service orchestration framework for operators. Baguette supports a wide range of network technologies, namely optical and wired Ethernet technologies, and allows service providers to automate the deployment and dynamic re-optimization of network services. We present the design of the orchestrator and elaborate on the integration of Baguette with existing low-level network and cloud management frameworks.</t>
  </si>
  <si>
    <t>https://ieeexplore.ieee.org/stamp/stamp.jsp?arnumber=7828602</t>
  </si>
  <si>
    <t>Peer-to-peer computing;Noise measurement;Protocols;Mobile communication;Resource management;Bandwidth;Mobile computing</t>
  </si>
  <si>
    <t>R. Challa; S. M. Raza; S. Jeon; H. Choo; P. Thorat</t>
  </si>
  <si>
    <t>Refactoring Future Residential Networks into Slices</t>
  </si>
  <si>
    <t>10.1109/NFV-SDN.2018.8725676</t>
  </si>
  <si>
    <t>Dept. of Electrical and Computer Engineering, Sungkyunkwan University, Suwon, Korea; Dept. of Electrical and Computer Engineering, Sungkyunkwan University, Suwon, Korea; Dept. of Electrical and Computer Engineering, Sungkyunkwan University, Suwon, Korea; Dept. of Electrical and Computer Engineering, Sungkyunkwan University, Suwon, Korea; 5G Network, Samsung R&amp;D Institute, Bangalore, India</t>
  </si>
  <si>
    <t>The following topics are dealt with: virtualisation; software defined networking; telecommunication traffic; 5G mobile communication; computer network security; cloud computing; computer network management; quality of service; mobile computing; telecommunication network routing.</t>
  </si>
  <si>
    <t>https://ieeexplore.ieee.org/stamp/stamp.jsp?arnumber=8725676</t>
  </si>
  <si>
    <t>Residential networks;network slicing;slice admission control function;CORD;network function virtualization</t>
  </si>
  <si>
    <t>Network function virtualization;Network slicing;Resource management;5G mobile communication;Broadband communication;Admission control</t>
  </si>
  <si>
    <t>Q. H. Nguyen; Q. Dang; C. Pham; T. -D. Nguyen; H. Nguyen; A. Setty; T. Q. Le</t>
  </si>
  <si>
    <t>Developing an Architecture for IoT Interoperability in Healthcare: A Case Study of Real-time SpO2 Signal Monitoring and Analysis</t>
  </si>
  <si>
    <t>2020 IEEE International Conference on Big Data (Big Data)</t>
  </si>
  <si>
    <t>10.1109/BigData50022.2020.9378200</t>
  </si>
  <si>
    <t>Industrial and Manufacturing Engineering, North Dakota State University, Fargo, USA; Industrial and Manufacturing Engineering, North Dakota State University, Fargo, USA; Synchromedia - √âcole de Technologie Sup√©rieure, Universit√© du Qu√©bec, Canada; Computer Science and Engineering, Kyung Hee University, Yogin, Korea; Computer Science, New Jersey Institute of Technology, Newark, USA; School of Medicine and Health Services, University of North Dakota, Fargo, USA; Industrial and Manufacturing Engineering, North Dakota State University, Fargo, USA</t>
  </si>
  <si>
    <t>The article presents a novel approach to address the interoperability issues in the Internet of Things (IoT) systems. Based on the IoT Reference Architecture, an IoT system architecture integrated with gateways and data converter solutions has been proposed to enhance the information exchange and data sharing across interconnected devices, networks and platforms. In addition, distributed open-source analytic platforms for real-time computational and streaming processing has been introduced to the proposed architecture. A case study of real-time oxygen saturation (SpO2) monitoring and analysis has been implemented to demonstrate the feasibility of the proposed architecture. The experimental results show the efficiency in terms of collecting and analyzing large volumes of data.</t>
  </si>
  <si>
    <t>978-1-7281-6251-5</t>
  </si>
  <si>
    <t xml:space="preserve">National Institutes of Health; </t>
  </si>
  <si>
    <t>https://ieeexplore.ieee.org/stamp/stamp.jsp?arnumber=9378200</t>
  </si>
  <si>
    <t>Internet of Things;Interoperability;Industrial Internet Reference Architecture;Distributed Big Data Analytics;Apache Spark</t>
  </si>
  <si>
    <t>Distributed databases;Computer architecture;Big Data;Real-time systems;Internet of Things;Monitoring;Interoperability</t>
  </si>
  <si>
    <t>R. Shetty; A. Jangam; A. Simlai</t>
  </si>
  <si>
    <t>Intelligent Strategies for Overload Detection &amp; Handling for 5G Network</t>
  </si>
  <si>
    <t>2021 IEEE 4th 5G World Forum (5GWF)</t>
  </si>
  <si>
    <t>10.1109/5GWF52925.2021.00031</t>
  </si>
  <si>
    <t>Cisco Systems, Bangalore, Karnataka, India; Cisco Systems, USA; VMware Software India Pvt. Ltd, Bangalore, India</t>
  </si>
  <si>
    <t>With an aggressive deployment of 5G mobile networks worldwide, improved operational efficiency and customer experience are some of the important goals of network operators. An emerging micro-services-based, cloud-native design provides an opportunity to build a flexible and elastic network architecture. From an operational efficiency and availability perspective, overload control of core network functions is a key and a unique design consideration depending upon the end-to-end 5G solution. We have studied a specific case of Access and Mobility Management Function (AMF) scaling and presented how it can be used in other 5G core network areas. The goal of this paper is to discuss different reasons and types of overload conditions that can happen within the 5G core network, as well as discuss the overload detection, control, and prevention mechanism. The paper also presents the core network design options studied and discovered during real-world deployment experience at various service provider networks. A fine-tuning of core network functions is expected to ensure optimal performance of overload scenarios.</t>
  </si>
  <si>
    <t>978-1-6654-4308-1</t>
  </si>
  <si>
    <t>https://ieeexplore.ieee.org/stamp/stamp.jsp?arnumber=9605050</t>
  </si>
  <si>
    <t>5G mobile communication;Network architecture</t>
  </si>
  <si>
    <t>P. Singh; K. S. Acharya; M. J. Beliatis; M. Presser</t>
  </si>
  <si>
    <t>Semantic Search System For Real Time Occupancy</t>
  </si>
  <si>
    <t>2021 IEEE International Conference on Internet of Things and Intelligence Systems (IoTaIS)</t>
  </si>
  <si>
    <t>10.1109/IoTaIS53735.2021.9628719</t>
  </si>
  <si>
    <t>Department of Business Development &amp; Technology, Aarhus Universty, Herning, Denmark; Department of Business Development &amp; Technology, Aarhus Universty, Herning, Denmark; Department of Business Development &amp; Technology, Aarhus Universty, Herning, Denmark; Department of Business Development &amp; Technology, Aarhus Universty, Herning, Denmark</t>
  </si>
  <si>
    <t>This paper presents an IoT enabled real time occupancy semantic search system leveraging ETSI defined context information and interface meta model standard- ‚ÄúNext Generation Service Interface for Linked Data‚Äù (NGSI-LD). It facilitates interoperability, integration and federation of information exchange related to spatial infrastructure among geo-distributed deployed IoT entities, different stakeholders, and process domains. This system, in the presented use case, solves the problem of adhoc booking of meetings in real time through semantic discovery of spatial data and metadata related to room occupancy and thus enables optimum utilization of spatial infrastructure in university campuses. Therefore, the proposed system has the capability to save on effort, cost and productivity in institutional spatial management contexts in the longer run and as well provide a new enriched user experience in smart public buildings. Additionally, the system empowers different stakeholders to plan, forecast and fulfill their spatial infrastructure requirements through semantic data search analysis and real time data driven planning. The initial performance results of the system have shown quick response enabled semantic discovery of data and metadata (&lt;2 seconds mostly). The proposed system would be a steppingstone towards smart management of spatial infrastructure which offers scalability, federation, vendor agnostic ecosystem, seamless interoperability and integration and security by design. The proposed system provides the fundamental work for its extension and potential in relevant spatial domains of the future.</t>
  </si>
  <si>
    <t>978-1-6654-2035-8</t>
  </si>
  <si>
    <t>https://ieeexplore.ieee.org/stamp/stamp.jsp?arnumber=9628719</t>
  </si>
  <si>
    <t>NGSI-LD ontologies;IoT;IoTCrawler;Real Time occupancy;semantic search space;booking system</t>
  </si>
  <si>
    <t>Productivity;Costs;Semantic search;Scalability;Metadata;Real-time systems;Planning</t>
  </si>
  <si>
    <t>G. Kougioumtzidis; A. Vlahov; V. Poulkov; Z. Zaharis; P. Lazaridis</t>
  </si>
  <si>
    <t>QoE-Oriented Open Radio Access Networks for Virtual Reality Applications</t>
  </si>
  <si>
    <t>2022 25th International Symposium on Wireless Personal Multimedia Communications (WPMC)</t>
  </si>
  <si>
    <t>1882-5621</t>
  </si>
  <si>
    <t>10.1109/WPMC55625.2022.10014946</t>
  </si>
  <si>
    <t>Faculty of Telecommunications, Technical University of Sofia, Sofia, Bulgaria; Faculty of Telecommunications, Technical University of Sofia, Sofia, Bulgaria; Faculty of Telecommunications, Technical University of Sofia, Sofia, Bulgaria; School of Electrical and Computer Engineering, Aristotle University of Thessaloniki, Thessaloniki, Greece; School of Computing and Engineering, University of Huddersfield, Huddersfield, United Kingdom</t>
  </si>
  <si>
    <t>Open radio access network (O-RAN) technology shows that it has the potential to drastically change the ecosystem of the mobile networks. O-RAN is built on the pillars of openness and intelligence, and is able to provide programmable, flexible, and energy-efficient wireless communication services. Its enhanced architecture, which is capable of providing customized services, can act as an enabler for a range of emerging technologies with highly demanding network requirements, such as wireless virtual reality (VR) applications. This paper presents an overview of the O-RAN technology, analyzes its architecture and fundamental principles, and examines its main optimization operations. Moreover, it investigates the specific aspects of implementing VR applications over O-RAN, and emphasizes the importance of quality of experience (QoE) in the development of such inherently immersive and interactive applications. Finally, it analyzes the significance of artificial intelligence and machine learning methodologies in embedding QoE-driven operations in O-RAN architecture.</t>
  </si>
  <si>
    <t>978-1-6654-7318-7</t>
  </si>
  <si>
    <t>https://ieeexplore.ieee.org/stamp/stamp.jsp?arnumber=10014946</t>
  </si>
  <si>
    <t>open radio access network (O-RAN);quality of experience (QoE);virtual reality (VR)</t>
  </si>
  <si>
    <t>Wireless communication;Solid modeling;Ecosystems;Virtual reality;Machine learning;Energy efficiency;Quality of experience;Multimedia communication;Optimization;Radio access networks</t>
  </si>
  <si>
    <t>J. Jiang; D. Sun</t>
  </si>
  <si>
    <t>Research on Intelligent Distribution Cabinet Solution Based on Internet of Things Access Cloud Platform</t>
  </si>
  <si>
    <t>2020 IEEE 4th Information Technology, Networking, Electronic and Automation Control Conference (ITNEC)</t>
  </si>
  <si>
    <t>10.1109/ITNEC48623.2020.9084878</t>
  </si>
  <si>
    <t>Beijing Engineering Research Center for IOT Software and Systems, Beijing University of Technology, Beijing, China; Beijing Engineering Research Center for IOT Software and Systems, Beijing University of Technology, Beijing, China</t>
  </si>
  <si>
    <t>With the rapid development of the Internet, there are more and more users of O2O platforms, which leads to the delivery cost and efficiency problems of catering takeout in the last 100 meters. This paper proposes the intelligent distribution cabinet system solution based on the Internet of things accessing cloud platform. In this paper, the architecture of intelligent distribution cabinet system and the QR code encryption algorithm are designed. Finally, the development and implementation of cloud platform are completed. The results show that the Internet of things cloud platform has the characteristics of stability, security and high performance. The cloud platform can meet the current needs of the distribution business and can be used as a solution to the last 100 meters of delivery.</t>
  </si>
  <si>
    <t>978-1-7281-4390-3</t>
  </si>
  <si>
    <t>https://ieeexplore.ieee.org/stamp/stamp.jsp?arnumber=9084878</t>
  </si>
  <si>
    <t>O2O platforms;Internet of things;cloud platform;intelligent distribution cabinet</t>
  </si>
  <si>
    <t>Internet of Things;Cloud computing;Encryption;Business;Protocols;Encoding;Logic gates</t>
  </si>
  <si>
    <t>S. Bouget; Y. -D. Bromberg; A. Luxey; F. Taiani</t>
  </si>
  <si>
    <t>Pleiades: Distributed Structural Invariants at Scale</t>
  </si>
  <si>
    <t>2018 48th Annual IEEE/IFIP International Conference on Dependable Systems and Networks (DSN)</t>
  </si>
  <si>
    <t>2158-3927</t>
  </si>
  <si>
    <t>10.1109/DSN.2018.00062</t>
  </si>
  <si>
    <t>CNRS, Univ Rennes, Rennes, France; CNRS, Univ Rennes, Rennes, France; CNRS, Univ Rennes, Rennes, France; CNRS, Univ Rennes, Rennes, France</t>
  </si>
  <si>
    <t>Modern large scale distributed systems increasingly espouse sophisticated distributed architectures characterized by complex distributed structural invariants. Unfortunately, maintaining these structural invariants at scale is time consuming and error prone, as developers must take into account asynchronous failures, loosely coordinated sub-systems and network delays. To address this problem, we propose PLEIADES, a new framework to construct and enforce large-scale distributed structural invariants under aggressive conditions. PLEIADES combines the resilience of self-organizing overlays, with the expressiveness of an assembly-based design strategy. The result is a highly survivable framework that is able to dynamically maintain arbitrary complex distributed structures under aggressive crash failures. Our evaluation shows in particular that PLEIADES is able to restore the overall structure of a 25,600 node system in less than 11 asynchronous rounds after half of the nodes have crashed.</t>
  </si>
  <si>
    <t>978-1-5386-5596-2</t>
  </si>
  <si>
    <t>https://ieeexplore.ieee.org/stamp/stamp.jsp?arnumber=8416514</t>
  </si>
  <si>
    <t>invariant;topology;large scale systems;distributed systems;gossip;epidemic protocols;maintenance;resilience</t>
  </si>
  <si>
    <t>Shape;Protocols;Topology;Peer-to-peer computing;Structural rings;Resilience;Maintenance engineering</t>
  </si>
  <si>
    <t>P. Mvelase; H. Sithole; T. Modipa; S. Mathaba</t>
  </si>
  <si>
    <t>The economics of cloud computing: A review</t>
  </si>
  <si>
    <t>2016 International Conference on Advances in Computing and Communication Engineering (ICACCE)</t>
  </si>
  <si>
    <t>10.1109/ICACCE.2016.8073741</t>
  </si>
  <si>
    <t>Computing CSIR, Meraka Institute, Pretoria, South Africa; Computing CSIR, Meraka Institute, Pretoria, South Africa; School of Mathematical and Computer Science, University of Limpopo; Department of Computer Science, University of Zululand, KwaDlangezwa, South Africa</t>
  </si>
  <si>
    <t>Cloud computing has the potential to bring significant advantages to organisations, in terms of cost savings, efficiency boosts, user-friendliness, better security, and accelerated innovation. The shift to cloud computing has the potential to revolutionise the way organisations perform their daily processes, hence the economics of cloud computing. Such technology will allow businesses computing power and storage from service providers, and to pay on demand, with a profound impact on the cost structure of all the industries, turning some of the fixed costs in marginal costs of production. Such a change will have a substantial impact on the incentives to create new business, and through this, it has the potential to impact investments and macroeconomic growth, job creation in all industries and job reallocation in the ICT sector, and public finance accounts, through the direct impact on the public sector spending and the indirect one on the tax revenues. This work focuses on comparing many pricing models techniques employed and proposed. We also highlight the pros and cons of each. The comparison is based on many aspects such as fairness, pricing approach, and utilisation period. Such an approach provides a solid ground for designing better models in the future. Our study found that most approaches are theoretical and not implemented in the real market, although their simulation results are very promising. Moreover, most of these approaches are biased toward the service provider.</t>
  </si>
  <si>
    <t>978-1-5090-2576-3</t>
  </si>
  <si>
    <t>https://ieeexplore.ieee.org/stamp/stamp.jsp?arnumber=8073741</t>
  </si>
  <si>
    <t>Cloud computing;Cloud Economics;Virtualisation</t>
  </si>
  <si>
    <t>Cloud computing;Pricing;Computational modeling;Biological system modeling;Industries;Economics</t>
  </si>
  <si>
    <t>F. Yang; X. Huang; S. Zhu; L. Su; Y. Jiang; P. Liao</t>
  </si>
  <si>
    <t>Design of universal edge IOT agent device for comprehensive monitoring of distribution room</t>
  </si>
  <si>
    <t>2021 IEEE 4th International Electrical and Energy Conference (CIEEC)</t>
  </si>
  <si>
    <t>10.1109/CIEEC50170.2021.9510939</t>
  </si>
  <si>
    <t>Hunan Key Laboratory for Internet of Things in Electricity Information and Communication, Branch of State Grid Hunan Electric Power Company Limited, Changsha, China; Hunan Key Laboratory for Internet of Things in Electricity Information and Communication, Branch of State Grid Hunan Electric Power Company Limited, Changsha, China; Hunan Key Laboratory for Internet of Things in Electricity Information and Communication, Branch of State Grid Hunan Electric Power Company Limited, Changsha, China; Hunan Key Laboratory for Internet of Things in Electricity Information and Communication, Branch of State Grid Hunan Electric Power Company Limited, Changsha, China; School of Electrical and Information Engineering, Changsha University of Science and Technology, Changsha, China; School of Electrical and Information Engineering, Changsha University of Science and Technology, Changsha, China</t>
  </si>
  <si>
    <t>Smart monitoring of distribution room is an important means to improve the lean management level of low-voltage distribution network. Aiming at the problems of diversity of bottom terminal interface, difference of communication protocol and poor real-time of business processing in current comprehensive monitoring of distribution room, based on the research of key technologies such as plug and play interface design, localized edge computing and virtual container deployment, a general edge IOT agent device for comprehensive monitoring of distribution room is designed, and the module of edge IOT agent device is given Based on cloud edge collaboration, the architecture and function design of the comprehensive monitoring system for the distribution room are proposed. The accuracy, reliability and real-time performance of the data monitoring for the distribution room are effectively improved, which is a good example Typical experience accumulation of smart IOT system in application scenarios of distribution station area.</t>
  </si>
  <si>
    <t>978-1-7281-7149-4</t>
  </si>
  <si>
    <t>https://ieeexplore.ieee.org/stamp/stamp.jsp?arnumber=9510939</t>
  </si>
  <si>
    <t>Edge computing;Power Internet of things;cloud edge collaboration;software container deployment</t>
  </si>
  <si>
    <t>Performance evaluation;Cloud computing;Collaboration;Computer architecture;Containers;Real-time systems;Internet of Things</t>
  </si>
  <si>
    <t>V. Moysiadis; C. Karaiskou; G. Kokkonis; I. D. Moscholios; P. Sarigiannidis</t>
  </si>
  <si>
    <t>A System Architecture for Smart Farming on Mushroom Cultivation</t>
  </si>
  <si>
    <t>2022 5th World Symposium on Communication Engineering (WSCE)</t>
  </si>
  <si>
    <t>10.1109/WSCE56210.2022.9916047</t>
  </si>
  <si>
    <t>Dept. of Electrical and Computer Engineering, University of Western Macedonia, Kozani, Greece; Dept. of Electrical and Computer Engineering, University of Western Macedonia, Kozani, Greece; Dept. of Business Administration, University of Western Macedonia, Grevena, Greece; Dept. of Informatics and Telecommunications, University of Peloponnese, Tripolis, Greece; Dept. of Electrical and Computer Engineering, University of Western Macedonia, Kozani, Greece</t>
  </si>
  <si>
    <t>Collecting data for various parameters in the agriculture domain aims to help farmers and agronomists to take proper decisions regarding the health and the status of the cultivation. Mushrooms are becoming one of the most valuable ingredients in nowadays diet, giving additional vitamins and flavour without sodium or fat. Moreover, various mushroom species can grow in greenhouses under restricted controlled conditions. Furthermore, atmospheric parameters in the greenhouse and parameters from the substrate are of paramount importance in mushroom cultivation. Therefore, measuring and controlling these parameters using modern approaches based on Internet of Things technologies might leverage production. In addition, a decision support system based on aggregated data can help mushroom farmers in everyday decisions. In this manuscript, we propose a system architecture for data acquisition and decision-making for a greenhouse with mushrooms based on innovative technologies. Besides, we provide directions for wild mushroom hunting based on UAVs and sensors deployed in forests.</t>
  </si>
  <si>
    <t>978-1-6654-5057-7</t>
  </si>
  <si>
    <t>https://ieeexplore.ieee.org/stamp/stamp.jsp?arnumber=9916047</t>
  </si>
  <si>
    <t>Mushrooms;Smart Farming;UAV;Microservices;LoRa</t>
  </si>
  <si>
    <t>Decision support systems;Technological innovation;Atmospheric measurements;Sodium;Systems architecture;Greenhouses;Forestry</t>
  </si>
  <si>
    <t>R. M. Badia; J. Ejarque; F. Lordan; D. Lezzi; J. Conejero; J. √Ålvarez Cid-Fuentes; Y. Becerra; A. Queralt</t>
  </si>
  <si>
    <t>Workflow Environments for Advanced Cyberinfrastructure Platforms</t>
  </si>
  <si>
    <t>10.1109/ICDCS.2019.00171</t>
  </si>
  <si>
    <t>Barcelona Supercomputing Center, Barcelona, Spain; Barcelona Supercomputing Center, Barcelona, Spain; Barcelona Supercomputing Center, Barcelona, Spain; Barcelona Supercomputing Center, Barcelona, Spain; Barcelona Supercomputing Center, Barcelona, Spain; Barcelona Supercomputing Center, Barcelona, Spain; Barcelona Supercomputing Center, Barcelona, Spain; Barcelona Supercomputing Center, Barcelona, Spain</t>
  </si>
  <si>
    <t>Progress in science is deeply bound to the effective use of high-performance computing infrastructures and to the efficient extraction of knowledge from vast amounts of data. Such data comes from different sources that follow a cycle composed of pre-processing steps for data curation and preparation for subsequent computing steps, and later analysis and analytics steps applied to the results. However, scientific workflows are currently fragmented in multiple components, with different processes for computing and data management, and with gaps in the viewpoints of the user profiles involved. Our vision is that future workflow environments and tools for the development of scientific workflows should follow a holistic approach, where both data and computing are integrated in a single flow built on simple, high-level interfaces. The topics of research that we propose involve novel ways to express the workflows that integrate the different data and compute processes, dynamic runtimes to support the execution of the workflows in complex and heterogeneous computing infrastructures in an efficient way, both in terms of performance and energy. These infrastructures include highly distributed resources, from sensors and instruments, and devices in the edge, to High-Performance Computing and Cloud computing resources. This paper presents our vision to develop these workflow environments and also the steps we are currently following to achieve it.</t>
  </si>
  <si>
    <t>https://ieeexplore.ieee.org/stamp/stamp.jsp?arnumber=8885062</t>
  </si>
  <si>
    <t>Scientific workflows, Computing continuum platforms, Big data and High-Performance Computing convergence, Intelligent runtimes</t>
  </si>
  <si>
    <t>Task analysis;Distributed computing;Programming;Computational modeling;Data models;Tools;Runtime</t>
  </si>
  <si>
    <t>O. van Cutsem; I. S. Bayram; K. Maher; J. -C. Fosse</t>
  </si>
  <si>
    <t>Demonstration of a Smart Villa Energy Monitoring Platform in Qatar</t>
  </si>
  <si>
    <t>2019 UK/ China Emerging Technologies (UCET)</t>
  </si>
  <si>
    <t>10.1109/UCET.2019.8881883</t>
  </si>
  <si>
    <t>Electronics Laboratory, Ecole Polytechnique Federale de Lausanne, Lausanne, Switzerland; Qatar Environment and Energy Research Institute, Hamad Bin Khalifa University, Doha, Qatar; Electronics Laboratory, Ecole Polytechnique Federale de Lausanne, Lausanne, Switzerland; ThinkEE, Lausanne, Switzerland</t>
  </si>
  <si>
    <t>In this paper, we present an overview of smart villa energy monitoring platform deployed in Qatar. The platform collects electricity consumption, indoor climate (temperature, humidity), and occupancy data in real time using energy monitors and smart sensors. Data is sent to our server located in Switzerland where energy management simulations are performed. The developed platform presents a low cost energy monitoring and management platform for residential units.</t>
  </si>
  <si>
    <t>978-1-7281-2797-2</t>
  </si>
  <si>
    <t>https://ieeexplore.ieee.org/stamp/stamp.jsp?arnumber=8881883</t>
  </si>
  <si>
    <t>Load monitoring;Internet of things;smart buildings</t>
  </si>
  <si>
    <t>Buildings;Monitoring;Energy management;Home appliances;Temperature sensors;Temperature measurement</t>
  </si>
  <si>
    <t>Y. Guo; S. Wang</t>
  </si>
  <si>
    <t>Challenges and Opportunities in Space Service Computing</t>
  </si>
  <si>
    <t>10.1109/SCC53864.2021.00016</t>
  </si>
  <si>
    <t>State Key Lab of Networking and Switching Technology, Beijing University of Posts and Telecommunications; State Key Lab of Networking and Switching Technology, Beijing University of Posts and Telecommunications</t>
  </si>
  <si>
    <t>Satellite network has become very popular in recent years. The great development of satellite network motivates the research on satellite-air-ground integrated network to accommodate a variety of services. The concept of space service computing is predicated on moving some services towards space network to harness service capabilities that are currently untapped in space nodes, such as satellites, orbital stations, aircrafts and so on. In this paper, we attempt to sketch a big picture about space service computing with a hope of arousing interest of the research community in this emerging field. We first present a space service computing framework. Compared with the traditional service computing, there are many new challenges for space service computing due to the unique space and aerial environment. Therefore, we also discuss the challenges and opportunities in space service computing.</t>
  </si>
  <si>
    <t xml:space="preserve">Research and Development; National Science Foundation; </t>
  </si>
  <si>
    <t>https://ieeexplore.ieee.org/stamp/stamp.jsp?arnumber=9592483</t>
  </si>
  <si>
    <t>Space service computing;satellite-air-ground integrated network;satellite;service coordination</t>
  </si>
  <si>
    <t>Space vehicles;Satellites;Service computing;Routing;Orbits;Libraries;Sensors</t>
  </si>
  <si>
    <t>P. Baniya; G. Bajaj; J. Lee; A. Bastani; C. Francis; M. Agumbe Suresh</t>
  </si>
  <si>
    <t>Towards Policy-aware Edge Computing Architectures</t>
  </si>
  <si>
    <t>10.1109/BigData50022.2020.9377982</t>
  </si>
  <si>
    <t>San Jos√© State University; San Jos√© State University; San Jos√© State University; San Jos√© State University; San Jos√© State University; San Jos√© State University</t>
  </si>
  <si>
    <t>Cloud computing offers an economical and elastic means to handle the storage and computation needs of the Internet of Things (IoT). However, storage and retrieval from the cloud could potentially violate policies, especially those pertaining to data privacy. Edge computing as a paradigm is a suitable way to overcome these issues. This paper presents a policy-aware edge computing architecture that enables policy-aware normalization and filtration of the data that is sent to cloud services to preserve policies. We use a secure and encrypted channel to transmit the data generated by the IoT devices to the dedicated computing units at the edge of the network. Our architecture offers programmers the ability to configure the system easily and perform a predetermined set of computation tasks on the data, e.g., tasks to uphold privacy policies such as blurring faces, license plates, etc.</t>
  </si>
  <si>
    <t>https://ieeexplore.ieee.org/stamp/stamp.jsp?arnumber=9377982</t>
  </si>
  <si>
    <t>Cloud computing;Data privacy;Computer architecture;Big Data;Internet of Things;Task analysis;Edge computing</t>
  </si>
  <si>
    <t>C. Mart√≠n; D. R. Torres; M. D√≠az; B. Rubio</t>
  </si>
  <si>
    <t>FogPi: A Portable Fog Infrastructure through Raspberry Pis</t>
  </si>
  <si>
    <t>2020 9th Mediterranean Conference on Embedded Computing (MECO)</t>
  </si>
  <si>
    <t>10.1109/MECO49872.2020.9134320</t>
  </si>
  <si>
    <t>Department of Languages and Computer Science, University of M√°laga, M√°laga, Spain; Department of Languages and Computer Science, University of M√°laga, M√°laga, Spain; Department of Languages and Computer Science, University of M√°laga, M√°laga, Spain; Department of Languages and Computer Science, University of M√°laga, M√°laga, Spain</t>
  </si>
  <si>
    <t>Nowadays, Fog computing is facing the requirements of time-sensitive applications in the IoT-cloud continuum. These requirements are decisive for mission-critical applications like structural health monitoring. In this paper, a portable Fog computing infrastructure, known as FogPi, is presented. This infrastructure has been designed around Raspberry Pi, which offers a low-cost and scalable solution for running containerized applications. FogPi allows the deployment, management, and orchestration of Docker containers and is especially suitable for environments where the limited Internet connection and reduced budgets limit the adoption of Fog and Edge deployments.</t>
  </si>
  <si>
    <t>978-1-7281-6949-1</t>
  </si>
  <si>
    <t>https://ieeexplore.ieee.org/stamp/stamp.jsp?arnumber=9134320</t>
  </si>
  <si>
    <t>Performance evaluation;Cloud computing;Three-dimensional displays;Modal analysis;Mission critical systems;Containers;Load management</t>
  </si>
  <si>
    <t>V. Mygdalis; L. Carnevale; J. R. Mart√≠nez-De-Dios; D. Shutin; G. Aiello; M. Villari; I. Pitas</t>
  </si>
  <si>
    <t>OTE: Optimal Trustworthy EdgeAI solutions for smart cities</t>
  </si>
  <si>
    <t>10.1109/CCGrid54584.2022.00100</t>
  </si>
  <si>
    <t>Department of Informatics, Aristotle University of Thessaloniki, Thessaloniki, Greece; Department of Mathematical and Computer Science, Physics and Hearth Sciences, University of Messina, Messina, Italy; Robotics, Vision and Control Group, University of Seville, Seville, Spain; Institute of Communications and Navigation, German Aerospace Center (DLR), Wessling, Germany; Research and Development Lab., Engineering Ingegneria Informatica S.p.A, Rome, Italy; Department of Mathematical and Computer Science, Physics and Hearth Sciences, University of Messina, Messina, Italy; Department of Informatics, Aristotle University of Thessaloniki, Thessaloniki, Greece</t>
  </si>
  <si>
    <t>This work studies and defines the problem of providing extensive and opportunistic Edge AI-based area coverage in smart city application scenarios, by researching and determining the optimal configuration of sensing and computational resources for minimizing the environmental/technology footprint of the solution. A typical smart city computing continuum consists of statically installed multimodal sensing Internet-of-Things (IoT) nodes at various city locations, accompanied by interconnected computational Cloud/Edge/IoT nodes. This paper presents Optimal Trustworthy EdgeAI (OTE), an entirely novel research pipeline, that complements existing smart city infrastructure with intelligent drone Edge/IoT nodes (in the form of modularly equipped unmanned aerial vehicles), capable of autonomous repositioning according to individual/collective sensing and coverage criteria. Thereby, we envisage the emerging cutting-edge technologies of trustworthy sensing, perceiving, modelling technologies for predicting the behavior of moving targets (e.g., citizens/vehicles/objects), understanding natural phenomena (e.g., sea wave motion, urban flora/fauna, biodiversity) in order to anticipate events (people's bad habits, environmental changes), by exploiting novel continuous data processing services across the whole span of the enhanced Cloud-Edge-IoT computing continuum.</t>
  </si>
  <si>
    <t xml:space="preserve">Horizon 2020(grant numbers:871479,101004605); </t>
  </si>
  <si>
    <t>https://ieeexplore.ieee.org/stamp/stamp.jsp?arnumber=9826103</t>
  </si>
  <si>
    <t>EdgeAI;Trustworthy-AI;Smart city;Cloud-Edge-IoT intelligence;UAVs</t>
  </si>
  <si>
    <t>Cloud computing;Privacy;Smart cities;Pipelines;Semantics;Robot sensing systems;Software</t>
  </si>
  <si>
    <t>S. R√ºckerl; M. Ukkola; S. W√ºrl; M. Faehling</t>
  </si>
  <si>
    <t>Distributed Computing for Modular &amp; Reliable Nanosatellites</t>
  </si>
  <si>
    <t>2021 IEEE Aerospace Conference (50100)</t>
  </si>
  <si>
    <t>1095-323X</t>
  </si>
  <si>
    <t>10.1109/AERO50100.2021.9438474</t>
  </si>
  <si>
    <t>Technical University Munich, Garching b. M√ºnchen, Germany; WARRe.V., Garching b. M√ºnchen, Germany; WARRe.V., Garching b. M√ºnchen, Germany; WARRe.V., Garching b. M√ºnchen, Germany</t>
  </si>
  <si>
    <t>Nanosatellites are often controlled by a monolithic command and data handling system. The Distributed Operating System Initiative for Satellites (DOSIS) framework enables controlling a satellite in a distributed and modular fashion. In this paper we present our approach to inter-process communication of software components in a network of micro controller unit (MCU) based nodes. The DOSIS framework implements the interfacing of software components using message-based communication. The framework aims to reduce constraints for locality of software components within the network. We show that using DOSIS, timing constraints in the sub-millisecond range can be fulfilled in a distributed setup using a shared Controller Area Network (CAN) bus. The timing precision is reached by reliably synchronizing the time within the network using only the CAN bus. As an example of a network inside a nanosatellite, we simulate a control loop with sensor, controller and actor, each handled by a different MCU. We verify our results by running worst-case scenarios in benchmarks on a three node test setup.</t>
  </si>
  <si>
    <t>978-1-7281-7436-5</t>
  </si>
  <si>
    <t xml:space="preserve">Deutsche Forschungsgemeinschaft(grant numbers:EXC-2094-390783311); </t>
  </si>
  <si>
    <t>https://ieeexplore.ieee.org/stamp/stamp.jsp?arnumber=9438474</t>
  </si>
  <si>
    <t>Uncertainty;Attitude control;Operating systems;Redundancy;Small satellites;Prototypes;Software</t>
  </si>
  <si>
    <t>M. Y. Afanasev; A. A. Krylova; S. A. Shorokhov; Y. V. Fedosov; K. V. Zimenko</t>
  </si>
  <si>
    <t>Mesh Networking in Cyber-Physical Production Systems: Towards Modular Industrial Equipment Integration</t>
  </si>
  <si>
    <t>2018 23rd Conference of Open Innovations Association (FRUCT)</t>
  </si>
  <si>
    <t>10.23919/FRUCT.2018.8588083</t>
  </si>
  <si>
    <t>ITMO University, Saint-Petersburg, Russia; ITMO University, Saint-Petersburg, Russia; ITMO University, Saint-Petersburg, Russia; ITMO University, Saint-Petersburg, Russia; ITMO University, Saint-Petersburg, Russia</t>
  </si>
  <si>
    <t>Ensuring uninterrupted interaction of modular industrial equipment units is one of the most important engineering tasks. The concept of Cyber-Physical Production Systems (CPPS) assumes that the distributed network should correspond to the current industrial process and be able to quickly reorganize it when changes occur. If composition of the equipment becomes more complicated, a standard topology with one central control node might get ineffective. This article describes the application of mesh-network technology to ensure the interaction of industrial devices and sensors included in the modular equipment. Virtual deployment of the network and a description network nodes interaction including new node registration in the dispatcher registry are given.</t>
  </si>
  <si>
    <t>978-9-5268-6536-2</t>
  </si>
  <si>
    <t>https://ieeexplore.ieee.org/stamp/stamp.jsp?arnumber=8588083</t>
  </si>
  <si>
    <t>Production;Wireless communication;Sensors;Mesh networks;5G mobile communication</t>
  </si>
  <si>
    <t>S. A. Bjerre; M. W. Kl√¶bel Blomsterberg; B. Andersen</t>
  </si>
  <si>
    <t>5G Attacks and Countermeasures</t>
  </si>
  <si>
    <t>10.1109/WPMC55625.2022.10014962</t>
  </si>
  <si>
    <t>DTU Engineering Technology, Technical University of Denmark, Ballerup, Denmark; DTU Engineering Technology, Technical University of Denmark, Ballerup, Denmark; DTU Engineering Technology, Technical University of Denmark, Ballerup, Denmark</t>
  </si>
  <si>
    <t>With the arrival of fifth generation of mobile networking technology, 5G, subscribers and IoT devices can look forward to higher data transfer rates, lower latency, better reli-ability, and increased availability. Deploying new infrastructure in conjunction with the previous generations of networks will expand the attack surface. We explore the architecture of the 5G architecture and give an overview of the types of attack vectors and how to possibly mitigate the attacks. Through our research, we found that vulnerabilities must be addressed at every level within the infrastructure of 5G network. While 5G network has increased in complexity and separated services depend from one another, maintaining and patching a service has been made easier. From security perspective, this study emphasizes how mobile network technologies are receptive to threats and the need for mitigation methods is a high priority. We estimate exploit difficulties and they indicate how to prioritize the work forward on developing mitigation methods.</t>
  </si>
  <si>
    <t>https://ieeexplore.ieee.org/stamp/stamp.jsp?arnumber=10014962</t>
  </si>
  <si>
    <t>5G;security;attack vectors;countermeasures</t>
  </si>
  <si>
    <t>EU</t>
  </si>
  <si>
    <t>Wireless communication;5G mobile communication;Data transfer;Hardware;Complexity theory;Internet of Things;Security</t>
  </si>
  <si>
    <t>V. Tsakanikas; T. Dagiuklas</t>
  </si>
  <si>
    <t>VFCSIM: A simulation framework for real-time multi-service Virtual Function Chains deployment</t>
  </si>
  <si>
    <t>10.1109/GLOBECOM48099.2022.10001543</t>
  </si>
  <si>
    <t>Smart Internet Technologies (SuITE) Division of Computer Science and Informatics, School of Engineering, London, UK; Smart Internet Technologies (SuITE) Division of Computer Science and Informatics, School of Engineering, London, UK</t>
  </si>
  <si>
    <t>Modelling service deployment on distributed, heterogenous and dynamic environments usually involves the integration of multiple software components under a common deployment. Such deployments have gained focus lately, not only because of the rise of the Edge Computing paradigm but also due to Clouds and micro-Clouds Computing infrastructures. A novel approach for this deployment is Virtual Function Chains, according to which a service is decomposed to a set of Virtual Functions and each Virtual Function is undertaken by a different device. We propose a Virtual Function Chain Simulation (VFCSIM) Framework, an opensource library for building simulation models of both edge and cloud networked systems, based on Virtual Function Chains. VFCSIM's central structure is a heterogeneous network, which can describe, via scripting, a wide set of devices, network links, cloud resources, cost models and services. A case study is presented, according to which final users request on demand surveillance services from an edge network. After describing the simulation setup steps, both the summarization results and the real-time probing metrics are presented. VFCSIM is expected to enhance and facilitate the deployment of the Virtual Function Chaining paradigm both to cloud and edge infrastructures.</t>
  </si>
  <si>
    <t>https://ieeexplore.ieee.org/stamp/stamp.jsp?arnumber=10001543</t>
  </si>
  <si>
    <t>simulator;edge computing;cloud computing;streaming services;multiprocessing</t>
  </si>
  <si>
    <t>Measurement;Cloud computing;Computational modeling;Surveillance;Real-time systems;Software;Libraries</t>
  </si>
  <si>
    <t>P. Madadi; C. Lo; J. Jeon; J. Cho; J. -H. Song; J. C. Zhang</t>
  </si>
  <si>
    <t>Open-RAN and Future Intelligent Networks</t>
  </si>
  <si>
    <t>10.1109/VTC2022-Spring54318.2022.9860733</t>
  </si>
  <si>
    <t>Standards and Mobility Innovation Lab, Samsung Research America, Mountain View, CA, USA; Standards and Mobility Innovation Lab, Samsung Research America, Mountain View, CA, USA; Standards and Mobility Innovation Lab, Samsung Research America, Mountain View, CA, USA; Standards and Mobility Innovation Lab, Samsung Research America, Mountain View, CA, USA; Systems Design Group, Samsung Electronics, Seoul, S. Korea; Standards and Mobility Innovation Lab, Samsung Research America, Mountain View, CA, USA</t>
  </si>
  <si>
    <t>As the pace of global 5G network deployments accelerates, the telecommunications industry strives to move from a conventional vertical stack, closed, hardware-based ecosystem to an open, interoperable, modular, cloud-based ecosystem that leverages software-based implementations of various network entities ‚Äì including core network functions and base stations. Such an open ecosystem could facilitate the implementation of AI techniques and could be a critical advancement in realizing the vision of ‚Äúzero-touch‚Äù wireless networks that support end-to-end automation‚Äì stretching from the core network to end-user devices. In this paper, we provide an overview of ongoing discussions along these lines in the context of the O-RAN Alliance along with a comprehensive discussion on various challenges. We then briefly present our vision of the evolution of intelligent networks beyond current 4G/5G networks.</t>
  </si>
  <si>
    <t>https://ieeexplore.ieee.org/stamp/stamp.jsp?arnumber=9860733</t>
  </si>
  <si>
    <t>Industries;Intelligent networks;Vehicular and wireless technologies;Technological innovation;Base stations;5G mobile communication;Wireless networks</t>
  </si>
  <si>
    <t>G. R. Russo; A. Milani; S. Iannucci; V. Cardellini</t>
  </si>
  <si>
    <t>Towards QoS-Aware Function Composition Scheduling in Apache OpenWhisk</t>
  </si>
  <si>
    <t>2022 IEEE International Conference on Pervasive Computing and Communications Workshops and other Affiliated Events (PerCom Workshops)</t>
  </si>
  <si>
    <t>10.1109/PerComWorkshops53856.2022.9767299</t>
  </si>
  <si>
    <t>University of Rome Tor Vergata, Rome, Italy; University of Rome Tor Vergata, Rome, Italy; Mississippi State University, MS, USA; University of Rome Tor Vergata, Rome, Italy</t>
  </si>
  <si>
    <t>Function-as-a-Service (FaaS) is increasingly popular thanks to the benefits provided to application developers and operators. Besides commercial Cloud-based offerings, open-source solutions have emerged enabling FaaS deployment on private infrastructures and possibly at the edge of the network. When moving from the Cloud to Fog/Edge environments, optimizing resource allocation for function execution becomes a critical challenge. Unfortunately, existing FaaS platforms have little or no support for fine-grained scheduling and resource allocation, nor allow users to enforce Quality-of-Service (QoS) requirements. We take a first step towards the development of a QoS-aware FaaS platform. We design and implement new mechanisms to support differentiated classes of services within Apache OpenWhisk, a popular open-source FaaS framework. Our experiments show that our prototype efficiently supports state-of-the-art scheduling policies and provides throughput improvements when dealing with function compositions under high load scenarios.</t>
  </si>
  <si>
    <t>978-1-6654-1647-4</t>
  </si>
  <si>
    <t>https://ieeexplore.ieee.org/stamp/stamp.jsp?arnumber=9767299</t>
  </si>
  <si>
    <t>Serverless;scheduling;resource allocation</t>
  </si>
  <si>
    <t>Pervasive computing;Processor scheduling;Conferences;Prototypes;FAA;Quality of service;Throughput</t>
  </si>
  <si>
    <t>Y. Sharma; M. G. Khan; J. Taheri; A. Kassler</t>
  </si>
  <si>
    <t>Performance Benchmarking of Virtualized Network Functions to Correlate Key Performance Metrics with System Activity</t>
  </si>
  <si>
    <t>10.1109/NoF50125.2020.9249199</t>
  </si>
  <si>
    <t>Department of Computer Science and Mathematics, Karlstad University, Sweden; Department of Computer Science and Mathematics, Karlstad University, Sweden; Department of Computer Science and Mathematics, Karlstad University, Sweden; Department of Computer Science and Mathematics, Karlstad University, Sweden</t>
  </si>
  <si>
    <t>Industry is set to enter in a new revolution (Industry 4.0) backed by high inter-connectivity. Therefore, leveraging virtualization technology to deploy networks as virtualized network functions (VNFs) garnered attention. It helps the network operators and service providers to consolidate several VNFs on fewer of-the-shelf servers. This results in reducing the capital and operational expenditures while improving the resource efficiency. However, moving network functions from proprietary devices to standard servers comes with the profound cost of performance degradation. In order to overcome any performance issues to ensure service level agreement (SLA) requirements and before taking the solutions to real world, a sufficient verification and validation of VNFs is required. This is where Network Service benchmarking (NSB) plays a crucial role. NSB identifies any performance compromising bottlenecks by systematically evaluating the capacity of general purpose hardware resources, also know as network function virtualization infrastructure (NFVI), used to host single or multiple VNF instances. This paper presents a benchmarking methodology and framework to extract the correlation among the VNF quality of services (QoS) metrics and NFVI key performance indicators (KPls). For evaluation, VoerEir Touchstone platform is used to execute iPerf based benchmarking application to generate UDP based workload between VNFs. The results demonstrated that CPU utilization and L1- L3 cache memory are statistically correlated with packets dropped (0.43 and 0.47, respectively) and bandwidth utilization (0.99 and 0.92, respectively).</t>
  </si>
  <si>
    <t>https://ieeexplore.ieee.org/stamp/stamp.jsp?arnumber=9249199</t>
  </si>
  <si>
    <t>VNF;NFVI;Benchmarking;Correlation;Cache Memory;CPU;Packets Dropped;Bandwidth Utilization;UDP</t>
  </si>
  <si>
    <t>Industries;Quality of service;Benchmark testing;Network function virtualization;Servers;Virtualization;Standards</t>
  </si>
  <si>
    <t>H. Wu; L. Shen; X. Chen; Q. Yang; Y. Cai; M. Zeng; H. Li</t>
  </si>
  <si>
    <t>Research on the Application of Data Middle Platform Technology in Integrated Energy Business System</t>
  </si>
  <si>
    <t>2020 IEEE 3rd International Conference of Safe Production and Informatization (IICSPI)</t>
  </si>
  <si>
    <t>10.1109/IICSPI51290.2020.9332448</t>
  </si>
  <si>
    <t>School of Economic and Management, North China Electricity Power University, Beijing, China; Big data Center of State Grid Corporation of China, Beijing, China; Big data Center of State Grid Corporation of China, Beijing, China; Information and Communication Branch of State Grid Fujian Electric Power Company, Fujian, China; Information and Communication Branch of State Grid Fujian Electric Power Company, Fujian, China; School of Economic and Management, North China Electricity Power University, Beijing, China; School of Economic and Management, North China Electricity Power University, Beijing, China</t>
  </si>
  <si>
    <t>At present, the information of digital and Internet is pushing the social form and infrastructure changes unceasingly, in this highly digital information age, the original data from every industry and in the field of business functions constantly emerge, however the primitive data does not bring value to the enterprise, must be efficiently planning from the Angle of business data to the original data into valuable data assets, thus brings to the enterprise productivity. By comparing the characteristics of data middle platform, data warehouse and data platform, the capability and function of data middle platform are expounded. Combined with the construction of ubiquitous electric power internet of things, it points out the key indicators to be concerned about in the construction of data middle platform, and provides a reference for the construction of enterprise data middle platform.</t>
  </si>
  <si>
    <t>978-1-7281-7738-0</t>
  </si>
  <si>
    <t xml:space="preserve">Science and Technology Project of SGCC(grant numbers:SGFJXT00WLJS1900278); </t>
  </si>
  <si>
    <t>https://ieeexplore.ieee.org/stamp/stamp.jsp?arnumber=9332448</t>
  </si>
  <si>
    <t>Integrated energy business system;data middle platform;ubiquitous electric power internet of things</t>
  </si>
  <si>
    <t>Industries;Productivity;Power systems;Planning;Internet of Things;Security;Business</t>
  </si>
  <si>
    <t>G. Neagu; V. Florian; A. Stanciu; S. Preda</t>
  </si>
  <si>
    <t>Sensing as a service approach in health monitoring</t>
  </si>
  <si>
    <t>2016 15th RoEduNet Conference: Networking in Education and Research</t>
  </si>
  <si>
    <t>2247-5443</t>
  </si>
  <si>
    <t>10.1109/RoEduNet.2016.7753240</t>
  </si>
  <si>
    <t>Department of Systems Engineering, National Institute for Research and Development in Informatics, Bucharest, Romania; Department of Systems Engineering, National Institute for Research and Development in Informatics, Bucharest, Romania; Department of Systems Engineering, National Institute for Research and Development in Informatics, Bucharest, Romania; Department of Systems Engineering, National Institute for Research and Development in Informatics, Bucharest, Romania</t>
  </si>
  <si>
    <t>There is an obvious interest for the integration of the Internet of Things (IoT) with Cloud computing due to mutual benefits generated by the complementarities between these technologies. This interest is illustrated by a large variety of approaches and research and development projects in various IoT specific application domains. The paper provides an overview of Cloud-IoT approaches and specific emerging services enabled by this integration. Then the Sensing as a service model is introduced and current views on its functional configuration are outlined. The main architectural decisions in developing the IoT platform for health monitoring are shortly presented, since the platform is used for the implementation of this model into a project for chronic disease monitoring. Finally the paper details the model requirements in terms of main roles and operation rules to be considered for the next phases of project development.</t>
  </si>
  <si>
    <t>978-1-5090-5398-8</t>
  </si>
  <si>
    <t>https://ieeexplore.ieee.org/stamp/stamp.jsp?arnumber=7753240</t>
  </si>
  <si>
    <t>Internet of Things;Cloud computing;IoT platform;health monitoring;sensing as a service</t>
  </si>
  <si>
    <t>D. Armellini; M. Ometto; C. Ponton</t>
  </si>
  <si>
    <t>Q-SYM2 and Automatic Scrap Classification a joint solution for the Circular economy and sustainability of Steel Manufacturing, to ensure the scrap yard operates competitively</t>
  </si>
  <si>
    <t>2022 International Joint Conference on Neural Networks (IJCNN)</t>
  </si>
  <si>
    <t>2161-4407</t>
  </si>
  <si>
    <t>10.1109/IJCNN55064.2022.9892611</t>
  </si>
  <si>
    <t>Production &amp; Logistics B.U. DIGI&amp;MET Danieli Automation Spa, Buttrio, Italy; Production &amp; Logistics B.U. DIGI&amp;MET Danieli Automation Spa, Buttrio, Italy; Production &amp; Logistics B.U. DIGI&amp;MET Danieli Automation Spa, Buttrio, Italy</t>
  </si>
  <si>
    <t>A hype topic, one that now has become an established idea, is the possibility to increase plant efficiency by gaining and applying a better awareness of how scrap is performing in the melting process. Scrap management becomes the key point in cost reduction since it could comprise up to the 50% of the overall production costs. Technological innovations promise to be the driver to improving raw material management, shortening its acquisition time and reducing the waste during the metallurgical process. Expensive raw materials require a huge involvement of plant resources, and are highly dependent on the human factor. All the quality and logistics decisions belong to the judgment of the operators, increasing the chance of non-conformities (e.g., erroneous classification, material discharged in the wrong location, error loading material in the buckets). To overcome these issues, online classification of the scrap is the keystone. Starting from the arrival of scrap at the plant, through the acceptance of the delivery note and the check-in of the carriers, Automatic Scrap Classification gives support to inbound-scrap control and classification, enabling real-time traceability of the scrap inside the bays. The Quality Control System will benefit from all the details of the material used in production. Danieli Automation implemented the Q-ASC a system that, leveraging Artificial Intelligence (AI) and deep learning techniques, can assist scrap classification procedures through computer vision and automatic scrap recognition. The goal of scrap identification is to localize and assign a specific class label to a given visual sample of scrap or inert/hazardous material. The classification can be conducted using different methodologies based on material shapes or dimensions. Q-ASC is the entry point for the Scrap Yard Management and can be considered as the central data hub for managing the scrap inbound to the plant, connecting all the systems requiring reliable scrap data.</t>
  </si>
  <si>
    <t>978-1-7281-8671-9</t>
  </si>
  <si>
    <t>https://ieeexplore.ieee.org/stamp/stamp.jsp?arnumber=9892611</t>
  </si>
  <si>
    <t>scrap;classification;recognition;scrap yard</t>
  </si>
  <si>
    <t>Visualization;Technological innovation;Costs;Production;Raw materials;Software reliability;Steel</t>
  </si>
  <si>
    <t>E. Battiston; D. Moro; G. Verticale; A. Capone</t>
  </si>
  <si>
    <t>CHIMA: a Framework for Network Services Deployment and Performance Assurance</t>
  </si>
  <si>
    <t>10.1109/NetSoft54395.2022.9844124</t>
  </si>
  <si>
    <t>Politecnico di Milano, Italy; Open Networking Foundation; Politecnico di Milano, Italy; Politecnico di Milano, Italy</t>
  </si>
  <si>
    <t>Network Function Virtualization has dramatically increased the flexibility in the deployment of network services, however the execution of virtual functions on compute nodes equipped with general purpose hardware can result in worse performance compared to the middleboxes they aim to replace. The use of programmable network hardware to perform part of the processing at line rate can drastically increase the throughput while retaining the flexibility.This work presents a new framework, called CHIMA, which extends the capabilities of other frameworks proposed in the literature for the deployment of heterogeneous Service Function Chains (SFCs). Heterogeneous SFCs comprise a combination of virtual functions meant to be executed in containers running on general purpose hardware and of functions for programmable switches written using the P4 language. CHIMA exploits programmable data planes to perform real time monitoring of the services through In-band Network Telemetry and uses the collected information to guarantee the requested levels of performance by redeploying and rerouting sections that are affected by adverse conditions, allowing applications with critical requirements to be deployed as SFCs.The solution has been tested by emulating various topologies and services on the FOP4 platform with bmv2 switches. The analysis shows that the system is capable of detecting faults in the order of hundreds of milliseconds, and the overhead it causes in the process of redeployment is negligible compared to the startup time of functions. Measurements also reveal that the current bottleneck for the runtime relocation of heterogeneous functions is the redeployment and reconfiguration of P4 programs.</t>
  </si>
  <si>
    <t>https://ieeexplore.ieee.org/stamp/stamp.jsp?arnumber=9844124</t>
  </si>
  <si>
    <t>Network Function Virtualization;Service Function Chains;Programmable Data Planes;In-band Network Telemetry</t>
  </si>
  <si>
    <t>Runtime;Service function chaining;Containers;Throughput;Real-time systems;Hardware;Time measurement</t>
  </si>
  <si>
    <t>A. Elhabbash; R. Bahsoon; P. Tino; P. R. Lewis; Y. Elkhatib</t>
  </si>
  <si>
    <t>Attaining Meta-self-awareness through Assessment of Quality-of-Knowledge</t>
  </si>
  <si>
    <t>2021 IEEE International Conference on Web Services (ICWS)</t>
  </si>
  <si>
    <t>10.1109/ICWS53863.2021.00099</t>
  </si>
  <si>
    <t>DS-Lab, School of Computing and Communications, Lancaster University, Lancaster, United Kingdom; School of Computer Science, University of Birmingham, Birmingham, United Kingdom; School of Computer Science, University of Birmingham, Birmingham, United Kingdom; Faculty of Business &amp; IT, Ontario Tech University, Oshawa, Ontario, Canada; School of Computing Science, University of Glasgow, Glasgow, United Kingdom</t>
  </si>
  <si>
    <t>Self-awareness is a crucial capability of autonomous service-based systems that enables them to self-adapt. There are different types of self-awareness whereby certain types of knowledge are captured at various levels. We argue that effective management of the trade-offs of dependability requirements can be achieved through ‚Äúseamless‚Äù switching between different levels of awareness. However, the assessment of the quality of knowledge to enable dynamic switching between self-awareness levels has not been tackled yet. We propose a general architecture that exploits symbiotic simulation in order to tackle the complexity of assessing the quality of knowledge and attaining the meta-self-awareness property, wherein the system can reflect on its different levels of awareness. We conduct a thorough real-world study in the context of volunteer services. We conclude that a system made meta-self-aware using our approach achieves optimal performance by activating the most suitable awareness level. This comes at the cost of a modest computational overhead.</t>
  </si>
  <si>
    <t>978-1-6654-1681-8</t>
  </si>
  <si>
    <t>https://ieeexplore.ieee.org/stamp/stamp.jsp?arnumber=9590208</t>
  </si>
  <si>
    <t>Quality of Knowledge;Meta-self-awareness;Self-adaptation;Self-awareness;Volunteer Services;Symbiotic Simulation</t>
  </si>
  <si>
    <t>Symbiosis;Costs;Web services;Conferences;Decision making;Switches;Computer architecture</t>
  </si>
  <si>
    <t>G. Astuti; A. Brogi; S. Forti</t>
  </si>
  <si>
    <t>Making a Business Out of (Predictive Application Management in) the Fog</t>
  </si>
  <si>
    <t>10.1109/FMEC.2019.8795346</t>
  </si>
  <si>
    <t>Department of Computer Science, University of Pisa, Pisa, Italy; Department of Computer Science, University of Pisa, Pisa, Italy; Department of Computer Science, University of Pisa, Pisa, Italy</t>
  </si>
  <si>
    <t>Managing large, highly distributed IoT applications over heterogeneous Fog infrastructures so to meet all their stringent QoS (as well as hardware and software) requirements is intrinsically difficult. Different simulation and predictive methodologies have been proposed to estimate key performance indicators of eligible application deployments and managements so to identify the best candidates. In this paper, we describe the current business model environment and discuss two possible business models for creating value from a company provisioning predictive Fog application management services.</t>
  </si>
  <si>
    <t>https://ieeexplore.ieee.org/stamp/stamp.jsp?arnumber=8795346</t>
  </si>
  <si>
    <t>predictive application management;business model environment;business models;Fog computing;IoT</t>
  </si>
  <si>
    <t>Multi-access edge computing;Computational modeling;Key performance indicator;Quality of service;Companies;Predictive models;Software</t>
  </si>
  <si>
    <t>A. Tryfonos; A. Andreou; N. Loulloudes; G. Pallis; M. D. Dikaiakos; N. Chatzigeorgiou; G. E. Georghiou</t>
  </si>
  <si>
    <t>ENEDI: Energy Saving in Datacenters</t>
  </si>
  <si>
    <t>2018 IEEE Global Conference on Internet of Things (GCIoT)</t>
  </si>
  <si>
    <t>10.1109/GCIoT.2018.8620159</t>
  </si>
  <si>
    <t>Dept. of Computer Science, University of Cyprus, Nicosia, Cyprus; Dept. of Computer Science, University of Cyprus, Nicosia, Cyprus; Dept. of Computer Science, University of Cyprus, Nicosia, Cyprus; Dept. of Computer Science, University of Cyprus, Nicosia, Cyprus; Dept. of Computer Science, University of Cyprus, Nicosia, Cyprus; Dept. of Electrical and Computer Engineering, University of Cyprus, Nicosia, Cyprus; Dept. of Electrical and Computer Engineering, University of Cyprus, Nicosia, Cyprus</t>
  </si>
  <si>
    <t>Despite significant advances in the design and fabrication of power-efficient electronics and microprocessors, and the ubiquitous availability of Class A-rated lightning, cooling and heating appliances, modern datacenters account for a growing percentage of global energy consumption, currently estimated at 1.5%. The effort to reduce the environmental impact and carbon footprint of datacenter operations has led to the emergence of green datacenters designed to reduce energy consumption and/or use renewable energy to power computing and peripheral devices. One of the challenges that arise in the context of solar-powered datacenters is the intelligent adjustment of energy consumption to variations of solar energy production, changing environmental conditions (temperature, humidity, etc.), and fluctuations in computing demand. In this paper, we present the design and early implementation of ENEDI, an integrated system that collects, integrates and analyzes data from Internet-of-Things (IoT) sensors, operating system, as well as, cloud middleware monitors, and open-data sources regarding: i) photovoltaic PV energy production in solar-powered datacenter facilities; ii) weather conditions; iii) power consumption by datacenter subsystems (clusters, cluster nodes, and cooling equipment), and iv) the time-evolving profiles of containerized cloud applications running on the datacenter.</t>
  </si>
  <si>
    <t>978-1-5386-8509-9</t>
  </si>
  <si>
    <t>https://ieeexplore.ieee.org/stamp/stamp.jsp?arnumber=8620159</t>
  </si>
  <si>
    <t>datacenter;photovoltaics;monitoring system;sensors;workload management;green computing;cloud;IoT</t>
  </si>
  <si>
    <t>Monitoring;Green products;Cloud computing;Measurement;Production;Sensors;Energy consumption</t>
  </si>
  <si>
    <t>C. Thomay; U. Bodin; H. Isakovic; R. Lasch; N. Race; C. Schmittner; G. Schneider; Z. Szepessy; M. Tauber; Z. Wang</t>
  </si>
  <si>
    <t>Towards Adaptive Quality Assurance in Industrial Applications</t>
  </si>
  <si>
    <t>10.1109/NOMS54207.2022.9789928</t>
  </si>
  <si>
    <t>Research Studios Austria FG, Vienna, Austria; Lule√• University of Technology, Lule√•, Sweden; Viewpointsystem GmbH, Vienna, Austria; Technische Universit√§t Dresden, Dresden, Germany; Lancaster University, Lancaster, UK; Austrian Institute of Technology, Vienna, Austria; Infineon Technologies Dresden GmbH &amp; Co. KG, Dresden, Germany; Evopro Innovation Kft., Budapest, Hungary; Research Studios Austria FG, Vienna, Austria; Volvo Group, G√∂teborg, Sweden</t>
  </si>
  <si>
    <t>We propose the AQUILA framework (Adaptive Quality Assurance in Industrial Applications), a concept for digitalization in Industry 4.0 to support the entire industrial manufacturing chain, laying the groundwork for adaptive quality assurance in times of disrupted supply chains and, due to the COVID-19 pandemic, restricted travel possibilities. To that end, our proposed framework allows for the definition and description of industrial processes, quality assurance and testing protocols, and training scenarios in a comprehensive notation based on BPMN, and supports users in task execution, documentation, and evaluation by providing smart glass-based HCI with eye tracking technology, delivering a combination of process documentation, context-sensitive AR visualization, gaze-based interaction schemes, and remote maintenance and assistance functionality.</t>
  </si>
  <si>
    <t>https://ieeexplore.ieee.org/stamp/stamp.jsp?arnumber=9789928</t>
  </si>
  <si>
    <t>smart manufacturing;process modelling;cyber-physical systems;smart glasses;augmented reality</t>
  </si>
  <si>
    <t>Training;Visualization;Quality assurance;Protocols;Pandemics;Supply chains;Documentation</t>
  </si>
  <si>
    <t>N. M. Koushki; S. Sondur; K. Kant</t>
  </si>
  <si>
    <t>Automated Configuration for Agile Software Environments</t>
  </si>
  <si>
    <t>2022 IEEE 15th International Conference on Cloud Computing (CLOUD)</t>
  </si>
  <si>
    <t>10.1109/CLOUD55607.2022.00074</t>
  </si>
  <si>
    <t>Computer and Information Sciences, Temple University, Philadelphia, USA; Computer and Information Sciences, Temple University, Philadelphia, USA; Computer and Information Sciences, Temple University, Philadelphia, USA</t>
  </si>
  <si>
    <t>The increasing use of the DevOps paradigm in software systems has substantially increased the frequency of configuration parameter setting changes. Ensuring the correctness of such settings is generally a very challenging problem due to the complex interdependencies, and calls for an automated mechanism that can both run quickly and provide accurate settings. In this paper, we propose an efficient discrete combinatorial optimization technique that makes two unique contributions: (a) an improved and extended metaheuristic that exploits the application domain knowledge for fast convergence, and (b) the development and quantification of a discrete version of the classical tunneling mechanism to improve the accuracy of the solution. Our extensive evaluation using available workload traces that do include configuration information shows that the proposed technique can provide a lower-cost solution (by ~60%) with faster convergence (by ~48%) as compared to the traditional metaheuristic algorithms. Also, our solution succeeds in finding a feasible solution in approximately 30% more cases than the baseline algorithm.</t>
  </si>
  <si>
    <t>978-1-6654-8137-3</t>
  </si>
  <si>
    <t>https://ieeexplore.ieee.org/stamp/stamp.jsp?arnumber=9860602</t>
  </si>
  <si>
    <t>Configuration Modeling;Resource Allocation;Resource Provisioning;Machine Learning;metaheuristics;Simulated Annealing</t>
  </si>
  <si>
    <t>Cloud computing;Costs;Heuristic algorithms;Metaheuristics;Software algorithms;Tunneling;Performance gain</t>
  </si>
  <si>
    <t>I. Radovanovic; I. Popovic; D. Drajic</t>
  </si>
  <si>
    <t>Multi channel sensor measurements in fog computing architecture</t>
  </si>
  <si>
    <t>2017 Zooming Innovation in Consumer Electronics International Conference (ZINC)</t>
  </si>
  <si>
    <t>10.1109/ZINC.2017.7968650</t>
  </si>
  <si>
    <t>School of Electrical Engineering, Innovation center of School of Electrical Engineering, Belgrade, Serbia; School of Electrical Engineering, University of Belgrade, Belgrade, Serbia; School of Electrical Engineering, University of Belgrade, Belgrade, Serbia</t>
  </si>
  <si>
    <t>This paper presents the design concept of multi channel based sensing application at the physical edge of IoT network. The presented approach is based on reference Fog computing model, where sensor devices are connected to the edge fog node enabling the implementation of distributed real-time sensing applications. The proposed concept implies that the sensor data processing is relocated to the connected fog node, reducing hardware and power requirements of the sensor device. The reference fog node architecture, as well as application layer services for data communication, aggregation and processing are also provided.</t>
  </si>
  <si>
    <t>978-1-5386-0865-4</t>
  </si>
  <si>
    <t>https://ieeexplore.ieee.org/stamp/stamp.jsp?arnumber=7968650</t>
  </si>
  <si>
    <t>Fog computing;IoT;Sensor devices;Distributed application;Real-time processes</t>
  </si>
  <si>
    <t>P. Ruf; C. Reich; D. Ould-Abdeslam</t>
  </si>
  <si>
    <t>Aspects of Module Placement in Machine Learning Operations for Cyber Physical Systems</t>
  </si>
  <si>
    <t>2022 11th Mediterranean Conference on Embedded Computing (MECO)</t>
  </si>
  <si>
    <t>10.1109/MECO55406.2022.9797080</t>
  </si>
  <si>
    <t>Institute for Data Science, Cloud Computing and Security (IDACUS) Hochschule Furtwangen University (HFU), Furtwangen, Germany; Institute for Data Science, Cloud Computing and Security (IDACUS) Hochschule Furtwangen University (HFU), Furtwangen, Germany; IRIMAS, Universit√© de Haute-Alsace (UHA), Mulhouse, France</t>
  </si>
  <si>
    <t>The traditional field of industrial manufacturing is in the process of being revolutionized as machines become smart and processes are translated to and perfected by digital systems. The application of Machine Learning (ML) has established itself as a smart technology in the manufacturing industry. The optimal operation and training of ML applications requires a flexible, adaptable, and modular service infrastructure for industry 4.0. The objective of this work is the elaboration of requirements for ML integration in Cyber Physical System (CPS) and the added value of modularization in CPS-related ML tasks. As the paradigm of Machine Learning Operations (MLOps) be-comes firmly established, principles for determining an optimized placement of the different ML pipeline modules in distributed systems are required. A collaborative cross-company use-case management framework KOSMoS is used to discuss selected benefits of using MLOps in industrial scenarios.</t>
  </si>
  <si>
    <t>978-1-6654-6828-2</t>
  </si>
  <si>
    <t xml:space="preserve">Federal Ministry of Education and Research(grant numbers:02P17D022); </t>
  </si>
  <si>
    <t>https://ieeexplore.ieee.org/stamp/stamp.jsp?arnumber=9797080</t>
  </si>
  <si>
    <t>CPS;ML;MLOps;Deployment;Modularization</t>
  </si>
  <si>
    <t>Training;Manufacturing industries;Embedded computing;Digital systems;Pipelines;Collaboration;Machine learning</t>
  </si>
  <si>
    <t>R. P. D√≠az Redondo; A. Fern√°ndez Vilas</t>
  </si>
  <si>
    <t>Smart Grids Monitoring: A fog-computing strategy to detect anomalies</t>
  </si>
  <si>
    <t>2018 IEEE 59th International Scientific Conference on Power and Electrical Engineering of Riga Technical University (RTUCON)</t>
  </si>
  <si>
    <t>10.1109/RTUCON.2018.8659884</t>
  </si>
  <si>
    <t>AtlanTTIC Resarch Center for Information and Communications Technology, Universidade de Vigo, Spain; AtlanTTIC Resarch Center for Information and Communications Technology, Universidade de Vigo, Spain</t>
  </si>
  <si>
    <t>Smart meters with enhanced capabilities of communication and control will contribute to adapt and tune energy delivery more efficiently. However, this opens the door to new threats that should be early detected in order to execute the countermeasure processes as soon as possible. According to this, unexpected changes in the energy consumption (among other aspects) must be monitorized since they also be the evidence that something wrong is happening. In this paper, we introduce a fog computing approach that supports a distributed analysis of the consumption data and also establishes the bases for a location certification mechanism that avoid the injection of false data in the smart grid monitoring system.</t>
  </si>
  <si>
    <t>978-1-5386-6903-7</t>
  </si>
  <si>
    <t>https://ieeexplore.ieee.org/stamp/stamp.jsp?arnumber=8659884</t>
  </si>
  <si>
    <t>smart grid;fog computing;energy monitoring;threats</t>
  </si>
  <si>
    <t>Handheld computers;Edge computing;Monitoring;Smart grids;Smart meters;Anomaly detection;Data analysis</t>
  </si>
  <si>
    <t>K. N. Vhatkar; G. P. Bhole</t>
  </si>
  <si>
    <t>Hybrid Model for Optimal Container Resource Allocation in Cloud</t>
  </si>
  <si>
    <t>2020 4th International Conference on Trends in Electronics and Informatics (ICOEI)(48184)</t>
  </si>
  <si>
    <t>10.1109/ICOEI48184.2020.9143038</t>
  </si>
  <si>
    <t>Department of Computer Engineering &amp; IT, Veermata Jijabai Technological Institute, Mumbai, India; Department of Computer Engineering &amp; IT, Veermata Jijabai Technological Institute, Mumbai, India</t>
  </si>
  <si>
    <t>Most of the industries and fields reside on cloud computing based microservice owing to its capability with highperformance. The main constraint for cloud providers is the container resource allocation, as it impacts system performance and resource consumption directly. This paper presents a narrative hybrid approach, which hybrids the theory of particle swarm optimization (PSO) and grey wolf optimization (GWO), which is named as velocity updated GWO (VU-GWO) for optimal container resource allocation. Moreover, a new rescaled objective function is defined as the solution of optimized resource allocation. The considered rescaled objective function involves threshold distance, balanced cluster use, system failure, and total network distance. To the end, the presented scheme is evaluated over other classical schemes, and the betterment of the proposed model is proved.</t>
  </si>
  <si>
    <t>978-1-7281-5518-0</t>
  </si>
  <si>
    <t>https://ieeexplore.ieee.org/stamp/stamp.jsp?arnumber=9143038</t>
  </si>
  <si>
    <t>Cloud architecture;microservices;container resource allocation;system performance;optimization</t>
  </si>
  <si>
    <t>Containers;Resource management;Phasor measurement units;Cloud computing;Computational modeling;Linear programming;Computer architecture</t>
  </si>
  <si>
    <t>M. Baldi; D. Crupnicoff; S. Gai</t>
  </si>
  <si>
    <t>Programmable Dataplane Architecture for Distributed Services at the Network Edge</t>
  </si>
  <si>
    <t>2020 Seventh International Conference on Software Defined Systems (SDS)</t>
  </si>
  <si>
    <t>10.1109/SDS49854.2020.9143973</t>
  </si>
  <si>
    <t>PensandoSystems Inc., Milpitas, CA, USA; PensandoSystems Inc., Milpitas, CA, USA; PensandoSystems Inc., Milpitas, CA, USA</t>
  </si>
  <si>
    <t>This paper describes the architecture, sample applications, and performance of a Distributed Services Card that can support a large range of services in cloud, service provider, and enterprise data centers, as well as service provider and enterprise network edge. Being deployed in hosts, this fully programmable card can leverage the same scale-out model that has become popular for computing. Given that devices at the network edge deal only with packets that are sent to and from a single host, more time can be spent processing each packet to offer rich services programmed in P4.</t>
  </si>
  <si>
    <t>978-1-7281-7219-4</t>
  </si>
  <si>
    <t>https://ieeexplore.ieee.org/stamp/stamp.jsp?arnumber=9143973</t>
  </si>
  <si>
    <t>Programmable NIC;data plane programming;P4;Distributed Services Platform</t>
  </si>
  <si>
    <t>Field programmable gate arrays;Computer architecture;Cloud computing;Data centers;Security;Hardware;Program processors</t>
  </si>
  <si>
    <t>M. Sverko; N. Tankovic; D. Etinger</t>
  </si>
  <si>
    <t>Dew Computing in Industrial Automation: Applying Machine Learning for Process Control</t>
  </si>
  <si>
    <t>10.1109/COMPSAC51774.2021.00268</t>
  </si>
  <si>
    <t>Faculty of Informatics, Juraj Dobrila University of Pula; Faculty of Informatics, Juraj Dobrila University of Pula; Faculty of Informatics, Juraj Dobrila University of Pula</t>
  </si>
  <si>
    <t>Network infrastructure in the era of Big data, Industry 4.0, IoT, and AI, pushed the boundaries of data availability, scalability, reliability, high bandwidth, and low latency. This resulted in a new paradigm of cloud computing providing centralized data storage, efficient resource management, and software products marketed in an as-a-service manner. However, there are still many QoS-sensitive use-cases where data and service availability, network latency, and throughput needs to be further addressed. Partial solutions to these problems came in Fog and Edge computing, providing computation and data closer to end-user network devices. But these concepts still do not fully address the issues of offline data availability and network latency. A potential answer to these questions could be the concept of dew computing - an additional layer in the existing client-server architecture, operating on end devices to achieve the highest possible level of data synchronization between data in the cloud and local devices, which in the standard Cloud-Fog-Edge architecture relies strictly on connectivity. This paper addresses the implementation of dew computing in the field of industrial automation and data analysis performed in the cloud, with local execution of the resulting model algorithm by reducing network latency and providing offline data availability, providing the necessary data synchronization between the cloud and local databases.</t>
  </si>
  <si>
    <t>https://ieeexplore.ieee.org/stamp/stamp.jsp?arnumber=9529499</t>
  </si>
  <si>
    <t>cloud;dew;computing;industry;scada;ics;data;analysis;machine learning</t>
  </si>
  <si>
    <t>Cloud computing;Scalability;Software algorithms;Computer architecture;Throughput;Software;Software reliability</t>
  </si>
  <si>
    <t>E. Bandara; X. Liang; P. Foytik; S. Shetty; N. Ranasinghe; K. De Zoysa</t>
  </si>
  <si>
    <t>Bassa-Scalable Blockchain Architecture for Smart Cities</t>
  </si>
  <si>
    <t>2020 IEEE International Smart Cities Conference (ISC2)</t>
  </si>
  <si>
    <t>10.1109/ISC251055.2020.9239072</t>
  </si>
  <si>
    <t>Old Dominion University, Norfolk, VA, USA; University of North Carolina at Greensboro, NC, USA; Old Dominion University, Norfolk, VA, USA; Old Dominion University, Norfolk, VA, USA; University of Colombo School of Computing, Sri Lanka; University of Colombo School of Computing, Sri Lanka</t>
  </si>
  <si>
    <t>Smart cities will depend on reliable Internet of things to effectively provide residential and commercial services. Smart city applications generate vast amount of data and will need the infrastructure to support high transaction throughput. The data associated with smart cities can include sensitive information and there is a need to guarantee the security and privacy through a blockchain-based decentralized infrastructure. Current blockchain environments face several challenges, such as, lack of high transaction throughput, high scalability, real-time transaction processing, and back-end stress operations, etc. In this paper, we propose ‚ÄúBassa‚Äù, a blockchain platform that will meet the aforementioned challenges. Bassa employs a Apache Kafka based consensus and `validate-execute-group‚Äù blockchain architecture to realize real-time transaction. Bassa's smart contract platform realizes concurrent transaction by leveraging actor-based concurrency.</t>
  </si>
  <si>
    <t>978-1-7281-8294-0</t>
  </si>
  <si>
    <t xml:space="preserve">Office of Fossil Energy; </t>
  </si>
  <si>
    <t>https://ieeexplore.ieee.org/stamp/stamp.jsp?arnumber=9239072</t>
  </si>
  <si>
    <t>Blockchain;Smart City;Big Data;IoT;Distributed Systems</t>
  </si>
  <si>
    <t>Smart cities;Smart contracts;Blockchain;Throughput;Real-time systems;Security;Stress</t>
  </si>
  <si>
    <t>10.1109/CogSIMA54611.2022.9830666</t>
  </si>
  <si>
    <t>Thales Research and Technology Canada, Quebec City, Canada; Thales Research and Technology Canada, Quebec City, Canada; Thales Research and Technology Canada, Quebec City, Canada; Thales Research and Technology Canada, Quebec City, Canada</t>
  </si>
  <si>
    <t>Physiological data are interesting, but higher-level information should be extracted in order to improve the comprehension of the situation for the users (Friedl, 2018 ; NATO*, 2020 ; Blackhurst et al., 2012).</t>
  </si>
  <si>
    <t>https://ieeexplore.ieee.org/stamp/stamp.jsp?arnumber=9830666</t>
  </si>
  <si>
    <t>Biomedical monitoring;Monitoring;Human factors;Data models;Wearable sensors;Testing;Organizations</t>
  </si>
  <si>
    <t>F. C. Delicato; P. F. Pires</t>
  </si>
  <si>
    <t>Challenges in developing collaborative IoT systems</t>
  </si>
  <si>
    <t>2020 IEEE 6th International Conference on Collaboration and Internet Computing (CIC)</t>
  </si>
  <si>
    <t>10.1109/CIC50333.2020.00014</t>
  </si>
  <si>
    <t>Computer Science Department, Fluminense Federal University - UFF, Niteroi, RJ, Brazil; Computer Science Department, Fluminense Federal University - UFF, Niteroi, RJ, Brazil</t>
  </si>
  <si>
    <t>The Internet of Things (IoT) represents the next significant step in the evolution of the Internet. It will allow ‚Äúthings‚Äù to be connected anytime, anywhere, with anything and anyone, providing a myriad of novel applications and augmented services to citizens, governments, and enterprises. We believe that for the IoT to reach its full potential, it will be necessary to advance the investigation of techniques and technologies to build systems in such a brand-new scenario. In the IoT, the collaborating entities encompass both physical and virtual resources, interactions occur both in an active and programmed way as well as by chance, and therefore it is necessary to deal with expected but also emerging behaviors of the collaborating parties. In this paper, we first discuss the main features that make IoT a unique ecosystem, and as such, calls for new software development solutions. We claim that there is a need to rethinking the techniques and methodologies for developing IoT systems and applications. Novel models, architectural approaches and techniques should be proposed, or existing ones should be adapted to deal with the high heterogeneity, dynamism, serendipity and interdependencies that are typical of the IoT ecosystem. We then analyze and discuss potential key design solutions that deserve a deeper understanding in order to pave the way for the building of this new generation of systems. Our discussion is presented from a bottom-up perspective: from the modeling of devices that make up the IoT to the representation of requirements that must be addressed when engineering IoT systems.</t>
  </si>
  <si>
    <t>978-1-7281-4146-6</t>
  </si>
  <si>
    <t xml:space="preserve">FAPESP(grant numbers:2015/24144-7); </t>
  </si>
  <si>
    <t>https://ieeexplore.ieee.org/stamp/stamp.jsp?arnumber=9319015</t>
  </si>
  <si>
    <t>Internet of Things;Software Architecture;Model-driven development;Adaptive Systems;Requirements</t>
  </si>
  <si>
    <t>Internet of Things;Ecosystems;Quality of service;Collaboration;Biological system modeling;Contracts;Wireless sensor networks</t>
  </si>
  <si>
    <t>O. -P. Heinisuo; V. Lenarduzzi; D. Taibi</t>
  </si>
  <si>
    <t>Asterism: Decentralized File Sharing Application for Mobile Devices</t>
  </si>
  <si>
    <t>2019 7th IEEE International Conference on Mobile Cloud Computing, Services, and Engineering (MobileCloud)</t>
  </si>
  <si>
    <t>2573-7562</t>
  </si>
  <si>
    <t>10.1109/MobileCloud.2019.00013</t>
  </si>
  <si>
    <t>Tampere University, Tampere, Finland; Tampere University, Tampere, Finland; Tampere University, Tampere, Finland</t>
  </si>
  <si>
    <t>Most applications and services rely on central authorities. This introduces a single point of failure to the system. The central authority must be trusted to have data stored by the application available at any given time. More importantly, the privacy of the user depends on the service provider capability to keep the data safe. A decentralized system could be a solution to remove the dependency from a central authority. Moreover, due to the rapid growth of mobile device usage, the availability of decentralization must not be limited only to desktop computers. In this work we aim at studying the possibility to use mobile devices as a decentralized file sharing platform without any central authorities. This was done by implementing Asterism, a peer-to-peer file-sharing mobile application based on the Inter-Planetary File System. We validate the results by deploying and measuring the application network usage and power consumption in multiple different devices. Results show that mobile devices can be used to implement a worldwide distributed file sharing network. However, the file sharing application generated large amounts of network traffic even when no files were shared. This was caused by the chattiness of the protocol of the underlying peer-to-peer network. Consequently, constant network traffic prevented the mobile devices from entering to deep sleep mode. Due to this the battery life of the devices was greatly degraded.</t>
  </si>
  <si>
    <t>978-1-7281-0463-8</t>
  </si>
  <si>
    <t>https://ieeexplore.ieee.org/stamp/stamp.jsp?arnumber=8710656</t>
  </si>
  <si>
    <t>decentralized file sharing;peer-to-peer;mobile;Sailfish OS;InterPlanetary File System</t>
  </si>
  <si>
    <t>Peer-to-peer computing;Mobile handsets;Protocols;File systems;Servers;Mobile applications;Power demand</t>
  </si>
  <si>
    <t>C. Leite; P. S. Barreto; M. F. Caetano; R. Amaral</t>
  </si>
  <si>
    <t>A Framework for Performance Evaluation of Network Function Virtualisation in 5G Networks</t>
  </si>
  <si>
    <t>2020 XLVI Latin American Computing Conference (CLEI)</t>
  </si>
  <si>
    <t>10.1109/CLEI52000.2020.00043</t>
  </si>
  <si>
    <t>Department of Computer Science, University of Bras√≠lia, Bras√≠lia, DF, Brazil; Department of Computer Science, University of Bras√≠lia, Bras√≠lia, DF, Brazil; Department of Computer Science, University of Bras√≠lia, Bras√≠lia, DF, Brazil; Department of Computer Science, University of Bras√≠lia, Bras√≠lia, DF, Brazil</t>
  </si>
  <si>
    <t>Fifth Generation of Mobile Communication (5G) integrates the use of telecommunication and computer systems. As virtualisation eases the deployment of new functionalities demanded by many industrial and social use cases, also show many research challenges regarding performance and resource optimisation. In the 5G architecture, while mobile networks are already trying to implement a full virtualisation of hardware resources, the core itself lacks of an integrated performance evaluation proposal. In this paper we propose a performance evaluation framework, based on an evaluation function and an assortment of distributed observation functions acting as monitors for compute nodes in a virtualised. infrastructure. The framework, unlike previous proposals, is designed to be integrated into 5G as a native service. The framework was evaluated in a Ultra-Reliable and Low Latency Communications (URLLC) scenario and the results show success in monitoring and analysing a Network Function Virtualisation (NFV) environment with a standard 5G NFV implementation.</t>
  </si>
  <si>
    <t>978-1-6654-1560-6</t>
  </si>
  <si>
    <t xml:space="preserve">European Commission(grant numbers:H2020-EUB-2017 EU-BRAZIL,ICT-777137); </t>
  </si>
  <si>
    <t>https://ieeexplore.ieee.org/stamp/stamp.jsp?arnumber=9458330</t>
  </si>
  <si>
    <t>5G;virtualisation;NFV;VNF;control traffic;Openstack;MANO;performance evaluation</t>
  </si>
  <si>
    <t>Performance evaluation;5G mobile communication;Computer architecture;Ultra reliable low latency communication;Hardware;Communications technology;Proposals</t>
  </si>
  <si>
    <t>A. Luntovskyy</t>
  </si>
  <si>
    <t>Challenges of 5G and Beyond Mobile Radio Networks</t>
  </si>
  <si>
    <t>2022 24th International Microwave and Radar Conference (MIKON)</t>
  </si>
  <si>
    <t>10.23919/MIKON54314.2022.9924978</t>
  </si>
  <si>
    <t>BA Dresden Univ. of Coop. Education Saxon Study Academy, Hans-Grundig-Str. 25, Dresden, Germany</t>
  </si>
  <si>
    <t>The paper presents an overview of the challenges for 5G and Beyond Mobile Radio Networks (efficient structures, attractive applications, cost reduction, billing, and security). The role of new mobile network technologies, like 6G and satellite-based Internet Starlink, will steadily grow in the following years. The following subjects are examined: 1) Deployment features for 5G, heterogeneous cellular structures, and interoperability; 2) Advanced security and blockchained apps; 3) Blockchain opportunities and challenges for 5G and Beyond; 4) New generation mobile nets, like Starlink, Sixth Generation for Mobile Radio Networks/ NET-30.</t>
  </si>
  <si>
    <t>978-83-956020-3-0</t>
  </si>
  <si>
    <t>https://ieeexplore.ieee.org/stamp/stamp.jsp?arnumber=9924978</t>
  </si>
  <si>
    <t>5G and Beyond;6G and NET-2030;Starlink;Umbrella principle;IBN;Blockchain;Smart Contracting</t>
  </si>
  <si>
    <t>6G mobile communication;Costs;5G mobile communication;Radar;Internet;Blockchains;Security</t>
  </si>
  <si>
    <t>A. Kumar; R. Yadav; G. Baranwal</t>
  </si>
  <si>
    <t>NearBy-Offload: An Android based Application for Computation Offloading</t>
  </si>
  <si>
    <t>2020 IEEE 15th International Conference on Industrial and Information Systems (ICIIS)</t>
  </si>
  <si>
    <t>10.1109/ICIIS51140.2020.9342724</t>
  </si>
  <si>
    <t>Department of Computer Science, Banaras Hindu University, Varanasi, India; Department of Computer Science, Banaras Hindu University, Varanasi, India; Department of Computer Science, Banaras Hindu University, Varanasi, India</t>
  </si>
  <si>
    <t>Computation offloading in fog computing not only addresses the computation-intensive and delay-sensitive needs of IoT applications but also improves the network lifetime of the IoT-Fog paradigm. As fog node suits as a place for availing offloading services, it introduces another challenge, i.e., selection of most suitable fog node among available heterogeneous fog nodes. Since fog node selection involves multiple criteria such as CPU power, energy, etc., the selection of fog node can be modeled as a multi-criteria decision making (MCDM) problem. In this work, we have designed an android based application, named Nearby-Offload, to provide a realtime implementation of computation offloading. Nearby-Offload also integrates two well-known MCDM methods, i.e., MAAU (Multi-Attribute Additive Utility) and TOPSIS (Technique for Order Preference by Similarity to Ideal Solution), for selecting the most suitable fog node based on the preference given by the user for criteria. This application is designed in such a way that new MCDM methods can be integrated by the user if required.</t>
  </si>
  <si>
    <t>978-1-7281-8524-8</t>
  </si>
  <si>
    <t>https://ieeexplore.ieee.org/stamp/stamp.jsp?arnumber=9342724</t>
  </si>
  <si>
    <t>Computation offloading;Fog node selection;Multi criteria decision making;TOPSIS</t>
  </si>
  <si>
    <t>Additives;Conferences;Computational modeling;Decision making;Internet of Things;Information systems;Edge computing</t>
  </si>
  <si>
    <t>D. Kataria; A. Walid; M. Daneshmand; A. Dutta; M. A. Enright; R. Gu; A. Lackpour; P. Ramachandran; H. Wang; C. -M. Chen; B. Chng; F. Darema</t>
  </si>
  <si>
    <t>INGR Roadmap Artificial Intelligence And Machine Learning Chapter</t>
  </si>
  <si>
    <t>10.1109/FNWF55208.2022.00133</t>
  </si>
  <si>
    <t>IP Junction, USA; Nokia Bell Labs, USA; Stevens Institute of Technology, USA; Johns Hopkins University Applied Physics Lab, USA; Quantum Dimension, Inc., USA; BUPT, China; Drexel University, USA; Dell Technologies, USA; UMass Dartmouth, USA; AT &amp;T (Retired), USA; BAWMAN LLC, USA; Info Symbiotic Systems Society, USA</t>
  </si>
  <si>
    <t>In the evolution of artificial Intelligence (AI) and machine learning (ML), reasoning, knowledge representation, planning, learning, natural language processing, perception, and the ability to move and manipulate objects have been widely used. These features enable the creation of intelligent mechanisms for decision support to overcome the limits of human knowledge processing. In addition, ML algorithms enable applications to draw conclusions and make predictions based on existing data without human supervision, leading to quick, near-optimal solutions even in problems with high dimensionality. Hence, autonomy is a key aspect of current and future AI/ML algorithms. This chapter focuses on the development and implementation of AI/ML technologies for 5G and future networks. The objective is to illustrate how these technologies can be smoothly migrated into 5G systems to increase their performance and to decrease their cost. To that end, this chapter presents the Drivers, Needs, Challenges, Enablers, and Potential Solutions identified for the AI/ML field as applicable to future networks over three-, five-, and ten-year horizons. AI/ML applications for 5G are wide and diverse. In this document, some of the key areas are described which includes networking, securing, cloud computing and others. Over time, this white paper will evolve to encompass even more areas where AI/ML technologies can improve future network performance objectives.</t>
  </si>
  <si>
    <t>https://ieeexplore.ieee.org/stamp/stamp.jsp?arnumber=10056646</t>
  </si>
  <si>
    <t>AI;ML;DL;CNN;DNN;RNN;GAN;GPU;Cloud Computing;MEC</t>
  </si>
  <si>
    <t>Machine learning algorithms;Costs;5G mobile communication;Machine learning;Learning (artificial intelligence);Knowledge representation;Prediction algorithms</t>
  </si>
  <si>
    <t>K. Nakamura; P. Manzoni; M. Zennaro; J. -C. Cano; C. T. Calafate</t>
  </si>
  <si>
    <t>[Invited] LoRaCTP: a LoRa based Content Transfer Protocol for sustainable edge computing</t>
  </si>
  <si>
    <t>2020 16th International Conference on Mobility, Sensing and Networking (MSN)</t>
  </si>
  <si>
    <t>10.1109/MSN50589.2020.00090</t>
  </si>
  <si>
    <t>Universitat Polit√©cnica de Val√©ncia, Valencia, Spain; Universitat Polit√©cnica de Val√©ncia, Valencia, Spain; ICTP, Trieste, Italy; Universitat Polit√©cnica de Val√©ncia, Valencia, Spain; Universitat Polit√©cnica de Val√©ncia, Valencia, Spain</t>
  </si>
  <si>
    <t>In this paper we present a flexible protocol based on LoRa technology that allows for the transfer of ‚Äúcontent‚Äù to large distances with very low energy. LoRaCTP provides all the necessary mechanisms to make LoRa reliable, by introducing a lightweight connection set-up and ideally allowing the sending of an as-long-as necessary data message. We designed this protocol as a communication support for edge based IoT solutions given its stability, low power usage and the possibility to cover long distances. We present the evaluation of the protocol with various sizes of data content and various distances to show its performance and reliability.</t>
  </si>
  <si>
    <t>978-1-7281-9916-0</t>
  </si>
  <si>
    <t>https://ieeexplore.ieee.org/stamp/stamp.jsp?arnumber=9394317</t>
  </si>
  <si>
    <t>Protocols;Graphics processing units;Computer architecture;Sensors;Reliability;Virtualization;Edge computing</t>
  </si>
  <si>
    <t>F. J. Valente; J. P. Morijo; K. C. T. Vivaldini; L. C. Trevelin</t>
  </si>
  <si>
    <t>Fog-based Data Fusion for Heterogeneous IoT Sensor Networks: A Real Implementation</t>
  </si>
  <si>
    <t>2019 15th International Conference on Network and Service Management (CNSM)</t>
  </si>
  <si>
    <t>2165-963X</t>
  </si>
  <si>
    <t>10.23919/CNSM46954.2019.9012744</t>
  </si>
  <si>
    <t>Department of Computing, Federal University of S√£o Carlos (UFSCAR) S√£o Carlos ‚Äì SP, Brazil; Department of Computing, Federal University of S√£o Carlos (UFSCAR) S√£o Carlos ‚Äì SP, Brazil; Department of Computing, Federal University of S√£o Carlos (UFSCAR) S√£o Carlos ‚Äì SP, Brazil; Department of Computing, Federal University of S√£o Carlos (UFSCAR) S√£o Carlos ‚Äì SP, Brazil</t>
  </si>
  <si>
    <t>The Internet of Things (IoT) is an environment that can be divided in three large layers: the sensor/actuator level where a wide variety of objects with different computing, sensors and communication capabilities resides, the communication layer with wireless technologies such as ZigBee, Bluetooth and emerging 6LoWPAN (e.g LoRa), and the intelligence layer, where computing analytics/decisions occur. IoT can be used for monitoring, inferring problems, decision making at a business level or actuating at the edge via IoT nodes. As the IoT sensor network grows, an enormous amount of data from multiple sources flows to the intelligence layer. In order to make decisions based on analytics over these data, the measurements need to be precise and accurate. Data fusion is an effective way to improve data quality, however, IoT environments are still evolving and the best way and location where data fusion should happen is an open problem. This paper presents one potential strategy for IoT sensor data fusion by implementing multi-sensor data fusion as microservices using a container platform built into an opensource IoT middleware based in a fog computing infrastructure which is can scale automatically as the influx of data from the IoT nodes grows. A number of data fusion tests were performed for different amounts of IoT nodes and sensor readings over ZigBee and LoRa using a specific data fusion algorithm. The results show that, the strategy can be effectively used in IoT heterogeneous environments.</t>
  </si>
  <si>
    <t>978-3-903176-24-9</t>
  </si>
  <si>
    <t>https://ieeexplore.ieee.org/stamp/stamp.jsp?arnumber=9012744</t>
  </si>
  <si>
    <t>IoT;data fusion;fog computing;IoT middleware;micro service container;sensor network</t>
  </si>
  <si>
    <t>Data integration;Middleware;ZigBee;Protocols;Internet of Things;Decision making;Containers</t>
  </si>
  <si>
    <t>I. Dimolitsas; D. Spatharakis; D. Dechouniotis; S. Papavassiliou</t>
  </si>
  <si>
    <t>AHP4HPA: An AHP-based Autoscaling Framework for Kubernetes Clusters at the Network Edge</t>
  </si>
  <si>
    <t>10.1109/GLOBECOM48099.2022.10001214</t>
  </si>
  <si>
    <t>School of Electrical and Computer Engineering, National Technical University of Athens, Athens, Greece; School of Electrical and Computer Engineering, National Technical University of Athens, Athens, Greece; School of Electrical and Computer Engineering, National Technical University of Athens, Athens, Greece; School of Electrical and Computer Engineering, National Technical University of Athens, Athens, Greece</t>
  </si>
  <si>
    <t>Autoscaling resources in a power-efficient way is essential to enable Green Computing resource management solutions. The development of dynamic resource provisioning techniques could lead to the minimization of power consumption and simultaneously guarantee high quality of service (QoS) inline with the workload demand. In this work, we introduce AHP4HPA, an autoscaling framework for Kubernetes Clusters, which is aligned with the Kubernetes architecture and state-of-the-art practices. We define resource profiles, namely a mapping between the QoS and the computing resources, to maximize the performance. Furthermore, Analytic Hierarchy Process (AHP) is exploited to dictate the scaling decision of the resources under various Key Performance Indicators (KPIs) toward power optimization of the allocated resources. To guarantee maximum performance of the deployed image classification application, an ARIMA model is dedicated to providing predictions regarding the incoming workload traffic. The framework is evaluated against a realistic dataset in a small-scale testbed. Numerical results indicate at least a 9% reduction of the average energy consumption when compared to other state of the art techniques.</t>
  </si>
  <si>
    <t>https://ieeexplore.ieee.org/stamp/stamp.jsp?arnumber=10001214</t>
  </si>
  <si>
    <t>Edge Computing;Autoscaling;Multi-Criteria Decision Making;Power Efficiency;Kubernetes</t>
  </si>
  <si>
    <t>Power demand;Key performance indicator;Quality of service;Analytic hierarchy process;Predictive models;Minimization;Numerical models</t>
  </si>
  <si>
    <t>A. Hakiri; B. Sellami; S. Ben Yahia; P. Berthou</t>
  </si>
  <si>
    <t>A SDN-based IoT Architecture Framework for Efficient Energy Management in Smart Buildings</t>
  </si>
  <si>
    <t>2020 Global Information Infrastructure and Networking Symposium (GIIS)</t>
  </si>
  <si>
    <t>2150-329X</t>
  </si>
  <si>
    <t>10.1109/GIIS50753.2020.9248495</t>
  </si>
  <si>
    <t>SYSCOM ENIT, ISSAT, University of Carthage, Mateur, Tunisia; Dept of Computer Sciences, Faculty of Sciences, University of Tunis El Manar; Dept of Computer Sciences, Faculty of Sciences, University of Tunis El Manar; CNRS, LAAS, UPS, F-31400 Toulouse, France</t>
  </si>
  <si>
    <t>Energy consumption has increased drastically at global scale due to the growing urbanization in cities. Energy efficiency in smart buildings can be achieved by introducing a context-aware Internet of Things (IoT) approach, where sensors can learn from their surrounding environment to control the actuators in a coordinated network. However, the IoT network requirements are constantly changing in unpredictable fashion, which needs faster and frequent on-demand network reconfiguration. Software Defined Network (SDN) has been envisioned as a new approach to enable a flexible and agile network programmability in diverse IoT scenarios. However, the focus has primarily been on the design of the SDN computation logic, i.e. controllers, while the dynamic delivery and operations service-inferred IoT resource allocation has been postponed.To fill this gap, this paper proposes a comprehensive architectural design that is devised to empower SDN-enabled Context-Aware IoT systems and networks to create efficient energy management in smart buildings. We investigate the provision of NFV IoT functions to support distributed automation and orchestration on IoT devices, and we present a context-aware approach to gather, filter and process data from sensing data in campus buildings. We provide a proof of concept to demonstrate successful deployment and provisioning of virtualized services in the context of Smart Campus research project.</t>
  </si>
  <si>
    <t>978-1-7281-8241-4</t>
  </si>
  <si>
    <t xml:space="preserve">Ministry of Higher Education and Scientific Research; </t>
  </si>
  <si>
    <t>https://ieeexplore.ieee.org/stamp/stamp.jsp?arnumber=9248495</t>
  </si>
  <si>
    <t>Energy efficiency;Smart Building;Software Defined Networking;Internet of Things;Context-Awareness;Service Function Chaining</t>
  </si>
  <si>
    <t>Smart buildings;Architecture;Distributed databases;Computer architecture;Energy efficiency;Internet of Things;Software defined networking</t>
  </si>
  <si>
    <t>A. Klos; M. Rosenbaum; W. Schiffmann</t>
  </si>
  <si>
    <t>Scalable and Highly Available Multi-Objective Neural Architecture Search in Bare Metal Kubernetes Cluster</t>
  </si>
  <si>
    <t>2021 IEEE International Parallel and Distributed Processing Symposium Workshops (IPDPSW)</t>
  </si>
  <si>
    <t>10.1109/IPDPSW52791.2021.00094</t>
  </si>
  <si>
    <t>Chair of Computer Architecture, FernUniversit√§t in Hagen, Hagen, Germany; Chair of Computer Architecture, FernUniversit√§t in Hagen, Hagen, Germany; Chair of Computer Architecture, FernUniversit√§t in Hagen, Hagen, Germany</t>
  </si>
  <si>
    <t>The interest in deep neural networks for solving computer vision task has dramatically increased. Due to the heavy influence of the neural networks architecture on its predictive accuracy, neural architecture search has gained much attention in recent years. This research area typically implies a high computational burden and thus, requires high scalability as well as availability to ensure no data loss or waist of computational power. Moreover, the thinking of developing applications has changed from monolithic once to microservices. Hence, we developed a highly scalable and available multi-objective neural architecture search and adopted to the modern thinking of developing application by subdividing an already existing, monolithic neural architecture search - based on a genetic algorithm - into microservices. Furthermore, we adopted the initial population creation by 1,000 mutations of each individual, extended the approach by inception layers, implemented it as island model to facilitate scalability and achieved on MNIST, Fashion-MNIST and CIFAR-10 dataset 99.75%, 94.35% and 89.90% test accuracy respectively. Besides, our model is strongly focused on high availability empowered by the deployment in our bare-metal Kubernetes cluster. Our results show that the introduced multi-objective neural architecture search can easily handle even the loss of nodes and proceed the algorithm within seconds on another node without any loss of results or the necessity of human interaction.</t>
  </si>
  <si>
    <t>978-1-6654-3577-2</t>
  </si>
  <si>
    <t>https://ieeexplore.ieee.org/stamp/stamp.jsp?arnumber=9460405</t>
  </si>
  <si>
    <t>neural architecture search;genetic algorithm;island model;kubernetes;microservices;multi-objective;high availability;scalable;bare-metal</t>
  </si>
  <si>
    <t>Distributed processing;Scalability;Neural networks;Sociology;Clustering algorithms;Metals;Computer architecture</t>
  </si>
  <si>
    <t>A. Bento; J. Soares; A. Ferreira; J. Duraes; J. Ferreira; R. Carreira; F. Araujo; R. Barbosa</t>
  </si>
  <si>
    <t>Bi-objective optimization of availability and cost for cloud services</t>
  </si>
  <si>
    <t>10.1109/NCA57778.2022.10013618</t>
  </si>
  <si>
    <t>CISUC, DEI, University of Coimbra; Fiercely, Coimbra, Portugal; Fiercely, Coimbra, Portugal; CISUC, DEI, University of Coimbra; Fiercely, Coimbra, Portugal; Cleanwatts Digital, Coimbra, Portugal; CISUC, DEI, University of Coimbra; CISUC, DEI, University of Coimbra</t>
  </si>
  <si>
    <t>Cloud-based services are a current approach for developing large-scale applications with advantages such as flexibility, access to on-demand resources, and business agility. The overall application functionality results from complex interactions of many decoupled services, each having its operational specificity. Due to this complexity, the manual configuration of these systems is very arduous, error-prone and likely to impair the quality of service, leading to malfunctioning services, lowering availability and accruing costs. Identifying the optimal solution to simultaneously optimize availability and costs, whilst meeting service level objectives remains a challenge for professionals developing solutions using cloud services. This paper proposes a mathematical formulation of a bi-objective problem to identify the optimal set of solutions for the system configuration. Empirical evaluation of the proposed approach in a case study of a real industrial scenario results in an R-Squared of 0.85, an MSE of 0.021 and an optimization accuracy of 0.928. These methods can help practitioners to keep services at an optimum configuration enabling autonomic service operation, whilst improving availability and cost.</t>
  </si>
  <si>
    <t xml:space="preserve">Foundation for Science and Technology; Foundation for Science and Technology; </t>
  </si>
  <si>
    <t>https://ieeexplore.ieee.org/stamp/stamp.jsp?arnumber=10013618</t>
  </si>
  <si>
    <t>Cloud computing;availability modeling;self-adaptive systems;observability;bi-objective optimization</t>
  </si>
  <si>
    <t>Costs;Computational modeling;Quality of service;Manuals;Predictive models;Resource management;Object recognition</t>
  </si>
  <si>
    <t>K. Mitropoulou; P. Kokkinos; P. Soumplis; E. Varvarigos</t>
  </si>
  <si>
    <t>Detect Resource Related Events in a Cloud-Edge Infrastructure using Knowledge Graph Embeddings and Machine Learning</t>
  </si>
  <si>
    <t>2022 13th International Symposium on Communication Systems, Networks and Digital Signal Processing (CSNDSP)</t>
  </si>
  <si>
    <t>10.1109/CSNDSP54353.2022.9908022</t>
  </si>
  <si>
    <t>Department of Electrical &amp; Computer Engineering, National Technical University of Athens, Greece; Department of Electrical &amp; Computer Engineering, National Technical University of Athens, Greece; Department of Electrical &amp; Computer Engineering, National Technical University of Athens, Greece; Department of Electrical &amp; Computer Engineering, National Technical University of Athens, Greece</t>
  </si>
  <si>
    <t>Edge and cloud computing infrastructures consist of multiple resources that may belong to different providers and are utilized in a shared manner by distributed applications for computing and storage purposes. Detecting events that affect the efficient operation of such infrastructures is a challenge and absolutely necessary for providing high quality cloud-edge services. In this work, we model cloud-edge infrastructures using knowledge graphs and use graph embeddings to transform the graphs into vectors. Then, traditional data-driven machine learning algorithms are used in order to detect anomaly events that relate to the infrastructure usage.</t>
  </si>
  <si>
    <t>978-1-6654-1044-1</t>
  </si>
  <si>
    <t>https://ieeexplore.ieee.org/stamp/stamp.jsp?arnumber=9908022</t>
  </si>
  <si>
    <t>Edge computing;cloud computing;event detection;Knowledge graph;graph embeddings;machine learning</t>
  </si>
  <si>
    <t>Cloud computing;Machine learning algorithms;Event detection;Image edge detection;Computational modeling;Simulation;Signal processing algorithms</t>
  </si>
  <si>
    <t>Impact of Dew Computing on Cyber-Physical Systems and IoT</t>
  </si>
  <si>
    <t>10.23919/MIPRO48935.2020.9245267</t>
  </si>
  <si>
    <t>Faculty of Computer Science and Engineering, Ss. Cyril and Methodius University, Skopje, North Macedonia</t>
  </si>
  <si>
    <t>Cyber-physical systems and IoT devices are part of today's interconnected networked world and participate in huge data exchange transfer. Owners of related devices and systems tend to use them independently of external systems and in addition, to be autonomous devices and systems that can perform their tasks without any external support. Edge computing refers to devices on the edge of the Internet, as they integrate into a more complex cyber-physical system. The concept of edge computing means that the corresponding cloud and edge servers are always connected to the edge devices and IoT. In the analyzed case, although these devices and systems can work in an integrated environment, they are rather classified into the dew computing concept, giving them an environment for autonomous performance, independent of surrounding devices and systems. This paper elaborates the underlying concept, benefits, market trends and impact of integrating the dew computing concept to the cyber-physical systems and IoT devices.</t>
  </si>
  <si>
    <t>https://ieeexplore.ieee.org/stamp/stamp.jsp?arnumber=9245267</t>
  </si>
  <si>
    <t>Edge computing;post cloud acrhitectures;CPSoS</t>
  </si>
  <si>
    <t>Performance evaluation;Cloud computing;Cyber-physical systems;Market research;Dew computing;Task analysis;Edge computing</t>
  </si>
  <si>
    <t>S. Chen; Y. Jiang; C. Delimitrou; J. F. Mart√≠nez</t>
  </si>
  <si>
    <t>PIMCloud: QoS-Aware Resource Management of Latency-Critical Applications in Clouds with Processing-in-Memory</t>
  </si>
  <si>
    <t>2022 IEEE International Symposium on High-Performance Computer Architecture (HPCA)</t>
  </si>
  <si>
    <t>10.1109/HPCA53966.2022.00083</t>
  </si>
  <si>
    <t>Computer Systems Laboratory, Cornell University, Ithaca, NY, USA; Computer Systems Laboratory, Cornell University, Ithaca, NY, USA; Computer Systems Laboratory, Cornell University, Ithaca, NY, USA; Computer Systems Laboratory, Cornell University, Ithaca, NY, USA</t>
  </si>
  <si>
    <t>The slowdown of Moore‚Äôs Law, combined with advances in 3D stacking of logic and memory, have pushed architects to revisit the concept of processing-in-memory (PIM) to overcome the memory wall bottleneck. This PIM renaissance finds itself in a very different computing landscape from the one twenty years ago, as more and more computation shifts to the cloud. Most PIM architecture papers still focus on best-effort applications, while PIM‚Äôs impact on latency-critical cloud applications is not well understood.This paper explores how datacenters can exploit PIM architectures in the context of latency-critical applications. We adopt a general-purpose cloud server with HBM-based, 3D-stacked logic+memory modules, and study the impact of PIM on six diverse interactive cloud applications. We reveal the previously neglected opportunity that PIM presents to these services, and show the importance of properly managing PIM-related resources to meet the QoS targets of interactive services and maximize resource efficiency. Then, we present PIMCloud, a QoS-aware resource manager designed for cloud systems with PIM allowing colocation of multiple latency-critical and best-effort applications. We show that PIMCloud efficiently manages PIM resources: it (1) improves effective machine utilization by up to 70% and 85% (average 24% and 33%) under 2-app and 3-app mixes, compared to the best state-of-the-art manager; (2) helps latency-critical applications meet QoS; and (3) adapts to varying load patterns.</t>
  </si>
  <si>
    <t>978-1-6654-2027-3</t>
  </si>
  <si>
    <t>https://ieeexplore.ieee.org/stamp/stamp.jsp?arnumber=9773228</t>
  </si>
  <si>
    <t>Three-dimensional displays;Stacking;Quality of service;Computer architecture;Resource management;Servers</t>
  </si>
  <si>
    <t>M. Ericson; S. W√§nstedt; M. Saimler; H. Flinck; G. Kunzmann; P. Vlacheas; P. Demestichas; D. Rapone; A. De La Oliva; C. J. Bernardos; R. Bassoli; F. H. P. Fitzek; G. Nardini; M. Filippou; M. Mueck</t>
  </si>
  <si>
    <t>Setting 6G Architecture in Motion ‚Äì the Hexa-X approach</t>
  </si>
  <si>
    <t>10.1109/EuCNC/6GSummit54941.2022.9815697</t>
  </si>
  <si>
    <t>Ericsson Research, Sweden; Ericsson Research, Sweden; Ericsson Research, Turkey; Nokia Strategy &amp; Technology, Espoo, Finland; Nokia Strategy &amp; Technology, Munich, Germany; WINGS, Athens, Greece; WINGS, Athens, Greece; Access Innovation Dept, TIM, Turin, Italy; University Carlos III of Madrid, Madrid, Spain; University Carlos III of Madrid, Madrid, Spain; Technische Universit√§t Dresden, Dresden, Germany; Technische Universit√§t Dresden, Dresden, Germany; University of Pisa, Pisa, Italy; Intel Next Generation &amp; Standards, Neubiberg, Germany; Intel Next Generation &amp; Standards, Neubiberg, Germany</t>
  </si>
  <si>
    <t>The most recent cellular generation, 5G, is being deployed on a large scale globally. The capabilities of 5G surpass all previous generations of cellular networks and support many new services compared to 4G. Despite this, at the same time, preparations for 6G have begun since user demands and technical development continuously push the boundaries of what is possible. Demands come not only from users. Also, society sets requirements, e.g., sustainability, coverage, and privacy. To support the necessary features in the network needed to meet the requirements, a new generation of the architecture is needed; one based on the most forward-looking design principles together with trends in networks, use cases, and whatnot. To show that the proposed new features will allow the future network to meet the set requirements, key performance indicators (KPIs) have to be defined. In this paper, we present six of the KPIs that the European 6G flagship project Hexa-X has identified as the fundamental ones to measure the most important aspects of a new 6G architecture.</t>
  </si>
  <si>
    <t>https://ieeexplore.ieee.org/stamp/stamp.jsp?arnumber=9815697</t>
  </si>
  <si>
    <t>6G architecture;KPIs;cloud</t>
  </si>
  <si>
    <t>6G mobile communication;Cellular networks;Privacy;5G mobile communication;Key performance indicator;Europe;Market research</t>
  </si>
  <si>
    <t>J. Xu; B. Palanisamy; Q. Wang; H. Ludwig; S. Gopisetty</t>
  </si>
  <si>
    <t>Decentralized Allocation of Geo-distributed Edge Resources using Smart Contracts</t>
  </si>
  <si>
    <t>10.1109/CCGrid54584.2022.00052</t>
  </si>
  <si>
    <t>School of Computing and Information, University of Pittsburgh, Pittsburgh, PA, USA; School of Computing and Information, University of Pittsburgh, Pittsburgh, PA, USA; Computer Science and Engineering, Louisiana State University, Baton Rouge, LA, USA; Almaden Research Center, IBM Research, San Jose, CA, USA; Almaden Research Center, IBM Research, San Jose, CA, USA</t>
  </si>
  <si>
    <t>In the Internet of Things (loT) era, edge computing is a promising paradigm to improve the quality of service for latency sensitive applications by filling gaps between the loT devices and the cloud infrastructure. Highly geo-distributed edge computing resources that are managed by independent and competing service providers pose new challenges in terms of resource allocation and effective resource sharing to achieve a globally efficient resource allocation. In this paper, we propose a novel blockchain-based model for allocating computing resources in an edge computing platform that allows service providers to establish resource sharing contracts with edge infrastructure providers apriori using smart contracts in Ethereum. The smart contract in the proposed model acts as the auctioneer and replaces the trusted third-party to handle the auction. The blockchain-based auctioning protocol increases the transparency of the auction-based resource allocation for the participating edge service and infrastructure providers. The design of sealed bids and bid revealing methods in the proposed protocol make it possible for the participating bidders to place their bids without revealing their true valuation of the goods. The truthful auction design and the utility-aware bidding strategies incorporated in the proposed model enables the edge service providers and edge infrastructure providers to maximize their utilities. We implement a prototype of the model on a real blockchain test bed and our extensive experiments demonstrate the effectiveness, scalability and performance efficiency of the proposed approach.</t>
  </si>
  <si>
    <t xml:space="preserve">IBM(grant numbers:CNS-2000681); </t>
  </si>
  <si>
    <t>https://ieeexplore.ieee.org/stamp/stamp.jsp?arnumber=9826039</t>
  </si>
  <si>
    <t>Edge Computing;Blockchain;Smart Contract;Incentive Design;Resource Allocation</t>
  </si>
  <si>
    <t>Cloud computing;Computational modeling;Scalability;Smart contracts;Prototypes;Quality of service;Blockchains</t>
  </si>
  <si>
    <t>D. Fuentalba; C. Dur√°n; C. Guillaume; R. Carrasco; S. Gutierrez; O. Pinto</t>
  </si>
  <si>
    <t>Text Analytics Architecture in IoT Systems</t>
  </si>
  <si>
    <t>2021 Third South American Colloquium on Visible Light Communications (SACVLC)</t>
  </si>
  <si>
    <t>10.1109/SACVLC53127.2021.9652319</t>
  </si>
  <si>
    <t>Departamento de Inform√°tica y, Computaci√≥n Universidad Tecnol√≥gica Metropolitana, Santiago, Chile; Departamento de Inform√°tica y, Computaci√≥n Universidad Tecnol√≥gica Metropolitana, Santiago, Chile; Industrial Department, Universidad Tecnol√≥gica Metropolitana, Santiago, Chile; Facultad de Ingenier√≠a y Negocios Universidad de Las Am√©ricas, Santiago, Chile; Chile Facultad de Ciencias, Universidad Central de Chile Escuela de Economia and Universidad Mayor, Santiago, Chile; Faculty of Engineering, Universidad Andres Bello, Santiago, Chile</t>
  </si>
  <si>
    <t>Management control and monitoring of production activities in intelligent environments in subway mines must be aligned with the strategies and objectives of each agent. It is required that in operations, the local structure of each service is fault-tolerant and that large amounts of data are transmitted online to executives to make effective and efficient decisions. The paper proposes an architecture that enables strategic text analysis on the Internet of Things devices through task partitioning with multiple agent systems and evaluates the feasibility of the design by building a prototype that improves communication. The results validate the system's design because Raspberry Pi can execute text mining algorithms and agents in about 3 seconds for 197 texts. This work emphasizes multiple agents for text analytics because the algorithms, along with the agents, use about 70% of a Raspberry Pi CPU.</t>
  </si>
  <si>
    <t>978-1-6654-4225-1</t>
  </si>
  <si>
    <t>https://ieeexplore.ieee.org/stamp/stamp.jsp?arnumber=9652319</t>
  </si>
  <si>
    <t>Text Analytics;Text Mining;Raspberry Pi;Agent Systems;IoT</t>
  </si>
  <si>
    <t>Text mining;South America;Text analysis;Clustering algorithms;Prototypes;Production;Real-time systems</t>
  </si>
  <si>
    <t>A. S. Tyurin</t>
  </si>
  <si>
    <t>Predicting the Temperature Decrease of Metal Between the Furnace-Bucket Machine and the SCCP (steel continuous casting plant)</t>
  </si>
  <si>
    <t>10.1109/SUMMA50634.2020.9280696</t>
  </si>
  <si>
    <t>dept. of Informatics and Computer Engineering, Lipetsk State Technical University, Lipetsk, Russia</t>
  </si>
  <si>
    <t>The process of constructing mathematical models of the temperature decrease of metal between the furnace-bucket machine and the SCCP is described in this work. As a part of the study, a number of computational experiments were conducted on the steel melting data from 2018 to 2019. As a result, regression models were obtained and their comparative analysis was performed.</t>
  </si>
  <si>
    <t>https://ieeexplore.ieee.org/stamp/stamp.jsp?arnumber=9280696</t>
  </si>
  <si>
    <t>mathematical modeling;regression analysis;steel casting;gradient boosting on decision trees</t>
  </si>
  <si>
    <t>Economics;Analytical models;Temperature distribution;Biological system modeling;Mathematical model;Steel;Testing</t>
  </si>
  <si>
    <t>F. Moscatelli; T. Xirofotos; A. Rizk; N. Baganal-Krishna; E. Bonetto; E. Liotou; A. Amditis</t>
  </si>
  <si>
    <t>The 5G-IANA platform: Bringing far-edge resources and ML potential to the disposal of automotive third parties</t>
  </si>
  <si>
    <t>10.1109/FNWF55208.2022.00118</t>
  </si>
  <si>
    <t>Nextworks, Pisa, Italy; UBITECH, Athens, Greece; University of Duisburg-Essen, Essen, Germany; University of Duisburg-Essen, Essen, Germany; LINKS Foundation, Turin, Italy; Institute of Communications and Computer Systems, Athens, Greece; Institute of Communications and Computer Systems, Athens, Greece</t>
  </si>
  <si>
    <t>The advent of 5G has been a game-changer in the Automotive Vertical sector. 5G acts as an enabler of advanced networking architectures which, in turn, allow the development of novel services, by attracting and engaging third parties to experiment using available 5G infrastructure and connectivity. 5G-IANA is a Horizon 2020 ICT-41 project that targets to create such an advanced open experimentation platform, bringing powerful novelty to third parties through the integration and provisioning of far-edge resources for network orchestration purposes, and through the offering of Machine Learning knowledge as an add-on service to them. The scope of this paper is, therefore, to present the 5G-IANA project overall goals, by emphasizing the most important expected innovations from the project regarding far-edge resources' orchestration and ML as a service provisioning.</t>
  </si>
  <si>
    <t>https://ieeexplore.ieee.org/stamp/stamp.jsp?arnumber=10056699</t>
  </si>
  <si>
    <t>5G;automotive vertical;edge resources;orchestration;distributed machine learning</t>
  </si>
  <si>
    <t>Knowledge engineering;Technological innovation;5G mobile communication;Machine learning;Automotive engineering</t>
  </si>
  <si>
    <t>M. Xu; J. Wu; Q. Liao; N. Ning; H. Li</t>
  </si>
  <si>
    <t>Energy Management Cloud Platform in Softwarized Energy Internet</t>
  </si>
  <si>
    <t>2022 IEEE 4th International Conference on Power, Intelligent Computing and Systems (ICPICS)</t>
  </si>
  <si>
    <t>10.1109/ICPICS55264.2022.9873546</t>
  </si>
  <si>
    <t>Gui‚Äôan Power Supply Bureau of Guizhou Power Grid Co., Ltd, Guizhou, Gui‚Äôan, China; Gui‚Äôan Power Supply Bureau of Guizhou Power Grid Co., Ltd, Guizhou, Gui‚Äôan, China; Gui‚Äôan Power Supply Bureau of Guizhou Power Grid Co., Ltd, Guizhou, Gui‚Äôan, China; Gui‚Äôan Power Supply Bureau of Guizhou Power Grid Co., Ltd, Guizhou, Gui‚Äôan, China; Guangzhou Smart Energy Technology Co.,Ltd. Guangzhou, Guangdong, China</t>
  </si>
  <si>
    <t>With the goal of ‚ÄúPeak Emission and Carbon Neutrality‚Äù, energy technology and digital technology are further integrated, and the power grid is accelerating to evolve towards the energy internet. The establishment of energy internet is a milestone on energy consumption management. This paper proposes a new energy internet cloud platform architecture, which adopts the key technologies such as big data, artificial intelligence, SDN and blockchain, in order to manage multiple data centers, flexibly deal with access pressure and remote resource failures, and to meet the requirement of continuous support of energy internet business.</t>
  </si>
  <si>
    <t>978-1-6654-6773-5</t>
  </si>
  <si>
    <t>https://ieeexplore.ieee.org/stamp/stamp.jsp?arnumber=9873546</t>
  </si>
  <si>
    <t>energy internet;artificial intelligence;blockchain;cloud computing;software-defined network</t>
  </si>
  <si>
    <t>Cloud computing;Energy consumption;Data centers;Web and internet services;Power grids;Internet of Things;Artificial intelligence</t>
  </si>
  <si>
    <t>M. Gotin; F. L√∂sch; R. Reussner</t>
  </si>
  <si>
    <t>TCP-Inspired Congestion Avoidance for Cloud-IoT Applications</t>
  </si>
  <si>
    <t>2019 IEEE International Conference on Software Architecture Companion (ICSA-C)</t>
  </si>
  <si>
    <t>10.1109/ICSA-C.2019.00009</t>
  </si>
  <si>
    <t>Robert Bosch GmbH, Renningen, Germany; Robert Bosch GmbH, Renningen, Germany; Karlsruhe Institute of Technology, Karlsruhe, Germany</t>
  </si>
  <si>
    <t>Cloud-loT Applications consist of thousands of smart devices sending sensor data to processing cloud applications. If the processing rate of the cloud application is limited it may be unable to cope with an increasing number of connected devices. If such a situation is not addressed, the cloud application is overloaded with messages, resulting in a high processing delay or loss of data. For this reason we propose a TCP-inspired congestion avoidance which reconfigures the send rate of devices at runtime aiming for a low processing delay and a high throughput. We show, that it is able to avoid congestions by adapting the send rate of devices to a fair share of the processing rate of the cloud application.</t>
  </si>
  <si>
    <t>978-1-7281-1876-5</t>
  </si>
  <si>
    <t>https://ieeexplore.ieee.org/stamp/stamp.jsp?arnumber=8712357</t>
  </si>
  <si>
    <t>Cloud Computing Internet-of- Things (IoT)</t>
  </si>
  <si>
    <t>Cloud computing;Smart devices;Runtime;Delays;Conferences;Steady-state;Throughput</t>
  </si>
  <si>
    <t>M. Pandey; B. D. Cruz; M. Le; Y. -W. Kwon; E. Tilevich</t>
  </si>
  <si>
    <t>Here, There, Anywhere: Profiling-Driven Services to Tame the Heterogeneity of Edge Applications</t>
  </si>
  <si>
    <t>10.1109/SMDS53860.2021.00019</t>
  </si>
  <si>
    <t>School of Computer Science and Engineering, Kyungpook National University, Daegu, South Korea; Software Innovations Lab, Virginia Tech, Virginia, USA; Walmart, Bentonville, AR, USA; School of Computer Science and Engineering, Kyungpook National University, Daegu, South Korea; Software Innovations Lab, Virginia Tech, Virginia, USA</t>
  </si>
  <si>
    <t>Edge computing alleviates network bottlenecks by engaging devices at the edge for data processing tasks. These devices possess limited computing resources, while edge execution environments are inherently heterogeneous. It is non-trivial to dynamically allocate the limited resources of heterogeneous devices to balance high performance and low resource utilization. To that end, this paper presents a profiling-based methodology that effectively matches edge computational tasks with the available devices to best satisfy programmer-defined non-functional requirements. Edge tasks are divided into microservices, which are then profiled for their resource utilization. To execute each task, the runtime consults the profiling results to determine the optimal device-to-microservice matching. We realize our methodology as ŒºHTA, whose service-oriented architecture manages the heterogeneity of edge environments and optimally executes microservices on the available mobile devices. We evaluated ŒºHTA by applying it to two realistic edge mobile applications. Our methodology can help developers bridge the gap between the statically specified non-functional requirements and the dynamic nature of edge environments, while reducing the developer burden of optimally utilizing edge-based computing resources.</t>
  </si>
  <si>
    <t>https://ieeexplore.ieee.org/stamp/stamp.jsp?arnumber=9592388</t>
  </si>
  <si>
    <t>Edge Computing;Profiling;Resource Allocation;Mobile Service Market;Heterogeneity</t>
  </si>
  <si>
    <t>Performance evaluation;Runtime;Conferences;Dynamic scheduling;Data processing;Mobile handsets;Mobile applications</t>
  </si>
  <si>
    <t>X. -Q. Pham; T. Huynh-The; D. -S. Kim</t>
  </si>
  <si>
    <t>A Vision of Distributed Cloud Computing</t>
  </si>
  <si>
    <t>2022 13th International Conference on Information and Communication Technology Convergence (ICTC)</t>
  </si>
  <si>
    <t>2162-1241</t>
  </si>
  <si>
    <t>10.1109/ICTC55196.2022.9952546</t>
  </si>
  <si>
    <t>ICT Convergence Research Center, Kumoh National Institute of Technology, Korea; ICT Convergence Research Center, Kumoh National Institute of Technology, Korea; ICT Convergence Research Center, Kumoh National Institute of Technology, Korea</t>
  </si>
  <si>
    <t>Recently, the explosion of the Internet of Things and the emergence of modern latency-sensitive and compute-intensive applications have posed challenges that cannot be addressed by conventional centralized cloud architectures. On the other hand, the recent developments in networking towards 5G has made fundamental changes in network architectures that increasingly generate new requirements for the cloud availability and capability at the network edge. Therefore, the conventional centralized cloud is evolving into the next-generation cloud paradigm, so-called distributed cloud. In this paper, a vision of distributed cloud is provided. We first give a precise interpretation of distributed cloud. Then, we present a representative 3-layer distributed cloud architecture and identify the key enabling technologies towards the realization of distributed cloud. We then set up a distributed cloud prototype for service deployment and discovery, and provide a preliminary evaluation of service delivery time and service response time. Finally, we highlight some open challenges and future research directions for this promising computing paradigm.</t>
  </si>
  <si>
    <t>978-1-6654-9939-2</t>
  </si>
  <si>
    <t xml:space="preserve">Institute for Information &amp; communications Technology Planning &amp; Evaluation(grant numbers:2018R1A6A1A03024003); </t>
  </si>
  <si>
    <t>https://ieeexplore.ieee.org/stamp/stamp.jsp?arnumber=9952546</t>
  </si>
  <si>
    <t>Distributed cloud;Edge computing;5G;Network cloudification</t>
  </si>
  <si>
    <t>Cloud computing;Prototypes;Computer architecture;Network architecture;Explosions;Information and communication technology;Time factors</t>
  </si>
  <si>
    <t>M. -I. Corici; F. Eichhorn; V. Gowtham; T. Magedanz</t>
  </si>
  <si>
    <t>Drivers for Organic 6G Networking</t>
  </si>
  <si>
    <t>10.1109/FNWF55208.2022.00058</t>
  </si>
  <si>
    <t>Software-based Networks (NGNI), Fraunhofer FOKUS, Berlin, Germany; Software-based Networks (NGNI), Fraunhofer FOKUS, Berlin, Germany; Software-based Networks (NGNI), Fraunhofer FOKUS, Berlin, Germany; Software-based Networks (NGNI), Fraunhofer FOKUS, Berlin, Germany</t>
  </si>
  <si>
    <t>Beyond 5G and 6G mobile network research gained a lot of traction in recent years. The German Open6GHub project funded by the German Federal Ministry of Education and Research (BMBF) is a recent project working on researching and developing technologies towards 6G networks. This article presents the Open6GHub view on the requirements and approaches of the networks of 2030 and beyond. At this early stage, we have the opportunity to investigate more fundamental changes within the system architecture of mobile networks. This article presents the architectural concept of Organic Networks and how it can drive the evolution of mobile networks towards a more adaptable, efficient, and resource and requirements oriented network. The Open6GHub consortium is one of the principal investigators and drivers behind the Organic Network concept.</t>
  </si>
  <si>
    <t>https://ieeexplore.ieee.org/stamp/stamp.jsp?arnumber=10056737</t>
  </si>
  <si>
    <t>5G Evolution;6G;AI;Campus Networks;Edge Computing;Network Function Virtualization;Non-terrestrial Networks;Organic Networking;Open RAN;Service Based Architecture;THz</t>
  </si>
  <si>
    <t>6G mobile communication;5G mobile communication;Systems architecture</t>
  </si>
  <si>
    <t>Y. Wang; H. Bai; W. Li; F. Bu; Y. Hua; D. Han</t>
  </si>
  <si>
    <t>Function System and Application Scenario Design of Energy Big Data Application Center</t>
  </si>
  <si>
    <t>2019 IEEE 3rd Conference on Energy Internet and Energy System Integration (EI2)</t>
  </si>
  <si>
    <t>10.1109/EI247390.2019.9062246</t>
  </si>
  <si>
    <t>State Grid Henan Economic Research Institute, Zhengzhou, China; State Grid Henan Economic Research Institute, Zhengzhou, China; State Grid Henan Economic Research Institute, Zhengzhou, China; State Grid Henan Economic Research Institute, Zhengzhou, China; State Grid Henan Economic Research Institute, Zhengzhou, China; State Grid Henan Economic Research Institute, Zhengzhou, China</t>
  </si>
  <si>
    <t>Giant potential value lies in the application of energy big data on energy resource distribution and energy structure transformation. On the basis of the investigation of the national energy information system and big data platform for energy enterprises, development goals are specified, the overall structural design of the "three platforms and two systems" and the scheme of data management are proposed. Aiming at government, enterprises, and the public, design and blueprint of the multi-dimensional application scenario system are presented, and the function scheme of typical application scenarios serving the government and the public are discussed.</t>
  </si>
  <si>
    <t>978-1-7281-3137-5</t>
  </si>
  <si>
    <t>https://ieeexplore.ieee.org/stamp/stamp.jsp?arnumber=9062246</t>
  </si>
  <si>
    <t>energy big data;structural design;data management;application scenarios</t>
  </si>
  <si>
    <t>Big Data applications;Government;Energy consumption;Planning;Industries;Monitoring</t>
  </si>
  <si>
    <t>A. S. Priyanka; S. M. Kusuma</t>
  </si>
  <si>
    <t>Edge Computing for Smart Stove in Home Automation</t>
  </si>
  <si>
    <t>2022 3rd International Conference on Smart Electronics and Communication (ICOSEC)</t>
  </si>
  <si>
    <t>10.1109/ICOSEC54921.2022.9952084</t>
  </si>
  <si>
    <t>Department of Electronics and Telecommunication engineering, M S Ramaiah Institute of technology, Bengaluru, India; Department of Electronics and Telecommunication engineering, M S Ramaiah Institute of technology, Bengaluru, India</t>
  </si>
  <si>
    <t>The Internet of Things (IoT) is a network of connected things including sensors, processing capabilities, software, and other technologies. The internet or other communication networks are used to communicate and share data among different devices and systems. S mart embedded systems have emerged as the most popular area of study. In particular, IoT-based systems plays a crucial role in establishing a device connectivity. The proposed project employs Machine Learning (ML) algorithms such as Haar Cascade and MobileNet V2 along with the Convolution Neural Networks (CNN) to build a smart stove with a face and age identification function. The device user‚Äôs age will be determined from a live video footage. The main concept of the proposed research work is to restrict the users based on their age factor; provide safety measures whenever a liquid petroleum gas leakage is detected. Preventive measures initiated from the proposed module include shutting OFF lights or other electric items that have been switched ON, activating the exhaust fan, and sending an emergency message to the owner of the gas if it is identified. The proposed smart stove module is IoT-based and offers safety measures without requiring any human intervention.</t>
  </si>
  <si>
    <t>978-1-6654-9764-0</t>
  </si>
  <si>
    <t>https://ieeexplore.ieee.org/stamp/stamp.jsp?arnumber=9952084</t>
  </si>
  <si>
    <t>Haar cascade;Internet of things;Smart stove;Thingspeak;MobileNet V2;Raspberry</t>
  </si>
  <si>
    <t>Weight measurement;Machine learning algorithms;Neural networks;Machine learning;Switches;Software;Safety</t>
  </si>
  <si>
    <t>J. Li; H. Huang</t>
  </si>
  <si>
    <t>Research Study on Edge Computing</t>
  </si>
  <si>
    <t>2021 IEEE 6th International Conference on Smart Cloud (SmartCloud)</t>
  </si>
  <si>
    <t>10.1109/SmartCloud52277.2021.00012</t>
  </si>
  <si>
    <t>Department of Big Data Science and Application, Jingdezhen Ceramic University, China; Department of Big Data Science and Application, Jingdezhen Ceramic University, China</t>
  </si>
  <si>
    <t>Driven by the rapid development of the Internet, the Internet of Things and mobile devices are rapidly updated, generating a large amount of data all the time. The traditional computing model is difficult to meet the computing requirements, which promotes the development of edge computing. Many Internet companies now offer independent computing platforms and architectures. This paper introduces the background of edge computing and summarizes the current mainstream edge computing methods. The framework and key technologies of edge computing are described. In addition, several typical scenarios using edge computing were introduced. Finally, the challenges and possible solutions of edge computing are summarized according to the related literatures of edge computing.</t>
  </si>
  <si>
    <t>978-1-6654-4374-6</t>
  </si>
  <si>
    <t xml:space="preserve">Key Research and Development Plan of Jiang Xi province(grant numbers:20171ACE50022,20202BBEL53020); </t>
  </si>
  <si>
    <t>https://ieeexplore.ieee.org/stamp/stamp.jsp?arnumber=9627194</t>
  </si>
  <si>
    <t>service;Cloud computing;Edge computing</t>
  </si>
  <si>
    <t>Cloud computing;Conferences;Computational modeling;Service computing;Computer architecture;Companies;Mobile handsets</t>
  </si>
  <si>
    <t>R. Langmann; B. B√∂hrer; M. B√∂hrer; S. Negomireanu</t>
  </si>
  <si>
    <t>logiccloud: Programmable Logic Controller (PLC) as a Smart Service from the Cloud</t>
  </si>
  <si>
    <t>IECON 2022 ‚Äì 48th Annual Conference of the IEEE Industrial Electronics Society</t>
  </si>
  <si>
    <t>10.1109/IECON49645.2022.9968665</t>
  </si>
  <si>
    <t>Duesseldorf University of Applied Sciences, Duesseldorf, Germany; Logiccloud AG, Buchen, Germany; Logiccloud AG, Buchen, Germany; Logiccloud Software SRL, Sibiu, Romania</t>
  </si>
  <si>
    <t>The article describes the concept and implementation of an industrial-suited PLC from the cloud. The individual control instances can be easily set up using containerization and distributed anywhere in the network to Edge, Fog or Cloud computers and used as a smart service via a pay-per-use billing model. First evaluations show that these logiccloud controls can be used safely for non-critical real-time applications with different process times.</t>
  </si>
  <si>
    <t>978-1-6654-8025-3</t>
  </si>
  <si>
    <t>https://ieeexplore.ieee.org/stamp/stamp.jsp?arnumber=9968665</t>
  </si>
  <si>
    <t>PLC;CPS-based automation;control system;smart service;control from the cloud</t>
  </si>
  <si>
    <t>Cloud computing;Analytical models;Costs;Source coding;Predictive models;Hardware;Software</t>
  </si>
  <si>
    <t>U. C. √ñzyar; A. Yurdakul</t>
  </si>
  <si>
    <t>A Decentralized Framework with Dynamic and Event-Driven Container Orchestration at the Edge</t>
  </si>
  <si>
    <t>2022 IEEE International Conferences on Internet of Things (iThings) and IEEE Green Computing &amp; Communications (GreenCom) and IEEE Cyber, Physical &amp; Social Computing (CPSCom) and IEEE Smart Data (SmartData) and IEEE Congress on Cybermatics (Cybermatics)</t>
  </si>
  <si>
    <t>10.1109/iThings-GreenCom-CPSCom-SmartData-Cybermatics55523.2022.00017</t>
  </si>
  <si>
    <t>Computer Engineering Department, Bogazici University, Istanbul, Turkey; Computer Engineering Department, Bogazici University, Istanbul, Turkey</t>
  </si>
  <si>
    <t>Virtualization provides an abstraction layer for the Internet of Things technology to tackle the heterogeneity of the edge networks. Deploying virtualized applications on different architectures requires autonomous scaling and load balancing while ensuring their authenticity. A decentralized end-to-end solution is necessary for applications with variable workloads to co-exist on a heterogeneous environment with multiple edge devices. Hence, this study lays down the fundamentals of a framework for dynamic and event-driven orchestration towards a fully decentralized edge. It provides a blockchain-based delivery platform for containerized applications registered with their resource requirements through a registry on a distributed file system. The decentralized resource manager running on the metrics scraped from the host and the virtualization platform, i.e., Docker in our implementation, dynamically optimizes the resources allocated to each container. An event-driven architecture is built over a lightweight messaging protocol, MQTT, capitalizing on the asynchronous and distributed nature of the publish/subscribe pattern to achieve a truly distributed system.</t>
  </si>
  <si>
    <t>978-1-6654-5417-9</t>
  </si>
  <si>
    <t>https://ieeexplore.ieee.org/stamp/stamp.jsp?arnumber=9903191</t>
  </si>
  <si>
    <t>Edge computing;resource-constrained devices;orchestration;containers;decentralized applications</t>
  </si>
  <si>
    <t>Social computing;File systems;Smart contracts;Computer architecture;Containers;Load management;User experience</t>
  </si>
  <si>
    <t>S. Weerasinghe; S. Ahangama</t>
  </si>
  <si>
    <t>Predictive Maintenance and Performance Optimisation in Aircrafts using Data Analytics</t>
  </si>
  <si>
    <t>2018 3rd International Conference on Information Technology Research (ICITR)</t>
  </si>
  <si>
    <t>10.1109/ICITR.2018.8736157</t>
  </si>
  <si>
    <t>Faculty of Information Technology, University of Moratuwa, Katubedda, Sri Lanka; Department of Information Technology, University of Moratuwa, Katubedda, Sri Lanka</t>
  </si>
  <si>
    <t>Airline industry has provided a significantly conventional, faster and reliable mode of transportation for passengers and freight over the decades in which the industry has been in service despite the pressure being applied especially in maintaining operational affordability. The study critically reviews the techniques and tools, infrastructure and general application architecture for discussing the applicability of data analytics based on both batch processing and real time stream data in general aviation for health monitoring and predictive analysis in order to predict maintenance and optimize the performance of aircrafts. In this respect, the study further evaluates the significant capability in addressing contemporary problems which are uniquely addressed by data analytics system.</t>
  </si>
  <si>
    <t>978-1-7281-1470-5</t>
  </si>
  <si>
    <t>https://ieeexplore.ieee.org/stamp/stamp.jsp?arnumber=8736157</t>
  </si>
  <si>
    <t>performance optimisation;predictive maintenance;big aviation data;data analytics;health management</t>
  </si>
  <si>
    <t>Aircraft;Data analysis;Real-time systems;Industries;Aircraft propulsion;Maintenance engineering;Engines</t>
  </si>
  <si>
    <t>Y. Ning; L. Yongwei; L. Wentao; G. Chuncheng; Z. Shiqiang; Z. Qian</t>
  </si>
  <si>
    <t>Power trading system design and key technology research based on micro-services</t>
  </si>
  <si>
    <t>2022 7th Asia Conference on Power and Electrical Engineering (ACPEE)</t>
  </si>
  <si>
    <t>10.1109/ACPEE53904.2022.9783853</t>
  </si>
  <si>
    <t>NARI Group Corporation, State Grid Electric Power Research Institute, Nanjing, China; State Grid Hunan Electric Power Co., Ltd., Changsha, China; NARI Group Corporation, State Grid Electric Power Research Institute, Nanjing, China; NARI Group Corporation, State Grid Electric Power Research Institute, Nanjing, China; NARI Group Corporation, State Grid Electric Power Research Institute, Nanjing, China; NARI Group Corporation, State Grid Electric Power Research Institute, Nanjing, China</t>
  </si>
  <si>
    <t>With the large-scale access of new energy, the power system will accelerate the development towards cleaner and low-carbon. Deepening the construction of power market and establishing a market system and long-term mechanism conducive to promoting green energy production and consumption Deepening the construction of the power market and establishing a market system and long-term mechanism conducive to promoting green energy production and consumption This paper first puts forward the construction requirements and ideas of the green power trading system, This paper first puts forward the construction requirements and ideas of the green power trading system, then carries out the technical research of the green power trading system, fully considers the existing construction achievements of the New- generation Electricity Trading Platform, quickly construct This paper first puts forward the construction requirements and ideas of the green power trading system, then carries out the technical research of the green power trading system, fully considers the existing construction achievements of the New-generation Electricity Trading Platform, quickly constructs the green power trading system based on the business middle platform, and focuses on the construction technical scheme from the aspects of overall architecture, functional architecture, hardware architecture and security architecture. After that, the key technologies such as large-scale concurrent access, green power traceability and whole chain data security protection are After that, the key technologies such as large-scale concurrent access, green power traceability and whole chain data security protection are discussed, and the effectiveness of green power pilot transaction is analyzed. The proposed technical architecture can support the business development of green electricity trading and provide ideas for the rapid support of new trading varieties in the future.</t>
  </si>
  <si>
    <t>978-1-6654-1819-5</t>
  </si>
  <si>
    <t>https://ieeexplore.ieee.org/stamp/stamp.jsp?arnumber=9783853</t>
  </si>
  <si>
    <t>Green power trading;electricity market;business middle platform;electricity trading platform;data security</t>
  </si>
  <si>
    <t>Electrical engineering;Data security;Asia;Production;Power markets;Hardware;Power systems</t>
  </si>
  <si>
    <t>R. Chaparadza; A. Chaoub; B. Chng; N. Davis; A. Dutta; M. Elkotob; D. Krishnaswamy; K. Mahdi; A. M√§mmel√§; P. Martinez-Julia; N. K. Narang; L. Ong; M. Patwary; M. Simsek; J. Voigt; B. Kloza; M. Borst</t>
  </si>
  <si>
    <t>INGR Roadmap Systems Optimization Chapter</t>
  </si>
  <si>
    <t>10.1109/FNWF55208.2022.00143</t>
  </si>
  <si>
    <t>Altran Capgemini/Vodafone; Institut National des Postes et Telecommunications (INPT); BAWMAN LLC; Ciena; Johns Hopkins University Applied Physics Laboratory; Vodafone; Sterlite Technologies; VMWare; VTT Technical Research Centre of Finland; NICT; Narnix Technolabs; Ciena; Birmingham City University; ICSI Berkeley; Amdocs; IEEE Future Networks Initiative; IEEE Future Networks Initiative</t>
  </si>
  <si>
    <t>Fifth generation (5G) networks represent the first step from evolutionary to revolutionary networks. Use cases driving this transition for 5G networks focus on the need to support heterogeneous traffic such as enhanced Mobile Broad Band (eMBB), massive Machine-Type Communications (mMTC), and Ultra-Reliable Low-Latency Communications (URLLC). On the software and control side, 5G and beyond networks are expected to support Software-Defined Networking (SDN) and Network Function virtualization (NFV) technologies and will leverage the merging of communication and computing through the ‚Äúwireless edge‚Äù. With the deployment of novel applications and the expected increase in their usage and demand, the scope of innovation within future networks will be governed by: (a) limitations and boundaries of available resources; (b) limitations of the adaptability of legacy solutions (scalability and flexibility); (c) limitations of available decision making entities (network slice orchestrators and SDN controllers will not be enough); and (d) lack of intelligent management and control solutions for multi-variate optimization. Technologies are available for efficient use and self-adaptive optimization of resources using enablers such as AI-powered autonomic control loops. With ever increasing complexity expected for beyond-5G networks, there is a necessity for novel design, planning and operations paradigms. There is a need for assessment of legacy tools versus new Artificial Intelligence solutions for applicability to systems optimization, and a need for introduction of novel methods to model and study the behavior of highly complex systems developed for the realization of 5G and beyond networks. The goal of this working group (WG) is to assess complexity challenges for the 5G era and beyond, explore novel design, planning and operations techniques for networks and services, and explore intelligence sciences to create the roadmap of the IEEE Future Networks Initiative (FNI) Systems Optimization WG.</t>
  </si>
  <si>
    <t>https://ieeexplore.ieee.org/stamp/stamp.jsp?arnumber=10056672</t>
  </si>
  <si>
    <t>Systems Optimization;Traffic Variance;Control Variance;Service Variance;Confluence;Dependency;Complex Systems;Self-Organizing Networks;Self-X;Autonomics;Autonomic Management &amp; Control (AMC);Emergence</t>
  </si>
  <si>
    <t>Wireless communication;Technological innovation;5G mobile communication;Ultra reliable low latency communication;Software;Planning;Network function virtualization;Complexity theory;Software defined networking;Optimization</t>
  </si>
  <si>
    <t>S. Song; S. Li; H. Gao; Y. Yan; Z. Wang; W. Xu</t>
  </si>
  <si>
    <t>Research on IoT-based Operation Support System for Safety and Economic of Power Distribution Station Clusters</t>
  </si>
  <si>
    <t>2021 3rd Asia Energy and Electrical Engineering Symposium (AEEES)</t>
  </si>
  <si>
    <t>10.1109/AEEES51875.2021.9403203</t>
  </si>
  <si>
    <t>Zaozhuang Power Supply Company, Zaozhuang, China; Zaozhuang Power Supply Company, Zaozhuang, China; Zaozhuang Power Supply Company, Zaozhuang, China; School of Electrical Engineering, Shandong University, Jinan, China; School of Electrical Engineering, Shandong University, Jinan, China; School of Electrical Engineering, Shandong University, Jinan, China</t>
  </si>
  <si>
    <t>At present, the smart grid is in a period of rapid development, and the third industrial revolution represented by the energy Internet has put forward higher requirements for the distribution network. How to apply emerging information technologies such as the Internet of Things(IoT) to power distribution station clusters will become a new model for the new round of energy revolution. This paper first discusses the overall architecture of the operation support system for safety and economic of power distribution station cluster. An operation support system for safety and economic of power distribution station cluster is proposed, which consists of perception layer, network layer, platform layer, and application layer. The function of the perceptive extension layer and edge computing layer is conceived. The key technologies of local communication networks and wide area communication networks are summarized. The application of the platform layer and application layer in the distribution station cluster is analyzed. Aiming at the problem of edge Hub Net and cloud collaboration, this paper studies the cloud edge collaboration architecture and strategy of the operation support system from IaaS, PaaS, and SaaS, which realize the close collaboration be-tween edge computing and cloud computing. Finally, the next step of the construction of Internet of Things technology is summarized and prospected.</t>
  </si>
  <si>
    <t>978-1-6654-2551-3</t>
  </si>
  <si>
    <t>https://ieeexplore.ieee.org/stamp/stamp.jsp?arnumber=9403203</t>
  </si>
  <si>
    <t>power distribution station cluster;Internet of Things technology;cloud edge collaboration;edge computing</t>
  </si>
  <si>
    <t>Economics;Cloud computing;Power distribution;Collaboration;Computer architecture;Safety;Smart grids</t>
  </si>
  <si>
    <t>Y. A. Prasetyo; Suhardi</t>
  </si>
  <si>
    <t>Microservice Platform for Smart City: Concepts, Services and Technology</t>
  </si>
  <si>
    <t>2018 International Conference on Information Technology Systems and Innovation (ICITSI)</t>
  </si>
  <si>
    <t>10.1109/ICITSI.2018.8695927</t>
  </si>
  <si>
    <t>School of Electrical Engineering and Informatics, Institut Teknologi Bandung, Bandung 40132, Indonesia; School of Electrical Engineering and Informatics, Institut Teknologi Bandung, Bandung 40132, Indonesia</t>
  </si>
  <si>
    <t>The realization of the smart city platform is increasingly evident with the availability of many alternative technology choices. Several kinds of research on smart city development have been carried out starting from research based on monolithic architecture, service-oriented, to the latest in the development of microservice-oriented. The microservice oriented platform provides a flexible and scalable implementation. This is needed to build a platform on distributed systems. However, research on the microservice platform still needs to be reconstructed to get a better platform. This study is intended to construct research of microservice platform to obtain a comprehensive picture on developing a platform for smart city. The methodology used in this paper is a systematic literature review. This study is expected to help researchers for building the microservice platform, especially smart city.</t>
  </si>
  <si>
    <t>978-1-5386-5693-8</t>
  </si>
  <si>
    <t>https://ieeexplore.ieee.org/stamp/stamp.jsp?arnumber=8695927</t>
  </si>
  <si>
    <t>platform;smart city;microservice;systematic literature review</t>
  </si>
  <si>
    <t>Smart cities;Computer architecture;Data models;Sensors;Software;Monitoring</t>
  </si>
  <si>
    <t>M. S. Anwar; M. F. Hossain</t>
  </si>
  <si>
    <t>A Zigbee Based Centralized Health Monitoring Wireless Network for Transformers in Smart Grid</t>
  </si>
  <si>
    <t>2020 11th International Conference on Electrical and Computer Engineering (ICECE)</t>
  </si>
  <si>
    <t>10.1109/ICECE51571.2020.9393108</t>
  </si>
  <si>
    <t>Department of Electrical and Electronic Engineering, Bangladesh University of Engineering and Technology, Dhaka, Bangladesh; Department of Electrical and Electronic Engineering, Bangladesh University of Engineering and Technology, Dhaka, Bangladesh</t>
  </si>
  <si>
    <t>This paper proposes a wireless network system to transmit health monitoring data of transformers in a smart grid system with low packet loss. A low power Zigbee based network is developed to reliably and sustainably transmit continuous data from the transformer node to the central smart grid server. Two low energy adaptive clustering hierarchy (LEACH) methods are used to cluster transformers, which transmit data via IEEE 802.15.4 Zigbee protocol using star topology. Comparison between the two LEACH methods, GMM and K means are presented in terms of packet loss and energy consumption. For the measurement of performance metrics, the 5G path-loss model for Micro Urban Street Canyon Model is considered with dynamic shadow fading.</t>
  </si>
  <si>
    <t>978-1-6654-2254-3</t>
  </si>
  <si>
    <t>https://ieeexplore.ieee.org/stamp/stamp.jsp?arnumber=9393108</t>
  </si>
  <si>
    <t>Smart Grid;Transformer Health Monitoring;Zigbee Network;K-means;GMM;LEACH</t>
  </si>
  <si>
    <t>Energy consumption;Wireless networks;Zigbee;Packet loss;Clustering algorithms;Smart grids;Monitoring</t>
  </si>
  <si>
    <t>F. Causa; A. Franzone; G. Fasano</t>
  </si>
  <si>
    <t>Comparison and integration of tactical path planning approaches for Urban Air Mobility</t>
  </si>
  <si>
    <t>2022 IEEE/AIAA 41st Digital Avionics Systems Conference (DASC)</t>
  </si>
  <si>
    <t>2155-7209</t>
  </si>
  <si>
    <t>10.1109/DASC55683.2022.9925737</t>
  </si>
  <si>
    <t>Department of Industrial Engineering, University of Naples Federico II, Naples, Italy; Department of Industrial Engineering, University of Naples Federico II, Naples, Italy; Department of Industrial Engineering, University of Naples Federico II, Naples, Italy</t>
  </si>
  <si>
    <t>This paper develops several tactical path planning strategies specifically tailored for urban air mobility. The developed strategies not only account for obstacles and traffic, but also consider other relevant constraints to ensure a safe flight in urban scenarios such as risk and weather information and vehicle specifics and limitations (maximum altitude, flight path angle and endurance). In addition, the problem of ensuring reliable navigation performance is taken into account at planning level. Three tactical strategies are accounted for, which either update the time history on the trajectory or spatially modify the three-dimensional path by acting at local or global level. The three approaches are compared in the results to assess their performance as a function of the conflict geometry.</t>
  </si>
  <si>
    <t>978-1-6654-8607-1</t>
  </si>
  <si>
    <t>https://ieeexplore.ieee.org/stamp/stamp.jsp?arnumber=9925737</t>
  </si>
  <si>
    <t>Urban air mobility;tactical path planner;online planner</t>
  </si>
  <si>
    <t>Geometry;Three-dimensional displays;Navigation;Trajectory;Planning;Reliability;History</t>
  </si>
  <si>
    <t>M. Matiƒá; E. Nan; M. Antiƒá; S. Ivanoviƒá; R. Pavloviƒá</t>
  </si>
  <si>
    <t>Model-Based Load Testing in the IoT System</t>
  </si>
  <si>
    <t>2019 IEEE 9th International Conference on Consumer Electronics (ICCE-Berlin)</t>
  </si>
  <si>
    <t>2166-6822</t>
  </si>
  <si>
    <t>10.1109/ICCE-Berlin47944.2019.8966226</t>
  </si>
  <si>
    <t>Faculty of Technical Sciences, Novi Sad, Serbia; OBLO Living, Novi Sad, Serbia; Faculty of Technical Sciences, Novi Sad, Serbia; Faculty of Technical Sciences, Novi Sad, Serbia; RT-RK Institute for Computer Based Systems, Novi Sad, Serbia</t>
  </si>
  <si>
    <t>The increasing number of physical objects are being connected to the Internet at an incredible rate, forming the Internet of Things (IoT). This phenomenon not only increases the volume of data on the Internet, but also requires the development of complex software solutions, which need to be thoroughly tested. Testing of IoT systems represents a challenge, since it requires connecting a variety of physical devices to the system. Also, some problems can only be detected if there are a large number of active users in the system, or there are some users generating large data volumes. Simulations and software modeling of system components play an important role in the testing process. They allow to scale the usage of the system at a very low cost, and to perform various testing scenarios. In this paper, software models of components are proposed, which simulate real users' behavior in a home automation IoT system. Using the created models, the high load for the IoT cloud is created, and the system behavior is observed.</t>
  </si>
  <si>
    <t>978-1-7281-2745-3</t>
  </si>
  <si>
    <t>https://ieeexplore.ieee.org/stamp/stamp.jsp?arnumber=8966226</t>
  </si>
  <si>
    <t>internet of things;home automation;load testing;model-based software testing</t>
  </si>
  <si>
    <t>G. Shi; L. Liu; F. Chen</t>
  </si>
  <si>
    <t>The Practical Application of IoT for Large-scale Instruments and Equipment Sharing Management Platform</t>
  </si>
  <si>
    <t>2020 IEEE 39th International Performance Computing and Communications Conference (IPCCC)</t>
  </si>
  <si>
    <t>2374-9628</t>
  </si>
  <si>
    <t>10.1109/IPCCC50635.2020.9391543</t>
  </si>
  <si>
    <t>Computer Network Information Center, Chinese Academy of Sciences, Beijing, China; Computer Network Information Center, Chinese Academy of Sciences, Beijing, China; Central University of Finance and Economics, Beijing, China</t>
  </si>
  <si>
    <t>As an important tool of scientific research activities, instruments and equipment play an important role in scientific creation. Open sharing of large-scale instruments and equipment is an important part of the current sharing economic model. The sharing and use of instruments and equipment is an important manifestation of eScience. Taking the practice of open sharing of instruments and equipment of the Chinese Academy of Sciences as an example, this paper analyzes the design and practice of IoT and Internet in the intensive sharing management of large-scale instruments and equipment, the application effect achieved, and puts forward the prospect for the future development of the sharing platform of instruments and equipment.</t>
  </si>
  <si>
    <t>978-1-7281-9829-3</t>
  </si>
  <si>
    <t xml:space="preserve">Chinese Academy of Sciences; National Science Foundation; Program for New Century Excellent Talents in University; </t>
  </si>
  <si>
    <t>https://ieeexplore.ieee.org/stamp/stamp.jsp?arnumber=9391543</t>
  </si>
  <si>
    <t>IoT;Instrument &amp; equipment;Instrument sharing;Utilization rate;Sharing rate;eScience;SAMP</t>
  </si>
  <si>
    <t>Economics;Instruments;Conferences;Tools;Internet of Things</t>
  </si>
  <si>
    <t>Z. Zhang; J. Zhu; S. Li; H. Zhou; H. Tang; Y. Cao</t>
  </si>
  <si>
    <t>Research on Low-voltage Distribution Network Operation Control Architecture based on Cloud-edge-end Collaboration</t>
  </si>
  <si>
    <t>2022 China International Conference on Electricity Distribution (CICED)</t>
  </si>
  <si>
    <t>2161-749X</t>
  </si>
  <si>
    <t>10.1109/CICED56215.2022.9928834</t>
  </si>
  <si>
    <t>Electric Power Research Institute, State Grid Hunan Electric Power Company Limited, Changsha; Electric Power Research Institute, State Grid Hunan Electric Power Company Limited, Changsha; Changsha University of Science and Technology, Changsha; Electric Power Research Institute, State Grid Hunan Electric Power Company Limited, Changsha; Electric Power Research Institute, State Grid Hunan Electric Power Company Limited, Changsha; Changsha University of Science and Technology, Changsha</t>
  </si>
  <si>
    <t>Low-voltage distribution network is the "last 100 meters" connecting users, which is crucial to ensure quality and reliable power supply. Combined with the development trend of low-voltage distribution network, this paper designs the operation control architecture of low-voltage distribution network based on cloud edge-end collaboration, describes the core elements and main functions under this architecture, and analyzes the key technologies involved in cloud edge-end collaboration. Combined with the typical application scenarios of low-voltage distribution network status holographic perception, low-voltage distribution network active emergency repair, energy autonomy and power quality optimization in stations, and orderly charging of electric vehicles, the specific implementation methods are introduced. The conclusion of this paper will provide useful reference for the operation control of distribution network under the background of new power system.</t>
  </si>
  <si>
    <t>978-1-6654-5268-7</t>
  </si>
  <si>
    <t xml:space="preserve">Science and Technology Project of State Grid; </t>
  </si>
  <si>
    <t>https://ieeexplore.ieee.org/stamp/stamp.jsp?arnumber=9928834</t>
  </si>
  <si>
    <t>new power system;Distribution network;Cloud-side collaboration;Operation control;Distributed energy</t>
  </si>
  <si>
    <t>Low voltage;Data acquisition;Collaboration;Process control;Distribution networks;Computer architecture;Market research</t>
  </si>
  <si>
    <t>Extending IoT/M2M system scalability by network slicing</t>
  </si>
  <si>
    <t>NOMS 2018 - 2018 IEEE/IFIP Network Operations and Management Symposium</t>
  </si>
  <si>
    <t>10.1109/NOMS.2018.8406254</t>
  </si>
  <si>
    <t>In this research, we have extended our initial effort in cloud-based IoT/M2M system scalability and developed a more robust solution by considering diverse QoS requirements from various IoT/M2M traffic patterns. Though our initial effort created a highly scalable architecture for IoT/M2M platforms based on OpenStack, it treated all IoT/M2M traffic without any discrepancy in the same underlying network (i.e. in the same network slice). Now, by leveraging software-defined networking in OpenStack and by using our traffic-slice optimal matching algorithm, we can direct different types of IoT traffic to feasible network slices in terms of QoS. Our experiments show that when compared with a system without network slicing, our scalability system performs better in terms of response time, power consumption, and computational cost.</t>
  </si>
  <si>
    <t>978-1-5386-3416-5</t>
  </si>
  <si>
    <t>https://ieeexplore.ieee.org/stamp/stamp.jsp?arnumber=8406254</t>
  </si>
  <si>
    <t>Cloud Computing;Internet of Things;Scalability;OpenStack;Network Slicing;QoS Matching;SDN</t>
  </si>
  <si>
    <t>Indexes;Bandwidth;Traffic control;Pattern matching</t>
  </si>
  <si>
    <t>A. P. Fournaris; A. Lalos; C. Koulamas</t>
  </si>
  <si>
    <t>Reconfiguring the Functionality of IoT Edge/End nodes using FPGA based System on Chips</t>
  </si>
  <si>
    <t>10.1109/SA47457.2019.8938038</t>
  </si>
  <si>
    <t>Industrial Systems Institute, R.C. ATHENA, Platani Rion; Industrial Systems Institute, R.C. ATHENA, Platani Rion; Industrial Systems Institute, R.C. ATHENA, Platani Rion</t>
  </si>
  <si>
    <t>In this paper we tangle with the mechanisms and solutions of transferring intelligence to the IoT edge level and we document existing approaches on how to include hardware reconfigurability on the edge level of IoT in order to reprogram an IoT device‚Äôs hardware during run time. The approach enables the dynamic allocation of hardware IP cores as a mechanism to enhance the processing performance of IoT end nodes in analogy to the needs of the IoT infrastructure. The goal is to provide a an intelligence distribution mechanism that moves computation resources to end node devices so as to maintain the resilience of an IoT service at high level. We showcase this technology by proposing a design approach and a relevant architecture that can be used in order to program/reconfigure the hardware and software of IoT end Nodes using IP core hardware acceleration. Through the above process, we can considerably enhance end node performance in terms of processing power and make it intelligent enough not just to collect data but also to aggregate them and process them to extract intelligent decisions locally.</t>
  </si>
  <si>
    <t>https://ieeexplore.ieee.org/stamp/stamp.jsp?arnumber=8938038</t>
  </si>
  <si>
    <t>Performance evaluation;Dynamic scheduling;Software;System-on-chip;Internet of Things;IP networks;Resource management</t>
  </si>
  <si>
    <t>A. Stanciu; A. M. Titu; D. V. Deac-≈ûuteu</t>
  </si>
  <si>
    <t>Driving Digital Transformation Of Knowledge-Based Organizations Through Artificial Intelligence Enabled Data Centric, Consumption Based, As-A-Service Models</t>
  </si>
  <si>
    <t>2021 13th International Conference on Electronics, Computers and Artificial Intelligence (ECAI)</t>
  </si>
  <si>
    <t>10.1109/ECAI52376.2021.9515172</t>
  </si>
  <si>
    <t>Microsoft Romania, Digital Specialist, Bucharest, Romania; ‚ÄúLucian Blaga‚Äù University From Sibiu, Sibiu, Romania; SNTGN ‚ÄúTransgaz‚Äù SA Medias Head of IT Management Office, Pia≈£a C. I. Mota≈ü, Nr. 1, Media≈ü, Romania</t>
  </si>
  <si>
    <t>A recent shift in the way people live, work and develop knowledge demands unlocking insights from personal, organizational, and market data. Starting with ingestion, processing, visualization, interactions through insights, cross-team efforts, and decision-making processes, artificial intelligence-based IT support systems are no longer an option in day-to-day activities but an imperative for reaching today‚Äôs organizations‚Äô innovation, efficiency, and effectiveness goals. A consistent automation framework for the needed infrastructure, data, IT assets, and life cycle management is highly related to sustainability, security, compatibility, compliance, and legal regulations. The biggest challenge remains the continuous progress in both infrastructure and software advancements. This paper addresses the challenges of modern businesses‚Äô digitalization, states, and demonstrates the solution through flexible, consumption-based information technology services. The purpose is to accelerate the transition from capital expenditures to operating expenses, thereby accelerating innovation and enhancing agility, security, compliance, flexibility, and cost control. The ultimate goal is to use IT as a platform, shifting from an operations realm to an innovation driver, thus creating new revenue streams.</t>
  </si>
  <si>
    <t>978-1-6654-2534-6</t>
  </si>
  <si>
    <t>https://ieeexplore.ieee.org/stamp/stamp.jsp?arnumber=9515172</t>
  </si>
  <si>
    <t>artificial intelligence;CapEX;OpEX;infrastructure;software;consumption-based services;compliance;innovation</t>
  </si>
  <si>
    <t>Technological innovation;Law;Biological system modeling;Organizations;Licenses;Software;Regulation</t>
  </si>
  <si>
    <t>I. D. Filip; B. Ghita; F. Pop; G. -V. Iordache; C. Negru; C. Dobre</t>
  </si>
  <si>
    <t>EdgeMQ: Towards a Message Queuing Processing System for Cloud-Edge Computing: (Use Cases on Water and Forest Monitoring)</t>
  </si>
  <si>
    <t>2018 17th International Symposium on Parallel and Distributed Computing (ISPDC)</t>
  </si>
  <si>
    <t>10.1109/ISPDC2018.2018.00016</t>
  </si>
  <si>
    <t>Universitatea din Bucuresti, Bucuresti, RO; Universitatea din Bucuresti, Bucuresti, RO; Universitatea din Bucuresti, Bucuresti, RO; Universitatea din Bucuresti, Bucuresti, RO; Universitatea din Bucuresti, Bucuresti, RO; Universitatea din Bucuresti, Bucuresti, RO</t>
  </si>
  <si>
    <t>With the increase of computational enabled devices spread around us, improving the efficiency of our Cloud-based software solutions frequently led us to use the closest available resources and many real-time processes cannot rely on traditional cloud architectures for all of theirs processing tasks anymore. This paper proposes a Cloud-Edge data processing architecture covering both real-time and batch processing models. We design our solution as a general architecture and propose an implementation schema using RabbitMQ as a queuing engine. Two use-cases are considered: one refers to monitoring a forest and the other consider water monitoring and management. Those scenarios include both batch and real-time processing components and they can be mapped on the proposed architecture. We describe a methodology for performance evaluation and give experimental results for using RabbitMQ in a Set-Top Box environment. Using Docker containers with limited resources, we obtained a message rate of 4k messages per second for 1KB sized messages.</t>
  </si>
  <si>
    <t>978-1-5386-5330-2</t>
  </si>
  <si>
    <t>https://ieeexplore.ieee.org/stamp/stamp.jsp?arnumber=8452019</t>
  </si>
  <si>
    <t>Edge Computing;Cloud Computing;Message Queuing System;Real-Time Processing;Batch Processing</t>
  </si>
  <si>
    <t>Edge computing;Cloud computing;Computer architecture;Task analysis;Real-time systems;Monitoring;Contracts</t>
  </si>
  <si>
    <t>H. Yang; W. Liu; C. Liu; T. Wang; L. Peng</t>
  </si>
  <si>
    <t>Transwarp Data Cloud: A Stable, Efficient, and Intelligent Data Application Cloud Platform</t>
  </si>
  <si>
    <t>2022 IEEE 7th International Conference on Smart Cloud (SmartCloud)</t>
  </si>
  <si>
    <t>10.1109/SmartCloud55982.2022.00041</t>
  </si>
  <si>
    <t>Transwarp Technology Co., Ltd, Shanghai, China; Transwarp Technology Co., Ltd, Shanghai, China; Shanghai Big Data Center, Shanghai, China; Transwarp Technology Co., Ltd, Shanghai, China; Transwarp Technology Co., Ltd, Shanghai, China</t>
  </si>
  <si>
    <t>Large value hidden in Big Data has motivated enterprises to transform from information technology magnates to data technology magnates. Cloud computing and artificial intelligence offer eligible solutions for extracting information in Big Data, and integration of the above three renders the data cloud platform. In this paper, we specify Transwarp Data Cloud (TDC), a stable, efficient, and intelligent data application cloud platform, which fuses data cloud, analytics cloud, and application cloud to manage all types of applications and services while sharing a well-maintained underlying infrastructure layer. In addition, we identify a general application framework based on TDC, by which various data-driven applications can be supported, and then we discuss some popular applied domains including Big Data, Application Development and Management, and artificial intelligence. With powerful tools and flexible application support, TDC can help enterprises with the innovation and revolution of business in the era of Big Data.</t>
  </si>
  <si>
    <t>978-1-6654-5179-6</t>
  </si>
  <si>
    <t xml:space="preserve">National Key Research and Development Program of China; </t>
  </si>
  <si>
    <t>https://ieeexplore.ieee.org/stamp/stamp.jsp?arnumber=9944805</t>
  </si>
  <si>
    <t>Big Data;Cloud Computing;Data Cloud;Artificial Intelligence</t>
  </si>
  <si>
    <t>Cloud computing;Technological innovation;Fuses;Companies;Transforms;Big Data applications;Data mining</t>
  </si>
  <si>
    <t>K. Dolui; S. Michiels; D. Hughes; H. Hallez</t>
  </si>
  <si>
    <t>Context Aware Adaptive ML Inference in Mobile-Cloud Applications</t>
  </si>
  <si>
    <t>2022 IEEE 23rd International Symposium on a World of Wireless, Mobile and Multimedia Networks (WoWMoM)</t>
  </si>
  <si>
    <t>10.1109/WoWMoM54355.2022.00031</t>
  </si>
  <si>
    <t>Imec-Distrinet, Computer Science, KU Leuven, Belgium; Imec-Distrinet, Computer Science, KU Leuven, Belgium; Imec-Distrinet, Computer Science, KU Leuven, Belgium; Imec-Distrinet, Computer Science, KU Leuven, Belgium</t>
  </si>
  <si>
    <t>With the emergence of mobile devices having enough resources to execute real-time ML inference, deployment opportunities arise on mobile devices while keeping privacy-sensitive data close to the source and reducing server load. Moreover, offloading inference to a cloud server facilitates deployment of neural network-based applications on resource-constrained devices. Depending on the application goals and execution context of the application, the optimal deployment on either cloud server or mobile device varies during the lifetime of an application. In this paper, we propose a context-aware middleware that enables optimization of deployed application software to satisfy the application‚Äôs functional goals in accordance with changing execution context and environmental conditions. We facilitate system design through the abstraction of deployed software components as states and make use of finite state machines and contextual triggers to model the reconfiguration of the system. We evaluate our framework using a real-world nutritional monitoring application via food image recognition deployed in a two-tier mobile and cloud architecture. We compare the proposed solution with various static deployments of the application and show that our approach can react to changing application goals at run-time in order to reduce server load and thereby increase scalability.</t>
  </si>
  <si>
    <t>978-1-6654-0876-9</t>
  </si>
  <si>
    <t xml:space="preserve">KU Leuven; </t>
  </si>
  <si>
    <t>https://ieeexplore.ieee.org/stamp/stamp.jsp?arnumber=9842849</t>
  </si>
  <si>
    <t>deep learning;offloading;context awareness;inference</t>
  </si>
  <si>
    <t>Wireless communication;Cloud computing;Image recognition;Scalability;Mobile handsets;Real-time systems;Servers</t>
  </si>
  <si>
    <t>S. Hourlier; V. Ibanez; J. -F. Gagnon</t>
  </si>
  <si>
    <t>An objective Human fatigue monitoring solution for Fatigue Risk Management or Reduced Crew Operations</t>
  </si>
  <si>
    <t>2021 IEEE/AIAA 40th Digital Avionics Systems Conference (DASC)</t>
  </si>
  <si>
    <t>10.1109/DASC52595.2021.9594480</t>
  </si>
  <si>
    <t>Thales Avionics France, Bordeaux, France; Thales Avionics France, Bordeaux, France; Thales Research &amp; Technology Canada, Montreal, Canada</t>
  </si>
  <si>
    <t>Thales AVS has launched an internal project to develop a solution for in flight data collection and ground tools allowing post-flight analysis of fatigue, sleepiness and sleep of crew members. This solution is developed with support from major airlines. Thirty flights have already been done and collected data show a real interest from air operators to get objective information. This confirms one of the main assumption that subjective measures are not sufficient to have an accurate and reliable evaluation of fatigue, sleepiness and sleep. Such efficient monitoring is a much needed trustworthy tool for Fatigue Risk Management (FRM) and an unavoidable first step towards Single Pilot Operations (SPO), even in cruise. Thanks to these collaborations with air operators, Thales AVS has developed a better understanding of how air operators manage fatigue risks and safety of flight operations and refined its crew monitoring technology for fatigue.</t>
  </si>
  <si>
    <t>978-1-6654-3420-1</t>
  </si>
  <si>
    <t>https://ieeexplore.ieee.org/stamp/stamp.jsp?arnumber=9594480</t>
  </si>
  <si>
    <t>fatigue risk management;airlines;SPO in cruise</t>
  </si>
  <si>
    <t>Sleep;Pandemics;Tools;Fatigue;Real-time systems;Safety;Risk management</t>
  </si>
  <si>
    <t>H. Liu; K. Wang; X. Yu; H. Tian</t>
  </si>
  <si>
    <t>Research and Design of Shore Power Cloud Network System Based on Cloud Platform</t>
  </si>
  <si>
    <t>2020 IEEE 3rd International Conference on Electronics Technology (ICET)</t>
  </si>
  <si>
    <t>10.1109/ICET49382.2020.9119645</t>
  </si>
  <si>
    <t>State Grid Electric Power Research Institute, Nanjing NARI Information Communication Technology Co., Ltd, Nanjing, china; State Grid Electric Power Research Institute, Nanjing NARI Information Communication Technology Co., Ltd, Nanjing, china; State Grid Electric Power Research Institute, Nanjing NARI Information Communication Technology Co., Ltd, Nanjing, china; State Grid Electric Power Research Institute, Nanjing NARI Information Communication Technology Co., Ltd, Nanjing, china</t>
  </si>
  <si>
    <t>To reduce pollutant emissions during berthing and improve port air quality, an onshore power cloud network system based on a cloud platform was designed. The system is developed by microservice architecture.Four layers are contained in the architecture from bottom to top: support layer,application layer,service layer,display layer.MQTT communication protocol is adopted to manage the communication link of large data volume, and acquisition monitoring of shore power facilities are realize. Considering the Jiangsu section of the Beijing-Hangzhou canal as an example, the practical application of the electricity cloud network system on the shore has demonstrated that the system can effectively satisfy the ship charging requirements.</t>
  </si>
  <si>
    <t>978-1-7281-6283-6</t>
  </si>
  <si>
    <t>https://ieeexplore.ieee.org/stamp/stamp.jsp?arnumber=9119645</t>
  </si>
  <si>
    <t>Shore power;cloud platform;shore power information management;monitoring of shore power facilities</t>
  </si>
  <si>
    <t>Irrigation;Protocols;Conferences;Microservice architectures;Carbon dioxide;Maintenance engineering;Rivers</t>
  </si>
  <si>
    <t>S. Merkouche; T. Haroun; C. Bouanaka; M. Smaali</t>
  </si>
  <si>
    <t>TERA-Scheduler for a Dependency-based Orchestration of Microservices</t>
  </si>
  <si>
    <t>2022 International Conference on Advanced Aspects of Software Engineering (ICAASE)</t>
  </si>
  <si>
    <t>10.1109/ICAASE56196.2022.9931568</t>
  </si>
  <si>
    <t>LIRE Laboratory, University of Constantine 2-Abdelhamid Mehri, Constantine, Algeria; Departement of Software Technology &amp; Information Systems, University of Constantine 2-Abdelhamid Mehri Constantine, Algeria; LIRE Laboratory, University of Constantine 2-Abdelhamid Mehri, Constantine, Algeria; Departement of Software Technology &amp; Information Systems, University of Constantine 2-Abdelhamid Mehri Constantine, Algeria</t>
  </si>
  <si>
    <t>Due to the increase use of Microservices and the adoption of containers as the best choice for their deployment. Orchestration tools are continuously updating their auto-scaling and scheduling strategies in order to offer better options and capabilities to users. Despite the proposed solutions, there are still many unaddressed issues and optimization is still needed from different perspectives. Therefore, we present TERA-scheduler, with a new scheduling strategy, that we implement using Kubernetes, to reduce both the scheduling duration and the traffic between pods, by considering dependencies between Microservices. Experimentation results show that TERA-Scheduler fasten the response time by 39% compared to Kubernetes (K8s for short) default scheduler which make it a better choice especially for latency-aware systems.</t>
  </si>
  <si>
    <t>978-1-6654-9202-7</t>
  </si>
  <si>
    <t>https://ieeexplore.ieee.org/stamp/stamp.jsp?arnumber=9931568</t>
  </si>
  <si>
    <t>Microservice oriented Architecture;Orchestration tools;Scheduling;Kubernetes;Quality of Service</t>
  </si>
  <si>
    <t>Measurement;Cloud computing;Software algorithms;Microservice architectures;Computer architecture;Quality of service;Scheduling</t>
  </si>
  <si>
    <t>S. Smaali; R. Boucebsi; W. Ghemmaz</t>
  </si>
  <si>
    <t>Towards a BRS-based Model for IoT Hybrid Fault Tolerance</t>
  </si>
  <si>
    <t>10.1109/ICAASE56196.2022.9931572</t>
  </si>
  <si>
    <t>LIRE Laboratory, Constantine 2- Abdelhamid Mehri University, Constantine, Algeria; LIRE Laboratory, Constantine 2- Abdelhamid Mehri University, Constantine, Algeria; LIRE Laboratory, Constantine 2- Abdelhamid Mehri University, Constantine, Algeria</t>
  </si>
  <si>
    <t>In an increasingly connected world, the Internet of Things (IoT) has emerged as a framework of technologies and paradigms for the future of the Internet. However, it suffers from failures that can have undesirable consequences or even cause fatal accidents, especially in critical domains. Therefore, Fault Tolerance is a major challenge for assuring IoT systems dependability. In this article, we tackle this problem by proposing a hybrid approach, which consists of a generic microservice architecture baptized H-FaTMA. It enables proactive and reactive fault tolerance by providing detection of things failures as well as continuous and real-time monitoring of their states. In addition, it offers mechanisms to strengthen the reliability of the designed systems. We lean on formal methods to verify the functioning of H-FaTMA. Thus, we adopt Bigraphical Reactive Systems (BRS) to define our formal model that covers the description of architectural elements and simulates fault detection and recovery strategies.</t>
  </si>
  <si>
    <t>https://ieeexplore.ieee.org/stamp/stamp.jsp?arnumber=9931572</t>
  </si>
  <si>
    <t>IoT;Dependability;Fault tolerance;Microservice Architecture;Formal methods;Bigraphical reactive systems.</t>
  </si>
  <si>
    <t>Fault tolerance;Analytical models;Fault detection;Fault tolerant systems;Microservice architectures;Computer architecture;Reliability engineering</t>
  </si>
  <si>
    <t>W. Zhang; K. Xiao</t>
  </si>
  <si>
    <t>Communication Mode of Computer Cluster Network in Cloud Environment based on Neural Computing</t>
  </si>
  <si>
    <t>2021 5th International Conference on Computing Methodologies and Communication (ICCMC)</t>
  </si>
  <si>
    <t>10.1109/ICCMC51019.2021.9418350</t>
  </si>
  <si>
    <t>Emergency rescue equipment research branch, China Coal Technology and Engineering Group Shenyang Research Institute, Fushun, China; Emergency rescue equipment research branch, China Coal Technology and Engineering Group Shenyang Research Institute, Fushun, China</t>
  </si>
  <si>
    <t>Communication mode of the computer cluster network in cloud environment based on the neural computing is analyzed in this manuscript. Cloud computing can make full use of virtual technology and effectively combine many clients and workstations into a whole to form a virtual computing laboratory which will enhance the efficiency from a large perspective. Before the generation of distributed storage backup in cloud computing environment, the data storage backup method based on the computer server is usually more miscellaneous, which is to increase its storage backup space by improving its scalability, so as to meet the requirements of related application functions of data packet storage and upload. Hence, this paper provides the novel perspectives of the network communication model. The test shows that efficiency is improved.</t>
  </si>
  <si>
    <t>978-1-6654-0360-3</t>
  </si>
  <si>
    <t>https://ieeexplore.ieee.org/stamp/stamp.jsp?arnumber=9418350</t>
  </si>
  <si>
    <t>Neural Computing;Computer Cluster System;Network of Cloud;Communication Mode</t>
  </si>
  <si>
    <t>Cloud computing;Computational modeling;Scalability;Memory;Information security;Distributed databases;Robustness</t>
  </si>
  <si>
    <t>Z. Li; Z. Chen; X. Gao; S. Wang; F. Di; R. Ye</t>
  </si>
  <si>
    <t>The Fast Simulation Architecture Construction for Integrated Electric Transmission and Distribution Power Grid Based On Big Data Platform</t>
  </si>
  <si>
    <t>2021 China International Conference on Electricity Distribution (CICED)</t>
  </si>
  <si>
    <t>10.1109/CICED50259.2021.9556785</t>
  </si>
  <si>
    <t>Beijing Key Lab of Research and System Evaluation of Power Dispatching Automation Technology, China Electric Power Research Institute, Beijing, China; Big Data Center, State Grid Corporation of China, Beijing, China; Institute of Microelectronics, Chinese Academy of Sciences, Beijing, China; Beijing Key Lab of Research and System Evaluation of Power Dispatching Automation Technology, China Electric Power Research Institute, Beijing, China; Beijing Key Lab of Research and System Evaluation of Power Dispatching Automation Technology, China Electric Power Research Institute, Beijing, China; Beijing Key Lab of Research and System Evaluation of Power Dispatching Automation Technology, China Electric Power Research Institute, Beijing, China</t>
  </si>
  <si>
    <t>This paper studies constructing methods and key technologies of the fast simulation architecture for integrated electric transmission and distribution power grid based on big data platform, aiming at the problems about difficult communication, poor collaboration, low reusability of services and applications, and time-consuming preparation in the fast integrated simulation system. Specifically, this paper focuses on the creation technology of simulating scenarios, the design of dispatcher storage system for distributed tasks, the management of service based on micro service framework, and the simulation data mart, etc. Besides, a business flow and data flow of fast simulation are realized. Comparing with the traditional DTS process, this method makes full use of simulation resource, also improves the speed and quality of simulation process and achieves a better human-computer interaction experience. In addition, this method enables the reusability for services and applications. The feasibility and effectiveness is validated.</t>
  </si>
  <si>
    <t>978-1-7281-9229-1</t>
  </si>
  <si>
    <t>https://ieeexplore.ieee.org/stamp/stamp.jsp?arnumber=9556785</t>
  </si>
  <si>
    <t>Fast simulation;big data platform;coordinated dispatching and distribution integration;multi-agent;micro service framework</t>
  </si>
  <si>
    <t>Human computer interaction;Distributed databases;Collaboration;Big Data;Data models;Power grids;Dispatching</t>
  </si>
  <si>
    <t>A. Andriyanto; R. Doss; L. Pan; P. Yustianto</t>
  </si>
  <si>
    <t>A Literature Review of Inter-enterprise SOA in Small and Medium Business Communities</t>
  </si>
  <si>
    <t>10.1109/ICITSI.2018.8696031</t>
  </si>
  <si>
    <t>School of Information Technology, Deakin University, Geelong, Australia; School of Information Technology, Deakin University, Geelong, Australia; School of Information Technology, Deakin University, Geelong, Australia; School of Information Technology, Deakin University, Geelong, Australia</t>
  </si>
  <si>
    <t>The service-oriented architecture (SOA) enables organizations to cooperate in expanding their businesses and creating new opportunities by connecting multiple participant's resources. However, some organizations are not yet ready to integrate with this inter-enterprise SOA environment due to their internal traditional IT-based systems. So, to face the challenge of market and system expansion, they first have to enable their systems for collaboration. This paper explores and analyses SOA implementation aspects in the small and medium enterprise (SME) communities by using systematic literature review method. This work presents facts regarding the state of SME community, i.e. the attributes, existing IT architectures, and the adopted collaboration frameworks. Virtual organization (VO) with its variants is a prominent model to establish in the ICT-based SME community. The centralized system is the dominant architectural structure types proposed due to the natural characteristics of SOA and SMEs.</t>
  </si>
  <si>
    <t>https://ieeexplore.ieee.org/stamp/stamp.jsp?arnumber=8696031</t>
  </si>
  <si>
    <t>service-oriented architecture;microservices;small and medium enterprise;collaboration;community</t>
  </si>
  <si>
    <t>Service-oriented architecture;Computer architecture;Bibliographies;Organizations;Information technology;Collaboration</t>
  </si>
  <si>
    <t>K. Thammarak</t>
  </si>
  <si>
    <t>Agile Approach for Cyber-Physical Systems (CPS) Development using Cloud Computing</t>
  </si>
  <si>
    <t>2019 23rd International Computer Science and Engineering Conference (ICSEC)</t>
  </si>
  <si>
    <t>10.1109/ICSEC47112.2019.8974809</t>
  </si>
  <si>
    <t>School of Informatics, Walailak University, Nakhon Si Thammarat, Thailand</t>
  </si>
  <si>
    <t>This paper aims to present an agile approach for developing CPS using cloud computing. This study demonstrates in three limitations including, 1) lack of tools for deploy, simulation and continues improvement(CI), 2) limited visibility of customer environment, and 3) lack of repository and version control management. This paper applied the Azure cloud platform as a tool to facilitate the developer to use an agile approach for developing four cases of CPS are Blink, Temperature, sound and I2C serial LCD. All cases produced with two methods are Agile approach with cloud platform and Agile with the non-cloud platform. From study founds that cloud computing can easily use an agile approach for CPS development than non-cloud platform development. Especially, Continues Integration, simulation, deployment, repository management, production and operation, and Usage and visualisation of data. However, some aspects that can study in the future. For example, HW/SW dependency may solve with containers such as micro-service, docker and IaaS Platform. Besides, an integration between Simulink and cloud platform is a challenge for modelling specification.</t>
  </si>
  <si>
    <t>978-1-7281-2544-2</t>
  </si>
  <si>
    <t>https://ieeexplore.ieee.org/stamp/stamp.jsp?arnumber=8974809</t>
  </si>
  <si>
    <t>Agile;Cyber-Physical Systems;styling;cloud computing</t>
  </si>
  <si>
    <t>W. Zhao; B. Zhou; J. Li; T. Wang; T. Mao; X. Huang</t>
  </si>
  <si>
    <t>Architecture and Function Design of Virtual Power Plant Operation Management Platform</t>
  </si>
  <si>
    <t>2022 IEEE/IAS Industrial and Commercial Power System Asia (I&amp;CPS Asia)</t>
  </si>
  <si>
    <t>10.1109/ICPSAsia55496.2022.9949759</t>
  </si>
  <si>
    <t>Electric Power Research Institute, CSG, Guangzhou, China; Electric Power Research Institute, CSG, Guangzhou, China; Shenzhen Power Supply Bureau, Shenzhen, China; Electric Power Research Institute, CSG, Guangzhou, China; Electric Power Research Institute, CSG, Guangzhou, China; Electric Power Research Institute, CSG, Guangzhou, China</t>
  </si>
  <si>
    <t>This paper studies the architecture and function design of the virtual power plant operation management platform of China Southern Power Grid. Firstly, the business process of virtual power plant operation management platform is designed, then the system construction principles, overall architecture and functional application are proposed, adapting to multiple types of resources, multiple application scenarios, and multiple interaction subjects. A new power dispatching mode considering aggregation optimization, flexible dispatch and market operation of massive decentralized and adjustable resources, providing technical support for the business development of virtual power plants.</t>
  </si>
  <si>
    <t>978-1-6654-5066-9</t>
  </si>
  <si>
    <t>https://ieeexplore.ieee.org/stamp/stamp.jsp?arnumber=9949759</t>
  </si>
  <si>
    <t>virtual power plant;electricity market;distributed energy aggregation;flexible resources regulation and control</t>
  </si>
  <si>
    <t>Cloud computing;Supply and demand;Systems architecture;Virtual power plants;Dispatching;Regulation;Power grids</t>
  </si>
  <si>
    <t>V. T. Le; N. El Ioini; C. Pahl; M. Elahi</t>
  </si>
  <si>
    <t>Capacity-Based Trust System in Untrusted MEC Environments</t>
  </si>
  <si>
    <t>2022 9th International Conference on Internet of Things: Systems, Management and Security (IOTSMS)</t>
  </si>
  <si>
    <t>2832-3033</t>
  </si>
  <si>
    <t>10.1109/IOTSMS58070.2022.10062005</t>
  </si>
  <si>
    <t>Free University of Bozen-Bolzano, Bolzano, Italy; Free University of Bozen-Bolzano, Bolzano, Italy; Free University of Bozen-Bolzano, Bolzano, Italy; University of Bergen, Bergen, Norway</t>
  </si>
  <si>
    <t>With the concept of Mobile Edge Computing or Multi-access Edge Computing (MEC), computation resources can be located closer to the users in proximity. MEC can operate specific services for the user requests to reduce overhead in the main cloud. The MEC infrastructure also facilitates service migration and relocation to follow the user movement in order to maintain service connection and therefore reduce the service downtime. However, since most MEC components are meant to be deployed on constrained IoT devices, they inherit many of the limitations that come with IoT, especially in terms of limited resources and security. In this paper, we focus on the capacity aspect of the MEC infrastructure to ensure the services have enough resources during the migration process. We note that the distributed and decentralized nature of MEC networks requires the additional endorsement of the capacity information reported by the network nodes, which is especially critical since MEC nodes can be hacked or tampered with, leading to failures during the migration process. To address this issue, we propose a machine learning-based solution that applies historical resources metric data to predict potential node behavior under attack scenarios. Our experiments showed that artificial neural network (ANN) is the best model for the production version that will be built as an extension in Kubernetes.</t>
  </si>
  <si>
    <t>979-8-3503-2045-9</t>
  </si>
  <si>
    <t>https://ieeexplore.ieee.org/stamp/stamp.jsp?arnumber=10062005</t>
  </si>
  <si>
    <t>edge computing;trust;capacity;resource;kubernetes</t>
  </si>
  <si>
    <t>Measurement;Training;Multi-access edge computing;Random access memory;Artificial neural networks;Production;Predictive models</t>
  </si>
  <si>
    <t>P. Bellini; D. Cenni; N. Mitolo; P. Nesi; G. Pantaleo</t>
  </si>
  <si>
    <t>Exploiting Satellite Data in the Context of Smart City Applications</t>
  </si>
  <si>
    <t>2021 IEEE SmartWorld, Ubiquitous Intelligence &amp; Computing, Advanced &amp; Trusted Computing, Scalable Computing &amp; Communications, Internet of People and Smart City Innovation (SmartWorld/SCALCOM/UIC/ATC/IOP/SCI)</t>
  </si>
  <si>
    <t>10.1109/SWC50871.2021.00061</t>
  </si>
  <si>
    <t>Department of Information Engineering, Distributed Systems and Internet Technologies Lab, University of Florence, Italy; Department of Information Engineering, Distributed Systems and Internet Technologies Lab, University of Florence, Italy; Department of Information Engineering, Distributed Systems and Internet Technologies Lab, University of Florence, Italy; Department of Information Engineering, Distributed Systems and Internet Technologies Lab, University of Florence, Italy; Department of Information Engineering, Distributed Systems and Internet Technologies Lab, University of Florence, Italy</t>
  </si>
  <si>
    <t>In the context of smart city, there is the need of cheap approaches to get environmental and contextual data. IoT (Internet of Things) devices and sensors may be located in specific points of interest, while their costs is high for the installation, usage/licensing and maintenance. The satellite data can be a viable solution to have more data at the cheaper costs, some of them are open data, while in other cases the satellite data have a cost. In this paper, the exploitation of satellite data in the context of Smart City is analyzed and some examples are provided. The satellite data of the European Union‚Äôs Earth observation program Copernicus can be used to calibrate the values of large sensors network data, and for new applications in which similar data cannot be recovered from the field. A demonstrative Dashboard has been provided to allow the users to perform a comparison of data coming from satellite with respect to those obtained from IOT Devices. This research has been developed in the context of PC4City project (Civil Protection for the City) of the Fondazione Cassa di Risparmio di Firenze.</t>
  </si>
  <si>
    <t>978-1-6654-1236-0</t>
  </si>
  <si>
    <t>https://ieeexplore.ieee.org/stamp/stamp.jsp?arnumber=9604396</t>
  </si>
  <si>
    <t>Satellite Earth Observation;Geospatial Data;Copernicus;Sentinel;ESA;GIS</t>
  </si>
  <si>
    <t>Earth;Performance evaluation;Satellites;Costs;Smart cities;Europe;Maintenance engineering</t>
  </si>
  <si>
    <t>D. Wang</t>
  </si>
  <si>
    <t>Promoting the High-quality Development of Industrial APP in Jiangsu Province Under New Development Concept</t>
  </si>
  <si>
    <t>2019 IEEE 1st International Conference on Civil Aviation Safety and Information Technology (ICCASIT)</t>
  </si>
  <si>
    <t>10.1109/ICCASIT48058.2019.8973120</t>
  </si>
  <si>
    <t>Software Engineering and Appraisal Center, China Electronics Standardization Institute, Beijing, China</t>
  </si>
  <si>
    <t>The industrial Internet is the key support for the fourth industrial revolution. High-quality development of industrial APP has great significance to promote the construction and application of industrial Internet and Industrie 4.0. Guided by the new development concept of ‚Äúinnovation, coordination, green, openness and sharing‚Äù, this paper selects Jiangsu Province as the main research object. It analyzes the current development of industrial APP in Jiangsu on the basis of the connotation of industrial APP and a large amount of data. Then, the suggestions to promote the high-quality development of industrial APP in Jiangsu were proposed after analyzing the problems and challenges what are faced.</t>
  </si>
  <si>
    <t>978-1-7281-2598-5</t>
  </si>
  <si>
    <t>https://ieeexplore.ieee.org/stamp/stamp.jsp?arnumber=8973120</t>
  </si>
  <si>
    <t>industrial APP;industrial Internet;Industrie 4.0;new development concept</t>
  </si>
  <si>
    <t>K. Halba; A. Hailane; A. Lbath; E. Griffor; A. Dahbura</t>
  </si>
  <si>
    <t>Well-being as a Composite Capability in the Smart Building Domain: A Formal and Technical Study</t>
  </si>
  <si>
    <t>2022 IEEE European Technology and Engineering Management Summit (E-TEMS)</t>
  </si>
  <si>
    <t>10.1109/E-TEMS53558.2022.9944422</t>
  </si>
  <si>
    <t>Johns Hopkins University, Baltimore, MD, USA; NIST, Gaithersburg, MD, USA; Grenoble Alpes University, Grenoble, France; NIST, Gaithersburg, MD, USA; Johns Hopkins University, Baltimore, MD, USA</t>
  </si>
  <si>
    <t>Smart building value-added capabilities are gaining significant attention from various stakeholders, including the general public, researchers, and industry. One such capability is well-being, a composition of multiple atomic capabilities that characterize a smart building. Atomic functions that compose a well-being capability include temperature, noise level, pollution level, and humidity, to name a few. Multiple efforts have addressed this specific capability and its composition requirements and techniques from standardization, technical, and quality of service aspects. One such effort is the IoT and CPS Composition Framework (ICCF), a novel framework for rapid modeling, specifying, verifying, and prototyping IoT and CPS capabilities. ICCF relies on the NIST CPS Framework guidelines to address different stakeholders' concerns; it also leverages composition semantics inspired by the mPlane platform to describe entities and interactions intuitively. In addition, it uses the Temporal Logic of Actions + (TLA+) formal verification techniques to verify the correctness of core functions. This work leverages the ICCF framework to provide the following contributions: i) description of a stakeholder-defined well-being composition capability based on the ICCF framework foundations, ii) an in-depth characterization of the well-being capability, iii) considerations regarding the formal aspects of the well-being capability, including verifying its correctness, deadlock, and state-space, iv) implementation of the composite capability using a lightweight microservices environment, v) discussion of results based on the different domains of interest including residential buildings and factories. Finally, a summary of this effort is provided, and challenges to capabilities composition as well as future plans for improvement are highlighted.</t>
  </si>
  <si>
    <t>978-1-6654-1100-4</t>
  </si>
  <si>
    <t>https://ieeexplore.ieee.org/stamp/stamp.jsp?arnumber=9944422</t>
  </si>
  <si>
    <t>Internet of Things(IoT);Cyber-Physical Systems(CPS);Composition;Smart Buildings;Well-being;Formal Verification;Micro-services</t>
  </si>
  <si>
    <t>Smart buildings;Pollution;Semantics;Microservice architectures;Quality of service;System recovery;NIST</t>
  </si>
  <si>
    <t>A. Lanjewar; S. Kumar; L. Malik</t>
  </si>
  <si>
    <t>ATQMB: Design of an augmented trust enabled QoS aware MAC model with intelligent blockchain sharding</t>
  </si>
  <si>
    <t>2022 10th International Conference on Emerging Trends in Engineering and Technology - Signal and Information Processing (ICETET-SIP-22)</t>
  </si>
  <si>
    <t>2157-0485</t>
  </si>
  <si>
    <t>10.1109/ICETET-SIP-2254415.2022.9791799</t>
  </si>
  <si>
    <t>Electronics &amp; Telecommunication, Kalinga University, Raipur, India; Electronics &amp; Telecommunication, Kalinga University, Raipur, India; Computer Science Engineering, Government Engineering College, Nagpur, India</t>
  </si>
  <si>
    <t>Enhancing security in wireless networks compromises quality of service (QoS) parameters, which reduces network scalability. In order to improve network security without compromising on QoS performance, redundant calculations must be reduced, which requires design of a performance tuning machine learning layer. Most of the research work done in this area of machine learning model design, focuses on reducing these redundancies via use of low complexity models, light weight mechanisms for trust evaluation, or simplifying key-exchange &amp; other cryptographic processes. But these reductions in complexity also introduce security vulnerabilities into the system, for instance, using a light-weight trust model introduces trojan horse like attacks, while, using a low complexity cryptographic mechanism facilitates cryptanalysis. In order to reduce the computational complexity needed during security patch deployments, and improve overall quality of service (QoS) for wireless networks, this text proposes an augmented trust enabled QoS aware MAC model with intelligent blockchain sharding. The model works in 4 phases, wherein, initially an augmented trust model is implemented, which assists in improving QoS of network during routing. This is followed by design of a medium access control (MAC) model, which assists in further improving network QoS via an incremental learning layer that reduces packet contention, link quality issues, etc. Due to use of augmented trust layer, and incremental learning MAC model, various privacy &amp; security loopholes are added to the network, which are handled via use of a proof-of-stake (PoS) consensus based blockchain model. The PoS model is very secure, has high traceability, but is moderately scalable, because of exponential relationship between number of blocks &amp; computational complexity of mining. In order to reduce this complexity, and maintain a high QoS performance, this text proposes an intelligent blockchain sharding model that divides the underlying PoS blockchain into smaller shards, and manages each shard using tree-based hash range search model.</t>
  </si>
  <si>
    <t>978-1-6654-6741-4</t>
  </si>
  <si>
    <t>https://ieeexplore.ieee.org/stamp/stamp.jsp?arnumber=9791799</t>
  </si>
  <si>
    <t>Blockchain;sharding;QoS;Trust;MAC;machine learning;incremental learning</t>
  </si>
  <si>
    <t>Computational modeling;Wireless networks;Scalability;Quality of service;Machine learning;Routing;Blockchains</t>
  </si>
  <si>
    <t>S. Liu; Y. Zu</t>
  </si>
  <si>
    <t>Design and Research of Edge Layer Service Platform Based on Flexible Service Architecture</t>
  </si>
  <si>
    <t>2019 IEEE 10th International Conference on Software Engineering and Service Science (ICSESS)</t>
  </si>
  <si>
    <t>2327-0594</t>
  </si>
  <si>
    <t>10.1109/ICSESS47205.2019.9040827</t>
  </si>
  <si>
    <t>School of Electronic Engineering, Beijing University of Posts and Telecommunications, Beijing, China; School of Electronic Engineering, Beijing University of Posts and Telecommunications, Beijing, China</t>
  </si>
  <si>
    <t>With the advent of the future generation networks(5G), high-bandwidth, high-density, and low-latency will become the mainstream features of network services. If we continue to adopt single cloud computing mode, speed, delay, or stability cannot be guaranteed at all. The edge calculation proposed in recent years can properly solves this problem. Edge computing is a network architecture that provides users with the services and cloud computing functions on the wireless side. At the same time, the emergence of virtualization technology enables the traditional server resources to be more fully utilized. Platform and application virtualization now is rapidly moving to the edge of the cloud. An edge computing platform is built by integrating Docker technology and Kubernetes technology in this paper. In addition, network service experiments on the platform are performed. Through the comparison of experiment results on the edge layer and the cloud layer, conclusions are obtained that the edge computing layer can satisfy the low-latency and stable demand of service.</t>
  </si>
  <si>
    <t>978-1-7281-0945-9</t>
  </si>
  <si>
    <t>https://ieeexplore.ieee.org/stamp/stamp.jsp?arnumber=9040827</t>
  </si>
  <si>
    <t>edge computing;Kubernetes;auto-scaling;low-latency</t>
  </si>
  <si>
    <t>A. Badr; K. Elgazzar</t>
  </si>
  <si>
    <t>A Framework for Real-time Remote ECG Monitoring and Diagnoses</t>
  </si>
  <si>
    <t>2022 5th International Conference on Communications, Signal Processing, and their Applications (ICCSPA)</t>
  </si>
  <si>
    <t>2767-7702</t>
  </si>
  <si>
    <t>10.1109/ICCSPA55860.2022.10019050</t>
  </si>
  <si>
    <t>Ontario Tech University, Oshawa, ON, Canada; Ontario Tech University, Oshawa, ON, Canada</t>
  </si>
  <si>
    <t>Enabled by the fast development of Internet of Things (IoT) technologies in recent years, the healthcare domain has witnessed significant advancements in wearable devices that seamlessly collect vital medical information. With the availability of IoT devices serving the healthcare domain, extraordinary amounts of sensory data are generated in real-time, requiring immediate diagnoses and attention in critical medical conditions. The provision of remote patient monitoring (RPM) and analytics infrastructure proved to be fundamental components of the healthcare domain during the Coronavirus pandemic. Traditional healthcare services are digitized and offered virtually, where patients are monitored and managed remotely without the need to go to hospitals. This paper presents a comprehensive RPM framework for real-time telehealth operations with scalable data monitoring, real-time analytics and decision-making, fine-grained data access and robust notification mechanisms in emergencies and critical health conditions. We focus on the overall framework architecture, enabling technologies integration, various system-level integrations and deployment options. Furthermore, we provide a use case application for patients with chronic heart conditions for real-time electrocardiogram (ECG) monitoring. We are releasing the framework as open-source software to the active research community.</t>
  </si>
  <si>
    <t>978-1-6654-8237-0</t>
  </si>
  <si>
    <t>https://ieeexplore.ieee.org/stamp/stamp.jsp?arnumber=10019050</t>
  </si>
  <si>
    <t>e-health;remote patient monitoring;real-time data streaming;real-time data analytics;electrocardiogram</t>
  </si>
  <si>
    <t>Patient monitoring;Pandemics;Wearable computers;Telemedicine;Electrocardiography;Signal processing;Real-time systems</t>
  </si>
  <si>
    <t>Q. Zhang; X. Li; Z. Yan; S. Zhang; X. Li; B. Gao</t>
  </si>
  <si>
    <t>Research on the construction mode of Ningxia distribution network Internet of things</t>
  </si>
  <si>
    <t>10.1109/ICPICS52425.2021.9524203</t>
  </si>
  <si>
    <t>State Grid Ningxia Electric Power Co., Ltd, Electric Power Research Institute, Yinchuan, China; State Grid Ningxia Electric Power Co., Ltd, Electric Power Research Institute, Yinchuan, China; State Grid Ningxia Electric Power Co., Ltd, Electric Power Research Institute, Yinchuan, China; State Grid Ningxia Electric Power Co., Ltd, Electric Power Research Institute, Yinchuan, China; State Grid Ningxia Electric Power Co., Ltd, Electric Power Research Institute, Yinchuan, China; State Grid Ningxia Electric Power Co., Ltd, Electric Power Research Institute, Yinchuan, China</t>
  </si>
  <si>
    <t>The construction of power Internet of things has opened up a new way for the lean operation of power grid enterprises and the systematic development of new business. The power distribution Internet of things is an important embodiment of power Internet of things in the field of power distribution, and it is a new power network operation mode of deep integration of traditional power technology and Internet of things technology. This paper expounds the construction concept of the distribution Internet of things, discusses the overall architecture, basic principles and optional architecture mode applicable to the construction of Ningxia distribution Internet of things, and focuses on the discussion and selection of the construction mode of the distribution station area and 10kV line, so as to provide ideas and choices for the construction of Ningxia distribution Internet of things.</t>
  </si>
  <si>
    <t>https://ieeexplore.ieee.org/stamp/stamp.jsp?arnumber=9524203</t>
  </si>
  <si>
    <t>Power Internet of things;distribution network;10kV line;architecture mode</t>
  </si>
  <si>
    <t>5G mobile communication;Power distribution;Distribution networks;Computer architecture;Big Data;Inspection;Power grids</t>
  </si>
  <si>
    <t>Y. Liu; R. Zhao; B. Li; J. Lu; S. Li</t>
  </si>
  <si>
    <t>Workload Analysis and Microservice Placement of Energy Management Application based on Power Internet of Things</t>
  </si>
  <si>
    <t>2020 IEEE 4th Conference on Energy Internet and Energy System Integration (EI2)</t>
  </si>
  <si>
    <t>10.1109/EI250167.2020.9346986</t>
  </si>
  <si>
    <t>Power dispatching control center, Guangdong Power Grid, Guangzhou, China; Power dispatching control center, Guangdong Power Grid, Guangzhou, China; Power dispatching control center, Guangdong Power Grid, Guangzhou, China; Power dispatching control center, Guangdong Power Grid, Guangzhou, China; Power dispatching control center, Guangdong Power Grid, Guangzhou, China</t>
  </si>
  <si>
    <t>With the continuous increase of integrated energy equipment and emerging application in power distribution system, great challenges have been posed to the real-time operation of distribution network. This paper describes the load and data of energy management application (EMA) in distribution network. In order to demonstrate the characteristics and logic of application, a directed acyclic graph (DAG) of EMA is established. Then, the computing and communication resources of cloud center and edge computing terminal are illustrated, and the microservices deployment problem of cloud edge system is modeled, in which the minimum service delay is taken as the objective function. Finally, this paper solves the microservices deployment problem by conducing simulations of different configurations set in edge computing terminals. The simulation results show that the configuration method can reasonably deploy microservices and reduce service delay.</t>
  </si>
  <si>
    <t>978-1-7281-9606-0</t>
  </si>
  <si>
    <t>https://ieeexplore.ieee.org/stamp/stamp.jsp?arnumber=9346986</t>
  </si>
  <si>
    <t>Energy Management Application;DAG model;microservice Placement;service delay</t>
  </si>
  <si>
    <t>Cloud computing;Computational modeling;Simulation;Collaboration;Delays;Energy management;Edge computing</t>
  </si>
  <si>
    <t>F. Yang; X. Chen; X. Huang; Y. Chen; P. Liao; Y. Jiang</t>
  </si>
  <si>
    <t>Edge IoT Agent Design Compatible with Sensor Equipment of Complex Distribution Terminal and Communication Task Optimization Scheduling</t>
  </si>
  <si>
    <t>10.1109/EI250167.2020.9346882</t>
  </si>
  <si>
    <t>Hunan Key Laboratory for Internet of Things in Electricity, Information and Communication Branch of State Grid Hunan Electric Power Company Limited, Changsha, China; Hunan Key Laboratory for Internet of Things in Electricity, Information and Communication Branch of State Grid Hunan Electric Power Company Limited, Changsha, China; Hunan Key Laboratory for Internet of Things in Electricity, Information and Communication Branch of State Grid Hunan Electric Power Company Limited, Changsha, China; Hunan Key Laboratory for Internet of Things in Electricity, Information and Communication Branch of State Grid Hunan Electric Power Company Limited, Changsha, China; School of Electrical and Information Engineering, Changsha University of Science and Technology, Changsha, China; School of Electrical and Information Engineering, Changsha University of Science and Technology, Changsha, China</t>
  </si>
  <si>
    <t>The intelligent perception of field power equipment is characterized by a large number of bottom terminals, a large amount of data collection, and a complex communication interface, which causes great obstacles to the online monitoring and safety diagnosis of power equipment. In this paper, based on the demand of power equipment intelligent perception communication networking, an end-toend, side-cloud intelligent perception architecture based on universal edge IoT agent is designed. At the same time, considering the AD hoc network and network topology characteristics of the field acquisition equipment, this paper designed the edge object connection agent compatible with the underlying complex sensor equipment, in order to improve the field data quality, improve the execution schedule and efficiency of the field perception task of power equipment. The AD hoc network communication method and data transmission queuing model under the end-side-cloud intelligent perception architecture are established, and the communication resource scheduling optimization is carried out considering the QoS service quality of intelligent perception. Aiming at the data transmission characteristics and data service response characteristics of power equipment intelligent perception, this paper sinks the data calculation container to the edge layer network close to the data source to realize efficient and fast edge data response and processing. Finally, the effectiveness and accuracy of the communication scheme are verified by simulation examples.</t>
  </si>
  <si>
    <t>https://ieeexplore.ieee.org/stamp/stamp.jsp?arnumber=9346882</t>
  </si>
  <si>
    <t>On-line monitoring of power equipment;Zigbee Ad-hoc network;Edge of computing</t>
  </si>
  <si>
    <t>Zigbee;Computer architecture;Ad hoc networks;Data communication;Task analysis;Optimization;Monitoring</t>
  </si>
  <si>
    <t>I. Hahanov; I. Iemelianov; W. Gharibi; T. B. Amer</t>
  </si>
  <si>
    <t>QuaSim ‚Äî Cloud service for digital circuits simulation</t>
  </si>
  <si>
    <t>2016 IEEE East-West Design &amp; Test Symposium (EWDTS)</t>
  </si>
  <si>
    <t>2472-761X</t>
  </si>
  <si>
    <t>10.1109/EWDTS.2016.7807667</t>
  </si>
  <si>
    <t>Computer Engineering Faculty, National University of Radioelectronics, Kharkov, Ukraine; Computer Science Department, Jazan University, Jazan, KSA; Computer Engineering Faculty, National University of Radioelectronics, Kharkov, Ukraine; Computer Engineering Faculty, National University of Radioelectronics, Kharkov, Ukraine</t>
  </si>
  <si>
    <t>A cloud service QuaSim designed for simulation and verification of digital systems based on transactions between the addressable memory components to implement any functionality is proposed. A new approach to the synthesis and analysis of digital systems using vector form (quantum) for defining combinational and sequential structures to implement them in the memory elements is described; it is substantially different from the classical design theory of discrete devices based on the truth tables of the components. Quantum or qubit data structures are used [1-5] for the implementation of computational processes in order to improve the performance of digital systems analysis and reduce memory volume through unary coding the states of input, internal and output variables, and also the implementation of qubit vectors in the FPGA memory elements, which realize combinational and sequential primitives. Implementation of quantum memory-based-only models for describing digital components in the practice of designing computer systems directly affects the increase in product yield, allows improving the reliability of computer products, reducing the cost of designing and manufacturing, and providing standalone human-free remote &amp; online repair.</t>
  </si>
  <si>
    <t>978-1-5090-0693-9</t>
  </si>
  <si>
    <t>https://ieeexplore.ieee.org/stamp/stamp.jsp?arnumber=7807667</t>
  </si>
  <si>
    <t>Integrated circuit modeling;Data models;Digital systems;Computational modeling;Analytical models;Data structures;Input variables</t>
  </si>
  <si>
    <t>M. Schneider; S. Meitinger; D. Stock; T. Bauernhansl</t>
  </si>
  <si>
    <t>Software deployment in manufacturing environments: A requirements analysis</t>
  </si>
  <si>
    <t>2022 IEEE 27th International Conference on Emerging Technologies and Factory Automation (ETFA)</t>
  </si>
  <si>
    <t>10.1109/ETFA52439.2022.9921690</t>
  </si>
  <si>
    <t>Fraunhofer Institute for Manufacturing Engineering and Automation IPA, Stuttgart, Germany; Fraunhofer Institute for Manufacturing Engineering and Automation IPA, Stuttgart, Germany; Fraunhofer Institute for Manufacturing Engineering and Automation IPA, Stuttgart, Germany; Fraunhofer Institute for Manufacturing Engineering and Automation IPA, Stuttgart, Germany</t>
  </si>
  <si>
    <t>Digital transformation and the Industrial Internet of Things (IIoT) are driving the use of cloud, fog, and edge computing in manufacturing environments. As a result, numerous computing resources for software execution are available in manufacturing environments. The increased use of software and distributed systems is constantly raising the complexity of the software deployment process. Often, and specifically in manufacturing, software is subject to technological or usage requirements limiting possible resources related to the execution of the software. Since deployment decisions are often made manually without a profound basis, this leads to wrong decisions and to resources not being put to their best use. Also, the performance quality of software execution suffers with security gaps occurring and additional costs arising. Existing software deployment concepts are very generic and focus on cloud. They do not address the specific needs of operational technology and manufacturing environments. This work identifies important evaluation criteria for software deployment in manufacturing environments, based on a requirements analysis. The requirement analysis systematically analyzes cloud, fog, and edge environments, as well as software applications and system resources in manufacturing environments. The aim is to identify deployment-relevant resource properties and software requirements. The comparison, evaluation, elimination, and specification of the collected information results in a catalog of deployment-relevant criteria for selecting technically suitable options for a deployment decision. These criteria support decisions during the software deployment process. Also, these criteria provide the basis for automated and dynamic software deployment decisions in manufacturing environments.</t>
  </si>
  <si>
    <t>978-1-6654-9996-5</t>
  </si>
  <si>
    <t>https://ieeexplore.ieee.org/stamp/stamp.jsp?arnumber=9921690</t>
  </si>
  <si>
    <t>Software deployment;Requirements analysis;Manufacturing environments</t>
  </si>
  <si>
    <t>Cloud computing;Costs;Digital transformation;Software;Manufacturing;Complexity theory;Software reliability</t>
  </si>
  <si>
    <t>X. Yang</t>
  </si>
  <si>
    <t>Design and Application of Electric Power Retail Platform Based on E-commerce Mode in Yunnan Province</t>
  </si>
  <si>
    <t>2021 IEEE Sustainable Power and Energy Conference (iSPEC)</t>
  </si>
  <si>
    <t>10.1109/iSPEC53008.2021.9735681</t>
  </si>
  <si>
    <t>Kunming Power Exchange Center, 73 Tuodong Road, Kunming City, Kunming, Yunnan Province, China</t>
  </si>
  <si>
    <t>This paper systematically expounds design and application of the Electric Power Retail Platform in Yunnan Province. The power retail market has business pain points that are difficult to restore power commodity attributes, high operating costs of electricity sales companies, and high transaction costs for users. Yunnan Province, In response to these difficulties, has followed the operation rules of the electricity market, drawn lessons from mature and advanced ecommerce models, and fully combined the advantages of the trading center‚Äôs energy big data and cloud platform, designed a brand-new functional framework of the electricity retail platform, built a ‚ÄúThree platforms &amp; Two terminals‚Äù system, and innovatively built a ‚Äúone-step‚Äù retail service platform. Finally, suggestions are put forward to further improve the platform construction, which are hoped to provide reference and enlightenment for the construction of other provincial or regional power retail platforms.</t>
  </si>
  <si>
    <t>978-1-6654-1439-5</t>
  </si>
  <si>
    <t>https://ieeexplore.ieee.org/stamp/stamp.jsp?arnumber=9735681</t>
  </si>
  <si>
    <t>retail electricity market;E-commerce;Electric power trading platform</t>
  </si>
  <si>
    <t>Costs;Pain;Conferences;Companies;Electricity supply industry;Power markets;Data models</t>
  </si>
  <si>
    <t>S. Hati; D. De</t>
  </si>
  <si>
    <t>OBSC:Osmotic BlockChain based framework for Smart City Environment</t>
  </si>
  <si>
    <t>2020 Fifth International Conference on Research in Computational Intelligence and Communication Networks (ICRCICN)</t>
  </si>
  <si>
    <t>10.1109/ICRCICN50933.2020.9296170</t>
  </si>
  <si>
    <t>Department of Computer Science and Engineering, Maulana Abul Kalam Azad University of Technology WB Formerly known as West Bengal University of Technology, BF-142, Sector-I, Salt Lake Kolkata, West Bengal, IndiaCity; Department of Computer Science and Engineering, Maulana Abul Kalam Azad University of Technology WB Formerly known as West Bengal University of Technology, BF-142, Sector-I, Salt Lake Kolkata, West Bengal, IndiaCity</t>
  </si>
  <si>
    <t>Osmotic computing gives a novel worldview in brilliant city design. Numerous analysts have performed to create and to made sure about shrewd city engineering of the internet of-things (IoT) worldview. Security is the fundamental worry of the present exploration. In this situation, BlockChain starts in the time of the IoT worldview. In this proposed work, the creators concentrate on the information security, administration inertness and force utilization of the framework. The proposed feasible smart city technology has ordered into three unique levels, for example, physical level, edge level, and cloud level. Where the edge level is acquainted with the neighborhood BlockChain application and the cloud is utilized for worldwide and computational reason. BlockChain application is structured on the Amazon web administrations interface. The smart city engineering is ready to lessen error just as force utilization is diminished utilizing BlockChain applications. AWS CloudWatch observing apparatus and it additionally shows the status of the worldwide BlockChain database.</t>
  </si>
  <si>
    <t>978-1-7281-8818-8</t>
  </si>
  <si>
    <t>https://ieeexplore.ieee.org/stamp/stamp.jsp?arnumber=9296170</t>
  </si>
  <si>
    <t>Internet of Things;Quality of Life;Quality of Service;Cloud computing;Edge Computing;Osmotic Computing;BlockChain;Amazon Web Services</t>
  </si>
  <si>
    <t>Cloud computing;Blockchain;Servers;Power demand;Smart cities;Internet of Things;Osmosis</t>
  </si>
  <si>
    <t>F. F√ºst√∂s; K. P√©ter; N. -P. L√°szl√≥; S. -G. M√°tis; Z. Szab√≥; C. Sulyok</t>
  </si>
  <si>
    <t>Managing a Kubernetes Cluster on Raspberry Pi Devices</t>
  </si>
  <si>
    <t>2022 IEEE 20th Jubilee International Symposium on Intelligent Systems and Informatics (SISY)</t>
  </si>
  <si>
    <t>1949-0488</t>
  </si>
  <si>
    <t>10.1109/SISY56759.2022.10036262</t>
  </si>
  <si>
    <t>Faculty of Mathematics and Computer Science, Babes-Bolyai University, Cluj-Napoca, Romania; Faculty of Mathematics and Computer Science, Babes-Bolyai University, Cluj-Napoca, Romania; Softech SRL, Cluj-Napoca, Romania; Softech SRL, Cluj-Napoca, Romania; Softech SRL, Cluj-Napoca, Romania; Faculty of Mathematics and Computer Science, Babes-Bolyai University, Cluj-Napoca, Romania</t>
  </si>
  <si>
    <t>This paper presents the step-by-step setup of a scalable Kubernetes cluster consisting of Raspberry Pi computers. This process is mostly automated with the help of Ansible provisioning tool. The power of Kubernetes orchestration platform is shown through two proof-of-concept applications: the first one is a stateless, easily parallelizable single workload web service, while the other one is a microservice-oriented application which can demonstrate the workload handling and scaling abilities of the system. The previously mentioned data can be monitored using Grafana and Prometheus.</t>
  </si>
  <si>
    <t>978-1-6654-8988-1</t>
  </si>
  <si>
    <t>https://ieeexplore.ieee.org/stamp/stamp.jsp?arnumber=10036262</t>
  </si>
  <si>
    <t>Raspberry Pi;Kubernetes;K3s;Rancher;Docker;Monitoring</t>
  </si>
  <si>
    <t>Computers;Web services;Microservice architectures;Intelligent systems;Informatics;Monitoring</t>
  </si>
  <si>
    <t>Z. Wang; Y. Wang; X. Gao; S. Wu; W. Lin</t>
  </si>
  <si>
    <t>Towards Computing and Network Convergence: QOE-Oriented Service Anycast Based on SRV6</t>
  </si>
  <si>
    <t>2022 ITU Kaleidoscope- Extended reality ‚Äì How to boost quality of experience and interoperability</t>
  </si>
  <si>
    <t>10.23919/ITUK56368.2022.10003051</t>
  </si>
  <si>
    <t>Inspur Communications Technology Co., Ltd., China; Inspur Communications Technology Co., Ltd., China; Inspur Communications Technology Co., Ltd., China; Inspur Communications Technology Co., Ltd., China; Inspur Communications Technology Co., Ltd., China</t>
  </si>
  <si>
    <t>The new mobile Internet services represented by extended Reality (XR) have brought new challenges to computing and networks. A new generation of Information and Communication Technology (ICT) infrastructure with both computing and communication capabilities is being promoted. Traditional load balancing technologies cannot sense the connection between users and services. It is also difficult to support large-scale distributed computing service instances, so the service experience provided can be poor.In this paper a service anycast system based on a Segment Routing over IPv6 (SRv6) data plane is proposed, which can provide a Quality of Experience (QoE)-oriented load balancing capability for the network according to the obtained status information of network and computing service instances. Besides, an IP address identification mechanism is also proposed to help the control plane handle traffic engineering policies, and to support efficient service resource discovery, seamless mobility, and service continuity.</t>
  </si>
  <si>
    <t>978-92-61-36151-8</t>
  </si>
  <si>
    <t>https://ieeexplore.ieee.org/stamp/stamp.jsp?arnumber=10003051</t>
  </si>
  <si>
    <t>Anycast;Computing and Network Convergence (CNC);load balance;SRv6</t>
  </si>
  <si>
    <t>Technical requirements;Extended reality;Web and internet services;Load management;Routing;Information and communication technology;Quality of experience</t>
  </si>
  <si>
    <t>H. Zhang; J. Xin; S. Xu; S. Xiong</t>
  </si>
  <si>
    <t>Artificial Intelligence based Architecture and Implementation of Wireless Network</t>
  </si>
  <si>
    <t>2021 2nd International Conference on Electronics, Communications and Information Technology (CECIT)</t>
  </si>
  <si>
    <t>10.1109/CECIT53797.2021.00055</t>
  </si>
  <si>
    <t>China Telecom Research Institute, Beijing, P.R. China; China Telecom Research Institute, Beijing, P.R. China; China Telecom Research Institute, Beijing, P.R. China; China Telecom Research Institute, Beijing, P.R. China</t>
  </si>
  <si>
    <t>The explosion of 5G network data continues to advance the evolution of air interface technology and network architecture, which enables the network to support more frequency bands, antennas, more diversified frame structures and physical layer control procedures. Traditional operation and maintenance patterns of human intervention or threshold setting control are no longer reliable, thus the automated and intelligent management mechanisms are proposed to improve the network resource utilization and user experience. This article summarizes the research of implementations, algorithms, and optimizations of AI firstly. Then through the research of various international standards, different AI networked architecture design of the core network, RAN and O-RAN are introduced. The paper highlights UE trajectory prediction and energy-saving use cases of the wireless network, the details mainly focus on the comparative study of algorithms and signaling realization. Last but not the least, the intelligent network platform that has been applied in the industry is introduced, which enriches the ideas for future development of providing more reliable networks to vertical industries.</t>
  </si>
  <si>
    <t>978-1-6654-3757-8</t>
  </si>
  <si>
    <t>https://ieeexplore.ieee.org/stamp/stamp.jsp?arnumber=9741900</t>
  </si>
  <si>
    <t>component;AI;Algorithm;MDA;O-RAN RIC;Functional Architecture</t>
  </si>
  <si>
    <t>5G mobile communication;Wireless networks;Maintenance engineering;Data collection;Prediction algorithms;User experience;Reliability</t>
  </si>
  <si>
    <t>A. Al-Adaileh; S. Khaddaj</t>
  </si>
  <si>
    <t>Machine Learning Prediction Based Integrated Smart Energy Management System to Improve Home Energy Efficiency</t>
  </si>
  <si>
    <t>2022 21st International Symposium on Distributed Computing and Applications for Business Engineering and Science (DCABES)</t>
  </si>
  <si>
    <t>2473-3636</t>
  </si>
  <si>
    <t>10.1109/DCABES57229.2022.00042</t>
  </si>
  <si>
    <t>Science, Engineering &amp; Computing Faculty, Kingston University, London, UK; Science, Engineering &amp; Computing Faculty, Kingston University, London, UK</t>
  </si>
  <si>
    <t>This paper proposes an integrated smart energy management system that applies different machine learning regression techniques to gather, enhance, and prepare various relevant data taken from the surrounding environment to predict and schedule the running periods of one of the schedulable appliances in the household. The system was applied to a case study with encouraging results showing energy consumption reduction rates up to 36%.</t>
  </si>
  <si>
    <t>978-1-6654-5462-9</t>
  </si>
  <si>
    <t>https://ieeexplore.ieee.org/stamp/stamp.jsp?arnumber=10036655</t>
  </si>
  <si>
    <t>Energy management;machine learning;regression;household sector;IoT;predictive analysis</t>
  </si>
  <si>
    <t>Schedules;Home appliances;Energy consumption;Machine learning;Energy efficiency;Energy management systems;Distributed computing</t>
  </si>
  <si>
    <t>A. Galletta; C. Sicari; A. Celesti; M. Villari</t>
  </si>
  <si>
    <t>OCE-DNS: an innovative Osmotic Computing Enabled Domain Name System</t>
  </si>
  <si>
    <t>10.1109/CCGrid51090.2021.00077</t>
  </si>
  <si>
    <t>MIFT Department, University of Messina, Messina, Italy; MIFT Department, University of Messina, Messina, Italy; MIFT Department, University of Messina, Messina, Italy; MIFT Department, University of Messina, Messina, Italy</t>
  </si>
  <si>
    <t>Recently, the Osmotic computing paradigm has emerged as a solution to enable the Cloud-Edge-Internet of Things (IoT) continuum. Specifically, it allows dealing with the transparent deployment of distributed services on a combination of Cloud and Edge (or simply Osmotic) nodes, guaranteeing data proximity to end users and IoT devices. In order to optimize applications, software components called Micro ELements (MELs) have to be properly deployed and moved between the Cloud the Edge and the IoT. In this paper, we focus on the MEL addressability problem, intended as the capacity to communicate with the same MEL without caring about its possible migration in different nodes of the same Osmotic Infrastructure. Specifically, we discuss an Osmotic Computing Enabled Domain Name System (OCE-DNS) integrated with the Osmotic Infrastructure, used to address the MELs and to hide their migrations through the use of a dynamic and low latency Resource Record (RR) database containing the real position of the MELs. Specifically, a system prototype developed using a CoreDNS server and an Etcd cluster is discussed and tested showing a good performance in terms of response time and scalability. In order to validate our work, we tested the OCE-DNS in an Osmotic smart city.</t>
  </si>
  <si>
    <t>https://ieeexplore.ieee.org/stamp/stamp.jsp?arnumber=9499422</t>
  </si>
  <si>
    <t>Cloud Computing;Edge Computing;Internet of Things;Osmotic Computing;Service Migration;Domain Name System;Cloud Continuum</t>
  </si>
  <si>
    <t>Cloud computing;Smart cities;Scalability;Prototypes;Distributed databases;Dynamic scheduling;Domain Name System</t>
  </si>
  <si>
    <t>M. Falco; E. Scott; G. Robiolo</t>
  </si>
  <si>
    <t>Overview of an Automated Framework to Measure and Track the Quality Level of a Product</t>
  </si>
  <si>
    <t>2020 IEEE Congreso Bienal de Argentina (ARGENCON)</t>
  </si>
  <si>
    <t>10.1109/ARGENCON49523.2020.9505405</t>
  </si>
  <si>
    <t>LIDTUA/CONICET Facultad de Ingenier√≠a, Universidad Austral Pilar, Buenos Aires, Argentina; Institute of Computer Science, University of Tartu, Tartu, Estonia; LIDTUA Facultad de Ingenier√≠a, Universidad Austral Pilar, Buenos Aires, Argentina</t>
  </si>
  <si>
    <t>Product owners need to comprehend the product quality level, in a synthetic and intuitive way to facilitate the decision of accepting or rejecting the iteration. This article presents the basis of an automated framework to measure and monitor the quality level of a software product, within each iteration. This framework is based on the Product Quality Evaluation Method (PQEM), which was designed by the authors and it allows the evaluation of the quality characteristics of a software product, using the Goal-Question-Metric approach, the ISO/IEC 25010, ISO/IEC 25023, the extension made of test coverage concept to quality coverage applied to each quality characteristic, and technical debt and waste. Within the automated framework, the measurement is semi-automatic which is shown in the illustrative example. The development of the framework will begin shortly, and it is expected to carry on new measurements on new iterations of an application.</t>
  </si>
  <si>
    <t>978-1-7281-5957-7</t>
  </si>
  <si>
    <t>https://ieeexplore.ieee.org/stamp/stamp.jsp?arnumber=9505405</t>
  </si>
  <si>
    <t>quality attributes;quality characteristics;quality measurement;quality management;PQEM;automated framework</t>
  </si>
  <si>
    <t>ISO Standards;Tools;Extraterrestrial measurements;Software;Product design;Energy efficiency;Quality assessment</t>
  </si>
  <si>
    <t>H. Su; Z. Wei; M. Zhao</t>
  </si>
  <si>
    <t>Intelligent Energy Planning and Design of Industrial Park under New Power System</t>
  </si>
  <si>
    <t>2021 11th International Conference on Power and Energy Systems (ICPES)</t>
  </si>
  <si>
    <t>2767-732X</t>
  </si>
  <si>
    <t>10.1109/ICPES53652.2021.9683858</t>
  </si>
  <si>
    <t>IOT Technical Consulting Center, Beijing SGITG Accenture Information Technology Center CO., Ltd., Beijing, China; IOT Technical Consulting Center, Beijing SGITG Accenture Information Technology Center CO., Ltd., Beijing, China; Business Consulting Center, Beijing Yuancheng Technology Co., Ltd., Beijing, China</t>
  </si>
  <si>
    <t>In the context of promoting the realization of the ‚Äúdouble carbon‚Äù goal, the scale of new energy development is gradually expanding and the proportion of grid connection is becoming higher and higher. Industrial parks dominated by traditional thermal power supply urgently need to optimize the energy structure and layout of the park, increase the proportion of clean energy, improve the terminal electrification level and utilization efficiency, and build a clean, low-carbon, safe and efficient new power system, Meet the diversified energy demand in the park. Focusing on ‚Äúsmart energy drives smart Park‚Äù, this paper makes full use of advanced technologies such as ‚Äúbig cloud moving smart‚Äù, focuses on basic sharing, digital interconnection, power substitution, coordination and interaction, carries out smart energy planning and design of Industrial Park, strengthens in-depth perception of terminal equipment, deepens big data interconnection, widely promotes comprehensive energy and smart energy use, and improves automatic data collection Support various intelligent business applications and promote the intelligent construction of industrial parks.</t>
  </si>
  <si>
    <t>978-1-6654-1325-1</t>
  </si>
  <si>
    <t>https://ieeexplore.ieee.org/stamp/stamp.jsp?arnumber=9683858</t>
  </si>
  <si>
    <t>new power system;industrial park;smart park;energy transformation</t>
  </si>
  <si>
    <t>Energy consumption;Power demand;Layout;Focusing;Big Data;Market research;Energy efficiency</t>
  </si>
  <si>
    <t>S. T. Arzo; M. Esmaeili; Y. M. Worku; Z. Akhavan; M. Devetsikiotis; P. Zarkesh-Ha</t>
  </si>
  <si>
    <t>Proactive and Reactive Decision Based Agent Placement: Reliability and Latency Perspective</t>
  </si>
  <si>
    <t>10.1109/GLOBECOM48099.2022.10001516</t>
  </si>
  <si>
    <t>Department of Electrical and Computer Engineering, University of New Mexico, USA; Department of Electrical and Computer Engineering, University of New Mexico, USA; Department of Electrical and Computer Engineering, University of New Mexico, USA; Department of Computer Science, University of New Mexico, USA; Department of Electrical and Computer Engineering, University of New Mexico, USA; Department of Electrical and Computer Engineering, University of New Mexico, USA</t>
  </si>
  <si>
    <t>6G is aiming at fully incorporating in-network intelligence towards automated network management. In this regard, a multi-agent-based network automation architecture as a service design is proposed. The architecture introduces in-network intelligence, designing intelligent agents as the fundamental unit which is used as a building block in autonomous network system design. This work focuses on the dynamic agent placement problems in edge/cloud data centers. Agents are softwarized and intelligent versions of network functions that are traditionally implemented in hardware such as firewalls, packet gateways, etc. This paper, based on a combination of proactive and reactive solutions, considered decision accuracy in developing an intelligent decision algorithm that can be used in the prediction agent design. The proactive decision is based on a deep learning prediction algorithm using time-series workload forecasting. However, in case of unforeseen events that are missing from the historical dataset, the proactive decisions could be less reliable. Therefore, network-state feedback should be considered to determine the current network conditions using the change in instant arrival rate as a reactive decision. Then combining it with the proactive decision should be able to capture the unpredictable traffic spikes. The result is used to determine the number and type of agents to instantiate at a given time in the edge/cloud data centers. Using a public dataset in our algorithms, we predicted the workload request for a few days. The result shows improved decision accuracy over the existing solutions using the appropriate amount of dataset, machine learning models, and rate estimation.</t>
  </si>
  <si>
    <t xml:space="preserve">US National Science Foundation; </t>
  </si>
  <si>
    <t>https://ieeexplore.ieee.org/stamp/stamp.jsp?arnumber=10001516</t>
  </si>
  <si>
    <t>Training;Data centers;Machine learning algorithms;Architecture;Predictive models;Logic gates;Prediction algorithms</t>
  </si>
  <si>
    <t>R. Straessle; Y. Temiz; S. Gerke; J. Weiss; A. Sridhar; S. Paredes; T. Brunschwiler; E. Loertscher; N. Ebejer; B. Michel; T. van Kessel; I. Faro; S. Zafar; F. Libsch; M. A. Taubenblatt; K. Matsumoto</t>
  </si>
  <si>
    <t>Internet of the body and cognitive companion: Enabling high-quality monitoring of patients at home</t>
  </si>
  <si>
    <t>2017 IEEE 19th International Conference on e-Health Networking, Applications and Services (Healthcom)</t>
  </si>
  <si>
    <t>10.1109/HealthCom.2017.8210771</t>
  </si>
  <si>
    <t>Science &amp; Technology Department, IBM Research, Zurich, R√ºschlikon, Switzerland; Science &amp; Technology Department, IBM Research, Zurich, R√ºschlikon, Switzerland; Science &amp; Technology Department, IBM Research, Zurich, R√ºschlikon, Switzerland; Science &amp; Technology Department, IBM Research, Zurich, R√ºschlikon, Switzerland; Science &amp; Technology Department, IBM Research, Zurich, R√ºschlikon, Switzerland; Science &amp; Technology Department, IBM Research, Zurich, R√ºschlikon, Switzerland; Science &amp; Technology Department, IBM Research, Zurich, R√ºschlikon, Switzerland; Science &amp; Technology Department, IBM Research, Zurich, R√ºschlikon, Switzerland; Science &amp; Technology Department, IBM Research, Zurich, R√ºschlikon, Switzerland; Science &amp; Technology Department, IBM Research, Zurich, R√ºschlikon, Switzerland; Science and Solutions Department, IBM Watson Research, Yorktown Heights, NY, USA; Science and Solutions Department, IBM Watson Research, Yorktown Heights, NY, USA; Science and Solutions Department, IBM Watson Research, Yorktown Heights, NY, USA; Science and Solutions Department, IBM Watson Research, Yorktown Heights, NY, USA; Science and Solutions Department, IBM Watson Research, Yorktown Heights, NY, USA; IBM Research, Tokyo, Kawasaki, Japan</t>
  </si>
  <si>
    <t>Wearables that continuously acquire vital and other medically relevant parameters facilitate treatment optimizations for individual patients and reduce the duration of hospitalizations ‚Äî thus improving the patients' quality of life. To accomplish this, we demonstrate a scalable architecture that connects wearables through a hub to the cloud, combines edge and cloud computing to provide optimal user interaction, and allows analytics on multi-stream data from those connected devices.</t>
  </si>
  <si>
    <t>978-1-5090-6704-6</t>
  </si>
  <si>
    <t>https://ieeexplore.ieee.org/stamp/stamp.jsp?arnumber=8210771</t>
  </si>
  <si>
    <t>Gateway;hub;connected sensors;wearables;ECG;Bluemix;machine learning;analytics;healthcare</t>
  </si>
  <si>
    <t>Electrocardiography;Bluetooth;Cloud computing;Temperature sensors;Sensor phenomena and characterization;Medical services</t>
  </si>
  <si>
    <t>J. Campillo; J. A. Dominguez-Jimenez; H. Ariza; E. D. Payares; J. C. Martinez-Santos</t>
  </si>
  <si>
    <t>Distributed Energy Resources Parameter Monitoring in Microgrids Using Blockchain and Edge Computing</t>
  </si>
  <si>
    <t>2020 IEEE PES Transactive Energy Systems Conference (TESC)</t>
  </si>
  <si>
    <t>10.1109/TESC50295.2020.9656872</t>
  </si>
  <si>
    <t>Smart Energy Laboratory, Universidad Tecnol√≥gica de Bol√≠var, Cartagena, Colombia; Hydrogen Research Institute, Universit√© du Quebec a Trois-Rivieres, Quebec, Canada; Systems Engineering Department, Universidad Tecnol√≥gica de Bol√≠var, Cartagena, Colombia; Universidad Tecnol√≥gica de Bol√≠var, Cartagena, Colombia; Systems Engineering Department, Universidad Tecnol√≥gica de Bol√≠var, Cartagena, Colombia</t>
  </si>
  <si>
    <t>An increased share of distributed renewable energy sources requires flexible tools for providing reliable and cheap electricity. Smart meters provide information at the consumer level, which could be used as the main source for real-time energy micro-transactions, however, one of the main concerns about direct transactions is information security. Conventional electricity markets rely on centralized information exchange, nevertheless, when intra-day, distributed, electricity consumption and production exchanges are required between customers, this approach might not be enough. This paper presents a proof-of-concept for using Blockchain as a tool for managing the operational transactions in a DC microgrid. The distributed nature of this technology provides an inherently safer approach, by providing an immutable database for transaction history. One of the challenges of using this technology, however, is the required computing power at the nodes and the limited capacity available in the smart meter. To overcome these issues, the authors used a distributed computing technology, -edge computing-, where computation and storage are located closer to the customer, to improve response times by handling the required computational tasks of the Blockchain tool. This approach proved not only to be practically viable but also, offers important insights about the scalability and capabilities of the technology.</t>
  </si>
  <si>
    <t>978-1-6654-2935-1</t>
  </si>
  <si>
    <t>https://ieeexplore.ieee.org/stamp/stamp.jsp?arnumber=9656872</t>
  </si>
  <si>
    <t>Microgrids;Blockchain;Edge Computing;Smart Grids;DER</t>
  </si>
  <si>
    <t>Transactive energy;Object oriented modeling;Computational modeling;Microgrids;Libraries;Smart meters;Blockchains</t>
  </si>
  <si>
    <t>S. Gec; D. Lavbiƒç; V. Stankovski; P. Kochovski</t>
  </si>
  <si>
    <t>Towards a smarter IoT environment with Ethereum Virtual Machine enabling ledgers</t>
  </si>
  <si>
    <t>2022 International Conference on Computational Science and Computational Intelligence (CSCI)</t>
  </si>
  <si>
    <t>2769-5654</t>
  </si>
  <si>
    <t>10.1109/CSCI58124.2022.00220</t>
  </si>
  <si>
    <t>Faculty of Computer and Information Science, University of Ljubljana, Slovenia; Faculty of Computer and Information Science, University of Ljubljana, Slovenia; Faculty of Computer and Information Science, University of Ljubljana, Slovenia; Faculty of Computer and Information Science, University of Ljubljana, Slovenia</t>
  </si>
  <si>
    <t>Distributed Ledger Technology (DLT), from the initial goal of moving digital assets, allows more advanced approaches as smart contracts executed on distributed computational enabling nodes such as Ethereum Virtual Machines (EVM) initially available only on the Ethereum ledger. Since the release of different EVM-based ledgers, the use cases to incentive the integration of smart contracts on other domains, such as IoT environments, increased. In this paper, we analyze the most IoT environment expedient quantitative metrics of various popular EVM-enabling ledgers to provide an overview of potential EVM-enabling characteristics.</t>
  </si>
  <si>
    <t>979-8-3503-2028-2</t>
  </si>
  <si>
    <t>https://ieeexplore.ieee.org/stamp/stamp.jsp?arnumber=10216672</t>
  </si>
  <si>
    <t>Ethereum Virtual Machine;Smart Contract;Consensus Mechanism;transactions</t>
  </si>
  <si>
    <t>Measurement;Distributed ledger;Scientific computing;Scalability;Smart contracts;Decentralized applications;Virtual machining</t>
  </si>
  <si>
    <t>Y. Feng; C. Yang; T. Wang; H. Zheng; Y. Gao; W. Fan</t>
  </si>
  <si>
    <t>Quality control system of automobile bearing production based on edge cloud collaboration</t>
  </si>
  <si>
    <t>2020 International Conference on Advanced Mechatronic Systems (ICAMechS)</t>
  </si>
  <si>
    <t>2325-0690</t>
  </si>
  <si>
    <t>10.1109/ICAMechS49982.2020.9310089</t>
  </si>
  <si>
    <t>State Key Laboratory of Fluid Power and Mechatronic Systems, Zhejiang University, Hangzhou, China; State Key Laboratory of Fluid Power and Mechatronic Systems, Zhejiang University, Hangzhou, China; State Key Laboratory of Fluid Power and Mechatronic Systems, Zhejiang University, Hangzhou, China; Hangzhou Innovation Institute, Beihang University, Hangzhou, China; State Key Laboratory of Fluid Power and Mechatronic Systems, Zhejiang University, Hangzhou, China; China Unicom (Zhejiang) Industrial Internet Co., Ltd, Hangzhou, China</t>
  </si>
  <si>
    <t>In view of the strict quality control and traceability and high equipment management requirements in the current production process of automobile bearing products, a quality control system for shaft products based on the collaboration of edge cloud is proposed. This system realizes the data collection and analysis of various production factors in the bearing processing and assembly process through the workshop Internet of things, the storage, processing and analysis of multi-source heterogeneous data through the cloud platform, and the quality control and optimization of bearing products, production equipment management and optimization, product quality management and traceability functions through the micro service architecture. This paper proposes an edge cloud collaborative system architecture based on multi-source data acquisition and fusion technology, equipment anomaly warning technology and edge computing technology. The experimental results show that the system realizes the intelligent control of the whole process of bearing production, greatly improves the product quality and production efficiency, and provides a new mode for digital and intelligent bearing production process.</t>
  </si>
  <si>
    <t>978-1-7281-6530-1</t>
  </si>
  <si>
    <t xml:space="preserve">National Natural Science Foundation of China; </t>
  </si>
  <si>
    <t>https://ieeexplore.ieee.org/stamp/stamp.jsp?arnumber=9310089</t>
  </si>
  <si>
    <t>automobile bearing;edge cloud collaborative;quality control</t>
  </si>
  <si>
    <t>Production;Cloud computing;Quality control;Process control;Collaboration;Data models;Shafts</t>
  </si>
  <si>
    <t>N. Kumawat; N. Handa; A. Kharbanda</t>
  </si>
  <si>
    <t>Cloud Computing Resources Utilization and Cost Optimization for Processing Cloud Assets</t>
  </si>
  <si>
    <t>2020 IEEE International Conference on Smart Cloud (SmartCloud)</t>
  </si>
  <si>
    <t>10.1109/SmartCloud49737.2020.00017</t>
  </si>
  <si>
    <t>Adobe Inc., Noida, India; Adobe Inc., Noida, India; Adobe Inc., Noida, India</t>
  </si>
  <si>
    <t>In the field of Cloud Content Platform, where a user can store varieties of cloud assets (e.g. PDF documents) and can access them on any other platform such as Web, Desktop or Mobile. A creative content application may create different types of assets and store them on cloud content platform. A corresponding micro-service or cloud-worker should be present to handle asset processing request. Multiple cloud-workers should be present to handle different kind of asset processing requests. Most of the times, cloud computing resources are under utilized and cost spent on them for handling such requests is not optimized. Also, for a large and complex asset, the overall response time may increase due to high asset processing time. In this paper, we present novel method and system to predict cloud computing resources to serve input asset processing request. The method and system are designed in such a way to maximize resource utilization, minimize cost spent and minimize processing time by such computing resources. The method includes training of supervised learning based predictive model with historic data which includes asset processing requests, asset properties and their corresponding cloud computing resource utilization. The method also includes greedy approach to identify appropriate number of cloud computing resources required to process input asset processing job requests.</t>
  </si>
  <si>
    <t>978-1-7281-6547-9</t>
  </si>
  <si>
    <t>https://ieeexplore.ieee.org/stamp/stamp.jsp?arnumber=9265929</t>
  </si>
  <si>
    <t>Cloud Content Platform;Cost Optimization;Resource Utilization;Cloud Assets;Cloud Computing Resources</t>
  </si>
  <si>
    <t>Cloud computing;Resource management;Monitoring;Predictive models;Computational modeling;Time factors;Pricing</t>
  </si>
  <si>
    <t>S. Liu; Y. Mao; Y. Long; J. Pan; T. Jiang; M. Cao</t>
  </si>
  <si>
    <t>Key Technologies of IoT Intelligent Sensing Terminal for Smart Energy</t>
  </si>
  <si>
    <t>2022 IEEE International Conference on High Voltage Engineering and Applications (ICHVE)</t>
  </si>
  <si>
    <t>2474-3852</t>
  </si>
  <si>
    <t>10.1109/ICHVE53725.2022.9961575</t>
  </si>
  <si>
    <t>State Key Laboratory of Power Equipment &amp; System Security and New Technology, School of Electrical Engineering, Chongqing University, Chongqing, China; State Key Laboratory of Power Equipment &amp; System Security and New Technology, School of Electrical Engineering, Chongqing University, Chongqing, China; State Key Laboratory of Power Equipment &amp; System Security and New Technology, School of Electrical Engineering, Chongqing University, Chongqing, China; State Key Laboratory of Power Equipment &amp; System Security and New Technology, School of Electrical Engineering, Chongqing University, Chongqing, China; State Key Laboratory of Power Equipment &amp; System Security and New Technology, School of Electrical Engineering, Chongqing University, Chongqing, China; Yunnan Key Laboratory of Green Energy, Electric Power Measurement Digitalization, Control and Protection, Electric Power Research Instute Yunnan Power Grid Co., Ltd., Kunming, Yunnan, China</t>
  </si>
  <si>
    <t>To build a smart energy system, we must first deploy a fully aware terminal layer to connect all energy things through perception. This paper proposes key technologies of IoT intelligent sensing terminal for smart energy. Firstly, smart energy Internet of things function is given to analyze the architecture for smart energy Internet of things. Analysis of Internet of Things terminal ecosystem is located. Finally, the key technologies including resource unified modeling, hardware and software system of Internet of things terminal are proposed. Customized design of intelligent sensing terminal is given to manufacture intelligent sensing terminal for different application scenarios of smart energy.</t>
  </si>
  <si>
    <t>978-1-6654-0750-2</t>
  </si>
  <si>
    <t>https://ieeexplore.ieee.org/stamp/stamp.jsp?arnumber=9961575</t>
  </si>
  <si>
    <t>Economics;Government;Ecosystems;High-voltage techniques;Computer architecture;Software systems;Hardware</t>
  </si>
  <si>
    <t>J. Lin; P. Wang; S. Guo; J. Zhang; Y. Sheng</t>
  </si>
  <si>
    <t>Power Distribution Network Management based on Edge Computing</t>
  </si>
  <si>
    <t>10.1109/CICED50259.2021.9556812</t>
  </si>
  <si>
    <t>China Electric Power Research Institute, Beijing, China; China Electric Power Research Institute, Beijing, China; China Electric Power Research Institute, Beijing, China; China Electric Power Research Institute, Beijing, China; State Grid Jiaxing Electric Power Supply Company, Jiaxing, China</t>
  </si>
  <si>
    <t>In order to address the issues of enormous devices connection and rapid changing requirements of power distribution network management, the edge computing technical strategy is proposed to promote the demand identification and operation optimization based on data-driven decision making. Firstly, the review of edge computing development is presented. According to the service requirement, the reference architecture of power distribution network based on edge computing is presented including three layers defined as EC-IaaS, EC-PaaS and EC-SaaS. The collaboration of edge computing and cloud computing is proposed in aspects of network, storage, data, Apps and intelligent algorithms, aiming to unleash greater value in distribution network management. Finally, some typical use cases are provided to demonstrate the requirements and benefits of edge-cloud computing model.</t>
  </si>
  <si>
    <t xml:space="preserve">State Grid Corporation of China; </t>
  </si>
  <si>
    <t>https://ieeexplore.ieee.org/stamp/stamp.jsp?arnumber=9556812</t>
  </si>
  <si>
    <t>Power distribution network management;Edge computing;Edge-cloud collaboration model;Micro-services</t>
  </si>
  <si>
    <t>Adaptation models;Computational modeling;Decision making;Collaboration;Computer architecture;Software;Power systems</t>
  </si>
  <si>
    <t>G. F. Silva; D. G. Costa; T. C. Jesus</t>
  </si>
  <si>
    <t>A Framework for the Development of Reconfigurable Sensors-based Emergencies Detection Units in Smart Cities</t>
  </si>
  <si>
    <t>2022 IEEE International Smart Cities Conference (ISC2)</t>
  </si>
  <si>
    <t>10.1109/ISC255366.2022.9922506</t>
  </si>
  <si>
    <t>UEFS-PGCC, State University of Feira de Santana, Feira de Santana, Brazil; INEGI, Faculty of Engineering, University of Porto, Porto, Portugal; UEFS-DTEC, State University of Feira de Santana, Feira de Santana, Brazil</t>
  </si>
  <si>
    <t>Emergency detection solutions will be employed to early identify one or more critical situations and trigger proper actions in smart cities, potentially preventing the occurrence of disasters. When such systems are constructed around multi-sensor emergencies detection units, the heterogeneity of monitoring scenarios and eventual requisites changes may demand their reconfiguration to attend new sensing requirements. In this context, this paper proposes a new development framework to guide the programming and operation of multi-sensor detection units that are able to be reconfigured in real time. Moreover, supportive networked elements and interaction messages are proposed within this framework to allow flexible reconfiguration requests in a distributed and scalable way. The required specifications and expected evaluation results are also discussed in this paper.</t>
  </si>
  <si>
    <t>978-1-6654-8561-6</t>
  </si>
  <si>
    <t>https://ieeexplore.ieee.org/stamp/stamp.jsp?arnumber=9922506</t>
  </si>
  <si>
    <t>Smart Cities;Internet of Things;Emergencies management;Sensors development</t>
  </si>
  <si>
    <t>Smart cities;Microservice architectures;Programming;Network architecture;Real-time systems;Sensors;Monitoring</t>
  </si>
  <si>
    <t>H. Lin; J. Zhao; Y. Jiao; J. Cao; H. Ouyang; B. Yuan; G. Xiong</t>
  </si>
  <si>
    <t>Research on designing an integrated electric power marketing information system based on microapplications and microservices architecture</t>
  </si>
  <si>
    <t>2018 IEEE 3rd International Conference on Cloud Computing and Big Data Analysis (ICCCBDA)</t>
  </si>
  <si>
    <t>10.1109/ICCCBDA.2018.8386586</t>
  </si>
  <si>
    <t>State Grid Information &amp; Telecommunication Group Co. Ltd., Beijing, China; State Grid Information &amp; Telecommunication Group Co. Ltd., Beijing, China; Maintenance Branch, State Grid Liaoning Electric Power Supply Co., Ltd, Shenyang, China; Marketing Department, State Grid Hunan Electric Power Company, Changsha, China; State Grid Information &amp; Telecommunication Group Co. Ltd., Beijing, China; State Grid Information &amp; Telecommunication Group Co. Ltd., Beijing, China; State Grid Information &amp; Telecommunication Group Co. Ltd., Beijing, China</t>
  </si>
  <si>
    <t>With the continuous expansion of the electric power marketing business, the demand for new services is constantly increasing and the required functions continue to raise, the issues of multiple inter-system interfaces and interactions, diversified interface technologies, diverse data replication approaches, and multiple data transmission channels, are more prominent in the current electric power marketing business application system and have affected the regular operations and development of the electric power marketing services and applications. This paper proposes the microapplications and microservices architecture based on microservices framework to implement the applications and functions. Based on this architecture, it describes the design method of an integrated electric power marketing business information system and elaborates each technical layer in the overall architecture, which includes the application access layer, microapplications layer, microservices layer, data resource layer and basic platform layer, by unifying the technical architecture and implementation technologies of the information system, reducing the business interactions, interface interactions, data replication and data transmission within the system, to be suitable for the future development of the electric power marketing business. Finally the paper describes the system verification with the typical business scenario of charging and accounting in the electric power marketing business.</t>
  </si>
  <si>
    <t>978-1-5386-4301-3</t>
  </si>
  <si>
    <t>https://ieeexplore.ieee.org/stamp/stamp.jsp?arnumber=8386586</t>
  </si>
  <si>
    <t>microapplications;microservices;distributed service bus;data analysis domain;data processing domain;electric power marketing;information system</t>
  </si>
  <si>
    <t>Business;Power systems;Information systems;Access control;Computer architecture;Distributed databases;Data communication</t>
  </si>
  <si>
    <t>S. Mulay; S. Ghosh</t>
  </si>
  <si>
    <t>Predictive Disk Space Analysis For Microservice Based Applications On Public Cloud</t>
  </si>
  <si>
    <t>2022 1st International Conference on Computational Science and Technology (ICCST)</t>
  </si>
  <si>
    <t>10.1109/ICCST55948.2022.10040417</t>
  </si>
  <si>
    <t>Department of Computer Enginnering, College of Engineering, Pune, Pune, India; Department of Computer Enginnering, College of Engineering, Pune, Pune, India</t>
  </si>
  <si>
    <t>Predictive analysis of time-series data is of tremen- dous importance to any organization. It is used in many scenarios like capacity and resource planning, especially in cloud-based infrastructure where resources have cost. Predictive analysis of resources such as disks allows users or administrators to optimize costs by predicting future values to manage the resources better. The system in the proposed paper describes each stage for the predictive analysis of Disk space usage, from Data generation using open-source tools to extracting data from these tools and preparing a model to predict the future values for a Kubernetes Based application.</t>
  </si>
  <si>
    <t>978-1-6654-7655-3</t>
  </si>
  <si>
    <t>https://ieeexplore.ieee.org/stamp/stamp.jsp?arnumber=10040417</t>
  </si>
  <si>
    <t>Predictive monitoring;SARIMA;cloud;disk analysis</t>
  </si>
  <si>
    <t>Cloud computing;Costs;Scientific computing;Microservice architectures;Organizations;Predictive models;Data models</t>
  </si>
  <si>
    <t>I. Ataide; G. Vinha; C. Souza; A. Brito</t>
  </si>
  <si>
    <t>Implementing Quality of Service and Confidentiality for Batch Processing Applications</t>
  </si>
  <si>
    <t>10.1109/UCC-Companion.2018.00065</t>
  </si>
  <si>
    <t>Universidade Federal de Campina Grande; Universidade Federal de Campina Grande; Universidade Federal de Campina Grande; Universidade Federal de Campina Grande</t>
  </si>
  <si>
    <t>With a massive volume of information generated from many kinds of sources and for many different purposes comes the need for processing systems that help digest these data. One approach for efficient processing of data is to batch process larger sets of data. For example, periodically, recent data can be analyzed and filtered, having as a result actions, updated models, or cleaned versions of the data uploaded to databases. Increasingly often, such applications have strong requirements regarding data security, quality of service, and scalability. While scalability is typically addressed by leveraging the abundant resources and fair pricing of cloud computing techniques, using a shared environment triggers resistance from developers regarding data security and quality of service. In this work, we present a system that combines a novel technology for data protection, Intel SGX, with a popular, open source tool for managing interactive and data processing applications, Kubernetes, to provide a batch processing system that is easy to use while still providing quality of service and strong confidentiality guarantees. Our evaluation shows that independent tasks that consume data from scalable storages can be implemented in a controllable, secure fashion, without added complexity or considerable performance or resource overheads.</t>
  </si>
  <si>
    <t>https://ieeexplore.ieee.org/stamp/stamp.jsp?arnumber=8605789</t>
  </si>
  <si>
    <t>quality of service;security;cloud computing;batch processing</t>
  </si>
  <si>
    <t>Cloud computing;Tools;Security;Containers;Quality of service;Task analysis;Scalability</t>
  </si>
  <si>
    <t>P. Maiti; K. S. Sahoo; B. Sahoo; A. K. Turuk</t>
  </si>
  <si>
    <t>Smart Gateway Based Multi-Tier Service-Oriented Fog Computing Architecture for Achieving Ultra-Low Latency</t>
  </si>
  <si>
    <t>2018 International Conference on Information Technology (ICIT)</t>
  </si>
  <si>
    <t>10.1109/ICIT.2018.00063</t>
  </si>
  <si>
    <t>Services are part of our daily activities, such as the emergence of new solutions powered by cutting-edge technologies such as Fog Computing. Fog computing, new ideas for the cloud in the network, is considered the suitable platforms for the Internet of Things services and many applications. This fog - cloud computing integration is not directly moving forward. Some services required ultra-low latency like e-Health, public safety. Unnecessary communication loads not only the core network but also the data center that it finds. To do this, fog nodes can pre-process the data before sending it to the cloud. Smart Gateways are suitable candidates for service deployment. This paper presents a design of a service-oriented architecture using smart gateways as fog nodes which reduce service latency.</t>
  </si>
  <si>
    <t>978-1-7281-0259-7</t>
  </si>
  <si>
    <t>https://ieeexplore.ieee.org/stamp/stamp.jsp?arnumber=8724377</t>
  </si>
  <si>
    <t>Fog Computing, Internet of Things, Smart Gateway, Services , Latency</t>
  </si>
  <si>
    <t>Internet of Things;Logic gates;Cloud computing;Edge computing;Sensors;Performance evaluation;Computational modeling</t>
  </si>
  <si>
    <t>H. Humberto Alvarez Valera; M. Dalmau; P. Roose; J. Larracoechea; C. Herzog</t>
  </si>
  <si>
    <t>PISCO: A smart simulator to deploy energy saving methods in microservices based networks</t>
  </si>
  <si>
    <t>2022 18th International Conference on Intelligent Environments (IE)</t>
  </si>
  <si>
    <t>2472-7571</t>
  </si>
  <si>
    <t>10.1109/IE54923.2022.9826775</t>
  </si>
  <si>
    <t>E2S UPPA, University of Pau, Anglet, France; E2S UPPA, University of Pau, Anglet, France; E2S UPPA, University of Pau, Anglet, France; E2S UPPA, University of Pau, Anglet, France; EFFICIT SAS - Mauzac, France</t>
  </si>
  <si>
    <t>Nowadays, many researchers work to identify microservices-based application deployments and scheduling solutions to save energy without decreasing functional QoS. In this work, we present PISCO: A simulator that allows facing this challenge in a simple and efficient way, enabling its users to focus uniquely on microservices deployment/scheduling algorithms and its hardware/software repercussions (load vs. energy consumption) without worrying about low-level network configurations or operating system issues. PISCO is able to deploy and schedule (move, duplicate, start/stop) microservices and their dependencies on various devices with software and hardware heterogeneity (CPU, bandwidth, RAM, Battery, etc.), taking into account various scheduling heuristics algorithms: centralized vs non-centralized. To do this, PISCO allows deploying custom network topologies based on client-server schemes or p2p distributions, where devices can (dis)appear, turn on/off obeying random circumstances or user strategies.Finally, the simulator performs relevant operations such as QoS definition, resource monitoring, calculation of energy saved and consumption tracking (at device and network level). We tested some ideas based on our previous work ‚ÄúKaligreen‚Äù to demonstrate the effectiveness of PISCO.</t>
  </si>
  <si>
    <t>978-1-6654-6934-0</t>
  </si>
  <si>
    <t>https://ieeexplore.ieee.org/stamp/stamp.jsp?arnumber=9826775</t>
  </si>
  <si>
    <t>Performance evaluation;Schedules;Network topology;Operating systems;Software algorithms;Microservice architectures;Random access memory</t>
  </si>
  <si>
    <t>Reduction of latency of microservice based loT applications in rural areas with lack of connectivity using UAV-based networks</t>
  </si>
  <si>
    <t>10.1109/ISCC55528.2022.9912865</t>
  </si>
  <si>
    <t>The Internet is the most powerful engine for social and economic growth, and it needs to be accessible to everybody. However, the possibilities for people living in rural areas to use digital services through broadband access are reduced compared to the inhabitants of urban zones. In this paper, digital services are brought closer to people living in rural areas where there is lack of Internet connectivity by means of an Unmanned Aerial Vehicle (UAV) based network. Decomposing loT applications into microservices and deploying them into UAV s allow to reduce their latency and hence to improve the associated quality of service, which is strict for this type of applications. Simulation results show the effectiveness of the proposed solution, comparing the latency experienced by the applications in case there is lack of Internet connectivity with the situation in which one of the UAV s is able to reach a ground base station.</t>
  </si>
  <si>
    <t>https://ieeexplore.ieee.org/stamp/stamp.jsp?arnumber=9912865</t>
  </si>
  <si>
    <t>UAV;loT;microservices;digital divide;coverage</t>
  </si>
  <si>
    <t>Base stations;Simulation;Sociology;Microservice architectures;Quality of service;Network architecture;Autonomous aerial vehicles</t>
  </si>
  <si>
    <t>Z. A. Hmitti; H. B. Ammar; E. G. Soyak; Y. Kardjadja; S. Malektaji; S. O. Ali; M. Rayani; M. Saqib; S. Taghizadeh; W. Ajib; H. Elbiaze; O. Ercetin; Y. Ghamri-Doudane; R. Glitho</t>
  </si>
  <si>
    <t>SCORING: Towards Smart Collaborative cOmputing, caching and netwoRking paradIgm for Next Generation communication infrastructures</t>
  </si>
  <si>
    <t>2022 International Conference on Computer Communications and Networks (ICCCN)</t>
  </si>
  <si>
    <t>10.1109/ICCCN54977.2022.9868940</t>
  </si>
  <si>
    <t>Universit√© du Qu√©bec √† Montr√©al, Montreal, Canada; La Rochelle University, La Rochelle, France; Sabanci University, Istanbul, Turkey; La Rochelle University, La Rochelle, France; Concordia University, Montreal, Canada; Universit√© du Qu√©bec √† Montr√©al, Montreal, Canada; Concordia University, Montreal, Canada; Universit√© du Qu√©bec √† Montr√©al, Montreal, Canada; Universit√© du Qu√©bec √† Montr√©al, Montreal, Canada; Universit√© du Qu√©bec √† Montr√©al, Montreal, Canada; Universit√© du Qu√©bec √† Montr√©al, Montreal, Canada; Sabanci University, Istanbul, Turkey; La Rochelle University, La Rochelle, France; Concordia University, Montreal, Canada</t>
  </si>
  <si>
    <t>The unprecedented increase of heterogeneous devices connected to the Internet, along with tight requirements of future networks, including 5G and beyond, poses new design challenges to network infrastructures. Collaborative computing, caching and communication paradigm together with artificial intelligence have the potential to enable the Next-Generation Networking Infrastructure (NGNI) that is needed to fulfill the stringent requirements of emerging applications. In this paper, we propose the SCORING project vision for reshaping the current network infrastructure towards an NGNI acting as a truly distributed, collaborative, and pervasive system that enables the execution of application-specific tasks and the storage of the related data contents in the Cloud-Edge-Mist continuum with high QoS/QoE guarantees.</t>
  </si>
  <si>
    <t>978-1-6654-9726-8</t>
  </si>
  <si>
    <t>https://ieeexplore.ieee.org/stamp/stamp.jsp?arnumber=9868940</t>
  </si>
  <si>
    <t>NGNI;Cloud;Edge;QoS/QoE;Distributed Computing</t>
  </si>
  <si>
    <t>Industries;Cloud computing;5G mobile communication;Collaboration;Distributed databases;Quality of service;Machine learning</t>
  </si>
  <si>
    <t>R. Bolla; R. Bruschi; F. Davoli; L. Ivaldi; C. Lombardo; B. Siccardi</t>
  </si>
  <si>
    <t>An AI Framework for Fostering 6G towards Energy Efficiency</t>
  </si>
  <si>
    <t>2022 61st FITCE International Congress Future Telecommunications: Infrastructure and Sustainability (FITCE)</t>
  </si>
  <si>
    <t>10.23919/FITCE56290.2022.9934697</t>
  </si>
  <si>
    <t>DITEN - University of Genoa, Genoa, Italy; DITEN - University of Genoa, Genoa, Italy; DITEN - University of Genoa, Genoa, Italy; DITEN - University of Genoa, Genoa, Italy; CNIT ‚Äì S2N National Lab, Genoa, Italy; CNIT ‚Äì S2N National Lab, Genoa, Italy</t>
  </si>
  <si>
    <t>The sixth generation of radio mobile networks (6G) is expected to employ Artificial Intelligence (AI) to support this new network evolution. Along with the enabling technologies of its predecessor, namely edge computing and network slicing, AI will realize intelligent communication and networking, but at a high risk of severely increasing the demands on computing resources and the related carbon footprint. In order to avoid such a curse, this paper proposes an AI framework allowing to achieve tight proportionality between the workload produced by vertical applications and network slices, and the energy consumption induced in the infrastructure, and enabling beyond 5G stakeholders to become part of a green business model. The paper outlines a high-level architecture able to support the framework, as well as the role of the algorithms composing it. Results show that the proposed framework allows for energy savings over 100% while fulfilling the application requirements.</t>
  </si>
  <si>
    <t>978-88-87237-53-5</t>
  </si>
  <si>
    <t>https://ieeexplore.ieee.org/stamp/stamp.jsp?arnumber=9934697</t>
  </si>
  <si>
    <t>B5G;Artificial Intelligence;Edge Computing;Green Networking</t>
  </si>
  <si>
    <t>6G mobile communication;Energy consumption;5G mobile communication;Ecosystems;Energy efficiency;Stakeholders;Artificial intelligence</t>
  </si>
  <si>
    <t>I. ƒåavrak; I. ≈Ωagar; A. Dra≈æiƒá</t>
  </si>
  <si>
    <t>Application models for ubiquitous systems with sporadic communication availability</t>
  </si>
  <si>
    <t>10.23919/MIPRO.2017.7973566</t>
  </si>
  <si>
    <t>Faculty of Electrical Engineering and Computing, University of Zagreb, Zagreb, Croatia; Faculty of Electrical Engineering and Computing, University of Zagreb, Zagreb, Croatia; Faculty of Electrical Engineering and Computing, University of Zagreb, Zagreb, Croatia</t>
  </si>
  <si>
    <t>Ubiquitous computing systems are predominantly characterized by limited computing power, communication capabilities and energy sources. Yet novel usage scenarios shift their roles from basic data acquisition and forwarding to performing more sophisticated tasks such as data processing, local service provisioning and actuation. To meet their goals, horizontal or vertical collaboration and task distribution are often required; utilizing resources identified in the nearby communication environment or offered by remote, cloud- or edge-based services. However, different infrastructural and energy-related constraints can severely influence device's communication capabilities thus dictating the level of provided functionality. In this paper, we focus on the class of ubiquitous systems without permanent communication links, utilizing only sporadic communication with global computing infrastructure. Such systems exploit the short-term presence of third-party communication and computational resources in their environment, adapting their service level to available resource properties. Several identified communication and computation scenarios are described for such a resource constrained and time-variable environment, along with the incentive model for using and provisioning of short-term resources. A general model of adaptive distributed applications exploiting such sporadic communication and computation environment is presented, relying on the cloud- and edge-computing paradigms and microservices as its building blocks.</t>
  </si>
  <si>
    <t>https://ieeexplore.ieee.org/stamp/stamp.jsp?arnumber=7973566</t>
  </si>
  <si>
    <t>Quality of service;Computational modeling;Cloud computing;Adaptation models;Mobile communication;Ubiquitous computing;Collaboration</t>
  </si>
  <si>
    <t>Z. Zhao; C. Rong; M. G. Jaatun</t>
  </si>
  <si>
    <t>A Trustworthy Blockchain-based Decentralised Resource Management System in the Cloud</t>
  </si>
  <si>
    <t>2020 IEEE 26th International Conference on Parallel and Distributed Systems (ICPADS)</t>
  </si>
  <si>
    <t>2690-5965</t>
  </si>
  <si>
    <t>10.1109/ICPADS51040.2020.00086</t>
  </si>
  <si>
    <t>University of Stavanger, Norway; University of Amsterdam, Netherlands; University of Amsterdam, Netherlands</t>
  </si>
  <si>
    <t>Quality Critical Decentralised Applications (QC-DApp) have high requirements for system performance and service quality, involve heterogeneous infrastructures (Clouds, Fogs, Edges and IoT), and rely on the trustworthy collaborations among participants of data sources and infrastructure providers to deliver their business value. The development of the QCDApp has to tackle the low-performance challenge of the current blockchain technologies due to the low collaboration efficiency among distributed peers for consensus. On the other hand, the resilience of the Cloud has enabled significant advances in software-defined storage, networking, infrastructure, and every technology; however, those rich programmabilities of infrastructure (in particular, the advances of new hardware accelerators in the infrastructures) can still not be effectively utilised for QCDApp due to lack of suitable architecture and programming model.</t>
  </si>
  <si>
    <t>978-1-7281-9074-7</t>
  </si>
  <si>
    <t xml:space="preserve">European Union(grant numbers:860627,825134,824068,862409); </t>
  </si>
  <si>
    <t>https://ieeexplore.ieee.org/stamp/stamp.jsp?arnumber=9359214</t>
  </si>
  <si>
    <t>DevOps;Cloud Computing;Blockchain</t>
  </si>
  <si>
    <t>System performance;Collaboration;Blockchain;Computer architecture;Programming;Hardware;Resilience</t>
  </si>
  <si>
    <t>H. Andrade; C. Berger; I. Crnkovic; J. Bosch</t>
  </si>
  <si>
    <t>Principles for Re-architecting Software for Heterogeneous Platforms</t>
  </si>
  <si>
    <t>2020 27th Asia-Pacific Software Engineering Conference (APSEC)</t>
  </si>
  <si>
    <t>2640-0715</t>
  </si>
  <si>
    <t>10.1109/APSEC51365.2020.00049</t>
  </si>
  <si>
    <t>Computer Science and Engineering Chalmers| University of Gothenburg, Gothenburg, Sweden; Computer Science and Engineering Chalmers| University of Gothenburg, Gothenburg, Sweden; Computer Science and Engineering Chalmers| University of Gothenburg, Gothenburg, Sweden; Computer Science and Engineering Chalmers| University of Gothenburg, Gothenburg, Sweden</t>
  </si>
  <si>
    <t>The demands on software continues to increase through the constant addition of functionalities and high expectations from users. In particular, performance has been the focus in many projects with the goal of fulfilling complex and hard requirements across a variety of domains. One way to achieve satisfactory levels of performance is through heterogeneous computing, i.e., systems that contain more than one type of processing unit, such as CPUs, GPUs, and FPGAs. However, applications are typically designed to be executed on CPUs, and re-architecting software for execution on such heterogeneous hardware architectures entails several challenges that must be addressed. In this paper, we propose a framework that supports engineers in the process of making architectural decisions to re-architect software for execution on heterogeneous platforms. We present several relevant aspects that should be addressed in the process, along with suggestions on how to create design solutions using different existing approaches. The framework was developed based on multiple interactions with three industrial partners and evaluated through a computer vision application in the automotive domain.</t>
  </si>
  <si>
    <t>978-1-7281-9553-7</t>
  </si>
  <si>
    <t>https://ieeexplore.ieee.org/stamp/stamp.jsp?arnumber=9359288</t>
  </si>
  <si>
    <t>software engineering;software design;program processors</t>
  </si>
  <si>
    <t>Computer vision;Program processors;Software;Heterogeneous networks;Hardware;Field programmable gate arrays;Software engineering</t>
  </si>
  <si>
    <t>Conference digest</t>
  </si>
  <si>
    <t>2017 IEEE Aerospace Conference</t>
  </si>
  <si>
    <t>10.1109/AERO.2017.7943556</t>
  </si>
  <si>
    <t>The following topics are dealt with: space missions; space systems; space architectures; antennas, RF/microwave systems, and propagation; communication &amp; navigation systems &amp; technologies; observation systems and technologies; remote sensing; spacecraft avionics systems, subsystems, &amp; technologies; spacecraft &amp; launch vehicle systems &amp; technologies; air vehicle systems and technologies; software and computing; diagnostics, prognostics and health management; ground and space operations; management, systems engineering and cost; and government plans, policies and education.</t>
  </si>
  <si>
    <t>978-1-5090-1613-6</t>
  </si>
  <si>
    <t>https://ieeexplore.ieee.org/stamp/stamp.jsp?arnumber=7943556</t>
  </si>
  <si>
    <t>Robots;Space vehicles;Mars;Space missions;Conferences;Space stations;Earth</t>
  </si>
  <si>
    <t>G. E. Prem Kumar; M. Lydia</t>
  </si>
  <si>
    <t>A Comprehensive Overview on Impact of Trust Models in Internet of Things</t>
  </si>
  <si>
    <t>10.1109/ICOSEC51865.2021.9591821</t>
  </si>
  <si>
    <t>Dept. of Information Technology, Sri Krishna College of Engineering &amp; Technology, Coimbatore, India; Dept. of Mechatronics Engineering, Sri Krishna College of Engineering &amp; Technology, Coimbatorex, India</t>
  </si>
  <si>
    <t>Internet of things (IoT) is all about the exciting era of smart devices exchanging data and information among themselves autonomously using the internet. The IoT devices are ubiquitous in nature and have grown in numbers rapidly. These devices are prone to vulnerabilities that jeopardize the security and privacy of the user. Incorporation of trust has become a critical issue in securing information exchange in IoT devices and networks. Device and network heterogeneity, scalability, context awareness and cost involved are some of the issues to be considered while implementing trust management in IoT networks. This paper presents an exhaustive overview on the need for trust mechanisms and trust management in data aggregation, routing, clustering, authentication and attack detection in IoT networks. It also includes a brief description of trust aware IoT-based applications like smart cities, social IoT, vehicular networks, industrial IoT and healthcare. The research challenges in incorporation of trust in IoT devices and networks have also been presented.</t>
  </si>
  <si>
    <t>https://ieeexplore.ieee.org/stamp/stamp.jsp?arnumber=9591821</t>
  </si>
  <si>
    <t>Authentication;Attack detection;Internet of things;Routing;Smart city;Trust Management;Trust Modeling;Vehicular Networks</t>
  </si>
  <si>
    <t>Privacy;Smart cities;Computational modeling;Authentication;Data aggregation;Routing;Internet of Things</t>
  </si>
  <si>
    <t>S. Johnson; P. Ropion; B. Dezfouli</t>
  </si>
  <si>
    <t>Synergy: A Smart and Scalable Energy Measurement Platform for Electricity Consumers</t>
  </si>
  <si>
    <t>2019 IEEE Global Humanitarian Technology Conference (GHTC)</t>
  </si>
  <si>
    <t>2377-6919</t>
  </si>
  <si>
    <t>10.1109/GHTC46095.2019.9033127</t>
  </si>
  <si>
    <t>Department of Computer Science and Engineering, Santa Clara University, Santa Clara, USA; Department of Computer Science and Engineering, Santa Clara University, Santa Clara, USA; Department of Computer Science and Engineering, Santa Clara University, Santa Clara, USA</t>
  </si>
  <si>
    <t>The key to becoming a more sustainable society is first learning to take responsibility for the role we play in energy consumption. Real-time energy usage gives energy consumers a sense of responsibility over what they can do to accomplish a much larger goal for the planet, and practically speaking, what they can do to lower the cost to their wallets. Synergy is an energy monitoring and visualization system that enables users to gather information about the energy consumption in a building - small or large - and display that data for the user in real-time. The gathered energy usage data is processed on the edge before being stored in the cloud. The two main benefits of edge processing are issuing electricity hazard warnings immediately and preserving user privacy. In addition to being a scalable solution that intended for use in individual households, commercial offices and city power grids, Synergy is open-source so that it can be implemented more widely. We present the design and implementation of Synergy as well as initial finding based on the data collected by this platform.</t>
  </si>
  <si>
    <t>978-1-7281-1780-5</t>
  </si>
  <si>
    <t>https://ieeexplore.ieee.org/stamp/stamp.jsp?arnumber=9033127</t>
  </si>
  <si>
    <t>Energy Efficiency;Energy Monitoring;Internet of Things (IoT);Modularity;Privacy</t>
  </si>
  <si>
    <t>Monitoring;Energy measurement;Cloud computing;Real-time systems;Data visualization;Energy consumption;Current measurement</t>
  </si>
  <si>
    <t>H. K. Apat; B. Sahoo; S. Mohanty</t>
  </si>
  <si>
    <t>A Quality of Service(QoS) aware Fog Computing model for intelligent (IoT) applications</t>
  </si>
  <si>
    <t>2021 19th OITS International Conference on Information Technology (OCIT)</t>
  </si>
  <si>
    <t>10.1109/OCIT53463.2021.00061</t>
  </si>
  <si>
    <t>Computer Science and Engineering, National Institute of Technology, Rourkela, India; Computer Science and Engineering, National Institute of Technology, Rourkela, India; Computer Science and Engineering, National Institute of Technology, Rourkela, India</t>
  </si>
  <si>
    <t>The evolution of advance networking technology such as 4G Long term evolution(4G LTE), wireless Software De-fined Network(WSDN), Low power wide area network(LPWAN), 5G and so on makes compulsion for the emergence of intelligent services. On the other side the popularity and demand of various Internet of Things(IoT) applications like smart city, smart healthcare, Virtual reality, Smart traffic system etc. also increasing with exponential rate. The traditional cloud computing model is not well suited due to insufficient bandwidth and high delay may create loss of Quality of Service(QoS) to these diverse range of IoT applications. The Fog-Cloud computing paradigm offers various promising solution to provision the available resources for different real time IoT application. Fog computing supports various features like mobility, location awareness etc that gives additive advantage for emergence IoT applications. However the QoS requirement of these loT IoT applications varies from contexts to contexts. In this article we have reviewed various problem includes application placement, application offloading, task scheduling etc as a feasible problem in Fog computing environment that aims to allocate the services of various IoT applications to different resources available in Fog-Cloud sce-nario. We have proposed a three tier Fog-Cloud architecture that supports various IoT applications to meet their respective QoS dynamically. We also formulate various QoS parameters mathematically that need to be optimized for efficient resource provisioning as well as resource allocations.</t>
  </si>
  <si>
    <t>978-1-6654-1664-1</t>
  </si>
  <si>
    <t>https://ieeexplore.ieee.org/stamp/stamp.jsp?arnumber=9719487</t>
  </si>
  <si>
    <t>Fog Computing;Edge Computing;Cloud Com-puting Internet of Things(IoT);Quality of Service(QoS)</t>
  </si>
  <si>
    <t>Wireless communication;Solid modeling;Computational modeling;Quality of service;Computer architecture;Virtual reality;Real-time systems</t>
  </si>
  <si>
    <t>G. Jean-Pierre; H. Akbarihaghighat; T. Zhao; A. Berger; N. Nafsin; F. B. Nasir; H. Bravo; J. Li; A. Nasiri; M. Nowak</t>
  </si>
  <si>
    <t>Development of a Data Analytics Platform for an Electrical/Water Microgrid</t>
  </si>
  <si>
    <t>2021 IEEE 12th International Symposium on Power Electronics for Distributed Generation Systems (PEDG)</t>
  </si>
  <si>
    <t>2329-5767</t>
  </si>
  <si>
    <t>10.1109/PEDG51384.2021.9494250</t>
  </si>
  <si>
    <t>Center for Sustainable Electrical Energy Systems, University of Wisconsin-Milwaukee (UWM); Center for Sustainable Electrical Energy Systems, University of Wisconsin-Milwaukee (UWM); Center for Sustainable Electrical Energy Systems, University of Wisconsin-Milwaukee (UWM); Center for Sustainable Electrical Energy Systems, University of Wisconsin-Milwaukee (UWM); Center for Sustainable Electrical Energy Systems, University of Wisconsin-Milwaukee (UWM); Center for Sustainable Electrical Energy Systems, University of Wisconsin-Milwaukee (UWM); Center for Sustainable Electrical Energy Systems, University of Wisconsin-Milwaukee (UWM); Center for Sustainable Electrical Energy Systems, University of Wisconsin-Milwaukee (UWM); Center for Sustainable Electrical Energy Systems, University of Wisconsin-Milwaukee (UWM); Eaton Corporation</t>
  </si>
  <si>
    <t>Data enabled systems can offer multiple improvements over traditional systems, including higher efficiency, higher reliability, and lower maintenance cost. There has been a large growth in the development of data enabled systems in various industrial sectors, such as energy, manufacturing, and water distribution systems. In order to achieve a data enabled system, it is paramount to develop an analytical platform by collecting data, and formulating and monitoring key performance indicators (KPIs). This paper presents a multilayer structured communication and data analytic framework to collect real-time, high-fidelity data for a full scale electrical microgrid and water system testbed. The system has deployed various electrical and water sensors, communication interfaces, data streaming libraries, cloud programming and storage, data dashboards, and an HMI. Actual water and electrical test systems were built to test this replicable platform.</t>
  </si>
  <si>
    <t>978-1-6654-0465-5</t>
  </si>
  <si>
    <t>https://ieeexplore.ieee.org/stamp/stamp.jsp?arnumber=9494250</t>
  </si>
  <si>
    <t>Cloud storage;data analytic;HMI;KPI;microgrid</t>
  </si>
  <si>
    <t>Cloud computing;Analytical models;Data analysis;Tropical cyclones;Microgrids;Water quality;Sensor systems</t>
  </si>
  <si>
    <t>S. du Plessis; N. Correia</t>
  </si>
  <si>
    <t>A Comparative Study of Software Architectures in Constrained Device IoT Deployments</t>
  </si>
  <si>
    <t>10.1109/IoTaIS53735.2021.9628703</t>
  </si>
  <si>
    <t>CEOT, University of Algarve, Faro, Portugal; Faculty of Science and Technology, CEOT, University of Algarve, Faro, Portugal</t>
  </si>
  <si>
    <t>The Internet of Things (IoT) is an area that has consistently seen growth and development and will no doubt continue to do so. One group of IoT devices - constrained devices - has seen significant developments in recent years. With the advent of constrained devices in almost every area of life, e.g. industrial, leisure and medical, this group of devices is well worth studying. Clearly, resource management is a critical aspect to ensure optimal use of such devices. A number of factors can have a significant impact on resource management, such as the operating system and the software architecture.This study aimed to compare the power consumption, runtime performance and memory consumption of two software architectures: microservices and monolithic. The study was conducted using a constrained device, and to ensure that the results are not language-specific, three different programming languages were used: Go, Python and C++. It was found that, for smallscale applications, the monolithic architecture performed better across most metrics. These results may provide valuable insights to engineers for the design and implementation of constrained-device IoT applications. It was recommended that additional research be conducted on larger-scale applications.</t>
  </si>
  <si>
    <t>https://ieeexplore.ieee.org/stamp/stamp.jsp?arnumber=9628703</t>
  </si>
  <si>
    <t>Internet of Things;resource-constrained devices;software architecture;microservices;monolithic</t>
  </si>
  <si>
    <t>Performance evaluation;Power demand;Runtime;Software architecture;Memory management;Microservice architectures;C++ languages</t>
  </si>
  <si>
    <t>P. Parmar; T. Champaneria</t>
  </si>
  <si>
    <t>Study and comparison of transportation system architectures for smart city</t>
  </si>
  <si>
    <t>2017 International Conference on I-SMAC (IoT in Social, Mobile, Analytics and Cloud) (I-SMAC)</t>
  </si>
  <si>
    <t>10.1109/I-SMAC.2017.8058264</t>
  </si>
  <si>
    <t>Computer Department, L. D. College of Engineering, Ahmedabad, India; Computer Department, L. D. College of Engineering, Ahmedabad, India</t>
  </si>
  <si>
    <t>IoT refers to a technology which makes every possible device internet ready whose advance use will develop machine-to-machine relationship instead of user-to-machine relationship. These IoT devices includes everything from cell phone, coffee maker, TV, refrigerator, watch etc. A smart city is one that uses Information and communication Technology (ICT) to enhance its standard of living, way of working and sustainability. Internet of Things provide support and ease in the development of smart city. A smart city contains various domains such as waste management, transportation system etc. This paper discusses about existing smart transportation and smart city architectures and compare them with respect to various parameters. Comparison can help in building robust and generic software architecture for transportation domain of smart city.</t>
  </si>
  <si>
    <t>978-1-5090-3243-3</t>
  </si>
  <si>
    <t>https://ieeexplore.ieee.org/stamp/stamp.jsp?arnumber=8058264</t>
  </si>
  <si>
    <t>Smart City;Internet of Things;Smart Transportation;Service Oriented Architecture;Restful;Cyber Physical System</t>
  </si>
  <si>
    <t>Computer architecture;Smart cities;Cloud computing;Automobiles;Systems architecture</t>
  </si>
  <si>
    <t>H. Wen; G. Zhang; H. Zhang</t>
  </si>
  <si>
    <t>Design and Application of Instrument Remote Operation and Maintenance and Intelligent Analysis Platform Based on Edge Computing Technology</t>
  </si>
  <si>
    <t>2022 International Conference on Computer Engineering and Artificial Intelligence (ICCEAI)</t>
  </si>
  <si>
    <t>10.1109/ICCEAI55464.2022.00130</t>
  </si>
  <si>
    <t>Product and R&amp;D Department, Chongqing Chuanyi Automation Co., Ltd., Chongqing, China; Product and R&amp;D Department, Chongqing Chuanyi Automation Co., Ltd., Chongqing, China; Product and R&amp;D Department, Chongqing Chuanyi Automation Co., Ltd., Chongqing, China</t>
  </si>
  <si>
    <t>With the advancement of the application research of edge computing and IoT technology in instrumentation, this paper takes the new instrumentation with edge computing capability as the research object, and designs a remote operation and maintenance and intelligent analysis platform for edge computing instrumentation from the perspective of application scenario requirements. The platform includes a four-layer functional structure, namely the data access layer, the data operation storage layer, the application service layer, and the interface management layer. The platform realizes the compatibility of different communication protocols, massive data management, predictive and complex business analysis logic calculation and interconnection with third-party application systems. It can achieve the effect of intelligent analysis, fault diagnosis, predictive maintenance and full life cycle management of remote instrumentation equipment. Through the application in the sewage treatment plant, the platform realizes the comprehensive supervision of the on-site treatment process. It can effectively predict the failure of the field instrument, improve the guarantee ability of the reliable operation of the field process and the reliable operation of the equipment, and realize unattended operation. It saves operating costs for sewage treatment plants and has great economic and social benefits.</t>
  </si>
  <si>
    <t>978-1-6654-6803-9</t>
  </si>
  <si>
    <t>https://ieeexplore.ieee.org/stamp/stamp.jsp?arnumber=9853316</t>
  </si>
  <si>
    <t>edge computing;intelligent instrument;internet of things;remote operation and maintenance</t>
  </si>
  <si>
    <t>Costs;Protocols;Instruments;Sewage treatment;Reliability theory;Valves;Software</t>
  </si>
  <si>
    <t>P. Kaushik; S. Raghavendra; M. Govindaraju</t>
  </si>
  <si>
    <t>A Study of Contributing Factors to Power Aware Vertical Scaling of Deadline Constrained Applications</t>
  </si>
  <si>
    <t>10.1109/CLOUD55607.2022.00073</t>
  </si>
  <si>
    <t>SUNY, Binghamton University, New York, USA; SUNY, Binghamton University, New York, USA; SUNY, Binghamton University, New York, USA</t>
  </si>
  <si>
    <t>The adoption of virtualization technologies in datacenters has increased dramatically in the past decade. Clouds have pivoted from being just an infrastructure rental to offering platforms and solutions, made possible by having several layers of abstraction, providing internal and external users the ability to focus on core business logic. Efficient resource management has in turn become salient in ensuring operational efficiency. In this work, we study key factors that can influence vertical scaling decisions, propose a policy to vertically scale deadline constrained applications and surface our findings from experimentation. We observe that (a) the duration for which an application is profiled has an almost cyclic influence on the accuracy of behavior predictions and is inversely proportional to the time spent consuming backlog, (b) the duration for which an application is scaled can help achieve up to a 9.6% and 4.2% reduction in the 75th and 95th percentile of power usage respectively, (c) reducing the tolerance towards accrual of backlog influences the application execution time and can reduce the number of SLA violations by 50% or 100% at times and (d) increasing the time to deadline offers power saving opportunities and can help achieve a 9.3% improvement in the 75th percentile of power usage.</t>
  </si>
  <si>
    <t>https://ieeexplore.ieee.org/stamp/stamp.jsp?arnumber=9860445</t>
  </si>
  <si>
    <t>power-aware;vertical scaling;deadline constrained applications;containers</t>
  </si>
  <si>
    <t>Cloud computing;Behavioral sciences;Time factors;Resource management;Virtualization;Business</t>
  </si>
  <si>
    <t>N. Bazhenov; E. Rybin; D. Korzun</t>
  </si>
  <si>
    <t>An Event-Driven Approach to the Recognition Problem in Video Surveillance System Development</t>
  </si>
  <si>
    <t>2022 32nd Conference of Open Innovations Association (FRUCT)</t>
  </si>
  <si>
    <t>10.23919/FRUCT56874.2022.9953883</t>
  </si>
  <si>
    <t>Petrozavodsk State University (PetrSU), Petrozavodsk, Russia; Petrozavodsk State University (PetrSU), Petrozavodsk, Russia; Petrozavodsk State University (PetrSU), Petrozavodsk, Russia</t>
  </si>
  <si>
    <t>Many video surveillance systems (VSS) have been already developed for various application domains. Such systems are based on well-elaborated recognition algorithms of Artifi-cial Intelligence (AI) and implemented as Ambient Intelligence (AmI) services in Internet of Things (IoT) environments. In particular, algorithms support such smart VSS functions of video data processing as human detection, human identification, object location within an image, human activity recognition. Many software tools have been developed to implement various recognition algorithms for VSS development. In this paper, we consider the following VSS development problems: a) a generic model of events in video data for a given problem domain, b) a hardware-software architecture for data processing with existing recognition algorithms, and c) a model to construct a required smart VSS function using existing software tools. We introduce our event-oriented approach to solve the above VSS development problems. The approach is experienced in several use cases. Our experimental study shows the applicability of the proposed approach in terms of the accuracy and performance.</t>
  </si>
  <si>
    <t>978-952-69244-8-9</t>
  </si>
  <si>
    <t>https://ieeexplore.ieee.org/stamp/stamp.jsp?arnumber=9953883</t>
  </si>
  <si>
    <t>Technological innovation;Face recognition;Software algorithms;Computer architecture;Data processing;Video surveillance;Data models</t>
  </si>
  <si>
    <t>H. Ji; S. Sun; Y. Xie; H. Liu; T. Jiang</t>
  </si>
  <si>
    <t>Research and Application of Internet of Things Edge Autonomy Technology Based on Microservice in Power Pipe Gallary</t>
  </si>
  <si>
    <t>2020 7th International Conference on Information Science and Control Engineering (ICISCE)</t>
  </si>
  <si>
    <t>10.1109/ICISCE50968.2020.00405</t>
  </si>
  <si>
    <t>NARI Group Corporation, State Grid Electric Power Research Institute, NARI Technology Co.,Ltd., NARI-TECH Nanjing Control Systems Ltd., Nanjing, China; NARI Group Corporation, State Grid Electric Power Research Institute, NARI Technology Co.,Ltd., NARI-TECH Nanjing Control Systems Ltd., Nanjing, China; NARI Group Corporation, State Grid Electric Power Research Institute, NARI Technology Co.,Ltd., NARI-TECH Nanjing Control Systems Ltd., Nanjing, China; NARI Group Corporation, State Grid Electric Power Research Institute, NARI Technology Co.,Ltd., NARI-TECH Nanjing Control Systems Ltd., Nanjing, China; NARI Group Corporation, State Grid Electric Power Research Institute, NARI Technology Co.,Ltd., NARI-TECH Nanjing Control Systems Ltd., Nanjing, China</t>
  </si>
  <si>
    <t>With the rapid development of power internet of things and the continuous improvement of the State Grid Company's requirements for the safe operation of the station, there are more and more monitoring systems for power transmission and transformation pipe gallary in engineering application. The information between multiple systems is relatively isolated. The workload of the operation and maintenance personnel increases dramatically, and the operation safety risk increases accordingly. In order to improve the perception ability, remote operation and maintenance level of the station, it is necessary to study a kind of management platform for information sharing. Based on mqtt protocol and using microservice architecture, the design makes function module plug-and-play possible. An edge autonomy technology of IOT is proposed to integrate intelligent substation and internet of things which can improve the high reliability of the system operation and ensure the security and stability of the power system.</t>
  </si>
  <si>
    <t>978-1-7281-6406-9</t>
  </si>
  <si>
    <t>https://ieeexplore.ieee.org/stamp/stamp.jsp?arnumber=9532177</t>
  </si>
  <si>
    <t>power pipe gallery;microservice architecture;information sharing;edge autonomy technology;high reliability</t>
  </si>
  <si>
    <t>Substations;Protocols;Systems operation;Power system stability;Maintenance engineering;Reliability engineering;Power system reliability</t>
  </si>
  <si>
    <t>W. Liu; M. Li; G. Zhao; H. Meng</t>
  </si>
  <si>
    <t>The Intelligent Energy System Based on Internet of Things Helps Rural Electrification</t>
  </si>
  <si>
    <t>10.1109/iSPEC50848.2020.9351116</t>
  </si>
  <si>
    <t>Deputy director of marketing department, State Grid Shandong electric power company, Shandong, China; Director of rural power department of marketing department, State Grid Shandong electric power company, Shandong, China; marketing department, State Grid Shandong electric power company, Shandong, China; Lingang customer service center of marketing department, State Grid Shandong electric power company, Shandong, China</t>
  </si>
  <si>
    <t>It proposes a intelligent energy system based on Internet of things to help rural electrification. Because the rural electrification plays an important role in promoting the transformation of energy demand to electricity and increasing the proportion of electric energy in terminal energy consumption, and the high attention paid to rural electrification in today's society. Firstly, it builds the intelligent energy control system based on the Internet of Things. Its functions and technical characteristics are analyzed from the perspective of the framework of the system such as the perception layer, network layer, platform layer and application layer. Then, on this basis, it builds a ‚Äú365 power-keeper‚Äù intelligent energy service platform to develop more functions such as IOT management, integrated monitoring, energy efficiency analysis, value-added services and so on. Finally, it demonstrates the application effect of intelligent energy service platform through the case of using intelligent energy in electrified greenhouse in shouguang, Shandong province. The results show that this intelligent energy system can effectively improve the level of intelligent energy use in rural electrification, provide intelligent sharing services, and meet the diversified demands of customers.</t>
  </si>
  <si>
    <t>https://ieeexplore.ieee.org/stamp/stamp.jsp?arnumber=9351116</t>
  </si>
  <si>
    <t>Intelligent Energy System;Internet of Things;Rural Electrification;Intelligent Energy Use</t>
  </si>
  <si>
    <t>Decision making;Transportation;Control systems;Energy efficiency;Agriculture;Internet of Things;Business</t>
  </si>
  <si>
    <t>X. Wu; W. Kong; R. Chen; H. Dai</t>
  </si>
  <si>
    <t>Investigation and Analysis on Development Strategy of Integrated Energy Service Digital Platform</t>
  </si>
  <si>
    <t>2021 4th International Conference on Energy, Electrical and Power Engineering (CEEPE)</t>
  </si>
  <si>
    <t>10.1109/CEEPE51765.2021.9475731</t>
  </si>
  <si>
    <t>Department of Energy Internet, State Grid Energy Research Institute, Beijing, China; Department of Energy Internet, State Grid Energy Research Institute, Beijing, China; Department of Energy Internet, State Grid Energy Research Institute, Beijing, China; Department of Energy Internet, State Grid Energy Research Institute, Beijing, China</t>
  </si>
  <si>
    <t>With the development of energy and digital revolution, the concept of integrated energy service (IES) attracts many attentions due to its green, high efficient and low carbon characteristics. Applying digital platform to promote the usage of multi-source data and the construction of mechanism model will bring positive effects on integrated energy system planning, control and operation. However, the development of integrated energy service platform is still in its infancy, the strategy and the corresponding architecture design is needed. To deal with these issues, this paper firstly presents a comprehensive analysis about the present status of IES digital platforms, such as their types, features and key functionalities are deeply studied. Then the current problems include development route, main stream technology and business models are summarized and the follow future trends of IES platform is concluded. Finally, the key points in the development process and the architecture of IES platform is given.</t>
  </si>
  <si>
    <t>978-1-6654-3363-1</t>
  </si>
  <si>
    <t>https://ieeexplore.ieee.org/stamp/stamp.jsp?arnumber=9475731</t>
  </si>
  <si>
    <t>integrated energy service;digital platform;architecture;business model;development route</t>
  </si>
  <si>
    <t>Power engineering;Biological system modeling;Buildings;Market research;Control systems;Ecology;Data models</t>
  </si>
  <si>
    <t>A. S. Ayanboye; J. E. Efiong; G. E. Alilu; A. I. Oyebade; B. O. Akinyemi</t>
  </si>
  <si>
    <t>An Assessment of Security Techniques for Denial of Service Attack in Virtualized Environments</t>
  </si>
  <si>
    <t>2022 5th Information Technology for Education and Development (ITED)</t>
  </si>
  <si>
    <t>10.1109/ITED56637.2022.10051209</t>
  </si>
  <si>
    <t>Department of Computer Science &amp; Engineering, Obafemi Awolowo University, Ile-Ife, Nigeria; Department of Computer Science &amp; Engineering, Obafemi Awolowo University, Ile-Ife, Nigeria; Department of Computer Science &amp; Engineering, Obafemi Awolowo University, Ile-Ife, Nigeria; Department of Computer Science &amp; Engineering, Obafemi Awolowo University, Ile-Ife, Nigeria; Department of Computer Science &amp; Engineering, Obafemi Awolowo University, Ile-Ife, Nigeria</t>
  </si>
  <si>
    <t>By establishing various simulated environments or specialized resources, a virtual environment enables users to interact with both the computing environment and the work of other users. Although these programs were created to limit attack vectors, the development of attack tools has made them great targets for cyberattacks. The Denial of Service (DoS) assault is the main consequence of successful attacks on the environment. In this study, the various security techniques for DoS attack in virtualized systems are evaluated, and the current state of intrusion detection, its processes, and potential future directions are covered.</t>
  </si>
  <si>
    <t>978-1-6654-9370-3</t>
  </si>
  <si>
    <t>https://ieeexplore.ieee.org/stamp/stamp.jsp?arnumber=10051209</t>
  </si>
  <si>
    <t>virtual environment;Virtualization;Virtual machine (VM);Security;Denial-of-service (DOS) attack</t>
  </si>
  <si>
    <t>Cloud computing;Operating systems;Random access memory;Intrusion detection;Virtual machining;Software;Servers</t>
  </si>
  <si>
    <t>IEEE Services 2018 Industry Program</t>
  </si>
  <si>
    <t>2018 IEEE World Congress on Services (SERVICES)</t>
  </si>
  <si>
    <t>2378-3818</t>
  </si>
  <si>
    <t>10.1109/SERVICES.2018.00012</t>
  </si>
  <si>
    <t>Provides an abstract for each of the presentations and may include a brief professional biography of each presenter. The complete presentations were not made available for publication as part of the conference proceedings.</t>
  </si>
  <si>
    <t>978-1-5386-7374-4</t>
  </si>
  <si>
    <t>https://ieeexplore.ieee.org/stamp/stamp.jsp?arnumber=8495764</t>
  </si>
  <si>
    <t>Automation;Cloud computing;Optimization;Monitoring;Measurement;Computational modeling;Buildings</t>
  </si>
  <si>
    <t>E. Kartci; E. E. Akkus; S. Sancar; T. A. Bugdayci; M. Bektas; G. Poyrazoglu</t>
  </si>
  <si>
    <t>Digital Data Integration Project between a DSO and a University for Sustainability and Efficiency</t>
  </si>
  <si>
    <t>2022 IEEE 21st Mediterranean Electrotechnical Conference (MELECON)</t>
  </si>
  <si>
    <t>2158-8481</t>
  </si>
  <si>
    <t>10.1109/MELECON53508.2022.9842910</t>
  </si>
  <si>
    <t>Electrical &amp; Electronics Engineering, Ozyegin University, Istanbul, Turkey; Measurement and Monitoring Systems Yesilirmak Electricity Distribution Co, Samsun, Turkey; Electrical &amp; Electronics Engineering, Ozyegin University, Istanbul, Turkey; Research &amp; Development Yesilirmak Electricity Distribution Co, Samsun, Turkey; Research &amp; Development Yesilirmak Electricity Distribution Co, Samsun, Turkey; Electrical &amp; Electronics Engineering, Ozyegin University, Istanbul, Turkey</t>
  </si>
  <si>
    <t>Digitization in the energy sector enables big data analysis that can lead to large-scale energy efficiency due to the size of the sector and thus getting closer to sustainability targets. With a digital data integration study between a distribution company and a university in Turkey for big data processing, the data collected by IoT devices from 6,000 active transformers providing service in 5 cities were transferred to different servers together with the developed communication protocols. As a result of the project, the transformer efficiency and sustainability measures were produced. In this study, the mutually established software infrastructure and the benefits of the project are explained.</t>
  </si>
  <si>
    <t>978-1-6654-4280-0</t>
  </si>
  <si>
    <t>https://ieeexplore.ieee.org/stamp/stamp.jsp?arnumber=9842910</t>
  </si>
  <si>
    <t>data integration;smart metering;IoT communications;big data analytics;energy efficiency</t>
  </si>
  <si>
    <t>Urban areas;Data integration;Data visualization;Companies;Big Data;Transformers;Energy efficiency</t>
  </si>
  <si>
    <t>S. Dong; Z. Fang; Z. Zhang; F. Farha; H. Ning</t>
  </si>
  <si>
    <t>A Survey on Unified Modeling under Identification Exploding Tendency in the Internet of Things</t>
  </si>
  <si>
    <t>2021 International Wireless Communications and Mobile Computing (IWCMC)</t>
  </si>
  <si>
    <t>10.1109/IWCMC51323.2021.9498832</t>
  </si>
  <si>
    <t>University of Science and Technology in Beijing, Beijing, China; University of Science and Technology in Beijing, Beijing, China; University of Science and Technology in Beijing, Beijing, China; University of Science and Technology in Beijing, Beijing, China; University of Science and Technology in Beijing, Beijing, China</t>
  </si>
  <si>
    <t>The prevalence and large-scale uptake of the Internet of Things (IoT) have led to a growing trend of Identification Exploding, namely heterogeneous entities respectively identified to provide convenient intelligent services. To address challenges under Identification Exploding, unified modeling has become a promising approach to generalizing identification for heterogeneous entities in IoT. This paper surveys and discusses Identification Exploding's background to explore the possibility of unified modeling as one of the solutions. Meanwhile, challenges of realizing unified modeling are discussed. After that, comprehensive reviews on the latest modeling approaches and methods covering various IoT entities are carried out, including sensed entities and sensing devices. Special attention has been paid to modeling under resource-constrained IoT environments and relevant modeling-based industry solutions with critical analysis. It is proved that unified modeling is extremely significant under Identification Exploding Tendency in the IoT era.</t>
  </si>
  <si>
    <t>978-1-7281-8616-0</t>
  </si>
  <si>
    <t>https://ieeexplore.ieee.org/stamp/stamp.jsp?arnumber=9498832</t>
  </si>
  <si>
    <t>Internet of Things (IoT);Identification Exploding;Unified Modeling</t>
  </si>
  <si>
    <t>Industries;Wireless communication;Analytical models;Computational modeling;Market research;Sensors;Internet of Things</t>
  </si>
  <si>
    <t>L. S. Grigoreva; V. A. Grigoryev</t>
  </si>
  <si>
    <t>Intelligent Experimental Control System</t>
  </si>
  <si>
    <t>2020 International Conference on Industrial Engineering, Applications and Manufacturing (ICIEAM)</t>
  </si>
  <si>
    <t>10.1109/ICIEAM48468.2020.9111945</t>
  </si>
  <si>
    <t>Moscow State University of Civil Engineering (MGSU), Moscow, Russian Federation; Moscow branch of Centrtomtechenergo ‚ÄúAtomtechenergo‚Äù JSC, Moscow, Russian Federation</t>
  </si>
  <si>
    <t>The article presents the structural diagrams of a hardware-software complex designed for operational monitoring and registration of rapidly changing neutron-physical and technological parameters of a nuclear power unit at the stages of commissioning a power unit. The hardware and software complex is based on the SCADA system. An intelligent experimental control system can be used at various types of power plants, including nuclear power units. Complex systems allow for the collection and registration of analog parameters with a frequency of up to 10 times in 1 sec. A proprietary software implementation has been developed, which gives unlimited opportunities to implement customer requirements for operator functionality and interface, as well as the ability to get away from tight binding to specific hardware components, a software base has been implemented for further processing and additions to new tasks without significant labor costs.</t>
  </si>
  <si>
    <t>978-1-7281-4590-7</t>
  </si>
  <si>
    <t>https://ieeexplore.ieee.org/stamp/stamp.jsp?arnumber=9111945</t>
  </si>
  <si>
    <t>SCADA system;database;service;real time;controller</t>
  </si>
  <si>
    <t>Time-frequency analysis;Costs;SCADA systems;Industrial engineering;Software;Hardware;Manufacturing</t>
  </si>
  <si>
    <t>W. Tang; J. Wang; C. Zhang; H. Yan</t>
  </si>
  <si>
    <t>Architecture and Key Model of SGCC ONLINE Based on Middle-platform Technology</t>
  </si>
  <si>
    <t>2021 IEEE 4th International Conference on Automation, Electronics and Electrical Engineering (AUTEEE)</t>
  </si>
  <si>
    <t>10.1109/AUTEEE52864.2021.9668835</t>
  </si>
  <si>
    <t>State Grid Corpotation of China, Beijing, China; State Grid Corpotation of China, Beijing, China; Customer Service Center, State Grid Corpotation of China, Tianjin, China; Beijing Kedong Electricity Control System of Limited Liability Company, Haidian District, Beijing, China</t>
  </si>
  <si>
    <t>With the diversification and complexity of power marketing, the information construction of power marketing services lacks a unified technical system standard. In order to build a digital public service product with customer aggregation, business accommodation and data sharing, a new generation architecture model of State Grid Corporation of China(SGCC) ONLINE based on middle-platform technology is proposed. This paper expounds the overall architecture and technical architecture of the SGCC ONLINE, studies the key innovation technology model of the SGCC ONLINE, and realizes the ‚Äúone network‚Äù of power business services. The SGCC ONLINE has achieved remarkable application results, comprehensively promoted the construction of power marketing service system in the new era, and has good application and promotion value.</t>
  </si>
  <si>
    <t>978-1-6654-2839-2</t>
  </si>
  <si>
    <t>https://ieeexplore.ieee.org/stamp/stamp.jsp?arnumber=9668835</t>
  </si>
  <si>
    <t>middle-platform technology;big data;power marketing;standard system;digitization construction</t>
  </si>
  <si>
    <t>Electrical engineering;Technological innovation;Scheduling;Data models;Safety;Risk management;Standards</t>
  </si>
  <si>
    <t>P. S. Rawat; R. Singh Bhadoria</t>
  </si>
  <si>
    <t>Performance Evaluation Using Execution Time Aware Bio-Inspired Virtual Machine Placement Strategy</t>
  </si>
  <si>
    <t>2021 10th IEEE International Conference on Communication Systems and Network Technologies (CSNT)</t>
  </si>
  <si>
    <t>2329-7182</t>
  </si>
  <si>
    <t>10.1109/CSNT51715.2021.9509553</t>
  </si>
  <si>
    <t>Department of Computer Science &amp; Engineering, Uttarakhand Technical University, Dehradun, India; Department of Computer Science &amp; Engineering, Birla Institute of Applied Sciences, Bhimtal, Nainital, India</t>
  </si>
  <si>
    <t>In the generation of computing, technology, and communication, cloud computing plays a prominent role. The utility computing paradigm which provides resources as a service is known as cloud computing. Cloud computing provides efficient use of cloud resources using a scalable simulation and modeling process. This work focuses on the performance evaluation of task assignments on virtual machine execution using a bio-inspired strategy. The quality of service is evaluated using average waiting time and average completion time (ms) of tasks assigned to the virtual machines using heavy-duty virtualization. An integrated architecture is proposed which inculcates the features of the bio-inspired technique and Kubernetes-based orchestration of container or lightweight virtual machine. The presented results are compared against static approaches, i.e., time shared and first come first serve techniques.</t>
  </si>
  <si>
    <t>978-1-6654-2306-9</t>
  </si>
  <si>
    <t>https://ieeexplore.ieee.org/stamp/stamp.jsp?arnumber=9509553</t>
  </si>
  <si>
    <t>Cloudlet;Cloudsim;GA (Genetic);Heuristic;IaaS;PaaS;SaaS;VM (Virtual machine)</t>
  </si>
  <si>
    <t>Performance evaluation;Computers;Cloud computing;Computational modeling;Conferences;Quality of service;Containers</t>
  </si>
  <si>
    <t>X. He; W. Cai; H. He; C. Dong; B. Sun; L. Gong; M. Tian; X. Wang</t>
  </si>
  <si>
    <t>Top-level design of electricity consumption information collection system based on edge computing</t>
  </si>
  <si>
    <t>2021 13th International Conference on Measuring Technology and Mechatronics Automation (ICMTMA)</t>
  </si>
  <si>
    <t>2157-1481</t>
  </si>
  <si>
    <t>10.1109/ICMTMA52658.2021.00120</t>
  </si>
  <si>
    <t>Metering Center of State Grid Hubei Electric Power Co., Ltd., Wuhan, China; Metering Center of State Grid Hubei Electric Power Co., Ltd., Wuhan, China; Metering Center of State Grid Hubei Electric Power Co., Ltd., Wuhan, China; Metering Center of State Grid Hubei Electric Power Co., Ltd., Wuhan, China; Metering Center of State Grid Hubei Electric Power Co., Ltd., Wuhan, China; Electronic Information School, Wuhan University, Wuhan, China; Electronic Information School, Wuhan University, Wuhan, China; Electronic Information School, Wuhan University, Wuhan, China</t>
  </si>
  <si>
    <t>With the continuous construction of Power Internet of Things, the data collected by the traditional electricity information collection system showed explosive growth, lead to the original data operation mode couldn‚Äôt meet the needs of users and the system. This paper proposes to design a power consumption information collection system based on edge computing, took communication access, task sinking, resource scheduling, and network security as key links under the new architecture, to build a new generation of electricity information collection system network architecture, use mathematical modeling to form the resource scheduling set of the cloud management layer and the network security set of the main station application layer, and use multiple parameters to evaluate the quality of the modeling under the constraint conditions and as the basis for decision-making by the power grid personnel. Through the integration of advanced communication technology, artificial intelligence technology, big data analysis technology, etc. with the new generation of electricity information collection system network, the efficiency of data transmission in the link could be improved, the cost of network channel construction could be reduced, and scientific and reasonable decision-making will realize calculation efficient use of resources to ensure the safety of system operation.</t>
  </si>
  <si>
    <t>978-1-6654-3892-6</t>
  </si>
  <si>
    <t>https://ieeexplore.ieee.org/stamp/stamp.jsp?arnumber=9410151</t>
  </si>
  <si>
    <t>Edge computing;Communication access;Task sinking;Resource scheduling;Network security</t>
  </si>
  <si>
    <t>Analytical models;Processor scheduling;Computational modeling;Decision making;Data models;Power grids;Communications technology</t>
  </si>
  <si>
    <t>Front Matter</t>
  </si>
  <si>
    <t>TENCON 2019 - 2019 IEEE Region 10 Conference (TENCON)</t>
  </si>
  <si>
    <t>2159-3450</t>
  </si>
  <si>
    <t>10.1109/TENCON.2019.8929546</t>
  </si>
  <si>
    <t>978-1-7281-1895-6</t>
  </si>
  <si>
    <t>https://ieeexplore.ieee.org/stamp/stamp.jsp?arnumber=8929546</t>
  </si>
  <si>
    <t>IEEE Regions;Conferences;Industries;IEEE Sections;Publishing;IEEE members;Organizations</t>
  </si>
  <si>
    <t>M. Louta; T. Kyriakidis; A. -A. A. Boulogeorgos; K. Banti; I. Karampelia; T. Dimakis; V. Lazaridis; S. Lappos; E. Mpagkavou; I. Gkanatsa</t>
  </si>
  <si>
    <t>AUGEIAS: Intelligent IoT management platform for treated wastewater reuse in precision agriculture</t>
  </si>
  <si>
    <t>2021 6th South-East Europe Design Automation, Computer Engineering, Computer Networks and Social Media Conference (SEEDA-CECNSM)</t>
  </si>
  <si>
    <t>10.1109/SEEDA-CECNSM53056.2021.9566274</t>
  </si>
  <si>
    <t>Department of Electrical and Computer Engineering, Faculty of Engineering, University of Western Macedonia, Kozani, Greece; Department of Electrical and Computer Engineering, Faculty of Engineering, University of Western Macedonia, Kozani, Greece; Department of Electrical and Computer Engineering, Faculty of Engineering, University of Western Macedonia, Kozani, Greece; Department of Electrical and Computer Engineering, Faculty of Engineering, University of Western Macedonia, Kozani, Greece; Department of Electrical and Computer Engineering, Faculty of Engineering, University of Western Macedonia, Kozani, Greece; Department of Electrical and Computer Engineering, Faculty of Engineering, University of Western Macedonia, Kozani, Greece; Department of Electrical and Computer Engineering, Faculty of Engineering, University of Western Macedonia, Kozani, Greece; Municipal Enterprise for Water Supply and Sewerage in Kozani, Kozani, Greece; Municipal Enterprise for Water Supply and Sewerage in Kozani, Kozani, Greece; Municipal Enterprise for Water Supply and Sewerage in Kozani, Kozani, Greece</t>
  </si>
  <si>
    <t>This work presents the project AUGEIAS, an intelligent internet of things (IoT) management platform for reuse of treated wastewater in precision agriculture. The AUGEIAS project aims to create an intelligent ecosystem, which enables and optimizes the safe and efficient re-use of wastewater from the output of the wastewater treatment plant (WWTP) for irrigation purposes. Advanced IoT systems, combined with low power wide area networks, cloud computing, data analytics and artificial intelligence technologies are utilized to improve the involved decision-making processes for farmers and utility companies. In this paper, we discuss AUGEIAS, objectives, operational requirements, architecture and the experimental testbed developed for initial project testing and to identify potential issues and improvements.</t>
  </si>
  <si>
    <t>978-1-6654-2742-5</t>
  </si>
  <si>
    <t xml:space="preserve">European Regional Development Fund(grant numbers:T2EDK-04211); </t>
  </si>
  <si>
    <t>https://ieeexplore.ieee.org/stamp/stamp.jsp?arnumber=9566274</t>
  </si>
  <si>
    <t>IoT;LPWAN;LoRaWAN;treated wastewater;precision agriculture</t>
  </si>
  <si>
    <t>Wide area networks;Irrigation;Ecosystems;Decision making;Crops;Weather forecasting;Companies</t>
  </si>
  <si>
    <t>J. Lin; P. Wang; J. Zhang; S. Guo; H. Sun</t>
  </si>
  <si>
    <t>Target Architecture of Distribution Network Monitoring System towards Energy Revolution and Digitization</t>
  </si>
  <si>
    <t>10.1109/iSPEC50848.2020.9351196</t>
  </si>
  <si>
    <t>China Electric Power Research Institute, Beijing, China; China Electric Power Research Institute, Beijing, China; China Electric Power Research Institute, Beijing, China; China Electric Power Research Institute, Beijing, China; China Electric Power Research Institute, Beijing, China</t>
  </si>
  <si>
    <t>In order to adapt to the energy revolution and digitization, a new design for the distribution network monitoring system is proposed to achieve data lifecycle management. Firstly, the current practices and limitations of existing monitoring systems are presented. According to the development trend, the reconstruction strategy is presented involving three feedback local-computing loops and data interaction between distributed intelligent agents and cloud-based master station. To support the huge scale of sensed data integration and transmission, the reference framework of data interaction is established, and the main monitoring information is presented. Then some technical evolution trends towards the new architecture are described in the fields of unified model, new generation of intelligent terminal, network interconnection, edge-cloud computing and security system.</t>
  </si>
  <si>
    <t>https://ieeexplore.ieee.org/stamp/stamp.jsp?arnumber=9351196</t>
  </si>
  <si>
    <t>distribution network monitoring system;data lifecycle management;distributed intelligent agent;edge-cloud computing</t>
  </si>
  <si>
    <t>Distribution networks;Computer architecture;Market research;Electric vehicle charging;Monitoring;Optimization;Load flow</t>
  </si>
  <si>
    <t>S. Dixit; A. Dutta; S. Agrawal; M. A. Olivas; V. Bhatia; C. D. A. Carrillo; P. Jha; M. Jabhera; A. Karna; S. P. Khanganba; C. Kimambo; R. Lara-Cueva; F. Mekuria; A. Mody; N. Wasilwa; B. Kloza; M. Borst</t>
  </si>
  <si>
    <t>INGR Roadmap Connecting the Unconnected Chapter</t>
  </si>
  <si>
    <t>10.1109/FNWF55208.2022.00134</t>
  </si>
  <si>
    <t>Basic Internet Foundation, Norway; University of Oulu, Wireless World Research Forum, Finland; Applied Physics Labs, Johns Hopkins University, USA; C-DoT, India; National University of Engineering, Nicaragua; Indian Institute of Technology, Indore, India; Universidad de las Fuerzas Armadas - ESPE, Ecuador; Indian Institute of Technology, Bombay, India; University of Dodoma, Tanzania; C-DoT, India; Indian Institute of Technology, Indore, India; African Childs Project, Tanzania; Universidad de las Fuerzas Armadas ESPE, Ecuador; Council of Scientific and Industrial Research (CSIR), South Africa; A5 Systems LLC; Communications Authority of Kenya; NA; NA</t>
  </si>
  <si>
    <t>Connecting the Unconnected or under-connected (CTU) is the holy grail of transforming the lives of over 3 billion people around the globe with wireless Internet who are yet to experience its value in multiple ways. If this could be accomplished, its impact on the society would be enormous. This white paper from the IEEE Future Networks CTU Working Group endeavors to highlight the need to consider the CTU requirements in 5G and B5G networks in the standardization process, in the development of the use cases, and affordable solutions. In its Vision 2030 SDG (Sustainability Development Goals) the United Nations has proclaimed access to Internet as basic human right and has said that these goals cannot be achieved without affordable access to Internet by everyone on this planet. While there are numerous projects and initiatives ongoing around the world, these are fragmented and lack the critical mass and coordination to be able to impact the future standards, product development, and cost of deployment otherwise achievable by volume. Although difficult to pin down, to define a threshold for basic connectivity for all is important. But it would need to be flexible to adapt to changing times. It is the goal of the CTU group to create an open platform where the experts can bring their ideas, solutions, and potentially collaborate to create large global projects and influence the network service providers, manufacturers and their governments. This white paper defines the CTU working group's charter, scope, and provides a brief overview of the relevant stakeholders and linkages between them. Then the paper goes into the current status of the CTU landscape and where we want to reach to accomplish the vision of connecting everybody, especially those living in rural and remote areas. We present the various standards and industry fora and how they are interlinked. While technologies are available today, they need to be customized and optimized at the systems level to bring down the cost of the network in order to be affordable. In addition, the content needs to be relevant and in local languages to be useful, not to mention the need to offer innovative human computer interaction (HCI) solutions (that are not text based) so that people who are not literate or are digitally disadvantaged can easily use the devices and consume services. Another important area is that of flexible spectrum allocation regime at the lower range of the spectrum to increase reach and coverage. Use of renewable energy sources will enable deployment in remote areas where there is lack of power grid, or it is intermittent. Thus, this white paper identifies a number of technology gaps to be filled in by 5G and B5G networks, such that access is affordable and content and services are actually consumed by the targeted set of users. Technology aside, the need to develop innovative business models is a must to be commercially sustainable in the long-term. A number of such models, especially designed for the rural population, are proposed, such as Village Level Entrepreneur (VLE) Freemium (Free + Premium), revenue sharing among the chain of service providers, subsidized billing by USOF (Universal Service Obligation Funds). Finally, the white paper presents a 10-year roadmap starting from the current state to 3 years, 5 years and 10 years.</t>
  </si>
  <si>
    <t>https://ieeexplore.ieee.org/stamp/stamp.jsp?arnumber=10056704</t>
  </si>
  <si>
    <t>Digital Divide;5G;B5G;CTU;SDG;IEEE Future Networks;Rural and remote connectivity;United Nations;Societal impact of ICT;Network slicing;Spectrum management;content management;HCI;IoT;TV white space;Satellite;Community networks;VLE;InfoInternet;Internet Lite;Business models</t>
  </si>
  <si>
    <t>Human computer interaction;Wireless communication;Costs;5G mobile communication;Sociology;Internet;Stakeholders</t>
  </si>
  <si>
    <t>N. Mehran; R. Prodan</t>
  </si>
  <si>
    <t>CNN-assisted Road Sign Inspection on the Computing Continuum</t>
  </si>
  <si>
    <t>10.1109/UCC56403.2022.00038</t>
  </si>
  <si>
    <t>Institute of Information Technology, Alpen-Adria-Universit√§t Klagenfurt, Austria; Institute of Information Technology, Alpen-Adria-Universit√§t Klagenfurt, Austria</t>
  </si>
  <si>
    <t>Processing rapidly growing data encompasses complex workflows that utilize the Cloud for high-performance computing and the Fog and Edge devices for low-latency communication. For example, autonomous driving applications require inspection, recognition, and classification of road signs for safety inspection assessments, especially on crowded roads. Such applications are among the famous research and industrial exploration topics in computer vision and machine learning. In this work, we design a road sign inspection workflow consisting of 1) encoding and framing tasks of video streams captured by camera sensors embedded in the vehicles, and 2) convolutional neural network (CNN) training and inference models for accurate visual object recognition. We explore a matching theoretic algorithm named CODA [1] to place the workflow on the computing continuum, targeting the workflow processing time, data transfer intensity, and energy consumption as objectives. Evaluation results on a real computing continuum testbed federated among four Cloud, Fog, and Edge providers reveal that CODA achieves 50%-60% lower completion time, 33%-59% lower CO2 emissions, and 19%-45% lower data transfer intensity compared to two stateof-the-art methods.</t>
  </si>
  <si>
    <t>https://ieeexplore.ieee.org/stamp/stamp.jsp?arnumber=10061832</t>
  </si>
  <si>
    <t>Computing continuum;machine learning;Cloud;Fog;Edge;placement.</t>
  </si>
  <si>
    <t>Training;Cloud computing;Visualization;Roads;Inspection;Streaming media;Data transfer</t>
  </si>
  <si>
    <t>S. Werner; S. Schneider; H. Karl</t>
  </si>
  <si>
    <t>Use What You Know: Network and Service Coordination Beyond Certainty</t>
  </si>
  <si>
    <t>10.1109/NOMS54207.2022.9789713</t>
  </si>
  <si>
    <t>Paderborn University, Germany; Paderborn University, Germany; Hasso Plattner Institute, University of Potsdam, Germany</t>
  </si>
  <si>
    <t>Modern services often comprise several components, such as chained virtual network functions, microservices, or machine learning functions. Providing such services requires to decide how often to instantiate each component, where to place these instances in the network, how to chain them and route traffic through them. To overcome limitations of conventional, hardwired heuristics, deep reinforcement learning (DRL) approaches for self-learning network and service management have emerged recently. These model-free DRL approaches are more flexible but typically learn tabula rasa, i.e., disregard existing understanding of networks, services, and their coordination.Instead, we propose FutureCoord, a novel model-based AI approach that leverages existing understanding of networks and services for more efficient and effective coordination without time-intensive training. FutureCoord combines Monte Carlo Tree Search with a stochastic traffic model. This allows FutureCoord to estimate the impact of future incoming traffic and effectively optimize long-term effects, taking fluctuating demand and Quality of Service (QoS) requirements into account. Our extensive evaluation based on real-world network topologies, services, and traffic traces indicates that FutureCoord clearly outperforms state-of-the-art model-free and model-based approaches with up to 51% higher flow success ratios.</t>
  </si>
  <si>
    <t>https://ieeexplore.ieee.org/stamp/stamp.jsp?arnumber=9789713</t>
  </si>
  <si>
    <t>network management;service management;AI;Monte Carlo Tree Search;model-based;QoS</t>
  </si>
  <si>
    <t>Training;Monte Carlo methods;Network topology;Stochastic processes;Microservice architectures;Quality of service;Reinforcement learning</t>
  </si>
  <si>
    <t>Programme</t>
  </si>
  <si>
    <t>2021 IEEE International Conference on Signal Processing, Communications and Computing (ICSPCC)</t>
  </si>
  <si>
    <t>10.1109/ICSPCC52875.2021.9564992</t>
  </si>
  <si>
    <t>Presents abstracts for the articles comprising the conference proceedings.</t>
  </si>
  <si>
    <t>978-1-6654-2918-4</t>
  </si>
  <si>
    <t>https://ieeexplore.ieee.org/stamp/stamp.jsp?arnumber=9564992</t>
  </si>
  <si>
    <t>K. Shi; Y. Zhou; C. Zhou; J. Xu; Y. Hao</t>
  </si>
  <si>
    <t>High Reliability Adaptive Transmission Optimization Scheme for Resident Load Interaction</t>
  </si>
  <si>
    <t>2022 5th International Conference on Energy, Electrical and Power Engineering (CEEPE)</t>
  </si>
  <si>
    <t>10.1109/CEEPE55110.2022.9783315</t>
  </si>
  <si>
    <t>China Electric Power Research Institute Co., Ltd, Beijing, China; China Electric Power Research Institute Co., Ltd, Beijing, China; State Grid Jiangsu Electric Power Co., Ltd. Marketing Service Center; State Grid Electric Power Research Institute Co., Ltd; China Electric Power Research Institute Co., Ltd, Beijing, China</t>
  </si>
  <si>
    <t>This paper designs an adaptive transmission scheme for the interaction between residential load and power grid. The program is mainly designed for the characteristics and requirements of event service and report service in the interactive process. For event services with high communication quality requirements, we design a space-time coding algorithm to improve the transmission quality of event services. For the massive data reporting service with large resident load, we design a batch processing method for the report service messages, which can effectively reduce information redundancy.</t>
  </si>
  <si>
    <t>978-1-6654-7905-9</t>
  </si>
  <si>
    <t>https://ieeexplore.ieee.org/stamp/stamp.jsp?arnumber=9783315</t>
  </si>
  <si>
    <t>resident load;adaptive transmission;demand response</t>
  </si>
  <si>
    <t>Concurrent computing;Power engineering;Redundancy;Batch production systems;Reliability engineering;Power grids;Encoding</t>
  </si>
  <si>
    <t>V. -A. Vladuta; A. -M. Ghimes; V. V. Patriciu</t>
  </si>
  <si>
    <t>A Proposed Solution for Analyzing the Behavior of a WSN using a Secured Neural Network Approach</t>
  </si>
  <si>
    <t>2018 International Symposium on Electronics and Telecommunications (ISETC)</t>
  </si>
  <si>
    <t>2475-7861</t>
  </si>
  <si>
    <t>10.1109/ISETC.2018.8583859</t>
  </si>
  <si>
    <t>Computer Science and Information Technology, Military Technical Academy, Bucharest, Romania; Computer Science and Information Technology, Military Technical Academy, Bucharest, Romania; Computer Science and Information Technology, Military Technical Academy, Bucharest, Romania</t>
  </si>
  <si>
    <t>Data collection is one of the main processes in Wireless Sensor Networks. Due to the limited capabilities of sensors and to the increased rate of attacks on these systems, researchers started to propose architectures and deploy solutions that use encryption for increasing the security level. Moreover, neural networks can play a critical role in detecting abnormal activity in the network with the end goal of minimizing the effect of attacks and fixing the issues that are causing the unwanted behavior. This paper proposes an architecture for a complete and complex secured analytical tool for studying the behavior of wireless sensors with the aid of a neural network. Security is employed through the use of a homomorphic encryption scheme that is deployed at a central point where data is aggregated from all sensors in the network through a data collection mechanism that may differ depending on the target environment. More details on the proposition will be revealed in Section III.</t>
  </si>
  <si>
    <t>978-1-5386-5925-0</t>
  </si>
  <si>
    <t>https://ieeexplore.ieee.org/stamp/stamp.jsp?arnumber=8583859</t>
  </si>
  <si>
    <t>analytics;big data;cloud computing;cryptonets;cybersecurity;data collection;data visualization;homomorphic encryption;neural network;security;wireless sensor network</t>
  </si>
  <si>
    <t>Neural networks;Sensors;Encryption;Wireless sensor networks;Tools;Data collection</t>
  </si>
  <si>
    <t>F. Liu; F. Qiang; C. Tian; K. Shi; L. Wang; D. Hu</t>
  </si>
  <si>
    <t>Research on Hierarchical Autonomous Operation Monitoring of Energy Stations Based on Cloud Technology</t>
  </si>
  <si>
    <t>2020 IEEE 3rd Student Conference on Electrical Machines and Systems (SCEMS)</t>
  </si>
  <si>
    <t>10.1109/SCEMS48876.2020.9352396</t>
  </si>
  <si>
    <t>Guoluo Power Supply Company, State Grid Qinghai Electric Power Corporation, Qinghai, China; Guoluo Power Supply Company, State Grid Qinghai Electric Power Corporation, Qinghai, China; Guoluo Power Supply Company, State Grid Qinghai Electric Power Corporation, Qinghai, China; Guoluo Power Supply Company, State Grid Qinghai Electric Power Corporation, Qinghai, China; Guoluo Power Supply Company, State Grid Qinghai Electric Power Corporation, Qinghai, China; Qinghai Green Energy Data Co., Ltd, Qinghai, China</t>
  </si>
  <si>
    <t>To solve the problem of remote monitoring and hierarchical autonomy of distributed energy stations, the hierarchical autonomous operation monitoring platform of energy stations is studied based on cloud technology. The flow computing framework and wide area message queue technology are introduced to realize distributed data collection and distributed data processing. The platform defines the operators of basic operation of flow data on wide area message queue, and supports the modeling, discovery, programming, providing and hosting of flow computing services; the distributed data acquisition and processing includes channel parser, data aggregation group, channel supervision service, repeater, message service, data calculation, alarm processing and control Each component independently constitutes a docker operator in the flow computing framework to complete the data processing of the configuration or monitoring model specified segments; through the research of data acquisition and processing and equipment operation data analysis and early warning technology, it provides customers with a reasonable, clean and reliable energy supply mode of distributed autonomous operation for power and hot / cold energy required by production. In the simulation environment of open stack and docker, the feasibility of integrated information collection and monitoring and hierarchical monitoring of distributed energy station is verified.</t>
  </si>
  <si>
    <t>978-1-7281-5622-4</t>
  </si>
  <si>
    <t>https://ieeexplore.ieee.org/stamp/stamp.jsp?arnumber=9352396</t>
  </si>
  <si>
    <t>integrated energy;cloud computing;flow calculation;task scheduling;message queue</t>
  </si>
  <si>
    <t>Technological innovation;Computational modeling;Data acquisition;Process control;Distributed databases;Data models;Monitoring</t>
  </si>
  <si>
    <t>H. Sun; D. Han; G. Chen; S. Wang; A. Wang; D. Zhang</t>
  </si>
  <si>
    <t>Power Monitoring System Based on Industrial Internet of Things</t>
  </si>
  <si>
    <t>10.1109/ICPES53652.2021.9683826</t>
  </si>
  <si>
    <t>School of Electronic Information Engineering, Shandong University of Science and Technology, Qingdao, China; School of Electronic Information Engineering, Shandong University of Science and Technology, Qingdao, China; School of Electronic Information Engineering, Shandong University of Science and Technology, Qingdao, China; School of Electronic Information Engineering, Shandong University of Science and Technology, Qingdao, China; School of Electronic Information Engineering, Shandong University of Science and Technology, Qingdao, China; School of Electronic Information Engineering, Shandong University of Science and Technology, Qingdao, China</t>
  </si>
  <si>
    <t>The paper proposed a power monitoring system based on RN7302 chip. The system can support a variety of communication modes and be widely used in the industrial IoT (Internet of things). In order to improve the robustness of the system to meet requirements of different industrial IoT, edge gateway and node red are combined in the system. Moreover, the physical world and the digital world are connected through network connection, protocol conversion and other functions. The system realizes the functions of lightweight connection management, real-time data analysis and application management. Finally, combining Lora communication technology, edge computing and industrial Internet of things technology, the whole system is designed. The experimental results show that the proposed power monitoring system is feasible and potential.</t>
  </si>
  <si>
    <t xml:space="preserve">Shandong Provincial Natural Science Foundation(grant numbers:ZR2020MF014); </t>
  </si>
  <si>
    <t>https://ieeexplore.ieee.org/stamp/stamp.jsp?arnumber=9683826</t>
  </si>
  <si>
    <t>RN7302 chip;industrial IoT;edge;node-red;LoRa</t>
  </si>
  <si>
    <t>Industries;Protocols;Data analysis;Programming;Real-time systems;Robustness;Monitoring</t>
  </si>
  <si>
    <t>IET Conferences</t>
  </si>
  <si>
    <t>E. P. Onakpojeruo; F. Al-Turjman; M. T. Mustapha; C. Altrjman; D. U. Ozsahin</t>
  </si>
  <si>
    <t>Emerging AI and cloud computing paradigms applied to healthcare</t>
  </si>
  <si>
    <t>The International Conference on Forthcoming Networks and Sustainability (FoNeS 2022)</t>
  </si>
  <si>
    <t>10.1049/icp.2022.2557</t>
  </si>
  <si>
    <t>IET</t>
  </si>
  <si>
    <t>Operational Research Centre in Healthcare, Near East University, Nicosia, TRNC; Artificial Intelligence Engineering Department, Research Centre for AI and IoT, AI and Robotics Institute, Near East University, Nicosia, TRNC; Operational Research Centre in Healthcare, Near East University, Nicosia, TRNC; Artificial Intelligence Engineering Department, Research Centre for AI and IoT, AI and Robotics Institute, Near East University, Nicosia, TRNC; College of Health Science, Medical Diagnostic Imaging Department, University of Sharjah, Sharjah, United Arab Emirates</t>
  </si>
  <si>
    <t>Artificial intelligence is concerned with mimicking the human mind by leveraging computers and machines to solve real-life problems and ease decision-making processes. At the same time, Cloud Computing is involved with storing and transforming data into usable services. Cloud computing and Artificial intelligence aim to solve real -life problems and make work/decision-making processes easier and more reliable. This study summarizes the architecture, prominent roles, and new trends of Artificial Intelligence and cloud computing by comprehensively providing an overview of Artificial Intelligence and cloud computing paradigms. This study also highlights the current medical applications of Artificial Intelligence and cloud computing concepts. It discusses some challenges that impede th e overall performance of this technology and the promising opportunities.</t>
  </si>
  <si>
    <t>978-1-83953-817-9</t>
  </si>
  <si>
    <t>https://ieeexplore.ieee.org/stamp/stamp.jsp?arnumber=10042381</t>
  </si>
  <si>
    <t>B. Yang; F. Zhang; S. U. Khan</t>
  </si>
  <si>
    <t>Quantitative Evaluation of Cloud Elasticity based on Fuzzy Analytic Hierarchy Process</t>
  </si>
  <si>
    <t>2022 IEEE Cloud Summit</t>
  </si>
  <si>
    <t>10.1109/CloudSummit54781.2022.00022</t>
  </si>
  <si>
    <t>Nanjing Tech University, Nanjing, China; Zhejiang University, Zhejiang, China; Mississippi State University Mississippi, State, MS</t>
  </si>
  <si>
    <t>Elasticity is one of the most important cloud computing characteristics, which enables deployed applications to dynamically adapt to workload-changing demands by acquiring and releasing shared computing resources at runtime. However, the existing cloud elasticity metrics are either oversimplified or hard to use, thereby lacking a comprehensive evaluation mech-anism to properly compare the elastic feature among different cloud providers. To address this gap, we propose an assessment method for cloud elasticity based on fuzzy hierarchical analysis. We use a fuzzy hierarchical model to quantitatively assess the qualitative metrics with a unified standard model. We compare three public cloud providers (Ali Cloud, HUAWEI Cloud, Tencent Cloud) as case studies and measure their cloud elasticity based on the proposed model on a cluster. To verify the effectiveness of our method, we also measure three cloud platforms using auto scaling performance metrics proposed by SPEC Cloud Group. The results show that our proposed elasticity quantification method is feasible.</t>
  </si>
  <si>
    <t>978-1-6654-5113-0</t>
  </si>
  <si>
    <t xml:space="preserve">National Science Foundation(grant numbers:2135439); </t>
  </si>
  <si>
    <t>https://ieeexplore.ieee.org/stamp/stamp.jsp?arnumber=9973078</t>
  </si>
  <si>
    <t>Elasticity;Cloud;Resource;Quantify;Fuzzy analytic hierarchy process(FAHP)</t>
  </si>
  <si>
    <t>Measurement;Cloud computing;Runtime;Analytic hierarchy process;Elasticity;Standards</t>
  </si>
  <si>
    <t>Z. Duan; W. Fu; S. Pang; Y. Li; C. Wang; Y. Chi</t>
  </si>
  <si>
    <t>Study on Key Technologies of Integrated Energy Services in Regional Multi-Parks</t>
  </si>
  <si>
    <t>10.1109/CEEPE55110.2022.9783246</t>
  </si>
  <si>
    <t>Production and Scientific Information Department, Zhejiang Huaneng Energy Development Co., Ltd, Hangzhou, China; Production and Scientific Information Department, Zhejiang Huaneng Energy Development Co., Ltd, Hangzhou, China; Production and Scientific Information Department, Zhejiang Huaneng Energy Development Co., Ltd, Hangzhou, China; Artificial Intelligence Department, China Electric Power Research Institute, Beijing, China; Production and Scientific Information Department, Zhejiang Huaneng Energy Development Co., Ltd, Hangzhou, China; Forward-Looking Technology Department, Institute of Technology and International Standard Co., Ltd, Beijing, China</t>
  </si>
  <si>
    <t>Under the background of the development of the new era of energy reform, vigorously developing the energy comprehensive service industry is the key direction for China to build a modern energy economic system and promote the high-quality development of energy. The transformation and development of energy enterprises from production-oriented to service-oriented has become a global trend. Integrated energy service is an emerging industrial field in recent years. The purpose is to realize the access and efficient application of distributed power generation, and solve a large number of different types of distributed power grid access and management problems. The development and extension of integrated energy services can fully promote the large-scale integration of distributed power generation and renewable energy, and realize multi load management and highly reliable energy supply. All kinds of energy enterprises started late in exploring and developing comprehensive energy service business and extending services to the whole industrial chain of the energy industry, but their business transformation and development momentum is strong. Comprehensive energy services belong to the category of industrial services. They not only have a shallow demand for facilitating transactions, but also need to be deeply empowered in combination with the characteristics of the industry. Its unique market characteristics and demand characteristics are an important driving force for its platform development. In recent years, driven by the blue ocean market of integrated energy services, the integrated energy service platform, as the core product of cross-border integration of energy and the Internet, has made some progress.</t>
  </si>
  <si>
    <t>https://ieeexplore.ieee.org/stamp/stamp.jsp?arnumber=9783246</t>
  </si>
  <si>
    <t>integrated energy services;regional multi-parks;smart management and value-added service platform</t>
  </si>
  <si>
    <t>Industries;Technological innovation;Data analysis;Power quality;Production;Maintenance engineering;Internet</t>
  </si>
  <si>
    <t>M. Kampourakis; I. E. Livieris; G. Fiotakis; S. Fourakis; N. Kyriakoulis; S. Kokkorikos; A. Chondronasios</t>
  </si>
  <si>
    <t>A semi-supervised approach for electricity theft monitoring: A use case in Cyprus</t>
  </si>
  <si>
    <t>2022 International Conference on Electrical, Computer and Energy Technologies (ICECET)</t>
  </si>
  <si>
    <t>10.1109/ICECET55527.2022.9873055</t>
  </si>
  <si>
    <t>Core Innovation, Athens, Greece; Core Innovation, Athens, Greece; Core Innovation, Athens, Greece; Core Innovation, Athens, Greece; Core Innovation, Athens, Greece; Core Innovation, Athens, Greece; Core Innovation, Athens, Greece</t>
  </si>
  <si>
    <t>Electricity theft constitutes one of the main reasons of non-technical electricity losses, which is able to cause significant economic losses and harmfulness to power grid suppliers. During the last decade, the data analysis on smart meter and sensor data has revolutionized electricity theft monitoring. In this work, we propose a new complete framework for the online detection of electricity theft in Cyprus, which is based on the predictions of a deep learning model. A significant advantage of the proposed model is that it does not require any prior knowledge of any electricity theft consumer during the training phase; to mitigate the lack of labels in our data. The reported numerical experiments on a labeled dataset from another demo site, demonstrate empirical evidence about the robustness of the developed model. Finally, we provide a detailed presentation of the model‚Äôs integration and deployment through state-of-the-art model serving tools.</t>
  </si>
  <si>
    <t>978-1-6654-7087-2</t>
  </si>
  <si>
    <t>https://ieeexplore.ieee.org/stamp/stamp.jsp?arnumber=9873055</t>
  </si>
  <si>
    <t>Electricity theft;deep learning;autoencoder;decision support</t>
  </si>
  <si>
    <t>Training;Scalability;Predictive models;Data models;Robustness;Smart meters;Power grids</t>
  </si>
  <si>
    <t>K. Vasilopoulos; V. Theodorou; T. Bozios; M. -E. Xezonaki; D. Laskaratos</t>
  </si>
  <si>
    <t>Management, orchestration and workflow automation of Edge Computing services: The TANDEM approach</t>
  </si>
  <si>
    <t>10.1109/EuCNC/6GSummit54941.2022.9815637</t>
  </si>
  <si>
    <t>Intracom SA Telecom Solutions; Intracom SA Telecom Solutions; Intracom SA Telecom Solutions; Intracom SA Telecom Solutions; Intracom SA Telecom Solutions</t>
  </si>
  <si>
    <t>The distributed computing paradigm that brings information processing closer to end users and data sources, i.e., Edge Computing, is growing in popularity and adoption in many different domains, such as Cloud Computing, Telecommunications, Internet of Things (IoT) and (distributed) Artificial Intelligence (AI). Despite several efforts towards standardizing Edge Computing services and their ecosystem-driven interactions, especially from the telecom world and open-source communities, automation in deployment, operation and interoperability of Edge Computing services is still in an immature state, making practical Edge/IoT scenarios that involve multiple application services and technologies, complex and cumbersome. This paper presents our approach of an integrated platform aimed to simplify the establishment, management, control and monitoring of edge computing services with a particular focus on the IoT domain. Central in this effort are the ability to (I) make use of existing functions and modules in new edge computing services and (II) to seamlessly integrate service function chain components with remote backend services and with locally available Edge/IoT devices for on-device processing. Characteristic examples of desired functions and local processing tasks, include data stream analytics, event-driven workflows and Machine Learning tasks with an emphasis on video stream analysis for Object Detection and/or tracking, for which we provide a deployment architecture of our approach.</t>
  </si>
  <si>
    <t>https://ieeexplore.ieee.org/stamp/stamp.jsp?arnumber=9815637</t>
  </si>
  <si>
    <t>Edge Computing;Function as a Service (Function-as-a-Service (FaaS));Service Chain Orchestrator;Artificial Intelligence (AI);Internet of Things (IoT)</t>
  </si>
  <si>
    <t>Image edge detection;Production;Object detection;Computer architecture;Telecommunications;Internet of Things;Time factors</t>
  </si>
  <si>
    <t>J. Zhang; J. Sun; W. Chen; Y. Yang; R. Wen; L. Dong</t>
  </si>
  <si>
    <t>Research and Realization of Management System of Generator Set Frequency Regulation Capability Based on Parallel Control Platform</t>
  </si>
  <si>
    <t>2021 IEEE 5th Conference on Energy Internet and Energy System Integration (EI2)</t>
  </si>
  <si>
    <t>10.1109/EI252483.2021.9713041</t>
  </si>
  <si>
    <t>State Grid Zhejiang Electric Power, Research Institute, Hangzhou, China; Hangzhou E. Energy Electric Power Technology Co., Ltd., Hangzhou, China; Hangzhou E. Energy Electric Power Technology Co., Ltd., Hangzhou, China; Zhejiang Supcon Technology Co., Ltd., Hangzhou, China; Zhejiang Supcon Technology Co., Ltd., Hangzhou, China; Zhejiang Datang Wushashan Power Generation Co., Ltd., Ningbo, China</t>
  </si>
  <si>
    <t>Aiming at the problem that current power plant information management systems cannot accurately reflect and evaluate the primary frequency regulation (PFR) and auto generation control (AGC) capability of generator set, under the technical requirements of strengthening the technical management of grid-power source coordination and improving the monitoring level of frequency regulation performance of generator set, the research and development of generator set frequency regulation capability management system based on parallel control platform is carried out. Based on the parallel control platform of Zhejiang Supcon, the system collects the dynamic data of power plant information management system online. Starting from the standardization and normalization of data, it constructs the data model of PFR and AGC, calculates and analyzes the frequency regulation performance of generator set, and realizes the management functions of analysis, query and display of frequency regulation performance of generator set. It provides intelligent decision support for unit frequency regulation performance management and optimization in power generation enterprises.</t>
  </si>
  <si>
    <t>978-1-6654-3425-6</t>
  </si>
  <si>
    <t>https://ieeexplore.ieee.org/stamp/stamp.jsp?arnumber=9713041</t>
  </si>
  <si>
    <t>parallel control;frequency regulation management;performance analysis;decision support</t>
  </si>
  <si>
    <t>Technical requirements;Technical management;Automatic generation control;Data structures;Generators;Data models;Performance analysis</t>
  </si>
  <si>
    <t>O. √áiftci; E. N. Pekta≈ü; Z. E. Baiat; T. Serif</t>
  </si>
  <si>
    <t>Location Proving with a Single Witness: A hybrid Prover-Witness and TOTP-based Solution</t>
  </si>
  <si>
    <t>2022 Innovations in Intelligent Systems and Applications Conference (ASYU)</t>
  </si>
  <si>
    <t>2770-7946</t>
  </si>
  <si>
    <t>10.1109/ASYU56188.2022.9925489</t>
  </si>
  <si>
    <t>Department of Computer Engineering, Yeditepe University, Istanbul, Turkey; Department of Computer Engineering, Yeditepe University, Istanbul, Turkey; Department of Computer Engineering, Yeditepe University, Istanbul, Turkey; Department of Computer Engineering, Yeditepe University, Istanbul, Turkey</t>
  </si>
  <si>
    <t>With the increasing number of mobile and Internet of Things (IoT) devices, Location-Based Services (LBS) became an important part of our life. These applications provide value added services to users within a specific area or vicinity, which as a result may motivate users to declare counterfeit locations and benefit from them. Accordingly, this study proposes a beacon based Prover-Witness (P-W) technique to create a hardened solution for location proving with increased privacy and security in mind. Hence, the proposed solution incorporates P-W technique with time-based one time password (TOTP) mechanism to perform with only one witness in the environment. A prototype of the proposed solution is implemented and tested in a real-world environment by using one prover and one witness. The findings of the evaluation showed that the prototype managed to improve the security and privacy of the location proving process without increasing the required minimum number of witnesses.</t>
  </si>
  <si>
    <t>978-1-6654-8894-5</t>
  </si>
  <si>
    <t>https://ieeexplore.ieee.org/stamp/stamp.jsp?arnumber=9925489</t>
  </si>
  <si>
    <t>Location proving;Beacons;Time Based One Time Password;Witness-prover</t>
  </si>
  <si>
    <t>Privacy;Technological innovation;Prototypes;Passwords;Security;Internet of Things;Intelligent systems</t>
  </si>
  <si>
    <t>F. Xia; H. Song; L. -C. Yan; Y. Li; L. -J. Wang</t>
  </si>
  <si>
    <t>A Survey on Failure Prediction in Large-scale Computing Systems</t>
  </si>
  <si>
    <t>2021 IEEE 23rd Int Conf on High Performance Computing &amp; Communications; 7th Int Conf on Data Science &amp; Systems; 19th Int Conf on Smart City; 7th Int Conf on Dependability in Sensor, Cloud &amp; Big Data Systems &amp; Application (HPCC/DSS/SmartCity/DependSys)</t>
  </si>
  <si>
    <t>10.1109/HPCC-DSS-SmartCity-DependSys53884.2021.00303</t>
  </si>
  <si>
    <t>State Grid Jiangsu Electric Power Co. Ltd., Information &amp; Telecommunication Branch, Nanjing, China; State Grid Jiangsu Electric Power Co. Ltd., Information &amp; Telecommunication Branch, Nanjing, China; State Grid Information &amp; Telecommunication Branch, Beijing, China; State Grid Information &amp; Telecommunication Branch, Beijing, China; State Grid Electric Power Research Institute, Nanjing, China</t>
  </si>
  <si>
    <t>With the development of many data-intensive applications, large-scale systems have been widely used to solve advanced computation problems. As the increasing growth of complexity and scale, these systems are more likely to confront failure. Since remedial measures for failure take huge cost and effort at today's large-scale systems, fault tolerance which aims to decrease the impacts of fault on systems has become a necessity instead of an option. As one of the key techniques of fault tolerance, failure prediction has made itself an increasing important issue to improve the resource efficiency and the availability of systems. Over the past few years, a multitude of innovative failure prediction approaches has emerged such as mathematical and statistical modeling, machine learning techniques and so forth. Unfortunately, they are currently so poorly classified that it is difficult to figure out the wide spectrum of methods concerning with this area. To this end, we provide an extensive and comprehensive survey of existing research work in the area of failure prediction via exploring and analyzing over 20 various approaches. Also, we develop our own taxonomy assisting in classifying methods, which makes it easier to understand and compare the pros and cons of these methods in respective category.</t>
  </si>
  <si>
    <t>978-1-6654-9457-1</t>
  </si>
  <si>
    <t xml:space="preserve">Science and Technology Project of State Grid Corporation of China(grant numbers:5700-202018194A-0-0-00); </t>
  </si>
  <si>
    <t>https://ieeexplore.ieee.org/stamp/stamp.jsp?arnumber=9781180</t>
  </si>
  <si>
    <t>failure prediction;large-scale systems;fault tolerance;fault diagnosis</t>
  </si>
  <si>
    <t>Fault tolerance;Correlation;Fault tolerant systems;Taxonomy;Neural networks;Hidden Markov models;Probability</t>
  </si>
  <si>
    <t>J. Wang; L. Chen; Y. Ma; J. Jiang; H. Liu; Z. Zhong; X. Jiang</t>
  </si>
  <si>
    <t>3C3C Model of Distribution Internet of Things Based on MQTT</t>
  </si>
  <si>
    <t>2020 10th International Conference on Power and Energy Systems (ICPES)</t>
  </si>
  <si>
    <t>10.1109/ICPES51309.2020.9349739</t>
  </si>
  <si>
    <t>State Grid Zhejiang Electric Power Co., Ltd. Huzhou Power Supply Company, Huzhou, China; State Grid Zhejiang Electric Power Co., Ltd. Huzhou Power Supply Company, Huzhou, China; College of Information &amp; Electronic Engineering Zhejiang Gongshang University, Hangzhou, China; Huzhou Electric Power Design Institute Co., Ltd, Huzhou, China; State Grid Zhejiang Electric Power Co., Ltd. Huzhou Power Supply Company, Huzhou, China; State Grid Zhejiang Electric Power Co., Ltd, Hangzhou, China; College of Information &amp; Electronic Engineering Zhejiang Gongshang University, Hangzhou, China</t>
  </si>
  <si>
    <t>Due to the diversity of distribution network equipment, complex data, limited resources and harsh environment, it is difficult to build a comprehensive perception of high-quality distribution Internet of things. A 3C3C model based on Message Queue Telemetry Transmission (MQTT) protocol is proposed in this paper. The first 3C refers to 3 Circles: sensing circle, transmission circle and application circle. The second 3C refers to three Components: broker, service and bridge. Then, the general model is applied to the distribution network, and the 3C3C domain model of the distribution Internet of things is proposed, and the scheme of applying the model to intelligent substation, electric vehicle charging station and photo voltaic power station is given. Finally, four main functions of charging station application are designed in detail, which reflects the simplicity and practicability of 3C3C model, and demonstrates the guiding role of the model in the construction of "full perception, easy expansion and high elasticity" power distribution IOT.</t>
  </si>
  <si>
    <t>978-1-6654-0494-5</t>
  </si>
  <si>
    <t>https://ieeexplore.ieee.org/stamp/stamp.jsp?arnumber=9349739</t>
  </si>
  <si>
    <t>power distribution Internet of things;MQTT protocol;3C3C model;full perception;high elasticity</t>
  </si>
  <si>
    <t>Substations;Power distribution;Distribution networks;Elasticity;Sensors;Internet of Things;Telemetry</t>
  </si>
  <si>
    <t>Y. Li; Q. Cai; K. Chen; Y. Du; C. Lin; K. Xiang</t>
  </si>
  <si>
    <t>Research on Business Development System of Integrated Energy Service Platform under the Background of Energy Internet</t>
  </si>
  <si>
    <t>10.1109/ICPES51309.2020.9349635</t>
  </si>
  <si>
    <t>Power Economic Research Institute of State, Grid Fujian Electric Power Company, Fuzhou, China; Power Economic Research Institute of State, Grid Fujian Electric Power Company, Fuzhou, China; Power Economic Research Institute of State, Grid Fujian Electric Power Company, Fuzhou, China; Power Economic Research Institute of State, Grid Fujian Electric Power Company, Fuzhou, China; Power Economic Research Institute of State, Grid Fujian Electric Power Company, Fuzhou, China; Power Economic Research Institute of State, Grid Fujian Electric Power Company, Fuzhou, China</t>
  </si>
  <si>
    <t>At the present stage, the business of comprehensive energy service platform is still in the exploratory stage. However, there is a lack of mature business model in terms of business type, mode, scene and business value, which seriously restricts the development of comprehensive energy service industry. Therefore, based on the full analysis of the development status and problems of the existing comprehensive energy service platform, based on the market demand, this paper explores and proposes typical application scenarios and business models of the comprehensive energy service platform for different subjects, so as to promote the innovative development of comprehensive energy service.</t>
  </si>
  <si>
    <t>https://ieeexplore.ieee.org/stamp/stamp.jsp?arnumber=9349635</t>
  </si>
  <si>
    <t>The comprehensive energy;Platform for economic;Business scenario;Business model</t>
  </si>
  <si>
    <t>Industries;Analytical models;Government;Internet;Acceleration;Business</t>
  </si>
  <si>
    <t>J. Pan; H. Qi; R. Zheng</t>
  </si>
  <si>
    <t>Massive Power Grid Operational Status Data Analysis System for 3D Visualization</t>
  </si>
  <si>
    <t>2021 IEEE Asia-Pacific Conference on Image Processing, Electronics and Computers (IPEC)</t>
  </si>
  <si>
    <t>10.1109/IPEC51340.2021.9421216</t>
  </si>
  <si>
    <t>State Grid Ningbo Electric Power Supply Company, Ningbo, China; State Grid Ningbo Electric Power Supply Company, Ningbo, China; State Grid Ningbo Electric Power Supply Company, Ningbo, China</t>
  </si>
  <si>
    <t>Due to the high complexity and information redundancy of power grid operation data, the accuracy of power grid data analysis is poor. In order to improve the accuracy and efficiency of power grid data analysis, this paper proposes a three-dimensional visualization analysis system of power grid operation state data. Through the combination of 3D visualization technology, the configuration structure of the system is optimized. Improve the system software function, improve the system transmission algorithm, realize the accurate analysis of massive data. To ensure the fast, accurate and effective evaluation of power supply performance of each substation. Finally, the experimental results show that the developed 3D visualization analysis system of large-scale power grid operation state data has high application value and fully meets the research requirements.</t>
  </si>
  <si>
    <t>978-1-7281-9018-1</t>
  </si>
  <si>
    <t>https://ieeexplore.ieee.org/stamp/stamp.jsp?arnumber=9421216</t>
  </si>
  <si>
    <t>3D visualization;Power grid status;Data analysis</t>
  </si>
  <si>
    <t>Data analysis;Three-dimensional displays;Substations;Software algorithms;Redundancy;Data visualization;Power grids</t>
  </si>
  <si>
    <t>W. Wei; Z. Xie; L. Duanchao; C. Shuo; X. Jiakai; X. Zhongping</t>
  </si>
  <si>
    <t>Analysis, Application and Research of the Index of Urban Resumption of Work and Production Based on Energy Big Data</t>
  </si>
  <si>
    <t>2020 IEEE 3rd International Conference on Automation, Electronics and Electrical Engineering (AUTEEE)</t>
  </si>
  <si>
    <t>10.1109/AUTEEE50969.2020.9315585</t>
  </si>
  <si>
    <t>State Grid Hefei Power Supply Co., Ltd., Hefei, China; State Grid Hefei Power Supply Co., Ltd., Hefei, China; State Grid Hefei Power Supply Co., Ltd., Hefei, China; State Grid Hefei Power Supply Co., Ltd., Hefei, China; State Grid Anhui Electric Power Co. Ltd., Hefei, China; Beijing Guowang Xintong Accenture Information Technology Co., Ltd., Beijing, China</t>
  </si>
  <si>
    <t>At present, the energy enterprises have realized the improvement of energy management by using their own energy data acquisition, analysis and application system, but there is information island phenomenon among the systems. With the diversification of enterprise energy consumption, the fusion analysis of various energy data becomes more and more important. The analysis only based on power data cannot provide comprehensive and accurate decision-making basis for the government and energy enterprises. In this paper, the energy big data center collects and fuses the data of electricity, water, gas and heat by using the index system analysis model of urban work and production resumption of work and production, analyzing and comparing the overall situation in Hefei with different regions and different industries in previous years, so as to effectively supports the scientific formulation of government policies.</t>
  </si>
  <si>
    <t>978-1-7281-9827-9</t>
  </si>
  <si>
    <t>https://ieeexplore.ieee.org/stamp/stamp.jsp?arnumber=9315585</t>
  </si>
  <si>
    <t>the energy big data;data aggregation and fusion;the index of resumption of work and production;economic analysis</t>
  </si>
  <si>
    <t>Energy consumption;Big Data;Government;Production;Business;Data models;Industries</t>
  </si>
  <si>
    <t>A. Kumar; H. R. Nahata</t>
  </si>
  <si>
    <t>Synthesis of Cloud Technologies and Telco NFV Transformation ‚Äì A Perspective</t>
  </si>
  <si>
    <t>10.1109/5GWF52925.2021.00033</t>
  </si>
  <si>
    <t>Technology Planning Verizon, Hyderabad, TS, India; Technology Planning Verizon, Basking Ridge, NJ, USA</t>
  </si>
  <si>
    <t>Cloud technologies are rapidly evolving, driven primarily by IT applications, and technology advancements in hardware and software stacks. At the same time telco networks are changing at a fast pace. The fulcrum of these changes is a new set of communication-centric use cases, advances in open source and standards, and technology drivers for better transport and compute power. These two evolutions - Cloud Technologies, and Telco Network - need to influence each other, and that is the theme of this paper. In particular, cloud technologies should meet the unique needs of the telco networks, and telco networks should leverage the advances in cloud technologies in shaping its overall direction of enhancements.</t>
  </si>
  <si>
    <t>https://ieeexplore.ieee.org/stamp/stamp.jsp?arnumber=9604925</t>
  </si>
  <si>
    <t>cloud computing;network orchestration;distributed computing;network automation;edge computing</t>
  </si>
  <si>
    <t>5G mobile communication;Software;Hardware;Standards</t>
  </si>
  <si>
    <t>D. H. Harryvan; R. Chamberlane; A. SCionti; G. Urlini; O. Terzo</t>
  </si>
  <si>
    <t>The Potential Influence of Workload Management Across Heterogeneous Server Systems on Datacenter Energy Use and Power Draw</t>
  </si>
  <si>
    <t>2018 IEEE International Telecommunications Energy Conference (INTELEC)</t>
  </si>
  <si>
    <t>0275-0473</t>
  </si>
  <si>
    <t>10.1109/INTLEC.2018.8612307</t>
  </si>
  <si>
    <t>Certios BV, Amsterdam, The Netherlands; Nallatech Molex, Cumbernauld, UK; Istituto Superiore Mario Boella (ISMB), Torino TO, Italy; Advanced Systems Technology, STMicroelectronics, Agrate Brianza (MB), Italy; Advanced Computing and Electromagnetics (ACE), Istituto Superiore Mario Boella (ISMB), Torino TO, Italy</t>
  </si>
  <si>
    <t>Energy efficiency is a key part of the European energy policies and 2020 climate targets. Project OPERA is working to create an energy aware workload manager for heterogeneous systems that will allow microservices to migrate between systems with differing instruction set architectures. The Energy savings potential of such technologies is enormous and is estimated at 47 TWh per year in Europe, 95% of the energy consumed by servers in Europe. The impact of such technologies on datacenter operations is profound. Significant and fast variations in power draw over time are expected, a fact that operators need to consider when retrofitting or designing new facilities.</t>
  </si>
  <si>
    <t>978-1-5386-5370-8</t>
  </si>
  <si>
    <t>https://ieeexplore.ieee.org/stamp/stamp.jsp?arnumber=8612307</t>
  </si>
  <si>
    <t>workload management;heterogeneous server systems;project OPERA;energy savings</t>
  </si>
  <si>
    <t>Energy efficiency;Servers;Europe;Data centers;Electric potential;Energy measurement</t>
  </si>
  <si>
    <t>G. Wang; K. Wang; J. Zhao; J. Liang; J. Ren</t>
  </si>
  <si>
    <t>Cable Intelligent Management and Control and Personnel Emergency Response Measures Based on Internet of Things Computing</t>
  </si>
  <si>
    <t>2022 International Conference on Artificial Intelligence of Things and Crowdsensing (AIoTCs)</t>
  </si>
  <si>
    <t>10.1109/AIoTCs58181.2022.00028</t>
  </si>
  <si>
    <t>Taiyuan Power Supply Company of State Grid Shanxi Electric Power Company, Taiyuan, Shanxi, China; Taiyuan Power Supply Company of State Grid Shanxi Electric Power Company, Taiyuan, Shanxi, China; Taiyuan Power Supply Company of State Grid Shanxi Electric Power Company, Taiyuan, Shanxi, China; Taiyuan Power Supply Company of State Grid Shanxi Electric Power Company, Taiyuan, Shanxi, China; Taiyuan Power Supply Company of State Grid Shanxi Electric Power Company, Taiyuan, Shanxi, China</t>
  </si>
  <si>
    <t>With the rapid development of science and technology, people's life and production have been inseparable from electricity. As one of the main equipment of power transmission, the working state of cable directly affects the reliability of power supply. This paper mainly studies the cable intelligent management and control based on Internet of Things computing and the analysis of personnel emergency response measures. In this paper, a cable information integrated processing system based on microservice framework is designed. According to the requirements of ubiquitous power Internet of Things and the division principle of microservices, the cable information integrated processing system is vertically divided into seven independent microservices, realizing the independent design, independent development and independent deployment of each microservice. In order to solve the problem of different access protocols and data formats of terminal equipment, MQTT protocol is applied to complete the design of a dedicated gateway in the Internet of Things, which realizes the unified management of data in the system.</t>
  </si>
  <si>
    <t>979-8-3503-3410-4</t>
  </si>
  <si>
    <t>https://ieeexplore.ieee.org/stamp/stamp.jsp?arnumber=10102178</t>
  </si>
  <si>
    <t>internet of things;cable management and control;intelligent system;emergency response</t>
  </si>
  <si>
    <t>Microservice architectures;Containers;Emergency services;Control systems;Software;Communication cables;Internet of Things</t>
  </si>
  <si>
    <t>M. Ma; W. Lin; J. Zhang; P. Wang; Y. Zhou; X. Liang</t>
  </si>
  <si>
    <t>Discover the fingerprint of electrical appliance: Online appliance behavior learning and detection in smart homes</t>
  </si>
  <si>
    <t>2017 IEEE SmartWorld, Ubiquitous Intelligence &amp; Computing, Advanced &amp; Trusted Computed, Scalable Computing &amp; Communications, Cloud &amp; Big Data Computing, Internet of People and Smart City Innovation (SmartWorld/SCALCOM/UIC/ATC/CBDCom/IOP/SCI)</t>
  </si>
  <si>
    <t>10.1109/UIC-ATC.2017.8397503</t>
  </si>
  <si>
    <t>School of Electronics engineering and Computer Science, Peking University; School of Software and Microelectronics, Peking University; School of Electronics engineering and Computer Science, Peking University; National Engineering Research Center for Software Engineering, Peking University; IBM Research, China; IBM Research, China</t>
  </si>
  <si>
    <t>Energy efficiency is becoming a challenging issue due to dramatically increasing demands. Sensing disaggregation and identification of individual electrical appliances from consumption measurements is the key to achieve the energy awareness and efficiency in smart buildings. Less intelligent approaches do not sufficiently take into account a variety of heterogeneous information sources and context knowledge to establish a continuous learning and optimizing ability. In this paper, we propose a lightweight smart home appliance behavior learning and detection system, and elaborate its data mining and behavior learning algorithms. The main contribution of this paper are twofold: first, we propose the concept of appliance fingerprint and propose a variety of appliance-based and context-based fingerprints. Second, we propose a multi-source fingerprint-weighting KNN (FWKNN) classification algorithm and present a boosting framework for continuous online learning and detection. We implement the system architecture and demonstrate a prototype based on IBM Bluemix PaaS cloud platform. Experimental result and analysis prove that FWKNN outperforms other benchmark method in detection accuracy.</t>
  </si>
  <si>
    <t>978-1-5386-0435-9</t>
  </si>
  <si>
    <t>https://ieeexplore.ieee.org/stamp/stamp.jsp?arnumber=8397503</t>
  </si>
  <si>
    <t>appliance load monitoring;internet of things;behavior learning;smart home;fingerprint extraction;classification</t>
  </si>
  <si>
    <t>Fingerprint recognition;Meteorology;Home appliances;Monitoring;Internet of Things;Smart homes;Laplace equations</t>
  </si>
  <si>
    <t>S. Vijayakumar; J. Kumar</t>
  </si>
  <si>
    <t>Cloud Resource Usage Forecasting using Neural Network and Artificial Lizard Search Optimization</t>
  </si>
  <si>
    <t>2022 IEEE 10th Region 10 Humanitarian Technology Conference (R10-HTC)</t>
  </si>
  <si>
    <t>2572-7621</t>
  </si>
  <si>
    <t>10.1109/R10-HTC54060.2022.9929894</t>
  </si>
  <si>
    <t>Department of Chemical Engineering, National Institute of Technology, Tiruchirappalli, Tamilnadu, India; Department of Computer Applications, Cloud Computing Lab, National Institute of Technology, Tiruchirappalli, Tamilnadu, India</t>
  </si>
  <si>
    <t>Cloud computing is a rapidly evolving sector when it comes to efficiently providing computing services over the Internet. The benefits of increased performance, speed, productivity, reliability with reduced costs prove to be an accessory. Organizations tend to invest in forecasting services on a large scale to predict the continuum of resources required. This not only helps them in allocating reserves of funds and equipment for the future but also in efficiently handling resources and minimization. This paper proposes a workload forecasting approach using the neural network and a nature inspired Artificial Lizard Search Optimization (ALSO) algorithm. The experiments are conducted on a benchmark dataset of Google cluster trace.</t>
  </si>
  <si>
    <t>978-1-6654-0156-2</t>
  </si>
  <si>
    <t>https://ieeexplore.ieee.org/stamp/stamp.jsp?arnumber=9929894</t>
  </si>
  <si>
    <t>Forecasting;Neural Network;Artificial Lizard Search Optimization (ALSO);Cloud Computing;Google Cluster Trace</t>
  </si>
  <si>
    <t>Productivity;Cloud computing;Visualization;Clustering algorithms;Organizations;Prediction algorithms;Minimization</t>
  </si>
  <si>
    <t>F. Yang; P. Jiang; J. Tian; X. Chen; H. Yang; Y. Chen; Y. Chen</t>
  </si>
  <si>
    <t>An Edge Gateway Communication Load Balancing Method considering Service Timing Logic in Distribution Area</t>
  </si>
  <si>
    <t>10.1109/EI252483.2021.9713475</t>
  </si>
  <si>
    <t>Hunan Key Laboratory for Internet of Things in Electricity Information and Communication Branch of State Grid Hunan Electric Power Company Limited, Changsha, China; Hunan Key Laboratory for Internet of Things in Electricity Information and Communication Branch of State Grid Hunan Electric Power Company Limited, Changsha, China; Hunan Key Laboratory for Internet of Things in Electricity Information and Communication Branch of State Grid Hunan Electric Power Company Limited, Changsha, China; Hunan Key Laboratory for Internet of Things in Electricity Information and Communication Branch of State Grid Hunan Electric Power Company Limited, Changsha, China; School of Electrical and Information Engineering Changsha University of Science and Technology, Changsha, China; Hunan Key Laboratory for Internet of Things in Electricity Information and Communication Branch of State Grid Hunan Electric Power Company Limited, Changsha, China; School of Electrical and Information Engineering Changsha University of Science and Technology, Changsha, China</t>
  </si>
  <si>
    <t>In order to reduce network congestion and improve the edge layer network access capability and edge gateway data transmission capability, the problem of insufficient communication access network bandwidth resources and unbalanced container communication load caused by massive data edge convergence transmission is solved. Considering the high concurrency of service timing logic and real-time data transmission in service distribution platform area, this paper proposes a communication resource scheduling algorithm based on container architecture under multi-mode transmission. While reducing the real-time data transmission delay, the load capacity of the edge layer communication access network is improved, and the load balancing of the northbound interface multi-module data link is realized. In this paper, the topology structure and data transmission mode of the distributed device monitoring network based on the ‚Äúend-edge-cloud‚Äù architecture are firstly explained, and the related channel parameters are given. Then, in the process of simulation and modeling of communication system, a double-tank equivalent model based on queuing theory is used, and the feedback control method is used to control the transmission system. The experimental simulation results show that the adaptive tracking optimization algorithm as the edge container communication load balancing algorithm can effectively reduce the transmission delay, adapt to the distribution service timing and logic constraints, and have a good load balancing effect.</t>
  </si>
  <si>
    <t>https://ieeexplore.ieee.org/stamp/stamp.jsp?arnumber=9713475</t>
  </si>
  <si>
    <t>communication resource scheduling;load balancing algorithm;edge computing;bandwidth optimization</t>
  </si>
  <si>
    <t>Adaptation models;Bandwidth;Logic gates;Containers;Load management;Real-time systems;Delays</t>
  </si>
  <si>
    <t>A. Carvalho; N. O'Mahony; L. Krpalkova; S. Campbell; P. Doody; J. Walsh</t>
  </si>
  <si>
    <t>Improving Industrial Computing Capacity with Fog Computing and Smart Systems</t>
  </si>
  <si>
    <t>2019 6th International Conference on Control, Decision and Information Technologies (CoDIT)</t>
  </si>
  <si>
    <t>2576-3555</t>
  </si>
  <si>
    <t>10.1109/CoDIT.2019.8820441</t>
  </si>
  <si>
    <t>IMaR Technology Gateway, Institute of Technology Tralee, Tralee, Ireland; IMaR Technology Gateway, Institute of Technology Tralee, Tralee, Ireland; IMaR Technology Gateway, Institute of Technology Tralee, Tralee, Ireland; IMaR Technology Gateway, Institute of Technology Tralee, Tralee, Ireland; IMaR Technology Gateway, Institute of Technology Tralee, Tralee, Ireland; IMaR Technology Gateway, Institute of Technology Tralee, Tralee, Ireland</t>
  </si>
  <si>
    <t>Fog computing, edge devices and cloud computing together can provide an impressive amount of resources for ongoing industrial projects by improving the utilization of existing edge resources. This paper will examine fog computing architecture, it's characteristics and its interoperability to edge computing and cloud computing. The aim is to investigate the essential knowledge necessary to support adoption of fog computing in challenging conditions which arise in smart factories and smart agriculture. The present work was motivated by recent developments in Artificial Intelligence indicating that there is great potential for the combination of fog computing and AI to maximize the potential of intelligent systems. This paper aims to present earlier findings which will support an undergoing research project concerning a novel generation of Artificial Intelligent Agents created to self-discover and orchestrate existing resources, actually present in industrial environments.</t>
  </si>
  <si>
    <t>978-1-7281-0521-5</t>
  </si>
  <si>
    <t>https://ieeexplore.ieee.org/stamp/stamp.jsp?arnumber=8820441</t>
  </si>
  <si>
    <t>fog computing;edge computing;smart factories;smart agriculture</t>
  </si>
  <si>
    <t>Cloud computing;Edge computing;Computer architecture;Logic gates;Industries;Real-time systems;Internet of Things</t>
  </si>
  <si>
    <t>A. Mulyukin; I. Perl</t>
  </si>
  <si>
    <t>Adaptation of System Dynamics Model Execution Algorithms for Cloud-based Environment</t>
  </si>
  <si>
    <t>2018 22nd Conference of Open Innovations Association (FRUCT)</t>
  </si>
  <si>
    <t>10.23919/FRUCT.2018.8468291</t>
  </si>
  <si>
    <t>ITMO University, Saint-Petersburg, Russia; ITMO University, Saint-Petersburg, Russia</t>
  </si>
  <si>
    <t>This paper presents a process of adaptation of system dynamics models execution algorithms to cloud-based environment. System dynamics is an aspect of systems theory as a method to understand the dynamic behaviour of complex systems. Existing modeling algorithms used in popular modeling solutions are either not available for free use or have several disadvantages which prevent them from being used in distributed cloud environment. Adaptation of execution algorithms aimed not only to adapt execution process to distributed parallel environments with higher reliability and wider range of possible applications, but also to improve system dynamics model execution performance. For example, existing algorithms of model execution which are not ready for distributed environments will fail to complete modeling task in case of hardware failure, and optimized ones are able to smoothly transfer execution process from one node to another with minimal impact on overall model execution progress. Such capabilities help to save many resources and, especially, time on execution re-runs. In this paper described algorithms and approaches designed for sdCloud solution which are focused on transferring execution of system dynamics models into distributed cloud-based environment and shown extra benefits brought to modeling process by shift to the cloud.</t>
  </si>
  <si>
    <t>978-952-68653-4-8</t>
  </si>
  <si>
    <t>https://ieeexplore.ieee.org/stamp/stamp.jsp?arnumber=8468291</t>
  </si>
  <si>
    <t>Computational modeling;System dynamics;Cloud computing;Data models;Adaptation models;Heuristic algorithms;Mathematical model</t>
  </si>
  <si>
    <t>X. Li; Q. Tang; K. Xu; N. Kang; C. Zhou; X. Kong</t>
  </si>
  <si>
    <t>Technical Analysis of Intelligent Measurement Technology Innovation Under the Environment of Energy Internet</t>
  </si>
  <si>
    <t>10.1109/EI247390.2019.9062117</t>
  </si>
  <si>
    <t>State Grid Tianjin Electric Power Research Institute, Tianjin, China; State Grid Tianjin Electric Power Research Institute, Tianjin, China; State Grid Tianjin Electric Power Research Institute, Tianjin, China; State Grid Tianjin Electric Power Research Institute, Tianjin, China; Swiss Federal Institute of Technology Zurich (ETH Z√ºrich) Swiss Federal Institute, Zurich, Switzerland; School of Electrical Automation and Information Engineering, Tianjin University, Tianjin, China</t>
  </si>
  <si>
    <t>The smart metering infrastructure of comprehensive energy supply is the key to achieving high- quality energy measurement of "fairness, safety and efficiency" and creating a customer-centered enterprise customer community. Focusing on the realization of intelligent measurement targets in the energy Internet environment, this paper combs the innovative technologies from the four aspects of "measurement and terminals, communication network, acquisition master stations and business application" according to the characteristics of smart metering infrastructure, and forms total requirements through demand identification. On this basis, this paper gives implementation measures such as `lean measurement guarantee towards verification quality', `communication network and safety protection', `operation management for acquisition master stations towards massive data', and `demand-oriented business application' to meet the requirements `sufficiency, suitability and effectiveness' of the future design of smart metering. Through the research on the smart metering infrastructure of comprehensive energy supply dominated by electricity, this paper promotes the future energy network to meet the measurement needs of multiple energy sources (electricity, gas, water, heat, etc.), and realizes the coordinated operation of multiple energy types and the interconnection of multiple energy sources in energy internet.</t>
  </si>
  <si>
    <t>https://ieeexplore.ieee.org/stamp/stamp.jsp?arnumber=9062117</t>
  </si>
  <si>
    <t>energy internet;Intelligent metering;technologic al innovation;smart meter;network security</t>
  </si>
  <si>
    <t>Protocols;Meters;Security;Power measurement;Business;Communication networks;Energy measurement</t>
  </si>
  <si>
    <t>C. Miao; Q. Zhang; X. Li</t>
  </si>
  <si>
    <t>Smart Home Guardian System Based on Broadcast 5G</t>
  </si>
  <si>
    <t>2021 International Conference on Networking, Communications and Information Technology (NetCIT)</t>
  </si>
  <si>
    <t>10.1109/NetCIT54147.2021.00084</t>
  </si>
  <si>
    <t>Kings Business School, Kings College London, London, UK; R&amp;D Center, Suzhou Millit Intelligent Technology Co., Ltd., Suzhou, China; Jiangsu Broadcasting Cable Information Network Corporation, Nanjing, China</t>
  </si>
  <si>
    <t>This paper introduces a broadcast 5G-based smart guardian system, consisting of Broadcast 5G smart cloud platform management system, 5G set-top box smart gateway, 5G IoT smart terminals (e.g., LED lights, smart power supplies), ZigBee Smart Terminal. The smart terminal collects behavioural information such as opening and closing doors and switching lights, motion information measured by millimeter wave radar, and sliced information from the watcher‚Äôs screen, and uses various wireless communication technologies to send the watcher‚Äôs living and physical data to the platform. Then use classification, association and other algorithms to deduce a variety of complex situations, classification and early warning, the relevant information obtained through WeChat, APP, SMS and other mobile information means to push to the guardian or community management, in order to achieve 24-hour continuous intelligent guarding.</t>
  </si>
  <si>
    <t>978-1-6654-0070-1</t>
  </si>
  <si>
    <t>https://ieeexplore.ieee.org/stamp/stamp.jsp?arnumber=9731272</t>
  </si>
  <si>
    <t>Broadcast 5G;Smart Guardian System;Full-time Guardian</t>
  </si>
  <si>
    <t>Wireless communication;Technological innovation;5G mobile communication;Millimeter wave measurements;Zigbee;Switches;Smart homes</t>
  </si>
  <si>
    <t>K. Babar; M. Ali Shah</t>
  </si>
  <si>
    <t>Scalable and sustainable mist computing-based architecture for Internet of Health Things</t>
  </si>
  <si>
    <t>Competitive Advantage in the Digital Economy (CADE 2022)</t>
  </si>
  <si>
    <t>10.1049/icp.2022.2050</t>
  </si>
  <si>
    <t>Department of Computer Science, COMSATS University, Islamabad, Pakistan; Department of Computer Science, COMSATS University, Islamabad, Pakistan</t>
  </si>
  <si>
    <t>Internet-connected wearables are used in smart health paradigms such as the Internet of Health Things (IoHT) for telemonitoring, diagnostics, and offering low-cost healthcare solutions. Mist computing brings a significant revolution in computer technologies. Instead of delegating control to gateways during data transmission, control is decentralised to end nodes, which reduces the network's communicational delay and thus increases throughput and helps in conserving bandwidth and battery power. To address latency-related issues and for increasing the efficiency of smart healthcare systems, this paper critically reviews existing techniques and proposes a heterogeneous approach to mist computing along with other cloud and fog computing environments. We use a delay-based KNN algorithm for IoHT. This helps achieve high quality of service and reduces latency and packet drop rate to a great extent, which is necessary for improving existing e-healthcare systems.</t>
  </si>
  <si>
    <t>978-1-83953-742-4</t>
  </si>
  <si>
    <t>https://ieeexplore.ieee.org/stamp/stamp.jsp?arnumber=9946030</t>
  </si>
  <si>
    <t>O. F. Aloufi; K. Djemame; F. Saeed; F. Ghaban</t>
  </si>
  <si>
    <t>A survey on predicting workloads and optimizing QoS in the cloud computing</t>
  </si>
  <si>
    <t>2021 International Congress of Advanced Technology and Engineering (ICOTEN)</t>
  </si>
  <si>
    <t>10.1109/ICOTEN52080.2021.9493436</t>
  </si>
  <si>
    <t>Information Systems Department, College of Computer Science and Engineering, Taibah University, Medina, Saudi Arabia; School of Computing, University of Leeds, Leeds, United Kingdom; Information Systems Department, College of Computer Science and Engineering, Taibah University, Medina, Saudi Arabia; Information Systems Department, College of Computer Science and Engineering, Taibah University, Medina, Saudi Arabia</t>
  </si>
  <si>
    <t>This paper presents the concept and characteristics of cloud computing, and it addresses how cloud computing delivers quality of service (QoS) to the end-user. Next, it discusses how to schedule one‚Äôs workload in the infrastructure using technologies that have recently emerged such as Machine Learning (ML). That is followed by an overview of how ML can be used for resource management. Then, this paper aims to outline the benefits of using ML to schedule upcoming demands to achieve QoS and conserve energy. In addition, we reviewed the research related to ML methods for predicting workloads in cloud computing. It also provides information on the approaches to elasticity, while another section discusses the methods of prediction used in previous studies.</t>
  </si>
  <si>
    <t>978-1-6654-1224-7</t>
  </si>
  <si>
    <t>https://ieeexplore.ieee.org/stamp/stamp.jsp?arnumber=9493436</t>
  </si>
  <si>
    <t>Cloud Computing;Optimising Quality of Service (QoS);Resource management</t>
  </si>
  <si>
    <t>Cloud computing;Data centers;Schedules;Processor scheduling;Quality of service;Machine learning;Elasticity</t>
  </si>
  <si>
    <t>I. Cabezas; J. Palacios</t>
  </si>
  <si>
    <t>A Software Architecture for Video Analytics</t>
  </si>
  <si>
    <t>2020 10th International Conference on Advanced Computer Information Technologies (ACIT)</t>
  </si>
  <si>
    <t>10.1109/ACIT49673.2020.9208938</t>
  </si>
  <si>
    <t>LIDIS Universidad de san Buenaventura, Cali, Colombia; LIDIS Universidad de san Buenaventura, Cali, Colombia</t>
  </si>
  <si>
    <t>Video analytics is the automatic understanding of complex events occurring in a captured scene, by artificial intelligence. It is a fundamental task for homeland security and crime prevention. Some video analytics tasks are being addressed by at the edge processing approach, which combines algorithmic with hardware development, within the camera system design. The at the edge processing approach looks for real-time performance on specific domains and low network bandwidth requirements. However, it implies that the already installed city-camera-network should be replaced and continuously updated since it introduces constraints to analytics capabilities related to cameras' characteristics and functionalities. Thus, city surveillance by the at the edge processing approach requires a large budget, and continuous investment, to keep the system working. In this paper, we present both faced challenges and obtained achievements during the design process of video-analytics-system software architecture. Interoperability, availability, and security were the prioritized quality attributes by the Quality Attribute Workshop method. A microservices and cloud-based design was the result of applying the Attribute Driven Design method, incorporating software engineering sustainability concerns. As a practical advantage, the designed system can work with the already installed city surveillance camera network and allows incorporating video analytics algorithms as the surveillance system evolves. The evaluation combined the functional and operative prototype as well as the ATAM method, according to which approach is more suited to evaluate a specific driver. The discussion on findings of design an evaluation processes is a takeaway for the reader.</t>
  </si>
  <si>
    <t>978-1-7281-6760-2</t>
  </si>
  <si>
    <t>https://ieeexplore.ieee.org/stamp/stamp.jsp?arnumber=9208938</t>
  </si>
  <si>
    <t>software architecture;video analytics;microservices;cloud-based;sustainability</t>
  </si>
  <si>
    <t>Cameras;Computer architecture;Urban areas;Surveillance;Sustainable development;Task analysis;Software algorithms</t>
  </si>
  <si>
    <t>M. Alessi; A. Camill√≤; E. Giangreco; S. Pino; D. Storelli</t>
  </si>
  <si>
    <t>A data visualization solution for the smart city to exploit environmental data by means of 3d buildings</t>
  </si>
  <si>
    <t>2020 5th International Conference on Smart and Sustainable Technologies (SpliTech)</t>
  </si>
  <si>
    <t>10.23919/SpliTech49282.2020.9243831</t>
  </si>
  <si>
    <t>Engineering-Ingegneria informatica S.p.A., Italy; Engineering-Ingegneria informatica S.p.A., Italy; Engineering-Ingegneria informatica S.p.A., Italy; Engineering-Ingegneria informatica S.p.A., Italy; Engineering-Ingegneria informatica S.p.A., Italy</t>
  </si>
  <si>
    <t>The modern age of Big Data, mostly leveraged by the consolidation of the IoT paradigm, leads to the need of giving meaning to the great amount of data, especially within the smart city. It is fundamental to extract value from the information we all are submerged in, thus motivating and supporting the decisions within our cities, which nowadays need transparency and practical evidence. Data visualization tools provide multiple perspectives and are meant to support decision makers, mining available data, with the help of graphical representations in order to ease the emersion of added value, as an initial point from which making inference, reasoning and simulation within our urban environments. And nonetheless, good data visualization provide intuitive evidence. In this paper we introduce a novel 3D urban data analysis framework for the smart city, which exploits the city itself and its buildings to convey data visualization. The novelty is realized thanks to a dynamic geographic tiling which binds the real city structure and the environmental data "on the fly", giving the opportunity to see the city changing as the data change. A prototype is proposed, which is based on a micro service architecture, open standards, and an immersive 3D map, aiming to support public decision makers in the process of environmental data analysis. To this extent, the current solution is built on the idea of replicability, accessibility and adaptation: it is location agnostic and does not depend on the particular position where the analysis takes place, it does not need human intervention or adjustments, once the services are instanced, and it is easily accessible, for the interface it is built on a web application.</t>
  </si>
  <si>
    <t>978-953-290-105-4</t>
  </si>
  <si>
    <t>https://ieeexplore.ieee.org/stamp/stamp.jsp?arnumber=9243831</t>
  </si>
  <si>
    <t>3D Visualization;Data Visualization;Open Source;Open Data;Smart City;WebGL</t>
  </si>
  <si>
    <t>Three-dimensional displays;Data analysis;Smart cities;Buildings;Data visualization;Tools;Data mining</t>
  </si>
  <si>
    <t>IFIP Networking 2018 Proceedings Annex: Demonstration and Poster Session [7 Demos]</t>
  </si>
  <si>
    <t>2018 IFIP Networking Conference (IFIP Networking) and Workshops</t>
  </si>
  <si>
    <t>10.23919/IFIPNetworking.2018.8696465</t>
  </si>
  <si>
    <t>A-1</t>
  </si>
  <si>
    <t>A-16</t>
  </si>
  <si>
    <t>Presents 7 different demonstractio papers.</t>
  </si>
  <si>
    <t>978-3-903176-08-9</t>
  </si>
  <si>
    <t>https://ieeexplore.ieee.org/stamp/stamp.jsp?arnumber=8696465</t>
  </si>
  <si>
    <t>A. Popescu</t>
  </si>
  <si>
    <t>On the Performance of Virtualised Communication Systems</t>
  </si>
  <si>
    <t>2020 13th International Conference on Communications (COMM)</t>
  </si>
  <si>
    <t>10.1109/COMM48946.2020.9141950</t>
  </si>
  <si>
    <t>School of Computing, Blekinge Institute of Technology, Karlskrona, Sweden</t>
  </si>
  <si>
    <t>The paper provides a framework for the definition and provision of performance in virtualised communication systems. For doing this, basic concepts and elements used in the performance provision in non-SDN/NFV networking environments are used. Based on that, adequate performance frameworks can be defined, including relevant metrics and models, to be used in the development, deployment and operation of future Software Defined Networking and Network Function Virtualisation (SDN/NFV) environments.</t>
  </si>
  <si>
    <t>978-1-7281-5611-8</t>
  </si>
  <si>
    <t>https://ieeexplore.ieee.org/stamp/stamp.jsp?arnumber=9141950</t>
  </si>
  <si>
    <t>Virtualised communication systems;Software Defined Networking;Network Function Virtualisation;standards;architectural framework</t>
  </si>
  <si>
    <t>Quality of service;Quality of experience;Software;ETSI;Cloud computing;Industries</t>
  </si>
  <si>
    <t>Wireless Networks and Mobile Communications</t>
  </si>
  <si>
    <t>2022 9th International Conference on Wireless Networks and Mobile Communications (WINCOM)</t>
  </si>
  <si>
    <t>10.1109/WINCOM55661.2022.9966468</t>
  </si>
  <si>
    <t>Presents abstracts of papers presented at the conference along with author biographies and conference programs.</t>
  </si>
  <si>
    <t>978-1-6654-5276-2</t>
  </si>
  <si>
    <t>https://ieeexplore.ieee.org/stamp/stamp.jsp?arnumber=9966468</t>
  </si>
  <si>
    <t>Mobile communication;Wireless networks;Industries;Electronic mail;Codes;Urban areas;Transportation</t>
  </si>
  <si>
    <t>W. Hao; W. Jun; L. Wei; Y. Zhen-tao</t>
  </si>
  <si>
    <t>Structure Design and Control of Mass of Fog Monitoring Robot Installed on the Highway Guardrail Based on ESP32</t>
  </si>
  <si>
    <t>2020 39th Chinese Control Conference (CCC)</t>
  </si>
  <si>
    <t>1934-1768</t>
  </si>
  <si>
    <t>10.23919/CCC50068.2020.9189255</t>
  </si>
  <si>
    <t>Academy of Biological Food and Environment, Hefei University, Hefei, China; Engineering Technology Center of Machine Vision and Intelligent Control, Hefei University, Hefei, China; Engineering Technology Center of Machine Vision and Intelligent Control, Hefei University, Hefei, China; Academy of Biological Food and Environment, Hefei University, Hefei, China</t>
  </si>
  <si>
    <t>In recent years, the expressway traffic accidents caused by mass of fog have occurred from time to time, which have severely affected lives, property and traffic. This article proposes a mass of fog monitoring robot that can run on the highway guardrail, including its mechanical structure design and control system design, to realize the monitoring, traffic warning and traffic control of the fog on the expressway, thereby reducing the occurrence of such traffic accidents. The robot can be directly suspended on the guardrail. The limit wheel, driving wheel and driven wheel are close to the upper trough of the guardrail, the directional guide wheel is close to the lower crest of the guardrail, and a retractable HD camera is installed on the top. Using ESP32 microcontroller as the controller, the control system includes graphic processing module, Beidou communication module, motor drive module, power supply module and obstacle avoidance module. The test prototype based on LEGO components has good operating conditions, the robot runs at a speed of 5km / h, and the power storage mileage can reach 30 km.</t>
  </si>
  <si>
    <t>978-9-8815-6390-3</t>
  </si>
  <si>
    <t>https://ieeexplore.ieee.org/stamp/stamp.jsp?arnumber=9189255</t>
  </si>
  <si>
    <t>mass of fog;robot;ESP32;highway guardrail;beidou communication</t>
  </si>
  <si>
    <t>Road transportation;Power supplies;Robot vision systems;Wheels;Prototypes;Process control;Traffic control</t>
  </si>
  <si>
    <t>A. Celesti; A. Buzachis; A. Galletta; M. Fazio; M. Villari</t>
  </si>
  <si>
    <t>A NoSQL Graph Approach to Manage IoTaaS in Cloud/Edge Environments</t>
  </si>
  <si>
    <t>10.1109/FiCloud.2018.00065</t>
  </si>
  <si>
    <t>Department of MIFT, University of Messina, Italy; Department of MIFT, University of Messina, Italy; Department of MIFT, University of Messina, Italy; Department of MIFT, University of Messina, Italy; Department of MIFT, University of Messina, Italy</t>
  </si>
  <si>
    <t>Nowadays, we are witnessing an explosion in the number of Internet of Things (IoT) devices spread all around the world along with an increasing demand of efficient pervasive distributed IoT as a Service (IoTaaS). In this context, due to the limited hardware capabilities of IoT devices, the latest trend to arrange IoTaaS is to integrate containerized microservices spread over the Cloud and the Edge of the network. However, the management IoTaaS instances is not trivial due to their underlying complexity and the huge amount of data that have to be considered. In fact, the distributed microservices composing each IoTaaS instance must be continuously monitored in order to guarantee a given Service Level Agreement (SLA). In this paper, we discuss how a NoSQL Graph DataBase Management System (DBMS) can help IoT Cloud providers to monitor and optimize IoTaaS instances. In our experimentation, by considering an IoTaaS smart meeting case study, we compare one of the major NoSQL Graph DBMS, i.e., Neo4j with one of the major Relational DBMS, i.e, Oracle, proving that the first one well scale up than the second one when the number of relations increases.</t>
  </si>
  <si>
    <t>https://ieeexplore.ieee.org/stamp/stamp.jsp?arnumber=8458042</t>
  </si>
  <si>
    <t>Cloud, Edge, IoT, NoSQL, graph, database</t>
  </si>
  <si>
    <t>Cloud computing;Internet of Things;Big Data;Servers;Containers;Monitoring;Databases</t>
  </si>
  <si>
    <t>O. Okonor; M. Adda</t>
  </si>
  <si>
    <t>Novel Power Management Technique for Energy Efficient Cloud System Applications using a Java Agent</t>
  </si>
  <si>
    <t>2022 IEEE 7th International Energy Conference (ENERGYCON)</t>
  </si>
  <si>
    <t>10.1109/ENERGYCON53164.2022.9830426</t>
  </si>
  <si>
    <t>Department of Computing, University of Roehampton, United Kingdom; Department of Computing, University of Portsmouth, United Kingdom</t>
  </si>
  <si>
    <t>The increasing growth in cloud service has also increased the power usage required to have excellent functionality and stable cloud services. Globally, there has been a massive growth in Internet activity and Internet users, which significantly impacts the cloud network‚Äôs power consumption rate. Therefore, having fundamental expertise in balancing the trade-off between cloud system performance and energy efficiency is the key to leveraging the cloud network‚Äôs alarming high power consumption rate. In this work, a mobile agent will be used to regulate the activities in data centre networks to minimise the energy usage rate at each runtime. Mobile agent technology is a powerful tool compatible with the distributive and adaptive cloud architectural design platform with a novel solution to its power usage excesses. Agents are empowered to switch-off switches/links that are inactive. Java agent was used to schedule and consolidate the servers and network activities. Our approach enhanced cloud resource utilisation and drastically increased power efficiency by reducing servers‚Äô idle time.</t>
  </si>
  <si>
    <t>978-1-6654-7982-0</t>
  </si>
  <si>
    <t>https://ieeexplore.ieee.org/stamp/stamp.jsp?arnumber=9830426</t>
  </si>
  <si>
    <t>data centre;energy efficiency;energy consumption;cloud computing;Task scheduling;mobile agent</t>
  </si>
  <si>
    <t>Cloud computing;Java;Data centers;Power demand;System performance;Mobile agents;Switches</t>
  </si>
  <si>
    <t>J. Wang</t>
  </si>
  <si>
    <t>Evolving the Edge and the Cloud: A hybrid computing paradigm</t>
  </si>
  <si>
    <t>2021 IEEE 21st International Conference on Software Quality, Reliability and Security Companion (QRS-C)</t>
  </si>
  <si>
    <t>2693-9371</t>
  </si>
  <si>
    <t>10.1109/QRS-C55045.2021.00108</t>
  </si>
  <si>
    <t>School of Computer Science and Engineering, Southeast University, Nanjing, China</t>
  </si>
  <si>
    <t>The edge-to-cloud ecosystem includes cloud management service providers in addition to cloud service providers. The system is also an isolated disorder state, and there are both edge computation and fog computation structures. To realize the effective flow of resources, a hybrid computing paradigm HEC is analyzed with respect to its typical characteristics and applications in various industry scenarios. This paper analyzes the challenges in edge serverless computing, edge big data processing and edge AI, and expounds our views on the technologies adopted, such as offloading, resource allocation, resource provisioning, and deep learning. In the end, it looks forward to the flexible work of HEC integrating resources, which will lead to dynamic, flexible and intelligent changes in computing from edge to cloud.</t>
  </si>
  <si>
    <t>978-1-6654-7836-6</t>
  </si>
  <si>
    <t>https://ieeexplore.ieee.org/stamp/stamp.jsp?arnumber=9741997</t>
  </si>
  <si>
    <t>Serverless computing;Edge computing;Fog computing;Offloading;Resource provisioning;Edge AI</t>
  </si>
  <si>
    <t>Industries;Deep learning;Conferences;Ecosystems;Serverless computing;Software quality;Dynamic scheduling</t>
  </si>
  <si>
    <t>A. M. Saley; M. Ndiaye; K. Niane; A. Raimy; P. N. Ba</t>
  </si>
  <si>
    <t>Study and Evaluation of a hybrid architecture to optimize resources in the 5G core network</t>
  </si>
  <si>
    <t>2022 2nd International Conference on Innovative Research in Applied Science, Engineering and Technology (IRASET)</t>
  </si>
  <si>
    <t>10.1109/IRASET52964.2022.9737784</t>
  </si>
  <si>
    <t>Dept. Mathematics and Computer Science, University Cheikh Anta Diep (UCAD), Dakar, Senegal; Dept. Mathematics and Computer Science, University Cheikh Anta Diop (UCAD), Dakar, Senegal; Dept. Mathematics and Computer Science, University Cheikh Anta Diop (UCAD), Dakar, Senegal; Dept. Mathematics and Computer Science, University Cheikh Anta Diop (UCAD), Dakar, Senegal; Dept. Mathematics and Computer Science, Higher Polytechnic School, University (ESP)), Dakar, Senegal</t>
  </si>
  <si>
    <t>Previous cellular generations have had the main objective of providing fast and reliable cellular data services to diverse network users. 5G has historically expanded this scope to offer a wide range of wireless services, delivered to the user across multiple access platforms and via multi-layer networks. As 5G offers a coherent, flexible and dynamic platform for multiple advanced technologies supporting a wide range of applications, it is of paramount importance to design and optimize a network architecture model from a QoS perspective. Thus. There are several service architectures the dedicated architecture or the shared architecture. The objective of the paper is to appreciate the best quality of service in terms of latency provided according to the type of architecture chosen. The objectives of the convergence architecture in the 5G era will be addressed in this paper, with a look at the capabilities of function reuse, resource pooling for real optimization. This research work will also allow to make a comparison with the industrial world and precisely with the telecom operators and to make technical proposals to bring an answer to the stakes that are the optimization of the costs, the quality of the experience and the quality of services to boost the innovation. to carry out the practice research, this paper uses a multi-agent system framework based on Python, the osBrain environment. Evaluating the results of the simulation, the hybrid architecture proposes more efficiency by its reliability, low latency and scalability and therefore the most optimal in terms of value creation.</t>
  </si>
  <si>
    <t>978-1-6654-2209-3</t>
  </si>
  <si>
    <t>https://ieeexplore.ieee.org/stamp/stamp.jsp?arnumber=9737784</t>
  </si>
  <si>
    <t>component;5G;API;NGS Middleware;SOA;OTTs;MEC</t>
  </si>
  <si>
    <t>Wireless communication;Technological innovation;Costs;5G mobile communication;Scalability;Quality of service;Telecommunications</t>
  </si>
  <si>
    <t>F. I. Fauzandi; Y. Retnowati; J. D. Tamba; E. M. Husni; R. Yusuf; B. N. Yahya</t>
  </si>
  <si>
    <t>Design and Implementation of Low Cost IoT Sensor System for Urban Heat Island Observation</t>
  </si>
  <si>
    <t>2021 International Conference on Electrical Engineering and Informatics (ICEEI)</t>
  </si>
  <si>
    <t>2155-6830</t>
  </si>
  <si>
    <t>10.1109/ICEEI52609.2021.9611099</t>
  </si>
  <si>
    <t>School of Electrical Engineering and Information Institut Teknologi Bandung, Bandung, Indonesia; School of Electrical Engineering and Information Institut Teknologi Bandung, Bandung, Indonesia; School of Electrical Engineering and Information Institut Teknologi Bandung, Bandung, Indonesia; School of Electrical Engineering and Information Institut Teknologi Bandung, Bandung, Indonesia; School of Electrical Engineering and Information Institut Teknologi Bandung, Bandung, Indonesia; Industrial and Management Engineering, Hankuk University of Foreign Studies, Yongin, Gyeonggi, South Korea</t>
  </si>
  <si>
    <t>Urban Heat Island (UHI) is a phenomenon that deserves some considerations because of the effect on humans living in a certain environment. It is characterized by higher temperatures in urban than in rural area. Generally, there are 2 typical identification methods for UHI: indirect measurement such as remote sensing, and direct measurement such as fixed stations and mobile traverses. Remote sensing is a common approach, especially in Indonesia. However, fixed stations are difficult to establish due to economic factors. A system that collects data from various point of observation to figure out the surrounding area, similar to and an alternative of fixed station, can be beneficial for Indonesia. Therefore, we propose a UHI monitoring system based on Internet of Things (IoT). In the design of low-cost IoT sensor node, sensor boards are encapsulated in enclosure and sensor point tip is covered by custom Stevenson screen to reduce solar radiation. Temperature and humidity data are collected every minute and sent through the internet using MQTT protocol every hour. Gathered and stored data are subscribed automatically using the Amazon Web Service, and an API is provided to access the data. Based on the implementation, we analyze the data and showed that there are distinctions in temperature and humidity between roadway and residential area. The result also showed that this system can retrieve data from a low-cost IoT sensor node that can be collected, stored, and accessed by a cloud service via API.</t>
  </si>
  <si>
    <t>978-1-6654-0555-3</t>
  </si>
  <si>
    <t>https://ieeexplore.ieee.org/stamp/stamp.jsp?arnumber=9611099</t>
  </si>
  <si>
    <t>UHI;IoT;low-cost sensor</t>
  </si>
  <si>
    <t>Temperature sensors;Temperature measurement;Temperature distribution;Costs;Web services;Humidity;Thermal pollution</t>
  </si>
  <si>
    <t>S. Sindaco; S. Nanni; C. Aguzzi; L. Roffia; T. Salmon Cinotti</t>
  </si>
  <si>
    <t>Enabling Context Aware Tuning of Low Power Sensors for Smart Agriculture</t>
  </si>
  <si>
    <t>2020 IEEE International Workshop on Metrology for Agriculture and Forestry (MetroAgriFor)</t>
  </si>
  <si>
    <t>10.1109/MetroAgriFor50201.2020.9277635</t>
  </si>
  <si>
    <t>Advanced Research Center On Electronic Systems "Ercole De Castro" (ARCES), University of Bologna, Bologna, Italy; Lepida ScpA, Bologna, Italy; Advanced Research Center On Electronic Systems "Ercole De Castro" (ARCES), University of Bologna, Bologna, Italy; Department of Electrical, Electronic and Information Engineering "Guglielmo Marconi" (DEI), Advanced Research Center On Electronic Systems "Ercole De Castro" (ARCES), University of Bologna, Bologna, Italy; Department of Computer Science and Engineering (DISI), Advanced Research Center On Electronic Systems "Ercole De Castro" (ARCES), University of Bologna, Bologna, Italy</t>
  </si>
  <si>
    <t>This paper describes an application for the context aware tuning of the data rate of a battery powered LoRaWAN multi-sensor node equipped with sensors measuring soil features like water content, temperature, conductivity, moisture and water table depth. The application aims at saving as much power as possible, granting at the same time the detection and accurate profiling of events localized in time and space (e.g., due to sudden heavy rain). The tuning rules are based on the interplay between the context heterogeneous actors (sensor data, forecasts, current season, irrigation requests) mediated by a Linked Data distribution platform interconnected to multiple private and public networks. An interoperable application is provided, whose components can be easily extended and reused.</t>
  </si>
  <si>
    <t>978-1-7281-8783-9</t>
  </si>
  <si>
    <t>https://ieeexplore.ieee.org/stamp/stamp.jsp?arnumber=9277635</t>
  </si>
  <si>
    <t>LoRaWAN;Interoperability;Linked Data;Context aware;Smart Sensor</t>
  </si>
  <si>
    <t>Sensors;Irrigation;Batteries;Servers;Rain;Tuning;Delays</t>
  </si>
  <si>
    <t>T. Schranz; Q. Alfalouji; T. Hirsch; G. Schweiger</t>
  </si>
  <si>
    <t>An Open IoT Platform: Lessons Learned from a District Energy System</t>
  </si>
  <si>
    <t>2022 Second International Conference on Sustainable Mobility Applications, Renewables and Technology (SMART)</t>
  </si>
  <si>
    <t>10.1109/SMART55236.2022.9990228</t>
  </si>
  <si>
    <t>Graz University of Technology Inffeldgasse 16b/II, Graz, Austria; Graz University of Technology Inffeldgasse 16b/II, Graz, Austria; Graz University of Technology Inffeldgasse 16b/II, Graz, Austria; Graz University of Technology Inffeldgasse 16b/II, Graz, Austria</t>
  </si>
  <si>
    <t>Advances in IoT technology have changed the way building operators automate monitoring, maintenance, and control. The availability of countless sensors and actuators from numerous vendors has introduced new challenges. IoT middleware platforms typically address these challenges. While there is a growing number of middleware solutions, it can be difficult to find suitable production ‚Äì ready platforms that i) can be deployed with minimal effort and ii) do not lock users in with a specific vendor. Open solutions such as the FIWARE platform provide a set of pre-built, modular components and while they are designed to work out of the box, setup and integration require software development expertise. In this paper, we develop a minimalist, use-case-specific platform based on the open standards and data models the FIWARE platform is built on.</t>
  </si>
  <si>
    <t>978-1-6654-7146-6</t>
  </si>
  <si>
    <t>https://ieeexplore.ieee.org/stamp/stamp.jsp?arnumber=9990228</t>
  </si>
  <si>
    <t>internet of things;building energy;cyberphysical systems;machine learning</t>
  </si>
  <si>
    <t>Data analysis;Protocols;Source coding;Buildings;Standards organizations;Maintenance engineering;Data models</t>
  </si>
  <si>
    <t>V. Devi; R. Kumar; V. Kumar</t>
  </si>
  <si>
    <t>Various Heuristic Fault Tolerance Routing Protocols and Factors in IoT Wireless Sensor Network</t>
  </si>
  <si>
    <t>2021 6th International Conference on Signal Processing, Computing and Control (ISPCC)</t>
  </si>
  <si>
    <t>2643-8615</t>
  </si>
  <si>
    <t>10.1109/ISPCC53510.2021.9609424</t>
  </si>
  <si>
    <t>Department of Electronics and communication Engineering, Jaypee University of Information Technology, Waknaghat, Solan, H.P; Department of Electronics and communication Engineering, Jaypee University of Information Technology, Waknaghat, Solan, H.P; Department of Electronics and communication Engineering, Jaypee University of Information Technology, Waknaghat, Solan, H.P</t>
  </si>
  <si>
    <t>Today Internet of Things is transforming our lives. IoT varies from other networks because of their unique characteristics. One of the most important problems in these networks is fault tolerance. In Wireless Sensor Networks or IoTs are made with multiple low-energy sensing nodes. The distribution of these sensing nodes is random in the network. Sensor nodes are capable of perceiving and transferring information to the BS (Bottom Station). Data transmission at sensor nodes necessitates a significant amount of energy. As a result, several nodes die due to energy depletion during transmission. To minimize data loss, fault tolerance techniques are employed. In this paper, a variety of fault tolerance routing protocols are examined and their fault tolerance techniques, as well as issues of each technique, are discussed in this paper. Multiple factors generate disruption in IoT systems that all factors are discussed with a short definition. The comparison of various fault tolerance routing protocols is depicted in the paper. The benefits and limitations of routing protocols are also explained which will provide help to analyze the protocols. Finally, the paper summaries and conclude with recommendations for future research.</t>
  </si>
  <si>
    <t>978-1-6654-2554-4</t>
  </si>
  <si>
    <t>https://ieeexplore.ieee.org/stamp/stamp.jsp?arnumber=9609424</t>
  </si>
  <si>
    <t>Wireless Sensor Network;IoT;Routing Protocols;Fault tolerance</t>
  </si>
  <si>
    <t>Wireless communication;Fault tolerance;Wireless sensor networks;Fault tolerant systems;Signal processing;Routing protocols;Sensors</t>
  </si>
  <si>
    <t>M. T. Adhi Utomo; R. Hartanto; S. Sulistyo</t>
  </si>
  <si>
    <t>Smart City Service System Design Based On Microservice Architecture: Case Study in Magelang City</t>
  </si>
  <si>
    <t>2022 International Symposium on Information Technology and Digital Innovation (ISITDI)</t>
  </si>
  <si>
    <t>10.1109/ISITDI55734.2022.9944498</t>
  </si>
  <si>
    <t>Department of Electrical Engineering and Information Technology, Universitas Gadjah Mada, Yogyakarta, Indonesia; Department of Electrical Engineering and Information Technology, Universitas Gadjah Mada, Yogyakarta, Indonesia; Department of Electrical Engineering and Information Technology, Universitas Gadjah Mada, Yogyakarta, Indonesia</t>
  </si>
  <si>
    <t>The micro service-oriented platform provides a flexible and scalable implementation to accommodate the various services offered to citizens in the smart city concept. Integration is a problem that arises along with the widespread application of smart cities, which are seen as a service system. The purpose of the research is to design a good service system as a solution to existing problems. The study will be more specific on service systems as part of implementing smart cities by referring to previous research. Service system engineering is the method, and it takes a top-down, holistic approach. This research results in a microservice architecture design for smart city service system engineering. The resulting design can be a guide to providing decent and better services for citizens.</t>
  </si>
  <si>
    <t>978-1-6654-6116-0</t>
  </si>
  <si>
    <t>https://ieeexplore.ieee.org/stamp/stamp.jsp?arnumber=9944498</t>
  </si>
  <si>
    <t>Smart City;Microservice Architecture;Service System Engineering</t>
  </si>
  <si>
    <t>Technological innovation;Smart cities;Microservice architectures;Information technology;System analysis and design</t>
  </si>
  <si>
    <t>R. Saxena; S. Gupta</t>
  </si>
  <si>
    <t>Energy-Aware Dynamic Offloading over IoT-based Mobile Edge Networks</t>
  </si>
  <si>
    <t>2022 International Conference on Futuristic Technologies (INCOFT)</t>
  </si>
  <si>
    <t>10.1109/INCOFT55651.2022.10094423</t>
  </si>
  <si>
    <t>Department of Computer Science &amp; Engineering, Chandigarh Engineering College, Jhanjeri; Department of Computer Science Engineering, Vivekananda Global University, Jaipur, India</t>
  </si>
  <si>
    <t>In this research, we look at the challenge of scheduling jobs in a software-defined fog-IoT network while keeping latency and energy consumption in mind. We suggest the potent Deep Q-Learning process as a first step toward resolving the online job allocation and scheduler problem. The other guarantees economical energy use by preserving battery life within the limitations imposed by app reliance to reduce network latency. Next, we propose a deep reinforcement learning (DRL) method for adaptive scheduling tasks as well as allocation in SDN-enabled edge networks, and we factor in the task arrival process as part of this approach. Through thorough testing, we compared the proposed approach to three cutting-edge deep learning techniques (namely, deterministic, random, and A3C agents). Our method was shown to be better to other methods via several simulations. We also emphasise our design‚Äôs energy efficiency, which may result in savings of up to 87% compared to more traditional methods. We have proved that the offloading system can do up to 50 percent more work in the same amount of time. The results demonstrate that the proposed method may be utilised to proactively optimise scheduling as well as allocation of complicated activities with dependencies in decentralised Fog IoT networks.</t>
  </si>
  <si>
    <t>978-1-6654-5046-1</t>
  </si>
  <si>
    <t>https://ieeexplore.ieee.org/stamp/stamp.jsp?arnumber=10094423</t>
  </si>
  <si>
    <t>DRL;SDN-Edge Network;A3C Agents;Offloading</t>
  </si>
  <si>
    <t>Deep learning;Recurrent neural networks;Q-learning;Traffic control;Probabilistic logic;Topology;Resource management</t>
  </si>
  <si>
    <t>D. Lu; G. Gao; Y. Shen; Z. Tong</t>
  </si>
  <si>
    <t>Design of Gearbox Monitoring System Based on Edge Computing</t>
  </si>
  <si>
    <t>2022 4th International Conference on Artificial Intelligence and Advanced Manufacturing (AIAM)</t>
  </si>
  <si>
    <t>10.1109/AIAM57466.2022.00074</t>
  </si>
  <si>
    <t>School of Mechanical Engineering, Shanghai Institute of Technology, Shanghai, China; School of Mechanical Engineering, Shanghai Institute of Technology, Shanghai, China; R&amp;D Department, IFKA Solutions GmbH, Darmstadt, Germany; Equipment Maintenance Center, National Energy Group Co., Ltd., Ordos, China</t>
  </si>
  <si>
    <t>With the advent of Industry 4.0 and the Industrial Internet, the Internet of Things (IoT) development of applications is booming, the mining machinery working environment is extremely harsh, therefore, the requirements of the performance, quality, durability, reliability of its gearbox is pretty high, to meet these requirements, real-time monitoring is becoming a demanded task. For this purpose, a gearbox monitoring system based on edge computing is established. In the paper at hand, a novel Jacobi-type data parallel processing method is proposed, with which, the efficiency and life of the gearbox are calculated through the edge service APP. Traditional methods by solely utilizing cloud computing cannot effectively accomplish this task. Using cloud-edge collaboration technology, the Web application in scenarios such as intelligent mining is designed, which can grasp the operating status of equipment in the entire mining area, unify scheduling and orchestration of computing resources, update the monitoring model on edge computing nodes, and process and generate effective data of machinery and equipment in real-time at the edge computing device. It reduces the operation and maintenance cost, solves the problem of monitoring data congestion caused by insufficient data bandwidth, and ensures a stable and safe operation of mining machinery.</t>
  </si>
  <si>
    <t>978-1-6654-6399-7</t>
  </si>
  <si>
    <t>https://ieeexplore.ieee.org/stamp/stamp.jsp?arnumber=10071357</t>
  </si>
  <si>
    <t>gearbox system;Edge computing;Cloud edge collaboration;intelligent mining;Jacobi type</t>
  </si>
  <si>
    <t>Cloud computing;Costs;Collaboration;Bandwidth;Maintenance engineering;Real-time systems;Internet of Things</t>
  </si>
  <si>
    <t>A. Cheptsov</t>
  </si>
  <si>
    <t>Dynamic Approach to Scheduling Reconfigurable Scientific Workflows in Heterogeneous HPC Environments</t>
  </si>
  <si>
    <t>10.1109/CISIS.2016.146</t>
  </si>
  <si>
    <t>High Performance Computing Center Stuttgart (HLRS), Stuttgart, Germany</t>
  </si>
  <si>
    <t>High Performance Computing infrastructures are getting increasingly heterogeneous, which offers opportunities to the applications in terms of performance improvement. However, the ‚Äúhardware-concise‚Äù heterogeneous resource allocation requires a deep knowledge of the scheduled applications' characteristics. The challenge is getting more difficult if the scheduler has to balance the optimization policies between the application- and the infrastructure-specific policies, e.g. the overall energy consumption, resource utilization, etc. We introduce a heuristic-based approach to adaptive scheduling, enabled by in-depths monitoring technologies. Our solution is complementary to the native schedulers like Torque or Maui and is open per design and thus can be seamlessly integrated into the core scheduling algorithms.</t>
  </si>
  <si>
    <t>https://ieeexplore.ieee.org/stamp/stamp.jsp?arnumber=7791856</t>
  </si>
  <si>
    <t>scheduling; performance; workflow; monitoring; heuristics; DreamCloud</t>
  </si>
  <si>
    <t>Dynamic scheduling;Resource management;Processor scheduling;Energy consumption;Job shop scheduling;Optimization</t>
  </si>
  <si>
    <t>N. Giridharan; P. Pranav</t>
  </si>
  <si>
    <t>Next-Gen Swarm Cubesats' Synchronization and Re-Programmability</t>
  </si>
  <si>
    <t>2022 6th International Conference on Computation System and Information Technology for Sustainable Solutions (CSITSS)</t>
  </si>
  <si>
    <t>10.1109/CSITSS57437.2022.10026358</t>
  </si>
  <si>
    <t>Department of Aerospace Engineering, RV College of Engineering, Bengaluru, India; Department of Aerospace Engineering, RV College of Engineering, Bengaluru, India</t>
  </si>
  <si>
    <t>The increasing need for interstellar data has increased the deployment of satellites in space, thereby increasing the space debris, also resulting in unnecessary costs. CubeSats have been gaining scads of attention worldwide for their affordability and ease of construction by the educational community. To further enhance this, it is imperative for a simple and reliable communication technique and its ability to work on robust missions by enabling CubeSats in intelligent ways. The mission is targeted to be used at LEO; considering the size and some unplumbed areas of the planet, the CubeSats will work in tandem to perform the task of high resolution infrared thermal imaging over a decided area. The paper proposes a technology that can reduce the costs by deploying CubeSats and improving their lifetime and number of missions using TinyML and reprogrammability capabilities. Swarms of CubeSat deployed for this mission can be synchronized, without having any ground support with the help of onboard ML algorithms. Hence, the paper also proposes the use of TinyML for power optimization and efficient solar irradiance orientation. Both of the aforementioned features not only escalate the life of CubeSats but also can become capable of performing other missions during its lifetime. Thus, orbital re-programmability for CubeSats is also being contemplated in the paper. The use of TinyML and orbital reprogrammability can reduce the space debris by bringing in the factor of satellites' reusability and accessing celestial bodies while making the space environment less cluttered. Applying this technology in CubeSat missions has wide prospects in the exploration of different planets' landing site data that can be exploited for future space travel.</t>
  </si>
  <si>
    <t>978-1-6654-5699-9</t>
  </si>
  <si>
    <t>https://ieeexplore.ieee.org/stamp/stamp.jsp?arnumber=10026358</t>
  </si>
  <si>
    <t>CubeSats;TinyML;Reprogrammability</t>
  </si>
  <si>
    <t>Space vehicles;Satellites;Costs;Planets;Space debris;Space missions;Synchronization</t>
  </si>
  <si>
    <t>P. K. Narayanan; D. K. Harrison; Z. Salimi</t>
  </si>
  <si>
    <t>Sequencing of Autonomous Network functions using eXplainable AI Methods</t>
  </si>
  <si>
    <t>2022 3rd International Conference on Intelligent Engineering and Management (ICIEM)</t>
  </si>
  <si>
    <t>10.1109/ICIEM54221.2022.9853175</t>
  </si>
  <si>
    <t>Amity University [IN] London, London, United Kingdom; Glasgow Caledonian University, Glasgow, United Kingdom; University of Bolton, Bolton, United Kingdom</t>
  </si>
  <si>
    <t>Autonomous network functions (ANFs) are activated to achieve a specific objective. (e.g.: Load balancing, coverage and capacity optimization, energy saving across the network). Many times, activating the ANFs does not meet the specific objective predominantly due to external factors [1]. This paper introduces how explainable AI (xAI) methods such as feature impact analysis, dependency plot and other interpretable machine learning algorithms can be used for identifying such external factors and in turn sequencing the ANFs for meeting the objective. The paper concludes by introducing counterfactual and recourse algorithms as further research possibilities that goes beyond xAI for getting favorable outcome from ANFs.</t>
  </si>
  <si>
    <t>978-1-6654-6756-8</t>
  </si>
  <si>
    <t>https://ieeexplore.ieee.org/stamp/stamp.jsp?arnumber=9853175</t>
  </si>
  <si>
    <t>explainable AI;autonomous network functions</t>
  </si>
  <si>
    <t>Sequential analysis;Machine learning algorithms;Load management;Communications technology;Object recognition;Artificial intelligence;Optimization</t>
  </si>
  <si>
    <t>Z. Qiao; J. Hou; C. Liu; H. Zhang; Q. Liu; W. Wang; Y. Yan; J. Meng</t>
  </si>
  <si>
    <t>Remote Batch Upgrade Task Distribution Mechanism for Devices in Power Internet of Things</t>
  </si>
  <si>
    <t>2022 IEEE 8th International Conference on Computer and Communications (ICCC)</t>
  </si>
  <si>
    <t>10.1109/ICCC56324.2022.10065679</t>
  </si>
  <si>
    <t>NARI Group Corporation (State Grid Electric Power Research Institute), Nanjing, China; NARI Group Corporation (State Grid Electric Power Research Institute), Nanjing, China; NARI Group Corporation (State Grid Electric Power Research Institute), Nanjing, China; NARI Group Corporation (State Grid Electric Power Research Institute), Nanjing, China; NARI Group Corporation (State Grid Electric Power Research Institute), Nanjing, China; NARI Group Corporation (State Grid Electric Power Research Institute), Nanjing, China; NARI Group Corporation (State Grid Electric Power Research Institute), Nanjing, China; NARI Group Corporation (State Grid Electric Power Research Institute), Nanjing, China</t>
  </si>
  <si>
    <t>When a large number of devices are connected in the power Internet of Things, the remote batch upgrade of devices will face problems such as long full upgrade cycle, large concurrent flood peak effect load for file pulling, and weak ability to resolve installation exceptions. Aiming at the upgrade characteristics of power Internet of Things device, this paper proposes a remote batch upgrade task distribution mechanism based on formula fitting. Firstly, based on the file transmission of the traditional internet and industrial control system, a distributed task distribution mechanism suitable for the power Internet of Things scenario is designed; Then, combined with experimental tests, in-depth elaboration on the core influencing factors such as CPU, memory, network I/O, QPS involved in the process of batch issuing of instructions and batch pulling of files, and fitting trend analysis of key parameters are made. Finally, combined with the actual production application on site, the specific implementation of the batch task distribution mechanism, and phased solutions for abnormal scenarios is proposed.</t>
  </si>
  <si>
    <t>978-1-6654-5051-5</t>
  </si>
  <si>
    <t>https://ieeexplore.ieee.org/stamp/stamp.jsp?arnumber=10065679</t>
  </si>
  <si>
    <t>power internet of things;remote batch upgrade;task distribution mechanism;formula fitting</t>
  </si>
  <si>
    <t>Fitting;Process control;Production;Market research;Internet of Things;Floods;Task analysis</t>
  </si>
  <si>
    <t>K. Duan; Y. Li; G. Wang; X. Liu</t>
  </si>
  <si>
    <t>Improving Server Re-Consolidation for Datacenters via Resource Exchange and Load Adjustment</t>
  </si>
  <si>
    <t>10.1109/CCGrid54584.2022.00073</t>
  </si>
  <si>
    <t>College of Computer Science, Nankai University, Tianjin, China; College of Computer Science, Nankai University, Tianjin, China; College of Computer Science, Nankai University, Tianjin, China; College of Computer Science, Nankai University, Tianjin, China</t>
  </si>
  <si>
    <t>Server re-consolidation refers to online migrating applications among servers for minimizing the number of servers used. To avoid interruptions to online services, resources (i.e., transient resources) are occupied at both original and destination servers during the migrations. Transient resources reduce the remaining capacity of servers, making server re-consolidation challenging. To tackle this problem, we leverage the previously proposed concept of resource exchange, which refers to a set of resource configurations such that an application running under any one of them has similar performance, thus these configurations are exchangeable and such a set is called exchangeable configuration set (ECS). Moreover, we adjust the load pressure of an application to change its ECS when there is no suitable configuration, and such a strategy is called load adjustment. In this paper, we propose a new server re-consolidation problem that maintains applications' QoS target and availability at the same time. We leverage a machine-learning algorithm to estimate the performance of applications, based on which the ECSs are constructed efficiently. We design a simulated annealing-based (SA) algorithm to optimally solve the scheduling plan. We evaluate the proposed approach using data from real-world latency-critical applications. The results show that the proposed approach outperforms two state-of-the-art baselines in terms of reducing the number of used servers by 10% on average and up to 29%. To our knowledge, this is the first time that resource exchange and load adjustment strategies have been applied to the server re-consolidation problem.</t>
  </si>
  <si>
    <t xml:space="preserve">ICT, CAS(grant numbers:CARCHB202013); </t>
  </si>
  <si>
    <t>https://ieeexplore.ieee.org/stamp/stamp.jsp?arnumber=9826075</t>
  </si>
  <si>
    <t>resource management algorithm;server consolidation;cloud computing;quality of service;service availability</t>
  </si>
  <si>
    <t>Random access memory;Quality of service;Simulated annealing;Scheduling;Partitioning algorithms;Classification algorithms;Servers</t>
  </si>
  <si>
    <t>R. S.; S. Kar; D. Selvamuthu</t>
  </si>
  <si>
    <t>Analysis of Computational Complexity and Power Consumption in Cloud Based Heterogeneous RAN</t>
  </si>
  <si>
    <t>2018 Twenty Fourth National Conference on Communications (NCC)</t>
  </si>
  <si>
    <t>10.1109/NCC.2018.8600072</t>
  </si>
  <si>
    <t>Indian Institute of Technology Delhi, New Delhi, Delhi, IN; Bharti School of Telecommunication Technology and Management, Indian Institute of Technology, Delhi; Bharti School of Telecommunication Technology and Management, Indian Institute of Technology, Delhi</t>
  </si>
  <si>
    <t>In the recent past, we have witnessed steep growth in mobile data consumption. To address the capacity requirements resulting from the huge growth in mobile data traffic, the mobile network operators (MNOs) are adding more base stations and allocating more spectrum layers including outdoor and indoor small cells. Since the capacity requirement of the network varies over time, the scaling up of the network may increase the energy consumption of the Radio Access Network (RAN). Hence, we need to optimize the network to reduce the overall power consumption through Cloud based models, and deployment of power-efficient radio nodes. In this paper, we analyze the network evolution towards Cloud based Radio Access Network (CRAN) for a heterogeneous set of base stations such as those with Macro RRUs, Micro RRUs and Pico radio units. We derive the computational complexity using a flexible and ‚Äòfuture-proof‚Äô power model and apply it for the network. We also compare the computation complexity for various cases of User Equipment (UE) channel conditions, different sub-components within the given base station type and provide the results. We further use the Bin-Packing algorithm to analyze the number of base station cloud servers needed for this network and the power consumption of the base station cloud. We further evaluate whether the newer cloud servers with higher CPU cores are power efficient for a given load. We observe from the simulations, that the currently available base station cloud servers have more capacity and still are more power efficient than the baseline Compute Node servers used with the earlier power model.</t>
  </si>
  <si>
    <t>978-1-5386-1224-8</t>
  </si>
  <si>
    <t>https://ieeexplore.ieee.org/stamp/stamp.jsp?arnumber=8600072</t>
  </si>
  <si>
    <t>Base stations;Servers;Computational modeling;Cloud computing;Power demand;Baseband;Load modeling</t>
  </si>
  <si>
    <t>S. K. Saurav; P. B. Sudhakar; K. J. Mohan; R. Senthil Kumar; S. Bindhumadhava Bapu</t>
  </si>
  <si>
    <t>SCADA WebView: A State-of-the-Art Enterprise Transmission SCADA Engine</t>
  </si>
  <si>
    <t>2021 IEEE 18th India Council International Conference (INDICON)</t>
  </si>
  <si>
    <t>2325-9418</t>
  </si>
  <si>
    <t>10.1109/INDICON52576.2021.9691604</t>
  </si>
  <si>
    <t>Centre for Development of Advanced Computing, Bangalore, India; Centre for Development of Advanced Computing, Bangalore, India; Centre for Development of Advanced Computing, Bangalore, India; Centre for Development of Advanced Computing, Bangalore, India; Centre for Development of Advanced Computing, Bangalore, India</t>
  </si>
  <si>
    <t>The Industrial Control System is experiencing a massive redesign because of the digital transition and the promises of Industry 4.0 and Industry 5.0. The convergence of Information Technology and Operational Technology has reinforced the Process Industry as a cyber-physical ecosystem. In today‚Äôs industrial automation environment, the Internet of Things and Industrial Internet of Things have become intrinsically tied. SCADA systems are crucial for monitoring and managing control parameters and notifying system failures to reduce downtime in the process industry. The SCADA operations, such as data collection, control operations, and visualization, have undergone substantial changes because of technological advancements. These transformations have motivated us to design and implement a novel SCADA engine using the latest technologies. The SCADA WebView is an innovative Enterprise Transmission SCADA engine developed under the COPS framework for the power sector. It can also be tailored to different process industries. This product has been extensively deployed across the Indian Power Grid. In the future, an AI-based cognitive decision-making system will be incorporated for optimal control.</t>
  </si>
  <si>
    <t>978-1-6654-4175-9</t>
  </si>
  <si>
    <t>https://ieeexplore.ieee.org/stamp/stamp.jsp?arnumber=9691604</t>
  </si>
  <si>
    <t>SCADA;ICS;cyber-physical system;IIoT;HMI;Industry 4.0;Industry 5.0;Energy Management System</t>
  </si>
  <si>
    <t>Industries;Protocols;Decision making;Data acquisition;Data visualization;SCADA systems;Process control</t>
  </si>
  <si>
    <t>C. L√ºbben; S. Sch√§ffner; M. -O. Pahl</t>
  </si>
  <si>
    <t>Continuous Microservice Re-Placement in the IoT</t>
  </si>
  <si>
    <t>10.1109/NOMS54207.2022.9789780</t>
  </si>
  <si>
    <t>Technical University of Munich, Munich, Germany; Technical University of Munich, Munich, Germany; Technical University of Munich, Munich, Germany</t>
  </si>
  <si>
    <t>There is a continuous increase in processing power and a recent trend towards microservice architectures within the IoT. Both make it possible to place microservices on the distributed edge nodes of an IoT site.This creates the new challenge of identifying a suitable placement of services. Domains like cloud computing or Network Function Virtualization consider service placement as a relevant research problem for a while. However, the IoT sets special demands due to its heterogeneous and often constrained resources making cloud and NFV solutions not suitable. This paper assesses the differences between the IoT and previous placement domains. It presents a placement strategy that is adapted to the IoT.The evaluation shows that the presented traffic-based service placement strategy outperforms existing ones from other domains. This particularly holds for the optimization of the overall system‚Äôs bandwidth usage and latency.</t>
  </si>
  <si>
    <t>https://ieeexplore.ieee.org/stamp/stamp.jsp?arnumber=9789780</t>
  </si>
  <si>
    <t>service placement;IoT;microservices;autonomous service management;unattended nodes</t>
  </si>
  <si>
    <t>Performance evaluation;Cloud computing;Fitting;Microservice architectures;Bandwidth;Machine learning;Computer architecture</t>
  </si>
  <si>
    <t>M. Borges; S. Paiva; A. Santos; B. Gaspar; J. Cabral</t>
  </si>
  <si>
    <t>Azure RTOS ThreadX Design for Low-End NB-IoT Device</t>
  </si>
  <si>
    <t>2020 2nd International Conference on Societal Automation (SA)</t>
  </si>
  <si>
    <t>10.1109/SA51175.2021.9507191</t>
  </si>
  <si>
    <t>Department of Industrial Electronics, Algoritmi Center, University of Minho, Braga, Portugal; Hardware and Sensors DTx - Digital Transformation Colab, Guimar√£es, Portugal; AI5 (Analytics, IoT and 5G) NOS Comunica√ß√µes SA, Lisbon, Portugal; Radio Access Network \ Architecture and Solutions NOS Technology, Lisbon, Portugal; CEiiA, Centre of Engineering and Product Development Algoritmi Center, University of Minho, Portugal</t>
  </si>
  <si>
    <t>As the Narrowband IoT (NB-IoT) technology becomes popular amongst constrained devices, the impact of secure communications and the use of a Real-Time Operating System (RTOS) needs to be considered. This paper presents an ultra-low-power low-end constrained monitoring end device capable of running on a battery for more than 10 years. It compares a bare-metal implementation and its redesign into an application supported by the Azure RTOS ThreadX, taking advantage of its low-power modes, and measuring the AES and RSA PKCS #1 v1.5 encryption impact on the battery lifetime and the RAM/FLASH memory. This study verified that even though the Azure RTOS ThreadX occupies more memory than the Bare-Metal design as expected, it is estimated to maintain the application running for more than 20 years (3000 mAh battery), based on the measured power consumption profile of the end device.</t>
  </si>
  <si>
    <t>978-1-7281-9690-9</t>
  </si>
  <si>
    <t>https://ieeexplore.ieee.org/stamp/stamp.jsp?arnumber=9507191</t>
  </si>
  <si>
    <t>Azure RTOS ThreadX;NB-IoT;Ultra-Low-Power;Low-End IoT Device</t>
  </si>
  <si>
    <t>Instruction sets;Random access memory;Size measurement;Battery charge measurement;Real-time systems;Encryption;Batteries</t>
  </si>
  <si>
    <t>A. Dutta; E. Hammad; M. Enright; F. Behmann; A. Chorti; A. Cheema; K. Kadio; J. Urbina-Pineda; K. Alam; A. Limam; F. Chu; J. Lester; J. -G. Park; J. Bio-Ukeme; S. S. Pawar; R. Layton; P. Ramchandran; K. Okonkwo; L. Ong; M. Emmelmann; O. Issa; R. Arul; S. Malik; S. Krishnan; S. Sugumar; T. Lala; M. Borst; B. Kloza; G. K. Kurt</t>
  </si>
  <si>
    <t>INGR Roadmap Security and Privacy Chapter</t>
  </si>
  <si>
    <t>10.1109/FNWF55208.2022.00131</t>
  </si>
  <si>
    <t>Applied Physics Lab, Security Working Group Co-Chair, John's Hopkins University; Security Working Group Co-Chair, Texas A&amp;M University - RELLIS; Quantum Dimension, Inc.; IEEE ComSoc North America Regional Board, TelNet Management Consulting, Inc.; ENSEA, CNRS; Shared Services Canada; Shared Services Canada; IEEE HKN Member and CyberIIoT CEO; Rogers Communications (Formerly); Higher Institute of Engineering and Technology (ESPRIT); University of California, Los Angeles; Our Lady of Fatima University, Valenzuela, Philippines; Seoul National University of Science and Technology; Carleton University; Usha Mittal University of Technology; Aalborg University; Intel; Chevron; Ciena; Fraunhofer FOKUS; Department of National Defence, Canada; Amrita Vishwa Vidyapeetham; T-Mobile; National Library of Medicine; Intel Corporation; ZecureZ Consulting Company; IEEE Future Networks Initiative; IEEE Future Networks Initiative; NA</t>
  </si>
  <si>
    <t>The digital transformation brought on by 5G is redefining current models of end-to-end (E2E) connectivity and service reliability to include security-by-design principles necessary to enable 5G to achieve its promise. 5G trustworthiness highlights the importance of embedding security capabilities from the very beginning while the 5G architecture is being defined and standardized. Security requirements need to overlay and permeate through the different layers of 5G systems (physical, network, and application) as well as different parts of an E2E 5G architecture within a risk-management framework that takes into account the evolving security-threats landscape. 5G presents a typical use-case of wireless communication and computer networking convergence, where 5G fundamental building blocks include components such as Software Defined Networks (SDN), Network Functions Virtualization (NFV) and the edge cloud. This convergence extends many of the security challenges and opportunities applicable to SDN/NFV and cloud to 5G networks. Thus, 5G security needs to consider additional security requirements (compared to previous generations) such as SDN controller security, hypervisor security, orchestrator security, cloud security, edge security, etc. At the same time, 5G networks offer security improvement opportunities that should be considered. Here, 5G architectural flexibility, programmability and complexity can be harnessed to improve resilience and reliability. The working group scope fundamentally addresses the following: ‚Ä¢5G security considerations need to overlay and permeate through the different layers of the 5G systems (physical, network, and application) as well as different parts of an E2E 5G architecture including a risk management framework that takes into account the evolving security threats landscape. ‚Ä¢5G exemplifies a use-case of heterogeneous access and computer networking convergence, which extends a unique set of security challenges and opportunities (e.g., related to SDN/NFV and edge cloud, etc.) to 5G networks. Similarly, 5G networks by design offer potential security benefits and opportunities through harnessing the architecture flexibility, programmability and complexity to improve its resilience and reliability. ‚Ä¢The IEEE FNI security WG's roadmap framework follows a taxonomic structure, differentiating the 5G functional pillars and corresponding cybersecurity risks. As part of cross collaboration, the security working group will also look into the security issues associated with other roadmap working groups within the IEEE Future Network Initiative.</t>
  </si>
  <si>
    <t>https://ieeexplore.ieee.org/stamp/stamp.jsp?arnumber=10056734</t>
  </si>
  <si>
    <t>5G Cybersecurity;security;privacy;data protection;reliability;resilience;mMTC;URLLC;SDN/NFV;cyber risk assessment and management;threat scenarios;cyber-attacks;security controls;mitigation;defense</t>
  </si>
  <si>
    <t>5G mobile communication;Computer network reliability;Computer architecture;Network function virtualization;Complexity theory;Security;Risk management;Software defined networking;Convergence;Resilience</t>
  </si>
  <si>
    <t>J. Ni; L. Zheng; N. Jiang; K. Yang; S. Luo; Q. Wu</t>
  </si>
  <si>
    <t>New distribution network intelligent planning project auxiliary platform and synchronous implementation of multi person collaborative planning</t>
  </si>
  <si>
    <t>10.1109/CICED56215.2022.9929015</t>
  </si>
  <si>
    <t>Distribution Grid Planning, State Grid Wuxi Power Supply Company, Wuxi, China; Institute of Economics and Technology, State Grid Wuxi Power Supply Company, Wuxi, China; Distribution Grid Planning, T&amp;D Power Research (Beijing) Technology Co., Ltd, Beijing, China; Distribution Grid Planning, T&amp;D Power Research (Beijing) Technology Co., Ltd, Beijing, China; Distribution Grid Planning, T&amp;D Power Research (Beijing) Technology Co., Ltd, Beijing, China; R&amp;D Center, T&amp;D Power Research (Beijing) Technology Co., Ltd, Beijing, China</t>
  </si>
  <si>
    <t>At present, the development and design of power grid project mid-platform is in full swing. After completion, it can provide enterprises with full caliber, full link and full coverage project integrated management and provide globally standardized and consistent data information. It can be predicted that it is imperative for various projects of provincial companies to be connected to the project mid-platform. The distribution network planning project needs planners to carry out a lot of detailed work from demand to formulation and improvement. The development of each link of these works should not be implemented in project mid-platform. Therefore, a new distribution network intelligent planning project auxiliary platform that can be connected to project mid-platform is developed. The platform can be used as an "input plug" to access the data mid-platform to obtain required input data, and can also be used as an "output plug" to output the prepared complete project to project mid-platform. It provides a solution for the similar business. In the aspect of source side change data capture in synchronous mode, it obtains the source side change data by creating a temporary table, which reduces the amount of transmitted data. In the aspect of data operation identification, the source uses the "combination coding" to update the data and the destination analyzes it by itself, so as to avoid the confusion of interpretation. In order to save the parsing time of a large number of similar statements, the storage procedures of various data operations are formulated in advance at the destination to realize the convenient writing of synchronous data.</t>
  </si>
  <si>
    <t>https://ieeexplore.ieee.org/stamp/stamp.jsp?arnumber=9929015</t>
  </si>
  <si>
    <t>project mid-platform;new distribution network;intelligent planning;access to mid-platform;multi person collaborative;data synchronization</t>
  </si>
  <si>
    <t>Databases;Decision making;XML;Distribution networks;Writing;Power grids;Planning</t>
  </si>
  <si>
    <t>H. Lin; Q. Zhang; W. Yang; Z. Wu; C. Zhang; X. Wu; W. Yan</t>
  </si>
  <si>
    <t>Design and Application of Customer Services Business Middle Platform for Opening Service Capabilities of Electric Power Marketing</t>
  </si>
  <si>
    <t>2021 7th Annual International Conference on Network and Information Systems for Computers (ICNISC)</t>
  </si>
  <si>
    <t>10.1109/ICNISC54316.2021.00150</t>
  </si>
  <si>
    <t>State Grid Information &amp; Telecommunication Group Co., Ltd., Beijing, China; State Grid Information &amp; Telecommunication Group Co., Ltd., Beijing, China; State Grid Customer Service Centre, Tianjin, China; State Grid Information &amp; Telecommunication Group Co., Ltd., Beijing, China; State Grid Customer Service Centre, Tianjin, China; State Grid Customer Service Centre, Tianjin, China; State Grid Customer Service Centre, Tianjin, China</t>
  </si>
  <si>
    <t>The customer services business middle platform is an important digital approach and effective tool for the electric grid enterprise to improve the customer services, enhance the electric power supply services, promote the marketing lean management and optimize the energy consumption policies, helping to push forward the digital transformation of the enterprise. The paper first introduces the design methodology of the business middle platform based on the whole process of business domain modelling, service architecture, service design, service implementation and service governance. It describes the evolution of opening the service capabilities of the shared service centres from the multichannel business platform to the customer services business middle platform, and elaborates the core service capabilities of these shared service centres. It gives the hierarchical design of the business middle platform architecture, and takes the key business scenarios such as electricity charging and accounting, electricity business expansion as examples to elaborate the technical solutions of the business middle platform, and puts forward the key design points and the technical design elements. Taking the innovative scenarios such as two-dimensional barcode for validating electric power supply transfer, residential energy efficiency management, and electric power demand response as examples, it illustrates the means of supporting various agile product innovations and application development with the opened service capabilities of the business middle platform. In the future, the business middle platform will be required to strengthen the horizontal collaboration with other business middle platforms to provide strong support for cross-professional business of the electric grid enterprise, and to output the service capabilities via the capability aggregation platform, for striving to build an open and win-win energy internet application ecosystem.</t>
  </si>
  <si>
    <t>978-1-6654-0232-3</t>
  </si>
  <si>
    <t>https://ieeexplore.ieee.org/stamp/stamp.jsp?arnumber=9603926</t>
  </si>
  <si>
    <t>customer services;business middle platform;service capabilities;electric power marketing;microservices;domain modelling;digital transformation</t>
  </si>
  <si>
    <t>Technological innovation;Customer services;Ecosystems;Collaboration;Project management;Tools;Power systems</t>
  </si>
  <si>
    <t>J. Yang; X. Lan; Z. Yao; W. Liu; W. Deng; W. Qu</t>
  </si>
  <si>
    <t>Research on Production Process Control Method of Discrete Manufacturing Digital Workshop</t>
  </si>
  <si>
    <t>2022 International Conference on Computer Network, Electronic and Automation (ICCNEA)</t>
  </si>
  <si>
    <t>2770-7695</t>
  </si>
  <si>
    <t>10.1109/ICCNEA57056.2022.00091</t>
  </si>
  <si>
    <t>Information Center of China North Industries Group Corporation, Beijing, China; Information Center of China North Industries Group Corporation, Beijing, China; Information Center of China North Industries Group Corporation, Beijing, China; Information Center of China North Industries Group Corporation, Beijing, China; Information Center of China North Industries Group Corporation, Beijing, China; Information Center of China North Industries Group Corporation, Beijing, China</t>
  </si>
  <si>
    <t>With the deep integration of the new generation of information technology and manufacturing industry represented by cloud computing, big data, Internet of things and artificial intelligence, a new round of industrial revolution has swept across. The outstanding characteristics of discrete manufacturing workshops are multiple varieties, small batches, long production cycles, and many uncertain factors in the production process. In view of the current problems of incomplete information collection, opaque production monitoring, unintelligent material distribution, and unsystematic quality traceability in discrete manufacturing workshops, a data-driven technical framework for production process management and control in discrete manufacturing digital workshops is proposed, Based on the Internet of things technology, it realizes the online perception of production factors in the manufacturing process, the online decision-making of production instructions and the accurate execution of production tasks. Finally, taking the gear workshop of a heavy equipment manufacturing enterprise as the object, the prototype system development and application verification of the proposed method are carried out.</t>
  </si>
  <si>
    <t>978-1-6654-9109-9</t>
  </si>
  <si>
    <t>https://ieeexplore.ieee.org/stamp/stamp.jsp?arnumber=9933196</t>
  </si>
  <si>
    <t>New Generation Information Technology;Discrete Manufacturing;Data Driven;Digital Workshop</t>
  </si>
  <si>
    <t>Manufacturing industries;Production management;Conferences;Decision making;Process control;Production;Manufacturing</t>
  </si>
  <si>
    <t>T. M. Tatarnikova; A. V. Sverlikov</t>
  </si>
  <si>
    <t>Methodology for Detecting Anamalies in the Traffic of the Internet of Things</t>
  </si>
  <si>
    <t>2022 Wave Electronics and its Application in Information and Telecommunication Systems (WECONF)</t>
  </si>
  <si>
    <t>2769-3538</t>
  </si>
  <si>
    <t>10.1109/WECONF55058.2022.9803548</t>
  </si>
  <si>
    <t>Saint-Petersburg State University of Aerospace Instrumentation, Saint-Petersburg, Russia; Saint-Petersburg State University of Aerospace Instrumentation, Saint-Petersburg, Russia</t>
  </si>
  <si>
    <t>A technique for searching for anomalous behavior of Internet of Things devices is proposed by comparing the pattern of normal device behavior stored in the reference database and comparing it with the pattern of the current state. The ways of constructing a pattern of behavior of the Internet of things device are considered. The method proposed in the article for searching for anomalous behavior of smart devices in order to search for attacking effects on IoT devices is part of an intrusion detection system and implements its functions at the lower level of the IoT architecture.</t>
  </si>
  <si>
    <t>978-1-6654-7083-4</t>
  </si>
  <si>
    <t>https://ieeexplore.ieee.org/stamp/stamp.jsp?arnumber=9803548</t>
  </si>
  <si>
    <t>network traffic;Internet of Things;behavior pattern;anomalous behavior;intrusion detection system</t>
  </si>
  <si>
    <t>Wireless sensor networks;Databases;Intrusion detection;Feature extraction;Behavioral sciences;Telecommunications;Internet of Things</t>
  </si>
  <si>
    <t>X. Shang; C. Pan</t>
  </si>
  <si>
    <t>Framework Design of the Industrial Apps Simulation Platform for Networked Collaborative Manufacturing in Cement Industry</t>
  </si>
  <si>
    <t>2022 China Automation Congress (CAC)</t>
  </si>
  <si>
    <t>10.1109/CAC57257.2022.10055110</t>
  </si>
  <si>
    <t>School of Electronic Information and Electrical Engineering and Key Laboratory of Navigation and Location Based Services, Shanghai Jiao Tong University, Shanghai, China; School of Electronic Information and Electrical Engineering and Key Laboratory of Navigation and Location Based Services, Shanghai Jiao Tong University, Shanghai, China</t>
  </si>
  <si>
    <t>This paper studies the process of industrial App development for cement industry and the basic framework of the support platform for network collaborative manufacturing. The key processes of App development are realized with a concrete case of multi-base collaborative manufacturing in cement industry. In the framework, a complete closed-loop is formed starting from the definition of collaborative problem, abstraction of manufacturing resources, integrated model design, optimization algorithm and low-code development. Finally, in order to verify the feasibility of the supporting platform framework, we design a simulation software to stimulate the overall Apps development environment.</t>
  </si>
  <si>
    <t>978-1-6654-6533-5</t>
  </si>
  <si>
    <t>https://ieeexplore.ieee.org/stamp/stamp.jsp?arnumber=10055110</t>
  </si>
  <si>
    <t>cement industry;software framework design;network collaborative manufacturing;simulation platform</t>
  </si>
  <si>
    <t>Automation;Cement industry;Software algorithms;Collaboration;Data visualization;Data aggregation;Software</t>
  </si>
  <si>
    <t>D. -J. Munoz; J. A. Montenegro; M. Pinto; L. Fuentes</t>
  </si>
  <si>
    <t>Green Security Plugin for Pervasive Computing Using the HADAS Toolkit</t>
  </si>
  <si>
    <t>2017 IEEE 15th Intl Conf on Dependable, Autonomic and Secure Computing, 15th Intl Conf on Pervasive Intelligence and Computing, 3rd Intl Conf on Big Data Intelligence and Computing and Cyber Science and Technology Congress(DASC/PiCom/DataCom/CyberSciTech)</t>
  </si>
  <si>
    <t>10.1109/DASC-PICom-DataCom-CyberSciTec.2017.136</t>
  </si>
  <si>
    <t>CAOSD Group, University of M√°laga, Andaluc√≠a Tech, M√°laga, SPAIN; CAOSD Group, University of M√°laga, Andaluc√≠a Tech, M√°laga, SPAIN; CAOSD Group, University of M√°laga, Andaluc√≠a Tech, M√°laga, SPAIN; CAOSD Group, University of M√°laga, Andaluc√≠a Tech, M√°laga, SPAIN</t>
  </si>
  <si>
    <t>Energy is a critical resource in pervasive computing devices. However, information about energy consumption is not directly accessible through software development environments, making it difficult to reuse the knowledge provided by existing energy-consumption experimental studies. To address this limitation, this paper presents a solution to enrich Android Studio with energy consumption information. We have developed a Green Security Plugin that provides energy-aware information to developers that make use of Android Security API. This plugin has been developed taking advantage of the functionalities provided by the HADAS toolkit. HADAS is a repository of energy consuming concerns in which researchers can store the energy measures obtained during their experimental studies and developers can perform a sustainability analysis to make green design/implementation decisions.</t>
  </si>
  <si>
    <t>978-1-5386-1956-8</t>
  </si>
  <si>
    <t>https://ieeexplore.ieee.org/stamp/stamp.jsp?arnumber=8328480</t>
  </si>
  <si>
    <t>energy;security;plugin;pervasive;HADAS;Android;cryptography;sustainability;green;IDE;variability</t>
  </si>
  <si>
    <t>Energy consumption;Software;Androids;Humanoid robots;Green products;Cryptography</t>
  </si>
  <si>
    <t>K. Yego; M. Thyer; T. Jones; R. Davidson</t>
  </si>
  <si>
    <t>A heterogeneous tactical cloud architecture for emergency services search and rescue operations</t>
  </si>
  <si>
    <t>2020 Military Communications and Information Systems Conference (MilCIS)</t>
  </si>
  <si>
    <t>10.1109/MilCIS49828.2020.9282376</t>
  </si>
  <si>
    <t>Department of Defence, Defence Science and Technology Group, Australia; Department of Defence, Defence Science and Technology Group, Australia; Department of Defence, Defence Science and Technology Group, Australia; Department of Defence, Defence Science and Technology Group, Australia</t>
  </si>
  <si>
    <t>With an increased adoption of uninhabited platforms in tactical environments such as search and rescue operations the proliferation of tactical assets equipped with advanced computing, sensing and networking capabilities becomes complex to manage. Edge/tactical cloud architectures provide the necessary automation processes for managing and scaling services and applications deployed across a larger number of platforms. However, size weight and power restrictions on tactical platforms leads to a heterogeneity in deployed infrastructure for both compute capabilities and available network bearers which raises complexities that need to be addressed by the underlying cloud infrastructure. In this paper we propose and demonstrate a heterogeneous cloud architecture used for a search and rescue training operation conducted by Surf Life Saving South Australia in collaboration with the Defence Science and Technology Group.</t>
  </si>
  <si>
    <t>978-1-7281-6863-0</t>
  </si>
  <si>
    <t>https://ieeexplore.ieee.org/stamp/stamp.jsp?arnumber=9282376</t>
  </si>
  <si>
    <t>cloud;edge;microservices;tactical;search and rescue</t>
  </si>
  <si>
    <t>Training;Military communication;Cloud computing;Computer architecture;Emergency services;Robustness;Sensors</t>
  </si>
  <si>
    <t>H. -L. Truong; K. Magoutis</t>
  </si>
  <si>
    <t>Robustness via Elasticity Accelerators for the IoT-Edge-Cloud Continuum</t>
  </si>
  <si>
    <t>10.1109/UCC56403.2022.00052</t>
  </si>
  <si>
    <t>Department of Computer Science, Aalto University, Finland; Computer Science Department, University of Crete &amp; FORTH, Greece</t>
  </si>
  <si>
    <t>This paper presents a novel framework to enhance programmability of the IoT-edge-cloud continuum and to accommodate rapid change through software composition and elastic adaptation using appropriate reusable runtime components, techniques, and languages (which we collectively term Accelerators) to optimize resources and services. We particularly pinpoint elasticity as a driver for increased robustness, an ability we abbreviate as $\mathrm{R}_{\mathrm{V}}$E. $\mathrm{R}_{\mathrm{V}}$E Accelerators aim at enabling end-to-end programming, configuration, monitoring, and optimization in the IoT-edge-cloud continuum for emerging swarm applications and services, with the ability to coordinate domain-specific elasticity capabilities in a cross-layered manner. $\mathrm{R}_{\mathrm{V}}\mathrm{E}$ Accelerators will enable developers to easily program adaptive edge-cloud functionality through different layers, while cloud and edge solution providers can coordinate policies across layers to support robust, resilient systems at low effort and cost for their customers.</t>
  </si>
  <si>
    <t>https://ieeexplore.ieee.org/stamp/stamp.jsp?arnumber=10061789</t>
  </si>
  <si>
    <t>end-to-end;elasticity;resilience;edge computing;cloud computing</t>
  </si>
  <si>
    <t>Cloud computing;Cross layer design;Runtime;Elasticity;Programming;Robustness;Software</t>
  </si>
  <si>
    <t>R. V√°zquez-L√≥pez; E. V. V√°zquez-Carmona; J. Carlos Herrera-Lozada; K. Miranda; J. Sandoval-Gutierrez</t>
  </si>
  <si>
    <t>A proposed embedded system for indoor noise pollution monitoring via IoT</t>
  </si>
  <si>
    <t>2022 IEEE ANDESCON</t>
  </si>
  <si>
    <t>10.1109/ANDESCON56260.2022.9989829</t>
  </si>
  <si>
    <t>CIDETEC, Instituto Polit√©cnico Nacional, Mexico City, Mexico; CIDETEC, Instituto Polit√©cnico Nacional, Mexico City, Mexico; CIDETEC, Instituto Polit√©cnico Nacional, Mexico City, Mexico; Departamento de Sistemas de Informaci√≥n y Comunicaciones, Universidad Aut√≥noma Metropolitana, Lerma, Mexico; Departamento de Procesos Productivos, Universidad Aut√≥noma Metropolitana, Lerma, Mexico</t>
  </si>
  <si>
    <t>Currently, the impact on health has increased due to different environmental factors; among them is noise pollution that, due to considerable exposure, causes diseases such as hearing problems, respiratory, cardiovascular diseases, sleep disorders, and even headaches. This work proposes a monitoring system to measure noise, as well as manage and store the information obtained using the Internet of Things (IoT), to monitor the behavior of this variable and be able to make decisions when the sound presents an excessive level and that harms the health and well-being of the human being. To test the functioning of the implemented monitoring system, two experiments were carried out: the characterization of the sensor supported by a measuring instrument (sound level meter) as well as the evaluation of the sound level meter and system through IoT. As a result, the noise elimination of the input signal was obtained to obtain a smoothed signal at the output, subsequently transmit and store the data in a database and finally visualize them on a platform that uses the Internet of Things paradigm.</t>
  </si>
  <si>
    <t>978-1-6654-8854-9</t>
  </si>
  <si>
    <t>https://ieeexplore.ieee.org/stamp/stamp.jsp?arnumber=9989829</t>
  </si>
  <si>
    <t>monitoring system;IoT;noise pollution;gaussian filter;sound level meter</t>
  </si>
  <si>
    <t>Meters;Pollution;Systems operation;Prototypes;Information filters;Pollution measurement;Noise measurement</t>
  </si>
  <si>
    <t>C. Qi; C. Bi; T. Wei; Y. Wang; J. Zhong; P. Yuan</t>
  </si>
  <si>
    <t>BFFBM: A Bloom Filter Based Full-Link Blacklist Monitoring Method on AMI Microservice</t>
  </si>
  <si>
    <t>2022 12th International Conference on Power and Energy Systems (ICPES)</t>
  </si>
  <si>
    <t>10.1109/ICPES56491.2022.10072673</t>
  </si>
  <si>
    <t>Meterology Center, State Grid Jibei Eelectric Power Supply Company, Beijing, China; Meterology Center, State Grid Jibei Eelectric Power Supply Company, Beijing, China; Meterology Center, State Grid Jibei Eelectric Power Supply Company, Beijing, China; Meterology Center, State Grid Jibei Eelectric Power Supply Company, Beijing, China; College of Artificial Intelligence, Nanjing Agricultural University, Nanjing, China; College of Artificial Intelligence, Nanjing Agricultural University, Nanjing, China</t>
  </si>
  <si>
    <t>The emergence of microservices architecture effectively relieves the single node load pressure of traditional AMI electricity information collection system, as well as improving the reliability and maintainability of electricity services. Nevertheless, the increasingly complex business requirements make the security of microservice invocation links face great risks. To solve this problem, this paper proposes a bloom Filter based microservice full-link blacklist monitoring method to quickly identify and reject illegal service requests to secure system operation and user data. Firstly, the microservice architecture and the basic principle of bloom filter are introduced. Then the blacklist monitoring method and workflow are designed. Finally, experimental analysis and optimization are performed. The experimental results show that our method is practical and effective.</t>
  </si>
  <si>
    <t>978-1-6654-5145-1</t>
  </si>
  <si>
    <t>https://ieeexplore.ieee.org/stamp/stamp.jsp?arnumber=10072673</t>
  </si>
  <si>
    <t>Advanced Metering Infrastructure;Microservice;Blacklist Detection;Bloom Filter</t>
  </si>
  <si>
    <t>Systems operation;Data security;Microservice architectures;Blocklists;Power system reliability;Reliability;Monitoring</t>
  </si>
  <si>
    <t>S. Afzal; Z. N. Samani; N. Mehran; C. Timmerer; R. Prodan</t>
  </si>
  <si>
    <t>MPEC2: Multilayer and Pipeline Video Encoding on the Computing Continuum</t>
  </si>
  <si>
    <t>10.1109/NCA57778.2022.10013519</t>
  </si>
  <si>
    <t>Institute of Information Technology (ITEC), Alpen-Adria-Universit√§t Klagenfurt, Austria; Institute of Information Technology (ITEC), Alpen-Adria-Universit√§t Klagenfurt, Austria; Institute of Information Technology (ITEC), Alpen-Adria-Universit√§t Klagenfurt, Austria; Institute of Information Technology (ITEC), Alpen-Adria-Universit√§t Klagenfurt, Austria; Institute of Information Technology (ITEC), Alpen-Adria-Universit√§t Klagenfurt, Austria</t>
  </si>
  <si>
    <t>Video streaming is the dominating traffic in today‚Äôs data-sharing world. Media service providers stream video content for their viewers, while worldwide users create and distribute videos using mobile or video system applications that significantly increase the traffic share. We propose a multilayer and pipeline encoding on the computing continuum (MPEC2) method that addresses the key technical challenge of high-price and computational complexity of video encoding. MPEC2 splits the video encoding into several tasks scheduled on appropriately selected Cloud and Fog computing instance types that satisfy the media service provider and user priorities in terms of time and cost. In the first phase, MPEC2 uses a multilayer resource partitioning method to explore the instance types for encoding a video segment. In the second phase, it distributes the independent segment encoding tasks in a pipeline model on the underlying instances. We evaluate MPEC2 on a federated computing continuum encompassing Amazon Web Services (AWS) EC2 Cloud and Exoscale Fog instances distributed in seven geographical locations. Experimental results show that MPEC2 achieves 24% faster completion time and 60% lower cost for video encoding compared to resource allocation related methods. When compared with baseline methods, MPEC2 yields 40%‚Äì 50% lower completion time and 5%‚Äì60% reduced total cost.</t>
  </si>
  <si>
    <t>https://ieeexplore.ieee.org/stamp/stamp.jsp?arnumber=10013519</t>
  </si>
  <si>
    <t>Cloud;Fog;computing continuum;video encoding;multilayer partitioning;encoding pipeline</t>
  </si>
  <si>
    <t>Costs;Web services;Processor scheduling;Computational modeling;Pipelines;Streaming media;Nonhomogeneous media</t>
  </si>
  <si>
    <t>T. Malich; V. Socha; R. Maty√°≈°; L. Han√°kov√°; S. Ku≈°m√≠rek; V. Kr√°ƒçmar</t>
  </si>
  <si>
    <t>Software Solution for Visualization and Evaluation of Flight Data in Terms of Competency-Based Training</t>
  </si>
  <si>
    <t>2020 AIAA/IEEE 39th Digital Avionics Systems Conference (DASC)</t>
  </si>
  <si>
    <t>10.1109/DASC50938.2020.9256590</t>
  </si>
  <si>
    <t>Department of Air Transport, Czech Technical University in Prague, Prague, Czech Republic; Department of Air Transport, Czech Technical University in Prague, Prague, Czech Republic; Department of Air Transport, Czech Technical University in Prague, Prague, Czech Republic; Department of Air Transport, Czech Technical University in Prague, Prague, Czech Republic; Department of Air Transport, Czech Technical University in Prague, Prague, Czech Republic; Department of Air Transport, Czech Technical University in Prague, Prague, Czech Republic</t>
  </si>
  <si>
    <t>In this paper, we present a complex solution for flight data gathering, analyzation, and visualization. This solution can be used for the Competency-Based Training of pilots in general aviation. For the data gathering, we are introducing a concept of an embedded device. For data analyzation, we are introducing the approach for algorithmic detection of flight maneuvers based on the recorded flight data. There is a multiplatform software application for data visualization. We are also describing the reasons for creating such solutions and potential future uses of our hardware and software products. This paper is mostly describing the important requirements and their implementation regarding the future usage for Competency-Based Training of pilots in general aviation. We are not describing a lot of technical details to keep this paper straightforward and we are mostly focusing on passing the whole idea and benefits of our products.</t>
  </si>
  <si>
    <t>978-1-7281-9825-5</t>
  </si>
  <si>
    <t xml:space="preserve">Czech Technical University in Prague(grant numbers:SGS20/143/OHK2/2T/16,SGS19/133/OHK2/2T/16); </t>
  </si>
  <si>
    <t>https://ieeexplore.ieee.org/stamp/stamp.jsp?arnumber=9256590</t>
  </si>
  <si>
    <t>CBT;Competency-Based Training;flight;data;visualization;gathering;analyzation</t>
  </si>
  <si>
    <t>Training;Data visualization;Software;Receivers;Hardware;Global Positioning System;Data analysis</t>
  </si>
  <si>
    <t>H. Zhou; Z. Shi; Y. Hu; P. Donkers; A. Afanasyev; S. Koulouzis; A. Taal; A. Ulisses; Z. Zhao</t>
  </si>
  <si>
    <t>Large Distributed Virtual Infrastructure Partitioning and Provisioning Across Providers</t>
  </si>
  <si>
    <t>2019 IEEE International Conference on Smart Internet of Things (SmartIoT)</t>
  </si>
  <si>
    <t>10.1109/SmartIoT.2019.00018</t>
  </si>
  <si>
    <t>System and Networking Lab., University of Amsterdam, Amsterdam, Netherlands; System and Networking Lab., University of Amsterdam, Amsterdam, Netherlands; System and Networking Lab., University of Amsterdam, Amsterdam, Netherlands; System and Networking Lab., University of Amsterdam, Amsterdam, Netherlands; System and Networking Lab., University of Amsterdam, Amsterdam, Netherlands; System and Networking Lab., University of Amsterdam, Amsterdam, Netherlands; System and Networking Lab., University of Amsterdam, Amsterdam, Netherlands; MOG Technologies, Maia, Portugal; System and Networking Lab., University of Amsterdam, Amsterdam, Netherlands</t>
  </si>
  <si>
    <t>Cloud environments provide elastic capacity and flexible pay-as-you-go business model, and can significantly reduce the operational cost for resource-intensive applications like big data, deep learning and the Internet of Things (IoT). The virtual infrastructure, including networked virtual machines, for large scale applications, is often distributed, and involve resources not only from data centers, but also distributed Fog and Edge nodes. It is not always feasible to use resources all from a single provider. The provisioning of a complex virtual infrastructure requires dynamic partitioning of the topology and seamless configuration of the network, to meet the latency constraints of geolocation devices, to optimize the price and Service Level Agreements of the application. In many cases, the partition solution of a virtual infrastructure cannot be done in the design phase and has to consider the actual resource availability of providers at the provisioning stage. This paper presents a virtual infrastructure partitioning and provisioning solution with consideration of the QoS and resource constraints from the application.</t>
  </si>
  <si>
    <t>978-1-7281-3488-8</t>
  </si>
  <si>
    <t>https://ieeexplore.ieee.org/stamp/stamp.jsp?arnumber=8896677</t>
  </si>
  <si>
    <t>Cloud computing;virtual infrastructure;graph partitioning;Fog and Edge</t>
  </si>
  <si>
    <t>Z. Xinhui; X. Yao; L. Zhongbin; C. Wenqin; M. Zhengkun</t>
  </si>
  <si>
    <t>Construction of Substation Global IOT System Based on Edge Gateway</t>
  </si>
  <si>
    <t>2022 International Conference on Information System, Computing and Educational Technology (ICISCET)</t>
  </si>
  <si>
    <t>10.1109/ICISCET56785.2022.00083</t>
  </si>
  <si>
    <t>Digital Grid Research Institute, China Southern Power Grid, Guangzhou City, Guangdong Province, China; Digital Grid Research Institute, China Southern Power Grid, Guangzhou City, Guangdong Province, China; Digital Grid Research Institute, China Southern Power Grid, Guangzhou City, Guangdong Province, China; Digital Grid Research Institute, China Southern Power Grid, Guangzhou City, Guangdong Province, China; Digital Grid Research Institute, China Southern Power Grid, Guangzhou City, Guangdong Province, China</t>
  </si>
  <si>
    <t>Based on the analysis of the application scheme of the edge gateway in the ubiquitous power Internet of Things (IoT)-aware layer-end devices and edge IoT agents, a substation global IoT system of the edge gateway is built, including the overall architecture, application framework and cloud collaborative design of the system, and key technologies such as new edge gateway technology, coordinated operation strategy and coordinated operation scenario examples are studied. The designed edge gateway can meet the unified access of multi-disciplinary and multi-type terminals. The edge gateway is the carrier and key link of ‚Äúterminal data self-organization, terminal cloud business self-coordination‚Äù. Through case analysis, it is verified that the edge gateway runs reliably, and the design goal and operation requirements of substation global IOT are met.</t>
  </si>
  <si>
    <t>978-1-6654-6044-6</t>
  </si>
  <si>
    <t>https://ieeexplore.ieee.org/stamp/stamp.jsp?arnumber=9898834</t>
  </si>
  <si>
    <t>Substation;Global IOT system;Edge gateway;Cloud collaboration</t>
  </si>
  <si>
    <t>Cloud computing;Substations;Collaboration;Computer architecture;Logic gates;Reliability engineering;Real-time systems</t>
  </si>
  <si>
    <t>L. M. M. Visuwasam; A. K. Gupta; R. Chaudhary; S. C. Gupta; P. Borah; M. K. Chakravarthi</t>
  </si>
  <si>
    <t>Innovative Turned and Collaborative Technology using Simulated IoT Applications</t>
  </si>
  <si>
    <t>2022 4th International Conference on Inventive Research in Computing Applications (ICIRCA)</t>
  </si>
  <si>
    <t>10.1109/ICIRCA54612.2022.9985481</t>
  </si>
  <si>
    <t>R. M. K. College of Engineering and Technology, Puduvoyal, Chennai, India; IIMT University, Meerut, India; School of Computer Science and Application, IIMT University, Meerut, India; Galgotias University, Uttar Pradesh, India; Namrup College, Dibrugarh, Assam, India; Schocl of Electronics Engineering, VIT-AP University, Amaravathi, India</t>
  </si>
  <si>
    <t>Distributed system allows for quick access to computing, stockpiling, and even connection. Yet, for systems and networks that are far from a consolidated public cloud or data centre source, these centralised architectures might cause delays and performance difficulties. If data analysis is concentrated in the cloud, for example, to analyse emergency circumstances, any connectivity failures or delays will hinder the function and endanger human life. However, the restricted availability of such edge servers thwarts this interesting proposal. The virtual edge computing concept is discussed in this study as a way forward. By remotely accessing all assets, particularly edge routers, and making them readily accessible through endpoints, virtual edge bridges the internet, periphery, and swamp worlds. Fog and cloud technologies architectures are intriguing solutions to cloud-based technologies, particularly for rapid reaction to crises can also be used to allow new microservices and collaborative remedies for pcs. This research study provides a comprehensive virtual frontier framework and some of the important research challenges that must be addressed to facilitate more pervasive and efficient better external.</t>
  </si>
  <si>
    <t>978-1-6654-9707-7</t>
  </si>
  <si>
    <t>https://ieeexplore.ieee.org/stamp/stamp.jsp?arnumber=9985481</t>
  </si>
  <si>
    <t>Innovative Turned;Collaborative Technology;IoT Applications</t>
  </si>
  <si>
    <t>Cloud computing;Data centers;Collaboration;Microservice architectures;Computer architecture;Delays;Servers</t>
  </si>
  <si>
    <t>R. Kavanagh; K. Djemame</t>
  </si>
  <si>
    <t>Energy-aware Self-Adaptive Middleware for Heterogeneous Parallel Architectures</t>
  </si>
  <si>
    <t>2018 Fifth International Symposium on Innovation in Information and Communication Technology (ISIICT)</t>
  </si>
  <si>
    <t>10.1109/ISIICT.2018.8613291</t>
  </si>
  <si>
    <t>School of Computing, University of Leeds, Leeds, UK; School of Computing, University of Leeds, Leeds, UK</t>
  </si>
  <si>
    <t>Hardware in HPC environments in recent years has become ever more heterogeneous in order to improve computational performance and as an aspect of managing power and energy constraints. This increase in heterogeneity requires middleware abstractions to eliminate additional complexities that it brings. In this paper we present a self-adaptation framework which includes aspects such as automated configuration, deployment and redeployment of applications to different heterogeneous infrastructure. This therefore not only mitigates complexity but aims to take advantage of the existing heterogeneity. The overall result of this paper is a generic event driven self-adaptive system that manages application QoS at runtime, which includes the automatic migration of applications between different accelerated infrastructures. Discussion covers when this migration is appropriate and quantifies the likely benefits.</t>
  </si>
  <si>
    <t>978-1-5386-6224-3</t>
  </si>
  <si>
    <t>https://ieeexplore.ieee.org/stamp/stamp.jsp?arnumber=8613291</t>
  </si>
  <si>
    <t>Self-adaptation;energy modelling;middleware;heterogeneous hardware architectures;application deployment.</t>
  </si>
  <si>
    <t>Hardware;Computer architecture;Quality of service;Clocks;Complexity theory;Software;Monitoring</t>
  </si>
  <si>
    <t>R. Feng; H. Li; D. Xia; C. Huang; W. Tang; L. Zhao; K. Zhang; X. Huang; W. Zhu</t>
  </si>
  <si>
    <t>Design of Comprehensive Energy System Considering Anomaly Detection of Multi-Energy Data</t>
  </si>
  <si>
    <t>10.1109/AIAM57466.2022.00073</t>
  </si>
  <si>
    <t>NARI Group, State Grid Electric Power Research Institute Co., Ltd., Nanjing, China; Liaoyuan Municipal Government Investment Audit Center, Liaoyuan, China; NARI Group, State Grid Electric Power Research Institute Co., Ltd., Nanjing, China; NARI Group, State Grid Electric Power Research Institute Co., Ltd., Nanjing, China; NARI Group, State Grid Electric Power Research Institute Co., Ltd., Nanjing, China; NARI Group, State Grid Electric Power Research Institute Co., Ltd., Nanjing, China; NARI Group, State Grid Electric Power Research Institute Co., Ltd., Nanjing, China; NARI Group, State Grid Electric Power Research Institute Co., Ltd., Nanjing, China; NARI Group, State Grid Electric Power Research Institute Co., Ltd., Nanjing, China</t>
  </si>
  <si>
    <t>Considering miscellaneous data and difficult management and control of all kinds of energy equipment, a comprehensive energy management and control system is designed and a multi-energy data anomaly detection method is proposed. Data architecture of the comprehensive energy system is designed first, and then the major modules are designed, including energy monitoring, power supply and distribution monitoring, energy analysis and energy diagnosis of the system. In view of the system classification architecture, all kinds of user layer system models are designed and illustrated in detail. Finally, the spectral clustering algorithm is improved by replacing the original spectral clustering with small batch average clustering. The data detection results are obtained based on multi-energy data. Through experimental verification, the results show that the proposed method can effectively detect the multi-energy abnormal data.</t>
  </si>
  <si>
    <t xml:space="preserve">Electric Power Research Institute; </t>
  </si>
  <si>
    <t>https://ieeexplore.ieee.org/stamp/stamp.jsp?arnumber=10071446</t>
  </si>
  <si>
    <t>Comprehensive energy;Data architecture;Hierarchical architecture;Spectral clustering;Anomaly detection</t>
  </si>
  <si>
    <t>Industries;Power supplies;Clustering algorithms;Maintenance engineering;Control systems;Manufacturing;Indexes</t>
  </si>
  <si>
    <t>J. Li; J. Qiu; K. Dou; Y. Liu; Y. Cheng; S. Liu; C. Yu; S. Wen; Q. Wang</t>
  </si>
  <si>
    <t>A Reference Architecture and Evaluation Framework for Industrial Internet Platform</t>
  </si>
  <si>
    <t>2019 3rd International Conference on Electronic Information Technology and Computer Engineering (EITCE)</t>
  </si>
  <si>
    <t>10.1109/EITCE47263.2019.9095040</t>
  </si>
  <si>
    <t>Department of Automation, Tsinghua University; China Industrial Control Systems Cyber Emergency Response Team, Beijing, China; China Industrial Control Systems Cyber Emergency Response Team, Beijing, China; China Industrial Control Systems Cyber Emergency Response Team, Beijing, China; China Industrial Control Systems Cyber Emergency Response Team, Beijing, China; China Industrial Control Systems Cyber Emergency Response Team, Beijing, China; China Industrial Control Systems Cyber Emergency Response Team, Beijing, China; China Industrial Control Systems Cyber Emergency Response Team, Beijing, China; China Industrial Control Systems Cyber Emergency Response Team, Beijing, China</t>
  </si>
  <si>
    <t>With the continuous innovation of new-generation information technology and its accelerated integration with manufacturing industry, industrial internet platforms (IIPs) are rapidly emerging worldwide. IIP construction and promotion has become a new competition focus of global leading enterprises, and a new direction of industrial development in various countries. However, the development of IIP is still in exploration, and the industry still lacks unified understanding of the composition, functions and their interrelationships of IIP. As a result, the IIPs construction presents a disorderly development trend, and is faced with problems and challenges of unclearness of development path, indeterminacy of technical system, and unsoundness of business model. So, this paper firstly constructs a reference architecture of IIP to clarify its hierarchical framework and core functions, so as to provide a general reference model for the industry to understand and jointly promote IIP construction. Secondly, an evaluation system is proposed to guide the healthy development of IIP. The evaluation framework is composed from three dimensions namely the foundation guarantee, key capability, value and benefit, and the specific evaluation index system is also given. Finally, the application process and method of IIP evaluation are described with a practical case.</t>
  </si>
  <si>
    <t>978-1-7281-3584-7</t>
  </si>
  <si>
    <t>https://ieeexplore.ieee.org/stamp/stamp.jsp?arnumber=9095040</t>
  </si>
  <si>
    <t>Industrial internet platform (IIP);reference architecture;evaluation framework;evaluation indictor</t>
  </si>
  <si>
    <t>Schedules;Tools;Computer architecture;Technological innovation;Libraries;Industries;Internet</t>
  </si>
  <si>
    <t>J. Zhang; Q. Chen</t>
  </si>
  <si>
    <t>Research on intelligent grain depot system based on information technology</t>
  </si>
  <si>
    <t>10.1049/icp.2022.2380</t>
  </si>
  <si>
    <t>Fujian Agriculture and Forestry University, Fuzhou, China; Fujian Agriculture and Forestry University, Fuzhou, China</t>
  </si>
  <si>
    <t>China is a large agricultural country, the annual grain output in recent years have exceeded one trillion Jin, food security storage problems also followed. So it is very important to develop a measure and control system of grain depot. There are many problems in the current measurement and control system of grain depots in our country, such as the backward sensor technology, high cost, low automation, poor expansibility, lack of information integrated management platform, and a large number of cabling. Therefore, this article unifies the current grain depot construction present situation, proposed the grain cloud design mentality.</t>
  </si>
  <si>
    <t>https://ieeexplore.ieee.org/stamp/stamp.jsp?arnumber=10042308</t>
  </si>
  <si>
    <t>R. Li; J. Sun; X. Yi; S. Cheng; X. Li; Q. Li; X. Li; F. Wang</t>
  </si>
  <si>
    <t>Research on Electric Power Automatic Monitoring System through Intelligent Communication Signal Transmission</t>
  </si>
  <si>
    <t>2022 International Conference on Electronics and Devices, Computational Science (ICEDCS)</t>
  </si>
  <si>
    <t>10.1109/ICEDCS57360.2022.00057</t>
  </si>
  <si>
    <t>State Grid Beijing Electric Power Research Institute, Beijing, China; State Grid Beijing Electric Power Research Institute, Beijing, China; State Grid Beijing Electric Power Research Institute, Beijing, China; State Grid Beijing Electric Power Research Institute, Beijing, China; State Grid Beijing Electric Power Research Institute, Beijing, China; State Grid Beijing Electric Power Research Institute, Beijing, China; State Grid Beijing Electric Power Research Institute, Beijing, China; State Grid Beijing Electric Power Research Institute, Beijing, China</t>
  </si>
  <si>
    <t>This paper proposes a market-oriented power product planning and dispatching scheme. The system is designed to overcome the problems of poor stability and low operating efficiency of conventional metering systems in the electricity market. On this basis, the overall architecture of an integrated service system based on the electricity market is proposed, and the technical level of the system is given. The system consists of access layer, micro-application layer, micro-service layer, data resource layer, data resource layer, and the lower platform layer. The use of integrated technical architecture and technology reduces deficiencies in business interaction, interfaces, data replication, and data transmission to meet future business needs. Practice shows that this scheme has a high level of intelligence and can effectively control the real-time cost of the power grid.</t>
  </si>
  <si>
    <t>978-1-6654-5541-1</t>
  </si>
  <si>
    <t>https://ieeexplore.ieee.org/stamp/stamp.jsp?arnumber=9997058</t>
  </si>
  <si>
    <t>Power supply company;power marketing;marketing automation monitoring system</t>
  </si>
  <si>
    <t>Scientific computing;Power supplies;Computer architecture;Power system stability;Electricity supply industry;Real-time systems;Power markets</t>
  </si>
  <si>
    <t>Y. Han; Y. Zhong; H. Wang</t>
  </si>
  <si>
    <t>Overview of Network Outage Detection Technology in 5G</t>
  </si>
  <si>
    <t>2020 International Wireless Communications and Mobile Computing (IWCMC)</t>
  </si>
  <si>
    <t>10.1109/IWCMC48107.2020.9148527</t>
  </si>
  <si>
    <t>Institute of mathematics and computer science, Guangdong Ocean University, Zhanjiang, China; Haidong Middle School, Pranch of Zhanjiang No.2 Middle School, Zhanjiang, China; State Key Laboratory of High-end Server &amp; Storage Technology Inspur Electronic Information Industry Co.,Ltd, Jinan, China</t>
  </si>
  <si>
    <t>Understanding the network outage is beneficial to improve and enhance the security of the network. Detecting the outage can easily locate the event source and estimate the spread of the outage. Large-scale network outages will seriously affect the normal operation of network services and infrastructure. This study summarizes and compares the existing methods of network outage detection, and looks forward to future research on network interruptions, to provide a reference for the subsequent research on network security in 5G.</t>
  </si>
  <si>
    <t>978-1-7281-3129-0</t>
  </si>
  <si>
    <t>https://ieeexplore.ieee.org/stamp/stamp.jsp?arnumber=9148527</t>
  </si>
  <si>
    <t>network outage;5G;detection method;network security</t>
  </si>
  <si>
    <t>Internet;Complexity theory;Current measurement;Electronic mail;Monitoring;Routing;Data processing</t>
  </si>
  <si>
    <t>D. Conzon; C. Pastrone; P. Vlacheas; S. M. Toral; F. Morentin; T. Sankal; G. Pavlidis; E. Ingemarsdotter; A. Perego; J. Arenas; R. Schmitt</t>
  </si>
  <si>
    <t>ECOFACT Platform Architecture Supporting Manufacturing Energy Management and Holistic Sustainability</t>
  </si>
  <si>
    <t>2022 IEEE 8th World Forum on Internet of Things (WF-IoT)</t>
  </si>
  <si>
    <t>10.1109/WF-IoT54382.2022.10152056</t>
  </si>
  <si>
    <t>LINKS Foundation, Turin, Italy; LINKS Foundation, Turin, Italy; WINGS ICT Solutions, Greece; Fundacion CARTIF, Spain; Fundacion CARTIF, Spain; Fraunhofer IPT, Germany; CERTH, Greece; PRE CONSULTANTS BV, Netherlands; One Team, Italy; Smarkia Energy, Spain; RWTH Aachen, Germany</t>
  </si>
  <si>
    <t>The European Union (EU) manufacturing industry of the future needs to be led by the decarbonisation imperative and by those drivers of change leading the 4th Industrial Revolution, e.g. digital transformation, greater circularity and resource efficiency. In this work, the authors introduce a new platform based on layered architecture that integrates several assets, enabling manufacturing industries to optimize the en-ergy performance of their production systems in line with their relevant constraints. The platform will be developed in the context of the ECOFACT project as a component of an holistic solution spanning from cloud to edge that will allow integrating energy-related information through the uptake of advanced Information and communication technologies (ICT) and digital solutions, while contributing to reduced environmental footprint and enhanced integral sustainability in manufacturing management.</t>
  </si>
  <si>
    <t>978-1-6654-9153-2</t>
  </si>
  <si>
    <t>https://ieeexplore.ieee.org/stamp/stamp.jsp?arnumber=10152056</t>
  </si>
  <si>
    <t>Internet of Things (IoT);industry 4.0;digitalization;energy efficiency;sustainability</t>
  </si>
  <si>
    <t>Manufacturing industries;Production systems;Production management;Europe;Low-carbon economy;Information and communication technology;Fourth Industrial Revolution</t>
  </si>
  <si>
    <t>Conference program [Book of abstracts]</t>
  </si>
  <si>
    <t>2019 IEEE International Conference on Signal Processing, Communications and Computing (ICSPCC)</t>
  </si>
  <si>
    <t>10.1109/ICSPCC46631.2019.8960727</t>
  </si>
  <si>
    <t>978-1-7281-1708-9</t>
  </si>
  <si>
    <t>https://ieeexplore.ieee.org/stamp/stamp.jsp?arnumber=8960727</t>
  </si>
  <si>
    <t>J. L. Reategui</t>
  </si>
  <si>
    <t>Wood wide web design. A computational model to adapt the cities design with mycorrhizal networks</t>
  </si>
  <si>
    <t>2022 IEEE International Humanitarian Technology Conference (IHTC)</t>
  </si>
  <si>
    <t>10.1109/IHTC56573.2022.9998366</t>
  </si>
  <si>
    <t>Facultad de Arquitectura, Universidad Peruana de Ciencias Aplicadas, Lima, Per√∫</t>
  </si>
  <si>
    <t>The design and construction of architectural objects and cities design seeks to relate to their environment through local data collection systems that understand the environment as a static system related with bio dynamics where trees represent a community with low interaction. It was demonstrated that almost all forests in the world are communities with trees in constant communication through mycorrhiza fungi, forming an essential part of the forest's livelihood, its resilience, and ability to adapt to human intervention events. This research proposes a computational model designed to incorporate vectors into a parametric design system with the aim of showing nutrient flows based in the link between trees and mycorrhiza fungi in project intervention areas and existing construction, connecting the cities design proposals and building and cities performance analysis with the objectives of contribute to conserving, protecting, and restoring life on earth in a post-carbon era from architecture, urban design, and landscaping. These vectors are the result of the analysis of orchid health and the use satellite images in different bands, all this process is supported by machine learning, Internet of Things, edge and cloud computing technologies.</t>
  </si>
  <si>
    <t>978-1-6654-9034-4</t>
  </si>
  <si>
    <t>https://ieeexplore.ieee.org/stamp/stamp.jsp?arnumber=9998366</t>
  </si>
  <si>
    <t>Mycorrhizal networks;IoT;machine learning;SDG 13;SDG 15;edge computing;cloud computing;Grasshoppper3D;Sentinel-2</t>
  </si>
  <si>
    <t>Fungi;Adaptation models;Satellites;Web design;Computational modeling;Urban areas;Vegetation</t>
  </si>
  <si>
    <t>A. K. Agarwal; R. K. Jindal; D. Chaudhary; R. G. Tiwari; M. Sharma</t>
  </si>
  <si>
    <t>Security and Privacy Concerns in the Internet of Things: A Comprehensive Review</t>
  </si>
  <si>
    <t>2022 11th International Conference on System Modeling &amp; Advancement in Research Trends (SMART)</t>
  </si>
  <si>
    <t>2767-7362</t>
  </si>
  <si>
    <t>10.1109/SMART55829.2022.10047657</t>
  </si>
  <si>
    <t>Department of Computer Science and Engineering, School of Engineering and Technology, Sharda University, Greater Noida, India; Dy. Registrar National Institute of Design, Ahmedabad; Swastik Agro Foods; Chitkara University Institute of Engineering and Technology, Chitkara University, Punjab, India; Chitkara University Institute of Engineering and Technology, Chitkara University, Punjab, India</t>
  </si>
  <si>
    <t>Real objects such as appliances, automobiles, and other gadgets are part of the Internet of Things. This network offers data transmission between these things to allow for a high level of integration of the physical world into the digital system. Smart cities and technological activities built on the Internet of Things require the most significant aspects of information security to function correctly. This research focuses on the efficient security management techniques for IoT that can be applied in smart cities, smart homes, industry, and many applications.</t>
  </si>
  <si>
    <t>978-1-6654-8734-4</t>
  </si>
  <si>
    <t>https://ieeexplore.ieee.org/stamp/stamp.jsp?arnumber=10047657</t>
  </si>
  <si>
    <t>Blockchain;IoT;Security;Privacy</t>
  </si>
  <si>
    <t>Industries;Privacy;Smart cities;Digital systems;Security management;Information security;Smart homes</t>
  </si>
  <si>
    <t>D. Karadimas; C. Panagiotou; J. Gialelis; C. Chousiadas; N. Panagis; S. Koubias</t>
  </si>
  <si>
    <t>Data Simulation as a Service: The I3T Paradigm on the IoT</t>
  </si>
  <si>
    <t>2019 8th Mediterranean Conference on Embedded Computing (MECO)</t>
  </si>
  <si>
    <t>10.1109/MECO.2019.8760105</t>
  </si>
  <si>
    <t>Industrial Systems Institute, ATHENA Research and Innovation Centre, Patras, Greece; Industrial Systems Institute, ATHENA Research and Innovation Centre, Patras, Greece; Industrial Systems Institute, ATHENA Research and Innovation Centre, Patras, Greece; Industrial Systems Institute, ATHENA Research and Innovation Centre, Patras, Greece; Industrial Systems Institute, ATHENA Research and Innovation Centre, Patras, Greece; Industrial Systems Institute, ATHENA Research and Innovation Centre, Patras, Greece</t>
  </si>
  <si>
    <t>This paper describes the architecture of a new cloud-based tool that focuses on the simulation of data generation from CPS/IoT devices and services. The paper defines the problem statement that the tool addresses and positions itself with respect to the current state of the art. The architectural overview of the tool and the adopted technologies are presented in detail. Finally, the status of the work in progress is presented along with the forthcoming steps.</t>
  </si>
  <si>
    <t>978-1-7281-1740-9</t>
  </si>
  <si>
    <t>https://ieeexplore.ieee.org/stamp/stamp.jsp?arnumber=8760105</t>
  </si>
  <si>
    <t>IoT;CPS;cloud;simulated data</t>
  </si>
  <si>
    <t>Tools;Data models;Artificial intelligence;Computer architecture;Computational modeling;Internet of Things;Power demand</t>
  </si>
  <si>
    <t>H. Yu; H. Fang</t>
  </si>
  <si>
    <t>Application of Active Emergency Repair Method Based on Comprehensive Intelligent Research and Identification</t>
  </si>
  <si>
    <t>10.1109/ICISCE50968.2020.00077</t>
  </si>
  <si>
    <t>NARI GROUP CORPORATION/STATE GRID ELECTRIC, POWER RESEARCH INSTITUTE, Nanjing, China; NARI GROUP CORPORATION/STATE GRID ELECTRIC, POWER RESEARCH INSTITUTE, Nanjing, China</t>
  </si>
  <si>
    <t>Distribution network emergency repair is the most important daily work of the electric power company‚Äôs dispatch management. It has high requirements on timeliness and accuracy. At present, distribution network emergency repairs mainly rely on customer repairs. And the fault information from a certain single system makes the research and judgment logic limited. This traditional passive repair mode initiated by customer repairs no longer meet the requirements of modern distribution network repairs, so Effective fault analysis and identification strategies play an important role in improving the efficiency of emergency repair. This paper proposes an active repair method based on comprehensive intelligent research and identification. And a technical support system based on microservices architecture technology that is more flexible and lower in coupling than a single architecture is established. This system based on containerized deployment is widely used in the emergency repair business of Shanxi Power Supply Service System, and good application results are achieved.</t>
  </si>
  <si>
    <t>https://ieeexplore.ieee.org/stamp/stamp.jsp?arnumber=9532485</t>
  </si>
  <si>
    <t>Active Emergency Repair;microservices;comprehensive intelligent research and identification;containerized deployment</t>
  </si>
  <si>
    <t>Fault diagnosis;Couplings;Information science;Control engineering;Power supplies;Standards organizations;Distribution networks</t>
  </si>
  <si>
    <t>T. Chu; A. Mayoral-Banos; S. Chen; R. Hartani</t>
  </si>
  <si>
    <t>Increasing Renewable Energy Penetration through Strategic Deployment of IoT Devices</t>
  </si>
  <si>
    <t>2018 IEEE Electrical Power and Energy Conference (EPEC)</t>
  </si>
  <si>
    <t>2381-2842</t>
  </si>
  <si>
    <t>10.1109/EPEC.2018.8598288</t>
  </si>
  <si>
    <t>MOAI Solutions Inc, Toronto, Canada; Indigenous Friends Association, Toronto, Canada; York University, Toronto, Canada; Xona Partners, Vancouver, Canada</t>
  </si>
  <si>
    <t>Renewable energy penetration can be increased by the use of IoT connected devices. The focus of optimization should be less on individual devices, but rather on the networked effect of millions of devices together. By implementing global optimization on electrical loads, it may be possible to eliminate the need for fossil fuel-based electricity generation in certain jurisdictions.</t>
  </si>
  <si>
    <t>978-1-5386-5419-4</t>
  </si>
  <si>
    <t>https://ieeexplore.ieee.org/stamp/stamp.jsp?arnumber=8598288</t>
  </si>
  <si>
    <t>Demand Response;Internet of Things (IoT);Feedforward Preference Data;Load Balancing;Load Matching</t>
  </si>
  <si>
    <t>Load management;Optimization;Internet of Things;Feedforward systems;Real-time systems;Energy storage;Conferences</t>
  </si>
  <si>
    <t>C. Li</t>
  </si>
  <si>
    <t>Key technologies of cloud computing oriented carbon footprint quantification model</t>
  </si>
  <si>
    <t>10.1049/icp.2022.2533</t>
  </si>
  <si>
    <t>Faculty of Bigdata and Computing, Guangdong Baiyun University, Guangzhou, China</t>
  </si>
  <si>
    <t>With the rapid development of cloud computing (CC) technology, more and more enterprises begin to adopt advanced concepts and methods to improve their core competitiveness. As an important quantitative indicator, carbon footprint can effectively reflect the carbon emissions of a region or country. Therefore, based on CC, this paper studies the key technologies of carbon footprint quantification model. Firstly, this paper expounds the concept and characteristics of carbon footprint, then introduces the basic principles and research ideas of CC, then designs and studies the carbon footprint model, and tests the performance of the model by using the simulation data running environment. Finally, the test results show that the total consumption time of the carbon footprint quantification model based on CC is short, and the carbon emissions can be accurately calculated. This shows that the model can meet the needs of users.</t>
  </si>
  <si>
    <t>https://ieeexplore.ieee.org/stamp/stamp.jsp?arnumber=10042353</t>
  </si>
  <si>
    <t>S. Zheng; Y. Chen</t>
  </si>
  <si>
    <t>A Cloud Resource Scheduling Method Based on Multi-dimensional Service Evaluation</t>
  </si>
  <si>
    <t>2022 IEEE 4th International Conference on Civil Aviation Safety and Information Technology (ICCASIT)</t>
  </si>
  <si>
    <t>10.1109/ICCASIT55263.2022.9986827</t>
  </si>
  <si>
    <t>Strategic Development Research Institute, Beijing Research Institute of China Telecom, Beijing, China; Strategic Development Research Institute, Beijing Research Institute of China Telecom, Beijing, China</t>
  </si>
  <si>
    <t>With the continuous evolution of cloud computing technology, cloud resources can carry complex and diverse service applications. Different services have different requirements on cloud resources, and task scheduling is difficult, affecting the stability of cloud environment. In order to improve the overall utilization level of cloud resources, this paper proposes a cloud resource scheduling method based on multidimensional service evaluation (CSMSE), which monitors global real-time resources, allocates cloud resources according to service classification results, and achieves global optimal scheduling. Finally, we choose CloudSim for experiment. The results show that the algorithm can effectively improve the utilization of cloud resources compared with the traditional scheduling method, and guarantee the priority scheduling of services with high development possibility.</t>
  </si>
  <si>
    <t>978-1-6654-6766-7</t>
  </si>
  <si>
    <t>https://ieeexplore.ieee.org/stamp/stamp.jsp?arnumber=9986827</t>
  </si>
  <si>
    <t>cloud;service;scheduling;CloudSim</t>
  </si>
  <si>
    <t>Cloud computing;Processor scheduling;Simulation;Optimal scheduling;Scheduling;Stability analysis;Real-time systems</t>
  </si>
  <si>
    <t>A. Gupta; P. Prabhat; B. Gulzar</t>
  </si>
  <si>
    <t>Personal-Internet-of-Things (PIoT): A vision for hyper-personalization delivered securely</t>
  </si>
  <si>
    <t>2022 IEEE Delhi Section Conference (DELCON)</t>
  </si>
  <si>
    <t>10.1109/DELCON54057.2022.9753314</t>
  </si>
  <si>
    <t>Department of Computer Science &amp; Engineering, Model Institute of Engineering &amp; Technology, Jammu, India; Department of Computer Science &amp; Engineering, Model Institute of Engineering &amp; Technology, Jammu, India; Department of Computer Science &amp; Engineering, Model Institute of Engineering &amp; Technology, Jammu, India</t>
  </si>
  <si>
    <t>The Personal-Internet-of-Things (PIoT) is an emerging domain encompassing devices, appliances, sensors, data, storage and computing performed in context of an individual and her environment. The data generated by individual sensors/devices is utilized by custom and third-party services to provide a high degree of personalization, automation and convenience to the user. The generated data is personal in nature requiring user-privacy to be preserved. It requires further aggregation from diverse sources and travels between the user home premises and the cloud, making it susceptible to security risks. Thus, user privacy, data security and device security need to be ensured to realize the vision of the PIoT and enable exciting new applications in the domain. This research paper proposes an architecture which delivers the hyper-personalization and smart automation vision of the PIoT in a secure and privacy preserving manner. Open issues and future work in the domain are also discussed.</t>
  </si>
  <si>
    <t>978-1-6654-5883-2</t>
  </si>
  <si>
    <t>https://ieeexplore.ieee.org/stamp/stamp.jsp?arnumber=9753314</t>
  </si>
  <si>
    <t>Personal Internet of Things;hyper-personalization;lightweight blockchains;microservices</t>
  </si>
  <si>
    <t>Performance evaluation;Privacy;Home appliances;Data privacy;Automation;IEEE Sections;Data security</t>
  </si>
  <si>
    <t>M. Maliosz; C. Simon; D. Balla; A. T. Phan Ngo; D. G√©hberger</t>
  </si>
  <si>
    <t>Scaling in OpenStack Using Client Feedback</t>
  </si>
  <si>
    <t>2018 41st International Conference on Telecommunications and Signal Processing (TSP)</t>
  </si>
  <si>
    <t>10.1109/TSP.2018.8441221</t>
  </si>
  <si>
    <t>HSN Lab, Budapest University of Technology and Economics, Budapest, Hungary; HSN Lab, Budapest University of Technology and Economics, Budapest, Hungary; HSN Lab, Budapest University of Technology and Economics, Budapest, Hungary; HSN Lab, Budapest University of Technology and Economics, Budapest, Hungary; HSN Lab, Budapest University of Technology and Economics, Budapest, Hungary</t>
  </si>
  <si>
    <t>Horizontal scaling in cloud systems provides adaptation in the virtual infrastructure of the services according to the changing loads. By automatic scaling the system reacts based on measured metrics regarding the operational properties of the virtual infrastructure, however, it is not easy to decide when to initiate the scaling. This paper evaluates CPU utilization based automatic scaling and proposes a new method where direct feedback from the clients is incorporated into the decision when a scaling operation has to be started. We demonstrate the usability of this new method in a Video on Demand service case study. We show that using client feedback on the perceived playback quality supports more accurate decision making when to scale, avoiding unnecessarily scale out events that also leads to cost savings.</t>
  </si>
  <si>
    <t>978-1-5386-4695-3</t>
  </si>
  <si>
    <t>https://ieeexplore.ieee.org/stamp/stamp.jsp?arnumber=8441221</t>
  </si>
  <si>
    <t>cloud;scaling;feedback;OpenStack</t>
  </si>
  <si>
    <t>Servers;Cloud computing;Measurement;Streaming media;Load management;Media;Proposals</t>
  </si>
  <si>
    <t>S. Johanning; N. Retzlaff; P. L√§mmel; B. Dittwald; T. Bruckner</t>
  </si>
  <si>
    <t>LabChain: an Interactive Prototype for Synthetic Peer-to-Peer Trade Research in Experimental Energy Economics</t>
  </si>
  <si>
    <t>2020 17th International Conference on the European Energy Market (EEM)</t>
  </si>
  <si>
    <t>2165-4093</t>
  </si>
  <si>
    <t>10.1109/EEM49802.2020.9221919</t>
  </si>
  <si>
    <t>Institute for Infrastructure and Resources Management (IIRM), Leipzig University; Institute for Infrastructure and Resources Management (IIRM), Leipzig University; Fraunhofer Institute for Open Communication Systems, FOKUS; Fraunhofer Institute for Open Communication Systems, FOKUS; Institute for Infrastructure and Resources Management (IIRM), Leipzig University</t>
  </si>
  <si>
    <t>Blockchain-based peer-to-peer (P2P) electricity markets received considerable attention in the past years, leading to a rich variety of proposed market designs. Yet, little comparability and consensus exists on optimal market design, also due to a lack of common evaluation and benchmarking infrastructure.This article describes LabChain, an interactive prototype as research infrastructure for conducting experiments in (simulated) P2P electricity markets involving real human actors. The software stack comprises: (i) an (open) data layer for experiment configuration, (ii) a blockchain layer to reliably document bids and transactions, (iii) an experiment coordination layer and (iv) a user interface layer for participant interactions.As evaluation environment for human interactions within a laboratory setting, researchers can investigate patterns based on energy system and market setup and can compare and evaluate designs under real human behavior allowing alignment of intentions and outcomes. This contributes to the evaluation and benchmarking infrastructure discourse.</t>
  </si>
  <si>
    <t>978-1-7281-6919-4</t>
  </si>
  <si>
    <t>https://ieeexplore.ieee.org/stamp/stamp.jsp?arnumber=9221919</t>
  </si>
  <si>
    <t>Peer-to-Peer Energy Trade;Blockchain;Experimental Energy Economics;Market Design;Research Infrastructure</t>
  </si>
  <si>
    <t>Laboratories;Prototypes;Benchmark testing;User interfaces;Electricity supply industry;Reliability engineering;Software</t>
  </si>
  <si>
    <t>A. Scionti; P. Ruiu; O. Terzo; J. Nider; C. Petrie; N. Baldoni</t>
  </si>
  <si>
    <t>OPERA: A Low Power Approach to the Next Generation Cloud Infrastructures</t>
  </si>
  <si>
    <t>2016 Euromicro Conference on Digital System Design (DSD)</t>
  </si>
  <si>
    <t>10.1109/DSD.2016.63</t>
  </si>
  <si>
    <t>Istituto Superiore Mario Boella (lSMB), Torino, Italy; Istituto Superiore Mario Boella (lSMB), Torino, Italy; Istituto Superiore Mario Boella (lSMB), Torino, Italy; IBM Research and Development, Haifa Research Lab; Nallatech Ltd., Glasgow, UK; Teseo S.p.A, Torino, Italy</t>
  </si>
  <si>
    <t>The continuous evolution of information and communication technology has led to a change in the adopted computing paradigms over time. Cloud computing is an emerging paradigm in which users, depending on their specific requirements, access to a shared pool of computing resources dynamically allocated. Cloud computing represents, with respect to Grid computing, the evolutionary step towards the implementation of a ubiquitous computing service. Such paradigm leverages on the infrastructural capabilities (compute, storage, and network) of modern data centers to provide an adequate level of computational power able to satisfy users' requests. However, trying to continuously increase such capabilities comes at the cost of an increased energy consumption. Energy efficiency is, therefore, one of the major challenges that cloud providers must address. The OPERA project aims at bringing innovative solutions to increase the energy efficiency of cloud infrastructures, by leveraging on modular, high-density, heterogeneous and low power computing systems, which are able to cover the whole computing continuum. To this end, the project will design a high-density server solution in which low power processors and FPGA devices will be used to accelerate cloud workloads. High-speed optical interconnections will be used to connect the proposed server with high-performance nodes, such as OpenPOWER-based machines. Cyber-Physical Systems (CPS) represents a natural extension of cloud infrastructures since they can collect and process data locally, more specifically where they were generated. OPERA aims at researching energy efficiency of such cloud end-nodes by designing an ultra-low power computing system with reconfigurable radio frequency capabilities. The effectiveness of the whole platform will be demonstrated with key scenarios, specifically a road traffic monitoring application, the deployment of a virtual desktop infrastructure, and the deployment of a small data center on a truck.</t>
  </si>
  <si>
    <t>978-1-5090-2817-7</t>
  </si>
  <si>
    <t>https://ieeexplore.ieee.org/stamp/stamp.jsp?arnumber=7723570</t>
  </si>
  <si>
    <t>Cloud infrastructure;heterogeneity;FPGA;energy efficiency</t>
  </si>
  <si>
    <t>Cloud computing;Program processors;Field programmable gate arrays;Servers;Hardware;Acceleration;Low-power electronics</t>
  </si>
  <si>
    <t>D. B. Abdullah; Z. N. Al-Kateeb</t>
  </si>
  <si>
    <t>Prospects and Challenges of the Cloud of Things in Telemedicine</t>
  </si>
  <si>
    <t>2022 8th International Conference on Contemporary Information Technology and Mathematics (ICCITM)</t>
  </si>
  <si>
    <t>10.1109/ICCITM56309.2022.10031829</t>
  </si>
  <si>
    <t>Department of Computer Science, College of Computer Science and Mathematics, University of Mosul, Mosul, Iraq; Department of Computer Science, College of Computer Science and Mathematics, University of Mosul, Mosul, Iraq</t>
  </si>
  <si>
    <t>Several works have intensive on modeling telemedicine smart by merging the Internet of Things (IoT) with cloud computing technology to produce what is called the Cloud of Things (CoT). Cloud of Things (CoT) has grown as the greatest promising technology in academics and industry for novelty. Cat assists numerous developing sectors such as health, energy, smart home, and vehicle. IoT devices are playing an important role in patient health monitoring. Some connected devices are assisting in the creation of smart hospitals, improving patients‚Äô lives, and improving the conditions of care for the elderly in areas where patient care mechanisms can be improved. This study discusses the concept of integrated health care with CoT and its current position in this direction. In addition, it supplements the literature with a systematic review covering the location of the technology in a home or hospital. It also presents the most important classification of challenges and issues that impede the advancement of this technology.</t>
  </si>
  <si>
    <t>979-8-3503-3486-9</t>
  </si>
  <si>
    <t>https://ieeexplore.ieee.org/stamp/stamp.jsp?arnumber=10031829</t>
  </si>
  <si>
    <t>Cloud of Things;Telemedicine;Internet of Things;cloud computing</t>
  </si>
  <si>
    <t>Cloud computing;Systematics;Power demand;Hospitals;Telemedicine;Scalability;Standardization</t>
  </si>
  <si>
    <t>M. Guangyao; J. Bate; W. Guobin; W. Lele; L. Hui; Z. Qiang; M. Jun</t>
  </si>
  <si>
    <t>Applications of Smart Energy Integrated Service Platform in Optimization of Energy Utilization of Customers</t>
  </si>
  <si>
    <t>2021 International Conference on Artificial Intelligence, Big Data and Algorithms (CAIBDA)</t>
  </si>
  <si>
    <t>10.1109/CAIBDA53561.2021.00014</t>
  </si>
  <si>
    <t>State Grid Ningxia Marketing Service Center (State Grid Ningxia Metrology Center), Yinchuan; State Grid Ningxia Electric Power Co., Ltd Ningdong Power Supply Company, Yinchuan; State Grid Ningxia Marketing Service Center (State Grid Ningxia Metrology Center), Yinchuan; State Grid Ningxia Marketing Service Center (State Grid Ningxia Metrology Center), Yinchuan; State Grid Ningxia Marketing Service Center (State Grid Ningxia Metrology Center), Yinchuan; NARI Technology Co., Ltd., Nanjing; NARI Technology Co., Ltd., Nanjing</t>
  </si>
  <si>
    <t>In the new era, comprehensive energy service has gradually become an important development direction to promote the high-quality development of energy industry and boost the development of real economy. The construction of smart integrated energy service platform is the internal demand for energy service enterprises to transform into integrated energy service providers, and is a solution to provide comprehensive energy support services for power users. The platform is divided into perception layer, acquisition layer, network layer, platform layer, application layer and display layer from bottom to top. Its main functions include energy regulation, energy efficiency analysis, smart operation, energy trading and smart dispatching. The construction of smart energy comprehensive service platform can provide customers with more high-quality, more convenient and more comprehensive energy value-added services, and constantly create more value for customers. Practice has proved that the implementation of smart energy integrated service platform can greatly reduce the monthly energy cost, monthly power load of the park and monthly coal consumption in park and enhance the indexes of monthly active users and customer satisfaction.</t>
  </si>
  <si>
    <t>978-1-6654-2490-5</t>
  </si>
  <si>
    <t>https://ieeexplore.ieee.org/stamp/stamp.jsp?arnumber=9545981</t>
  </si>
  <si>
    <t>Smart energy system;Integrated service platform;Optimization of energy utilization</t>
  </si>
  <si>
    <t>Industries;Green products;Transforms;Maintenance engineering;Energy efficiency;Regulation;Dispatching</t>
  </si>
  <si>
    <t>M. Lazzaro; G. Patern√≤; J. Vali√±o; D. G. Fern√°ndez; J. Landeck; A. P√©rez-Ortiz; √í. C√†mara; P. A. Gkaidatzis; A. Tryferidis; D. Tzovaras</t>
  </si>
  <si>
    <t>Smart ICT framework for the intelligent management of different modern energy systems</t>
  </si>
  <si>
    <t>2019 IEEE International Conference on Environment and Electrical Engineering and 2019 IEEE Industrial and Commercial Power Systems Europe (EEEIC / I&amp;CPS Europe)</t>
  </si>
  <si>
    <t>10.1109/EEEIC.2019.8783709</t>
  </si>
  <si>
    <t>Research and Development Department, Engineering Ingegneria Informatica S.p.A., Palermo, Italy; Research and Development Department, Engineering Ingegneria Informatica S.p.A., Palermo, Italy; Energy Sector Atos Research and Innovation, Santander, Spain; Internet of Everything Lab Atos Research and Innovation, Santander, Spain; Virtual Power Solutions, Coimbra, Portugal; Sistemes Avan√ßats d'Energia Solar, T√®rmica SCCL, Barcelona, Spain; Sistemes Avan√ßats d'Energia Solar, T√®rmica SCCL, Barcelona, Spain; Information Technologies Institute, Centre for Research and Technology, Hellas Thessaloniki, Greece; Information Technologies Institute, Centre for Research and Technology, Hellas Thessaloniki, Greece; Information Technologies Institute, Centre for Research and Technology, Hellas Thessaloniki, Greece</t>
  </si>
  <si>
    <t>As the evolution of new cutting-edge energy technologies gain more and more momentum, modern power systems require higher capability in controlling all the devices and equipment that are able to handle processes for smartening the typical usage of the energy resources. This is the case of Renewable Energy Sources and Distributed Generation, innovative energy storage systems, electromobility programs, etc. The inteGRIDy project aims to offer a unique approach and an integrated software solution for managing all the energy processes within a smart modern energy context, from the measurement and collection of data from the field, to the smart elaboration of the information related to these data, ending with the graphical representation and interface with the human actors interacting with this framework. The management of the data exchanged and data storage are handled as well. In this paper, the methodology adopted to design the inteGRIDy Reference Architecture and the layered structure of the Architecture itself are presented. All the different processes entailed by the management approach provided are described and detailed layer by layer, as their benefits for the energy system under control.</t>
  </si>
  <si>
    <t>978-1-7281-0653-3</t>
  </si>
  <si>
    <t>https://ieeexplore.ieee.org/stamp/stamp.jsp?arnumber=8783709</t>
  </si>
  <si>
    <t>ICT;smart grid;Electric Vehicle;energy storage;Renewable Energy Sources</t>
  </si>
  <si>
    <t>Computer architecture;Tools;Security;Middleware;Energy resources;Energy storage;Smart grids</t>
  </si>
  <si>
    <t>E. Zharikov; O. Rolik; S. Telenyk</t>
  </si>
  <si>
    <t>A Decomposition Approach to Hierarchical Management of Cloud Data Center Services</t>
  </si>
  <si>
    <t>2018 IEEE 13th International Scientific and Technical Conference on Computer Sciences and Information Technologies (CSIT)</t>
  </si>
  <si>
    <t>10.1109/STC-CSIT.2018.8526764</t>
  </si>
  <si>
    <t>Department of Automation and Control in Technical Systems, ‚ÄúIgor Sikorsky Kyiv Polytechnic Institute‚Äù, Kyiv, Ukraine; Department of Automation and Control in Technical Systems, ‚ÄúIgor Sikorsky Kyiv Polytechnic Institute‚Äù, Kyiv, Ukraine; Cracow University of Technology, Cracow, Poland</t>
  </si>
  <si>
    <t>Combining centralized and distributed management within hierarchical management system of cloud data center allows to ensure the scalability and to determine the global system state. The authors apply the hierarchy theory by decomposing a cloud data center into an infrastructure, a platform and application layers each consisted of processes that can be managed separately while taking into account different objectives. The authors propose the architecture of a multilayer hierarchical management system for the complex object such as cloud data center. The proposed architecture combines traditional resource management techniques with templates and configuration management on higher layers of the hierarchical model. It allows controlling information services of a cloud data center on the criterion of minimizing costs and minimizing the deviation of the quality of service parameters from the given ones. The proposed model can also be used to assess the effectiveness of the service management by the quality of provided services, by the cost of using data center resources and by the cost of SLA violation penalty.</t>
  </si>
  <si>
    <t>978-1-5386-6464-3</t>
  </si>
  <si>
    <t>https://ieeexplore.ieee.org/stamp/stamp.jsp?arnumber=8526764</t>
  </si>
  <si>
    <t>IT infrastructure;cloud data center;hierarchical management;quality of services;resource management</t>
  </si>
  <si>
    <t>Data centers;Cloud computing;Nonhomogeneous media;Information services;Software;Quality of service;Computational modeling</t>
  </si>
  <si>
    <t>V. Myachin; D. Efanov; G. Osadchy; I. Aganov; V. Khoroshev</t>
  </si>
  <si>
    <t>Architecture of a Universal Monitoring System for Transport Infrastructure Facilities</t>
  </si>
  <si>
    <t>2021 11th IEEE International Conference on Intelligent Data Acquisition and Advanced Computing Systems: Technology and Applications (IDAACS)</t>
  </si>
  <si>
    <t>2770-4254</t>
  </si>
  <si>
    <t>10.1109/IDAACS53288.2021.9660848</t>
  </si>
  <si>
    <t>LLC Research and Design Institute for Territorial Development and Transport Infrastructure, St. Petersburg, Russian Federation; Scientific and Technical Center ‚ÄúIntegrated Monitoring Systems‚Äù LLC, St. Petersburg, Russian Federation; Scientific and Technical Center ‚ÄúIntegrated Monitoring Systems‚Äù LLC, St. Petersburg, Russian Federation; Scientific and Technical Center ‚ÄúIntegrated Monitoring Systems‚Äù LLC, St. Petersburg, Russian Federation; Russian University of Transport (MIIT), Moscow, Russian Federation</t>
  </si>
  <si>
    <t>Based on many years of experience in the development and implementation of systems of continuous monitoring of transport infrastructure facilities, the authors have designed an architecture that allows the most efficient and rational arrangement of such systems. The paper notes the need for and importance of universalizing the development, design and implementation of technical diagnostics and monitoring systems of transport infrastructure facilities. It also gives detailed description of universal monitoring system architecture, as well as a roadmap for the development of universal hardware and software platform for this system. Main components of monitoring systems are de-fined. Recommendations are given to be followed when developing the monitoring systems. It is emphasized that a monitoring system can and should be built to make ‚Äúenergy management‚Äù possible through minimization of both energy consumption for implementation of operating procedures and reduction of the carbon footprint from the transport infrastructure facilities. Monitoring systems should be a means that help to build highly immune and energy efficient ‚Äúgreen‚Äù transport infrastructure facilities.</t>
  </si>
  <si>
    <t>978-1-6654-2605-3</t>
  </si>
  <si>
    <t>https://ieeexplore.ieee.org/stamp/stamp.jsp?arnumber=9660848</t>
  </si>
  <si>
    <t>technical diagnostics and monitoring system;technical immunity;universality;system architecture;energy efficiency;minimal carbon footprint;high-immunity systems</t>
  </si>
  <si>
    <t>Industries;Systems architecture;Computer architecture;Minimization;Energy efficiency;Software;Regulation</t>
  </si>
  <si>
    <t>A. Mustafa; B. Syangtan; A. Maag; A. Elchouemi</t>
  </si>
  <si>
    <t>A review of Blockchain-based batch authentication techniques for securing the Internet of Vehicles</t>
  </si>
  <si>
    <t>2021 6th International Conference on Innovative Technology in Intelligent System and Industrial Applications (CITISIA)</t>
  </si>
  <si>
    <t>10.1109/CITISIA53721.2021.9719878</t>
  </si>
  <si>
    <t>Study Group Australia, Sydney, Australia; Study Group Australia, Sydney, Australia; Western Sydney University, Australia; American Public University System, USA</t>
  </si>
  <si>
    <t>Batch authentication technique and blockchain technology have been used for the IoV to maintain vehicle communication and eliminate accidents. It has been specified that blockchain technology acts as an emerging technology that establishes the wireless connection within the vehicle for effective communication. This research aims to cover the Internet of vehicle's concept by reviewing the currently published research articles that are assorted based on the technique, technology, and area of interest to have a secured internet of vehicle communication. Moreover, the research work had involved the secondary research method for collecting relevant research articles, i.e., literature review, which was dependent on the theoretical data and information. It has been analysed that the expected finding of the research work was about the security and secured connection between two vehicles to communicate easily and coherently.Moreover, this had helped in eliminating the accident cases and maintains the communication channel. Hence, it has been concluded that the batch authentication technique and blockchain technology are the significant aspects that assist in the reduction of accidents and security issues at the wireless level. This works a contributory role in investigating the current solutions, which depends on the batch authentication techniques for IoV and valuable insights for eliminating accidents. The study demonstrated a major component, i.e., Internet of vehicle data, Batch authentication process, secured authentication access, and Evaluation which is further evaluated to examine the system efficiency. The system architecture was also designed by considering different components and techniques that maintain the security level through batch authentication. Further, the system was verified through a term frequency graph demonstrating the frequent number of terms repeated in the review section.</t>
  </si>
  <si>
    <t>978-1-6654-1784-6</t>
  </si>
  <si>
    <t>https://ieeexplore.ieee.org/stamp/stamp.jsp?arnumber=9719878</t>
  </si>
  <si>
    <t>blockchain technology;batch authentication technique;internet of a vehicle;wireless sensor network</t>
  </si>
  <si>
    <t>Wireless communication;Wireless sensor networks;Protocols;Authentication;Systems architecture;Blockchains;Security</t>
  </si>
  <si>
    <t>J. C. C. Tavares; L. B. Ruiz</t>
  </si>
  <si>
    <t>Towards a Novel Edge to Cloud IoMT Application for Wildlife Monitoring using Edge Computing</t>
  </si>
  <si>
    <t>2021 IEEE 7th World Forum on Internet of Things (WF-IoT)</t>
  </si>
  <si>
    <t>10.1109/WF-IoT51360.2021.9596017</t>
  </si>
  <si>
    <t>Manna Team, Universidade Estadual de Maring√°, Maring√°, Brazil; Manna Team, Universidade Estadual de Maring√°, Maring√°, Brazil</t>
  </si>
  <si>
    <t>This work proposes an application of the Internet of Multimedia Things (IoMT) for monitoring wildlife using edge computing. The application architecture was designed considering all stages from the collection of data in nature to delivery to the user. For this, the application architecture is organized into three services: edge, distribution and delivery. All application services were implemented without the use of commercial solutions, serving as a guide for developers who want to implement their own monitoring. As a study case, the application implemented in this work is that of monitoring birds calling, and was designed based on the Brazilian protocol for monitoring birds. Monitoring wildlife is a necessary task and often requires tasks in places that are difficult to access.</t>
  </si>
  <si>
    <t>978-1-6654-4431-6</t>
  </si>
  <si>
    <t>https://ieeexplore.ieee.org/stamp/stamp.jsp?arnumber=9596017</t>
  </si>
  <si>
    <t>Internet of Things;Internet of Multimedia Things;application architecture;wildlife monitoring;edge to cloud application;edge computing</t>
  </si>
  <si>
    <t>Cloud computing;Wildlife;Multimedia computing;Computer architecture;Birds;Multimedia communication;Internet of Things</t>
  </si>
  <si>
    <t>G. Bharanidharan; S. Jayalakshmi; P. Mayilvahanan</t>
  </si>
  <si>
    <t>Predictive Scaling of Elastic Pod Instances for Modern Applications on Public Cloud through Long Short-Term Memory</t>
  </si>
  <si>
    <t>2022 International Conference on Applied Artificial Intelligence and Computing (ICAAIC)</t>
  </si>
  <si>
    <t>10.1109/ICAAIC53929.2022.9792749</t>
  </si>
  <si>
    <t>Dept. of Computer Science, VISTAS, Pallavaram, Chennai; Dept. of Computer Science and Engineering, Vel Tech Multi Tech Dr.Rangarajan Dr.Sakunthala Engineering College, Chennai; Dept. of Computer Science, VISTAS, Pallavaram, Chennai</t>
  </si>
  <si>
    <t>In Cloud Computing (CC) environment, container virtualization through Docker engine is bringing the new digital transformation in the enterprise multi-tier application architecture in this modern era. Elastic pod containers attracts and helps the application developers in developing and executing the cloud-native modern applications with key benefits such as light weight, agility to launch, easy deployment through images, consuming less power, minimum cost, less carbon footprints with increased resource utilization and provisioning on public cloud data centers. In existing, reactive auto-scaling mechanism of pod resources is used to add or remove resources manually or rule based for handling static workloads from users and most of the times it may lead to over provision or under provisioning of instances that violates QOS and SLA. In this paper, predictive horizontal scaling of pods utilizing custom metrics with orchestration through Kuberenetes is proposed with LSTM (Long Short-Term Memory) based on Deep Learning (DL) technique. DL is data hungry for right prediction of replicas of a cluster that is needed in advance to run cyclic workloads and to handle the sudden spike of demand by using the cloud large dataset real time traces. Moreover, LSTM model is compared with GRU (Gated Recurrent Unit) and experimental results shows that the results of LSTM prediction has less absolute error rate on comparing with GRU to keep the resource provisioning accuracy better for running the modern workloads seamlessly on public cloud.</t>
  </si>
  <si>
    <t>978-1-6654-9710-7</t>
  </si>
  <si>
    <t>https://ieeexplore.ieee.org/stamp/stamp.jsp?arnumber=9792749</t>
  </si>
  <si>
    <t>Container Virtu aliza tion;Pods;Predictive Scaling;Replicas;Agility;Elasticity;Cloud-native applications</t>
  </si>
  <si>
    <t>Measurement;Cloud computing;Error analysis;Quality of service;Containers;Predictive models;Logic gates</t>
  </si>
  <si>
    <t>M. Patwary; P. Ramchandran; S. Tibrewala; T. Lala; F. Kautz; E. Coronado; R. Riggio; S. Ganugapati; S. Ranganathan; L. Liu</t>
  </si>
  <si>
    <t>INGR Roadmap Edge Services and Automation Chapter</t>
  </si>
  <si>
    <t>10.1109/FNWF55208.2022.00136</t>
  </si>
  <si>
    <t>Birmingham City School of Computing; Dell Technologies /OpenTechForum; Intel; ZcureZ; Doc.ai, CNCF-TUG; i2CAT; i2CAT; AT&amp;T; Intel; Wayne State University</t>
  </si>
  <si>
    <t>The Key drivers have certainly changed, and the 5G-hype has reached the cycle of disillusionment globally in 2021‚Äì2022. Communication Service Providers have started re-focusing on few use cases that can leverage the markets for better average revenue per unit (ARPU) for both consumers &amp; Enterprises. The list is short includes 1. Service based use cases based on Service constraints (low latency, high throughput, low jitter) a. HOT (Industry 4.0) b. V2X (Autonomous Vehicle/ Intelligent Transportation Traveling Edge) c. Telehealth / Telemedicine Remote diagnostics d. Content delivery (with Caching. Realtime. Reach Media Internet Applications) e. Ad hoc. Temporary or as needed basis Specfic mission Edge sendees (Emergency, ad hoc major events. DoD combat mission, and more) 2. Radio Based Multi-Access Edge (MEC) with different flavors a. Real Time / Near Real Time enabled Radio Control. Management and XApps based on O-RAN b. Constrained based Edge Infrastructure to optimize Power, Form Factor and Updates to NFV-SDN with OneM2M from ETSI to cover IoT Applications c. The focus on Data Privacy. Security. Data Localization &amp; Analytics Big or Small d. Smart Edge with Containers and Compute &amp; Network acceleration are emerging from Infra structure and Semiconductor players. We name item 1 in above as Edge Service Platform Framework (ESPF-2021) supplementary updates and item 2 in above as Edge Automation Platform Framework (EAPF-2021) updates for INGR.2021 efforts released here in 2022.</t>
  </si>
  <si>
    <t>https://ieeexplore.ieee.org/stamp/stamp.jsp?arnumber=10056621</t>
  </si>
  <si>
    <t>ESPF;ENS;IIOT;V2X;XApps;EAPF;O-RAN;MEC;OneM2M;IoT;5G</t>
  </si>
  <si>
    <t>Automation;Telemedicine;Media;Throughput;Real-time systems;US Department of Defense;Security;Low latency communication;Radio control;Vehicles</t>
  </si>
  <si>
    <t>W. E. Wong; Y. Chen; D. K. Oka; M. Soukup; G. Ros; M. Xie; Z. Yang; M. Zulkernine; M. J. Zuo</t>
  </si>
  <si>
    <t>Panel on Safety, Security, and Reliability of Autonomous Vehicles</t>
  </si>
  <si>
    <t>2020 Asia-Pacific International Symposium on Advanced Reliability and Maintenance Modeling (APARM)</t>
  </si>
  <si>
    <t>10.1109/APARM49247.2020.9209498</t>
  </si>
  <si>
    <t>Universiity of Texas at Dallas, USA; Futurewei Technologies, USA; Synopsys, Inc., Japan; Irdeto, The Netherlands; Carla, USA; City University of Hong Kong, Hong Kong; Western Michigan University, USA; Queen‚Äôs University, Canada; University of Alberta, Canada</t>
  </si>
  <si>
    <t>Transportation as a Service (TaaS) is a significant technological innovation that will not only change the quality of our everyday life but also make an imperative impact on the world economy as it can simultaneously solve many problems that we have today, including air pollution, oil/petroleum consumption, heavy traffic jams, parking, etc.</t>
  </si>
  <si>
    <t>978-1-7281-7102-9</t>
  </si>
  <si>
    <t>https://ieeexplore.ieee.org/stamp/stamp.jsp?arnumber=9209498</t>
  </si>
  <si>
    <t>Autonomous vehicles;Software;Maintenance engineering;Automobiles;Safety;Software reliability</t>
  </si>
  <si>
    <t>E. Marin-Tordera; X. Masip-Bruin; B. Otero; E. Rodriguez</t>
  </si>
  <si>
    <t>Virtualizing the Edge: Needs, Opportunities and Trends</t>
  </si>
  <si>
    <t>10.1109/FiCloud.2018.00062</t>
  </si>
  <si>
    <t>Advanced Network Architectures Lab (CRAAX), Universitat Polit√®cnica de Catalunya (UPC), Vilanova i la Geltr√∫, Spain; Universitat Politecnica de Catalunya, Barcelona, Catalunya, ES; Universitat Polit√®cnica de Catalunya (UPC), Barcelona, Spain; Universitat Polit√®cnica de Catalunya (UPC), Barcelona, Spain</t>
  </si>
  <si>
    <t>The recent advances in fog and edge computing are driving the need to identify what a component at the edge should be. Recognized the wide heterogeneity at the edge, it is with no doubt that different hardware characteristics may be found at the edge devices, thus fueling the need to identify what is the set of resources a potential fog node must have. However, this question is not so easy to answer since some discussions are yet active on what a fog node should be. Beyond the insights about the fog node concept, it looks reasonable and certainly mandatory to overcome the envisioned diversity and heterogeneity at the edge by adopting virtualization as a key strategy to manage resources at the edge. Consequently, in this paper, we analyze possible virtualization strategies, revisit what has been done in cloud computing and discuss potential trends to be deployed in fog computing aligned to the main challenges a tentative fog node is supposed to take over.</t>
  </si>
  <si>
    <t>https://ieeexplore.ieee.org/stamp/stamp.jsp?arnumber=8458039</t>
  </si>
  <si>
    <t>cloud computing;fog computing;virtualization</t>
  </si>
  <si>
    <t>Virtualization;Cloud computing;Hardware;Edge computing;Big Data;Market research;Companies</t>
  </si>
  <si>
    <t>X. Wang; R. Jiang; H. Zhang; C. Liu; F. Hong</t>
  </si>
  <si>
    <t>A Simulator Driven by Trajectory Big Data for Network Feature Extraction and Data Transmission</t>
  </si>
  <si>
    <t>2022 IEEE 19th International Conference on Mobile Ad Hoc and Smart Systems (MASS)</t>
  </si>
  <si>
    <t>10.1109/MASS56207.2022.00024</t>
  </si>
  <si>
    <t>Department of Computer Science and Technology, Ocean University of China, Qingdao, China; Department of Computer Science and Technology, Ocean University of China, Qingdao, China; Department of Computer Science and Technology, Ocean University of China, Qingdao, China; Department of Computer Science and Technology, Ocean University of China, Qingdao, China; Department of Computer Science and Technology, Ocean University of China, Qingdao, China</t>
  </si>
  <si>
    <t>Due to the rapidly growing communication require-ments among mobile real-world communication devices, e.g., smartphones, vehicles, and vessels, and the resulted exponentially increasing complexity of network structures, network simulators have attracted increasing attention for the design, analysis, and evaluation of network protocols in both academia and industry. However, existing simulators fail to integrate critical function modules of network feature extraction and visualization. While significant learning burden is inevitable but unbearable for users. In this paper, we propose a trajectory big data driven network simulator with interactive visualization for large-scale networking, feature extraction and data transmission. Our simulator consists of three key modules of trajectory data preprocessing, network feature extraction, and routing protocol evaluation. The integration of multiple function modules with intuitive performance visualization greatly enhances usage convenience. In particular, diverse social network features are available for users to achieve in-depth perception on practical networks and facilitate better design of realistic protocols. A novel social com-munity discovering algorithm dedicated for ocean vessel network is proposed as a supplement to land-based mobile networks. The developed simulator is extensively evaluated with a real dataset of vessel trajectories over East China Sea. Experimental results illustrate the feasible functions, step-by-step visualization, and convenient interfaces.</t>
  </si>
  <si>
    <t>978-1-6654-7180-0</t>
  </si>
  <si>
    <t xml:space="preserve">National Key Research and Development Program of China(grant numbers:2020YFB1707700); National Natural Science Foundation of China(grant numbers:41976185,61902367); </t>
  </si>
  <si>
    <t>https://ieeexplore.ieee.org/stamp/stamp.jsp?arnumber=9973601</t>
  </si>
  <si>
    <t>network simulator;trajectory big data;network feature extraction;interactive visualization</t>
  </si>
  <si>
    <t>Visualization;Social networking (online);Data preprocessing;Data visualization;Big Data;Feature extraction;Data models</t>
  </si>
  <si>
    <t>K. C. Okafor; F. N. Ugwoke; A. A. Obayi</t>
  </si>
  <si>
    <t>Evaluation of virtualized osmotic cloud network using discrete event Branch-and-Bound heuristics</t>
  </si>
  <si>
    <t>2017 IEEE 3rd International Conference on Electro-Technology for National Development (NIGERCON)</t>
  </si>
  <si>
    <t>2377-2697</t>
  </si>
  <si>
    <t>10.1109/NIGERCON.2017.8281912</t>
  </si>
  <si>
    <t>Dept. of Mechatronics Engineering, Federal University of Technology, Owerri, Nigeria; Dept. of Computer Science, Michael Okpara University of Agriculture, Umudike, Nigeria; Dept. of Computer Science, University of Nigeria, Nsukka</t>
  </si>
  <si>
    <t>During heavy traffic transactions on a network, there is an extreme impact on network resources such as bare metals, routers, I/Os, enterprise applications and services. The arrival rates usually exceed service rates despite Ethernet TCP windowing and layer-3 fair queuing. This is unacceptable in Osmotic computing paradigm which houses machine to machine cloud elasticity especially for IoT plug and play edge devices. This research proposes Fog and server consolidation (SC) in distributed high performance data centers (D-HPDCs) as a middleware solution to solve the problem. A candidate scheme called green virtualization is used to share the capabilities of physical servers (bare metals) by splitting resources among operating systems that host an on-demand smart grid application. AType-I virtual machine hypervisor is used to mitigate the various pitfalls in legacy datacenters (DCs) such as resource availability, query response time, scalability and network quality of service (QoS). MATLAB SimEvent simulation is used to realize a case-based Branch-and-Bound heuristics as an optimization scheme in the green virtualized DC. Within the elasticity zone, performance evaluation between Type-I virtualized and non-virtualized DC is carried out. The benefits of virtualized DCs using cloud elasticity design framework is highlighted. The results showed that the Type-1 virtualized DC scenario had better QoS performance metrics compared with the non-virtualized DC. Consequently, SC using virtualization is shown to be efficient for supporting multi-constrained DC environments.</t>
  </si>
  <si>
    <t>978-1-5090-6422-9</t>
  </si>
  <si>
    <t>https://ieeexplore.ieee.org/stamp/stamp.jsp?arnumber=8281912</t>
  </si>
  <si>
    <t>Cloud Visualization;Large Scale Data centers;Discrete Event Simulation;Optimization;Heuristics</t>
  </si>
  <si>
    <t>Cloud computing;Elasticity;Servers;Virtualization;Virtual machine monitors;Quality of service;Data centers</t>
  </si>
  <si>
    <t>A. Teixeira; H. Silva; R. E. Ara√∫jo</t>
  </si>
  <si>
    <t>Indoor location infrastructure for time management tools: a case study</t>
  </si>
  <si>
    <t>2022 International Young Engineers Forum (YEF-ECE)</t>
  </si>
  <si>
    <t>10.1109/YEF-ECE55092.2022.9850083</t>
  </si>
  <si>
    <t>Raceland S.A., Maia, Portugal; Net Worker - Solu√ß√µes Inform√°ticas, Lda., Pa√ßos de Ferreira, Portugal; INESC TEC and FEUP, Porto, Portugal</t>
  </si>
  <si>
    <t>Indoor localization systems are an important topic in the field of manufacturing process. A computational infrastructure based on Bluetooth low energy technology with state estimators for filtering is used to localize employees in the shop floor. The researchers' motivation is two-folds: implement an indoor tracking system while promoting manage production time. In this paper, we discuss the first prototype of a localization system adapted to address these goals. Experimental results show that the system for our case study, achieves a localization accuracy of less than three meters.</t>
  </si>
  <si>
    <t>978-1-6654-6731-5</t>
  </si>
  <si>
    <t>https://ieeexplore.ieee.org/stamp/stamp.jsp?arnumber=9850083</t>
  </si>
  <si>
    <t>Indoor Positioning;Tracking;Tasks and Time Management;BLE Beacons;Microservices</t>
  </si>
  <si>
    <t>Location awareness;Meters;Manufacturing processes;Bluetooth;Filtering;Prototypes;Production</t>
  </si>
  <si>
    <t>S. Kambhatla; B. Bian; A. Herdrich</t>
  </si>
  <si>
    <t>Identifying Operational Points for Deterministic Execution in Cloud Computing</t>
  </si>
  <si>
    <t>10.1109/IEEECloudSummit48914.2020.00012</t>
  </si>
  <si>
    <t>Intel Corporation, Hillsboro, OR; Intel Corporation, Hillsboro, OR; Intel Corporation, Hillsboro, OR</t>
  </si>
  <si>
    <t>Cloud based applications are increasingly structured as loosely coupled microservices for various reasons including agility and scalability. Especially in such architectures that feature interacting microservices, performance degradation from a subset of resource-starved microservices could rapidly spread to other microservices creating additional performance hotspots and increasing tail latencies in inter-microservice communication - directly impacting deterministic execution of the overall cloud application. Optimizing resource allocation is one way to address this problem, and it has received some research attention. Specifically, two categories of approaches have been explored: a) correction after detection of performance bottlenecks, and b) predictive identification and correction of upcoming bottlenecks. This paper focuses on CPU support for deterministic cloud computing for either of these approaches, and also on identification of better operational points upfront. It highlights the benefits of using CPU hardware-based approaches through real-world benchmarks and explores an active learning approach to identify operational points enabling static and semi-static pre-configuration of resources. We present measurements from industry benchmark applications to demonstrate benefits of this CPU-based approach and illustrate effectiveness of our proposed preconfiguration method through a simulator featuring configurable number of microservices and inter-connectivity.</t>
  </si>
  <si>
    <t>https://ieeexplore.ieee.org/stamp/stamp.jsp?arnumber=9283675</t>
  </si>
  <si>
    <t>Cloud computing;microservices;determinism;Resource Director Technology;RDT;Intel¬Æ Xeon¬Æ</t>
  </si>
  <si>
    <t>Industries;Degradation;Cloud computing;Scalability;Computer architecture;Benchmark testing;Resource management</t>
  </si>
  <si>
    <t>D. G. Stratogiannis; S. Gkiala-Fikari</t>
  </si>
  <si>
    <t>Smart Grid Architecture, Communications and Data Model: The WiseGRID approach</t>
  </si>
  <si>
    <t>2018 Global Information Infrastructure and Networking Symposium (GIIS)</t>
  </si>
  <si>
    <t>10.1109/GIIS.2018.8635708</t>
  </si>
  <si>
    <t>School of Electrical and Computer Engineering, National Technical University of Athens, Athens, Greece; School of Electrical and Computer Engineering, National Technical University of Athens, Athens, Greece</t>
  </si>
  <si>
    <t>Current technical, social, economic and environmental trends impose the optimization of power grid and energy management via the digitalization and Smart Grid (SG) development. The SG incorporates advanced communications and pervasive computing capabilities ensuring improvement in terms of control, efficiency, reliability, flexibility and safety along with novel advanced services to customers and business actors in the energy market. In this paper, the architecture, communications and enhanced data model developed under the WiseGRID project are presented, exploring the main challenges and requirements for the design and deployment of the ICT infrastructure required as part of a complex SG system. In particular, in this work special focus is given on the Smart Grid Architecture Model (SGAM) employed and on two of the main ICT tools developed to establish the interoperability among the entities involved in the SG. Finally, the work performed towards the development of a harmonized data model for SGs is presented in order to be used during the demonstration phase of the project.</t>
  </si>
  <si>
    <t>978-1-5386-7272-3</t>
  </si>
  <si>
    <t>https://ieeexplore.ieee.org/stamp/stamp.jsp?arnumber=8635708</t>
  </si>
  <si>
    <t>Communications;data model;energy management;interoperability;SGAM model;smart grid</t>
  </si>
  <si>
    <t>Tools;Data models;Business;Interoperability;Smart grids;Computer architecture;Monitoring</t>
  </si>
  <si>
    <t>S. Stamenkova; P. Cavkovski; K. Trivodaliev; B. R. Stojkoska</t>
  </si>
  <si>
    <t>Smart city solution for early flood detection</t>
  </si>
  <si>
    <t>2022 30th Telecommunications Forum (TELFOR)</t>
  </si>
  <si>
    <t>10.1109/TELFOR56187.2022.9983748</t>
  </si>
  <si>
    <t>Faculty of Computer Science and Engineering, Ss. Cyril and Methodius University, Skopje, North Macedonia; Netcetera Doo, Skopje, North Macedonia; Faculty of Computer Science and Engineering, Ss. Cyril and Methodius University, Skopje, North Macedonia; Faculty of Computer Science and Engineering, Ss. Cyril and Methodius University, Skopje, North Macedonia</t>
  </si>
  <si>
    <t>Most of the world population is expected to live in urban areas in the future, therefore, there is an evident need for general smart city solutions, especially for big cities. The aim of this paper is: (i) to present an architecture for general smart city solution that collects different environmental parameters from different sites in a big city; (ii) to present implementation details of a separate module for flood detection that works on the top of the general solution; and (iii) to present a smart city application that monitors flood related parameters and informs residents if there is a flooded underpass, or increased water levels on a particular river or lake. The system collects environmental measurements using The Things Network, through LoRaWAN base stations.</t>
  </si>
  <si>
    <t>978-1-6654-7273-9</t>
  </si>
  <si>
    <t>https://ieeexplore.ieee.org/stamp/stamp.jsp?arnumber=9983748</t>
  </si>
  <si>
    <t>flood detection;smart city;the things network;LoRaWAN</t>
  </si>
  <si>
    <t>Base stations;Smart cities;Sociology;Lakes;Telecommunications;Rivers;Floods</t>
  </si>
  <si>
    <t>M. Sefidanoski; A. Hristov; A. Karadimce; N. P. Dimoska; N. Marina</t>
  </si>
  <si>
    <t>Social Data Analytics for Enhancing the Collaborative Economy</t>
  </si>
  <si>
    <t>2021 5th International Symposium on Multidisciplinary Studies and Innovative Technologies (ISMSIT)</t>
  </si>
  <si>
    <t>10.1109/ISMSIT52890.2021.9604730</t>
  </si>
  <si>
    <t>University of Information Science and Technology (UIST); University of Information Science and Technology (UIST); UIST; UIST; UIST</t>
  </si>
  <si>
    <t>Focusing on the data-driven analytics and its effects on paid services providers can potentially reverse-engineer break-even rates, expected Return on Investment (ROI), and performance timelines. Traditional centralised social networking analytics and metrics can estimate the expected number of customers using well-established vendor-specific revenue assurance tools. They include a systematic approach of incorporating social, environmental, economic, and other values into standard decision-making processes. The challenge appears when the decentralised social media stakeholders come into the game. Then they need to find unified metrics to measure the achievement of social impact relying on three primary performance indicators: appropriateness, efficiency and effectiveness. This paper presents the idea of adding social collaboration term to increase impact within the industry and the effectiveness of tactics and strategies among multiple people, groups or departments. The decision making process related to the revenues will thus benefit from this newly defined metric called Return on Collaboration (ROC). Measuring the ROC provides users with real-time cost per engagement analyses, allowing them to define their specific business application success indicators. The traditional ROI calculates the gain or loss of a given investment. On the other hand, ROC measures the "improvement" resulting from a monetary expenditure in collaboration and the innovative ROC model facilitates user collaboration and revenue growth. As a result, providers can assess the effect of social media services and technologies.</t>
  </si>
  <si>
    <t>978-1-6654-4930-4</t>
  </si>
  <si>
    <t>https://ieeexplore.ieee.org/stamp/stamp.jsp?arnumber=9604730</t>
  </si>
  <si>
    <t>Return on Collaboration;Return on Investment;Social Media;Data Analytic</t>
  </si>
  <si>
    <t>Measurement;Systematics;Social networking (online);Decision making;Collaboration;Tools;Real-time systems</t>
  </si>
  <si>
    <t>M. C. Stana; M. D. Radu; C. V. Marian; C. Taslitchi; N. Goga</t>
  </si>
  <si>
    <t>Human individuals' localization monitoring (using open source technologies)</t>
  </si>
  <si>
    <t>2022 International Symposium on Electronics and Telecommunications (ISETC)</t>
  </si>
  <si>
    <t>10.1109/ISETC56213.2022.10010279</t>
  </si>
  <si>
    <t>Faculty of Engineering in Foreign Languages, University POLITEHNICA of Bucharest, Bucharest, Romania; Faculty of Engineering in Foreign Languages, University POLITEHNICA of Bucharest, Bucharest, Romania; Faculty of Engineering in Foreign Languages, University POLITEHNICA of Bucharest, Bucharest, Romania; Faculty of Engineering in Foreign Languages, University POLITEHNICA of Bucharest, Bucharest, Romania; Faculty of Engineering in Foreign Languages, University POLITEHNICA of Bucharest, Bucharest, Romania</t>
  </si>
  <si>
    <t>Remote human beings location monitoring through methods that are provided remotely managed open source services, becomes a required component in many public and private systems that work with human beings and for theirs benefits (in this category can also be included citizens with a certain degree of disability, or having limited movement areas).</t>
  </si>
  <si>
    <t>978-1-6654-5150-5</t>
  </si>
  <si>
    <t>https://ieeexplore.ieee.org/stamp/stamp.jsp?arnumber=10010279</t>
  </si>
  <si>
    <t>location monitoring;people;remote methods;remote management;public systems;zonal frameworks</t>
  </si>
  <si>
    <t>Solid modeling;Social networking (online);Navigation;Routing;Telecommunications;Recording;Security</t>
  </si>
  <si>
    <t>H. Xun</t>
  </si>
  <si>
    <t>Design of Library Information Retrieval System based on Internet and Information Flow Mining</t>
  </si>
  <si>
    <t>10.1109/ICIRCA54612.2022.9985608</t>
  </si>
  <si>
    <t>Library of Shandong Women's University, Jinan, Shandong, China</t>
  </si>
  <si>
    <t>Design of library information retrieval system based on Internet and information flow mining is studied in this paper. The designed service layer is directly connected to all readers of the library. Because the application function of the service platform is modular, it can accurately grasp the service content of different management operators, provide different reading services for different readers, and achieve humanized intelligent services. However, because the applicable functional services are composed of small modules, the connectivity between the functions is poor. When processing a large amount of reading information, the response time of reading services is increased, so that the reader's borrowing operation time is prolonged. With this theoretical model, the information mining algorithm is then designed for the systematic improvement. The numerical simulation has then shown the overall performance.</t>
  </si>
  <si>
    <t>https://ieeexplore.ieee.org/stamp/stamp.jsp?arnumber=9985608</t>
  </si>
  <si>
    <t>Information Flow Mining;Library Information Retrieval;System CDonstruction;Internet Model</t>
  </si>
  <si>
    <t>Systematics;Computational modeling;Information retrieval;Numerical simulation;Libraries;Numerical models;Internet</t>
  </si>
  <si>
    <t>N. R. P√©rez; M. A. Sanz-Bobi; A. S. Paniagua</t>
  </si>
  <si>
    <t>Analysis of an edge-computing-based solution for local data processing at secondary substations</t>
  </si>
  <si>
    <t>2021 IEEE Madrid PowerTech</t>
  </si>
  <si>
    <t>10.1109/PowerTech46648.2021.9494971</t>
  </si>
  <si>
    <t>Institute for Research in Technology ICAI School of Engineering, Comillas Pontifical University, Madrid, Spain; Institute for Research in Technology ICAI School of Engineering, Comillas Pontifical University, Madrid, Spain; Smart Grid and AMI i-DE (Iberdrola Group), Madrid, Spain</t>
  </si>
  <si>
    <t>This paper analyses the technologies proposed in the open Edge Workload Consolidation Architecture (defined by Intel and Minsait) and their main alternatives, considering the specific requirements and perspective of a power distribution utility (i-DE) to implement it at secondary substations. The analysis distinguishes the edge device (hardware and software), communications and the management system. Furthermore, the advantages, challenges and possible functionalities in the LV distribution grid are discussed, as well as the economic impact on the system and on the utility. To support the analysis, a local and a remote test environment are used for technologies comparisons and for the development and testing of a real-time balance computing application.The analyzed architecture is found to be appropriate and the solution, modular and open source based, has the potential to be the new paradigm of how the LV grid is monitored and controlled, providing great benefits to the power distribution‚Äôs stakeholders.</t>
  </si>
  <si>
    <t>978-1-6654-3597-0</t>
  </si>
  <si>
    <t>https://ieeexplore.ieee.org/stamp/stamp.jsp?arnumber=9494971</t>
  </si>
  <si>
    <t>edge computing;microservices;power distribution;smart grid;Smart Secondary Substation</t>
  </si>
  <si>
    <t>Economics;Substations;Power distribution;Computer architecture;Software;Real-time systems;Hardware</t>
  </si>
  <si>
    <t>W. Chunzhong; L. Zhong; J. Yanbo; D. Xuan; W. Yu</t>
  </si>
  <si>
    <t>Design of Intelligent Monitoring System of Integrated Water Supply and Drainage based on Big Data and Cloud Computing</t>
  </si>
  <si>
    <t>2022 2nd International Conference on Networking, Communications and Information Technology (NetCIT)</t>
  </si>
  <si>
    <t>10.1109/NetCIT57419.2022.00008</t>
  </si>
  <si>
    <t>Technical Center, Guangxi Beitou Environmental Protection &amp; Water Group Co. Ltd., Nanning, China; Technical Center, Guangxi Beitou Environmental Protection &amp; Water Group Co. Ltd., Nanning, China; Technical Center, Guangxi Beitou Environmental Protection &amp; Water Group Co. Ltd., Nanning, China; Technical Center, Guangxi Beitou Environmental Protection &amp; Water Group Co. Ltd., Nanning, China; Technical Center, Guangxi Beitou Environmental Protection &amp; Water Group Co. Ltd., Nanning, China</t>
  </si>
  <si>
    <t>In the realm of water governance, the independence of different information systems leads to information isolation, multiple information sources, scattered information, decentralized management, duplicate tasks, missing information, delay, etc. This paper designs an information management system based on big data analysis, cloud computing, mobile internet, IoT, GIS and other advanced knowledge and technologies, which integrates information collection, transmission, storage, analysis, operations management, and emergency management. In this information system, the practitioners of water governance can supervise and assess their operation activities comprehensively and timely through a set of infrastructure, an IDC and an application platform. This facilitates their analysis and provides a visualized management model for smart water.</t>
  </si>
  <si>
    <t>978-1-6654-9273-7</t>
  </si>
  <si>
    <t>https://ieeexplore.ieee.org/stamp/stamp.jsp?arnumber=10079046</t>
  </si>
  <si>
    <t>smart water;big data;integrated water supply and drainage;cloud computing;micro-services</t>
  </si>
  <si>
    <t>Cloud computing;Analytical models;Big Data;Emergency services;Information management;Internet of Things;Task analysis</t>
  </si>
  <si>
    <t>J. Jankovic; L. ≈†ikiƒá; P. Afriƒá; M. ≈†iliƒá; ≈Ω. Iliƒá; H. Pand≈æiƒá; M. ≈Ωiviƒá; M. D≈æanko</t>
  </si>
  <si>
    <t>Empirical study: IoT-based microgrid</t>
  </si>
  <si>
    <t>2020 3rd International Colloquium on Intelligent Grid Metrology (SMAGRIMET)</t>
  </si>
  <si>
    <t>10.23919/SMAGRIMET48809.2020.9264007</t>
  </si>
  <si>
    <t>University of Zagreb, Faculty of Electrical, Engineering and Computing, Zagreb, Croatia; University of Zagreb, Faculty of Electrical, Engineering and Computing, Zagreb, Croatia; University of Zagreb, Faculty of Electrical, Engineering and Computing, Zagreb, Croatia; University of Zagreb, Faculty of Electrical, Engineering and Computing, Zagreb, Croatia; University of Zagreb, Faculty of Electrical, Engineering and Computing, Zagreb, Croatia; University of Zagreb, Faculty of Electrical, Engineering and Computing, Zagreb, Croatia; GDi d.o.o., Zagreb, Croatia; GDi d.o.o., Zagreb, Croatia</t>
  </si>
  <si>
    <t>This work presents an IoT-based smart grid system implementation as proof of concept to examine the emerging business and technological needs in smart grids and analyze the efficiency of smart grid communications. As part of the work, we describe the smart grid system architecture consisting of a physical photovoltaic-powered microgrid laboratory, communication subsystem, and cloud-based smart grid management system along with the implementation details. Next, we discuss the obtained results in terms of messaging service quality and system availability, flexibility, and robustness. We show that our system can exchange telemetry and control messages in less than 1 s, depending on message size. Finally, lessons learned and future challenges are outlined, including communication transparency and efficiency, scalability of management and communication subsystems, characterization of message severity associated with quality of service requirements, and other non-technical considerations.</t>
  </si>
  <si>
    <t>978-953-184-265-5</t>
  </si>
  <si>
    <t xml:space="preserve">European Regional Development Fund(grant numbers:KK.01.2.1.01.0111); </t>
  </si>
  <si>
    <t>https://ieeexplore.ieee.org/stamp/stamp.jsp?arnumber=9264007</t>
  </si>
  <si>
    <t>smart grid;smart grid communication;IoT-based smart grid</t>
  </si>
  <si>
    <t>Smart grids;Microgrids;Performance evaluation;Software;Computer architecture;Monitoring;Systems architecture</t>
  </si>
  <si>
    <t>MI-STA 2022 Conference Proceeding</t>
  </si>
  <si>
    <t>2022 IEEE 2nd International Maghreb Meeting of the Conference on Sciences and Techniques of Automatic Control and Computer Engineering (MI-STA)</t>
  </si>
  <si>
    <t>10.1109/MI-STA54861.2022.9837515</t>
  </si>
  <si>
    <t>i</t>
  </si>
  <si>
    <t>dcccxxiv</t>
  </si>
  <si>
    <t>Presents the message from the conference chairs.</t>
  </si>
  <si>
    <t>978-1-6654-7918-9</t>
  </si>
  <si>
    <t>https://ieeexplore.ieee.org/stamp/stamp.jsp?arnumber=9837515</t>
  </si>
  <si>
    <t>Tutorials and Keynote Speeches</t>
  </si>
  <si>
    <t>2022 International Conference on Communications, Computing, Cybersecurity, and Informatics (CCCI)</t>
  </si>
  <si>
    <t>10.1109/CCCI55352.2022.9926480</t>
  </si>
  <si>
    <t>vii</t>
  </si>
  <si>
    <t>xii</t>
  </si>
  <si>
    <t>Presents information on conference tutorials and keynote speeches.</t>
  </si>
  <si>
    <t>978-1-6654-8617-0</t>
  </si>
  <si>
    <t>https://ieeexplore.ieee.org/stamp/stamp.jsp?arnumber=9926480</t>
  </si>
  <si>
    <t>INCOFT 2022 Schedule</t>
  </si>
  <si>
    <t>10.1109/INCOFT55651.2022.10094408</t>
  </si>
  <si>
    <t>https://ieeexplore.ieee.org/stamp/stamp.jsp?arnumber=10094408</t>
  </si>
  <si>
    <t>SCSE 2022 Conference Proceedings</t>
  </si>
  <si>
    <t>2022 International Research Conference on Smart Computing and Systems Engineering (SCSE)</t>
  </si>
  <si>
    <t>2613-8662</t>
  </si>
  <si>
    <t>10.1109/SCSE56529.2022.9905133</t>
  </si>
  <si>
    <t>cdii</t>
  </si>
  <si>
    <t>Presents the introductory welcome message from the conference proceedings. May include the conference officers' congratulations to all involved with the conference event and publication of the proceedings record.</t>
  </si>
  <si>
    <t>978-1-6654-7375-0</t>
  </si>
  <si>
    <t>https://ieeexplore.ieee.org/stamp/stamp.jsp?arnumber=9905133</t>
  </si>
  <si>
    <t>2022 International Conference on Computer, Power and Communications (ICCPC)</t>
  </si>
  <si>
    <t>10.1109/ICCPC55978.2022.10072263</t>
  </si>
  <si>
    <t>979-8-3503-9784-0</t>
  </si>
  <si>
    <t>https://ieeexplore.ieee.org/stamp/stamp.jsp?arnumber=10072263</t>
  </si>
  <si>
    <t>Welcome Message</t>
  </si>
  <si>
    <t>10.1109/FNWF55208.2022.00005</t>
  </si>
  <si>
    <t>xxiv</t>
  </si>
  <si>
    <t>xxviii</t>
  </si>
  <si>
    <t>https://ieeexplore.ieee.org/stamp/stamp.jsp?arnumber=10056623</t>
  </si>
  <si>
    <t>Table of Contents</t>
  </si>
  <si>
    <t>10.1109/UCC56403.2022.00004</t>
  </si>
  <si>
    <t>https://ieeexplore.ieee.org/stamp/stamp.jsp?arnumber=10061788</t>
  </si>
  <si>
    <t>10.1109/CCGrid49817.2020.00004</t>
  </si>
  <si>
    <t>xiv</t>
  </si>
  <si>
    <t>Presents the table of contents/splash page of the proceedings record.</t>
  </si>
  <si>
    <t>https://ieeexplore.ieee.org/stamp/stamp.jsp?arnumber=9139745</t>
  </si>
  <si>
    <t>2022 IEEE 25th International Conference on Computer Supported Cooperative Work in Design (CSCWD)</t>
  </si>
  <si>
    <t>10.1109/CSCWD54268.2022.9776150</t>
  </si>
  <si>
    <t>978-1-6654-0527-0</t>
  </si>
  <si>
    <t>https://ieeexplore.ieee.org/stamp/stamp.jsp?arnumber=9776150</t>
  </si>
  <si>
    <t>2022 IEEE Asia-Pacific Conference on Computer Science and Data Engineering (CSDE)</t>
  </si>
  <si>
    <t>10.1109/CSDE56538.2022.10089268</t>
  </si>
  <si>
    <t>978-1-6654-5305-9</t>
  </si>
  <si>
    <t>https://ieeexplore.ieee.org/stamp/stamp.jsp?arnumber=10089268</t>
  </si>
  <si>
    <t>Author Index</t>
  </si>
  <si>
    <t>2020 International Conference on Information Management and Technology (ICIMTech)</t>
  </si>
  <si>
    <t>10.1109/ICIMTech50083.2020.9211218</t>
  </si>
  <si>
    <t>Presents an index of the authors whose articles are published in the conference proceedings record.</t>
  </si>
  <si>
    <t>978-1-7281-7071-8</t>
  </si>
  <si>
    <t>https://ieeexplore.ieee.org/stamp/stamp.jsp?arnumber=9211218</t>
  </si>
  <si>
    <t>Table of contents</t>
  </si>
  <si>
    <t>10.23919/MIPRO48935.2020.9245240</t>
  </si>
  <si>
    <t>xxvi</t>
  </si>
  <si>
    <t>https://ieeexplore.ieee.org/stamp/stamp.jsp?arnumber=9245240</t>
  </si>
  <si>
    <t>10.1109/ACPEE53904.2022.9783847</t>
  </si>
  <si>
    <t>xli</t>
  </si>
  <si>
    <t>https://ieeexplore.ieee.org/stamp/stamp.jsp?arnumber=9783847</t>
  </si>
  <si>
    <t>2020 IEEE Intl Conf on Parallel &amp; Distributed Processing with Applications, Big Data &amp; Cloud Computing, Sustainable Computing &amp; Communications, Social Computing &amp; Networking (ISPA/BDCloud/SocialCom/SustainCom)</t>
  </si>
  <si>
    <t>10.1109/ISPA-BDCloud-SocialCom-SustainCom51426.2020.00004</t>
  </si>
  <si>
    <t>v</t>
  </si>
  <si>
    <t>xxxiv</t>
  </si>
  <si>
    <t>978-1-6654-1485-2</t>
  </si>
  <si>
    <t>https://ieeexplore.ieee.org/stamp/stamp.jsp?arnumber=9444018</t>
  </si>
  <si>
    <t>IEEE INFOCOM 2020 Workshops: IEEE INFOCOM 2020 - IEEE Conference on Computer Communications Workshops (INFOCOM WKSHPS) - Program</t>
  </si>
  <si>
    <t>IEEE INFOCOM 2020 - IEEE Conference on Computer Communications Workshops (INFOCOM WKSHPS)</t>
  </si>
  <si>
    <t>10.1109/INFOCOMWKSHPS50562.2020.9162737</t>
  </si>
  <si>
    <t>Provides a schedule of conference events and a listing of which papers were presented in each session.</t>
  </si>
  <si>
    <t>978-1-7281-8695-5</t>
  </si>
  <si>
    <t>https://ieeexplore.ieee.org/stamp/stamp.jsp?arnumber=9162737</t>
  </si>
  <si>
    <t>10.1109/SANER53432.2022.00004</t>
  </si>
  <si>
    <t>xxiii</t>
  </si>
  <si>
    <t>https://ieeexplore.ieee.org/stamp/stamp.jsp?arnumber=9825892</t>
  </si>
  <si>
    <t>10.1109/INFOCOMWKSHPS50562.2020.9163006</t>
  </si>
  <si>
    <t>https://ieeexplore.ieee.org/stamp/stamp.jsp?arnumber=9163006</t>
  </si>
  <si>
    <t>2020 IEEE 20th International Conference on Communication Technology (ICCT)</t>
  </si>
  <si>
    <t>2576-7828</t>
  </si>
  <si>
    <t>10.1109/ICCT50939.2020.9295907</t>
  </si>
  <si>
    <t>978-1-7281-8141-7</t>
  </si>
  <si>
    <t>https://ieeexplore.ieee.org/stamp/stamp.jsp?arnumber=9295907</t>
  </si>
  <si>
    <t>2022 IEEE International Parallel and Distributed Processing Symposium (IPDPS)</t>
  </si>
  <si>
    <t>10.1109/IPDPS53621.2022.00004</t>
  </si>
  <si>
    <t>xxii</t>
  </si>
  <si>
    <t>978-1-6654-8106-9</t>
  </si>
  <si>
    <t>https://ieeexplore.ieee.org/stamp/stamp.jsp?arnumber=9820726</t>
  </si>
  <si>
    <t>TELSIKS 2019 Table of Contents</t>
  </si>
  <si>
    <t>2019 14th International Conference on Advanced Technologies, Systems and Services in Telecommunications (TELSIKS)</t>
  </si>
  <si>
    <t>10.1109/TELSIKS46999.2019.9002334</t>
  </si>
  <si>
    <t>x</t>
  </si>
  <si>
    <t>978-1-7281-0878-0</t>
  </si>
  <si>
    <t>https://ieeexplore.ieee.org/stamp/stamp.jsp?arnumber=9002334</t>
  </si>
  <si>
    <t>APCC 2022 Cover Page</t>
  </si>
  <si>
    <t>2022 27th Asia Pacific Conference on Communications (APCC)</t>
  </si>
  <si>
    <t>2163-0771</t>
  </si>
  <si>
    <t>10.1109/APCC55198.2022.9943750</t>
  </si>
  <si>
    <t>c1</t>
  </si>
  <si>
    <t>c60</t>
  </si>
  <si>
    <t>Presents a listing of conference reviewers.</t>
  </si>
  <si>
    <t>978-1-6654-9927-9</t>
  </si>
  <si>
    <t>https://ieeexplore.ieee.org/stamp/stamp.jsp?arnumber=9943750</t>
  </si>
  <si>
    <t>Program Schedule</t>
  </si>
  <si>
    <t>2022 IEEE International Conference on Communication, Networks and Satellite (COMNETSAT)</t>
  </si>
  <si>
    <t>10.1109/COMNETSAT56033.2022.9994357</t>
  </si>
  <si>
    <t>Presents the conference program.</t>
  </si>
  <si>
    <t>978-1-6654-6030-9</t>
  </si>
  <si>
    <t>https://ieeexplore.ieee.org/stamp/stamp.jsp?arnumber=9994357</t>
  </si>
  <si>
    <t>2018 IEEE 4th International Conference on Big Data Security on Cloud (BigDataSecurity), IEEE International Conference on High Performance and Smart Computing, (HPSC) and IEEE International Conference on Intelligent Data and Security (IDS)</t>
  </si>
  <si>
    <t>10.1109/BDS/HPSC/IDS18.2018.00004</t>
  </si>
  <si>
    <t>978-1-5386-4399-0</t>
  </si>
  <si>
    <t>https://ieeexplore.ieee.org/stamp/stamp.jsp?arnumber=8552262</t>
  </si>
  <si>
    <t>10.1109/INFOCOMWKSHPS50562.2020.9163047</t>
  </si>
  <si>
    <t>https://ieeexplore.ieee.org/stamp/stamp.jsp?arnumber=9163047</t>
  </si>
  <si>
    <t>2022 Third International Conference on Smart Technologies in Computing, Electrical and Electronics (ICSTCEE)</t>
  </si>
  <si>
    <t>10.1109/ICSTCEE56972.2022.10099713</t>
  </si>
  <si>
    <t>978-1-6654-5664-7</t>
  </si>
  <si>
    <t>https://ieeexplore.ieee.org/stamp/stamp.jsp?arnumber=10099713</t>
  </si>
  <si>
    <t>Comnetsat 2020 Program Schedule</t>
  </si>
  <si>
    <t>2020 IEEE International Conference on Communication, Networks and Satellite (Comnetsat)</t>
  </si>
  <si>
    <t>10.1109/Comnetsat50391.2020.9328932</t>
  </si>
  <si>
    <t>978-0-7381-2517-6</t>
  </si>
  <si>
    <t>https://ieeexplore.ieee.org/stamp/stamp.jsp?arnumber=9328932</t>
  </si>
  <si>
    <t>2018 IEEE 4th International Conference on Computer and Communications (ICCC)</t>
  </si>
  <si>
    <t>10.1109/CompComm.2018.8780719</t>
  </si>
  <si>
    <t>978-1-5386-8339-2</t>
  </si>
  <si>
    <t>https://ieeexplore.ieee.org/stamp/stamp.jsp?arnumber=8780719</t>
  </si>
  <si>
    <t>10.1109/ICPES56491.2022.10072973</t>
  </si>
  <si>
    <t>iii</t>
  </si>
  <si>
    <t>xvi</t>
  </si>
  <si>
    <t>https://ieeexplore.ieee.org/stamp/stamp.jsp?arnumber=10072973</t>
  </si>
  <si>
    <t>2019 27th Signal Processing and Communications Applications Conference (SIU)</t>
  </si>
  <si>
    <t>2165-0608</t>
  </si>
  <si>
    <t>10.1109/SIU.2019.8806288</t>
  </si>
  <si>
    <t>978-1-7281-1904-5</t>
  </si>
  <si>
    <t>https://ieeexplore.ieee.org/stamp/stamp.jsp?arnumber=8806288</t>
  </si>
  <si>
    <t>[SpliTech 2020 Front matter]</t>
  </si>
  <si>
    <t>10.23919/SpliTech49282.2020.9243819</t>
  </si>
  <si>
    <t>xxi</t>
  </si>
  <si>
    <t>Conference proceedings front matter may contain various advertisements, welcome messages, committee or program information, and other miscellaneous conference information. This may in some cases also include the cover art, table of contents, copyright statements, title-page or half title-pages, blank pages, venue maps or other general information relating to the conference that was part of the original conference proceedings.</t>
  </si>
  <si>
    <t>https://ieeexplore.ieee.org/stamp/stamp.jsp?arnumber=9243819</t>
  </si>
  <si>
    <t>10.1109/INFOCOMWKSHPS50562.2020.9162682</t>
  </si>
  <si>
    <t>https://ieeexplore.ieee.org/stamp/stamp.jsp?arnumber=9162682</t>
  </si>
  <si>
    <t>2022 International Conference on Networking and Network Applications (NaNA)</t>
  </si>
  <si>
    <t>10.1109/NaNA56854.2022.00004</t>
  </si>
  <si>
    <t>Presents the conference table of contents.</t>
  </si>
  <si>
    <t>978-1-6654-6131-3</t>
  </si>
  <si>
    <t>https://ieeexplore.ieee.org/stamp/stamp.jsp?arnumber=9985131</t>
  </si>
  <si>
    <t>2022 IEEE International Conference on Advances in Electrical Engineering and Computer Applications (AEECA)</t>
  </si>
  <si>
    <t>10.1109/AEECA55500.2022.9918981</t>
  </si>
  <si>
    <t>xviii</t>
  </si>
  <si>
    <t>978-1-6654-8090-1</t>
  </si>
  <si>
    <t>https://ieeexplore.ieee.org/stamp/stamp.jsp?arnumber=9918981</t>
  </si>
  <si>
    <t>2022 IEEE 5th Advanced Information Management, Communicates, Electronic and Automation Control Conference (IMCEC)</t>
  </si>
  <si>
    <t>2693-2776</t>
  </si>
  <si>
    <t>10.1109/IMCEC55388.2022.10020060</t>
  </si>
  <si>
    <t>978-1-6654-7968-4</t>
  </si>
  <si>
    <t>https://ieeexplore.ieee.org/stamp/stamp.jsp?arnumber=10020060</t>
  </si>
  <si>
    <t>2020 IEEE 3rd International Conference on Information Systems and Computer Aided Education (ICISCAE)</t>
  </si>
  <si>
    <t>10.1109/ICISCAE51034.2020.9236839</t>
  </si>
  <si>
    <t>978-1-7281-8304-6</t>
  </si>
  <si>
    <t>https://ieeexplore.ieee.org/stamp/stamp.jsp?arnumber=9236839</t>
  </si>
  <si>
    <t>[Front cover]</t>
  </si>
  <si>
    <t>2020 IEEE 6th World Forum on Internet of Things (WF-IoT)</t>
  </si>
  <si>
    <t>10.1109/WF-IoT48130.2020.9221244</t>
  </si>
  <si>
    <t>c45</t>
  </si>
  <si>
    <t>Presents the front cover or splash screen of the proceedings record.</t>
  </si>
  <si>
    <t>978-1-7281-5503-6</t>
  </si>
  <si>
    <t>https://ieeexplore.ieee.org/stamp/stamp.jsp?arnumber=9221244</t>
  </si>
  <si>
    <t>Program</t>
  </si>
  <si>
    <t>10.1109/NCC.2018.8600166</t>
  </si>
  <si>
    <t>The following topics are dealt with: probability; error statistics; cellular radio; learning (artificial intelligence); diversity reception; fading channels; graph theory; cognitive radio; radio spectrum management; neural nets.</t>
  </si>
  <si>
    <t>https://ieeexplore.ieee.org/stamp/stamp.jsp?arnumber=8600166</t>
  </si>
  <si>
    <t>2022 International Conference on Electrical, Computer, Communications and Mechatronics Engineering (ICECCME)</t>
  </si>
  <si>
    <t>10.1109/ICECCME55909.2022.9987961</t>
  </si>
  <si>
    <t>978-1-6654-7095-7</t>
  </si>
  <si>
    <t>https://ieeexplore.ieee.org/stamp/stamp.jsp?arnumber=9987961</t>
  </si>
  <si>
    <t>ICCE-Berlin 2020 Technical Program</t>
  </si>
  <si>
    <t>2020 IEEE 10th International Conference on Consumer Electronics (ICCE-Berlin)</t>
  </si>
  <si>
    <t>10.1109/ICCE-Berlin50680.2020.9352196</t>
  </si>
  <si>
    <t>xv</t>
  </si>
  <si>
    <t>978-1-7281-5885-3</t>
  </si>
  <si>
    <t>https://ieeexplore.ieee.org/stamp/stamp.jsp?arnumber=9352196</t>
  </si>
  <si>
    <t>TCSET 2020 Table of Contents</t>
  </si>
  <si>
    <t>10.1109/TCSET49122.2020.9088527</t>
  </si>
  <si>
    <t>https://ieeexplore.ieee.org/stamp/stamp.jsp?arnumber=9088527</t>
  </si>
  <si>
    <t>10.1109/NetSoft54395.2022.9844110</t>
  </si>
  <si>
    <t>https://ieeexplore.ieee.org/stamp/stamp.jsp?arnumber=9844110</t>
  </si>
  <si>
    <t>INFOCOM 2019 Program</t>
  </si>
  <si>
    <t>10.1109/INFOCOM.2019.8737515</t>
  </si>
  <si>
    <t>xxxi</t>
  </si>
  <si>
    <t>https://ieeexplore.ieee.org/stamp/stamp.jsp?arnumber=8737515</t>
  </si>
  <si>
    <t>2022 IEEE International Conference on Communications Workshops (ICC Workshops)</t>
  </si>
  <si>
    <t>10.1109/ICCWorkshops53468.2022.9814488</t>
  </si>
  <si>
    <t>Author.</t>
  </si>
  <si>
    <t>978-1-6654-2671-8</t>
  </si>
  <si>
    <t>https://ieeexplore.ieee.org/stamp/stamp.jsp?arnumber=9814488</t>
  </si>
  <si>
    <t>10.1109/INFOCOMWKSHPS50562.2020.9162865</t>
  </si>
  <si>
    <t>https://ieeexplore.ieee.org/stamp/stamp.jsp?arnumber=9162865</t>
  </si>
  <si>
    <t>2019 15th International Conference on Signal-Image Technology &amp; Internet-Based Systems (SITIS)</t>
  </si>
  <si>
    <t>10.1109/SITIS.2019.00004</t>
  </si>
  <si>
    <t>978-1-7281-5686-6</t>
  </si>
  <si>
    <t>https://ieeexplore.ieee.org/stamp/stamp.jsp?arnumber=9067971</t>
  </si>
  <si>
    <t>2018 2nd IEEE Conference on Energy Internet and Energy System Integration (EI2)</t>
  </si>
  <si>
    <t>10.1109/EI2.2018.8582540</t>
  </si>
  <si>
    <t>The following topics are dealt with: power grids; distributed power generation; optimisation; power engineering computing; distribution networks; wind power plants; power generation economics; power markets; HVDC power transmission; power generation control.</t>
  </si>
  <si>
    <t>978-1-5386-8549-5</t>
  </si>
  <si>
    <t>https://ieeexplore.ieee.org/stamp/stamp.jsp?arnumber=8582540</t>
  </si>
  <si>
    <t>10.1109/INFOCOMWKSHPS50562.2020.9163063</t>
  </si>
  <si>
    <t>https://ieeexplore.ieee.org/stamp/stamp.jsp?arnumber=9163063</t>
  </si>
  <si>
    <t>2019 IEEE 43rd Annual Computer Software and Applications Conference (COMPSAC)</t>
  </si>
  <si>
    <t>10.1109/COMPSAC.2019.00004</t>
  </si>
  <si>
    <t>978-1-7281-2607-4</t>
  </si>
  <si>
    <t>https://ieeexplore.ieee.org/stamp/stamp.jsp?arnumber=8754469</t>
  </si>
  <si>
    <t>CAC 2020 Table of Contents</t>
  </si>
  <si>
    <t>10.1109/CAC51589.2020.9326833</t>
  </si>
  <si>
    <t>l</t>
  </si>
  <si>
    <t>https://ieeexplore.ieee.org/stamp/stamp.jsp?arnumber=9326833</t>
  </si>
  <si>
    <t>10.1109/IWCMC55113.2022.9824997</t>
  </si>
  <si>
    <t>https://ieeexplore.ieee.org/stamp/stamp.jsp?arnumber=9824997</t>
  </si>
  <si>
    <t>IEEE INFOCOM 2021 - IEEE Conference on Computer Communications</t>
  </si>
  <si>
    <t>10.1109/INFOCOM42981.2021.9488744</t>
  </si>
  <si>
    <t>xxxvi</t>
  </si>
  <si>
    <t>978-1-6654-0325-2</t>
  </si>
  <si>
    <t>https://ieeexplore.ieee.org/stamp/stamp.jsp?arnumber=9488744</t>
  </si>
  <si>
    <t>2019 7th International Conference on Future Internet of Things and Cloud (FiCloud)</t>
  </si>
  <si>
    <t>10.1109/FiCloud.2019.00004</t>
  </si>
  <si>
    <t>978-1-7281-2888-7</t>
  </si>
  <si>
    <t>https://ieeexplore.ieee.org/stamp/stamp.jsp?arnumber=8972816</t>
  </si>
  <si>
    <t>ICECET 2022 Presenters &amp; Countries List</t>
  </si>
  <si>
    <t>10.1109/ICECET55527.2022.9872946</t>
  </si>
  <si>
    <t>"Lists the conference organizers, sponsors, patrons, and/or committee members."</t>
  </si>
  <si>
    <t>https://ieeexplore.ieee.org/stamp/stamp.jsp?arnumber=9872946</t>
  </si>
  <si>
    <t>2020 International Symposium on Computer, Consumer and Control (IS3C)</t>
  </si>
  <si>
    <t>10.1109/IS3C50286.2020.00004</t>
  </si>
  <si>
    <t>978-1-7281-9362-5</t>
  </si>
  <si>
    <t>https://ieeexplore.ieee.org/stamp/stamp.jsp?arnumber=9394080</t>
  </si>
  <si>
    <t>10.1109/CSNDSP54353.2022.9907999</t>
  </si>
  <si>
    <t>lxxxiv</t>
  </si>
  <si>
    <t>https://ieeexplore.ieee.org/stamp/stamp.jsp?arnumber=9907999</t>
  </si>
  <si>
    <t>Contents</t>
  </si>
  <si>
    <t>2020 IEEE International Conference on Problems of Infocommunications. Science and Technology (PIC S&amp;T)</t>
  </si>
  <si>
    <t>10.1109/PICST51311.2020.9468060</t>
  </si>
  <si>
    <t>vi</t>
  </si>
  <si>
    <t>978-1-7281-9177-5</t>
  </si>
  <si>
    <t>https://ieeexplore.ieee.org/stamp/stamp.jsp?arnumber=9468060</t>
  </si>
  <si>
    <t>10.1109/ITNEC48623.2020.9084820</t>
  </si>
  <si>
    <t>https://ieeexplore.ieee.org/stamp/stamp.jsp?arnumber=9084820</t>
  </si>
  <si>
    <t>2022 IEEE 17th Conference on Industrial Electronics and Applications (ICIEA)</t>
  </si>
  <si>
    <t>2158-2297</t>
  </si>
  <si>
    <t>10.1109/ICIEA54703.2022.10006059</t>
  </si>
  <si>
    <t>lxv</t>
  </si>
  <si>
    <t>Contains various advertisements, welcome messages, committee or program information, and other miscellaneous conference information. This may in some cases also include the table of contents, copyright statements, title-page or half title-pages, blank pages, venue maps or other general information relating to the conference that was part of the original conference proceedings.</t>
  </si>
  <si>
    <t>978-1-6654-0984-1</t>
  </si>
  <si>
    <t>https://ieeexplore.ieee.org/stamp/stamp.jsp?arnumber=10006059</t>
  </si>
  <si>
    <t>2018 5th International Conference on Information Science and Control Engineering (ICISCE)</t>
  </si>
  <si>
    <t>10.1109/ICISCE.2018.00004</t>
  </si>
  <si>
    <t>978-1-5386-5500-9</t>
  </si>
  <si>
    <t>https://ieeexplore.ieee.org/stamp/stamp.jsp?arnumber=8612502</t>
  </si>
  <si>
    <t>Final Program</t>
  </si>
  <si>
    <t>10.1109/ICTC55196.2022.9952645</t>
  </si>
  <si>
    <t>https://ieeexplore.ieee.org/stamp/stamp.jsp?arnumber=9952645</t>
  </si>
  <si>
    <t>Keyword Index</t>
  </si>
  <si>
    <t>2019 IEEE 39th Central America and Panama Convention (CONCAPAN XXXIX)</t>
  </si>
  <si>
    <t>10.1109/CONCAPANXXXIX47272.2019.8977022</t>
  </si>
  <si>
    <t>Contains an entry for each technical presentation included in this conference proceedings.</t>
  </si>
  <si>
    <t>978-1-7281-0883-4</t>
  </si>
  <si>
    <t>https://ieeexplore.ieee.org/stamp/stamp.jsp?arnumber=8977022</t>
  </si>
  <si>
    <t>10.23919/SoftCOM55329.2022.9911429</t>
  </si>
  <si>
    <t>Presents the copyright information for the conference. May include reprint permission information.</t>
  </si>
  <si>
    <t>https://ieeexplore.ieee.org/stamp/stamp.jsp?arnumber=9911429</t>
  </si>
  <si>
    <t>10.1109/INFOCOMWKSHPS50562.2020.9162696</t>
  </si>
  <si>
    <t>https://ieeexplore.ieee.org/stamp/stamp.jsp?arnumber=9162696</t>
  </si>
  <si>
    <t>2022 IEEE 19th India Council International Conference (INDICON)</t>
  </si>
  <si>
    <t>10.1109/INDICON56171.2022.10039923</t>
  </si>
  <si>
    <t>978-1-6654-7350-7</t>
  </si>
  <si>
    <t>https://ieeexplore.ieee.org/stamp/stamp.jsp?arnumber=10039923</t>
  </si>
  <si>
    <t>2022 5th International Seminar on Research of Information Technology and Intelligent Systems (ISRITI)</t>
  </si>
  <si>
    <t>10.1109/ISRITI56927.2022.10052836</t>
  </si>
  <si>
    <t>978-1-6654-5512-1</t>
  </si>
  <si>
    <t>https://ieeexplore.ieee.org/stamp/stamp.jsp?arnumber=10052836</t>
  </si>
  <si>
    <t>2022 2nd International Conference on Electrical Engineering and Control Science (IC2ECS)</t>
  </si>
  <si>
    <t>10.1109/IC2ECS57645.2022.10088071</t>
  </si>
  <si>
    <t>xix</t>
  </si>
  <si>
    <t>979-8-3503-9916-5</t>
  </si>
  <si>
    <t>https://ieeexplore.ieee.org/stamp/stamp.jsp?arnumber=10088071</t>
  </si>
  <si>
    <t>2019 IEEE 21st International Conference on High Performance Computing and Communications; IEEE 17th International Conference on Smart City; IEEE 5th International Conference on Data Science and Systems (HPCC/SmartCity/DSS)</t>
  </si>
  <si>
    <t>10.1109/HPCC/SmartCity/DSS.2019.00004</t>
  </si>
  <si>
    <t>978-1-7281-2058-4</t>
  </si>
  <si>
    <t>https://ieeexplore.ieee.org/stamp/stamp.jsp?arnumber=8855384</t>
  </si>
  <si>
    <t>2019 27th Euromicro International Conference on Parallel, Distributed and Network-Based Processing (PDP)</t>
  </si>
  <si>
    <t>10.1109/EMPDP.2019.8671587</t>
  </si>
  <si>
    <t>xiii</t>
  </si>
  <si>
    <t>978-1-7281-1644-0</t>
  </si>
  <si>
    <t>https://ieeexplore.ieee.org/stamp/stamp.jsp?arnumber=8671587</t>
  </si>
  <si>
    <t>10.1109/INFOCOMWKSHPS50562.2020.9162698</t>
  </si>
  <si>
    <t>https://ieeexplore.ieee.org/stamp/stamp.jsp?arnumber=9162698</t>
  </si>
  <si>
    <t>2019 45th Euromicro Conference on Software Engineering and Advanced Applications (SEAA)</t>
  </si>
  <si>
    <t>10.1109/SEAA.2019.00004</t>
  </si>
  <si>
    <t>978-1-7281-3421-5</t>
  </si>
  <si>
    <t>https://ieeexplore.ieee.org/stamp/stamp.jsp?arnumber=8906695</t>
  </si>
  <si>
    <t>10.1109/INFOCOMWKSHPS50562.2020.9162665</t>
  </si>
  <si>
    <t>https://ieeexplore.ieee.org/stamp/stamp.jsp?arnumber=9162665</t>
  </si>
  <si>
    <t>10.1109/INFOCOMWKSHPS50562.2020.9162844</t>
  </si>
  <si>
    <t>https://ieeexplore.ieee.org/stamp/stamp.jsp?arnumber=9162844</t>
  </si>
  <si>
    <t>2022 7th International Conference on Intelligent Computing and Signal Processing (ICSP)</t>
  </si>
  <si>
    <t>10.1109/ICSP54964.2022.9778510</t>
  </si>
  <si>
    <t>978-1-6654-7857-1</t>
  </si>
  <si>
    <t>https://ieeexplore.ieee.org/stamp/stamp.jsp?arnumber=9778510</t>
  </si>
  <si>
    <t>10.1109/ICIMTech50083.2020.9211295</t>
  </si>
  <si>
    <t>Table of contents.</t>
  </si>
  <si>
    <t>https://ieeexplore.ieee.org/stamp/stamp.jsp?arnumber=9211295</t>
  </si>
  <si>
    <t>2021 IEEE 4th Advanced Information Management, Communicates, Electronic and Automation Control Conference (IMCEC)</t>
  </si>
  <si>
    <t>10.1109/IMCEC51613.2021.9482362</t>
  </si>
  <si>
    <t>978-1-7281-8535-4</t>
  </si>
  <si>
    <t>https://ieeexplore.ieee.org/stamp/stamp.jsp?arnumber=9482362</t>
  </si>
  <si>
    <t>2022 IEEE International Conference on Smart Computing (SMARTCOMP)</t>
  </si>
  <si>
    <t>2693-8340</t>
  </si>
  <si>
    <t>10.1109/SMARTCOMP55677.2022.00004</t>
  </si>
  <si>
    <t>978-1-6654-8152-6</t>
  </si>
  <si>
    <t>https://ieeexplore.ieee.org/stamp/stamp.jsp?arnumber=9821097</t>
  </si>
  <si>
    <t>2018 International Conference on Current Trends towards Converging Technologies (ICCTCT)</t>
  </si>
  <si>
    <t>10.1109/ICCTCT.2018.8550830</t>
  </si>
  <si>
    <t>978-1-5386-3702-9</t>
  </si>
  <si>
    <t>https://ieeexplore.ieee.org/stamp/stamp.jsp?arnumber=8550830</t>
  </si>
  <si>
    <t>10.1109/INFOCOMWKSHPS50562.2020.9162956</t>
  </si>
  <si>
    <t>https://ieeexplore.ieee.org/stamp/stamp.jsp?arnumber=9162956</t>
  </si>
  <si>
    <t>[SoftCOM 2020 Front matter]</t>
  </si>
  <si>
    <t>2020 International Conference on Software, Telecommunications and Computer Networks (SoftCOM)</t>
  </si>
  <si>
    <t>10.23919/SoftCOM50211.2020.9238261</t>
  </si>
  <si>
    <t>978-953-290-099-6</t>
  </si>
  <si>
    <t>https://ieeexplore.ieee.org/stamp/stamp.jsp?arnumber=9238261</t>
  </si>
  <si>
    <t>2019 20th International Conference on Parallel and Distributed Computing, Applications and Technologies (PDCAT)</t>
  </si>
  <si>
    <t>2640-6721</t>
  </si>
  <si>
    <t>10.1109/PDCAT46702.2019.00004</t>
  </si>
  <si>
    <t>978-1-7281-2616-6</t>
  </si>
  <si>
    <t>https://ieeexplore.ieee.org/stamp/stamp.jsp?arnumber=9029039</t>
  </si>
  <si>
    <t>10.1109/NOMS54207.2022.9789861</t>
  </si>
  <si>
    <t>cxxv</t>
  </si>
  <si>
    <t>https://ieeexplore.ieee.org/stamp/stamp.jsp?arnumber=9789861</t>
  </si>
  <si>
    <t>2022 Third International Conference on Intelligent Computing Instrumentation and Control Technologies (ICICICT)</t>
  </si>
  <si>
    <t>10.1109/ICICICT54557.2022.9917878</t>
  </si>
  <si>
    <t>xxxii</t>
  </si>
  <si>
    <t>978-1-6654-1005-2</t>
  </si>
  <si>
    <t>https://ieeexplore.ieee.org/stamp/stamp.jsp?arnumber=9917878</t>
  </si>
  <si>
    <t>10.1109/CONCAPANXXXIX47272.2019.8977001</t>
  </si>
  <si>
    <t>https://ieeexplore.ieee.org/stamp/stamp.jsp?arnumber=8977001</t>
  </si>
  <si>
    <t>10.1109/INFOCOMWKSHPS50562.2020.9163046</t>
  </si>
  <si>
    <t>https://ieeexplore.ieee.org/stamp/stamp.jsp?arnumber=9163046</t>
  </si>
  <si>
    <t>Blockchain Networks and Communications</t>
  </si>
  <si>
    <t>10.1109/ICCWorkshops53468.2022.9814617</t>
  </si>
  <si>
    <t>Blockchain Networks and Communications.</t>
  </si>
  <si>
    <t>https://ieeexplore.ieee.org/stamp/stamp.jsp?arnumber=9814617</t>
  </si>
  <si>
    <t>2022 IEEE 10th Joint International Information Technology and Artificial Intelligence Conference (ITAIC)</t>
  </si>
  <si>
    <t>2693-2865</t>
  </si>
  <si>
    <t>10.1109/ITAIC54216.2022.9836736</t>
  </si>
  <si>
    <t>978-1-6654-2207-9</t>
  </si>
  <si>
    <t>https://ieeexplore.ieee.org/stamp/stamp.jsp?arnumber=9836736</t>
  </si>
  <si>
    <t>2018 IEEE International Conference on Smart Computing (SMARTCOMP)</t>
  </si>
  <si>
    <t>10.1109/SMARTCOMP.2018.00004</t>
  </si>
  <si>
    <t>978-1-5386-4705-9</t>
  </si>
  <si>
    <t>https://ieeexplore.ieee.org/stamp/stamp.jsp?arnumber=8421311</t>
  </si>
  <si>
    <t>ICECCME 2022: Presenter List</t>
  </si>
  <si>
    <t>10.1109/ICECCME55909.2022.9988682</t>
  </si>
  <si>
    <t>Lists the conference organizers, sponsors, patrons, speakers, and/or committee members.</t>
  </si>
  <si>
    <t>https://ieeexplore.ieee.org/stamp/stamp.jsp?arnumber=9988682</t>
  </si>
  <si>
    <t>ICECET 2022 Table of Contents</t>
  </si>
  <si>
    <t>10.1109/ICECET55527.2022.9872862</t>
  </si>
  <si>
    <t>Reports on the conference program.</t>
  </si>
  <si>
    <t>https://ieeexplore.ieee.org/stamp/stamp.jsp?arnumber=9872862</t>
  </si>
  <si>
    <t>10.1109/INFOCOMWKSHPS50562.2020.9163013</t>
  </si>
  <si>
    <t>https://ieeexplore.ieee.org/stamp/stamp.jsp?arnumber=9163013</t>
  </si>
  <si>
    <t>2022 International Conference on Science and Technology (ICOSTECH)</t>
  </si>
  <si>
    <t>10.1109/ICOSTECH54296.2022.9829037</t>
  </si>
  <si>
    <t>Presents the table of contents/splash page of the proceedings record</t>
  </si>
  <si>
    <t>978-1-6654-7985-1</t>
  </si>
  <si>
    <t>https://ieeexplore.ieee.org/stamp/stamp.jsp?arnumber=9829037</t>
  </si>
  <si>
    <t>Content</t>
  </si>
  <si>
    <t>2018 IEEE 9th Annual Information Technology, Electronics and Mobile Communication Conference (IEMCON)</t>
  </si>
  <si>
    <t>10.1109/IEMCON.2018.8614953</t>
  </si>
  <si>
    <t>The following topics are dealt with: Internet of Things; learning (artificial intelligence); mobile computing; cloud computing; feature extraction; Internet; wireless sensor networks; mobile radio; computer aided instruction; data mining.</t>
  </si>
  <si>
    <t>978-1-5386-7266-2</t>
  </si>
  <si>
    <t>https://ieeexplore.ieee.org/stamp/stamp.jsp?arnumber=8614953</t>
  </si>
  <si>
    <t>2022 IEEE 33rd Annual International Symposium on Personal, Indoor and Mobile Radio Communications (PIMRC)</t>
  </si>
  <si>
    <t>10.1109/PIMRC54779.2022.9977836</t>
  </si>
  <si>
    <t>978-1-6654-8053-6</t>
  </si>
  <si>
    <t>https://ieeexplore.ieee.org/stamp/stamp.jsp?arnumber=9977836</t>
  </si>
  <si>
    <t>Comnetsat 2020 Table of Contents</t>
  </si>
  <si>
    <t>10.1109/Comnetsat50391.2020.9328931</t>
  </si>
  <si>
    <t>https://ieeexplore.ieee.org/stamp/stamp.jsp?arnumber=9328931</t>
  </si>
  <si>
    <t>2018 IEEE 18th International Symposium on Computational Intelligence and Informatics (CINTI)</t>
  </si>
  <si>
    <t>2471-9269</t>
  </si>
  <si>
    <t>10.1109/CINTI.2018.8928249</t>
  </si>
  <si>
    <t>978-1-7281-1117-9</t>
  </si>
  <si>
    <t>https://ieeexplore.ieee.org/stamp/stamp.jsp?arnumber=8928249</t>
  </si>
  <si>
    <t>10.1109/INFOCOMWKSHPS50562.2020.9162713</t>
  </si>
  <si>
    <t>https://ieeexplore.ieee.org/stamp/stamp.jsp?arnumber=9162713</t>
  </si>
  <si>
    <t>10.1109/EI250167.2020.9347098</t>
  </si>
  <si>
    <t>https://ieeexplore.ieee.org/stamp/stamp.jsp?arnumber=9347098</t>
  </si>
  <si>
    <t>2020 IEEE International Parallel and Distributed Processing Symposium (IPDPS)</t>
  </si>
  <si>
    <t>10.1109/IPDPS47924.2020.00004</t>
  </si>
  <si>
    <t>978-1-7281-6876-0</t>
  </si>
  <si>
    <t>https://ieeexplore.ieee.org/stamp/stamp.jsp?arnumber=9139829</t>
  </si>
  <si>
    <t>5GWF 2018 Program</t>
  </si>
  <si>
    <t>2018 IEEE 5G World Forum (5GWF)</t>
  </si>
  <si>
    <t>10.1109/5GWF.2018.8517023</t>
  </si>
  <si>
    <t>978-1-5386-4982-4</t>
  </si>
  <si>
    <t>https://ieeexplore.ieee.org/stamp/stamp.jsp?arnumber=8517023</t>
  </si>
  <si>
    <t>2019 International Conference on Electrical, Electronics and Information Engineering (ICEEIE)</t>
  </si>
  <si>
    <t>10.1109/ICEEIE47180.2019.8981442</t>
  </si>
  <si>
    <t>978-1-7281-4160-2</t>
  </si>
  <si>
    <t>https://ieeexplore.ieee.org/stamp/stamp.jsp?arnumber=8981442</t>
  </si>
  <si>
    <t>2022 12th International Conference on Advanced Computer Information Technologies (ACIT)</t>
  </si>
  <si>
    <t>2770-5226</t>
  </si>
  <si>
    <t>10.1109/ACIT54803.2022.9913175</t>
  </si>
  <si>
    <t>ix</t>
  </si>
  <si>
    <t>978-1-6654-1050-2</t>
  </si>
  <si>
    <t>https://ieeexplore.ieee.org/stamp/stamp.jsp?arnumber=9913175</t>
  </si>
  <si>
    <t>Paper Index</t>
  </si>
  <si>
    <t>10.1109/NetSoft54395.2022.9844036</t>
  </si>
  <si>
    <t>iv</t>
  </si>
  <si>
    <t>https://ieeexplore.ieee.org/stamp/stamp.jsp?arnumber=9844036</t>
  </si>
  <si>
    <t>10.1109/CAC57257.2022.10055629</t>
  </si>
  <si>
    <t>xliv</t>
  </si>
  <si>
    <t>https://ieeexplore.ieee.org/stamp/stamp.jsp?arnumber=10055629</t>
  </si>
  <si>
    <t>Papertitles</t>
  </si>
  <si>
    <t>10.1109/ISRITI56927.2022.10053019</t>
  </si>
  <si>
    <t>Papertitles.</t>
  </si>
  <si>
    <t>https://ieeexplore.ieee.org/stamp/stamp.jsp?arnumber=10053019</t>
  </si>
  <si>
    <t>10.1109/CLOUD.2018.00004</t>
  </si>
  <si>
    <t>https://ieeexplore.ieee.org/stamp/stamp.jsp?arnumber=8457772</t>
  </si>
  <si>
    <t>ISC2 2019 Program</t>
  </si>
  <si>
    <t>10.1109/ISC246665.2019.9071792</t>
  </si>
  <si>
    <t>xx</t>
  </si>
  <si>
    <t>https://ieeexplore.ieee.org/stamp/stamp.jsp?arnumber=9071792</t>
  </si>
  <si>
    <t>10.1109/INFOCOMWKSHPS50562.2020.9162870</t>
  </si>
  <si>
    <t>https://ieeexplore.ieee.org/stamp/stamp.jsp?arnumber=9162870</t>
  </si>
  <si>
    <t>10.1109/VTC2022-Spring54318.2022.9860688</t>
  </si>
  <si>
    <t>Presents general conference information.</t>
  </si>
  <si>
    <t>https://ieeexplore.ieee.org/stamp/stamp.jsp?arnumber=9860688</t>
  </si>
  <si>
    <t>10.1109/INFOCOMWKSHPS50562.2020.9162654</t>
  </si>
  <si>
    <t>https://ieeexplore.ieee.org/stamp/stamp.jsp?arnumber=9162654</t>
  </si>
  <si>
    <t>2020 Fourth International Conference on I-SMAC (IoT in Social, Mobile, Analytics and Cloud) (I-SMAC)</t>
  </si>
  <si>
    <t>10.1109/I-SMAC49090.2020.9243441</t>
  </si>
  <si>
    <t>978-1-7281-5464-0</t>
  </si>
  <si>
    <t>https://ieeexplore.ieee.org/stamp/stamp.jsp?arnumber=9243441</t>
  </si>
  <si>
    <t>2022 41st Chinese Control Conference (CCC)</t>
  </si>
  <si>
    <t>10.23919/CCC55666.2022.9901783</t>
  </si>
  <si>
    <t>978-988-75815-3-6</t>
  </si>
  <si>
    <t>https://ieeexplore.ieee.org/stamp/stamp.jsp?arnumber=9901783</t>
  </si>
  <si>
    <t>CICED 2022 Conference Proceeding</t>
  </si>
  <si>
    <t>10.1109/CICED56215.2022.9929149</t>
  </si>
  <si>
    <t>Presents the front cover, title page, or splash screen of the proceedings record.</t>
  </si>
  <si>
    <t>https://ieeexplore.ieee.org/stamp/stamp.jsp?arnumber=9929149</t>
  </si>
  <si>
    <t>2020 International Conference on Intelligent Transportation, Big Data &amp; Smart City (ICITBS)</t>
  </si>
  <si>
    <t>10.1109/ICITBS49701.2020.00004</t>
  </si>
  <si>
    <t>978-1-7281-6698-8</t>
  </si>
  <si>
    <t>https://ieeexplore.ieee.org/stamp/stamp.jsp?arnumber=9110057</t>
  </si>
  <si>
    <t>10.1109/INFOCOMWKSHPS50562.2020.9162693</t>
  </si>
  <si>
    <t>https://ieeexplore.ieee.org/stamp/stamp.jsp?arnumber=9162693</t>
  </si>
  <si>
    <t>10.1109/Cybermatics_2018.2018.00004</t>
  </si>
  <si>
    <t>xxxviii</t>
  </si>
  <si>
    <t>https://ieeexplore.ieee.org/stamp/stamp.jsp?arnumber=8726856</t>
  </si>
  <si>
    <t>2021 4th International Conference on Advanced Electronic Materials, Computers and Software Engineering (AEMCSE)</t>
  </si>
  <si>
    <t>10.1109/AEMCSE51986.2021.00004</t>
  </si>
  <si>
    <t>978-1-6654-1596-5</t>
  </si>
  <si>
    <t>https://ieeexplore.ieee.org/stamp/stamp.jsp?arnumber=9513043</t>
  </si>
  <si>
    <t>10.1109/ICDCS.2019.00004</t>
  </si>
  <si>
    <t>The following topics are dealt with: cloud computing; learning (artificial intelligence); resource allocation; Internet of Things; optimisation; mobile computing; distributed processing; Internet; data privacy; computational complexity.</t>
  </si>
  <si>
    <t>https://ieeexplore.ieee.org/stamp/stamp.jsp?arnumber=8885285</t>
  </si>
  <si>
    <t>10.1109/INFOCOMWKSHPS50562.2020.9162731</t>
  </si>
  <si>
    <t>https://ieeexplore.ieee.org/stamp/stamp.jsp?arnumber=9162731</t>
  </si>
  <si>
    <t>List of Accepted Papers</t>
  </si>
  <si>
    <t>10.1109/LCN53696.2022.9843282</t>
  </si>
  <si>
    <t>https://ieeexplore.ieee.org/stamp/stamp.jsp?arnumber=9843282</t>
  </si>
  <si>
    <t>10.1109/INFOCOMWKSHPS50562.2020.9162697</t>
  </si>
  <si>
    <t>https://ieeexplore.ieee.org/stamp/stamp.jsp?arnumber=9162697</t>
  </si>
  <si>
    <t>2018 IEEE 3rd Advanced Information Technology, Electronic and Automation Control Conference (IAEAC)</t>
  </si>
  <si>
    <t>2381-0947</t>
  </si>
  <si>
    <t>10.1109/IAEAC.2018.8577244</t>
  </si>
  <si>
    <t>978-1-5386-4509-3</t>
  </si>
  <si>
    <t>https://ieeexplore.ieee.org/stamp/stamp.jsp?arnumber=8577244</t>
  </si>
  <si>
    <t>C. S. Ranganathan; R. Raman; V. K. Pandey; S. Kavitha; M. Muthulekshmi; K. Gopalakrishnan</t>
  </si>
  <si>
    <t>Ingestion of Google Cloud Platform Data using Dataflow</t>
  </si>
  <si>
    <t>2023 7th International Conference on I-SMAC (IoT in Social, Mobile, Analytics and Cloud) (I-SMAC)</t>
  </si>
  <si>
    <t>2768-0673</t>
  </si>
  <si>
    <t>10.1109/I-SMAC58438.2023.10290190</t>
  </si>
  <si>
    <t>Mphasis Corporation Chandler, Arizona, USA; Symbiosis Institute of Business Management Pune &amp; Symbiosis International (Deemed University), Pune, Maharashtra, India; Symbiosis Law School, Noida, Uttar Pradesh; Department of Electronics and Communication Engineering, Hindusthan Institute of Technology Coimbatore, Tamil Nadu, India; Department of Biomedical Engineering, Saveetha School of Engineering, Saveetha Institute of Medical and Technical Sciences, Saveetha University, Chennai, Tamil Nadu, India; Cambrdge Institute of Technology, Bengaluru, Karnataka, India</t>
  </si>
  <si>
    <t>Organizations using big data analytics to enhance operations often load data into a cloud-based data warehouse. Dataflow on Google Cloud Platform (GCP) lets users extract, manipulate, and load data from diverse sources into Google Cloud Storage or Big Query. This article discusses Dataflow's advantages for GCP data import and how to build up a pipeline. Data intake and data-driven decision-making start the article. It then presents Dataflow, which can process batch and stream data and grow automatically dependent on data volume. The report also emphasizes the advantages of adopting Dataflow over alternative data ingestion solutions, such as its smooth interaction with GCP services, its user-friendly UI, and its cost-effectiveness. The article walks through building a GCP project, setting up Google Cloud Storage or Big Query as the destination for ingested data, launching a Dataflow task, and monitoring its progress. The study also examines data storage type, pipeline runner, and pipeline parallelism recommended practices for Dataflow pipeline performance. The article concludes with Dataflow use examples for real-time analytics for e-commerce websites, data transfer from on-premises databases to the cloud, and log analysis for system behavior abnormalities. The article finishes by underlining the necessity of data intake in the era of big data and how Dataflow may help companies maximize data value by simplifying data ingestion and analysis. Dataflow for data input in GCP and how it may help enterprises employ big data analytics to expand and enhance operations are covered.</t>
  </si>
  <si>
    <t>979-8-3503-4148-5</t>
  </si>
  <si>
    <t>https://ieeexplore.ieee.org/stamp/stamp.jsp?arnumber=10290190</t>
  </si>
  <si>
    <t>Google Cloud Platform;Dataflow;Big Query;Ingestion;Analysis</t>
  </si>
  <si>
    <t>Cloud computing;Soft sensors;Data integrity;Pipelines;Decision making;Machine learning;Companies</t>
  </si>
  <si>
    <t>A. Furutanpey; J. Barzen; M. Bechtold; S. Dustdar; F. Leymann; P. Raith; F. Truger</t>
  </si>
  <si>
    <t>Architectural Vision for Quantum Computing in the Edge-Cloud Continuum</t>
  </si>
  <si>
    <t>2023 IEEE International Conference on Quantum Software (QSW)</t>
  </si>
  <si>
    <t>10.1109/QSW59989.2023.00021</t>
  </si>
  <si>
    <t>Distributed Systems Group, TU Vienna; Institute of Architecture of Application Systems, University of Stuttgart; Institute of Architecture of Application Systems, University of Stuttgart; Distributed Systems Group, TU Vienna; Institute of Architecture of Application Systems, University of Stuttgart; Distributed Systems Group, TU Vienna; Institute of Architecture of Application Systems, University of Stuttgart</t>
  </si>
  <si>
    <t>Quantum processing units (QPUs) are currently exclusively available from cloud vendors. However, with recent advancements, hosting QPUs will soon be possible everywhere. Existing work has yet to draw from research in edge computing to explore systems exploiting mobile QPUs, or how hybrid applications can benefit from distributed heterogeneous resources. Hence, this work presents an architecture for Quantum Computing in the edge-cloud continuum. We discuss the necessity, challenges, and solution approaches for extending existing work on classical edge computing to integrate QPUs. We describe how warm-starting allows defining workflows that exploit the hierarchical resources spread across the continuum. Then, we introduce a distributed inference engine with hybrid classical-quantum neural networks (QNNs) to aid system designers in accommodating applications with complex requirements that incur the highest degree of heterogeneity. We propose solutions focusing on classical layer partitioning and quantum circuit cutting to demonstrate the potential of utilizing classical and quantum computation across the continuum. To evaluate the importance and feasibility of our vision, we provide a proof of concept that exemplifies how extending a classical partition method to integrate quantum circuits can improve the solution quality. Specifically, we implement a split neural network with optional hybrid QNN predictors. Our results show that extending classical methods with QNNs is viable and promising for future work.</t>
  </si>
  <si>
    <t>979-8-3503-0479-4</t>
  </si>
  <si>
    <t xml:space="preserve">Eni; </t>
  </si>
  <si>
    <t>https://ieeexplore.ieee.org/stamp/stamp.jsp?arnumber=10234305</t>
  </si>
  <si>
    <t>Quantum Computing;Edge Computing;Compute Continuum;Split Computing;Circuit Cutting;Task Partitioning;DNN Partitioning;Classical-Quantum Hybrid Machine Learning;Quantum Neural Networks;Warm-Starting</t>
  </si>
  <si>
    <t>Neural networks;Focusing;Computer architecture;Software;Quantum circuit;Task analysis;Artificial intelligence</t>
  </si>
  <si>
    <t>E. Kartsakli; J. Perez-Romero; O. Sallent; N. Bartzoudis; V. Frascolla; S. K. Mohalik; T. Metsch; A. Antonopoulos; √ñ. F. Tuna; Y. Deng; X. Tao; M. A. Serrano; E. Qui√±ones</t>
  </si>
  <si>
    <t>AI-Powered Edge Computing Evolution for Beyond 5G Communication Networks</t>
  </si>
  <si>
    <t>2023 Joint European Conference on Networks and Communications &amp; 6G Summit (EuCNC/6G Summit)</t>
  </si>
  <si>
    <t>10.1109/EuCNC/6GSummit58263.2023.10188371</t>
  </si>
  <si>
    <t>Barcelona Supercomputing Center, Barcelona, Spain; Signal Theory and Communications Dpt., Technical University of Catalonia (UPC), Barcelona, Spain; Signal Theory and Communications Dpt., Technical University of Catalonia (UPC), Barcelona, Spain; Telecommunications Technological Center of Catalonia (CTTC), Barcelona, Spain; Intel Deutschland GmbH, Neubiberg, Germany; Artificial Intelligence, Ericsson Research, Stockholm, Sweden; Intel Deutschland GmbH, Neubiberg, Germany; Nearby Computing, Barcelona, Spain; Ericsson Research, Istanbul, Turkey; King's College London, United Kingdom; Artificial Intelligence, Ericsson Research, Stockholm, Sweden; Nearby Computing, Barcelona, Spain; Barcelona Supercomputing Center, Barcelona, Spain</t>
  </si>
  <si>
    <t>Edge computing is a key enabling technology that is expected to play a crucial role in beyond 5G (B5G) and 6G communication networks. By bringing computation closer to where the data is generated, and leveraging Artificial Intelligence (AI) capabilities for advanced automation and orchestration, edge computing can enable a wide range of emerging applications with extreme requirements in terms of latency and computation, across multiple vertical domains. In this context, this paper first discusses the key technological challenges for the seamless integration of edge computing within B5G/6G and then presents a roadmap for the edge computing evolution, proposing a novel design approach for an open, intelligent, trustworthy, and distributed edge architecture.</t>
  </si>
  <si>
    <t>979-8-3503-1102-0</t>
  </si>
  <si>
    <t xml:space="preserve">European Union's Horizon Europe research and innovation programme(grant numbers:101096034); </t>
  </si>
  <si>
    <t>https://ieeexplore.ieee.org/stamp/stamp.jsp?arnumber=10188371</t>
  </si>
  <si>
    <t>Edge computing;AI/ML-based optimization;security and trustworthiness;B5G/6G evolution;edge-cloud compute continuum;closed-loop automation</t>
  </si>
  <si>
    <t>6G mobile communication;Intelligent automation;Privacy;5G mobile communication;Ecosystems;Safety;Communication networks;Security;Artificial intelligence;Edge computing</t>
  </si>
  <si>
    <t>G. Zachos; G. Mantas; I. Essop; K. Porfyrakis; J. M. C. S. Bastos; J. Rodriguez</t>
  </si>
  <si>
    <t>An IoT/IoMT Security Testbed for Anomaly-based Intrusion Detection Systems</t>
  </si>
  <si>
    <t>2023 IFIP Networking Conference (IFIP Networking)</t>
  </si>
  <si>
    <t>1861-2288</t>
  </si>
  <si>
    <t>10.23919/IFIPNetworking57963.2023.10186428</t>
  </si>
  <si>
    <t>Instituto de Telecomunicacoes, Aveiro, Portugal; Instituto de Telecomunicacoes, Aveiro, Portugal; Faculty of Engineering and Science, University of Greenwich, UK; Faculty of Engineering and Science, University of Greenwich, UK; Instituto de Telecomunicacoes, Aveiro, Portugal; Instituto de Telecomunicacoes, Aveiro, Portugal</t>
  </si>
  <si>
    <t>Over the past few years, the Internet of Things (IoT) is transforming the healthcare sector through the introduction of the Internet of Medical Things (IoMT) technology whose purpose is the improvement of the patient's quality of life. Nevertheless, I0MT networks are still vulnerable to a wide range of threats because of their heterogeneity and resource-constrained characteristics. Thus, novel security mechanisms such as accurate and efficient intrusion detection systems (IDSs), taking into consideration the inherent limitations of the I0MT networks, are required to be developed before I0MT networks reach their full potential in the market. In our previous works, we presented the system architecture of a novel hybrid anomaly-based IDS (AIDS) for I0MT networks and the implementation of its prototype. The next step is the testing and evaluation of the performance of the proposed AIDS under different types of attacks. However, there is a lack of existing IoT testbeds that can be used to test and evaluate the performance of an AIDS as a whole system running on different IoT devices, networks and platforms, and being under different types of IoT attacks. Therefore, in this paper, we present the development of a functional IoT/IoMT security testbed for testing and evaluating AIDSs. In addition, we intend this work to serve as a guidance for other researchers or engineers who aim to develop specific IoT/IoMT testbeds for evaluating their own AIDSs under different types of IoT attacks.</t>
  </si>
  <si>
    <t>978-3-903176-57-7</t>
  </si>
  <si>
    <t>https://ieeexplore.ieee.org/stamp/stamp.jsp?arnumber=10186428</t>
  </si>
  <si>
    <t>IoT/IoMT;IoT/IoMT Testbed;Intrusion Detection System (IDS);Eclipse Hono;Eclipse Ditto;Influxdb;Grafana;Suricata</t>
  </si>
  <si>
    <t>Performance evaluation;Intrusion detection;Systems architecture;Prototypes;Internet of Medical Things;Energy efficiency;Internet of Things</t>
  </si>
  <si>
    <t>D. Giannopoulos; G. Katsikas; K. Trantzas; D. Klonidis; C. Tranoris; S. Denazis; L. Gifre; R. Vilalta; P. Alemany; R. Mu√±oz; A. -M. Bosneag; A. Mozo; A. Karamchandani; L. De La Cal; D. R. L√≥pez; A. Pastor; √Å. Burgaleta</t>
  </si>
  <si>
    <t>ACROSS: Automated zero-touch cross-layer provisioning framework for 5G and beyond vertical services</t>
  </si>
  <si>
    <t>10.1109/EuCNC/6GSummit58263.2023.10188293</t>
  </si>
  <si>
    <t>University of Patras; UBITECH; University of Patras; UBITECH; University of Patras; University of Patras; Centre Tecnol√≤gic de Telecomunicacions de Catalunya (CTTC/CERCA) (Spain); Centre Tecnol√≤gic de Telecomunicacions de Catalunya (CTTC/CERCA) (Spain); Centre Tecnol√≤gic de Telecomunicacions de Catalunya (CTTC/CERCA) (Spain); Centre Tecnol√≤gic de Telecomunicacions de Catalunya (CTTC/CERCA) (Spain); Ericsson Ireland; Universidad Polit√©cnica de Madrid (Spain); Universidad Polit√©cnica de Madrid (Spain); Universidad Polit√©cnica de Madrid (Spain); Telef√≥nica I+d(Spain); Telef√≥nica I+d(Spain); Telef√≥nica I+d(Spain)</t>
  </si>
  <si>
    <t>As the demand for advanced and efficient network and service deployment continues to rise, the integration of multiple domains and the incorporation of AI technology are becoming essential. The ACROSS project is a Horizon Europe project, that aims to address this need by proposing an innovative end-to-end service deployment and management platform. This platform is designed to deliver unprecedented levels of automation, performance, scalability, and energy efficiency in the next-gen networks and services landscape. The platform will be built as a highly-distributed grid of domain-level orchestrators, spread across multiple geo-dispersed and potentially heterogeneous edge environments, all overseen by a cloud-managed multi-domain orchestrator. The use of standardised communication interfaces will promote separation of concerns and ensure compliance with ongoing standardization efforts, some of which include ETSI ZSM, ETSI NFV-OSM, TMF, ETSI TFS and ONF. The platform will also be enhanced with deep end-to-end telemetry, AI-driven intelligence, full-stack cross-domain zero-touch provisioning, and secure and trusted orchestration mechanisms.</t>
  </si>
  <si>
    <t>https://ieeexplore.ieee.org/stamp/stamp.jsp?arnumber=10188293</t>
  </si>
  <si>
    <t>5G;6G;service orchestration;zero-touch provisioning;AI;telemetry;trust and security</t>
  </si>
  <si>
    <t>6G mobile communication;Cross layer design;Automation;Scalability;Europe;Standardization;Energy efficiency</t>
  </si>
  <si>
    <t>F. M. Awaysheh; R. Tommasini; A. Awad</t>
  </si>
  <si>
    <t>Big Data Analytics from the Rich Cloud to the Frugal Edge</t>
  </si>
  <si>
    <t>2023 IEEE International Conference on Edge Computing and Communications (EDGE)</t>
  </si>
  <si>
    <t>10.1109/EDGE60047.2023.00054</t>
  </si>
  <si>
    <t>Institute of Computer Science, University of Tartu; Institut National des Sciences Appliquees, INSA, Lyon, France; University of Tartu, Tartu, Estonia Cairo University, Giza, Egypt</t>
  </si>
  <si>
    <t>Modern systems and applications generate and consume an enormous amount of data from different sources, including mobile edge computing and IoT systems. Our ability to locate and analyze these massive amounts of data will shape the future, building next-generation Big Data Analytics (BDA) and artificial intelligence systems in critical domains. Traditionally, big data materialize in a centralized repository (e.g., the cloud) for running sophisticated analytics using decent computation. Nevertheless, many modern applications and critical domains require low-latency data analysis with the right decision at the right time standard for building trust. With the advent of edge computing, that traditional deployment model shifted closer to the data sources at the network‚Äôs edge. Such a shift was motivated by minimized latency, increased uptime, and enhanced efficiencies. This paper studies the BDA building blocks, analyzes the deployment requirements for edge-based BDA QoS, and drafts future trends. It also discusses critical open issues and further research directions for the next step of edge-based BDA.</t>
  </si>
  <si>
    <t>979-8-3503-0483-1</t>
  </si>
  <si>
    <t xml:space="preserve">European Social Fund; </t>
  </si>
  <si>
    <t>https://ieeexplore.ieee.org/stamp/stamp.jsp?arnumber=10234250</t>
  </si>
  <si>
    <t>Big Data;Edge Computing;Cloud Computing;Resource Management;Data Management;Data Privacy</t>
  </si>
  <si>
    <t>Multi-access edge computing;Shape;Soft sensors;Buildings;Quality of service;Big Data;Market research</t>
  </si>
  <si>
    <t>C. Wang; Y. Zhang; Q. Li; A. Zhou; S. Wang</t>
  </si>
  <si>
    <t>Satellite Computing: A Case Study of Cloud-Native Satellites</t>
  </si>
  <si>
    <t>10.1109/EDGE60047.2023.00048</t>
  </si>
  <si>
    <t>State Key Laboratory of Networking and Switching Technology, Beijing University of Posts and Telecommunications, Beijing, China; State Key Laboratory of Networking and Switching Technology, Beijing University of Posts and Telecommunications, Beijing, China; School of Computer Science, Peking University, Beijing, China; State Key Laboratory of Networking and Switching Technology, Beijing University of Posts and Telecommunications, Beijing, China; State Key Laboratory of Networking and Switching Technology, Beijing University of Posts and Telecommunications, Beijing, China</t>
  </si>
  <si>
    <t>The on-orbit processing of massive satellite-native data relies on powerful computing power. Satellite computing has started to gain attention, with researchers proposing various algorithms, applications, and simulation testbeds. Unfortunately, a practical platform for deploying satellite computing is currently lacking. As a result, the industry needs to make relentless efforts to achieve this goal. We suggest using cloud-native technology to enhance the computing power of LEO satellites. The first main satellite of the Tiansuan constellation, BUPT-1, is a significant example of a cloud-native satellite. Prior to delving into the details of BUPT-1, we define the essential concepts of cloud-native satellites, i.e., the cloud-native load and cloud-native platform. Afterwards, we present the design scheme of cloud-native satellites, including the architecture of BUPT-1 and the experimental subjects it can support. Two validation tests are shown to reflect the operation and capability of BUPT-1. Besides, we predict possible research fields that could shape the future of satellites in the next decade.</t>
  </si>
  <si>
    <t xml:space="preserve">China Postdoctoral Science Foundation; </t>
  </si>
  <si>
    <t>https://ieeexplore.ieee.org/stamp/stamp.jsp?arnumber=10234306</t>
  </si>
  <si>
    <t>Satellite Computing;Cloud-Native Satellite;BUPT-1;Cloud-Native Load;Cloud-Native Platform</t>
  </si>
  <si>
    <t>Industries;6G mobile communication;Satellites;Constellation diagram;Shape;Low earth orbit satellites;Computer architecture</t>
  </si>
  <si>
    <t>N. Psaromanolakis; V. Theodorou; D. Laskaratos; I. Kalogeropoulos; M. -E. Vlontzou; E. Zarogianni; G. Samaras</t>
  </si>
  <si>
    <t>MLOps meets Edge Computing: an Edge Platform with Embedded Intelligence towards 6G Systems</t>
  </si>
  <si>
    <t>10.1109/EuCNC/6GSummit58263.2023.10188244</t>
  </si>
  <si>
    <t>Intracom Telecom, Greece; Intracom Telecom, Greece; Intracom Telecom, Greece; Intracom Telecom, Greece; Intracom Telecom, Greece; Intracom Telecom, Greece; Intracom Telecom, Greece</t>
  </si>
  <si>
    <t>The evolution towards more human-centered 6G networks requires the extension of network functionalities with advanced, pervasive automation features. In this direction, cloud-native, softwarized network functions and integration of extreme/far edge devices shall be supported by even more distributed and decomposable systems, such as Edge Cloud environments, while building on AI/ML data-driven mechanisms to improve their performance and resilience for the stringent requirements of next-generation applications. In this work, we propose an intelligence-native Edge Management Platform coupled with MLOps functionalities-the $\pi$-Edge Platform-which encompasses automation features for cloud-native lifecycle management of Edge Services. Our introduced architecture incorporates MLOps services and processes, operating as integrated micro-services with the rest of the $\pi$-Edge architectural components, ensuring the reliable operation and QoS of Edge network and application services. We experimentally validate our approach with a prototypical implementation of key $\pi$-Edge features, including the incorporation of state-of-the-art ML models for performance prediction and anomaly detection, on a multi-media streaming use case based on scenarios from real production environment.</t>
  </si>
  <si>
    <t>https://ieeexplore.ieee.org/stamp/stamp.jsp?arnumber=10188244</t>
  </si>
  <si>
    <t>Machine Learning;Artificial Intelligence;Edge Computing;Edge Intelligence;MLOps;6G;QoS Monitoring</t>
  </si>
  <si>
    <t>6G mobile communication;Performance evaluation;Automation;Image edge detection;Quality of service;Production;Predictive models</t>
  </si>
  <si>
    <t>L. Angelelli; A. A. da Silva; Y. Georgiou; M. Mercier; G. Mouni√©; D. Trystram</t>
  </si>
  <si>
    <t>Towards a Multi-objective Scheduling Policy for Serverless-based Edge-Cloud Continuum</t>
  </si>
  <si>
    <t>2023 IEEE/ACM 23rd International Symposium on Cluster, Cloud and Internet Computing (CCGrid)</t>
  </si>
  <si>
    <t>10.1109/CCGrid57682.2023.00052</t>
  </si>
  <si>
    <t>CNRS, Inria, Grenoble INP, LIG, Univ. Grenoble Alpes, Grenoble, France; CNRS, Inria, Grenoble INP, LIG, Univ. Grenoble Alpes, Grenoble, France; CNRS, Inria, Grenoble INP, LIG, Univ. Grenoble Alpes, Grenoble, France; Ryax Technologies, Lyon, France; CNRS, Inria, Grenoble INP, LIG, Univ. Grenoble Alpes, Grenoble, France; CNRS, Inria, Grenoble INP, LIG, Univ. Grenoble Alpes, Grenoble, France</t>
  </si>
  <si>
    <t>The cloud is extended towards the edge to form a computing continuum while managing resources' heterogeneity. The serverless technology simplified how to build cloud applications and use resources, becoming a driving force in consolidating the continuum with the deployment of small functions with short execution. However, the adaptation of serverless to the edge-cloud continuum brings new challenges mainly related to resource management and scheduling. Standard cloud scheduling policies are based on greedy algorithms that do not efficiently handle platforms' heterogeneity nor deal with problems such as cold start delays. This work introduces a new scheduling policy that tries to address these issues. It is based on multi-objective optimization for data transfers and makespan while considering heterogeneity. Using simulations that vary workloads, platforms, and heterogeneity levels, we study the system utilization, the trade-offs between the targets, and the impacts of considering platforms' heterogeneity. We perform comparisons with a baseline inspired by a Kubernetes-based policy, representing greedy algorithms. Our experiments show considerable gaps between the efficiency of a greedy-based scheduling policy and a multi-objective-based one. The last outperforms the baseline by reducing makespan, data transfers, and system utilization by up to two orders of magnitudes in relevant cases for the edge-cloud continuum.</t>
  </si>
  <si>
    <t>979-8-3503-0119-9</t>
  </si>
  <si>
    <t xml:space="preserve">European Union(grant numbers:GA101017047); </t>
  </si>
  <si>
    <t>https://ieeexplore.ieee.org/stamp/stamp.jsp?arnumber=10171469</t>
  </si>
  <si>
    <t>Scheduling Policies;Serverless Computing;Edge-Cloud Continuum;Heterogeneous Platforms</t>
  </si>
  <si>
    <t>Greedy algorithms;Cloud computing;Processor scheduling;Force;Data transfer;Scheduling;Delays</t>
  </si>
  <si>
    <t>R. Cordingly; J. Kaur; D. Dwivedi; W. Lloyd</t>
  </si>
  <si>
    <t>Towards Serverless Sky Computing: An Investigation on Global Workload Distribution to Mitigate Carbon Intensity, Network Latency, and Cost</t>
  </si>
  <si>
    <t>2023 IEEE International Conference on Cloud Engineering (IC2E)</t>
  </si>
  <si>
    <t>2694-0825</t>
  </si>
  <si>
    <t>10.1109/IC2E59103.2023.00015</t>
  </si>
  <si>
    <t>School of Engineering and Technology, University of Washington, Tacoma, Washington, USA; School of Engineering and Technology, University of Washington, Tacoma, Washington, USA; School of Engineering and Technology, University of Washington, Tacoma, Washington, USA; School of Engineering and Technology, University of Washington, Tacoma, Washington, USA</t>
  </si>
  <si>
    <t>The high demand for energy consumption and the resulting carbon footprint of the cloud pose significant sustainability challenges, as cloud data centers consume vast amounts of energy. The emergence of serverless cloud computing platforms has opened up new avenues for more sustainable cloud computing. Serverless Function-as-a-Service (FaaS) cloud computing platforms facilitate deploying applications as decoupled microservices to leverage automatic rapid scaling, high availability, fault tolerance, and on-demand pricing. The absence of always-on hosting costs associated with virtual machines enables serverless functions to be deployed with many different function configurations and cloud regions to achieve high performance, low network latency, and reduced costs. In this paper, we investigate the utility of a global sky computing platform where serverless resources are aggregated between up to 19 distinct cloud regions. We prototype a serverless load distribution system to distribute client requests across serverless aggregations to minimize performance objectives, including network latency, runtime, hosting costs, and carbon footprint. To evaluate our serverless distribution system's ability to meet performance objectives, we continuously executed large experiments across 19 regions around the world from November 2022 through March 2023. Our serverless load distribution approach using aggregated resources reduced the carbon intensity of a globally distributed serverless application by up to 99.8%, network latency by 65%, or hosting costs by 58% by optimizing function routing to deployments with optimal hardware configurations.</t>
  </si>
  <si>
    <t>979-8-3503-4394-6</t>
  </si>
  <si>
    <t>https://ieeexplore.ieee.org/stamp/stamp.jsp?arnumber=10305816</t>
  </si>
  <si>
    <t>Sky Computing;Serverless Computing;Function-as-a-Service;Green Computing</t>
  </si>
  <si>
    <t>Cloud computing;Costs;Runtime;Prototypes;Pricing;Routing;Virtual machining</t>
  </si>
  <si>
    <t>J. Stojkovic; N. Mantri; D. Skarlatos; T. Xu; J. Torrellas</t>
  </si>
  <si>
    <t>Memory-Efficient Hashed Page Tables</t>
  </si>
  <si>
    <t>2023 IEEE International Symposium on High-Performance Computer Architecture (HPCA)</t>
  </si>
  <si>
    <t>10.1109/HPCA56546.2023.10071061</t>
  </si>
  <si>
    <t>University of Illinois at Urbana-Champaign; University of Illinois at Urbana-Champaign; Carnegie Mellon University; University of Illinois at Urbana-Champaign; University of Illinois at Urbana-Champaign</t>
  </si>
  <si>
    <t>Conventional radix-tree page tables have scalability challenges, as address translation following a TLB miss potentially requires multiple memory accesses in sequence. An alternative is hashed page tables (HPTs) where, conceptually, address translation needs only one memory access. Traditionally, HPTs have been shunned due to high costs of handling conflicts and other limitations. However, recent advances have made HPTs compelling. Still, a major issue in HPT designs is their requirement for substantial contiguous physical memory.This paper addresses this problem. To minimize HPTs‚Äô contiguous memory needs, it introduces the Logical to Physical (L2P) Table and the use of Dynamically-Changing Chunk Sizes. These techniques break down the HPT into discontiguous physical-memory chunks. In addition, the paper also introduces two techniques that minimize HPTs‚Äô total memory needs and, indirectly, reduce the memory contiguity requirements. These techniques are In-place Page Table Resizing and Per-way Resizing. We call our complete design Memory-Efficient HPTs (ME-HPTs). Compared to state-of-the-art HPTs, ME-HPTs: (i) reduce the contiguous memory allocation needs by 92% on average, and (ii) improve the performance by 8.9% on average. For the two most demanding workloads, the contiguous memory requirements decrease from 64MB to 1MB. In addition, compared to state-of-the-art radix-tree page tables, ME-HPTs achieve an average speedup of 1.23√ó (without huge pages) and 1.28√ó (with huge pages).</t>
  </si>
  <si>
    <t>978-1-6654-7652-2</t>
  </si>
  <si>
    <t>https://ieeexplore.ieee.org/stamp/stamp.jsp?arnumber=10071061</t>
  </si>
  <si>
    <t>Virtual memory;Page tables;Hashed page tables</t>
  </si>
  <si>
    <t>Costs;Scalability;Memory management;Resource management</t>
  </si>
  <si>
    <t>S. Khader Basha; N. R. Purimetla; D. Roja; N. Vullam; L. Dalavai; S. S. Vellela</t>
  </si>
  <si>
    <t>A Cloud-based Auto-Scaling System for Virtual Resources to Back Ubiquitous, Mobile, Real-Time Healthcare Applications</t>
  </si>
  <si>
    <t>2023 3rd International Conference on Innovative Mechanisms for Industry Applications (ICIMIA)</t>
  </si>
  <si>
    <t>10.1109/ICIMIA60377.2023.10426107</t>
  </si>
  <si>
    <t>Dept. of CSE-Data Science, Chalapathi Institute of Technology, Guntur, AP, India; Dept. of CSE, Chalapathi Institute of Technology, Guntur, AP, India; Dept. of CSE-Data Science, Chalapathi Institute of Technology, Guntur, AP, India; Dept. of CSE, Chalapathi Institute of Engineering and Technology, Guntur, AP, India; Dept. of CSE-Data Science, Chalapathi Institute of Technology, Guntur, AP, India; Dept. of CSE-Data Science, Chalapathi Institute of Technology, Guntur, AP, India</t>
  </si>
  <si>
    <t>The utilisation of virtualization technologies in conjunction with cloud computing has emerged as a significant and influential trend within the Information Technology (IT) sector. Cloud computing has significantly transformed the development landscape of mobile ubiquitous services by introducing notable attributes such as reliability and cost-effectiveness. Consequently, it has successfully penetrated the market, bringing about substantial changes in the industry. While it is possible to easily convert numerous types of best-effort mobile ubiquitous applications to cloud infrastructures, it is crucial to thoroughly analyse essential elements in order to enhance the effectiveness of cloud computing infrastructures for real-time healthcare applications. When programme clients observe an anomaly, there is a substantial increase in the data transfer rate. Nevertheless, there are inherent issues in the current allocation of computational resources by server-side processes to effectively manage the fluctuating and time-varying data quantities. This article introduces a novel auto-scaling technique for servers, which aims to dynamically allocate virtual resources. The suggested method‚Äôs efficacy in scaling virtual resources up and down in response to the number of real-time tasks is evaluated through testing conducted on an Amazon EC2 platform. The obtained findings demonstrate the efficient performance of the mechanism.</t>
  </si>
  <si>
    <t>979-8-3503-4363-2</t>
  </si>
  <si>
    <t>https://ieeexplore.ieee.org/stamp/stamp.jsp?arnumber=10426107</t>
  </si>
  <si>
    <t>Cloud computing;Healthcare;Auto-scaling;Mobile ubiquitous;Amazon Elastic Compute Cloud</t>
  </si>
  <si>
    <t>Cloud computing;Medical services;Real-time systems;Servers;Virtualization;Task analysis;Testing</t>
  </si>
  <si>
    <t>S. Richhariya; K. Wanaskar; S. Shrivastava; J. Gao</t>
  </si>
  <si>
    <t>Surveillance Drone Cloud and Intelligence Service</t>
  </si>
  <si>
    <t>2023 11th IEEE International Conference on Mobile Cloud Computing, Services, and Engineering (MobileCloud)</t>
  </si>
  <si>
    <t>10.1109/MobileCloud58788.2023.00007</t>
  </si>
  <si>
    <t>Department of Computer Engineering, San Jose State University, San Jose, USA; Department of Computer Engineering, San Jose State University, San Jose, USA; Department of Computer Engineering, San Jose State University, San Jose, USA; Department of Computer Engineering, San Jose State University, San Jose, USA</t>
  </si>
  <si>
    <t>According to a PRNewswire research report, the drone cloud surveillance intelligence market will witness a YOY growth of 12.05% in 2023, with a CAGR of 13.58% during the forecast period. This burgeoning demand has spurred an increased interest in the research and development of cloud platforms for drone integration services. In this paper, we define the drone cloud concept, propose a surveillance drone cloud with reference infrastructure, and discuss various drone cloud service and deployment models. We also address challenges, issues, and needs associated with surveillance drone AI services and taxonomy. Furthermore, we explore opportunities in integrating drone technology with cloud computing, real-time data sharing, and drone-human interaction support, while proposing a smart drone service model for efficient resource utilization. Our analysis offers insights into the present state and future directions of drone cloud surveillance technology.</t>
  </si>
  <si>
    <t>979-8-3503-2279-8</t>
  </si>
  <si>
    <t>https://ieeexplore.ieee.org/stamp/stamp.jsp?arnumber=10229479</t>
  </si>
  <si>
    <t>Drone;Drone cloud surveillance;Cloud computing;Surveillance system;Surveillance cloud;Cloud Service;Cloud intelligence</t>
  </si>
  <si>
    <t>Cloud computing;Surveillance;Computational modeling;Taxonomy;Real-time systems;Data models;Resource management</t>
  </si>
  <si>
    <t>S. T. Ahmed; A. Annamalai</t>
  </si>
  <si>
    <t>On Private Server Implementations and Data Visualization for LoRaWAN</t>
  </si>
  <si>
    <t>2023 IEEE 13th Symposium on Computer Applications &amp; Industrial Electronics (ISCAIE)</t>
  </si>
  <si>
    <t>2836-4317</t>
  </si>
  <si>
    <t>10.1109/ISCAIE57739.2023.10165109</t>
  </si>
  <si>
    <t>Prairie View A&amp;M University, Prairie View, Texas, USA; Prairie View A&amp;M University, Prairie View, Texas, USA</t>
  </si>
  <si>
    <t>The paper titled ‚ÄúOn Private Server Implementations and Data Visualization for LoRaWAN‚Äù explores the implementation of private LoRaWAN servers for secure and scalable data transmission in Internet of Things (IoT) applications. The authors present a detailed analysis of the existing server implementations and propose a novel architecture for private server deployment. The paper also addresses the challenges associated with data visualization in LoRaWAN networks and presents a comprehensive solution for efficient data representation using advanced visualization techniques. The proposed implementation is evaluated through experiments and simulations, and the results demonstrate the feasibility and effectiveness of the proposed architecture for secure and scalable IoT applications. The paper concludes with a discussion on the future directions for research in this area, highlighting the need for further investigation on the scalability and security of LoRaWAN networks.</t>
  </si>
  <si>
    <t>979-8-3503-4731-9</t>
  </si>
  <si>
    <t>https://ieeexplore.ieee.org/stamp/stamp.jsp?arnumber=10165109</t>
  </si>
  <si>
    <t>TTN;Grafana;IOT;LoRaWAN</t>
  </si>
  <si>
    <t>Wide area networks;Protocols;Scalability;Data visualization;Servers;Internet of Things;Visual databases</t>
  </si>
  <si>
    <t>K. Nguyen; F. Loh; T. Nguyen; D. Doan; N. H. Thanh; T. Ho√üfeld</t>
  </si>
  <si>
    <t>Serverless Computing Lifecycle Model for Edge Cloud Deployments</t>
  </si>
  <si>
    <t>2023 IEEE International Conference on Communications Workshops (ICC Workshops)</t>
  </si>
  <si>
    <t>10.1109/ICCWorkshops57953.2023.10283589</t>
  </si>
  <si>
    <t>University of W√ºrzburg, Institute of Computer Science, W√ºrzburg, Germany; University of W√ºrzburg, Institute of Computer Science, W√ºrzburg, Germany; Hanoi University of Science and Technology, Hanoi, Vietnam; FPT Software LLC, Hanoi, Vietnam; Hanoi University of Science and Technology, Hanoi, Vietnam; University of W√ºrzburg, Institute of Computer Science, W√ºrzburg, Germany</t>
  </si>
  <si>
    <t>Serverless computing is a new cloud computing execution model. It offers little operational and administrative overhead, function activation on-demand, and significantly reduced resource consumption. For that reason, it is studied heavily in recent literature by means of handling incoming traffic, applicability for different tasks, and overall performance. Especially the introduction of states, where functionality is kept in CPU or memory can improve performance significantly. However, an in-depth analysis of the resource demand by among others, CPU and memory usage, latency, and energy consumption is still a blank spot in literature. To this end, we propose a serverless lifecycle model with intermediate states and deploy an image processing test setup in the edge cloud to test it. Furthermore, we measure important resource metrics of all states and state transitions of the model. This helps us to answer the question, whether keeping functions available in specific states of a serverless computing instance can improve performance without massive negative influence on the resource requirements.</t>
  </si>
  <si>
    <t>979-8-3503-3307-7</t>
  </si>
  <si>
    <t>https://ieeexplore.ieee.org/stamp/stamp.jsp?arnumber=10283589</t>
  </si>
  <si>
    <t>serverless computing;resource efficiency;energy efficiency;edge computing</t>
  </si>
  <si>
    <t>Measurement;Energy consumption;Computational modeling;Conferences;Image processing;Image edge detection;Memory management</t>
  </si>
  <si>
    <t>Satyam; P. Geetha; K. S. Shashikala; N. A. Kumar</t>
  </si>
  <si>
    <t>AI-Enabled Edge Computing Models: Trends, Developments, and Future Implications</t>
  </si>
  <si>
    <t>2023 2nd International Conference on Edge Computing and Applications (ICECAA)</t>
  </si>
  <si>
    <t>10.1109/ICECAA58104.2023.10212294</t>
  </si>
  <si>
    <t>Department of ECE, School of Engineering, Mohan Babu University, Tirupati, India; Department of ECE, School of Engineering, Mohan Babu University, Tirupati, India; Department of AI&amp;ML, New Horizon College of Engineering, Bangalore, India; Department of ECE, School of Engineering, Mohan Babu University, Tirupati, India</t>
  </si>
  <si>
    <t>This research study examines the ways in which AI-enabled edge computing (AIEC) models are being used across various industries to improve operational efficiency and enable faster decision-making. The study discusses the key trends and developments of shaping the future of these next generation computing models, including the increased adoption of EC, the growing use of IoT devices, the emergence of 5G networks, advancements in machine learning algorithms, and the focus on data security. The research study also highlights case studies from different industries to illustrate the benefits of AIEC models and the potential impacts on businesses. The findings of this research work suggests that these computing models have the potential to transform the way organizations operate, leading to increased efficiency and productivity, better customer experiences, and more informed decision-making.</t>
  </si>
  <si>
    <t>979-8-3503-4757-9</t>
  </si>
  <si>
    <t>https://ieeexplore.ieee.org/stamp/stamp.jsp?arnumber=10212294</t>
  </si>
  <si>
    <t>Artificial Intelligence;Edge computing;Internet of Things;Machine Learning;5G;Data security;Industry 4.0</t>
  </si>
  <si>
    <t>Industries;Machine learning algorithms;Computational modeling;Decision making;Organizations;Transforms;Market research</t>
  </si>
  <si>
    <t>J. J. L. Escobar; F. Gil-Casti√±eira; R. P. D√≠az Redondo</t>
  </si>
  <si>
    <t>Decentralized Serverless IoT Dataflow Architecture for the Cloud-to-Edge Continuum</t>
  </si>
  <si>
    <t>2023 26th Conference on Innovation in Clouds, Internet and Networks and Workshops (ICIN)</t>
  </si>
  <si>
    <t>10.1109/ICIN56760.2023.10073502</t>
  </si>
  <si>
    <t>atlanTTic Research Center, Universidade de Vigo, Vigo, Spain; atlanTTic Research Center, Universidade de Vigo, Vigo, Spain; atlanTTic Research Center, Universidade de Vigo, Vigo, Spain</t>
  </si>
  <si>
    <t>The advent of new computing and communication trends that link pervasive data sources and consumers, such as Edge Computing, 5G and IIoT, has led to the development of the Cloud-to-Edge Continuum in order to take advantage of the resources available in massive IoT scenarios, and to conduct data analysis to leverage intelligence at all levels. This paper outlines the challenging requirements of this novel IoT context and presents an innovative IoT framework to develop dataflow applications for data-centric environments. The proposed design takes advantage of decentralized Pub/Sub communication and serverless nanoservice architecture, using novel technologies such as Zenoh and WebAssembly, respectively, to implement lightweight services along the Cloud-to-Edge infrastructure. We also describe some use cases to illustrate the benefits and concerns of the coming IoT generation.</t>
  </si>
  <si>
    <t>979-8-3503-9804-5</t>
  </si>
  <si>
    <t>https://ieeexplore.ieee.org/stamp/stamp.jsp?arnumber=10073502</t>
  </si>
  <si>
    <t>Cloud-to-Edge Continuum;IoT Framework;Serverless (FaaS) Dataflow Computing;Decentralized Publish-Subscribe;Zenoh;WebAssembly (WASM)</t>
  </si>
  <si>
    <t>Cloud computing;Technological innovation;Data analysis;Soft sensors;Conferences;Computer architecture;Publish-subscribe</t>
  </si>
  <si>
    <t>M. Atalay</t>
  </si>
  <si>
    <t>An Overview of Digital Twin Applications on Smart Agriculture</t>
  </si>
  <si>
    <t>2023 International Balkan Conference on Communications and Networking (BalkanCom)</t>
  </si>
  <si>
    <t>10.1109/BalkanCom58402.2023.10167901</t>
  </si>
  <si>
    <t>Middle East Technical University, Ankara, Turkey</t>
  </si>
  <si>
    <t>The Digital Twin concept enables the creation, implementation, testing, and optimization of complex systems by creating abstractions of physical components. Decoupling the system components allows designers to create virtual environments to test a physical system without disrupting the live system. Creating such systems is crucial in many areas that affect human life. One of these areas is agriculture systems, which are involved with food production, a fundamental human necessity. Uncontrolled agricultural activities can also have negative results. For example, excessive irrigation increases the risks of droughts and damages the ecosystem. In this work, we identify the direction of modern agricultural developments and their systematic implementation using the Digital Twin concept. Later we overview the existing mechanisms in light of our given approach.</t>
  </si>
  <si>
    <t>979-8-3503-3910-9</t>
  </si>
  <si>
    <t>https://ieeexplore.ieee.org/stamp/stamp.jsp?arnumber=10167901</t>
  </si>
  <si>
    <t>smart agriculture;digital twin;industrial control systems</t>
  </si>
  <si>
    <t>Smart agriculture;Systematics;Ecosystems;Virtual environments;Production;Agriculture;Real-time systems</t>
  </si>
  <si>
    <t>M. Mekki; B. Brik; A. Ksentini; C. Verikoukis</t>
  </si>
  <si>
    <t>XAI-Enabled Fine Granular Vertical Resources Autoscaler</t>
  </si>
  <si>
    <t>2023 IEEE 9th International Conference on Network Softwarization (NetSoft)</t>
  </si>
  <si>
    <t>10.1109/NetSoft57336.2023.10175438</t>
  </si>
  <si>
    <t>Department of Communication Systems, EURECOM, Sophia Antipolis, France; University of Burgundy, Dijon, France; Department of Communication Systems, EURECOM, Sophia Antipolis, France; University of Patras and Iquadrat Informatica, ISI/ATHENA, Patras, Greece</t>
  </si>
  <si>
    <t>Fine-granular management of cloud-native computing resources is one of the key features sought by cloud and edge operators. It consists in giving the exact amount of computing resources needed by a microservice to avoid resource over-provisioning, which is, by default, the adopted solution to prevent service degradation. Fine-granular resource management guarantees better computing resource usage, which is critical to reducing energy consumption and resource wastage (vital in edge computing). In this paper, we propose a novel Zero-touch management (ZSM) framework featuring a fine-granular computing resource scaler in a cloud-native environment. The proposed scaler algorithm uses Artificial Intelligence (AI)/Machine Learning (ML) models to predict microservice performances; if a service degradation is detected, then a root-cause analysis is conducted using eXplainable AI (XAI). Based on the XAI output, the proposed framework scales only the needed (exact amount) resources (i.e., CPU or memory) to overcome the service degradation. The proposed framework and resource scheduler have been implemented on top of a cloud-native platform based on the well-known Kubernetes tool. The obtained results clearly indicate that the proposed scheduler with lesser resources achieves the same service quality as the default scheduler of Kubernetes.</t>
  </si>
  <si>
    <t>979-8-3503-9980-6</t>
  </si>
  <si>
    <t xml:space="preserve">AC3; </t>
  </si>
  <si>
    <t>https://ieeexplore.ieee.org/stamp/stamp.jsp?arnumber=10175438</t>
  </si>
  <si>
    <t>Zero-touch Service Management (ZSM);Cloud-native;Containerized Microservices;Machine Learning;Explainable Artificial Intelligence</t>
  </si>
  <si>
    <t>Degradation;Energy consumption;Memory management;Microservice architectures;Learning (artificial intelligence);Predictive models;Prediction algorithms</t>
  </si>
  <si>
    <t>P. Townend; A. P. Mart√≠; I. De La Iglesia; N. Matskanis; T. O. Timoudas; T. Hallmann; A. Lalaguna; K. Swat; F. Renzi; D. Boche≈Ñski; M. Mancini; M. Bhuyan; M. Gonz√°lez-Hierro; S. Dupont; J. Kristiansson; R. S. Montero; E. Elmroth; I. Vald√©s; P. Massonet; D. Olsson; I. M. Llorente; P. -O. √ñstberg; M. Abdou</t>
  </si>
  <si>
    <t>COGNIT: Challenges and Vision for a Serverless and Multi-Provider Cognitive Cloud-Edge Continuum</t>
  </si>
  <si>
    <t>10.1109/EDGE60047.2023.00015</t>
  </si>
  <si>
    <t>Department of Computing Science, Ume√• University, Sweden; OpenNebula Systems, Spain; IKERLAN, Spain; Centre d‚ÄôExcellence en Technologies de l‚ÄôInformation et de la Communication (CETIC), Belgium; Digital Systems Division, Computer Science, RISE Research Institutes of Sweden, Sweden; SUSE, Germany; Aeronaval de Construcciones e Instalaciones (ACISA), Spain; Phoenix Systems, Poland; Nature 4.0 SB Srl &amp; University of Tuscia DIBAF, Italy; Atende Industries, Poland; OpenNebula Systems, Spain &amp; CMCC Foundation, Italy; Department of Computing Science, Ume√• University, Sweden; IKERLAN, Spain; Centre d‚ÄôExcellence en Technologies de l‚ÄôInformation et de la Communication (CETIC), Belgium; Digital Systems Division, Computer Science, RISE Research Institutes of Sweden, Sweden; OpenNebula Systems &amp; Universidad Complutense de Madrid, Spain; Department of Computing Science, Ume√• University, Sweden; IKERLAN, Spain; Centre d‚ÄôExcellence en Technologies de l‚ÄôInformation et de la Communication (CETIC), Belgium; Digital Systems Division, Computer Science, RISE Research Institutes of Sweden, Sweden; OpenNebula Systems, Spain; Department of Computing Science, Ume√• University, Sweden; OpenNebula Systems, Spain</t>
  </si>
  <si>
    <t>Use of the serverless paradigm in cloud application development is growing rapidly, primarily driven by its promise to free developers from the responsibility of provisioning, operating, and scaling the underlying infrastructure. However, modern cloud-edge infrastructures are characterized by large numbers of disparate providers, constrained resource devices, platform heterogeneity, infrastructural dynamicity, and the need to orchestrate geographically distributed nodes and devices over public networks. This presents significant management complexity that must be addressed if serverless technologies are to be used in production systems. This position paper introduces COGNIT, a major new European initiative aiming to integrate AI technology into cloud-edge management systems to create a Cognitive Cloud reference framework and associated tools for serverless computing at the edge. COGNIT aims to: 1) support an innovative new serverless paradigm for edge application management and enhanced digital sovereignty for users and developers; 2) enable on-demand deployment of large-scale, highly distributed and self-adaptive serverless environments using existing cloud resources; 3) optimize data placement according to changes in energy efficiency heuristics and application demands and behavior; 4) enable secure and trusted execution of serverless runtimes. We identify and discuss seven research challenges related to the integration of serverless technologies with multi-provider Edge infrastructures and present our vision for how these challenges can be solved. We introduce a high-level view of our reference architecture for serverless cloud-edge continuum systems, and detail four motivating real-world use cases that will be used for validation, drawing from domains within Smart Cities, Agriculture and Environment, Energy, and Cybersecurity.</t>
  </si>
  <si>
    <t xml:space="preserve">Horizon Europe; </t>
  </si>
  <si>
    <t>https://ieeexplore.ieee.org/stamp/stamp.jsp?arnumber=10234326</t>
  </si>
  <si>
    <t>serverless;FaaS;edge computing;resource management;multi-provider;cognitive cloud;open source</t>
  </si>
  <si>
    <t>Adaptation models;Smart cities;Biological system modeling;Computational modeling;Europe;Serverless computing;Distributed databases</t>
  </si>
  <si>
    <t>A. Morichetta; N. Spring; P. Raith; S. Dustdar</t>
  </si>
  <si>
    <t>Intent-based Management for the Distributed Computing Continuum</t>
  </si>
  <si>
    <t>2023 IEEE International Conference on Service-Oriented System Engineering (SOSE)</t>
  </si>
  <si>
    <t>10.1109/SOSE58276.2023.00035</t>
  </si>
  <si>
    <t>Distributed Systems Group, TU Wien; Distributed Systems Group, TU Wien; Distributed Systems Group, TU Wien; Distributed Systems Group, TU Wien</t>
  </si>
  <si>
    <t>Managing digital and connected systems has become increasingly challenging in the past decade due to their scale and complexity. A new perspective is required to manage these systems, considering the infrastructure and components from edge to cloud, i.e., in the distributed computing continuum. Serverless computing offers improved scalability and cost efficiency, but balancing and coordinating serverless systems remain complex. Intent-based systems, popular in networking, can provide a solution by translating stakeholder inputs into actions that meet Service Level Objectives (SLOs). Their application in the computing continuum can be highly beneficial, but it has yet to be deeply explored. To bridge this gap, we propose a methodology for deploying an intent-based system for the computing continuum. We implement an architectural framework leveraging the serverless paradigm. Furthermore, we focus on defining and implementing the main components for translating the management requirements into actions executed by serverless functions inspired by a three-layer model. Through a Proof of Concept (PoC) deployed in Amazon's AWS cloud and detailed simulations, we showcase how such an approach can resolve conflicts in a complex system, i.e., balancing efficiency and availability. Our work aims to contribute to effectively managing the computing continuum and highlight the potential of intent-based systems in this domain. The experiments' results show our framework's ability to make appropriate scaling decisions, fulfilling both objectives.</t>
  </si>
  <si>
    <t>979-8-3503-2239-2</t>
  </si>
  <si>
    <t>https://ieeexplore.ieee.org/stamp/stamp.jsp?arnumber=10254753</t>
  </si>
  <si>
    <t>intents;serverless;computing continuum;PoC;SLO</t>
  </si>
  <si>
    <t>Service-oriented systems engineering;Computational modeling;Scalability;Serverless computing;Production;Complexity theory;Stakeholders</t>
  </si>
  <si>
    <t>A. Zafeiropoulos; E. Fotopoulou; C. Vassilakis; I. Tzanettis; C. Lombardo; A. Carrega; R. Bruschi</t>
  </si>
  <si>
    <t>Intent-Driven Distributed Applications Management Over Compute and Network Resources in the Computing Continuum</t>
  </si>
  <si>
    <t>2023 19th International Conference on Distributed Computing in Smart Systems and the Internet of Things (DCOSS-IoT)</t>
  </si>
  <si>
    <t>2325-2944</t>
  </si>
  <si>
    <t>10.1109/DCOSS-IoT58021.2023.00074</t>
  </si>
  <si>
    <t>Institute of Communication and Computer Systems, National Technical University of Athens, Athens, Greece; School of Electrical and Computer Engineering, National Technical University of Athens, Athens, Greece; School of Electrical and Computer Engineering, National Technical University of Athens, Athens, Greece; School of Electrical and Computer Engineering, National Technical University of Athens, Athens, Greece; CNIT S2N National Laboratory, Genoa, Italy; CNIT S2N National Laboratory, Genoa, Italy; CNIT S2N National Laboratory, Genoa, Italy</t>
  </si>
  <si>
    <t>Intent-driven orchestration enables organizations to achieve greater automation, integration, and intelligence of their compute and network resources by defining their objectives and policies in a more abstract and holistic way, while letting the orchestration system handle the coordination, optimization, and adaptation of the resources in response to changing needs and conditions. The trend for the development of intent-driven orchestration mechanisms has been growing in recent years as the deployment of distributed applications in the computing continuum has become more complex and diverse. In this manuscript we detail a novel approach for the management of distributed applications in the computing continuum. A hierarchical decision making scheme is proposed where an entity in a specific level of the hierarchy has the responsibility for the management of the overall application or a part of it, without having the control of all the management actions. The control is distributed across various entities that have to collaborate towards some joint objectives. Both compute and network resources management is considered that may be provided by the same or different infrastructure providers.</t>
  </si>
  <si>
    <t>979-8-3503-4649-7</t>
  </si>
  <si>
    <t xml:space="preserve">European Union's Horizon Europe research and innovation projects NEPHELE(grant numbers:101070487); </t>
  </si>
  <si>
    <t>https://ieeexplore.ieee.org/stamp/stamp.jsp?arnumber=10257273</t>
  </si>
  <si>
    <t>intent-driven orchestration;computing continuum;system of systems;distributed applications;network operating support system</t>
  </si>
  <si>
    <t>Automation;Decision making;Organizations;Market research;Resource management;Internet of Things;Distributed computing</t>
  </si>
  <si>
    <t>Z. Wang; S. Zhang; J. Cheng; Z. Wu; Z. Cao; Y. Cui</t>
  </si>
  <si>
    <t>Edge-Assisted Adaptive Configuration for Serverless-Based Video Analytics</t>
  </si>
  <si>
    <t>2023 IEEE 43rd International Conference on Distributed Computing Systems (ICDCS)</t>
  </si>
  <si>
    <t>10.1109/ICDCS57875.2023.00058</t>
  </si>
  <si>
    <t>Department of Computer Science and Technology, Tsinghua University, China; Department of Computer Science and Technology, Tsinghua University, China; Department of Computer Science and Technology, Tsinghua University, China; Department of Computer Science and Technology, Tsinghua University, China; Computer Network and Protocol Lab, Huawei Technologies, China; Department of Computer Science and Technology, Tsinghua University, China</t>
  </si>
  <si>
    <t>The growth of video volumes and increased DNN capabilities have led to a growing desire for video analytics, which demands intensive computation resources. Traditional resource provisioning strategies, such as configuring a cluster per peak utilization, lead to low resource efficiency. Serverless computing is a promising way to avoid wasteful resource provisioning since video analytics regularly encounters bursty input workloads and finegrained video content dynamics. For serverless-based video analytics, the application configuration (frame rate, detection model, and computation resources) will impact several metrics, such as computation cost and analytics accuracy. In this paper, we investigate the joint configuration adjustment problem for video knobs and computation resources provided by the serverless platform. We propose an algorithm that can efficiently adapt configurations for video streams to address two key challenges in serverless-based video analytics systems, including the complex relationships between the configurations and the key performance metrics, and the dynamically best configuration. Our algorithm is developed based on Markov approximation to minimize the computation cost within an accuracy constraint. We have developed a prototype over AWS Lambda and conducted extensive experiments with real-world video streams. The results show that our algorithm can greatly reduce the computation cost under the constraint of target accuracy.</t>
  </si>
  <si>
    <t>979-8-3503-3986-4</t>
  </si>
  <si>
    <t>https://ieeexplore.ieee.org/stamp/stamp.jsp?arnumber=10272441</t>
  </si>
  <si>
    <t>Video analytics;Edge computing;Serverless computing;Deep neural network</t>
  </si>
  <si>
    <t>Measurement;Costs;Visual analytics;Heuristic algorithms;Prototypes;Streaming media;Markov processes</t>
  </si>
  <si>
    <t>A. M. R. Bernal; J. Cleland-Huang</t>
  </si>
  <si>
    <t>Hierarchically Organized Computer Vision in Support of Multi-Faceted Search for Missing Persons</t>
  </si>
  <si>
    <t>2023 IEEE 17th International Conference on Automatic Face and Gesture Recognition (FG)</t>
  </si>
  <si>
    <t>10.1109/FG57933.2023.10042698</t>
  </si>
  <si>
    <t>Computer Science and Engineering Department, University of Notre Dame, Indiana, USA; Computer Science and Engineering Department, University of Notre Dame, Indiana, USA</t>
  </si>
  <si>
    <t>Missing person searches are typically initiated with a description of a person that includes their age, race, clothing, and gender, possibly supported by a photo. Unmanned Aerial Systems (sUAS) imbued with Computer Vision (CV) capabilities, can be deployed to quickly search an area to find the missing person; however, the search task is far more difficult when a crowd of people is present, and only the person described in the missing person report must be identified. It is particularly challenging to perform this task on the potentially limited resources of an sUAS. We therefore propose AirSight, as a new model that hierarchically combines multiple CV models, exploits both onboard and off-board computing capabilities, and engages humans interactively in the search. For illustrative purposes, we use AirSight to show how a person's image, extracted from an aerial video can be matched to a basic description of the person. Finally, as a work-in-progress paper, we describe ongoing efforts in building an aerial dataset of partially occluded people and physically deploying AirSight on our sUAS.</t>
  </si>
  <si>
    <t>979-8-3503-4544-5</t>
  </si>
  <si>
    <t xml:space="preserve">USA NSF(grant numbers:1931962); </t>
  </si>
  <si>
    <t>https://ieeexplore.ieee.org/stamp/stamp.jsp?arnumber=10042698</t>
  </si>
  <si>
    <t>Computer vision;Computational modeling;Atmospheric modeling;Face recognition;Clothing;Buildings;Gesture recognition</t>
  </si>
  <si>
    <t>E. Kartsakli; J. Perez-Romero; N. Bartzoudis; O. Sallent; O. Kolawole; X. Tao; S. K. Mohalik; T. Mach; S. Liu; Y. Deng; G. Mand√≤; A. Antonopoulos; V. Frascolla; S. Kosu; G. Kalem; F. Buining; E. Qui√±ones</t>
  </si>
  <si>
    <t>An Evolutionary Edge Computing Architecture for the Beyond 5G Era</t>
  </si>
  <si>
    <t>2023 IEEE 28th International Workshop on Computer Aided Modeling and Design of Communication Links and Networks (CAMAD)</t>
  </si>
  <si>
    <t>10.1109/CAMAD59638.2023.10478426</t>
  </si>
  <si>
    <t>Barcelona Supercomputing Center (BSC), Barcelona, Spain; Signal Theory and Communications Dpt., Universitat Polit√®cnica de Catalunya (UPC), Barcelona, Spain; Telecommunications Technological Center of Catalonia (CTTC), Barcelona, Spain; Signal Theory and Communications Dpt., Universitat Polit√®cnica de Catalunya (UPC), Barcelona, Spain; Samsung R&amp;D Institute, Staines, United Kingdom; Ericsson Research, Stockholm, Sweden; Ericsson Research, Stockholm, Sweden; Samsung R&amp;D Institute, Staines, United Kingdom; Department of Engineering, King‚Äôs College London (KCL), London, United Kingdom; Department of Engineering, King‚Äôs College London (KCL), London, United Kingdom; Ground Transportation Systems Italia SRL, Sesto Fiorentino, Italy; Nearby Computing S.L., Barcelona, Spain; Intel, Neubiberg, Germany; Turkcell Technology, Istanbul, Turkey; Turkcell Technology, Istanbul, Turkey; HIRO-MicroDataCenters BV, Netherlands; Barcelona Supercomputing Center (BSC), Barcelona, Spain</t>
  </si>
  <si>
    <t>Beyond 5G (B5G) communication networks face the challenge of meeting the demanding requirements of various service types, including uRLLC, mIoT, eMBB, and emerging technologies like Extended Reality (XR). Edge computing can address these demands effectively because of the ability to bring computational power and resources closer to the source of data. Nevertheless, the realization of this potential necessitates an open, flexible, and automated architectural framework capable of supporting disaggregated applications and network designs. In this context, this paper introduces a novel architecture designed to advance the evolution of edge computing in B5G, developed within the EU-funded project VERGE. The proposed architecture is modular and scalable, guided by artificial intelligence (AI), and founded on three essential pillars: ‚Äúedge for AI,‚Äú ‚ÄúAI for edge,‚Äú and ‚Äúsecurity, privacy, and trustworthiness for AI.‚Äú After presenting this architecture, the paper showcases its applicability through the examination of two vertical use cases within the industrial and transportation domains.</t>
  </si>
  <si>
    <t>979-8-3503-0349-0</t>
  </si>
  <si>
    <t xml:space="preserve">Horizon Europe; Samsung; </t>
  </si>
  <si>
    <t>https://ieeexplore.ieee.org/stamp/stamp.jsp?arnumber=10478426</t>
  </si>
  <si>
    <t>Privacy;Automation;5G mobile communication;Computational modeling;Transportation;Computer architecture;Ultra reliable low latency communication</t>
  </si>
  <si>
    <t>X. Gong; C. Bai; S. Ren; J. Wang; C. Wang</t>
  </si>
  <si>
    <t>A Survey of Compute First Networking</t>
  </si>
  <si>
    <t>2023 IEEE 23rd International Conference on Communication Technology (ICCT)</t>
  </si>
  <si>
    <t>10.1109/ICCT59356.2023.10419572</t>
  </si>
  <si>
    <t>Academy of Military Sciences, PLA, Institute of Systems Engineering, Beijing, China; School of Resources and Environment, University of Electronic Science and Technology of China, Chengdu, China; Academy of Military Sciences, PLA, Institute of Systems Engineering, Beijing, China; Academy of Military Sciences, PLA, Institute of Systems Engineering, Beijing, China; Academy of Military Sciences, PLA, Institute of Systems Engineering, Beijing, China</t>
  </si>
  <si>
    <t>With the rapid advancements in cloud computing, edge computing, and intelligent devices, there has been a proliferation of computing resources with a trend toward ubiquitous deployment. However, traditional network architectures have struggled to effectively harness these ubiquitous computing resources. In response to this challenge and the growing need for optimizing and efficiently utilizing both network and computing resources, a novel architectural paradigm known as Compute First Networking (CFN) has emerged. CFN establishes a framework where ubiquitous and heterogeneous computing resources are interconnected through networking, enabling unified orchestration and flexible resource allocation. This research paper commences by providing an in-depth examination of the current state of CFN research, delineates various definitions associated with CFN, elucidates the fundamental architecture and pivotal technologies underpinning CFN, and ultimately delves into prospective avenues for future CFN research endeavors.</t>
  </si>
  <si>
    <t>979-8-3503-2595-9</t>
  </si>
  <si>
    <t>https://ieeexplore.ieee.org/stamp/stamp.jsp?arnumber=10419572</t>
  </si>
  <si>
    <t>compute first networking;computing modeling;computing routing;compute first networking orchestration</t>
  </si>
  <si>
    <t>Surveys;Technological innovation;Job shop scheduling;Processor scheduling;Network architecture;Ubiquitous computing;Heterogeneous networks</t>
  </si>
  <si>
    <t>S. G. Gil; J. M. Murillo; J. Gal√°n-Jim√©nez</t>
  </si>
  <si>
    <t>Optimizing IoT Microservices Placement for latency reduction in UAV-Assisted Wireless Networks</t>
  </si>
  <si>
    <t>2023 IEEE 20th International Conference on Mobile Ad Hoc and Smart Systems (MASS)</t>
  </si>
  <si>
    <t>10.1109/MASS58611.2023.00093</t>
  </si>
  <si>
    <t>Department of Computer Systems and Telematics Engineering, University of Extremadura, Spain; C√©nits-COMPUTAEX, Spain; Department of Computer Systems and Telematics Engineering, University of Extremadura, Spain</t>
  </si>
  <si>
    <t>Unmanned Aerial Vehicles (UAV) swarms, the Internet of Things (IoT) paradigm, Service Oriented Architectures (SOA) and 5G cellular networks unveil unprecedented ways of providing Internet connectivity to devices located in remote places where traditional network infrastructures are not viable. Furthermore, computation elements can be placed closer to the users to comply with the stringent Quality of Service (QoS) requirements of IoT applications. However, these new paths open new challenges that need to be addressed. Offering connectivity to devices and people located in hard to reach places without been compliant with the QoS constraints imposed by the nature of the tasks that they must carry out would be a wasted effort. This paper focuses on the optimal placement of microservices in resource constrained networks augmented by UAV swarms with the objective of minimizing the latency of IoT applications. Although there are approaches based on heuristics and others based on Machine Learning techniques, they may end up leading to suboptimal solutions. To avoid that, a Mixed Integer Lineal Programming (MILP) formulation of the problem is provided and evaluated. Experimental results demonstrate the effectiveness of the model for deploying services with optimal latency in IoT scenarios with UAV-assisted wireless networks.</t>
  </si>
  <si>
    <t>979-8-3503-2433-4</t>
  </si>
  <si>
    <t xml:space="preserve">Ministry of Economy; </t>
  </si>
  <si>
    <t>https://ieeexplore.ieee.org/stamp/stamp.jsp?arnumber=10298356</t>
  </si>
  <si>
    <t>UAV;IoT;latency;microservice;MILP</t>
  </si>
  <si>
    <t>Cellular networks;5G mobile communication;Wireless networks;Microservice architectures;Quality of service;Machine learning;Programming</t>
  </si>
  <si>
    <t>S. Ilager; V. De Maio; I. Lujic; I. Brandic</t>
  </si>
  <si>
    <t>Data-centric Edge-AI: A Symbolic Representation Use Case</t>
  </si>
  <si>
    <t>10.1109/EDGE60047.2023.00052</t>
  </si>
  <si>
    <t>Vienna University of Technology (TU Wien), Austria; Vienna University of Technology (TU Wien), Austria; Ericsson Nikola Tesla, Croatia; Vienna University of Technology (TU Wien), Austria</t>
  </si>
  <si>
    <t>Today‚Äôs machine learning pipelines are primarily executed in the cloud, from data storage to data processing, model training, and deployment. However, machine learning is moving to edge devices, creating the demand for AI applications at the edge, known as Edge-AI. Traditional data management practices applied in the cloud are proving to be inefficient for Edge-AI, due to resource and energy constraints of edge devices and real-time requirements of applications. This paper identifies the challenges associated with data processing for Edge-AI. We then discuss methods for efficient data processing at the edge, leading to data-centric Edge-AI. As a use case scenario, we discuss the symbolic representation of time series data and explain how it could help save the cost of data storage and processing in developing Edge-AI applications.</t>
  </si>
  <si>
    <t xml:space="preserve">CHIST-ERA; </t>
  </si>
  <si>
    <t>https://ieeexplore.ieee.org/stamp/stamp.jsp?arnumber=10234261</t>
  </si>
  <si>
    <t>Edge-AI;Data-centric Edge;IoT data;Symbolic representation of data;Big data</t>
  </si>
  <si>
    <t>Training;Time series analysis;Pipelines;Memory;Machine learning;Data processing;Real-time systems</t>
  </si>
  <si>
    <t>J. Zhou; X. Li; Q. Wang; X. Qin; W. Miao; J. Tian</t>
  </si>
  <si>
    <t>Balancing Load: An Adaptive Traffic Management Scheme for Microservices</t>
  </si>
  <si>
    <t>2022 IEEE 28th International Conference on Parallel and Distributed Systems (ICPADS)</t>
  </si>
  <si>
    <t>10.1109/ICPADS56603.2022.00089</t>
  </si>
  <si>
    <t>College of Computer Science and Technology, Nanjing University of Aeronautics and Astronautics, Nanjing, China; College of Computer Science and Technology, Nanjing University of Aeronautics and Astronautics, Nanjing, China; Department of Military Training and Management, Army Command College, Nanjing, China; College of Computer Science and Technology, Nanjing University of Aeronautics and Astronautics, Nanjing, China; State Grid Jiangsu Electric Power Co., Ltd. Information &amp; Telecommunication Branch, China; State Grid Hunan Electric Power Co., Ltd. Information &amp; Telecommunication Branch, China</t>
  </si>
  <si>
    <t>Service Mesh has become one of the most popular microservices governance frameworks. In the service governance function of traffic management, how to design an efficient strategy for request distribution to minimize response time has attracted wide research interest. Generally, a traffic policy can be pre-set manually. However, such a static policy always performs terribly when the load changes dynamically. That is, Service Mesh cannot adaptively select the optimal policy when setting service version diversion and selecting instances on the service subset. To address this issue, in this paper, we designed an adaptive strategy based on split-flow to achieve global load balancing. Furthermore, we implement such a strategy by developing a plug-in named DTMA for Istio, a typical representative of Service Mesh. By obtaining the Service Mesh node‚Äôs topology and global instance load distribution in real-time, Istio updates the optimal split-flow weight and selects the suitable load balancing strategy. Extensive experimental results show that our algorithm can reduce the response time by nearly half and keep a load of nodes and instances stable compared with Istio‚Äôs native configuration. The optimization effect of minimizing the response time is achieved through real-time load balancing.</t>
  </si>
  <si>
    <t>978-1-6654-7315-6</t>
  </si>
  <si>
    <t>https://ieeexplore.ieee.org/stamp/stamp.jsp?arnumber=10077895</t>
  </si>
  <si>
    <t>Service Mesh;Traffic management;Real-Time;Load balancing;Istio</t>
  </si>
  <si>
    <t>Automation;Source coding;Scalability;Microservice architectures;Elasticity;Load management;Real-time systems</t>
  </si>
  <si>
    <t>H. Huang; Z. Qu</t>
  </si>
  <si>
    <t>Resource Allocation based on Computing Modeling in Computing Power Network</t>
  </si>
  <si>
    <t>2023 IEEE/CIC International Conference on Communications in China (ICCC Workshops)</t>
  </si>
  <si>
    <t>2474-9141</t>
  </si>
  <si>
    <t>10.1109/ICCCWorkshops57813.2023.10233759</t>
  </si>
  <si>
    <t>Wireless Signal Processing and Network Laboratory, Beijing University of Posts and Telecommunications, Beijing, China; Wireless Signal Processing and Network Laboratory, Beijing University of Posts and Telecommunications, Beijing, China</t>
  </si>
  <si>
    <t>Computing Power Network as a novel network architecture, aims to integrate ubiquitous computing power with the network, enabling intelligent scheduling and efficient allocation of computational resources to meet the high-diversity demands of computational services.The resource allocation problem in the computing power network differs from the traditional cloud-edge-end structure. It necessitates adopting a macroscopic perspective to establish an effective mapping between computational resources and demands. However, this task is inherently challenging due to the heterogeneous nature of both resources and demands.In this paper, we investigate and summarize the current computing modeling scheme. Based on the unified measurement of resources and demand, we model the resource allocation problem in the computing power network as the demand response problem in the smart grid. Then we solve the above problem using game theory, and verify the effectiveness of the method through simulation experiments.</t>
  </si>
  <si>
    <t>979-8-3503-4540-7</t>
  </si>
  <si>
    <t>https://ieeexplore.ieee.org/stamp/stamp.jsp?arnumber=10233759</t>
  </si>
  <si>
    <t>Computing Power Network(CPN);computing modeling;resource allocation;demand response;game theory</t>
  </si>
  <si>
    <t>Power measurement;Computational modeling;Current measurement;Ubiquitous computing;Demand response;Smart grids;Computational efficiency</t>
  </si>
  <si>
    <t>Z. -X. Wu; Y. -Z. You; C. -C. Liu; L. -D. Chou</t>
  </si>
  <si>
    <t>Machine Learning Based 5G Network Slicing Management and Classification</t>
  </si>
  <si>
    <t>2024 International Conference on Artificial Intelligence in Information and Communication (ICAIIC)</t>
  </si>
  <si>
    <t>2831-6983</t>
  </si>
  <si>
    <t>10.1109/ICAIIC60209.2024.10463325</t>
  </si>
  <si>
    <t>Department of Computer Science and Information Engineering, National Central University, Taoyuan, Taiwan; Department of Computer Science and Information Engineering, National Central University, Taoyuan, Taiwan; Department of Computer Science and Information Engineering, National Central University, Taoyuan, Taiwan; Department of Computer Science and Information Engineering, National Central University, Taoyuan, Taiwan</t>
  </si>
  <si>
    <t>Due to the rapid development of the Internet, network bandwidth and stability are becoming more and more important. With the increase in the number of users, how to make each user have a high Quality of Service (QoS) is an urgent problem to be solved. 5G slicing allows flexible management of each user's network usage, which in turn optimizes the overall network usage and reduces the consumption of network resources. The 5G slicing can flexibly manage each user's network usage to optimize overall network usage and reduce network resource consumption. In this paper, use machine learning to analyze the network traffic, and analyze a total of 141 different applications on the network, and conduct experiments on different machine learning models. Based on the above experimental results, propose an algorithm for 5G slice management. Based on the above traffic analysis results, we will dynamically configure and optimize the resources of each slice according to the current network traffic of each user.</t>
  </si>
  <si>
    <t>979-8-3503-4434-9</t>
  </si>
  <si>
    <t>https://ieeexplore.ieee.org/stamp/stamp.jsp?arnumber=10463325</t>
  </si>
  <si>
    <t>5G;network slicing;machine learning;network throughput;network function virtualization</t>
  </si>
  <si>
    <t>Training;5G mobile communication;Computational modeling;Network slicing;Supervised learning;Telecommunication traffic;Quality of service</t>
  </si>
  <si>
    <t>O. T. Ba≈üaran; M. Ba≈üaran; D. Turan; H. G. Bayrak; Y. S. Sandal</t>
  </si>
  <si>
    <t>Deep Autoencoder Design for RF Anomaly Detection in 5G O-RAN Near-RT RIC via xApps</t>
  </si>
  <si>
    <t>10.1109/ICCWorkshops57953.2023.10283501</t>
  </si>
  <si>
    <t>5G Research Group Kartal R&amp;D Center, Siemens San. Tic. A.S., Technology &amp; Innovation (TI) Team, Research in Next-Generation Communications (RNC), Istanbul, Turkey; 5G Research Group Kartal R&amp;D Center, Siemens San. Tic. A.S., Technology &amp; Innovation (TI) Team, Research in Next-Generation Communications (RNC), Istanbul, Turkey; 5G Research Group Kartal R&amp;D Center, Siemens San. Tic. A.S., Technology &amp; Innovation (TI) Team, Research in Next-Generation Communications (RNC), Istanbul, Turkey; 5G Research Group Kartal R&amp;D Center, Siemens San. Tic. A.S., Technology &amp; Innovation (TI) Team, Research in Next-Generation Communications (RNC), Istanbul, Turkey; 5G Research Group Kartal R&amp;D Center, Siemens San. Tic. A.S., Technology &amp; Innovation (TI) Team, Research in Next-Generation Communications (RNC), Istanbul, Turkey</t>
  </si>
  <si>
    <t>The agile and rapid management of the operations that take place in 5G radio access networks (RAN) including the monitoring of RF fluctuations, throughput suffering, and handover issues due to mobility on the user equipment (UE) side is becoming critical. Therefore, it needs to be managed by a near real-time RAN intelligent controller (RIC) in the context of O-RAN concept where O-RAN aims at the democratization of 5G RAN components to provide flexibility and compatibility to the vendors in the 5G market. Accordingly, in this paper, we present a deep learning (DL)-based autoencoder design for detecting the RF anomalies at the UE side through the extended applications (xApps) running on 5G near real-time RIC, thus, providing better and seamless service continuity. Simulation results demonstrate that the proposed autoencoder is able to achieve better performance on RF anomaly detection compared to the existing models such as random forest and isolation forest. Compared to the isolation forest algorithm, the deep-autoencoder model gives 10% better results in terms of overall accuracy score.</t>
  </si>
  <si>
    <t>https://ieeexplore.ieee.org/stamp/stamp.jsp?arnumber=10283501</t>
  </si>
  <si>
    <t>Radio frequency;Deep learning;5G mobile communication;Conferences;Forestry;Semisupervised learning;Handover</t>
  </si>
  <si>
    <t>T. Z. Benmerar; T. Theodoropoulos; D. Fevereiro; L. Rosa; J. Rodrigues; T. Taleb; P. Barone; K. Tserpes; L. Cordeiro</t>
  </si>
  <si>
    <t>Intelligent Multi-Domain Edge Orchestration for Highly Distributed Immersive Services: An Immersive Virtual Touring Use Case</t>
  </si>
  <si>
    <t>10.1109/EDGE60047.2023.00061</t>
  </si>
  <si>
    <t>ICTFICIAL Oy, Finland; Harokopio University of Athens, Greece; OneSource, Portugal; OneSource, Portugal; Cyango, Portugal; University of Oulu, Finland; Hewlett Packard Enterprise, Italy; Harokopio University of Athens, Greece; OneSource, Portugal</t>
  </si>
  <si>
    <t>Edge cloud technologies in tandem with AI-enabled solutions can contribute to overcoming the challenges that pertain the distributed execution of immersive services and contribute towards providing a positive experience for the end-users. Intelligent resource management, orchestration, and prediction systems can optimize the deployment of services, adapt to changing demands, and ensure that the services are running smoothly. This paper introduces a novel architectural paradigm capable of facilitating multi-domain edge orchestration for highly distributed immersive services by incorporating a plethora of AI solutions and technological enablers that can support multi-domain edge deployments. The proposed architecture is designed to operate on the basis of multi-level specification blueprints, which decouple the simple high-level user-intent infrastructure definition from the AI-driven orchestration and the final execution plan. The Application Management Framework (AMF) offers a visual language and tool that can be used as an alternative to a formal method for creating the intent blueprint. In the frame of this work, the latter is validated by an immersive virtual touring use-case scenario.</t>
  </si>
  <si>
    <t>https://ieeexplore.ieee.org/stamp/stamp.jsp?arnumber=10234321</t>
  </si>
  <si>
    <t>Edge cloud;immersive service;orchestration;cluster;Kubernetes;centralized management;and decentralized management</t>
  </si>
  <si>
    <t>Visualization;Cloud computing;Computer architecture;Resource management;Artificial intelligence;Edge computing</t>
  </si>
  <si>
    <t>N. Lestari; T. Purnama; S. Risnanto; B. Fitriadi; A. M. H. Yusuf; A. S. Prihatmanto</t>
  </si>
  <si>
    <t>Asynchronous Data Communication Architecture on Real-Time Face Recognition for Hybrid Laboratory System</t>
  </si>
  <si>
    <t>2023 17th International Conference on Telecommunication Systems, Services, and Applications (TSSA)</t>
  </si>
  <si>
    <t>10.1109/TSSA59948.2023.10366951</t>
  </si>
  <si>
    <t>Doctoral Program of School of Electrical Engineering and Informatics, Institut Teknologi Bandung, Bandung, Indonesia; Electrical Engineering Department, Faculty of Engineering, Universitas Sangga Buana, Bandung, Indonesia; Faculty of Engineering, Universitas Sangga Buana, Bandung, Indonesia; Universitas Komputer Indonesia, Bandung, Indonesia; School of Electrical Engineering and Informatics, Institut Teknologi Bandung, Bandung, Indonesia; School of Electrical Engineering and Informatics, Institut Teknologi Bandung, Bandung, Indonesia</t>
  </si>
  <si>
    <t>The Internet of Things (IoT) and Artificial Intelligence (AI) have reshaped educational technology, increasing the chances of developing more effective and engaging learning environments. This study proposes an architecture for asynchronous data communication with real-time face recognition, a virtual and remote labs confluence. The architecture uses IoT hardware and software to comprise critical components such as IoT cameras, message brokers, FTP servers, and AI processing servers. The aim is to optimize resource usage and maximize response time efficiency. The architecture employs message queuing to manage high volumes of face image data, facilitating immediate verification and rapid access. Our findings demonstrate that the system can achieve face recognition with 91.7% accuracy and an average system communication latency of 2.631 seconds, effectively leveraging asynchronous communication to optimize resource usage and computational efficiency. The research comprehensively measures the data communication metrics and face recognition metrics. It also explains how asynchronous data communication can be strategically deployed in a hybrid lab environment to enhance educational and operational efficacy.</t>
  </si>
  <si>
    <t>979-8-3503-0916-4</t>
  </si>
  <si>
    <t>https://ieeexplore.ieee.org/stamp/stamp.jsp?arnumber=10366951</t>
  </si>
  <si>
    <t>Asynchronous data communication;real-time face recognition;resource optimization;message queuing;computational efficiency</t>
  </si>
  <si>
    <t>Measurement;Face recognition;Computer architecture;Learning (artificial intelligence);Real-time systems;Software;Telecommunications</t>
  </si>
  <si>
    <t>N. S. Dey; S. P. K. Reddy; L. G</t>
  </si>
  <si>
    <t>Serverless Computing: Architectural Paradigms, Challenges, and Future Directions in Cloud Technology</t>
  </si>
  <si>
    <t>10.1109/I-SMAC58438.2023.10290253</t>
  </si>
  <si>
    <t>Department of AIDS, B. V. Raju Institute of Technology, Narsapur, TS, India; Department of AIDS, B. V. Raju Institute of Technology, Narsapur, TS, India; Department of AIDS, B. V. Raju Institute of Technology, Narsapur, TS, India</t>
  </si>
  <si>
    <t>The concept of serverless computing has emerged as a significant paradigm shift in cloud technology, fundamentally transforming the processes involved in application development and deployment. This research paper offers a complete examination of serverless computing, focusing on its architectural principles, identifying the primary issues it poses, and exploring the potential future developments in this fast-progressing domain. The article begins by providing a comprehensive explanation of the basic ideas behind serverless computing. It places particular emphasis on its event-driven nature, scalability, and the paradigm change from infrastructure management to code-centric development. This study examines the architectural paradigms of serverless computing, specifically focusing on Function as a Service (FaaS) and Backend as a Service (BaaS). It does a comparative analysis of these paradigms, considering their respective use cases and benefits. This study not only discusses the existing issues in serverless computing but also presents potential future possibilities in the field. The paper investigates current developments in the field, including the utilization of serverless orchestration, the integration of hybrid cloud systems, and the advancement of tools for serverless development. Moreover, this study explores the possible ramifications of serverless technology on edge computing, Internet of Things (IoT), and machine learning applications. This research paper is a great resource for practitioners, academics, and organizations in the field of cloud technology that are interested in leveraging the advantages of serverless computing. This study amalgamates existing information, discerns areas of research that need further investigation, and provides valuable perspectives on the dynamic development of serverless technology. Consequently, it facilitates a more knowledgeable and inventive approach to the field of cloud computing.</t>
  </si>
  <si>
    <t>https://ieeexplore.ieee.org/stamp/stamp.jsp?arnumber=10290253</t>
  </si>
  <si>
    <t>Serverless computing;Cloud technology;Architectural paradigms;Challenges;Future directions;FaaS;BaaS</t>
  </si>
  <si>
    <t>Measurement;Fault tolerance;Scalability;Fault tolerant systems;Serverless computing;Focusing;Organizations</t>
  </si>
  <si>
    <t>A. Alawadhi; R. B. Ahmad; A. Almogahed; A. Abrar</t>
  </si>
  <si>
    <t>Deep Learning Techniques in Mobile Edge Computing for Internet of Medical Things</t>
  </si>
  <si>
    <t>2023 3rd International Conference on Emerging Smart Technologies and Applications (eSmarTA)</t>
  </si>
  <si>
    <t>10.1109/eSmarTA59349.2023.10293737</t>
  </si>
  <si>
    <t>Department of Computers and Information Technology, Faculty of Engineering and Computing), Yemen; Faculty of Electronic Engineering and Technology, Universiti Malaysia Perlis, Perlis, Malaysia; Faculty of Computer Science and Information Technology, Universiti Tun Hussein Onn Malaysia, Parit Raja, Johor, Malaysia; InterNetWorks Research Laboratory, School of Computing, Universiti Utara Malaysia, Sintok-Kedah, Malaysia</t>
  </si>
  <si>
    <t>The fast expansion of the Internet of Medical Things (IoMT) has resulted in a ubiquitous home health diagnostic network. High patient demand results in high costs, short latency, and communication overload. As a result, 6G is the next generation of IoT, IoMT, and cellular networks, intending to considerably improve the quality of smart healthcare services through high throughput and decreased latency. So far, adopting cloud computing for time-critical applications and decreasing access delays to resources is difficult. Deep learning has been extensively employed to extract characteristics from complicated networks as artificial intelligence technology has advanced. On the other hand, deep learning models are often run in cloud computing data centres with tremendous processing resources. Conventional cloud computing systems primarily rely on the network, which has significant latency and security and privacy issues. One of the successful solutions is the Mobile Edge Computing (MEC) paradigm, which brings cloud computing services closer to the edge network and uses available resources. Mobile edge computing places computer and storage nodes near mobile devices at the Internet's edge, leading to considerable savings in system operating time, memory cost, and power usage. Deep learning is used in mobile edge computing to forecast changes in demand based on daily patient behaviours. It also prepares the network by scaling up network resources as required. This study aims to discuss IoMT and identfy the problems in deep learning for mobile edge computing technology and its applications.</t>
  </si>
  <si>
    <t>979-8-3503-0533-3</t>
  </si>
  <si>
    <t>https://ieeexplore.ieee.org/stamp/stamp.jsp?arnumber=10293737</t>
  </si>
  <si>
    <t>Deep learning;6G;Internet of Medical Things;Mobile Edge cpomuting</t>
  </si>
  <si>
    <t>Deep learning;6G mobile communication;Cloud computing;Privacy;Data centers;Multi-access edge computing;Costs</t>
  </si>
  <si>
    <t>S. Silva; A. Tuyishime; T. Santilli; P. Pelliccione; L. Iovino</t>
  </si>
  <si>
    <t>Quality Metrics in Software Architecture</t>
  </si>
  <si>
    <t>2023 IEEE 20th International Conference on Software Architecture (ICSA)</t>
  </si>
  <si>
    <t>10.1109/ICSA56044.2023.00014</t>
  </si>
  <si>
    <t>Gran Sasso Science Institute (GSSI), L'Aquila, Italy; Gran Sasso Science Institute (GSSI), L'Aquila, Italy; Gran Sasso Science Institute (GSSI), L'Aquila, Italy; Gran Sasso Science Institute (GSSI), L'Aquila, Italy; Gran Sasso Science Institute (GSSI), L'Aquila, Italy</t>
  </si>
  <si>
    <t>The importance of software architecture is largely recognized also in iterative and agile development settings. However, it is quite complex to provide evidence that an architecture is of good quality and that the architectural decisions are appropriate, correct, or optimal. Architecture evaluation aims at showing and providing confidence that design decisions contribute to fulfilling the stakeholder concerns. Some architecture evaluation methods are scenario-based and aim at balancing many potentially conflicting quality attributes. Other works focus on a specific quality attribute and provide metrics to measure it.In this paper we survey the state of the art in metrics for evaluating quality attributes of architectures. The elicited metrics are organized into a catalog, which associates them with the specific quality attributes they aim to measure. We contribute also an MDE framework that generates web views facilitating the analysis of architectures. In this way, researchers and practitioners can easily retrieve the metrics that are appropriate to their specific needs. The catalog of metrics and quality attributes is released to the research community and open to contributions from experts and practitioners.</t>
  </si>
  <si>
    <t>979-8-3503-9749-9</t>
  </si>
  <si>
    <t>https://ieeexplore.ieee.org/stamp/stamp.jsp?arnumber=10092705</t>
  </si>
  <si>
    <t>Quality Attributes;Quality Metrics;Software Architecture</t>
  </si>
  <si>
    <t>Measurement;Software architecture;Computer architecture;Service-oriented architecture;Stakeholders;Iterative methods</t>
  </si>
  <si>
    <t>V. Gudepu; R. R. Tella; C. Centofanti; J. Santos; A. Marotta; K. Kondepu</t>
  </si>
  <si>
    <t>Demonstrating the Energy Consumption of Radio Access Networks in Container Clouds</t>
  </si>
  <si>
    <t>NOMS 2024-2024 IEEE Network Operations and Management Symposium</t>
  </si>
  <si>
    <t>10.1109/NOMS59830.2024.10575134</t>
  </si>
  <si>
    <t>Indian Institute of Technology Dharwad, Dharwad, India; Indian Institute of Technology Dharwad, Dharwad, India; DISIM Department, University of L‚ÄôAquila, L‚ÄôAquila, Italy; Department of Information Technology, IDLab, Ghent University - Imec, Gent, Belgium; DISIM Department, University of L‚ÄôAquila, L‚ÄôAquila, Italy; Indian Institute of Technology Dharwad, Dharwad, India</t>
  </si>
  <si>
    <t>The rapid evolution of next-generation mobile networks introduces challenges and opportunities in achieving various use cases with extremely low latency, high data rates, and dense user connectivity. However, these objectives can lead to the higher energy consumption of mobile networks, particularly within the Radio Access Network (RAN), which generally consumes 75% of the mobile networks total energy consumption. The current studies available focus mainly on the energy consumption of the next-generation Core Network (5GC), while this demonstration provides a better understanding of the energy consumption of the RAN components. The demonstration provides energy observability leveraging various open-source software tools to measure and monitor RAN energy consumption trends deployed on the Kubernetes platform ‚Äî a widely adopted container orchestration platform. Moreover, this demonstration shows energy consumption on different RAN architectures ‚Äî Monolithic, Disaggregated, and Control Plane and User Plane Separation (CUPS) ‚Äî utilizing tools such as Kepler and Scaphandre for comprehensive energy measurement.</t>
  </si>
  <si>
    <t>979-8-3503-2793-9</t>
  </si>
  <si>
    <t>https://ieeexplore.ieee.org/stamp/stamp.jsp?arnumber=10575134</t>
  </si>
  <si>
    <t>Radio Access Network (RAN);Energy Consumption;5G and Beyond (B5G);Kubernetes</t>
  </si>
  <si>
    <t>Energy consumption;Energy measurement;Containers;Market research;Software measurement;Observability;Next generation networking</t>
  </si>
  <si>
    <t>Y. Yuan; R. Wang; N. Ranganathan; N. Rao; S. Kumar; P. Lantz; V. Sanjeepan; J. Cabrera; A. Kwatra; R. Sankaran; I. Jeong; N. S. Kim</t>
  </si>
  <si>
    <t>Intel Accelerators Ecosystem: An SoC-Oriented Perspective : Industry Product</t>
  </si>
  <si>
    <t>2024 ACM/IEEE 51st Annual International Symposium on Computer Architecture (ISCA)</t>
  </si>
  <si>
    <t>10.1109/ISCA59077.2024.00066</t>
  </si>
  <si>
    <t>Intel Labs; Intel Labs; Intel Labs; Intel Labs; Intel Labs; Intel Labs; Intel Labs; Intel Labs; Intel Labs; Intel Labs; University of Illinois, Urbana-Champaign; University of Illinois, Urbana-Champaign</t>
  </si>
  <si>
    <t>A growing demand for hyperscale services has compelled hyperscalers to deploy more compute resources at an unprecedented pace, further accelerated by the demise of Dennard scaling. Meanwhile, a considerable portion of the compute resources are consumed to execute common functions present across the hyperscale services, i.e., datacenter taxes. These challenges motivated many to explore specialized accelerators for these functions. Leading such a technology trend, Intel has integrated diverse on-chip accelerators into its recent flagship datacenter CPU products. Furthermore, to support the easy and efficient use of these accelerators for successful deployment in production hyperscale services, Intel has developed a hardware/software ecosystem. In this paper, we first focus on Intel‚Äôs holistic efforts to build the hardware/software ecosystem, presenting key SoC-level features that facilitate efficient CPU-accelerator interaction, effortless programming and use, and scalable accelerator sharing and virtualization. Next, we delve into the functions, microarchitectures, and software stacks of three new on-chip accelerators: Data Streaming Accelerator (DSA), In-memory Analytics Accelerator (IAA), and Dynamic Load Balancer (DLB). Lastly, we demonstrate that Intel‚Äôs on-chip accelerators can not only significantly reduce the datacenter taxes but also accelerate data-intensive applications essential for hyperscale services, with little effort to use the accelerators.</t>
  </si>
  <si>
    <t>979-8-3503-2658-1</t>
  </si>
  <si>
    <t xml:space="preserve">Semiconductor Research Corporation; </t>
  </si>
  <si>
    <t>https://ieeexplore.ieee.org/stamp/stamp.jsp?arnumber=10609705</t>
  </si>
  <si>
    <t>accelerators;Xeon;SoC;datacenter tax;shared virtual memory;SIOV;DSA;IAA;DLB;QAT</t>
  </si>
  <si>
    <t>Technological innovation;Program processors;Microarchitecture;Ecosystems;Finance;Production;Programming</t>
  </si>
  <si>
    <t>H. Kumar; P. Mamoria; D. K. Dewangan; S. Kumari</t>
  </si>
  <si>
    <t>Internet of Things (IoT): Role of Machine Learning in Power Management and Optimization using Regression Analysis</t>
  </si>
  <si>
    <t>2024 IEEE International Conference on Computing, Power and Communication Technologies (IC2PCT)</t>
  </si>
  <si>
    <t>10.1109/IC2PCT60090.2024.10486680</t>
  </si>
  <si>
    <t>Department of Computer Science &amp; Engineering, Chhatrapati Shahu Ji Maharaj University, Kanpur, India; Department of Computer Science &amp; Engineering, Chhatrapati Shahu Ji Maharaj University, Kanpur, India; Department of Computer Science &amp; Engineering, ABV-IIITM, Gwalior, India; Department of Computer Science &amp; Engineering, Rama University, Kanpur, India</t>
  </si>
  <si>
    <t>This article discusses many aspects of internet of thing related to implementation of energy efficient devices in IoT based network. As everyone knows, implementations of smart automation is possible due to energy efficient devices of IoT network at different levels in data transmission. The purpose of this research is to predict the energy efficiency with the help of machine learning model. Therefore, for this we have implement linear regression method which is basically a supervised machine learning technique to predict and analyzed the different factors which affects the power consumption on a particular time in IoT network. In this article we have chosen a linear regression method to predict the cumulative power needed for any IoT device during data transmission. After careful observations we have found that using ML model is more suitable for predicting the total power requirement for any IoT device in the network rather than going for direct calculation. Apart from this ML model selection, power consumption issues in IoT devices while in use has been discussed systematically and the impact of using different ML techniques is also being discussed.</t>
  </si>
  <si>
    <t>979-8-3503-8354-6</t>
  </si>
  <si>
    <t>https://ieeexplore.ieee.org/stamp/stamp.jsp?arnumber=10486680</t>
  </si>
  <si>
    <t>IoT;ML;WSN;AI;UI;RFID;NFC</t>
  </si>
  <si>
    <t>Performance evaluation;Power demand;Power system management;Linear regression;Predictive models;Energy efficiency;Internet of Things</t>
  </si>
  <si>
    <t>R. R. Filho; R. S. Dias; J. Ser√≥dio; B. Porter; F. M. Costa; E. Borin; L. F. Bittencourt</t>
  </si>
  <si>
    <t>A Self-Distributing System Framework for the Computing Continuum</t>
  </si>
  <si>
    <t>2023 32nd International Conference on Computer Communications and Networks (ICCCN)</t>
  </si>
  <si>
    <t>10.1109/ICCCN58024.2023.10230110</t>
  </si>
  <si>
    <t>Institute of Computing, University of Campinas, Campinas, Brazil; Institute of Informatics, Federal University of Goi√°s, Goi√¢nia, Brazil; Institute of Computing, University of Campinas, Campinas, Brazil; Lancaster University, Lancaster, UK; Institute of Informatics, Federal University of Goi√°s, Goi√¢nia, Brazil; Institute of Computing, University of Campinas, Campinas, Brazil; Institute of Computing, University of Campinas, Campinas, Brazil</t>
  </si>
  <si>
    <t>Applications such as autonomous vehicles, virtual reality, augmented reality, and heavy machine learning-based applications are becoming popular and demanding more flexible deployment environments. The computing continuum, a hierarchical hybrid infrastructure comprehending user devices (smartphones, sensors, laptops, etc.), edge data centers, and cloud platforms, offers a wide range of deployment possibilities with a full range of varying computing resources. To take full advantage of such infrastructure, application development is faced with many challenges, the most important being the implementation of a transparent and generalized mechanism for code offloading and mobility throughout the continuum. To tackle such issues, this paper presents the Self-Distributing Systems (SDS) framework, a self-distribution framework that supports generalized code-offloading capabilities at the application level with a machine learning agent for deciding where to place components and a component-based model to enable seamless distribution of an application's components at runtime. We describe the framework, show its applicability in different application scenarios, and report our preliminary results. We conclude the paper with a list of challenges and invite the systems community to join the effort to further investigate them.</t>
  </si>
  <si>
    <t>979-8-3503-3618-4</t>
  </si>
  <si>
    <t xml:space="preserve">S√£o Paulo Research Foundation (FAPESP); CNPq proc.(grant numbers:465446/2014-0); CAPES; </t>
  </si>
  <si>
    <t>https://ieeexplore.ieee.org/stamp/stamp.jsp?arnumber=10230110</t>
  </si>
  <si>
    <t>computing continuum;self-distributing systems;reinforcement learning;energy-efficient computing</t>
  </si>
  <si>
    <t>Measurement;Cloud computing;Solid modeling;Codes;Runtime;Portable computers;Space exploration</t>
  </si>
  <si>
    <t>G. Kormpakis; P. Kapsalis; K. Alexakis; Z. Mylona; S. Pelekis; V. Marinakis</t>
  </si>
  <si>
    <t>Energy Sector Digitilisation: A Security Framework Application for Role-Based Access Management</t>
  </si>
  <si>
    <t>2023 14th International Conference on Information, Intelligence, Systems &amp; Applications (IISA)</t>
  </si>
  <si>
    <t>10.1109/IISA59645.2023.10345842</t>
  </si>
  <si>
    <t>Decision Support Systems Laboratory, School of Electrical and Computer Engineering, National Technical University of Athens, Athens, Greece; Decision Support Systems Laboratory, School of Electrical and Computer Engineering, National Technical University of Athens, Athens, Greece; Decision Support Systems Laboratory, School of Electrical and Computer Engineering, National Technical University of Athens, Athens, Greece; HOLISTIC, Athens, SA, Greece; Decision Support Systems Laboratory, School of Electrical and Computer Engineering, National Technical University of Athens, Athens, Greece; Decision Support Systems Laboratory, School of Electrical and Computer Engineering, National Technical University of Athens, Athens, Greece</t>
  </si>
  <si>
    <t>Data security and privacy in the energy sector and especially in buildings' energy management, is an emerging issue which cannot be underestimated, thus, calls for solid and robust solutions. The reliable functioning of energy management data platforms is essential for the efficient operation and performance of buildings, as well as the well-being of occupants. The fast-paced digital advances have aided this direction, but they have also created increased challenges for operation disruption mitigation and immutable services and outcomes. Data obtained from energy management systems frequently comprises highly sensitive and personal information. Consequently, access to such data, whether for reading purposes or for conducting experiments and research, must be strictly restricted and clearly defined. Through security frameworks data protection and information privacy, mitigation of risks and vulnerabilities can be ensured. In this paper, an end-to-end Security Framework is proposed for securing sensitive resources in energy management systems using Keycloak, OAuth2 and UMA 2 protocols as well as an extra security layer on top of the Keycloak, so as to enhance the overall security and avoid immediate interaction with Keycloak, which is the main user storage and access management component. The main concept of this framework is the controlled access of sensitive data and services, such as datasets, databases, functionalities, URLs, APIs, etc., leveraging the OAuth2 access tokens capabilities and the roles of the users. Our proposed architecture ensures that all the functionalities of the involved tools and protocols are properly secured end-to-end. The several existing functionalities of a number of tools and related protocols are properly leveraged and further extended, resulting to a fine-grained architecture with an extra security layer that offers administrative, security and identity access management and orchestration.</t>
  </si>
  <si>
    <t>979-8-3503-1806-7</t>
  </si>
  <si>
    <t>https://ieeexplore.ieee.org/stamp/stamp.jsp?arnumber=10345842</t>
  </si>
  <si>
    <t>Authentication;Authorization;encryption;security;Access Management;Access Token;Keycloak;API;REST;OAuth2;UMA2;Energy Management applications;Energy Sector</t>
  </si>
  <si>
    <t>Protocols;Databases;Data security;Data protection;Solids;Security;Reliability</t>
  </si>
  <si>
    <t>F. Teng; Y. Zhu; E. Zhang; X. Hu; Q. Sun; L. Feng</t>
  </si>
  <si>
    <t>A knowledge service framework for fault diagnosis of low-earth orbit satellite constellation</t>
  </si>
  <si>
    <t>2023 IEEE International Conference on Web Services (ICWS)</t>
  </si>
  <si>
    <t>2836-3868</t>
  </si>
  <si>
    <t>10.1109/ICWS60048.2023.00085</t>
  </si>
  <si>
    <t>School of Computing and Artificial Intelligence, Southwest Jiaotong University, Chengdu, China; School of Computing and Artificial Intelligence, Southwest Jiaotong University, Chengdu, China; School of Computing and Artificial Intelligence, Southwest Jiaotong University, Chengdu, China; School of Computing and Artificial Intelligence, Southwest Jiaotong University, Chengdu, China; State Key Laboratory of Networking and Switching Technology, Beijing University of Posts and Telecommunications, Beijing, China; School of Computing and Artificial Intelligence, Southwest Jiaotong University, Chengdu, China</t>
  </si>
  <si>
    <t>The rapid expansion of low-earth orbit satellite constellations poses a significant challenge for the operation and maintenance of thousands of satellites. In-orbit fault diagnosis helps minimize the cost of repairs, and ensure the overall reliability of the satellite constellation by identifying faults in their early stages. Compared to traditional fault detection methods, fault diagnosis requires knowledge to enhance very limited data and to infer cascading failures. In this paper, we propose a novel knowledge service framework that combines data-driven and knowledge-driven models to improve the efficiency and effectiveness of fault diagnosis. We implement a fault diagnosis service based on a constructed knowledge graph, which affords an assistant decision support function. The in-orbit deployment and simulation experiment verify the feasibility of the proposed framework, which shows great potential for fault diagnosis of low-earth orbit satellite constellation.</t>
  </si>
  <si>
    <t>979-8-3503-0485-5</t>
  </si>
  <si>
    <t>https://ieeexplore.ieee.org/stamp/stamp.jsp?arnumber=10248230</t>
  </si>
  <si>
    <t>knowledge service framework;knowledge graph;satellite fault diagnosis;LEO satellite;satellite-ground collaboration</t>
  </si>
  <si>
    <t>Fault diagnosis;Satellite constellations;Satellites;Web services;Power system protection;Collaboration;Maintenance engineering</t>
  </si>
  <si>
    <t>N. Makondo; H. I. Kobo; T. E. Mathonsi; D. Du Plessis; T. M. Makhosa; L. Mamushiane</t>
  </si>
  <si>
    <t>An Efficient Architecture for Latency Optimisation in 5G Using Edge Computing for uRLLC Use Cases</t>
  </si>
  <si>
    <t>2024 International Conference on Artificial Intelligence, Big Data, Computing and Data Communication Systems (icABCD)</t>
  </si>
  <si>
    <t>10.1109/icABCD62167.2024.10645277</t>
  </si>
  <si>
    <t>Council for Scientific Industrial Research (CSIR), Pretoria, South Africa; Council for Scientific Industrial Research (CSIR), Pretoria, South Africa; Department of IT (IT), Tshwane University of Technology (TUT), Pretoria, South Africa; Department of IT (IT), Tshwane University of Technology (TUT), Pretoria, South Africa; Council for Scientific Industrial Research (CSIR), Pretoria, South Africa; Council for Scientific Industrial Research (CSIR), Pretoria, South Africa</t>
  </si>
  <si>
    <t>Fifth generation wireless (5G) technology includes a range of service categories, notably ultra-reliable low-latency communications (uRLLCs). uRLLCs use cases are distinguished by their exceptional reliability in delivering packets quickly. However, fulfilling the stringent low latency demands of uRLLC applications poses a significant challenge for 5G networks. Traditional central cloud-based architectures struggle to achieve these tight requirements, necessitating creative latency optimisation methods. Therefore, Edge computing emerges as a viable paradigm, with the potential to bring computational resources closer to end users and applications to achieve end-to-end latency of around 10 milliseconds (ms). In this paper, we propose an efficient architecture for minimising latency in 5G networks by moving the user plane function (UPF) to the network edge closer to the users, leveraging the control and user plane separation (CUPS) strategy. In addition, this paper further proposes the software-defined networking (SDN) based backhaul. Leveraging SDN in the backhaul network of 5G deployments allows operators to create dynamic, scalable, and efficient networks capable of serving a diverse variety of services and applications with varying performance needs. The experiment results from the 3rd generation partnership project (3GPP) compliant 5G testbed prove that the proposed architecture optimises the latency by 60%. Average throughput is also improved by approximately 40%.</t>
  </si>
  <si>
    <t>979-8-3503-8790-2</t>
  </si>
  <si>
    <t>https://ieeexplore.ieee.org/stamp/stamp.jsp?arnumber=10645277</t>
  </si>
  <si>
    <t>uRLLC;UPF;5G;SDN;Edge computing</t>
  </si>
  <si>
    <t>Wireless communication;5G mobile communication;Computer architecture;Ultra reliable low latency communication;Throughput;3GPP;Reliability</t>
  </si>
  <si>
    <t>M. Ali; P. Scandurra; F. Moretti; L. Blaso</t>
  </si>
  <si>
    <t>Architecting a big data-driven software architecture for smart street lighting</t>
  </si>
  <si>
    <t>2023 IEEE 20th International Conference on Software Architecture Companion (ICSA-C)</t>
  </si>
  <si>
    <t>2768-4288</t>
  </si>
  <si>
    <t>10.1109/ICSA-C57050.2023.00019</t>
  </si>
  <si>
    <t>DIGIP University of Bergamo, Italy; DIGIP University of Bergamo, Italy; Smart Cities and Communities (TERIN-SEN-SCC) lab., Enea, Rome-Ispra, Italy; Smart Cities and Communities (TERIN-SEN-SCC) lab., Enea, Rome-Ispra, Italy</t>
  </si>
  <si>
    <t>Big data is one of the enabling technologies of the vision of Industry 4.0. Technological evolution is able to generate an increasing number of data. From the web, to social networks, from mobile devices to sensors, data is conveyed through the most disparate products of technology, whether physical or virtual. However, the transition from big data to smart data providing insights about information and issues that matter is not simple and obvious to achieve. The greater the amount of data and the more heterogeneous they are, the more complex their processing will be. The data, once collected, is processed by complex analytics algorithms and, to do this, considerable storage units and computing power are needed.In this paper, we describe our approach and experience at the Italian national agency ENEA in architecting a big data-driven software architecture for public street lighting. Such a software architecture is called ENEA PELL smart city platform (in brief, PELL SCP) and it is intended to collect, represent, control, predict, and possibly optimize the behaviour of public street lighting plants. In particular, we provide an overview of the analytics features that are being developed in collaboration with the University of Bergamo (Italy) to analyze electric energy data as collected by the PELL SCP.</t>
  </si>
  <si>
    <t>978-1-6654-6459-8</t>
  </si>
  <si>
    <t>https://ieeexplore.ieee.org/stamp/stamp.jsp?arnumber=10092664</t>
  </si>
  <si>
    <t>Big data-driven software architecture;smart street lighting;smart city platforms;PELL;city analytics</t>
  </si>
  <si>
    <t>Software architecture;Social networking (online);Smart cities;Software algorithms;Lighting;Big Data;Software</t>
  </si>
  <si>
    <t>S. Shim; A. Dhokariya; D. Doshi; S. Upadhye; V. Patwari; J. -Y. Park</t>
  </si>
  <si>
    <t>Predictive Auto-scaler for Kubernetes Cloud</t>
  </si>
  <si>
    <t>2023 IEEE International Systems Conference (SysCon)</t>
  </si>
  <si>
    <t>2472-9647</t>
  </si>
  <si>
    <t>10.1109/SysCon53073.2023.10131106</t>
  </si>
  <si>
    <t>Applied Data Science Department, San Jose State University, San Jose, California, USA; Computer Engineering Department, San Jose State University, San Jose, California, USA; Computer Engineering Department, San Jose State University, San Jose, California, USA; Computer Engineering Department, San Jose State University, San Jose, California, USA; Computer Engineering Department, San Jose State University, San Jose, California, USA; Korea Internet and Security Agency, San Jose, California, USA</t>
  </si>
  <si>
    <t>One of the basic requirements with adapting to cloud technology is to find an optimal resource allocation based on the dynamic workload. The default functioning of Kubernetes Horizontal Pod Auto-scaling in cloud is scaling of its pods only when the threshold of the cluster/application is crossed in order to adapt to increasing workload. Rather we want to deploy a proactive provisioning framework based on machine learning based predictions. We have demonstrated a novel deep learning framework based on a transformer in the area of dynamic workload predictions and showed how to apply the results to a custom auto-scaler in cloud. Our Framework builds time-series predictive models in machine learning such as ARIMA, LSTM, Bi-LSTM and transformer models. The dynamic scaling framework applies machine learning algorithms and presents recommendations to make proactive and smart decisions. Though the transformer model has been used in NLP and Vision applications mostly, we showed that the transformer based model can produce the most effective results in cloud workload predictions.</t>
  </si>
  <si>
    <t>978-1-6654-3994-7</t>
  </si>
  <si>
    <t>https://ieeexplore.ieee.org/stamp/stamp.jsp?arnumber=10131106</t>
  </si>
  <si>
    <t>time-series forecasting;time-series analysis;containerization;auto-scaling;prediction;artificial intelligence;re-source management</t>
  </si>
  <si>
    <t>Deep learning;Measurement;Machine learning algorithms;Computational modeling;Heuristic algorithms;Supervised learning;Predictive models</t>
  </si>
  <si>
    <t>S. B√∂hm; G. Wirtz</t>
  </si>
  <si>
    <t>PULCEO - A Novel Architecture for Universal and Lightweight Cloud-Edge Orchestration</t>
  </si>
  <si>
    <t>10.1109/SOSE58276.2023.00011</t>
  </si>
  <si>
    <t>Distributed Systems Group, University of Bamberg, Bamberg, Germany; Distributed Systems Group, University of Bamberg, Bamberg, Germany</t>
  </si>
  <si>
    <t>Cloud-edge orchestration manages a large pool of heterogeneous resources to improve latency and bandwidth for real-time use cases. It dynamically places computational resources and applications, usually microservices, at cloud and edge locations to enable low-latency communication. For this complex task, various optimization techniques have emerged over recent years. However, the majority implement custom and prototypical infrastructures for evaluation. This limits the general applicability, reusability, and comparability. Therefore, our work wants to contribute a universal and lightweight cloud-edge orchestration platform that fully decouples the optimization logic from the infrastructure. We analyzed the state-of-the-art cloud-edge orchestration and designed a generic cloud-edge orchestration platform. Besides the scientific perspective, we aligned our proposal to the OpenFog Reference Architecture to consider a perspective also from the industry. Therefore, our conceptually designed platform is based on the perspective of both academia and industry. We conclude that our platform can foster advanced cloud-edge orchestration techniuues' general applicability, reusability, and comparability.</t>
  </si>
  <si>
    <t>https://ieeexplore.ieee.org/stamp/stamp.jsp?arnumber=10254776</t>
  </si>
  <si>
    <t>Orchestration;Edge Computing;Fog Computing;OpenFog Reference Architecture;Cloud-Edge Orchestration</t>
  </si>
  <si>
    <t>Industries;Service-oriented systems engineering;Microservice architectures;Computer architecture;Bandwidth;Real-time systems;Proposals;Task analysis;Optimization;Monitoring</t>
  </si>
  <si>
    <t>E. M. Timofte; A. Ligia Balan; T. Iftime</t>
  </si>
  <si>
    <t>AI Driven Adaptive Security Mesh: Cloud Container Protection for Dynamic Threat Landscapes</t>
  </si>
  <si>
    <t>2024 International Conference on Development and Application Systems (DAS)</t>
  </si>
  <si>
    <t>10.1109/DAS61944.2024.10541148</t>
  </si>
  <si>
    <t>"Stefan cel Mare"University, Suceava, Romania; "Stefan cel Mare"University, Suceava, Romania; Suceava, Romania</t>
  </si>
  <si>
    <t>This work explores the new approach of integrating Artificial Intelligence (AI) into an adaptive mesh security system and discusses the challenges and opportunities of this innovative method. In a digital world where cyberattacks and technological innovations are rapidly increasing, making AI a core tool in security architectures is not just an upgrade to defensive efficacy, but also a strategic necessity. By examining technical and operational barriers, as well as the requirement of advanced computational resources and specific expertise, the paper emphasizes the need to tailor security system design to each IT infrastructure. Access to extensive, diverse data to facilitate the training of AI algorithms for efficient threat recognition is needed, but also raises challenges in data collection, processing, and confidentiality. This paper also stresses the urgent need for cross sector collaboration and standardization in adaptive security as key to efficiently meet challenges and accelerate innovation adoption. In conclusion, though facing significant challenges, incorporating AI into adaptive mesh security systems blazes a path towards developing innovative solutions that enable organizations to navigate effectively in a constantly evolving cyber landscape. It highlights the need for research, development, and collaboration across disciplines to create a robust, adaptable, and transparent security ecosystem.</t>
  </si>
  <si>
    <t>979-8-3503-4929-0</t>
  </si>
  <si>
    <t>https://ieeexplore.ieee.org/stamp/stamp.jsp?arnumber=10541148</t>
  </si>
  <si>
    <t>Information security;Wireless mesh networks;Clouds;Defense industry;Machine Learning;Image edge detection;Pattern analysis</t>
  </si>
  <si>
    <t>Training;Technological innovation;Adaptive systems;Standards organizations;Collaboration;Organizations;Containers</t>
  </si>
  <si>
    <t>A. Souza; N. Ng; T. Abdelzaher; D. Towsley; P. Shenoy</t>
  </si>
  <si>
    <t>Unlocking Efficiency: Understanding End-to-End Performance in Distributed Analytics Pipelines</t>
  </si>
  <si>
    <t>MILCOM 2023 - 2023 IEEE Military Communications Conference (MILCOM)</t>
  </si>
  <si>
    <t>10.1109/MILCOM58377.2023.10356378</t>
  </si>
  <si>
    <t>University of Massachusetts Amherst; University of Massachusetts Amherst; University of Illinois Urbana Champaign; University of Massachusetts Amherst; University of Massachusetts Amherst</t>
  </si>
  <si>
    <t>Internet of Things (IoT) devices have proliferated across a wide range of smart environments that generate vast amounts of data, necessitating the emergence of distributed edge-cloud infrastructures. However, these IoT-edge-cloud infrastructures encounter several challenges in providing efficient and effective services to users, such as real-time service delivery, robustness and resilience, and efficient deployment. Moreover, recent advancements in machine learning, particularly within the realm of deep learning, have ushered in a new era for IoT applications. These applications increasingly lean on data-intensive models to perform a multitude of functions, including classification, detection, data analytics, and decision-making. A key aspect is that many of these tasks exhibit sensitivity to latency and hinge on the deployment of models at the network‚Äôs edge and on how to efficiently handle data-intensive workloads, especially when network conditions are constrained. In response to these challenges, we present an analytical discussion that delves into the intricacies of distributed IoT pipelines and workloads deployed across both edge and cloud computing environments.</t>
  </si>
  <si>
    <t>979-8-3503-2181-4</t>
  </si>
  <si>
    <t xml:space="preserve">Arm; </t>
  </si>
  <si>
    <t>https://ieeexplore.ieee.org/stamp/stamp.jsp?arnumber=10356378</t>
  </si>
  <si>
    <t>Edge computing;ML inference;IoT;Analytical Pipelines</t>
  </si>
  <si>
    <t>Military communication;Sensitivity;Image edge detection;Pipelines;Fasteners;Robustness;Real-time systems</t>
  </si>
  <si>
    <t>R. Pinciroli; A. Aleti; C. Trubiani</t>
  </si>
  <si>
    <t>Performance Modeling and Analysis of Design Patterns for Microservice Systems</t>
  </si>
  <si>
    <t>10.1109/ICSA56044.2023.00012</t>
  </si>
  <si>
    <t>Gran Sasso Science Institute, L'Aquila, Italy; Monash University, Clayton, Australia; Gran Sasso Science Institute, L'Aquila, Italy</t>
  </si>
  <si>
    <t>The adoption of design patterns in the microservice architecture and cloud-native development scope was recently reviewed to investigate the industry practice. Interestingly, when considering performance-related aspects, practitioners focus on specific metrics (e.g., the time taken to handle requests) to identify sources of performance hindrance. This paper investigates a subset of seven design patterns that industrial practitioners indicate as relevant for system performance. We are interested to quantify the impact of these patterns while considering heterogeneous workloads, thus supporting software architects in understanding the root causes of performance issues. We use queuing networks to build the performance models of the seven design patterns and extract quantitative insights from model-based performance analysis. Our performance models are flexible in their input parameterization and reusable in different application contexts. We find that most design patterns confirm the expectation of practitioners, and our experimental results assess the identified performance gains and pains. One design pattern (i.e., Gateway Offloading) shows the peculiar characteristic of contributing to performance pains in some cases, leading to novel insights about the impact of design patterns in microservice systems.</t>
  </si>
  <si>
    <t>https://ieeexplore.ieee.org/stamp/stamp.jsp?arnumber=10092637</t>
  </si>
  <si>
    <t>Software Architecture;Model-based Performance Analysis;Microservices;Design Patterns</t>
  </si>
  <si>
    <t>Performance evaluation;Analytical models;Pain;Software architecture;System performance;Microservice architectures;Performance gain</t>
  </si>
  <si>
    <t>J. Santos; T. Wauters; F. D. Turck</t>
  </si>
  <si>
    <t>Efficient Management in Fog Computing</t>
  </si>
  <si>
    <t>NOMS 2023-2023 IEEE/IFIP Network Operations and Management Symposium</t>
  </si>
  <si>
    <t>10.1109/NOMS56928.2023.10154219</t>
  </si>
  <si>
    <t>Department of Information Technology, Technologiepark-Zwijnaarde 126, Ghent University - imec, IDLab, Gent, Belgium; Department of Information Technology, Technologiepark-Zwijnaarde 126, Ghent University - imec, IDLab, Gent, Belgium; Department of Information Technology, Technologiepark-Zwijnaarde 126, Ghent University - imec, IDLab, Gent, Belgium</t>
  </si>
  <si>
    <t>Recent application domains such as the Internet of Things (IoT) and Smart Cities (SCs) have introduced novel challenges to Cloud Computing based on their stringent requirements (e.g., low latency, high bandwidth). With the exponential growth of IoT traffic in the last few years, traditional cloud systems have become inadequate for these applications since requests are made on-demand simultaneously by multiple devices at different locations. The Fog Computing (FC) paradigm has emerged to deal with the limitations of traditional clouds since computational resources are placed at the edges of the network, aiming to decrease the latency expected by IoT devices and reduce the amount of data sent to the cloud. However, research challenges persist in FC since it is not a mature concept yet. This PhD research addresses four challenges in the FC domain focused on providing an efficient resource allocation in these distributed infrastructures. This dissertation includes theoretical formulations as benchmarks for resource allocation, fog-based architectural concepts, anomaly detection practices for IoT, and latency-aware allocation approaches that lead to the implementation of a network-aware framework named Diktyo. It optimizes the allocation of container-based service chains by considering latency and bandwidth in the scheduling process of a well-known container orchestration platform, Kubernetes. Ex-periments showed thatDiktyo increases throughput by 22% and reduces latency by 45% for microservice benchmark applications.</t>
  </si>
  <si>
    <t>978-1-6654-7716-1</t>
  </si>
  <si>
    <t>https://ieeexplore.ieee.org/stamp/stamp.jsp?arnumber=10154219</t>
  </si>
  <si>
    <t>Fog Computing;Resource Allocation;Service Function Chaining;Orchestration;Microservices;Kubernetes</t>
  </si>
  <si>
    <t>Cloud computing;Smart cities;Processor scheduling;Microservice architectures;Bandwidth;Benchmark testing;Throughput</t>
  </si>
  <si>
    <t>F. Marozzo; A. Vinci</t>
  </si>
  <si>
    <t>Design of Platform-Independent IoT Applications in the Edge-Cloud Continuum</t>
  </si>
  <si>
    <t>2024 20th International Conference on Distributed Computing in Smart Systems and the Internet of Things (DCOSS-IoT)</t>
  </si>
  <si>
    <t>10.1109/DCOSS-IoT61029.2024.00092</t>
  </si>
  <si>
    <t>DIMES Department, University of Calabria, Rende, Italy; ICAR-CNR National Research Council of Italy, Rende, Italy</t>
  </si>
  <si>
    <t>In the dynamic edge cloud continuum, where platforms and vendors do not have shared standards, application development often depends on the initial platform choice. Furthermore, applications designed and deployed to leverage the cloud for data analytics and storage, with devices as data generators, face challenges in adapting to intermediate levels of the edge-cloud continuum (such as on-premise, near and far-edge). This paper presents a novel approach that uses a set of abstractions to conceptualize platform-independent applications. Applications are modeled as a composition of abstract services, which are independent of the place of distribution, be it edge or cloud, and specific platforms, and offer developers flexibility in the selection of services and providers during distribution, optimizing the use of resources and costs. Through detailed modeling, this paper uncovers how applications interact with abstract services, structured as workflows comprising interconnected tasks encompassing computation, communication, and storage. The interaction between these elements has a significant impact on both quality of service (QoS) and cost considerations, a key consideration in the design phase. Using such abstractions in modeling not only facilitates application development but also simplifies application deployment processes. A case study within the Industrial Internet of Things (IIoT) validates the modeling approach, illustrating how precise and abstract modeling of the application, independent of specific platforms, facilitates the development of real-world applications within the edge-cloud continuum.</t>
  </si>
  <si>
    <t>979-8-3503-6944-1</t>
  </si>
  <si>
    <t>https://ieeexplore.ieee.org/stamp/stamp.jsp?arnumber=10621502</t>
  </si>
  <si>
    <t>Edge Cloud Continuum;Service Composition;Abstract Design;Deployment Agnosticism;Requirements Analysis</t>
  </si>
  <si>
    <t>Measurement;Cloud computing;Costs;Computational modeling;Heuristic algorithms;Quality of service;Task analysis</t>
  </si>
  <si>
    <t>R. Bolla; R. Bruschi; C. Lombardo; S. Mangialardi; A. Mohammadpour; R. Rabbani; B. Siccardi</t>
  </si>
  <si>
    <t>A Multi-Tenant System for 5/6G Testbed as-a-Service</t>
  </si>
  <si>
    <t>2023 15th International Conference on COMmunication Systems &amp; NETworkS (COMSNETS)</t>
  </si>
  <si>
    <t>2155-2509</t>
  </si>
  <si>
    <t>10.1109/COMSNETS56262.2023.10041360</t>
  </si>
  <si>
    <t>DITEN - University of Genoa, Genoa, Italy; DITEN - University of Genoa, Genoa, Italy; CNIT - S2N National Lab, Genoa, Italy; CNIT - S2N National Lab, Genoa, Italy; CNIT - S2N National Lab, Genoa, Italy; DITEN - University of Genoa, Genoa, Italy; DITEN - University of Genoa, Genoa, Italy</t>
  </si>
  <si>
    <t>In order to fulfill the stringent requirements and fast advancements of 5G and beyond applications, it is inevitable to develop research/industrial testbeds to examine the different proposed innovative features of 5G and beyond. In this paper, we propose a testbed including 5G and beyond technologies by combining open-source solutions and our developed Network Services/Functions to enhance the ETSI-NFV MANO framework. Our testbed contains an automation framework to reduce both run time and setup complexity. It provides various services: Metal as a Service (MaaS), Infrastructure as a Service (IaaS), Platform as a Service (PaaS), different Network Functions (NFs), and Network Services (NSs), under the context of full automation of End-to-End (E2E) NSs on top of the services provided by ETSI.</t>
  </si>
  <si>
    <t>978-1-6654-7706-2</t>
  </si>
  <si>
    <t>https://ieeexplore.ieee.org/stamp/stamp.jsp?arnumber=10041360</t>
  </si>
  <si>
    <t>Testbed;5G;NFV</t>
  </si>
  <si>
    <t>Automation;5G mobile communication;Platform as a service;Restful API;Metals;Europe;Complexity theory</t>
  </si>
  <si>
    <t>M. Hussain; K. N; I. Maurya; S. Sinha</t>
  </si>
  <si>
    <t>AI-Optimized Irrigation for Sustainable Agriculture</t>
  </si>
  <si>
    <t>2024 International Conference on Advances in Data Engineering and Intelligent Computing Systems (ADICS)</t>
  </si>
  <si>
    <t>10.1109/ADICS58448.2024.10533562</t>
  </si>
  <si>
    <t>School of Computer Science and Engineering, Vellore Institute of Technology, Chennai, India; School of Electornics and Engineering, Vellore Institute of Technology, Chennai, India; School of Computer Science and Engineering, Vellore Institute of Technology, Chennai, India; School of Computer Science and Engineering, Vellore Institute of Technology, Chennai, India</t>
  </si>
  <si>
    <t>This paper presents an innovative AI-enhanced irrigation system designed to optimize water management in agriculture. The system integrates advanced technologies such as IoT, sensor networks, and artificial intelligence algorithms to achieve precise and efficient irrigation scheduling. Leveraging real-time data from sensors including soil moisture, temperature, and humidity, combined with historical weather forecasts, the system employs a dynamic algorithm to make informed irrigation decisions. Experimental evaluation conducted over a week-long period using a garden rose as a test subject demonstrated the system's ability to maintain optimal soil moisture levels within the range of 60-75%, while significantly reducing water consumption compared to conventional methods. Simulation results further validated the system's effectiveness in predicting soil moisture levels and optimizing irrigation scheduling. Key metrics including enhanced crop output, reduced water usage, and adherence to sustainable farming practices were used to assess the superiority of the proposed model. Overall, the AI-enhanced irrigation system presents a promising solution for sustainable agriculture, offering improved water conservation, enhanced crop productivity, and efficient resource utilization.</t>
  </si>
  <si>
    <t>979-8-3503-6482-8</t>
  </si>
  <si>
    <t>https://ieeexplore.ieee.org/stamp/stamp.jsp?arnumber=10533562</t>
  </si>
  <si>
    <t>s-AI-Optimized Irrigation;Sustainable Agriculture;Micro-Irrigation;Artificial Intelligence;Water Conservation;Crop Yield Optimization;Smart Sensors;Environmental Farming Practices</t>
  </si>
  <si>
    <t>Irrigation;Adaptation models;Heuristic algorithms;Soil moisture;Crops;Predictive models;Water conservation</t>
  </si>
  <si>
    <t>A. Ramos; V. B. Jesus; C. Gon√ßalves; F. Caetano; C. Silveira</t>
  </si>
  <si>
    <t>Monitoring Indoor Air Quality and Occupancy with an IoT System: Evaluation in a Classroom Environment</t>
  </si>
  <si>
    <t>2023 18th Iberian Conference on Information Systems and Technologies (CISTI)</t>
  </si>
  <si>
    <t>10.23919/CISTI58278.2023.10211974</t>
  </si>
  <si>
    <t>Instituto Polit√©cnico da Guarda, Escola Superior de Tecnologia e Gest√£o, Guarda, Portugal; Instituto Polit√©cnico da Guarda, Escola Superior de Tecnologia e Gest√£o, Guarda, Portugal; Instituto Polit√©cnico da Guarda, Escola Superior de Tecnologia e Gest√£o, Guarda, Portugal; Instituto Polit√©cnico da Guarda, Escola Superior de Tecnologia e Gest√£o, Guarda, Portugal; Instituto Polit√©cnico da Guarda, Escola Superior de Tecnologia e Gest√£o, Guarda, Portugal</t>
  </si>
  <si>
    <t>Indoor air quality is a determining factor in maintaining occupant comfort, especially in educational environments such as classrooms. Traditional methods of monitoring indoor air quality and occupancy, such as casual inspections or periodic measurements, do not provide timely and accurate information for those who must make decisions about ventilation and controlling the number of occupants. Internet of Things (IoT) technology has opened new possibilities for monitoring and controlling indoor air quality in real time. In this paper, an IoT-based system for monitoring indoor air quality and occupancy in a classroom is presented. The system consists of low-cost sensors that collect data on temperature, humidity, dust, carbon dioxide levels and occupancy, which is then transmitted to a cloud-based platform for analysis and visualization. Evaluation of the system in a real-world classroom environment has shown its effectiveness in detecting changes in air quality and the number of occupants.</t>
  </si>
  <si>
    <t>978-989-33-4792-8</t>
  </si>
  <si>
    <t>https://ieeexplore.ieee.org/stamp/stamp.jsp?arnumber=10211974</t>
  </si>
  <si>
    <t>Indoor Air Quality Monitoring;Occupancy;IoT technology;Things Board platform.</t>
  </si>
  <si>
    <t>Temperature sensors;Temperature measurement;Temperature distribution;Ventilation;Sensor systems;Real-time systems;Sensors</t>
  </si>
  <si>
    <t>Y. S. Patel; P. Townend; P. -O. √ñstberg</t>
  </si>
  <si>
    <t>Formal Models for the Energy-Aware Cloud-Edge Computing Continuum: Analysis and Challenges</t>
  </si>
  <si>
    <t>10.1109/SOSE58276.2023.00012</t>
  </si>
  <si>
    <t>Dept. Computing Science, Ume√• University, Sweden; Dept. Computing Science, Ume√• University, Sweden; Biti Innovations &amp; Dept. Computing Science, Ume√• University, Sweden</t>
  </si>
  <si>
    <t>Cloud infrastructures are rapidly evolving from centralised systems to geographically distributed federations of edge devices, fog nodes, and clouds. These federations (often referred to as the Cloud-Edge Continuum) are the foundation upon which most modern digital systems depend, and consume enormous amounts of energy. This consumption is becoming a critical issue as society's energy challenges grow, and is a great concern for power grids which must balance the needs of clouds against other users. The Continuum is highly dynamic, mobile, and complex; new methods to improve energy efficiency must be based on formal scientific models that identify and take into account a huge range of heterogeneous components, interactions, stochastic properties, and (potentially contradictory) service-level agreements and stakeholder objectives. Currently, few formal models of federated Cloud-Edge systems exist - and none adequately represent and integrate energy considerations (e.g. multiple providers, renewable energy sources, pricing, and the need to balance consumption over large-areas with other non-Cloud consumers, etc.). This paper conducts a systematic analysis of current approaches to modelling Cloud, Cloud-Edge, and federated Continuum systems with an emphasis on the integration of energy considerations. We identify key omissions in the literature, and propose an initial high-level architecture and approach to begin addressing these - with the ultimate goal to develop a set of integrated models that include data centres, edge devices, fog nodes, energy providers, software workloads, end users, and stakeholder requirements and objectives. We conclude by highlighting the key research challenges that must be addressed to enable meaningful energy-aware Cloud-Edge Continuum modelling and simulation.</t>
  </si>
  <si>
    <t>https://ieeexplore.ieee.org/stamp/stamp.jsp?arnumber=10254763</t>
  </si>
  <si>
    <t>Continuum;modelling;green energy;brown energy;cloud computing;edge computing;fog computing</t>
  </si>
  <si>
    <t>Analytical models;Renewable energy sources;Systematics;Computational modeling;Stochastic processes;Pricing;Computer architecture</t>
  </si>
  <si>
    <t>M. Chepkoech; E. -R. Modroiu; J. Mwangama; M. Corici; T. Magedanz</t>
  </si>
  <si>
    <t>Evaluation of OSS-Enabled OpenRAN Compliant 5G StandAlone Campus Networks</t>
  </si>
  <si>
    <t>2023 International Conference on Electrical, Computer and Energy Technologies (ICECET)</t>
  </si>
  <si>
    <t>10.1109/ICECET58911.2023.10389574</t>
  </si>
  <si>
    <t>Electrical Engineering, University of Cape Town, Cape Town, South Africa; Electrical Engineering and Computer Sciences, Technische Universit√§t Berlin, Berlin, Germany; Electrical Engineering, University of Cape Town, Cape Town, South Africa; Electrical Engineering and Computer Sciences, Fraunhofer FOKUS Institute, Technische Universit√§t Berlin, Berlin, Germany; Electrical Engineering and Computer Sciences, Fraunhofer FOKUS Institute, Technische Universit√§t Berlin, Berlin, Germany</t>
  </si>
  <si>
    <t>Open source software (OSS) implementations of 5G campus networks are essential for facilitating researchers to evaluate and validate use cases and applications using customized 5G network configurations. These configurations provide specific performance, such as guaranteed bandwidth, low latency, high reliability, and increased flexibility. To realize a campus network that is both adaptable and cost-effective, it is imperative to overcome the limitations imposed by vendor lock-ins. This objective can be accomplished through the adoption of open network architectures and software-defined networking concepts, which enable the realization of 5G networks using non-proprietary and programmable hardware. Furthermore, the utilization of accessible OSS helps reduce licensing costs while expanding the possibilities for customization. Thus, this research paper presents a modular, cost-efficient, future-proof, and flexible 5G standalone campus network deployed at the Technische Universit√§t Berlin, designed for research and validation of candidate use cases in the drive towards Open Campus Networks. The paper presents a qualitative evaluation of the different OSS RAN implementations, as well as a comparative analysis of performance achieved by different combinations and interworking of radio access and core network software frameworks.</t>
  </si>
  <si>
    <t>979-8-3503-2781-6</t>
  </si>
  <si>
    <t>https://ieeexplore.ieee.org/stamp/stamp.jsp?arnumber=10389574</t>
  </si>
  <si>
    <t>5G;OpenRAN;6G;Open-source;Campus network testbed</t>
  </si>
  <si>
    <t>Performance evaluation;5G mobile communication;Network architecture;Throughput;Reliability engineering;Hardware;Software reliability</t>
  </si>
  <si>
    <t>D. Spatharakis; I. Dimolitsas; G. Genovese; I. Tzanettis; N. Filinis; E. Fotopoulou; C. Vassilakis; A. Zafeiropoulos; A. Iera; A. Molinaro; S. Papavassiliou</t>
  </si>
  <si>
    <t>A Lightweight Software Stack for IoT Interoperability within the Computing Continuum</t>
  </si>
  <si>
    <t>10.1109/DCOSS-IoT58021.2023.00112</t>
  </si>
  <si>
    <t>School of Electrical and Computer Engineering, National Technical University of Athens, Greece; School of Electrical and Computer Engineering, National Technical University of Athens, Greece; Dept. DIIES, CNIT, University Mediterranea of Reggio, Calabria, Italy; School of Electrical and Computer Engineering, National Technical University of Athens, Greece; School of Electrical and Computer Engineering, National Technical University of Athens, Greece; School of Electrical and Computer Engineering, National Technical University of Athens, Greece; School of Electrical and Computer Engineering, National Technical University of Athens, Greece; School of Electrical and Computer Engineering, National Technical University of Athens, Greece; Dept. DIMES, CNIT, University of Calabria, Italy; Dept. DIIES, CNIT, University Mediterranea of Reggio, Calabria, Italy; School of Electrical and Computer Engineering, National Technical University of Athens, Greece</t>
  </si>
  <si>
    <t>With the rapid advancement in the next-generation Internet of Things (IoT) and the ever-expanding virtual representation of devices, novel techniques and definitions are key to accommodate emerging paradigms to transform our world. In the quest of achieving the coveted convergence of IoT technologies with the Cloud-Edge computing continuum and the seamless interaction of IoT devices and hyper-distributed applications, we enhance the concept of Virtual Objects (VOs) for the virtualization of IoT devices in the wake of recent works. We introduce a software stack, called VOStack, to enable interoperability and convergence between the physical IoT devices layer and the Edge/Cloud virtualized infrastructure. The VOStack facilitates interoperability with IoT devices and provides a unified way for their control, enables smooth lifecycle management of the VOs, and allows the development of modern distributed applications by offering on-demand capabilities to support IoT application operations. The necessary interactions of the VOs are presented along with the essential core functionalities for the development of the VOStack. Finally, an overview of different deployment models aligned with the state of practice of infrastructure providers is detailed.</t>
  </si>
  <si>
    <t>https://ieeexplore.ieee.org/stamp/stamp.jsp?arnumber=10257212</t>
  </si>
  <si>
    <t>Virtual Object;Digital Twin;Computing Continuum;IoT Application;IoT Interoperability</t>
  </si>
  <si>
    <t>Cloud computing;Computational modeling;Full stack;Transforms;Internet of Things;Virtualization;Distributed computing</t>
  </si>
  <si>
    <t>A. K. Verma; R. Patel; P. Rai; S. Patel</t>
  </si>
  <si>
    <t>Performance Comparison Between Docker Container and Virtual Machine Microservices</t>
  </si>
  <si>
    <t>2024 IEEE 13th International Conference on Communication Systems and Network Technologies (CSNT)</t>
  </si>
  <si>
    <t>2473-5655</t>
  </si>
  <si>
    <t>10.1109/CSNT60213.2024.10546015</t>
  </si>
  <si>
    <t>Department of Computer Science &amp; Engineering, Gyan Ganga Institute of Technology and Sciences, Jabalpur, MP, India; Department of Computer Science &amp; Engineering, Gyan Ganga Institute of Technology and Sciences, Jabalpur, MP, India; Department of Computer Science &amp; Engineering, Gyan Ganga Institute of Technology and Sciences, Jabalpur, MP, India; Department of Computer Science &amp; Engineering, Gyan Ganga Institute of Technology and Sciences, Jabalpur, MP, India</t>
  </si>
  <si>
    <t>Currently, the microservice architecture is extensively employed in the creation and implementation of numerous time-sensitive, crucial, and expansive web services. Usually, these services are implemented on cloud platforms by utilizing Docker containers. Container technology offers superior portability, scalability, and performance in comparison to virtual machine-based services. Container-based services are recognized for their superior performance compared to virtual machine-based services. Nevertheless, our research demonstrates that services implemented through Amazon AWS ECS (EC2 Container Service) exhibit notably inferior performance compared to those implemented through Amazon EC2 VMs. We conducted a comprehensive analysis and measurement of the disparities in throughput, reaction time, and CPU use across different deployment situations.</t>
  </si>
  <si>
    <t>979-8-3503-0546-3</t>
  </si>
  <si>
    <t>https://ieeexplore.ieee.org/stamp/stamp.jsp?arnumber=10546015</t>
  </si>
  <si>
    <t>Docker containers;Cloud Environment;Virtual Machines;Web Services;AWS EC2 Container</t>
  </si>
  <si>
    <t>Cloud computing;Web services;Scalability;Microservice architectures;Containers;Throughput;Virtual machining</t>
  </si>
  <si>
    <t>S. Ghazanfari-Rad; S. Ebneyousef</t>
  </si>
  <si>
    <t>A Survey of Renewable Energy Approaches in Cloud Data Centers</t>
  </si>
  <si>
    <t>2023 8th International Conference on Technology and Energy Management (ICTEM)</t>
  </si>
  <si>
    <t>10.1109/ICTEM56862.2023.10083820</t>
  </si>
  <si>
    <t>Dep. of Elec. and Comp. Engineering, CEO and Founder of Vira Cloud, Inc., AleTaha University, Tehran, Iran; Department of Electrical and Computer Engineering, AleTaha University, Tehran, Iran</t>
  </si>
  <si>
    <t>The increasing demand for cloud computing and cloud storage services in recent years have caused the unprecedented growth of data centers in the world. As the main consumers of energy, these growing data centers spend a lot of money on their power consumption every year. One of the most important consequences of the power production process is the increase in environmental pollution and greenhouse gas emissions. The power sector which is dependent on fossil fuels, is one of the main sources of carbon dioxide emissions in the world and plays a significant role in increasing greenhouse gas emissions which contribute to global warming and accelerated climate change. Therefore, the problem of enhancing and transforming the process of generation and consumption of energy in data centers and utilizing energy-efficient technologies has become more important. To overcome this problem, it is essential to integrate renewable energy as a clean source of energy, inexhaustible and always available, into data centers. In this article, we provide a taxonomy of the literature on methods of production, utilization, forecasting, and management of renewable energy integration into data centers. We discuss research challenges and open issues for future work to facilitate current and future researchers to work on the research problems in the field of renewable energy utilization in cloud data centers.</t>
  </si>
  <si>
    <t>978-1-6654-5285-4</t>
  </si>
  <si>
    <t>https://ieeexplore.ieee.org/stamp/stamp.jsp?arnumber=10083820</t>
  </si>
  <si>
    <t>Cloud Computing;Data Center;Renewable Energy</t>
  </si>
  <si>
    <t>Data centers;Cloud computing;Renewable energy sources;Power demand;Pollution;Greenhouse effect;Taxonomy;Climate change</t>
  </si>
  <si>
    <t>V. C. Pujol; A. Morichetta; S. Nastic</t>
  </si>
  <si>
    <t>Intelligent Sampling: A Novel Approach to Optimize Workload Scheduling in Large-Scale Heterogeneous Computing Continuum</t>
  </si>
  <si>
    <t>10.1109/SOSE58276.2023.00024</t>
  </si>
  <si>
    <t>Distributed Systems Group, TU Wien, Austria; Distributed Systems Group, TU Wien, Austria; Distributed Systems Group, TU Wien, Austria</t>
  </si>
  <si>
    <t>Scheduling workloads on large-scale infrastructures, such as in the Edge-Cloud continuum is a challenging task. Usually, the scheduling algorithm considers only a limited sample of the infrastructure nodes, typically obtained through random sampling. The sampling reduces the number of nodes, which need to be evaluated in the scheduling pipeline, making the scheduling process more saleable. Unfortunately, current sampling approaches become largely inefficient when the infrastructure is heterogeneous and specific, scarce node characteristics are required to successfully execute a workload. Computing continuum infrastructures are heterogeneous, hence, we need to re-think the sampling process to keep it viable at scale while also being able to identify and leverage the heterogeneity of the Edge-Cloud continuum resources. In this article, we present Intelligent Sampling - a novel technique for improving sampling in large-scale and heterogeneous infrastructures. We develop a model for any heterogeneous infrastructure. Based on this model, we provide a method to sample the infrastructure nodes more accurately, considering the specific task at hand. Finally, we leverage the Alibaba PAI dataset to show that our approach is 2.5x times more accurate compared with other state-of-the-art sampling mechanisms while retaining comparable performance and scalability.</t>
  </si>
  <si>
    <t>https://ieeexplore.ieee.org/stamp/stamp.jsp?arnumber=10254740</t>
  </si>
  <si>
    <t>Computing continuum;Intelligent sampling;Workloads scheduling;Heterogeneous infrastructure model</t>
  </si>
  <si>
    <t>Service-oriented systems engineering;Scheduling algorithms;Computational modeling;Scalability;Pipelines;Heterogeneous networks;Complexity theory</t>
  </si>
  <si>
    <t>E. Rojas; D. Carrascal; D. Lopez-Pajares; N. Manso; J. M. Arco</t>
  </si>
  <si>
    <t>Towards AI-enabled Cloud Continuum for IIoT: Challenges and Opportunities</t>
  </si>
  <si>
    <t>2024 International Conference on Artificial Intelligence, Computer, Data Sciences and Applications (ACDSA)</t>
  </si>
  <si>
    <t>10.1109/ACDSA59508.2024.10467357</t>
  </si>
  <si>
    <t>Departamento de Autom√°tica, Universidad de Alcal√°, Alcala de Henares Madrid, Spain; Departamento de Autom√°tica, Universidad de Alcal√°, Alcala de Henares Madrid, Spain; Departamento de Autom√°tica, Universidad de Alcal√°, Alcala de Henares Madrid, Spain; Departamento de Autom√°tica, Universidad de Alcal√°, Alcala de Henares Madrid, Spain; Departamento de Autom√°tica, Universidad de Alcal√°, Alcala de Henares Madrid, Spain</t>
  </si>
  <si>
    <t>The last decade has demonstrated an exponential growth in connected devices, particularly at the network edge, and this marked tendency still foresees a increase of the number of connected Internet-of-Things (IoT) devices. Accordingly, the network intelligence is moving from the core and cloud to the edge, establishing a cloud continuum. In this regard, Artificial Intelligence (AI) promotes that evolution and, at the same time, benefits from networking as well. Since Industrial IoT (IIoT) is one of the main verticals of this AI-enabled cloud continuum, in this article we explore the most recent advances in this area, the current status of standards, practical implementations, industry requirements, and, based on that analysis, we list a set of open challenges and opportunities. Our intention is to provide a summarized overview together with specific departing points for researchers in the field.</t>
  </si>
  <si>
    <t>979-8-3503-9452-8</t>
  </si>
  <si>
    <t xml:space="preserve">Universidad de Alcal√°; </t>
  </si>
  <si>
    <t>https://ieeexplore.ieee.org/stamp/stamp.jsp?arnumber=10467357</t>
  </si>
  <si>
    <t>IIoT;edge continuum;cloud continuum;AI-enabled networking;softwarized networks</t>
  </si>
  <si>
    <t>Computer science;Technological innovation;Service robots;Hydroponics;Robot sensing systems;Safety;Artificial intelligence</t>
  </si>
  <si>
    <t>J. Huang; J. Lou; Y. Sun; T. Wang; E. K. Lee; N. Sung Kim</t>
  </si>
  <si>
    <t>Making Sense of Using a SmartNIC to Reduce Datacenter Tax from SLO and TCO Perspectives</t>
  </si>
  <si>
    <t>2023 IEEE International Symposium on Workload Characterization (IISWC)</t>
  </si>
  <si>
    <t>2835-2238</t>
  </si>
  <si>
    <t>10.1109/IISWC59245.2023.00025</t>
  </si>
  <si>
    <t>University of Illinois at Urbana-Champaign; University of Illinois at Urbana-Champaign; University of Illinois at Urbana-Champaign; University of Illinois at Urbana-Champaign; IBM Research; University of Illinois at Urbana-Champaign</t>
  </si>
  <si>
    <t>The speed of network interfaces has rapidly increased, while the performance and energy efficiency of CPUs have not, due to the demise of Dennard scaling. As a result, functions processing network packets have become responsible for a rapidly increasing portion of the datacenter tax. To tackle this problem, the industry has developed SmartNICs (SNICs) integrating conventional NICs with inexpensive and energy-efficient processors that can efficiently execute functions widely used by network-intensive datacenter applications. With such processors, the SNICs promise to reduce the total cost of ownership (TCO) for datacenters by increasing energy efficiency of servers and/or decreasing the number of expensive server CPU cores. In this paper, to make sense of using SNICs, we focus on analyzing energy efficiency of a server with an SNIC, especially under service level objective (SLO) constraints which matter for many datacenter applications. To this end, we not only measure the system-wide power consumption of a server but also devise a custom hardware setup that allows us to isolate the power consumption of the SNIC from that of the server. This helps us better understand the impact of using SNICs on energy efficiency of servers. Second, we take popular TCP/UDP, DPDK, and RDMA-based functions, and prepare them to run on an SNIC processor and a server CPU. Then, we measure maximum throughput, tail latency, system-wide energy efficiency of executing the functions on the SNIC processor and the server CPU, respectively. Lastly, based on analyses of the measurements, we make five key observations and three strategies to better use and design SmartNICs in the future.</t>
  </si>
  <si>
    <t>979-8-3503-0317-9</t>
  </si>
  <si>
    <t>https://ieeexplore.ieee.org/stamp/stamp.jsp?arnumber=10289567</t>
  </si>
  <si>
    <t>Industries;Program processors;Power demand;Power measurement;Finance;Tail;Throughput</t>
  </si>
  <si>
    <t>E. Masrani; D. Patel; M. Khatri; E. Martis; N. Gaur</t>
  </si>
  <si>
    <t>Smart Living Solution to Optimize Building Systems for Efficient Energy Usage and Prediction</t>
  </si>
  <si>
    <t>2023 International Conference on Communication System, Computing and IT Applications (CSCITA)</t>
  </si>
  <si>
    <t>10.1109/CSCITA55725.2023.10104852</t>
  </si>
  <si>
    <t>Computer Engineering Department, St. Francis Institute of Technology, Mumbai, India; Computer Engineering Department, St. Francis Institute of Technology, Mumbai, India; Computer Engineering Department, St. Francis Institute of Technology, Mumbai, India; Computer Engineering Department, St. Francis Institute of Technology, Mumbai, India; Computer Engineering Department, St. Francis Institute of Technology, Mumbai, India</t>
  </si>
  <si>
    <t>In this era of new technologies with the ever growing need for reliable ecological energy supplies, monitoring and reducing the energy consumption of buildings becomes a very crucial concern. Improved healthcare institutions available in the city, more employment opportunities, high standards of living, along with increase in population, has led to rapid urbanization resulting in development of a huge number of buildings. Buildings have become one of the most important contributors to energy consumption, which are responsible for around one-third of energy that is consumed in cities. This makes it very important to monitor and analyze the energy usage by such territories in a meaningful manner to further save energy and even help in cutting down financial costs. The proposed system provides various features as a solution to conserve energy, monitor the power consumption and water usage along with real time monitoring. Smart living allows you to have greater control of your energy usage, all while automating things like adjusting devices based on weather conditions, turning on or off appliances based on occupancy of the room, etc. It provides insights into energy use that can help you become more energy efficient and mindful of ecological factors.</t>
  </si>
  <si>
    <t>978-1-6654-5987-7</t>
  </si>
  <si>
    <t>https://ieeexplore.ieee.org/stamp/stamp.jsp?arnumber=10104852</t>
  </si>
  <si>
    <t>smart living;IoT;automation;smart home;building management;smart city</t>
  </si>
  <si>
    <t>Temperature sensors;Temperature measurement;Energy consumption;Costs;Buildings;Urban areas;Water conservation</t>
  </si>
  <si>
    <t>L. Abeni; R. Andreoli; H. Gustafsson; R. Mini; T. Cucinotta</t>
  </si>
  <si>
    <t>Fault Tolerance in Real-Time Cloud Computing</t>
  </si>
  <si>
    <t>2023 IEEE 26th International Symposium on Real-Time Distributed Computing (ISORC)</t>
  </si>
  <si>
    <t>2770-162X</t>
  </si>
  <si>
    <t>10.1109/ISORC58943.2023.00031</t>
  </si>
  <si>
    <t>Scuola Superiore Sant‚ÄôAnna, Pisa, Italy; Scuola Superiore Sant‚ÄôAnna, Pisa, Italy; Ericsson Research, Lund, Sweden; Ericsson Research, Lund, Sweden; Scuola Superiore Sant‚ÄôAnna, Pisa, Italy</t>
  </si>
  <si>
    <t>This paper presents the Fault-Tolerant Real-Time Cloud (FTRTC) project that aims to design cloud computing infrastructures capable of hosting highly reliable and real-time applications. These applications are characterized by strict timing and reliability constraints, as well as critical failure scenarios. For instance, such requirements are commonly found in the context of Industry 4.0. We present a formalization of the problem of designing real-time cloud applications supporting an adjustable level of fault tolerance throughout their distributed execution in a cloud infrastructure. The contributions presented in this paper indicate important research directions when building cloud infrastructures able to supporting ultra-reliable real-time applications.</t>
  </si>
  <si>
    <t>979-8-3503-3902-4</t>
  </si>
  <si>
    <t>https://ieeexplore.ieee.org/stamp/stamp.jsp?arnumber=10196999</t>
  </si>
  <si>
    <t>Cloud Computing;Real-Time Computing;Fault Tolerance</t>
  </si>
  <si>
    <t>Cloud computing;Fault tolerance;Fault tolerant systems;Buildings;Reliability engineering;Real-time systems;Timing</t>
  </si>
  <si>
    <t>B. Wu; J. Li; Q. Liu; K. . -L. Du</t>
  </si>
  <si>
    <t>An RFID-Assisted Smart Livestock and Poultry Farming System on the Cloud</t>
  </si>
  <si>
    <t>2023 15th International Conference on Computer and Automation Engineering (ICCAE)</t>
  </si>
  <si>
    <t>2154-4360</t>
  </si>
  <si>
    <t>10.1109/ICCAE56788.2023.10111202</t>
  </si>
  <si>
    <t>Suhigh Inc, Hangzhou, China; Faculty of Engineering, The University of Hong Kong, Hong Kong, China; Suhigh Inc, Hangzhou, China; Department of Electrical and Computer Engineering, Concordia University, Montreal, Canada</t>
  </si>
  <si>
    <t>Green and healthy food is being favored by consumers. In this paper, we design a radiofrequency identification (RFID)-based smart farming Internet of Things (IoT) system on the cloud, which provides an integrated automated information management platform for livestock and poultry farms. The system realizes the functions of video surveillance, environmental monitoring, management, environmental control and automatic feeding, manure treatment, disease diagnosis, and traceability. Utilization of this system ensures healthy animal farming and food safety, improves the quality and yield of animal farms, and thus bring considerable economic benefits to the farmers.</t>
  </si>
  <si>
    <t>979-8-3503-9622-5</t>
  </si>
  <si>
    <t>https://ieeexplore.ieee.org/stamp/stamp.jsp?arnumber=10111202</t>
  </si>
  <si>
    <t>smart animal farming;RFID;Internet of Things;cloud computing;food safety</t>
  </si>
  <si>
    <t>Smart agriculture;Cloud computing;Animals;Production;Video surveillance;Safety;Medical diagnosis</t>
  </si>
  <si>
    <t>R. Oliveira; A. Gavrilovska</t>
  </si>
  <si>
    <t>In-Network Compression for Accelerating IoT Analytics at Scale</t>
  </si>
  <si>
    <t>2023 IEEE Symposium on High-Performance Interconnects (HOTI)</t>
  </si>
  <si>
    <t>2332-5569</t>
  </si>
  <si>
    <t>10.1109/HOTI59126.2023.00017</t>
  </si>
  <si>
    <t>Georgia Institute of Technology; Georgia Institute of Technology</t>
  </si>
  <si>
    <t>To enable the Internet of Things (IoT) to scale at the level of next generation smart cities and grids, there is a need for cost-effective infrastructure for hosting IoT analytics applications. Offload and acceleration via SmartNICs have been shown to provide benefits to these workloads. However, even with offload, long-term analysis on IoT data still needs to operate on massive number of device updates, often in the form of small messages. Despite offloading, the ingestion of these updates continues to present server bottlenecks. In this paper, we present domain-specific compression and batching engines, that leverage the unique properties of IoT messages to reduce the load on analytics servers and improve their scalability. Using a prototype system based on the InnovaFlex programmable SmartNICs, and several representative IoT benchmarks, we demonstrate that the combination of these techniques achieves up to 14.5√ó improvement in sustained throughput rates compared to a system without SmartNIC offload, and up to 7√ó improvement over existing offload approaches.</t>
  </si>
  <si>
    <t>979-8-3503-0475-6</t>
  </si>
  <si>
    <t>https://ieeexplore.ieee.org/stamp/stamp.jsp?arnumber=10287299</t>
  </si>
  <si>
    <t>In network acceleration;Compression;IoT;Accelerator;SmartNIC</t>
  </si>
  <si>
    <t>Smart cities;Scalability;Prototypes;Benchmark testing;Throughput;Internet of Things;Servers</t>
  </si>
  <si>
    <t>M. D. Hossain; T. Sultana; G. -W. Lee; E. -N. Huh</t>
  </si>
  <si>
    <t>The Role of Microservices in the Internet of Things: Applications, Challenges, and Research Opportunities</t>
  </si>
  <si>
    <t>2023 Fourteenth International Conference on Ubiquitous and Future Networks (ICUFN)</t>
  </si>
  <si>
    <t>2165-8536</t>
  </si>
  <si>
    <t>10.1109/ICUFN57995.2023.10199497</t>
  </si>
  <si>
    <t>Department of Computer Science and Engineering, Kyung Hee University, Yongin-si, South Korea; Department of Computer Science and Engineering, Kyung Hee University, Yongin-si, South Korea; Department of Computer Science and Engineering, Kyung Hee University, Yongin-si, South Korea; Department of Computer Science and Engineering, Kyung Hee University, Yongin-si, South Korea</t>
  </si>
  <si>
    <t>The Internet of Things (IoT) is a rapidly growing field, encompassing various devices and sensors that produce enormous quantities of data. On the other hand, microservices architecture has emerged as a popular solution for developing complex software applications on a large scale. Combining these two technologies has the potential to revolutionize the creation of powerful and scalable IoT applications. By leveraging the benefits of microservices, such as modularity and decoupling, developers can design more flexible, scalable, and resilient IoT systems. In this paper, we present a thorough analysis of the state-of-the-art research regarding the use of microservices in the development of IoT systems. We summarize thirty selected studies and discuss their contributions to the field. Additionally, this paper offers valuable insights into the use of microservices in IoT applications, which can inform the design and development of future IoT systems. Finally, we outline and explain the future research opportunities that the microservices paradigm can offer in the context of the IoT.</t>
  </si>
  <si>
    <t>979-8-3503-3538-5</t>
  </si>
  <si>
    <t>https://ieeexplore.ieee.org/stamp/stamp.jsp?arnumber=10199497</t>
  </si>
  <si>
    <t>Microservices;Internet of Things (IoT);Monolithic architecture;Edge cloud</t>
  </si>
  <si>
    <t>Automation;Smart cities;Scalability;Fault tolerant systems;Microservice architectures;Smart homes;Software</t>
  </si>
  <si>
    <t>A. M. Seid; H. N. Abishu; A. Erbad; C. F. Chiasserini</t>
  </si>
  <si>
    <t>Hierarchical DRL-empowered Network Slicing in Space-Air-Ground Networks</t>
  </si>
  <si>
    <t>GLOBECOM 2023 - 2023 IEEE Global Communications Conference</t>
  </si>
  <si>
    <t>10.1109/GLOBECOM54140.2023.10437012</t>
  </si>
  <si>
    <t>Division of Information and Computing Technology, College of Science and Engineering Hamad Bin Khalifa University, Doha, Qatar; School of Computer Science and Engineering, University of Electronic Science and Technology of China, Chengdu; Division of Information and Computing Technology, College of Science and Engineering Hamad Bin Khalifa University, Doha, Qatar; Politecnico di Torino, Italy</t>
  </si>
  <si>
    <t>The space-air-ground integrated network (SAGIN) is an emerging architecture that has the potential to provide seamless, high data rates, and reliable transmission with a vastly increased coverage for intelligent edge devices (iEDs). However, the SAGIN infrastructure is quite complex consisting of multiple network segments; it is thus critical to efficiently manage the network segments' resources to ensure QoS satisfaction (e.g., delay and rate) for the various services provided to the iEDs. In this regard, network slicing (NS) and overall network softwarization technologies can play an essential role in addressing iEDs QoS and utility needs. In this work, we propose an optimal intelligent end-to-end resource allocation with network slicing in multi-tier SAGIN to maximize the network performance. We model the network depending on its service requirements. As the above optimization problem turns out to be NP-hard, we transform it into a stochastic game model and efficiently solve it through hierarchical multi-agent deep reinforcement learning (HMADRL). In particular, we decompose it into two parts, i.e., optimizing the mapping combined with slice adjustment and the resource allocation with association problem. Both problems are then solved using multi-agent DRL. The simulation results demonstrate that our proposed HMADRL algorithm outperforms the baseline algorithms in terms of maximizing the utility and QoS satisfaction of iEDs.</t>
  </si>
  <si>
    <t>979-8-3503-1090-0</t>
  </si>
  <si>
    <t>https://ieeexplore.ieee.org/stamp/stamp.jsp?arnumber=10437012</t>
  </si>
  <si>
    <t>Network slicing;SAGIN;6G;DRL;Resource allocation;QoS</t>
  </si>
  <si>
    <t>Network slicing;Simulation;Stochastic processes;Quality of service;Space-air-ground integrated networks;Resource management;Optimization</t>
  </si>
  <si>
    <t>P. Georgiadis; M. Anastasopoulos; A. . -I. Manolopoulos; V. . -M. Alevizaki; N. Nikaein; A. Tzanakaki</t>
  </si>
  <si>
    <t>Demonstration of Energy Efficient Optimization in Beyond 5G Systems supported by Optical Transport Networks</t>
  </si>
  <si>
    <t>2023 Optical Fiber Communications Conference and Exhibition (OFC)</t>
  </si>
  <si>
    <t>10.1364/OFC.2023.W4F.4</t>
  </si>
  <si>
    <t>National and Kapodistrian University of Athens, Greece; National and Kapodistrian University of Athens, Greece; National and Kapodistrian University of Athens, Greece; National and Kapodistrian University of Athens, Greece; Department of Communication Systems, EURECOM, France; National and Kapodistrian University of Athens, Greece</t>
  </si>
  <si>
    <t>The paper proposes an optimization framework using artificial intelligence to optimize the energy efficiency of a B5G system operating over an SDN controlled optical transport network. The system is evaluated over an operational B5G testbed.</t>
  </si>
  <si>
    <t>979-8-3503-1229-4</t>
  </si>
  <si>
    <t>https://ieeexplore.ieee.org/stamp/stamp.jsp?arnumber=10116732</t>
  </si>
  <si>
    <t>(060.4254) Networks;combinatorial network design;(060.4256) Networks;network optimization</t>
  </si>
  <si>
    <t>Optical fibers;Energy consumption;Optical design;5G mobile communication;Optical fiber networks;Energy efficiency;Artificial intelligence</t>
  </si>
  <si>
    <t>N. Chairatana; R. Chawuthai</t>
  </si>
  <si>
    <t>Cloud Stateless Server Failover Prediction Using Machine Learning on Proactive System Metrics</t>
  </si>
  <si>
    <t>2023 18th International Joint Symposium on Artificial Intelligence and Natural Language Processing (iSAI-NLP)</t>
  </si>
  <si>
    <t>2831-4565</t>
  </si>
  <si>
    <t>10.1109/iSAI-NLP60301.2023.10354585</t>
  </si>
  <si>
    <t>Department of Robotics and AI Engineering, School of Engineering, King Mongkut‚Äôs Institute of Technology Ladkrabang, Bangkok, Thailand; Department of Computer Engineering, School of Engineering, King Mongkut‚Äôs Institute of Technology Ladkrabang, Bangkok, Thailand</t>
  </si>
  <si>
    <t>Cloud computing, revered for its extraordinary scalability and elasticity, has revolutionized business operations by providing flexible resource options based on demand. However, this on-demand resource allocation poses distinct challenges. Due to the fluid nature of resource allocation and load distribution in the cloud, monitoring the health of servers using system metrics becomes problematic. This complexity can lead to unexpected server request failures and service interruptions due to resource insufficiencies, highlighting the need for more effective monitoring systems. Our research utilizes machine learning techniques to predict cloud server health based on resource usage and operational metrics, focusing specifically on stateless applications. Our study reveals that a Logistic Regression model trained on these system metrics delivers the most precise predictions. After hyperparameter tuning, the model exhibited robust performance, achieving a macro-averaged F1 Score of 97.7%. The paper outlines our methodology, findings, and the potential of this approach for cloud server health prediction.</t>
  </si>
  <si>
    <t>979-8-3503-7121-5</t>
  </si>
  <si>
    <t>https://ieeexplore.ieee.org/stamp/stamp.jsp?arnumber=10354585</t>
  </si>
  <si>
    <t>cloud server failover;stateless application;machine learning;non-functional testing;predictive maintenance;proactive system metrics;software engineering</t>
  </si>
  <si>
    <t>Measurement;Cloud computing;Scalability;Machine learning;Servers;Resource management;Monitoring</t>
  </si>
  <si>
    <t>√Å. M. Aparicio-Morales; J. L. Herrera; E. Moguel; J. Berrocal; J. Garcia-Alonso; J. M. Murillo</t>
  </si>
  <si>
    <t>Minimizing Deployment Cost of Hybrid Applications</t>
  </si>
  <si>
    <t>2023 IEEE International Conference on Quantum Computing and Engineering (QCE)</t>
  </si>
  <si>
    <t>10.1109/QCE57702.2023.10209</t>
  </si>
  <si>
    <t>Quercus Software Engineering Group, Universidad de Extremadura, C√°ceres, Spain; Quercus Software Engineering Group, Universidad de Extremadura, C√°ceres, Spain; Foundation of Extremadura, Computing and Advanced Technologies, C√°ceres, Spain; Quercus Software Engineering Group, Universidad de Extremadura, C√°ceres, Spain; Quercus Software Engineering Group, Universidad de Extremadura, C√°ceres, Spain; Foundation of Extremadura, Computing and Advanced Technologies, C√°ceres, Spain</t>
  </si>
  <si>
    <t>Within Quantum Software Engineering, the development of hybrid classical-quantum applications is an active research topic. Concretely, there is a focus on the usage of microservices architectures to offer quantum functionalities through classical service gateways. However, while there are methodologies and tools to automatically determine the best deployment for classical applications, this is not the case for hybrid applications, which are especially complicated to deploy due to their specific quantum-requirements. In this paper, we propose Cost Minimizer, a tool to determine the most cost-effective classical and quantum machines to deploy hybrid microservice-based applications. We believe Cost Minimizer will be a step towards achieving a better interaction between classical and quantum computing systems.</t>
  </si>
  <si>
    <t>979-8-3503-4323-6</t>
  </si>
  <si>
    <t xml:space="preserve">ERDF(grant numbers:PID2021-12404540B-C31,MCIN/AEI/10.13039/50100011033); </t>
  </si>
  <si>
    <t>https://ieeexplore.ieee.org/stamp/stamp.jsp?arnumber=10313627</t>
  </si>
  <si>
    <t>Quantum;Software Engineering;Cost Minimizer</t>
  </si>
  <si>
    <t>Quantum computing;Costs;Microservice architectures;Computer architecture;Logic gates;Software engineering</t>
  </si>
  <si>
    <t>G. Polychronis; S. Lalis</t>
  </si>
  <si>
    <t>Flexible Computation Offloading at the Edge for Autonomous Drones with Uncertain Flight Times</t>
  </si>
  <si>
    <t>10.1109/DCOSS-IoT58021.2023.00043</t>
  </si>
  <si>
    <t>Electrical and Computer Engineering Department, University of Thessaly, Volos, Greece; Electrical and Computer Engineering Department, University of Thessaly, Volos, Greece</t>
  </si>
  <si>
    <t>An ever increasing number of applications can employ aerial unmanned vehicles, or so-called drones, to perform different sensing and possibly also actuation tasks from the air. In some cases, the data that is captured at a given point has to be processed before moving to the next one. Drones can exploit nearby edge servers to offload the computation instead of performing it locally. However, doing this in a naive way can be suboptimal if servers have limited computing resources and drones have limited energy resources. In this paper, we propose a protocol and resource reservation scheme for each drone and edge server to decide, in a dynamic and fully decentralized way, whether to offload the computation and respectively whether to accept such an offloading requests, with the objective to evenly reduce the drones' mission times. We evaluate our approach through extensive simulation experiments, showing that it can significantly reduce the mission times compared to a no-offloading scenario by up to 26.2%, while outperforming an offloading schedule that has been computed offline by up to 7.4% as well as a purely opportunistic approach by up to 23.9%.</t>
  </si>
  <si>
    <t xml:space="preserve">European Union(grant numbers:101092912); </t>
  </si>
  <si>
    <t>https://ieeexplore.ieee.org/stamp/stamp.jsp?arnumber=10257272</t>
  </si>
  <si>
    <t>drones;computation offloading;edge computing;path planning;energy constraints;uncertainty;system dynamics</t>
  </si>
  <si>
    <t>Schedules;Protocols;Energy resources;Machine learning;Sensors;Servers;Internet of Things</t>
  </si>
  <si>
    <t>G. Loseto; F. Scioscia; M. Ruta; F. Gramegna; S. Ieva; C. Fasciano; I. Bilenchi; D. Loconte; E. D. Sciascio</t>
  </si>
  <si>
    <t>A Cloud-Edge Artificial Intelligence Framework for Sensor Networks</t>
  </si>
  <si>
    <t>2023 9th International Workshop on Advances in Sensors and Interfaces (IWASI)</t>
  </si>
  <si>
    <t>2836-7936</t>
  </si>
  <si>
    <t>10.1109/IWASI58316.2023.10164335</t>
  </si>
  <si>
    <t>LUM University ‚ÄúG. Degennaro‚Äù, Casamassima, Italy; Polytechnic University of Bari, Bari, Italy; Polytechnic University of Bari, Bari, Italy; Polytechnic University of Bari, Bari, Italy; Polytechnic University of Bari, Bari, Italy; Polytechnic University of Bari, Bari, Italy; Polytechnic University of Bari, Bari, Italy; Polytechnic University of Bari, Bari, Italy; Polytechnic University of Bari, Bari, Italy</t>
  </si>
  <si>
    <t>Internet of Things devices allow building increasingly large-scale sensor networks for gathering heterogeneous high-volume data streams. Artificial Intelligence (AI) applications typically collect them into centralized cloud infrastructures to run computationally intensive Machine Learning (ML) tasks. According to the emerging edge computing paradigm, instead, data preprocessing, model training and inference can be distributed among devices at the border of the local network, exploiting data locality to improve response latency, bandwidth usage and privacy, at the cost of suboptimal model accuracy due to smaller training sets. The paper proposes a cloud-edge framework for sensor-based AI applications, enabling a dynamic trade-off between edge and cloud layers by means of: (i) a novel containerized microservice architecture, allowing the execution of both model training and prediction either on edge or on cloud nodes; (ii) flexible automatic migration of tasks between the edge and the cloud, based on opportunistic management of resources and workloads. In order to facilitate implementations, a scouting of compatible device platforms for field sensing and edge computing nodes has been carried out, as well as a selection of suitable open-source off-the-shelf software tools. Early experiments validate the feasibility and core benefits of the proposal.</t>
  </si>
  <si>
    <t>979-8-3503-3694-8</t>
  </si>
  <si>
    <t>https://ieeexplore.ieee.org/stamp/stamp.jsp?arnumber=10164335</t>
  </si>
  <si>
    <t>sensor networks;cloud-edge intelligence;machine learning;microservice architecture</t>
  </si>
  <si>
    <t>Training;Cloud computing;Computational modeling;Microservice architectures;Computer architecture;Predictive models;Data models</t>
  </si>
  <si>
    <t>S. Rac; M. Brorsson</t>
  </si>
  <si>
    <t>Cost-Effective Scheduling for Kubernetes in the Edge-to-Cloud Continuum</t>
  </si>
  <si>
    <t>10.1109/IC2E59103.2023.00025</t>
  </si>
  <si>
    <t>SnT, University of Luxembourg, Luxembourg; SnT, University of Luxembourg, Luxembourg</t>
  </si>
  <si>
    <t>The edge to data center computing continuum is the aggregation of computing resources located anywhere between the network edge (e.g. close to 5G antennas), and servers in traditional data centers. Kubernetes is the de facto standard for container orchestration. It is very efficient in a data center environment, but it fails to give the same performance when adding edge resources. At the edge, resources are more limited, and networking conditions are changing over time.In this paper, we present a methodology that lowers the costs of running applications in the edge-to-cloud computing continuum. A cost-aware scheduler enables this optimization. We are also monitoring the Key Performance Indicators of the applications to ensure that cost optimizations do not impact negatively their Quality of Service. In addition, to ensure that performances are optimal even when users are moving, we introduce a background process that periodically checks if a better location is available for the application. To demonstrate the performance of our scheduling approach, we evaluate it on a vehicle cooperative perception use case, a representative 5G application.</t>
  </si>
  <si>
    <t>https://ieeexplore.ieee.org/stamp/stamp.jsp?arnumber=10305811</t>
  </si>
  <si>
    <t>Cloud computing;Edge computing;Scheduling;Container Orchestration;Resource allocation;5G;Kubernetes</t>
  </si>
  <si>
    <t>Data centers;Energy consumption;Costs;5G mobile communication;Key performance indicator;Quality of service;Servers</t>
  </si>
  <si>
    <t>T. Chen; S. Kuklinski; E. Pateromichelakis; K. Samdanis; A. Kourtis; N. Nikaein; A. Skarmeta</t>
  </si>
  <si>
    <t>Service-oriented Architecture Evolution towards 6G Networks</t>
  </si>
  <si>
    <t>2023 IEEE Conference on Standards for Communications and Networking (CSCN)</t>
  </si>
  <si>
    <t>10.1109/CSCN60443.2023.10453142</t>
  </si>
  <si>
    <t>VTT Technical Research Centre of Finland Ltd, Finland; Orange &amp; Warsaw University of Technology, Poland; Lenovo, Stuttgart, Germany; Lenovo, Munich, Germany; National Centre for Scientific Research Demokritos, Athens, Greece; EURECOM, Biot, France; Universidad de Murcia, Murcia, Spain</t>
  </si>
  <si>
    <t>Service-based architecture (SBA) has been introduced in the 5G core network design. It brings cloud-native features into core networks and shows implementation, deployment and service provision advantages. As cloud technologies have been penetrating radio access networks (RAN), it is beneficial to introduce service-oriented design into the last mile of mobile networks, offering a cloud-friendly end-to-end service-oriented architecture. Under such architecture, network functions are implemented as a service provider and service consumer that can be flexibly disaggregated and combined to offer different network implementations. This paper introduces 6G conceptual architecture based on service-oriented design principles. The architecture extends the service-oriented design into RAN. It allows network functions of RAN, core, and functions from applications to be integrated in a new way through service-based interfaces. The key elements of the architecture design are introduced. The paper identifies the important design aspects of 6G architecture and proposes a promising direction for the 6G architecture evolution.</t>
  </si>
  <si>
    <t>979-8-3503-9538-9</t>
  </si>
  <si>
    <t>https://ieeexplore.ieee.org/stamp/stamp.jsp?arnumber=10453142</t>
  </si>
  <si>
    <t>6G mobile communication;Cloud computing;5G mobile communication;Systems architecture;Service-oriented architecture;Standards;Radio access networks</t>
  </si>
  <si>
    <t>S. Ilager; R. Buyya</t>
  </si>
  <si>
    <t>Machine Learning in Energy and Thermal-aware Resource Management of Cloud Data Centers: A Taxonomy and Future Directions</t>
  </si>
  <si>
    <t>2024 19th Conference on Computer Science and Intelligence Systems (FedCSIS)</t>
  </si>
  <si>
    <t>10.15439/2024F0004</t>
  </si>
  <si>
    <t>Cloud Computing and Distributed Systems (CLOUDS) Lab School of Computing and Information Systems, University of Melbourne, Australia; Cloud Computing and Distributed Systems (CLOUDS) Lab School of Computing and Information Systems, University of Melbourne, Australia</t>
  </si>
  <si>
    <t>Cloud data centres (CDCs) are the backbone infrastructures of modern digital society, but they also consume huge amounts of energy and generate heat. To manage CDC resources efficiently, we must consider the complex interactions between diverse workloads and data centre components. However, most existing resource management systems rely on simple and static rules that fail to capture these complex interactions. Therefore, we require new data-driven Machine learning-based resource management approaches that can efficiently capture the interdependencies between parameters and guide resource management systems. This review describes the in-depth analysis of the existing resource management approaches in CDCs for energy and thermal efficiency. It mainly focuses on learning-based resource management systems in data centres and also identifies the need for integrated computing and cooling systems management. A taxonomy on energy and thermal efficient resource management in data centres is proposed. Furthermore, based on this taxonomy, existing resource management approaches from server level, data centre level, and cooling system level are discussed. Finally, key future research directions for sustainable Cloud computing services are proposed.</t>
  </si>
  <si>
    <t>978-83-969601-6-0</t>
  </si>
  <si>
    <t>https://ieeexplore.ieee.org/stamp/stamp.jsp?arnumber=10736049</t>
  </si>
  <si>
    <t>Cloud Computing;Energy Efficiency;Thermal-aware Workload Management;Sustainable Computing;Machine Learning</t>
  </si>
  <si>
    <t>Data centers;Cloud computing;Cooling;Reviews;Taxonomy;Machine learning;Thermal management;Thermal analysis;Resource management;Servers</t>
  </si>
  <si>
    <t>J. Santos; M. Verkerken; L. D'Hooge; T. Wauters; B. Volckaert; F. De Turck</t>
  </si>
  <si>
    <t>Performance Impact of Queue Sorting in Container-Based Application Scheduling</t>
  </si>
  <si>
    <t>2023 19th International Conference on Network and Service Management (CNSM)</t>
  </si>
  <si>
    <t>10.23919/CNSM59352.2023.10327792</t>
  </si>
  <si>
    <t>Department of Information Technology, IDLab, Ghent University - imec, Ghent, Belgium; Department of Information Technology, IDLab, Ghent University - imec, Ghent, Belgium; Department of Information Technology, IDLab, Ghent University - imec, Ghent, Belgium; Department of Information Technology, IDLab, Ghent University - imec, Ghent, Belgium; Department of Information Technology, IDLab, Ghent University - imec, Ghent, Belgium; Department of Information Technology, IDLab, Ghent University - imec, Ghent, Belgium</t>
  </si>
  <si>
    <t>Containerization has revolutionized application deployments in current cloud platforms, enabling the flexible instantiation of loosely-coupled microservices and enhancing operational efficacy. However, optimizing the performance of container-based applications remains a challenge and a major topic in cloud research. This paper studies the impact of queue sorting in application scheduling, focused on complex inter-dependencies among microservices. Queue sorting determines the deployment order of containers in the infrastructure, typically based on container priorities and resource requests. Optimizing these algorithms directly influences scheduling efficiency and overall application performance. This paper compares several schedulers and sorting algorithms, leveraging extensive benchmark tests conducted on the widely-used Kubernetes (K8s) platform. The evaluation includes a novel sorting algorithm named Topological-Sort, designed to prioritize containers for application scheduling focused on microservice inter-dependencies. Results show the significant impact of queue sorting on application performance, with TopologicalSort algorithms outperforming default mechanisms, yielding an average increase of 20 % in throughput and reducing response time by at least 15 %. These results highlight the importance of considering microservice inter-dependencies for effective application deployment in modern container-based environments.</t>
  </si>
  <si>
    <t>978-3-903176-59-1</t>
  </si>
  <si>
    <t xml:space="preserve">Research Foundation Flanders (FWO)(grant numbers:1299323N); </t>
  </si>
  <si>
    <t>https://ieeexplore.ieee.org/stamp/stamp.jsp?arnumber=10327792</t>
  </si>
  <si>
    <t>Cloud;Orchestration;Containers;Kubernetes;Performance;Queue Sorting</t>
  </si>
  <si>
    <t>Microservice architectures;Containers;Benchmark testing;Throughput;Scheduling;Time factors;Sorting</t>
  </si>
  <si>
    <t>Q. -Y. Zeng; F. -F. Wei; X. -Q. Guo; W. -N. Chen</t>
  </si>
  <si>
    <t>ECdo: An Edge Computing Distributed Data-Driven Evolutionary Optimization Platform</t>
  </si>
  <si>
    <t>2023 IEEE International Conference on Systems, Man, and Cybernetics (SMC)</t>
  </si>
  <si>
    <t>2577-1655</t>
  </si>
  <si>
    <t>10.1109/SMC53992.2023.10394009</t>
  </si>
  <si>
    <t>State Key Laboratory of Subtropical Building and Urban Science, School of Computer Science and Engineering, South China University of Technology, Guangzhou, China; State Key Laboratory of Subtropical Building and Urban Science, School of Computer Science and Engineering, South China University of Technology, Guangzhou, China; State Key Laboratory of Subtropical Building and Urban Science, School of Computer Science and Engineering, South China University of Technology, Guangzhou, China; State Key Laboratory of Subtropical Building and Urban Science, School of Computer Science and Engineering, South China University of Technology, Guangzhou, China</t>
  </si>
  <si>
    <t>Surrogate-assisted evolutionary algorithms (SAEAs) have become a popular method to solve data-driven optimization problems (DOPs), which are common in industry. However, with the development of the Internet of Things, data are collected, processed, and stored in a distributed manner, leading a new optimization paradigm for SAEAs. To make SAEAs adapt to these distributed DOPs, this paper employs the edge computing paradigm to develop a platform that provides technical support for SAEAs with distributed structures, named ECdo. Specifically, the platform utilizes KubeEdge, an open-source edge computing framework, to mount the cluster and combines microservice interface design with the containerization strategy to offer a flexible deployment approach for distributed SAEAs. In addition, an efficient and stable internal communication mechanism is designed for the interaction between distributed components within the platform. To demonstrate the application of ECdo, we take the examples of a class of distributed DOPs, in which the objective and constraints are expensive and need to be approximated by accumulated data. These problems are known as distributed and expensive constrained optimization problems (DECOPs). We implement a distributed SAEA on ECdo to address DECOPs in real-world scenarios. Experiments show that the ECdo can provide the expected implementation for distributed SAEAs with good network tolerance under tough network conditions.</t>
  </si>
  <si>
    <t>979-8-3503-3702-0</t>
  </si>
  <si>
    <t>https://ieeexplore.ieee.org/stamp/stamp.jsp?arnumber=10394009</t>
  </si>
  <si>
    <t>edge computing;surrogate-assisted evolutionary algorithm;distributed optimization;expensive optimization</t>
  </si>
  <si>
    <t>Training;Cloud computing;Privacy;Distributed databases;Evolutionary computation;Programming;Stability analysis</t>
  </si>
  <si>
    <t>W. Li; Y. Song; S. Wang</t>
  </si>
  <si>
    <t>Intelligent Computing„ÄÅComputational Power„ÄÅ Computational Power Networks and Technology Ecosystems</t>
  </si>
  <si>
    <t>2024 IEEE 14th International Conference on Electronics Information and Emergency Communication (ICEIEC)</t>
  </si>
  <si>
    <t>2377-844X</t>
  </si>
  <si>
    <t>10.1109/ICEIEC61773.2024.10561638</t>
  </si>
  <si>
    <t>Faculty of Information Technology, Beijing University of Technology, Beijing, China; Faculty of Information Technology, Beijing University of Technology, Beijing, China; Faculty of Information Technology, Beijing University of Technology, Beijing, China</t>
  </si>
  <si>
    <t>Entering 2022, AIGC, represented by foundation model such as ChatGPT, GPT4, Sora, and GPT-4o, is breaking through the wall rapidly. Generative artificial intelligence foundation model technology is rapidly iterating and continuously evolving, becoming a revolutionary tool for content generation, knowledge production, and human-computer interaction. With the increasing number of parameters in foundation model and the increasing complexity of deep learning algorithms, the demand for computing power in foundation model is further increasing. Massive data and large-scale parameters result in extremely large computational loads, limited storage on a single computer server, and limited computer capabilities. Training a foundation model with billions of parameters requires tens of thousands of GPU cards for synchronous computation, and high-performance computing power networks have become the main method and means to meet the demand for large computing power.This paper summarizes the development process of intelligent computing, explores the demand for computing power under the background of large models, and analyzes computing power, computing power networks, and technology ecology based on this, and analyzes their related technologies.</t>
  </si>
  <si>
    <t>979-8-3503-6189-6</t>
  </si>
  <si>
    <t>https://ieeexplore.ieee.org/stamp/stamp.jsp?arnumber=10561638</t>
  </si>
  <si>
    <t>Computational Power;Computational Networks;Artificial Intelligence;Large Language Model</t>
  </si>
  <si>
    <t>Training;Analytical models;Generative AI;Biological system modeling;Computational modeling;High performance computing;Graphics processing units</t>
  </si>
  <si>
    <t>P. Zech; P. Pobitzer; G. Fr√∂ch; R. Breu</t>
  </si>
  <si>
    <t>A Proposal for a Models-Meet-Data Repository for Digital Twins in Construction Engineering</t>
  </si>
  <si>
    <t>2024 IEEE 21st International Conference on Software Architecture Companion (ICSA-C)</t>
  </si>
  <si>
    <t>10.1109/ICSA-C63560.2024.00027</t>
  </si>
  <si>
    <t>Department of Computer Science, University of Innsbruck, Tyrol, Austria; Department of Computer Science, University of Innsbruck, Tyrol, Austria; Unit of Construction Management and Tunneling, University of Innsbruck, Tyrol, Austria; Department of Computer Science, University of Innsbruck, Tyrol, Austria</t>
  </si>
  <si>
    <t>Digital twins enable real-time, model- and data-based simulations of physical assets or systems yielding more effective monitoring, analysis, and decision-making for enhanced performance and efficiency. The construction industry is highly interested in utilizing digital twins due to their potential to facilitate collaboration along the building life cycle, optimizing building energy usage, asset life cycle management, and data-driven decision-making to achieve sustainability objectives. Currently, necessary technological solutions that effectively tackle the inherent challenge of federating and integrating models and data that arises in these scenarios are however missing. Expanding upon the achievements of model-based engineering and its technological infrastructure, we propose a model repository for digital twins that tackles the models-meet-data challenge and establishes a technological basis for collaborative workflows. To this end, we carried out an extended requirements elicitation, architectural synthesis, and validation procedures. Preliminary empirical findings using an initial prototype suggest that the repository exhibits the necessary scalability, performance and isolation for collaborative work.</t>
  </si>
  <si>
    <t>979-8-3503-6625-9</t>
  </si>
  <si>
    <t>https://ieeexplore.ieee.org/stamp/stamp.jsp?arnumber=10628386</t>
  </si>
  <si>
    <t>Digital Twin;Models-meet-data;Model Repository;Digital Twin Repository;Architecture Analysis</t>
  </si>
  <si>
    <t>Analytical models;Technology acceptance model;Scalability;Decision making;Buildings;Prototypes;Collaboration</t>
  </si>
  <si>
    <t>A. Jano; M. M. Bese; N. Mohan; W. Kellerer; J. Ott</t>
  </si>
  <si>
    <t>next GSIM: Towards Simulating Network Resource Management for Beyond 5G Networks</t>
  </si>
  <si>
    <t>2023 IEEE Future Networks World Forum (FNWF)</t>
  </si>
  <si>
    <t>10.1109/FNWF58287.2023.10520638</t>
  </si>
  <si>
    <t>Chair of Communication Networks, Technical University of Munich, Germany; Chair of Connected Mobility, Technical University of Munich, Germany; Chair of Connected Mobility, Technical University of Munich, Germany; Chair of Communication Networks, Technical University of Munich, Germany; Chair of Connected Mobility, Technical University of Munich, Germany</t>
  </si>
  <si>
    <t>Researchers have already begun experimenting with next-generation cellular technologies and algorithms to enable use cases that lie beyond the scope of the current 5G standard, e.g. XR, smart factories, AI networks ops, etc. The common denominator requirement of such scenarios is the joint (coupled) operation of radio channel and edge computing resources within the core network. While there are numerous tools that allow experimenting with various aspects of radio resource management and computing resource management individually, there is a lack of solutions that enable researchers to prototype and evaluate applications and technologies dependent on both aspects simultaneously. In this work, we present nextGSIM, a 5G and beyond network simulator that realistically models the radio access network and edge network jointly to provide an end-to-end service to various user devices running microservice-based application workloads. We detail our design decisions and modular architecture of nextGSIM which resembles real-world setup of cellular networks, enabling effective and detailed simulations of resource management algorithms. We demonstrate the effectiveness and capabilities of nextGSIM through indoor factory case study wherein we evaluate widely regarded radio and edge resource management algorithms. We compare these against a joint radio-compute scheduler which emphasizes the need and benefits of joint resource allocation decision making, which is only possible through tools such as nextGSIM.</t>
  </si>
  <si>
    <t>979-8-3503-2458-7</t>
  </si>
  <si>
    <t>https://ieeexplore.ieee.org/stamp/stamp.jsp?arnumber=10520638</t>
  </si>
  <si>
    <t>5G mobile communication;Prototypes;Microservice architectures;Network resource management;Production facilities;Standards;Next generation networking</t>
  </si>
  <si>
    <t>N. I. M. Akbar; Z. Tahir; Andani</t>
  </si>
  <si>
    <t>Performance Analysis of Fog Architecture to Monitor Solar Panel for Smart Home</t>
  </si>
  <si>
    <t>2023 International Seminar on Intelligent Technology and Its Applications (ISITIA)</t>
  </si>
  <si>
    <t>2769-5492</t>
  </si>
  <si>
    <t>10.1109/ISITIA59021.2023.10221084</t>
  </si>
  <si>
    <t>Department of Informatics, Hasanuddin University, Makassar, Indonesia; Department of Informatics, Hasanuddin University, Makassar, Indonesia; Department of Informatics, Hasanuddin University, Makassar, Indonesia</t>
  </si>
  <si>
    <t>Solar energy becomes more popular for generating electricity in daily lives. Various technologies have utilized solar energy as their power source. One of the technologies that benefit from solar energy is the smart home system. Smart home systems utilize solar panels composed of multiple solar cells arranged in a specific configuration to generate a usable amount of electrical power. This research proposes a fog computing architecture for monitoring solar panel performance in a smart home system. Fog computing, as a distributed computing model, offers several benefits for managing and processing data in the context of the Internet of Things (IoT). We discuss the design and implementation of the proposed architecture and evaluate its effectiveness in terms of system performance and energy efficiency. The results show that proposed fog computing architecture gets better performance in terms of Response Time, CPU Load, and Latency. The results of this study demonstrate the potential of fog computing in improving the performance and reliability of smart home systems, particularly in the context of renewable energy sources such as solar panels</t>
  </si>
  <si>
    <t>979-8-3503-1395-6</t>
  </si>
  <si>
    <t>https://ieeexplore.ieee.org/stamp/stamp.jsp?arnumber=10221084</t>
  </si>
  <si>
    <t>Smart Home;Fog Computing;Solar Panel;Internet of Things;Linear Regression</t>
  </si>
  <si>
    <t>Performance evaluation;Cloud computing;Computer architecture;Smart homes;Solar energy;Service-oriented architecture;Solar panels</t>
  </si>
  <si>
    <t>I. Turcanu; G. Castignani; S. Faye</t>
  </si>
  <si>
    <t>On the Integration of Digital Twin Networks into City Digital Twins: Benefits and Challenges</t>
  </si>
  <si>
    <t>2024 IEEE 21st Consumer Communications &amp; Networking Conference (CCNC)</t>
  </si>
  <si>
    <t>10.1109/CCNC51664.2024.10454704</t>
  </si>
  <si>
    <t>IT for Innovative Services Department, Luxembourg Institute of Science and Technology, Luxembourg; Digital Twin Innovation Center, Luxembourg Institute of Science and Technology, Luxembourg; IT for Innovative Services Department, Luxembourg Institute of Science and Technology, Luxembourg</t>
  </si>
  <si>
    <t>The concept of Digital Twin (DT) holds great potential for all sectors seeking to monitor, automate, and optimize their processes. This paper focuses specifically on Digital Twin Networks (DTNs) and City Digital Twins (CDTs), offering an analysis of the relevant literature while exploring their interrelationship, which is essential for urban planners and network operators. Although DTN is foreseen as a pillar of future 5G and 6G network architectures, it is often addressed in isolation in the existing literature (i.e., with limited consideration of other domain-specific constraints), even though it constitutes an essential asset in urban environments. In contrast, CDT is often based on the idea of infallible connectivity, which is an optimistic assumption. This study details the benefits and challenges associated with the integration of DTNs into CDTs, paving the way for further research in this field.</t>
  </si>
  <si>
    <t>979-8-3503-0457-2</t>
  </si>
  <si>
    <t>https://ieeexplore.ieee.org/stamp/stamp.jsp?arnumber=10454704</t>
  </si>
  <si>
    <t>Network Digital Twin;City Digital Twin;Inte-grated Architecture;Benefits and Challenges</t>
  </si>
  <si>
    <t>6G mobile communication;Statistical analysis;Urban areas;Merging;Key performance indicator;Prototypes;Network architecture</t>
  </si>
  <si>
    <t>A. Pastor; S. A. Uerlich; S. Schwarz; A. Monti</t>
  </si>
  <si>
    <t>Towards a Modular Digital Twin Microservice Architecture for Urban Multi-Energy Systems</t>
  </si>
  <si>
    <t>2023 IEEE PES Innovative Smart Grid Technologies Europe (ISGT EUROPE)</t>
  </si>
  <si>
    <t>10.1109/ISGTEUROPE56780.2023.10407920</t>
  </si>
  <si>
    <t>Institute for Automation of Complex Power Systems (ACS) RWTH Aachen University, Aachen, Germany; Institute for Automation of Complex Power Systems (ACS) RWTH Aachen University, Aachen, Germany; Institute for Automation of Complex Power Systems (ACS) RWTH Aachen University, Aachen, Germany; Institute for Automation of Complex Power Systems (ACS) RWTH Aachen University, Aachen, Germany</t>
  </si>
  <si>
    <t>This paper proposes a formal definition of Digital Twins (DTs) and presents general Building Blocks (BBs) advocating for a microservice architecture. The BBs are categorized into data pipeline, trust and security, and service components. The definition arises from a list of DT requirements for Multi-Energy System (MES) applications and Use Cases (UCs). To create this requirements list, existing DT architectures and concepts are examined for their UCs and requirements that they fulfill.</t>
  </si>
  <si>
    <t>979-8-3503-9678-2</t>
  </si>
  <si>
    <t>https://ieeexplore.ieee.org/stamp/stamp.jsp?arnumber=10407920</t>
  </si>
  <si>
    <t>Building Block (BB);Digital Twin (DT);Microservice Architecture;Multi-Energy System (MES)</t>
  </si>
  <si>
    <t>Architecture;Pipelines;Microservice architectures;Europe;Digital twins;Smart grids;Security</t>
  </si>
  <si>
    <t>X. Yang; L. Yang; S. Li</t>
  </si>
  <si>
    <t>A Digital Twin Application Framework in the Field of Industry</t>
  </si>
  <si>
    <t>2023 IEEE 18th Conference on Industrial Electronics and Applications (ICIEA)</t>
  </si>
  <si>
    <t>10.1109/ICIEA58696.2023.10241448</t>
  </si>
  <si>
    <t>China Industrial Control Systems Cyber Emergency Response Team, Beijing, China; ZJU-Hangzhou Global Scientific and Technological Innovation Center, Hangzhou, China; Jiaxing Research Institute Zhejiang University, Jiaxing, China</t>
  </si>
  <si>
    <t>Digital twin is a vital technology for the company to make the digital transformation. With the development of big data, industrial Internet of Things (IoT), industrial internet, cloud computing, Augmented Reality/ Virtual Reality (AR/VR) and Artificial Intelligence (AI) etc., digital twin becomes more and more important in the process of product design, production, equipment operation as well as maintenance, help companies to save huge number of cost and time. By using the mechanism model, real-time sensor data and historical data as well as integrating the expert knowledge, digital twin can achieve high-precision, high credibility and high reliability mapping, simulation, prediction, optimization, evaluation to support companies make faster and more correct decision. In this paper, the present theoretical research and industrial application of digital twin at first is discussed, then a framework and flowchart of digital twin application in the field of industry is proposed. At the end, a case from a bearing company is studied to verify the proposed procedure. With the help of digital twin project implementation, the process details are monitored, the digital model and physical model is interacted. Then according to the process characters as well as data collected in real-time, process is optimized.</t>
  </si>
  <si>
    <t>979-8-3503-1220-1</t>
  </si>
  <si>
    <t>https://ieeexplore.ieee.org/stamp/stamp.jsp?arnumber=10241448</t>
  </si>
  <si>
    <t>digital twin;big data;process optimization</t>
  </si>
  <si>
    <t>Industries;Solid modeling;Flowcharts;Companies;Virtual reality;Real-time systems;Robustness</t>
  </si>
  <si>
    <t>Y. Yao; N. Ammar; W. Shi</t>
  </si>
  <si>
    <t>FLOW: A Scalable Multi-Model Federated Learning Framework on the Wheels</t>
  </si>
  <si>
    <t>2023 IEEE International Conference on Mobility, Operations, Services and Technologies (MOST)</t>
  </si>
  <si>
    <t>10.1109/MOST57249.2023.00010</t>
  </si>
  <si>
    <t>Dept. of Computer &amp; Information Sciences, University of Delaware, Newark, DE 19716, USA; InfoTech Labs, Toyota Motor North America, Mountain View, California, USA; Dept. of Computer &amp; Information Sciences, University of Delaware, Newark, DE 19716, USA</t>
  </si>
  <si>
    <t>The highly mobility nature of connected vehicles poses significant challenges in the research area of federated learning, and to the best of our knowledge, the existing federated learning approaches do not consider the problem of training multi-model for constantly on-the-wheel moving vehicles. To bridge this gap, we design and implement FLOW, a scalable multi-model federated learning framework for highly mobile connected vehicles, which includes three essential components: (1) a dynamic client vehicle selection algorithm to deal with problems such as signal loss or weak signals, which may prevent some vehicles from participating in the training cluster; (2) a well-designed model allocation algorithm to select appropriate vehicle computing units for specific model training tasks; (3) geofencing not independent and identically distributed (non-i.i.d) data training, which can make models more robust and generalizable to different geographic driving area. Finally, we compare the proposed framework with centralized training and explore the performance of four aggregation protocols. The experiment results demonstrated the effectiveness of FLOW for the real-world applications.</t>
  </si>
  <si>
    <t>979-8-3503-1995-8</t>
  </si>
  <si>
    <t>https://ieeexplore.ieee.org/stamp/stamp.jsp?arnumber=10210780</t>
  </si>
  <si>
    <t>Multi-model federated learning;connected vehicle;client selection;model scheduling;geofencing</t>
  </si>
  <si>
    <t>Training;Connected vehicles;Federated learning;Heuristic algorithms;Computational modeling;Clustering algorithms;Wheels</t>
  </si>
  <si>
    <t>Q. Yang</t>
  </si>
  <si>
    <t>Key Technologies in Computer Algorithm Dynamics Based on Front-end and Front-end Separation System</t>
  </si>
  <si>
    <t>2023 International Conference on Distributed Computing and Electrical Circuits and Electronics (ICDCECE)</t>
  </si>
  <si>
    <t>10.1109/ICDCECE57866.2023.10150518</t>
  </si>
  <si>
    <t>Gansu Vocational College of Finance and Trade, Lanzhou, China</t>
  </si>
  <si>
    <t>In the theoretical research and simulation experiment of computer, the front and rear end separation technology is widely used. In this paper, continuous media is modeled and dynamically simulated based on C # language. In order to facilitate the effective storage and management of some data, it is important to study the key technologies of the method of separating the front and back ends. In this paper, the computer dynamic algorithm and key technology of the front and back-end separation system are studied by using experimental comparison and encryption methods. The experimental data shows that the number of data packets optimized by the front and rear separation system is only 1% - 2%, and the loading time is about 3%. The system adopts the front and rear end separation architecture, the dynamic algorithm, data visualization and multi-language support and other technical means, making the algorithm development more flexible and efficient, and can meet the personalized needs of users. In addition, the system also provides a platform for algorithm researchers to communicate and share, which can promote the development and popularization of algorithm research.</t>
  </si>
  <si>
    <t>979-8-3503-4745-6</t>
  </si>
  <si>
    <t>https://ieeexplore.ieee.org/stamp/stamp.jsp?arnumber=10150518</t>
  </si>
  <si>
    <t>front and rear end separation;computer algorithm;key technology;system research</t>
  </si>
  <si>
    <t>Support vector machines;Machine learning algorithms;Heuristic algorithms;Computational modeling;Synchrotrons;Quantum dots;Data visualization</t>
  </si>
  <si>
    <t>L. Wang; X. Li; N. Wang; H. Li; X. Qin; J. Wu</t>
  </si>
  <si>
    <t>Dependency-Aware Traffic Management for Configuring On-demand in Service Meshes</t>
  </si>
  <si>
    <t>10.1109/ICPADS56603.2022.00065</t>
  </si>
  <si>
    <t>CCST/AI, Nanjing University of Aeronautics and Astronautics, Nanjing, China; CCST/AI, Nanjing University of Aeronautics and Astronautics, Nanjing, China; CCST/AI, Nanjing University of Aeronautics and Astronautics, Nanjing, China; CCST/AI, Nanjing University of Aeronautics and Astronautics, Nanjing, China; CCST/AI, Nanjing University of Aeronautics and Astronautics, Nanjing, China; State Key Laboratory for Novel Software Technology, Nanjing University, Nanjing, China</t>
  </si>
  <si>
    <t>Service mesh is a promising micro-services architecture due to its excellent governance capabilities. Unlike traditional service invocation, configurations for governance need to be issued in the service mesh. However, we find that the control-plane traffic of governance is distributed in full by default, i.e., each service in the data plane receives all configurations. The vast majority of the configurations are redundant for a specific service. Hence, it is important and challenging to make the control plane aware of the calling relationships between services. In this paper, we propose a traffic management mechanism named DATM. Using this mechanism, the entire cluster can be dynamically controlled and services can be configured on demand. It is implemented through a dependency-aware controller and monitors. The controller first processes the information listened to by the monitors and then analyzes the connection between the metrics and the service requests through intelligent algorithms. Finally, the control traffic for regulating the control plane is generated. Our proposed mechanism is experimentally compared with the default strategy and existing work across a wide set of load scenarios in a testbed based on Istio service mesh and Kubernetes. Experimental results demonstrate that our mechanism can save the storage resources of a single agent by 40% to 60%, and the number of cluster updates can be greatly reduced. From the perspective of the whole cluster, the optimization results are even better.</t>
  </si>
  <si>
    <t>https://ieeexplore.ieee.org/stamp/stamp.jsp?arnumber=10077918</t>
  </si>
  <si>
    <t>Service Mesh;Traffic Management;ConFigure On-demand;Cost Reduction</t>
  </si>
  <si>
    <t>Measurement;Heuristic algorithms;Process control;Distributed databases;Clustering algorithms;Closed box;Aerospace electronics</t>
  </si>
  <si>
    <t>H. Wang; W. Qi; X. Xia; Y. Liu; Y. Xing; C. Mei</t>
  </si>
  <si>
    <t>GEO and LEO Collaborative Architecture Evolution in Future Integrated Satellite-Terrestrial Network</t>
  </si>
  <si>
    <t>2023 IEEE International Symposium on Broadband Multimedia Systems and Broadcasting (BMSB)</t>
  </si>
  <si>
    <t>2155-5052</t>
  </si>
  <si>
    <t>10.1109/BMSB58369.2023.10211619</t>
  </si>
  <si>
    <t>6G Research Center, China Telecommunication Research Institute, Beijing, China; 6G Research Center, China Telecommunication Research Institute, Beijing, China; 6G Research Center, China Telecommunication Research Institute, Beijing, China; 6G Research Center, China Telecommunication Research Institute, Beijing, China; 6G Research Center, China Telecommunication Research Institute, Beijing, China; 6G Research Center, China Telecommunication Research Institute, Beijing, China</t>
  </si>
  <si>
    <t>With the developing of communication technologies and capabilities from the ground to the space, the integration architecture of mobile communication network and the satellite network have become the key research prospect of the future 6G network. This paper investigates the current development status of Integrated Satellite-Terrestrial Network (ISTN), introduce the potential Geostationary Earth Orbit (GEO) and Low Earth Orbit (LEO) collaborative architecture evolution of ISTN architecture. Based on basic capabilities of the architecture such as control-forwarding separation, inter-satellite communication, network function and service on-boarding, three proposed networking schemes are shown. Also, two main key issue, including collaboration of networking schemes and selection of multiple access types, need to be solved. At the end, this paper indicates challenges the architecture brings and corresponding future work plan.</t>
  </si>
  <si>
    <t>979-8-3503-2152-4</t>
  </si>
  <si>
    <t>https://ieeexplore.ieee.org/stamp/stamp.jsp?arnumber=10211619</t>
  </si>
  <si>
    <t>mobile communication;6G;ISTN;GEO and LEO collaborative architecture</t>
  </si>
  <si>
    <t>Earth;Space vehicles;Satellites;Satellite broadcasting;Collaboration;Low earth orbit satellites;Communications technology</t>
  </si>
  <si>
    <t>P. Kapsalis; A. Papapostolou; K. Touloumis; I. Andreoulaki; Z. Mylona; H. Doukas</t>
  </si>
  <si>
    <t>An Energy Efficiency Marketplace for Buildings: The ENERGATE System Architecture</t>
  </si>
  <si>
    <t>10.1109/IISA59645.2023.10345882</t>
  </si>
  <si>
    <t>Decision Support Systems Laboratory, School of Electrical and Conputer Engineering, National Technical University of Athens, Athens, Greece; Decision Support Systems Laboratory, School of Electrical and Conputer Engineering, National Technical University of Athens, Athens, Greece; Decision Support Systems Laboratory, School of Electrical and Conputer Engineering, National Technical University of Athens, Athens, Greece; Decision Support Systems Laboratory, School of Electrical and Conputer Engineering, National Technical University of Athens, Athens, Greece; Holistic IKE, Athens, Greece; Decision Support Systems Laboratory, School of Electrical and Conputer Engineering, National Technical University of Athens, Athens, Greece</t>
  </si>
  <si>
    <t>Nowadays it becomes evident that there is a lack of Information Technology systems that decision making as the creation of financing schemes for the building sector. In this context an information system acting as a marketplace enables data driven components that will be exploited by end users to perform bids and offers for building investments. This work focuses on the functional description of the EU-funded project ENERGATE marketplace for energy efficiency investments. ENERGATE System Architecture fosters data sharing, interoperability and the integration of data driven techniques, underlying the design principles to be followed having alignment with existing EU standards and protocols.</t>
  </si>
  <si>
    <t>https://ieeexplore.ieee.org/stamp/stamp.jsp?arnumber=10345882</t>
  </si>
  <si>
    <t>data space;energy efficiency;marketplace;energy efficiency data value chain;data analytics;Sustainable Financing</t>
  </si>
  <si>
    <t>Protocols;Architecture;Buildings;Decision making;Standards organizations;Systems architecture;Energy efficiency</t>
  </si>
  <si>
    <t>J. Papan; I. Bridova; S. Tatarka; M. Hraska</t>
  </si>
  <si>
    <t>Fault Tolerance Solutions in IoT and Smart City</t>
  </si>
  <si>
    <t>2023 International Conference on Information and Digital Technologies (IDT)</t>
  </si>
  <si>
    <t>2575-677X</t>
  </si>
  <si>
    <t>10.1109/IDT59031.2023.10194436</t>
  </si>
  <si>
    <t>Faculty of Management Science and Informatics, University of Zilina, Zilina, Slovakia; Faculty of Management Science and Informatics, University of Zilina, Zilina, Slovakia; Faculty of Management Science and Informatics, University of Zilina, Zilina, Slovakia; Faculty of Management Science and Informatics, University of Zilina, Zilina, Slovakia</t>
  </si>
  <si>
    <t>IoT based systems must be continuously available to be used effectively and fulfill their purpose. Therefore, these systems must be designed to incorporate fault tolerance mechanisms. The successful use of IoT technology brings a number of devices connected in different ways, which increases the risk of network connection failure. The article deals with the implementation of FRR (Fast Reroute Mechanisms) to ensure reliability and availability in the network. In the context of IoT networks, it is important to consider the limitations that may affect the implementation of FRR mechanisms. IoT devices are often powered by batteries that have a limited capacity and therefore it is important to use energy efficiently. At the same time, IoT networks can be large and heterogeneous, which requires different approaches to ensure reliability and availability. The goal is to minimize the impact of an outage on the network and ensure that data transmission can continue without significant delays.</t>
  </si>
  <si>
    <t>979-8-3503-0586-9</t>
  </si>
  <si>
    <t>https://ieeexplore.ieee.org/stamp/stamp.jsp?arnumber=10194436</t>
  </si>
  <si>
    <t>Fog-computing;Fog-node;Fog-service;IoT;Cloud;IITS;FRR;H-FATMA;Segment routing;LFA</t>
  </si>
  <si>
    <t>Resistance;Fault tolerance;Smart cities;Fault tolerant systems;Routing;Reliability engineering;Internet of Things</t>
  </si>
  <si>
    <t>J. Forough; M. Bhuyan; E. Elmroth</t>
  </si>
  <si>
    <t>Anomaly Detection and Resolution on the Edge: Solutions and Future Directions</t>
  </si>
  <si>
    <t>10.1109/SOSE58276.2023.00034</t>
  </si>
  <si>
    <t>Dept. of Computing Science, Ume√• University, Ume√•, Sweden; Dept. of Computing Science, Ume√• University, Ume√•, Sweden; Dept. of Computing Science, Ume√• University, Ume√•, Sweden</t>
  </si>
  <si>
    <t>Anomaly detection and resolution are crucial in edge clouds to ensure that distributed systems operate reliably and securely. This survey presents a comprehensive overview of anomaly detection and resolution strategies specifically designed for edge cloud environments, exploring their strengths, limitations, and applicability in different scenarios. It explores the unique challenges and characteristics of edge cloud systems, providing an in-depth analysis of existing works and tools. Evaluation metrics and datasets used by different methods are examined to provide insights into assessing the performance and efficacy of anomaly detection and resolution approaches. The paper concludes by identifying open challenges, future research directions, and offering practical recommendations, making it a valuable resource for researchers and practitioners involved in enhancing the reliability and security of edge cloud systems.</t>
  </si>
  <si>
    <t>https://ieeexplore.ieee.org/stamp/stamp.jsp?arnumber=10254771</t>
  </si>
  <si>
    <t>Anomaly detection;Edge clouds;Anomaly resolution;Performance anomalies;Security anomalies</t>
  </si>
  <si>
    <t>Surveys;Measurement;Statistical analysis;Service-oriented systems engineering;Image edge detection;Scalability;Benchmark testing</t>
  </si>
  <si>
    <t>S. Heidari; S. Azizi</t>
  </si>
  <si>
    <t>Heterogeneity-aware Load Balancing in Serverless Computing Environments</t>
  </si>
  <si>
    <t>2023 7th International Conference on Internet of Things and Applications (IoT)</t>
  </si>
  <si>
    <t>10.1109/IoT60973.2023.10365354</t>
  </si>
  <si>
    <t>Department of Computer Engineering, University of Zanjan; Department of Computer Engineering, University of Kurdistan</t>
  </si>
  <si>
    <t>The current trend in cloud computing is the growing adoption of microservices. Microservices are specialized components of an application that can be deployed and scaled individually, potentially replacing monolithic applications. To meet this demand, cloud providers offer function-as-a-service (FaaS) or serverless computing. Additionally, there is an increasing use of containerized environments in Internet of Things (IoT) applications. It has been shown that implementing serverless computing at the edge of an IoT network for executing tasks can reduce the overall execution time of these tasks. In cloud and edge computing environments, the infrastructure typically exhibits heterogeneity, and this heterogeneity can significantly impact the performance of different invocations of a FaaS function. This paper addresses infrastructure heterogeneity by partitioning a heterogeneous cluster into homogeneous pools based on similar resource characteristics and profiling function performance. The key contributions of this paper are: (1) a serverless architecture design that extends the function placement and load-balancing capabilities of current serverless platforms to effectively manage infrastructure heterogeneity, (2) a load-balancing approach that efficiently utilizes multi-core hardware, and (3) an implementation of the architecture, thereby evaluating the impact of the extended capabilities.</t>
  </si>
  <si>
    <t>979-8-3503-6941-0</t>
  </si>
  <si>
    <t>https://ieeexplore.ieee.org/stamp/stamp.jsp?arnumber=10365354</t>
  </si>
  <si>
    <t>Cloud Computing;Edge Computing;function-as-a-service (FaaS);Internet of Things (IoT);infrastructure heterogeneity</t>
  </si>
  <si>
    <t>Multicore processing;Serverless computing;Microservice architectures;Computer architecture;Market research;Load management;Hardware</t>
  </si>
  <si>
    <t>M. A. Bakar; S. M. Sam; A. Azizan; Y. M. Yusof; N. Mohamed; N. Shafie</t>
  </si>
  <si>
    <t>The Role of IoT and Big Data in Shaping Smart Cities: A Review</t>
  </si>
  <si>
    <t>2023 IEEE Symposium on Wireless Technology &amp; Applications (ISWTA)</t>
  </si>
  <si>
    <t>2324-7851</t>
  </si>
  <si>
    <t>10.1109/ISWTA58588.2023.10249252</t>
  </si>
  <si>
    <t>Razak Faculty of Technology and Informatics, Universiti Teknologi Malaysia, Kuala Lumpur, Malaysia; Razak Faculty of Technology and Informatics, Universiti Teknologi Malaysia, Kuala Lumpur, Malaysia; Razak Faculty of Technology and Informatics, Universiti Teknologi Malaysia, Kuala Lumpur, Malaysia; Razak Faculty of Technology and Informatics, Universiti Teknologi Malaysia, Kuala Lumpur, Malaysia; Razak Faculty of Technology and Informatics, Universiti Teknologi Malaysia, Kuala Lumpur, Malaysia; Razak Faculty of Technology and Informatics, Universiti Teknologi Malaysia, Kuala Lumpur, Malaysia</t>
  </si>
  <si>
    <t>Nowadays, the Internet of Things plays a vital role in data collection that eliminates human intervention in technology. However, without the appearance of Big Data Analytics, the massive volume of data collected from IoT seems meaningless. This review paper aims to explore the significance of big data in the development and functionality of smart cities. The early section of the paper reviews the current technological landscape for IoT devices within smart cities, focusing on domains such as smart transportation, smart healthcare, and smart public safety. The following section of the paper explores the fundamental aspects of big data within the context of smart cities. In addition, this review emphasizes the need to comprehend user behavior patterns in order to derive meaningful insights from the collected data. Finally, the paper addresses the crucial issue of data privacy and investigates methods for ensuring the preservation of private and sensitive information. This paper offers valuable insights and recommendations for researchers, policymakers, and practitioners involved in the field of smart city development and data analytics.</t>
  </si>
  <si>
    <t>979-8-3503-1095-5</t>
  </si>
  <si>
    <t>https://ieeexplore.ieee.org/stamp/stamp.jsp?arnumber=10249252</t>
  </si>
  <si>
    <t>IoT;Bigdata;Analytic System;Smart City</t>
  </si>
  <si>
    <t>Data privacy;Data analysis;Smart cities;Focusing;Medical services;Big Data;Smart transportation</t>
  </si>
  <si>
    <t>L. Carnevale; A. Ficara; G. Catalfamo; A. Galletta; M. Fazio; M. Villari</t>
  </si>
  <si>
    <t>Secure and Energy Efficient Filtered Over-the-Air Internet of Things Setup in a Wireless Mesh Network for Firmware Freshness</t>
  </si>
  <si>
    <t>2023 IEEE International Conference on Big Data (BigData)</t>
  </si>
  <si>
    <t>10.1109/BigData59044.2023.10386600</t>
  </si>
  <si>
    <t>Department of Mathematical and Computer Sciences, Physical Sciences and Earth Sciences, University of Messina, Italy; Department of Cognitive Sciences, Pyschology, Education, and Cultural Studies, University of Messina, Italy; Department of Mathematical and Computer Sciences, Physical Sciences and Earth Sciences, University of Messina, Italy; Department of Mathematical and Computer Sciences, Physical Sciences and Earth Sciences, University of Messina, Italy; Department of Mathematical and Computer Sciences, Physical Sciences and Earth Sciences, University of Messina, Italy; Department of Mathematical and Computer Sciences, Physical Sciences and Earth Sciences, University of Messina, Italy</t>
  </si>
  <si>
    <t>Internet of Things (IoT) became more and more popular because of the raise of ubiquitous internet connected devices. In this regard, IoT nodes are often organized in wireless sensor networks to facilitate communication and perform a coral computation. Such a network is often employed in urban or rural areas, i.e., for traffic, fires, and floods monitoring. Nodes are, therefore, deployed in remote areas, preventing the possibility to frequently access them, i.e., for firmware update. In this context, over-the-air (OTA) firmware update is used to remotely change the behavior of one or more nodes. In this paper, we firstly build a wireless mesh network with microcontrollers (i.e., ESP32) and, therefore, propose a secure filtered O TA firmware update involving firmware freshness (i.e., quarantine when firmware is not up-to-date), key pairing, and digital signature for data integrity and non-repudiation. The system is evaluated in terms of deactivation time $(s)$, energy consumption $(kWh)$, and greenhouse gases $(\mathrm{kgCO}_{2}\mathrm{e})$, highlighting good results in terms of scalability for grouped updates.</t>
  </si>
  <si>
    <t>979-8-3503-2445-7</t>
  </si>
  <si>
    <t>https://ieeexplore.ieee.org/stamp/stamp.jsp?arnumber=10386600</t>
  </si>
  <si>
    <t>Wireless Sensor Network;OTA;Digital Signature;Firmware Freshness;Energy Consumption</t>
  </si>
  <si>
    <t>Wireless communication;Wireless sensor networks;Protocols;Wireless mesh networks;Non-repudiation;Energy efficiency;Internet of Things</t>
  </si>
  <si>
    <t>P. R. Hegde; S. Karthik; S. U. Madan; S. Raju Bhat; S. Tsb</t>
  </si>
  <si>
    <t>QLEN: A Load Distribution Algorithm to Improve QoS Factors Among Fog Devices</t>
  </si>
  <si>
    <t>2023 International Conference on Computer, Electronics &amp; Electrical Engineering &amp; their Applications (IC2E3)</t>
  </si>
  <si>
    <t>10.1109/IC2E357697.2023.10262597</t>
  </si>
  <si>
    <t>Dept. of Computer Science and Engineering, PES University, Bengaluru, India; Dept. of Computer Science and Engineering, PES University, Bengaluru, India; Dept. of Computer Science and Engineering, PES University, Bengaluru, India; Dept. of Computer Science and Engineering, PES University, Bengaluru, India; Dept. of Computer Science and Engineering, PES University, Bengaluru, India</t>
  </si>
  <si>
    <t>This article entails the proposition of a heuristic multi-objective algorithm for load distribution among fog devices. The decision for routing is made based on a weighted heuristic. The proposed algorithm, QLEN aims to improve three quality of service factors, namely L (load balancing efficiency), E (energy consumption) and N (network usage); hence the name QLEN. The importance of these parameters can be varied according to the application. This is done by adjusting the weights to suit the needs of the incoming tasks. For the default use case, the weights are tuned for the optimization of all three of the parameters. These optimal weights are calculated using stochastic gradient descent. QLEN is compared against fundamental load balancing algorithms such as Round Robin, Throttled Round Robin and Priority Based Load Balancing algorithm. The environment simulates a health monitoring application, using the iFogSim simulator. The results show that QLEN consistently outperforms the compared algorithms with respect to the targeted parameters. The efficiency of load distribution achieved by QLEN on average performs 1.69% better than all the three algorithms; at the same time showing 54.86% lesser network usage, 3413.33 MJ lesser energy consumption and 10.39% reduced redirection to the cloud. The algorithm also scales efficiently, showing better performance as the number of fog devices increases.</t>
  </si>
  <si>
    <t>979-8-3503-3800-3</t>
  </si>
  <si>
    <t>https://ieeexplore.ieee.org/stamp/stamp.jsp?arnumber=10262597</t>
  </si>
  <si>
    <t>energy consumption;FCN;FON;fog computing;iFogSim;load balancer;load balancing efficiency;network usage;QLEN</t>
  </si>
  <si>
    <t>Performance evaluation;Energy consumption;Heuristic algorithms;Quality of service;Load management;Routing;Round robin</t>
  </si>
  <si>
    <t>J. Singh; G. Singh; N. Vashisht</t>
  </si>
  <si>
    <t>Evaluating 6G Network Technology Principles and Applications: A Review</t>
  </si>
  <si>
    <t>2023 3rd International Conference on Smart Generation Computing, Communication and Networking (SMART GENCON)</t>
  </si>
  <si>
    <t>10.1109/SMARTGENCON60755.2023.10442029</t>
  </si>
  <si>
    <t>Department of CSE, Chandigarh University, Mohali, India; Department of CSE, Chandigarh University, Mohali, India; Department of ECE, Chandigarh University, Mohali, India</t>
  </si>
  <si>
    <t>As mobile communication networks continue to evolve rapidly, the fifth-generation (5G) technology is already transforming industries and societies worldwide. However, as data demands soar and new applications emerge, the need for even more advanced and efficient wireless networks becomes evident. This review paper presents an in-depth exploration of the emerging sixth-generation (6G) network technology, which is anticipated to revolutionize the way we interact with the digital world. By reviewing the current state of 6G research, this paper aims to offer valuable insights for researchers, practitioners, policymakers, and industry stakeholders, fostering a deeper understanding of the technology's capabilities and challenges and paving the way for the successful deployment of 6G networks in the near future.</t>
  </si>
  <si>
    <t>979-8-3503-1912-5</t>
  </si>
  <si>
    <t>https://ieeexplore.ieee.org/stamp/stamp.jsp?arnumber=10442029</t>
  </si>
  <si>
    <t>6G Mobile Communication Network;6G Network Architecture;6G Applications;5G vs 6G</t>
  </si>
  <si>
    <t>6G mobile communication;Industries;Technological innovation;Reviews;5G mobile communication;Wireless networks;Stakeholders</t>
  </si>
  <si>
    <t>G. F. Pittal√†; W. Cerroni</t>
  </si>
  <si>
    <t>Intelligent Service Provisioning in Fog Computing</t>
  </si>
  <si>
    <t>10.1109/NetSoft57336.2023.10175416</t>
  </si>
  <si>
    <t>DEI-University of Bologna, Bologna, Italy; DEI-University of Bologna, Bologna, Italy</t>
  </si>
  <si>
    <t>Fog computing is a distributed paradigm that extends cloud computing closer to the edge of the network, and even beyond that. By employing local resources, it enables quicker and more effective data processing and analysis. The optimization and automation of resource allocation, data processing, and job scheduling in the fog environment are made possible by the application of machine learning to Fog Computing Orchestration. It is also important, when working with the network computing models, to consider the XaaS paradigm, as it promotes the flexibility and scalability of fog services, bringing the concept of ‚Äúservice‚Äù into the foreground. Therefore, the need for a fog orchestrator enabling such characteristics arises, leveraging AI and the ‚Äúservice-centric‚Äù approach to enhance users‚Äô service fruition. The design and development of such an orchestrator will be the objective of the early-stage PhD project presented in this paper.</t>
  </si>
  <si>
    <t>https://ieeexplore.ieee.org/stamp/stamp.jsp?arnumber=10175416</t>
  </si>
  <si>
    <t>Everything-as-a-Service;Fog Computing;Service Orchestration</t>
  </si>
  <si>
    <t>Cloud computing;Processor scheduling;Computational modeling;Scalability;Machine learning;Data processing;Energy efficiency</t>
  </si>
  <si>
    <t>J. Huang; J. Lou; S. Vanavasam; X. Kong; H. Ji; I. Jeong; D. Zhuo; E. K. Lee; N. S. Kim</t>
  </si>
  <si>
    <t>HAL: Hardware-assisted Load Balancing for Energy-efficient SNIC-Host Cooperative Computing</t>
  </si>
  <si>
    <t>10.1109/ISCA59077.2024.00051</t>
  </si>
  <si>
    <t>University of Illinois Urbana-Champaign; University of Illinois Urbana-Champaign; University of Illinois Urbana-Champaign; Duke University; University of Illinois Urbana-Champaign; University of Illinois Urbana-Champaign; Duke University; IBM Research; University of Illinois Urbana-Champaign</t>
  </si>
  <si>
    <t>A typical SmartNIC (SNIC) integrates a processor comprising Arm CPU and accelerators with a conventional NIC. The processor is designed to energy-efficiently execute network functions frequently used by datacenter applications. With such a processor, the SNIC has promised to notably improve the system-wide energy efficiency of datacenter servers. Nevertheless, the latest trend of integrating accelerators into server CPUs for these functions sparks a question on the SNIC processor‚Äôs superiority over a host processor (i.e., server CPU with accelerators) in system-wide energy efficiency, especially under given tail latency constraints. Answering this question, we first take an Intel Xeon processor, integrated with various accelerators (e.g., QuickAssist Technology), as a host processor, and then compare it to an NVIDIA BlueField-2 SNIC processor. This uncovers that (1) the host accelerator, coupled with a more powerful memory subsystem, can outperform the SNIC accelerator, and (2) the SNIC processor can improve system-wide energy efficiency only at low packet rates for most functions under tail latency constraints. To provide high system-wide energy efficiency without compromising tail latency at any packet rates, we propose HAL, consisting of a hardware-based load balancer and an intelligent load balancing policy implemented inside the SNIC. When HAL determines that the SNIC processor cannot efficiently process a given function beyond a specific packet rate, it limits the rate of packets to the SNIC processor and lets the host processor handle the excess. We implement a HAL-enabled SNIC with a commodity FPGA and a BlueField-2 SNIC, plug it into a commodity server, and run 10 popular network functions. Our evaluation shows that HAL can improve the system-wide energy efficiency and throughput of the server running these functions by 31% and 10%, respectively, without notably increasing the tail latency.</t>
  </si>
  <si>
    <t>https://ieeexplore.ieee.org/stamp/stamp.jsp?arnumber=10609665</t>
  </si>
  <si>
    <t>Memory management;Tail;Load management;Throughput;Market research;Energy efficiency;Servers</t>
  </si>
  <si>
    <t>P. Kumar; H. Shreyas Kumar</t>
  </si>
  <si>
    <t>AIOps: Analysing Cloud Failure Detection Approaches for Enhanced Operational Efficency</t>
  </si>
  <si>
    <t>2023 International Conference on Applied Intelligence and Sustainable Computing (ICAISC)</t>
  </si>
  <si>
    <t>10.1109/ICAISC58445.2023.10199929</t>
  </si>
  <si>
    <t>School of Information and Physical Sciences College of Engineering, Science and Environment University of Newcastle, Callaghan, Australia; Department of Financial Services, SC Ventures By Standard Chartered, Bengaluru, India</t>
  </si>
  <si>
    <t>In recent years, Modern society is progressively moving in the direction of complex and distributed computing structures. Because of the high complexity of the organization, management teams execute regular checking and resolving processes to extend the consistency and reliability of modern system applications. Hence, the concept of automated and intelligent systems is receiving more attention from Information Technology (IT), manufacturing, and academic fields. In the modern day, IT organizations and institutions are growing faster to reduce human supervision because it is more problematic to handle. Therefore, in this research, Artificial Intelligence for IT Operations (AIOps) is analyzed to overcome modern IT management difficulties due to AI and Big Data. Even though, the research progress on AIOps is still unstructured and unknown, because of lacking principles in classifying impacts for data necessities, target goals, and factors. This review work provides an in-depth analysis to gather and establish several contributions to AIOps in a unique reference index. This research is focused to minimize cloud service interruption and ensure high system accessibility by utilizing AI methods. This comprehensive research supports researchers in accomplishing a better solution for cloud failure detection.</t>
  </si>
  <si>
    <t>979-8-3503-2379-5</t>
  </si>
  <si>
    <t>https://ieeexplore.ieee.org/stamp/stamp.jsp?arnumber=10199929</t>
  </si>
  <si>
    <t>Artificial Intelligence;Cloud Failure Detection;Information Technology;Intelligent Outage Service;Service Interruption</t>
  </si>
  <si>
    <t>Knowledge engineering;Cloud computing;Organizations;Real-time systems;Manufacturing;Internet of Things;Reliability</t>
  </si>
  <si>
    <t>D. Rajasekhar; J. Miao; S. Mishra; S. K. Nayak; R. Yadav</t>
  </si>
  <si>
    <t>Intelligent Irrigation Technique for LoRa Enabled Fog Assisted Smart Agriculture</t>
  </si>
  <si>
    <t>2023 IEEE 9th World Forum on Internet of Things (WF-IoT)</t>
  </si>
  <si>
    <t>2768-1734</t>
  </si>
  <si>
    <t>10.1109/WF-IoT58464.2023.10539579</t>
  </si>
  <si>
    <t>Department of CSE, IIITDM Kancheepuram, Chennai, India; Department of Computer Science, University of Colorado, Boulder, USA; Department of Computer Science, University of Colorado, Boulder, USA; Department of CSE, IIITDM Kancheepuram, Chennai, India; Department of ECSE, IITRAM, Ahmedabad, India</t>
  </si>
  <si>
    <t>Nowadays, the agricultural sector is facing significant challenges, and smart agriculture has emerged as a promising solution to address them. This approach involves advanced technologies, such as IoT, ML, and AI, to make farming more efficient and sustainable. One critical component of smart agriculture is smart irrigation, which helps farmers to conserve valuable resources while avoiding water stress in crops. In this paper, we propose and develop a micro service enabled Fog Server-based intelligent irrigation system to enhance existing methods. The aim of this work is to increase crop yield and reduce water wastage. Our proposed system collects various sensory data and control the irrigation system based on present soil moisture levels, and prediction of rainfall. We used LoRaWAN to communicate data from the sensor nodes to the fog server. Open source software tools, such as MQTT (mosquitto broker) and Node-Red are used to communicate the data between various micro-services present in fog server. Various Machine learning models are tested for rainfall prediction. Most appealing feature of this framework is it works in locations having Intermittent Internet connectivity.</t>
  </si>
  <si>
    <t>979-8-3503-1161-7</t>
  </si>
  <si>
    <t xml:space="preserve">NSF(grant numbers:13012641); </t>
  </si>
  <si>
    <t>https://ieeexplore.ieee.org/stamp/stamp.jsp?arnumber=10539579</t>
  </si>
  <si>
    <t>Smart Irrigation;mosquitto;Node-red;LoRa;Docker;Fog Server</t>
  </si>
  <si>
    <t>Smart agriculture;Irrigation;Rain;Soil moisture;Machine learning;Water conservation;Predictive models</t>
  </si>
  <si>
    <t>V. Kasuluru; L. Blanco; E. Zeydan; A. Bel; A. Antonopoulos</t>
  </si>
  <si>
    <t>Enhancing Cloud-Native Resource Allocation with Probabilistic Forecasting Techniques in O-RAN</t>
  </si>
  <si>
    <t>2024 Joint European Conference on Networks and Communications &amp; 6G Summit (EuCNC/6G Summit)</t>
  </si>
  <si>
    <t>10.1109/EuCNC/6GSummit60053.2024.10597068</t>
  </si>
  <si>
    <t>Centre Tecn√≤logic de Telecomunicacions de Catalunya (CTTC), Barcelona, Spain; Centre Tecn√≤logic de Telecomunicacions de Catalunya (CTTC), Barcelona, Spain; Centre Tecn√≤logic de Telecomunicacions de Catalunya (CTTC), Barcelona, Spain; Centre Tecn√≤logic de Telecomunicacions de Catalunya (CTTC), Barcelona, Spain; Nearby Computing S.L., Barcelona, Spain</t>
  </si>
  <si>
    <t>The need for intelligent and efficient resource provisioning for the productive management of resources in real-world scenarios is growing with the evolution of telecommunications towards the 6G era. Technologies such as Open Radio Access Network (O-RAN) can help to build interoperable solutions for the management of complex systems. Probabilistic forecasting, in contrast to deterministic single-point estimators, can offer a different approach to resource allocation by quantifying the uncertainty of the generated predictions. This paper examines the cloud-native aspects of O-RAN together with the radio App (rApp) deployment options. The integration of probabilistic forecasting techniques as a rApp in O-RAN is also emphasized, along with case studies of real-world applications. Through a comparative analysis of forecasting models using the error metric, we show the advantages of Deep Autoregressive Recurrent network (DeepAR) over other deterministic probabilistic estimators. Furthermore, the simplicity of Simple-Feed-Forward (SFF) leads to a fast runtime but does not capture the temporal dependencies of the input data. Finally, we present some aspects related to the practical applicability of cloud-native O-RAN with probabilistic forecasting.</t>
  </si>
  <si>
    <t>979-8-3503-4499-8</t>
  </si>
  <si>
    <t>https://ieeexplore.ieee.org/stamp/stamp.jsp?arnumber=10597068</t>
  </si>
  <si>
    <t>Open RAN;6G;Probabilistic Forecasting;Cloud Native</t>
  </si>
  <si>
    <t>Measurement;6G mobile communication;Open RAN;Predictive models;Probabilistic logic;Transformers;Resource management</t>
  </si>
  <si>
    <t>D. Patel; S. Choi</t>
  </si>
  <si>
    <t>SmartNIC-Powered Multi-threaded Proof of Work</t>
  </si>
  <si>
    <t>2023 Fifth International Conference on Blockchain Computing and Applications (BCCA)</t>
  </si>
  <si>
    <t>10.1109/BCCA58897.2023.10338942</t>
  </si>
  <si>
    <t>Santa Clara University; Santa Clara University</t>
  </si>
  <si>
    <t>There is a growing interest in deploying blockchain, a distributed and decentralized immutable ledger, on alternate form of hardware to improve the performance, security, energy usage and hardware cost of blockchain. However, so far, the success in utilizing alternate form of hardware has not gained popularity due to the limited benefits of using proposed alternate hardware. For example, running blockchain on a dedicated hardware setup that is separate from the primary infrastructure, such as Raspberry Pi, has limited the energy, hardware and efficiency as you need to manage an entirely separate and dedicated hardware with additional setup, wiring and more. A recent advancement in networking brought a new type of network interface card (NIC) called SmartNIC that allows users to run more advanced and customized programs on a NIC. The main set of benefits of SmartNICs include increased programmability, increased security and increased hardware cost and energy efficiency, as it provides additional computing power to a device that already must be present in a server, and freeing the CPUs to perform other important tasks. Given such benefit, this paper focuses on running customized blockchain application, based on Proof of Work mechanism, on the SmartNIC that utilizes all its available resources, which helps in removing the dependency on expensive, dedicated and specialized hardware and at the same time reduce the hardware needs for running blockchain application. The results are promising as the processing time of Proof of Work based blockchain application on a SmartNIC showed up to 72% improvement when the host is experiencing high load, all the while eliminating the need to add miscellaneous hardware dedicated for blockchain.</t>
  </si>
  <si>
    <t>979-8-3503-3923-9</t>
  </si>
  <si>
    <t>https://ieeexplore.ieee.org/stamp/stamp.jsp?arnumber=10338942</t>
  </si>
  <si>
    <t>SmartNIC;Blockchain;Domain-specific hardware;Proof of work;Green computing</t>
  </si>
  <si>
    <t>Wiring;Performance evaluation;Costs;Proof of Work;Hardware;Blockchains;Servers</t>
  </si>
  <si>
    <t>R. Matar; J. Jahiƒá</t>
  </si>
  <si>
    <t>An Approach for Evaluating the Potential Impact of Anti-Patterns on Microservices Performance</t>
  </si>
  <si>
    <t>10.1109/ICSA-C57050.2023.00044</t>
  </si>
  <si>
    <t>Department of Architecture-Centric Engineering, Fraunhofer Institute for Experimental Software Engineering, Kaiserslautern, Germany; Department of Computer Science and Technology, University of Cambridge, Cambridge, UK</t>
  </si>
  <si>
    <t>The microservices architectural style has been increasingly adopted in recent years due to its advantageous characteristics. While there exist design patterns for microservices that are theoretically beneficial for ensuring performance (and anti-patterns that should be avoided), they do not always lead to the expected impact. Some designs are solutions for achieving quality properties other than performance, and while they might be categorized as anti-patterns in theory, their influence on system performance can be minimal, depending on the context. Architects find it hard to reason about these trade-offs and the impact that design decisions will have on performance before implementing them. To solve this problem, in this paper, we propose an approach that enables rapid evaluation of high-level architectural models by combining both static and dynamic analysis. The static analysis identifies the design anti-patterns that are known to hinder system performance and guides the architect in reasoning about these design decisions. The approach then generates source code for the system under study based on the architectural design model for a subsequent dynamic analysis to assess whether the statically detected anti-patterns do indeed have a negative effect on the performance of the analyzed system.</t>
  </si>
  <si>
    <t>https://ieeexplore.ieee.org/stamp/stamp.jsp?arnumber=10092669</t>
  </si>
  <si>
    <t>microservices;design decisions;anti-patterns;performance testing</t>
  </si>
  <si>
    <t>Analytical models;Software architecture;System performance;Source coding;Microservice architectures;Static analysis;Cognition</t>
  </si>
  <si>
    <t>S. Roy; S. Kalafatis</t>
  </si>
  <si>
    <t>RoboCon: A Modular Robotic Containerization, Orchestration, and Load Balancing Technique for Mixed Hierarchy Task Handling Across Computing Platforms</t>
  </si>
  <si>
    <t>2023 5th International Conference on Control and Robotics (ICCR)</t>
  </si>
  <si>
    <t>10.1109/ICCR60000.2023.10444794</t>
  </si>
  <si>
    <t>Department of Electrical and Computer Engineering, Texas A&amp;M University, College Station, Texas, USA; Department of Electrical and Computer Engineering, Texas A&amp;M University, College Station, Texas, USA</t>
  </si>
  <si>
    <t>This paper introduces an innovative edge-cloud-based modular architecture to enhance the capabilities of multi-robot systems operating in resource-constrained environments. This architecture addresses the limitations often encountered in resource-constrained platforms with lightweight microprocessors by enabling efficient offloading of computationally intensive tasks to hybrid edge-cloud clusters, thereby augmenting computational prowess. Through a comprehensive experimental evaluation, we substantiate the effectiveness of our approach by offloading a rover's perception system to a hybrid edge-cloud cluster, enabling efficient object detection. Our findings highlight the architecture's adaptability, showcasing cloud clusters' speed advantages and local edge clusters' robustness in handling higher network throughput. This insight informs the recommendation to deploy high-throughput applications on edge clusters and computationally intensive tasks with storage and reduced network demands on cloud clusters. Furthermore, this work emphasizes the benefits of containerization and load balancing in modular robotics, facilitating platform-independent development, resource optimization, and enhanced software distribution security. Containerization's minimal impact on CPU and RAM usage has gained prominence in mobile robotic applications. However, supporting mixed-criticality software jobs remains a challenge. This paper presents performance results in federated and adaptive edge-fog-cloud networks, providing valuable insights for planning tasks with mixed-criticality criteria.</t>
  </si>
  <si>
    <t>979-8-3503-0762-7</t>
  </si>
  <si>
    <t xml:space="preserve">TAMU Capstone program; </t>
  </si>
  <si>
    <t>https://ieeexplore.ieee.org/stamp/stamp.jsp?arnumber=10444794</t>
  </si>
  <si>
    <t>modular robotics;Kubernetes;k3s;load balancing;resource sharing;edge-cloud computing;Docker</t>
  </si>
  <si>
    <t>Image edge detection;System performance;Computer architecture;Object detection;Throughput;Task analysis;Robots</t>
  </si>
  <si>
    <t>A. S. Varzaneh; B. Merikhi; M. S. Varzaneh; M. H. A. V. Isfahani; H. H. Kalahroodi; M. F. Sharabiany</t>
  </si>
  <si>
    <t>A Comprehensive Architecture Platform for Smarter Universities</t>
  </si>
  <si>
    <t>2023 28th International Computer Conference, Computer Society of Iran (CSICC)</t>
  </si>
  <si>
    <t>10.1109/CSICC58665.2023.10105323</t>
  </si>
  <si>
    <t>Shahid Beheshti University, Tehran, Iran; Concordia University, Montreal, Canada; Islamic Azad University, Tehran, Iran; Sharif University of Technology, Tehran, Iran; Shahid Beheshti University, Tehran, Iran; Amirkabir University of Technology, Tehran, Iran</t>
  </si>
  <si>
    <t>One of the most crucial infrastructure requirements of integrated systems is designing and providing a comprehensive architecture for implementation, support and improvement of their smart services or platforms. And without exception, smart University would also require a responsive architecture for the integration and consolidation of its current and future systems and services. Providing higher level of academic services, integration and consolidation support, and cost accounting (including ‚Äúcloud storage‚Äù, ‚Äúcomputing‚Äù, ‚Äúnetwork communication and bandwidth‚Äù and energy consumption) can be placed as pivotal issues among smart university services. In this article, a basic definition of a smart university and its integrated services will be presented at first. Then, strengths, weaknesses and covering range of conventional smart systems architectures are examined and compared. In the following, a novel perspective of smarter universities and regarding consolidated services are introduced and a comprehensive architecture for the establishment of smart university services and systems is presented. afterward, layers of this architecture, their efficiency and connections are examined. Finally, the covering and responsiveness of the comprehensive architecture are examined from different perspectives; And in an actual example, its optimization is compared to a previously proposed architecture that was implemented in Shahid Beheshti University of Tehran-Iran. In addition, as well, the other results are thoroughly discussed.</t>
  </si>
  <si>
    <t>979-8-3503-3819-5</t>
  </si>
  <si>
    <t>https://ieeexplore.ieee.org/stamp/stamp.jsp?arnumber=10105323</t>
  </si>
  <si>
    <t>Smart University;Integration;Consolidation;Comprehensive Architecture</t>
  </si>
  <si>
    <t>Energy consumption;Cloud computing;Systems architecture;Computer architecture;Bandwidth;Optimization;Cost accounting</t>
  </si>
  <si>
    <t>S. Mart√≠nez-Fern√°ndez; X. Franch; F. Dur√°n</t>
  </si>
  <si>
    <t>Towards green AI-based software systems: an architecture-centric approach (GAISSA)</t>
  </si>
  <si>
    <t>2023 49th Euromicro Conference on Software Engineering and Advanced Applications (SEAA)</t>
  </si>
  <si>
    <t>2376-9521</t>
  </si>
  <si>
    <t>10.1109/SEAA60479.2023.00071</t>
  </si>
  <si>
    <t>Universitat Polit√®cnica de Catalunya, Barcelona, Spain; Universitat Polit√®cnica de Catalunya, Barcelona, Spain; Universitat Polit√®cnica de Catalunya, Barcelona, Spain</t>
  </si>
  <si>
    <t>Nowadays, AI-based systems have achieved outstanding results and have outperformed humans in different domains. However, the processes of training AI models and inferring from them require high computational resources, which pose a significant challenge in the current energy efficiency societal demand. To cope with this challenge, this research project paper describes the main vision, goals, and expected outcomes of the GAISSA project. The GAISSA project aims at providing data scientists and software engineers tool-supported, architecture-centric methods for the modelling and development of green AI-based systems. Although the project is in an initial stage, we describe the current research results, which illustrate the potential to achieve GAISSA objectives.</t>
  </si>
  <si>
    <t>979-8-3503-4235-2</t>
  </si>
  <si>
    <t>https://ieeexplore.ieee.org/stamp/stamp.jsp?arnumber=10371616</t>
  </si>
  <si>
    <t>AI-based systems;green AI;sustainable software engineering;energy efficiency;sustainable computing</t>
  </si>
  <si>
    <t>Training;Biological system modeling;Green products;Switches;Air pollution;Software systems;Energy efficiency</t>
  </si>
  <si>
    <t>T. Testasecca; S. Stamatopoulos; A. Natalini; M. Lazzaro; C. M. Capizzi; E. Sarmas; D. Arnone</t>
  </si>
  <si>
    <t>Implementing Digital Twins for Enhanced Energy Management in Three Case Studies</t>
  </si>
  <si>
    <t>2024 IEEE International Workshop on Metrology for Living Environment (MetroLivEnv)</t>
  </si>
  <si>
    <t>10.1109/MetroLivEnv60384.2024.10615496</t>
  </si>
  <si>
    <t>Dipartimento di Ingegneria, Universit√† degli Studi di Palermo, Palermo, Italy; Decision Support Systems Laboratory, School of Electrical &amp; Computer Engineering, National Technical University of Athens, Athens, Greece; Digital Twin and IOT Solutions Department, Engineering Ingegneria Informatica S.p.A., Rome, Italy; Digital Twin and IOT Solutions Department, Engineering Ingegneria Informatica S.p.A., Rome, Italy; Digital Hubs Engineering Ingegneria Informatica S.p.A., Palermo, Italy; Decision Support Systems Laboratory, School of Electrical &amp; Computer Engineering, National Technical University of Athens, Athens, Greece; Digital Twin and IOT Solutions Department, Engineering Ingegneria Informatica S.p.A., Rome, Italy</t>
  </si>
  <si>
    <t>Digitalization is recognized as a powerful enabler for decarbonizing the building sector. The International Energy Agency has highlighted its potential to improve safety, productivity, accessibility, and sustainability of energy systems. This work aims to present innovative applications of digital twins within the European Project DigiBUILD, focusing on optimizing energy systems for enhanced efficiency and reduced carbon footprint. The architecture of the developed digital twins w detailed, focusing on data collection, services description, and their implementation. Through three detailed case studies, the paper explores real applications of digital twins: the Heron pilot, whose aim is to manage a cluster of buildings and optimally charges electric vehicles to reduce carbon emissions; Veolia, where a district heating networks to optimally manage heat sources in the production plant to reduce gas consumption and emissions; and Emotion, focusing on a building equipped with photovoltaic panels and electric vehicles and implementing services for optimal vehicle charging to maximize self-consumption, in day-ahead scheduling but also in real time. A discussion finally highlights the challenges and limitations encountered in the deployment of digital twins, emphasizing the importance of user interaction in facilitating efficient energy management. This research contributes in underlining the significant potential of digital twins in advancing the digitalization of the energy sector, contributing to the European Union's goals for sustainability and reduced environmental impact.</t>
  </si>
  <si>
    <t>979-8-3503-8501-4</t>
  </si>
  <si>
    <t>https://ieeexplore.ieee.org/stamp/stamp.jsp?arnumber=10615496</t>
  </si>
  <si>
    <t>Digital Twin;Buildings;Digitalization;Energy;Artificial Intelligence</t>
  </si>
  <si>
    <t>Productivity;Buildings;Focusing;Europe;Electric vehicles;Digital twins;Smart grids</t>
  </si>
  <si>
    <t>Y. Wimukthi; H. Kottegoda; D. Andaraweera; P. Palihena; H. Fernando; D. Kasthurirathnae</t>
  </si>
  <si>
    <t>Advancing Canine Health and Care: A Multifaceted Approach using Machine Learning</t>
  </si>
  <si>
    <t>2023 5th International Congress on Human-Computer Interaction, Optimization and Robotic Applications (HORA)</t>
  </si>
  <si>
    <t>10.1109/HORA58378.2023.10155781</t>
  </si>
  <si>
    <t>Faculty of Computing, Sri Lanka Institute of Information Technology, Sri Lanka; Faculty of Computing, Sri Lanka Institute of Information Technology, Sri Lanka; Faculty of Computing, Sri Lanka Institute of Information Technology, Sri Lanka; Faculty of Computing, Sri Lanka Institute of Information Technology, Sri Lanka; Faculty of Computing, Sri Lanka Institute of Information Technology, Sri Lanka; Faculty of Computing, Sri Lanka Institute of Information Technology, Sri Lanka</t>
  </si>
  <si>
    <t>This research paper proposes a comprehensive approach to enhance the well-being of dogs through a range of innovative technologies. Firstly, we develop an automated system for dog breed and age identification using a Convolutional Neural Network (CNN) and a transfer learning model. This system aims to provide an efficient and reliable solution for dog owners and new adopters who are interested in discovering more about their canine companions. Secondly, we propose the development of a system that uses Reinforcement Learning to generate personalized meal plans based on a variety of factors such as the dog's breed, age, weight, health status, and emotional state. The system aims to provide dog owners with a reliable and effective tool for generating personalized meal plans that will enhance their pets' overall health and well-being. Thirdly, we present a dog disease recognition application that utilizes an artificial neural network (ANN) for identifying dog diseases based on their symptoms. Lastly, we introduce a real-time remote dog monitoring system using loT devices with edge computing to detect aggressive and anxious sounds. Our system provides an accurate classification of dog sounds related to aggression and anxiety, which can help dog owners detect and respond to potential issues early on. This research aims to provide dog owners and veterinarians with a range of technologies that can help them better understand and care for their furry friends.</t>
  </si>
  <si>
    <t>979-8-3503-3752-5</t>
  </si>
  <si>
    <t>https://ieeexplore.ieee.org/stamp/stamp.jsp?arnumber=10155781</t>
  </si>
  <si>
    <t>Transfer learning;Reinforcement learning;Artificial neural network;Convolutional Neural Network;Image processing</t>
  </si>
  <si>
    <t>Transfer learning;Dogs;Reinforcement learning;Reliability engineering;Real-time systems;Planning;Convolutional neural networks</t>
  </si>
  <si>
    <t>T. S. Goruganthu; H. Marepalli; S. Bheemineni; R. C. Bobba; D. Wang; S. Richhariya; J. Gao; J. Liu</t>
  </si>
  <si>
    <t>Building an AI-Based Surveillance Drone Cloud Platform</t>
  </si>
  <si>
    <t>2024 IEEE 1st International Workshop on Future Intelligent Technologies for Young Researchers (FITYR)</t>
  </si>
  <si>
    <t>10.1109/FITYR63263.2024.00008</t>
  </si>
  <si>
    <t>Department of Computer Engineering, San Jose State University, San Jose, USA; Department of Computer Engineering, San Jose State University, San Jose, USA; Department of Computer Engineering, San Jose State University, San Jose, USA; Department of Computer Engineering, San Jose State University, San Jose, USA; Department of Computer Engineering, San Jose State University, San Jose, USA; Department of Computer Engineering, San Jose State University, San Jose, USA; Department of Computer Engineering, San Jose State University, San Jose, USA; Department of Computer Engineering, San Jose State University, San Jose, USA</t>
  </si>
  <si>
    <t>This paper proposes a cloud-based solution for drone surveillance systems, addressing the challenges posed by the vast data generated in such applications. As the demand for remote monitoring solutions grows across governments, businesses, and civilian sectors, stakeholders seek efficient tools to enhance situational awareness and gather real-time information. Our solution integrates drone capabilities with advanced cloud computing features, transforming the design and operation of drone-based surveillance systems. We also introduce a service-oriented mission planner that allows users to efficiently plan and manage their surveillance missions. This approach streamlines the collection, storage, and analysis of surveillance data, enabling access to real-time information from any location. Additionally, we explore the integration of AI services to enhance video analysis capabilities within our platform.</t>
  </si>
  <si>
    <t>979-8-3315-3975-7</t>
  </si>
  <si>
    <t>https://ieeexplore.ieee.org/stamp/stamp.jsp?arnumber=10763649</t>
  </si>
  <si>
    <t>UAV;Surveillance;Surveillance Drone Cloud;Cloud Computing;Mission Planner;AI services;Drone-Cloud Connectivity;Tracking and Monitoring</t>
  </si>
  <si>
    <t>Cloud computing;Surveillance;Conferences;Government;Streaming media;Real-time systems;Stakeholders;Artificial intelligence;Remote monitoring;Drones</t>
  </si>
  <si>
    <t>T. Menouer; C. C√©rin; P. Darmon</t>
  </si>
  <si>
    <t>KOptim: Kubernetes Optimization Framework</t>
  </si>
  <si>
    <t>2024 IEEE International Parallel and Distributed Processing Symposium Workshops (IPDPSW)</t>
  </si>
  <si>
    <t>10.1109/IPDPSW63119.2024.00159</t>
  </si>
  <si>
    <t>CGI France, Puteaux, France; University Sorbonne Paris Nord, Villetaneuse, France; CGI France, Puteaux, France</t>
  </si>
  <si>
    <t>As Kubernetes has become a de-facto standard for a portable, extensible, open-source platform for managing containerized workloads and services, this paper presents a new Kubernetes Optimization Framework called KOptim, which provides a generic schema for scheduling and resource management. Compared to existing Kubernetes frameworks and scheduling procedures, the advantages of KOptim are: (i) it facilitates the configuration of container resources using Service Level Agreement (SLA) classes, and (ii) it optimizes the online scheduling of containers using a Multi-Criteria Decision Making (MCDM) algorithm. In short, the main contribution of KOptim is to simplify Kubernetes scheduler optimization, as well as other issues related to container configuration and validation. In KOptim, we propose to configure and manage container resources using a new model with three SLA classes related to CPUs, memory, and storage space. Each SLA class has three Quality of Services (QoS): Premium, Advanced, and Best Effort. Using the KOptim SLA classes, users can select a range of values for a service instead of specifying a fixed amount of resources for each container. This is designed to help non-expert users who do not need to know exactly how many resources must be used to configure their containers easily. In the scheduling step, we suggest using a mechanism based on a multi-criteria decision algorithm that allows users to consider several criteria during the online scheduling decision. In summary, KOptim is a generic framework for Kubernetes distributions even K3s and MicroK8s which are adapted to Fog and Edge computing. Experimental results demonstrate the potential of our framework to improve performance in terms of runtime and energy consumption.</t>
  </si>
  <si>
    <t>979-8-3503-6460-6</t>
  </si>
  <si>
    <t>https://ieeexplore.ieee.org/stamp/stamp.jsp?arnumber=10596385</t>
  </si>
  <si>
    <t>Container technology;Service Level Agreement;Online multi-criteria scheduling;Kubernetes ecosystem</t>
  </si>
  <si>
    <t>Energy consumption;Processor scheduling;Computational modeling;Quality of service;Containers;MCDM;Resource management</t>
  </si>
  <si>
    <t>I. Mavromatis; S. D. Feo; P. Carnelli; R. J. Piechocki; A. Khan</t>
  </si>
  <si>
    <t>FROST: Towards Energy-efficient AI-on-5G Platforms ‚Äì A GPU Power Capping Evaluation</t>
  </si>
  <si>
    <t>10.1109/CSCN60443.2023.10453214</t>
  </si>
  <si>
    <t>Bristol Research &amp; Innovation Laboratory, Bristol, Toshiba Europe Ltd, UK; Department of Electrical and Electronic Engineering, University of Bristol, UK; Bristol Research &amp; Innovation Laboratory, Bristol, Toshiba Europe Ltd, UK; Department of Electrical and Electronic Engineering, University of Bristol, UK; Bristol Research &amp; Innovation Laboratory, Bristol, Toshiba Europe Ltd, UK</t>
  </si>
  <si>
    <t>The Open Radio Access Network (O-RAN) is a burgeoning market with projected growth in the upcoming years. RAN has the highest CAPEX impact on the network and, most importantly, consumes 73% of its total energy. That makes it an ideal target for optimisation through the integration of Machine Learning (ML). However, the energy consumption of ML is frequently overlooked in such ecosystems. Our work addresses this critical aspect by presenting FROST ‚Äì Flexible Reconfiguration method with Online System Tuning ‚Äì a solution for energy-aware ML pipelines that adhere to O-RAN‚Äôs specifications and principles. FROST is capable of profiling the energy consumption of an ML pipeline and optimising the hardware accordingly, thereby limiting the power draw. Our findings indicate that FROST can achieve energy savings of up to 26.4% without compromising the model‚Äôs accuracy or introducing significant time delays.</t>
  </si>
  <si>
    <t>https://ieeexplore.ieee.org/stamp/stamp.jsp?arnumber=10453214</t>
  </si>
  <si>
    <t>Machine Learning;Power Profiling;Power Capping;O-RAN;5G;Sustainable AI;Green AI</t>
  </si>
  <si>
    <t>Energy consumption;Biological system modeling;Energy conservation;Pipelines;Graphics processing units;Hardware;Optimization</t>
  </si>
  <si>
    <t>S. Ayhan; √ç. R. De Oliveira; G. Balvedi; P. Costas; A. Leite; F. C. F. De Azevedo</t>
  </si>
  <si>
    <t>Big data-driven prediction of airspace congestion</t>
  </si>
  <si>
    <t>2023 IEEE/AIAA 42nd Digital Avionics Systems Conference (DASC)</t>
  </si>
  <si>
    <t>10.1109/DASC58513.2023.10311134</t>
  </si>
  <si>
    <t>Boeing Research &amp; Technology; Boeing Research &amp; Technology; Boeing Research &amp; Technology; Boeing Research &amp; Technology; MWF Services; MWF Services</t>
  </si>
  <si>
    <t>Air Navigation Service Providers (ANSP) worldwide have been making a considerable effort for the development of a better method to measure and predict aircraft counts within a particular airspace, also referred to as airspace density. An accurate measurement and prediction of airspace density is crucial for a better managed airspace, both strategically and tactically, yielding a higher level of automation and thereby reducing the air traffic controller‚Äôs workload. Although the prior approaches have been able to address the problem to some extent, data management and query processing of ever-increasing vast volume of air traffic data at high rates, for various analytics purposes such as predicting aircraft counts, still remains a challenge especially when only linear prediction models are used.In this paper, we present a novel data management and prediction system that accurately predicts aircraft counts for a particular airspace sector within the National Airspace System (NAS). The incoming Traffic Flow Management (TFM) data is streaming, big, uncorrelated and noisy. In the preprocessing step, the system continuously processes the incoming raw data, reduces it to a compact size, and stores it in a NoSQL database, where it makes the data available for efficient query processing. In the prediction step, the system learns from historical trajectories and uses their segments to collect key features such as sector boundary crossings, weather parameters, and other air traffic data. The features are fed into various regression models, including linear, non-linear and ensemble models, and the best performing model is used for prediction. Evaluation on an extensive set of real track, weather, and air traffic data including boundary crossings in the U.S. verify that our system efficiently and accurately predicts aircraft counts in each airspace sector.</t>
  </si>
  <si>
    <t>979-8-3503-3357-2</t>
  </si>
  <si>
    <t>https://ieeexplore.ieee.org/stamp/stamp.jsp?arnumber=10311134</t>
  </si>
  <si>
    <t>System-Wide Information Management (SWIM);Big Data;Air Traffic Management (ATM);Airspace Capacity;Machine Learning (ML)</t>
  </si>
  <si>
    <t>Density measurement;Atmospheric modeling;Query processing;Predictive models;Aerospace electronics;Aircraft navigation;Trajectory</t>
  </si>
  <si>
    <t>D. Medeiros; J. Wahlgren; G. Schieffer; I. Peng</t>
  </si>
  <si>
    <t>Kub: Enabling Elastic HPC Workloads on Containerized Environments</t>
  </si>
  <si>
    <t>2023 IEEE 35th International Symposium on Computer Architecture and High Performance Computing (SBAC-PAD)</t>
  </si>
  <si>
    <t>2643-3001</t>
  </si>
  <si>
    <t>10.1109/SBAC-PAD59825.2023.00031</t>
  </si>
  <si>
    <t>Department of Computer Science, KTH Royal Institute of Technology, Sweden; Department of Computer Science, KTH Royal Institute of Technology, Sweden; Department of Computer Science, KTH Royal Institute of Technology, Sweden; Department of Computer Science, KTH Royal Institute of Technology, Sweden</t>
  </si>
  <si>
    <t>The conventional model of resource allocation in HPC systems is static. Thus, a job cannot leverage newly available resources in the system or release underutilized resources during the execution. In this paper, we present Kub, a methodology that enables elastic execution of HPC workloads on Kubernetes so that the resources allocated to a job can be dynamically scaled during the execution. One main optimization of our method is to maximize the reuse of the originally allocated resources so that the disruption to the running job can be minimized. The scaling procedure is coordinated among nodes through remote procedure calls on Kubernetes for deploying workloads in the cloud. We evaluate our approach using one synthetic benchmark and two production-level MPI-based HPC applications - GRO-MACS and CM1. Our results demonstrate that the benefits of adapting the allocated resources depend on the workload characteristics. In the tested cases, a properly chosen scaling point for increasing resources during execution achieved up to 2x speedup. Also, the overhead of checkpointing and data reshuffling significantly influences the selection of optimal scaling points and requires application-specific knowledge.</t>
  </si>
  <si>
    <t>979-8-3503-0548-7</t>
  </si>
  <si>
    <t xml:space="preserve">European Commission(grant numbers:GA-101092984); </t>
  </si>
  <si>
    <t>https://ieeexplore.ieee.org/stamp/stamp.jsp?arnumber=10306010</t>
  </si>
  <si>
    <t>HPC;Cloud;scaling;Kubernetes;Elasticity;Malleability</t>
  </si>
  <si>
    <t>Checkpointing;Knowledge engineering;Quality of service;Software;Space exploration;Volcanoes;Resource management</t>
  </si>
  <si>
    <t>P. D‚ÄôAgostino; M. Violante; G. Macario</t>
  </si>
  <si>
    <t>An Embedded Low-Cost Solution for a Fog Computing Device on the Internet of Things</t>
  </si>
  <si>
    <t>2023 Eighth International Conference on Fog and Mobile Edge Computing (FMEC)</t>
  </si>
  <si>
    <t>10.1109/FMEC59375.2023.10306045</t>
  </si>
  <si>
    <t>Department of Control and Computer Engineering (DAUIN), Politecnico di Torino, Torino, Italy; Department of Control and Computer Engineering (DAUIN), Politecnico di Torino, Torino, Italy; AROL Closure Systems, Torino, Italy</t>
  </si>
  <si>
    <t>The adaptability of devices can be significant for a customer that inserts them in an industrial production line. The ability to modify an object bought along with a machine that can be personalized with its features can change how they want to do measurements for different reasons, like predictive maintenance. Fog computing local centers already exist in the market, but they are usually on-the-shelf products with no margin of change for any user. However, with the usage of Docker and containers, this can change. This paper describes a fog computing local central called Concentrator, which can not only execute its essential functions built-in by the producer but also be customized by the user to add in the elaborations on other external sensors, expanding its capabilities and usage. We wanted to improve the device already tested on a Linux PC on a Raspberry Pi and try its performance and characteristics, seeing if it could be transformed into an embedded architecture and an industrial feature.</t>
  </si>
  <si>
    <t>979-8-3503-1697-1</t>
  </si>
  <si>
    <t>https://ieeexplore.ieee.org/stamp/stamp.jsp?arnumber=10306045</t>
  </si>
  <si>
    <t>Arduino;container;docker;industrial automation;IoT;embedded systems</t>
  </si>
  <si>
    <t>Performance evaluation;Privacy;Linux;Computer architecture;Production;Containers;Sensor phenomena and characterization</t>
  </si>
  <si>
    <t>P. H. Chowdary; P. Thapar; A. A. Alyas; U. Singh</t>
  </si>
  <si>
    <t>A Case Study of Big Data Processing in the Cloud Environments with Insights into Advantages, Tools, and Techniques</t>
  </si>
  <si>
    <t>2024 14th International Conference on Cloud Computing, Data Science &amp; Engineering (Confluence)</t>
  </si>
  <si>
    <t>2766-421X</t>
  </si>
  <si>
    <t>10.1109/Confluence60223.2024.10463294</t>
  </si>
  <si>
    <t>Department of Computer Science and Engineering, Lovely Professional University, Phagwara, Punjab, India; Department of Computer Science and Engineering, Lovely Professional University, Phagwara, Punjab, India; Department of Computer Science and Engineering, Lovely Professional University, Phagwara, Punjab, India; Information System Technologies, Wilmington University, United States</t>
  </si>
  <si>
    <t>Every single day, users are increasing as the world has explored technology where data is producing more and more big data and cloud technologies are the reason behind the scene because big data and cloud computing are the booming pieces of knowledge currently with AI helpful for users and for other professional and practical purposes. Nowadays integration of technologies also been an emerging topic it helps in the reduction of disadvantages of particular technology to provide better solutions. This paper talks about what, and why big data and cloud technology in daily lives and where big data in cloud technology is used. This paper examines recently proposed frameworks/models where big data and cloud technologies are utilized together and reviewed in a detailed way from the year 2020 to 2023. What Advantages can be there in utilizing both big data and cloud together is also discussed. This study explains the most used big data analytical tools and widely used cloud platforms and performed a simple case study on two datasets (world data and disease symptoms dataset) to draw some insights into which Rapid Miner and Power BI are used where RF and Gradient Boosted Trees got more accuracy than other classification algorithms with 0.7 accuracy while using disease symptoms dataset and some visualizations are drawn with use of world data.</t>
  </si>
  <si>
    <t>979-8-3503-4483-7</t>
  </si>
  <si>
    <t>https://ieeexplore.ieee.org/stamp/stamp.jsp?arnumber=10463294</t>
  </si>
  <si>
    <t>Big Data;Cloud Computing;Big Data Analytics Tools;Cloud Platforms;World Data;Healthcare;Case Study;Power BI;Rapid Miner</t>
  </si>
  <si>
    <t>Radio frequency;Cloud computing;Data analysis;Education;Data visualization;Big Data;Classification algorithms</t>
  </si>
  <si>
    <t>K. Ramantas; A. N. Bikos; W. Nitzold; S. Pollin; A. Ksentini; S. Mayrargue; V. Theodorou; L. Christofi; G. Gardikis; M. A. Rahman; A. Chawla; F. Iba√±ez; I. Chochliouros; D. Nicholson; Mario; Montagudand; A. Shojaeifard; A. Pagkotzidis; C. Verikoukis</t>
  </si>
  <si>
    <t>6G-BRICKS: Building Reusable Testbed Infrastructures for Cloud-to-Device Breakthrough Technologies</t>
  </si>
  <si>
    <t>2023 IEEE Globecom Workshops (GC Wkshps)</t>
  </si>
  <si>
    <t>10.1109/GCWkshps58843.2023.10465223</t>
  </si>
  <si>
    <t>Iquadrat Informatica SL, Barcelona, Spain; Iquadrat Informatica SL, Barcelona, Spain; National Instruments Dresden GmbH, Dresden, Germany; Katholieke Universiteit Leuven, Leuven, Belgium; EURECOM, Biot, France; Commissariat √† L'Energie Atomique et aux Energies Alternatives, Paris, France; Intracom S.A. Telecom Solutions; eBOS Technologies Limited, Nicosia, Cyprus; Space Hellas S.A., Athens, Greece; IS-Wireless, Piaseczno, Poland; L.M. Ericsson Limited, Dublin, Ireland; Brainstorm Multimedia SL, Valencia, Spain; Hellenic Telecommunications Organization (OTE) S.A., Maroussi-Athens, Greece; Ektacom, Les Ulis, France; i2CAT Foundation, Barcelona, Spain; InterDigital Europe Ltd., London, UK; Satways Ltd., Iraklio-Athens, Greece; Industrial Systems Institute (ISI) / Athena Research Center, Athens, Greece; University of Patras, Greece</t>
  </si>
  <si>
    <t>Sixth generation (6G)-enabled massive network MANO orchestration, alongside distributed supervision and fully reconfigurable control logic that manages dynamic arrangement of network components, such as cell-free, Open-Air Interface (OAI) and RIS, is a potent enabler for the upcoming pervasive digitalization of the vertical use cases. In such a disruptive domain, artificial intelligence (AI)-driven zero-touch ‚ÄúNetwork of Networks‚Äù intent-based automation shall be able to guarantee a high degree of security, efficiency, scalability, and sustainability, especially in cross-domain and interoperable deployment environments (i.e., where points of presence (PoPs) are non-independent and identically distributed (non-IID)). To this extent, this paper presents a novel breakthrough, open, and fully reconfigurable networking architecture for 6G cellular paradigms, named 6G-BRICKS. To this end, 6G-BRICKS will deliver the first open and programmable O-RAN Radio Unit (RU) for 6G networks, termed as the OpenRU, based on an NI USRP-based platform. Moreover, 6G-BRICKS will integrate the RIS concept into the OAI alongside Testing as a Service (TaaS) capabilities, multi-tenancy, disaggregated Operations Support Systems (OSS) and Deep Edge adaptation at the forefront. The overall ambition of 6G-BRICKS is to offer evolvability, granularity, while, at the same time, tackling big challenges such as interdisciplinary efforts and big investments in 6G integration.</t>
  </si>
  <si>
    <t>979-8-3503-7021-8</t>
  </si>
  <si>
    <t>https://ieeexplore.ieee.org/stamp/stamp.jsp?arnumber=10465223</t>
  </si>
  <si>
    <t>6G;AI-enabled network orchestration;XAI;B5G;Cell-Free (CF);CF massive MIMO (CFmMIMO);MIMO;O-RAN;Reconfigurable Intelligent Surfaces (RIS);xApp;network testbeds</t>
  </si>
  <si>
    <t>6G mobile communication;Explainable AI;Scalability;Massive MIMO;Reconfigurable intelligent surfaces;Security;Sustainable development</t>
  </si>
  <si>
    <t>M. Savasci; A. Souza; L. Wu; D. Irwin; A. Ali-Eldin; P. Shenoy</t>
  </si>
  <si>
    <t>SLO-Power: SLO and Power-aware Elastic Scaling for Web Services</t>
  </si>
  <si>
    <t>2024 IEEE 24th International Symposium on Cluster, Cloud and Internet Computing (CCGrid)</t>
  </si>
  <si>
    <t>2993-2114</t>
  </si>
  <si>
    <t>10.1109/CCGrid59990.2024.00025</t>
  </si>
  <si>
    <t>University of Massachusetts Amherst, Amherst, USA; University of Massachusetts Amherst, Amherst, USA; University of Massachusetts Amherst, Amherst, USA; University of Massachusetts Amherst, Amherst, USA; Chalmers University of Technology, G√∂teborg, Sweden; University of Massachusetts Amherst, Amherst, USA</t>
  </si>
  <si>
    <t>Managing the performance of online web services in cloud data centers while optimizing resource allocation and power consumption is a multifaceted challenge. Often, resource and power management techniques, such as elastic scaling and power capping, are handled independently, leading to conflicts and sub-optimal power-performance trade-offs. To tackle this issue, we introduce SLO-Power, a system that coordinates the resource and power scaling techniques to achieve power savings while adhering to service level objectives (SLOs), such as tail latency constraints. Our approach employs a combination of analytic queuing models and feedback-driven techniques to jointly allocate resources and power to cloud applications in an SLO and power-aware manner. We implement a prototype of our system and evaluate it using realistic workloads to demonstrate its ability to harmonize elastic and power scaling, enabling enhanced resource utilization and reduced power consumption while ensuring the application performance. Our findings indicate that SLO-Power achieves exceptional power and resource efficiency, approaching near-optimal power-efficiency levels at 90%, all while preventing SLO violations. Furthermore, compared to state-of-the-art solutions, SLO-Power demonstrates lower P95 latency, accompanied by a 12% reduction in resource usage.</t>
  </si>
  <si>
    <t>979-8-3503-9566-2</t>
  </si>
  <si>
    <t>https://ieeexplore.ieee.org/stamp/stamp.jsp?arnumber=10701414</t>
  </si>
  <si>
    <t>Elastic Scaling;Power Capping;Web Services;Application SLO</t>
  </si>
  <si>
    <t>Analytical models;Power demand;Web services;Power system management;Prototypes;Tail;Resource management;Time factors;Servers;Queueing analysis</t>
  </si>
  <si>
    <t>S. Wang; H. -M. Chen; Y. Ouyang; F. Li; X. Chen; J. Guo; Y. Li; S. Bian; X. Wang; Z. Ren</t>
  </si>
  <si>
    <t>Constellation Autonomy Modeling for Agile on-Orbit Communication and Computing</t>
  </si>
  <si>
    <t>2023 IEEE 22nd International Conference on Trust, Security and Privacy in Computing and Communications (TrustCom)</t>
  </si>
  <si>
    <t>2324-9013</t>
  </si>
  <si>
    <t>10.1109/TrustCom60117.2023.00276</t>
  </si>
  <si>
    <t>AsiaInfo Technologies (China) INC., Beijing, China; Beijing University of Technology, Beijing, China; AsiaInfo Technologies (China) INC., Beijing, China; China Unicom Beijing Branch, Beijing, China; China Unicom, Beijing, China; AsiaInfo Technologies (China) INC., Beijing, China; AsiaInfo Technologies (China) INC., Beijing, China; AsiaInfo Technologies (China) INC., Beijing, China; AsiaInfo Technologies (China) INC., Beijing, China; AsiaInfo Technologies (China) INC., Beijing, China</t>
  </si>
  <si>
    <t>With the growing demand for mobile communication services and continuous advances in communication technologies, ubiquitous coverage and Internet of Everything have become basic capabilities required for 5G, 6G and future networks. On-orbit autonomy enables satellites to perform tasks, process data, adjust parameters, update software, diagnose faults and recover functions autonomously in orbit. This enhances intelligence, efficiency and reduces operation costs and risks, especially for large low earth orbit (LEO) constellations. On-orbit autonomy is an important trend with great significance and value. Although some research and tests have been conducted as well as application requests and standardization gathered, modeling constellation autonomy from an on-orbit communication and computing perspective has received little attention. This paper reviews related standards, research, and tests as a foundation for modeling. Key technologies, networking and management are studied as major concerns in modeling. The Constellation Autonomy Modeling (CAM) framework for agile on-orbit communication and computing is proposed as a reference model and method for on-orbit autonomy.</t>
  </si>
  <si>
    <t>979-8-3503-8199-3</t>
  </si>
  <si>
    <t>https://ieeexplore.ieee.org/stamp/stamp.jsp?arnumber=10538686</t>
  </si>
  <si>
    <t>Internet of Everything. Satellite-based network;on-orbit communication;On-orbit autonomy;Constellation Autonomy</t>
  </si>
  <si>
    <t>Satellites;Costs;Reviews;Computational modeling;Low earth orbit satellites;Market research;Orbits</t>
  </si>
  <si>
    <t>C. G. De Vita; G. Mellone; D. D. Sanchez-Gallegos; G. Coviello; D. Romano; M. Lapegna; A. Ciaramella</t>
  </si>
  <si>
    <t>Citizen Science for the Sea with Information Technologies: An Open Platform for Gathering Marine Data and Marine Litter Detection from Leisure Boat Instruments</t>
  </si>
  <si>
    <t>2023 IEEE 19th International Conference on e-Science (e-Science)</t>
  </si>
  <si>
    <t>2325-3703</t>
  </si>
  <si>
    <t>10.1109/e-Science58273.2023.10254866</t>
  </si>
  <si>
    <t>Dept. of Science and Technology, University of Naples ‚ÄúParthenope‚Äù, Naples, Italy; Dept. of Science and Technology, University of Naples ‚ÄúParthenope‚Äù, Naples, Italy; Dept. of Computer Science, University of Madrid Carlos III, Madrid, Spain; NEC Laboratories of America Inc., Princeton, NJ, USA; Inst. for High Performance Computing and Networking (ICAR), National Research Council (CNR), Naples, Italy; Dept. of Mathematics and Applications, University of Naples ‚ÄúFederico II‚Äù, Naples, Italy; Dept. of Science and Technology, University of Naples ‚ÄúParthenope‚Äù, Naples, Italy</t>
  </si>
  <si>
    <t>Data crowdsourcing is an increasingly pervasive and lifestyle-changing technology due to the flywheel effect that results from the interaction between the Internet of Things and Cloud Computing. This paper presents the Citizen Science for the Sea with Information Technologies (C4Sea-IT) framework. It is an open platform for gathering marine data from leisure boat instruments. C4Sea-IT aims to provide a coastal marine data gathering, moving, processing, exchange, and sharing platform using the existing navigation instruments and sensors for today's leisure and professional vessels. In this work, a use case for the detection and tracking of marine litter is shown. The final goal is weather/ocean forecasts argumentation with Artificial Intelligence prediction models trained with crowdsourced data.</t>
  </si>
  <si>
    <t>979-8-3503-2223-1</t>
  </si>
  <si>
    <t>https://ieeexplore.ieee.org/stamp/stamp.jsp?arnumber=10254866</t>
  </si>
  <si>
    <t>Data crowdsourcing;Edge Computing;Embedded GPU computing;Artificial Intelligence;Weather Predictions</t>
  </si>
  <si>
    <t>Training;Performance evaluation;Instruments;Sea measurements;Microservice architectures;Boats;Data models</t>
  </si>
  <si>
    <t>J. Miao; D. Rajasekhar; S. Mishra; S. K. Nayak; R. Yadav</t>
  </si>
  <si>
    <t>A Fog-based Smart Agriculture System to Detect Animal Intrusion</t>
  </si>
  <si>
    <t>2023 IEEE 29th International Conference on Parallel and Distributed Systems (ICPADS)</t>
  </si>
  <si>
    <t>10.1109/ICPADS60453.2023.00336</t>
  </si>
  <si>
    <t>University of Colorado, Boulder, USA; IIITDM Kancheepuram, India; University of Colorado, Boulder, USA; IIITDM Kancheepuram, India; IITRAM, Ahmedabad, India</t>
  </si>
  <si>
    <t>Smart agriculture is one of the most promising areas where IoT-enabled technologies have the potential to substantially improve the quality and quantity of the crops and reduce the operational cost. However, building a smart agriculture system presents several challenges, including high latency and bandwidth consumption associated with cloud computing, Internet disconnections in rural areas, and the need to keep costs low for farmers. To address these issues, this paper proposes a fog-based smart agriculture infrastructure with edge computing and LoRa communication. We address the top concern of farmers - animals intruding - by proposing a solution that detects animal intrusion using low-cost PIR sensors, cameras, and computer vision and predicts animal locations using a novel algorithm. Our system can detect animals before the intrusion, identify them, predict their future locations, and alert farmers promptly. The paper proposes three sensor layouts, and experiments confirm the system‚Äôs effectiveness and lower cost compared to state-of-the-art systems.</t>
  </si>
  <si>
    <t>979-8-3503-3071-7</t>
  </si>
  <si>
    <t>https://ieeexplore.ieee.org/stamp/stamp.jsp?arnumber=10476001</t>
  </si>
  <si>
    <t>smart agriculture;animal intrusion detection;LoRa;fog computing</t>
  </si>
  <si>
    <t>Smart agriculture;Costs;Animals;Layout;Rural areas;Prediction algorithms;Cameras</t>
  </si>
  <si>
    <t>J. Deng; L. Yue; H. Yang; G. Liu</t>
  </si>
  <si>
    <t>A Digital Twin Network Approach for 6G Wireless Network Autonomy</t>
  </si>
  <si>
    <t>10.1109/ICCWorkshops57953.2023.10283539</t>
  </si>
  <si>
    <t>China Mobile Research Institute, ZGC Institute of Ubiquitous-X Innovation and Applications, Beijng, China; China Mobile Research Institute, Beijng, China; School of Information and Communication Engineering Beijing, University of Posts and Telecommunications, Beijng, China; China Mobile Research Institute, ZGC Institute of Ubiquitous-X Innovation and Applications, Beijng, China</t>
  </si>
  <si>
    <t>The challenges of high energy consumption, high cost and low efficiency of mobile wireless communication network have not been effectively solved for years, and the future network will face the challenges of more diversified communication modes, service types, users and devices. Operators need a more comprehensive, intelligent, scalable and affordable network management system with a high level of autonomy. In this article, we propose a digital twin network approach to solve the above challenges and to realize a high level of autonomy for 6G wireless network. We introduce the basic concepts and components of digital twin network, clarify its technical characteristics and propose an end-to-end logical architecture, functionalities and the enabling technologies for the digital twin network. We also present two use cases where digital twin network is implemented. Finally, we put forward the key technical problems which need to be further studied.</t>
  </si>
  <si>
    <t xml:space="preserve">National Key RD Program of China(grant numbers:2022YFB2902100); </t>
  </si>
  <si>
    <t>https://ieeexplore.ieee.org/stamp/stamp.jsp?arnumber=10283539</t>
  </si>
  <si>
    <t>digital twin network;autonomous network;network autonomy;mobile wireless network;6G</t>
  </si>
  <si>
    <t>6G mobile communication;Energy consumption;Costs;Wireless networks;Conferences;Digital twins;Faces</t>
  </si>
  <si>
    <t>S. Thangam; M. S. Snehitha; K. M. K. Kumar; K. L. S. P. Reddy; D. C</t>
  </si>
  <si>
    <t>Real-time Urban Parking Space Management using Fog Computing</t>
  </si>
  <si>
    <t>2024 1st International Conference on Cognitive, Green and Ubiquitous Computing (IC-CGU)</t>
  </si>
  <si>
    <t>10.1109/IC-CGU58078.2024.10530757</t>
  </si>
  <si>
    <t>Dept. of Computer Science and Engineering, Amrita School of Computing, Bengaluru, Amrita Vishwa Vidyapeetham, India; Dept. of Computer Science and Engineering, Amrita School of Computing, Bengaluru, Amrita Vishwa Vidyapeetham, India; Dept. of Computer Science and Engineering, Amrita School of Computing, Bengaluru, Amrita Vishwa Vidyapeetham, India; Dept. of Computer Science and Engineering, Amrita School of Computing, Bengaluru, Amrita Vishwa Vidyapeetham, India; Dept. of Computer Science and Engineering, Amrita School of Computing, Bengaluru, Amrita Vishwa Vidyapeetham, India</t>
  </si>
  <si>
    <t>The rise in the number of private automobiles, especially in populated zones leads to many issues like traffic congestion, waste of time and fuel as they spend more time finding a parking spot. Vehicles release toxic gases, as they are ideal in traffic thus the number of pollutants gets increased. Smart parking systems help with these problems. They reduce traffic congestion which leads to less environmental pollution and saves fuel. A cloud-based parking system has been proposed, but it requires high latency and high bandwidth. Fog Computing gives us a better solution than cloud computing. With the help of fog computing smart car parking systems, the proposed model can clear all these issues. The driver gets information about the parking spots with minimal latency and energy consumption. By guiding the drivers where the parking spot is free it uses the space optimally. It also reduces the need to expand the parking area since land acquisition in urban areas is tough. A latency-reducing approach was developed using iFogSim and metrics like latency, total energy consumed, and total time taken were considered for a comparative analysis between the fog environment and the cloud environment. The developed fog-based system demonstrated better results than the cloud-based approach.</t>
  </si>
  <si>
    <t>979-8-3503-6178-0</t>
  </si>
  <si>
    <t>https://ieeexplore.ieee.org/stamp/stamp.jsp?arnumber=10530757</t>
  </si>
  <si>
    <t>Cloud Computing;Fog Computing;iFogSim;Latency;Urban-Parking</t>
  </si>
  <si>
    <t>Measurement;Cloud computing;Pollution;Urban areas;Ubiquitous computing;Real-time systems;Fuels</t>
  </si>
  <si>
    <t>V. C. Pujol; S. Dustdar</t>
  </si>
  <si>
    <t>Towards a Prime Directive of SLOs</t>
  </si>
  <si>
    <t>2023 IEEE International Conference on Software Services Engineering (SSE)</t>
  </si>
  <si>
    <t>10.1109/SSE60056.2023.00019</t>
  </si>
  <si>
    <t>The promises of the computing continuum paradigm motivate a paradigm change for Internet-distributed computing systems. Unfortunately, we are still far from being able to develop computing continuum systems. We try to move one step forward in the direction of the computing continuum systems by defining design phases for the interconnection of the application with its underlying infrastructure. We assume that SLOs are critical to that endeavor. Hence, we analyze its usage in the scientific literature. Based on the learnings obtained, we define 9 design phases to provide homogeneity and common behaviors in large-scale, heterogeneous, distributed, and complex systems.</t>
  </si>
  <si>
    <t>979-8-3503-4075-4</t>
  </si>
  <si>
    <t>https://ieeexplore.ieee.org/stamp/stamp.jsp?arnumber=10234363</t>
  </si>
  <si>
    <t>Computing continuum systems;design phases;SLO;elasticity strategies</t>
  </si>
  <si>
    <t>Markov processes;Software;Behavioral sciences;Complex systems</t>
  </si>
  <si>
    <t>Z. Min; S. Gokhale; S. Shekhar; C. Mahmoudi; Z. Kang; Y. Barve; A. Gokhale</t>
  </si>
  <si>
    <t>A Classification Framework for IoT Network Traffic Data for Provisioning 5G Network Slices in Smart Computing Applications</t>
  </si>
  <si>
    <t>2023 IEEE International Conference on Smart Computing (SMARTCOMP)</t>
  </si>
  <si>
    <t>10.1109/SMARTCOMP58114.2023.00034</t>
  </si>
  <si>
    <t>Dept. of CS, Vanderbilt University, Nashville, TN, USA; Dept. of CSE, University of Connecticut, Storrs, CT, USA; Siemens Technology, Princeton, NJ, USA; Siemens Technology, Princeton, NJ, USA; Dept. of CS, Vanderbilt University, Nashville, TN, USA; Dept. of CS, Vanderbilt University, Nashville, TN, USA; Dept. of CS, Vanderbilt University, Nashville, TN, USA</t>
  </si>
  <si>
    <t>Existing massive deployments of IoT devices in support of smart computing applications across a range of domains must leverage critical features of 5G, such as network slicing, to receive differentiated and reliable services. However, the voluminous, dynamic, and heterogeneous nature of IoT traffic imposes complexities on the problems of network flow classification, network traffic analysis, and accurate quantification of the network requirements, thereby making the provisioning of 5G network slices across the application mix a challenging problem. To address these needs, we propose a novel network traffic classification approach that consists of a pipeline that combines Principal Component Analysis (PCA), with KMeans clustering and Hellinger distance. PCA is applied as the first step to efficiently reduce the dimensionality of features while preserving as much of the original information as possible. This significantly reduces the runtime of KMeans, which is applied as the second step. KMeans, being an unsupervised approach, eliminates the need to label data which can be cumbersome, error-prone, and time-consuming. In the third step, a Hellinger distance-based recursive KMeans algorithm is applied to merge similar clusters toward identifying the optimal number of clusters. This makes the final clustering results compact and intuitively interpretable within the context of the problem, while addressing the limitations of traditional KMeans algorithm, such as sensitivity to initialization and the requirement of manual specification of the number of clusters. Evaluation of our approach on a real-world IoT dataset demonstrates that the pipeline can compactly represent the dataset as three clusters. The service properties of these clusters can be easily inferred and directly mapped to different types of slices in the 5G network.</t>
  </si>
  <si>
    <t>979-8-3503-2281-1</t>
  </si>
  <si>
    <t xml:space="preserve">Siemens; </t>
  </si>
  <si>
    <t>https://ieeexplore.ieee.org/stamp/stamp.jsp?arnumber=10207621</t>
  </si>
  <si>
    <t>Network traffic classification;Unsupervised Machine Learning;Clustering;5G;Dynamic network slicing;Traffic analysis;Machine Learning</t>
  </si>
  <si>
    <t>Sensitivity;Runtime;5G mobile communication;Network slicing;Pipelines;Clustering algorithms;Telecommunication traffic</t>
  </si>
  <si>
    <t>P. M. Tshakwanda; H. Kumar; S. T. Arzo; M. Devetsikiotis</t>
  </si>
  <si>
    <t>SE-DO: Navigating the 6G Frontier with Scalable and Efficient DevOps for Intelligent Agents Optimization</t>
  </si>
  <si>
    <t>2024 IEEE 14th Annual Computing and Communication Workshop and Conference (CCWC)</t>
  </si>
  <si>
    <t>10.1109/CCWC60891.2024.10427717</t>
  </si>
  <si>
    <t>Department of Electrical and Computer Engineering, University of New Mexico, USA; Department of Electrical and Computer Engineering, University of New Mexico, USA; Department of Electrical and Computer Engineering, University of New Mexico, USA; Department of Electrical and Computer Engineering, University of New Mexico, USA</t>
  </si>
  <si>
    <t>In the imminent era of 6G dominance and the expanding realm of interconnected IoT devices, ensuring seamless connectivity is vital. This paper introduces the Scalable and Efficient DevOps (SE-DO) methodology‚Äîa scalable multi-agent system designed for next-gen networks. SE-DO‚Äôs avant-garde architecture dynamically integrates new agents, mirroring evolving IoT ecosystems. Two sets of agents manage vast IoT data in urban matrices: extraction agents collect, and preprocessing agents refine for computational tasks. Anticipating 6G‚Äôs prowess, training agents optimize machine learning models for real-time traffic analytics. Augmented by predictor agents, SE-DO prioritizes accuracy, efficiency, and security, validated empirically. SE-DO‚Äôs adaptability ensures scalable proficiency amid IoT integrations, facilitating a smooth transition to the 6G era. Addressing IoT challenges, SE-DO, rooted in a robust multi-agent system, optimizes agent performance in resource-constrained environments. Real-world experiments highlight SE-DO‚Äôs high accuracy and efficiency, making it pivotal for future network optimization. Access SE-DO‚Äôs future on GitHub‚Äîwhere innovation meets accessibility. As next-gen networks demand reliable solutions, SE-DO emerges as an indispensable tool for navigating emergent network paradigms.</t>
  </si>
  <si>
    <t>979-8-3503-6013-4</t>
  </si>
  <si>
    <t>https://ieeexplore.ieee.org/stamp/stamp.jsp?arnumber=10427717</t>
  </si>
  <si>
    <t>Software-Defined Networking;Microservices;Intelligent Agent;Docker Container;DevOps;5G;6G</t>
  </si>
  <si>
    <t>6G mobile communication;DevOps;Computer architecture;Internet of Things;Intelligent agents;Optimization;Multi-agent systems</t>
  </si>
  <si>
    <t>H. Li; Y. Zhao; Z. Liu; W. Liu</t>
  </si>
  <si>
    <t>A Distributed Microservice Scheduling Optimization Method</t>
  </si>
  <si>
    <t>2023 IEEE International Conference on Control, Electronics and Computer Technology (ICCECT)</t>
  </si>
  <si>
    <t>10.1109/ICCECT57938.2023.10140990</t>
  </si>
  <si>
    <t>Beijing Key Laboratory on Integration and Analysis of Large-Cale Stream Data, North China University of Technology, Beijing, China; Beijing Key Laboratory on Integration and Analysis of Large-Cale Stream Data, North China University of Technology, Beijing, China; Beijing Key Laboratory on Integration and Analysis of Large-Cale Stream Data, North China University of Technology, Beijing, China; Beijing Key Laboratory on Integration and Analysis of Large-Cale Stream Data, North China University of Technology, Beijing, China</t>
  </si>
  <si>
    <t>In the current Internet of Things environment, factors affecting scheduling are gradually increasing, and service performance is affected. There may be service delays, service non-response, and service feedback error messages. At the same time, service scheduling needs to be continued. Therefore, the scheduling The algorithm puts forward higher requirements. This paper proposes a scheduling algorithm based on depth-determined policy gradient (DDPG). By combining deep learning and reinforcement learning, it solves the problem of continuous action control and constructs a policy network and a value network. Double network structure to solve the problem of slow algorithm convergence. Secondly, this paper designs a microservice-based visual monitoring system to obtain the experimental data required by the algorithm and verify the effectiveness of the algorithm. Finally, 30 sets of data collected by the monitoring system are used to test and analyze the resource balance and service delay on the node in combination with the constraints of service and data dependency, and compare the delay and resource utilization with three typical algorithms. Experiments show that DDPG can show better performance under various constraints of the complex environment of the Internet of Things.</t>
  </si>
  <si>
    <t>979-8-3503-9902-8</t>
  </si>
  <si>
    <t>https://ieeexplore.ieee.org/stamp/stamp.jsp?arnumber=10140990</t>
  </si>
  <si>
    <t>deep reinforcement learning;internet of things;scheduling;microservice</t>
  </si>
  <si>
    <t>Deep learning;Visualization;Scheduling algorithms;Microservice architectures;Reinforcement learning;Scheduling;Delays</t>
  </si>
  <si>
    <t>M. Zamkovyi; S. Gavrylenko; K. Khatsko; N. Khatsko</t>
  </si>
  <si>
    <t>Algorithmic Support for Building a Distributed IoT System in a Cloud Service</t>
  </si>
  <si>
    <t>2023 IEEE 4th KhPI Week on Advanced Technology (KhPIWeek)</t>
  </si>
  <si>
    <t>10.1109/KhPIWeek61412.2023.10312994</t>
  </si>
  <si>
    <t>dept. Information Systems and Technologies, National Technical University ¬´Kharkiv Polytechnic Institute¬ª, Kharkiv, Ukraine; Department of Computer Engineering and Programming, National Technical University ‚ÄúKharkiv Polytechnic Institute‚Äù, Kharkiv, Ukraine; dept. Information Systems and Technologies, National Technical University ¬´Kharkiv Polytechnic Institute¬ª, Kharkiv, Ukraine; dept. Information Systems and Technologies, National Technical University ¬´Kharkiv Polytechnic Institute¬ª, Kharkiv, Ukraine</t>
  </si>
  <si>
    <t>The Internet of Things (IoT) today already connects billions of different IoT devices with the Internet. With the advent of new services and services, new challenges arise: how to make a cloud service publicly available, and reliable, how and where to store data. The article considers an example of the implementation of an IoT application with cloud components, considers the implementation of connecting IoT components to a cloud provider, and presents the IoT architecture. The focus is on the architecture and implementation of data exchange protocols, the implementation of protocols? for data collection and management of remote system components Given the large amount of data transmitted by IoT devices to the cloud, data compression and interaction with cloud services is a very relevant topic. Therefore, the article also offers recommendations for managing the traffic of IoT devices. The purpose of this article is to provide a description and algorithm for connecting IoT devices to the cloud, to bring together disparate information, and make it open and understandable to beginners and academic researchers.</t>
  </si>
  <si>
    <t>979-8-3503-9553-2</t>
  </si>
  <si>
    <t>https://ieeexplore.ieee.org/stamp/stamp.jsp?arnumber=10312994</t>
  </si>
  <si>
    <t>IoT Cloud;ESP32 Cloud;IoT Pub/Sub;MQTT;IoT GCP</t>
  </si>
  <si>
    <t>Cloud computing;Protocols;Architecture;Scalability;Buildings;Software algorithms;Computer architecture</t>
  </si>
  <si>
    <t>R. Jaswal; K. Kaur</t>
  </si>
  <si>
    <t>Relevance of Load Balancing in Cloud Computing-A Critical Study</t>
  </si>
  <si>
    <t>2023 3rd International Conference on Advance Computing and Innovative Technologies in Engineering (ICACITE)</t>
  </si>
  <si>
    <t>10.1109/ICACITE57410.2023.10183276</t>
  </si>
  <si>
    <t>University of Computing, Chandigarh University, Mohali, India; University of Computing, Chandigarh University, Mohali, India</t>
  </si>
  <si>
    <t>The "cloud computing" paradigm of today describes the provision of services over the Internet. Load balancing is an essential component of cloud computing because it keeps certain nodes from being overworked while others are idle or just performing minimal work. Load balancing improves resource utilisation, throughput, performance, cost, and response time. This study looks at the necessity for load balancing, load balancing matrices, load balancing rules, load balancing algorithms, as well as challenges and issues with load balancing.</t>
  </si>
  <si>
    <t>979-8-3503-9926-4</t>
  </si>
  <si>
    <t>https://ieeexplore.ieee.org/stamp/stamp.jsp?arnumber=10183276</t>
  </si>
  <si>
    <t>Cloud computing;load balancing;load balancing algorithms;task scheduling;virtual machine</t>
  </si>
  <si>
    <t>Measurement;Cloud computing;Costs;System performance;Green computing;Load management;Throughput</t>
  </si>
  <si>
    <t>M. F. De Aguiar; J. K. S. Carvalho; V. De A. Rodrigues; A. F. Chabi; J. V. Da S. Campos; L. R. Lopes; J. O. De Sousa</t>
  </si>
  <si>
    <t>Performance Analysis of 5G Voice Solutions via EPS Fallback and VoNR</t>
  </si>
  <si>
    <t>2023 IEEE Latin-American Conference on Communications (LATINCOM)</t>
  </si>
  <si>
    <t>2689-7563</t>
  </si>
  <si>
    <t>10.1109/LATINCOM59467.2023.10361889</t>
  </si>
  <si>
    <t>Sidia Institute of Science and Technology, Manaus, Brazil; Sidia Institute of Science and Technology, Manaus, Brazil; Sidia Institute of Science and Technology, Manaus, Brazil; Sidia Institute of Science and Technology, Manaus, Brazil; Sidia Institute of Science and Technology, Manaus, Brazil; Sidia Institute of Science and Technology, Manaus, Brazil; Sidia Institute of Science and Technology, Manaus, Brazil</t>
  </si>
  <si>
    <t>The rapid global adoption of 5G technology neces-sitates the optimization of network parameters and voice quality to ensure an unparalleled user experience. To address this, we present a comprehensive evaluation of New Radio (NR) voice solutions in the context of 5G-enabled mobile devices. In our study, we meticulously examined the call reception performance of three mobile devices, each equipped with modem chipsets from different manufacturers, within a controlled laboratory environment. Our data show that Device A and Device B, both compliant with 3GPP Release 15, display similar performance metrics despite using different modem chipsets. In contrast, device C, aligned with 3GPP Release 16, achieved a remarkable reduction in average Call Setup Time (CST) by 78.31% for Voice over New Radio (VoNR) and 95.72% for Evolved Packet System Fallback (EPS Fallback), relative to the combined CST of devices A and B. Our findings confirm that VoNR outperforms EPS Fallback in facilitating faster call setup times. This study addresses the pivotal matter of voice services over 5G during the deployment of 5G networks. It underscores the potential of emerging technologies to markedly improve user experience and reinforces the telecommunications industry's dedication to 5G service optimization.</t>
  </si>
  <si>
    <t>979-8-3503-2687-1</t>
  </si>
  <si>
    <t>https://ieeexplore.ieee.org/stamp/stamp.jsp?arnumber=10361889</t>
  </si>
  <si>
    <t>VoNR;5G;EPS Fallback;VoLTE;Voice Call;IMS</t>
  </si>
  <si>
    <t>Performance evaluation;Modems;New Radio;User experience;Mobile handsets;Time measurement;Delays</t>
  </si>
  <si>
    <t>D. Zinyongo; S. Kumar; A. K. Rajpoot</t>
  </si>
  <si>
    <t>A Comprehensive Review on Energy Efficient Internet of Things based Wireless Sensor Network</t>
  </si>
  <si>
    <t>2023 International Conference on Computing, Communication, and Intelligent Systems (ICCCIS)</t>
  </si>
  <si>
    <t>10.1109/ICCCIS60361.2023.10425545</t>
  </si>
  <si>
    <t>Department of Computer Science &amp; Engineering, Sharda University, Greater Noida, India; Department of Computer Science &amp; Engineering, Sharda University, Greater Noida, India; Department of Computer Science &amp; Engineering, Sharda University, Greater Noida, India</t>
  </si>
  <si>
    <t>The Internet of Things (loT) has become an important aspect in various domains such as smart cities, healthcare and industrial revolution. There are various concerns of energy consumption ever since the widespread of IOT due to their imitation on the use of resources when it comes to lOT based Wireless sensor Networks, energy efficiency is essential to ensure optimal and cost-effective deployment. This study is a review of energy-efficient lOT based Wireless sensor Networks (WSN), mail focusing on the methods and techniques that can be employed to optimize energy consumption of lOT devices. This study covers various aspects of energy-optimal lOT based WSN including machine leaning approaches and energy efficient communication protocols.</t>
  </si>
  <si>
    <t>979-8-3503-0611-8</t>
  </si>
  <si>
    <t>https://ieeexplore.ieee.org/stamp/stamp.jsp?arnumber=10425545</t>
  </si>
  <si>
    <t>Internet of Things (IoT);Energy Efficiency;Radio-frequency Identification;Low Power Wide Area;Sensor Network (NS);Wireless Sensor Network (WSN)</t>
  </si>
  <si>
    <t>Wireless sensor networks;Energy consumption;Protocols;Smart cities;Energy efficiency;Sensor systems;Internet of Things</t>
  </si>
  <si>
    <t>A. Samanta; F. Esposito; T. G. Nguyen</t>
  </si>
  <si>
    <t>ASAP: Adaptive and Scalable Microservice Provisioning for Edge-IoT Networks</t>
  </si>
  <si>
    <t>2023 18th Wireless On-Demand Network Systems and Services Conference (WONS)</t>
  </si>
  <si>
    <t>10.23919/WONS57325.2023.10062045</t>
  </si>
  <si>
    <t>University of Utah, USA; Saint Louis University, USA; FPT University, Vietnam</t>
  </si>
  <si>
    <t>The edge computing paradigm aims at provisioning compute and storage resources from Internet-of-Things (IoT)-enabled devices at the network edge, while disseminating the end-to-end latency and increasing mobile computational capacity. For scalable provisioning of microservices, recently proposed methods frequently need a priori information on the microservice type, computational capacity, and other parameters. In the presence of such restrictions, the present methods need to face lower quality of experience for mission-critical and resource-hungry applications. In this paper, we study the problem of microservice provisioning for mobile edge computing, and we propose an adaptive and scalable solution. The core of our optimal microservice differentiation scheme is ASAP, a microservice-level abstraction for the orchestration of network resources. ASAP provides adaptive and scalable microservice provisioning by minimizing microservice delay, while maximizing the network throughput. With a prototype tested over a local testbed and trace-driven simulations, we show how ASAP increases throughput compared to other solutions based on the executions of microservices at the edge.</t>
  </si>
  <si>
    <t>978-3-903176-56-0</t>
  </si>
  <si>
    <t>https://ieeexplore.ieee.org/stamp/stamp.jsp?arnumber=10062045</t>
  </si>
  <si>
    <t>Wireless communication;Adaptive systems;Multi-access edge computing;Mission critical systems;Microservice architectures;Prototypes;Throughput</t>
  </si>
  <si>
    <t>A. Mousa; K. Elgazzar</t>
  </si>
  <si>
    <t>Six Leads Are All You Need for Efficient Cardiac Analysis</t>
  </si>
  <si>
    <t>2023 IEEE Global Conference on Artificial Intelligence and Internet of Things (GCAIoT)</t>
  </si>
  <si>
    <t>10.1109/GCAIoT61060.2023.10385116</t>
  </si>
  <si>
    <t>IoT Research Laboratory, Electrical, Computer and Software Engineering, Ontario Tech University, Oshawa, Canada; IoT Research Laboratory, Electrical, Computer and Software Engineering, Ontario Tech University, Oshawa, Canada</t>
  </si>
  <si>
    <t>Electrocardiography (ECG) serves as a noninvasive method of monitoring the electrical activity of the heart by employing electrodes attached to the skin. These electrodes detect the minuscule electrical signals generated by the heart‚Äôs activity. A conventional ECG, known as a 12-lead ECG, necessitates the positioning of 12 electrodes across the body to yield a detailed perspective of the heart‚Äôs electrical function. Our study introduces an innovative approach to real-time ECG signal classification, using a maximum of six leads, with the aim of reducing the time and resources dedicated to data acquisition and signal processing without compromising accuracy. We introduce a technique for grouping leads and assess the performance of the classification of ECG signals on various leads. Our findings indicate that implementing lead-wise grouping with up to six leads results in a 93.67% reduction in sampling time, a 50% decrease in data size on the acquisition device, and an 84.72% cut in signal processing time, all while experiencing a minimal accuracy decrease of 0.08%. The efficacy of the proposed lead grouping has been assessed through the Kafka real-time platform.</t>
  </si>
  <si>
    <t>979-8-3503-8202-0</t>
  </si>
  <si>
    <t>https://ieeexplore.ieee.org/stamp/stamp.jsp?arnumber=10385116</t>
  </si>
  <si>
    <t>Electrocardiography (ECG);ECG Signal Processing;Multi-class classification;ECG Lead Grouping;Artificial Intelligence (AI);Heart Disease Diagnosis</t>
  </si>
  <si>
    <t>Electrodes;Performance evaluation;Three-dimensional displays;Pattern classification;Electrocardiography;Signal processing;Lead</t>
  </si>
  <si>
    <t>F. Qayyum; N. Iqbal; H. Jamil; A. Rizwan; A. N. Khan; R. Ahmad; S. Khan; D. H. Kim</t>
  </si>
  <si>
    <t>Energy Trading Framework Based on IoT and Digital Twin for Nanogrid Environment</t>
  </si>
  <si>
    <t>2023 IEEE International Conference on Metaverse Computing, Networking and Applications (MetaCom)</t>
  </si>
  <si>
    <t>10.1109/MetaCom57706.2023.00142</t>
  </si>
  <si>
    <t>Department of Computer Engineeirng, Jeju National University, Jeju, South Korea; Department of Computer Engineeirng, Jeju National University, Jeju, South Korea; Department of Computer Engineeirng, Jeju National University, Jeju, South Korea; Department of Computer Engineeirng, Jeju National University, Jeju, South Korea; Department of Computer Engineeirng, Jeju National University, Jeju, South Korea; Department of Computer Engineeirng, Jeju National University, Jeju, South Korea; Department of Computer Engineeirng, Jeju National University, Jeju, South Korea; Department of Computer Engineeirng, Jeju National University, Jeju, South Korea</t>
  </si>
  <si>
    <t>The Internet of Things (IoT) has brought a significant revolution across various domains, such as healthcare and navigation systems, by introducing mission-critical capabilities. However, we argue that the full potential of IoT remains untapped in the energy sector. It has become essential to shift the paradigm of traditional mission-critical electric power architectures to IoT-enabled fully orchestrated architectures to enhance architecture performance by exploiting digital twin technology. In this study, we propose IoT-enabled task orchestration, specifically designed for efficient nanogrid energy trading operations. Network orchestration involves automating the interaction between multiple components to execute a specific service. The proposed architecture implements the entire nanogrid energy trading operation in a virtualized manner encompassing five main steps: (1) task generation (2) virtual object creation (3) task mapping (4) task scheduling and (5) task allocation and deployment. The performance of the proposed model is evaluated using a simulation data set from nanogrid houses. The results demonstrate that IoT task orchestration plays a pivotal role in efficient energy trading operations involving critical energy trading tasks.</t>
  </si>
  <si>
    <t>979-8-3503-3333-6</t>
  </si>
  <si>
    <t xml:space="preserve">National Research Foundation; </t>
  </si>
  <si>
    <t>https://ieeexplore.ieee.org/stamp/stamp.jsp?arnumber=10271906</t>
  </si>
  <si>
    <t>IoT;digital twin;smart grid;energy trading;optimization</t>
  </si>
  <si>
    <t>Navigation;Metaverse;Mission critical systems;Computer architecture;Medical services;Digital twins;Power systems</t>
  </si>
  <si>
    <t>S. K. Sahoo; A. Dash; D. R. Vemula; C. K. Swain; S. K. Mishra</t>
  </si>
  <si>
    <t>Latency Aware - Resource Planning in Edge Using Fuzzy Logic</t>
  </si>
  <si>
    <t>2023 2nd International Conference on Ambient Intelligence in Health Care (ICAIHC)</t>
  </si>
  <si>
    <t>10.1109/ICAIHC59020.2023.10431439</t>
  </si>
  <si>
    <t>Department of CSE, SRM University, AP, India; Department of CSE, SRM University, AP, India; Department of CSE, SRM University, AP, India; Department of CSE, SRM University, AP, India; Department of CSE, SRM University, AP, India</t>
  </si>
  <si>
    <t>As a potential paradigm for enabling effective and low-latency computation at the network's edge, edge computing has recently come into the spotlight. In edge computing environments, resource allocation is essential for ensuring the best possible resource utilization while still satisfying application requirements. Traditional resource allocation algorithms, however, struggle to effectively capture the uncertainties and ambiguity associated with resource availability and application needs because of the dynamic and varied nature of edge environments. This research offers a fuzzy logic-based method for planning to allocate resources in edge computing. Fuzzy logic offers a flexible and understandable framework for modeling and reasoning with imperfect and ambiguous data. The suggested method offers a more reliable and adaptable resource allocation system that can successfully address the uncertainties present in edge computing by utilizing fuzzy logic. The resource allocation process incorporates fuzzy membership functions to capture the vagueness of resource availability and application requirements. Fuzzy rules are defined to map the linguistic variables representing resource availability, application demands, and performance objectives to appropriate resource allocation decisions. The fuzzy inference engine then utilizes these rules to make intelligent decisions regarding resource allocation, considering the fuzzy inputs and the system's predefined objectives.</t>
  </si>
  <si>
    <t>979-8-3503-4488-2</t>
  </si>
  <si>
    <t>https://ieeexplore.ieee.org/stamp/stamp.jsp?arnumber=10431439</t>
  </si>
  <si>
    <t>Fuzzy Logic;Edge Computing;Latency aware;Resource Allocation</t>
  </si>
  <si>
    <t>Fuzzy logic;Uncertainty;Heuristic algorithms;User experience;Planning;Resource management;Edge computing</t>
  </si>
  <si>
    <t>R. V. Raja; G. Santhi</t>
  </si>
  <si>
    <t>Enhancing Microservices Efficiency: Integrating Adaptive Learning for Automated Scaling in Cloud Environments</t>
  </si>
  <si>
    <t>2024 3rd International Conference for Innovation in Technology (INOCON)</t>
  </si>
  <si>
    <t>10.1109/INOCON60754.2024.10512047</t>
  </si>
  <si>
    <t>Department of Information Technology, Puducherry Technological University; Department of Information Technology, Puducherry Technological University</t>
  </si>
  <si>
    <t>Cloud services have experienced rapid growth, leading to an escalation in challenges related to service monitoring and resulting in higher maintenance costs. The size of cloud applications has expanded, and the workload on the cloud system application fluctuates over time, progressively increasing. The cloud's capability to manage additional resources and relinquish them during periods of inactivity is a valuable feature. However, traditional monolithic applications pose difficulties in terms of maintenance. To address this issue, the transformation of cloud applications into microservices has proven effective. Microservices comprise heterogeneous services with intricate communication patterns, aiming to enhance scalability and facilitate flexible provisioning. This paper proposes the integration of adaptive learning into Cloud Watch, enabling automatic, data-driven scaling decisions. This approach enhances the cost- and time-effectiveness of microservices, presenting a solution to the challenges associated with managing monolithic applications.</t>
  </si>
  <si>
    <t>979-8-3503-8193-1</t>
  </si>
  <si>
    <t>https://ieeexplore.ieee.org/stamp/stamp.jsp?arnumber=10512047</t>
  </si>
  <si>
    <t>Adaptive Learning;Auto Scaling;Cloud Microservices</t>
  </si>
  <si>
    <t>Adaptive learning;Technological innovation;Costs;Scalability;Microservice architectures;Maintenance;Monitoring</t>
  </si>
  <si>
    <t>D. Gritto; T. S. Vasughi</t>
  </si>
  <si>
    <t>Enhancing Cloud Services: Streamlining Performance Metrics and Cloudlet Scheduling</t>
  </si>
  <si>
    <t>2023 2nd International Conference on Automation, Computing and Renewable Systems (ICACRS)</t>
  </si>
  <si>
    <t>10.1109/ICACRS58579.2023.10404522</t>
  </si>
  <si>
    <t>Department of Computer Science, SRM Arts and Science College, Chengalpet, Tamilnadu, India; Department of Computer Applications and Technology, SRM Arts and Science College, Chengalpet, Tamilnadu, India</t>
  </si>
  <si>
    <t>Enhancing cloud service is the primary goal of cloud stakeholders. It is a comprehensive goal that can be achieved through optimizing performance metrics, effective resource utilization, and prioritizing user satisfaction. These performance metrics, also called Quality of Service (QoS) metrics, are mentioned in the Service Level Agreement (SLA), a contractual document. Optimizing metrics, resource utilization, and user experience requires continuous monitoring systems and cloud technologies such as virtualization, scheduling, migration, consolidation, load balancing, etc. Scheduling cloudlets, virtual machines, and load balancing are crucial for achieving the SLA enumerated QoS and other key demands. In order to monitor the performance and evaluate the effectiveness of any cloud service knowledge on key performance metrics, scheduling and load balancing become imperative. This paper is orchestrated to identify essential performance metrics and explore how scheduling and load balancing algorithms enhance cloud performance. Additionally, it seeks to conduct a comparative evaluation of FCFS, SJF, Min-Min, Max-Min, RASA, Suffrage, and TASA cloudlet scheduling algorithms using CloudSim. This evaluation focuses on key scheduling metrics, including average waiting time, makespan, virtual machine utilization ratio, and load balancing.</t>
  </si>
  <si>
    <t>979-8-3503-4023-5</t>
  </si>
  <si>
    <t>https://ieeexplore.ieee.org/stamp/stamp.jsp?arnumber=10404522</t>
  </si>
  <si>
    <t>Metrics-SLA-QoS-Scheduling-Load Balancing</t>
  </si>
  <si>
    <t>Measurement;Cloud computing;Scheduling algorithms;Minimax techniques;Load management;Virtual machining;Service level agreements</t>
  </si>
  <si>
    <t>V. Barbuto; C. Savaglio; R. Minerva; N. Crespi; G. Fortino</t>
  </si>
  <si>
    <t>Towards an Edge Intelligence-Based Traffic Monitoring System</t>
  </si>
  <si>
    <t>10.1109/SMC53992.2023.10393907</t>
  </si>
  <si>
    <t>Dept. of Informatics, Modelling, Electronics and Systems (DIMES), University of Calabria, Rende, Italy; Dept. of Informatics, Modelling, Electronics and Systems (DIMES), University of Calabria, Rende, Italy; Dept. of Wireless Networks and Multimedia Services, Telecom SudParis, Institut Poly technique de Paris, Evry, France; Dept. of Informatics, Modelling, Electronics and Systems (DIMES), University of Calabria, Rende, Italy; Dept. of Informatics, Modelling, Electronics and Systems (DIMES), University of Calabria, Rende, Italy</t>
  </si>
  <si>
    <t>Cities have undergone significant changes due to the rapid increase in urban population, heightened demand for resources, and growing concerns over climate change. To address these challenges, digital transformation has become a necessity. Recent advancements in Artificial Intelligence (AI) and sensing techniques, such as synthetic sensing, can elevate Digital Twins (DTs) from digital copies of physical objects to effective and efficient platforms for data collection and in-situ processing. In such a scenario, this paper presents a compre-hensive approach for developing a Traffic Monitoring System (TMS) based on Edge Intelligence (EI), specifically designed for smart cities. Our approach prioritizes the placement of intelligence as close as possible to data sources, and leverages an ‚Äúopportunistic‚Äù interpretation of DT (ODT), resulting in a novel and interdisciplinary strategy to re-engineering large-scale distributed smart systems. The preliminary results of the proposed system have shown that moving computation to the edge of the network provides several benefits, including (i) enhanced inference performance, (ii) reduced bandwidth and power consumption, (iii) and decreased latencies with respect to the classic cloud -centric approach.</t>
  </si>
  <si>
    <t>https://ieeexplore.ieee.org/stamp/stamp.jsp?arnumber=10393907</t>
  </si>
  <si>
    <t>Smart cities;Soft sensors;Clouds;Vehicle detection;Systems architecture;Water quality;Artificial intelligence</t>
  </si>
  <si>
    <t>A. Tayal; G. Bhatia; J. Singh; M. Bansal; G. Anitha</t>
  </si>
  <si>
    <t>Security Challenges and Future Privacy Perspectives in Cloud Computing for Smart City Environments</t>
  </si>
  <si>
    <t>2023 International Conference on Power Energy, Environment &amp; Intelligent Control (PEEIC)</t>
  </si>
  <si>
    <t>10.1109/PEEIC59336.2023.10451628</t>
  </si>
  <si>
    <t>Electrical Engineering Department, GL Bajaj Institute of Technology &amp; Management, Gr. Noida, India; Computer Application Department, GL Bajaj Institute of Technology &amp; Management, Gr. Noida, India; Electrical Engineering Department, GL Bajaj Institute of Technology &amp; Management, Gr. Noida, India; Electrical Engineering Department, GL Bajaj Institute of Technology &amp; Management, Gr. Noida, India; Department of Computer Science and Information Technology, Institute of Aeronautical 5Engineering, Hyderabad</t>
  </si>
  <si>
    <t>The context of smart cities and cloud computing is essential to understanding the broader landscape in which security challenges and privacy perspectives play pivotal roles in enhancing the quality of life for the residents in smart cities. Smart cities use information and communication technologies (ICT) to optimize resource efficiency. They leverage data, sensors, and connectivity to improve various aspects of urban living, including transportation, energy usage, public services, and sustainability. Cloud computing is an integral part of the infrastructure of smart cities that enables the collection, storage, analysis, and sharing of data and services. This research paper indicates many factors and challenges in the development of cloud-enabled smart city areas and provides potential recommendations. A guideline for future studies on this research topic has also been provided to serve the comparative analysis of the various findings and results.</t>
  </si>
  <si>
    <t>979-8-3503-5776-9</t>
  </si>
  <si>
    <t>https://ieeexplore.ieee.org/stamp/stamp.jsp?arnumber=10451628</t>
  </si>
  <si>
    <t>Smart City;Cloud computing;Cyber Security;Data computing;Internet of Things (IoT)</t>
  </si>
  <si>
    <t>Cloud computing;Data privacy;Privacy;Smart cities;Collaboration;Transportation;Information and communication technology</t>
  </si>
  <si>
    <t>M. Kim</t>
  </si>
  <si>
    <t>Software Engineering for Data Intensive Scalable Computing and Heterogeneous Computing</t>
  </si>
  <si>
    <t>2023 IEEE/ACM International Conference on Software Engineering: Future of Software Engineering (ICSE-FoSE)</t>
  </si>
  <si>
    <t>10.1109/ICSE-FoSE59343.2023.00006</t>
  </si>
  <si>
    <t>UCLA, Los Angeles, USA</t>
  </si>
  <si>
    <t>With the development of big data, machine learning, and AI, existing software engineering techniques must be re-imagined to provide the productivity gains that developers desire. Furthermore, specialized hardware accelerators like GPUs or FPGAs have become a prominent part of the current computing landscape. However, developing heterogeneous applications is limited to a small subset of programmers with specialized hardware knowledge. To improve productivity and performance for data-intensive and compute-intensive development, now is the time that the software engineering community should design new waves of refactoring, testing, and debugging tools for big data analytics and heterogeneous application development. In this paper, we overview software development challenges in this new data-intensive scalable computing and heterogeneous computing domain. We describe examples of automated software engineering (debugging, testing, and refactoring) techniques that target this data and compute intensive domain and share lessons learned from building these techniques.</t>
  </si>
  <si>
    <t>979-8-3503-2496-9</t>
  </si>
  <si>
    <t xml:space="preserve">National Science Foundation(grant numbers:1764077,1956322,2106838,2106404); ONR(grant numbers:N00014-18-1-2037); </t>
  </si>
  <si>
    <t>https://ieeexplore.ieee.org/stamp/stamp.jsp?arnumber=10449671</t>
  </si>
  <si>
    <t>data-intensive scalable computing;heterogeneous computing;big data analytics;debugging;testing;refactoring;software development tools</t>
  </si>
  <si>
    <t>Productivity;Debugging;Big Data;Heterogeneous networks;Software;Software engineering;Testing</t>
  </si>
  <si>
    <t>I. Syrigos; D. Kefalas; N. Makris; T. Korakis</t>
  </si>
  <si>
    <t>EELAS: Energy Efficient and Latency Aware Scheduling of Cloud-Native ML Workloads</t>
  </si>
  <si>
    <t>10.1109/COMSNETS56262.2023.10041344</t>
  </si>
  <si>
    <t>Dept. of Electrical and Computer Engineering, University of Thessaly, Greece; Dept. of Electrical and Computer Engineering, University of Thessaly, Greece; Dept. of Electrical and Computer Engineering, University of Thessaly, Greece; Dept. of Electrical and Computer Engineering, University of Thessaly, Greece</t>
  </si>
  <si>
    <t>The widespread use of microservices and the use of cloud-native methodologies for the deployment of services have increased the service providers' flexibility and management efficiency. As the available resources for scheduling such work-loads have extended the boundaries of traditional datacenters to the fog, edge, and beyond -edge, the scheduling of challenging workloads must also account for energy efficiency, as these devices are typically battery-powered and resource-constrained, while maintaining acceptable performance. Specifically for ML inference workloads, provisioning and access latency plays a cru-cial role in their successful operation. Towards combating these issues, we design, develop, and evaluate our platform for Energy Efficient Latency-Aware Scheduling (EELAS) of workloads. First, we formulate the scheduling problem as an ILP problem, and then we develop a less complex heuristic method that allows the efficient allocation of resources within the continuum. Our EELAS prototype integrates with Kubernetes and is capable of reducing the overall energy consumption of cloud-to-things resources while accounting for latency of ML workloads. Our evaluation in real-world settings reveals significant energy gains for scheduling ML inference tasks, also reachable with the minimum possible latency from far-edge devices.</t>
  </si>
  <si>
    <t>https://ieeexplore.ieee.org/stamp/stamp.jsp?arnumber=10041344</t>
  </si>
  <si>
    <t>cloud-to-things continuum;energy efficiency;latency aware;workload scheduling;testbed</t>
  </si>
  <si>
    <t>Training;Performance evaluation;Learning systems;Heuristic algorithms;Prototypes;Microservice architectures;Energy efficiency</t>
  </si>
  <si>
    <t>B. Wang; D. Irwin; P. Shenoy; D. Towsley</t>
  </si>
  <si>
    <t>INVAR: Inversion Aware Resource Provisioning and Workload Scheduling for Edge Computing</t>
  </si>
  <si>
    <t>IEEE INFOCOM 2024 - IEEE Conference on Computer Communications</t>
  </si>
  <si>
    <t>10.1109/INFOCOM52122.2024.10621417</t>
  </si>
  <si>
    <t>University of Massachusetts, Amherst, USA; University of Massachusetts, Amherst, USA; University of Massachusetts, Amherst, USA; University of Massachusetts, Amherst, USA</t>
  </si>
  <si>
    <t>Edge computing is emerging as a complementary architecture to cloud computing to address some of its associated issues. One of the major advantages of edge computing is that edge data centers are usually much closer to users compared to traditional cloud data centers. Therefore, it is commonly believed that for developers of latency-sensitive applications, they can effectively reduce the overall end-to-end latency by simply transitioning from a cloud deployment to an edge deployment. However, as recent work has shown, the performance of an edge deployment is vulnerable to a couple of factors which under many practical scenarios can lead to edge servers providing worse end-to-end response time than cloud servers. This phenomenon is referred to as edge performance inversion. In this paper, we propose resource allocation and workload scheduling algorithms that actively prevent edge performance inversion. Our algorithms, named INVAR, are based on queueing theory results and optimization techniques. Evaluation results show that INVAR can find a near-optimal solution that outperforms the performance of a cloud deployment by an adjustable margin. Simulation results based on production workloads from Akamai data centers show that INVAR can outperform common heuristic-based edge deployment by 11% to 24% in real-world scenarios.</t>
  </si>
  <si>
    <t>979-8-3503-8350-8</t>
  </si>
  <si>
    <t xml:space="preserve">National Science Foundation; Arm; </t>
  </si>
  <si>
    <t>https://ieeexplore.ieee.org/stamp/stamp.jsp?arnumber=10621417</t>
  </si>
  <si>
    <t>edge computing;cloud computing;model-driven resource management</t>
  </si>
  <si>
    <t>Cloud computing;Data centers;Scheduling algorithms;Simulation;Production;Servers;Resource management</t>
  </si>
  <si>
    <t>S. Kasture; S. Maurya; R. Verma; N. Pathak; P. Joshi; N. Rakesh</t>
  </si>
  <si>
    <t>Green Cloud Computing for the Metaverse: Powering the Future of the Internet with Renewable Energy</t>
  </si>
  <si>
    <t>2024 11th International Conference on Reliability, Infocom Technologies and Optimization (Trends and Future Directions) (ICRITO)</t>
  </si>
  <si>
    <t>2769-2884</t>
  </si>
  <si>
    <t>10.1109/ICRITO61523.2024.10522167</t>
  </si>
  <si>
    <t>Symbiosis Institute of Technology, Nagpur Campus, Symbiosis International (Deemed University), Pune, Nagpur, India; Symbiosis Institute of Technology, Nagpur Campus, Symbiosis International (Deemed University), Pune, Nagpur, India; Department of Computer Science &amp; Engineering, Graphic Era (Deemed to be University), Dehradun, India; Bhagwan Parshuram Institute of Technology (BPIT), G.G.S. Indraprastha University, New Delhi, India; Department of CSE, Graphic Era Hill University, Bhimtal Campus, Bhimtal, India; Symbiosis Institute of Technology, Nagpur Campus, Symbiosis International (Deemed University), Pune, Nagpur, India</t>
  </si>
  <si>
    <t>The emergence of the Metaverse is expected to significantly increase the energy demands on cloud computing infrastructure and data centres. Data centres heavily rely heavily on non-renewable energy sources like fossil fuels, resulting in high carbon emissions. This paper explores Green Cloud Computing (GCC) techniques to enable sustainable, energy-efficient cloud architecture for metaverse platforms. A multifaceted model is proposed, encompassing smart grid deployment, on-site renewable energy integration, energy storage solutions and real-time analytics. Specific strategies include advanced metering infrastructure, microgrids, solar panels, wind turbines, batteries, compressed air, and thermal storage. The model aims to minimise fossil fuel dependence and carbon emissions by transitioning to renewable energy sources. Smart grid optimisation can potentially maximise the utilisation of green power by 10-15%. On-site solar may provide 20-60% of data center energy needs, and wind turbines over 25%. Storage solutions, including batteries, compressed air and thermal, can meet 10-25% of demand fluctuations. Optimising workloads based on renewable availability can reduce non-renewable energy by 20-40%. The model has the potential to enable over 90% renewable energy usage for metaverse data centres, compared to the current 20% levels. The paper provides a framework and analysis of GCC techniques designed with the large-scale, energy-intensive infrastructure requirements of developing metaverse ecosystems in mind. The proposed strategies focus on applying advanced metering infrastructure, microgrids, various on-site generation solutions, and real-time analytics to create a dynamic, optimised and responsive energy supply tailored to the unique demands of metaverse workloads. Outlining a projected sustainability impact provides actionable insights into greening the foundational cloud architecture to power immersive virtual worlds.</t>
  </si>
  <si>
    <t>979-8-3503-5035-7</t>
  </si>
  <si>
    <t>https://ieeexplore.ieee.org/stamp/stamp.jsp?arnumber=10522167</t>
  </si>
  <si>
    <t>Green Cloud Computing;Renewable Energy;Metaverse;Data Centers and Sustainability</t>
  </si>
  <si>
    <t>Renewable energy sources;Data centers;Cloud computing;Metaverse;Atmospheric modeling;Green products;Fossil fuels</t>
  </si>
  <si>
    <t>Y. Liang</t>
  </si>
  <si>
    <t>Application and Optimization of OpenHarmony Operating System in Terminal Devices in the Power Industry</t>
  </si>
  <si>
    <t>2024 IEEE 6th International Conference on Civil Aviation Safety and Information Technology (ICCASIT)</t>
  </si>
  <si>
    <t>10.1109/ICCASIT62299.2024.10827909</t>
  </si>
  <si>
    <t>Fujian Yirong Information Technology Co.Ltd, Fuzhou, Fujian, China</t>
  </si>
  <si>
    <t>This article mainly discusses the application and optimization methods of OpenHarmony operating system in terminal devices in the power industry. Through analysis and experimental testing of existing technologies, it has been found that OpenHarmony has significant advantages in device interconnection, real-time performance, and stability. Through the evaluation of system response speed, this article finds that the optimized OpenHarmony system has an average response time of 195 milliseconds under 100 concurrent operations. In the evaluation of data processing efficiency, the optimized OpenHarmony system achieves a processing capacity of 6.2 million when processing 1 million data per second. In the system security assessment, the optimized OpenHarmony system exhibits high protection capabilities against various network attacks. From the data conclusion, it can be deliberately seen that the optimized OpenHarmony system has shown significant improvements in response speed, data processing efficiency, and security.</t>
  </si>
  <si>
    <t>979-8-3503-8941-8</t>
  </si>
  <si>
    <t>https://ieeexplore.ieee.org/stamp/stamp.jsp?arnumber=10827909</t>
  </si>
  <si>
    <t>Operating System Optimization;Openharmony Operating System;Power Industry;Application of Terminal Devices</t>
  </si>
  <si>
    <t>Performance evaluation;Operating systems;Optimization methods;Data processing;Power industry;Stability analysis;Real-time systems;Security;Time factors;Testing</t>
  </si>
  <si>
    <t>N. Edgard; K. S. D. Y. Paillard; Z. E. B. Sire; P. M. Gervais; P. O. Samuel</t>
  </si>
  <si>
    <t>Proposal to set up a private 5G network to improve the quality of education: case of the University of Bangui</t>
  </si>
  <si>
    <t>2023 10th International Conference on Wireless Networks and Mobile Communications (WINCOM)</t>
  </si>
  <si>
    <t>2769-9994</t>
  </si>
  <si>
    <t>10.1109/WINCOM59760.2023.10322942</t>
  </si>
  <si>
    <t>Laboratory of Computer Science,Telecommunications and Applications (LITA) Polytechnic School (ESP), University Cheikh Anta Diop of Dakar (UCAD), Dakar, Senegal; Laboratory of Computer Science,Telecommunications and Applications (LITA) Polytechnic School (ESP), University Cheikh Anta Diop of Dakar (UCAD), Dakar, Senegal; Laboratory of Computer Science,Telecommunications and Applications (LITA) Polytechnic School (ESP), University Cheikh Anta Diop of Dakar (UCAD), Dakar, Senegal; Laboratory of Computer Science,Telecommunications and Applications (LITA) Polytechnic School (ESP), University Cheikh Anta Diop of Dakar (UCAD), Dakar, Senegal; Laboratory of Computer Science,Telecommunications and Applications (LITA) Polytechnic School (ESP), University Cheikh Anta Diop of Dakar (UCAD), Dakar, Senegal</t>
  </si>
  <si>
    <t>This paper proposes the deployment of a broadband network to improve the quality of learning at the University of Bangui. The proposed solution is based on a private 5G network as infrastructure support and software-defined radio (SDR) virtualization techniques to provide broadband support to overcome the problem of Internet access. This solution will support e-learning on the one hand, and enable them to access diverse digital content on the other.</t>
  </si>
  <si>
    <t>979-8-3503-2967-4</t>
  </si>
  <si>
    <t>https://ieeexplore.ieee.org/stamp/stamp.jsp?arnumber=10322942</t>
  </si>
  <si>
    <t>SDR;SDN;NFV;Proxy;IMS;BBB;E-learning;Wireless;5G.</t>
  </si>
  <si>
    <t>Electronic learning;5G mobile communication;Wireless networks;Education;Broadband communication;Telecommunications;Broadband antennas</t>
  </si>
  <si>
    <t>J. G√≥mez-DelaHiz; A. Fakhreddine; J. M. Murillo; J. Gal√°n-Jim√©nez</t>
  </si>
  <si>
    <t>Joint Optimization of Throughput and Energy Consumption in Microservices-Based UAV Networks</t>
  </si>
  <si>
    <t>IEEE INFOCOM 2024 - IEEE Conference on Computer Communications Workshops (INFOCOM WKSHPS)</t>
  </si>
  <si>
    <t>2833-0587</t>
  </si>
  <si>
    <t>10.1109/INFOCOMWKSHPS61880.2024.10620732</t>
  </si>
  <si>
    <t>Dept. of Computer Systems and Telematics Engineering, University of Extremadura, Spain; Institute of Networked and Embedded Systems, University of Klagenfurt, Klagenfurt, Austria; Dept. of Computer Systems and Telematics Engineering, University of Extremadura, Spain; Dept. of Computer Systems and Telematics Engineering, University of Extremadura, Spain</t>
  </si>
  <si>
    <t>The application of Unmanned Aerial Vehicle (UAV) networks to the coverage problem in rural and low-income areas is actively studied nowadays by the research community. A UAV-based network infrastructure is different from traditional cellular networks relying on Base Stations. By mounting small cells on top of UAVs, coverage can be enhanced in regions where network operators avoid to invest due to the low Return on Investment. In case there is a requirement for an enhanced throughput in a rural area (e.g., users requesting IoT applications with strict QoS requriements), a potential solution is to place several UAV s over the same area, thus maximizing the offered throughput. However, this situation would lead to an increase in the energy consumption. To tackle this problem, this paper proposes an optimal solution to the problem of jointly maximizing the offered throughput in rural scenarios where users request microservice-based IoT applications, while minimizing the energy consumption of the swarm of UAV s. A Mixed Integer Linear Programming (MILP)-based formulation is defined and evaluated over realistic scenarios. Experimental results demonstrate how the solution is able to perform UAV placement in a way to maximize the offered throughput in the highest number of areas, while minimizing the total number of deployed UAVs.</t>
  </si>
  <si>
    <t>979-8-3503-8447-5</t>
  </si>
  <si>
    <t>https://ieeexplore.ieee.org/stamp/stamp.jsp?arnumber=10620732</t>
  </si>
  <si>
    <t>UAV;Throughput;Optimization;MILP;Rural areas</t>
  </si>
  <si>
    <t>Energy consumption;Costs;Microservice architectures;Quality of service;Throughput;Autonomous aerial vehicles;Mixed integer linear programming</t>
  </si>
  <si>
    <t>A. Chakraborty; C. Govindarajan; K. Govindarajan; P. Naik; S. Goel</t>
  </si>
  <si>
    <t>Enabling Programmable Metric Flows</t>
  </si>
  <si>
    <t>2024 IEEE 17th International Conference on Cloud Computing (CLOUD)</t>
  </si>
  <si>
    <t>10.1109/CLOUD62652.2024.00050</t>
  </si>
  <si>
    <t>IBM Research, India; IBM Research, India; IBM Research, India; IBM Research, India; IBM Research, India</t>
  </si>
  <si>
    <t>In the evolving computing landscape, extending from centralized clouds to multi-cloud and edge, the need for adaptable observability is becoming increasingly critical. Traditional static monitoring approaches grapple with inefficient data transfer, limited scalability, heterogeneous environments, and rigid metric processing pipelines. This paper introduces a novel metric processing system, Programmable Metric Flows (PMF), which is rooted in the principle of dynamism. PMF is a first- of-its-kind, light-weight, SQL-based metric processor. It empowers optimization-driven transformations of metrics, tailored to evolving resource availability and application requirements. This paper demonstrates how PMF enables various transformations for dynamic and fine-grained metric collection. We also showcase the capability of PMF for dynamically tuning the frequency of metrics to reduce the WAN cost in edge environments. Our experiments show that PMF performs at par with state-of-the- art techniques in terms of metric processing capability, with 10X lesser resource utilization. We envision PMF to usher in an era of lightweight programmability for observability platforms. PMF is open-source and available at https://github.com/observ-vol-mgtIPMF</t>
  </si>
  <si>
    <t>979-8-3503-6853-6</t>
  </si>
  <si>
    <t>https://ieeexplore.ieee.org/stamp/stamp.jsp?arnumber=10643937</t>
  </si>
  <si>
    <t>observability;volume management</t>
  </si>
  <si>
    <t>Measurement;Wide area networks;Cloud computing;Costs;Scalability;Pipelines;Transforms</t>
  </si>
  <si>
    <t>H. Zhou; Y. He; G. Ma; C. Peng; Y. Nie</t>
  </si>
  <si>
    <t>Research on Artificial Intelligence Platform for Power Dispatching Based on Cloud Native Technology</t>
  </si>
  <si>
    <t>2024 2nd International Conference on Artificial Intelligence and Automation Control (AIAC)</t>
  </si>
  <si>
    <t>10.1109/AIAC63745.2024.10899624</t>
  </si>
  <si>
    <t>Power Dispatching and Control Center, CSG Guangzhou, Guangdong, China; Power Dispatching and Control Center, CSG Guangzhou, Guangdong, China; Power Dispatching and Control Center, CSG Guangzhou, Guangdong, China; Power Dispatching and Control Center, CSG Guangzhou, Guangdong, China; Power Dispatching and Control Center, CSG Guangzhou, Guangdong, China</t>
  </si>
  <si>
    <t>The power system generates a huge amount of data and requires high real-time performance. At every moment, there is a large amount of data such as power generation, electricity consumption, and equipment operating parameters that need to be processed. Artificial intelligence platforms need to have efficient data processing capabilities to meet the needs of real-time scheduling, otherwise scheduling decisions may be delayed due to data processing delays. Therefore, this article introduces cloud native technology to design an artificial intelligence platform for power dispatching. Cloud native technology supports distributed storage systems, dispersing data across multiple nodes to avoid the problem of insufficient capacity on a single storage device. Using this technology, MapReduce computing, HDFS distributed storage and other services are packaged into an independent and portable container image, and deployed in a Kubernetes cluster to achieve dynamic allocation and scaling of power resources. A data fusion module based on artificial intelligence algorithm design platform. Based on this, design a power dispatch model and introduce particle swarm optimization algorithm to solve the model. The experimental results show that under the application of the research platform, the power grid loss is lower, and the fluctuations in power load and power are more in line with the ideal state.</t>
  </si>
  <si>
    <t>979-8-3315-2914-7</t>
  </si>
  <si>
    <t>https://ieeexplore.ieee.org/stamp/stamp.jsp?arnumber=10899624</t>
  </si>
  <si>
    <t>Cloud native;Power dispatch;Artificial intelligence algorithms;Platform Design</t>
  </si>
  <si>
    <t>Heuristic algorithms;Power system dynamics;Clustering algorithms;Dispatching;Real-time systems;Power grids;Resource management;Artificial intelligence;Particle swarm optimization;Load modeling</t>
  </si>
  <si>
    <t>R. Rossini; T. -H. Velivassaki; A. Voulkidis; T. Zahariadis; P. Karkazis; D. Skias; E. P. Pages Montanera</t>
  </si>
  <si>
    <t>Open Source in NExt Generation Meta Operating Systems (NEMO)</t>
  </si>
  <si>
    <t>2024 9th International Conference on Smart and Sustainable Technologies (SpliTech)</t>
  </si>
  <si>
    <t>10.23919/SpliTech61897.2024.10612369</t>
  </si>
  <si>
    <t>Eclipse Foundation Europe GmbH, Research@Eclipse; Synelixis Solutions S.A, Chalkida, Greece; Synelixis Solutions S.A, Chalkida, Greece; University of Athens, Athens, Greece; Maggioli Spa, Santarcangelo di Romagna, Italy; Netcompany Intrasoft SA, Luxembourg, Luxembourg; Eviden, Madrid, Spain</t>
  </si>
  <si>
    <t>The open source approach aligns with the values of transparency, collaboration, security, and digital sovereignty that are important to many European countries and institutions. It offers practical advantages, cost savings, and opportunities for innovation that contribute to the region's technological advancement and competitiveness. Open source software also fosters collaboration among developers and encourages innovation. On top of these values, NExt generation Meta Operating systems (NEMO) builds the future of the Artificial Intelli-gence of Things(AIoT)-edge-cloud continuum by introducing an open source, modular and cybersecure meta-operating system (metaOS). In this paper, the open source components of the NEMO metaOS are presented for each functional layer in the NEMO architecture, demonstrating the value of open source for the metaOS sustainability.</t>
  </si>
  <si>
    <t>978-953-290-135-1</t>
  </si>
  <si>
    <t>https://ieeexplore.ieee.org/stamp/stamp.jsp?arnumber=10612369</t>
  </si>
  <si>
    <t>Technological innovation;Operating systems;Collaboration;Wheels;Sustainable development;Computer crime;Task analysis</t>
  </si>
  <si>
    <t>A. Rakshit; S. Reddy; R. Ramnath; A. Arora; J. Boubin</t>
  </si>
  <si>
    <t>Righteous: Automatic Right-Sizing for Complex Edge Deployments</t>
  </si>
  <si>
    <t>2024 IEEE/ACM Symposium on Edge Computing (SEC)</t>
  </si>
  <si>
    <t>2837-4827</t>
  </si>
  <si>
    <t>10.1109/SEC62691.2024.00010</t>
  </si>
  <si>
    <t>School of Computing, Binghamton University; Department of Computer Science and Engineering, Ohio State University; Department of Computer Science and Engineering, Ohio State University; Department of Computer Science and Engineering, Ohio State University; School of Computing, Binghamton University</t>
  </si>
  <si>
    <t>Edge deployments perform complex deep learning inference and analysis in the wild in highly resource constrained environment. They are positioned everywhere from our largest cities to the bottom of our oceans, and often necessitate significant financial resources and labor to create and deploy. These properties make correctness of edge deployments simultaneously extremely important and difficult to verify a priori. In the past decade, a series of IoT and cloud testbeds have emerged to facilitate this testing. They provide users with access to resources and, less often, sensors that can be used to emulate workloads before deployment. While developers can use these resources to verify the correctness of their configurations, often users would like to ‚Äúright-size‚Äù their deployments - that is, to find a minimal resource configuration that guarantees correctness - to decrease cost and prevent over-provisioning. The current suite of cloud and IoT testbeds does not provide this capability. We present Righteous, an automatic deployment right-sizing tool for edge deployments. Righteous treats configuration as a hyperparameter optimization problem, testing hyperparameter combinations to find a near-optimal configuration as quickly as possible. Righteous uses a new optimization algorithm, informed Pareto Simulated Annealing (iPSA) to find near-optimal configurations faster than other leading approaches. We use Righteous in conjunction with the PROWESS testbed to optimize a drone swarm deployment workload. Our results demonstrate that Righteous configurations use up to 3.5X less resources than those identified by leading hyperparameter tuning and resource allocation techniques, and does so up to 76.3X faster.</t>
  </si>
  <si>
    <t>979-8-3503-7828-3</t>
  </si>
  <si>
    <t>https://ieeexplore.ieee.org/stamp/stamp.jsp?arnumber=10818213</t>
  </si>
  <si>
    <t>resource allocation;edge computing;optimization;UAV</t>
  </si>
  <si>
    <t>Software algorithms;Urban areas;Simulated annealing;Hyperparameter optimization;Software;Sensors;Resource management;Optimization;Tuning;Testing</t>
  </si>
  <si>
    <t>F. Dattola; P. Iaquinta; M. Iusi; D. Federico; R. Greco; M. Talerico; V. Coscarella; L. Legato; I. Pellegrino; S. Bergamaschi; M. Orsini; R. Martoglia; A. Livaldi; A. Jelali; S. Sbreglia; T. Ruga; E. Zumpano; L. Caroprese; C. Lops; S. Montelpare; M. Pierantozzi; M. Aracne</t>
  </si>
  <si>
    <t>PRECEDE: Climate and Energy Forecasts to Support Energy Communities with Deep Learning Models</t>
  </si>
  <si>
    <t>2024 IEEE International Conference on Big Data (BigData)</t>
  </si>
  <si>
    <t>2573-2978</t>
  </si>
  <si>
    <t>10.1109/BigData62323.2024.10825163</t>
  </si>
  <si>
    <t>E Way Enterprise Business Solutions, Cosenza, Italy; E Way Enterprise Business Solutions, Cosenza, Italy; E Way Enterprise Business Solutions, Cosenza, Italy; E Way Enterprise Business Solutions, Cosenza, Italy; E Way Enterprise Business Solutions, Cosenza, Italy; E Way Enterprise Business Solutions, Cosenza, Italy; E Way Enterprise Business Solutions, Cosenza, Italy; E Way Enterprise Business Solutions, Cosenza, Italy; E Way Enterprise Business Solutions, Cosenza, Italy; DataRiver Srl, Modena, Italy; DataRiver Srl, Modena, Italy; DataRiver Srl, Modena, Italy; DataRiver Srl, Modena, Italy; DataRiver Srl, Modena, Italy; DataRiver Srl, Modena, Italy; DIMES Department, University of Calabria, Rende, Italy; DIMES Department, University of Calabria, Rende, Italy; Engineering and Geology Department, University G. d‚ÄôAnnunzio of Chieti-Pescara, Pescara, Italy; Engineering and Geology Department, University G. d‚ÄôAnnunzio of Chieti-Pescara, Pescara, Italy; Engineering and Geology Department, University G. d‚ÄôAnnunzio of Chieti-Pescara, Pescara, Italy; Engineering and Geology Department, University G. d‚ÄôAnnunzio of Chieti-Pescara, Pescara, Italy; University Leonardo da Vinci, Torrevecchia Teatina, Italy</t>
  </si>
  <si>
    <t>Energy optimization is crucial for environmental sustainability, as it reduces resource consumption, minimizes greenhouse gas emissions, and promotes the use of renewable energy. Efficient energy use helps combat climate change and preserves natural ecosystems for future generations. In this paper, a system to support the distribution of photovoltaic energy for Emilia Romagna Energy Communities is proposed. The system will manage and integrate large amounts of data and offer innovative services based on them for calculating climate and energy forecasts. To enable more reliable production estimates and efficient energy storage and distribution, the system will use a platform for managing and integrating data from Regional Climate Models. It will incorporate Machine Learning and Deep Learning models for accurate climate forecasts and optimize energy flows by considering consumption profiles, production forecasts, and storage characteristics. The application background, the proposed methodology, and the current challenges related to the domain will be discussed, with a particular focus on data sources and management operations.</t>
  </si>
  <si>
    <t>979-8-3503-6248-0</t>
  </si>
  <si>
    <t>https://ieeexplore.ieee.org/stamp/stamp.jsp?arnumber=10825163</t>
  </si>
  <si>
    <t>Flexible energy networks;Renewable energy;energy communities;Deep Learning;Machine Learning;Climate variable forecasting</t>
  </si>
  <si>
    <t>Deep learning;Photovoltaic systems;Renewable energy sources;Biological system modeling;Soft sensors;Production;Predictive models;Data models;Reliability;Meteorology</t>
  </si>
  <si>
    <t>D. Upadhyay; A. Upadhyay; M. Gupta; K. B. Sharma; D. Yadav</t>
  </si>
  <si>
    <t>An Approach of Fog Computing and Edge Computing for Computing Resources Optimization Strategies</t>
  </si>
  <si>
    <t>2024 First International Conference on Pioneering Developments in Computer Science &amp; Digital Technologies (IC2SDT)</t>
  </si>
  <si>
    <t>10.1109/IC2SDT62152.2024.10696803</t>
  </si>
  <si>
    <t>Dept. of Computer Science and Engineering, Graphic Era Hill University, Dehradun, India; Dept. of Computer Science and Engineering, Graphic Era deemed to be University, Dehradun, India; Dept. of Electronics and Communication Engineering, Graphic Era deemed to be University, Dehradun, India; Dept. of Computer Science and Engineering, Graphic Era deemed to be University, Dehradun, India; Dept. of Computer Science and Engineering, Graphic Era deemed to be University, Dehradun, India</t>
  </si>
  <si>
    <t>This paper investigates optimization strategies for fog and edge computing systems, focusing on the key challenges of resource allocation, load balancing, latency minimization, and power efficiency. We analyze the results of the simulation study to determine the impact and potential of our strategies and find that the improvements achieved are small to moderate, varying between 1.75% and 2.95%. This knowledge demonstrates that system optimization requires small, gradual increments and that fog and edge computing are dynamic systems. Our results suggest that optimization based on integration and adaptability can produce a significant difference in the performance and reliability of distributed systems.</t>
  </si>
  <si>
    <t>979-8-3503-6501-6</t>
  </si>
  <si>
    <t>https://ieeexplore.ieee.org/stamp/stamp.jsp?arnumber=10696803</t>
  </si>
  <si>
    <t>Optimization;systems;efficiency;fog;edge;computing</t>
  </si>
  <si>
    <t>System performance;Focusing;Minimization;Load management;Reliability;Resource management;Dynamical systems;Distributed computing;Optimization;Edge computing</t>
  </si>
  <si>
    <t>M. Funke; P. Lago; E. Adenekan; I. Malavolta; I. Heitlager</t>
  </si>
  <si>
    <t>Experimental Evaluation of Energy Efficiency Tactics in Industry: Results and Lessons Learned</t>
  </si>
  <si>
    <t>2024 IEEE 21st International Conference on Software Architecture (ICSA)</t>
  </si>
  <si>
    <t>2835-7043</t>
  </si>
  <si>
    <t>10.1109/ICSA59870.2024.00024</t>
  </si>
  <si>
    <t>Vrije Universiteit Amsterdam, The Netherlands; Vrije Universiteit Amsterdam, The Netherlands; Vrije Universiteit Amsterdam, The Netherlands; Vrije Universiteit Amsterdam, The Netherlands; Schuberg Philis, The Netherlands</t>
  </si>
  <si>
    <t>Integrating (and evaluating) energy efficiency tactics into daily industrial practice is challenging. This paper addresses the experimental evaluation of energy efficiency tactics in industrial contexts. Based on different real-world scenarios, we assess five energy efficiency tactics for cloud-based software through individual experiments conducted across two companies. The results of the experiments show significant improvements in energy efficiency for three tactics, with two others showing enhanced efficiency albeit without statistical significance. In addition to the experiments, we draw lessons learned and practical insights into utilizing tactics in industrial contexts. Our results could guide practitioners in selecting and applying the most suitable tactic for their individual context. By linking tactics that emerged in the literature with evidence-based measures, we help including sustainability in software architecture design decision making.</t>
  </si>
  <si>
    <t>979-8-3503-5916-9</t>
  </si>
  <si>
    <t>https://ieeexplore.ieee.org/stamp/stamp.jsp?arnumber=10592775</t>
  </si>
  <si>
    <t>tactics;energy efficiency;cloud;experiment;sustainability;industrial practice</t>
  </si>
  <si>
    <t>Industries;Energy consumption;Software architecture;Statistical analysis;Decision making;Energy efficiency;Software</t>
  </si>
  <si>
    <t>D. A. Temesgene; E. D. Biyar; A. Silva; A. Likhyani; A. Zahernszky</t>
  </si>
  <si>
    <t>Graph Neural Network for Building Prediction Agents in Intent-Based Zero-Touch Networks</t>
  </si>
  <si>
    <t>ICC 2024 - IEEE International Conference on Communications</t>
  </si>
  <si>
    <t>10.1109/ICC51166.2024.10622342</t>
  </si>
  <si>
    <t>Ericsson Research, Sweden; Ericsson Research, Turkey; Ericsson Research, Brazil; Ericsson GAIA, India; Ericsson Research, Sweden</t>
  </si>
  <si>
    <t>Intent-based network operation is an essential paradigm to create autonomous networks as it eliminates the complexity of manual configurations and replaces it with an abstracted, automated method. To enable intent-based networks that can handle and resolve conflicts under shared and limited network resources, prediction of the impact of proposed configuration and topology changes is crucial. In this respect, Graph Neural Networks (GNN)s are gaining attention in the networking domain thanks to their ability to process data based on close to real modeling of networks as a graph. In this paper, we develop a GNN framework of intent-based networks that takes the network information as inputs and predicts the specific key performance indicators (KPIs) of intents. We propose to make use of GNNs for accurate prediction of the impacts of proposed actions on all of the active KPIs of an intent-based network. Experiments with different configurations are conducted and the empirical evaluations demonstrate that a GNN based prediction agent outperforms a baseline neural-network based agent in both prediction performance and ability to generalize to previously unseen configurations.</t>
  </si>
  <si>
    <t>978-1-7281-9054-9</t>
  </si>
  <si>
    <t xml:space="preserve">Scientific and Technological Research Council of Turkey (TUB ITAK)(grant numbers:1515); </t>
  </si>
  <si>
    <t>https://ieeexplore.ieee.org/stamp/stamp.jsp?arnumber=10622342</t>
  </si>
  <si>
    <t>Graph Neural Networks;Intent-Based network;Intents;Conflict Detection;Zero-touch networks</t>
  </si>
  <si>
    <t>Autonomous networks;Accuracy;Network topology;Key performance indicator;Buildings;Graph neural networks;Data models</t>
  </si>
  <si>
    <t>J. A. Dominguez; S. Sabir; N. Henao; K. Agbossou; J. C. Oviedo-Cepeda; J. Campillo</t>
  </si>
  <si>
    <t>ORFLEX: Open Platform for Rapid Testing and Deploying Local Flexibility Markets</t>
  </si>
  <si>
    <t>IECON 2024 - 50th Annual Conference of the IEEE Industrial Electronics Society</t>
  </si>
  <si>
    <t>10.1109/IECON55916.2024.10905357</t>
  </si>
  <si>
    <t>Institut de Recherche Sur L‚Äôhydrog√®ne, Universit√© du Qu√©bec √† Trois-Rivi√®res, Canada; Institut de Recherche Sur L‚Äôhydrog√®ne, Universit√© du Qu√©bec √† Trois-Rivi√®res, Canada; Institut de Recherche Sur L‚Äôhydrog√®ne, Universit√© du Qu√©bec √† Trois-Rivi√®res, Canada; Institut de Recherche Sur L‚Äôhydrog√®ne, Universit√© du Qu√©bec √† Trois-Rivi√®res, Canada; Institut de Recherche Hydro-Quebec, Shawinigan, Canada; Ministry of Mines and Energy, Colombia</t>
  </si>
  <si>
    <t>Local Flexibility Markets (LFMs) play a crucial role in modern electrical grids as they can address grid congestion by efficiently exploiting demand-side flexibility through market-clearing algorithms and incentive signals. However, demo projects worldwide offer limited access to detailed information that enables a good understanding of market design, estimating computational requirements, and exploring different algorithms at multiple levels. Accordingly, This paper introduces ORFLEX, an open-source platform for rapid testing and deploying local flexibility markets. ORFLEX exhibits salient features, including scalability, agile deployment, and secure interactions by leveraging cloud and edge infrastructure and Functions as a Service (FaaS). The platform aims to provide a go-to guide for LFM implementation. The proposal was validated using a straightforward market with a hierarchical configuration involving a market operator, a spot market aggregator, and many flexumers. Experimental results revealed the systems‚Äôs ability to assist in large-scale deployments while increasing the number of participants on the demand side. The methodical simulation insights will help market designers and regulators to properly develop LFMs and analyze the impacts of different clearing and demand-side flexibility estimations.</t>
  </si>
  <si>
    <t>978-1-6654-6454-3</t>
  </si>
  <si>
    <t xml:space="preserve">Science and Engineering Research Council; </t>
  </si>
  <si>
    <t>https://ieeexplore.ieee.org/stamp/stamp.jsp?arnumber=10905357</t>
  </si>
  <si>
    <t>Local flexibility markets;Function-as-a-service;Edge computing;Cloud computing;Market clearing</t>
  </si>
  <si>
    <t>Electric potential;Regulators;Scalability;Stochastic processes;Estimation;Hardware;Proposals;Usability;Testing;Load modeling</t>
  </si>
  <si>
    <t>C. Song; L. Jiang</t>
  </si>
  <si>
    <t>A Hybrid Autoscaling Algorithm for Microservices with Federated Load Balancing</t>
  </si>
  <si>
    <t>2023 3rd International Conference on Computer, Control and Robotics (ICCCR)</t>
  </si>
  <si>
    <t>10.1109/ICCCR56747.2023.10194135</t>
  </si>
  <si>
    <t>Dept. School of communication and information engineering, Nanjing University of Posts and Telecommunications, Nanjing, China; Dept. Institude of Internet of Things, Nanjing University of Posts and Telecommunications, Nanjing, China</t>
  </si>
  <si>
    <t>Since edge clouds do not have more computational processing power than central clouds and can easily lead to scaling timeout violations and poor resource handling when dealing with dynamic loads. This paper conducts an experimental evaluation of microservice applications using two real workloads in a real edge cloud environment and proposes a hybrid autoscaling approach for microservices with federated load balancing (LB-HVPA). The approach enables centralised unmonitored load awareness by integrating the results of load balancing into the hybrid autoscaling module, avoiding additional scheduling due to unknown load distribution scenarios. Simulation results show that this approach can reduce the number of timeout violations and container scaling for microservice applications in edge cloud environments.</t>
  </si>
  <si>
    <t>978-1-6654-9212-6</t>
  </si>
  <si>
    <t>https://ieeexplore.ieee.org/stamp/stamp.jsp?arnumber=10194135</t>
  </si>
  <si>
    <t>edge cloud;microservices;load balancing;hybrid autoscaling;response time</t>
  </si>
  <si>
    <t>Digital control;Processor scheduling;Simulation;Microservice architectures;Containers;Load management;Dynamic scheduling</t>
  </si>
  <si>
    <t>J. Tang; F. Liu; X. Ma; B. Lei; Y. Xie</t>
  </si>
  <si>
    <t>Integrated solution for industrial Internet based on edge computing</t>
  </si>
  <si>
    <t>10.1109/BMSB58369.2023.10211501</t>
  </si>
  <si>
    <t>Research Institute China Telecom, Beijing, China; School of Mechanical Engineering, University of Science and Technology Beijing, Beijing, China; Research Institute China Telecom, Beijing, China; Research Institute China Telecom, Beijing, China; Research Institute China Telecom, Beijing, China</t>
  </si>
  <si>
    <t>Industrial Internet is the deep integration of industry and communication technology to improve the digitalization, intelligence, and networking of industrial manufacturing. Edge computing is widely used in recent years because of its close to the edge, real-time and other characteristics, which can meet the needs of low latency, high reliability, and other industrial manufacturing scenarios. This paper analyzes the problems existing in the current industrial Internet, such as the increase of AI computing demand, the separation of internal and external industrial networks, the coexistence of multiple networks in the park, and the uncertainty of network performance. Through computing network technology, flexible addressing technology, cloud native technology and deterministic technology based on edge computing, it provides integrated integration services for various scenarios in the industrial Internet, builds highly reliable network transmission to meet the low latency and deterministic requirements of business scenarios, and tamps the digital base for high-quality development of the industrial Internet.</t>
  </si>
  <si>
    <t xml:space="preserve">Research and Development; </t>
  </si>
  <si>
    <t>https://ieeexplore.ieee.org/stamp/stamp.jsp?arnumber=10211501</t>
  </si>
  <si>
    <t>industrial Internet;edge computing;computing network technology;flexible addressing technology;cloud native technology;deterministic technology</t>
  </si>
  <si>
    <t>Technological innovation;Uncertainty;Market research;Real-time systems;Internet;Manufacturing;Reliability</t>
  </si>
  <si>
    <t>C. Hartmann; F. Speth; D. Sabath; F. Sellmaier</t>
  </si>
  <si>
    <t>METIS: An AI Assistant Enabling Autonomous Spacecraft Operations for Human Exploration Missions</t>
  </si>
  <si>
    <t>2024 IEEE Aerospace Conference</t>
  </si>
  <si>
    <t>10.1109/AERO58975.2024.10521154</t>
  </si>
  <si>
    <t>German Aerospace Center (DLR e.V.), Wessling, Germany; SVA System Vertrieb Alexander GmbH, Wiesbaden, Germany; German Aerospace Center (DLR e.V.), Wessling, Germany; German Aerospace Center (DLR e.V.), Wessling, Germany</t>
  </si>
  <si>
    <t>Today, human space exploration faces persistent and new challenges. Most prominently limited crew size, limits on crew time and utilization, as well as the costs of 24/7/365 operations are the main drivers for innovations towards increased autonomy. Furthermore, in the future, when considering destinations beyond lunar orbit, signal delay simply prevents the conventional operational concept of real-time monitoring and control for crewed missions. To overcome those challenges, this paper will introduce METIS, the Mars Exploration Telemetry-driven Information System. METIS is a novel intelligent assistant enabling autonomous operations of crewed spacecraft based on artificial intelligence (AI) and machine learning (ML). METIS is currently being developed at the Columbus Control-Center (Col-CC), which is part of the German Space Operations Center (GSOC). On behalf of the European Space Agency (ESA), Col-CC is responsible for the operation of the Columbus module of the International Space Station (ISS). Columbus was launched on February 7, 2008, docked to the ISS a few days later on February 11 and has been a part of the ISS since then. It is the basis on which METIS is developed. The assistant is designed after John L. Boyds OODA (Observe-Orient-Decide-Act) loop for human decision making, where each function in the model is developed as an individual computerized agent. This paper will introduce the high-level system architecture of this multi-agent-system (MAS), as well as human interaction embedded in the system. Furthermore, we will show each of the agents in greater detail, their functions and the interaction between the agents. Since some agents rely on machine learning (ML) from the field of artificial intelligence (AI) we use multiple data sources from the Columbus module, including but not limited to on-board telemetry, operational data files (ODFs, i.e. procedures), and anomaly reports, to train and test the system. We will highlight how these data sources are brought together and the database we deploy to enable access to the data in a machine-readable format. Since METIS is intended to be used by both ground personnel, as well as on-board crew, we will show how METIS is planned to be utilized within Col-CC and on-board. For this we envision a step-wise approach, where METIS is first used and tested in conjunction with the Columbus simulator to perform certain ground and on-board activities and react to a set of known anomalies. In this first step ground controllers will still be heavily involved in development, to identify areas that need further improvements and further increase the capabilities of the system. This work represents a significant step towards full crew autonomy by supporting quick and reliable decision making in the highly dynamic environment that is human space exploration. AI/ML enabled solutions to new and old challenges have the potential to revolutionize the space sector and METIS represents one possible contribution to make space more accessible to humans, increase system reliability, reduce cost of operations and help prepare for deep space exploration beyond lunar orbit.</t>
  </si>
  <si>
    <t>979-8-3503-0462-6</t>
  </si>
  <si>
    <t>https://ieeexplore.ieee.org/stamp/stamp.jsp?arnumber=10521154</t>
  </si>
  <si>
    <t>Space vehicles;Costs;Soft sensors;Decision making;Systems architecture;Real-time systems;Orbits</t>
  </si>
  <si>
    <t>M. C. Borges; J. Bauer; S. Werner; M. Gebauer; S. Tai</t>
  </si>
  <si>
    <t>Informed and Assessable Observability Design Decisions in Cloud-Native Microservice Applications</t>
  </si>
  <si>
    <t>10.1109/ICSA59870.2024.00015</t>
  </si>
  <si>
    <t>Information Systems Engineering, Technische Universit√§t Berlin, Berlin, Germany; Technische Universit√§t Berlin, Berlin, Germany; Information Systems Engineering, Technische Universit√§t Berlin, Berlin, Germany; Technische Universit√§t Berlin, Berlin, Germany; Information Systems Engineering, Technische Universit√§t Berlin, Berlin, Germany</t>
  </si>
  <si>
    <t>Observability is important to ensure the reliability of microservice applications. These applications are often prone to failures, since they have many independent services deployed on heterogeneous environments. When employed ‚Äúcorrectly‚Äù, observability can help developers identify and troubleshoot faults quickly. However, instrumenting and configuring the observability of a microservice application is not trivial but tool-dependent and tied to costs. Architects need to understand observability-related trade-offs in order to weigh between different observability design alternatives. Still, these architectural design decisions are not supported by systematic methods and typically just rely on ‚Äúprofessional intuition‚Äù. In this paper, we argue for a systematic method to arrive at informed and continuously assessable observability design decisions. Specifically, we focus on fault observability of cloud-native microservice applications, and turn this into a testable and quantifiable property. Towards our goal, we first model the scale and scope of observability design decisions across the cloud-native stack. Then, we propose observability metrics which can be determined for any microservice application through so-called observability experiments. We present a proof-of-concept implementation of our experiment tool Oxn. Oxn is able to inject arbitrary faults into an application, similar to Chaos Engineering, but also possesses the unique capability to modify the observability configuration, allowing for the assessment of design decisions that were previously left unexplored. We demonstrate our approach using a popular open source microservice application and show the trade-offs involved in different observability design decisions.</t>
  </si>
  <si>
    <t xml:space="preserve">European Union(grant numbers:101070186); </t>
  </si>
  <si>
    <t>https://ieeexplore.ieee.org/stamp/stamp.jsp?arnumber=10592667</t>
  </si>
  <si>
    <t>Observability;Microservices;Software Architecture;Software Design Trade-offs</t>
  </si>
  <si>
    <t>Fault diagnosis;Systematics;Costs;Software architecture;Instruments;Pipelines;Microservice architectures</t>
  </si>
  <si>
    <t>S. ƒåau≈°eviƒá; S. Sharma; S. Ben Aziza; A. van der Veen; E. Lazovik</t>
  </si>
  <si>
    <t>LV grid state estimation using local flexible assets: a federated learning approach</t>
  </si>
  <si>
    <t>27th International Conference on Electricity Distribution (CIRED 2023)</t>
  </si>
  <si>
    <t>10.1049/icp.2023.0624</t>
  </si>
  <si>
    <t>Netherlands Organisation for Applied Scientific Research (TNO), The Netherlands; Netherlands Organisation for Applied Scientific Research (TNO), The Netherlands; Netherlands Organisation for Applied Scientific Research (TNO), The Netherlands; Netherlands Organisation for Applied Scientific Research (TNO), The Netherlands; Netherlands Organisation for Applied Scientific Research (TNO), The Netherlands</t>
  </si>
  <si>
    <t>To tackle the current needs of power operations in distributed context the new digital means are required to be able to exchange information between the energy market players in safe fashion. This paper tackles the solution allowing efficient exchange of sensitive information between the local assets and centralized powerful analysis of the state of the assets. We show how to apply Federated Learning distributed technique, including platform and local predictive models which are used in learning the state of the whole grid centrally without sharing sensitive data in huge amounts.</t>
  </si>
  <si>
    <t>978-1-83953-855-1</t>
  </si>
  <si>
    <t>https://ieeexplore.ieee.org/stamp/stamp.jsp?arnumber=10267781</t>
  </si>
  <si>
    <t>S. Galavani; S. Mahdizadeh; M. Pourashory; A. M. Rasouli; M. Ansari</t>
  </si>
  <si>
    <t>Genetic-based Framework for Joint Latency and Cost Reduction in Edge-Fog Environments</t>
  </si>
  <si>
    <t>2024 5th CPSSI International Symposium on Cyber-Physical Systems (Applications and Theory) (CPSAT)</t>
  </si>
  <si>
    <t>2833-7514</t>
  </si>
  <si>
    <t>10.1109/CPSAT64082.2024.10745429</t>
  </si>
  <si>
    <t>Department of Computer Engineering, Cyber-Physical Systems Laboratory (CPSLab), Sharif University of Technology, Tehran, Iran; Department of Computer Engineering, Cyber-Physical Systems Laboratory (CPSLab), Sharif University of Technology, Tehran, Iran; Department of Computer Engineering, Cyber-Physical Systems Laboratory (CPSLab), Sharif University of Technology, Tehran, Iran; Department of Computer Engineering, Cyber-Physical Systems Laboratory (CPSLab), Sharif University of Technology, Tehran, Iran; Department of Computer Engineering, Cyber-Physical Systems Laboratory (CPSLab), Sharif University of Technology, Tehran, Iran</t>
  </si>
  <si>
    <t>Reducing latency in the Internet of Things (IoT) remains a critical concern. While cloud computing facilitates communication, it falls short of meeting real-time requirements reliably. Edge and fog computing have emerged as viable solutions by positioning computing nodes closer to end users, offering lower latency and increased processing power. An edge-fog framework comprises various components, including edge and fog nodes, whose strategic placement is crucial as it directly impacts latency and system cost. This paper presents an effective and tunable node placement strategy based on a genetic algorithm to address the optimization problem of deploying edge and fog nodes. The task assignment for this algorithm involves two key components: first, it identifies the nearest node to a given user; second, it assesses the node‚Äôs capacity to ensure it has sufficient frequency resources to handle the assigned tasks. The ultimate objective is to minimize latency and cost through optimal node placement. Simulation results demonstrate the proposed framework achieves up to 8.4% latency and 65.2% cost reduction.</t>
  </si>
  <si>
    <t>979-8-3315-2928-4</t>
  </si>
  <si>
    <t>https://ieeexplore.ieee.org/stamp/stamp.jsp?arnumber=10745429</t>
  </si>
  <si>
    <t>Edge Computing;Fog Computing;Latency;Cost;Genetic</t>
  </si>
  <si>
    <t>Costs;Heuristic algorithms;Simulation;Refining;Real-time systems;Internet of Things;Reliability;Optimization;Genetic algorithms;Edge computing</t>
  </si>
  <si>
    <t>A. A. Arce; N. Filinis; L. Fu; C. Habib; L. Militano; D. Spatharakis; A. Zafeiropoulos; T. M. Bohnert; N. Mitton; S. Papavassiliou</t>
  </si>
  <si>
    <t>Virtual Objects for Robots and Sensor Nodes in Distributed Applications over the Cloud Continuum</t>
  </si>
  <si>
    <t>2024 IEEE Symposium on Computers and Communications (ISCC)</t>
  </si>
  <si>
    <t>10.1109/ISCC61673.2024.10733709</t>
  </si>
  <si>
    <t>Centre Inria de l‚ÄôUniversit√© de Lille, France; National Technical University of Athens, Greece; Zurich University of Applied Sciences, Switzerland; Centre Inria de l‚ÄôUniversit√© de Lille, France; Zurich University of Applied Sciences, Switzerland; National Technical University of Athens, Greece; National Technical University of Athens, Greece; Zurich University of Applied Sciences, Switzerland; Centre Inria de l‚ÄôUniversit√© de Lille, France; National Technical University of Athens, Greece</t>
  </si>
  <si>
    <t>The cloud-to-edge-to-IoT continuum represents a seamless flow of data processing and management, spanning from centralized cloud services to distributed edge computing and interconnected IoT devices. This paradigm can become very challenging in real implementations, especially in the presence of multiple stakeholders using proprietary and heterogeneous software and hardware. The Horizon Europe NEPHELE project proposes the virtualization of IoT devices through a specific software stack called Virtual Object Stack (VOStack) that promotes openness and interoperability. In this paper, we present an implementation of VOStack using W3C Web of Things (WoT) standard in a post-disaster domain for two different types of IoT devices: a ground robot (Turtlebot2) for navigation and mapping in an unknown environment, and a Raspberry Pi 3 acting as a wireless sensor network gateway. We propose an application graph for the resulting hyper-distributed application (HDA) and present our first implementation to validate the proposed solution.</t>
  </si>
  <si>
    <t>979-8-3503-5423-2</t>
  </si>
  <si>
    <t>https://ieeexplore.ieee.org/stamp/stamp.jsp?arnumber=10733709</t>
  </si>
  <si>
    <t>Cloud Robotics;Virtual Object;Cloud Continuum;Web of Things;Situational Awareness;WSN</t>
  </si>
  <si>
    <t>Cloud computing;Wireless sensor networks;Navigation;W3C;Robot sensing systems;Software;Internet of Things;Stakeholders;Virtualization;Standards</t>
  </si>
  <si>
    <t>R. Gupta; K. Khandal; M. Kandan</t>
  </si>
  <si>
    <t>Air Quality Prediction in Smart Cities Using Regression Techniques</t>
  </si>
  <si>
    <t>2024 2nd International Conference on Networking and Communications (ICNWC)</t>
  </si>
  <si>
    <t>10.1109/ICNWC60771.2024.10537556</t>
  </si>
  <si>
    <t>Department of Computer Science and Engineering, SRMIST, Chennai, India; Department of Computer Science and Engineering, SRMIST, Chennai, India; Department of Computer Science and Engineering, SRMIST, Chennai, India</t>
  </si>
  <si>
    <t>Air pollution in smart cities presents a significant risk to public health and general welfare. Precise air quality forecasting is essential for successful pollution reduction and long-term urban growth. This study performs a comprehensive comparative analysis of air quality prediction utilizing four regression techniques: Random Forest regression, Linear regression, Decision Tree regression, and XGBoost regression. The study seeks to determine the best effective model by evaluating criteria such as R2 measurements and Mean Absolute Error.The results demonstrate that the XGBoost regression method surpasses competing algorithms in terms of efficiency and accuracy. Moreover, the use of cloud computing technologies has greatly enhanced the implementation speed of these tactics. Utilizing distributed computing resources allows for real-time air quality forecasts, facilitating quick decision-making and proactive measures to combat air pollution incidents.This work enhances air quality prediction methods in smart cities by highlighting the effectiveness of the XGBoost regression algorithm. The study highlights the crucial need of utilizing advanced regression techniques and cloud computing to improve the precision and effectiveness of air quality forecasts, aiding in proactive efforts to address air pollution and create healthier urban settings.</t>
  </si>
  <si>
    <t>979-8-3503-6526-9</t>
  </si>
  <si>
    <t>https://ieeexplore.ieee.org/stamp/stamp.jsp?arnumber=10537556</t>
  </si>
  <si>
    <t>Air quality prediction;Smart cities;Regression techniques;XGBoost;Random Forest regression;Linear regression;Decision Tree regression;Cloud computing integration;R2 measures;Mean Absolute Error;Real-time forecastin</t>
  </si>
  <si>
    <t>Smart cities;Atmospheric measurements;Atmospheric modeling;Predictive models;Air pollution;Real-time systems;Pollution measurement</t>
  </si>
  <si>
    <t>X. Zhang; D. Mu</t>
  </si>
  <si>
    <t>Research on Data Multi-Scene Searchable Encryption System Based on Computer Smart Grid Security Data Fusion Technology</t>
  </si>
  <si>
    <t>2023 IEEE International Conference on Image Processing and Computer Applications (ICIPCA)</t>
  </si>
  <si>
    <t>10.1109/ICIPCA59209.2023.10257807</t>
  </si>
  <si>
    <t>School of Cybersecurity, Northwestern Polytechnical University, Xi'an, Shaanxi, China; Research &amp; Development Institute of Northwestern Polytechnical University in Shenzhen, Shenzhen, Guangdong, China</t>
  </si>
  <si>
    <t>Smart grid under cloud architecture has entered a new environment of open integration. Power data is typically stored in encrypted form on cloud servers. This paper presents an encryption system based on fully homomorphic encryption for data exchange schemes. The system architecture consists of four micro-service modules. The system hardware consists of two modules. The encryption chip model used by the encryption module is LCS2110. The acquisition module is composed of carrier meter, concentrator and collector. The data supervision module uses the weak centralized management mode to supervise the electricity data transaction. On the basis of building the architecture, the system functions are realized through the combination of hardware and software. The system uses the hash SHA256 algorithm to generate a set of code word groups as the index of records. When searching, users enter multiple keywords and generate corresponding trap doors. The trap door accurately matches the index and feeds back all the matching results to the user. Experimental results show that the proposed scheme can resist known ciphertext attack, known background attack and collusion attack.</t>
  </si>
  <si>
    <t>979-8-3503-1467-0</t>
  </si>
  <si>
    <t xml:space="preserve">NSF of China(grant numbers:62272389); Shenzhen Fundamental Research Program(grant numbers:20210317191843003); </t>
  </si>
  <si>
    <t>https://ieeexplore.ieee.org/stamp/stamp.jsp?arnumber=10257807</t>
  </si>
  <si>
    <t>computer;Smart grid;Multi-data scenario;Encryption system;Attribute based encryption;Locally sensitive hashing</t>
  </si>
  <si>
    <t>Cloud computing;Firewalls (computing);Surveillance;Software algorithms;Systems architecture;Computer architecture;Hardware</t>
  </si>
  <si>
    <t>V. Karagiannis; B. Nagy; A. Jodkowski; M. Kranner; D. Ignjatoviƒá</t>
  </si>
  <si>
    <t>A Review of Emerging Trends in Energy Data Management Systems</t>
  </si>
  <si>
    <t>2024 11th International Conference on Internet of Things: Systems, Management and Security (IOTSMS)</t>
  </si>
  <si>
    <t>10.1109/IOTSMS62296.2024.10710289</t>
  </si>
  <si>
    <t>Center for Digital Safety &amp; Security, Austrian Institute of Technology, Vienna, Austria; Center for Digital Safety &amp; Security, Austrian Institute of Technology, Vienna, Austria; Center for Digital Safety &amp; Security, Austrian Institute of Technology, Vienna, Austria; Center for Digital Safety &amp; Security, Austrian Institute of Technology, Vienna, Austria; Center for Digital Safety &amp; Security, Austrian Institute of Technology, Vienna, Austria</t>
  </si>
  <si>
    <t>The integration of the Internet of Things (IoT) into various sectors, such as manufacturing, healthcare, agriculture, and transportation, has significantly enhanced the ability to gather data, process it through edge and cloud computing, and deliver IoT services to end users. However, the energy sector has yet to fully leverage these advancements. The primary associated challenge is the acquisition and processing of energy data which can be subject to stringent regulations imposed by data protection laws. This can hinder access to energy data for IoT service providers focusing on energy optimizations and analytics, thus hampering the development of energy IoT services. This challenge is particularly pertinent to manufacturing scenarios where energy-efficient processes are crucial for sustainable development. For example, in the context of battery production, energy data and services can be critical for optimizing processes and enhancing the manufacturing efficiency of battery cells. Thus, energy data can be essential for achieving sustainability and reducing costs as well as ensuring the effective use of energy resources, and minimizing the environmental footprint. To address the challenge of accessing energy data, emerging trends emphasize the application of data sovereignty principles and data policies that facilitate secure and compliant data sharing. This paper delves into these trends, offering a thorough review of existing approaches for sharing energy data and identifying related open problems. Overall, this work provides guidance for practitioners developing advanced energy data management systems and for researchers aiming to design novel approaches based on the latest advances in energy data management.</t>
  </si>
  <si>
    <t>979-8-3503-6650-1</t>
  </si>
  <si>
    <t>https://ieeexplore.ieee.org/stamp/stamp.jsp?arnumber=10710289</t>
  </si>
  <si>
    <t>Internet of Things;Data Spaces;Computing Continuum;Data Management;Energy Data</t>
  </si>
  <si>
    <t>Reviews;Data protection;Transportation;Market research;Regulation;Software;Manufacturing;Batteries;Internet of Things;Sustainable development</t>
  </si>
  <si>
    <t>M. Konieczny; S. Musia≈Ç; S. Zieli≈Ñski</t>
  </si>
  <si>
    <t>Hybrid Serverless Processing in Environmental Monitoring - Building Digital Twin</t>
  </si>
  <si>
    <t>2024 IEEE 65th International Scientific Conference on Information Technology and Management Science of Riga Technical University (ITMS)</t>
  </si>
  <si>
    <t>2771-6937</t>
  </si>
  <si>
    <t>10.1109/ITMS64072.2024.10741932</t>
  </si>
  <si>
    <t>AGH University, Krakow, Poland; AGH University, Krakow, Poland; AGH University, Krakow, Poland</t>
  </si>
  <si>
    <t>This paper discusses the application of a cloudedge continuum implemented with containerized and event-driven processing for environmental monitoring. We propose an architecture based on a serverless computing paradigm that allows managing software and digital assets. We demonstrate its functionality on a levee monitoring use case. In the use case, we utilize CloudEvents specification to deliver messages in a protocol-agnostic way. We also build and evaluate mechanisms for task migrations based purely on Kuberentes and Knative. Because the execution process spans across different serverless environments, we utilize hybrid servereless approach [1]. In our system prototype, we also build and evaluate the concept of nanoservices [2] in delivering environmental monitoring solutions. Our early results show that, with our approach, we can build scalable and elastic digital twin applications and scenarios capable of analyzing large-scale infrastructure.</t>
  </si>
  <si>
    <t>979-8-3315-3383-0</t>
  </si>
  <si>
    <t xml:space="preserve">Research and Development; Horizon Europe; </t>
  </si>
  <si>
    <t>https://ieeexplore.ieee.org/stamp/stamp.jsp?arnumber=10741932</t>
  </si>
  <si>
    <t>serverless computing;environmental monitoring;events exchange</t>
  </si>
  <si>
    <t>Levee;Buildings;Serverless computing;Prototypes;Computer architecture;Software;Digital twins;Environmental monitoring;Information technology</t>
  </si>
  <si>
    <t>S. Gupta; S. Mehta; V. Shrivastava; A. K. Singh</t>
  </si>
  <si>
    <t>Illuminating Urban Landscapes using IoT Based Approach for Smart Street Lighting</t>
  </si>
  <si>
    <t>2024 3rd International Conference on Artificial Intelligence For Internet of Things (AIIoT)</t>
  </si>
  <si>
    <t>10.1109/AIIoT58432.2024.10574593</t>
  </si>
  <si>
    <t>Department of Electrical Engineering, National Institute of Technology Delhi, New Delhi; Department of Electrical Engineering, National Institute of Technology Delhi, New Delhi; Department of Electrical Engineering, National Institute of Technology, Srinagar, Uttarakhand; Department of Electrical Engineering, National Institute of Technology Delhi, New Delhi</t>
  </si>
  <si>
    <t>This paper presents an innovative urban infrastructure solution by embedding environmental sensors in Arduino-based smart streetlights. These luminaires, equipped with Light Dependent Resistors (LDRs) and motion sensors, offer adaptive lighting for safety and energy efficiency. The integrated environmental sensor measures air quality, noise levels, and humidity, transforming streetlights into data collection nodes for comprehensive environmental monitoring. Real-time data transmission to a central server establishes a distributed network across the city. This dual-functionality approach not only enhances energy efficiency through adaptive lighting but also provides valuable insights for informed decision-making in urban development, pollution mitigation, and resource allocation. The project aligns with smart city development principles, contributing to sustainability and efficiency in urban ecosystems.</t>
  </si>
  <si>
    <t>979-8-3503-7212-0</t>
  </si>
  <si>
    <t>https://ieeexplore.ieee.org/stamp/stamp.jsp?arnumber=10574593</t>
  </si>
  <si>
    <t>Arduino;LDR;MOSFET;LED;PIR</t>
  </si>
  <si>
    <t>Pollution;Decision making;Lighting;Energy efficiency;Real-time systems;Safety;Environmental monitoring</t>
  </si>
  <si>
    <t>W. Shao; Y. Yang</t>
  </si>
  <si>
    <t>Simulation Research of Intelligent Operation and Maintenance Information System of Rail Transit Based on Digital Twin</t>
  </si>
  <si>
    <t>2023 9th International Conference on Computer and Communications (ICCC)</t>
  </si>
  <si>
    <t>2837-7109</t>
  </si>
  <si>
    <t>10.1109/ICCC59590.2023.10507615</t>
  </si>
  <si>
    <t>Research Office, Shanghai University, Shanghai, China; School of Management, Shanghai University, Shanghai, China</t>
  </si>
  <si>
    <t>This paper describes an implementation method of intelligent operation and maintenance system of rail transit based on Digital Twin (DT), which is used to simultaneously display, analyze and judge the data status of monitoring equipment of rail transit station in different life cycles. First of all, this paper introduces the method of constructing the basic model and behavior model of metro station DT based on big data technology. Secondly, the multistate analysis method is used to study the status of DT of subway station monitoring equipment in different life cycles. Finally, different functional requirements of station operation and maintenance in training, exercise and operation scenarios are realized through the combination of multiple state modes. This study provides a new direction for DT landing.</t>
  </si>
  <si>
    <t>979-8-3503-1725-1</t>
  </si>
  <si>
    <t>https://ieeexplore.ieee.org/stamp/stamp.jsp?arnumber=10507615</t>
  </si>
  <si>
    <t>digital twin;intelligent operation and maintenance;polymorphism analysis;equipment status</t>
  </si>
  <si>
    <t>Rails;Training;Computational modeling;Big Data;Data models;Maintenance;Digital twins</t>
  </si>
  <si>
    <t>D. Liu; J. Wang; X. Wang; C. Li; L. Zhang; X. Hou; X. Shi; M. Guo</t>
  </si>
  <si>
    <t>Improving the Efficiency of Serverless Computing via Core-Level Power Management</t>
  </si>
  <si>
    <t>10.1109/CCGrid59990.2024.00024</t>
  </si>
  <si>
    <t>Department of Computer Science and Engineering, Shanghai Jiao Tong University, Shanghai, China; Department of Computer Science and Engineering, Shanghai Jiao Tong University, Shanghai, China; Department of Computer Science and Engineering, Shanghai Jiao Tong University, Shanghai, China; Department of Computer Science and Engineering, Shanghai Jiao Tong University, Shanghai, China; Department of Computer Science and Engineering, Shanghai Jiao Tong University, Shanghai, China; Department of Computer Science and Engineering, Shanghai Jiao Tong University, Shanghai, China; Department of Computer Science and Engineering, Shanghai Jiao Tong University, Shanghai, China; Department of Computer Science and Engineering, Shanghai Jiao Tong University, Shanghai, China</t>
  </si>
  <si>
    <t>Serverless computing has recently become a significant application paradigm in data centers. However, existing power management methods focus on optimizations at the coarse-grained server level, making them unable to handle the characteristics of these short-lived, dynamic serverless functions. In this context, the unawareness of function-level characteristics by the existing power management systems can severely degrade the energy efficiency of the data centers. To address this challenge, we design a function-level power management system. Instead of relying on server-level schedulers, we propose a novel core-level scheduling policy for serverless functions that can efficiently allocate functions to the most suitable CPU core. Additionally, we propose a power management mechanism for serverless computing that can reduce system power consumption with functions‚Äô QoS guaranteed. Our evaluation shows that our system achieves a maximum power saving of 8.5% and an average power saving of 8% across the majority of loads without incurring any loss in tail latency, as compared to the conventional server-level scheduling system.</t>
  </si>
  <si>
    <t>https://ieeexplore.ieee.org/stamp/stamp.jsp?arnumber=10701381</t>
  </si>
  <si>
    <t>serverless computing;power efficiency;power management;core-level scheduling</t>
  </si>
  <si>
    <t>Data centers;Power demand;Processor scheduling;Power system management;Scalability;Serverless computing;Quality of service;Tail;Energy efficiency;Optimization</t>
  </si>
  <si>
    <t>J. Yang; W. Liu; Y. Shi; X. Ran</t>
  </si>
  <si>
    <t>Grid Engineering Full Lifecycle Application Based on GIM+GIS+IoT Data Fusion for New Power Systems</t>
  </si>
  <si>
    <t>2024 Boao New Power System International Forum - Power System and New Energy Technology Innovation Forum (NPSIF)</t>
  </si>
  <si>
    <t>10.1109/NPSIF64134.2024.10883084</t>
  </si>
  <si>
    <t>PowerChina Guizhou Electric Power Engineering Co., Ltd., Guiyang, Guizhou, China; PowerChina Guizhou Electric Power Engineering Co., Ltd., Guiyang, Guizhou, China; PowerChina Guizhou Electric Power Engineering Co., Ltd., Guiyang, Guizhou, China; PowerChina Guizhou Electric Power Engineering Co., Ltd., Guiyang, Guizhou, China</t>
  </si>
  <si>
    <t>In the present work, the basic concepts, application scenarios, and current status of Grid Information Model (GIM), Geographic Information System (GIS), and Internet of Things (IoT) technologies are discussed. This paper also explores how these technologies contribute to the full lifecycle management of power grid engineering, covering demand assessment, scenario planning, data integration and management, system architecture, and deployment. To address information gaps, information silos, and inconsistent data standards in business processes, data flows, and information flows, a full lifecycle management system integrating GIM, GIS, and IoT data fusion technologies is developed. This system remarkably enhances the efficiency and stability of the power system, reduces operating costs, and improves service quality and user experience.</t>
  </si>
  <si>
    <t>979-8-3315-0455-7</t>
  </si>
  <si>
    <t>https://ieeexplore.ieee.org/stamp/stamp.jsp?arnumber=10883084</t>
  </si>
  <si>
    <t>Power system;full lifecycle management;GIM+GIS+IoT data fusion;grid information model</t>
  </si>
  <si>
    <t>Technological innovation;Stability criteria;Data integration;Systems architecture;Power system stability;User experience;Power grids;Internet of Things;Standards;Geographic information systems</t>
  </si>
  <si>
    <t>H. Shahinzadeh; S. M. Zanjani; G. B. Gharehpetian; A. -E. Poursaeid; E. Etemadnia; S. Mehrabani-Najafabadi</t>
  </si>
  <si>
    <t>Computing Paradigms in Smart Grids 2.0: Exploring Computing Models and Cybersecurity Challenges</t>
  </si>
  <si>
    <t>2024 19th Iranian Conference on Intelligent Systems (ICIS)</t>
  </si>
  <si>
    <t>10.1109/ICIS64839.2024.10887444</t>
  </si>
  <si>
    <t>Department of Electrical Engineering, Amirkabir University of Technology, Tehran, Iran; Smart Microgrid Research Center, Najafabad Branch, Islamic Azad University, Najafabad, Iran; Department of Electrical Engineering, Amirkabir University of Technology, Tehran, Iran; Department of Electrical Engineering, Najafabad Branch, Islamic Azad University, Najafabad, Iran; Department of Electrical Engineering, Najafabad Branch, Islamic Azad University, Najafabad, Iran; Faculty of Computer Engineering, Najafabad Branch, Islamic Azad University, Najafabad, Iran</t>
  </si>
  <si>
    <t>Smart Grid 2.0 represents a significant advancement in energy systems, propelled by innovations such as the Internet of Things (IoT), Blockchain technology, and 5G telecommunications. These technologies enable dynamic and intelligent energy management while introducing new challenges in data processing and cybersecurity. This paper examines the role of various computing models‚ÄîCloud, Fog, Edge, and Distributed computing‚Äîwithin the framework of Smart Grids 2.0, emphasizing their impact on system efficiency and security. We first define each computing paradigm and its specific applications in smart grids. Next, we assess the security risks and computational challenges associated with these models, offering a comparative analysis of their performance in addressing concerns such as latency, scalability, and susceptibility to cyber-attacks. Proposed solutions, including encryption techniques and real-time threat detection, are discussed to strengthen the resilience of smart grids. The paper concludes with recommendations for future research, particularly in advancing cybersecurity measures and optimizing data processing in an increasingly interconnected energy infrastructure.</t>
  </si>
  <si>
    <t>979-8-3315-0756-5</t>
  </si>
  <si>
    <t>https://ieeexplore.ieee.org/stamp/stamp.jsp?arnumber=10887444</t>
  </si>
  <si>
    <t>Smart Grids 2.0;Cloud Computing;Fog Computing;Edge Computing;Distributed Computing;Cybersecurity;5G-IoT Telecommunications</t>
  </si>
  <si>
    <t>Computational modeling;Biological system modeling;Scalability;Data processing;Threat assessment;Real-time systems;Smart grids;Telecommunications;Computer security;Resilience</t>
  </si>
  <si>
    <t>E. Okhovat; M. Bauer</t>
  </si>
  <si>
    <t>Towards Enhanced Urban Management: Introducing A Model for Autonomic Smart City Management</t>
  </si>
  <si>
    <t>2024 IEEE International Conference on Smart Computing (SMARTCOMP)</t>
  </si>
  <si>
    <t>10.1109/SMARTCOMP61445.2024.00026</t>
  </si>
  <si>
    <t>Computer Science Department, University of Western Ontario, London, Canada; Computer Science Department, University of Western Ontario, London, Canada</t>
  </si>
  <si>
    <t>A smart city leverages the Internet of Things (IoT) to enhance citizens' lives. Real-time management of massive data is a challenge. Smart cities are complex and interconnected, requiring interdisciplinary collaboration for urban planning, IoT, and monitoring. This paper proposes a novel Model for Autonomic Smart City Management, aimed at the comprehensive management of diverse urban aspects, including environmental conditions and multilayered infrastructure. Emphasizing continuous monitoring, data analysis, and realtime resource assessment, the system employs the MAPE-K approach for automated data processing, with the aim of reducing the need for human intervention. A novel aspect of the model is that it leverages and integrates existing IoT and monitoring platforms. The model introduces algorithms and policies with the aim of automating management activities and operations. The primary goal is to enhance urban efficiency, sustainability, and residents' quality of life while minimizing manual efforts and ensuring long-term cost savings.</t>
  </si>
  <si>
    <t>979-8-3503-4994-8</t>
  </si>
  <si>
    <t>https://ieeexplore.ieee.org/stamp/stamp.jsp?arnumber=10595617</t>
  </si>
  <si>
    <t>Autonomic Smart City Management System;Internet of Things (IoT);Monitoring;Smart Cities;Policy-based Management;Infrastructure Performance</t>
  </si>
  <si>
    <t>Smart cities;Scalability;Computational modeling;Ecosystems;Prototypes;Sensor systems and applications;Complexity theory</t>
  </si>
  <si>
    <t>Y. Li; F. Liu; C. -H. Hsu; N. Venkatasubramanian</t>
  </si>
  <si>
    <t>AMPHI: Adaptive Mission-Aware Microservices Provisioning in Heterogeneous IoT Settings</t>
  </si>
  <si>
    <t>10.1109/SMARTCOMP61445.2024.00030</t>
  </si>
  <si>
    <t>Department of Computer Science, University of California Irvine, CA; Department of Computer Science, University of California Irvine, CA; Department of Computer Science, National Tsing Hua University, Taiwan; Department of Computer Science, National Tsing Hua University, Taiwan</t>
  </si>
  <si>
    <t>In mission-critical IoT environments, where data from diverse data sources (stationary and mobile) must be analyzed rapidly, ensuring reliable service provisioning for the execution of analytics is critical. Under dynamic conditions and changing infrastructure capabilities, adaptive methods are required to handle surges in data volumes and execute complex services for IoT applications. In this paper, we propose AMPHI - an adaptive microservice provisioning framework that handles various mission-aware workflows in combined stationary-mobile IoT environments to enable flexible deployment of containerized microservices. AMPHI exploits the variability in cost and performance among operators that implement similar functionalities but with distinct cost/quality/time tradeoffs, and employs apriori and on-the-fly techniques for intelligent selection, placement, and sharing of operators across a hybrid set of devices (stationary sensors, drones, and rovers) to maximize Quality of Service (QoS) and resource efficiency under dynamic situations. We formulate the microservice provisioning and instantiation as an (NP-hard) optimization problem and design efficient heuristic approaches to deploy microservices by utilizing application and system context. AMPHI is evaluated in the context of smart firefighting with high-rise fires utilizing building sensors and autonomous aerial mobile units. Through real-world testbeds and extensive simulations, we show how AMPHI allows flexible and cost-effective execution of dynamically changing IoT workflows.</t>
  </si>
  <si>
    <t xml:space="preserve">NSF(grant numbers:2133391,2008993); DARPA(grant numbers:FA875016-2-0021); </t>
  </si>
  <si>
    <t>https://ieeexplore.ieee.org/stamp/stamp.jsp?arnumber=10595621</t>
  </si>
  <si>
    <t>IoT;microservice;edge computing;heuristic</t>
  </si>
  <si>
    <t>Soft sensors;Microservice architectures;Quality of service;Reinforcement learning;Robustness;Internet of Things;Vehicle dynamics</t>
  </si>
  <si>
    <t>F. Lesniak; T. Harbaum; J. Becker</t>
  </si>
  <si>
    <t>Low-latency inter-domain communication on the Xen hypervisor</t>
  </si>
  <si>
    <t>2023 IEEE 16th International Symposium on Embedded Multicore/Many-core Systems-on-Chip (MCSoC)</t>
  </si>
  <si>
    <t>2771-3075</t>
  </si>
  <si>
    <t>10.1109/MCSoC60832.2023.00057</t>
  </si>
  <si>
    <t>Karlsruhe Institute of Technology, Karlsruhe, Germany; Karlsruhe Institute of Technology, Karlsruhe, Germany; Karlsruhe Institute of Technology, Karlsruhe, Germany</t>
  </si>
  <si>
    <t>Designing mixed-critical systems that provide both safety-critical and best-effort functions is a major challenge. In embedded systems, hypervisors are increasingly used to separate sensitive real-time tasks from best-effort applications. To take advantage of hypervisors at the application level as well, there is an emerging trend to split large applications into multiple guest domains to make the software easier to analyze and maintain. However, having more partitions leads to increased communication overhead between guest domains, increasing the impact of latencies on performance. In this article, we propose a framework for Inter-Domain Communication (IDC) to tackle these issues by reducing IDC latencies. It is built upon established open-source implementations of the VIRTIO and RPMsg specifications, allowing to reuse existing drivers for guest OS or bare-metal software. We can show latency improvements of up to 3x compared to UDP communication between two guests, even faster than UDP communication using the loopback interface within one Linux guest. Splitting applications into separate guest domains is discussed, as a trace-off between communication latency and computational complexity exists. Further a service-oriented example application is analyzed, where our approach can lead to improvements through inherent concurrency. In addition, we demonstrate how to extend the original peer-to-peer scheme with a router component to allow multiple guests to exchange data.</t>
  </si>
  <si>
    <t>979-8-3503-9361-3</t>
  </si>
  <si>
    <t>https://ieeexplore.ieee.org/stamp/stamp.jsp?arnumber=10387919</t>
  </si>
  <si>
    <t>Hypervisor;inter-domain communication;low latency;VIRTIO;mixed-critical systems</t>
  </si>
  <si>
    <t>Virtual machine monitors;Protocols;Multicore processing;Software;Real-time systems;Peer-to-peer computing;Security</t>
  </si>
  <si>
    <t>M. Pavlov; E. Rybin; I. Kirill; A. Marakhtanov; D. Korzun</t>
  </si>
  <si>
    <t>Real-Time Industrial Automated Video Analytics System for Welding Defect Detection</t>
  </si>
  <si>
    <t>2024 36th Conference of Open Innovations Association (FRUCT)</t>
  </si>
  <si>
    <t>10.23919/FRUCT64283.2024.10749903</t>
  </si>
  <si>
    <t>Petrozavodsk State University (PetrSU), Petrozavodsk, Russia; Petrozavodsk State University (PetrSU), Petrozavodsk, Russia; Petrozavodsk State University (PetrSU), Petrozavodsk, Russia; Petrozavodsk State University (PetrSU), Petrozavodsk, Russia; Petrozavodsk State University (PetrSU), Petrozavodsk, Russia</t>
  </si>
  <si>
    <t>The control of quality is an obligatory stage of any welding work which makes problem of timely detection of welding defects is important for industry nowadays. Through digitisation it possible to solve this problem more efficiently and eliminate the human factor. This paper presents a real-time industrial automated video analytics system for weld defect detection. The system uses deep learning to analyze video images and detect weld defects in real-time. Experiments showed that the system can effectively detect weld defects with high accuracy and speed. A safety and trustworthiness analysis of the system showed that it can be reliable and safe for use in industrial manufacturing. The proposed solution has several key advantages for the industry: it allows for real-time data processinga and requires low computing power, making it an energy-efficient and cost-effective solution.</t>
  </si>
  <si>
    <t>978-952-65246-2-7</t>
  </si>
  <si>
    <t>https://ieeexplore.ieee.org/stamp/stamp.jsp?arnumber=10749903</t>
  </si>
  <si>
    <t>Industries;Technological innovation;Accuracy;Welding;Visual analytics;Process control;Streaming media;Real-time systems;Research and development;Defect detection</t>
  </si>
  <si>
    <t>K. Wang; S. Jiang; W. Fu; Q. Sheng; Y. Zhang; H. Cao; P. Liu; Y. Sun; B. Huang</t>
  </si>
  <si>
    <t>A Heuristic Algorithm for Smart Edge Sensing Device Distribution Optimization for Industrial Park</t>
  </si>
  <si>
    <t>2024 IEEE 4th International Conference on Power, Electronics and Computer Applications (ICPECA)</t>
  </si>
  <si>
    <t>10.1109/ICPECA60615.2024.10471045</t>
  </si>
  <si>
    <t>State Grid Zhejiang Electric Power Co., Ltd. Jinhua Power Supply Company, Jinhua, China; State Grid Zhejiang Electric Power Co., Ltd. Jinhua Power Supply Company, Jinhua, China; State Grid Zhejiang Electric Power Co., Ltd. Jinhua Power Supply Company, Jinhua, China; State Grid Zhejiang Electric Power Co., Ltd. Jinhua Power Supply Company, Jinhua, China; State Grid Zhejiang Electric Power Co., Ltd. Jinhua Power Supply Company, Jinhua, China; State Grid Smart Grid Research Institute Co., Ltd, Beijing, China; State Grid Zhejiang Electric Power Co., Ltd. Jinhua Power Supply Company, Jinhua, China; State Grid Zhejiang Electric Power Co., Ltd. Jinhua Power Supply Company, Jinhua, China; State Grid Smart Grid Research Institute Co., Ltd, Beijing, China</t>
  </si>
  <si>
    <t>There are many sensing nodes in the industrial park system, and the amount of data uploaded at the same time is huge, the concurrency requirements are high, and the sensing loss is large. Therefore, the cloud-edge collaborative multi-processing architecture is built, which includes decentralized data aggregation of edge sensing nodes, partition data processing, and cloud data comparison. In this paper, a cloud-edge collaborative multi-processing architecture of edge sensing node decentralized data aggregation, partition data processing and cloud data comparison is constructed, and a unified point distribution principle is designed. Under the typical area scale of the multi-processing architecture, combined with the requirements of obtaining the minimum sensing devices and the maximum characteristic information in the multi-processing architecture area, the optimization design of the layout scheme was carried out based on the constraint conditions of all sensing devices in the coverage area, and the physical relationship model of the transmitted power and coverage radius of the sensing devices was constructed. Considering the deployment scheme of field sensing nodes and the coupling relationship between different indicators, a two-stage sensor location strategy based on a variety of heuristic algorithms was designed, and a two-stage location optimization method with minimum power initial location + fitness correction was proposed, which effectively reduced the coverage overlap area of regional sensing collection equipment and constructed a location energy consumption model.</t>
  </si>
  <si>
    <t>979-8-3503-5958-9</t>
  </si>
  <si>
    <t>https://ieeexplore.ieee.org/stamp/stamp.jsp?arnumber=10471045</t>
  </si>
  <si>
    <t>edge device;sensor node;distribution optimization;mesh network;wireless sensor network</t>
  </si>
  <si>
    <t>Cloud computing;Heuristic algorithms;Layout;Energy conservation;Collaboration;Maintenance engineering;Data aggregation</t>
  </si>
  <si>
    <t>A. Marder; J. Larrea; K. Claffy; E. Kline; K. Jamieson; B. Huffaker; L. Thurlow; M. Luckie</t>
  </si>
  <si>
    <t>REVEAL: Real-time Evaluation and Verification of External Adversarial Links</t>
  </si>
  <si>
    <t>MILCOM 2024 - 2024 IEEE Military Communications Conference (MILCOM)</t>
  </si>
  <si>
    <t>10.1109/MILCOM61039.2024.10773880</t>
  </si>
  <si>
    <t>Johns Hopkins University; Revelare Networks; UCSD CAIDA; USC/ISI; Princeton University; UCSD CAIDA; USC/ISI; UCSD CAIDA</t>
  </si>
  <si>
    <t>Department of Defense (DOD) use of commercial networks entails unprecedented reliance on untrusted third-party communications infrastructure, and the associated risk of exposing DOD communications to an adversary. Traversing adversary-controlled infrastructure allows DOD‚Äôs adversaries to recognize, disrupt, or extract intelligence even from encrypted communications. The resulting arms race of obfuscation vs intelligence techniques has an inherent limitation: with each new obfuscation, DOD can never know if it fools the adversary, or if the adversary is simply lulling DOD into a false sense of security.We believe the next great capability leap for operating through commercial networks will likely come from sophisticated analytics that provide situational awareness of the threats within the communications infrastructure, and implementations that dynamically route communications along benign paths. These systems will restructure communication paths to avoid adversary-controlled infrastructure within the cellular networks and the broader Internet, adding depth to existing DOD defenses and keeping communications unobservable by the adversary.In this paper, we describe our vision for this emerging conceptual framework. We first describe the threat model for DOD communications and use cases that motivate our approach. We then discuss specific threats for each component of the cellular communication infrastructure‚Äì‚Äîradio access network, mobile core, and Internet‚Äì‚Äîand our vision for securing communications against those threats. For the radio access network and Internet components, we also describe proofs-of-concept for our proposed approaches, demonstrating their feasibility.</t>
  </si>
  <si>
    <t>979-8-3503-7423-0</t>
  </si>
  <si>
    <t>https://ieeexplore.ieee.org/stamp/stamp.jsp?arnumber=10773880</t>
  </si>
  <si>
    <t>mobile;wireless;security;5G;emerging concepts</t>
  </si>
  <si>
    <t>Threat modeling;Privacy;Weapons;Routing protocols;Real-time systems;US Department of Defense;Internet;Substrates;Research and development;Radio access networks</t>
  </si>
  <si>
    <t>L. Xiao; S. Wang; D. Jin</t>
  </si>
  <si>
    <t>Towards Intelligent Manufacturing: An AI-Based Machine Vision Detection System</t>
  </si>
  <si>
    <t>2023 China Automation Congress (CAC)</t>
  </si>
  <si>
    <t>10.1109/CAC59555.2023.10450947</t>
  </si>
  <si>
    <t>Intelligent Manufacturing Haier Digital Technology (Qingdao) Co., Ltd., Qingdao, P.R.China; Intelligent Manufacturing COSMO Alot Technology Co., Ltd., Qingdao, P.R.China; Intelligent Manufacturing Technology Haier Chongqing Washing Machine Co., Ltd., Chongqing, P.R.China</t>
  </si>
  <si>
    <t>With the increasing maturity of deep learning, machine vision systems combined with AI deep learning algorithms is being widely applied. The AI-based intelligent detection system is to provide early warning to prevent defective products. Quality assurance testing could be carried out at early stages of the production, so as to avoid defective components going into the next process. Compared with manual inspections, AI-based machine vision detection brings higher efficiency and accuracy1, and specific details and drawings of defective products can also be collected for analysis. The paper aims to propose an AI-based machine vision detection system, which may provide reference for intelligent quality testing in washing machine manufacturing.</t>
  </si>
  <si>
    <t>979-8-3503-0375-9</t>
  </si>
  <si>
    <t>https://ieeexplore.ieee.org/stamp/stamp.jsp?arnumber=10450947</t>
  </si>
  <si>
    <t>machine vision;intelligent manufacturing;AI;intelligent inspection;deep learning</t>
  </si>
  <si>
    <t>Deep learning;Training;Visualization;Machine vision;Manuals;Inspection;Software</t>
  </si>
  <si>
    <t>P. Ruiu; C. Rubattu; M. Anedda; A. Lagorio; V. Popescu; N. Amarie; D. Giusto; M. Fadda</t>
  </si>
  <si>
    <t>Edge-to-Cloud Continuum Orchestrator for Distributed Video Applications</t>
  </si>
  <si>
    <t>2024 IEEE International Symposium on Broadband Multimedia Systems and Broadcasting (BMSB)</t>
  </si>
  <si>
    <t>10.1109/BMSB62888.2024.10608304</t>
  </si>
  <si>
    <t>University of Sassari, Italy; University of Sassari, Italy; University of Cagliari, UdR CNIT of Cagliari, Italy; University of Sassari, Italy; Transilvania University of Brasov, Romania; Transilvania University of Brasov, Romania; University of Cagliari, UdR CNIT of Cagliari, Italy; University of Sassari, Italy</t>
  </si>
  <si>
    <t>The current paper presents the implementation of an orchestrator for distributed edge-to-cloud systems based on heterogeneous nodes in urban environments. The orchestrator considers available resources, specifically video feeds from surveillance cameras, distributed across levels (i.e., from cloud to edge and viceversa) as a continuum and organizes them, taking into account their properties such as distance from the data source, processing latency, involved resources, and functionalities. The continuum from edge to cloud enables distributed processing of the video signal and network infrastructure management to optimize performance and energy efficiency, supporting mobility and workload balancing.</t>
  </si>
  <si>
    <t>979-8-3503-6426-2</t>
  </si>
  <si>
    <t>https://ieeexplore.ieee.org/stamp/stamp.jsp?arnumber=10608304</t>
  </si>
  <si>
    <t>Video Processing;Smart Cities;Edge Computing;Hardware Acceleration;Container Orchestration</t>
  </si>
  <si>
    <t>Processor scheduling;Surveillance;Soft sensors;Image edge detection;Urban areas;Energy efficiency;Scheduling</t>
  </si>
  <si>
    <t>L. Fiedler; M. Schmidt; P. Schegner; S. Reichardt; M. Weisenstein; U. Schmidt; T. Wagner; H. H√§nchen; L. Braun; L. Menke</t>
  </si>
  <si>
    <t>Digitechnetz ‚Äì a smart grid platform enabling an active operation of low voltage distribution grids</t>
  </si>
  <si>
    <t>CIRED 2024 Vienna Workshop</t>
  </si>
  <si>
    <t>10.1049/icp.2024.1991</t>
  </si>
  <si>
    <t>TU Dresden University of Technology, Dresden, Germany; TU Dresden University of Technology, Dresden, Germany; TU Dresden University of Technology, Dresden, Germany; Robotron Datenbank-Software GmbH, Dresden, Germany; DIgSILENT GmbH, Gomaringen, Germany; F&amp;S Prozessautomation GmbH, Dohna, Germany; F&amp;S Prozessautomation GmbH, Dohna, Germany; SachsenNetze GmbH, Dresden, Germany; SachsenNetze HS.HD GmbH, Dresden, Germany; emsys grid services GmbH, Oldenburg, Germany</t>
  </si>
  <si>
    <t>The energy transition has resulted in the integration of power-intensive consumers and producers into low voltage grids. This has led to an increased load on these grids, which may reach their capacity limits and thus necessitate grid expansions. However, grid expansions cannot be completed in a short-term period due to various limitations. The project DIGITECHNETZ focuses on the digital transformation of low voltage grids and proposes different use cases for an active grid management. The core component of this project is a data platform that provides essential services for active grid operation. The platform is designed with a modular and hierarchical structure to ensure interoperability and scalability. All use cases are developed and validated using Hardware-in-the-Loop tests. Subsequently, field tests are conducted to seamlessly integrate selected use cases into the operation schemes of grid operators.</t>
  </si>
  <si>
    <t>978-1-83724-122-4</t>
  </si>
  <si>
    <t>https://ieeexplore.ieee.org/stamp/stamp.jsp?arnumber=10852984</t>
  </si>
  <si>
    <t>M. Cheng; Z. Mu; K. Xu; H. Fang; M. Li</t>
  </si>
  <si>
    <t>Construction progress and prospect of China's nuclear power industry Internet platform</t>
  </si>
  <si>
    <t>2024 IEEE 4th International Conference on Digital Twins and Parallel Intelligence (DTPI)</t>
  </si>
  <si>
    <t>10.1109/DTPI61353.2024.10778721</t>
  </si>
  <si>
    <t>China Nuclear Power Operation Technology Corporation, Ltd, Wuhan, China; School of Electrical Engineering and Automation, Wuhan University, Wuhan, China; China Nuclear Power Operation Technology Corporation, Ltd, Wuhan, China; China Nuclear Power Operation Technology Corporation, Ltd, Wuhan, China; China Nuclear Power Operation Technology Corporation, Ltd, Wuhan, China</t>
  </si>
  <si>
    <t>With the development of industry 4.0 and digital technology, as a new infrastructure of the fourth industrial revolution, industrial Internet has become an important technology to realize the digital transformation of industry. Compared with other energy sources, nuclear power has higher requirements in terms of safety and energy efficiency. Therefore, it is necessary to clarify the construction situation of China's nuclear power industry Internet platform and the shortcomings of digital transformation, so as to improve the energy efficiency and core competitiveness of nuclear power enterprises. Firstly, this paper sorts out the architecture, technical characteristics and main applications of China's nuclear power industrial Internet platform (DHP), and then compares the DHP platform with existing industrial Internet platforms in China from five aspects of application technology, main functions, application scenarios, data storage and service, and security system, and focuses on the model management technology. Secondly, the use of foreign industrial Internet platform components and tools is compared. Finally, according to the above research conclusions, the shortcomings of the construction of China's nuclear power industry Internet platform are found and the improvement scheme is put forward.</t>
  </si>
  <si>
    <t>979-8-3503-4925-2</t>
  </si>
  <si>
    <t>https://ieeexplore.ieee.org/stamp/stamp.jsp?arnumber=10778721</t>
  </si>
  <si>
    <t>Industrial Internet;nuclear power;DHP;artificial intelligence technology</t>
  </si>
  <si>
    <t>Memory;Reliability theory;Power industry;Energy efficiency;Internet;Safety;Fourth Industrial Revolution;Digital twins;Security;Power generation</t>
  </si>
  <si>
    <t>Y. Ran; D. Zhang</t>
  </si>
  <si>
    <t>The Overall Development Trend of 6G</t>
  </si>
  <si>
    <t>2023 5th International Academic Exchange Conference on Science and Technology Innovation (IAECST)</t>
  </si>
  <si>
    <t>10.1109/IAECST60924.2023.10503190</t>
  </si>
  <si>
    <t>NA; School of Electrical and Information Engineering, Zhengzhou University, Zhengzhou, China</t>
  </si>
  <si>
    <t>In the year 2030, the anticipated sixth-generation (6G) wireless communication network is poised to offer worldwide coverage, heightened efficiency in spectrum utilization, energy conservation, and cost-effectiveness, alongside bolstered security features and an array of diverse application scenarios. Envisioned as a groundbreaking advancement, 6G is projected to achieve integrated connections across space, air, ground, and sea, boasting faster speeds, cross-border integration, and intelligent applications. This article delves into the latest developments in 6G and explores the evolving trends of diversification, intelligence, and integration.</t>
  </si>
  <si>
    <t>979-8-3503-5773-8</t>
  </si>
  <si>
    <t>https://ieeexplore.ieee.org/stamp/stamp.jsp?arnumber=10503190</t>
  </si>
  <si>
    <t>sixth-generation (6G) wireless communications;6G networks;6G applications;space-air-ground-sea integrated network;network security</t>
  </si>
  <si>
    <t>6G mobile communication;Technological innovation;Wireless networks;Energy conservation;Network security;Market research;Telecommunication computing</t>
  </si>
  <si>
    <t>D. P. Abreu; K. Velasquez; M. Curado; E. Monteiro</t>
  </si>
  <si>
    <t>Unlocking Efficiency in B5G Networks: The Need for Adaptive Service Function Chains</t>
  </si>
  <si>
    <t>2024 33rd International Conference on Computer Communications and Networks (ICCCN)</t>
  </si>
  <si>
    <t>10.1109/ICCCN61486.2024.10637552</t>
  </si>
  <si>
    <t>Laboratory for Informatics and Systems, Instituto Pedro Nunes, Coimbra, Portugal; Department of Informatics Engineering, CISUC, University of Coimbra, Coimbra, Portugal; Department of Informatics Engineering, CISUC, University of Coimbra, Coimbra, Portugal; Department of Informatics Engineering, CISUC, University of Coimbra, Coimbra, Portugal</t>
  </si>
  <si>
    <t>Service Function Chains allow the dynamic generation of basic virtual network services in order to build more complex services. They constitute the basis of the flexibility support for 5G and Beyond 5G networks. In order to totally exploit their benefits, the Service Function Chains should adapt to specific user requirements and current network status. The existing mechanisms to compose and embed Service Function Chains mostly disregard energy metrics to guide their decisions, thus resulting in a lack of energy optimisation by network operators. This paper presents a revision of existing Service Function Chain composition and embedding approaches and a discussion of current and future research directions, focused on energy optimisation for adaptive Service Function Chains. Furthermore, an architecture to empower the green orchestration of adaptive Service Function Chains is also drafted.</t>
  </si>
  <si>
    <t>979-8-3503-8461-1</t>
  </si>
  <si>
    <t>https://ieeexplore.ieee.org/stamp/stamp.jsp?arnumber=10637552</t>
  </si>
  <si>
    <t>Service Function Chain;Adaptive SFC;B5G;Energy Efficiency;Green Orchestration</t>
  </si>
  <si>
    <t>Measurement;Adaptive systems;Overlay networks;Service function chaining;5G mobile communication;Computer architecture;Market research</t>
  </si>
  <si>
    <t>H. Li; B. Wang; Y. Liu; Z. Li; Y. He; L. Hao</t>
  </si>
  <si>
    <t>Assessment of Carrying Capacity and Optimized Operation Methods for Distributed Photovoltaic and Wind Power in Rural Distribution Networks</t>
  </si>
  <si>
    <t>2024 China International Conference on Electricity Distribution (CICED)</t>
  </si>
  <si>
    <t>10.1109/CICED63421.2024.10754135</t>
  </si>
  <si>
    <t>State Grid Beijing Electric Power Company, Beijing, China; State Grid Beijing Electric Power Company, Beijing, China; The School of Electrical and Electronic Engineering, North China Electric Power University; State Grid Beijing Electric Power Company, Beijing, China; State Grid Beijing Electric Power Company, Beijing, China; State Grid Beijing Electric Power Company, Beijing, China</t>
  </si>
  <si>
    <t>As clean energy gains popularity, integrating distributed photovoltaic and wind power into rural distribution networks poses challenges to their stability. This study evaluates the carrying capacity of these networks and explores operational strategy optimization to enhance their efficiency and capacity. Using mathematical modeling and simulation, the research proposes customized strategies based on real conditions to maximize clean energy use while maintaining network stability. The findings indicate that effective optimization can significantly improve the network's carrying capacity, supporting more sustainable and efficient rural power development.</t>
  </si>
  <si>
    <t>979-8-3503-6834-5</t>
  </si>
  <si>
    <t xml:space="preserve">Science and Technology Project of State Grid Co..Ltd(grant numbers:52022324000D); </t>
  </si>
  <si>
    <t>https://ieeexplore.ieee.org/stamp/stamp.jsp?arnumber=10754135</t>
  </si>
  <si>
    <t>Rural distribution network;Distributed photovoltaics and wind power;Assessment of bearing capacity;Optimize operating methods1</t>
  </si>
  <si>
    <t>Photovoltaic systems;Green energy;Supply and demand;Wind energy;Distribution networks;Wind power generation;Power system stability;Stability analysis;Power grids;Optimization</t>
  </si>
  <si>
    <t>L. Rubino; G. S. Barbato; M. D. Santis; R. Langella; G. M. Casolino; I. Hussain; P. Verde</t>
  </si>
  <si>
    <t>VILLAS Framework for Distributed-Software-In-the-Loop Voltage Optimization with Renewables and Ultrafast Charging Stations</t>
  </si>
  <si>
    <t>2024 International Conference on Smart Energy Systems and Technologies (SEST)</t>
  </si>
  <si>
    <t>2836-4678</t>
  </si>
  <si>
    <t>10.1109/SEST61601.2024.10694556</t>
  </si>
  <si>
    <t>Dept. of Engineering, University of Campania ‚ÄúLuigi Vanvitelli‚Äù, Aversa, Italy; Dept. of Engineering, University of Campania ‚ÄúLuigi Vanvitelli‚Äù, Aversa, Italy; Dept. of Engineering, University of Campania ‚ÄúLuigi Vanvitelli‚Äù, Aversa, Italy; Dept. of Engineering, University of Campania ‚ÄúLuigi Vanvitelli‚Äù, Aversa, Italy; Dept. of Electrical and Information Engineering (DIEI), University of Cassino and Southern Latium, Cassino, Italy; Dept. of Electrical and Information Engineering (DIEI), University of Cassino and Southern Latium, Cassino, Italy; Dept. of Electrical and Information Engineering (DIEI), University of Cassino and Southern Latium, Cassino, Italy</t>
  </si>
  <si>
    <t>In this paper, a VILLAS framework for distributed software-in-the-loop (DSIL) voltage optimization with renewables and ultrafast charging stations (CSs) is proposed. The VILLAS framework is a powerful system for local and geographical DSIL, real-time hardware in the loop (HIL) and power HIL (PHIL) emulations for electric energy systems. This paper presents a novel and scalable distributed co-simulation framework for DSIL testing that operates at the network-centric abstraction level. The IEEE 123-node MV test feeder, equipped with DERs such as photovoltaic (PV) systems and ultrafast electric vehicle (EV) CSs is considered. The entire DSIL runs on four machines geographically distributed at two different sites. One machine emulates the distribution network and solves the power flow equations to solve the voltage-optimization problem, the second emulates the EV ultrafast CSs optimizing its power consumption, and the other two execute the VILLAS nodes connecting the two sites. This work differs from previous studies, based on VILLAS, for the introduction of local optimization methods and the exchange of dynamic power limits for control within a given task update interval. A case study aimed to check the performances of the optimization services for different task update intervals demonstrates the feasibility of developing and validating complex system-level services for future energy communities by DSIL.</t>
  </si>
  <si>
    <t>979-8-3503-8649-3</t>
  </si>
  <si>
    <t>https://ieeexplore.ieee.org/stamp/stamp.jsp?arnumber=10694556</t>
  </si>
  <si>
    <t>Electric power systems;distributed software-in-the-Ioop;real-time simulations;charging of electric vehicles;linear power flow;energy communities</t>
  </si>
  <si>
    <t>Renewable energy sources;Power demand;Power system dynamics;Optimization methods;Charging stations;Electric vehicles;Real-time systems;Physiology;Vehicle dynamics;Testing</t>
  </si>
  <si>
    <t>I. Dimolitsas; D. Spatharakis; D. Dechouniotis; A. Zafeiropoulos; S. Papavassiliou</t>
  </si>
  <si>
    <t>Multi-Application Hierarchical Autoscaling for Kubernetes Edge Clusters</t>
  </si>
  <si>
    <t>10.1109/SMARTCOMP58114.2023.00074</t>
  </si>
  <si>
    <t>School of Electrical and Computer Engineering, National Technical University of Athens, Athens, Greece; School of Electrical and Computer Engineering, National Technical University of Athens, Athens, Greece; School of Electrical and Computer Engineering, National Technical University of Athens, Athens, Greece; School of Electrical and Computer Engineering, National Technical University of Athens, Athens, Greece; School of Electrical and Computer Engineering, National Technical University of Athens, Athens, Greece</t>
  </si>
  <si>
    <t>The dynamic workload demands of smart city applications hosted on edge infrastructures require the development of advanced scaling mechanisms. Recent studies proposed single-application autoscaling solutions based on various technical approaches. However, for edge infrastructures with limited resource availability, it is essential to simultaneously manage heterogeneous application requirements, aiming at optimal resource allocation and minimal operational costs. This study introduces a multi-application hierarchical autoscaling framework for Kubernetes Edge Clusters. An application-based mechanism nominates the best applications‚Äô deployments based on workload prediction and several criteria that guarantee the application‚Äôs performance while minimizing the infrastructure provider‚Äôs cost. For the joint application orchestration, an aggregation mechanism composes the candidate scaling solutions for the cluster. Then, a cluster autoscaling mechanism, based on the Analytic Hierarchy Process, undertakes the cluster‚Äôs scaling decision to optimize the resource allocation and energy consumption of the cluster. The evaluation illustrates the benefits of the proposed scaling strategy, achieving significant improvement in the average allocated resources and energy consumption compared to single-application approaches.</t>
  </si>
  <si>
    <t>https://ieeexplore.ieee.org/stamp/stamp.jsp?arnumber=10207647</t>
  </si>
  <si>
    <t>Energy consumption;Costs;Smart cities;Analytic hierarchy process;Resource management</t>
  </si>
  <si>
    <t>J. Stojkovic; P. A. Misra; √ç. Goiri; S. Whitlock; E. Choukse; M. Das; C. Bansal; J. Lee; Z. Sun; H. Qiu; R. Zimmermann; S. Samal; B. Warrier; A. Raniwala; R. Bianchini</t>
  </si>
  <si>
    <t>SmartOClock: Workload- and Risk-Aware Overclocking in the Cloud</t>
  </si>
  <si>
    <t>10.1109/ISCA59077.2024.00040</t>
  </si>
  <si>
    <t>University of Illinois at Urbana Champaign; Microsoft; Microsoft; Microsoft; Microsoft; Microsoft; Microsoft; Microsoft; Microsoft; University of Illinois at Urbana Champaign; University of Texas at Austin; Microsoft; Microsoft; Microsoft; Microsoft</t>
  </si>
  <si>
    <t>Operating server components beyond their voltage and power design limit (i.e., overclocking) enables improving performance and lowering cost for cloud workloads. However, overclocking can significantly degrade component lifetime, increase power draw, and cause power capping events, eventually diminishing the performance benefits. In this paper, we characterize the impact of overclocking on cloud workloads by studying their profiles from production deployments. Based on the characterization insights, we propose SmartOClock, the first distributed overclocking management platform specifically designed for cloud environments. SmartOClock is a workload-aware scheme that relies on power predictions to heterogeneously distribute the power budgets across its servers based on their needs and then enforce budget compliance locally, per-server, in a decentralized manner. SmartOClock reduces the tail latency by 9%, application cost by 30% and total energy consumption by 10% for latencysensitive microservices on a 36-server deployment. Simulation analysis using production traces show that SmartOClock reduces the number of power capping events by up to 95% while increasing the overclocking success rate by up to 62%. We also describe lessons from building a first-of-its-kind overclockable cluster in Microsoft Azure for production experiments.</t>
  </si>
  <si>
    <t>https://ieeexplore.ieee.org/stamp/stamp.jsp?arnumber=10609684</t>
  </si>
  <si>
    <t>Energy consumption;Costs;Buildings;Microservice architectures;Production;Tail;Computer architecture</t>
  </si>
  <si>
    <t>M. Alsamman; Y. Fazea; F. Mohammed; M. A. M. Kehail</t>
  </si>
  <si>
    <t>Fog Computing in Smart Cities: A Systematic Review</t>
  </si>
  <si>
    <t>10.1109/eSmarTA59349.2023.10293505</t>
  </si>
  <si>
    <t>School of Computing Universiti Utara Malaysia, Kedah, Malaysia; Department of Computer and Information Technology, Marshall University, Huntington, WV, USA; Department of Business Analytics, Sunway Business School, Sunway University, Selangor, Malaysia; School of Computing Universiti Utara Malaysia, Kuala Lumpur, Malaysia</t>
  </si>
  <si>
    <t>An unprecedented fusion of different technologies has been made possible by the proliferation of smart city projects to improve urban life, resource management, and service delivery. Fog computing is one of these technologies that has shown promise in addressing the problems brought on by the expanding demand for real-time data processing, low-latency connectivity, and effective resource use. The role and effects of fog computing in the context of smart cities are thoroughly reviewed in this work. This paper seeks to provide an in-depth overview of the contributions, trends, and challenges related to the implementation of fog computing in smart urban environments by synthesizing and analyzing a wide range of publications. This paper synthesizes existing information to highlight important research gaps and recommended directions for further study at the interface between fog computing and smart cities. For researchers, practitioners, and policymakers involved in the design, implementation, and optimization of smart city infrastructures employing fog computing technologies, the review's findings provide useful insights.</t>
  </si>
  <si>
    <t>https://ieeexplore.ieee.org/stamp/stamp.jsp?arnumber=10293505</t>
  </si>
  <si>
    <t>Fog computing;Smart cities;Future works;Technical challenges;Security</t>
  </si>
  <si>
    <t>Systematics;Smart cities;Market research;Real-time systems;Security;Resource management;Sustainable development</t>
  </si>
  <si>
    <t>A. Kudryavtsev; V. Zatsepina; I. Pavlov</t>
  </si>
  <si>
    <t>Implementing Cloud Computing in Smart Cities</t>
  </si>
  <si>
    <t>2023 3rd International Conference on Technology Enhanced Learning in Higher Education (TELE)</t>
  </si>
  <si>
    <t>10.1109/TELE58910.2023.10184349</t>
  </si>
  <si>
    <t>Automation and computer science faculty, Lipetsk State Technical University, Lipetsk, Russia; Automation and computer science faculty, Lipetsk State Technical University, Lipetsk, Russia; Automation and computer science faculty, Lipetsk State Technical University, Lipetsk, Russia</t>
  </si>
  <si>
    <t>With the development of the Internet of Things, the number of devices connected to the Internet has increased exponentially, leading to a huge increase in the amount of data to be processed in the cloud, with a significant increase in traffic at the expense of service quality. This, along with the low latency and mobility requirements of many web applications, has led to the emergence of computing options that are closer to network devices. Cloud computing has emerged as a new paradigm to address these issues, extending traditional cloud computing architecture to the boundaries of the network. Despite the rapid development of cloud computing, there are challenges associated with its implementation in real-world scenarios such as smart cities, where the heterogeneity and mobility of devices, as well as the required scalability and interoperability need to be considered. Accordingly, this paper presents a procedure to guide the implementation of this technology in smart cities. As a partial test, the proposed procedure is applied to the use case of rubbish collection</t>
  </si>
  <si>
    <t>979-8-3503-2656-7</t>
  </si>
  <si>
    <t>https://ieeexplore.ieee.org/stamp/stamp.jsp?arnumber=10184349</t>
  </si>
  <si>
    <t>cloud computing;smart cities;internet of things</t>
  </si>
  <si>
    <t>Cloud computing;Smart cities;Scalability;Education;Computer architecture;Internet of Things;Low latency communication</t>
  </si>
  <si>
    <t>E. Kuzmina; M. Tefikova; A. Volkov; A. Muthanna; A. A. Ateya; A. Koucheryavy</t>
  </si>
  <si>
    <t>Microservice-Based Fog Testbed for 6G Applications</t>
  </si>
  <si>
    <t>2024 26th International Conference on Advanced Communications Technology (ICACT)</t>
  </si>
  <si>
    <t>1738-9445</t>
  </si>
  <si>
    <t>10.23919/ICACT60172.2024.10471764</t>
  </si>
  <si>
    <t>Department of Telecommunication Networks and Data Transmission, Saint-Petersburg State University of Telecommunications, Saint Petersburg, Russia; Department of Telecommunication Networks and Data Transmission, Saint-Petersburg State University of Telecommunications, Saint Petersburg, Russia; Department of Telecommunication Networks and Data Transmission, Saint-Petersburg State University of Telecommunications, Saint Petersburg, Russia; Department of Telecommunication Networks and Data Transmission, Saint-Petersburg State University of Telecommunications, Saint Petersburg, Russia; Department of Electronics and Communications Engineering, Zagazig University, Zagazig, Egypt; Department of Telecommunication Networks and Data Transmission, Saint-Petersburg State University of Telecommunications, Saint Petersburg, Russia</t>
  </si>
  <si>
    <t>This paper provides a real-time fog computing model based on a microservice architecture that enables testing and modeling of eventual implementations of ultra-reliable low-latency communications (uRLLC) services. The work provides fog-based architecture for sixth-generation cellular (6G) applications, including telepresence and uRLLC. A testbed of a robot swarm was developed to prototype the proposed network architecture. Computing tasks are offloaded and handled based on a proposed microservice scheme introduced to meet the 6G requirements. Furthermore, we developed a novel migration scheme for the proposed architecture to support the mobility of end devices. The optimum server for migrating computing tasks is allocated by solving a proposed optimization problem using particle swarm optimization (PSO). All proposed algorithms were implemented in the developed prototype. The proposed work is introduced to provide an architectural foundation for testing fog-based 6G applications and services and to implement and test novel network methods in the future.</t>
  </si>
  <si>
    <t>979-11-88428-12-0</t>
  </si>
  <si>
    <t>https://ieeexplore.ieee.org/stamp/stamp.jsp?arnumber=10471764</t>
  </si>
  <si>
    <t>fog computing;microservice architecture;6G networks;telepresence services;uRRLC;Dobot Magician</t>
  </si>
  <si>
    <t>6G mobile communication;Telepresence;Computational modeling;Microservice architectures;Prototypes;Computer architecture;Ultra reliable low latency communication</t>
  </si>
  <si>
    <t>R. S. Pujar; C. L. Chyalakshmi; M. S. Kakkasageri</t>
  </si>
  <si>
    <t>Machine Learning based Dynamic Resource Allocation in 6G Network</t>
  </si>
  <si>
    <t>2024 4th International Conference on Intelligent Technologies (CONIT)</t>
  </si>
  <si>
    <t>10.1109/CONIT61985.2024.10626599</t>
  </si>
  <si>
    <t>Electronics and Communication Engineering Department, Basaveshwar Engineering College, Bagalkote, Karnataka, India; Electronics and Communication Engineering Department, Basaveshwar Engineering College, Bagalkote, Karnataka, India; Electronics and Communication Engineering Department, Basaveshwar Engineering College, Bagalkote, Karnataka, India</t>
  </si>
  <si>
    <t>The 6G network is a new generation of wireless technology that builds on the $\mathbf{5 G}$ network‚Äôs advancements. It aims to improve speed, connectivity, and performance, with high data rates and broad frequency bands. It offers higher capacity and lower latency. Dynamic resource allocation in 6G networks will likely heavily leverage machine learning (ML) techniques due to the complexity and scale of these networks. The resource requirements of devices in 6G network are variable in nature. Dynamic resource allocation is crucial in 6G networks, and machine learning algorithms help to manage resource allocation efficiently. By leveraging machine learning techniques in dynamic resource allocation, $\mathbf{6 G}$ networks can achieve higher efficiency, flexibility, and adaptability to meet the diverse requirements of emerging applications and services. A machine learning algorithm used in this paper showed higher resource utilization and success rate than existing methods.</t>
  </si>
  <si>
    <t>979-8-3503-4990-0</t>
  </si>
  <si>
    <t>https://ieeexplore.ieee.org/stamp/stamp.jsp?arnumber=10626599</t>
  </si>
  <si>
    <t>6G Networks;Resource Allocation;Machine Learning algorithms</t>
  </si>
  <si>
    <t>6G mobile communication;Wireless communication;Machine learning algorithms;Heuristic algorithms;Channel allocation;Dynamic scheduling;Real-time systems</t>
  </si>
  <si>
    <t>R. Natalio Fontana Crespo; Y. Luo; M. Baracani; P. Squillari; F. Favoino; E. Patti</t>
  </si>
  <si>
    <t>A Distributed IoT Software Infrastructure for Multi-Purpose Services in Multi-Energy Systems</t>
  </si>
  <si>
    <t>2024 IEEE International Conference on Environment and Electrical Engineering and 2024 IEEE Industrial and Commercial Power Systems Europe (EEEIC / I&amp;CPS Europe)</t>
  </si>
  <si>
    <t>2994-9467</t>
  </si>
  <si>
    <t>10.1109/EEEIC/ICPSEurope61470.2024.10751011</t>
  </si>
  <si>
    <t>Politecnico di Torino, Turin, Italy; Politecnico di Torino, Turin, Italy; Politecnico di Torino, Turin, Italy; Politecnico di Torino, Turin, Italy; Politecnico di Torino, Turin, Italy; Politecnico di Torino, Turin, Italy</t>
  </si>
  <si>
    <t>The Internet of Things (IoT) is fundamental in advancing towards Multi-Energy Systems. Ubiquitous devices have the potential to generate considerable data that can enable, for example, real-time monitoring of countless applications. The requirements and context of different services and applications, such as renewable power generation and smart building monitoring, may differ considerably in a cross-context scenario like Multi-Energy Systems. Nonetheless, collecting and managing this heterogeneous cross-context data can unlock the development of new analytics that can link this information and provide valuable insights for decision-making processes. However, the collection, storage and management of the vast amount of heterogeneous data generated in this variety of applications poses a significant challenge in developing a unique IoT software infrastructure that ensures interoperability and reliability among the different devices and services. This paper presents a vendor-agnostic multi-purpose platform to collect, store, manage and analyse heterogeneous data in Multi-Energy systems. Furthermore, the platform enables the management of heterogeneous devices that implement different communication protocols. To test the proposed platform, we showcase its implementation in two use cases with different requirements due to their diverse contexts. On one hand, the monitoring of Indoor Enviromental Quality (IEQ), a critical parameter that asses the internal comfort of buildings. On the other hand, the real-time monitoring and forecasting of the wave power delivered to the grid of the Inertial Sea Wave Energy Converter- the ISWEC, a device that converts waves motion into electrical power through the inertial effect of a gyroscope.</t>
  </si>
  <si>
    <t>979-8-3503-5518-5</t>
  </si>
  <si>
    <t>https://ieeexplore.ieee.org/stamp/stamp.jsp?arnumber=10751011</t>
  </si>
  <si>
    <t>Multi-Energy Systems;Multi-Purpose Platform;IEQ;IoT Platform;WEC;Energy Forecast</t>
  </si>
  <si>
    <t>Renewable energy sources;Smart buildings;Wave power;Software;Real-time systems;Software reliability;Internet of Things;Forecasting;Wave energy conversion;Monitoring</t>
  </si>
  <si>
    <t>A. Vaskov; A. Sigel; P. Shurkalov</t>
  </si>
  <si>
    <t>A Software Package for Optimization of a Solar-Diesel Complex Operation Mode</t>
  </si>
  <si>
    <t>2024 7th International Conference on Information Technologies in Engineering Education (Inforino)</t>
  </si>
  <si>
    <t>10.1109/Inforino60363.2024.10551958</t>
  </si>
  <si>
    <t>Department of Hydropower and Renewable Energy Sources, National Research University ‚ÄúMoscow Power Engineering Institute‚Äù, Moscow, Russian Federation; Department of Hydropower and Renewable Energy Sources, National Research University ‚ÄúMoscow Power Engineering Institute‚Äù, Moscow, Russian Federation; Department of Hydropower and Renewable Energy Sources, National Research University ‚ÄúMoscow Power Engineering Institute‚Äù, Moscow, Russian Federation</t>
  </si>
  <si>
    <t>The article considers the basic principles of the solar-diesel complex operation mode control system. The methodology that allows to determine the most effective combination of operating equipment is proposed. The suggested solutions are evaluated for the conditions of the solar-diesel complex located in the city of Verkhoyansk, and it is carried out using the author‚Äôs software package.</t>
  </si>
  <si>
    <t>979-8-3503-7136-9</t>
  </si>
  <si>
    <t xml:space="preserve">Ministry of Science and Higher Education of the Russian Federation; </t>
  </si>
  <si>
    <t>https://ieeexplore.ieee.org/stamp/stamp.jsp?arnumber=10551958</t>
  </si>
  <si>
    <t>solar power plants;photovoltaic modules;solar energy;diesel power plants;forecasting;control;optimization</t>
  </si>
  <si>
    <t>Software packages;Load forecasting;Urban areas;Switches;Fossil fuels;Task analysis;Information technology</t>
  </si>
  <si>
    <t>L. Zha; Z. Zhao; J. Dong; Y. Liu; X. Liu; L. Gong; Y. Guo; Y. Lei; X. Zhang</t>
  </si>
  <si>
    <t>Research on Industry-Academia-Research-Application Collaborative Innovation Platform for Intelligent Power Plants</t>
  </si>
  <si>
    <t>10.1109/DTPI61353.2024.10778831</t>
  </si>
  <si>
    <t>Xi'an Thermal Power Research Institute Co., Ltd., Xi'an, China; Xi'an Thermal Power Research Institute Co., Ltd., Xi'an, China; Xi'an Thermal Power Research Institute Co., Ltd., Xi'an, China; Xi'an Thermal Power Research Institute Co., Ltd., Xi'an, China; Xi'an Thermal Power Research Institute Co., Ltd., Xi'an, China; Xi'an Thermal Power Research Institute Co., Ltd., Xi'an, China; Xi'an Thermal Power Research Institute Co., Ltd., Xi'an, China; Xi'an Thermal Power Research Institute Co., Ltd., Xi'an, China; Xi'an Thermal Power Research Institute Co., Ltd., Xi'an, China</t>
  </si>
  <si>
    <t>With the transformation of the global energy structure and the rapid development of information technology, Intelligent power plants have become a key way to upgrade the intelligence of traditional power plants. The construction of Intelligent power plants has problems such as diverse technical architectures, difficulties in data sharing, insufficient industry chain synergy, and mismatch between some technologies and production demands, which seriously slows down the process of power plant intelligentization. This paper proposes an Industry-Academia-Research-Application Collaborative Innovation Platform for Intelligent Power Plants (ICPP), which breaks down the barriers between universities, enterprises, and power plants and builds an open, shared, collaborative innovation ecosystem. In addition, integrating heterogeneous hardware infrastructure, data sharing, Intelligent Operation Center, and cross-team collaboration and sharing provides solid support for developing intelligent power plant technology. It accelerates the transformation of technology from innovation to application. Finally, the platform‚Äôs significant role and potential value in technology development and application are verified through case studies, providing new ideas and methods for constructing Intelligent power plants.</t>
  </si>
  <si>
    <t xml:space="preserve">Key Research and Development Projects of Shaanxi Province; </t>
  </si>
  <si>
    <t>https://ieeexplore.ieee.org/stamp/stamp.jsp?arnumber=10778831</t>
  </si>
  <si>
    <t>intelligent power plants;Industry-Academia- Research-Application;intelligent control engine</t>
  </si>
  <si>
    <t>Surveys;Technological innovation;Collaboration;Production;Solids;Resource management;Power generation;Research and development;Standards;Optimization</t>
  </si>
  <si>
    <t>K. Afachao; A. M. Abu-Mahfouz</t>
  </si>
  <si>
    <t>Running Virtual Services for the Intelligent Edge: A Review</t>
  </si>
  <si>
    <t>2023 IEEE World AI IoT Congress (AIIoT)</t>
  </si>
  <si>
    <t>10.1109/AIIoT58121.2023.10174530</t>
  </si>
  <si>
    <t>Department of Electrical, Electronic and Computer Engineering, University of Pretoria, Pretoria, South Africa; Department of Electrical, Electronic and Computer Engineering, University of Pretoria, Pretoria, South Africa</t>
  </si>
  <si>
    <t>In the world of technology, there are several emerging technologies that are driving research towards making the Intelligent Edge suitable for various application growth. Some of these technologies include Artificial Intelligence, the Internet of Things, Virtualization, and Edge Computing. Virtualization is a popular choice as it provides adaptable development of services. Meanwhile, Artificial Intelligence offers promising data manipulation opportunities, and Edge Computing provides lower latency and higher data privacy to users. This paper focuses on the architecture for virtual service deployment in the Intelligent Edge, with a particular emphasis on significant concepts such as Virtualization, Network Function Virtualization, Artificial Intelligence, and the Intelligent Edge. The paper also discusses various modifications for virtual services, such as the Round Robin Algorithm, Minimum-Minimum algorithm, Multiheuristic Algorithm, and Particle Swarm Optimization Algorithm. These algorithms are compared based on performance indicators such as makespan, standard deviation, degree of imbalance, and processing speed. While the results vary from one algorithm to another, they suggest that there is always room for improvement. Furthermore, the paper presents future opportunities for virtual service deployment in Intelligent Edge Computing.</t>
  </si>
  <si>
    <t>979-8-3503-3761-7</t>
  </si>
  <si>
    <t>https://ieeexplore.ieee.org/stamp/stamp.jsp?arnumber=10174530</t>
  </si>
  <si>
    <t>Internet of Things;edge computing;artificial intelligence;scheduling algorithms;virtualization</t>
  </si>
  <si>
    <t>Network function virtualization;Delays;Internet of Things;Artificial intelligence;Virtualization;Task analysis;Round robin</t>
  </si>
  <si>
    <t>X. Zhang; X. Feng; H. Zhang; B. Mi; K. Chen</t>
  </si>
  <si>
    <t>Secure Crowdsourced Blockchain Computation Intelligence for IoT Systems</t>
  </si>
  <si>
    <t>2023 24th IEEE International Conference on Mobile Data Management (MDM)</t>
  </si>
  <si>
    <t>10.1109/MDM58254.2023.00058</t>
  </si>
  <si>
    <t>School of Computer Science and Cyber Engineering, Guangzhou University, Guangzhou, China; School of Computer Science and Cyber Engineering, Guangzhou University, Guangzhou, China; School of Computer Science and Cyber Engineering, Guangzhou University, Guangzhou, China; Guangdong University of Finance and Economics, Guangzhou, China; Institute of Artificial Intelligence and Blockchain, Guangzhou University, Guangzhou, China</t>
  </si>
  <si>
    <t>With the rapid development of scientific and technological revolution, the Internet of Thing systems have been widely deployed in many vertical domains such as smart cities, smart grids, smart agriculture, smart medical healthcare, etc. In these scenarios, it is an urgent problem to provide a high-effect IoT solution to support high computation ability with strong data security and privacy constraints. In this paper, we propose a novel secure data computing platform based on blockchain crowdsourcing computation. Each data sample is transmitted to its private blockchain for secure data storage. To support a high computation ability, we present a powerful edge network constituted of nearby edge gateways, edge devices, etc. Thus, these data on the blockchain can be partitioned and allocated to these edge nodes in a crowdsourcing way. We also deploy different AI tools to meet the requirements of vertical applications. Finally, we evaluate our system performance with a real crowdsourced blockchain computation platform to show our effectiveness in vertical application, e.g., face detection.</t>
  </si>
  <si>
    <t>979-8-3503-4101-0</t>
  </si>
  <si>
    <t>https://ieeexplore.ieee.org/stamp/stamp.jsp?arnumber=10214922</t>
  </si>
  <si>
    <t>Internet of Thing;Blockchain;Secure Crowdsourcing;Edge Computing</t>
  </si>
  <si>
    <t>Crowdsourcing;Smart agriculture;Smart cities;System performance;Memory;Medical services;Logic gates</t>
  </si>
  <si>
    <t>R. Kanday; R. Singh</t>
  </si>
  <si>
    <t>Edge Computing for Sustainable Energy Management: An Environmental Aspect</t>
  </si>
  <si>
    <t>2023 6th International Conference on Contemporary Computing and Informatics (IC3I)</t>
  </si>
  <si>
    <t>10.1109/IC3I59117.2023.10398093</t>
  </si>
  <si>
    <t>School of Computer Science and Engineering, Lovely Professional University, Punjab, India; School of Computer Science and Engineering, Lovely Professional University, Punjab, India</t>
  </si>
  <si>
    <t>The unprecedented growth of the world's population and industries has led to the ever-increasing demand for energy. However, the generation and distribution of energy have far-reaching impacts on the environment. To mitigate these impacts, sustainable energy management has become a priority for many countries. Edge computing has emerged as a promising technology that can aid in sustainable energy management. This paper explores the role of edge computing in sustainable energy management with an emphasis on the environmental aspect. The paper examines the concept of edge computing and how it can be applied to sustainable energy management. The paper also highlights the environmental benefits of using edge computing in sustainable energy management. The paper concludes that edge computing can play a significant role in sustainable energy management, particularly in mitigating environmental impacts. Complex interactions between edge devices, edge servers, and cloud data centres may explain why edge computing has received less attention to energy efficiency than cloud data centres. Reaching energy efficiency goals with edge computing requires thorough testing of edge devices, edge servers, and cloud data centres. This paper's goal is to give readers a synopsis of edge computing's history and evolution. We then shifted our focus to the fundamentals of edge computing. The study concludes with a discussion of the advantages and disadvantages of edge computing.</t>
  </si>
  <si>
    <t>979-8-3503-0448-0</t>
  </si>
  <si>
    <t>https://ieeexplore.ieee.org/stamp/stamp.jsp?arnumber=10398093</t>
  </si>
  <si>
    <t>Cloud;Fog;Edge;Internet of Things;Energy Efficiency;Energy Management</t>
  </si>
  <si>
    <t>Data centers;Renewable energy sources;Energy efficiency;Wind turbines;Servers;Optimization;Edge computing</t>
  </si>
  <si>
    <t>P. F. P√©rez; C. Fiandrino; M. Fiore; J. Widmer</t>
  </si>
  <si>
    <t>An In-Depth Analysis of Advanced Time Series Forecasting Models for the Open RAN</t>
  </si>
  <si>
    <t>10.1109/INFOCOMWKSHPS61880.2024.10620742</t>
  </si>
  <si>
    <t>IMDEA Networks Institute, Madrid, Spain; IMDEA Networks Institute, Madrid, Spain; IMDEA Networks Institute, Madrid, Spain; IMDEA Networks Institute, Madrid, Spain</t>
  </si>
  <si>
    <t>Forecasting is instrumental to efficiently manage network resources. In this workshop paper, we make the following contributions. First, we carry out the first assessment of recently proposed advanced forecasting techniques by the AI community, namely DLinear and PatchTST, when applied to the prediction of mobile traffic load and number of users connected to a single Base Station (BS). We compare these techniques with the well-known Long-Short Term Memory (LSTM) models that are widely adopted in mobile network tasks. Second, we analyze the accuracy tradeoff of these Artificial Intelligence (AI) techniques for single-and multi-step prediction horizons. Third, we profile the operation of all these black-box predictors with an EXplainable Artificial Intelligence (XAI) lens by using AIChronoLens, a new tool that links legacy XAI explanations with the temporal properties of the input sequences. We find that DLinear excels in single-step horizon predictions while PatchTST and LSTM are more accurate in multi-step horizon predictions. Our XAI study reveals that, unlike PatchTST and LSTM, DLinear focuses its prediction decisions on a few key samples of the input sequences, which ultimately lets it match the ground truth closely.</t>
  </si>
  <si>
    <t>https://ieeexplore.ieee.org/stamp/stamp.jsp?arnumber=10620742</t>
  </si>
  <si>
    <t>Accuracy;Explainable AI;Conferences;Time series analysis;Telecommunication traffic;Open RAN;Predictive models</t>
  </si>
  <si>
    <t>Y. Sun; S. Chen; D. Liu; Q. Du; T. Zou; C. Li</t>
  </si>
  <si>
    <t>Future-Oriented Oil-Gas AIoT Architecture: Trends and Research Findings</t>
  </si>
  <si>
    <t>2024 11th International Forum on Electrical Engineering and Automation (IFEEA)</t>
  </si>
  <si>
    <t>10.1109/IFEEA64237.2024.10878713</t>
  </si>
  <si>
    <t>Department of Smart Oilfield, Kunlun Digital Technology Co., Ltd., Beijing, China; College of Artificial Intelligence, China University of Petroleum (Beijing), Beijing, China; Department of Digital Intelligence Project Manager, Daqing Oilfield Limited Company, Daqing, China; Department of Smart Oilfield, Kunlun Digital Technology Co., Ltd., Beijing, China; College of Artificial Intelligence, China University of Petroleum (Beijing), Beijing, China; College of Artificial Intelligence, China University of Petroleum (Beijing), Beijing, China</t>
  </si>
  <si>
    <t>The growth of global energy demand makes the oil and gas industry important. Traditional production methods are difficult to meet the demand, and intelligence and automation have become an inevitable trend. Artificial Intelligence of Things (AIoT) technology is developing rapidly and has great application potential in the field of oil and gas. It can provide data support in the oil and gas exploration stage, realize remote monitoring and intelligent control in the production stage. Besides, it provides comprehensive monitoring and management in the transportation link, realize real-time monitoring and management in the storage link. This paper aims to provide a comprehensive overview covering multiple business links of oil and gas and a variety of AIoT technologies. The research is of great significance to the intelligent development of the oil and gas industry, which is the basis for realizing intelligent production and helping to improve the management level.</t>
  </si>
  <si>
    <t>979-8-3315-1661-1</t>
  </si>
  <si>
    <t>https://ieeexplore.ieee.org/stamp/stamp.jsp?arnumber=10878713</t>
  </si>
  <si>
    <t>Oil and Gas;Interenet of Things (IoT);System Architecture;Artificial Intelligence</t>
  </si>
  <si>
    <t>Automation;Oils;Transportation;Production;Market research;Gas industry;Internet of Things;Petroleum industry;Artificial intelligence;Remote monitoring</t>
  </si>
  <si>
    <t>N. E. Kamalabai; I. Donoghue; L. Hannola</t>
  </si>
  <si>
    <t>Sustainable Enterprise Architecture: A Critical Imperative for Substantiating Artificial Intelligence</t>
  </si>
  <si>
    <t>2024 Portland International Conference on Management of Engineering and Technology (PICMET)</t>
  </si>
  <si>
    <t>2159-5100</t>
  </si>
  <si>
    <t>10.23919/PICMET64035.2024.10653061</t>
  </si>
  <si>
    <t>Industrial Engineering and Management, Lappeenranta-Lahti University of Technology LUT, Lappeenranta, Finland; Industrial Engineering and Management, Lappeenranta-Lahti University of Technology LUT, Lappeenranta, Finland; Industrial Engineering and Management, Lappeenranta-Lahti University of Technology LUT, Lappeenranta, Finland</t>
  </si>
  <si>
    <t>The industry is at an interesting inflection point with Artificial Intelligence (AI) rapidly emerging as an integral part of business strategy and operations. Recognizing this central role of AI, there is an increasing demand on Enterprise Architectures to play a pivotal role in sustainably integrating AI environments and driving organization's transformation agenda. This has opened significant opportunities and challenges for the enterprise architecture (EA) function in harnessing the full potential of AI. A critical analysis therefore explicates the need for a rapid refresh of traditional enterprise architectures by architecting sustainability principles into its design and instill a holistic view to guide its evolution. This paper therefore seeks to analyze the existing enterprise architectural principles and strengthen its core by applying sustainable architectural principles that guide to a holistic architectural blueprint. Notwithstanding to define and strengthen architectural design, this approach believes in tapping into digital architecture best practices that enables secure access of data using open interfaces to ensure interoperability on an adaptive design with resiliency. The principles would provide the basic guidelines in defining organization's AI strategy and provide the basis for architectural design decisions on setting about organizations AI mission.</t>
  </si>
  <si>
    <t>978-1-890843-45-8</t>
  </si>
  <si>
    <t>https://ieeexplore.ieee.org/stamp/stamp.jsp?arnumber=10653061</t>
  </si>
  <si>
    <t>Industries;Force;Companies;Market research;Artificial intelligence;Sustainable development;Interoperability</t>
  </si>
  <si>
    <t>N. de J. S. Junior; H. D. P. de Souza; S. L. de Lima; D. Lopes</t>
  </si>
  <si>
    <t>An Approach based on IoT, MQTT and Docker to Distribute and Persist Data of an Automated AMBU Ventilator</t>
  </si>
  <si>
    <t>2024 10th International Conference on Control, Decision and Information Technologies (CoDIT)</t>
  </si>
  <si>
    <t>10.1109/CoDIT62066.2024.10708618</t>
  </si>
  <si>
    <t>Institute of Electric Energy, Federal University of Maranh√£o, S√£o Lu√≠s, Brazil; Institute of Electric Energy, Federal University of Maranh√£o, S√£o Lu√≠s, Brazil; Institute of Electric Energy, Federal University of Maranh√£o, S√£o Lu√≠s, Brazil; Institute of Electric Energy, Federal University of Maranh√£o, S√£o Lu√≠s, Brazil</t>
  </si>
  <si>
    <t>With the increasing number of Internet of Things-based systems, some communication protocols have gained prominence in standardizing certain applications. In this work, an approach focused on automating the data flow from a microcontroller with embedded IoT in the VITA emergency respiratory support automator (AMBU) was developed. The proposed solution captures data from the microcontroller‚Äôs sensors and sends them to a server using the MQTT protocol, afterwards the data are stored in a database. Additionally, the server is executed in a Docker. We analyse and evaluate the network performance based on monitored CPU and memory usage data.</t>
  </si>
  <si>
    <t>979-8-3503-7397-4</t>
  </si>
  <si>
    <t>https://ieeexplore.ieee.org/stamp/stamp.jsp?arnumber=10708618</t>
  </si>
  <si>
    <t>Performance evaluation;Ventilators;Protocols;System performance;Source coding;Stability analysis;Sensors;Servers;Proposals;Monitoring</t>
  </si>
  <si>
    <t>M. Miller; M. Serrano; M. Madadi; L. Kondapaneni; S. Bhattacharya; Y. -D. Su; H. Phillips; P. Ohodnicki</t>
  </si>
  <si>
    <t>Integrating Emerging Communication Technologies and Cloud-Based Microservice Architecture for the Ingestion of Distribution-Level Phasor Measurement Units and Low-Cost Sensors</t>
  </si>
  <si>
    <t>2025 IEEE PES Grid Edge Technologies Conference &amp; Exposition (Grid Edge)</t>
  </si>
  <si>
    <t>10.1109/GridEdge61154.2025.10887413</t>
  </si>
  <si>
    <t>NRECA Research, Arlington, VA, USA; NRECA Research, Arlington, VA, USA; North Carolina State University, Raleigh, NC, USA; North Carolina State University, Raleigh, NC, USA; North Carolina State University, Raleigh, NC, USA; University of Pittsburgh, Pittsburgh, PA, USA; University of Pittsburgh, Pittsburgh, PA, USA; University of Pittsburgh, Pittsburgh, PA, USA</t>
  </si>
  <si>
    <t>A project team from NRECA Research, the University of Pittsburgh, and North Carolina State University have deployed distribution-level phasor measurement units (PMUs) into a rural electric utility territory and successfully backhauled the data, reporting at 60Hz with the IEEE Std C37.118.2 data standard, to a custom cloud-based microservice architecture over long-term evolution (LTE) connectivity provided by embedded universal integrated circuit card (eUICC) subscriber identity module (SIM) cards, with upfront costs for each device location of around $16,000 and ongoing monthly costs of$400/week, which is largely driven by data transmission costs. Prototype low-cost sensors for behind-the-meter assets will be deployed into a rural electric utility territory to test feasibility and cost of sensor communication over LoRaWAN.</t>
  </si>
  <si>
    <t>979-8-3503-5252-8</t>
  </si>
  <si>
    <t xml:space="preserve">U.S. Department of Energy's; Office of Energy Efficiency and Renewable Energy; Solar Energy Technologies Office(grant numbers:DE-EE0009632); </t>
  </si>
  <si>
    <t>https://ieeexplore.ieee.org/stamp/stamp.jsp?arnumber=10887413</t>
  </si>
  <si>
    <t>data systems;communication systems;microservice architectures;phasor measurement units;wireless sensor networks</t>
  </si>
  <si>
    <t>Cloud computing;Costs;SIM card;Microservice architectures;Prototypes;Phasor measurement units;Sensor systems;Power industry;Sensors;Testing</t>
  </si>
  <si>
    <t>H. Yang; X. Guo; Y. Liu</t>
  </si>
  <si>
    <t>Design of edge computing gateway for textile machine remote monitoring system</t>
  </si>
  <si>
    <t>2023 IEEE 3rd International Conference on Power, Electronics and Computer Applications (ICPECA)</t>
  </si>
  <si>
    <t>10.1109/ICPECA56706.2023.10075844</t>
  </si>
  <si>
    <t>Internet of Things Research Centre, China Electronics Standardization Institute, Beijing, China; Internet of Things Research Centre, China Electronics Standardization Institute, Beijing, China; Internet of Things Research Centre, China Electronics Standardization Institute, Beijing, China</t>
  </si>
  <si>
    <t>This paper presents a design and implementation of edge computing gateway for textile equipment remote monitoring system. First, the overall architecture of the monitoring system from the edge computing gateway to the cloud platform is given. Then, taking the cotton spinning drawing frame as an example, the implementation of edge microservices and cloud platform functions is introduced in detail, and the specific implementation and operation results are given.</t>
  </si>
  <si>
    <t>978-1-6654-7278-4</t>
  </si>
  <si>
    <t>https://ieeexplore.ieee.org/stamp/stamp.jsp?arnumber=10075844</t>
  </si>
  <si>
    <t>edge computing gateway;textile machine;remote monitoring system</t>
  </si>
  <si>
    <t>Cloud computing;Microservice architectures;Computer architecture;Production;Logic gates;Real-time systems;Power electronics</t>
  </si>
  <si>
    <t>A. Makris; I. Korontanis; E. Psomakelis; K. Tserpes</t>
  </si>
  <si>
    <t>An Efficient Storage Solution for Cloud/Edge Computing Infrastructures : (Invited Paper)</t>
  </si>
  <si>
    <t>2024 IEEE International Conference on Service-Oriented System Engineering (SOSE)</t>
  </si>
  <si>
    <t>10.1109/SOSE62363.2024.00017</t>
  </si>
  <si>
    <t>School of Electrical and Computer Engineering, National Technical University of Athens, Greece; School of Electrical and Computer Engineering, National Technical University of Athens, Greece; School of Electrical and Computer Engineering, National Technical University of Athens, Greece; School of Electrical and Computer Engineering, National Technical University of Athens, Greece</t>
  </si>
  <si>
    <t>Edge computing emerges as a promising paradigm for managing and processing the immense data volumes generated by Internet of Things (IoT) devices. By moving data and computation closer to the client/devices, edge computing facilitates latency- and bandwidth-sensitive applications that would not be feasible through cloud and remote processing alone. Despite recent advancements, concerns persist regarding the requirements of cloud/edge-based applications. A distributed edge storage solution becomes indispensable to ensure data proximity, mitigate network congestion, and accommodate changing demands. Nevertheless, implementing an efficient edge-enabled storage system poses numerous challenges due to the distributed and heterogeneous nature of the edge, as well as its constrained resource capabilities. To this end, this paper presents an efficient cloud/edge storage framework with consideration on performance (QoS), latency reduction, and energy efficiency. The evaluations demonstrate significant improvements by reducing data operation execution time, enhancing performance, alleviating network infrastructure strain, and optimizing energy efficiency.</t>
  </si>
  <si>
    <t>979-8-3315-3958-0</t>
  </si>
  <si>
    <t>https://ieeexplore.ieee.org/stamp/stamp.jsp?arnumber=10685324</t>
  </si>
  <si>
    <t>edge computing;edge storage;container-based virtualization;cloud computing;internet of things;local registry;peer-to-peer architectures</t>
  </si>
  <si>
    <t>Cloud computing;Service-oriented systems engineering;Distributed databases;Quality of service;Energy efficiency;Peer-to-peer computing;Internet of Things</t>
  </si>
  <si>
    <t>M. Zakizadeh; M. Zand</t>
  </si>
  <si>
    <t>AI-Driven Energy Intelligence: Revolutionizing the Energy Sector through Smart Energy Solutions</t>
  </si>
  <si>
    <t>2024 10th International Conference on Web Research (ICWR)</t>
  </si>
  <si>
    <t>2837-8296</t>
  </si>
  <si>
    <t>10.1109/ICWR61162.2024.10533346</t>
  </si>
  <si>
    <t>IT Department Ministry of Petroleum, Islamic Azad University, Tehran, Iran; Energy Department Ministry of Petroleum, Sharif University of Technology, Tehran, Iran</t>
  </si>
  <si>
    <t>Energy plays an important role in supporting modern life, and the need for efficient energy solutions is more important than ever. This research paper explores the unprecedented potential of AI-based AI to transform the energy industry through the use of smart solutions. Using the most advanced data science, AI algorithms and machine learning models, we can unlock valuable insights, improve energy efficiency models, control energy distribution and reduce costs. This article provides an in-depth look at the various applications of artificial intelligence in the energy industry and covers the development of artificial intelligence in energy integration, demand planning, strategic planning, security and energy management.</t>
  </si>
  <si>
    <t>979-8-3503-9498-6</t>
  </si>
  <si>
    <t>https://ieeexplore.ieee.org/stamp/stamp.jsp?arnumber=10533346</t>
  </si>
  <si>
    <t>Artificial Intelligence (AI);Smart Energy;AI-Driven;Energy Intelligence;Revolutionizing</t>
  </si>
  <si>
    <t>Industries;Costs;Transforms;Strategic planning;Prediction algorithms;Energy efficiency;Data models</t>
  </si>
  <si>
    <t>N. S. S. A; S. Sebastian</t>
  </si>
  <si>
    <t>Circuit Breaker: A Resilience Mechanism for Cloud Native Architecture</t>
  </si>
  <si>
    <t>2023 Global Conference on Information Technologies and Communications (GCITC)</t>
  </si>
  <si>
    <t>10.1109/GCITC60406.2023.10426195</t>
  </si>
  <si>
    <t>Department of Computer Science, CHRIST (Deemed to be University), Bangalore, India; Department of Computer Science, CHRIST (Deemed to be University), Bangalore, India</t>
  </si>
  <si>
    <t>Over the past decade, the utilization of cloud native applications has gained significant prominence, leading many organizations to swiftly transition towards developing software applications that leverage the powerful, accessible, and efficient cloud infrastructure. As these applications are deployed in distributed environments, there arises a need for reliable mechanisms to ensure their availability and dependability. Among these mechanisms, the circuit breaker pattern has emerged as a crucial element in constructing resilient and trustworthy cloud native applications in recent times. This research article presents a comprehensive review and analysis of circuit breaker patterns and their role within cloud-native applications. The study delves into various aspects of circuit breakers, encompassing their design, implementation, and recommended practices for their utilization in cloud native applications. Additionally, the article examines and compares different circuit breaker libraries available for employment in modern software development. The paper also presents a concept for improving the circuit breaker pattern, which will be pursued in our upcoming research.</t>
  </si>
  <si>
    <t>979-8-3503-0816-7</t>
  </si>
  <si>
    <t>https://ieeexplore.ieee.org/stamp/stamp.jsp?arnumber=10426195</t>
  </si>
  <si>
    <t>Cloud Native Applications;Microservice Patterns;Circuit Breaker;Fault Tolerance;Resilience</t>
  </si>
  <si>
    <t>Circuit breakers;Computer architecture;Organizations;Libraries;Software;Integrated circuit reliability;Resilience</t>
  </si>
  <si>
    <t>E. Sarmas; S. Stamatopoulos; P. Kapsalis; K. Touloumis; V. Marinakis</t>
  </si>
  <si>
    <t>A Next Generation Library of AI-Based Data-Driven Services for the Built Environment</t>
  </si>
  <si>
    <t>10.1109/IISA59645.2023.10345945</t>
  </si>
  <si>
    <t>Decision Support Systems Laboratory, School of Electrical and Computer Engineering, National Technical University of Athens, Athens, Greece; Decision Support Systems Laboratory, School of Electrical and Computer Engineering, National Technical University of Athens, Athens, Greece; Decision Support Systems Laboratory, School of Electrical and Computer Engineering, National Technical University of Athens, Athens, Greece; Decision Support Systems Laboratory, School of Electrical and Computer Engineering, National Technical University of Athens, Athens, Greece; Decision Support Systems Laboratory, School of Electrical and Computer Engineering, National Technical University of Athens, Athens, Greece</t>
  </si>
  <si>
    <t>Nowadays, buildings account for almost 40% of the overall energy consumption. Thus, it is essential to involve a broad range of stakeholders throughout the building lifecycle, with the development of innovative, cross-cutting energy services, which exploit the ever-increasing volume of available data. In this paper we present a novel library of AI-based data-driven services for the built environment with the aim of addressing decarbonization challenges and of facilitating datadriven decision making. The issue of handling energy-related data in an efficient way is tackled, incorporating them in user-friendly, micro-services oriented technological components. The architecture of this AI-base library is thoroughly presented covering learning, optimization and simulation tasks. showcase our approach to energy resource management.</t>
  </si>
  <si>
    <t xml:space="preserve">European Commission(grant numbers:101069658); </t>
  </si>
  <si>
    <t>https://ieeexplore.ieee.org/stamp/stamp.jsp?arnumber=10345945</t>
  </si>
  <si>
    <t>Energy Management;Artificial Intelligence;Decision Support;Intelligent Systems;Buildings</t>
  </si>
  <si>
    <t>Scalability;Buildings;Refining;Standardization;Libraries;Internet of Things;Stakeholders</t>
  </si>
  <si>
    <t>Y. Zhou; N. Liu; W. Tao; C. Zhou; Q. Li</t>
  </si>
  <si>
    <t>Design and Implementation of a Green Supply Chain Management System for the Power Industry</t>
  </si>
  <si>
    <t>2024 International Conference on Power, Electrical Engineering, Electronics and Control (PEEEC)</t>
  </si>
  <si>
    <t>10.1109/PEEEC63877.2024.00027</t>
  </si>
  <si>
    <t>State Grid Electric Power Co., Ltd., Dandong Power Supply Company State Grid Corporation of China Limited, Dandong, China; State Grid Electric Power Co., Ltd., Dandong Power Supply Company State Grid Corporation of China Limited, Dandong, China; State Grid Electric Power Co., Ltd., Dandong Power Supply Company State Grid Corporation of China Limited, Dandong, China; State Grid Information and Communication Industry Group Co., Ltd, State Grid Corporation of China Limited, Beijing, China; Far Eastern State Transport University Dalian Jiaotong University, Dalian, China</t>
  </si>
  <si>
    <t>For a long time, the leading cadres of Chinese enterprises generally have the idea of ‚Äúemphasizing production but not logistics‚Äù, and the development of logistics management is relatively lagging behind. With the implementation of China‚Äôs ‚Äúplant-grid separation and competitive bidding for Internet access‚Äù, the competition among power producers has become increasingly intense, and power producers are facing serious challenges. To win in the fierce power market, it is necessary to continuously adopt new technologies in the production process, upgrade the original equipment, improve the safe operation coefficient of the equipment, and make it work better. The most important thing is to put people in the first place, improve the management level of the enterprise, plug the loopholes in the management, and gain benefits from the management. The concepts of ‚Äúlogistics is the third source of profit of an enterprise‚Äù and ‚Äúlogistics level reflects the overall operation level of an enterprise‚Äù are gradually recognized by the decision-making level of electric power companies. Logistics is the main body of the company‚Äôs operating profit, it can bring huge direct and indirect benefits to the enterprise. This paper discusses the design and implementation of a green supply chain management system for the power industry. Through the results of a user satisfaction survey, the paperemphasizes the user acceptance of the system‚Äôs ease of use and environmental benefits, but also suggests room for improvement in the system‚Äôs responsiveness. These findings provide guidance for the further application and development of green supply chain management systems in the power industry in the future.</t>
  </si>
  <si>
    <t>979-8-3503-7891-7</t>
  </si>
  <si>
    <t>https://ieeexplore.ieee.org/stamp/stamp.jsp?arnumber=10836053</t>
  </si>
  <si>
    <t>Green Supply Chain;Electric Power Industry;Logistics Management;Cost Trade-Off Theory</t>
  </si>
  <si>
    <t>Surveys;Supply chain management;Green products;Supply chains;Decision making;Transportation;Production;Power industry;User experience;Power systems</t>
  </si>
  <si>
    <t>Z. Li</t>
  </si>
  <si>
    <t>Public Security System and Construction Method Based on Cloud Edge Computing</t>
  </si>
  <si>
    <t>10.1109/ICAISC58445.2023.10200165</t>
  </si>
  <si>
    <t>Chongqing Human Resources and Social Security Information Center, China</t>
  </si>
  <si>
    <t>The world is becoming more and more dangerous, and information security is becoming more and more important. In order to protect information, we need to use various methods, such as encryption, authentication, authorization, etc. However, these traditional methods are not suitable for the current cloud computing environment because they are too complex to meet the requirements of real-time operations. Therefore, some researchers in this field have proposed a new method called ‚Äúcloud edge computing‚Äù. Cloud computing is a new IT service that provides shared resources on the Internet. It can be used to store, share and process data in a flexible and cost-effective manner. Cloud computing can be divided into three types: public cloud, private cloud and hybrid cloud.</t>
  </si>
  <si>
    <t>https://ieeexplore.ieee.org/stamp/stamp.jsp?arnumber=10200165</t>
  </si>
  <si>
    <t>Cloud edge computing;Public safety system;information safety</t>
  </si>
  <si>
    <t>Cloud computing;5G mobile communication;Process control;Production;Real-time systems;Safety;Public policy</t>
  </si>
  <si>
    <t>Lokesh; R. Kait; T. Kumar</t>
  </si>
  <si>
    <t>Insights Into Cloud Computing: Unveiling Trends, Addressing Challenges, and Exploring Opportunities - A Systematic Review</t>
  </si>
  <si>
    <t>2024 International Conference on Emerging Innovations and Advanced Computing (INNOCOMP)</t>
  </si>
  <si>
    <t>10.1109/INNOCOMP63224.2024.00103</t>
  </si>
  <si>
    <t>DCSA, Kurukshetra University, Kurukshetra, Haryana, India; DCSA, Kurukshetra University, Kurukshetra, Haryana, India; CSE Department, JMIETI, Yamunanagar, Haryana, India</t>
  </si>
  <si>
    <t>The methodical research provides a comprehensive overview of the current state of cloud computing, with a specific focus on trends, barriers, and potential. This article analyzes advancements in cloud architectures, deployment approaches, and service paradigms, unveiling the latest trends. The study examines the impacts of advanced technologies such as artificial intelligence, serverless computing, and edge computing. It is crucial to address impediments by thoroughly evaluating security, privacy, compliance, and performance considerations. The review demonstrates state-of-the-art strategies and technologies for minimizing risks, safeguarding data privacy, and enhancing cloud performance. The article investigates how cloud-native technologies enhance creativity and organizational agility by analyzing potential opportunities. The analysis focuses on the potential opportunities presented by blockchain technology, the potential impact of quantum computing, and the integration of cloud computing with the Internet of Things (IoT). The systematic review employs a rigorous technique to consolidate findings from academic publications, conference proceedings, and industry reports. As practitioners, researchers, and policymakers traverse this quickly advancing technology frontier, the findings contribute to a deeper understanding of the ever-changing cloud computing ecosystem.</t>
  </si>
  <si>
    <t>979-8-3503-7647-0</t>
  </si>
  <si>
    <t>https://ieeexplore.ieee.org/stamp/stamp.jsp?arnumber=10664155</t>
  </si>
  <si>
    <t>Cloud Computing;Environmentally-friendly Computing;Cloud Cryptography;Security Framework;Data Confidentiality</t>
  </si>
  <si>
    <t>Industries;Cloud computing;Data privacy;Technological innovation;Quantum computing;Systematics;5G mobile communication</t>
  </si>
  <si>
    <t>I. Seskar; M. Patwary; A. Dutta; R. Chaparadza; M. Elkotab; A. P. Da Silva; A. Goswami</t>
  </si>
  <si>
    <t>INGR Roadmap Testbed Chapter</t>
  </si>
  <si>
    <t>10.1109/FNWF58287.2023.10520428</t>
  </si>
  <si>
    <t>Rutgers University; University of Wolverhampton; Johns Hopkins University / Applied Physics Lab (JHU / APL); Capgemini / Vodafone; Vodafone; Commonwealth Cyber Initiative Virginia Tech; Adani University, India</t>
  </si>
  <si>
    <t>The Testbed Working Group (WG) is one component of the INGR project and will help collaborate with the existing 5G testbeds to make those available to the IEEE communities (industry &amp; academia) to ease the deployment of 5G &amp; accelerate the development of next generation network (e.g., 6G). This Testbed WG will collaborate with the vendor community and research community and thus will expand upon the existing testbeds towards federated development of testbeds for next generation networks. The working group has established stronger relationships with IEEE &amp; ITU's standardization study group. Some of the key deliverables from the Testbed WG will be the specification and/or standards for functional testing, rapid prototyping, proof of-concept and other forms of technology evaluation. The goal is to cover various 5G, 6G, and other future networking system characteristics at different layers and also supporting various specific applications such as the Internet of Things (IoT), tactile internet, and augmented reality. To deliver the vision of INGR, this WG will inventory types of testbeds available in various parts of the world and will serve as facilitator for setting up a federated testbed/s that will provide access to the IEEE community to get access and run experiments. In order to fuel the testbed evolution, the Testbed WG will continue to hold workshops and go over various 5G and beyond use case scenarios as well as define the avenue for 6G and beyond networks. In addition to informing the community on the capabilities and usage modalities of existing testbeds, the workgroup also aims to solicit contributions and promote discussion on the future experimental platforms as well as to facilitate discussions on co-development and co-deployment of future experimental platforms for 5G and beyond.</t>
  </si>
  <si>
    <t>https://ieeexplore.ieee.org/stamp/stamp.jsp?arnumber=10520428</t>
  </si>
  <si>
    <t>Testbed;standards;testbed federation;5G and beyond;future networks;roadmap;wireless;private networks;networks;public networks;connectivity demand patterns;use case validation;and application-specific performance characteristic;benchmarks;network architectures;deployment;tactile internet;augmented reality;artificial intelligence;AI;INGR</t>
  </si>
  <si>
    <t>6G mobile communication;Tactile Internet;Industries;5G mobile communication;Life estimation;IEEE Communities;Rapid prototyping;Next generation networking;Standards;Testing</t>
  </si>
  <si>
    <t>A. J. Chinchawade; M. Kalaiselvi; T. S. Kumar; Y. Singh; S. Srisathirapathy; G. C. Babu</t>
  </si>
  <si>
    <t>Anomaly Detection of Smart City in IoT Cyberattacks based on Hybrid A-BiLSTM-CRF Method</t>
  </si>
  <si>
    <t>2023 International Conference on Sustainable Communication Networks and Application (ICSCNA)</t>
  </si>
  <si>
    <t>10.1109/ICSCNA58489.2023.10370152</t>
  </si>
  <si>
    <t>Department of Electronics and Computer Engineering, Sharad Institute of Technology College of Engineering, Yadrav, Maharashtra, India; Department of CSE, Vivekanandha College of Technology for Women, Tiruchengode, Tamil Nadu, India; Department of Electrical and Electronics Engineering, S.A.Engineering College, Chennai, India; India Meteorological Department, Mausam Bhawan, New Delhi, India; Department of Mechanical Engineering, Prince Shri Venkateshwara Padmavathy Engineering College, Chennai, India; Department of CSE, GRIET, Hyderabad, India</t>
  </si>
  <si>
    <t>In recent years, the new Internet of Things (IoT) paradigm has gained widespread adoption, and as a result, smart cities have evolved. ‚ÄúSmart cities‚Äù deploy their solutions in real time to enhance the convenience and happiness of urban dwellers. The network traffic of a smart city via IoT systems is rising dramatically, generating new cyber security issues, because these IoT devices are being connected to sensors that are directly connected to massive cloud servers. Researchers need to improve techniques for detecting compromised Internet of Things (IoT) devices in order to defend against these incursions. The proposed method employs the steps of preprocessing the data, selecting the features to use, and training the model. Data preprocessing in machine learning and statistics typically involves the use of normalization and standardization feature scaling techniques to convert the numerical values included in the dataset into the desired scales and ranges. Chi-square, Pearson's Correlation Coefficient, and mutual information are the three main metrics used in the feature selection process. A-BiLSTM-CRF is then used to train the models with the input features. When compared to the two most common alternatives, CRF and Bi-LSTM, the proposed method performs better. The proposed method was successful with a success rate of 97.32%.</t>
  </si>
  <si>
    <t>979-8-3503-1398-7</t>
  </si>
  <si>
    <t>https://ieeexplore.ieee.org/stamp/stamp.jsp?arnumber=10370152</t>
  </si>
  <si>
    <t>Pearson's Correlational Coefficient (PCC);Internet of Things (IoT);Radio-Frequency Identification (RFID)</t>
  </si>
  <si>
    <t>Correlation coefficient;Smart cities;Standardization;Machine learning;Feature extraction;Sensor systems;Numerical models</t>
  </si>
  <si>
    <t>H. LE</t>
  </si>
  <si>
    <t>Optimizing Energy in Fog Computing Architecture Based on Offloading Mechanism for IoT Devices</t>
  </si>
  <si>
    <t>2023 Asia Meeting on Environment and Electrical Engineering (EEE-AM)</t>
  </si>
  <si>
    <t>10.1109/EEE-AM58328.2023.10395179</t>
  </si>
  <si>
    <t>Faculty of Information Technology, Electric Power University, Hanoi, Vietnam</t>
  </si>
  <si>
    <t>The emergence of the Internet of Things has led to exponential growth in the number of connected devices. These devices generate a vast amount of data that needs to be processed and analyzed, which can be computationally expensive and energy-intensive. To address this issue, fog computing has been introduced as a paradigm that offloads computation from IoT devices to nearby fog and cloud servers, thereby reducing the energy consumption of these devices. Fog computing is a decentralized architecture that brings computation and data storage closer to the edge of the network, enabling faster and more efficient data processing in IoT devices. Offloading, in the context of fog computing architecture, refers to the process of transferring computationally intensive tasks from IoT devices to fog or cloud servers. Offloading computational tasks from IoT devices to fog servers can significantly reduce the energy consumption of these devices. By offloading tasks to more powerful servers at the edge of the network, IoT devices can conserve energy and prolong battery life. This paper explores the concept of offloading in fog computing architecture as a means to achieve energy savings in IoT devices.</t>
  </si>
  <si>
    <t>979-8-3503-8106-1</t>
  </si>
  <si>
    <t>https://ieeexplore.ieee.org/stamp/stamp.jsp?arnumber=10395179</t>
  </si>
  <si>
    <t>Fog computing;Cloud computing;Internet of Things;Offloading;Energy</t>
  </si>
  <si>
    <t>Energy consumption;Energy conservation;Computer architecture;Internet of Things;Servers;Task analysis;Edge computing</t>
  </si>
  <si>
    <t>A. Siderova; M. Daneva; F. A. Bukhsh; J. J. Arachchige</t>
  </si>
  <si>
    <t>Security Approaches in Model-Driven Engineering for Web Applications: the State-of-the-art in the Last 10 Years</t>
  </si>
  <si>
    <t>2024 IEEE 32nd International Requirements Engineering Conference Workshops (REW)</t>
  </si>
  <si>
    <t>2770-6834</t>
  </si>
  <si>
    <t>10.1109/REW61692.2024.00026</t>
  </si>
  <si>
    <t>School of Computer Science, University of Twente, Enschede, The Netherlands; Semantics, Cybersecurity and Services Group, University of Twente, Enschede, The Netherlands; Data Science Group, University of Twente, Enschede, The Netherlands; Data Science Group, University of Twente, Enschede, The Netherlands</t>
  </si>
  <si>
    <t>In the past decade, several approaches have been proposed for integrating security requirements into the model-driven engineering (MDE) of web applications. However, very little has been done to consolidate the knowledge about these approaches and analyze them from the perspective of common security threats, such as those listed in the Top 10 list of OWASP. This systematic literature review provides a state-of-the-art overview of the newly proposed approaches. It consolidates what is currently known about the level of their empirical evaluation and the extent to which each addresses the threats in the Top 10 list of OWASP. We examined 181 publications, of which 11 articles proposed new approaches to integrating security into the MDE of web applications. Our analysis of these 11 approaches reveals that most of them address the threat of Broken Access Control and that no approach exists that addresses all threats in the Top 10 list. Compared to a decade ago, we could see a clear trend towards using aspect-oriented methods to integrate security into MDE for web apps. Finally, we reflect on the implications of our results and the limitations of this work.</t>
  </si>
  <si>
    <t>979-8-3503-9551-8</t>
  </si>
  <si>
    <t>https://ieeexplore.ieee.org/stamp/stamp.jsp?arnumber=10628860</t>
  </si>
  <si>
    <t>security requirements;security-by-design;web applications development;model-driven engineering;UML;aspect-oriented software development;empirical research method</t>
  </si>
  <si>
    <t>Access control;Systematics;Conferences;Microservice architectures;Organizations;Market research;Model driven engineering</t>
  </si>
  <si>
    <t>R. V; R. J. E; P. R. Sankpal</t>
  </si>
  <si>
    <t>Smart motion Detection and Location tracking system for enhanced security applications using LoRa</t>
  </si>
  <si>
    <t>2024 International Conference on Intelligent and Innovative Technologies in Computing, Electrical and Electronics (IITCEE)</t>
  </si>
  <si>
    <t>10.1109/IITCEE59897.2024.10467767</t>
  </si>
  <si>
    <t>Electronics and Communication Enginering, BNM Institute of Technology, Banglore, India; Electronics and Communication Enginering, BNM Institute of Technology, Banglore, India; Electronics and Communication Enginering, BNM Institute of Technology, Banglore, India</t>
  </si>
  <si>
    <t>This paper introduces a groundbreaking Smart Motion Detection and Location Tracking System designed for enhanced security in homes and offices. Unlike conventional motion detectors, this system integrates Global Positioning System (GPS) technology with Passive Infrared (PIR) sensors, providing not only motion detection but also accurate direction determination. The synergy of PIR sensors and GPS enables a more sophisticated understanding of movement patterns, offering real-time location tracking and direction identification. This innovative approach allows for a nuanced response to security threats, making it particularly valuable for security personnel or automated systems. The system's ability to combine motion detection with precise location data revolutionizes security applications, offering a comprehensive solution for advanced threat identification and response.</t>
  </si>
  <si>
    <t>979-8-3503-0641-5</t>
  </si>
  <si>
    <t>https://ieeexplore.ieee.org/stamp/stamp.jsp?arnumber=10467767</t>
  </si>
  <si>
    <t>LoRa;Asset tracking;Motion Detection;Monitoring</t>
  </si>
  <si>
    <t>Tracking;Surveillance;Motion detection;Sensor systems;Real-time systems;Security;Reliability</t>
  </si>
  <si>
    <t>A. Alawneh; N. Kang; M. Khairy; T. G. Rogers</t>
  </si>
  <si>
    <t>ThreadFuser: A SIMT Analysis Framework for MIMD Programs</t>
  </si>
  <si>
    <t>2024 57th IEEE/ACM International Symposium on Microarchitecture (MICRO)</t>
  </si>
  <si>
    <t>2379-3155</t>
  </si>
  <si>
    <t>10.1109/MICRO61859.2024.00078</t>
  </si>
  <si>
    <t>Elmore Family School of Electrical and Computer Engineering, Purdue University, West Lafayette, IN, USA; Elmore Family School of Electrical and Computer Engineering, Purdue University, West Lafayette, IN, USA; Elmore Family School of Electrical and Computer Engineering, Purdue University, West Lafayette, IN, USA; Elmore Family School of Electrical and Computer Engineering, Purdue University, West Lafayette, IN, USA</t>
  </si>
  <si>
    <t>The broad usage of accelerators, such as GPUs, faces two important challenges. Developing code for a new accelerator is expensive and unpredictable. Porting large parallel programs from Multiple Instruction Multiple Data (MIMD) CPUs to Single Instruction Multiple Thread (SIMT) GPUs involves significant effort that may or may not result in improved performance versus the CPU. This high activation energy to create new workloads introduces the second challenge: architects and systems researchers lack a diverse SIMT codebase to study new designs. To tackle these challenges, we introduce ThreadFuser, an analysis framework that efficiently and accurately predicts the performance of any pre-written MIMD program on SIMT hardware. ThreadFuser conducts thorough control and data flow analysis on dynamic CPU program traces, determining the impact of lock-step execution on CPU binaries. Thread-Fuser efficiently delivers accurate reports on a MIMD program's divergence and synchronization characteristics. Moreover, ThreadFuser seamlessly integrates with state-of-the-art GPU simulators to conduct detailed analyses and produce fine-grained performance measurements. We evaluate ThreadFuser on a diverse set of 36 CPU workloads, demonstrating the potential and challenges of executing MIMD code on a SIMT machine. We demonstrate ThreadFuser's potential to inform software development decisions and open new areas to explore in data-parallel hardware design.</t>
  </si>
  <si>
    <t>979-8-3503-5057-9</t>
  </si>
  <si>
    <t>https://ieeexplore.ieee.org/stamp/stamp.jsp?arnumber=10764650</t>
  </si>
  <si>
    <t>SIMT;GPU;Programmability;Simulation;Performance</t>
  </si>
  <si>
    <t>Codes;Microarchitecture;Instruction sets;Graphics processing units;Hardware;Software;Space exploration;Performance analysis;Synchronization;Software development management</t>
  </si>
  <si>
    <t>A. Akman; P. Oliver; M. Jones; P. Tehrani; M. Hoffmann; J. Li</t>
  </si>
  <si>
    <t>Energy Saving and Traffic Steering Use Case and Testing by O-RAN RIC xApp/rApp Multi-vendor Interoperability</t>
  </si>
  <si>
    <t>2024 IEEE 100th Vehicular Technology Conference (VTC2024-Fall)</t>
  </si>
  <si>
    <t>10.1109/VTC2024-Fall63153.2024.10757839</t>
  </si>
  <si>
    <t>Juniper Networks; Vodafone; Keysight Technologies; AirHop Communications; Rimedo Labs; Keysight Technologies</t>
  </si>
  <si>
    <t>This paper discusses the use case of energy saving and traffic steering in O-RAN, the mechanism of multi-vendor interoperability to make it work and depict its test methodology.</t>
  </si>
  <si>
    <t>979-8-3315-1778-6</t>
  </si>
  <si>
    <t>https://ieeexplore.ieee.org/stamp/stamp.jsp?arnumber=10757839</t>
  </si>
  <si>
    <t>O-RAN;RIC;xApp;rApp;energy saving;traffic steering;use case;test</t>
  </si>
  <si>
    <t>Vehicular and wireless technologies;Energy conservation;Open RAN;Interoperability;Testing</t>
  </si>
  <si>
    <t>P. Purucker; C. Reil; A. H√∂√ü; B. W. Schuller</t>
  </si>
  <si>
    <t>Deep Neural Quality of Service Prediction for Unmanned Aircraft System Communications</t>
  </si>
  <si>
    <t>2024 International Wireless Communications and Mobile Computing (IWCMC)</t>
  </si>
  <si>
    <t>10.1109/IWCMC61514.2024.10592318</t>
  </si>
  <si>
    <t>Department of Electrical Engineering, Media Technology and Computer Sciences, University of Applied Sciences Amberg-Weiden, Amberg, Germany; Department of Electrical Engineering, Media Technology and Computer Sciences, University of Applied Sciences Amberg-Weiden, Amberg, Germany; Department of Electrical Engineering, Media Technology and Computer Sciences, University of Applied Sciences Amberg-Weiden, Amberg, Germany; CHI, MRI, Technical University of Munich, Germany</t>
  </si>
  <si>
    <t>Commercial Unmanned Aircraft Systems (UAS) have a wide range of applications, including package delivery, inspection and search and rescue missions. For the operation of Unmanned Aircraft Vehicles (UAV) Beyond Visual Line of Sight (BVLOS), reliable long-range communication is essential. The cellular network is one possible solution, but there are issues such as signal loss and frequent handovers at higher altitudes. To mitigate these issues, our work proposes the use of two cellular links from different providers prioritised according to Quality of Service (QoS) prediction. We evaluate multiple AI-based model architectures for the prediction, and find that the model consisting of Gated Recurrent Units (GRU) and convolutional layers outperforms the others. The models are trained and tested on real-world data and show a reduction in latency peaks, thereby increasing connection resilience. Moreover, the prediction pipeline is designed to be executable on the UAV side and is not limited to a specific geographical area, making it applicable to real-world scenarios. Finally, we present a pre-flight path planning algorithm that takes QoS into account when calculating the flight path in order to further improve communication. To support the research community, we publicly share the dataset used to obtain our results.</t>
  </si>
  <si>
    <t>979-8-3503-6126-1</t>
  </si>
  <si>
    <t>https://ieeexplore.ieee.org/stamp/stamp.jsp?arnumber=10592318</t>
  </si>
  <si>
    <t>Deep Learning;UAS;Communication;Quality of Service;LTE;5G</t>
  </si>
  <si>
    <t>Adaptation models;Heuristic algorithms;Quality of service;Computer architecture;Predictive models;Autonomous aerial vehicles;Modems</t>
  </si>
  <si>
    <t>P. T. Datta; D. L. Kumar; S. Tanoj; S. M. Rajagopal</t>
  </si>
  <si>
    <t>Design and Simulation of an Intelligent Traffic Management System Using Vehicular Networks</t>
  </si>
  <si>
    <t>2025 3rd International Conference on Intelligent Data Communication Technologies and Internet of Things (IDCIoT)</t>
  </si>
  <si>
    <t>10.1109/IDCIOT64235.2025.10915196</t>
  </si>
  <si>
    <t>Department of Computer Science and Engineering, Amrita School of Computing, Amrita Vishwa Vidyapeetham, Bengaluru, India; Department of Computer Science and Engineering, Amrita School of Computing, Amrita Vishwa Vidyapeetham, Bengaluru, India; Department of Computer Science and Engineering, Amrita School of Computing, Amrita Vishwa Vidyapeetham, Bengaluru, India; Department of Computer Science and Engineering, Amrita School of Computing, Amrita Vishwa Vidyapeetham, Bengaluru, India</t>
  </si>
  <si>
    <t>In this study , the reasearch is focused on the simulation of vehicular communication networks, especially intelligent traffic systems, to enhance dependability, safety, and optimality in communication. The simulation is performed using the OMNeT++ simulator and is integrated with the Veins framework that uses the IEEE 802.11p protocol for V2V and V2I communications. Importing real-world traffic scenarios into the framework is obtained via the use of SUMO through TraCIScenarioManager. Other features of the framework include the definition of mobility models, dynamic obstacles, and detailed radio propagation modeling. TraCIDemo11p is used for mobility and communication by both RSUs and vehicles with applications in beaconing and channel switching. The whole framework analyzes smart traffic management solutions, providing as much insight into their performance based upon the communication reliability and overall efficiency in vehicular networks.</t>
  </si>
  <si>
    <t>979-8-3315-2754-9</t>
  </si>
  <si>
    <t>https://ieeexplore.ieee.org/stamp/stamp.jsp?arnumber=10915196</t>
  </si>
  <si>
    <t>Intelligent Traffic Management;Vehicular Networks;IEEE 802.11p;Vehicle-to-Vehicle (V2V) Communication;Vehicle-to-Infrastructure (V2I) Communication;OMNeT++ Simulation Framework;Veins (Vehicles in Network Simulation);Road-Side Units (RSUs)</t>
  </si>
  <si>
    <t>Protocols;Vehicle-to-infrastructure;Simulation;Vehicular ad hoc networks;Switches;Radio propagation;Safety;Security;Reliability;Vehicle dynamics</t>
  </si>
  <si>
    <t>X. Zhang; W. Qiu; H. Yang; A. Hou</t>
  </si>
  <si>
    <t>Research on Internet of Things Signals Acquisition and Processing based on Edge Computation</t>
  </si>
  <si>
    <t>2024 5th International Conference on Computer Engineering and Intelligent Control (ICCEIC)</t>
  </si>
  <si>
    <t>10.1109/ICCEIC64099.2024.10775418</t>
  </si>
  <si>
    <t>College of Electrical Engineering and New Energy, China Three Gorges University, Hubei, Yichang, China; Faculty of Automotive and Traffic Engineering, Hubei University of Arts and Sciences, Hubei, Xiangyang, China; Faculty of Automotive and Traffic Engineering, Hubei University of Arts and Sciences, Hubei, Xiangyang, China; Faculty of Automotive and Traffic Engineering, Hubei University of Arts and Sciences, Hubei, Xiangyang, China</t>
  </si>
  <si>
    <t>The proliferation of Internet of Things (IoT) devices has led to the generation of vast quantities of data, placing considerable strain on conventional cloud computing infrastructure. Edge computing has emerged as a viable solution to address this challenge. In this study, we propose an Internet of Things (IoT) signal processing framework that is combined with distributed edge nodes. The objective is to improve data transmission efficiency and real-time performance. Firstly, in consideration of the constrained resources of edge devices, we have devised lightweight preprocessing algorithms, including frequency domain filtering based on Fourier transform and a denoising algorithm based on wavelet transform, with the objective of reducing the noise and redundant information present in the original signal. Subsequently, the adaptive compressed sensing technology was employed to compress the preprocessed signal, which resulted in a notable reduction in the bandwidth requirement for data transmission. Subsequently, in order to fully utilise the computing capabilities of edge nodes, we introduce a multi-task learning collaborative computing model. The model permits the sharing of computing tasks between multiple edge nodes, facilitates data collaboration between edge nodes through federated learning, and reduces computing redundancy and communication overhead. The experimental phase employs the Google Edge TPU Dataset to evaluate the dataset pertinent to the Internet of Things. The results indicate that the proposed methodology exhibits a notable enhancement in data processing latency and transmission efficacy in comparison to the conventional approach.</t>
  </si>
  <si>
    <t>979-8-3315-0799-2</t>
  </si>
  <si>
    <t>https://ieeexplore.ieee.org/stamp/stamp.jsp?arnumber=10775418</t>
  </si>
  <si>
    <t>Edge Computation;Internet of Things;Signal Processing;Collaborative Computing</t>
  </si>
  <si>
    <t>Cloud computing;Adaptation models;Computational modeling;Collaboration;Signal processing algorithms;Bandwidth;Data processing;Internet of Things;Data communication;Edge computing</t>
  </si>
  <si>
    <t>A. Khalid; S. Ahearne; H. K. Mehta; U. Roedig; C. J. Sreenan</t>
  </si>
  <si>
    <t>CATER: A Policy-Based Data Placement Framework for Edge Storage</t>
  </si>
  <si>
    <t>2024 32nd Euromicro International Conference on Parallel, Distributed and Network-Based Processing (PDP)</t>
  </si>
  <si>
    <t>10.1109/PDP62718.2024.00013</t>
  </si>
  <si>
    <t>Dell Research, Dell Technologies, Cork, Ireland; Dell Research, Dell Technologies, Cork, Ireland; School of CSIT, University College, Cork, Ireland; School of CSIT, University College, Cork, Ireland; School of CSIT, University College, Cork, Ireland</t>
  </si>
  <si>
    <t>The growing heterogeneity and decentralization in the modern computing paradigm of edge-cloud continuum introduces new constraints on storage systems, such as storage type, associated processors, privacy, scarce resources, compliance, GDPR and geographical restrictions. While existing distributed data and object stores can ensure data availability and fault-tolerance, they are not flexible or dynamic enough to address these diverse set of constraints. In this paper, we introduce a modular policy-driven data placement framework, CATER, designed to seamlessly integrate with existing storage systems and overcome the aforementioned limitations. CATER formulates the data placement problem as an optimization model, incorporating data collocation and hardware constraints. We integrated a pro-totype of CATER with Apache Ozone and conducted experiments and simulations. Results show a 23% improvement in data placement while respecting 100 % of the constraints.</t>
  </si>
  <si>
    <t>979-8-3503-6307-4</t>
  </si>
  <si>
    <t xml:space="preserve">Science Foundation Ireland(grant numbers:13/RC/2077_P2); </t>
  </si>
  <si>
    <t>https://ieeexplore.ieee.org/stamp/stamp.jsp?arnumber=10495570</t>
  </si>
  <si>
    <t>data placement;distributed storage system;Apache Ozone;GDPR;Edge computing</t>
  </si>
  <si>
    <t>Gases;Privacy;Fault tolerance;Program processors;Costs;Heuristic algorithms;Fault tolerant systems</t>
  </si>
  <si>
    <t>A. A. Alfa; T. O. Aro; O. O. Adunni; D. Z. Iliya; O. Awe; A. Owonipa</t>
  </si>
  <si>
    <t>SHA-AES based on Chaining Block Code and Galois Counter Mode Encryptions for the Privacy of Smart Farming Systems</t>
  </si>
  <si>
    <t>2023 International Conference on Science, Engineering and Business for Sustainable Development Goals (SEB-SDG)</t>
  </si>
  <si>
    <t>10.1109/SEB-SDG57117.2023.10124512</t>
  </si>
  <si>
    <t>Department of Computer Science, Confluence University of Science and Technology, Osara, Nigeria; Department of Computer Science, Confluence University of Science and Technology, Osara, Nigeria; Department of Computer Science, Ladoke Akintola University of Technology, Ogbomoso, Nigeria; Department of Computer Science, Niger State College of Education, Minna, Nigeria; Department of Computer Science, University of Lagos, Lagos, Nigeria; Division of Computer Science and Mathematics, University of Stirling, United Kingdom</t>
  </si>
  <si>
    <t>In smart farming, IoT plays a dominant role in diverse data generation, data transmission, and applications such as irrigation estimation, soil and environmental monitoring, food supply chain and field monitoring. The current architecture of IoT is mainly centralized and single-point controlled; thereby opening up privacy and security lapses. Several approaches have favoured advanced data encryption to preserve privacy during transmission or storage. The debilitating challenges of IoT systems sparingly reported in previous works include: security of physical/logical components; software/hardware interoperability; high energy requirements; low processing/storage capacity, and network architecture/scalability. This paper comparatively studied encryption modes of Chaining Block Code (CBC) and Galois Counter Mode (GCM) based on hybrid algorithm of SHA1-256 and AES246 (known as SHA-AES scheme) towards preserving privacy of IoT data. The outcomes revealed that, the SHA-AES scheme based on CBC was better in terms of speed - encryption (8.34%) and decryption (43.42%); storage consumption - secret key sizes (50.00%) and ciphertext sizes (26.88%) against GCM. This implies that, the GCM approach offers the highest privacy protection but, less effective due to sluggish speed and high memory utilization. Also, strong cryptographic schemes interleaved with CBC and GCM hardening schemes offered improved confusion state, diffusion state, complexity, and performances. Future works could consider modifying the complex processes of GCM approach by minimizing key generation time to support resource-constrained devices.</t>
  </si>
  <si>
    <t>979-8-3503-2478-5</t>
  </si>
  <si>
    <t>https://ieeexplore.ieee.org/stamp/stamp.jsp?arnumber=10124512</t>
  </si>
  <si>
    <t>CBC;GCM;cryptography;lightweight;privacy;memory consumption;speed;IoT;security status;encryption mode</t>
  </si>
  <si>
    <t>Smart agriculture;Wireless communication;Privacy;Data privacy;Memory management;Hardware;Encryption</t>
  </si>
  <si>
    <t>M. Redeker; S. Simikin; F. Marek</t>
  </si>
  <si>
    <t>Towards a Stateless Cloud Native and Cloud Agnostic Digital Twin Platform for the Digital Product Passport: Out-of-the-box, Reliable, and Scaling</t>
  </si>
  <si>
    <t>2024 IEEE 29th International Conference on Emerging Technologies and Factory Automation (ETFA)</t>
  </si>
  <si>
    <t>10.1109/ETFA61755.2024.10710875</t>
  </si>
  <si>
    <t>Fraunhofer IOSB, IOSB-INA Lemgo, Fraunhofer Institute of Optronics, System Technologies and Image Exploitation; New York University, Shanghai, China; Novatio-Solutions GmbH, Germany</t>
  </si>
  <si>
    <t>Interoperable digital twins (DT) simplify and automate the implementation of Industry 4.0 (I4.0) use cases like Collaborative Condition Monitoring (CCM), Product and Corporate Carbon Footprint (PCF, CCF) and the Digital Product Passport (DPP) - aiming at adaptivity, resource-efficiency, user-friendliness, compliance with legal requirements and value-creation. Platforms accelerate the development and deployment of DTs and services and ensure their resilient operation in order to capture especially all relevant shop-floor information, for example to aggregate PCFs, CCFs, and DPPs or to report on sustainability - automatically. However, platform operators should in particular avoid cloud provider lock-ins to be able to react flexibly to use case requirements at any time. The technology must be manageable and costs must be controllable. The aim is to achieve a break-even point between security, costs, future viability and controllability, short implementation time and motivated use. Such requirements can currently only be met with cloud infrastructures. An agnostic design ensures that switching infrastructures is possible and can be done both securely and quickly. To this end, this paper develops an out-of-the-box cloud native and cloud agnostic DT platform providing specialized, stateless, loosely coupled DT services interacting within a service mesh. The developed platform meets the requirements, can easily be executed in any public, private and hybrid cloud, and can be scaled horizontally without any further ado.</t>
  </si>
  <si>
    <t>979-8-3503-6123-0</t>
  </si>
  <si>
    <t>https://ieeexplore.ieee.org/stamp/stamp.jsp?arnumber=10710875</t>
  </si>
  <si>
    <t>Digital Product Passport;Stateless Cloud Native and Cloud Agnostic Digital Twin Platform;Industry 4.0</t>
  </si>
  <si>
    <t>Connectors;Condition monitoring;Costs;Microservice architectures;Switches;Digital twins;Servers;Security;Carbon footprint;Portals</t>
  </si>
  <si>
    <t>H. -K. Que; S. Huang; X. Jiang; L. -K. Zeng; J. -X. Yang; M. -Q. Wu</t>
  </si>
  <si>
    <t>Strategy of Smart Grid Disaster Recovery and Scheduling Based on Cloud Computing</t>
  </si>
  <si>
    <t>2024 The 9th International Conference on Power and Renewable Energy (ICPRE)</t>
  </si>
  <si>
    <t>2768-0525</t>
  </si>
  <si>
    <t>10.1109/ICPRE62586.2024.10768436</t>
  </si>
  <si>
    <t>Guangdong Power Grid Corporation, Metrology Center, Guangzhou, China; Guangdong Power Grid Corporation, Metrology Center, Guangzhou, China; Guangdong Power Grid Corporation, Metrology Center, Guangzhou, China; CSG Digital Power Grid Group Co., Ltd, Metrology Center, Guangzhou, China; CSG Digital Power Grid Group Co., Ltd, Metrology Center, Guangzhou, China; CSG Digital Power Grid Group Co., Ltd, Metrology Center, Guangzhou, China</t>
  </si>
  <si>
    <t>In response to the emergence of new challenges in the digitization of the power grid, disaster recovery construction, driven by laws and regulations, is gradually becoming normalized. Disaster recovery has become a fundamental compliance requirement for key industries. Considering the issue of low resource utilization and high costs associated with traditional scheduling data disaster recovery solutions, enhancing grid data processing efficiency and strengthening grid risk prevention capabilities have become focal points in the construction of power systems. Under this backdrop, this paper proposes integrating cloud computing technology with smart grid systems and puts forward a disaster recovery business solution featuring dual-active in the same city and multi-active in different locations. Leveraging the efficient data computing capabilities of cloud computing, a unified platform tailored for security zones is designed to enhance grid big data processing efficiency. This platform achieves minute-level one-way synchronization of data across instances. Additionally, exploring business-oriented scheduling methods on this foundation, a comprehensive disaster recovery strategy for power scheduling data based on cloud computing technology is formulated.</t>
  </si>
  <si>
    <t>979-8-3503-7746-0</t>
  </si>
  <si>
    <t xml:space="preserve">Science and Technology Project of China Southern Power Grid Co. Ltd(grant numbers:035900KK52222003); </t>
  </si>
  <si>
    <t>https://ieeexplore.ieee.org/stamp/stamp.jsp?arnumber=10768436</t>
  </si>
  <si>
    <t>cloud computing;grid scheduling;smart grid;scheduling data management;data disaster recovery</t>
  </si>
  <si>
    <t>Computers;Cloud computing;Job shop scheduling;Processor scheduling;Disasters;Prevention and mitigation;Data processing;Dispatching;Smart grids;Security</t>
  </si>
  <si>
    <t>V. M. Arricale; M. Caggiano; M. Cinque; A. Coppola; F. Farroni; M. Fiorentino; A. Garofalo; A. Marchetta; A. Perfetto; A. Sakhnevych</t>
  </si>
  <si>
    <t>EMER-GO: real-time grip enhanced speed advisory for emergency intelligent transportation systems</t>
  </si>
  <si>
    <t>2023 53rd Annual IEEE/IFIP International Conference on Dependable Systems and Networks Workshops (DSN-W)</t>
  </si>
  <si>
    <t>2325-6664</t>
  </si>
  <si>
    <t>10.1109/DSN-W58399.2023.00028</t>
  </si>
  <si>
    <t>Megaride S.r.l., Napoli, Italy; South Engineering S.r.l., Aversa, Caserta, Italy; Dept. of Electrical Engineering and Information Technology, Federico II University of Naples, Italy; Dept. of Civil, Building and Environmental Engineering, Federico II University of Naples, Italy; Dept. of Industrial Engineering, Federico II University of Naples, Italy; Megaride S.r.l., Napoli, Italy; Megaride S.r.l., Napoli, Italy; Dept. of Civil, Building and Environmental Engineering, Federico II University of Naples, Italy; Dept. of Electrical Engineering and Information Technology, Federico II University of Naples, Italy; Dept. of Industrial Engineering, Federico II University of Naples, Italy</t>
  </si>
  <si>
    <t>Green Light Optimal Speed Advisory (GLOSA) is a service that can be beneficial for emergency vehicles, such as ambulances or firetrucks, as it can help them to cross intersections in a short time. However, a wrong or late advice (e.g., due to bad road conditions or unexpected high load) can be hazardous in terms of safety. In this paper, we propose to integrate GLOSA with the road and tire grip evaluated in real-time. The solution has been implemented in a platform for emergency intelligent transportation systems, named EMER-GO, and tested on the road. Isolation tests have been performed as well, to check the capability of state-of-art containerization solutions to withstand unexpected stress loads on the same onboard unit.</t>
  </si>
  <si>
    <t>979-8-3503-2543-0</t>
  </si>
  <si>
    <t>https://ieeexplore.ieee.org/stamp/stamp.jsp?arnumber=10207121</t>
  </si>
  <si>
    <t>Intelligent transport systems;safety;emergency;grip evaluation;isolation</t>
  </si>
  <si>
    <t>Roads;Real-time systems;Tires;Safety;Virtualization;Task analysis;Intelligent transportation systems</t>
  </si>
  <si>
    <t>L. Wen; M. Xu; A. N. Toosi; K. Ye</t>
  </si>
  <si>
    <t>TempoScale: A Cloud Workloads Prediction Approach Integrating Short-Term and Long-Term Information</t>
  </si>
  <si>
    <t>10.1109/CLOUD62652.2024.00030</t>
  </si>
  <si>
    <t>Shenzhen Institute of Advanced Technology, Chinese Academy of Sciences, China; Shenzhen Institute of Advanced Technology, Chinese Academy of Sciences, China; Faculty of Information Technology, Monash University, Australia; Shenzhen Institute of Advanced Technology, Chinese Academy of Sciences, China</t>
  </si>
  <si>
    <t>Cloud native solutions are widely applied in various fields, placing higher demands on the efficient management and utilization of resource platforms. To achieve the efficiency, load forecasting and elastic scaling have become crucial technologies for dynamically adjusting cloud resources to meet user demands and minimizing resource waste. However, existing prediction-based methods lack comprehensive analysis and integration of load characteristics across different time scales. For instance, long-term trend analysis helps reveal long-term changes in load and resource demand, thereby supporting proactive resource allocation over longer periods, while short-term volatility analysis can examine short-term fluctuations in load and resource demand, providing support for real-time scheduling and rapid response. In response to this, our research introduces TempoScale, which aims to enhance the comprehensive understanding of temporal variations in cloud workloads, enabling more intelligent and adaptive decision-making for elastic scaling. TempoScale utilizes the Complete Ensemble Empirical Mode Decomposition with Adaptive Noise algorithm to decompose time-series load data into multiple Intrinsic Mode Functions (IMF) and a Residual Component (RC). First, we integrate the IMF, which represents both long-term trends and short-term fluctuations, into the time series prediction model to obtain intermediate results. Then, these intermediate results, along with the RC, are transferred into a fully connected layer to obtain the final result. Finally, this result is fed into the resource management system based on Kubernetes for resource scaling. Our proposed approach can reduce the Mean Square Error by 5.80% to 30.43% compared to the baselines, and reduce the average response time by 5.58% to 31.15%. The results demonstrate the effectiveness of our proposed method in reducing violations of service-level objectives and providing better performance in terms of resource utilization.</t>
  </si>
  <si>
    <t>https://ieeexplore.ieee.org/stamp/stamp.jsp?arnumber=10643916</t>
  </si>
  <si>
    <t>cloud native;load prediction;auto-scaling;deep learning;mode decomposition;transformer</t>
  </si>
  <si>
    <t>Cloud computing;Fluctuations;Time series analysis;Noise;Predictive models;Market research;Prediction algorithms</t>
  </si>
  <si>
    <t>A. -T. Pham; T. -L. Tran; H. -T. Thai; K. -H. Le</t>
  </si>
  <si>
    <t>A Smart City IoT Framework with BiLSTM-based Rainfall Prediction and Microservice Architecture</t>
  </si>
  <si>
    <t>2024 IEEE International Conference on Communication, Networks and Satellite (COMNETSAT)</t>
  </si>
  <si>
    <t>2689-8004</t>
  </si>
  <si>
    <t>10.1109/COMNETSAT63286.2024.10862391</t>
  </si>
  <si>
    <t>University of Information Technology Vietnam National University, Ho Chi Minh City, Vietnam; University of Information Technology Vietnam National University, Ho Chi Minh City, Vietnam; University of Information Technology Vietnam National University, Ho Chi Minh City, Vietnam; University of Information Technology Vietnam National University, Ho Chi Minh City, Vietnam</t>
  </si>
  <si>
    <t>Internet of Things (IoT) has experienced significant growth, impacting various aspects of society. However, the efficient management of IoT devices, particularly in smart cities, is still challenging due to the diverse connection types and their massive collected data. Therefore, in this paper, we introduce an IoT device management system that monitors and configures all connected devices through the HTTP and MQTT connection protocols. We also build a rainfall prediction model based on a BiLSTM architecture and incorporate it into the proposed system using the microservice architecture. The experimental results on two experimental datasets show that our proposed model achieves the highest F1-score compared to other approaches, which shows the potential of the proposed system for predicting rainfall in real-life scenarios.</t>
  </si>
  <si>
    <t>979-8-3503-6808-6</t>
  </si>
  <si>
    <t>https://ieeexplore.ieee.org/stamp/stamp.jsp?arnumber=10862391</t>
  </si>
  <si>
    <t>Artificial Intelligence (AI);Internet of Things (IoT);IoT device Management;Rainfall Prediction;Smart Cities</t>
  </si>
  <si>
    <t>Rain;Satellites;Smart cities;Microservice architectures;Bidirectional long short term memory;Predictive models;HTTP;Internet of Things;Communication networks;Monitoring</t>
  </si>
  <si>
    <t>I. G; S. R</t>
  </si>
  <si>
    <t>Optimization enabled deep learning methods for Container-based Cloud Computing Environment</t>
  </si>
  <si>
    <t>2023 International Conference on Research Methodologies in Knowledge Management, Artificial Intelligence and Telecommunication Engineering (RMKMATE)</t>
  </si>
  <si>
    <t>10.1109/RMKMATE59243.2023.10368726</t>
  </si>
  <si>
    <t>Department of Computer Science and Engineering, Puducherry Technological University, Puducherry, India; Department of Computer Science and Engineering, Puducherry Technological University, Puducherry, India</t>
  </si>
  <si>
    <t>Cloud applications are now evolving towards a more granular micro-service paradigm, where fewer and simpler working elements are joined for providing end-to-end services, in response to the demand for agile development and administration. The increase in the utilization of container have gained more insight and helped in ensuring maximized and large portability with minimized overhead and rapid deployment in the cloud platform. But the rapid growth of container technology has introduced phenomenal changes in the management and automation of containers in the cloud computing environment. In specific, container resource allocation is the most potential challenge realized from the dimension of cloud providers since it possesses a direct impact on system performance and resource management. In this paper, a comprehensive review on Optimization enabled deep learning methods for Container-based Cloud Computing Environment is presented with its merits and limitations. It has presented the possible number of deep learning models-based container scheduling process that helps in significant load prediction in the cloud platform. This study also outlines the prospective research areas that might be explored moving forward with this implementation research.</t>
  </si>
  <si>
    <t>979-8-3503-0570-8</t>
  </si>
  <si>
    <t>https://ieeexplore.ieee.org/stamp/stamp.jsp?arnumber=10368726</t>
  </si>
  <si>
    <t>Deep Learning;Cloud Computing;Container-based micro-services;Optimization Algorithms;Load Prediction</t>
  </si>
  <si>
    <t>Deep learning;Cloud computing;Processor scheduling;System performance;Optimization methods;Containers;Predictive models</t>
  </si>
  <si>
    <t>X. Liang; D. Hou</t>
  </si>
  <si>
    <t>Solar Investment Decision Application System Based on Big Data Technology</t>
  </si>
  <si>
    <t>2023 IEEE 3rd International Conference on Information Technology, Big Data and Artificial Intelligence (ICIBA)</t>
  </si>
  <si>
    <t>10.1109/ICIBA56860.2023.10164887</t>
  </si>
  <si>
    <t>College of Computer Science and Technology, Jishou University, Jishou, China; College of Computer Science and Technology, Jishou University, Jishou, China</t>
  </si>
  <si>
    <t>With the rapid development of photovoltaic new energy industry, more and more investors have started to invest in photovoltaic projects. In order to help investors make wise investment decisions, a photovoltaic investment decision-making application system based on big data technology has been designed. This system uses temperature sensors, humidity sensors, light sensors, and power sensors in the equipment layer to obtain environmental data around photovoltaic solar panels, and uses NBIOT wireless network in the communication layer to transmit the data to the service layer. The service layer connects to the Web server cluster to access components and transfers the environmental data to modules such as big data encryption, parsing, and offline storage control. The system utilizes big data technology to encrypt, parse, and store the data offline, and then transfers the data to the application layer. The application layer provides data management and query functions for investors, making it easier for them to manage and query photovoltaic investment decision-making terminal data. The system has also undergone experimental testing, and the results show that the system can collect, network, and remotely transmit operating data of distributed photovoltaic solar panels. It can also provide remote access and control of data through a computer or mobile client. This system can help investors consider the impact of different geographical environments and seasonal climates on equipment, thereby making better investment decisions.</t>
  </si>
  <si>
    <t>978-1-6654-9079-5</t>
  </si>
  <si>
    <t>https://ieeexplore.ieee.org/stamp/stamp.jsp?arnumber=10164887</t>
  </si>
  <si>
    <t>Big data technology;internet of things;photovoltaic power generation;investment decision-making management system</t>
  </si>
  <si>
    <t>Temperature sensors;Wireless sensor networks;Wireless networks;Decision making;Big Data;Sensor systems;Sensors</t>
  </si>
  <si>
    <t>G. Wang; R. Hildebrant; A. Chio; S. Mehrotra; N. Venkatasubramanian</t>
  </si>
  <si>
    <t>BatchIT: Intelligent and Efficient Batching for IoT Workloads at the Edge</t>
  </si>
  <si>
    <t>10.1109/NOMS59830.2024.10575298</t>
  </si>
  <si>
    <t>Dept. of Computer Science, University of California, Irvine; Dept. of Computer Science, University of California, Irvine; Dept. of Computer Science, University of California, Irvine; Dept. of Computer Science, University of California, Irvine; Dept. of Computer Science, University of California, Irvine</t>
  </si>
  <si>
    <t>Next-generation stream processing systems for community scale IoT applications must handle complex nonfunctional needs, e.g. scalability of input, reliability/timeliness of communication and privacy/security of captured data. In many IoT settings, efficiently batching complex workflows remains challenging in resource-constrained environments. High data rates, combined with real-time processing needs for applications, have pointed to the need for efficient edge stream processing techniques. In this work, we focus on designing scalable edge stream processing workflows in real-world IoT deployments where performance and privacy are key concerns. Initial efforts have revealed that privacy policy execution/enforcement at the edge for intensive workloads is prohibitively expensive. Thus, we leverage intelligent batching techniques to enhance the performance and throughput of streaming in IoT smart spaces. We introduce BatchIT, a processing middleware based on a smart batching strategy that optimizes the trade-off between batching delay and the end-to-end delay requirements of IoT applications. Through experiments with a deployed system we demonstrate that BatchIT outperforms several approaches, including micro-batching and EdgeWise, while reducing computation overhead.</t>
  </si>
  <si>
    <t>https://ieeexplore.ieee.org/stamp/stamp.jsp?arnumber=10575298</t>
  </si>
  <si>
    <t>Edge Computing;Stream Processing;Privacy</t>
  </si>
  <si>
    <t>Privacy;Runtime;Scalability;Throughput;Delays;Internet of Things;Reliability</t>
  </si>
  <si>
    <t>H. M. Shukur Ali; S. K. Jalal; M. W. Saab; S. I. Hassan; G. S. N. Ghno; S. S. Ahmed; S. I. Mustafa; P. A. Ziiaidinovich</t>
  </si>
  <si>
    <t>Adaptive Virtual Clustering Methods for Dynamic IoT Edge Systems</t>
  </si>
  <si>
    <t>10.23919/FRUCT64283.2024.10749877</t>
  </si>
  <si>
    <t>Al-Kitab University, Kirkuk, Iraq; Al-Qalam University College, Kirkuk, Iraq; Al-Nukhba University College, Baghdad, Iraq; College of Engineering, Knowledge University, Erbil, Iraq; Al-Rafidain University College, Baghdad, Iraq; Al-Turath University, Baghdad, Iraq; Alnoor University, Nineveh, Iraq; Osh State University, Osh, Kyrgyzstan</t>
  </si>
  <si>
    <t>Ever increasing numbers of Internet of Things (IoT) devices have created a more fragmented edge environment. The majority of traditional clustering mechanisms are not competent to resource elasticity over multiple IoT systems and hence, handling load distribution effectively underutilizes the resources. To address the increasing complexities and constraints of modern IoT systems, adaptive mechanisms are required to implement virtual clustering, which can dynamically optimize performance and resource utilization by responding to real-time network changes and device heterogeneity.The article proposes the design and performance evaluation of adaptive virtual clustering methods tailored to the requirements of emerging IoT edge systems with dynamic environments. The goal is to optimize resource allocation, balance load, and enhance the overall system performance by deploying virtual clusters with the potential of adapting the best to changing network loads as well as device heterogeneity.We developed a multistep approach that combined state-of-the-art clustering algorithms, the K-means and agglomerative clustering, to our insight of Amdahl‚Äôs law using meta learning strategies. There are 4 architecture layers in our system: physical device layer, cluster management layer, coordination layer and virtual group. This paper revisits KPIs such as Silhouette Coefficient, Davies-Bouldin Index and Calinski-Harabasz Index under different network loads and performance of the device being considered.The proposed methods achieved better performance than existing clustering algorithms, particularly in high network traffic scenarios. In competitive testing, adaptive virtual clusters with up to 10% better in total performance over traditional clusters at full network load through smart node allocation and leveraging of the virtual memory for better load balancing.Adaptive virtual clustering appears to be a promising fit for the challenges posed by dynamic IoT edge environments. This limber approach yields improved in network efficiency, load distribution and overall network performance. Future work should focus on optimizing these adaptive clustering approaches for extreme network conditions, such as high device churn and congested IoT environments. Additionally, the integration of digital twin technologies and real-time adaptive machine learning models could further improve system responsiveness and performance in highly dynamic settings.</t>
  </si>
  <si>
    <t>https://ieeexplore.ieee.org/stamp/stamp.jsp?arnumber=10749877</t>
  </si>
  <si>
    <t>IoT;Edge Computing;Virtual Clustering;Adaptive Methods;Resource Optimization;Load Balancing;Heterogeneous Devices;Dynamic Systems;Network Performance;Clustering Algorithms</t>
  </si>
  <si>
    <t>Performance evaluation;Adaptation models;Adaptive systems;Heuristic algorithms;Clustering methods;Scalability;Clustering algorithms;Real-time systems;Resource management;Indexes</t>
  </si>
  <si>
    <t>P. Chavan; P. Chavan</t>
  </si>
  <si>
    <t>Data Migration between on prim to Cloud using Generative AI to Reduce Costing And Overheads</t>
  </si>
  <si>
    <t>2024 International Conference on Innovations and Challenges in Emerging Technologies (ICICET)</t>
  </si>
  <si>
    <t>10.1109/ICICET59348.2024.10616354</t>
  </si>
  <si>
    <t>BE Computer Science; Data Science</t>
  </si>
  <si>
    <t>‚ÄúCloud data migration‚Äù describes the method of transferring digital data to new cloud services or garage structures. Data have to be transferred in a way that guarantees it remains available, secure, and uncompromised. Businesses might also easily adjust to new needs and trends in era by way of transferring their statistics, apps, or workloads to the cloud. Scalability, adaptability, and optimising charges are all made feasible by this. Generative AI can help us evaluate existing applications and provide insights into how they can be optimized for the target cloud environments. In the ever-evolving world of technology, Generative AI (GenAI) has emerged as a transformative force, poised to revolutionize various industries and domains, including cloud migration. As the global landscape of migration continues to shift, GenAI is prepared to play an essential role in streamlining processes, enhancing accuracy, and improving overall migration outcomes. The review present paper investigates the utilisation of generative AI in order to facilitate the transfer of data from on-premises to the cloud. While highlighting the potential of generative AI to automate transfer operations, it tackles obstacles such as economic implications and security concerns. Migration techniques, the benefits of cloud migration, and pertinent literature are examined in this study, which also provides a summary of key findings and recommendations for future research.</t>
  </si>
  <si>
    <t>979-8-3503-1901-9</t>
  </si>
  <si>
    <t>https://ieeexplore.ieee.org/stamp/stamp.jsp?arnumber=10616354</t>
  </si>
  <si>
    <t>Data Migration;Cloud Migration;Generative AI;Artificial Intelligence;Challenges;Applications;Techniques</t>
  </si>
  <si>
    <t>Industries;Economics;Technological innovation;Generative AI;Reviews;Costing;Scalability</t>
  </si>
  <si>
    <t>R. Gu; T. Seceleanu; N. Xiong; M. Naeem</t>
  </si>
  <si>
    <t>A Service-Oriented Digital Twin Framework for Dynamic and Robust Distributed Systems</t>
  </si>
  <si>
    <t>2024 IEEE International Conference on Software Services Engineering (SSE)</t>
  </si>
  <si>
    <t>10.1109/SSE62657.2024.00021</t>
  </si>
  <si>
    <t>M√§lardalen University, V√§ster√•s, Sweden; M√§lardalen University, V√§ster√•s, Sweden; M√§lardalen University, V√§ster√•s, Sweden; M√§lardalen University, V√§ster√•s, Sweden</t>
  </si>
  <si>
    <t>Digital Twins (DTs) are virtual representations of physical products in many dimensions, such as geometry and behaviour. As a backbone of Industry 4.0, DTs help interpret and even predict the behaviour of physical processes, provide a virtual testbed for maintenance and upgrade, and enable automatic decision-making supported by artificial intelligence. Despite the promising future, challenges exist, such as the absence of a framework that facilitates the development and application of DTs in industrial contexts. We propose a service-oriented architecture (SOA) DT framework for dynamic and robust distributed systems. The framework contains two types of services. One includes the services provided to the users and is supported by an orchestration mechanism to ensure a quality of service (QoS). The other one refers to the common functions of all DTs. Further, we describe the DT-based decision-making enabled by our QoS-oriented learning of the framework and a Hoare-logic-based verification of QoS.</t>
  </si>
  <si>
    <t>979-8-3503-6851-2</t>
  </si>
  <si>
    <t>https://ieeexplore.ieee.org/stamp/stamp.jsp?arnumber=10664232</t>
  </si>
  <si>
    <t>Digital Twins;SOA;System design;Machine learning;Formal verification</t>
  </si>
  <si>
    <t>Geometry;Decision making;Quality of service;Software;Service-oriented architecture;Digital twins;Maintenance</t>
  </si>
  <si>
    <t>N. Chen; A. N. Toosi; B. Javadi; D. Alqahtani; M. S. Aslanpour; M. Xu</t>
  </si>
  <si>
    <t>An Empirical Study on Edge-to-Cloud Continuum for Smart Applications: Performance, Design Patterns, and Key Factors</t>
  </si>
  <si>
    <t>2024 IEEE International Conference on Edge Computing and Communications (EDGE)</t>
  </si>
  <si>
    <t>10.1109/EDGE62653.2024.00011</t>
  </si>
  <si>
    <t>Department of Software Systems and Cybersecurity, Monash University, Clayton, Australia; Department of Software Systems and Cybersecurity, Monash University, Clayton, Australia; School of Computer, Data and Mathematical Sciences, Western Sydney University; Department of Software Systems and Cybersecurity, Monash University, Clayton, Australia; Department of Software Systems and Cybersecurity, Monash University, Clayton, Australia; Chinese Academy of Sciences, Shenzhen Institute of Advanced Technology</t>
  </si>
  <si>
    <t>The rapid evolution of cloud-native technologies has facilitated seamless application deployment and execution across the entire edge-to-cloud continuum. This continuum offers a myriad of benefits, including reduced latency, optimized bandwidth utilization, enhanced data privacy, improved reliability, scalability, and flexibility. However, realizing a coherent edge-to-cloud continuum poses challenges especially in resource management, due to the heterogeneous and dynamic nature of computing resources such as resource scheduling and load balancing. This paper focuses on the Container-as-a-Service model enabling independent execution of functions/microservices anywhere on the continuum. We propose an architectural design for constructing a practical edge-to-cloud infrastructure and conduct comprehensive performance evaluations using a real edge-to-cloud testbed. Through an empirical study, we aim to identify key factors impacting application performance and resource management within the continuum, with a specific focus on AI-based IoT applications. Our experiments explore various design patterns including load balancing techniques, scheduling algorithms, invocation methods, gateway and data source location, and factors such as bandwidth and delay, providing practical insights for practitioners and researchers alike.</t>
  </si>
  <si>
    <t>979-8-3503-6849-9</t>
  </si>
  <si>
    <t>https://ieeexplore.ieee.org/stamp/stamp.jsp?arnumber=10646441</t>
  </si>
  <si>
    <t>continuum;edge;cloud;kubernetes;performance;load balancing;edge-to-cloud</t>
  </si>
  <si>
    <t>Performance evaluation;Scheduling algorithms;Soft sensors;Scalability;Bandwidth;Logic gates;Load management</t>
  </si>
  <si>
    <t>M. Martal√≤; V. Pilloni</t>
  </si>
  <si>
    <t>An Analytical Framework to Design Efficient and Trustworthy Service Allocation in LBS-enabled IoT</t>
  </si>
  <si>
    <t>2024 IEEE International Mediterranean Conference on Communications and Networking (MeditCom)</t>
  </si>
  <si>
    <t>10.1109/MeditCom61057.2024.10621195</t>
  </si>
  <si>
    <t>Department of Electrical and Electronic Engineering, University of Cagliari, Italy; Department of Electrical and Electronic Engineering, University of Cagliari, Italy</t>
  </si>
  <si>
    <t>Next-generation networks will envision innovative applications and services empowered by the interoperability of several technologies and the use of context-aware information. In this realm, the Internet of Things (IoT) will play a key role in the successful advent of these services. One of the most relevant contextual data is provided by object location information, thus leading to the so-called Location-Based Services (LBS), which will enrich IoT applications. In this paper, a simple yet insightful analytical framework to predict the performance of LBS-enabled IoT applications is presented. The framework includes a quality-cost trade-off to characterize the system efficiency in the presence of unreliable data, and the possibility of offloading part of the requested application to the Fog-Edge-Cloud (FEC) continuum. Moreover, node trustworthiness is also considered by tackling the presence of malicious nodes aimed at reducing the provided quality of the application until its denial. Numerical results are provided to discuss the relative impact of several parameters on the system efficiency, i.e., malicious attack intensity, offloading percentage, and localization error.</t>
  </si>
  <si>
    <t>979-8-3503-0948-5</t>
  </si>
  <si>
    <t>https://ieeexplore.ieee.org/stamp/stamp.jsp?arnumber=10621195</t>
  </si>
  <si>
    <t>Location-Based Services (LBS);Internet of Things (IoT);Fog-Edge-Cloud (FEC) continuum;allocation and offloading</t>
  </si>
  <si>
    <t>Location awareness;Forward error correction;Internet of Things;Resource management;Next generation networking;Interoperability</t>
  </si>
  <si>
    <t>Y. Peng; S. Zhang; Z. Song; C. Zhao; X. Bie; Y. Zhang; Z. Yin; Z. Xiao; Y. Zhan</t>
  </si>
  <si>
    <t>Development and Application of Energy Management System for Inland River Port Microgrids</t>
  </si>
  <si>
    <t>2024 4th International Conference on Intelligent Power and Systems (ICIPS)</t>
  </si>
  <si>
    <t>10.1109/ICIPS64173.2024.10900136</t>
  </si>
  <si>
    <t>China Power Engineering Consulting Group, Central Southern China Electric Power Design Institute Co. Ltd., Wuhan, China; China Power Engineering Consulting Group, Central Southern China Electric Power Design Institute Co. Ltd., Wuhan, China; China Power Engineering Consulting Group, Central Southern China Electric Power Design Institute Co. Ltd., Wuhan, China; China Power Engineering Consulting Group, Central Southern China Electric Power Design Institute Co. Ltd., Wuhan, China; China Power Engineering Consulting Group, Central Southern China Electric Power Design Institute Co. Ltd., Wuhan, China; Yidu Port Co. Ltd Yichang Yichang Port Group Co. Ltd, Yichang, China; Yidu Port Co. Ltd Yichang Yichang Port Group Co. Ltd, Yichang, China; School of Automation, Wuhan University of Technology, Wuhan, China; Wuhan Jinyi Relay Protection Co. Ltd, Wuhan, China</t>
  </si>
  <si>
    <t>Port microgrids can promote low-carbon economic energy use in ports and facilitate resilient power supply in ports under extreme weather to ensure safe operation of ports. For port microgrids containing photovoltaic power generation systems, energy storage systems and shore power systems, the energy management system should have six modules: basic support platform, energy system modeling, optimal scheduling, system overview, project management and system management. At the level of optimal scheduling, it is necessary to ensure the effective consumption of renewable energy, port energy security and economy, while minimizing the impact on the external power grid, and realizing the coordinated development of the source network, load and storage. Different from the traditional energy monitoring platform, the developed lightweight energy management system cost-effectively realizes the comprehensive monitoring and control of the port microgrids, which can realize the efficient integration and optimal use of clean energy.</t>
  </si>
  <si>
    <t>979-8-3315-3276-5</t>
  </si>
  <si>
    <t>https://ieeexplore.ieee.org/stamp/stamp.jsp?arnumber=10900136</t>
  </si>
  <si>
    <t>Inland river port;energy management system;microgrid;photovoltaic power generation;energy storage system;shore power system</t>
  </si>
  <si>
    <t>Economics;Microgrids;Optimal scheduling;Solar energy;Systems modeling;Rivers;Security;Energy management systems;Sustainable development;Monitoring</t>
  </si>
  <si>
    <t>J. Li; G. Zhou; B. Xu; W. Qi; Z. Zhong; X. Fu</t>
  </si>
  <si>
    <t>A New Model of Automatic Repowering Management Based on Distributed Architecture</t>
  </si>
  <si>
    <t>2023 6th International Conference on Power and Energy Applications (ICPEA)</t>
  </si>
  <si>
    <t>10.1109/ICPEA59834.2023.10398669</t>
  </si>
  <si>
    <t>Smart Grid Service Center, Jiangsu Frontier Electric Power Technology Co., Ltd., Nanjing, China; Smart Grid Service Center, Jiangsu Frontier Electric Power Technology Co., Ltd., Nanjing, China; Smart Grid Service Center, Jiangsu Frontier Electric Power Technology Co., Ltd., Nanjing, China; Smart Grid Service Center, Jiangsu Frontier Electric Power Technology Co., Ltd., Nanjing, China; Smart Grid Service Center, Jiangsu Frontier Electric Power Technology Co., Ltd., Nanjing, China; Smart Grid Service Center, Jiangsu Frontier Electric Power Technology Co., Ltd., Nanjing, China</t>
  </si>
  <si>
    <t>In order to closely implement the headquarters strategy of constructing excellent service engineering and continuously improving service efficiency proposed by State Grid, and comprehensively improve the time efficiency of users‚Äô electricity consumption after payment of bills, based on intelligent electricity meters, and based on the active power restoration (automatic restoration after tripping) function of remote fee-control electricity meters, and through the optimization and upgrading of the digitized business processes of the two sets of systems of electric power marketing and power consumption collection, the Company explored and constructed a new mode of power restoration management based on the distributed architecture and carried out a pilot application. By optimizing and upgrading the digital business processes of the two systems of power marketing and power consumption collection, we explore the construction of a new model of power restoration management based on distributed architecture and carry out pilot applications to realize the restoration of power delivery within 2 hours after the user pays the fee. This paper firstly analyzes the working principle of traditional power outage and restoration, and then introduces the new mode of management based on distributed architecture and the realization of business process transformation in the two systems. Finally, the application effectiveness potential of the new model is described and further research directions are proposed.</t>
  </si>
  <si>
    <t>979-8-3503-5905-3</t>
  </si>
  <si>
    <t>https://ieeexplore.ieee.org/stamp/stamp.jsp?arnumber=10398669</t>
  </si>
  <si>
    <t>distributed architecture;automatic power restoration;smart electricity meter;remote charge control</t>
  </si>
  <si>
    <t>Meters;Power demand;Power measurement;Current measurement;Microservice architectures;Maintenance engineering;Power system reliability</t>
  </si>
  <si>
    <t>INGR Roadmap Executive Summary Chapter</t>
  </si>
  <si>
    <t>10.1109/FNWF58287.2023.10520544</t>
  </si>
  <si>
    <t>The 2023 Edition of the IEEE Future Networks International Network Generations Roadmap (INGR) points to trends, challenges, and solutions in the current and near-term mobile network landscape, and the future vision as being cultivated through the activities of Standards Development Organizations and the industry around the globe. This Executive Summary offers brief glimpses into current and forward-looking focal and interworking areas from each of INGR's working groups. Noteworthy areas to watch for rapid development and integration into other technology and network functions include satellite communications, artificial intelligence and machine learning, and energy efficiency. As the industry continues to advance, the evolution and deployment of network generations is influenced and impacted by emerging, evolving, and potential convergence of technologies, but also by local and world socio-economic conditions, health conditions, and politics. The inaugural INGR was released in 2020 and its focus was primarily on the evolution of 5G networks. The intention of the 2021 INGR Edition was to take a more end-to-end perspective that included integrating future network technologies and establishing a transdisciplinary framework and a predictive model for mobile networks. This 2022 INGR Edition broadened applications of the transdisciplinary framework, progressed each technology and system challenge while interworking with other. This 2023 Edition focuses on the beyond 5G horizon, the standardization and technologies that might enable it and 6G. All working groups in the INGR have examined the technologies and systems over three-, five-, and ten-year time periods. It is expected that this approach will better reveal the challenges, possible solutions and opportunities that are likely to exist in network deployments over varying timelines.</t>
  </si>
  <si>
    <t>https://ieeexplore.ieee.org/stamp/stamp.jsp?arnumber=10520544</t>
  </si>
  <si>
    <t>Industries;5G mobile communication;Standards organizations;Organizations;Machine learning;Predictive models;Market research;Energy efficiency;Socioeconomics;Satellite communications</t>
  </si>
  <si>
    <t>M. Thoma; G. Steindl</t>
  </si>
  <si>
    <t>Integrating Constrained MQTT Devices into IoT Platforms for Smart Local Energy Communities</t>
  </si>
  <si>
    <t>2023 IEEE 28th International Conference on Emerging Technologies and Factory Automation (ETFA)</t>
  </si>
  <si>
    <t>10.1109/ETFA54631.2023.10275366</t>
  </si>
  <si>
    <t>Institute of Computer Engineering, TU Wien, Vienna, Austria; Institute of Computer Engineering, TU Wien, Vienna, Austria</t>
  </si>
  <si>
    <t>In order to achieve energy flow optimization, Energy Communities have to rely on real-time measuring data that is usually provided by so-called Internet of Things (IoT) platforms. Constrained devices are especially difficult to integrate into these frameworks, because of their limited configuration options. In this paper, we propose a system design that uses principles from the Web of Things (WoT) and the Sparkplug specification to accomplish a higher level of interoperability. The proposed system design facilitates the integration of constrained MQTT devices into a standardized and normalized topic and payload structure. Furthermore, it is capable of augmenting constrained devices to support state management through birth and death certificate messages. As a proof of concept, the integration into the IoT platform FIWARE is demonstrated.</t>
  </si>
  <si>
    <t>979-8-3503-3991-8</t>
  </si>
  <si>
    <t>https://ieeexplore.ieee.org/stamp/stamp.jsp?arnumber=10275366</t>
  </si>
  <si>
    <t>constrained device integration;energy communities;IoT interoperability</t>
  </si>
  <si>
    <t>Energy measurement;Real-time systems;Internet of Things;System analysis and design;Interoperability;Optimization;Manufacturing automation</t>
  </si>
  <si>
    <t>A. Alidra; H. Bruneliere; H. Coullon; T. Ledoux; C. Prud‚ÄôHomme; J. Lejeune; P. Sens; J. Sopena; J. Rivalan</t>
  </si>
  <si>
    <t>SeMaFoR - Self-Management of Fog Resources with Collaborative Decentralized Controllers</t>
  </si>
  <si>
    <t>2023 IEEE/ACM 18th Symposium on Software Engineering for Adaptive and Self-Managing Systems (SEAMS)</t>
  </si>
  <si>
    <t>10.1109/SEAMS59076.2023.00014</t>
  </si>
  <si>
    <t>Charles Prud‚Äôhomme IMT Atlantique, LS2N (UMR CNRS 6004), Nantes, France; Charles Prud‚Äôhomme IMT Atlantique, LS2N (UMR CNRS 6004), Nantes, France; Charles Prud‚Äôhomme IMT Atlantique, LS2N (UMR CNRS 6004), Nantes, France; Charles Prud‚Äôhomme IMT Atlantique, LS2N (UMR CNRS 6004), Nantes, France; Charles Prud‚Äôhomme IMT Atlantique, LS2N (UMR CNRS 6004), Nantes, France; Sorbonne Universit√©, Inria, Paris, France; Sorbonne Universit√©, Inria, Paris, France; Sorbonne Universit√©, Inria, Paris, France; Smile, Asni√®res sur Seine, France</t>
  </si>
  <si>
    <t>Fog Computing is a paradigm aiming to decentralize the Cloud by geographically distributing away computation, storage and network resources as well as related services. This notably reduces bottlenecks and data movement. However, managing Fog resources is a major challenge because the targeted systems are large, geographically distributed, unreliable and very dynamic. Cloud systems are generally managed via centralized autonomic controllers automatically optimizing both application QoS and resource usage. To leverage the self-management of Fog resources, we propose to orchestrate a fleet of autonomic controllers in a decentralized manner, each with a local view of its own resources. In this paper, we present our SeMaFoR (Self-Management of Fog Resources) vision that aims at collaboratively operating Fog resources. SeMaFoR is a generic approach made of three cornerstones: an Architecture Description Language for the Fog, a collaborative and consensual decision-making process, and an automatic coordination mechanism for reconfiguration.</t>
  </si>
  <si>
    <t>979-8-3503-1192-1</t>
  </si>
  <si>
    <t xml:space="preserve">Agence Nationale de la Recherche; </t>
  </si>
  <si>
    <t>https://ieeexplore.ieee.org/stamp/stamp.jsp?arnumber=10174035</t>
  </si>
  <si>
    <t>Fog Computing;Architecture Description Language;Autonomic Controllers;Decision-making</t>
  </si>
  <si>
    <t>Adaptive systems;Autonomous systems;Decision making;Collaboration;Quality of service;Dynamic scheduling;Architecture description languages</t>
  </si>
  <si>
    <t>S. Ronaghi; A. Ferrero; S. Salicone; H. V. Jetti</t>
  </si>
  <si>
    <t>Data-Driven Anomaly Detection for Smart Energy Meters</t>
  </si>
  <si>
    <t>2024 IEEE 14th International Workshop on Applied Measurements for Power Systems (AMPS)</t>
  </si>
  <si>
    <t>2475-2304</t>
  </si>
  <si>
    <t>10.1109/AMPS62611.2024.10706664</t>
  </si>
  <si>
    <t>DEIB, Politecnico di Milano, Milan, Italy; DEIB, Politecnico di Milano, Milan, Italy; DEIB, Politecnico di Milano, Milan, Italy; Department of engineering, University of Perugia, Perugia, Italy</t>
  </si>
  <si>
    <t>In electrical grids, anomalies in power measurement, such as drifts, have notable impacts on the accuracy of electric meters, negatively impacting load balancing and pricing schemes. Conducting manual checks for compliance across the extensive array of energy meters is impractical, making it crucial for researchers to find alternative strategies. This study suggests employing data-driven techniques and using smart meters as IoT gateways for early-stage anomaly detection. To achieve this goal, the study begins with a review of existing anomaly detection methods, emphasizing their impact on the grid. Following this, a cloud infrastructure has been introduced for gathering data from second-generation smart meters used in Italy. Additionally, the paper presents a numerical method for detecting anomalies in smart meters that may happen over time based on machine learning techniques and the results are provided to validate the effectiveness of this approach. Finally, the study concludes with a discussion of the results and potential future aspects.</t>
  </si>
  <si>
    <t>979-8-3503-7531-2</t>
  </si>
  <si>
    <t>https://ieeexplore.ieee.org/stamp/stamp.jsp?arnumber=10706664</t>
  </si>
  <si>
    <t>Anomaly detection;Smart meters;Machine learning;Feature extraction;Industrial Internet of Things;Random Forest</t>
  </si>
  <si>
    <t>Meters;Power measurement;Reviews;Pricing;Manuals;Predictive models;Smart meters;Power systems;Anomaly detection;Random forests</t>
  </si>
  <si>
    <t>Z. YongJie; J. Ling; J. YanJun; W. ChangQing; L. WenBiao; L. JingXia</t>
  </si>
  <si>
    <t>Application and Promotion Mode and Key Technologies of Virtual Power Plant Architecture Under the Goal of Energy Transformation</t>
  </si>
  <si>
    <t>2023 IEEE Sustainable Power and Energy Conference (iSPEC)</t>
  </si>
  <si>
    <t>2837-522X</t>
  </si>
  <si>
    <t>10.1109/iSPEC58282.2023.10402938</t>
  </si>
  <si>
    <t>Nanjing SAC Power Grid Automation Co., Ltd., Nanjing, China; Nanjing SAC Power Grid Automation Co., Ltd., Nanjing, China; Guodian Nanjing Automation Co., Ltd., Nanjing, China; Nanjing SAC Power Grid Automation Co., Ltd., Nanjing, China; Nanjing SAC Power Grid Automation Co., Ltd., Nanjing, China; Nanjing SAC Power Grid Automation Co., Ltd., Nanjing, China</t>
  </si>
  <si>
    <t>As an important breakthrough in the field of energy, virtual power plant technology provides a new direction and revolutionary change for the realization of efficient energy integration, optimal scheduling and sustainable development, and the construction of virtual power plant. Firstly, the physical architecture of ‚Äúcloud-edge-end‚Äù 3-layer virtual power plant application is introduced. Then, based on the three dimensions of power selling company, distributed energy users and auxiliary service providers, the application and promotion mode of virtual power plant is deeply analyzed. Secondly, the key technologies of virtual power plant application from the aspects of flexible resource modeling, optimal allocation, aggregation strategy, potential evaluation, collaborative regulation, information communication, flexible interaction, business model, market mechanism, and platform construction are analyzed. Finally, the overall technical challenges, development trend and technical level of the virtual power plant are discussed and summarized.</t>
  </si>
  <si>
    <t>979-8-3503-2269-9</t>
  </si>
  <si>
    <t>https://ieeexplore.ieee.org/stamp/stamp.jsp?arnumber=10402938</t>
  </si>
  <si>
    <t>Energy transition;virtual power plant;new power system;carbon peak and carbon neutral;flexible resources;aggregate regulation;power market</t>
  </si>
  <si>
    <t>Analytical models;Virtual power plants;Regulation;Service-oriented architecture;Power systems;Resource management;Sustainable development</t>
  </si>
  <si>
    <t>M. G. Do Nascimento; J. M. N. David; M. A. R. Dantas; R. M. M. B. Villela; V. S. de Andrade Menezes; F. A. B. Colugnati</t>
  </si>
  <si>
    <t>An Architecture to Support the Development of Collaborative Systems in IoT Context</t>
  </si>
  <si>
    <t>2023 26th International Conference on Computer Supported Cooperative Work in Design (CSCWD)</t>
  </si>
  <si>
    <t>2768-1904</t>
  </si>
  <si>
    <t>10.1109/CSCWD57460.2023.10152672</t>
  </si>
  <si>
    <t>Department of Computer Science (DCC), Federal University of Juiz de Fora, Juiz de Fora, Brazil; Department of Computer Science (DCC), Federal University of Juiz de Fora, Juiz de Fora, Brazil; Department of Computer Science (DCC), Federal University of Juiz de Fora, Juiz de Fora, Brazil; Department of Computer Science (DCC), Federal University of Juiz de Fora, Juiz de Fora, Brazil; Department of Computer Science (DCC), Federal University of Juiz de Fora, Juiz de Fora, Brazil; Medical Intership Department, Federal University of Juiz de Fora, Juiz de Fora, Brazil</t>
  </si>
  <si>
    <t>In the Internet of Things (IoT) era, technologies have become even more immersive and ubiquitous in people‚Äôs lives. Therefore, developing collaborative systems becomes a more complex task involving different factors and actors. The nature of these applications encompasses different stakeholders and interests. The software development process encompasses large-scale sensors and actuators to characterize appropriated the Internet of Things (IoT). The introduction of this technology in the scenario of collaborative systems and IoT increased the complexity of software development. This work presents a computational architecture based on middleware to deal with the challenges of developing collaborative systems in the context of IoT. As a contribution, results acquired from the case study demonstrate how the architecture supports IoT application development in the context of collaborative systems.</t>
  </si>
  <si>
    <t>979-8-3503-3168-4</t>
  </si>
  <si>
    <t xml:space="preserve">EMI; </t>
  </si>
  <si>
    <t>https://ieeexplore.ieee.org/stamp/stamp.jsp?arnumber=10152672</t>
  </si>
  <si>
    <t>Collaborative systems;IoT;Internet of Things;Middleware</t>
  </si>
  <si>
    <t>Actuators;Federated learning;Collaboration;Computer architecture;Sensor phenomena and characterization;Complexity theory;Internet of Things</t>
  </si>
  <si>
    <t>T. Tian; X. Zhang; H. Lin; X. Yu; P. Zhu; J. Liu</t>
  </si>
  <si>
    <t>Design and Application of Database Architecture with Super Large-Scale for Marketing Service System of Energy Internet in Enterprise Digital Transformation</t>
  </si>
  <si>
    <t>2024 3rd International Conference on Energy and Electrical Power Systems (ICEEPS)</t>
  </si>
  <si>
    <t>10.1109/ICEEPS62542.2024.10693085</t>
  </si>
  <si>
    <t>China-Power Information Technology Co., Ltd., Beijing, China; China-Power Information Technology Co., Ltd., Beijing, China; China-Power Information Technology Co., Ltd., Beijing, China; China-Power Information Technology Co., Ltd., Beijing, China; China-Power Information Technology Co., Ltd., Beijing, China; China-Power Information Technology Co., Ltd., Beijing, China</t>
  </si>
  <si>
    <t>The digital transformation of enterprises and the characteristics of power marketing business services put forward higher requirements for data storage, data flow, database optimization and other information system database architecture design. Aiming at the digital transformation of enterprises and the typical scenarios of power marketing such as power tariff calculation, business office payment, collection and payment, etc., we put forward data storage design methods such as two-level data distribution, logical database division, physical database division, data sharing and access, data flow methods, data interaction between processing and analysis domains, data interaction between internal and external networks, two-level data interaction, and data flow design methods such as database partitioning, database indexing, database querying, database optimization, and so on. It also proposes data flow design methods, data interaction between processing and analysis domains, data interaction between internal and external networks, two-level data interaction and other data flow design methods, as well as database optimization design contents such as database partitioning, database indexing and database query optimization. According to the actual commissioning system operation and typical business scenarios application test results, the total calculation time of billing scenario is 2 hours, the data drop success rate is 98.84%, the average response time of billing scenario is 2.084 seconds, the transaction success rate is 99.9%, and the main core indexes satisfy the requirements of electric power marketing business on the performance of the system database.</t>
  </si>
  <si>
    <t>979-8-3503-7513-8</t>
  </si>
  <si>
    <t xml:space="preserve">State Grid Corporation of China (SGCC); </t>
  </si>
  <si>
    <t>https://ieeexplore.ieee.org/stamp/stamp.jsp?arnumber=10693085</t>
  </si>
  <si>
    <t>database architecture;data storage;data streaming;database optimization;enterprise digital transformation;power marketing business</t>
  </si>
  <si>
    <t>Databases;Digital transformation;Design methodology;Power system dynamics;Distributed databases;Relational databases;Real-time systems;Security;Optimization;Business</t>
  </si>
  <si>
    <t>B. Yu; Q. Mao; X. Lin</t>
  </si>
  <si>
    <t>Performance Testing and Verification of 5G-Supported V2X Applications</t>
  </si>
  <si>
    <t>2024 IEEE 10th International Symposium on Microwave, Antenna, Propagation and EMC Technologies for Wireless Communications (MAPE)</t>
  </si>
  <si>
    <t>2995-1984</t>
  </si>
  <si>
    <t>10.1109/MAPE62875.2024.10813962</t>
  </si>
  <si>
    <t>Key Laboratory of Internet of Vehicle Technical Innovation and Testing (CAICT), Ministry of Industry and Information Technology, Beijing, China; Key Laboratory of Internet of Vehicle Technical Innovation and Testing (CAICT), Ministry of Industry and Information Technology, Beijing, China; Intelligent Network Technology Innovation, Center of China United Network Communications Co., Ltd., Beijing, China</t>
  </si>
  <si>
    <t>With the continuous and rapid development of intelligent connected vehicles and smart transportation systems, V2X applications are considered by the industry to be the next key direction for evolution. Recently, the use of 5G networks to implement some V2X applications has been increasingly discussed. To verify the ability of 5G networks to support V2X applications, we have built a 5G network performance road testing system aimed at real V2X applications, and conducted multiple tests on the actual 5G network, including end-to-end transmission latency and packet loss rate under different network coverage, different packet lengths, and different sending intervals. The research results show that the performance indicators of the 5G network can meet the needs of some V2I applications, which is of great reference significance for carrying out research and deployment of V2X applications based on 5G.</t>
  </si>
  <si>
    <t>979-8-3315-3392-2</t>
  </si>
  <si>
    <t>https://ieeexplore.ieee.org/stamp/stamp.jsp?arnumber=10813962</t>
  </si>
  <si>
    <t>5G;V2X;field testing;current network</t>
  </si>
  <si>
    <t>Microwave antennas;Wireless communication;Industries;5G mobile communication;Roads;Packet loss;Microwave communication;Smart transportation;Testing;Microwave propagation</t>
  </si>
  <si>
    <t>R. Chaparadza; A. Chaoub; B. Chng; N. Davis; A. Dutta; M. Elkotob; D. Krishnaswamy; K. Mahdi; A. M√§mmel√§; P. Martinez-Julia; N. K. Narang; L. Ong; M. Patwary; M. Simsek; J. Voigt; C. Polk; K. McDonnell; J. Niem√∂ller; D. Milham; J. Cadman</t>
  </si>
  <si>
    <t>INGR Roadmap System Optimization Chapter</t>
  </si>
  <si>
    <t>10.1109/FNWF58287.2023.10520436</t>
  </si>
  <si>
    <t>Capgemini Engineering; Institut National des Postes et T√©l√©communications (INPT); BAWMAN LLC; Ciena; Applied Physics Laboratory, Johns Hopkins University; Vodafone; Quantum Walks Technologies; Deutsche Telekom; VTT Technical Research Centre of Finland (retired); NICT; Narnix Technolabs; Ciena; Birmingham City University; ICSI Berkeley; Amdocs; IEEE Future Networks Technical Community; Huawei; Ericsson; TM Forum; TM Forum</t>
  </si>
  <si>
    <t>Fifth generation (5G) networks are now in the early deployment stages in networks around the world. Use cases driving this transition for 5G networks focus on the need to support heterogeneous traffic such as enhanced Mobile Broadband (eMBB), massive Machine-Type Communications (mMTC), and Ultra-Reliable Low-Latency Communications (URLLC). On the software and control side, 5G and beyond networks are enabled through Software-Defined Networking (SDN) and Network Function Virtualization (NFV) technologies and leverage the merging of communication and computing. Although not yet in the standardization stage, early thinking on 6G networks focuses on the convergence of physical, human, and digital worlds, including support for: ‚ñ† digital twinning (tight synchronization between the physical world and the twin), ‚ñ† immersive communication (support of pervasive haptics), ‚ñ† cognition (awareness of human intentions, desires, and mood), and ‚ñ† connected intelligence (trusted AI everywhere with interaction between virtual representations). All this also needs to be realized in sustainable fashion [1]. With the deployment of novel applications and the expected increase in their usage and demand, the scope of innovation within future networks will be governed by: (a) limitations and boundaries of available resources; (b) limitations of the adaptability of legacy solutions (scalability and flexibility); (c) limitations of available decision making entities (network slice orchestrators and SDN controllers will not be enough); and (d) lack of intelligent management and control solutions for multi-variate optimization. Technologies are available for efficient use and self-adaptive optimization of resources using enablers such as AI-powered autonomic control loops. With ever-increasing complexity expected for beyond-5G networks, there is a necessity for novel design, planning and operations paradigms. There is a need for assessment of legacy tools versus new Artificial Intelligence solutions for applicability to systems optimization, and a need for introduction of novel methods to model and study the behavior of highly complex systems developed for the realization of 5G and beyond networks. The goal of this working group (WG) is to assess complexity challenges for the 5G era and beyond, explore novel design, planning and operations techniques for networks and services, and to create the Systems Optimization roadmap of the IEEE Future Networks Initiative (FNI) Systems Optimization WG.</t>
  </si>
  <si>
    <t>https://ieeexplore.ieee.org/stamp/stamp.jsp?arnumber=10520436</t>
  </si>
  <si>
    <t>Systems Optimization;Traffic Variance;Control Variance;Service Variance;Confluence;Dependency;Complex Systems;Self-Organizing Networks;Self-X;Autonomics;Autonomic Management and Control (AMC);Emergence</t>
  </si>
  <si>
    <t>Technological innovation;Standardization;Ultra reliable low latency communication;Planning;Network function virtualization;Complexity theory;Synchronization;Artificial intelligence;Software defined networking;Optimization</t>
  </si>
  <si>
    <t>C. Song; F. Jiang; X. Liang; N. Ahuja; M. J. Kumar</t>
  </si>
  <si>
    <t>Service Level Objective Adaptive Energy Efficiency Management</t>
  </si>
  <si>
    <t>10.1109/ICPADS56603.2022.00082</t>
  </si>
  <si>
    <t>Intel Asia-Pacific Research &amp; Development Ltd., Shanghai, China; Intel Asia-Pacific Research &amp; Development Ltd., Shanghai, China; Intel Asia-Pacific Research &amp; Development Ltd., Shanghai, China; Intel Asia-Pacific Research &amp; Development Ltd., Shanghai, China; Intel Asia-Pacific Research &amp; Development Ltd., Shanghai, China</t>
  </si>
  <si>
    <t>Cloud applications are transforming to microservice based deployment. Microservice comes with many advantages-scalability, agility, availability ‚Äì and it suits the complicated cloud applications. For microservice deployment, service quality metrics play important role to ensure reliable user experiences for those applications built upon many small services, and the service level objective (SLO) is adopted to govern resource provision for optimal operation cost. Amid growing awareness on data center carbon emission, more organizations are paying attention to energy-efficient practices in cloud deployment to reduce energy consumption and operational carbon footprint. Modern processors provide fine-grained power scaling capabilities, e.g., Intel Xeon PCPS (PerCore P-States), this paper presented a dynamic energy efficiency management framework to adaptively scale processor core frequency as well as implicated energy consumption in accordance with service quality requirements. In this paper, we discussed hurdles and solutions for applying platform energy intelligence to microservices that are often with intrinsic platform-agnostic. The experiments proved the proposed method can effectively reduce energy consumption with competitive cost benefits without compromising service quality goals.</t>
  </si>
  <si>
    <t>https://ieeexplore.ieee.org/stamp/stamp.jsp?arnumber=10077892</t>
  </si>
  <si>
    <t>Microservices;Service Mesh;Per-Core P-States;Service Level Objective (SLO);Service Level Indicator (SLI);Energy Efficiency;Carbon Reduction;Sustainability;Adaptive Control;Core Frequency Scaling</t>
  </si>
  <si>
    <t>Energy consumption;Program processors;Costs;Power system management;Memory management;Microservice architectures;Tail</t>
  </si>
  <si>
    <t>F. A. S. Novais; F. L. Verdi</t>
  </si>
  <si>
    <t>Unlocking Security to the Board: An Evaluation of SmartNIC-driven TLS Acceleration with kTLS</t>
  </si>
  <si>
    <t>10.1109/NOMS59830.2024.10575053</t>
  </si>
  <si>
    <t>Department of Computer Science, UFSCar, S√£o Carlos, Brazil; Department of Computer Science, UFSCar, S√£o Carlos, Brazil</t>
  </si>
  <si>
    <t>This work delves into the vital role of TLS (Transport Layer Security) in securing web applications today. We explore kTLS (Kernel TLS) offloading as a possible solution to alleviate resource strain such as CPU time, power consumption, and network speed. By shifting cryptographic tasks closer to the CPU in software offloading or away from the main CPU in hardware offloading, kTLS can improve resource efficiency. Our experimental studies assess various offloading strategies, including software-based kTLS that bring it closer to the Kernel and cutting-edge hardware-accelerated modes such as TOE and coprocessor configurations using the Chelsio T6 SmartNIC. We highlight the immense potential of kTLS and network adapters in reshaping performance and efficiency dynamics for some network environments, considering each approach‚Äôs benefits and potential drawbacks.</t>
  </si>
  <si>
    <t>https://ieeexplore.ieee.org/stamp/stamp.jsp?arnumber=10575053</t>
  </si>
  <si>
    <t>Offloading;acceleration;cryptography;Smart-NIC;carbon-awareness</t>
  </si>
  <si>
    <t>Power demand;Software;Hardware;Cryptography;Kernel;Task analysis;Strain</t>
  </si>
  <si>
    <t>W. Wu; J. Lin; B. Hu; Q. Qin; H. Huang</t>
  </si>
  <si>
    <t>Intelligent Decision Support Algorithm Based on Multimodal Data</t>
  </si>
  <si>
    <t>2024 International Conference on Electronics and Devices, Computational Science (ICEDCS)</t>
  </si>
  <si>
    <t>10.1109/ICEDCS64328.2024.00201</t>
  </si>
  <si>
    <t>Guangdong Power Grid Co.,Ltd., Guangzhou, China; Guangdong Power Grid Co.,Ltd., Guangzhou, China; Guangdong Power Grid Co.,Ltd., Guangzhou, China; Guangdong Power Grid Co.,Ltd., Guangzhou, China; Guangdong Power Grid Co.,Ltd., Guangzhou, China</t>
  </si>
  <si>
    <t>Some grid companies have initially built a digital grid framework and promoted the integration of technology platforms and various technology components. However, there are still problems such as insufficient integration degree of technical services and general technical components and weak access ability of technical services. This research proposes a technology intelligent decision support algorithm based on multi-modal data. By integrating various data sources and technologies such as Nannetcloud microservice platform, AI components and blockchain components, hybrid machine learning and optimization algorithms are adopted to achieve efficient data processing and decision support. The core method of this research is to establish a unified data processing framework and an adaptive decision generation model, and verify its effectiveness through simulation and practical application. The test results of the response time of the technical service show that the average response time of the system gradually increases with the increase of the request volume. When the number of requests is less than 100 per second, the average response time remains at 750 milliseconds or less, and the request success rate is 100%. The algorithm not only improves the integration degree and access ability of technical services, but also enhances the efficiency and security of business implementation, and provides strong technical support for the company's digital transformation and rapid business construction.</t>
  </si>
  <si>
    <t>979-8-3315-2762-4</t>
  </si>
  <si>
    <t>https://ieeexplore.ieee.org/stamp/stamp.jsp?arnumber=10834879</t>
  </si>
  <si>
    <t>Multimodal Data;Technical Center;Intelligent Decision Support Algorithm;Average Response Time</t>
  </si>
  <si>
    <t>Technical requirements;Machine learning algorithms;Digital transformation;Data integration;Systems architecture;Power system stability;Time factors;Optimization;Thermal stability;Business</t>
  </si>
  <si>
    <t>A. F. D. S. Veloso; P. F. F. Abreu; T. A. R. Da Silva; G. A. S. Neto; L. H. d. O. Mendes; J. V. R. Junior</t>
  </si>
  <si>
    <t>Planning Hybrid Networks for Multi-Microgrids with LoRaWAN</t>
  </si>
  <si>
    <t>2024 11th International Conference on Future Internet of Things and Cloud (FiCloud)</t>
  </si>
  <si>
    <t>2996-1017</t>
  </si>
  <si>
    <t>10.1109/FiCloud62933.2024.00059</t>
  </si>
  <si>
    <t>Federal University of Piau√≠, Teresina, PI, Brazil; Federal University of Piau√≠, Teresina, PI, Brazil; Federal University of Piau√≠, Teresina, PI, Brazil; Federal University of Piau√≠, Teresina, PI, Brazil; Federal University of Piau√≠, Teresina, PI, Brazil; Federal University of Piau√≠, Teresina, PI, Brazil</t>
  </si>
  <si>
    <t>This study addresses the optimization challenge of Smart Grid (SG) and Microgrid (MG) networks, aiming to reduce the number of Data Aggregation Points (DAPs) and Concentrators (CONs) required to ensure an efficient and sustainable grid. Within this context, an optimization model is proposed that aims to balance network quality with cost reduction, while ensuring superior performance compared to conventional SG networks. The proposed approach involves implementing a decentralized architecture, with an emphasis on integrating residential DAPs, enabling a granular analysis of energy consumption and generation data, and facilitating the implementation of advanced energy control and optimization strategies at the local level. The main contributions include the development of a hybrid network model, a network planning model for positioning CONs and DAPs, an optimization model for minimizing DAPs and CONs and the proposal of a large-scale network planning model. As main results, we highlight a significant reduction in DAPs, with a decrease of up to 5 units, and a reduction in CONs, with a decrease of up to 2 units. These numbers demonstrate the effectiveness of the proposed model in achieving a more efficient and adaptable electrical infrastructure, representing a significant step towards a smart and sustainable energy network.</t>
  </si>
  <si>
    <t>979-8-3315-2719-8</t>
  </si>
  <si>
    <t>https://ieeexplore.ieee.org/stamp/stamp.jsp?arnumber=10743020</t>
  </si>
  <si>
    <t>Network Planning;Smart Grid;Neural Networks;LoRaWAN;NS-3 Simulation</t>
  </si>
  <si>
    <t>Adaptation models;Energy consumption;Optimization models;LoRaWAN;Microgrids;Planning;Smart grids;Proposals;Internet of Things;Optimization</t>
  </si>
  <si>
    <t>M. K. Bali; M. Singh</t>
  </si>
  <si>
    <t>Digital Twin and IoT Integration for Precision Agriculture on AWS (Amazon Web Service)</t>
  </si>
  <si>
    <t>2024 3rd International Conference on Applied Artificial Intelligence and Computing (ICAAIC)</t>
  </si>
  <si>
    <t>10.1109/ICAAIC60222.2024.10575908</t>
  </si>
  <si>
    <t>CSE-APEX, Chandigarh University, Mohali, Punjab, India; CSE-APEX UCRD, Chandigarh University, Mohali, Punjab, India</t>
  </si>
  <si>
    <t>This study outlines the transformative impact of integrating Digital Twin and IoT technologies for precision agriculture on the AWS platform. Through analysis of quantitative data from farms implementing these technologies, notable advancements in agricultural practices are evident. Digital Twin and IoT integration on AWS have led to significant improvements in precision agriculture. Results reveal an average increase in crop yield of 15-20% compared to traditional methods, accompanied by substantial water savings of 30-40% per hectare. Cost reductions of 25-30% in operational expenses are observed, attributed to optimized resource management, including a decrease in fertilizer usage by 20-25% and pesticide application by 15-20%. Furthermore, the integration facilitates enhanced decision-making processes, with farms reporting a 30-35% increase in decisionmaking accuracy for crop management, irrigation scheduling, and pest control.. The scalability and flexibility of AWS infrastructure enable farms of varying sizes and locations to adopt these technologies according to their specific needs. Continuous improvement is supported by the analysis of data collected through Digital Twin and IoT technologies, allowing farms to refine their strategies over time.</t>
  </si>
  <si>
    <t>979-8-3503-7519-0</t>
  </si>
  <si>
    <t>https://ieeexplore.ieee.org/stamp/stamp.jsp?arnumber=10575908</t>
  </si>
  <si>
    <t>Digital Twin;IoT;Precision Agriculture;AWS;Crop Yield;Water Savings;Cost Reduction;Resource Management;Decision-making;Scalability;Flexibility;Sustainable Farming;Resilient Agriculture</t>
  </si>
  <si>
    <t>Technological innovation;Costs;Web services;Scalability;Organizations;Scheduling;Digital twins</t>
  </si>
  <si>
    <t>H. Qiu; W. Mao; C. Wang; S. Jha; H. Franke; C. Narayanaswami; Z. Kalbarczyk; T. Ba≈üar; R. Iyer</t>
  </si>
  <si>
    <t>When Green Computing Meets Performance and Resilience SLOs</t>
  </si>
  <si>
    <t>2024 54th Annual IEEE/IFIP International Conference on Dependable Systems and Networks - Supplemental Volume (DSN-S)</t>
  </si>
  <si>
    <t>2833-292X</t>
  </si>
  <si>
    <t>10.1109/DSN-S60304.2024.00015</t>
  </si>
  <si>
    <t>UIUC; UIUC; IBM Research; IBM Research; IBM Research; IBM Research; UIUC; UIUC; UIUC</t>
  </si>
  <si>
    <t>This paper addresses the urgent need to transition to global net-zero carbon emissions by 2050 while retaining the ability to meet joint performance and resilience objectives. The focus is on the computing infrastructures, such as hyper-scale cloud datacenters, that consume significant power, thus producing increasing amounts of carbon emissions. Our goal is to (1) optimize the usage of green energy sources (e.g., solar energy), which is desirable but expensive and relatively unstable, and (2) continuously reduce the use of fossil fuels, which have a lower cost but a significant negative societal impact. Meanwhile, cloud datacenters strive to meet their customers‚Äô requirements, e.g., service-level objectives (SLOs) in application latency or throughput, which are impacted by infrastructure resilience and availability. We propose a scalable formulation that combines sustainability, cloud resilience, and performance as a joint optimization problem with multiple interdependent objectives to address these issues holistically. Given the complexity and dynamicity of the problem, machine learning (ML) approaches, such as reinforcement learning, are essential for achieving continuous optimization. Our study highlights the challenges of green energy instability which necessitates innovative ML-centric solutions across heterogeneous infrastructures to manage the transition towards green computing. Underlying the ML-centric solutions must be methods to combine classic system resilience techniques with innovations in real-time ML resilience (not addressed heretofore). We believe that this approach will not only set a new direction in the resilient, SLO-driven adoption of green energy but also enable us to manage future sustainable systems in ways that were not possible before.</t>
  </si>
  <si>
    <t>979-8-3503-9570-9</t>
  </si>
  <si>
    <t>https://ieeexplore.ieee.org/stamp/stamp.jsp?arnumber=10647103</t>
  </si>
  <si>
    <t>sustainability;green energy;cloud computing;resilience;machine learning;machine learning resilience</t>
  </si>
  <si>
    <t>Green energy;Cloud computing;Technological innovation;Carbon dioxide;Solar energy;Green computing;Throughput</t>
  </si>
  <si>
    <t>U. Chouhan; V. Tiwari; K. K. Agrawal</t>
  </si>
  <si>
    <t>Optimizing Cloud-Based E-Learning Platforms: A Comparative Analysis of Server-Based and Serverless Deployment Strategies</t>
  </si>
  <si>
    <t>2024 IEEE 9th International Conference for Convergence in Technology (I2CT)</t>
  </si>
  <si>
    <t>10.1109/I2CT61223.2024.10543608</t>
  </si>
  <si>
    <t>School of Computing Science and Engineering, Galgotias University, Greater Noida, India; School of Computing Science and Engineering, Galgotias University, Greater Noida, India; School of Computing Science and Engineering, Galgotias University, Greater Noida, India</t>
  </si>
  <si>
    <t>This research paper aims to present a thorough comparison of cloud-based e-learning platforms, with an emphasis on deployment and performance optimization techniques that are economical. In recent years, e-learning has become incredibly popular, revolutionizing the way that training and education are provided in a variety of fields. In order to streamline the implementation of e-learning platforms, cloud-based solutions are becoming more and more popular among enterprises. This research examines a LMS application development for a cloud-based e-learning platform, and assesses its cost, scalability, performance, and customization capabilities. We take a multipronged approach, using cost-effectiveness models, case studies, and quantitative performance metrics to assess the platforms' capabilities and determine whether server-based or serverless cloud deployment is the more advantageous model.</t>
  </si>
  <si>
    <t>979-8-3503-9447-4</t>
  </si>
  <si>
    <t>https://ieeexplore.ieee.org/stamp/stamp.jsp?arnumber=10543608</t>
  </si>
  <si>
    <t>E-Learning;Serverless Architecture;Server-based Architecture;DevOps;Containerisation;Lambda</t>
  </si>
  <si>
    <t>Training;Measurement;Learning management systems;Costs;Electronic learning;Biological system modeling;Scalability</t>
  </si>
  <si>
    <t>X. Cai; K. Su; Z. Li; Y. Song</t>
  </si>
  <si>
    <t>Research on Key Technologies of Intelligent Management and Control Platform for Aviation Industrial Park</t>
  </si>
  <si>
    <t>2023 11th International Conference on Information Systems and Computing Technology (ISCTech)</t>
  </si>
  <si>
    <t>10.1109/ISCTech60480.2023.00076</t>
  </si>
  <si>
    <t>China Aviation Planning and Design Institute (Group) Co., Ltd., Beijing, China; China Aviation Planning and Design Institute (Group) Co., Ltd., Beijing, China; China Aviation Planning and Design Institute (Group) Co., Ltd., Beijing, China; China Aviation Planning and Design Institute (Group) Co., Ltd., Beijing, China</t>
  </si>
  <si>
    <t>Aviation industrial parks are characterized by a variety of spatial types, diverse personnel roles, large scale, multiple and difficult management dimensions. However, they have problems of extensive management, severe information islands, individualistic management, and weak experience. Therefore, the contradiction between the demand for high-quality development of aviation industrial parks and the lack of advanced park management urgently needs to be resolved. In this respect, research on the key technologies of the intelligent management and control platform for the aviation industrial park was carried out by discussing the application scenarios, platform architecture, and key technologies. It proposed to build a data interoperability, business collaboration, resource integration intelligent management and control platform centered on production, with business as the mainline, and park management and services as the grasp, so as to provide a safe, environmentally friendly, green, low-carbon, intelligent, and efficient service-oriented industrial park for park-related activities.</t>
  </si>
  <si>
    <t>979-8-3503-4240-6</t>
  </si>
  <si>
    <t>https://ieeexplore.ieee.org/stamp/stamp.jsp?arnumber=10438283</t>
  </si>
  <si>
    <t>component;component;aviation manufacturing;industrial park;IoT perception;intelligent systems;management and control platform formatting</t>
  </si>
  <si>
    <t>Production management;Smart cities;Prototypes;Collaboration;Control systems;Sensors;Business</t>
  </si>
  <si>
    <t>P. Bellini; E. Collini; M. Fanfani; L. A. I. Palesi; P. Nesi</t>
  </si>
  <si>
    <t>Smart City Digital Twin Platform Architecture for Mobility and Transport Decision Support Systems</t>
  </si>
  <si>
    <t>10.1109/BigData62323.2024.10825075</t>
  </si>
  <si>
    <t>Dept. of Information Engineering, DISIT Lab Snap4City, University of Florence, Florence, Italy; Dept. of Information Engineering, DISIT Lab Snap4City, University of Florence, Florence, Italy; Dept. of Information Engineering, DISIT Lab Snap4City, University of Florence, Florence, Italy; Dept. of Information Engineering, DISIT Lab Snap4City, University of Florence, Florence, Italy; Dept. of Information Engineering, DISIT Lab Snap4City, University of Florence, Florence, Italy</t>
  </si>
  <si>
    <t>Addressing mobility and transport problems is nowadays of paramount importance for any city due to the increasing urbanization. Traffic congestion, pollutant emissions, energy consumption are some of the problems related to urban mobility. Therefore, there is the need of tools able to support decision-makers in studying, evaluating, and planning sustainable urban evolutions. A few open-source and proprietary solutions are available requiring on-premises installations, large effort, and providing limited capabilities to actually handle real-time data (from data spaces, and standards). Moreover, they are limited in terms of analytic integration and do not offer automatic generation of suggestions. In practice they do not manage the explosion of complexity regarding computational and storage/models aspects. For these reasons, this paper presents a comprehensive architecture for a Smart City Digital Twin platform, specifically designed to support mobility and transportation decision-making through advanced what-if analysis and optimization. The platform, integrated within the Snap4City system, enables real-time data processing and complex analytics to create virtual urban environments for evaluating potential infrastructure changes. Through microservice architecture, the platform supports massive data ingestion, scenario creation, and predictive modelling, facilitating both short-term and long-term planning. The solution leverages artificial intelligence (AI), machine learning (ML), and reinforcement learning (RL) to optimize city operations and suggest actionable insights, aiding city planners in strategic and tactical decisions. This architecture has been validated through implementations in Italian cities, demonstrating scalability and flexibility to accommodate diverse urban needs and improve traffic flow, energy efficiency, and environmental impact. This work has been performed in the context of OPTIFaaS Flagship of CN MOST, the National Centre for Sustainable Mobility in Italy, and for CN HPC Big Data and Quantum Computing, ICSC.</t>
  </si>
  <si>
    <t>https://ieeexplore.ieee.org/stamp/stamp.jsp?arnumber=10825075</t>
  </si>
  <si>
    <t>Digital Twin;Urban Scenario;Optimization;Traffic;Decision Support System</t>
  </si>
  <si>
    <t>Smart cities;Urban planning;Transportation;Computer architecture;Big Data;Real-time systems;Digital twins;Planning;Optimization;Traffic congestion</t>
  </si>
  <si>
    <t>M. Saravanan; A. C. Baktir</t>
  </si>
  <si>
    <t>Incidence Detection and Communication with Intelligent Transport Network Digital Twin</t>
  </si>
  <si>
    <t>2025 17th International Conference on COMmunication Systems and NETworks (COMSNETS)</t>
  </si>
  <si>
    <t>10.1109/COMSNETS63942.2025.10885711</t>
  </si>
  <si>
    <t>Ericsson Research AI, Chennai, India; Ericsson Research Networks, Istanbul, Turkey</t>
  </si>
  <si>
    <t>With the current evolution in cellular communication towards 6G networks, it is envisioned to provide value added services and enhanced performance for vehicle-to-everything (V2X). In addition to the stringent performance requirements demanding high data rates and ultra-low latency with reliable communication, it is essential to provide safety from all aspects. One possible enabler for the overall optimisation of V2X communications is digital twin (DT) technology. Nevertheless, the DT models and capacities for vehicle communications have not been fully explored in the existing studies. Thus, we present a novel brain-inspired network DT model in the paper for event detection and placement, and subsequently for efficient communication. This proposed solution accommodates intelligent models to detect an accident and communicate with the rescue teams efficiently. The performance of the proposed solution is evaluated with a set of comprehensive experiments.</t>
  </si>
  <si>
    <t>979-8-3315-3119-5</t>
  </si>
  <si>
    <t>https://ieeexplore.ieee.org/stamp/stamp.jsp?arnumber=10885711</t>
  </si>
  <si>
    <t>6G;Intelligent Transport Digital Twin;Accident Detection;Nodal Points;Attention Model</t>
  </si>
  <si>
    <t>6G mobile communication;Performance evaluation;Brain modeling;Real-time systems;Safety;Digital twins;Reliability;Vehicle-to-everything;Optimization;Accidents</t>
  </si>
  <si>
    <t>N. Ali; G. Aloi; P. Pace; M. Gianfelice; F. Pupo; R. Gravina; G. Fortino</t>
  </si>
  <si>
    <t>Simulators for system dataset generation in the Edge-to-Cloud Continuum</t>
  </si>
  <si>
    <t>10.1109/DCOSS-IoT61029.2024.00091</t>
  </si>
  <si>
    <t>Department of Informatics, Modeling, Electronics and Systems, University of Calabria, Rende, Italy; Department of Informatics, Modeling, Electronics and Systems, University of Calabria, Rende, Italy; Department of Informatics, Modeling, Electronics and Systems, University of Calabria, Rende, Italy; Department of Informatics, Modeling, Electronics and Systems, University of Calabria, Rende, Italy; Department of Informatics, Modeling, Electronics and Systems, University of Calabria, Rende, Italy; Department of Informatics, Modeling, Electronics and Systems, University of Calabria, Rende, Italy; Department of Informatics, Modeling, Electronics and Systems, University of Calabria, Rende, Italy</t>
  </si>
  <si>
    <t>In the era of the Edge-to-Cloud Continuum paradigm, effectively managing heterogeneous and distributed resources poses significant challenges. Autonomic system operation, supported by Artificial Intelligence (AI) driven resource management and application deployment mechanisms, offers a promising solution. Machine Learning (ML) models are pivotal for this purpose, necessitating large amounts of high- quality data for training, validation, and evaluation. Simulators play a crucial role by generating vast datasets containing diverse data types, facilitating training, testing, and analyzing ML and AI techniques for autonomic system optimization. This paper aims to review existing simulators and identify a candidate simulator suitable for generating datasets within the Edge-to- Cloud Continuum, supporting the development of efficient ML models.</t>
  </si>
  <si>
    <t>https://ieeexplore.ieee.org/stamp/stamp.jsp?arnumber=10621490</t>
  </si>
  <si>
    <t>Artificial Intelligence;Machine Learning;Simulators;Dataset generation;Autonomic System Operation;Edge-to-Cloud Continuum;System Optimization</t>
  </si>
  <si>
    <t>Training;Cloud computing;Reviews;Machine learning;Autonomic systems;Resource management;Internet of Things</t>
  </si>
  <si>
    <t>A. Verma; P. Bagyalakshmi; R. Pavaiyarkarasi; R. R. Al-Fatlawy; G. Rajalakshmi; B. Arunkumar</t>
  </si>
  <si>
    <t>A Structured Architecture Development for 6G Technology for the Accurate Communication</t>
  </si>
  <si>
    <t>2024 4th International Conference on Advance Computing and Innovative Technologies in Engineering (ICACITE)</t>
  </si>
  <si>
    <t>10.1109/ICACITE60783.2024.10617022</t>
  </si>
  <si>
    <t>Department of Electronics &amp; Communication Engineering, IES College Of Technology, Bhopal, M. P, India; Department of Mechanical Engineering, Nehru Institute of Engineering and Technology, T.M.Palayam, Tamil Nadu, India; Department of ECE, R.M.K. Engineering College, RSM Nagar, Tamilnadu; Department of computers Techniques engineering, College of technical engineering, The Islamic University of Al Diwaniyah, Al Diwaniyah, Iraq; Department of Information Technology, Prince Shri Venkateshwara Padmavathy Engineering College, TN; Department of Computer Science Engineering, Karpagam Academy of Higher Education</t>
  </si>
  <si>
    <t>Following the worldwide pandemic, the next age will bring with it never-before-seen possibilities as well as problems due to the revolutionary merging of the biological, digital, and physical domains of human experience. In order to seamlessly link these realms, a whole new infrastructure is needed to envision 6 G, a dramatic paradigm change. Breaking down architecture into its component parts of platform, works, orchestration, and specialization yields new ideas. Within a heterogeneous cloud architecture, the 6 G landscape that is being envisioned embraces an attitude of openness, scalability, flexibility, and platform agnosticism. Extremely specific architecture supports the complex decomposition of converged applications as well as services into micro-services with serverless operations. This innovative framework also has an open resource orchestration architecture. Important characteristics of these architectural possibilities are explained, with a focus on how they might be adjusted to the constantly changing technology landscapes of the future. At the airinterface leveled 6 G plans to use sub-Terahertz spectrum, use state-of-the-art technologies for sharing spectrum, optimize air-interface design using $\mathrm{AI} / \mathrm{ML}$ methods, combine radio sensing and communication, and meet strict latency, reliability, while synchronization requirements. As this thorough review explains, to fully use these radio technology breakthroughs, 6 G network design advances must occur concurrently.</t>
  </si>
  <si>
    <t>979-8-3503-6016-5</t>
  </si>
  <si>
    <t>https://ieeexplore.ieee.org/stamp/stamp.jsp?arnumber=10617022</t>
  </si>
  <si>
    <t>6G;architecture;B5G;cellular communication;convergence;orchestration;sub-networks;wireless networks</t>
  </si>
  <si>
    <t>6G mobile communication;Cloud computing;Software architecture;Scalability;Computer architecture;Biology;System-on-chip</t>
  </si>
  <si>
    <t>Y. Sun; H. Xiang; Q. Ye; J. Yang; M. Xian; H. Wang</t>
  </si>
  <si>
    <t>A Review of Kubernetes Scheduling and Load Balancing Methods</t>
  </si>
  <si>
    <t>2023 4th International Conference on Information Science, Parallel and Distributed Systems (ISPDS)</t>
  </si>
  <si>
    <t>10.1109/ISPDS58840.2023.10235497</t>
  </si>
  <si>
    <t>College of Electronic Science and Technology National University of Defense Technology, Changsha, China; College of Electronic Science and Technology National University of Defense Technology, Changsha, China; College of Electronic Science and Technology National University of Defense Technology, Changsha, China; College of Electronic Science and Technology National University of Defense Technology, Changsha, China; College of Electronic Science and Technology National University of Defense Technology, Changsha, China; College of Electronic Science and Technology National University of Defense Technology, Changsha, China</t>
  </si>
  <si>
    <t>Kubernetes, an open-source project initiated by Google for managing and organizing containers in cloud platforms, has become the preferred choice for deploying large-scale containerized microservice architectures. However, there exist challenges related to allocating hardware resources and optimizing load balancing strategies for external access, which require high reliability and low power consumption. This paper introduces the native scheduling and load balancing strategies in Kubernetes and highlights the current issues in these strategies. Subsequently, it presents four existing optimization and improvement strategies for addressing these issues, along with related research. Furthermore, the paper proposes research directions and development suggestions for large-scale cluster applications and diversified business expansions.</t>
  </si>
  <si>
    <t>979-8-3503-3718-1</t>
  </si>
  <si>
    <t>https://ieeexplore.ieee.org/stamp/stamp.jsp?arnumber=10235497</t>
  </si>
  <si>
    <t>Kubernetes;Load balancing;Schedule optimization</t>
  </si>
  <si>
    <t>Information science;Power demand;Microservice architectures;Load management;Scheduling;Internet;Reliability</t>
  </si>
  <si>
    <t>M. Akbari; R. Bolla; R. Bruschi; F. Davoli; C. Lombardo; B. Siccardi</t>
  </si>
  <si>
    <t>A Monitoring, Observability and Analytics Framework to Improve the Sustainability of B5G Technologies</t>
  </si>
  <si>
    <t>2024 IEEE International Conference on Communications Workshops (ICC Workshops)</t>
  </si>
  <si>
    <t>10.1109/ICCWorkshops59551.2024.10615948</t>
  </si>
  <si>
    <t>DITEN, University of Genoa, Genoa, Italy; DITEN, S2N National Lab, University of Genoa, CNIT, Genoa, Italy; DITEN, S2N National Lab, University of Genoa, CNIT, Genoa, Italy; DITEN, S2N National Lab, University of Genoa, CNIT, Genoa, Italy; DITEN, S2N National Lab, University of Genoa, CNIT, Genoa, Italy; DITEN, University of Genoa, Genoa, Italy</t>
  </si>
  <si>
    <t>As mobile generations advance, blurring the lines between physical and digital worlds, the deployment of ultra-dense networks poses challenges in resource allocation and energy efficiency. This article revolves around the environmental sustainability of Fifth Generation (5G) and Beyond 5G (B5G) mobile networks as cloud-native technologies, highlighting the use phase. It aims to represent a monitoring, observability and analytical framework to devise a feature selection methodology within well-known monitoring tools, aligning with environmental sustainability objectives. Notable open-source monitoring applications (e.g., Kepler and Scaphandre) are employed to collect data on resource utilization and energy consumption for containers and physical servers. Dependence criteria indexes, Hilbert-Schmidt Independence Criterion (HSIC) and Pearson, identify interdependencies among timeseries from different tools. Addressing challenges, the paper resolves inconsistent dataset lengths, highlights the Pearson-HSIC trade-off, and underscores the need for alignment in feature selection with compatibility to resource utilization. Key findings include Scaphandre's underestimation of memory impact on power consumption, Kepler's limitations in host metrics. Finally, the results enable the development of an anomaly detection mechanism.</t>
  </si>
  <si>
    <t>979-8-3503-0405-3</t>
  </si>
  <si>
    <t>https://ieeexplore.ieee.org/stamp/stamp.jsp?arnumber=10615948</t>
  </si>
  <si>
    <t>B5G;monitoring;observability;energy efficiency;feature reduction;anomaly detection</t>
  </si>
  <si>
    <t>Measurement;Power demand;Memory management;Containers;Feature extraction;Resource management;Servers</t>
  </si>
  <si>
    <t>F. Ben Abdallah; I. Belkhiria</t>
  </si>
  <si>
    <t>Fog Computing Architecture for an IoT enabled smart parking system</t>
  </si>
  <si>
    <t>2024 International Symposium of Systems, Advanced Technologies and Knowledge (ISSATK)</t>
  </si>
  <si>
    <t>10.1109/ISSATK62463.2024.10808950</t>
  </si>
  <si>
    <t>Automatic Research Laboratory LARA National Engineering School of Tunis ENIT, University of Tunis El Manar, Tunis, Tunisia; National Engineering School of Sousse ENISo, University of Sousse, Sousse, Tunisia</t>
  </si>
  <si>
    <t>In recent years, the benefits of cloud computing have placed it at the heart of the architectures proposed for the Internet of Things (IoT). The homogeneous, predictable, and efficient infrastructure has made Cloud an adequate solution for the processing and analysis of data from IoT objects. However, the benefits of using cloud proved to be problematic for latency sensitive IoT systems that require geographic distribution, consideration of the local environment, and mobility of objects. Fog computing is an emergent concept aimed at extending cloud at the edge of the IoT. Thus, it envisions a layer of nodes (Fogs), making it possible to provide connected objects with support for communication management and data persistence. This paper is motivated by the promising opportunities for the concept of fog computing. We propose a fog computing Framework based on SSN ontology for IoT applications, by applying it to an intelligent parking system that, on the one hand, exploits IoT objects with services and, on the other hand, increases the representation and data consumption with local analyzes at the Fog nodes. For demonstrating, the effectiveness of our implemented framework, simulations have been performed in SUMO, a simulation tool used for urban traffic. Simulation results exhibit that the proposed fog-based implementation reduces the parameters of latency and network usage when contrasted with cloud-based deployment of the smart car parking system.</t>
  </si>
  <si>
    <t>979-8-3315-4017-3</t>
  </si>
  <si>
    <t>https://ieeexplore.ieee.org/stamp/stamp.jsp?arnumber=10808950</t>
  </si>
  <si>
    <t>Internet of Things (IoT);Cloud Computing;Fog Computing;smart parking</t>
  </si>
  <si>
    <t>Hands;Heart;Cloud computing;Computational modeling;Simulation;Computer architecture;Automated parking;Ontologies;Internet of Things;Edge computing</t>
  </si>
  <si>
    <t>J. Da Costa Rocha; M. Alves de Souza; E. H. Silva Cardoso; N. Vijaykumar; J. P. Leite de Ara√∫jo; R. Lisboa Franc√™s</t>
  </si>
  <si>
    <t>A Platform for Monitoring Student Commuting in the Use of School Transport in Smart Cities - A Facial Recognition Based Approach</t>
  </si>
  <si>
    <t>2023 International Conference on Smart Applications, Communications and Networking (SmartNets)</t>
  </si>
  <si>
    <t>10.1109/SmartNets58706.2023.10216190</t>
  </si>
  <si>
    <t>Graduate Program in Electrical Engineering, Institute of Technology, Federal University of Par√° (UFPA), Bel√©m, Par√°, Brazil; Information and Communication Technology Center, Federal University of the South and Southeast of Para (Unifesspa), Marab√°, Par√°, Brazil; Department of Computer Science, Federal Rural University of the Amazon (UFRA), Capit√£o Po√ßo, Par√°, Brazil; Coordination of Applied Research and Technological Development, National Institute for Space Research (INPE), S√£o Paulo, Brazil; Graduate Program in Electrical Engineering, Institute of Technology, Federal University of Par√° (UFPA), Bel√©m, Par√°, Brazil; Graduate Program in Electrical Engineering, Institute of Technology, Federal University of Par√° (UFPA), Bel√©m, Par√°, Brazil</t>
  </si>
  <si>
    <t>This article proposes an intelligent platform for monitoring students' steps on their way to school until they leave the school to their homes. This platform can identify students and notify those responsible and competent authorities in various situations of school life, such as: entering and leaving the school bus, entering and leaving school, entering the school cafeteria, etc. The first application aims to control access to the school bus through facial recognition. In the tests carried out, the recognition system achieved excellent results in all metrics.</t>
  </si>
  <si>
    <t>979-8-3503-0252-3</t>
  </si>
  <si>
    <t xml:space="preserve">Cara; </t>
  </si>
  <si>
    <t>https://ieeexplore.ieee.org/stamp/stamp.jsp?arnumber=10216190</t>
  </si>
  <si>
    <t>intelligent platform;facial recognition;student monitoring</t>
  </si>
  <si>
    <t>Measurement;Power demand;Smart cities;Face recognition;Prototypes;Mobile handsets;Internet</t>
  </si>
  <si>
    <t>A. F. R. Trajano; J. N. De Souza</t>
  </si>
  <si>
    <t>Leveraging Idle Edge Computing Resources for Execution of Cloud Native Services in Dynamic Regions</t>
  </si>
  <si>
    <t>10.1109/ISCC61673.2024.10733593</t>
  </si>
  <si>
    <t>Instituto Atl√¢ntico, Fortaleza, Brazil; Federal University of Cear√°, Fortaleza, Brazil</t>
  </si>
  <si>
    <t>This article presents a system that harnesses dormant resources from Personal Computers (PCs) at the edge, with the aim of executing cloud native microservices. The system encourages PC owners to willingly share resources to profit through a resource pricing mechanism that takes into account electricity costs and PC performance. Concurrently, the system enables cloud native microservices developers to set their maximum valuation for PC resources, intending to execute such services at the edge. The system identifies real-time idle resources and strategically allocates them across multiple geographical regions, enabling microservices deployment closer to end-users, thus diminishing communication latency. Utilizing double auctions, the system efficiently matches PCs to microservices in their respective regions. Detailed measurements in comprehensive simulations substantiate the efficacy of the system, ensuring benefits for PC owners and, concurrently, a decrease in operational costs for microservices developers.</t>
  </si>
  <si>
    <t>https://ieeexplore.ieee.org/stamp/stamp.jsp?arnumber=10733593</t>
  </si>
  <si>
    <t>Edge Resource Management;Cloud Native Microservices;Resource Pricing Mechanism;Geographical Regions;Microservices Deployment</t>
  </si>
  <si>
    <t>Costs;Electricity;Computational modeling;Simulation;Refining;Microservice architectures;Pricing;Dynamic scheduling;Real-time systems;Zero Trust</t>
  </si>
  <si>
    <t>A. Selvaraj</t>
  </si>
  <si>
    <t>High Performance Cloud Ready Parallel Batch Processing using Auto Scaling Containers and Queue Technique</t>
  </si>
  <si>
    <t>2024 4th International Conference on Sustainable Expert Systems (ICSES)</t>
  </si>
  <si>
    <t>10.1109/ICSES63445.2024.10763354</t>
  </si>
  <si>
    <t>System Architect in SwitchLane Inc, Charlotte, North Carolina, USA</t>
  </si>
  <si>
    <t>In order to solve the problems of the current batch processing systems as well as to reduce cost and shorten processing times, an enhanced parallel processing strategy has been introduced. Existing Batch system are running in dedicated servers and at most one Job can be processed at a time. Which results in higher costs. Also, batch jobs run in sequential to avoid duplicate processing of data so it will take more time. Where as in our proposed system we use queue to avoid duplicate and containers to achieve parallel processing and once job completed containers will be decommissioned and no need to pay for cloud provider when not in use. Hence, this proposed system is using queue mechanisms like RabbitMQ and Multiple containers(pods) all the containers can run parallelly and get inputs from queue so that duplicate processing will not happen in parallel processing to complete the job faster. This is achieved by Auto scaling mechanism, and the paper proposes a novel algorithm called Chunk Optimized Processing based on Queue Length (COPQL). Particularly, one of the main parts of this system is the Initiator, whose job it is to read data from source and push messages(data) into the queue as chunks, especially the primary keys from the database. RabbitMQ queues has been utilized by the proposed system, which are configured with specific topics or queues for each job type and set up as a 3-node cluster to ensure fault tolerance. Multiple processors (containerized nodes) have been included in the system for each job type, which can automatically scale based on the new Chunk Optimized Processing based on Queue Length (COPQL) algorithm. Each processor reads a chunk, consisting of a group of primary keys, retrieves the corresponding data from the source database, performs the necessary business processing, and updates the status in the Batch DB upon completion. It is highly notable that other features include a retry mechanism for handling failures in specific chunks, a caching mechanism to improve processing speed, and a tracking mechanism to monitor the batch process and to generate final reports. Importantly, the COPQL algorithm has been designed to achieve Low cost (serverless model) and minimal processing time for batch. Particularly, the system has been implemented by using Python, and the results have been analyzed based on weighted sum completion time and the effect of the number of tasks per user.</t>
  </si>
  <si>
    <t>979-8-3315-4036-4</t>
  </si>
  <si>
    <t>https://ieeexplore.ieee.org/stamp/stamp.jsp?arnumber=10763354</t>
  </si>
  <si>
    <t>Batch job;parallel processing;multiple processors;cloud server;RabbitMQ</t>
  </si>
  <si>
    <t>Program processors;Costs;Processor scheduling;Databases;Heuristic algorithms;Batch production systems;Containers;Parallel processing;Monitoring;Sorting</t>
  </si>
  <si>
    <t>Program at a Glance</t>
  </si>
  <si>
    <t>10.1109/GLOBECOM54140.2023.10437728</t>
  </si>
  <si>
    <t>Program at a glance.</t>
  </si>
  <si>
    <t>https://ieeexplore.ieee.org/stamp/stamp.jsp?arnumber=10437728</t>
  </si>
  <si>
    <t>Security;Optical wavelength conversion;Wireless communication;Communication system security;Learning (artificial intelligence);Optimization;Wireless sensor networks</t>
  </si>
  <si>
    <t>Z. Yi; Z. Hongkai; W. Yongyu; X. Yulian; Z. Xiaoyan</t>
  </si>
  <si>
    <t>Improved DataX Data Synchronization Technique for Distribution Grid Data Middleware Implementation</t>
  </si>
  <si>
    <t>2024 IEEE 3rd International Conference on Electrical Engineering, Big Data and Algorithms (EEBDA)</t>
  </si>
  <si>
    <t>10.1109/EEBDA60612.2024.10485928</t>
  </si>
  <si>
    <t>State Grid Qinghai Information &amp; Telecommunication Company, Xining, Qinghai, China; State Grid Qinghai Information &amp; Telecommunication Company, Xining, Qinghai, China; State Grid Qinghai Information &amp; Telecommunication Company, Xining, Qinghai, China; State Grid Info-Telecom Great Power Science and Technology Co. Ltd, Fuzhou, Fujian, China; State Grid Info-Telecom Great Power Science and Technology Co. Ltd, Fuzhou, Fujian, China</t>
  </si>
  <si>
    <t>Nowadays, the data processing efficiency of the distribution network is very low, which is not conducive to further monitoring of power grid data. It is necessary to adopt improved DataX data synchronization technology to further enhance the management ability and work efficiency of the distribution network data center. This article was based on technologies such as big data and cloud platforms to establish a unified data sharing mode, and utilized workflow technology and file online collaboration technology to establish an engineering management process model. In terms of data source collection, this article was based on the data center and utilized improved DataX data synchronization technology to ensure data security. Apart from key query data, big data is no longer stored locally. The data storage capacity of the distribution network data center was 80TB; the data storage capacity of Google BigQuery platform was 43TB, and the data storage capacity of Microsoft Azure platform was 32TB. This article helped to improve the value of electricity data usage.</t>
  </si>
  <si>
    <t>979-8-3503-8098-9</t>
  </si>
  <si>
    <t>https://ieeexplore.ieee.org/stamp/stamp.jsp?arnumber=10485928</t>
  </si>
  <si>
    <t>Improved DataX Data Synchronization Technology;Distribution Network;Data Center;Data Storage Capacity;Power Grid Engineering</t>
  </si>
  <si>
    <t>Data centers;Electricity;Soft sensors;Scalability;Memory;Distribution networks;Big Data</t>
  </si>
  <si>
    <t>S. Taghizadeh; S. Yousefi</t>
  </si>
  <si>
    <t>AnyComputing: A Novel Architecture for Orchestrating Various Computing Paradigms for Adaptive Workload Management</t>
  </si>
  <si>
    <t>2024 21st International Conference on Electrical Engineering, Computing Science and Automatic Control (CCE)</t>
  </si>
  <si>
    <t>2642-3766</t>
  </si>
  <si>
    <t>10.1109/CCE62852.2024.10770984</t>
  </si>
  <si>
    <t>Department of Computer Science, Engineering and Information Technology, Shiraz University, Shiraz, Iran; Department of Computer Science, Engineering and Information Technology, Shiraz University, Shiraz, Iran</t>
  </si>
  <si>
    <t>The proliferation of physical objects and intelligent systems, along with their inherent differences, such as levels of device mobility, generated data volume, required storage memory, and complexity in data processing, presents a significant challenge in achieving real-time and optimal responsiveness to the Massive volume of sent requests from these systems. Depending on the nature of each request and its requirements, effective processing must be by available and suitable computational platforms. This situation necessitates the urgent development of novel ideas and frameworks in request orchestration and processing by suitable computational platforms to enhance system performance and efficiently utilize available computational resources. In this article, we propose an integrated computational architecture spanning from edge devices of users and intelligent things to cloud servers. This design encompasses the reception, processing, and response to various computational and storage requests, considering specific requirements, through computational units deployed within this span. Our objective in devising this architecture is to establish mechanisms for categorizing diverse computational requests from users and things, effectively allocating resources to them, thereby reducing response time, optimizing bandwidth utilization and other available resources, managing latency for real-time requests, and minimizing energy consumption in user devices and intelligent objects.</t>
  </si>
  <si>
    <t>979-8-3503-7754-5</t>
  </si>
  <si>
    <t>https://ieeexplore.ieee.org/stamp/stamp.jsp?arnumber=10770984</t>
  </si>
  <si>
    <t>Computing Paradigms;Internet of Things;Resources Allocation;Workload Management</t>
  </si>
  <si>
    <t>Performance evaluation;System performance;Memory management;Real-time systems;Computational efficiency;Resource management;Time factors;Servers;Intelligent systems;Optimization</t>
  </si>
  <si>
    <t>L. Qiu; K. Zhang; B. Yi; X. Wang; J. Lv</t>
  </si>
  <si>
    <t>A Novel Tracking and Location Mechanism for Network Function Chain</t>
  </si>
  <si>
    <t>2023 15th International Conference on Communication Software and Networks (ICCSN)</t>
  </si>
  <si>
    <t>2472-8489</t>
  </si>
  <si>
    <t>10.1109/ICCSN57992.2023.10297385</t>
  </si>
  <si>
    <t>College of Computer Science and Engineering, Northeastern University, Shenyang, China; College of Computer Science and Engineering, Northeastern University, Shenyang, China; College of Computer Science and Engineering, Northeastern University, Shenyang, China; College of Computer Science and Engineering, Northeastern University, Shenyang, China; Peng Cheng Lab, Shenzhen, China</t>
  </si>
  <si>
    <t>As an infrastructure supporting communication technologies such as 5G, B5G and 6G, Network as a Service (NaaS) has become an emerging trend for Network Functions Virtualization (NFV) and needs to meet the multi-service requirements in different scenarios. While promising, the quality of the virtualized network services may degrade due to the failures such as resource exhaustion and error configuration. In this way, it becomes extremely important to improve the flexibility and reliability. In this paper, we propose a novel tracking and location mechanism for network function chain. We aims at decomposing a complete service into multiple refined sub-services when implementing the process of tracking and location, where three sub-services are designed including configuration and deployment sub-service, tracking sub-service and location sub-service. The experimental results show that the proposed mechanism has excellent performance in terms of tracking accuracy and location accuracy.</t>
  </si>
  <si>
    <t>979-8-3503-2936-0</t>
  </si>
  <si>
    <t xml:space="preserve">National Key Research and Development Program of China(grant numbers:2022YFB4500800); National Nature Science Foundation of China(grant numbers:62032013,62002055); Fundamental Research Funds for the Central Universities(grant numbers:N2316006); </t>
  </si>
  <si>
    <t>https://ieeexplore.ieee.org/stamp/stamp.jsp?arnumber=10297385</t>
  </si>
  <si>
    <t>NaaS;NFV;network function chain;sub-service;tracking;location</t>
  </si>
  <si>
    <t>6G mobile communication;5G mobile communication;Market research;Software;Communications technology;Network function virtualization;Reliability</t>
  </si>
  <si>
    <t>A. Jain; D. S. Jat</t>
  </si>
  <si>
    <t>An Efficient Multihop Edge Enabled Architecture for Time Constraint Application</t>
  </si>
  <si>
    <t>2023 International Conference on Emerging Trends in Networks and Computer Communications (ETNCC)</t>
  </si>
  <si>
    <t>10.1109/ETNCC59188.2023.10284929</t>
  </si>
  <si>
    <t>Computer Science, Namibia University of Science and Technology, Windhoek, Namibia; Computer Science, Namibia University of Science and Technology, Windhoek, Namibia</t>
  </si>
  <si>
    <t>Due to the increasing use of Internet of Things (IoT) devices and data-driven platforms, a huge volume of data has been transacted between the cloud and the end user. The automated tools such as Artificial Intelligence based platforms ChatGPT, Otter etc are proven to be building block for next generation data enabled systems. With the growing number of data-oriented applications, cloud computing is required to enhance the computational capacity and reduce the burden of handling concurrent requests. Cloud is providing all the support in terms of infrastructure demand, but there are challenges in terms of serving the time constraint request. Due to the restricted bandwidth, computational execution time, and resource availability when the applications and data are expanding in unavoidable situations. As the cloud is far from IoT devices to serve time-sensitive requests, multi hop communication is required to deploy to overcome this issue. Much research is done in Fog and Edge computing, but still it is required to resolve the problem of higher latency when pushing the compute intensive task to cloud layers. Edge computing brings the relevant resources near to the edge of the network. In this paper, the edge computing architecture has been designed to perform the multi hop communication and compared the result between the Cloud, Fog and Edge layers. The architecture is simulated using the iFogSim2 simulator and benchmark configurations are used. The results indicate that the latency and the usage of the network at the Edge layer is reduced compared to Fog and Cloud, which concludes that the designed architecture is suitable for the time constraint applications.</t>
  </si>
  <si>
    <t>979-8-3503-1487-8</t>
  </si>
  <si>
    <t>https://ieeexplore.ieee.org/stamp/stamp.jsp?arnumber=10284929</t>
  </si>
  <si>
    <t>Cloud Computing;Fog/Edge Computing;IFogSim simulator;Time constraint applications</t>
  </si>
  <si>
    <t>Cloud computing;Computational modeling;Computer architecture;Spread spectrum communication;Computational efficiency;Time factors;Internet of Things</t>
  </si>
  <si>
    <t>S. Poornima; A. Immanuel</t>
  </si>
  <si>
    <t>Self-Organizing Micro Service Composition for IoT Ecosystem</t>
  </si>
  <si>
    <t>2025 6th International Conference on Mobile Computing and Sustainable Informatics (ICMCSI)</t>
  </si>
  <si>
    <t>10.1109/ICMCSI64620.2025.10883497</t>
  </si>
  <si>
    <t>Department of Computer Science, CHRIST (Deemed to be University), Bengaluru, India; Department of Computer Science, CHRIST (Deemed to be University), Bengaluru, India</t>
  </si>
  <si>
    <t>The Internet of Things (IoT) has become the central focus in many computing applications, with smart devices seamlessly integrated to meet user needs by providing services that reflect their functionalities. Service composition, the process of integrating multiple services to deliver unified functionality, is crucial in this context. However, traditional service composition techniques fall short in highly dynamic and open environments such as the IoT ecosystem, necessitating decentralized models that can effectively support service composition in such settings. The self-organizing microservice composition model for IoT addresses this need by leveraging decentralized, localized interactions that utilize bio-inspired mechanisms. These mechanisms enable the system to autonomously form complex service compositions with minimal human intervention through emergent behaviour, enhancing the system's flexibility, adaptability, and overall performance. This paper presents a model specifically designed for the IoT ecosystem, focusing on healthcare applications. The model dynamically responds to changing conditions, such as varying patient needs, device availability, and network conditions, making it highly suitable for critical healthcare environments. By providing a robust framework for managing the complexities inherent in healthcare IoT, this model has the potential to revolutionize the delivery and management of healthcare services.</t>
  </si>
  <si>
    <t>979-8-3315-2266-7</t>
  </si>
  <si>
    <t>https://ieeexplore.ieee.org/stamp/stamp.jsp?arnumber=10883497</t>
  </si>
  <si>
    <t>Service Composition;Self-Organizing Microser-vices;IoT Healthcare</t>
  </si>
  <si>
    <t>Performance evaluation;Adaptation models;Biological system modeling;Ecosystems;Microservice architectures;Medical services;Internet of Things;Smart devices;Informatics;Mobile computing</t>
  </si>
  <si>
    <t>C. Courageux-Sudan; A. -C. Orgerie; M. Quinson</t>
  </si>
  <si>
    <t>Studying the end-to-end performance, energy consumption and carbon footprint of fog applications</t>
  </si>
  <si>
    <t>10.1109/ISCC61673.2024.10733735</t>
  </si>
  <si>
    <t>CNRS, IRISA, Univ. Rennes, Inria, France; CNRS, IRISA, Univ. Rennes, Inria, France; CNRS, IRISA, Univ. Rennes, Inria, France</t>
  </si>
  <si>
    <t>The deployment of applications closer to end-users through fog computing has shown promise in improving network communication times and reducing contention. However, the use of fog applications such as microservices necessitates intricate network interactions among heterogeneous devices. Consequently, understanding the impact of different application and infrastructure parameters on performance becomes crucial. Current literature either offers end-to-end models that lack granularity and validation or fine-grained models that only consider a portion of the infrastructure. Our research first compares experimentally the accuracy of the existing integrated frameworks. We then combine one of these tools with a collection of validated models to obtain comprehensive metrics regarding microservice applications operating in the fog. Through a use-case, we demonstrate the effectiveness of our approach in investigating fog environments, from examining application latencies to greenhouse gas emissions.</t>
  </si>
  <si>
    <t>https://ieeexplore.ieee.org/stamp/stamp.jsp?arnumber=10733735</t>
  </si>
  <si>
    <t>Modeling and simulation;Fog-computing;Microservice;Performance evaluation;Energy consumption</t>
  </si>
  <si>
    <t>Performance evaluation;Computers;Energy consumption;Accuracy;Computational modeling;Microservice architectures;Greenhouse gases;Carbon footprint;Edge computing</t>
  </si>
  <si>
    <t>L. Liu; Y. Chen; X. Shao; K. Wang; Y. Huang</t>
  </si>
  <si>
    <t>Adaptive load balancing Strategy for VR Microservices with Edge AI</t>
  </si>
  <si>
    <t>2024 7th International Conference on Electronics Technology (ICET)</t>
  </si>
  <si>
    <t>2768-6515</t>
  </si>
  <si>
    <t>10.1109/ICET61945.2024.10672636</t>
  </si>
  <si>
    <t>Zhongguancun Laboratory, Beijing, Beijing, P.R.China; University College London, London, United Kingdom; Toyohashi University of Technology, Toyohashi, Japan; Beijing University Of Posts and Telecommunications, Beijing, P.R.China; Beijing University Of Posts and Telecommunications, Beijing, P.R.China</t>
  </si>
  <si>
    <t>The pervasiveness of information and communications technologies, such as 5 G and edge AI, has led to the booming growth of video applications, particularly in the realm of virtual reality (VR). However, due to the random distribution of the video traffic and the fluctuation of the computing power in Mobile Edge Computing (MEC) networks, traditional load balancing strategies lead to high video service response delay and low resource utilization. To this end, this paper designs and implements an adaptive dynamic load-balancing strategy for VR. Based on the performance monitoring function of the Kubernetes (k8s) system, we first utilize the reinforcement learning algorithm TD3 to find the optimal video service allocation at different edge nodes. Then, considering the real-time GPU utilization of each edge computing node, the queue length, and the average transmission delay, we jointly optimize the average response delay of users and the work efficiency of nodes. Finally, we evaluate the proposed scheme on a real k8s system. Compared with traditional load balancing strategies, the proposed scheme reduces the latency by $16 \%$ to $52 \%$ and improves the work efficiency by $5 \%$ to $8 \%$.</t>
  </si>
  <si>
    <t>979-8-3503-6395-1</t>
  </si>
  <si>
    <t>https://ieeexplore.ieee.org/stamp/stamp.jsp?arnumber=10672636</t>
  </si>
  <si>
    <t>mobile edge computing;AI;video service;load balancing;performance monitoring;reinforcement learning</t>
  </si>
  <si>
    <t>Heuristic algorithms;Microservice architectures;Graphics processing units;Edge AI;Virtual reality;Load management;Real-time systems</t>
  </si>
  <si>
    <t>J. Oza; R. More; A. Maity; G. Kambli; C. Maniyath; A. Patil</t>
  </si>
  <si>
    <t>PRISM: Predictive Resource Inference and Spot Instance Management</t>
  </si>
  <si>
    <t>2024 3rd International Conference for Advancement in Technology (ICONAT)</t>
  </si>
  <si>
    <t>10.1109/ICONAT61936.2024.10774810</t>
  </si>
  <si>
    <t>Computer Engineering, K.J. Somaiya Institute of Technology; Computer Engineering, K.J. Somaiya Institute of Technology; Computer Engineering, K.J. Somaiya Institute of Technology; Computer Engineering, K.J. Somaiya Institute of Technology; Computer Engineering, K.J. Somaiya Institute of Technology; Computer Engineering, K.J. Somaiya Institute of Technology</t>
  </si>
  <si>
    <t>Resource-constrained engineering teams often face challenges in optimizing cloud infrastructure costs while maintaining the necessary compute resources for their workloads, especially for scalable projects. This paper proposes a novel neural network-driven framework for cost-effective hybrid cloud resource management, tailored specifically for small or resource-constrained engineering teams. The framework leverages a combination of spot instances in public clouds, containerization techniques, and neural networks to maximize resource utilization, handle scalable projects, and minimize costs.</t>
  </si>
  <si>
    <t>979-8-3503-5417-1</t>
  </si>
  <si>
    <t>https://ieeexplore.ieee.org/stamp/stamp.jsp?arnumber=10774810</t>
  </si>
  <si>
    <t>Cost Optimization;Hybrid Cloud;Spot Instances;Neural Networks;Resource Allocation;Instance Management</t>
  </si>
  <si>
    <t>Cloud computing;Costs;Scalability;Neural networks;Resource management;Optimization;Faces</t>
  </si>
  <si>
    <t>A. Aubakirov; K. Makhanov; A. Issainova; N. Glazyrina; B. Razkhova; D. Satybaldina</t>
  </si>
  <si>
    <t>An IoT-Based Air Pollution Monitoring System for Smart City</t>
  </si>
  <si>
    <t>2024 4th International Conference on Computer Systems (ICCS)</t>
  </si>
  <si>
    <t>10.1109/ICCS62594.2024.10795835</t>
  </si>
  <si>
    <t>School of Computer Science, Hangzhou Dianzi University, Hangzhou, China; Department of Radio Engineering, Electronics and Telecommunications, L.N Gumilyov Eurasian National University, Astana, Kazakhstan; Information Security Department, L.N. Gumilyov Eurasian National, University, Astana, Kazakhstan; Computer and Software Engineering Department, L.N Gumilyov Eurasian National University, Astana, Kazakhstan; Department of Artificial, Intelligence Technologies) L.N. Gumilyov Eurasian National University, Astana, Kazakhstan; Information Security and Cryptology Research Institute, L.N. Gumilyov Eurasian National University, Astana, Kazakhstan</t>
  </si>
  <si>
    <t>In this paper, we present the results of research on the design and development of a gas analytical unit, an electronic nose, with an autonomous power supply, as well as the function of wireless data transmission via the Long-Range Wide Area Networks protocol. We built the device on a circuit board featuring eight gas sensors (MQ series), an STM32F103C8T6 microcontroller with 12-bit analog-to-digital conversion, a RAK3172 wireless data transmission module, voltage dividers, and a USB serial adapter. It also has an HDC2080DMBR temperature and humidity sensor. We evaluated the electronic nose performance towards standard mixtures of carbon dioxide, carbon monoxide, nitrogen dioxide, ammonia, and hydrogen sulfide, which are important analytes in outdoor and indoor air quality monitoring. Multidimensional linear regression methods were employed to build calibration curves for electronic nose sensors, which allowed for converting the measured sensor responses into quantitative values of the concentrations of the analyzed substances. The estimated coefficients of determination, R2, approach 1 indicating a strong correlation between the approximating model and the original data. The multivariate chemiresistive responses were successfully clustered using the k-means algorithm, revealing clear distinctions between sensor data associated with different gas concentrations. The k-NN classifier, applied to the clustered data, achieved 100% accuracy in identifying gas concentrations, underscoring the potential of the proposed methodology for gas sensing applications. We proposed and implemented the architecture of a network of mobile gas analyzers as the Internet of Things devices for environmental monitoring using the VK Cloud Platform.</t>
  </si>
  <si>
    <t>979-8-3503-6634-1</t>
  </si>
  <si>
    <t>https://ieeexplore.ieee.org/stamp/stamp.jsp?arnumber=10795835</t>
  </si>
  <si>
    <t>air quality;electronic nose;gas sensor array;linear regression;LoRaWan;Internet of Things;Smart City</t>
  </si>
  <si>
    <t>Wireless communication;Wireless sensor networks;Atmospheric measurements;Smart cities;Clustering algorithms;Electronic noses;Pollution measurement;Classification algorithms;Calibration;Data communication</t>
  </si>
  <si>
    <t>D. Ganesh; O. B. V. Ramanaiah</t>
  </si>
  <si>
    <t>Edge Federated Learning for Smart HealthCare Systems: Applications and Challenges</t>
  </si>
  <si>
    <t>10.1109/ICSES63445.2024.10763213</t>
  </si>
  <si>
    <t>Department of Computer Science &amp; Engineering, Jawaharlal Nehru Technological University, Kukatpally, Hyderabad; Department of Computer Science &amp; Engineering, Jawaharlal Nehru Technological University, Kukatpally, Hyderabad</t>
  </si>
  <si>
    <t>The rapid advancement of technology in healthcare has led to an unprecedented increase in the amount of medical data being generated, from patient records to real-time monitoring data. While this data holds immense potential for improving patient care and outcomes, it also raises significant challenges in terms of security and privacy, especially within the framework of smart healthcare systems. Traditional data processing approaches often require the centralization of data, which can expose sensitive information to potential breaches. In smart healthcare systems, the integration of Edge Computing with Federated Learning offers a transformative approach to data analysis and processing. EFL leverages the computational capabilities allowing data to be processed closer to its source. The combination of these technologies holds the potential to revolutionize how healthcare data is managed, analyzed, and utilized, paving the way for more personalized and efficient healthcare delivery. This survey report delves into the evolution of FL and edge computing, exploring their convergence in the context of smart healthcare. It examines various applications of EFL within healthcare, from remote patient monitoring to predictive analytics and personalized medicine. Additionally, the report addresses the challenges and concerns associated with EFL, such as data heterogeneity, communication overhead, and the need for robust security measures. Finally, it outlines future research directions that could further enhance the effectiveness and adoption of EFL in smart healthcare systems, underscoring its potential to reshape the landscape of medical data processing.</t>
  </si>
  <si>
    <t>https://ieeexplore.ieee.org/stamp/stamp.jsp?arnumber=10763213</t>
  </si>
  <si>
    <t>Modern technologies;Healthcare systems;medical data;Federated Learning (FL);Edge Federated Learning (EFL)</t>
  </si>
  <si>
    <t>Training;Surveys;Privacy;Federated learning;Medical services;User experience;Real-time systems;Security;Protection;Edge computing</t>
  </si>
  <si>
    <t>P. V. Nandankar; V. Kansal; G. S. Rekha; S. Jain; H. Patil; D. Vekariya</t>
  </si>
  <si>
    <t>Design and Development of a Miniature Home Automation System using IoT and Android Application</t>
  </si>
  <si>
    <t>2024 International Conference on Inventive Computation Technologies (ICICT)</t>
  </si>
  <si>
    <t>2767-7788</t>
  </si>
  <si>
    <t>10.1109/ICICT60155.2024.10544782</t>
  </si>
  <si>
    <t>Department of Electrical Engineering, Government College of Nagpur, Maharashtra, India; Department of Computer Science &amp; Engineering, Graphic Era Deemed to be University, Dehradun, Uttarakhand, India; Department of Computer Science and Engineering (Cyber Security), CVR College of Engineering, Hyderabad, Telangana, India; Department of Electronics and Communication, Swami Keshvanand Institute of Technology Management and Gramothan, Jaipur, Rajasthan, India; Computer Science and Engineering, Symbiosis Institute of Technology, Symbiosis International (Deemed University), Pune, Maharashtra, India; Department of Computer Science &amp; Engineering, Parul Institute of Engineering and Technology, Parul University, Gujarat, India</t>
  </si>
  <si>
    <t>Home automation systems have recently received a lot of attention as a result of rapid and advanced technological developments that have made daily life more comfortable. Many things have been automated and made available online. The Internet of Things (IoT) will make home automation easier and more popular than ever before. There are many different types of commercial home automation systems on the market right now. However, these are intended for limited use. This study focuses on a home automation system that incorporates IoT and an Android mobile application. As a result, household appliances can be managed remotely from anywhere in the world. The mobile app controls various household appliances via IoT. To complete this objective, we selected the Node-MCU microcontroller. Real-time parameters are measured using temperature, motion, and smoke sensors. Next, MIT App Inventor creates an Android smartphone application for controlling and monitoring the home. Firebase Cloud is used to provide wireless connectivity between the built Android app and the hardware. The proposed system's hardware, mobile application, and cloud functionality are tested using a range of inputs. The proposed system successfully controls and monitors household appliances using the mobile application created for it. People of older generations and those with disabilities will benefit from this research.</t>
  </si>
  <si>
    <t>979-8-3503-5929-9</t>
  </si>
  <si>
    <t>https://ieeexplore.ieee.org/stamp/stamp.jsp?arnumber=10544782</t>
  </si>
  <si>
    <t>Home Automation;Internet of Things;NodeMCU;Mobile Application;Firebase Cloud;Sensor;Real-time Data</t>
  </si>
  <si>
    <t>Temperature sensors;Temperature measurement;Home appliances;Cloud computing;Wireless sensor networks;Home automation;Hardware</t>
  </si>
  <si>
    <t>M. She; Y. Gao; X. Zhang</t>
  </si>
  <si>
    <t>Research on the Data Collection Method of Intelligent Vehicle Terminal for Production and Operation</t>
  </si>
  <si>
    <t>2023 IEEE 3rd International Conference on Data Science and Computer Application (ICDSCA)</t>
  </si>
  <si>
    <t>10.1109/ICDSCA59871.2023.10393515</t>
  </si>
  <si>
    <t>Iov Operation Department, Tianjin Richsoft Electric Power Information Technology Co., Ltd, Tianjin, China; Iov Operation Department, Tianjin Richsoft Electric Power Information Technology Co., Ltd, Tianjin, China; Iov Operation Department, Tianjin Richsoft Electric Power Information Technology Co., Ltd, Tianjin, China</t>
  </si>
  <si>
    <t>Vehicles are essential tools to support business travel and production operations. The development of new technologies and the demand for convenience are accompanied by an intelligent transportation transformation. To connect multiple types of terminal devices based on vehicle terminals, we can achieve multi terminal linkage, and support applications in various production scenarios, which is an urgent need for enterprises. This paper researches on the data collection method of intelligent vehicle terminal for production and operation. The collected data includes terminal management, communication data, vehicle fault remote diagnosis data, positioning data, Beidou short message, DMS data, ADAS data, video data, third-party equipment data access support, voice data, etc. Through the research of this paper, the vehicle terminal becomes the unified entrance of production data, as a edge computing device. It can support the access of multiple supporting sensing terminals. Through the research of IoT access technology, this paper achieves multi-source device data collection to support the development of production tasks.</t>
  </si>
  <si>
    <t>979-8-3503-4154-6</t>
  </si>
  <si>
    <t>https://ieeexplore.ieee.org/stamp/stamp.jsp?arnumber=10393515</t>
  </si>
  <si>
    <t>Vehicle Terminal;Data Collection;Edge Computing;Perception terminal</t>
  </si>
  <si>
    <t>Wide area networks;Intelligent vehicles;Transportation;Production;Data collection;Software;Sensors</t>
  </si>
  <si>
    <t>K. P. Sah; N. Jain; P. Jha; J. Hawari; B. M. Beena</t>
  </si>
  <si>
    <t>Advancing of Microservices Architecture with Dockers</t>
  </si>
  <si>
    <t>2024 15th International Conference on Computing Communication and Networking Technologies (ICCCNT)</t>
  </si>
  <si>
    <t>2473-7674</t>
  </si>
  <si>
    <t>10.1109/ICCCNT61001.2024.10724035</t>
  </si>
  <si>
    <t>Department of Computer Science and Engineering, Amrita School of Computing, Amrita Vishwa Vidyapeetham, Bengaluru, India; Department of Computer Science and Engineering, Amrita School of Computing, Amrita Vishwa Vidyapeetham, Bengaluru, India; Department of Computer Science and Engineering, Amrita School of Computing, Amrita Vishwa Vidyapeetham, Bengaluru, India; Department of Computer Science and Engineering, Amrita School of Computing, Amrita Vishwa Vidyapeetham, Bengaluru, India; Department of Computer Science and Engineering, Amrita School of Computing, Amrita Vishwa Vidyapeetham, Bengaluru, India</t>
  </si>
  <si>
    <t>Docker has revolutionized web hosting. It offers efficiency, scalability, security, and automation. With Docker, businesses and individuals can simplify their hosting. With the help of Docker, the development process is simplified via managing to package the application into standardized units called containers. They can enhance website performance and contribute to a sustainable digital ecosystem. Micro-service architecture might be adopted for smooth flow for the development process. Resource optimization might get improved. Security measures could be bolstered. Multi-cloud deployment strategies may be explored. Server-less computing integration is a possibility. Containerized data storage solutions might be explored.. In the future, Docker based hosting could involve Kubernetes for container orchestration. Machine learning capabilities could be incorporated. Green computing initiatives might be implemented.</t>
  </si>
  <si>
    <t>979-8-3503-7024-9</t>
  </si>
  <si>
    <t>https://ieeexplore.ieee.org/stamp/stamp.jsp?arnumber=10724035</t>
  </si>
  <si>
    <t>Docker;Kubernetes;Web hosting;EC2 instances</t>
  </si>
  <si>
    <t>Scalability;Ecosystems;Microservice architectures;Memory;Computer architecture;Machine learning;Containers;Green computing;Security;Optimization</t>
  </si>
  <si>
    <t>J. J. Garc√≠a; I. L. √öbeda; P. Szmeja; K. Wasielewska-Michniewska; M. Ganzha; C. E. P. Salvador; C. BƒÉdicƒÉ; S. Fidanova; M. Paprzycki</t>
  </si>
  <si>
    <t>Towards More Explainable and Traceable AI: Gray-boxed Design in a Case of Microservice Allocation</t>
  </si>
  <si>
    <t>2024 International Conference on INnovations in Intelligent SysTems and Applications (INISTA)</t>
  </si>
  <si>
    <t>2768-7295</t>
  </si>
  <si>
    <t>10.1109/INISTA62901.2024.10683838</t>
  </si>
  <si>
    <t>Universitat Polit√®cnica de Val√®ncia, Valencia, Spain; Universitat Polit√®cnica de Val√®ncia, Valencia, Spain; Systems Research Institute, Polish Academy of Sciences, Warsaw, Poland; Systems Research Institute, Polish Academy of Sciences, Warsaw, Poland; Systems Research Institute, Polish Academy of Sciences, Warsaw, Poland; Universitat Polit√®cnica de Val√®ncia, Valencia, Spain; Department of Computers and Information Technology, University of Craiova, Craiova, Romania; Institute of Information and Communication Technologies, Bulgarian Academy of Sciences, Sofia, Bulgaria; Systems Research Institute, Polish Academy of Sciences, Warsaw, Poland</t>
  </si>
  <si>
    <t>There is great potential in leveraging Artificial Intelligence (AI) systems to optimize complex infrastructures, automate difficult tasks, or support autonomy and coordination between networked devices. However, advances in state-of-the-art AI often neglect features and/or requirements that businesses care deeply about, namely traceability and explainability. While majority of research concerning Explainable AI remains focused on weight modelling and timid gray-box approaches, the state-of-the-art has not explored much the deployment of semi-physical architectures combining fuzzy rule-based systems with more opaque models to improve explainability. This contribution aims to explore and make the case for a middle ground of mixed AI architectures that combine the performance of black-box AI models with a more explainable overall architecture, enabling operators to use them, while still retaining the core aspects of explainability, when compared to full black-box AI systems. This work contextualizes a potential application of such approach to the problem of Service Level Agreement compliance, in a case of microservice allocation decision over cloud (and cloud-like) infrastructures.</t>
  </si>
  <si>
    <t>979-8-3503-6813-0</t>
  </si>
  <si>
    <t xml:space="preserve">Horizon Europe; Bulgarian Academy of Sciences; </t>
  </si>
  <si>
    <t>https://ieeexplore.ieee.org/stamp/stamp.jsp?arnumber=10683838</t>
  </si>
  <si>
    <t>explainability;fuzzy-rule-based-systems;semi-physical architectures;AI network;gray-box</t>
  </si>
  <si>
    <t>Technological innovation;Explainable AI;Microservice architectures;Closed box;Resource management;Artificial intelligence;Intelligent systems</t>
  </si>
  <si>
    <t>A. Nizamis; J. Neises; D. Ospina; U. Wajid; C. I. V. L√≥pez; P. Trakadas; K. Votis; O. Lazaro; S. Nechifor; C. Palau</t>
  </si>
  <si>
    <t>ENACT - A Framework for Adaptive Scheduling and Deployments of Data Intensive Workloads on Energy Efficient Edge to Cloud Continuum</t>
  </si>
  <si>
    <t>2024 IEEE International Conference on Engineering, Technology, and Innovation (ICE/ITMC)</t>
  </si>
  <si>
    <t>2693-8855</t>
  </si>
  <si>
    <t>10.1109/ICE/ITMC61926.2024.10794207</t>
  </si>
  <si>
    <t>Information Technologies Institute, Centre for Research and Technology Hellas (CERTH), Thessaloniki, Greece; Fujitsu Technology Solutions, Warsaw, Poland; Innovalia Association, Bilbao, Spain; Information Catalyst, Valencia, Spain; Universitat Polit√©cnica de Valencia, Valencia, Spain; Four Dot Infinit, Athens, Greece; Information Technologies Institute, Centre for Research and Technology Hellas (CERTH), Thessaloniki, Greece; Innovalia Association, Bilbao, Spain; Siemens S.R.L., Bucharest, Romania; Universitat Polit√©cnica de Valencia, Valencia, Spain</t>
  </si>
  <si>
    <t>In the last couple of decades, enterprises have relished and leveraged the capacity, performance, scalability, and quality of cloud computing services. However, a few years ago, the edge computing concept enabled data processing and application execution near compute and data resources, aiming to reduce latency and promote higher security and sovereignty regarding data transfers. The simultaneous use of these two service models by enterprises has lately resulted in the concept of edge-to-cloud continuum, which combines edge and cloud technologies and promotes standards and algorithms for resource orchestration, data management, and the deployment of solutions across the connected edge and cloud resources. Taking a step further in this direction, this paper introduces a framework to realise the Cognitive Computing Continuum (CCC). The framework leverages AI techniques to address the needs for optimal (edge and cloud) resource management and dynamic scaling, elasticity, and portability of hyper-distributed data-intensive applications. The proposed ENACT framework enables the automated management of distributed (edge and cloud) resources and the development of hyper-distributed applications that can take advantage of distributed deployment and execution opportunities to optimize their behaviors in terms of execution time, resource utilisation and energy efficiency.</t>
  </si>
  <si>
    <t>979-8-3503-6243-5</t>
  </si>
  <si>
    <t>https://ieeexplore.ieee.org/stamp/stamp.jsp?arnumber=10794207</t>
  </si>
  <si>
    <t>compute continuum;edge;cloud;orchestration</t>
  </si>
  <si>
    <t>Cloud computing;Computational modeling;Elasticity;Dynamic scheduling;Graph neural networks;Energy efficiency;Data models;Real-time systems;Resource management;Cognitive systems</t>
  </si>
  <si>
    <t>N. Akbari; A. N. Toosi; J. Grundy; H. Khalajzadeh; M. S. Aslanpour; S. Ilager</t>
  </si>
  <si>
    <t>iContinuum: An Emulation Toolkit for Intent-Based Computing Across the Edge-to-Cloud Continuum</t>
  </si>
  <si>
    <t>10.1109/CLOUD62652.2024.00059</t>
  </si>
  <si>
    <t>Department of Software Systems and Cybersecurity, Monash University, Australia; Department of Software Systems and Cybersecurity, Monash University, Australia; Department of Software Systems and Cybersecurity, Monash University, Australia; School of Info Technology, Deakin University, Australia; Department of Software Systems and Cybersecurity, Monash University, Australia; Institute of Information Systems Engineering, TU Wien, Austria</t>
  </si>
  <si>
    <t>The Internet of Things (IoT) has led to a surge in smart devices, generating vast volumes of data. Cloud computing offers scalability but does not suffice for many real-time and privacy-sensitive IoT applications. This limitation has prompted a blend of both edge and cloud resources, creating the need for seamless integration, known as the ‚Äúcompute continuum‚Äú. Testing applications and resource management techniques within this continuum is vital but can be very complex. Simulation and emulation are preferred methods, with emulation providing more accurate representations of real-world environments. In this paper, we introduce iContinuum, a novel emulation toolkit facilitating an intent-based platform for edge-to-cloud testing and experimentation. Leveraging Software-Defined Networking (SDN) and containerization, iContinuum enables experimentation and performance evaluation while aligning application requirements with actual performance. We present our detailed architecture, implementation, and evaluation of iContinuum, showcasing how our proposed toolkit bridges the gap between simulation and real-world deployment within compute continuum environments, and further demonstrate the effectiveness of Intent-Based Scheduling through a specific use case.</t>
  </si>
  <si>
    <t>https://ieeexplore.ieee.org/stamp/stamp.jsp?arnumber=10643932</t>
  </si>
  <si>
    <t>Compute Continuum;Emulation;IBN;Intents;SDN;Container Orchestration;Kubernetes</t>
  </si>
  <si>
    <t>Cloud computing;Scalability;Emulation;Real-time systems;Internet of Things;Resource management;Surges</t>
  </si>
  <si>
    <t>R. Nathiya; S. K. P. Preethika</t>
  </si>
  <si>
    <t>Optimization of Resource Allocation in the Cloud Environment using Regression Models</t>
  </si>
  <si>
    <t>2024 5th International Conference on Smart Electronics and Communication (ICOSEC)</t>
  </si>
  <si>
    <t>10.1109/ICOSEC61587.2024.10722105</t>
  </si>
  <si>
    <t>Department of Information Technology, School of Computing Sciences, VEL‚ÄôS Institute of Science Technology and Advanced Studies, Chennai, Tamil Nadu, India; Department of Information Technology, School of Computing Sciences, VEL‚ÄôS Institute of Science Technology and Advanced Studies, Chennai, Tamil Nadu, India</t>
  </si>
  <si>
    <t>Cloud computing is a developing technology that separates computations from infrastructures making it far more effective to traditional self-hosted computing methods. It saves operating costs and has a positive environmental impact by limiting resource waste, excessive provisioning, and consumption of energy. It also helps to improve the quality of service and user experience by decreasing delays, boosting throughput, and preventing bottlenecks. This study investigates the effectiveness of using regression models to direct cloud resource allocation. The cloud environment is well-equipped to both minimize cloud costs more efficiently and respond to changing demands by making decisions based on real-time data.</t>
  </si>
  <si>
    <t>979-8-3315-0440-3</t>
  </si>
  <si>
    <t>https://ieeexplore.ieee.org/stamp/stamp.jsp?arnumber=10722105</t>
  </si>
  <si>
    <t>Resource Allocation;Cloud Environment;Predictive Analysis;Linear Regression;Multiple Linear Regressions</t>
  </si>
  <si>
    <t>Cloud computing;Costs;Limiting;Linear regression;Quality of service;Throughput;User experience;Real-time systems;Resource management;Optimization</t>
  </si>
  <si>
    <t>Y. Zhang; Z. Song; X. Lan; L. Song; Y. Li; H. Feng</t>
  </si>
  <si>
    <t>Research and Application of CPS-Based Automatic Circulation System for the Entire Silk Production Process</t>
  </si>
  <si>
    <t>2023 3rd International Conference on Electrical Engineering and Control Science (IC2ECS)</t>
  </si>
  <si>
    <t>10.1109/IC2ECS60824.2023.10493222</t>
  </si>
  <si>
    <t>Ningbo Cigarette Factory, China Tobacco Zhejiang Industry Co., Ltd., Ningbo, China; Qinhuangdao Tobacco Machinery Co., LTD., Qinhuangdao, China; Qinhuangdao Tobacco Machinery Co., LTD., Qinhuangdao, China; Ningbo Cigarette Factory, China Tobacco Zhejiang Industry Co., Ltd., Ningbo, China; Qinhuangdao Tobacco Machinery Co., LTD., Qinhuangdao, China; Ningbo Cigarette Factory, China Tobacco Zhejiang Industry Co., Ltd., Ningbo, China</t>
  </si>
  <si>
    <t>In the 2021 Tobacco Industry Cybersecurity and Informatization Work Conference, it was proposed to take ‚Äúdigital transformation as the main line and promote digital development‚Äù in order to improve the automation of batch management in the production process. Based on cyber-physical system technology, the batch circulation system for the whole silk making process was researched and applied to realize automatic batch circulation and save manpower. Microservice architecture is adopted to collect data inside the underlying PLC for upper-level use. The upper-level computer engineer station was used for human-computer interaction functions such as production monitoring, program maintenance, and application development. After using this system, the production was observed and data collected for a period of time. Compared with the manual mode, the average batch change time in the automatic mode was shortened by 10.89 minutes, and the standard deviation was reduced by 5.32; the moisture deviation was reduced by 0.152 in the automatic mode. The results showed that the time of each batch is more stable, and the batch change time has been significantly improved compared to manual operation after application of this system. The fluctuation of the batch moisture value in automatic mode was also smaller. At the level of material homogenization also had an improvement.</t>
  </si>
  <si>
    <t>979-8-3503-8242-6</t>
  </si>
  <si>
    <t>https://ieeexplore.ieee.org/stamp/stamp.jsp?arnumber=10493222</t>
  </si>
  <si>
    <t>cyber-physical systems;microservices;whole batch process;batch circulation;batch management</t>
  </si>
  <si>
    <t>Industries;Landline;Moisture;Process control;Microservice architectures;Production;Manuals</t>
  </si>
  <si>
    <t>J. Stojkovic; E. Choukse; E. Saurez; √ç. Goiri; J. Torrellas</t>
  </si>
  <si>
    <t>Mosaic: Harnessing the Micro-Architectural Resources of Servers in Serverless Environments</t>
  </si>
  <si>
    <t>10.1109/MICRO61859.2024.00103</t>
  </si>
  <si>
    <t>University of Illinois at Urbana-Champaign; Microsoft Azure Research - Systems; Microsoft Azure Research - Systems; Microsoft Azure Research - Systems; University of Illinois at Urbana-Champaign</t>
  </si>
  <si>
    <t>With serverless computing, users develop scalable applications using lightweight functions as building blocks, while cloud providers own most of the computing stack, allowing for better resource optimizations. In this paper, we observe that modern server-class processors are inefficiently utilized in serverless environments. Cores perform frequent context switches within function invocations and have a high degree of oversubscription. In such an environment, functions frequently lose their micro-architectural state in stateful hardware structures like caches, TLBs, and branch predictors, causing performance degradation. At the same time, modern processors are dimensioned for the needs of a broad set of applications, rendering them suboptimal for serverless workloads. Based on these insights, we propose Mosaic, an architecture optimized for serverless environments that maintains generality to efficiently support other workloads. Mosaic has two components: (1) MosaicCPU, a processor architecture that efficiently runs both serverless workloads and traditional monolithic applications, and (2) MosaicScheduler, a software stack for serverless systems that maximizes the benefits of MosaicCPU. MosaicCPU slices micro-architectural structures into small chunks and assigns tiles of such chunks to functions. The processor retains the state of functions in their tiles across context switches, thereby improving performance. Furthermore, currently-inactive tiles are set to a low power mode, thereby reducing energy consumption. In addition, MosaicScheduler maximizes efficiency by introducing predictive right-sizing of the per-function tiles, alongside with smart scheduling based on the state of the tiles. Overall, compared to conventional server-class processors, Mosaic improves the throughput of serverless workloads by 225% while using 22% less power.</t>
  </si>
  <si>
    <t xml:space="preserve">NSF(grant numbers:CNS 1956007,CCF 2107470,CCF 2316233); Semiconductor Research Corporation (SRC); DARPA; </t>
  </si>
  <si>
    <t>https://ieeexplore.ieee.org/stamp/stamp.jsp?arnumber=10764517</t>
  </si>
  <si>
    <t>Cloud computing;Serverless computing;Hardware partitioning</t>
  </si>
  <si>
    <t>Context;Schedules;Program processors;Processor scheduling;Full stack;Serverless computing;Computer architecture;Throughput;Rendering (computer graphics);Optimization</t>
  </si>
  <si>
    <t>M. G. Khan; J. Taheri; A. Kassler; A. B. Asl</t>
  </si>
  <si>
    <t>Graph Attention Networks and Deep Q-Learning for Service Mesh Optimization: A Digital Twinning Approach</t>
  </si>
  <si>
    <t>10.1109/ICC51166.2024.10622616</t>
  </si>
  <si>
    <t>Dep. of Mathematics and Computer Science, Karlstad University, Karlstad, Sweden; School of Electronics, Electrical Eng. and Computer Science, Queen's University Belfast, Belfast, United Kingdom; Faculty of Computer Science, Deggendorf Institute of Technology, Deggendorf, Germany; School of Eng. Sciences in Chemistry, Biotech. and Health KTH Royal Inst. of Technology, Stockholm, Sweden</t>
  </si>
  <si>
    <t>In the realm of cloud native environments, Ku-bernetes has emerged as the de facto orchestration system for containers, and the service mesh architecture, with its interconnected microservices, has become increasingly prominent. Efficient scheduling and resource allocation for these microservices play a pivotal role in achieving high performance and maintaining system reliability. In this paper, we introduce a novel approach for container scheduling within Kubernetes clusters, leveraging Graph Attention Networks (GATs) for representation learning. Our proposed method captures the intricate dependencies among containers and services by constructing a representation graph. The deep Q-learning algorithm is then employed to optimize scheduling decisions, focusing on container-to-node placements, CPU request-response allocation, and adherence to node affinity and anti-affinity rules. Our experiments demonstrate that our GATs-based method outperforms traditional scheduling strategies, leading to enhanced resource utilization, reduced service latency, and improved overall system throughput. The insights gleaned from this study pave the way for a new frontier in cloud native performance optimization and offer tangible benefits to industries adopting microservice-based architectures.</t>
  </si>
  <si>
    <t xml:space="preserve">Karlstad University; </t>
  </si>
  <si>
    <t>https://ieeexplore.ieee.org/stamp/stamp.jsp?arnumber=10622616</t>
  </si>
  <si>
    <t>component;formatting;style;styling;insert</t>
  </si>
  <si>
    <t>Industries;Cloud computing;Job shop scheduling;Q-learning;Microservice architectures;Computer architecture;Containers</t>
  </si>
  <si>
    <t>S. Weerasinghe; A. Zaslavsky; S. W. Loke; V. Moghaddam; C. Becker</t>
  </si>
  <si>
    <t>Towards World Wide Context Management: Architecting Distributed Contextual Intelligence Systems for Real-Time IoT Applications</t>
  </si>
  <si>
    <t>10.1109/MDM58254.2023.00062</t>
  </si>
  <si>
    <t>School of Information Technology, Deakin University, Burwood, Melbourne, Australia; School of Information Technology, Deakin University, Burwood, Melbourne, Australia; School of Information Technology, Deakin University, Burwood, Melbourne, Australia; School of Information Technology, Deakin University, Burwood, Melbourne, Australia; Institute of Parallel and Distributed Systems, Universit√§t Stuttgart, Stuttgart, Germany</t>
  </si>
  <si>
    <t>Context-awareness is becoming more relevant for smarter modern-day applications. With billions of IoT devices able to monitor a plethora of parameters in near real-time, inferring contextual information at scale while maintaining adequate Quality of Context and delivering in time has been non-trivial for state-of-the-art centralized Context Management Systems. Further, handling complex situations and entity relations based on local awareness are areas that still need investigation. In this paper, we propose a novel edge-computing based architecture for distributed contextual intelligence systems that could address these research problems. First, we critically evaluate the current state-of-the-art in context-awareness and establish the necessity of a distributed architecture. Then, our proposed architecture is introduced along with the protocols and algorithms accompanied by real-world examples. The paper also highlights the future direction for research work in the area.</t>
  </si>
  <si>
    <t>https://ieeexplore.ieee.org/stamp/stamp.jsp?arnumber=10214942</t>
  </si>
  <si>
    <t>Distributed Context Management Systems;Real-time applications;Context-Awareness;Internet of Things</t>
  </si>
  <si>
    <t>Data privacy;Protocols;Prototypes;Quality of service;Real-time systems;Robustness;Internet of Things</t>
  </si>
  <si>
    <t>Y. Song; Q. Fan</t>
  </si>
  <si>
    <t>Research and Implementation of Key Technologies for Power Internet of Things Access Platform</t>
  </si>
  <si>
    <t>2024 4th International Conference on Energy Engineering and Power Systems (EEPS)</t>
  </si>
  <si>
    <t>10.1109/EEPS63402.2024.10804304</t>
  </si>
  <si>
    <t>NARI Group Corporation (State Grid Electric Power Research Institute), Nanjing, China; China Mobile Group Jiangsu Co., Ltd., Nanjing, Jiangsu, China</t>
  </si>
  <si>
    <t>Based on the summary of the architecture of power automation systems and Internet of Things systems at home and abroad, further analyze the access requirements and functional requirements for the construction of power Internet of Things. In combination with the top-level architecture design of ‚Äúcloud-pipe-edge-terminal‚Äù, the system architecture design of the power IoT access platform is proposed. The system architecture includes multiple sets of modules that support the platform, compatible with the underlying hardware on the bottom and supporting micro services and micro-applications on the top. In terms of key technologies for the implementation of the new power IoT back-end system, a design method for an access platform integrating multiple IOT access modules has been proposed in response to the coexistence of traditional power terminals and new IoT terminals; Drawing on existing risk prevention methods for power systems, a multilevel and multidimensional security protection scheme for IoT access platforms is proposed. Based on the above system architecture design and key technology research, the system has been demonstrated and applied in Nanjing, and the application has proved the feasibility and correctness of the design technology ideas.</t>
  </si>
  <si>
    <t>979-8-3503-6691-4</t>
  </si>
  <si>
    <t>https://ieeexplore.ieee.org/stamp/stamp.jsp?arnumber=10804304</t>
  </si>
  <si>
    <t>component;Internet of Things;terminal access;multilevel security protection;distribution network</t>
  </si>
  <si>
    <t>Prevention and mitigation;Systems architecture;Power distribution;Reliability engineering;Smart grids;Power system reliability;Internet of Things;Security;Protection;Monitoring</t>
  </si>
  <si>
    <t>M. Tang; L. Zhang; F. Xia; C. Xu</t>
  </si>
  <si>
    <t>CPPM: a container power prediction method based on performance counters</t>
  </si>
  <si>
    <t>5th International Conference on Artificial Intelligence and Advanced Manufacturing (AIAM 2023)</t>
  </si>
  <si>
    <t>10.1049/icp.2023.2921</t>
  </si>
  <si>
    <t>Information and Telecommunication Branch, State Grid Jiangsu Electric Power Co. Ltd., Nanjing, People's Republic of China; State Grid Electric Power Research Institute, Nanjing, People's Republic of China; Information and Telecommunication Branch, State Grid Jiangsu Electric Power Co. Ltd., Nanjing, People's Republic of China; State Grid Electric Power Research Institute, Nanjing, People's Republic of China</t>
  </si>
  <si>
    <t>With the development and advancement of cloud computing, the deployment of user applications in data centers using containers have become increasingly common. In the operation and maintenance process of modern data centers, more and more attention is paid to low-carbon environmental protection and high energy efficiency. Fine-grained monitoring of container power is an important content of data center energy efficiency management. However, the power sensors provided by the hardware can only provide the overall power at the server level, which will cause us to obtain power information at a very coarse power granularity. In order to obtain fine-grained power information at the container level, we propose a container power prediction method based on performance counters. First, we train a neural network model for container power prediction, and then we input the performance counters information when the container is running into the model to predict the container power. Experimental results demonstrate that our proposed model can effectively predict container power.</t>
  </si>
  <si>
    <t>978-1-83953-983-1</t>
  </si>
  <si>
    <t>https://ieeexplore.ieee.org/stamp/stamp.jsp?arnumber=10400664</t>
  </si>
  <si>
    <t>A. Bhardwaj; S. K. Choudhary</t>
  </si>
  <si>
    <t>AI Based Decision Support System for Cyber Forensics Investigations</t>
  </si>
  <si>
    <t>2024 IEEE 4th International Conference on ICT in Business Industry &amp; Government (ICTBIG)</t>
  </si>
  <si>
    <t>10.1109/ICTBIG64922.2024.10911602</t>
  </si>
  <si>
    <t>Faculty of Communication Engineering, MCTE, Indore; Faculty of Communication Engineering, MCTE, Indore</t>
  </si>
  <si>
    <t>The increasing sophistication and frequency of cyber attacks have made advanced solutions necessary to safeguard critical systems from threats. data. AI-Based Decision Support Systems (DSS) offer a transformative approach to cyber security by leveraging artificial intelligence and machine learning to identify, assess, and mitigate risks in real time. These systems enhance decision-making processes by automating threat detection, analyzing vast datasets for anomalies, and predicting potential vulnerabilities with high precision. This essay looks at how AI-based DSS can be used in cyber security, focusing on how they can adapt to new attack vectors and offer proactive defenses. By combining advanced analytics, monitoring in real time, and smart threat response, these systems make digital infrastructures more resilient and cut down on the time it takes to respond. Key applications include intrusion detection, fraud prevention, malware analysis, and secure network management. The study also highlights the challenges of implementing AI in cyber security, such as ethical concerns, data privacy, and the need for robust training datasets.AI-based DSS represent a critical advancement in cyber security, empowering organizations to stay ahead of adversaries and establish a secure digital environment. Their potential for scalability and continual learning positions them as essential tools in addressing the dynamic and complex nature of modern cyber threats. This paper presents a case study of a real-world medical information system.</t>
  </si>
  <si>
    <t>979-8-3315-1898-1</t>
  </si>
  <si>
    <t>https://ieeexplore.ieee.org/stamp/stamp.jsp?arnumber=10911602</t>
  </si>
  <si>
    <t>cyber security</t>
  </si>
  <si>
    <t>Decision support systems;Training;Scalability;Prevention and mitigation;Medical information systems;Real-time systems;Vectors;Threat assessment;Malware;Monitoring</t>
  </si>
  <si>
    <t>M. Patwary; P. Ramchandran; S. Tibrewala; T. K. Lala; F. Kautz; E. Coronado; R. Riggio; S. Ganugapati; S. Ranganathan; L. Liu; G. Giambene; Z. Sun; M. Borst; B. Kolaz; A. Dutta; C. -M. Chen; M. Bhandaru</t>
  </si>
  <si>
    <t>10.1109/FNWF58287.2023.10520517</t>
  </si>
  <si>
    <t>Birmingham City School of Computing; eMerging Open Tech Foundation; Byte-Dance; ZcureZ Founder; SVP Engineering @ TestifySec; i2CAT; i2CAT; AT&amp;T; Intel; Wayne State University; University of Siena, Italy; University of Surrey, UK; IEEE Future Network Directions; IEEE Future Network Directions; APL, IEEE Future Networks; IEEE Future Networks; Intel</t>
  </si>
  <si>
    <t>This third edition (2023) continues to reflect the Edge service roadmap and journey with evolving key drivers and developments. It replaces the two earlier versions. 5G deployments have reached critical markets and are fast evolving towards 6G promising higher performance and near sub-millisecond latency. Higher automation in use cases fueled by AI (e.g. like ChatGPT) is expected to be the core of future applications and services. The service providers have started re-focusing on use cases that can leverage the new and improved capabilities for better average revenue per unit (ARPU) for both consumers and enterprises. Some of the edge relevant Service oriented use cases are based on key constraints (low latency, high throughput, low jitter) ‚ñ™Industrial Internet of Things (IIoT) Industry 4.0 ‚ñ™Vehicle to anything - V2X (autonomous vehicle / intelligent transportation / traveling edge) ‚ñ™Telehealth / telemedicine / remote diagnostics ‚ñ™Content delivery (with caching, real time, rich media internet applications) ‚ñ™Ad hoc, temporary or on as needed mission specific edge services (emergency, ad hoc major events, DoD combat mission, and more) ‚ñ™Enabling sustainable development edge applications. Key elements of the edge-inspired infrastructure to support such services may be noted as follows: ‚ñ™Enabling edge with AIML, e.g., OpenAI / *ChatGPT ‚ñ™Radio-based Multi-Access Edge (MEC) to provide different services ‚ñ™Real-time / near real time enabled radio control, management, and xApps based on O-RAN ‚ñ™Constraint-based edge infrastructure to optimize power, form factor, and updates to NFV-SDN with the IoT middleware standards OneM2M from ETSI to cover IoT applications ‚ñ™The focus on data privacy, security, data ‚Äúlocalization and analytics‚Äù ‚ñ™Intelligent edge microservices and applications deployed using newer infrastructure components from Semiconductor innovations e.g. DPU, IPU, etc. ‚ñ™MEC and 5G integration to support location-based edge platform API adaption ‚ñ™Small cells and private B5G networks We classify platform aspects with Edge Platform Framework (EPF) and Services with Edge Service Framework (ESF) updates and overall aspects as Edge Service and Platform Framework (ES&amp;PF) for an integrated view.</t>
  </si>
  <si>
    <t>https://ieeexplore.ieee.org/stamp/stamp.jsp?arnumber=10520517</t>
  </si>
  <si>
    <t>Technological innovation;Automation;Telemedicine;Throughput;Real-time systems;US Department of Defense;Sustainable development;Vehicle-to-everything;Standards;Vehicles</t>
  </si>
  <si>
    <t>C. Liu; H. Ren; N. Zhou; G. Li; X. Liang; W. Gui; C. Yang</t>
  </si>
  <si>
    <t>Industry-Oriented Lightweight Simulation System</t>
  </si>
  <si>
    <t>10.1109/ICPADS60453.2023.00162</t>
  </si>
  <si>
    <t>School of Future Technology, South China University of Technology, Guangzhou, China; Department of Strategic and Advanced Interdisciplinary Research, Peng Cheng Laboratory, Shenzhen, China; Department of Strategic and Advanced Interdisciplinary Research, Peng Cheng Laboratory, Shenzhen, China; School of Materials Science and Engineering, South China University of Technology, Guangzhou, China; Department of Strategic and Advanced Interdisciplinary Research, Peng Cheng Laboratory, Shenzhen, China; School of Automation, Central South University, Chang Sha, China; School of Automation, Central South University, Chang Sha, China</t>
  </si>
  <si>
    <t>In order to address the simulation requirements arising from limited computational resources, non-reusable complex models, and low-latency demands for edge devices within the realm of the Industrial Internet of Things (IIoT), we have successfully defined and developed a Lightweight Simulation System(LSS) specifically designed for industrial applications. This system draws inspiration from the architectural principles of edge and fog computing. LSS leverages an innovative architectural paradigm known as Function as a Service (FaaS), which demonstrates an even finer granularity compared to the traditional microservices architecture. Within the framework of LSS, we have discretely compartmentalized distinct operational elements, such as data acquisition and storage, model computation, and model visualization, into Docker microservices. This strategic shift in design effectively alleviates the need for developers to be overly concerned with the intricacies of server management and domain-specific industrial knowledge. Consequently, this enables them to shift their focus towards determining "what needs to be accomplished," thereby transforming the granularity of work from being server-centric to a more task-centric perspective. In comparison to simulation platforms within other frameworks, LSS distinguishes itself through its remarkable attributes, which include a lightweight structure, minimal coupling, and superior real-time performance. These unique qualities substantially enhance the collaborative, shared, and reusable capabilities of simulation systems across various dimensions. To substantiate the viability of LSS, this paper provides empirical evidence by applying it to Electrolysis and partial cascade algorithms in the context of hydrometallurgy. The results underscore the fact that the LSS system significantly improves modeling efficiency, fosters the reusability of models and algorithms, and elevates the level of industrial automation across diverse processes.</t>
  </si>
  <si>
    <t>https://ieeexplore.ieee.org/stamp/stamp.jsp?arnumber=10475928</t>
  </si>
  <si>
    <t>Lightweight;System simulation;Industrial automation;Cloud collaboration</t>
  </si>
  <si>
    <t>Computational modeling;Refining;Microservice architectures;Collaboration;Data models;Servers;Task analysis</t>
  </si>
  <si>
    <t>J. Liao; S. Song</t>
  </si>
  <si>
    <t>Research on Laboratory Security Situational Awareness System Based on Microservice Architecture</t>
  </si>
  <si>
    <t>2023 4th International Conference on Computer Engineering and Intelligent Control (ICCEIC)</t>
  </si>
  <si>
    <t>10.1109/ICCEIC60201.2023.10426709</t>
  </si>
  <si>
    <t>Sichuan University Jinjiang College, Meishan, Sichuan, China; Sichuan University Jinjiang College, Meishan, Sichuan, China</t>
  </si>
  <si>
    <t>This paper analyzes the deep causes of laboratory safety accidents and the new needs of essential safety management through the cases of laboratory safety accidents in recent years. Based on Niagara ecology and microservice architecture, the design scheme of laboratory security situation awareness system is proposed. The sensing layer deploys a variety of sensors such as temperature sensing, light sensing and inductance in the laboratory, and integrates smart sockets, smart door locks and other devices to carry out systematic and comprehensive online monitoring of the laboratory working environment. Wireless communication technologies such as NB-IOT and Wi-Fi are used for data transmission. The edge layer uses Honeywell‚Äôs JACE8000 as the data aggregation access point. After pre-processing the original data, the multi-modal sensing data of the laboratory is gathered into Huawei OceanConnect iot platform for information management and data mining, so as to realize the perception, monitoring and prediction of the laboratory security situation. Thus forming a complete laboratory security situation monitoring system.</t>
  </si>
  <si>
    <t>979-8-3503-0887-7</t>
  </si>
  <si>
    <t>https://ieeexplore.ieee.org/stamp/stamp.jsp?arnumber=10426709</t>
  </si>
  <si>
    <t>Microservices architecture;Edge computing;NB-IOT;Industrial Internet of Things;Security situation awareness</t>
  </si>
  <si>
    <t>Wireless sensor networks;Laboratories;Microservice architectures;Sensors;Security;Intelligent sensors;Monitoring</t>
  </si>
  <si>
    <t>H. Mikram; S. E. Kafhali</t>
  </si>
  <si>
    <t>AI-Driven Autonomous Systems for Optimal Management of Fog Computing Resources</t>
  </si>
  <si>
    <t>2024 7th International Conference on Advanced Communication Technologies and Networking (CommNet)</t>
  </si>
  <si>
    <t>2771-7402</t>
  </si>
  <si>
    <t>10.1109/CommNet63022.2024.10793299</t>
  </si>
  <si>
    <t>IR2M Lab, Faculty of Sciences and Techniques, Hassan First University of Settat, Settat, Morocco; IR2M Lab, Faculty of Sciences and Techniques, Hassan First University of Settat, Settat, Morocco</t>
  </si>
  <si>
    <t>Fog and edge computing bring computing, network, and storage services closer to the source of data, effectively bridging the gap between cloud infrastructure and end devices. By shifting data processing, analytics, storage, and networking closer to host devices, this technology enables real-time data processing and decision-making. Even though fog and edge computing have fewer resources compared to cloud systems, they play a crucial role in time-sensitive applications. They offer location awareness, support for user mobility, real-time interactions, low latency, high scalability, and interoperability. The increasing number of IoT applications and the resource constraints in these environments have made efficient resource management essential. This has led to the adoption of AI and machine learning. AI-driven autonomous systems optimize resource provisioning, application deployment, task placement, and service management, thereby enhancing the overall efficiency and performance of fog computing systems. This paper delves into the fog computing system, exploring the integration of AI and highlighting the significant opportunities it presents for improving distributed computing systems.</t>
  </si>
  <si>
    <t>979-8-3503-6702-7</t>
  </si>
  <si>
    <t>https://ieeexplore.ieee.org/stamp/stamp.jsp?arnumber=10793299</t>
  </si>
  <si>
    <t>Fog Computing;AI;Resource Management;Distributed Systems;Fog Continuum;Machine Learning</t>
  </si>
  <si>
    <t>Measurement;Scalability;Decision making;Data processing;Real-time systems;Energy efficiency;Resource management;Artificial intelligence;Low latency communication;Edge computing</t>
  </si>
  <si>
    <t>L. Zhou; X. Song; G. Yao; H. Wang; J. Li; S. Liu; Y. Nie</t>
  </si>
  <si>
    <t>Intelligent Sensing Terminal Distributed Computing Architecture of IoT for EMS</t>
  </si>
  <si>
    <t>2023 IEEE 14th International Symposium on Power Electronics for Distributed Generation Systems (PEDG)</t>
  </si>
  <si>
    <t>10.1109/PEDG56097.2023.10215140</t>
  </si>
  <si>
    <t>School of Electronic Information and Electrical Engineering, Shanghai Jiao Tong University, Shanghai, China; School of Electronic Information and Electrical Engineering, Shanghai Jiao Tong University, Shanghai, China; School of Electronic Information and Electrical Engineering, Shanghai Jiao Tong University, Shanghai, China; Wiscom System Co., LTD, Nanjing, China; State Key Laboratory of Power Transmission Equipment &amp; System Security and New Technology, Chongqing University, Chongqing, China; Yunnan Power Grid Co. Ltd., Electric Power Research Institute, Kunming, China; Yunnan Power Grid Co. Ltd., Electric Power Research Institute, Kunming, China</t>
  </si>
  <si>
    <t>In view of the serious fragmentation of the functions, forms, basic software and hardware of the Internet of Things intelligent perception terminal, a software architecture based on the Internet of Things intelligent perception terminal is proposed, and the software architecture is designed from the upper application aspect. At the same time, in order to achieve distributed computing in the EMS Internet of Things, a new decision algorithm has been proposed to solve the allocation problem of computing power nodes (ECNs). In addition, in order to construct a multi-terminal distributed autonomous collaborative control architecture with hierarchical structural features, three terminal autonomous collaborative methods were proposed.</t>
  </si>
  <si>
    <t>979-8-3503-2823-3</t>
  </si>
  <si>
    <t>https://ieeexplore.ieee.org/stamp/stamp.jsp?arnumber=10215140</t>
  </si>
  <si>
    <t>Internet of Things (IoT);Intelligent Sensing Terminal;Distributed computing architecture;Decision Algorithms;Energy Management System (EMS)</t>
  </si>
  <si>
    <t>Software architecture;Software algorithms;Collaboration;Computer architecture;Software;Sensors;Internet of Things</t>
  </si>
  <si>
    <t>T. S. Nikoui; A. Balador; A. M. Rahmani; H. Tabarsaied</t>
  </si>
  <si>
    <t>Presenting an Edge-based Air Quality Management System for Smart City Scenarios</t>
  </si>
  <si>
    <t>2023 14th International Conference on Information and Knowledge Technology (IKT)</t>
  </si>
  <si>
    <t>2476-2180</t>
  </si>
  <si>
    <t>10.1109/IKT62039.2023.10433054</t>
  </si>
  <si>
    <t>Department of Computer Engineering, Science and Research Branch, Islamic Azad University, Tehran, Iran; M√§lardalens University, V√§ster√•s, Sweden; Department of Computer Engineering, Science and Research Branch, Islamic Azad University, Tehran, Iran; Department of Computer Engineering, South Tehran Branch, Islamic Azad University, Tehran, Iran</t>
  </si>
  <si>
    <t>The IoT as a fast-growing topic attracts attention from the research communities and business owners since the IoT paradigm can improve the ease of life and present new opportunities. The smart city scenario offers technology-based facilities for citizens to enhance their quality of life, public safety, and disaster management. Smart city context includes multiple subsystems with massive numbers and different types of IoT devices. This study focuses on implementing an edge-based air quality management system and presents the requirement analysis phase as the first step to outline the essential requirements. Considering this phase, the presented architecture is defined to improve availability, scalability, and interoperability. Moreover, it provides data analysis and alerting functionalities. The system is implemented using open-source technologies to decrease the cost of development and improve time to market. In addition, several REST APIs are provided to achieve higher interoperability and more efficient integration. The system is evaluated using a real data set, and the presented results indicate that using this model can improve time efficiency while meeting non-functional requirements.</t>
  </si>
  <si>
    <t>979-8-3503-4941-2</t>
  </si>
  <si>
    <t>https://ieeexplore.ieee.org/stamp/stamp.jsp?arnumber=10433054</t>
  </si>
  <si>
    <t>Edge computing;Smart city;Air quality management system;Message queuing system;Container-based infrastructure</t>
  </si>
  <si>
    <t>Smart cities;Scalability;Time to market;Air quality;Internet of Things;Interoperability;Quality management</t>
  </si>
  <si>
    <t>K. Ordoumpozanis; G. Trichopoulos; G. Caridakis</t>
  </si>
  <si>
    <t>C-LINK Agent. Connecting social media post generation with recommender systems*</t>
  </si>
  <si>
    <t>2024 19th International Workshop on Semantic and Social Media Adaptation &amp; Personalization (SMAP)</t>
  </si>
  <si>
    <t>10.1109/SMAP63474.2024.00030</t>
  </si>
  <si>
    <t>Department of Cultural Technology and Communication, University of the Aegean, Mytilene, Greece; Department of Cultural Technology and Communication, University of the Aegean, Mytilene, Greece; Department of Cultural Technology and Communication, University of the Aegean, Mytilene, Greece</t>
  </si>
  <si>
    <t>Social Media Posts are one of the main communication paths that businesses of every size utilize in order to inform their audience. Recommender systems often struggle to get real time updates from social media posts, due either to platform terms of uses, or users that are not aware of. This case study presents a theoretical workflow of building an AI "team of experts" type agent that acts as an intermediate between users and recommender systems. It is the first part of a study on process trying to utilize Generative Artificial Intelligence in order to automatically create social media posts for users and at the same time convert, organize and store each post on an open database able for any recommender system to access in real time. The framework is also proposed to serve as a common experimental platform for AI agent design researchers, enabling comparative studies on various aspects</t>
  </si>
  <si>
    <t>979-8-3315-0450-2</t>
  </si>
  <si>
    <t>https://ieeexplore.ieee.org/stamp/stamp.jsp?arnumber=10859064</t>
  </si>
  <si>
    <t>Recommender systems;AI Agents;Framework;Social Media;Large Language Models</t>
  </si>
  <si>
    <t>Social networking (online);Generative AI;Databases;Buildings;Real-time systems;Recommender systems;Business</t>
  </si>
  <si>
    <t>A. Dutta; E. Hammad; M. Enright; F. Behmann; A. Chorti; A. Cheema; K. Kadio; J. Urbina-Pineda; K. Alam; A. Limam; F. Chu; J. Lester; J. -G. Park; J. Bio-Ukeme; S. S. Pawar; R. Layton; P. Ramchandran; K. Okonkwo; L. Ong; M. Emmelmann; O. Issa; R. Arul; S. Malik; S. Krishnan; S. Sugumar; T. Lala; B. Chng; B. Rawal; T. Sajid; H. Lai; G. Carvalho; M. Borst; B. Kloza</t>
  </si>
  <si>
    <t>10.1109/FNWF58287.2023.10520409</t>
  </si>
  <si>
    <t>John's Hopkins University / Applied Physics Lab, Security Working Group Co-Chair; Texas A&amp;M University, Security Working Group Co-Chair; Quantum Dimension, Inc.; IEEE ComSoc North America Regional Board, TelNet Management Consulting, Inc.; ENSEA, CNRS; Shared Services, Canada; Shared Services, Canada; IEEE HKN Member and CyberIIoT CEO; Rogers Communications (Formerly); Higher Institute of Engineering and Technology (ESPRIT); University of California, Los Angeles; Our Lady of Fatima University Valenzuela, Philippines; Seoul National University of Science and Technology; Carleton University; Usha Mittal University of Technology; Aalborg University; Intel; Chevron; Ciena; Fraunhofer FOKUS; Department of National Defence, Canada; Amrita Vishwa Vidyapeetham; T-Mobile; National Library of Medicine; Intel Corporation; ZecureZ Consulting Company; Bawman LLC; Gannon University; Comcast; Haobo Lai Associates; Brock University; IEEE Future Networks Initiative; IEEE Future Networks Initiative</t>
  </si>
  <si>
    <t>5G/6G technologies provide ubiquitous connectivity while also addressing the demands of both individual consumers and businesses [1]. 5G/6G technologies are expected to provide higher throughput, lower latency, higher density and mobility range without compromising reliability. By virtue of its flexibility and an agile development methodology that uses modular network functions, 5G/6G Networks support various use cases that are both scalable and cost-effective. 6G can support exciting new use cases, including massive IoT, smart transportation, e-Health, smart cities, tactile computing, kinesthetic communication, and holographic interactions. 5G and beyond technologies present a paradigm shift of wireless mobile communication[1].</t>
  </si>
  <si>
    <t>https://ieeexplore.ieee.org/stamp/stamp.jsp?arnumber=10520409</t>
  </si>
  <si>
    <t>5G Cybersecurity;security;privacy;data protection;reliability;resilience;mMTC;URLLC;SDN / NFV;cyber risk assessment and management;threat scenarios;cyber-attacks;security controls;mitigation;defense</t>
  </si>
  <si>
    <t>Wireless communication;Privacy;5G mobile communication;Smart cities;Throughput;Smart transportation;Security;Risk management;Reliability;Computer crime</t>
  </si>
  <si>
    <t>P. R. B. da Silva; J. P. S. H. Lima; V. Afanasiev; L. H. M. S. Eduardo Mel√£o; M. S. P. Facina</t>
  </si>
  <si>
    <t>Demonstration of Open Radio Access Network Intelligent Controllers</t>
  </si>
  <si>
    <t>2023 Wireless Telecommunications Symposium (WTS)</t>
  </si>
  <si>
    <t>2690-8336</t>
  </si>
  <si>
    <t>10.1109/WTS202356685.2023.10131759</t>
  </si>
  <si>
    <t>Centro de Pesquisa e Desenvolvimento em Telecomunica√ß√µes, Campinas, SP, Brazil; Centro de Pesquisa e Desenvolvimento em Telecomunica√ß√µes, Campinas, SP, Brazil; Centro de Pesquisa e Desenvolvimento em Telecomunica√ß√µes, Campinas, SP, Brazil; Centro de Pesquisa e Desenvolvimento em Telecomunica√ß√µes, Campinas, SP, Brazil; Centro de Pesquisa e Desenvolvimento em Telecomunica√ß√µes, Campinas, SP, Brazil</t>
  </si>
  <si>
    <t>The control of the Open Radio Access Network (RAN) architecture via a RAN Intelligent Controller (RIC) is one of the main innovations in the next-generation mobile communication network. This paper analyzes three of the most significant RIC designs using apps that monitor key performance metrics. In this way, it is possible to compare these designs in terms of functionality, highlighting their potential for practical implementation.</t>
  </si>
  <si>
    <t>978-1-6654-9092-4</t>
  </si>
  <si>
    <t>https://ieeexplore.ieee.org/stamp/stamp.jsp?arnumber=10131759</t>
  </si>
  <si>
    <t>Open RAN;RIC;demo;Machine Learning;xApps</t>
  </si>
  <si>
    <t>Wireless communication;Measurement;Technological innovation;Mobile communication;Next generation networking;Monitoring;Radio access networks</t>
  </si>
  <si>
    <t>A. Hilt; J. Zem√°n; G. J√°r√≥</t>
  </si>
  <si>
    <t>Dimensioning Challenges of Telecommunication Network Elements Migrating Onto the Cloud (Invited Paper)</t>
  </si>
  <si>
    <t>2024 International Conference on Broadband Communications for Next Generation Networks and Multimedia Applications (CoBCom)</t>
  </si>
  <si>
    <t>2834-8265</t>
  </si>
  <si>
    <t>10.1109/CoBCom62281.2024.10631212</t>
  </si>
  <si>
    <t>CNS, Cloud and Network Services, Nokia, Budapest, Hungary; CNS, Cloud and Network Services, Nokia, Budapest, Hungary; CNS, Cloud and Network Services, Nokia, Budapest, Hungary</t>
  </si>
  <si>
    <t>The excursion on the long road of telecommunications is continuously evolving. Newer mobile generations, optimizations, modernizations, technology changes, and various mergers have been experienced in the past decades. Different drivers continuously shift physical network elements towards software (SW) only deployments in all IP telecommunication networks. The decoupling of application SW from hardware (HW) is accelerated by virtualization. The ‚Äòcloudification‚Äô of legacy telecommunication equipment made communication networks not only more flexible, but also opened new doors. Brand new services became available thanks to the ongoing fusion of two domains: telecommunications and IT (Information Technology). A new era called ‚ÄòTelco-Cloud‚Äô was born. One original goal was to use commercial IT computing servers as HW platform hoping cost efficiency. Another expected benefit was the prompt use of existing experience in the operation and maintenance of IT HW in Data Centers. More and more network functions are virtualized on top of IT HW nowadays. However, the strict requirements of the legacy-Physical Network Function (PNF) based-telecommunications mandate special configurations and practices on cloud. The rapidly increasing amount of Virtual Network Functions (VNFs) and Cloud-native Network Functions (CNFs) introduces new concepts for dimensioning, deployment, operation, management, and monitoring. Some availability and operability requirements and expectations are inherited from the legacy PNF domain, meanwhile the telecommunication world itself undergoes a continuous change towards Telco-Cloud and 5G/6G. This paper overviews the evolution steps to Telco-Cloud. The challenges in the dimensioning and availability design are discussed, and some concepts and examples are presented on NF and network levels.</t>
  </si>
  <si>
    <t>979-8-3503-8845-9</t>
  </si>
  <si>
    <t xml:space="preserve">Nokia CNS; </t>
  </si>
  <si>
    <t>https://ieeexplore.ieee.org/stamp/stamp.jsp?arnumber=10631212</t>
  </si>
  <si>
    <t>Cloud;PNF;VNF;CNF;TAS;dimensioning;capacity;traffic profile;pooling;availability;redundancy</t>
  </si>
  <si>
    <t>Cloud computing;Roads;Software;Telecommunications;Software reliability;Telecommunication network reliability;Servers</t>
  </si>
  <si>
    <t>C. J. A. C; N. K. Saxena; A. Jain; R. Saxena; J. Srivastava; E. Khatri; K. Gulati</t>
  </si>
  <si>
    <t>IoT-Enabled Predictive Analytics for Asset Management in Smart Cities</t>
  </si>
  <si>
    <t>2024 Ninth International Conference on Science Technology Engineering and Mathematics (ICONSTEM)</t>
  </si>
  <si>
    <t>10.1109/ICONSTEM60960.2024.10568761</t>
  </si>
  <si>
    <t>Department of Management, Measi Institute Of Management, Tamilnadu, India; Jaipuria School of Business, Uttar Pradesh, India; Department of Commerce and Management, Poddar International College Mansarovar Jaipur, University of Rajasthan, Jaipur, Rajasthan, India; I.T.S School of Management, Uttar Pradesh, India; Amity school of Architecture and planning, Amity University, Rajasthan, India; Department of Management Studies, Nitte Meenakshi Institute of Technology, Bengaluru, Karnataka, India; Amity University, Noida, India</t>
  </si>
  <si>
    <t>The use of prophetic analytics that are enabled by the Internet of Effectsto achieve effective asset operation within smart cities. structure and resource operation are being bettered through the perpetration of Internet of Effects (IoT) technologies in smart metropolises, which are being enforced in the environment of fleetly growing urbanization. The purpose of this study is to probe the integration of Internet of effects bias with prophetic analytics algorithms to anticipate the need for asset conservation and optimize this allocation of coffers. The use of prophetic analytics allows for the soothsaying of outfit failures, the identification of conservation conditions, and the enhancement of asset performance. This is fulfilled by booby-trapping real-time data from linked bias, similar as detectors bedded in structure. Several different prophetic analytics styles, the difficulties associated with putting them into practice, and the implicit impact they could have on asset operation practices in smart metropolises are all estimated in this paper. In conclusion, the findings punctuate the transformational eventuality of prophetic analytics offered by the Internet of Effects (IoT) in terms of perfecting effectiveness, lowering costs, and supporting sustainability within civic surroundings.</t>
  </si>
  <si>
    <t>979-8-3503-6509-2</t>
  </si>
  <si>
    <t>https://ieeexplore.ieee.org/stamp/stamp.jsp?arnumber=10568761</t>
  </si>
  <si>
    <t>IoT;Predictive Analytics;Asset Management;Smart Cities;Urban Infrastructure;Resource Optimization;Sustainability</t>
  </si>
  <si>
    <t>Smart cities;Detectors;Real-time systems;Mathematics;Internet of Things;Resource management;Sustainable development</t>
  </si>
  <si>
    <t>H. Liu; S. Liu; S. Long; Q. Deng; Z. Li</t>
  </si>
  <si>
    <t>Joint Optimization of Model Deployment for Freshness-Sensitive Task Assignment in Edge Intelligence</t>
  </si>
  <si>
    <t>10.1109/INFOCOM52122.2024.10621314</t>
  </si>
  <si>
    <t>School of Computer Science, Xiangtan University, Xiangtan, China; School of Computer Science, Xiangtan University, Xiangtan, China; College of Information Science and Technology, Jinan University, Guangzhou, China; Key Lab of Education Blockchain and Intelligent Technology, Guangxi Normal University, Guilin, China; College of Information Science and Technology, Jinan University, Guangzhou, China</t>
  </si>
  <si>
    <t>Edge Intelligence aims to push deep learning (DL) services to network edge to reduce response time and protect privacy. In implementations, proximity deployment of DL models and timely updates can improve the quality of experience (QoE) for users, but increase the operation cost as well as pose a challenge for task assignment. To address the challenge, a joint online optimization problem for DL model deployment (including placement and update) and freshness-sensitive task assignment is formulated to improve QoE and application service provider (ASP) profit. In the problem, we introduce the age of information (AOI) to quantify the freshness of the DL model and represent user QoE as an AOI based utility function. To solve the problem, an online model placement, update, and task assignment (MPUTA) algorithm is proposed. It first converts the time-slot coupled problem into a single time-slot problem using the regularization technique, and decomposes the single time-slot problem into model deployment and task assignment subproblems. Then, using the randomized round technique to deal with the model deployment subproblem and the graph matching technique to solve the task assignment subproblem. In simulation experiments, MPUTA is shown to outperform other benchmark algorithms in terms of both user QoE and ASP profit.</t>
  </si>
  <si>
    <t>https://ieeexplore.ieee.org/stamp/stamp.jsp?arnumber=10621314</t>
  </si>
  <si>
    <t>Edge Intelligence;Age of Information;Model Deployment;Task Assignment</t>
  </si>
  <si>
    <t>Measurement;Deep learning;Privacy;Computational modeling;Heuristic algorithms;Information age;Quality of experience</t>
  </si>
  <si>
    <t>U. Raut; M. Singh; R. Patade; S. Patil; P. Meswania</t>
  </si>
  <si>
    <t>A Novel Approach to Charging Infrastructure Management: Empowering Electric Mobility in India</t>
  </si>
  <si>
    <t>2024 International Conference on Artificial Intelligence and Quantum Computation-Based Sensor Application (ICAIQSA)</t>
  </si>
  <si>
    <t>10.1109/ICAIQSA64000.2024.10882376</t>
  </si>
  <si>
    <t>Department of Computer Engineering and Technology, Dr. Vishwanath Karad MIT World Peace University, Pune, India; Department of Computer Engineering and Technology, Dr. Vishwanath Karad MIT World Peace University, Pune, India; Department of Computer Engineering and Technology, Dr. Vishwanath Karad MIT World Peace University, Pune, India; Department of Computer Engineering and Technology, Dr. Vishwanath Karad MIT World Peace University, Pune, India; Department of Computer Engineering and Technology, Dr. Vishwanath Karad MIT World Peace University, Pune, India</t>
  </si>
  <si>
    <t>The Electric Vehicle (EV) market in India is expanding, leading to a surge in the number of EVs across the country. Managing this influx of users within India's population presents a significant challenge. As a result, there is a need for an accessible charging infrastructure to support stakeholders such as Charging Point Operators (CPO), Distribution Companies (DISCOM) and EV owners. Alongside addressing this, it is crucial to optimize existing infrastructure components, develop techniques for power management and minimize energy wastage. This paper proposes the development of a one-fits all software that would allow EV drivers to locate and reserve slots at charging stations using their personal devices like mobile phones. By sharing their vehicle information like specifications and power requirements, with CPOs and Utility companies, efficient scheduling of power and its distribution can be facilitated. This approach aims to ensure the safety of grid integration and efficient crowd control at charging stations.</t>
  </si>
  <si>
    <t>979-8-3315-1795-3</t>
  </si>
  <si>
    <t>https://ieeexplore.ieee.org/stamp/stamp.jsp?arnumber=10882376</t>
  </si>
  <si>
    <t>Electric Vehicles (EV);Power;Charging;Techniques;Stations</t>
  </si>
  <si>
    <t>Quantum computing;Processor scheduling;Companies;Charging stations;Electric vehicles;Software;Safety;Stakeholders;Surges;Vehicles</t>
  </si>
  <si>
    <t>J. Sychowiec; Z. Zieli≈Ñski</t>
  </si>
  <si>
    <t>An Experimental Framework for Secure and Reliable Data Streams Distribution in Federated IoT Environments</t>
  </si>
  <si>
    <t>2023 18th Conference on Computer Science and Intelligence Systems (FedCSIS)</t>
  </si>
  <si>
    <t>10.15439/2023F3882</t>
  </si>
  <si>
    <t>Cybernetics Faculty, Military University of Technology, Warsaw, Poland; Cybernetics Faculty, Military University of Technology, Warsaw, Poland</t>
  </si>
  <si>
    <t>An increasing number of Internet of Things (IoT) applications are based on a federated environment. Examples include the creation of federations of NATO countries and non- NATO entities participating in missions (Federated Mission Networking) or the interaction of civilian services and the military when providing Humanitarian Assistance And Disaster Relief. Federations are often formed on an ad hoc basis, with the primary goal of combining forces in a federated mission environment at any time, on short notice, and with optimization of the resources involved. One of the leading security challenges in a federated environment of separate IoT administrative domains is effective identity and access management, which is the basis for establishing a relationship of trust and secure communication between IoT devices belonging to different partners. When carrying out missions involving the military and ensuring security, meeting requirements for immediate inter operability is important. In the paper, an attempt has been made to develop a system architecture framework for secure and reliable data streams distribution in a multi-organizational federation environment, where data authentication is based on IoT device identity (fingerprint). Moreover, a hardware-software IoT gateway has been proposed for the verification process and the integration of Hyperledger Fabric's distributed ledger technology, the Apache Kafka message broker, and data-processing microservices implemented using the Kafka Streams API library. The performance tests conducted confirm the suitability of the developed system framework for processing and distributing audiovideo data in a federation IoT environment. Also, a high-level security and reliability assessment was conducted in the paper.</t>
  </si>
  <si>
    <t>978-83-967447-8-4</t>
  </si>
  <si>
    <t>https://ieeexplore.ieee.org/stamp/stamp.jsp?arnumber=10306035</t>
  </si>
  <si>
    <t>Internet of Things;Blockchain;Distributed Ledgers;Device Authentication</t>
  </si>
  <si>
    <t>Performance evaluation;Distributed ledger;Authentication;Systems architecture;Microservice architectures;Internet of Things;Security</t>
  </si>
  <si>
    <t>C. C. Gonz√°lez; E. F. Pupo; J. Montalban; E. Iradier; P. Angueira; M. Murroni</t>
  </si>
  <si>
    <t>Federated Learning-based Unicast/Multicast Service Delivery over 6G O-RAN Framework</t>
  </si>
  <si>
    <t>10.1109/BMSB62888.2024.10608261</t>
  </si>
  <si>
    <t>University of Cagliari, Sardinia, Italy; University of Cagliari, Sardinia, Italy; University of the Basque Country, Bilbao, Spain; University of the Basque Country, Bilbao, Spain; University of the Basque Country, Bilbao, Spain; University of Cagliari, Sardinia, Italy</t>
  </si>
  <si>
    <t>The path toward the envisioned International Mobile Telecommunications (IMT)-2030 requires seamless terrestrial and non-terrestrial networks (TNs-NTNs) convergence and shared unicast/multicast capability to face the critical 6G research verticals. The Multicast/Broadcast Services (MBS) paradigm over three-dimensional (3D) heterogeneous networks adds new degrees of freedom during coverage planning and service delivery. Embedding these technologies into an Open Radio Access Network (RAN), such as the softwarized and disaggregated architecture promoted by the O-RAN Alliance, enables native intelligent solutions with extreme flexibility. Hence, we propose a solution for shared unicast/multicast service delivery over a TN-airborne connectivity in the 6G O-RAN architecture. We present a dynamic TN-NTN selection and slice allocation algorithm based on Federated Double Deep Q-Network (FDDQN) inserted into a novel O-RAN scenario. The proposal is validated through link-level simulations, evaluating diverse network conditions and service constraints, several concurrent users, and the impact of slicing resource utilization.</t>
  </si>
  <si>
    <t>https://ieeexplore.ieee.org/stamp/stamp.jsp?arnumber=10608261</t>
  </si>
  <si>
    <t>6G;Federated Deep Reinforcement Learning;Multicast/Broadcast Services;O-RAN;TN-NTN</t>
  </si>
  <si>
    <t>6G mobile communication;Three-dimensional displays;Heuristic algorithms;Simulation;Satellite broadcasting;Open RAN;Computer architecture</t>
  </si>
  <si>
    <t>S. Gei√üler; T. Ho√üfeld</t>
  </si>
  <si>
    <t>Performance Evaluation of Next-Generation Data Plane Architectures and their Components</t>
  </si>
  <si>
    <t>10.1109/NOMS56928.2023.10154434</t>
  </si>
  <si>
    <t>Chair of Communication Networks, University of W√ºrzburg, W√ºrzburg, Germany; Chair of Communication Networks, University of W√ºrzburg, W√ºrzburg, Germany</t>
  </si>
  <si>
    <t>Modern services like video conferencing, video streaming or cloud gaming, but also technologies like the Internet of Things, are all relying on the availability of reliable, high speed network connectivity. The resulting requirements imposed on the underlying network infrastructure are highly complex, leading to the emergence of network softwarization with its instances Software-Defined Networking (SDN) and Network Function Virtualization (NFV). In this work, we develop mechanisms to assess the performance of software-based network components and architectures by means of measurements, simulation and numerical analysis. We develop tools and concepts to monitor, evaluate and optimize the performance of both single network components and complex interconnected systems.</t>
  </si>
  <si>
    <t>https://ieeexplore.ieee.org/stamp/stamp.jsp?arnumber=10154434</t>
  </si>
  <si>
    <t>Performance evaluation;Analytical models;TV;Systems modeling;Streaming media;Network function virtualization;Software defined networking</t>
  </si>
  <si>
    <t>V. Patil; S. Bagalkot; K. M. Rohit Guru</t>
  </si>
  <si>
    <t>Block Chain Based Voting System</t>
  </si>
  <si>
    <t>2024 IEEE International Conference for Women in Innovation, Technology &amp; Entrepreneurship (ICWITE)</t>
  </si>
  <si>
    <t>10.1109/ICWITE59797.2024.10502514</t>
  </si>
  <si>
    <t>Computer Science and Engineering, KLE Institute of Technology; Computer Science and Engineering, RRCE Bangalore; Computer Science and Engineering, KLE Institute of Technology</t>
  </si>
  <si>
    <t>As we as a whole realize that casting ballot extortion is basic in India and furthermore in many created nations as well. There have been a few activities to lessen casting a ballot misrepresentation, for instance, the utilization of EVM machines in India. In the event that we can utilize some innovation to ensure against something similar. Here comes the utilization of Blockchain, a blockchain is a protected conveyed record that is constant and utilizes cryptographic techniques to execute the given properties. In this task, we plan a proposition for setting up the best answer for a blockchain casting a ballot decentralized applications(DApp) that consolidates citizen self-sovereign-ID and undeniable voting form arrangement. We will utilize brilliant agreements to execute the standards set up by the Election commission of India. Our proposition tends to the essential standards and shows key capacities and contemplations for a completely supported drive and improved elector end up, progressing commitment, and tremendous expense investment funds by limiting blunders and manual information passage and framework organization for heritage frameworks. We accept that an electronic democratic DApp ought to be reason-driven, the local area situated, in view of open guidelines for blockchain advancements, citizen protection, and security as a goal, and autonomous check and straightforwardness for polling from the organization.</t>
  </si>
  <si>
    <t>979-8-3503-8328-7</t>
  </si>
  <si>
    <t>https://ieeexplore.ieee.org/stamp/stamp.jsp?arnumber=10502514</t>
  </si>
  <si>
    <t>blockchain;DApp;smart contract;Multi-factor authentication;truffle suite</t>
  </si>
  <si>
    <t>Casting;Technological innovation;Limiting;Voting;Standards organizations;Organizations;Manuals</t>
  </si>
  <si>
    <t>M. ≈Ωiviƒá; D. Nemec; ≈Ω. Bojoviƒá</t>
  </si>
  <si>
    <t>MQTT protocol in IoT environment: Comparison with CoAP and ZeroMQ protocols</t>
  </si>
  <si>
    <t>2023 31st Telecommunications Forum (TELFOR)</t>
  </si>
  <si>
    <t>10.1109/TELFOR59449.2023.10372710</t>
  </si>
  <si>
    <t>Advanced Analytics and AI Raiffeisen banka a.d. Beograd, Belgrade, Serbia; Faculty of Tecnical Science, University of Novi Sad, Novi Sad, Serbia; Faculty of Tecnical Science, University of Novi Sad, Novi Sad, Serbia</t>
  </si>
  <si>
    <t>The MQTT protocol is used today in various IoT applications, most often where it is necessary to support different levels of service quality in resource-constrained environments. By using it, it is possible to ensure a significantly higher level of programmability, making the IoT solution more flexible, reliable and scalable. However, in addition to MQTT, other protocols are also implemented in such environments. The aim of this research is to perform tests with different protocols in a near-realistic environment and to identify all the advantages and shortcomings that characterize the application of MQTT and other tested protocols.</t>
  </si>
  <si>
    <t>979-8-3503-0313-1</t>
  </si>
  <si>
    <t>https://ieeexplore.ieee.org/stamp/stamp.jsp?arnumber=10372710</t>
  </si>
  <si>
    <t>MQTT;ZeroMQ;CoAP;IoT</t>
  </si>
  <si>
    <t>Protocols;Sensitivity;Throughput;Real-time systems;Peer-to-peer computing;Telecommunications;Internet of Things</t>
  </si>
  <si>
    <t>R. Batra; S. Kumar; M. Bargavi</t>
  </si>
  <si>
    <t>A Review of Implementing Exploring Mobile Edge Computing within the Framework of 5G and 6G Networks</t>
  </si>
  <si>
    <t>2023 International Conference on Advances in Computation, Communication and Information Technology (ICAICCIT)</t>
  </si>
  <si>
    <t>10.1109/ICAICCIT60255.2023.10465965</t>
  </si>
  <si>
    <t>Department of Mechanical Engineering, Noida Institute of Engineering and Technology, Greater Noida, Uttar Pradesh, India; Department of Computer Science and Engineering, Tula's Institute, Dehradun, India; Department of Computer Science and Information Technology, Jain (Deemed to be University), Bangalore, India</t>
  </si>
  <si>
    <t>The integration of edge computing is critical to the development of Beyond 5G (B5G) and 6G networks, as the volume of data and processing demands continue to rise. Using the radio access network (RAN), mobile edge computing (MEC) is essential for putting advanced cloud computing features in close proximity to end users. Even though MEC and its possible applications have been thoroughly studied, there hasn't been much conversation about the crucial elements required for MEC to be deployed successfully in order to satisfy various application demands. The important considerations that must be made while establishing edge infrastructure in B5G and 6G networks are outlined in this article. These factors include things like user density, server location, capacity, edge architecture, and security protocols. Moreover, it includes concrete assessments of edge computing-dependent applications, such forecasting and video conversion using deep learning. Additionally, the study provides insightful viewpoints that clarify open research questions related to edge computing within the framework of 6G networks.</t>
  </si>
  <si>
    <t>979-8-3503-4438-7</t>
  </si>
  <si>
    <t>https://ieeexplore.ieee.org/stamp/stamp.jsp?arnumber=10465965</t>
  </si>
  <si>
    <t>Distributed computing;Next-generation 6G communication networks;Edge processing;and Cloud computing</t>
  </si>
  <si>
    <t>6G mobile communication;Cloud computing;Multi-access edge computing;Protocols;5G mobile communication;Reviews;Oral communication</t>
  </si>
  <si>
    <t>N. Ahmed</t>
  </si>
  <si>
    <t>On The Practicality of Blockchain-based Security and Privacy for Next Generation SDN</t>
  </si>
  <si>
    <t>10.1109/WINCOM59760.2023.10322974</t>
  </si>
  <si>
    <t>U.S Air Force Research Laboratory/RIS, Rome, NY, USA</t>
  </si>
  <si>
    <t>There has been an increased interest in securing Software Defined Networking (SDN) with Blockchain in recent years. Although Blockchain offers robust defensive security for some applications, its security feature-set does not align well with SDN‚Äôs security requirements in a practical setting. This is due to the distributed nature of the state-of-the-art SDN controller services. In this paper, we give a comprehensive architectural analysis of the core Blockchain security feature-set and SDN‚Äôs virtualization fabric. Then, we introduce a practical Blockchain-based security and privacy-preserving framework, and discuss the design and implementation of the security services for future generation SDN controllers. This is to entice research on the subject from an architectural prospective.</t>
  </si>
  <si>
    <t>https://ieeexplore.ieee.org/stamp/stamp.jsp?arnumber=10322974</t>
  </si>
  <si>
    <t>Blockchain;Direct Acyclic Graph;Software Defined Networking;Security;Privacy;Micro Services;ZeroMQ Messaging</t>
  </si>
  <si>
    <t>Performance evaluation;Privacy;Wireless networks;Routing;Fabrics;Blockchains;Security</t>
  </si>
  <si>
    <t>D. Remedios; L. Levrau; S. Kanugovi; S. Kallio</t>
  </si>
  <si>
    <t>Design for sustainability - an imperative for future mobile networks</t>
  </si>
  <si>
    <t>10.1109/COMSNETS56262.2023.10041347</t>
  </si>
  <si>
    <t>Nokia, Kanata, Canada; Nokia, Massy, France; Nokia, Bengaluru, India; Nokia, Espoo, Finland</t>
  </si>
  <si>
    <t>While the pressure significantly increases in acting towards energy efficiency of communication networks, there is the ever-increasing demand for faster data rates and higher capacities to support a plethora of applications across all industrial and societal sectors driven by exponential traffic growth. Besides, there is a growing concern towards the adverse impacts of climate change, scarcity of raw materials, the rising cost of energy, as well as inequity and bias in the use of technology. Therefore, in addition to the conventional KPIs, key dimensions to be considered for now and in the future is the environmental footprint, energy consumption, resource usage, as well as, inclusivity and fairness. The paper discusses the opportunities, design aspects, challenges and tradeoffs to improve energy efficiency and responsible use of technology, in building sustainable networks for the future.</t>
  </si>
  <si>
    <t>https://ieeexplore.ieee.org/stamp/stamp.jsp?arnumber=10041347</t>
  </si>
  <si>
    <t>Energy Efficiency;Sustainable AI;6G mobile networks</t>
  </si>
  <si>
    <t>Energy efficiency;6G mobile communication;Climate change;Artificial intelligence;Mobile communication;Sustainable development</t>
  </si>
  <si>
    <t>R. Liu; S. Shinde; L. Tahvildari; M. Stoodley; V. Sundaresan; M. Pirvu</t>
  </si>
  <si>
    <t>Using Semeru Cloud Compiler to Enhance Cloud-Native Java Application Performance</t>
  </si>
  <si>
    <t>2024 34th International Conference on Collaborative Advances in Software and COmputiNg (CASCON)</t>
  </si>
  <si>
    <t>10.1109/CASCON62161.2024.10838216</t>
  </si>
  <si>
    <t>Dept. of Electrical and Computer Engineering, University of Waterloo; Dept. of Electrical and Computer Engineering, University of Waterloo; Dept. of Electrical and Computer Engineering, University of Waterloo; IBM, Canada; IBM, Canada; IBM, Canada</t>
  </si>
  <si>
    <t>Java-based applications rely on just-in-time (JIT) compilation to convert bytecode into machine code at run-time to improve throughput. However, JIT compilation is achieved at the cost of additional CPU cycles and memory. In the context of modern cloud, where applications have limited computing resources due to containerization, JIT compilation may potentially become a pain-point. The Semeru Cloud Compiler (SCC) is a promising solution that offloads JIT compilation to a remote cloud compiler to reduce the local overhead of JIT compilation in containers. In this paper, we outline novel research directions to further leverage the advantages of remote cloud compilation by extending the SCC to achieve two goals: (i) reduce application start-up time and (ii) improve JIT compilation decision making. To reduce application start-up time, the proposed enhancement is to extract unused or unlikely to be used Java class files from container images. The SCC can still provide the extracted class files to the client JVM if any turn out to be needed. Our preliminary experiments show that this approach can potentially reduce container image sizes by up to 22.1% and start-up times by up to 9.2% for certain applications. To reduce JIT compilation overhead, the proposed enhancement is to perform dynamic analysis of the Java application using the additional resources on the server-side. In turn, the remote JIT compilation can make more informed decisions regarding which methods to compile and optimizations to apply. We are also developing a novel visualization tool designed to help JIT compiler developers identify pain points in current JIT compilation heuristics. Specifically, we have measured that up to 18.9% of JIT compilations for certain applications may be sub-optimal due to later method inlining, and we are investigating how the SCC could help to avoid these potentially wasted compile-time computations by using information learned from other JVM clients.</t>
  </si>
  <si>
    <t>979-8-3315-0483-0</t>
  </si>
  <si>
    <t>https://ieeexplore.ieee.org/stamp/stamp.jsp?arnumber=10838216</t>
  </si>
  <si>
    <t>cloud computing;remote compilation;JIT compilation;container run-time optimization</t>
  </si>
  <si>
    <t>Java;Visualization;Pain;Decision making;Containers;Throughput;Dynamic scheduling;Virtual machining;Software;Optimization</t>
  </si>
  <si>
    <t>Y. Hassan; A. Harris; M. Sartipi</t>
  </si>
  <si>
    <t>Smart Corridor+: A Testbed-As-A-Service for Intelligent Transportation Research</t>
  </si>
  <si>
    <t>10.1109/BigData62323.2024.10826138</t>
  </si>
  <si>
    <t>Center for Urban Informatics and Progress, University of Tennessee at Chattanooga, Chattanooga, TN, USA; Center for Urban Informatics and Progress, University of Tennessee at Chattanooga, Chattanooga, TN, USA; Center for Urban Informatics and Progress, University of Tennessee at Chattanooga, Chattanooga, TN, USA</t>
  </si>
  <si>
    <t>Urbanization over the next decade will present many complex challenges to cities. Transportation plays an important role in a city‚Äôs ability to address urbanization and create resilient, sustainable, inclusive, and safer cities for all. However, challenges introduced by urbanization will decrease the effectiveness of current transportation methodologies. By utilizing innovations in sensing, computing, and communication along with machine learning and real-time data, intelligent transportation systems (ITS) can advance transportation efficiency and effectiveness. Integrating these technologies into intelligent transportation systems can potentially reduce congestion, pollution, energy consumption, and traffic incidents. This integration is at the forefront of academic and industry research. Although testbeds have been developed for the development, testing, and validation of ITS solutions, existing testbeds focus on narrow aspects of the ITS domain and are unable to support large-scale experimentation and integrations. Additionally, access to resources and data is limited and not remotely accessible to potential researchers. In this paper, we propose a smart city and ITS Testbed-As-A-Service. The testbed is located in downtown Chattanooga, TN, and offers a unified platform for a wide range of ITS applications including connected and autonomous vehicles, wireless communication, cooperative transportation, internet-of-things (IoT), and edge-based AI.</t>
  </si>
  <si>
    <t>https://ieeexplore.ieee.org/stamp/stamp.jsp?arnumber=10826138</t>
  </si>
  <si>
    <t>Intelligent Transportation Systems;ITS;Smart City;Testbed;IoT</t>
  </si>
  <si>
    <t>Wireless communication;Technological innovation;Connected vehicles;Smart cities;Transportation;Traffic control;Real-time systems;Sensors;Autonomous vehicles;Testing</t>
  </si>
  <si>
    <t>A. Kumar; V. L. L. Thing</t>
  </si>
  <si>
    <t>A Public Key Infrastructure for 5G Service-Based Architecture</t>
  </si>
  <si>
    <t>10.1109/TrustCom60117.2023.00209</t>
  </si>
  <si>
    <t>Cyber Security Strategic Technology Centre, Singapore Technologies Engineering, Singapore, Singapore; Cyber Security Strategic Technology Centre, Singapore Technologies Engineering, Singapore, Singapore</t>
  </si>
  <si>
    <t>The 3GPP 5G Service-based Architecture (SBA) security specifications leave several details on how to setup an appropriate Public Key Infrastructure (PKI) for 5G SBA, unspecified. In this work, we propose 5G-SBA-PKI, a public key infrastructure for secure inter-NF communication in 5G SBA core networks, where NF refers to Network Functions. 5G-SBA-PKI is designed to include multiple certificate authorities (with different scopes of operation and capabilities) at different PLMN levels for certification operations and key exchange between communicating NFs, where PLMN refers to a Public Land Mobile Network. We conduct a formal analysis of 5G-SBA-PKI with respect to the desired security properties using TAMARIN prover. Finally, we evaluate 5G-SBA-PKI‚Äôs performance with "pre-quantum" as well as quantum-safe cryptographic algorithms.</t>
  </si>
  <si>
    <t>https://ieeexplore.ieee.org/stamp/stamp.jsp?arnumber=10538747</t>
  </si>
  <si>
    <t>5G;5G Service Based Architecture;Public Key Infrastructure;Network Function</t>
  </si>
  <si>
    <t>Performance evaluation;Privacy;Quantum computing;5G mobile communication;Public key;Random access memory;Computer architecture</t>
  </si>
  <si>
    <t>J. Kehelwala; Y. Siriwardhana; T. Hewa; M. Liyanage; M. Ylianttila</t>
  </si>
  <si>
    <t>Decentralized Learning for 6G Security: Open Issues and Future Directions</t>
  </si>
  <si>
    <t>10.1109/EuCNC/6GSummit60053.2024.10597004</t>
  </si>
  <si>
    <t>Centre for Wireless Communications, University of Oulu, Finland; Centre for Wireless Communications, University of Oulu, Finland; Centre for Wireless Communications, University of Oulu, Finland; School of Computer Science, University College, Dublin, Ireland; Centre for Wireless Communications, University of Oulu, Finland</t>
  </si>
  <si>
    <t>6G is envisioned with stringent performance requirements served using an open and hyper-dynamic architecture where intelligence is embedded across multiple logical layers. Artificial Intelligence (AI), a key enabling technology in implementing this vision, is often proposed in a centralized mode of operation that does not serve the scalability and fault tolerance required for the self-sustainability objectives of 6G. This paper conceptualizes decentralized learning as an alternative enabling technology for 6G, suited for highly dynamic orchestration and serving fault-tolerance and scalability objectives alongside additional security and privacy prospects. Our contributions include establishing the decentralization-oriented altered threat land-scape, identifying open issues in current solutions, and defining future research directions to ensure a robust 6G infrastructure.</t>
  </si>
  <si>
    <t>https://ieeexplore.ieee.org/stamp/stamp.jsp?arnumber=10597004</t>
  </si>
  <si>
    <t>6G mobile communication;Privacy;Fault tolerance;Scalability;Instruments;Fault tolerant systems;Ecosystems</t>
  </si>
  <si>
    <t>A. Matta; G. Lugaresi</t>
  </si>
  <si>
    <t>An Introduction to Digital Twins</t>
  </si>
  <si>
    <t>2024 Winter Simulation Conference (WSC)</t>
  </si>
  <si>
    <t>10.1109/WSC63780.2024.10838793</t>
  </si>
  <si>
    <t>Department of Mechanical Engineering, Politecnico di Milano, ITALY; Department of Mechanical Engineering, KU Leuven, Leuven, BELGIUM</t>
  </si>
  <si>
    <t>This work presents an introduction to digital twins, digital versions of real objects designed to aid in analysis, enhancements, and decision-making. Its main goal is to introduce what digital twins are, highlighting their key characteristics, their role in supporting real-world counterparts, and the models they employ.</t>
  </si>
  <si>
    <t>979-8-3315-3420-2</t>
  </si>
  <si>
    <t>https://ieeexplore.ieee.org/stamp/stamp.jsp?arnumber=10838793</t>
  </si>
  <si>
    <t>Decision making;Digital twins</t>
  </si>
  <si>
    <t>H. Ma; L. Zhu</t>
  </si>
  <si>
    <t>Development of Logistics Tracking System Using Radio Frequency Identification Technology</t>
  </si>
  <si>
    <t>2023 International Conference on Internet of Things, Robotics and Distributed Computing (ICIRDC)</t>
  </si>
  <si>
    <t>10.1109/ICIRDC62824.2023.00150</t>
  </si>
  <si>
    <t>Tianjin Transportation Technical College, Logistics Engineering College, Tianjin, China; Tianjin Transportation Technical College, Logistics Engineering College, Tianjin, China</t>
  </si>
  <si>
    <t>With the continuous growth of information technology (IT), radio frequency identification (RFID) technology is increasingly widely used in various fields and industries, providing great convenience for people's production and life. As an excellent recognition technology, RFID has multiple advantages such as long recognition distance, strong adaptability to the environment, large data storage capacity, and the ability to recognize multiple objects simultaneously. It can automatically identify target objects through radio frequency signals, and can track items and exchange data quickly. It has been widely used in many fields such as retail, industry, logistics, and transportation. With the rapid growth of domestic and international trade, the logistics industry has also made significant progress, and logistics has become the foundation of modern commodity circulation. To achieve real-time tracking of logistics and improve the reliability and accuracy of logistics, this paper proposes a logistics tracking system based on Internet of Things (IOT) technology. This system combines RFID technology, GPRS technology and other information science technologies to timely grasp the dynamic information of transportation logistics, providing reference for improving the transportation quality and efficiency of enterprise products. The experimental results demonstrate that the system designed in this article can achieve good logistics tracking.</t>
  </si>
  <si>
    <t>979-8-3503-7527-5</t>
  </si>
  <si>
    <t>https://ieeexplore.ieee.org/stamp/stamp.jsp?arnumber=10510951</t>
  </si>
  <si>
    <t>Radio frequency identification technology;Logistics tracking;system development</t>
  </si>
  <si>
    <t>Industries;Information science;Automation;Target tracking;Transportation;Real-time systems;Internet of Things</t>
  </si>
  <si>
    <t>V. M. de Castro; J. H. Kleinschmidt</t>
  </si>
  <si>
    <t>Using Fog Computing for Bike-Sharing Systems</t>
  </si>
  <si>
    <t>2023 Symposium on Internet of Things (SIoT)</t>
  </si>
  <si>
    <t>10.1109/SIoT60039.2023.10390002</t>
  </si>
  <si>
    <t>Universidade Federal do ABC, Santo Andr√©, Brasil; Universidade Federal do ABC, Santo Andr√©, Brasil</t>
  </si>
  <si>
    <t>Over the years, urban mobility in Brazil has deteriorated due to increased congestion and polluting gas emissions. One solution to improve mobility is to promote environmentally friendly modes of transportation, such as bicycles. Bike-Sharing Systems provide a more accessible way to make this mode of transportation available, with the most recent dockless system allowing users to unlock and use a bike with a smartphone app, and then lock it at their destination. However, the system's high demand for data transmission can create bottlenecks when using only the cloud. Using fog computing can solve this problem by bringing resources closer to the edge and reducing response time. This paper analyzes the performance of fog computing in the Bike-Sharing System and compares it to cloud computing, using IFogSim 2. We found that depending on the system's structure and the number of bikes in circulation, fog computing may outperform cloud computing.</t>
  </si>
  <si>
    <t>979-8-3503-2943-8</t>
  </si>
  <si>
    <t>https://ieeexplore.ieee.org/stamp/stamp.jsp?arnumber=10390002</t>
  </si>
  <si>
    <t>Bike-Sharing Systems;Fog Computing;IFogSim 2;Simulation</t>
  </si>
  <si>
    <t>Cloud computing;Computational modeling;Sociology;Transportation;Bicycles;Social Internet of Things;Performance analysis</t>
  </si>
  <si>
    <t>H. Wu; J. Hu; X. Tian; Z. Xiao; D. Sun; R. Simon</t>
  </si>
  <si>
    <t>Graph Anomaly Detection in Programmable Logic Controllers Based on Service Computing</t>
  </si>
  <si>
    <t>2024 IEEE International Conference on Web Services (ICWS)</t>
  </si>
  <si>
    <t>10.1109/ICWS62655.2024.00142</t>
  </si>
  <si>
    <t>Key Laboratory of Discrete Industrial Internet of Things of Zhejiang Province, Hangzhou Dianzi University, Hangzhou, China; Key Laboratory of Discrete Industrial Internet of Things of Zhejiang Province, Hangzhou Dianzi University, Hangzhou, China; Key Laboratory of Discrete Industrial Internet of Things of Zhejiang Province, Hangzhou Dianzi University, Hangzhou, China; Key Laboratory of Discrete Industrial Internet of Things of Zhejiang Province, Hangzhou Dianzi University, Hangzhou, China; Key Laboratory of Discrete Industrial Internet of Things of Zhejiang Province, Hangzhou Dianzi University, Hangzhou, China; Department of Automation and Computer Sciences, Harz University of Applied Sciences, Wernigerode, Germany</t>
  </si>
  <si>
    <t>The rise of smart factories is driving the complete automation of manufacturing environments, making anomaly detection a more important task than ever. With highly intelligent equipment deployed on fully-automated production lines, even a slight anomaly may seriously impact the entire manufacturing process. However, most industrial data containing slight anomalous features exhibits strong correlations that are not fully exploited by existing machine learning models. In general, the anomaly detection model needs to run within programmable logic controllers (PLCs) since it is the main controller of the intelligent equipment, and PLCs have limited resources making it difficult to execute larger models effectively. To address the challenge, we propose a graph anomaly detection method in programmable logic controllers based on service computing (PCSC). The model establishes a data relationship graph through clustering and then feeds it into a neural network with a symmetric structure consisting of graph convolutional layers and LSTM units. This approach enables the analysis of correlations within industrial data and facilitates the extraction of slight abnormal features. For efficient execution of the model, we establish service computing nodes in the PLCs that support model splitting. We tested the model on several publicly available datasets and an actual dataset from an injection molding production line. The results show that the model performs well on different datasets.</t>
  </si>
  <si>
    <t>979-8-3503-6855-0</t>
  </si>
  <si>
    <t>https://ieeexplore.ieee.org/stamp/stamp.jsp?arnumber=10707450</t>
  </si>
  <si>
    <t>anomaly detection;programmable logic controller;service computing;graph neural networks</t>
  </si>
  <si>
    <t>Adaptation models;Correlation;Computational modeling;Programmable logic devices;Service computing;Computer architecture;Feature extraction;Data models;Anomaly detection;Long short term memory</t>
  </si>
  <si>
    <t>M. I. Ali; G. Di Modica; G. Rondinini; A. Sabbioni; A. Corradi</t>
  </si>
  <si>
    <t>Function profiling to support smart Serverless service deployment in the Cloud continuum</t>
  </si>
  <si>
    <t>10.1109/ISCC61673.2024.10733710</t>
  </si>
  <si>
    <t>Dept. of Computer Science and Engineering, University of Bologna, Bologna, Italy; Dept. of Computer Science and Engineering, University of Bologna, Bologna, Italy; Imola Informatica S.P.A, Imola, Italy; Dept. of Computer Science and Engineering, University of Bologna, Bologna, Italy; Dept. of Computer Science and Engineering, University of Bologna, Bologna, Italy</t>
  </si>
  <si>
    <t>The adoption of the Cloud Continuum pattern, leveraging computational resources from both Cloud and Edge infrastructures provided by various vendors, is exacerbating the challenge of managing infrastructure and services. To forefront this complexity, Cloud providers and customers are evolving their usual approach to service development and deployment, seeking faster and easier paths that can sustain time-to-market business needs. Many Cloud providers are shaping their offerings to incorporate an ever-increasing number of Serverless Computing services, wherein they handle every aspect of customer service and infrastructure management. In this work, we aim to extend the principles of Serverless computing service development to Cloud continuum environments and put forth a proposal for enforcing smart deployment of Serverless applications over heterogeneous computing environments. Functional to this goal is the heuristic component, a founding element of our architectural proposal that is capable of building applications "footprint" in different execution environments offered by the provider infrastructure. In this preliminary work, we discuss the results obtained from testing the above-mentioned component on a sample set of functions.</t>
  </si>
  <si>
    <t>https://ieeexplore.ieee.org/stamp/stamp.jsp?arnumber=10733710</t>
  </si>
  <si>
    <t>Cloud continuum;Serverless;Edge;DevOps;CI/CD;WASM;Function profile;energy consumption</t>
  </si>
  <si>
    <t>Runtime environment;Energy consumption;Pipelines;Memory management;Serverless computing;Quality of service;Heterogeneous networks;Proposals;Feeds;Testing</t>
  </si>
  <si>
    <t>M. Gapit; N. Jurkoviƒá; H. I. Shaheen; A. Martinoviƒá; D. Kere≈æi; M. Va≈°ak; V. Le≈°iƒá</t>
  </si>
  <si>
    <t>Intelligent System for Monitoring and Control of Street Lighting</t>
  </si>
  <si>
    <t>10.1109/TELFOR59449.2023.10372820</t>
  </si>
  <si>
    <t>Faculty of Electrical Engineering and Computing, University of Zagreb, Zagreb, Croatia; LED Elektronika Ltd, Zagreb, Croatia; Faculty of Electrical Engineering and Computing, University of Zagreb, Zagreb, Croatia; Faculty of Electrical Engineering and Computing, University of Zagreb, Zagreb, Croatia; LED Elektronika Ltd, Zagreb, Croatia; Faculty of Electrical Engineering and Computing, University of Zagreb, Zagreb, Croatia; Faculty of Electrical Engineering and Computing, University of Zagreb, Zagreb, Croatia</t>
  </si>
  <si>
    <t>In an era where cities are growing at an unprecedented pace and facing an array of challenges, from increasing population densities to aging infrastructure, it has become imperative to leverage advanced technology to ensure efficient and sustainable urban development. The work in this paper is focused on enabling and improving the monitoring of city infrastructure based on variables trends, setting alarm limit values and developing various predictive maintenance diagnostic algorithms. Based on the collected data, an information interface is developed for communication with the operator of the lighting system, which includes visualizations of various indicators such as the density of road and pedestrian traffic, weather conditions in different locations, lighting level, electricity consumption and identification of the work of individual lighting poles.</t>
  </si>
  <si>
    <t>https://ieeexplore.ieee.org/stamp/stamp.jsp?arnumber=10372820</t>
  </si>
  <si>
    <t>LED lighting;Street lighting;Monitoring system</t>
  </si>
  <si>
    <t>Pedestrians;Roads;Urban areas;Lighting;Data visualization;Prediction algorithms;Telecommunications</t>
  </si>
  <si>
    <t>D. Kataria; A. Walid; M. Daneshmand; A. Dutta; M. A. Enright; R. Gu; A. Lackpour; P. Ramachandran; H. Wang; C. -M. Chen; B. Chng; F. Darema; P. Das; T. K. Lala; B. Chng; R. Ranpara; B. Kloza; M. Borst; C. Polk</t>
  </si>
  <si>
    <t>10.1109/FNWF58287.2023.10520629</t>
  </si>
  <si>
    <t>IP Junction, USA; Nokia Bell Labs, USA; Stevens Institute of Technology, USA; Johns Hopkins University Applied Physics Lab, USA; Quantum Dimension, Inc., USA; BUPT, China; Drexel University, USA; Emerging Open Tech Foundation, USA; UMass Dartmouth, USA; AT&amp;T (Retired), USA; BAWMAN LLC, USA; InfoSymbiotic Systems Society, USA; Verizon, USA; ZcureZ, USA; BAWMAN LLC, USA; Atmiya University, India; IEEE Future Networks Initiative; IEEE Future Networks Initiative; IEEE Future Network Technical Community</t>
  </si>
  <si>
    <t>In the evolution of artificial Intelligence (AI) and machine learning (ML); reasoning, knowledge representation, planning, learning, natural language processing, perception, and the ability to move and manipulate objects have been widely used. These features enable the creation of intelligent mechanisms for decision support to overcome the limits of human knowledge processing. In addition, ML algorithms enable applications to draw conclusions and make predictions based on existing data without human supervision, leading to quick near-optimal solutions even in problems with high dimensionality. Hence, autonomy is a key aspect of current and future AI/ML algorithms. This chapter focuses on the development and implementation of AI/ML technologies for 5G and future networks. The objective is to illustrate how these technologies can be migrated into 5G systems to increase their performance and to decrease their cost. To that end, this chapter presents the drivers, needs, challenges, enablers, and potential solutions identified for the AI/ML field as applicable to future networks over three-, five-, and ten-year horizons. AI/ML applications for 5G are wide and diverse. Some key areas described include networking, securing, cloud computing, and others. Over time, this paper will evolve to encompass even more areas where AI/ML technologies can improve future network performance objectives.</t>
  </si>
  <si>
    <t>https://ieeexplore.ieee.org/stamp/stamp.jsp?arnumber=10520629</t>
  </si>
  <si>
    <t>Machine learning algorithms;Costs;5G mobile communication;Machine learning;Learning (artificial intelligence);Knowledge representation;Prediction algorithms;Natural language processing;Planning;Vehicles</t>
  </si>
  <si>
    <t>G. S. Rao; G. Muneeswari</t>
  </si>
  <si>
    <t>Federated Learning Meets IoT: A Novel Approach to Cardiovascular Disease Prediction</t>
  </si>
  <si>
    <t>2024 2nd International Conference on Advances in Computation, Communication and Information Technology (ICAICCIT)</t>
  </si>
  <si>
    <t>10.1109/ICAICCIT64383.2024.10912271</t>
  </si>
  <si>
    <t>School of computer science and Engineering, VIT-AP University, Amaravathi, Andhra Pradesh, India; School of computer science and Engineering, VIT-AP University, Amaravathi, Andhra Pradesh, India</t>
  </si>
  <si>
    <t>Cardiovascular disease is one of the most significant causes of mortality worldwide, considering the lives of millions of humans each year. The chance of getting cardiovascular disease rises as people‚Äôs life style and their physical health declines. Prediction of this risk can now be achieved by early identification and treatment with the use of ML and AI-based predictive models. With regard to the prediction of cardiovascular disease events in conjunction with IoT devices along with ensemble models combined with federated learning model is suggested to get more performance. This paper explores various methodologies to predict cardiovascular events, emphasizing federated learning (FL) and its application in CVD detection. This paper also reviews the advantages and challenges of federated learning in healthcare along with IoT wearables features &amp; applications.</t>
  </si>
  <si>
    <t>979-8-3315-4121-7</t>
  </si>
  <si>
    <t>https://ieeexplore.ieee.org/stamp/stamp.jsp?arnumber=10912271</t>
  </si>
  <si>
    <t>Cardiovascular Disease;Machine Learning;Federated Learning;Ensemble model;IoT;Prediction</t>
  </si>
  <si>
    <t>Performance evaluation;Federated learning;Reviews;Mortality;Medical services;Predictive models;Information and communication technology;Cardiovascular diseases;Internet of Things;Wearable devices</t>
  </si>
  <si>
    <t>J. Palomares; E. Coronado; D. Rinc√≥n; M. S. Siddiqui</t>
  </si>
  <si>
    <t>Design and Evaluation of a K8s-based System for Distributed Open-Source Cellular Networks</t>
  </si>
  <si>
    <t>2023 International Wireless Communications and Mobile Computing (IWCMC)</t>
  </si>
  <si>
    <t>10.1109/IWCMC58020.2023.10183111</t>
  </si>
  <si>
    <t>i2CAT Foundation, Barcelona, Spain; Department of Network Engineering, Universitat Polit√®cnica de Catalunya (UPC), Castelldefels, Barcelona, Spain; Universidad de Castilla-La Mancha, Albacete, Spain; i2CAT Foundation, Barcelona, Spain</t>
  </si>
  <si>
    <t>Virtualization in cellular networks is one of the key areas of research where technologies, infrastructure and challenges are rapidly changing as 5G system architecture demands a paradigm shift. This paper aims to study the viability and the performance of cloud-native infrastructures for hosting network functions. The selected frameworks implement both the 4G and the 5G stacks and their network functions. This work considers a variety of scenarios for enabling the deployment of a distributed and open-source cellular network: a baremetal setup, an all-docker-based setup and the proposed Kubernetes setup. Moreover, an analysis of the impact that the Radio Access Network (RAN) and the Core Network (CN) have on computational resource utilization is presented as the network conditions vary. The design proposed in this work has been validated and analyzed using the proposed prototype and testbed. This paper proposes a design to increase resource usage flexibility and performance and reduction of deployment time. The analysis of the gathered data reveals that the deployments of containerized cellular networks display better performance in terms of flexibility, low startup times, and ease of deployment while consuming the same resources as the non-containerized.</t>
  </si>
  <si>
    <t>979-8-3503-3339-8</t>
  </si>
  <si>
    <t>https://ieeexplore.ieee.org/stamp/stamp.jsp?arnumber=10183111</t>
  </si>
  <si>
    <t>Virtualization;NFV;SDN;Distributed Systems;4G;5G;Performance Evaluation</t>
  </si>
  <si>
    <t>Cellular networks;Wireless communication;5G mobile communication;Prototypes;Systems architecture;Throughput;Resource management</t>
  </si>
  <si>
    <t>≈Å. Jasi≈Ñski; J. Rezmer; Z. Leonowicz; L. Martirano; M. Jasi≈Ñski</t>
  </si>
  <si>
    <t>Microfrontend Application for Microgrids Monitoring and Controling</t>
  </si>
  <si>
    <t>10.1109/EEEIC/ICPSEurope61470.2024.10751106</t>
  </si>
  <si>
    <t>Wroc≈Çaw University of Science and Technology, Wroc≈Çaw Poland; Wroc≈Çaw University of Science and Technology, Wroc≈Çaw Poland; Wroc≈Çaw University of Science and Technology &amp; VSB Technical University of Ostrava, Wroc≈Çaw Poland, Ostrava Czech Republic; Department of Astronautical, Electrical and Energy Engineering (DIAEE), Sapienza University of Rome, Rome, Italy; Wroc≈Çaw University of Science and Technology &amp; VSB Technical University of Ostrava, Wroc≈Çaw Poland, Ostrava Czech Republic</t>
  </si>
  <si>
    <t>The idea of microgrids has been settled as a transformative solution for the future of energy, promising enhanced resilience, sustainability, and efficiency in the distribution. management and consumption of electricity. These localized grids operate autonomously from the traditional wide-area synchronous grid and are capable of balancing loads through the intelligent integration of renewable resources, energy storages, and responsive demand programs. In parallel, the development of Internet technologies has fostered the development of advanced Internet applications adapted to streamline complex system interactions through user-friendly interfaces. The coupling of these two domains introduces the innovative concept of microfrontend applications for microgrids, aiming to improve efficiency of the monitoring and operation of these units in power systems.</t>
  </si>
  <si>
    <t>https://ieeexplore.ieee.org/stamp/stamp.jsp?arnumber=10751106</t>
  </si>
  <si>
    <t>microgrids, monitoring;controling;microfrontend;web-app development</t>
  </si>
  <si>
    <t>Photovoltaic systems;Renewable energy sources;Europe;Microgrids;Internet;Power systems;Maintenance;Sustainable development;Monitoring;Resilience</t>
  </si>
  <si>
    <t>P. Sathaporn; V. Chaowalittawin; W. Krungseanmuang; C. Benjangkaprasert; B. Purahong</t>
  </si>
  <si>
    <t>Centralizing Data Warehouse Platform for Mining Management Using AWS Computing Instance</t>
  </si>
  <si>
    <t>TENCON 2024 - 2024 IEEE Region 10 Conference (TENCON)</t>
  </si>
  <si>
    <t>10.1109/TENCON61640.2024.10903029</t>
  </si>
  <si>
    <t>Department of Robotics and Computational Intelligent Systems, School of Engineering, King Mongkut's Institute of Technology Ladkrabang, Bangkok, Thailand; Department of Robotics and Computational Intelligent Systems, School of Engineering, King Mongkut's Institute of Technology Ladkrabang, Bangkok, Thailand; Department of Robotics and Computational Intelligent Systems, School of Engineering, King Mongkut's Institute of Technology Ladkrabang, Bangkok, Thailand; Computer Engineering Department, School of Engineering, King Mongkut's Institute of Technology Ladkrabang, Bangkok, Thailand; Computer Engineering Department, School of Engineering, King Mongkut's Institute of Technology Ladkrabang, Bangkok, Thailand</t>
  </si>
  <si>
    <t>Mining industry is one of significant industry in the world. In order to increase efficiency, safety, sustainability and environmental impacts in mining process. This article presents a centralized data platform for mining process by design based on microservices architecture which can be supported various of input data source such as manual form, excel file and internet of things (IoT) device and notification when the value is abnormal. Our platform implementation on Amazon Web Service (AWS) cloud. For development of productivity in process and controlling quality the mine environment. The results of the platform operations with various source of data acquisition with response time is less than 1.5 seconds per each request.</t>
  </si>
  <si>
    <t>979-8-3503-5082-1</t>
  </si>
  <si>
    <t>https://ieeexplore.ieee.org/stamp/stamp.jsp?arnumber=10903029</t>
  </si>
  <si>
    <t>Mining Industry;Internet of Things;Data Warehouse;Cloud Computing;Microservices Architecture</t>
  </si>
  <si>
    <t>Productivity;Web services;Soft sensors;Process control;Computer architecture;Safety;Data mining;Internet of Things;Time factors;Sustainable development</t>
  </si>
  <si>
    <t>A. Sheeba; C. A. Subasini; K. P. A. S; M. V. S</t>
  </si>
  <si>
    <t>Enhancement of Industrial Automation using Internet of Things</t>
  </si>
  <si>
    <t>10.1109/ADICS58448.2024.10533590</t>
  </si>
  <si>
    <t>St. Joseph's Institute of Technology, Chennai, Tamil Nadu, India; St. Joseph's Institute of Technology, Chennai, Tamil Nadu, India; St. Joseph's Institute of Technology, Chennai, Tamil Nadu, India; St. Joseph's Institute of Technology, Chennai, Tamil Nadu, India</t>
  </si>
  <si>
    <t>The convergence of Industrial Automation, Cloud Computing, and the Industrial IoT Devices has sparked a transformative paradigm shift across diverse industries. This synergy harnesses the power of interconnected smart devices, cloud-based data processing, and automated systems to redefine operational landscapes. In this abstract, we explore the intricate integration of these technologies and their collective impact on industrial realms. IoT sensors embedded within machinery facilitate real-time data collection on performance metrics, environmental factors, and machine health. These data streams, propelled through cloud-based infrastructure, undergo robust processing and analysis, enabling predictive maintenance, process optimization, and informed decision-making. The marriage of cloud computing and IoT not only allows for remote monitoring and control but also facilitates agile responsiveness to dynamic operational needs. By leveraging machine learning algorithms, anomalies are identified, allowing preemptive actions to mitigate potential downtime and enhance productivity. Moreover, the scalability and accessibility of cloud systems offer unprecedented flexibility in adapting to evolving industry requirements. However, such integration necessitates robust security measures to safeguard sensitive industrial data transmitted and stored within cloud environments. Encryption protocols, stringent access controls, and resilient authentication mechanisms become paramount to ensure data integrity and confidentiality. This abstract encapsulates the potential of this amalgamation, illuminating its transformative capabilities in optimizing processes, reducing downtime, and fostering cost-efficient, data-driven decision-making across industrial sectors.</t>
  </si>
  <si>
    <t>https://ieeexplore.ieee.org/stamp/stamp.jsp?arnumber=10533590</t>
  </si>
  <si>
    <t>Decision-making;human-robot interaction(HRI);producing;robotics;task charge;set-shifting</t>
  </si>
  <si>
    <t>Industries;Cloud computing;Technological innovation;Automation;Decision making;Systems architecture;Hardware</t>
  </si>
  <si>
    <t>B. Liu; X. Liang; G. Zhang; J. Ma; M. Li; A. Zhou; Q. Tang; K. Peng; R. Xie</t>
  </si>
  <si>
    <t>Intelligent Scheduling of Serverless Computing in Computing Power Networks</t>
  </si>
  <si>
    <t>10.1109/ICCC59590.2023.10507397</t>
  </si>
  <si>
    <t>China Information Technology and Telecommunication Consulting Design Institute, Beijing University of Post and Telecommunications, Beijing, PR. China; China Information Technology and Telecommunication Consulting Design Institute, Beijing University of Post and Telecommunications, Beijing, PR. China; China Information Technology and Telecommunication Consulting Design Institute, Beijing University of Post and Telecommunications, Beijing, PR. China; China Information Technology and Telecommunication Consulting Design Institute, Beijing University of Post and Telecommunications, Beijing, PR. China; State Key Lab. of Networking and Switching Technology, Beijing University of Post and Telecommunications, Beijing, PR. China; State Key Lab. of Networking and Switching Technology, Beijing University of Post and Telecommunications, Beijing, PR. China; State Key Lab. of Networking and Switching Technology, Beijing University of Post and Telecommunications, Beijing, PR. China; Purple Mountain Laboratories, Nanjing, China; State Key Lab. of Networking and Switching Technology, Beijing University of Post and Telecommunications, Beijing, PR. China</t>
  </si>
  <si>
    <t>In the rapidly evolving landscape of computing power networks, applications are becoming more complex and diverse. Consequently, this evolution has led to a growing need for sophisticated intelligent scheduling mechanisms to adeptly manage these networks. Utilizing intelligent algorithms has become pivotal in ensuring effective and reliable computational services for these intricate networks. This paper addresses the pressing issue of intelligent scheduling in serverless computing power networks. We explore a computing power network system model based on serveless computing, formulate the intelligent task scheduling problem as a multi-objective optimization problem, present a solution that designs task scheduling policies using the Deep Deterministic Policy Gradient (DDPG) algorithm from reinforcement learning. Additionally, we perform experiments to validate the practicality and effectiveness of our proposed approach.</t>
  </si>
  <si>
    <t>https://ieeexplore.ieee.org/stamp/stamp.jsp?arnumber=10507397</t>
  </si>
  <si>
    <t>computing power network;serverless computing;deterministic policy gradient</t>
  </si>
  <si>
    <t>Costs;Processor scheduling;Computational modeling;Simulation;Serverless computing;Transforms;Scheduling</t>
  </si>
  <si>
    <t>A. Boltaboyeva; Z. Baigarayeva; O. Postolache; M. Mansurova; N. Karymssakova; B. Belgibayev</t>
  </si>
  <si>
    <t>Smart sensors and IoT applied in Digital Twin for Industry 4.0</t>
  </si>
  <si>
    <t>2024 International Symposium on Sensing and Instrumentation in 5G and IoT Era (ISSI)</t>
  </si>
  <si>
    <t>10.1109/ISSI63632.2024.10720505</t>
  </si>
  <si>
    <t>Artificial Intellegence and Big Data, Al-Farabi Kazakh National University, Almaty, Kazakhstan; Artificial Intellegence and Big Data, Al-Farabi Kazakh National University, Almaty, Kazakhstan; Department of Information Science and Technology (ISTA), Instituto Universit√°rio de Lisboa (ISCTE), Lisbon, Portugal; Artificial Intellegence and Big Data, Al-Farabi Kazakh National University, Almaty, Kazakhstan; Artificial Intellegence and Big Data, Al-Farabi Kazakh National University, Almaty, Kazakhstan; Artificial Intellegence and Big Data, Al-Farabi Kazakh National University, Almaty, Kazakhstan</t>
  </si>
  <si>
    <t>This article discusses the integration of smart sensors and the Internet of Things (IoT) in digital twins for Industry 4.0, representing a transformative approach to industrial operations. We explore the applications, benefits, and challenges associated with using smart sensors and IoT technologies in the context of digital twins. Digital twins, virtual replicas of physical assets or processes, rely on real- time data provided by smart sensors and IoT devices for continuous monitoring, analysis, and optimization of industrial operations. The focus is on the role of smart sensors and $I o T$ in creating and maintaining accurate and efficient digital twins, addressing challenges such as data security issues, compatibility concerns, and the complexity of managing heterogeneous sensor networks in large industrial environments.</t>
  </si>
  <si>
    <t>979-8-3503-7868-9</t>
  </si>
  <si>
    <t>https://ieeexplore.ieee.org/stamp/stamp.jsp?arnumber=10720505</t>
  </si>
  <si>
    <t>internet of things;digital twin;industry 4.0;industrial internet of things;smart sensors</t>
  </si>
  <si>
    <t>Predictive models;Reliability engineering;Real-time systems;Digital twins;Fourth Industrial Revolution;Internet of Things;Intelligent sensors;Optimization;Monitoring;Predictive maintenance</t>
  </si>
  <si>
    <t>M. Menaka; S. Kalarani; B. M. Kannan; A. K. Velmurugan</t>
  </si>
  <si>
    <t>A Combination of Cloud Radio Accessing Networks and Mobile Cloud Computing for Remote Cloud Computing Services</t>
  </si>
  <si>
    <t>2023 4th International Conference on Electronics and Sustainable Communication Systems (ICESC)</t>
  </si>
  <si>
    <t>10.1109/ICESC57686.2023.10193219</t>
  </si>
  <si>
    <t>Department of Information Technology, Kingston Engineering College, Vellore, Tamil Nadu, India; Department of Information Technology, St Joseph‚Äôs Institute of Technology, Chennai, Tamil Nadu, India; Department of Computer Science and Engineering, Sphoorthy Engineering College, Nadergul, Hyderabad, Telangana, India; Department of Computer Science And Engineering, Koneru Lakshmaiah Education Foundation, Vijayawada, Andhra Pradesh, India</t>
  </si>
  <si>
    <t>In this research, a holistic approach is presented for remote cloud computing services which combines Cloud Radio Accessing Networks (C-RAN) and Mobile Cloud Computing (MCC). In specific, how C-RAN functions continuously employed to boost the efficiency of MCC services on wireless networks of the next decade is learned. The channel state knowledge is obsolete and is an inherent obstacle and if the Channel State Information (CSI) is extended then only the sub-optimally C-RAN operations could be carried out. In a stochastic optimization system, this can be formulated as the issue of the topology designs. This system maximizes the amount of MCC resources with limitations to the response latency for each MCC customer. An optimum path on probabilistic optimization will be given with low measurement costs. Offline and online architectures are created based on the optimization approach. Based on the findings of the simulation, the architecture and function of the future mobile accessing wireless networks will substantially be impacted by cloud computing by the advent of MCC and C-RAN technology, and the proposed scheme will allow substantial efficiency improvements over current systems.</t>
  </si>
  <si>
    <t>979-8-3503-0009-3</t>
  </si>
  <si>
    <t>https://ieeexplore.ieee.org/stamp/stamp.jsp?arnumber=10193219</t>
  </si>
  <si>
    <t>Cloud Computing;MCC;C-RAN;CSI;Holistic Approach;Topology;Efficiency;Wireless Networks</t>
  </si>
  <si>
    <t>Performance evaluation;Cloud computing;Network topology;Wireless networks;Computer architecture;Probabilistic logic;Topology</t>
  </si>
  <si>
    <t>H. Baba; S. Hirai; K. Hayashi; T. Takeda</t>
  </si>
  <si>
    <t>In-network Computing Architecture for Service Acceleration for 6G Networks - Demo</t>
  </si>
  <si>
    <t>2024 IEEE 10th International Conference on Network Softwarization (NetSoft)</t>
  </si>
  <si>
    <t>10.1109/NetSoft60951.2024.10588883</t>
  </si>
  <si>
    <t>Network Service Systems Laboratories, NTT Corporation, Tokyo, Japan; Network Service Systems Laboratories, NTT Corporation, Tokyo, Japan; Network Service Systems Laboratories, NTT Corporation, Tokyo, Japan; Network Service Systems Laboratories, NTT Corporation, Tokyo, Japan</t>
  </si>
  <si>
    <t>Since cloud technology will permeate mobile networks in 6G, scenarios in which computing functions are deployed in the network are widely considered for not only network functions but also service functions. In this paper, we propose a system architecture, a mobile network equipped with computing capabilities, which enables end-to-end service performance acceleration. We evaluated our proposed architecture through evaluations and observed advantages over conventional designs, such as improved resource utilization efficiency and extremely low-latency service and network processing. The prototype implementation of integrating network and computing functions on the basis of our proposed architecture is also presented, which includes a 3GPP standard-compliant 5G core network, serverless orchestration mechanisms, and multiple accelerator cards. With the prototype above, we demonstrate how our proposed architecture federates network and service functions control and how it accelerates the application processing performance.</t>
  </si>
  <si>
    <t>979-8-3503-6958-8</t>
  </si>
  <si>
    <t>https://ieeexplore.ieee.org/stamp/stamp.jsp?arnumber=10588883</t>
  </si>
  <si>
    <t>5G;6G;In-network computing(INC);Serverless framework;Accelerator;GPU;DPU</t>
  </si>
  <si>
    <t>6G mobile communication;5G mobile communication;Prototypes;Systems architecture;Process control;Computer architecture;Data processing</t>
  </si>
  <si>
    <t>N. Anupriya; R. Venkateswari; N. Iswarya</t>
  </si>
  <si>
    <t>Intelligent Resource Management in Heterogeneous Vehicular Networks through Deep Reinforcement Learning</t>
  </si>
  <si>
    <t>10.1109/AIIoT58432.2024.10574732</t>
  </si>
  <si>
    <t>Department of Electronics and Communication Engineering, PSG College of Technology, Coimbatore, India; Department of Electronics and Communication Engineering, PSG College of Technology, Coimbatore, India; Department of Electronics and Communication Engineering, PSG College of Technology, Coimbatore, India</t>
  </si>
  <si>
    <t>As 5G technology progresses, the demands for computation and data communication in emerging vehicular networks are becoming increasingly rigorous. Edge Cloud Platform (ECP) emerges as a viable solution to address these challenges. This article introduces an ECP-based computation offloading framework tailored for vehicular networks, which considers stochastic computation task arrivals and time-varying channel conditions. We propose a scheme called Computation Offloading and Allocation with Deep Reinforcement Learning (COADRL) designed to reduce the total cost of Edge Cloud Platform (ECP), encompassing delay, energy computation, and bandwidth costs, without requiring prior knowledge. Through adaptive learning, the COADRL algorithm determines the optimal migration and offloading strategy to maximize average cumulative reward and minimize overall expenditure. Extensive numerical results demonstrate the superiority of the COADRL algorithm over four baseline algorithms, showcasing its ability to adaptively learn the most effective course of action.</t>
  </si>
  <si>
    <t>https://ieeexplore.ieee.org/stamp/stamp.jsp?arnumber=10574732</t>
  </si>
  <si>
    <t>COADRL;Edge Cloud Platform (ECP);Reinforcement learning;Resource Allocation;Vehicular Networks</t>
  </si>
  <si>
    <t>Cloud computing;Costs;Bandwidth;Time-varying channels;Deep reinforcement learning;Delays;Resource management</t>
  </si>
  <si>
    <t>M. S. Floroiu; S. Russo; L. Giamattei; A. Guerriero; I. Malavolta; R. Pietrantuono</t>
  </si>
  <si>
    <t>Anomaly Detection and Root Cause Analysis of Microservices Energy Consumption</t>
  </si>
  <si>
    <t>10.1109/ICWS62655.2024.00079</t>
  </si>
  <si>
    <t>Vrije Universiteit, Amsterdam, The Netherlands; Universit√† di Napoli Federico II, Italy; Universit√† di Napoli Federico II, Italy; Universit√† di Napoli Federico II, Italy; Vrije Universiteit, Amsterdam, The Netherlands; Universit√† di Napoli Federico II, Italy</t>
  </si>
  <si>
    <t>With the expansion of cloud computing and data centers, the need has arisen to tackle their environmental impact. The increasing adoption of microservice architectures, while offering scalability and flexibility, poses new challenges in the effective management of systems‚Äô energy consumption.This study analyzes experimentally the effectiveness, with respect to energy consumption, of algorithms for Anomaly Detection (AD) and Root Cause Analysis (RCA) for (containerized) microservices systems. The study analyzes five AD and three RCA algorithms. Metrics to assess the effectiveness of AD algorithms are Precision, Recall, and F-Score. For RCA algorithms, the chose metric is Precision at level k. Two subjects of different complexity are used: Sock Shop and UNI-Cloud. Experiments use a cross-over paired comparison design, involving multiple randomized runs for robust measures.The experiments show that AD algorithms exhibit a relatively moderate performance. The mean adjusted Precision for Sock Shop is 61.5%, while it is 75% for the best-performing algorithms (BIRCH, KNN, and SVM) on UNI-Cloud. The Recall and F-Score for UNI-Cloud, for the same algorithms, are 75%, while for Sock Shop KNN yields the best outcome at roughly 45%. MicroRCA and RCD emerge as the top-performing algorithms for RCA.We found that the effectiveness of AD algorithms is strongly influenced by anomaly thresholds, emphasizing the importance of careful tuning such algorithms. RCA algorithms reveal promising results, particularly RCD and MicroRCA, which showed robust performance. However, challenges remain, as seen with the œµ-diagnosis algorithm, suggesting the need for further refinement.For DevOps engineers, the findings highlight the need to carefully select and tune AD and RCA algorithms for energy, and to take into account system topology and monitoring configurations.</t>
  </si>
  <si>
    <t>https://ieeexplore.ieee.org/stamp/stamp.jsp?arnumber=10707452</t>
  </si>
  <si>
    <t>Microservices;Energy consumption;Anomaly Detection;Root Cause Analysis</t>
  </si>
  <si>
    <t>Measurement;Energy consumption;Root cause analysis;Web services;Software algorithms;Microservice architectures;Nearest neighbor methods;Topology;Anomaly detection;Tuning</t>
  </si>
  <si>
    <t>J. Bahadoor; A. Seeam; V. Ramsurrun</t>
  </si>
  <si>
    <t>A Comparative Analysis of Energy Efficiency: Container Technologies vs. Type 1 Hypervisors for equivalent workloads</t>
  </si>
  <si>
    <t>10.1109/icABCD62167.2024.10645259</t>
  </si>
  <si>
    <t>Middlesex University Mauritius, Flic en Flac, Mauritius; Middlesex University Mauritius, Flic en Flac, Mauritius; Middlesex University Mauritius, Flic en Flac, Mauritius</t>
  </si>
  <si>
    <t>Virtualization has become a pivotal technology in cloud computing, significantly influencing data center efficiency. This paper examines the energy consumption and performance of different virtualization environments, specifically virtual ma-chines (VMs) and containers, under a variety of workloads and conditions, including internal server settings and external factors such as ambient temperature and power supply. A detailed data analysis is conducted based on a dataset collected from a controlled experimental setup, which replicates a real-life data center environment augmented with sensors to monitor variables like temperature and humidity. The study evaluates and compares multiple virtualization strategies to enhance the methodology and accuracy of the results concerning energy efficiency</t>
  </si>
  <si>
    <t>https://ieeexplore.ieee.org/stamp/stamp.jsp?arnumber=10645259</t>
  </si>
  <si>
    <t>Virtualization;containers;power efficiency;tem-perature;humidity</t>
  </si>
  <si>
    <t>Temperature sensors;Temperature measurement;Data centers;Temperature distribution;Technological innovation;Virtual machine monitors;Containers</t>
  </si>
  <si>
    <t>M. J. Samonte; J. M. G. De Luna; F. N. Alberca; A. L. G. Eco; J. C. de Goma</t>
  </si>
  <si>
    <t>Cloud-Native E-commerce Solutions: Evaluating the Cost-Effectiveness of Cloud Platforms for Hosting and Scaling E-commerce Applications</t>
  </si>
  <si>
    <t>2024 14th International Conference on Software Technology and Engineering (ICSTE)</t>
  </si>
  <si>
    <t>10.1109/ICSTE63875.2024.00016</t>
  </si>
  <si>
    <t>School of Information Technology Mapua University, Makati City, Philippines; School of Information Technology Mapua University, Makati City, Philippines; School of Information Technology Mapua University, Makati City, Philippines; School of Information Technology Mapua University, Makati City, Philippines; School of Information Technology Mapua University, Makati City, Philippines</t>
  </si>
  <si>
    <t>This paper delves into the critical role of cloud-native e-commerce solutions in the contemporary digital landscape, emphasizing the secure and efficient hosting and scaling of applications. Through a comprehensive evaluation, the study assesses the performance, cost-effectiveness, and security aspects of various cloud platforms tailored for e-commerce. The findings underscore the transformative impact of cloud-native architectures in enhancing operational efficiency, optimizing customer experiences, and boosting competitiveness in the digital marketplace. Key insights reveal that security risks, performance benchmarking, and cost analysis are pivotal in shaping the strategic adoption of cloud-native solutions. Implementing robust security measures is crucial to mitigate vulnerabilities and ensure data integrity. Additionally, tailored performance evaluations help identify the most suitable cloud configurations, while strategic cost optimization strategies contribute to sustainable business operations. The study also explores the integration of edge computing and hybrid cloud setups, highlighting their potential to enhance energy efficiency, achieve significant cost savings, and improve operational resilience. These advancements allow businesses to adapt to fluctuating demands and maintain continuity in service delivery. Looking forward, the future of cloud-native e-commerce solutions lies in strategically integrating emerging technologies such as AI and loT, establishing robust security frameworks, and adopting agile operational practices. These elements drive business growth, foster innovation, and maintain a competitive edge in the rapidly evolving digital economy.</t>
  </si>
  <si>
    <t>979-8-3503-7895-5</t>
  </si>
  <si>
    <t>https://ieeexplore.ieee.org/stamp/stamp.jsp?arnumber=10840330</t>
  </si>
  <si>
    <t>Cloud computing;e-commerce;performance evaluation;cost-effectiveness;scalability;cloud platforms</t>
  </si>
  <si>
    <t>Performance evaluation;Technological innovation;Software;Energy efficiency;Electronic commerce;Security;Optimization;Business;Resilience;Edge computing</t>
  </si>
  <si>
    <t>Z. Chen; Z. Liu; C. Ji; F. Zheng; S. Yan; X. Fu; H. Wang</t>
  </si>
  <si>
    <t>Research and Application of Digital Grid Voice Platform</t>
  </si>
  <si>
    <t>2023 3rd Power System and Green Energy Conference (PSGEC)</t>
  </si>
  <si>
    <t>10.1109/PSGEC58411.2023.10255805</t>
  </si>
  <si>
    <t>Smart Grid Service Center, Jiangsu Frontier Electric Power Technology Co., Ltd., Nanjing, China; Smart Grid Service Center, Jiangsu Frontier Electric Power Technology Co., Ltd., Nanjing, China; Smart Grid Service Center, Jiangsu Frontier Electric Power Technology Co., Ltd., Nanjing, China; Smart Grid Service Center, Jiangsu Frontier Electric Power Technology Co., Ltd., Nanjing, China; Smart Grid Service Center, Jiangsu Frontier Electric Power Technology Co., Ltd., Nanjing, China; Smart Grid Service Center, Jiangsu Frontier Electric Power Technology Co., Ltd., Nanjing, China; Southeast University, Nanjing, China</t>
  </si>
  <si>
    <t>In order to help the digital grid and other typical scenarios to be implemented and promote the digital transformation of marketing, the Smart Grid Center has created an energy Internet marketing service system. With the development of the marketing service system business, the demand for voice calls using mobile handheld to communicate with electricity consumers has gradually increased. This paper uses AI technology, automatic call distribution, intelligent routing and other technologies to build a set of digital grid voice platform with features such as flexible deployment, coverage of demand, intelligent services and easy integration to meet the call demand of field operators and the needs of mobile office, to achieve customer information feedback and timely tracking of customers.</t>
  </si>
  <si>
    <t>979-8-3503-4009-9</t>
  </si>
  <si>
    <t>https://ieeexplore.ieee.org/stamp/stamp.jsp?arnumber=10255805</t>
  </si>
  <si>
    <t>digital grid;marketing service system;mobile handheld;voice platform</t>
  </si>
  <si>
    <t>Technological innovation;Green buildings;Digital transformation;Energy Internet;Routing;Remote working;Data models</t>
  </si>
  <si>
    <t>S. Aggarwal; D. Mehrotra; A. Garg; S. Thakur</t>
  </si>
  <si>
    <t>Challenges and Constraints of 5G: Transformation and Prospects for 6G Era</t>
  </si>
  <si>
    <t>2024 1st International Conference on Advanced Computing and Emerging Technologies (ACET)</t>
  </si>
  <si>
    <t>10.1109/ACET61898.2024.10730012</t>
  </si>
  <si>
    <t>Amity School of Engineering and Technology, Amity University, Noida, India; Amity School of Engineering and Technology, Amity University, Noida, India; University of Bolton, Greater Manchester, UK; Amity School of Engineering and Technology, Amity University, Noida, India</t>
  </si>
  <si>
    <t>Fifth generation technology(5G) is available in several countries with more than 1.5 million users. It‚Äôs wireless communication through which many applications are integrated. With the rapid growth of more and more of the 5G network, many limitations have been found. Certain limitations regarding security and privacy were familiarized due to which 6G networks of next generation provide the solutions to overcome 5G. Whenever communications take place, human possibilities will depend on a set of security technology enablers. The recent 6G effort is presented in relation to privacy as well as security limitations of 5G. Knowledge extraction was not reliable in 5G, so will work on AI/ML implementation through federated learning. The 6G cyber security threats will be defined. 6G architecture breaks up how it will work when it will have multiple stakeholders. This paper also defines how the various domains of privacy, trust, cyber-resilience are decomposed. In short, here we will explore various 6G security Technologies which are revolutionizing..</t>
  </si>
  <si>
    <t>979-8-3503-6772-0</t>
  </si>
  <si>
    <t>https://ieeexplore.ieee.org/stamp/stamp.jsp?arnumber=10730012</t>
  </si>
  <si>
    <t>Knowledge Extraction;Blockchain;federated learning;5G;applications</t>
  </si>
  <si>
    <t>6G mobile communication;Wireless communication;Privacy;5G mobile communication;Federated learning;Security;Stakeholders;Reliability;Computer crime;Next generation networking</t>
  </si>
  <si>
    <t>T. Zhukabayeva; L. Zholshiyeva; N. Karabayev</t>
  </si>
  <si>
    <t>Future Directions of Cybersecurity in Industrial Internet of Things Through Edge Computing</t>
  </si>
  <si>
    <t>2024 9th International Conference on Computer Science and Engineering (UBMK)</t>
  </si>
  <si>
    <t>2521-1641</t>
  </si>
  <si>
    <t>10.1109/UBMK63289.2024.10773586</t>
  </si>
  <si>
    <t>Department of Information Technology, Eurasian National University, Astana, Kazakhstan; Department of Information Technology, Eurasian National University, Astana, Kazakhstan; Department of Information Technology, Eurasian National University, Astana, Kazakhstan</t>
  </si>
  <si>
    <t>As Industrial Internet of Things (IIoT) technologies and edge computing continue to evolve, the volume of data processed in real-time to optimize manufacturing processes has increased. However, this increase in connected devices also amplifies the risks associated with cyber threats. This paper examines the use of edge computing in cyber-physical systems (CPSs) to ensure security in IIoT environments. The focus is on analyzing existing security issues by comparing research related to vulnerability protection in industrial networks and proposing solutions to enhance data protection. The study includes a comparative analysis of traditional IoT and IIoT systems, as well as a proposed taxonomy of solutions with future strategies aimed at improving security within industrial networks.</t>
  </si>
  <si>
    <t>979-8-3503-6588-7</t>
  </si>
  <si>
    <t>https://ieeexplore.ieee.org/stamp/stamp.jsp?arnumber=10773586</t>
  </si>
  <si>
    <t>cybersecurity;IIoT;CPS;edge computing</t>
  </si>
  <si>
    <t>Manufacturing processes;Taxonomy;Cyber-physical systems;Real-time systems;Security;Resource management;Protection;Standards;Industrial Internet of Things;Edge computing</t>
  </si>
  <si>
    <t>J. Zhang; Z. Meng; F. Miao; Y. Xiong; Z. Xu; Y. Yun; R. Wang</t>
  </si>
  <si>
    <t>Usage of Application-driven Ternary Divide-and-conquer Architecture of Heterogeneous Internet of Things in Environmental Monitoring</t>
  </si>
  <si>
    <t>2023 9th International Conference on Big Data Computing and Communications (BigCom)</t>
  </si>
  <si>
    <t>10.1109/BIGCOM61073.2023.00010</t>
  </si>
  <si>
    <t>School of Computer Science and Technology, University of Science and Technology of China, Hefei, China; School of Computer Science and Technology, Anhui University, Hefei, China; School of Computer Science and Technology, University of Science and Technology of China, Hefei, China; School of Computer Science and Technology, University of Science and Technology of China, Hefei, China; School of Computer Science and Technology, University of Science and Technology of China, Hefei, China; School of Computer Science and Technology, University of Science and Technology of China, Hefei, China; School of Computer Science and Technology, University of Science and Technology of China, Hefei, China</t>
  </si>
  <si>
    <t>The current development of the Internet of Things (IoT) suffers from problems such as scattered deployments, different structures, and inefficient interconnections of networks. Therefore, the current IoT architecture cannot support complex IoT applications that coordinate and reuse cross-industry resources. This paper proposes an application-driven ternary (i.e., data, resources, and services) divide-and-conquer architecture of heterogeneous IoT. The architecture supports decoupling and reconstructing heterogeneous services on demand based on the characteristics of upper-layer applications and performing adaptive management and dynamic scheduling of heterogeneous resources. To achieve the interconnection of different types of IoT systems, our architecture logically virtualizes multiple IoT systems into a complete network system for supporting data interaction, resource reusing, and service collaboration. To validate the effectiveness of our architecture, we apply it to the environmental monitoring scenario, where robust Chinese Remainder Theorem (RCRT) is leveraged to implement the data aggregation between sensing devices and the IoT gateway. The experimental results show that our architecture can meet the requirements of the scenario and enable up to 10 billion devices to be connected theoretically.</t>
  </si>
  <si>
    <t>979-8-3503-3124-0</t>
  </si>
  <si>
    <t>https://ieeexplore.ieee.org/stamp/stamp.jsp?arnumber=10415593</t>
  </si>
  <si>
    <t>Internet of Things (IoT);architecture;heterogeneous;application-driven;ternary;divide-and-conquer;robust Chinese Remainder Theorem (RCRT)</t>
  </si>
  <si>
    <t>Collaboration;Computer architecture;Logic gates;Sensors;Internet of Things;Environmental monitoring;Network systems</t>
  </si>
  <si>
    <t>L. Wang; C. Tian; H. Tian; G. Li</t>
  </si>
  <si>
    <t>Research on Key Technologies of Computing Power Networks for Scientific Computing</t>
  </si>
  <si>
    <t>2024 8th International Conference on Electrical, Mechanical and Computer Engineering (ICEMCE)</t>
  </si>
  <si>
    <t>10.1109/ICEMCE64157.2024.10862767</t>
  </si>
  <si>
    <t>91977 unit, Beijing, China; 91977 unit, Beijing, China; 91977 unit, Beijing, China; 91977 unit, Beijing, China</t>
  </si>
  <si>
    <t>The increasing demand for large-scale deployment of extensive data, driven by technologies like the internet of Things, digital twins, and LLMs, alongside the development of data centers, challenges the conventional ‚Äúbest effort‚Äù network model, necessitating a more sophisticated approach. This article explores the impediments encountered in scientific computing scenarios, including computing and storage transmission barriers, uncertain resource status, and coordination and scheduling complexities. It delves into pivotal technologies such as integrated converged networks, resource prediction and scheduling, and multi-cloud unified management to enhance the computing network architecture, offering insights into the applications of computing power networks.</t>
  </si>
  <si>
    <t>979-8-3315-0623-0</t>
  </si>
  <si>
    <t>https://ieeexplore.ieee.org/stamp/stamp.jsp?arnumber=10862767</t>
  </si>
  <si>
    <t>computing power networks;cloud native;deterministic network;scientific computing</t>
  </si>
  <si>
    <t>Data centers;Scientific computing;Processor scheduling;Computer architecture;Network architecture;Data models;Digital twins;Internet of Things;Low latency communication;Research and development</t>
  </si>
  <si>
    <t>H. Santos; I. Medeiros; C. Rocha; D. Ros√°rio; E. Cerqueira; T. Braun</t>
  </si>
  <si>
    <t>A Mobility-aware Flying Edge Computing Service Orchestration with Quality of Service Support</t>
  </si>
  <si>
    <t>10.1109/WF-IoT58464.2023.10539595</t>
  </si>
  <si>
    <t>Federal University of Par√° (UFPA), Bel√©m, Brazil; Federal University of Par√° (UFPA), Bel√©m, Brazil; Federal University of Par√° (UFPA), Bel√©m, Brazil; Federal University of Par√° (UFPA), Bel√©m, Brazil; Federal University of Par√° (UFPA), Bel√©m, Brazil; University of Bern, Bern, Switzerland</t>
  </si>
  <si>
    <t>Unmanned Aerial Vehicles (UAVs) will be part of last-mile 5G/6G networks and will support Internet of Things (IoT) and low latency services in Flying Edge Computing (FEC). UAVs will densely populate aerial space in smart cities, providing networking and computing to interactive and monitoring services to ground users. FEC is composed of one or a set of UAVs, can cover large areas, and assure the quick deployment of services in 5G/6G systems. FEC will cooperate or even replace edge computing services on the ground network in case of congestion/failure events. However, the efficient selection and orchestration of UAVs to provide Quality of Service (QoS) to mobile users on the ground space is still challenging. This paper proposes a mobility-aware FEC orchestration scheme, called FLYED. FLYED enables UAVs to provide FEC with mobility and QoS support on ground space. Simulation results show the impact and benefits of FLYED in providing QoS assurance compared to state-of-the-art algorithms.</t>
  </si>
  <si>
    <t>https://ieeexplore.ieee.org/stamp/stamp.jsp?arnumber=10539595</t>
  </si>
  <si>
    <t>Mobility;Edge Computing;Internet of Things</t>
  </si>
  <si>
    <t>Smart cities;Simulation;Time series analysis;Microservice architectures;Quality of service;Energy efficiency;Internet of Things</t>
  </si>
  <si>
    <t>A. Nakarmi; H. Kesharwani; T. Mallick; S. Jhingran; G. Raj</t>
  </si>
  <si>
    <t>A Comprehensive Study on Optimization Techniques for Microservices Deployment</t>
  </si>
  <si>
    <t>2024 Sixth International Conference on Computational Intelligence and Communication Technologies (CCICT)</t>
  </si>
  <si>
    <t>10.1109/CCICT62777.2024.00033</t>
  </si>
  <si>
    <t>Sharda School of Engineering and Technology, Sharda University, Greater Noida, India; Sharda School of Engineering and Technology, Sharda University, Greater Noida, India; Sharda School of Engineering and Technology, Sharda University, Greater Noida, India; Sharda School of Engineering and Technology, Sharda University, Greater Noida, India; Sharda School of Engineering and Technology, Sharda University, Greater Noida, India</t>
  </si>
  <si>
    <t>With the emergence of high-speed internet, web traffic is spiking gradually. People are opting for different optimization frameworks to develop their enterprise level applications. To meet the modern demand of high fault tolerance reliability and low latency, the traditional approach of monolithic application deployment needs to be replaced with the micro service deployment approach. This offers a wide range of benefits with the involvement of modern cloud computing like serverless and multi-cloud architecture. With the implementation of microservice, there is the requirement of automated management of microservice which is done by the orchestration tools. With these advances in technology, there are several complex challenges. This paper uncovers how different techniques help in addressing these modern deployment issues and how the modern approach is drifted towards the high computational availability and low costing. Through the review of recent research and advancements in this area, this paper presents an effective study on microservice deployment and orchestration challenges along with their proposed solutions. This review also highlights the synergic impact of modern orchestration tools like Docker and Kubernetes.</t>
  </si>
  <si>
    <t>979-8-3503-7462-9</t>
  </si>
  <si>
    <t>https://ieeexplore.ieee.org/stamp/stamp.jsp?arnumber=10596599</t>
  </si>
  <si>
    <t>Microservices;Deployment optimization;Orchestration;Resource and Cost efficiency</t>
  </si>
  <si>
    <t>Adaptation models;Systematics;Reviews;Computational modeling;Bibliographies;Microservice architectures;Scheduling</t>
  </si>
  <si>
    <t>R. Geetha; V. Rajamani; V. Parthasarathy</t>
  </si>
  <si>
    <t>A Dynamic Approach to Optimizing Cloud Resource Allocation for Enhanced E-commerce Performance</t>
  </si>
  <si>
    <t>2024 10th International Conference on Communication and Signal Processing (ICCSP)</t>
  </si>
  <si>
    <t>2836-1873</t>
  </si>
  <si>
    <t>10.1109/ICCSP60870.2024.10543382</t>
  </si>
  <si>
    <t>Department of Information Technology, University College of Engineering, Villupuram, Tamilnadu, India; Department of Electronics and Communication Engineering, Vel Tech Multi Tech Dr.Rangarajan Dr.Sakunthala Engineering College, Chennai, Tamilnadu, India; Department of Computer Science and Engineering, Karpagam Academy of Higher Education (Deemed to be University), Coimbatore, Tamilnadu, India</t>
  </si>
  <si>
    <t>This study tackles the challenge of enhancing Ecommerce performance on the Shopping platform through a dynamic approach to optimizing cloud resource allocation. The problem at hand involves the need for scalable infrastructure to accommodate fluctuating demand, ensuring seamless user experiences during peak periods. Our proposed method employs a sophisticated dynamic allocation algorithm that adapts in real-time to varying workloads. The system‚Äôs flow begins with continuous monitoring of platform activity, swiftly identifying resource demands. Leveraging machine learning, the algorithm predicts resource needs, enabling proactive scaling. Results demonstrate a significant improvement in platform responsiveness, reducing latency during traffic spikes and ensuring optimal performance. This dynamic approach not only addresses the resource allocation challenge but also provides a solution for E-commerce platforms, fostering enhanced user satisfaction and scalability.</t>
  </si>
  <si>
    <t>979-8-3503-5306-8</t>
  </si>
  <si>
    <t>https://ieeexplore.ieee.org/stamp/stamp.jsp?arnumber=10543382</t>
  </si>
  <si>
    <t>E-commerce platforms;Dynamic Allocation Algorithm;Machine Learning;User Satisfaction;Cloud Resource Allocation</t>
  </si>
  <si>
    <t>Machine learning algorithms;Scalability;Heuristic algorithms;Signal processing algorithms;Dynamic scheduling;Prediction algorithms;Real-time systems</t>
  </si>
  <si>
    <t>S. Singh; K. T. Joseph</t>
  </si>
  <si>
    <t>Study Of 5G IoT Module And Leveraging For Military Solutions</t>
  </si>
  <si>
    <t>10.1109/ICTBIG64922.2024.10911580</t>
  </si>
  <si>
    <t>Faculty Of Communication Engineering, Military College of Telecommunication Engineering; Faculty Of Communication Engineering, Military College of Telecommunication Engineering</t>
  </si>
  <si>
    <t>The rapid evolution of 5G technology is transforming the landscape of the "Internet of Things (IoT), enabling the deployment of high-speed, low-latency, and massive device communication" networks [1]. This paper studies the design, development, and integration of 5G IoT modules, focusing on their architecture, functionality, and performance in real-world military applications. By leveraging 5G‚Äôs "enhanced mobile broadband (eMBB), ultra-reliable low-latency communication (URLLC), and massive machine-type communication (mMTC)". 5G IoT modules also facilitate a range of military solutions, including battlefield communication, autonomous systems, Internet of Military Things (IoMT), and situational awareness [1]. The paper investigates the role of network slicing in optimizing specific mission-critical applications, ensuring isolated and secure communication in contested environments. Paper concludes by addressing challenges such as security, interoperability, and energy consumption while providing insights into the future of 5G IoT in military strategy.</t>
  </si>
  <si>
    <t>https://ieeexplore.ieee.org/stamp/stamp.jsp?arnumber=10911580</t>
  </si>
  <si>
    <t>Military communication;5G mobile communication;Military computing;Autonomous systems;Decision making;Ultra reliable low latency communication;Sensor systems;Internet of Things;Security;Resilience</t>
  </si>
  <si>
    <t>P. Sharma; J. Shyamala Devi; K. Manikandan; R. Ani Minisha; R. Harini; S. Karthik</t>
  </si>
  <si>
    <t>The Role of Edge Computing in Enhancing Cloud Performance and Reducing Latency</t>
  </si>
  <si>
    <t>2024 7th International Conference on Contemporary Computing and Informatics (IC3I)</t>
  </si>
  <si>
    <t>10.1109/IC3I61595.2024.10829058</t>
  </si>
  <si>
    <t>School of CS &amp; AI, SR University, Warangal, Telangana, India; Rajalakshmi Institute of Technology, Chennai; School of Computer Science &amp; Engineering (SCOPE), Vellore Institute of Technology (VIT), Vellore, Tamilnadu, India; Department of Artificial Intelligence and Data Science, R.M. K. Engineering College; Department of Computer Science and Engineering, Veltech Multitech Dr. Rangarajan Dr. Sakunthala Engineering College; Department of Mathematics, Vel Tech Rangarajan Dr. Sagunthala R&amp;D Institute of Science and Technology Avadi, Chennai, Tamilnadu, India</t>
  </si>
  <si>
    <t>The flexibility of implementing edge computing over cloud infrastructures has become essential for responding to the need for reducing latency and improving data processing in a distributed environment. This research aims to determine the use of edge computing in enhancing the effectiveness of cloud utilization through conducting machine learning investigations utilizing Random Forest in the determination of the optimum contribution of resources. The work also set up and applied real-world datasets from Kaggle to illustrate that edge computing can alleviate the latency issue mainly by offloading computationally intensive tasks to edge nodes away from the central cloud. The results show that edge computing with the help of Machine learning is the best solution for cutting-edge cloud environments as it is fast and does not aggravate the problems of excessive use of resources. Therefore, this research will be a great addition to the existing literature on the integration of cloud and edge computing and is hoped to offer useful information for future developments in the field of cloud computing.</t>
  </si>
  <si>
    <t>979-8-3503-5006-7</t>
  </si>
  <si>
    <t>https://ieeexplore.ieee.org/stamp/stamp.jsp?arnumber=10829058</t>
  </si>
  <si>
    <t>Cloud performance;Edge computing;Resource allocation;Cloud-edge integration;Latency reduction;Machine learning</t>
  </si>
  <si>
    <t>Cloud computing;Machine learning algorithms;Job shop scheduling;Smart cities;Processor scheduling;Security;Reliability;Low latency communication;Random forests;Edge computing</t>
  </si>
  <si>
    <t>A. Karmann; M. Kilthau; C. Derksen; F. Strobel; L. Bittermann; K. Korotkiewicz; J. Ostmeyer; A. Fay</t>
  </si>
  <si>
    <t>Towards pragmatic interoperability: a conceptual framework for an energy IoT platform in the German energy sector</t>
  </si>
  <si>
    <t>10.1049/icp.2024.1880</t>
  </si>
  <si>
    <t>Institute of Automation Technology, Helmut-Schmidt-University, Hamburg, Germany; Institute of Automation Technology, Helmut-Schmidt-University, Hamburg, Germany; Research Group for Business Informatics and Software Engineering, University Duisburg-Essen, Essen, Germany; Institute of Electrical Power and Energy Technology, University of Technology Hamburg, Hamburg, Germany; PSI GridConnect GmbH, Karlsruhe, Germany; PSI GridConnect GmbH, Karlsruhe, Germany; PSI FLS Fuzzy Logik &amp; Neuro Systeme GmbH, Dortmund, Germany; Institute of Automation Technology, Helmut-Schmidt-University, Hamburg, Germany</t>
  </si>
  <si>
    <t>This paper introduces an innovative conceptual framework for an Energy Internet of Things (eIoT) platform designed to address challenges related to grid congestion, voltage limit violations, and the growing demands on low-voltage grids due to increased electrification in the energy and heating sectors. The proposed platform seamlessly integrates cutting-edge technologies including advanced data collection, state estimation algorithms, AI-driven decision-making processes, and grid control functionalities. Its primary objective is to facilitate proactive measures aimed at enhancing energy distribution efficiency and effectively managing consumption devices while ensuring compliance with regulatory standards such as ¬ß14a of the Energy Industry Act (EnWG) in Germany.</t>
  </si>
  <si>
    <t>https://ieeexplore.ieee.org/stamp/stamp.jsp?arnumber=10853142</t>
  </si>
  <si>
    <t>L. -M. Ionescu; N. Ionescu; M. -D. Bondoc; I. Grecu; A. -G. Mazare; C. Stirbu</t>
  </si>
  <si>
    <t>A Blockchain Solution for Risk Management in Industry</t>
  </si>
  <si>
    <t>2024 IEEE 30th International Symposium for Design and Technology in Electronic Packaging (SIITME)</t>
  </si>
  <si>
    <t>2642-7036</t>
  </si>
  <si>
    <t>10.1109/SIITME63973.2024.10814752</t>
  </si>
  <si>
    <t>Department of Electronics, Computers and Electrical Engineering, University POLITEHNICA Bucharest, Pitesti, Romania; Manufacturing and Industrial Management Department, University POLITEHNICA Bucharest, Pitesti, Romania; Department of Finance, Accounting and Economics, University POLITEHNICA Bucharest, Pitesti, Romania; Department of Management, University POLITEHNICA Bucharest, Bucharest, Romania; Department of Electronics, Computers and Electrical Engineering, University POLITEHNICA Bucharest, Pitesti, Romania; Department of Electronics, Computers and Electrical Engineering, University POLITEHNICA Bucharest, Pitesti, Romania</t>
  </si>
  <si>
    <t>The paper presents the use of a blockchain technology in risk management (B-RM) for the analysis of failure modes and effects (FMEA) as well as for the development of the control plan (CP) in the quality management system of an enterprise in the automotive field. The solution proposed by us substantially improves the risk assessment and management process through transparency, traceability and ensuring data integrity. At the same time, the implemented system improves the response speed of the parties involved. The study presents the solution proposed by us, how the system is implemented at the enterprise level, as well as some case studies in which the pilot model created by us was used. To validate our solution, performance comparisons were made with the classical solution that was applied in the enterprise. The results clearly show the benefits of the proposed method.</t>
  </si>
  <si>
    <t>979-8-3315-3951-1</t>
  </si>
  <si>
    <t>https://ieeexplore.ieee.org/stamp/stamp.jsp?arnumber=10814752</t>
  </si>
  <si>
    <t>Failure modes and effects analysis (FMEA);blockchain;Control plan (CP);quality management system (QMS)</t>
  </si>
  <si>
    <t>Industries;Data security;Data integrity;Companies;Blockchains;Manufacturing;Risk management;Monitoring;Quality management;Electronics packaging</t>
  </si>
  <si>
    <t>H. Zhang; L. Hou; Z. Lu; D. Wang; W. Hu; H. Yang; Y. Liu; J. Liu</t>
  </si>
  <si>
    <t>Research on DMI-based equipment management technology</t>
  </si>
  <si>
    <t>2024 IEEE 10th International Conference on Edge Computing and Scalable Cloud (EdgeCom)</t>
  </si>
  <si>
    <t>10.1109/EdgeCom62867.2024.00016</t>
  </si>
  <si>
    <t>Shanghai DaoCloud Network Technology Co., Ltd, Shanghai, China; Shanghai DaoCloud Network Technology Co., Ltd, Shanghai, China; School of Computer Science, Fudan University Shanghai, China; Shanghai EastHope Software Technology Co Ltd., Shanghai, China; Shanghai DaoCloud Network Technology Co., Ltd, Shanghai, China; Shanghai DaoCloud Network Technology Co., Ltd, Shanghai, China; Wangsu Science Technology Co., Ltd, Shanghai, China; Shanghai DaoCloud Network Technology Co., Ltd, Shanghai, China</t>
  </si>
  <si>
    <t>Under the general trend of cloud native, the numerous device communication protocols, models, and transmission formats make it difficult to manage and access device instances as easily as application and service instances. At the same time, the transmission, consumption, and processing of massive device data face efficiency problems. Therefore, DMI (Device Management Interface) is proposed to optimize the KubeEdge device management capability. DMI aims to integrate the device management interface, so that the lifecycle of device instances can be managed like application instance Pod, and decouple the business-plane data from the management-plane data. This enables edge applications to obtain and consume data collected by edge devices in multiple ways.</t>
  </si>
  <si>
    <t>979-8-3503-7713-2</t>
  </si>
  <si>
    <t>https://ieeexplore.ieee.org/stamp/stamp.jsp?arnumber=10629153</t>
  </si>
  <si>
    <t>DMI;kubeEdge;device instance;cloud native</t>
  </si>
  <si>
    <t>Protocols;Market research;Faces;Edge computing</t>
  </si>
  <si>
    <t>N. Khan; U. Dinesha; S. Arunachalam; D. Narasimha; V. Subramanian; S. Shakkottai</t>
  </si>
  <si>
    <t>A Multi-Agent View of Wireless Video Streaming with Delayed Client-Feedback</t>
  </si>
  <si>
    <t>10.1109/INFOCOM52122.2024.10621216</t>
  </si>
  <si>
    <t>University of Michigan, Ann Arbor, MI; Texas A&amp;M University, College Station, TX; Texas A&amp;M University, College Station, TX; Texas A&amp;M University, College Station, TX; University of Michigan, Ann Arbor, MI; Texas A&amp;M University, College Station, TX</t>
  </si>
  <si>
    <t>We study the optimal control of multiple video streams over a wireless downlink from a base-transceiver-station (BTS)/access point to N end-devices (EDs). The BTS sends video packets to each ED under a joint transmission energy constraint, the EDs choose when to play out the received packets, and the collective goal is to provide a high Quality-of-Experience (QoE) to the clients/end-users. All EDs send feedback about their states and actions to the BTS which reaches it after a fixed deterministic delay. We analyze this team problem with delayed feedback as a cooperative Multi-Agent Constrained Partially Observable Markov Decision Process (MA-C-POMDP).First, using a recently established strong duality result for MAC-POMDPs, the original problem is decomposed into N independent unconstrained transmitter-receiver (two-agent) problems‚Äî all sharing a Lagrange multiplier (that also needs to be optimized for optimal control). Thereafter, the common information (CI) approach and the formalism of approximate information states (AISs) are used to guide the design of a neural-network based architecture for learning-based multi-agent control in a single unconstrained transmitter-receiver problem. Finally, simulations on a single transmitter-receiver pair with a stylized QoE model are performed to highlight the advantage of delay-aware two-agent coordination over the transmitter choosing both transmission and play-out actions (perceiving the delayed state of the receiver as its current state).</t>
  </si>
  <si>
    <t>https://ieeexplore.ieee.org/stamp/stamp.jsp?arnumber=10621216</t>
  </si>
  <si>
    <t>Wireless communication;Transmitters;Markov decision processes;Optimal control;Receivers;Streaming media;Quality of experience</t>
  </si>
  <si>
    <t>H. J. Deva Koresh; S. K; S. M R; S. S; V. K</t>
  </si>
  <si>
    <t>Smart Charging Slot Reservation and Utilization System for Electric Vehicles</t>
  </si>
  <si>
    <t>2024 Second International Conference on Inventive Computing and Informatics (ICICI)</t>
  </si>
  <si>
    <t>10.1109/ICICI62254.2024.00081</t>
  </si>
  <si>
    <t>Department of ECE, KPR Institute of Engineering and Technology, Coimbatore, India; Department of ECE, KPR Institute of Engineering and Technology, Coimbatore, India; Department of ECE, KPR Institute of Engineering and Technology, Coimbatore, India; Department of ECE, KPR Institute of Engineering and Technology, Coimbatore, India; Department of ECE, KPR Institute of Engineering and Technology, Coimbatore, India</t>
  </si>
  <si>
    <t>An innovative infrastructure called the Smart Charging Slot Reservation and Utilization System for Electric Vehicles was created to maximize resource management and user convenience while streamlining the charging process for electric vehicles (EVs). This cutting-edge solution combines IoT technologies and a strong software ecosystem with hardware and software components. Fundamentally, the system offers EV charging stations with Internet of Things (IoT) capabilities, enabling remote control and monitoring. Through an easy-to- use webpage, users may find charging outlets in their immediate vicinity. Users may easily schedule and pay for charging services using the webpage. The system‚Äôs capability to deliver real-time information on available charging slots at different stations is one of its primary advantages. Flexible slots can be reserved by users according to variables like peak hour timing, vehicle type, and charging station capacity. Furthermore, the system utilizes an algorithm to determine the anticipated charging duration, guaranteeing effective resource management. Additionally, the system uses peak-hour power reduction technology, which aids in controlling energy use during times of high demand. This lessens the load on the electrical grid, which helps with ecological initiatives while also increasing charging efficiency. Moreover, the system has built-in GPS mapping capabilities, which make it simple for users to find the closest charging station. All things considered, this innovative approach is a major step forward for the infrastructure of EV charging, improving accessibility and fostering sustainability by managing peak hours and using renewable energy sources.</t>
  </si>
  <si>
    <t>979-8-3503-7329-5</t>
  </si>
  <si>
    <t>https://ieeexplore.ieee.org/stamp/stamp.jsp?arnumber=10675710</t>
  </si>
  <si>
    <t>Electric vehicles;Internet of Things (IoT);Global Positioning System (GPS)</t>
  </si>
  <si>
    <t>Transportation;Charging stations;User interfaces;Software;Real-time systems;User experience;Resource management</t>
  </si>
  <si>
    <t>A. Feijoo-Arostegui; A. Orive; J. Imaz; H. Gazta√±aga; M. Gonzalez-Hierro; A. Goikoetxea</t>
  </si>
  <si>
    <t>Edge-Cloud Based EMS for Distributed ESS Integration in Smart Grids</t>
  </si>
  <si>
    <t>2024 20th International Conference on the European Energy Market (EEM)</t>
  </si>
  <si>
    <t>10.1109/EEM60825.2024.10608947</t>
  </si>
  <si>
    <t>Energy Storage and Power Electronics; Digital Technologies and Artificial Intelligence, IKERLAN Technology Research Centre, BRTA, Arrasate-Mondragon, Spain; Digital Technologies and Artificial Intelligence, IKERLAN Technology Research Centre, BRTA, Arrasate-Mondragon, Spain; Energy Storage and Power Electronics; Digital Technologies and Artificial Intelligence, IKERLAN Technology Research Centre, BRTA, Arrasate-Mondragon, Spain; Electronic and Computer Science Department, Mondragon Unibertsitatea (MU), Arrasate-Mondragon, Spain</t>
  </si>
  <si>
    <t>The ongoing energy transition is driving the transformation of the traditional centralized electric system into a decentralized one, integrating distributed energy resources (DERs) along the grid. This paper presents a digital hierarchical Energy Management System (EMS) for integrating distributed energy storage systems in these decentralized Smart Grids. This EMS is deployed in an Edge-Cloud architecture and has been validated in a test bench for a self-consumption case study. The proposed work obtained a self-consumption level of 100% and significant increases in self-sufficiency levels and electricity bill savings. The hierarchical and digitalized control of a DER has been successfully validated, allowing the optimal integration of DERs and fostering their participation in grid services. The aggregation of these DERs can provide the increasing distribution grid flexibility requirements, thanks to the scalability and interoperability characteristics of the presented architecture, opening the participation into new flexibility energy markets and the path to a more resilient and reliable grid.</t>
  </si>
  <si>
    <t>979-8-3503-8174-0</t>
  </si>
  <si>
    <t>https://ieeexplore.ieee.org/stamp/stamp.jsp?arnumber=10608947</t>
  </si>
  <si>
    <t>Cloud Computing;Digital Systems;Edge Computing;Energy Management Systems;Smart Grids</t>
  </si>
  <si>
    <t>Scalability;Electricity;Europe;Computer architecture;Smart grids;Distributed power generation;Reliability</t>
  </si>
  <si>
    <t>M. Karthick Raja; A. Singh; N. Balajiram; V. S. Hemraj Kumar; V. Karthik; S. Paithankar</t>
  </si>
  <si>
    <t>INFINIMIND AI ‚Äì Supercharging User Expediency using AI And RPA</t>
  </si>
  <si>
    <t>10.1109/ICIMIA60377.2023.10426475</t>
  </si>
  <si>
    <t>Department of Computer Science, Sri Eshwar college of Engineering, Tamil Nadu, India; Department of Computer Science, Sri Eshwar college of Engineering, Tamil Nadu, India; Department of Computer Science, Sri Eshwar college of Engineering, Tamil Nadu, India; Department of Computer Science, Sri Eshwar college of Engineering, Tamil Nadu, India; Department of Computer Science, Sri Eshwar college of Engineering, Tamil Nadu, India; Huron Eurasia ltd, Bangalore, India</t>
  </si>
  <si>
    <t>This paper introduces INFINIMIND AI, an innovative system seamlessly integrating advanced AI technologies, especially Natural Language Processing (NLP) and ensemble learning, to reshape user interactions. INFINIMIND AI boasts a user-friendly website interface, powered by FastAPI and Spring Boot for efficient API calls. The backend relies on the robust MongoDB and MySQL for precise database management. A standout feature is INFINIMIND AI‚Äôs high level of proficiency in NLP-driven input classification, coupled with sentiment analysis to gauge emotional context. SMTP communication facilitates data exchange, while UiPath automation consolidates and refines results into various user-friendly formats. INFINIMIND AI represents a novel and expedient approach to AI interactions, enhancing user experiences through simplified input processing and sentiment analysis. This paper details the innovative design and methodologies that underpin this AI-driven system, promising a user-centric future in AI interactions.</t>
  </si>
  <si>
    <t>https://ieeexplore.ieee.org/stamp/stamp.jsp?arnumber=10426475</t>
  </si>
  <si>
    <t>Web development;User experience;AI integration;Ensemble learning;NLP;Sentiment analysis;FastAPI;MongoDB;SMTP;UiPath;SpringBoot;MySQL</t>
  </si>
  <si>
    <t>Sentiment analysis;Automation;Ensemble learning;Artificial intelligence;Springs;Task analysis;Monitoring</t>
  </si>
  <si>
    <t>F. Siegmund; P. J. Franz; B. Nagel; M. R√ºder; L. Wernet; M. Hollick; R. Kundel</t>
  </si>
  <si>
    <t>State-aware Subscriber Steering in Fiber Access Networks for Improved Resilience</t>
  </si>
  <si>
    <t>2024 IEEE Conference on Network Function Virtualization and Software Defined Networks (NFV-SDN)</t>
  </si>
  <si>
    <t>2832-2231</t>
  </si>
  <si>
    <t>10.1109/NFV-SDN61811.2024.10807483</t>
  </si>
  <si>
    <t>Technical University of Darmstadt; Technical University of Darmstadt; Deutsche Telekom Technik GmbH; Deutsche Telekom Technik GmbH; Technical University of Darmstadt; Technical University of Darmstadt; Technical University of Darmstadt</t>
  </si>
  <si>
    <t>Network softwarization is currently emerging in home and enterprise Internet access networks. Still, the advantages of programmable hardware nodes and virtualized network functions in the access network as resilience enablers should be researched more. Access networks are typically built in a two-layer tree topology with sparse redundancy and limited adaptability. To overcome this, this work investigates how softwarization with redundancy can achieve resilience improvements in such networks. We present an architecture and prototypical implementation of a fiber-based access network and subscriber termination, with a redundant and adaptive design throughout the whole path from subscribers to the Internet. By proactively migrating states and steering subscriber flows, we reached total average downtimes of around 156 milliseconds to restore Internet access after disruption in the case of one subscriber. In comparison, it takes hours to restore Internet access in case of an outage with zero redundancy. Our solution is cost-effective by exploiting the architectural advances of Software Defined Networking, allowing the use of virtualized network functions and hardware-based functions simultaneously.</t>
  </si>
  <si>
    <t>979-8-3503-8053-8</t>
  </si>
  <si>
    <t>https://ieeexplore.ieee.org/stamp/stamp.jsp?arnumber=10807483</t>
  </si>
  <si>
    <t>PON;Resilience;NFV;SDN;Subscriber Steering;Hardware Acceleration;Access Networks;Redundancy</t>
  </si>
  <si>
    <t>Network topology;Redundancy;Computer architecture;Optical fiber networks;Hardware;Internet;Topology;Network function virtualization;Software defined networking;Resilience</t>
  </si>
  <si>
    <t>S. Zheng; F. Li; L. Jin; B. Wang</t>
  </si>
  <si>
    <t>Research on digital portrait of power information communication system based on business drive</t>
  </si>
  <si>
    <t>2023 3rd International Conference on Intelligent Power and Systems (ICIPS)</t>
  </si>
  <si>
    <t>10.1109/ICIPS59254.2023.10404678</t>
  </si>
  <si>
    <t>State Grid Liaoning Information and Communication Company, Liaoning, China; State Grid Liaoning Information and Communication Company, Liaoning, China; State Grid Liaoning Information and Communication Company, Liaoning, China; State Grid Liaoning Information and Communication Company, Liaoning, China</t>
  </si>
  <si>
    <t>With the formation of new power systems, the uncertainty and complexity of distribution network operation are increasing day by day. Using digital twin technology to establish mapping and interaction between virtual space and physical power grid is an effective means to master the complex operation characteristics of distribution network. The construction method of distribution network operation portrait based on digital twin is proposed. Firstly, the index system reflecting the running state of distribution area and line is established, and the characteristic index is transformed into fuzzy label module by using objective statistical ranking strategy. Then, the operation index is extracted on a daily basis to form a collection sample, which is used as a cloud droplet of the cloud model, and the fuzzy representation of the operation index is formed by using the reverse cloud generator. Finally, the fuzzy distance between the operation index and the label template is weighted to sum, and the scoring value of the operation index is obtained. The distribution network operation portrait with clear physical meaning and objective evaluation basis is formed, which provides a technical means for comprehensively describing the operation characteristics of the new digital distribution network. Key words: digital twin; Distribution network; Running portrait; Cloud model; Fuzzy distance.</t>
  </si>
  <si>
    <t>979-8-3503-2869-1</t>
  </si>
  <si>
    <t>https://ieeexplore.ieee.org/stamp/stamp.jsp?arnumber=10404678</t>
  </si>
  <si>
    <t>component;QoS;Electric power Service selection;Blockchain;Smart contract</t>
  </si>
  <si>
    <t>Ranking (statistics);Cloud computing;Uncertainty;Distribution networks;Power grids;Digital twins;Indexes</t>
  </si>
  <si>
    <t>A. B. Bhutto; R. Kawashima; Y. Taenaka; Y. Kadobayashi</t>
  </si>
  <si>
    <t>Meeting Latency and Jitter Demands of Beyond 5G Networking Era: Are CNFs Up to the Challenge?</t>
  </si>
  <si>
    <t>2024 IEEE 48th Annual Computers, Software, and Applications Conference (COMPSAC)</t>
  </si>
  <si>
    <t>2836-3795</t>
  </si>
  <si>
    <t>10.1109/COMPSAC61105.2024.00251</t>
  </si>
  <si>
    <t>Division of Information Science, Nara Institute of Science &amp; Technology, Nara-ken, Japan; Dept. of Computer Science and Engg., Nagoya Institute of Technology, Nagoya-shi, Japan; Division of Information Science, Nara Institute of Science &amp; Technology, Nara-ken, Japan; Division of Information Science, Nara Institute of Science &amp; Technology, Nara-ken, Japan</t>
  </si>
  <si>
    <t>The introduction of Network Function Virtualization (NFV) has shifted network processing from specialized hardware to more flexible commodity servers, and this transition is still evolving. New industrial applications, the Internet of Things (IoT), and technologies like augmented, virtual, and mixed reality (AR/VR/MR) require networks that can handle event-based operations and middleware with very low and predictable latency. These requirements pose performance optimization challenges for packet processing in a layered infrastructure. In this study, we look deep into the challenges of implementing such network infrastructures using general-purpose hardware, a strategy motivated by its flexibility to realize telco-cloud and the potential to reduce electronic waste. Focusing on NFV with an emphasis on containerized network functions (CNFs), we investigate the performance limitations, particularly the high jitter and throughput variation observed in packet forwarding. We used a network function (NF) implemented using defacto industry standard user-space I/O architecture DPDK in bare-metal and containerized environments for performance evaluation. We conducted ten experiments in a 40 GbE environment to measure throughput, latency, and jitter across various packet sizes, traffic rates, and system configurations. The results indicate that adjusting CPU settings can significantly enhance throughput for CNFs despite a potential increase in jitter. We found that CNFs are feasible for latency-sensitive tasks, particularly under conditions of low traffic and specific packet sizes. With careful system-level configuration, CNFs can be used in beyond 5G cloud-native networking, offering promising potential for latency-sensitive applications.</t>
  </si>
  <si>
    <t>979-8-3503-7696-8</t>
  </si>
  <si>
    <t>https://ieeexplore.ieee.org/stamp/stamp.jsp?arnumber=10633329</t>
  </si>
  <si>
    <t>6G;Network Function Virtualization (NFV);Containerized Network Functions (CNFs);COTS;Cloud Native;Jitter;Latency;DPDK</t>
  </si>
  <si>
    <t>Industries;Cloud computing;5G mobile communication;Jitter;Throughput;Hardware;Network function virtualization</t>
  </si>
  <si>
    <t>M. Zhu; R. Kang; K. -T. Foerster</t>
  </si>
  <si>
    <t>Fault-Tolerant Local Recovery with Preprocessing in Multiple Shared Protection</t>
  </si>
  <si>
    <t>2024 14th International Workshop on Resilient Networks Design and Modeling (RNDM)</t>
  </si>
  <si>
    <t>2576-3539</t>
  </si>
  <si>
    <t>10.1109/RNDM64105.2024.10820396</t>
  </si>
  <si>
    <t>China Mobile Group Design Institute Co. Ltd., Beijing, China; Kyoto University, Kyoto, Japan; TU Dortmund, Dortmund, Germany</t>
  </si>
  <si>
    <t>In distributed microservice architecture, low latency and high reliability are crucial as they directly impact user experience by ensuring robust service continuity across the network. Function unavailability occurs due to various reasons, and when such failures are detected, the nodes hosting the backup resources can attempt autonomously local recovery, leveraging precomputed recovery policies, without the need for central processor intervention, thereby reducing recovery time. In scenarios involving shared protection with limited recovery capabilities, it is crucial to implement a well-defined policy for local recovery. Such a policy prevents repetitive or infeasible recovery attempts, ensuring effective recovery. This paper considers a local strategy to maximize the residual resilience, where individual nodes decide which function to recover. It hence works as a complement to global recovery to provide prompt recovery, as a first line of defense. This paper hence considers the preparation of priority settings with preprocessing based on the SUPPORTED model. We conduct a comprehensive analysis of the conditions for achieving feasible and optimal local recovery solutions with zero-round communication for one and two failures. Additionally, we formulate the problem as an integer linear programming problem and design a testbed to implement the local recovery algorithm incorporating preprocessing. Our evaluation reveals that the zero-round communication approach emerges as the optimal choice, drastically shortening recovery times to 10‚àí6 seconds while maintaining $\mathbf{9 8 \%}$ feasibility and perfect optimality for all practical solutions, on average, across two failure scenarios.</t>
  </si>
  <si>
    <t>979-8-3315-1818-9</t>
  </si>
  <si>
    <t>https://ieeexplore.ieee.org/stamp/stamp.jsp?arnumber=10820396</t>
  </si>
  <si>
    <t>Local recovery;preprocessing;distributed algorithm;shared protection;fault tolerance;residual resilience;network virtualization</t>
  </si>
  <si>
    <t>Fault tolerance;Conferences;Fault tolerant systems;Microservice architectures;Integer linear programming;User experience;Protection;Virtualization;Low latency communication;Resilience</t>
  </si>
  <si>
    <t>Z. Mao; X. Li; Y. Bu</t>
  </si>
  <si>
    <t>NAP: Network Adaptive Proxy for Dynamic Traffic Management in Edge Computing</t>
  </si>
  <si>
    <t>2024 IEEE 30th International Conference on Parallel and Distributed Systems (ICPADS)</t>
  </si>
  <si>
    <t>10.1109/ICPADS63350.2024.00055</t>
  </si>
  <si>
    <t>College of Computer Science and Technology, Nanjing University of Aeronautics and Astronautics, Nanjing, China; College of Computer Science and Technology, Nanjing University of Aeronautics and Astronautics, Nanjing, China; College of Computer Science and Technology, Nanjing University of Aeronautics and Astronautics, Nanjing, China</t>
  </si>
  <si>
    <t>In dynamic edge environments, many nodes are constantly changing their geographical locations, leading to unstable network links and even disconnections among nodes relying on wireless communication. Existing research mainly considers optimizing resource allocation and task processing delays, ignoring the impact of transmission delays in fluctuating network environments. However, the transmission time of tasks or requests may be longer than the processing time, which can significantly affect the quality of service for delay-sensitive services. In such scenarios, the static strategies of EdgeMesh always perform terribly under unstable network. This makes the transmission time of task data fluctuate frequently, resulting in an increase in response time. Therefore, we proposed an adaptive strategy based on network-aware to improve the transmission delay. We implemented such a strategy by developing a proxy named NAP to assist EdgeMesh in dynamic traffic management. In order to adapt to the complex and volatile conditions of edge networks, NAP monitors every node in real-time. It determines the feasible path with the shortest expected transmission time based on the size of different task data, network and resources status among nodes, then proxies the traffic and forwards it in the kernel state. Numerous experimental results demonstrate that NAP can reduce task transmission time by $50 \%$ and significantly improve the end-to-end request latency in edge computing environments compared to native strategies of EdgeMesh.</t>
  </si>
  <si>
    <t>979-8-3315-1596-6</t>
  </si>
  <si>
    <t>https://ieeexplore.ieee.org/stamp/stamp.jsp?arnumber=10763657</t>
  </si>
  <si>
    <t>Traffic management;Real-Time;Edge computing;KubeEdge;EdgeMesh</t>
  </si>
  <si>
    <t>Wireless communication;Performance evaluation;Adaptive systems;Source coding;Quality of service;Real-time systems;Delays;Time factors;Resource management;Edge computing</t>
  </si>
  <si>
    <t>M. P. Singh; A. Sharma; P. Gupta; A. Mittal</t>
  </si>
  <si>
    <t>Blockchain Security for the Internet of Things Enabled Business Services</t>
  </si>
  <si>
    <t>2023 International Conference on IoT, Communication and Automation Technology (ICICAT)</t>
  </si>
  <si>
    <t>10.1109/ICICAT57735.2023.10263599</t>
  </si>
  <si>
    <t>Department of Electronics and Communication Engineering, Meerut Institute of Engineering and Technology, Meerut, India; Department of Computer Science and Engineering (IoT), Meerut Institute of Engineering and Technology, Meerut, India; Department of Computer Science and Engineering (IoT), Meerut Institute of Engineering and Technology, Meerut, India; Department of Computer Science and Engineering (IoT), Meerut Institute of Engineering and Technology, Meerut, India</t>
  </si>
  <si>
    <t>The objective of this work is to discuss the case studies that answer the issues related to Enterprise/warehouse in the medical sector and respond to the anomaly related to health in households/medical care organizations. The case studies use industry-perspective Internet of Things hardware, technologies, platforms, and UIs. The work also introduces the three giants of Internet of Things Frameworks, Azure from Microsoft, AWS Internet of Things from Amazon, IBM which provides Internet of Things solutions with the most trusted deployments.</t>
  </si>
  <si>
    <t>979-8-3503-0282-0</t>
  </si>
  <si>
    <t>https://ieeexplore.ieee.org/stamp/stamp.jsp?arnumber=10263599</t>
  </si>
  <si>
    <t>Blockchain;Internet of Things;Solidity;Medical Business Services;Supply Chain</t>
  </si>
  <si>
    <t>Automation;Organizations;Hardware;Blockchains;Internet of Things;Security</t>
  </si>
  <si>
    <t>S. Birtane; M. Al-Naday; F. Paolucci; R. A. Bakar; V. Lefebvre; V. Passas; S. Kalafatidis; A. Lalas; A. Drosou; E. M. de Oca; A. R. Cavalli; P. V√∂r√∂s; M. Alshawki; B. Stiller; W. Soussi; G. Cantali; G. G√ºr</t>
  </si>
  <si>
    <t>Footprint-Optimized Orchestration and Management of Secure Complex Services over 6G Continuum</t>
  </si>
  <si>
    <t>2024 IEEE Conference on Standards for Communications and Networking (CSCN)</t>
  </si>
  <si>
    <t>10.1109/CSCN63874.2024.10849715</t>
  </si>
  <si>
    <t>University of Essex, Essex, UK; University of Essex, Essex, UK; CNIT, Pisa, Italy; CNIT, Pisa, Italy; Solidshield, France; Centre for Research &amp; Technology Hellas, Thessaloniki, Greece; Centre for Research &amp; Technology Hellas, Thessaloniki, Greece; Centre for Research &amp; Technology Hellas, Thessaloniki, Greece; Centre for Research &amp; Technology Hellas, Thessaloniki, Greece; Montimage, Paris, France; Montimage, Paris, France; ELTE Eotvos Lorand University, Budapest, Hungary; ELTE Eotvos Lorand University, Budapest, Hungary; University of Z√ºrich, Z√ºrich, Switzerland; University of Z√ºrich, Z√ºrich, Switzerland; University of Z√ºrich, Z√ºrich, Switzerland; Zurich Uni. of Applied Sciences (ZHAW), Winterthur, Switzerland</t>
  </si>
  <si>
    <t>This paper presents a security orchestration framework driven by bio-inspired and energy efficiency paradigms and embedded in the security architecture currently being developed in the NATWORK project. This project also entails the design and implementation of different security enablers that are essential for providing efficient and ubiquitous security management in future 6G networks. We delineate the relevant components and the framework and delve into their operation via two selected use cases. We also discuss the key challenges and future research crucial to enable the integration of smart and net-zero security orchestration in 6G networks.</t>
  </si>
  <si>
    <t>979-8-3315-0742-8</t>
  </si>
  <si>
    <t>https://ieeexplore.ieee.org/stamp/stamp.jsp?arnumber=10849715</t>
  </si>
  <si>
    <t>Security management;orchestration;net-zero mechanisms;6G networks</t>
  </si>
  <si>
    <t>6G mobile communication;Security management;Net zero;Data aggregation;Energy efficiency;Security;Substrates;Standards;Optimization;Monitoring</t>
  </si>
  <si>
    <t>O. Belej; N. Nestor; I. Artyshchuk; K. Pytel; N. Spas; M. Polietaiev</t>
  </si>
  <si>
    <t>The Formation of Computer Cluster with Limited Computing Resources Based on an Arbitrary Neural Network</t>
  </si>
  <si>
    <t>2024 IEEE 19th International Conference on the Perspective Technologies and Methods in MEMS Design (MEMSTECH)</t>
  </si>
  <si>
    <t>2573-5373</t>
  </si>
  <si>
    <t>10.1109/MEMSTECH63437.2024.10620061</t>
  </si>
  <si>
    <t>Department of Computer Design Systems, Lviv Polytechnic National University, Lviv, Ukraine; Department of Computer Design Systems, Lviv Polytechnic National University, Lviv, Ukraine; Department of Computer Design Systems, Lviv Polytechnic National University, Lviv, Ukraine; Department of Power Systems and Environmental Protection Facilities, AGH University of Science and Technology, Krakow, Poland; Department of Computer Design Systems, Lviv Polytechnic National University, Lviv, Ukraine; Department of Computer Design Systems, Lviv Polytechnic National University, Lviv, Ukraine</t>
  </si>
  <si>
    <t>We studied and compared the application areas of computer clusters with limited computing resources and well-known single-board computers. Existing solutions for calculating convolutional neural networks are analyzed. The possibility of implementing convolutional neural networks on computer clusters with limited computing resources has been established. The system implements an architecture that allows you to organize and distribute convolutional neural network calculations without dividing the convolution sphere into parts with load balancing taking into account the specifics of the data and resources processed on the cluster nodes. The developed algorithm for the application of convolutional neural networks by a computer cluster with limited computing resources makes it possible to use the developed forecasting models of convolutional neural networks to perform calculations in cyberphysical systems of the Internet of Things.</t>
  </si>
  <si>
    <t>979-8-3503-7862-7</t>
  </si>
  <si>
    <t>https://ieeexplore.ieee.org/stamp/stamp.jsp?arnumber=10620061</t>
  </si>
  <si>
    <t>computer clusters;limited computing resources;convolutional neural networks;load balancing algorithm;Internet of Things</t>
  </si>
  <si>
    <t>Computational modeling;Memory management;Clustering algorithms;Process control;Microservice architectures;Predictive models;Prediction algorithms</t>
  </si>
  <si>
    <t>C. Ordonez; W. Macyna</t>
  </si>
  <si>
    <t>Optimizing Energy Consumed by Analytics in the Cloud</t>
  </si>
  <si>
    <t>10.1109/BigData62323.2024.10825559</t>
  </si>
  <si>
    <t>University of Houston, Houston, USA; Wroclaw University of Technology, Wroclaw, Poland</t>
  </si>
  <si>
    <t>Given the climate change crisis, there is a worldwide growing concern on energy production, energy consumption and pollution. Cloud computing represents a small fraction of global energy consumption, but trends indicate it will continue to grow, driven by Big Data and AI. AI analytics are pushing computing resources, especially CPUs and GPUs, to their limits. However, powerful CPUs and GPUs, consume tons of energy and require cooling appliances, which results into higher operating cost and as an indirect consequence, higher pollution and global warming. Based on these issues, we present a survey on measuring and reducing energy, especially when processing analytic workloads. We discuss tradeoffs between high performance (low latency to get results) and low energy (less power consumed over time). Our focus is on identifying modern hardware components which have a significant impact on energy consumption and then examining how software optimizations can manage hardware to reduce energy in a cloud data center. We conclude with a tentative research agenda, based on the state of the art of research at the intersection of big data analytics, high performance computing, electrical energy and cloud computing.</t>
  </si>
  <si>
    <t>https://ieeexplore.ieee.org/stamp/stamp.jsp?arnumber=10825559</t>
  </si>
  <si>
    <t>Surveys;Cloud computing;Energy consumption;Pollution;Production;Big Data;Hardware;Software;Pollution measurement;Artificial intelligence</t>
  </si>
  <si>
    <t>H. Wu</t>
  </si>
  <si>
    <t>Design and Implementation of IoT-Based Smart Home System</t>
  </si>
  <si>
    <t>2024 International Conference on Industrial IoT, Big Data and Supply Chain (IIoTBDSC)</t>
  </si>
  <si>
    <t>10.1109/IIoTBDSC64371.2024.00012</t>
  </si>
  <si>
    <t>Zhejiang Dahua Technology Co., Ltd.</t>
  </si>
  <si>
    <t>This paper elaborates on the design, implementation, and testing process of a smart home system based on the Internet of Things (IoT). The system adopts a three-tier architecture (perception layer, network layer, and application layer), integrating functionalities such as security monitoring, environmental control, and energy management. The implementation leverages open-source hardware and cloud platforms, ensuring flexibility and scalability. Testing covers aspects including functionality, performance, and security, with results showing excellent performance in key metrics such as functional completeness, concurrency handling, and network attack defense. Performance testing confirms stability and efficiency under normal and peak loads. Security testing validates reliability in network, data, and physical security. Despite minor optimization needs under extreme conditions, overall, the system demonstrates outstanding functionality, reliable performance, and robust security, providing a smart, efficient, and secure home solution for modern households. The design and implementation not only meet current smart home demands but also lay a solid foundation for future feature expansions and performance enhancements.</t>
  </si>
  <si>
    <t>979-8-3315-3981-8</t>
  </si>
  <si>
    <t>https://ieeexplore.ieee.org/stamp/stamp.jsp?arnumber=10873083</t>
  </si>
  <si>
    <t>smart home system;internet of things;functional modules;system testing</t>
  </si>
  <si>
    <t>Smart homes;Solids;Throughput;Security;Reliability;Time factors;Energy management;Optimization;Monitoring;Testing</t>
  </si>
  <si>
    <t>M. C. Borges; J. Bauer; S. Werner</t>
  </si>
  <si>
    <t>OXN - Automated Observability Assessments for Cloud-Native Applications</t>
  </si>
  <si>
    <t>10.1109/ICSA-C63560.2024.00035</t>
  </si>
  <si>
    <t>Information Systems Engineering, Technische Universit√§t Berlin, Berlin, Germany; Technische Universit√§t Berlin, Berlin, Germany; Information Systems Engineering, Technische Universit√§t Berlin, Berlin, Germany</t>
  </si>
  <si>
    <t>Observability is important to ensure the reliability of microservice applications. These applications are often prone to failures, since they have many independent services deployed on heterogeneous environments. When employed ‚Äúcorrectly‚Äù, observability can help developers identify and troubleshoot faults quickly. However, instrumenting and configuring the observability of a microservice application is not trivial but tool-dependent and tied to costs. Practitioners need to understand observability-related tradeoffs in order to weigh between different observability design alternatives. Still, these architectural design decisions are not supported by systematic methods and typically just rely on‚Äùprofessional intuition‚Äù. To assess observability design tradeoffs with concrete evidence, we advocate for conducting experiments that compare var-ious design alternatives. Achieving a systematic and repeatable experiment process necessitates automation. We present a proof-of-concept implementation of an experiment tool - Observability eXperiment eNgine (OXN). Oxn is able to inject arbitrary faults into an application, similar to Chaos Engineering, but also possesses the unique capability to modify the observability configuration, allowing for the straightforward assessment of design decisions that were previously left unexplored.</t>
  </si>
  <si>
    <t>https://ieeexplore.ieee.org/stamp/stamp.jsp?arnumber=10628419</t>
  </si>
  <si>
    <t>Observability;Microservices;Software Architecture</t>
  </si>
  <si>
    <t>Fault diagnosis;Systematics;Costs;Software architecture;Instruments;Microservice architectures;Training data</t>
  </si>
  <si>
    <t>S. Mandal; N. E. O‚ÄôConnor</t>
  </si>
  <si>
    <t>OntoSmartDCU: A Multi-Agent Microservice Based Automated, Dynamic Ontology and Knowledge Graph Creation Framework From Real-Time Sensor Data for the Smart DCU Digital Twin</t>
  </si>
  <si>
    <t>2024 IEEE 10th World Forum on Internet of Things (WF-IoT)</t>
  </si>
  <si>
    <t>10.1109/WF-IoT62078.2024.10811412</t>
  </si>
  <si>
    <t>School of Electronic Engineering, Dublin City University, Dublin, Ireland; Insight SFI Research Centre for Data Analytics, Dublin City University, Dublin, Ireland</t>
  </si>
  <si>
    <t>This paper presents OntoSmartDCU, a novel Multi-Agent Microservice (MAMS) based framework for automated and dynamic Ontology and Knowledge Graph (KG) creation from real-time sensor data. Designed specifically for the Smart Dublin City University (DCU) Digital Twin (DT), OntoSmartDCU facilitates the continuous acquisition, interpretation, and integration of sensor data streams into an evolving knowledge representation. The architecture consists of interconnected microservices and autonomous agents, each responsible for specific tasks such as data gathering and processing, ontology creation, and KG population. These agents act as intelligent microservices, operating in parallel and communicating to achieve a common goal. This modular design facilitates scalability, flexibility, and adaptability to heterogeneous sensor environments. The dynamic nature of OntoSmartDCU will enable the DT to accurately reflect the real-time operational state of the university campus, serving as the foundation for various applied use cases. OntoSmartDCU offers a significant advancement in DT technology, providing a robust and scalable solution for real-time knowledge representation and data integration in complex cyber-physical systems.</t>
  </si>
  <si>
    <t>979-8-3503-7301-1</t>
  </si>
  <si>
    <t xml:space="preserve">Dublin City University; </t>
  </si>
  <si>
    <t>https://ieeexplore.ieee.org/stamp/stamp.jsp?arnumber=10811412</t>
  </si>
  <si>
    <t>Ontology;Knowledge Graphs;Multi-Agent Systems;Microservices;Multi-Agent Microservices;Semantic Digital Twins</t>
  </si>
  <si>
    <t>Scalability;Urban areas;Refining;Microservice architectures;Data integration;Knowledge graphs;Ontologies;Real-time systems;Digital twins;Streams</t>
  </si>
  <si>
    <t>C. Cicconetti; R. Bruno; A. Passarella</t>
  </si>
  <si>
    <t>Energy-Efficient Deployment of Stateful FaaS Vertical Applications on Edge Data Networks</t>
  </si>
  <si>
    <t>10.1109/ICCCN61486.2024.10637549</t>
  </si>
  <si>
    <t>CNR, IIT, Pisa, Italy; CNR, IIT, Pisa, Italy; CNR, IIT, Pisa, Italy</t>
  </si>
  <si>
    <t>5G and beyond support the deployment of vertical applications, which is particularly appealing in combination with network slicing and edge computing to create a logically isolated environment for executing customer services. Even if serverless computing has gained significant interest as a cloud-native technology its adoption at the edge is lagging, especially because of the need to support stateful tasks, which are commonplace in, e.g., cognitive services, but not fully amenable to being deployed on limited and decentralized computing infrastructures. In this work, we study the emerging paradigm of stateful Function as a Service (FaaS) with lightweight task abstractions in WebAssembly. Specifically, we assess the implications of deploying inter-dependent tasks with an internal state on edge computing resources using a stateless vs. stateful approach and then derive a mathematical model to estimate the energy consumption of a workload with given characteristics, considering the power used for both processing and communication. The model is used in extensive simulations to determine the impact of key factors and assess the energy trade-offs of stateless vs. stateful.</t>
  </si>
  <si>
    <t>https://ieeexplore.ieee.org/stamp/stamp.jsp?arnumber=10637549</t>
  </si>
  <si>
    <t>Stateful FaaS;Local Data Networks;Beyond 5G;Vertical Applications;Serverless Computing</t>
  </si>
  <si>
    <t>Performance evaluation;Energy consumption;Computational modeling;Network slicing;Serverless computing;Telecommunication traffic;Mathematical models</t>
  </si>
  <si>
    <t>S. Garc√≠a-Gil; D. Ramos-Ramos; J. G√≥mez-delaHiz; A. Garc√≠a-L√≥pez; S. L√≥pez-L√≥pez; J. M. Murillo; J. Gal√°n-Jim√©nez</t>
  </si>
  <si>
    <t>Latency-Aware Load Distribution Algorithm for Microservice Deployment in UAV Networks</t>
  </si>
  <si>
    <t>10.1109/ISCC61673.2024.10733720</t>
  </si>
  <si>
    <t>Department of Computer Systems and Telematics Engineering, University of Extremadura, Spain; Department of Computer Systems and Telematics Engineering, University of Extremadura, Spain; Department of Computer Systems and Telematics Engineering, University of Extremadura, Spain; Department of Computer Systems and Telematics Engineering, University of Extremadura, Spain; Department of Computer Systems and Telematics Engineering, University of Extremadura, Spain; Department of Computer Systems and Telematics Engineering, University of Extremadura, Spain; Department of Computer Systems and Telematics Engineering, University of Extremadura, Spain</t>
  </si>
  <si>
    <t>The Internet has become the driving wheel of social interactions as well as economic growth, but its access is vastly unequal. Noticeably, such rural dwellers experience a digital service access gap, due to the inadequate broadband infrastructure available to them when compared with their urban counterparts. This paper is aimed at overcoming the gap between rural communities with no reliable Internet service by deploying the service through the use of Unmanned Aerial Vehicles (UAVs). By decomposing the Internet of Things (IoT) applications into elements (namely microservices) and deploying them through UAVs, latency is shortened, distributing workload among UAVs while limiting microservice deployment to optimize request execution, making the quality service improvement, essential for such applications. Simulations revealed the effectiveness of our approach, as it indicated the lowest latency when a UAV connected to several users in scenarios where there was no Internet connectivity.</t>
  </si>
  <si>
    <t>https://ieeexplore.ieee.org/stamp/stamp.jsp?arnumber=10733720</t>
  </si>
  <si>
    <t>UAV;microservices;latency minimization;IoT;digital divide</t>
  </si>
  <si>
    <t>Scalability;Web and internet services;Microservice architectures;Wheels;Quality of service;Autonomous aerial vehicles;Internet of Things;Reliability;Socioeconomics;Testing</t>
  </si>
  <si>
    <t>Z. Feng; J. Xu; H. Zhan; J. Chen; M. Zhang; J. Shi; K. Wang; X. Zheng</t>
  </si>
  <si>
    <t>Construction and Application of a Low-Carbon Energy Management Platform Based on Digital Twin Technology</t>
  </si>
  <si>
    <t>2024 4th International Conference on Smart Grid and Energy Internet (SGEI)</t>
  </si>
  <si>
    <t>10.1109/SGEI63936.2024.10914314</t>
  </si>
  <si>
    <t>State Grid Zhejiang Electric Power Company Jiaxing Power Supply Company, Jiaxing, China; Key Laboratory of Control of Power Transmission and Conversion Ministry of Education, Shanghai Jiao Tong University, Shanghai, China; Key Laboratory of Control of Power Transmission and Conversion Ministry of Education, Shanghai Jiao Tong University, Shanghai, China; State Grid Zhejiang Electric Power Company Jiaxing Power Supply Company, Jiaxing, China; Dongfang Electronics Co.,Ltd., Yantai, China; Beijing Join Bright Digital Power Technology Co., Ltd., Beijing, China; Key Laboratory of Control of Power Transmission and Conversion Ministry of Education, Shanghai Jiao Tong University, Shanghai, China; Hunan University of Technology, Zhuzhou, China</t>
  </si>
  <si>
    <t>This paper introduces the architectural design of a low-carbon energy management platform based on digital twin technology and its application in low-carbon communities. Through this platform, real-time monitoring, simulation, and optimization of physical energy systems can be achieved, enhancing energy utilization efficiency and significantly reducing carbon emissions. The paper details the platform‚Äôs three-tier architecture design and, using the demonstration case of the South Lake Red Ship, explores the platform‚Äôs effectiveness in clean energy consumption, real-time simulation, and carbon neutrality management. Practical results show that the platform not only improves the operational efficiency of energy systems but also significantly reduces CO2 emissions, promoting the intelligent and sustainable development of energy management systems.</t>
  </si>
  <si>
    <t>979-8-3503-6831-4</t>
  </si>
  <si>
    <t xml:space="preserve">State Grid Zhejiang Electric Power Company; </t>
  </si>
  <si>
    <t>https://ieeexplore.ieee.org/stamp/stamp.jsp?arnumber=10914314</t>
  </si>
  <si>
    <t>Digital Twin;Energy Management;Low-Carbon Communities;Real-Time Simulation</t>
  </si>
  <si>
    <t>Green energy;Lakes;Carbon neutral;Real-time systems;Digital twins;Smart grids;Energy management;Marine vehicles;Sustainable development;Optimization</t>
  </si>
  <si>
    <t>M. Steidl; B. Dornauer; M. Felderer; R. Ramler; M. -C. Racasan; M. Gattringer</t>
  </si>
  <si>
    <t>How Industry Tackles Anomalies during Runtime: Approaches and Key Monitoring Parameters</t>
  </si>
  <si>
    <t>2024 50th Euromicro Conference on Software Engineering and Advanced Applications (SEAA)</t>
  </si>
  <si>
    <t>10.1109/SEAA64295.2024.00062</t>
  </si>
  <si>
    <t>University of Innsbruck, Innsbruck, Austria; University of Innsbruck, Innsbruck, Austria; University of Innsbruck, Innsbruck, Austria; Software Competence Center Hagenberg GmbH, Hagenberg, Austria; c.c.com Moser GmbH, Grambach, Austria; Gepardec IT Services GmbH, Linz, Austria</t>
  </si>
  <si>
    <t>Deviations from expected behavior during runtime, known as anomalies, have become more common due to the systems' complexity, especially for microservices. Consequently, analyzing runtime monitoring data, such as logs, traces for microservices, and metrics, is challenging due to the large volume of data collected. Developing effective rules or AI algorithms requires a deep understanding of this data to reliably detect unfore-seen anomalies. This paper seeks to comprehend anomalies and current anomaly detection approaches across diverse industrial sectors. Additionally, it aims to pinpoint the parameters necessary for identifying anomalies via runtime monitoring data. Therefore, we conducted semi-structured interviews with fifteen industry participants who rely on anomaly detection during runtime. Additionally, to supplement information from the interviews, we performed a literature review focusing on anomaly detection approaches applied to industrial real-life datasets. Our paper (1) demonstrates the diversity of interpretations and examples of software anomalies during runtime and (2) explores the reasons behind choosing rule-based approaches in the industry over self-developed AI approaches. AI-based approaches have become prominent in published industry-related papers in the last three years. Furthermore, we (3) identified key monitoring parameters collected during runtime (logs, traces, and metrics) that assist practitioners in detecting anomalies during runtime without introducing bias in their anomaly detection approach due to inconclusive parameters.</t>
  </si>
  <si>
    <t>979-8-3503-8026-2</t>
  </si>
  <si>
    <t xml:space="preserve">Austrian Research Promotion Agency(grant numbers:888127); </t>
  </si>
  <si>
    <t>https://ieeexplore.ieee.org/stamp/stamp.jsp?arnumber=10803340</t>
  </si>
  <si>
    <t>anomaly detection;runtime monitoring data;parameter extraction;logs;metrics;traces;microservices</t>
  </si>
  <si>
    <t>Industries;Measurement;Runtime;Voltage measurement;Microservice architectures;Companies;Interviews;Artificial intelligence;Monitoring;Anomaly detection</t>
  </si>
  <si>
    <t>E. H. Mariame; B. Ahmed; D. El Yazid</t>
  </si>
  <si>
    <t>Exploring The Use of Robotic Process Automation in Smart Cities</t>
  </si>
  <si>
    <t>2024 Mediterranean Smart Cities Conference (MSCC)</t>
  </si>
  <si>
    <t>10.1109/MSCC62288.2024.10696992</t>
  </si>
  <si>
    <t>Abdelmalek Essaadi University, Tetuan, Morocco; Abdelmalek Essaadi University, Tetuan, Morocco; Abdelmalek Essaadi University, Tetuan, Morocco</t>
  </si>
  <si>
    <t>The boost in intelligence is achievable thanks to advancing technology, progressing from 4G LTE to 5G NR, and applying intelligent solutions across different fields. Technological advancements are enhancing the efficiency and capabilities of various sectors, fostering innovative environments in businesses like supply chains and finance, government, healthcare, institutions, homes, vehicles, and market complexes. Different corporations and business organizations have considered Robotic Process Automation to enhance production‚Äîservices driving success in the resection application sectors within the organizations. Implementing and integrating Robotic Process Automation for Smart Cities showcases diverse advancements. This paper aims to explore the integration of Robotic Process Automation (RPA) while shading lights in smart cities to enhance efficiency in daily services and sustainability. Through exploring research, it examines the practical implications of deploying RPA in some major functional areas of smart cities. Findings contribute to understanding RPA's transformative potential in reshaping smart cities areas and building more efficient and sustainable smart cities.</t>
  </si>
  <si>
    <t>979-8-3503-7400-1</t>
  </si>
  <si>
    <t>https://ieeexplore.ieee.org/stamp/stamp.jsp?arnumber=10696992</t>
  </si>
  <si>
    <t>Robotic;Automation;Smart Cities;Robotic Process Automation (RPA)</t>
  </si>
  <si>
    <t>Intelligent automation;Smart cities;Supply chains;Government;Buildings;Finance;Medical services;Sustainable development;Organizational aspects;Robots</t>
  </si>
  <si>
    <t>D. M. Casas; A. R. Presas; J. M. C. Y√°√±ez; J. A. T. Gonz√°lez</t>
  </si>
  <si>
    <t>Architecture proposal for adding FOG processing capability to a Smart Building Management System</t>
  </si>
  <si>
    <t>2024 9th International Conference on Fog and Mobile Edge Computing (FMEC)</t>
  </si>
  <si>
    <t>10.1109/FMEC62297.2024.10710224</t>
  </si>
  <si>
    <t>Electronics and Computer Science Department, Computer Graphics and Data Engineering (COGRADE) Research Group, University of Santiago de Compostela, Santiago de Compostela, Spain; Electronics and Computer Science Department, Computer Graphics and Data Engineering (COGRADE) Research Group, University of Santiago de Compostela, Santiago de Compostela, Spain; Electronics and Computer Science Department, Computer Graphics and Data Engineering (COGRADE) Research Group, University of Santiago de Compostela, Santiago de Compostela, Spain; Electronics and Computer Science Department, Computer Graphics and Data Engineering (COGRADE) Research Group, University of Santiago de Compostela, Santiago de Compostela, Spain</t>
  </si>
  <si>
    <t>This article examines the current state of the intelligent building monitoring system created for the University of Santiago de Compostela (USC) in the framework of the OPERE project and proposes a modification based on the Fog Computing paradigm. The study is developed in the context of the European regulations for the energy efficiency of facilities and the reduction of greenhouse gases. The current system implements the data processing in DADIS modules, developed by this research group for the acquisition and flexible transmission of information. These modules provide the information to the monitoring system which offers functionalities such as energy consumption dashboards, configurable operation schedules and ad hoc data visualization. However, the limitations of the current system include the difficulty in scaling the processing of the acquired information and database queries. The described upgrade proposes the extensive use of MQTT to standardize communications and allow the development of stand-alone applications to scale processing. The same architecture facilitates the incorporation of Big Data infrastructures that would solve even more complex query problems than those addressed in this scenario.</t>
  </si>
  <si>
    <t>979-8-3503-6648-8</t>
  </si>
  <si>
    <t xml:space="preserve">Agencia Estatal de Investigaci√≥n; Ministerio de Ciencia e Innovaci√≥n; </t>
  </si>
  <si>
    <t>https://ieeexplore.ieee.org/stamp/stamp.jsp?arnumber=10710224</t>
  </si>
  <si>
    <t>Smart Buildings;Energy;Fog Computing</t>
  </si>
  <si>
    <t>Schedules;Smart buildings;Multi-access edge computing;Architecture;Europe;Computer architecture;Regulation;Proposals;Greenhouse gases;Monitoring</t>
  </si>
  <si>
    <t>O. Liubimov; I. Turkin; L. Volobuieva</t>
  </si>
  <si>
    <t>The WASM3 Interpreter as a Hard Real-Time Software Platform for the On-Board Computer of a Student Nanosatellite</t>
  </si>
  <si>
    <t>2023 13th International Conference on Dependable Systems, Services and Technologies (DESSERT)</t>
  </si>
  <si>
    <t>10.1109/DESSERT61349.2023.10416436</t>
  </si>
  <si>
    <t>Software Engineering Department, National Aerospace University ‚ÄúKhAI‚Äù, Kharkiv, Ukraine; Software Engineering Department, National Aerospace University ‚ÄúKhAI‚Äù, Kharkiv, Ukraine; Software Engineering Department, National Aerospace University ‚ÄúKhAI‚Äù, Kharkiv, Ukraine</t>
  </si>
  <si>
    <t>The paper is devoted to the problem of simplifying the process of developing CubeSat student projects in terms of creating embedded software for onboard computers for missions. Along with the advantages of the CubeSats standard, such as low cost of project development and a wide range of COTS (Commercial-off-the-shelf) solutions, its implementation for educational purposes should not be too complex and lengthy, shall be distributed, and independent. This study describes and experimentally researches the software microservice architecture design approach combined with software containerization for the abovementioned purposes. The idea of comparative measurements was elaborated to check the feasibility of the proposed method. The easiest and most common comparative index for different platforms is the computational cost assessment ‚Äì it was chosen for the practical experiment. Two hardware platforms and four typical algorithms for embedded software were selected to perform computational cost analysis. These four were implemented using native C without any operation system (so-called ‚Äúbare metal‚Äù implementation), compared to the WASM3 containers executed under the Amazon FreeRTOS, and translated from the regular C to the platform-independent WASM container binary.</t>
  </si>
  <si>
    <t>979-8-3503-9611-9</t>
  </si>
  <si>
    <t>https://ieeexplore.ieee.org/stamp/stamp.jsp?arnumber=10416436</t>
  </si>
  <si>
    <t>nanosatellite;CubeSat;Falco OBC;SmallSat;microservices architecture;containerization;hard real-time software platform;wasm3;FreeRTOS</t>
  </si>
  <si>
    <t>Computers;Containers;Real-time systems;Computational efficiency;CubeSat;Standards;Embedded software</t>
  </si>
  <si>
    <t>J. Xue; Y. Zhang; X. Wang; Y. Wang; G. Tang</t>
  </si>
  <si>
    <t>Towards Real-world Deployment of NILM Systems: Challenges and Practices</t>
  </si>
  <si>
    <t>2024 IEEE International Conference on Sustainable Computing and Communications (SustainCom)</t>
  </si>
  <si>
    <t>10.1109/SustainCom63171.2024.00011</t>
  </si>
  <si>
    <t>Southern University of Science and Technology, Shenzhen, China; The Chinese University of Hong Kong, Hong Kong, China; The Chinese University of Hong Kong, Shenzhen, China; Southern University of Science and Technology, Shenzhen, China; The Hong Kong University of Science and Technology (Guangzhou), Guangzhou, China</t>
  </si>
  <si>
    <t>Non-intrusive load monitoring (NILM), as a key load monitoring technology, can much reduce the deployment cost of traditional power sensors. Previous research has largely focused on developing cloud-exclusive NILM algorithms, which often result in high computation costs and significant service delays. To address these issues, we propose a three-tier framework to enhance the real-world applicability of NILM systems through edgecloud collaboration. Considering the computational resources available at both the edge and cloud, we implement a lightweight NILM model at the edge and a deep learning based model at the cloud, respectively. In addition to the differential model implementations, we also design a NILM-specific deployment scheme that integrates Gunicorn and NGINX to bridge the gap between theoretical algorithms and practical applications. To verify the effectiveness of the proposed framework, we apply real-world NILM scenario settings and implement the entire process of data acquisition, model training, and system deployment. The results demonstrate that our framework can achieve high decomposition accuracy while significantly reducing the cloud workload and communication overhead under practical considerations.</t>
  </si>
  <si>
    <t>979-8-3315-2105-9</t>
  </si>
  <si>
    <t>https://ieeexplore.ieee.org/stamp/stamp.jsp?arnumber=10917799</t>
  </si>
  <si>
    <t>Non-intrusive load monitoring;Edge-cloud collaboration;Machine learning;Energy management</t>
  </si>
  <si>
    <t>Training;Deep learning;Load monitoring;Costs;Computational modeling;Collaboration;Sensors;Delays;Energy management;Load modeling</t>
  </si>
  <si>
    <t>H. Liu; W. Zhang</t>
  </si>
  <si>
    <t>The Application of Server Virtualization Technology in the Student Learning Effectiveness Evaluation System</t>
  </si>
  <si>
    <t>2024 3rd International Conference on Artificial Intelligence and Computer Information Technology (AICIT)</t>
  </si>
  <si>
    <t>10.1109/AICIT62434.2024.10730342</t>
  </si>
  <si>
    <t>Beijing Information Technology College, Beijing, China; Beijing Information Technology College, Beijing, China</t>
  </si>
  <si>
    <t>Student learning effectiveness evaluation can promote learning and personalized development, which is an important issue in current educational evaluation research. However, the use of information technology is relatively rare in the formulation and implementation of the learning effectiveness evaluation system. The system fails to adopt students' performance during the learning process, and a large amount of learning records generated have not been fully utilized, which affects the evaluation of students' learning effectiveness. Therefore, VMware virtualization technology is used in this paper to build a cloud platform to deploy a student learning effectiveness evaluation system. The platform completes the scheduling, allocation, and management of students' learning process, learning results, and comprehensive quality resources through physical and virtualized resource layers equipped with various servers, network devices, and interfaces, realizing the visualization of students' learning effects.</t>
  </si>
  <si>
    <t>979-8-3503-6544-3</t>
  </si>
  <si>
    <t>https://ieeexplore.ieee.org/stamp/stamp.jsp?arnumber=10730342</t>
  </si>
  <si>
    <t>Virtualization Technology;Learning Effectiveness;System Architecture;Evaluation System</t>
  </si>
  <si>
    <t>Scalability;Systems architecture;Memory;Computer architecture;Learning (artificial intelligence);Reliability engineering;Servers;Resource management;Virtualization;Information technology</t>
  </si>
  <si>
    <t>B. Abdellaoui; S. L. Elhaq; M. Sadik</t>
  </si>
  <si>
    <t>Towards Smart Ports : Design and Prototyping of an IoT-Based Ship-Generated Oily Waste Collection System</t>
  </si>
  <si>
    <t>2024 International Conference on Ubiquitous Networking (UNet)</t>
  </si>
  <si>
    <t>10.1109/UNet62310.2024.10794730</t>
  </si>
  <si>
    <t>Laboratory of Engineering Research (LRI), National Higher School of Electricity and Mechanics (ENSEM), Hassan II University, Casablanca, Morocco; Laboratory of Engineering Research (LRI), National Higher School of Electricity and Mechanics (ENSEM), Hassan II University, Casablanca, Morocco; Laboratory of Engineering Research (LRI), National Higher School of Electricity and Mechanics (ENSEM), Hassan II University, Casablanca, Morocco</t>
  </si>
  <si>
    <t>Modern technologies are evolving considerably and are used more and more frequently in a variety of industries. Their functionalities are of general interest, and information on specific use cases is still scarce. On the other hand, environmental issues are complex and traditional approaches revealed their limitations. This situation raises a series of questions on the integration of cutting-edge technologies into traditional environment management systems. Ship-generated oily waste is a hot topic because of the adverse effects it has on the maritime area and its high recoverable value. Following this logic, this study intends to shed light on the specific use of the Internet of Things (IoT) in collecting ship-generated oily wastes from ports. It proceeds through the conception and realisation of an end-to-end prototype based on the three-layer IoT architecture model. The system is based on physical hardware and programming software components. The instructions will help to perform the primary functions of data encapsulation, data exchange, network integration, web page design and information display. The innovative concepts behind this prototype are arranged around the asynchronous web server and the Server-Sent Events. The results adduce evidence of the implementation of IoT technology to an environmental issue of concern. The decision-makers in ports are thus well-informed and prepared to make decisions based on a small-scale system. The first research findings are promising. They indicate the refinement of the process procedures and the avoidance of the slow flow caused by the heavy bureaucracy.</t>
  </si>
  <si>
    <t>979-8-3503-5614-4</t>
  </si>
  <si>
    <t>https://ieeexplore.ieee.org/stamp/stamp.jsp?arnumber=10794730</t>
  </si>
  <si>
    <t>Internet of Things;oily waste;collection process;maritime environment;prototyping</t>
  </si>
  <si>
    <t>Web page design;Prototypes;Seaports;Solids;Web servers;Software;Information and communication technology;Internet of Things;Sustainable development;Business</t>
  </si>
  <si>
    <t>S. Zhao; Z. Huang; Z. Li; Q. Li; Y. Tang</t>
  </si>
  <si>
    <t>Research on Electric-Carbon Coupling and Conduction Authentication Key Technology Based on Blockchain</t>
  </si>
  <si>
    <t>2024 7th International Conference on Energy, Electrical and Power Engineering (CEEPE)</t>
  </si>
  <si>
    <t>10.1109/CEEPE62022.2024.10586495</t>
  </si>
  <si>
    <t>Shenzhen Power Supply Co., Ltd., Shenzhen, China; Shenzhen Power Supply Co., Ltd., Shenzhen, China; Shanghai Envision Kechuang Smart Technology Co., Ltd., Shanghai, China; China Southern Power Grid Digital Platform Technology Company, Shenzhen, China; Shanghai Envision Kechuang Smart Technology Co., Ltd., Shanghai, China</t>
  </si>
  <si>
    <t>The chinese government is promoting the coordination of electric power and carbon to advocate the green power consumption of the whole society. This paper will use the underlying modeling and algorithms proposed by electric power graph computing technology, achieve data analysis and verification based on blockchain technology. Through in-depth study of the electric-carbon coupling transfer mechanism mode, and the electric-carbon coupling transfer characteristics of the park, we build a technical support architecture for electric-carbon coupling and conduction authentication. The sharing and verification of the transmission data of the whole process for green power was completed by using the time-sharing and regional carbon emission intensity based on market, and the quantitative analysis of the electric-carbon coupling was boosted. Finally, the business scenarios of electric-carbon coupling and conduction authentication system based on the blockchain trading market were explored, and this system becomes an instrument of data sharing and quantitative analysis for market entities.</t>
  </si>
  <si>
    <t>979-8-3503-7579-4</t>
  </si>
  <si>
    <t>https://ieeexplore.ieee.org/stamp/stamp.jsp?arnumber=10586495</t>
  </si>
  <si>
    <t>green power conduction technology;power carbon emission intensity;power diagram calculation;electric-carbon coupling;green power certification</t>
  </si>
  <si>
    <t>Couplings;Statistical analysis;Electricity;Authentication;Carbon dioxide;Power markets;Blockchains</t>
  </si>
  <si>
    <t>W. Velasquez; J. Dillon-Jimenez; D. Medina-Moncayo; M. S. Alvarez-Alvarado</t>
  </si>
  <si>
    <t>Optimizing Waste Collection Routes with QPSO-LR Algorithm and IoT Sensors</t>
  </si>
  <si>
    <t>2024 IEEE Colombian Conference on Communications and Computing (COLCOM)</t>
  </si>
  <si>
    <t>2771-568X</t>
  </si>
  <si>
    <t>10.1109/COLCOM62950.2024.10720265</t>
  </si>
  <si>
    <t>Faculty of Electrical and Computer Engineering, Escuela Superior Politecnica del Litoral, ESPOL, Guayaquil, Ecuador; Faculty of Electrical and Computer Engineering, Escuela Superior Politecnica del Litoral, ESPOL, Guayaquil, Ecuador; Faculty of Electrical and Computer Engineering, Escuela Superior Politecnica del Litoral, ESPOL, Guayaquil, Ecuador; Faculty of Electrical and Computer Engineering, Escuela Superior Politecnica del Litoral, ESPOL, Guayaquil, Ecuador</t>
  </si>
  <si>
    <t>The proliferation of waste generation has highlighted the need for advanced technologies in solid waste management, a key factor in ecosystem pollution. Inadequate collection methods have worsened waste accumulation, especially in urban areas. This paper presents a web application that uses the Lorentz Quantum Particle Swarm Optimization algorithm (QPSO-LR) to optimize waste collection routes based on designated collection points. The QPSO-LR algorithm significantly reduces collection distance and time, improving operational efficiency and lowering environmental impact. This application streamlines waste collection, ensuring more timely and effective disposal.</t>
  </si>
  <si>
    <t>979-8-3315-0472-4</t>
  </si>
  <si>
    <t>https://ieeexplore.ieee.org/stamp/stamp.jsp?arnumber=10720265</t>
  </si>
  <si>
    <t>Solid Waste;Collection Route;Optimization;QPSO-LR</t>
  </si>
  <si>
    <t>Waste management;Waste materials;Systematics;Quantum algorithm;Pollution;Urban areas;Solids;Sensors;Planning;Resource management</t>
  </si>
  <si>
    <t>S. A. Abdulkareem; Z. N.Abdulhussain; R. Hussam; K. Farhan; R. Hussam; M. Al-Farouni</t>
  </si>
  <si>
    <t>Analysis of Smart City Sustainability Based on Big Data Integrated Edge Computing Modeling with Neural Network</t>
  </si>
  <si>
    <t>2024 International Conference on Smart Systems for Electrical, Electronics, Communication and Computer Engineering (ICSSEECC)</t>
  </si>
  <si>
    <t>10.1109/ICSSEECC61126.2024.10649523</t>
  </si>
  <si>
    <t>Computer Technologies Engineering, Al-Turath University College, Baghdad, Iraq; Department of Medical Devices Engineering Technologies, National University of Science and Technology, Dhi Qar, Nasiriyah, Iraq; Medical instruments engineering techniques, Al-farahidi University, Baghdad, Iraq; Department of Computer Engineering Technologies, Al-Kitab University, Kirkuk, Iraq; Technical Computer Engineering Department, Al-Kunooze University College, Basrah, Iraq; Department of computers Techniques engineering, College of technical engineering, The Islamic university, Najaf, Iraq</t>
  </si>
  <si>
    <t>The fact that urban areas are preferred places to live is evidence of a sophisticated system in which authorities can effectively satisfy citizens' needs and address economic, social, and environmental sustainability issues while facing several obstacles. The smart city idea improves sustainable development, human flourishing, and economic expansion. The smart city concept can potentially enhance a wide range of municipal operations, including transportation, energy, and healthcare, education, and resource management. Many network quality, stability, and security issues have arisen from developing smart cities and IoT applications. The dispersed nature of smart cities and IoT technology has led to problems with service reliability, longevity, and safety. This paper proposes Big Data Integrated Edge Computing Modeling (BDIECM) to improve data management interfaces' security and sustainability elements in various smart city applications to eliminate hazards. Edge computing allows for distributed processing and communication, useful in various contexts, including intelligent transportation systems, health and social services. Edge computing's ability to reduce latency is particularly useful for mission-critical applications. The system coordinates between dispersed edge servers and security mediator nodes for smart city use cases. The simulation results validate the suggested approach can significantly enhance the security ratio of95.2%, sustainability ratio of94.1 %,reliability ratio of 91.4 %, scalability ratio of 93.5 %, latency ratio of 21.1 %, and data transmission ratio of 96.2 % compared to other methods.</t>
  </si>
  <si>
    <t>979-8-3503-7817-7</t>
  </si>
  <si>
    <t>https://ieeexplore.ieee.org/stamp/stamp.jsp?arnumber=10649523</t>
  </si>
  <si>
    <t>Big Data Integrated Edge Computing Modeling (BDIECM);Edge computing;smart city</t>
  </si>
  <si>
    <t>Smart cities;Computational modeling;Scalability;Computer architecture;Big Data;Data models;Security</t>
  </si>
  <si>
    <t>W. Feng; C. Feng; B. Deng; W. Luo; Y. Fu</t>
  </si>
  <si>
    <t>Research on Energy Big Data Sharing and Application under the Carbon Peaking and Carbon Neutrality Goals</t>
  </si>
  <si>
    <t>2023 Panda Forum on Power and Energy (PandaFPE)</t>
  </si>
  <si>
    <t>10.1109/PandaFPE57779.2023.10141206</t>
  </si>
  <si>
    <t>Data Monitoring &amp; Analysis Center, State Grid Sichuan Information &amp; Telecommunication Company, Chengdu, China; Data Monitoring &amp; Analysis Center, State Grid Sichuan Information &amp; Telecommunication Company, Chengdu, China; Data Monitoring &amp; Analysis Center, State Grid Sichuan Information &amp; Telecommunication Company, Chengdu, China; Data Monitoring &amp; Analysis Center, State Grid Sichuan Information &amp; Telecommunication Company, Chengdu, China; Data Monitoring &amp; Analysis Center, State Grid Sichuan Information &amp; Telecommunication Company, Chengdu, China</t>
  </si>
  <si>
    <t>This paper proposes a reliable, feasible, efficient, and secure system for sharing and applying energy big data, which enables the cross-border convergence, sharing, integration, and innovative application of various energy big data. This system is essential to achieve carbon peaking and carbon neutrality goals, as well as to thoroughly implement the Four Revolutions and One Cooperation energy security strategy. By following the fused development of the energy and digital revolutions, this system facilitates the integration of energy big data and its innovative application to promote sustainable development.</t>
  </si>
  <si>
    <t>979-8-3503-2117-3</t>
  </si>
  <si>
    <t>https://ieeexplore.ieee.org/stamp/stamp.jsp?arnumber=10141206</t>
  </si>
  <si>
    <t>energy data aggregation;data application development;data resource sharing;data application service</t>
  </si>
  <si>
    <t>Economics;Power measurement;Government;Energy measurement;Carbon neutral;Big Data;Planning</t>
  </si>
  <si>
    <t>A. Bartolini; M. Catelani; L. Ciani; F. Grasso; L. Paolucci; G. Patrizi</t>
  </si>
  <si>
    <t>Power Quality Meter based on Low-Cost Smart Platform</t>
  </si>
  <si>
    <t>2024 IEEE International Workshop on Metrology for Industry 4.0 &amp; IoT (MetroInd4.0 &amp; IoT)</t>
  </si>
  <si>
    <t>2837-0872</t>
  </si>
  <si>
    <t>10.1109/MetroInd4.0IoT61288.2024.10584243</t>
  </si>
  <si>
    <t>Department of Information Engineering, University of Florence, Florence, Italy; Department of Information Engineering, University of Florence, Florence, Italy; Department of Information Engineering, University of Florence, Florence, Italy; Department of Information Engineering, University of Florence, Florence, Italy; Department of Information Engineering, University of Florence, Florence, Italy; Department of Information Engineering, University of Florence, Florence, Italy</t>
  </si>
  <si>
    <t>The aspects of measurements and virtual measurements toward Industry 5.0 are becoming essential in energy management and energy efficiency research. Currently, both industry and academia are led by a growing need for efficient power monitoring solutions in several applications. This paper presents an innovative low-cost power quality meter built on a smart platform, offering a comprehensive framework from hardware development to user interface. Leveraging smart technology, the meter offers enhanced functionalities, optimal performance and a simple data analysis while maintaining affordability and reliability. The hardware development section outlines the design and integration of components tailored for accurate and reliable power measurement. Additionally, the paper details the implementation of a user-friendly interface, enabling intuitive access to real-time and historical power quality data. This innovative approach facilitates continuous integration into existing power systems and industrial systems, allowing a constant interchange of data with other SCADA and condition monitoring tools already available in the system/plant. This solution allows to empower users with valuable insights, optimizing energy usage and ensuring system reliability. Overall, the paper points out the importance of cost-effective yet complex power quality monitoring solutions in meeting the evolving demands of modern energy management.</t>
  </si>
  <si>
    <t>979-8-3503-8582-3</t>
  </si>
  <si>
    <t>https://ieeexplore.ieee.org/stamp/stamp.jsp?arnumber=10584243</t>
  </si>
  <si>
    <t>Diagnostic;Industry 5.0;Power Quality Solution;Smart Meter</t>
  </si>
  <si>
    <t>Meters;Accuracy;Current measurement;Power quality;Energy measurement;Feature extraction;Hardware</t>
  </si>
  <si>
    <t>G. Samaras; M. Mertiri; M. -E. Xezonaki; N. Psaromanolakis; V. Theodorou; T. Bozios</t>
  </si>
  <si>
    <t>Unlocking the Path Towards Automation of Tiny Machine Learning for Edge Computing</t>
  </si>
  <si>
    <t>2024 International Conference on Smart Applications, Communications and Networking (SmartNets)</t>
  </si>
  <si>
    <t>2837-4940</t>
  </si>
  <si>
    <t>10.1109/SmartNets61466.2024.10577687</t>
  </si>
  <si>
    <t>Intracom Telecom, Greece; Intracom Telecom, Greece; Intracom Telecom, Greece; Intracom Telecom, Greece; Intracom Telecom, Greece; Intracom Telecom, Greece</t>
  </si>
  <si>
    <t>ThirstyAI and resource-constrained environments have become evergrowing challenges for Machine Learning (ML), especially large-scale Deep Learning (DL) models. This paper introduces NanoDeploy Automator, an Automated Machine Learning (AutoML) subsystem for the TANDEM native Artificial Intelligence (AI) edge platform, designed for efficient and reliable Tiny Machine Learning (TinyML), addressing the need for smaller models with minimal loss of accuracy and automated model compression and deployment at the edge. This work has been conducted in scope of project TANDEM and is currently expanded and adapted, forming the basis for the TinyML mechanisms of project SUNRISE-6G. The paper showcases the novel application of Time Generative Pre-Trained Transformer (TimeGPT) in real-world Internet of Things (IoT) scenarios, emphasizing three key contributions: a cutting-edge Automated TinyML (AutoTinyML) pipeline, the integration of TimeGPT in IoT, and a comprehensive evaluation of time series forecasting and anomaly detection techniques. Evaluation results demonstrate the efficiency of the AutoTinyML pipeline in terms of accuracy and model compression. The proposed system holds promise for diverse applications, leveraging the power of AutoTinyML, and reflects a significant stride towards democratizing access to accurate predictions and reducing uncertainty in edge computing scenarios, eliminating the need for a dedicated team of ML engineers.</t>
  </si>
  <si>
    <t>979-8-3503-8532-8</t>
  </si>
  <si>
    <t>https://ieeexplore.ieee.org/stamp/stamp.jsp?arnumber=10577687</t>
  </si>
  <si>
    <t>Automated Machine Learning;Tiny Machine Learning;Artificial Intelligence;Big Data;Internet of Things;Edge Computing;Edge Intelligence</t>
  </si>
  <si>
    <t>Adaptation models;Accuracy;Uncertainty;Pipelines;Time series analysis;Transformers;Reliability engineering</t>
  </si>
  <si>
    <t>K. R. P. Kumar; G. M. Siddesh; J. Ananda Babu</t>
  </si>
  <si>
    <t>An Empirical Analysis of Load Balancing Issues in Fog Computing Environment</t>
  </si>
  <si>
    <t>2024 Second International Conference on Data Science and Information System (ICDSIS)</t>
  </si>
  <si>
    <t>10.1109/ICDSIS61070.2024.10594459</t>
  </si>
  <si>
    <t>Department of Computer Science &amp; Engineering M S, Ramaiah Institute of Technology, Bangalore, India; Department of Artificial Intelligence &amp; Data Science M S, Ramaiah Institute of Technology, Bangalore, India; Department of Information Science and Engineering, Malnad College of Engineering Hassan, India</t>
  </si>
  <si>
    <t>Fog Computing (FC) is a distributed paradigm that complements cloud computing in terms of service delivery. By extending storage and computation of the network edge, fog systems enable location awareness and mobility support, while also resolving the issue of service computing for delay-sensitive applications. A crucial component of fog networks is load balancing, which prevents fog nodes from becoming under or overloaded. In recent years, only a limited number of studies have been conducted on load-balancing methods in fog networks. This paper provides a thorough assessment of the load-balancing techniques used in fog computing, covering approximate, accurate, fundamental, and hybrid methods. This paper also examines load balancing metrics in fog networks, including all benefits and drawbacks associated with the selected load balancing algorithms. The evaluation methods considered for each study are investigated. Additionally, the primary unresolved issues and potential developments for these systems are discussed.</t>
  </si>
  <si>
    <t>979-8-3503-8166-5</t>
  </si>
  <si>
    <t>https://ieeexplore.ieee.org/stamp/stamp.jsp?arnumber=10594459</t>
  </si>
  <si>
    <t>fog computing;IOT;load balancing;cloud computing;virtualization</t>
  </si>
  <si>
    <t>Measurement;Location awareness;Cloud computing;Processor scheduling;Service computing;Load management;Software</t>
  </si>
  <si>
    <t>V. Mittal; P. Bruel; M. Faloutsos; D. Milojicic; E. Frachtenberg</t>
  </si>
  <si>
    <t>SHARP: A Distribution-Based Framework for Reproducible Performance Evaluation</t>
  </si>
  <si>
    <t>2024 IEEE International Symposium on Workload Characterization (IISWC)</t>
  </si>
  <si>
    <t>10.1109/IISWC63097.2024.00017</t>
  </si>
  <si>
    <t>Hewlett Packard Labs, USA; Hewlett Packard Labs, USA; University of California, Riverside; Hewlett Packard Labs, USA; Hewlett Packard Labs, USA</t>
  </si>
  <si>
    <t>Performance evaluation studies often produce unreliable or irreproducible results because: (a) measurements have high variability due to multiple system variables and diverse operational conditions, (b) reported results are often focused on point-summary statistics, such as average values. Despite recent efforts, there does not exist a general framework to assess and compare the performance of high-performance systems in a principled and reproducible way.This paper addresses this critical gap by introducing Sharp, an open-source framework designed to redefine performance evaluation following a reproducibility-first approach. Sharp enables and facilitates a comprehensive characterization of the performance distribution of an application, while orchestrating experiments efficiently. Sharp addresses these key challenges using (a) robust performance analysis and comparison with Similarity Metrics; (b) the automatic determination of a reliable sample size through a diverse set of Stopping Rules; and (c) comprehensive recording of experimental conditions and results.We showcase the need for and advantages of Sharp by evaluating the performance of 20 Rodinia benchmarks on 3 HPC servers with different CPU and GPU configurations. We empirically evaluate Sharp to expose the need for distribution-based statistics, and demonstrate how the stopping rules of Sharp attain reliable performance results while minimizing resource usage up to ‚àº90% relative to a large fixed number of experiments sufficient enough to establish ground-truth. We see the Sharp framework as a fundamental step towards providing customers and engineers with a reproducible and reliable way to reason and compare the performance of HPC applications and infrastructure.</t>
  </si>
  <si>
    <t>979-8-3503-5603-8</t>
  </si>
  <si>
    <t>https://ieeexplore.ieee.org/stamp/stamp.jsp?arnumber=10763588</t>
  </si>
  <si>
    <t>Performance evaluation;Reproducibility;Benchmarking</t>
  </si>
  <si>
    <t>Performance evaluation;Graphics processing units;Benchmark testing;Reliability engineering;Reproducibility of results;Software reliability;Recording;Performance analysis;Servers;Open source software</t>
  </si>
  <si>
    <t>R. Cai; C. Su</t>
  </si>
  <si>
    <t>Real-Time Climate Monitoring and Disaster Early Warning Algorithm Based on Sensor Network and Cloud Computing</t>
  </si>
  <si>
    <t>2024 International Conference on Telecommunications and Power Electronics (TELEPE)</t>
  </si>
  <si>
    <t>10.1109/TELEPE64216.2024.00172</t>
  </si>
  <si>
    <t>Urumqi Meteorological Bureau, Urumqi, Xinjiang Uygur Autonomous Region, China; Urumqi Meteorological Bureau, Urumqi, Xinjiang Uygur Autonomous Region, China</t>
  </si>
  <si>
    <t>With the increasing frequency of climate change and the continuous occurrence of disaster events, real-time climate monitoring and disaster early warning have become important measures to ensure social security. Based on the combination of sensor network (SN) and cloud computing, this study proposes an algorithm for real-time climate monitoring and disaster early warning. Firstly, this paper designs a meteorological data acquisition system based on SN, and uploads the data to the cloud computing platform for real-time processing and analysis. Secondly, the paper proposes a real-time climate monitoring algorithm based on machine learning, which can effectively monitor meteorological changes and extract key features. On this basis, this paper designs a disaster early warning algorithm, which can timely warn potential disaster risks through the analysis and comprehensive evaluation of real-time meteorological data. Through the design and deployment of the system and the optimization and verification of the algorithm, the paper verifies the feasibility and effectiveness of the real-time climate monitoring and disaster early warning algorithm combining SN with cloud computing in practical application. The experimental results show that the algorithm can realize accurate monitoring of meteorological changes and timely warning of disaster risks in a short time, which provides important support for meteorological disaster prevention and emergency response.</t>
  </si>
  <si>
    <t>979-8-3503-6921-2</t>
  </si>
  <si>
    <t>https://ieeexplore.ieee.org/stamp/stamp.jsp?arnumber=10714122</t>
  </si>
  <si>
    <t>Sensor network;cloud computing;disaster early warning;Real-time climate monitoring</t>
  </si>
  <si>
    <t>Cloud computing;Climate change;Machine learning algorithms;Disasters;Feature extraction;Emergency services;Real-time systems;Frequency measurement;Monitoring;Meteorology</t>
  </si>
  <si>
    <t>M. Bachras; S. Tijanic; S. Zhang; Y. Zhang; B. Yan; L. W. Piu; H. -A. Jacobsen</t>
  </si>
  <si>
    <t>Next-Generation Cloud Databases: Balancing Performance, Sustainability, and Resource Management</t>
  </si>
  <si>
    <t>10.1109/CASCON62161.2024.10837926</t>
  </si>
  <si>
    <t>University of Toronto, Toronto, Canada; University of Toronto, Toronto, Canada; University of Toronto, Toronto, Canada; University of Toronto, Toronto, Canada; University of Toronto, Toronto, Canada; University of Toronto, Toronto, Canada; University of Toronto, Toronto, Canada</t>
  </si>
  <si>
    <t>This study enhances cloud database technologies for cyber-physical systems and IoT applications, addressing four key challenges: memory constraints, environmental impact, query performance, and serverless resource management. We introduce REMON, a network-based solution extending server memory capacity, and Krysha, a framework optimizing serverless microservices. Our research also includes an environmental impact assessment of analytical databases and explores hardware-conscious query tuning. Through extensive experiments, we demonstrate significant improvements in efficiency, scalability, and sustainability of cloud database systems. These advancements offer valuable solutions for managing large-scale data in complex digital ecosystems, with implications for both performance optimization and environmental considerations in cloud computing.</t>
  </si>
  <si>
    <t xml:space="preserve">ORF; NSERC; </t>
  </si>
  <si>
    <t>https://ieeexplore.ieee.org/stamp/stamp.jsp?arnumber=10837926</t>
  </si>
  <si>
    <t>cloud computing;resource allocation;databases;query tuning;sustainability</t>
  </si>
  <si>
    <t>Cloud computing;Scalability;Microservice architectures;Software;Resource management;Servers;Sustainable development;Tuning;Optimization;Next generation networking</t>
  </si>
  <si>
    <t>K. C. du Perron; D. L. Pacheco; F. Huet</t>
  </si>
  <si>
    <t>Understanding Delays in AF_XDP-based Applications</t>
  </si>
  <si>
    <t>10.1109/ICC51166.2024.10622351</t>
  </si>
  <si>
    <t>Universit√© C√¥te d'Azur; CNRS, I3S, France; Universit√© C√¥te d'Azur; CNRS, I3S, France; Universit√© C√¥te d'Azur; CNRS, I3S, France</t>
  </si>
  <si>
    <t>Packet processing on Linux can be slow due to its complex network stack. To solve this problem, there are two main solutions: eXpress Data Path (XDP) and Data Plane Development Kit (DPDK). XDP and the AF _XDP socket offer full interoperability with the legacy system and is being adopted by major internet players like Open vSwitch or Facebook. While the performance evaluation of AF _XDP against the legacy protocol stack in the kernel or against DPDK has been studied in the literature, the impact of the multiple socket parameters and the system configuration on its latency has been left aside. To address this, we conduct an experimental study to understand the XDP/AF _XDP ecosystem and detect microseconds delays to better architect future latency-sensitive applications. Since the performance of AF _XDP depends on multiple parameters found in different layers, finding the configuration minimizing its latency is a challenging task. We rely on a classification algorithm to group the performance results, allowing us to easily identify parameters with the biggest impact on performance at different loads. Last, but not least, we show that some configurations can significantly decrease the benefits of AF _XDP, leading to undesirable behaviors, while other configurations are able to reduce such round trip delays to an impressive value of 6.5 ŒºS in the best case, including the tracing overhead. In summary, AF _XDP is a promising solution, and careful selection of both application and socket parameters can significantly improve performance.</t>
  </si>
  <si>
    <t>https://ieeexplore.ieee.org/stamp/stamp.jsp?arnumber=10622351</t>
  </si>
  <si>
    <t>Latency;XDP;AF _XDP;High Performance;Linux;Network Drivers</t>
  </si>
  <si>
    <t>Social networking (online);Sockets;Quality of service;Delays;Servers;Kernel;Task analysis</t>
  </si>
  <si>
    <t>R. Bolla; R. Bruschi; F. Davoli; C. Lombardo; N. S. Martinelli</t>
  </si>
  <si>
    <t>Analyzing the Power Consumption in Cloud-Native 5/6G Ecosystems</t>
  </si>
  <si>
    <t>10.1109/ICCWorkshops57953.2023.10283755</t>
  </si>
  <si>
    <t>S2N National Lab., CNIT, Italy; S2N National Lab., CNIT, Italy; S2N National Lab., CNIT, Italy; S2N National Lab., CNIT, Italy; DITEN, University of Genoa, Italy</t>
  </si>
  <si>
    <t>The Fifth generation(5G) technology moves a step forward from the previous generations by natively supporting vertical applications with real time and low latency requirements. However, the resultant increase of computing resources will cause a consequent increase in the energy requirement and an impact on the carbon footprint. To this end, it is of paramount importance to involve all the stakeholders leveraging on the 5/6G ecosystem, by making them aware of the impact of their applications and network services on the underlying hardware infrastructure and promote, through economic incentives, a new value chain that puts energy efficiency in the spotlight. To achieve this goal, monitoring tools are required to measure the performance and resource consumption at the infrastructure level and map it to the virtual images on top of it to infer the consumption ascribable to a vertical application or a network function. Specifically, this paper analyzes the resource and power consumption of a Kubernetes container, focusing on the breakdown of CPU usage, wakeups and power consumed by the individual kernel processes in the presence of traffic varying in load and composition. Experimental results compare an application by itself with its containerized counterpart and show that the latter requires much more time and effort to process data, and uses more resources compared to a stand-alone application.</t>
  </si>
  <si>
    <t>https://ieeexplore.ieee.org/stamp/stamp.jsp?arnumber=10283755</t>
  </si>
  <si>
    <t>5/6G;energy efficiency;containerization</t>
  </si>
  <si>
    <t>Power demand;Conferences;Ecosystems;Focusing;Real-time systems;Hardware;Stakeholders</t>
  </si>
  <si>
    <t>E. Malan; V. Peluso; A. Calimera; E. Macii</t>
  </si>
  <si>
    <t>Enabling DVFS Side-Channel Attacks for Neural Network Fingerprinting in Edge Inference Services</t>
  </si>
  <si>
    <t>2023 IEEE/ACM International Symposium on Low Power Electronics and Design (ISLPED)</t>
  </si>
  <si>
    <t>10.1109/ISLPED58423.2023.10244398</t>
  </si>
  <si>
    <t>Department of Control and Computer Engineering, Politecnico di Torino, Turin, Italy; Department of Control and Computer Engineering, Politecnico di Torino, Turin, Italy; Department of Control and Computer Engineering, Politecnico di Torino, Turin, Italy; Interuniversity Department of Regional and Urban Studies and Planning, Politecnico di Torino, Turin, Italy</t>
  </si>
  <si>
    <t>The Inference-as-a-Service (IaaS) delivery model provides users access to pre-trained deep neural networks while safeguarding network code and weights. However, IaaS is not immune to security threats, like side-channel attacks (SCAs), that exploit unintended information leakage from the physical characteristics of the target device. Exposure to such threats grows when IaaS is deployed on distributed computing nodes at the edge. This work identifies a potential vulnerability of low-power CPUs that facilitates stealing the deep neural network architecture without physical access to the hardware or interference with the execution flow. Our approach relies on a Dynamic Voltage and Frequency Scaling (DVFS) side-channel attack, which monitors the CPU frequency state during the inference stages. Specifically, we introduce a dedicated load-testing methodology that imprints distinguishable signatures of the network on the frequency traces. A machine learning classifier is then used to infer the victim architecture. Experimental results on two commercial ARM Cortex-A CPUs, the A72 and A57, demonstrate the attack can identify the target architecture from a pool of 12 convolutional neural networks with an average accuracy of 98.7% and 92.4%</t>
  </si>
  <si>
    <t>979-8-3503-1175-4</t>
  </si>
  <si>
    <t>https://ieeexplore.ieee.org/stamp/stamp.jsp?arnumber=10244398</t>
  </si>
  <si>
    <t>Inference-as-a-Service;Convolutional Neural Networks;Side-Channel Attacks;DVFS</t>
  </si>
  <si>
    <t>Privacy;Program processors;Image edge detection;Computer architecture;Side-channel attacks;Fingerprint recognition;Particle measurements</t>
  </si>
  <si>
    <t>A. Hakiri; S. B. Yahia; S. Gokhale Aniruddha</t>
  </si>
  <si>
    <t>Hyper-5G: A Cross-Atlantic Digital Twin Testbed for Next Generation 5G IoT Networks and Beyond</t>
  </si>
  <si>
    <t>10.1109/ISORC58943.2023.00041</t>
  </si>
  <si>
    <t>ISSAT Mateur, University of Carthage, Tunisia; Dept of Software Science, Tallinn University of Technology, Tallinn, Estonia; Institute for Software Integrated Systems, Vanderbilt University, Nashville, TN, USA</t>
  </si>
  <si>
    <t>This paper introduces the Hyper-5G research project, which aims at developing and evaluating an experimental proof of concept of a cross-Atlantic Network Digital Twin for the future wireless mobile 5G and beyond (B5G). Hyper-5G project brings innovative capabilities to allow distributed twins to replicate the 5G IoT network infrastructure digitally. Hyper-5G project interconnects two geographically distributed edge-cloud infrastructures, i.e., Grid5000 in Europe and Chameleon cloud in the US, to assess the feasibility of deploying new 5G IoT services using the twin. Hyper-5G offers an open European platform to experiment with different IoT scenarios, ranging from smart agriculture to healthcare, connected cars, etc. In the USA, Hyper-5G deploys the DT Hub inside the Chameleon cloud, connected to CHI-Edge IoT testbed, to enable emulating real-world IoT scenarios such as connected robots, smart cities, and smart grids, etc.</t>
  </si>
  <si>
    <t>https://ieeexplore.ieee.org/stamp/stamp.jsp?arnumber=10196897</t>
  </si>
  <si>
    <t>Digital Twin;Real-Time IoT;Federated Learning;Mobile Edge;Predictive Analytic</t>
  </si>
  <si>
    <t>Wireless communication;Analytical models;5G mobile communication;Computational modeling;Europe;Distributed databases;Distance measurement</t>
  </si>
  <si>
    <t>C. Liu; Y. Yu; W. Ye; S. Xu; B. Qu; P. Yang</t>
  </si>
  <si>
    <t>Energy management strategy and software design for shore power DC microgrid system</t>
  </si>
  <si>
    <t>2023 IEEE Transportation Electrification Conference and Expo, Asia-Pacific (ITEC Asia-Pacific)</t>
  </si>
  <si>
    <t>10.1109/ITECAsia-Pacific59272.2023.10372327</t>
  </si>
  <si>
    <t>Dept of Power Consumption and Energy Efficiency, China Electric Power Research Institute Co. Ltd, Beijing, China; Tangshan Institute, Southwest Jiaotong University, Chengdu, China; School of Electrical Engineering, Southwest Jiaotong University, Chengdu, China; School of Electrical Engineering, Southwest Jiaotong University, Chengdu, China; Dept of Power Consumption and Energy Efficiency, China Electric Power Research Institute Co. Ltd, Beijing, China; School of Electrical Engineering, Southwest Jiaotong University, Chengdu, China</t>
  </si>
  <si>
    <t>Shore power technology refers to the use of utility power to ship power supply when the ship calls at the port, instead of marine fuel generators for power generation, because most of the utility power from thermal power generation, the same will increase carbon emissions, which is not the true meaning of low-carbon environmental protection, and port shore power can be accessed to more new energy, but only a small number of ports to use the new energy of the port to provide green renewable energy for the ships calling at the port. Aiming at the above situation, this paper designs a DC microgrid system solution for shore power with new energy access, which includes a DC microgrid system structure for port situations, an energy management strategy (to maintain the stability of the DC microgrid while making full use of the new energy in the port to provide green shore power for ships docking at the port), a simple and efficient seamless switching strategy for shore power (to realize the fast connection between ship and shore), and a software system with control and monitoring (to ensure the stable and efficient operation of the shore power microgrid system).</t>
  </si>
  <si>
    <t>979-8-3503-1427-4</t>
  </si>
  <si>
    <t>https://ieeexplore.ieee.org/stamp/stamp.jsp?arnumber=10372327</t>
  </si>
  <si>
    <t>Green Port;Shore Power Microgrid System;Energy Management Strategy;Seamless Switching Strategy;Software Design</t>
  </si>
  <si>
    <t>Green products;Microgrids;Switches;Seaports;Software systems;Marine vehicles;Energy management</t>
  </si>
  <si>
    <t>T. Sepanosian; X. K√ºpers; P. Joza; F. Massah; R. Bemthuis</t>
  </si>
  <si>
    <t>An IoT-Based Architecture for Real-Time Emission Monitoring at Construction Sites</t>
  </si>
  <si>
    <t>2024 26th International Conference on Business Informatics (CBI)</t>
  </si>
  <si>
    <t>2378-1971</t>
  </si>
  <si>
    <t>10.1109/CBI62504.2024.00025</t>
  </si>
  <si>
    <t>University of Twente, Enschede, the Netherlands; University of Twente, Enschede, the Netherlands; University of Twente, Enschede, the Netherlands; University of Twente, Enschede, the Netherlands; University of Twente, Enschede, the Netherlands</t>
  </si>
  <si>
    <t>The construction industry is under increasing pressure to reduce its environmental impact while preserving operational efficiency. The widespread adoption of wireless sensing, processing, and communication technologies at construction sites marks a significant advancement, yet the use of real-time sensor data to decrease environmental footprints is still limited. This gap highlights the need to explore how site stakeholders and compliance regulators can effectively integrate emergent services, such as those enabled by Internet of Things (IoT) technologies, into their dynamic planning processes. In this paper, we present an IoT-based architecture designed for real-time emission monitoring at construction sites to enhance environmental sustainability and operational effectiveness. We demonstrate the use of this architecture with an illustrative scenario, named ‚ÄúEcoWatch‚Äù, which employs a single-board computer connected to a variety of IoT-enabled sensors to monitor key pollutants, including CO2, particulate matter, temperature, and humidity. EcoWatch is both customizable and scalable, offering potential benefits for regulatory compliance and operational efficiency within the construction sector. The capability to deliver real-time data insights enables stakeholders to implement proactive environmental management strategies, potentially contributing to advancing sustainable practices in the construction industry.</t>
  </si>
  <si>
    <t>979-8-3315-2909-3</t>
  </si>
  <si>
    <t xml:space="preserve">Ministry of Infrastructure and Water Management; </t>
  </si>
  <si>
    <t>https://ieeexplore.ieee.org/stamp/stamp.jsp?arnumber=10801270</t>
  </si>
  <si>
    <t>Real-time Emission Monitoring;Construction Sites;Built Environment;Enterprise Architecture;IoT</t>
  </si>
  <si>
    <t>Temperature sensors;Temperature measurement;Wireless communication;Wireless sensor networks;Computer architecture;Real-time systems;Stakeholders;Internet of Things;Monitoring;Construction industry</t>
  </si>
  <si>
    <t>A. Chourlias; T. Theodoropoulos; J. Violos; A. Leivadeas; K. Tserpes; C. -K. Zalachoris</t>
  </si>
  <si>
    <t>A Brief Review of Population-based Methods for Task Offloading in Cloud-to-Edge Continuum</t>
  </si>
  <si>
    <t>2023 IEEE 12th International Conference on Cloud Networking (CloudNet)</t>
  </si>
  <si>
    <t>2771-5663</t>
  </si>
  <si>
    <t>10.1109/CloudNet59005.2023.10490076</t>
  </si>
  <si>
    <t>Dept. of Informatics &amp; Telematics, Harokopio University, Athens, Greece; Dept. of Informatics &amp; Telematics, Harokopio University, Athens, Greece; Dept. of Software &amp; IT Engineering, √âcole de Technologie Sup√©rieure, Montreal, Canada; Dept. of Software &amp; IT Engineering, √âcole de Technologie Sup√©rieure, Montreal, Canada; Dept. of Informatics &amp; Telematics, Harokopio University, Athens, Greece; Dept. of Informatics &amp; Telematics, Harokopio University, Athens, Greece</t>
  </si>
  <si>
    <t>Task offloading is one of the most important issues in the cloud-to-edge continuum in order to optimise quality of services metrics and maximize the revenue for users and providers. While the literature includes multiple mathematical, machine learning and control theory models each of them have its limitations such as the lack of a mathematical formulation or the requirement of historical training dataset. Population-based methods including swarm intelligence and evolutionary computation algorithms have many advantages that make them prominent meta-heuristic solutions into many combinatorial problems. Even if various population-based methods have been proposed for specific orchestration tasks in the distributed computing field, there is not any paper that presents and experimental compares them. In this paper we provide a comprehensive overview of the most popular population-based methods and discuss their pros and cons for their applicability for the task offloading challenge. We also make experiments with Google Cluster Dataset and conclude that particle swarm optimization significantly surpasses the other methods.</t>
  </si>
  <si>
    <t>979-8-3503-1306-2</t>
  </si>
  <si>
    <t>https://ieeexplore.ieee.org/stamp/stamp.jsp?arnumber=10490076</t>
  </si>
  <si>
    <t>Training;Measurement;Machine learning algorithms;Reviews;Metaheuristics;Quality of service;Machine learning</t>
  </si>
  <si>
    <t>G. H. Prathama; P. E. G. Gunawan; A. W. O. Gama</t>
  </si>
  <si>
    <t>Green Computing Implementation for Indonesian Higher Education Adopting Serverless Microservices Architecture</t>
  </si>
  <si>
    <t>2024 10th International Conference on Smart Computing and Communication (ICSCC)</t>
  </si>
  <si>
    <t>10.1109/ICSCC62041.2024.10690844</t>
  </si>
  <si>
    <t>Information Technology Department, Universitas Pendidikan Nasional, Denpasar, Indonesia; Informatics Department, Institut Bisnis dan Teknologi Indonesia, Denpasar, Indonesia; Information Technology Department, Universitas Pendidikan Nasional, Denpasar, Indonesia</t>
  </si>
  <si>
    <t>Sustainability poses a significant challenge within the realm of global information technology, especially within the resource-intensive settings of higher education. The present research delves into the application of serverless microservices architecture in universities in Indonesia as a prospective solution for eco-friendly computing. Through the utilization of cutting-edge serverless technologies, a prototype representing the IT framework of an Indonesian institution of higher education was formulated and assessed. The outcomes of this investigation reveal that the adoption of serverless microservices not only improves operational effectiveness but also brings about a notable reduction in energy consumption and carbon footprints. These findings offer valuable perspectives for academic leaders and IT experts who aspire to shift towards more sustainable IT infrastructures.</t>
  </si>
  <si>
    <t>979-8-3503-6310-4</t>
  </si>
  <si>
    <t>https://ieeexplore.ieee.org/stamp/stamp.jsp?arnumber=10690844</t>
  </si>
  <si>
    <t>Cost Efficiency;cloud computing;private universities;serverless computation;microservices architecture;green computing</t>
  </si>
  <si>
    <t>Energy consumption;Scalability;Education;Microservice architectures;Prototypes;Computer architecture;Computational efficiency;Resource management;Sustainable development;Information technology</t>
  </si>
  <si>
    <t>H. Hu; K. B. Kent; J. Siu; M. Dawson</t>
  </si>
  <si>
    <t>Node.js Energy Awareness on Asymmetric Multi-Processing Systems</t>
  </si>
  <si>
    <t>10.1109/CASCON62161.2024.10837822</t>
  </si>
  <si>
    <t>Faculty of Computer Science, University of New Brunswick; Faculty of Computer Science, University of New Brunswick; IBM Cloud and Cognitive Software, IBM Canada; Node.js Lead for IBM and Red Hat, Red Hat Canada</t>
  </si>
  <si>
    <t>New hardware platforms like hybrid-architecture CPUs with different kinds of cores are the essential units that make computing devices more energy efficient. In this paper, we explore the energy consumption pattern of Node.js applications on modern hardware and suggest how we can improve it based on our findings. Node.js is a JavaScript runtime that powers Node.js applications in the cloud. In this research we combine hybrid-architecture CPUs with Node.js to analyze the energy consumption pattern of the applications. The results show that by wisely using different configurations of CPU cores, we can save energy and meet service quality requirements. This hypothesis has been verified by the approach we proposed. We provide recommendations for software developers and cloud service providers on how to make better use of energy on such systems.</t>
  </si>
  <si>
    <t xml:space="preserve">Natural Sciences and Engineering Research Council of Canada (NSERC)(grant numbers:501197‚Äì16); New Brunswick Innovation Foundation; </t>
  </si>
  <si>
    <t>https://ieeexplore.ieee.org/stamp/stamp.jsp?arnumber=10837822</t>
  </si>
  <si>
    <t>Node.js;energy;Asymmetric Multi-Processing;Heterogeneous Multi-Processing;Hybrid Architecture</t>
  </si>
  <si>
    <t>Energy consumption;Runtime;Collaboration;Computer architecture;Software;Hardware;Energy efficiency</t>
  </si>
  <si>
    <t>D. P. Quang; H. N. Tai; H. N. Dac; A. D. The; H. L. Van; A. T. Tuan</t>
  </si>
  <si>
    <t>Experimental Evaluation of the Effectiveness of Virtualized Mobile Core Networks in the Real Commercial Network Environment</t>
  </si>
  <si>
    <t>2023 IEEE Conference on Network Function Virtualization and Software Defined Networks (NFV-SDN)</t>
  </si>
  <si>
    <t>10.1109/NFV-SDN59219.2023.10329616</t>
  </si>
  <si>
    <t>Mobile Switching Technologies Center, Viettel High Technology Corporation, Hanoi, Vietnam; School of Electrical &amp; Electronic √àngineering, Hanoi University of Science and Technology, Hanoi, Vietnam; Mobile Switching Technologies Center, Viettel High Technology Corporation, Hanoi, Vietnam; Mobile Switching Technologies Center, Viettel High Technology Corporation, Hanoi, Vietnam; Mobile Switching Technologies Center, Viettel High Technology Corporation, Hanoi, Vietnam; Mobile Switching Technologies Center, Viettel High Technology Corporation, Hanoi, Vietnam</t>
  </si>
  <si>
    <t>In the mobile communication, over the long term, traffic growth is driven by both the rising number of smartphone subscriptions and an increasing average data volume per subscription, fueled primarily by increasing view of the video content. The Evolve Packet Core (EPC) itself is a very complicated network and therefore its hardware and software systems bear a huge cost for the mobile network operators. The solution to this huge cost problem is network virtualization and softwarization. However, virtualization and softwarization come with the cost of performance decrease and, to a network operator, guaranteeing the network performance at the carrier-grade level is a very crucial task. In the past, most of the works have tried to verify those performance metrics on the laboratory and test-bed environment only and it may not works on real network environment. That said, on this paper, we would present our evaluation results of virtualized EPC components in real (commercial) network environment and compare it with those of the physical version. The results show that the virtual version can meet the carrier-grade quality and performance requirements of communication network providers.</t>
  </si>
  <si>
    <t>979-8-3503-0254-7</t>
  </si>
  <si>
    <t>https://ieeexplore.ieee.org/stamp/stamp.jsp?arnumber=10329616</t>
  </si>
  <si>
    <t>EPC;traffic growth;virtualization</t>
  </si>
  <si>
    <t>Measurement;Costs;Laboratories;Software systems;Mobile communication;Hardware;Network function virtualization</t>
  </si>
  <si>
    <t>J. A. Larracoechea; S. Ilarri; P. Roose</t>
  </si>
  <si>
    <t>RADIANCE: A CASE Tool For Green Software Design</t>
  </si>
  <si>
    <t>2024 32nd International Conference on Enabling Technologies: Infrastructure for Collaborative Enterprises (WETICE)</t>
  </si>
  <si>
    <t>10.1109/WETICE64632.2024.00024</t>
  </si>
  <si>
    <t>LIUPPA Universit√® de Pau et des Pays de L‚ÄôAdour Anglet, France; I3A,Universidad de Zaragoza, Zaragoza, Spain; LIUPPA Universit√® de Pau et des Pays de L‚ÄôAdour Anglet, France</t>
  </si>
  <si>
    <t>Regardless of the improvements in the efficiency of energy consumption of information and communication technology, energy consumption will forever be a requisite for software execution. Consequently, researchers have promoted the development of green and sustainable software with new development methods and tools. These, however, have been adopted with limited success due to technicalities and specific language/platform requirements. In this paper, we present RADIANCE: a web app for designing greener software with a model-driven approach based on the Behavior-Based Consumption Profiles (BBCP) external Domain-Specific Language (DSL). RADIANCE, in contrast to other tools, embraces users with different levels of knowledge about green software and software architecture. Moreover, RADIANCE assesses and rates, reports, and provides advice on the energy-consuming patterns of the software models created by the user, assisting them in identifying possible design changes that result in greener software designs from the initial stages of software development.</t>
  </si>
  <si>
    <t>979-8-3315-0587-5</t>
  </si>
  <si>
    <t xml:space="preserve">Gobierno de Arag√≥n; </t>
  </si>
  <si>
    <t>https://ieeexplore.ieee.org/stamp/stamp.jsp?arnumber=10880285</t>
  </si>
  <si>
    <t>Software design;Green software;Sustainable software;Energy consumption;Software development;Model Driven Software Development</t>
  </si>
  <si>
    <t>Energy consumption;Software design;Computer aided software engineering;Software architecture;Green products;Software;Information and communication technology;DSL;Software development management;Domain specific languages</t>
  </si>
  <si>
    <t>A. Mokhtari; B. Jonglez; T. Ledoux</t>
  </si>
  <si>
    <t>Towards Digital Sustainability: Involving Cloud Users as Key Players</t>
  </si>
  <si>
    <t>2024 IEEE International Conference on Cloud Engineering (IC2E)</t>
  </si>
  <si>
    <t>10.1109/IC2E61754.2024.00021</t>
  </si>
  <si>
    <t>IMT Atlantique, INRIA, LS2N, UMR CNRS 6004, Nantes, France; IMT Atlantique, INRIA, LS2N, UMR CNRS 6004, Nantes, France; IMT Atlantique, INRIA, LS2N, UMR CNRS 6004, Nantes, France</t>
  </si>
  <si>
    <t>Due to the rapid growth of Cloud services, data centers have become major energy consumers, resulting in significant CO2 emissions. Several infrastructure-focused strategies, such as resource consolidation, have been used to reduce the carbon footprint of Cloud infrastructure. However, end-users are often left out of the picture. Since they are the primary target of Cloud applications, it would be beneficial to actively involve them in reducing the carbon footprint of Cloud applications. In this paper, we offer end-users a way to influence the carbon footprint of Cloud applications they use. To this end, we ask end-users to select a high-level mode to control the carbon footprint of a Cloud application. We then design a dynamic adaptation algorithm that determines an appropriate configuration for the application for each request, based on the end-user mode and on the carbon intensity of the infrastructure energy sources. We implement and evaluate our system on a simple image-resizing application. We run experiments on SeDuCe, a Cloud infrastructure testbed partially powered by solar panels. Our results show that we save energy consumption by up to $84 \%$ when all end-users agree to degrade the quality of the application‚Äôs output, and we provide a good quality-energy trade-off when end-users make heterogeneous choices. In addition, we are able to improve quality by leveraging the available green energy budget.</t>
  </si>
  <si>
    <t>979-8-3315-2869-0</t>
  </si>
  <si>
    <t>https://ieeexplore.ieee.org/stamp/stamp.jsp?arnumber=10749770</t>
  </si>
  <si>
    <t>cloud computing;human-centered computing;digital sustainability;carbon footprint;green energy</t>
  </si>
  <si>
    <t>Green energy;Energy consumption;Data centers;Protocols;Heuristic algorithms;Calibration;Solar panels;Proposals;Carbon;Carbon footprint</t>
  </si>
  <si>
    <t>M. Abdulrahman; R. Alqahtani; A. Bashar</t>
  </si>
  <si>
    <t>Review of Opportunities, Challenges and Solutions for FaaS Performance and Security Management</t>
  </si>
  <si>
    <t>10.1109/ICICT60155.2024.10544765</t>
  </si>
  <si>
    <t>Department of Computer Engineering, Prince Mohammad Bin Fahd University, Al-Khobar, Saudi Arabia; Department of Computer Engineering, Prince Mohammad Bin Fahd University, Al-Khobar, Saudi Arabia; Department of Computer Engineering, Prince Mohammad Bin Fahd University, Al-Khobar, Saudi Arabia</t>
  </si>
  <si>
    <t>Cloud computing has fundamentally transformed Information Technology (IT) service delivery, providing users ubiquitous access to data and applications through the Internet while establishing an economically viable virtual IT solution. This study explores the evolution from traditional cloud models to contemporary innovations like Serverless computing and Function-as-a-Service (FaaS). FaaS introduces automated resource provisioning, enabling elastic scalability, while Serverless computing revolutionizes infrastructure management, marking a pivotal departure from traditional cloud approaches. The technical section navigates through the intricacies of various cloud models, accentuating the paradigm shift towards event-driven execution in FaaS and Serverless computing. It analyzes the inherent limitations and challenges within FaaS, including the notorious "cold start" problem and complexities related to collaboration and DevOps. Furthermore, this study illuminates the unique security aspects of Serverless computing, pinpointing vulnerabilities that differ from those in traditional cloud architectures. To address these challenges, strategic solutions are Reviewed, underscoring diligent attention to Service Level Agreements (SLAs), innovative workflow management systems, and efficient resource allocation through online resource managers. The paper also outlines potential future research directions, encompassing expansions of FaaS capabilities and integration with Software Development Kits (SDKs). In conclusion, the paper emphasizes the transformative impact of FaaS and Serverless computing on cloud technology, advocating for sustained research efforts to steer the future trajectory of computing.</t>
  </si>
  <si>
    <t>https://ieeexplore.ieee.org/stamp/stamp.jsp?arnumber=10544765</t>
  </si>
  <si>
    <t>Cloud Computing;Function-as-a-Service;Serverless Computing;Performance Management;Security Management</t>
  </si>
  <si>
    <t>Technological innovation;Automation;Computational modeling;Scalability;Biological system modeling;Serverless computing;Aerodynamics</t>
  </si>
  <si>
    <t>M. A. Kuzina; A. A. Karelin; E. L. Kuzina; O. V. Ragushina; M. A. Vasilenko; M. M. Mursikaev; J. A. Tagiltseva; Y. S. Baranchikov</t>
  </si>
  <si>
    <t>The Architecture Designing Algorithm of a Digital High-Tech Enterprise Sustainable Development</t>
  </si>
  <si>
    <t>2024 International Conference "Quality Management, Transport and Information Security, Information Technologies" (QM&amp;TIS&amp;IT)</t>
  </si>
  <si>
    <t>10.1109/QMTISIT63393.2024.10762858</t>
  </si>
  <si>
    <t>Department of Quality Management, Russian University of Transport (MIIT), Moscow, Russia; Department of Quality Management, Russian University of Transport (MIIT), Moscow, Russia; Department of Quality Management, Russian University of Transport (MIIT), Moscow, Russia; Department of Quality Management, Russian University of Transport (MIIT), Moscow, Russia; Department of Economic and Social Theory, Rostov State Medical University of the Ministry of Health of Russia, Rostov-on-Don, Russia; Department of Quality Management, Russian University of Transport (MIIT), Moscow, Russia; Department of Customs Operations and Customs Control, Russian Customs Academy Rostov Branch, Rostov-on-Don, Russia; Department of Quality Management, Russian University of Transport (MIIT), Moscow, Russia</t>
  </si>
  <si>
    <t>The article discusses the design of an architecture for the sustainable development of a digital high-tech enterprise. Business processes, information flows, technological solutions and information security in the context of digitalization should be aimed at increasing the efficiency and competitiveness of the enterprise. The basis for the functioning of these processes is engineering and reengineering of enterprise architecture. Increasing the production efficiency of a high-tech industrial enterprise is possible not so much through improving its investment policy, but on the basis of a balanced system of performance indicators in order to achieve the unity of public and collective interests.</t>
  </si>
  <si>
    <t>979-8-3503-6752-2</t>
  </si>
  <si>
    <t>https://ieeexplore.ieee.org/stamp/stamp.jsp?arnumber=10762858</t>
  </si>
  <si>
    <t>digital enterprise;planning;strategy;management;information security;balanced scorecard;efficiency</t>
  </si>
  <si>
    <t>Systematics;Government;Key performance indicator;Information security;Production;Companies;Regulation;Sustainable development;Investment;Business</t>
  </si>
  <si>
    <t>H. Valera; L. I. G. Giraldo; C. A. S. MuÀúNoz; A. A. R. Marroquin; L. A. Damas; M. Dalmau; P. Roose; Y. Cardinale</t>
  </si>
  <si>
    <t>Energy Optimization through a Multidimensional Distributed Scheduling Approach</t>
  </si>
  <si>
    <t>2024 23rd International Symposium on Parallel and Distributed Computing (ISPDC)</t>
  </si>
  <si>
    <t>2996-1483</t>
  </si>
  <si>
    <t>10.1109/ISPDC62236.2024.10705392</t>
  </si>
  <si>
    <t>Technop√¥le DOMOLANDES Saint-Geours-de-Maremne, France; Universidad Sim√≥n, Bolivar, Caracas, Venezuela; Universidad Sim√≥n, Bolivar, Caracas, Venezuela; Universidad Cat√≥lica San Pablo, Arequipa, Peru; Universidad Internacional de Valencia, Spain; E2S UPPA University of Pau, Anglet, France; E2S UPPA University of Pau, Anglet, France; Universidad Internacional de Valencia, Spain</t>
  </si>
  <si>
    <t>Distributed systems, spanning pervasive, cloud, and edge computing, require robust scheduling for tasks and data management, facing challenges like hardware diversity, QoS, localization, and energy efficiency. Current solutions often lack a comprehensive approach, failing to achieve balanced load management, QoS, and notably in minimizing application energy use, a key modern concern. We propose a distributed scheduler using multidimensional spaces and data structures aimed at comprehensive load balancing, energy efficiency, and QoS. The scheduler indexes devices within the structure based on diverse criteria such as hardware availability, GPS, and energy features. It then organizes applications into abstract graphs, where nodes are containers and their data items (units of data accessed by the containers), and edges are the transfer rates among them. To migrate containers, the scheduler performs range queries within the structure for optimal devices. To organize data items, it finds the barycenter of the devices executing the containers linked to them. We evaluated our scheduler‚Äôs effectiveness using the PISCO simulator, comparing it against other energy-efficient schedulers.</t>
  </si>
  <si>
    <t>979-8-3503-6919-9</t>
  </si>
  <si>
    <t>https://ieeexplore.ieee.org/stamp/stamp.jsp?arnumber=10705392</t>
  </si>
  <si>
    <t>distributed systems;power;energy;scheduling</t>
  </si>
  <si>
    <t>Performance evaluation;Location awareness;Processor scheduling;Quality of service;Containers;Load management;Energy efficiency;Scheduling;Hardware;Optimization</t>
  </si>
  <si>
    <t>M. Ayala-Chauvin; F. Avil√©s-Castillo; D. Y√°nez-Arcos; J. Buele</t>
  </si>
  <si>
    <t>Predictive Maintenance in Industrial Robotics Using Big Data: Techniques, Challenges, and Opportunities</t>
  </si>
  <si>
    <t>2024 IEEE Eighth Ecuador Technical Chapters Meeting (ETCM)</t>
  </si>
  <si>
    <t>10.1109/ETCM63562.2024.10746033</t>
  </si>
  <si>
    <t>Centro de Investigaci√≥n de Ciencias Humanas y de la Educaci√≥n, Carrera de Tecnolog√≠as de la Informaci√≥n, Universidad Tecnol√≥gica Indoam√©rica, Ambato, Ecuador; Centro de Investigaci√≥n de Ciencias Humanas y de la Educaci√≥n, Carrera de Tecnolog√≠as de la Informaci√≥n, Universidad Tecnol√≥gica Indoam√©rica, Ambato, Ecuador; Centro de Investigaci√≥n de Ciencias Humanas y de la Educaci√≥n, Carrera de Tecnolog√≠as de la Informaci√≥n, Universidad Tecnol√≥gica Indoam√©rica, Ambato, Ecuador; Carrera de Ingenier√≠a Industrial, Facultad de Ingenier√≠as, Universidad Tecnol√≥gica Indoam√©rica, Ambato, Ecuador</t>
  </si>
  <si>
    <t>In industrial robotics, predictive maintenance is important to improve efficiency and reduce costs, addressing early detection and diagnosis of failures. The use of Big Data allows us to identify patterns and trends that at first glance are complex. This review examines research on the application of big data in predictive maintenance of industrial robots, which use advanced techniques such as cloud-based architectures, filtering algorithms, and machine learning. The review methodology included an analysis of the big data techniques used, the challenges identified, and the opportunities presented. The results show significant improvements in the accuracy of predictions and fault diagnoses. Key anomaly drivers were identified that improved production performance and enabled accurate fault identification and reduced downtime in industrial robots. Despite the benefits, challenges remain in data security and communications latency, underscoring the need to develop innovative algorithms and techniques to balance computing load and minimize delays. The continuous evolution of these techniques promises to improve the failure management capacity in industrial robotics, thus optimizing the operability and efficiency of robotic systems.</t>
  </si>
  <si>
    <t>979-8-3503-9158-9</t>
  </si>
  <si>
    <t>https://ieeexplore.ieee.org/stamp/stamp.jsp?arnumber=10746033</t>
  </si>
  <si>
    <t>Predictive maintenance;industrial robotics;big data;fault prediction</t>
  </si>
  <si>
    <t>Fault diagnosis;Accuracy;Costs;Service robots;Reviews;Data security;Failure analysis;Big Data;Industrial robots;Predictive maintenance</t>
  </si>
  <si>
    <t>A. A. Ardebili; A. Martella; C. Martella; A. Longo; A. Ficarella</t>
  </si>
  <si>
    <t>Digital Twins: Case Study of Energy Metaverse and Edge-Cloud Integration</t>
  </si>
  <si>
    <t>10.1109/BigData62323.2024.10825392</t>
  </si>
  <si>
    <t>Dept. of Research and Development, HSPI-Roma, Rome, Italy; Dept. Engineering for Innovation, University of Salento, Lecce, Italy; Dept. Engineering for Innovation, University of Salento, Lecce, Italy; Dept. Engineering for Innovation, University of Salento, Lecce, Italy; Dept. Engineering for Innovation, University of Salento, Lecce, Italy</t>
  </si>
  <si>
    <t>The emergence of novel technologies is significantly contributing to the study of new approaches to the development of energy Cyber-Physical systems. Technologies like IoT, Big Data, Machine Learning and AI are becoming so tightly coupled to be considered as a singular technological framework. Such a framework is at the basis of the Digital Twin technology, which allows to interact with a real-world asset by referring to its digital counterpart. Being potentially applied to any kind of physical asset, the Digital Twin approach can create a synergy for a comprehensive modeling, monitoring, and forecasting of the same asset. In the energy domain, Digital Twins can facilitate the decision making by providing interactive dashboards to the stakeholders within a metaverse instance. These dashboards can support what-if analyses, forecasts on energy demand and production, and remote control of the physical assets to optimize their performance. This paper proposes a framework for developing a Cyber-Physical solution in the energy domain. The framework consists of three building blocks called Physical Asset, Data Infrastructure, and Digital Twin. The Physical Asset and the Digital Twin blocks correspond to the typical counterparts of a Cyber-Physical system, whilst the Data Infrastructure is delegated to support their synchronization and/or interaction. To assess the proposed framework, a real testbed was developed as Cyber-Physical system to implement the digital twin of a smart photovoltaic station.</t>
  </si>
  <si>
    <t>https://ieeexplore.ieee.org/stamp/stamp.jsp?arnumber=10825392</t>
  </si>
  <si>
    <t>Digital Twins;Energy Metaverse;Smart Energy;Photovoltaic Asset;Edge-Cloud Architecture;Cyber-Physical System</t>
  </si>
  <si>
    <t>Photovoltaic systems;Metaverse;Production;Big Data;Predictive models;Digital twins;Synchronization;Stakeholders;Remote control;Monitoring</t>
  </si>
  <si>
    <t>J. He; W. Jiang; G. Liu; D. Yang</t>
  </si>
  <si>
    <t>Advanced Monitoring Infrastructure System Architecture for Massive Multi-Source Data</t>
  </si>
  <si>
    <t>2023 IEEE 13th International Conference on Electronics Information and Emergency Communication (ICEIEC)</t>
  </si>
  <si>
    <t>10.1109/ICEIEC58029.2023.10199743</t>
  </si>
  <si>
    <t>Computer and Communication Engineering, University of Science and Technology Beijing, Beijing, China; State Grid Zhejiang Electric Power Co., Ltd, Zhejiang Province, China; State Grid Tongxiang Power Supply Company, Zhejiang Province, China; Computer and Communication Engineering, University of Science and Technology Beijing, Beijing, China</t>
  </si>
  <si>
    <t>Advanced metering infrastructure(AMI) is an important part of the smart grid, mainly consisting of metering terminals for data collection and master systems for data analysis. With the continuous development of smart grid, the number of metering terminals is increasing significantly, and the terminal data to be processed will grow exponentially, putting higher requirements on the performance of AMI system data processing. Meanwhile, the security and reliability of the system cannot be guaranteed due to the lack of monitoring of terminal status and real-time perception of network segment traffic, and the establishment of the system security defense system is still in its initial stage. To meet the demand for real-time processing of massive data, realize the rapid transformation of multi-source, multi-location, and multi-temporal data, and guarantee the safe and stable operation of AMI, this paper proposes an AMI monitoring system architecture for massive multi-source data, which uses deep packet detection technology and clustering methods to filter and statistic the data stream. Combined with the microservice technology to build a security monitoring platform, it solves the problem of rapid extraction, analysis, and storage of massive data, and realizes the monitoring of terminal behavior status and real-time perception of network segment traffic situations.</t>
  </si>
  <si>
    <t>979-8-3503-3172-1</t>
  </si>
  <si>
    <t>https://ieeexplore.ieee.org/stamp/stamp.jsp?arnumber=10199743</t>
  </si>
  <si>
    <t>AMI;metering terminals;microservice;monitoring</t>
  </si>
  <si>
    <t>Systems architecture;Microservice architectures;Real-time systems;Time measurement;Smart grids;Behavioral sciences;Security</t>
  </si>
  <si>
    <t>X. Liu; J. Chen; X. Sun; J. Zhao; Q. Li; K. Chen</t>
  </si>
  <si>
    <t>A Digital Distribution Network Oriented Architecture of HCPS</t>
  </si>
  <si>
    <t>2023 9th Annual International Conference on Network and Information Systems for Computers (ICNISC)</t>
  </si>
  <si>
    <t>10.1109/ICNISC60562.2023.00044</t>
  </si>
  <si>
    <t>Jiangxi Information and Telecommunication Branch, State Grid Jiangxi Electric Power Company, Nanchang, China; Jiangxi Electric Power Company State Grid, Nanchang, China; Jiangxi Information and Telecommunication Company, State Grid Jiangxi Electric Power Company, Nanchang, China; School of Information Engineering, Nanchang Institute of Technology, Nanchang, China; Nanchang Power Supply Company, State Grid Jiangxi Electric Power Company, Nanchang, China; Dapartment of Science, Jiangxi Electric Power Company State Grid, Nanchang, China</t>
  </si>
  <si>
    <t>This paper proposes a digital distribution network-oriented architecture of human cyber physical system (HCPS). It aims to enhance the quality of service of distribution network by digital tools. Firstly, we give the definitions of human unit, cyber unit and physic unit. Then we design an architecture of HCPS for digital distribution network, and discuss an application case in a power supply station. Finally, we give an outlook to cyber physical social system (CPSS) research and digital twin, and discuss the future work.</t>
  </si>
  <si>
    <t>979-8-3503-0668-2</t>
  </si>
  <si>
    <t>https://ieeexplore.ieee.org/stamp/stamp.jsp?arnumber=10473377</t>
  </si>
  <si>
    <t>Human Cyber Physical System;Architecture;Distribution network;Digital work;Cyber Physical;Social System</t>
  </si>
  <si>
    <t>Computers;Power supplies;Distribution networks;Computer architecture;Quality of service;Digital twins;Physics</t>
  </si>
  <si>
    <t>T. Owerko; K. Tomaszkiewicz; P. Kuras; S. Glinka; M. Rochel</t>
  </si>
  <si>
    <t>Towards developing and maintaining digital twin for railway stations</t>
  </si>
  <si>
    <t>2024 28th International Conference on Methods and Models in Automation and Robotics (MMAR)</t>
  </si>
  <si>
    <t>2835-2807</t>
  </si>
  <si>
    <t>10.1109/MMAR62187.2024.10680844</t>
  </si>
  <si>
    <t>Faculty of Geo-Data Science Geodesy and Environmental Engineering, AGH University of Krakow Krakow, Krakow, Poland; Faculty of Geo-Data Science Geodesy and Environmental Engineering, AGH University of Krakow Krakow, Krakow, Poland; Faculty of Geo-Data Science Geodesy and Environmental Engineering, AGH University of Krakow Krakow, Krakow, Poland; Faculty of Geo-Data Science Geodesy and Environmental Engineering, AGH University of Krakow Krakow, Krakow, Poland; Faculty of Geo-Data Science Geodesy and Environmental Engineering, AGH University of Krakow Krakow, Krakow, Poland</t>
  </si>
  <si>
    <t>The main objective of the paper is to indicate proposals for combining technologies allowing the creation of a digital twin of a railway station. The current development of technology was taken into account through the analysis of research projects carried out in the field of digital twin and the current state of development of standards. Attention was paid to acquiring incremental information, both for design and measurement data. In addition, the method of their processing was presented, as well as the suggested architecture of the digital twin and its dataframe. Finally, an example of data analysis for a digital twin was given, consisting in providing georeference for measurement data.</t>
  </si>
  <si>
    <t>979-8-3503-6234-3</t>
  </si>
  <si>
    <t>https://ieeexplore.ieee.org/stamp/stamp.jsp?arnumber=10680844</t>
  </si>
  <si>
    <t>Digital Twin;Railway Stations;Building Information Modeling;BIM</t>
  </si>
  <si>
    <t>Databases;Knowledge based systems;Time series analysis;Robot sensing systems;Particle measurements;Rail transportation;Digital twins</t>
  </si>
  <si>
    <t>R. Andreoli; T. Cucinotta</t>
  </si>
  <si>
    <t>Towards a Holistic Cloud System with End-to-End Performance Guarantees</t>
  </si>
  <si>
    <t>10.1109/IC2E59103.2023.00039</t>
  </si>
  <si>
    <t>Sant‚ÄôAnna School of Advanced Studies, Pisa, Italy; Sant‚ÄôAnna School of Advanced Studies, Pisa, Italy</t>
  </si>
  <si>
    <t>Computing technologies are undergoing a relentless evolution from both the hardware and software sides, incorporating new mechanisms for low-latency networking, virtualization, operating systems, hardware acceleration, smart services orchestration, serverless computing, hybrid private-public Cloud solutions and others. Therefore, Cloud infrastructures are becoming increasingly attractive for deploying a wider and wider range of applications, including those with more and more stringent timing constraints, like the emerging use case of deploying time-critical applications. However, despite the availability of a number of public Cloud offerings, and of products (or open-source suites) for deploying in-house private Cloud infrastructures, still there are no solutions readily available for managing time-critical software components with predictable end-to-end timing requirements in the range of hundreds or even tens of milliseconds. The goal of this discussion is to present the multi-domain challenges associated with orchestrating a holistic Cloud system with end-to-end guarantees, which is the subject of my current PhD investigations.</t>
  </si>
  <si>
    <t>https://ieeexplore.ieee.org/stamp/stamp.jsp?arnumber=10305824</t>
  </si>
  <si>
    <t>Cloud Orchestration;Cloud System;End-to-End Performance</t>
  </si>
  <si>
    <t>Computers;Cloud computing;Operating systems;Serverless computing;Software;Timing;Time factors</t>
  </si>
  <si>
    <t>L. F. Mendes; P. A. C. Aguilar; C. I. M. Bezerra</t>
  </si>
  <si>
    <t>Software Architecture for IoT-based Indoor Positioning Systems for Ambient Assisted Living</t>
  </si>
  <si>
    <t>10.1109/ICSA56044.2023.00017</t>
  </si>
  <si>
    <t>Dept. of Computing Sciences, Federal University of Cear√°, Quixad√°, Brazil; Dept. of Computing Sciences, Federal University of Cear√°, Quixad√°, Brazil; Dept. of Computing Sciences, Federal University of Cear√°, Quixad√°, Brazil</t>
  </si>
  <si>
    <t>Indoor positioning is an important element in context-aware applications, especially based on the internet of things (IoT). Elderly people or people with specific needs can benefit from such applications by providing them with an ambient assisted living (AAL). Indoor positioning system (IPS) applications can be deployed under an IoT infrastructure to provide location awareness to other applications, such as AAL solutions. However, software patterns and architectures in the context of IoT applications are still open research topics. This paper proposes a software architecture for IoT-based IPS applications to support AAL systems. We performed a systematic literature review (SLR) to identify solutions and non-functional requirements (NFRs) to incorporate into the architecture of these applications. From the SLR results, we developed an architecture for IoT-based IPS applications, using Fog Computing elements, to support AAL systems. We evaluate the architecture using the iFogSim simulation environment regarding latency, network usage, and energy consumption. The proposed approach was compared to a cloud-based deployment. Experimental results show that the proposed fog-based architecture significantly reduces latency, network usage, and operational costs and is suitable for real-time response scenarios. In addition, the energy consumption of cloud data centers is reduced by employing fog computing.</t>
  </si>
  <si>
    <t>https://ieeexplore.ieee.org/stamp/stamp.jsp?arnumber=10092619</t>
  </si>
  <si>
    <t>ambient assisted living;fog computing;indoor positioning system;internet of things;software architecture</t>
  </si>
  <si>
    <t>Energy consumption;Cloud computing;Ambient assisted living;Systematics;Software architecture;Computer architecture;Software</t>
  </si>
  <si>
    <t>J. M. Batalla; K. Wrona; D. Brown; F. WiƒÖcek; U. Ruuto; T. Wichary</t>
  </si>
  <si>
    <t>Threat Assessment of 5G Networks for Military Applications</t>
  </si>
  <si>
    <t>2024 International Conference on Military Communication and Information Systems (ICMCIS)</t>
  </si>
  <si>
    <t>10.1109/ICMCIS61231.2024.10540765</t>
  </si>
  <si>
    <t>Institute of Telecommunications, Warsaw University of Technology, Warsaw, Poland; NATO Cyber Security Centre, The Hague, The Netherlands / Military University of Technology, Warsaw, Poland; Defence Research and Development Canada (DRDC), Ottawa, Canada; Nokia Technical Complex Wroclaw, Wroclaw, Poland; NATO Cooperative Cyber Defence Centre of Excellence (CCDCOE), Tallinn, Estonia; Institute of Telecommunications, Warsaw University of Technology, Warsaw, Poland</t>
  </si>
  <si>
    <t>This paper presents a methodology for assessing threats in military usage of the 5G network. We deploy a comprehensive step-by-step analysis of the threats and also propose new mitigation controls that may reduce the likelihood of attacks or their impact. The examples show that it is possible to apply the methodology for real threats when the network is used for military applications.</t>
  </si>
  <si>
    <t>979-8-3503-7319-6</t>
  </si>
  <si>
    <t>https://ieeexplore.ieee.org/stamp/stamp.jsp?arnumber=10540765</t>
  </si>
  <si>
    <t>Threat assessment;5G;Military operations;Security controls;Risk mitigation</t>
  </si>
  <si>
    <t>Wireless communication;Military standards;Military communication;5G mobile communication;Threat assessment;Communication system security;Standards</t>
  </si>
  <si>
    <t>Y. S. Patel; P. Townend</t>
  </si>
  <si>
    <t>A Stable Matching Approach to Energy Efficient and Sustainable Serverless Scheduling for the Green Cloud Continuum</t>
  </si>
  <si>
    <t>10.1109/SOSE62363.2024.00010</t>
  </si>
  <si>
    <t>Dept. Computing Science, Ume√• University, Ume√•, Sweden; Dept. Computing Science, Ume√• University, Ume√•, Sweden</t>
  </si>
  <si>
    <t>Cloud infrastructures are evolving from centralised systems to geographically distributed federations of edge devices, fog nodes, and clouds - often known as the Cloud-Edge Continuum. Continuum systems are dynamic, often massive in scale, and feature disparate infrastructure providers and platforms; this greatly increase the complexity of developing and managing applications. The Serverless paradigm shows the potential to greatly simplify the process of building Continuum applications - however, current scheduling mechanisms for Serverless Continuum platforms pay little attention to reducing the energy consumption and improving the sustainability of function execution. This is a significant omission, made worse as computing nodes within a Continuum may be powered by renewable energy sources that are intermittent and unpredictable, making low-powered and bottleneck nodes unavailable.There is great opportunity to design a decentralized energy management scheme for scheduling Serverless functions that takes advantage of the different layers of the Continuum, such as IoT devices located at the Edge, on-premises clusters closer to the data sources, or directly on large Cloud infrastructures. To achieve this, we formally model a green energy-aware Serverless workload scheduling problem for the multi-provider Cloud-Edge Continuum. We then design stable matching based technique for decentralized energy management (utilising a distributed controller) that considers the availability of green energy nodes and the QoS requirements of Serverless functions. We prove the complexity, stability and termination of the proposed heuristic algorithm, and also compare its performance with baseline scheduling techniques.</t>
  </si>
  <si>
    <t xml:space="preserve">Kempestiftelserna; </t>
  </si>
  <si>
    <t>https://ieeexplore.ieee.org/stamp/stamp.jsp?arnumber=10685327</t>
  </si>
  <si>
    <t>Cloud-Edge Continuum;Serverless Computing;Renewable energy;Scheduling;Function-as-a-Service;Matching</t>
  </si>
  <si>
    <t>Processor scheduling;Service-oriented systems engineering;Soft sensors;Green products;Serverless computing;Quality of service;Stability analysis</t>
  </si>
  <si>
    <t>W. Song; M. Gui; Y. Chu; Y. Wu; L. Mao; G. Fan</t>
  </si>
  <si>
    <t>Vertical Fusion Hierarchical Architecture of Edge Data Center</t>
  </si>
  <si>
    <t>10.1109/ICCASIT62299.2024.10828092</t>
  </si>
  <si>
    <t>NARI Group Co., Ltd, Nanjing, China; NARI Group Co., Ltd, Nanjing, China; NARI Group Co., Ltd, Nanjing, China; NARI Group Co., Ltd, Nanjing, China; NARI Group Co., Ltd, Nanjing, China; NARI Group Co., Ltd, Nanjing, China</t>
  </si>
  <si>
    <t>With the continuous advancement of digital infrastructure construction in the power data center and the increasing demand for ubiquitous computing, the application requirements for edge data centers are gradually increasing. This article combines the complexity of current edge data center deployment costs and long cycles in response to application scenarios, and proposes a vertically integrated architecture for edge data centers. By designing an integrated and efficient prefabricated data center architecture, the data center infrastructure can be merged and managed with computing, storage, and network equipment in a limited space. This enables organic integration between various resource objects, forming a highly load-capable, powerful, and plug and play integrated and efficient edge data center. Based on the vertically integrated architecture, the computing power density of edge data center equipment can reach 1000 Cores $/ 15 \mathrm{~kW}$.</t>
  </si>
  <si>
    <t>https://ieeexplore.ieee.org/stamp/stamp.jsp?arnumber=10828092</t>
  </si>
  <si>
    <t>Power Data Center;Edge Data Center;Vertical Fusion Architecture;plug and play;Computing Power Density</t>
  </si>
  <si>
    <t>Data centers;Power system measurements;Density measurement;Power supplies;Computer architecture;Ubiquitous computing;Protection;Information technology;Information exchange;Plugs</t>
  </si>
  <si>
    <t>B. A. Naim; Y. Ghafourian; A. Ryabokon; F. Flamigni; R. Baldrian</t>
  </si>
  <si>
    <t>A Generic Framework for Resource-Limited Microcontrollers Deployment in I-IoT Systems</t>
  </si>
  <si>
    <t>10.1109/NOMS59830.2024.10575590</t>
  </si>
  <si>
    <t>Research Studios Austria FG mbH, St. P√∂lten, Austria; Research Studios Austria FG mbH, St. P√∂lten, Austria; Research Studios Austria FG mbH, St. P√∂lten, Austria; TTTech Computertechnik AG, Wien, Austria; ZELOSPLANT Indoor Solutions GmbH, Oberwart, Austria</t>
  </si>
  <si>
    <t>Incorporating various AI-controlled devices coupled with a human-centric focus in the industrial process has revolutionized the industry, leading the shift from Industry 4.0 to Industry 5.0. Devices like sensors and actuators lack essential computational resources. Thus, they rely on microcontrollers to be networked to send and receive data. The proliferation of a broad palette of inexpensive, resource-limited microcontrollers has motivated industries to integrate them into their industrial processes or to build industrial prototypes. However, installing and networking those microcontrollers in factory areas is tedious and has many critical requirements at various security, technical, scalability, flexibility, and data flow levels. It also poses additional challenges in terms of writing software for the microcontrollers, involving a lot of manual work, hardcoding, and complex configurations to allow for proper and secure communication with subscribed data consumers. This paper introduces a novel generic framework and software components addressing the mentioned challenges. This generic framework enables configuring and networking of microcontrollers and IIoT devices in the deployment phase at the field and edge levels, achieving more security, flexibility, and scalability.</t>
  </si>
  <si>
    <t>https://ieeexplore.ieee.org/stamp/stamp.jsp?arnumber=10575590</t>
  </si>
  <si>
    <t>I-IoT;Microcontroller Deployment;Integration Framework;Integration Management;Networking;Data Communication;Service-oriented Architecture;Onboarding;Security;Arduino</t>
  </si>
  <si>
    <t>Industries;Microcontrollers;Scalability;Prototypes;Writing;Software;Production facilities</t>
  </si>
  <si>
    <t>A. Chebaane; M. K. Arshad; F. Burger; A. Khelil</t>
  </si>
  <si>
    <t>A Layered Strategy for Reducing Offloading Latency in Fog Computing</t>
  </si>
  <si>
    <t>10.1109/FMEC62297.2024.10710234</t>
  </si>
  <si>
    <t>CS Department, Institute for Data and Process Science, Landshut University of Applied Sciences, Landshut, Germany; CS Department, University of Salerno, Fisciano, Italy; CS Department, Institute for Data and Process Science, Landshut University of Applied Sciences, Landshut, Germany; CS Department, Institute for Data and Process Science, Landshut University of Applied Sciences, Landshut, Germany</t>
  </si>
  <si>
    <t>Moving applications from the local Internet of Things devices to neighboring infrastructures has been the highlight of the current distributed Computing era. Due to high latency and network bottlenecks, Cloud Computing has become rather problematic for real-time applications. Accordingly, Fog Computing has been presented as the missing piece to provide along with cloud Computing for virtually all applications. Application virtualization through containers has become more and more popular in the context of Fog Computing as it simplifies live migration and, in particular, offloading of time-critical applications or their selected tasks. However, the measurement study of the overall offloading latency in Fog Computing has not been sufficiently investigated. This article proposes a measurement analysis of the offloading latency of time-critical application tasks from the end device, such as a vehicle, to surrounding Fog nodes based on Docker containers, Kubernetes, and checkpointing. Based on our layered offloading framework, several offloading scenarios have been studied. The experimental results show that by preparing the Fog nodes in advance through careful, easy arrangements, considerable time can be saved when offloading the application to the Fog node within the Fog cluster. We further consider Vehicular Fog Computing (VFC) as a popular example of time-critical Fog computing and assess the suitability of various offloading strategies for VFC use cases.</t>
  </si>
  <si>
    <t>https://ieeexplore.ieee.org/stamp/stamp.jsp?arnumber=10710234</t>
  </si>
  <si>
    <t>Fog Computing;Vehicular Fog Computing;Task Offloading;Checkpoints;Application Virtualization;Latency-Critical Applications</t>
  </si>
  <si>
    <t>Cloud computing;Multi-access edge computing;Atmospheric measurements;Prefetching;Containers;Particle measurements;Real-time systems;Time factors;Internet of Things;Edge computing</t>
  </si>
  <si>
    <t>D. Olliaro; V. Mancuso; P. Castagno; M. Sereno; M. A. Marsan</t>
  </si>
  <si>
    <t>Gaming on the Edge: Performance Issues of Distributed Online Gaming</t>
  </si>
  <si>
    <t>2024 IFIP Networking Conference (IFIP Networking)</t>
  </si>
  <si>
    <t>10.23919/IFIPNetworking62109.2024.10619768</t>
  </si>
  <si>
    <t>Ca‚Äô Foscari University of Venice, Venice, Italy; IMDEA Networks Institute, Leganes, Spain; Universit√† di Torino, Torino, Italy; Universit√† di Torino, Torino, Italy; IMDEA Networks Institute, Leganes, Spain</t>
  </si>
  <si>
    <t>We study the performance of online games played over a platform that implements gaming as a service (GaaS) in a mobile network slice that hosts concatenated virtual network functions (VNFs) at the edge. The distributed gaming architecture is based on edge computing facilities, whose utilization must be carefully planned and managed, so as to satisfy the stringent performance requirements of game applications. The game manager must consider the latency between players and edge server VNFs, the capacity and load of edge servers, and the latency between edge servers used by interacting players. This calls for a careful choice about the allocation of players to edge server VNFs, aiming at extremely low latency in interactions resulting from player's commands. We develop an analytical model, which we validate with experiments in the wild, and show that, under several combinations of system parameters, deploying gaming VNFs at the edge can deliver better performance with respect to cloud gaming, in spite of the complexities arising from the distribution of gaming VNFs over edge servers. Our analytical model provides a useful tool for edge gaming systems performance prediction, thus supporting the management of GaaS applications.</t>
  </si>
  <si>
    <t>978-3-903176-63-8</t>
  </si>
  <si>
    <t>https://ieeexplore.ieee.org/stamp/stamp.jsp?arnumber=10619768</t>
  </si>
  <si>
    <t>Online gaming;GaaS;Performance model</t>
  </si>
  <si>
    <t>Analytical models;System performance;Gallium arsenide;Computer architecture;Cloud gaming;Servers;Resource management</t>
  </si>
  <si>
    <t>V. V. S. Sharmili; A. Gopu</t>
  </si>
  <si>
    <t>Enhancing IoT Container Scheduling in the Cloud with Multi-Objective Accelerated PSO</t>
  </si>
  <si>
    <t>2024 IEEE International Conference on Contemporary Computing and Communications (InC4)</t>
  </si>
  <si>
    <t>10.1109/InC460750.2024.10649175</t>
  </si>
  <si>
    <t>Department of Computer Science and Engineering, Dayananda Sagar University Bengaluru, Karnataka, India; Department of Computer Science and Engineering, Dayananda Sagar University Bengaluru, Karnataka, India</t>
  </si>
  <si>
    <t>Containers are encapsulated bundle of application and its dependent libraries made to execute in the operating system without the need of pre-configurations. Containers need to be scheduled effectively to leverage the full potential of underlying physical infrastructure. The integration of contain- ers in IoT, facilitates streamlined deployment, scalability, and management of diverse applications, enhancing the efficiency and flexibility of Internet of Things ecosystems. In the realm of container scheduling, the Multi-Objective Accelerated Particle Swarm Optimization (MOAPSO) algorithm emerges as a more effective solution compared to the standard Particle Swarm Optimization (PSO) algorithm, particularly when tasked with scheduling a substantial number of containers. Its scalability proves to be a standout feature, positioning MOAPSO as a versatile tool capable of efficiently scheduling in Internet of Things (IoT) applications within expansive cloud environments. The traditional PSO algorithm, while a benchmark, achieves an accuracy rate of 80%, but the introduction of the Accelerated Particle Swarm Optimization algorithm elevates this metric to an impressive 90.7%. This underscores the enhanced performance and accuracy achievable through the accelerated variant, show- casing its potential to significantly impact container scheduling, particularly in the context of large-scale cloud deployments and IoT applications. This means that the proposed method is able to schedule the containers for IoT applications more efficiently, reduce the computational time, consume less energy, emit less CO2 and heat, and utilize cloud resources more effectively.</t>
  </si>
  <si>
    <t>979-8-3503-8365-2</t>
  </si>
  <si>
    <t>https://ieeexplore.ieee.org/stamp/stamp.jsp?arnumber=10649175</t>
  </si>
  <si>
    <t>Internet of Things;Cloud Computing;Virtual Machines;Containers;Computational Time;Energy Consumption</t>
  </si>
  <si>
    <t>Cloud computing;Job shop scheduling;Accuracy;Processor scheduling;Scalability;Containers;Scheduling</t>
  </si>
  <si>
    <t>L. Song; X. You; M. Liu</t>
  </si>
  <si>
    <t>Research on Key Technologies and Issues of Intelligent Operation and Maintenance Gateway for Substations</t>
  </si>
  <si>
    <t>2024 6th International Conference on Energy Systems and Electrical Power (ICESEP)</t>
  </si>
  <si>
    <t>10.1109/ICESEP62218.2024.10651892</t>
  </si>
  <si>
    <t>NR Electric Co. Ltd, Nanjing, China; NR Electric Co. Ltd, Nanjing, China; NR Electric Co. Ltd, Nanjing, China</t>
  </si>
  <si>
    <t>The traditional operation and maintenance mode of substations are unable to keep up with the rapid development of the power grid. Intelligent operation and maintenance of substations have become an important trend. As a key device in the intelligent O&amp;M of substations, the intelligent O&amp;M gateway is gradually being applied on-site. This paper elucidates the needs and functional architecture of intelligent O&amp;M gateway for substations, delves into the application of key technologies such as heterogeneous network communication, edge computing, artificial intelligence, and intelligent linkage in the device, discusses the issues and challenges in the practical application of intelligent O&amp;M gateways and finally provides predictions for future technological development intelligent O&amp;M gateway.</t>
  </si>
  <si>
    <t>979-8-3503-5356-3</t>
  </si>
  <si>
    <t>https://ieeexplore.ieee.org/stamp/stamp.jsp?arnumber=10651892</t>
  </si>
  <si>
    <t>intelligent O&amp;M gateway;heterogeneous network communication;edge computing;artificial intelligence</t>
  </si>
  <si>
    <t>Couplings;Substations;Computer architecture;Logic gates;Market research;Power grids;Heterogeneous networks</t>
  </si>
  <si>
    <t>W. Kuang; Y. Lv; Y. Yang; W. Wang; H. Shan; S. Yang</t>
  </si>
  <si>
    <t>EdgeVisionPlus: A Visual Recognition Model to support Edge Deployment in Manufacturing Application Scenarios</t>
  </si>
  <si>
    <t>10.1109/EdgeCom62867.2024.00021</t>
  </si>
  <si>
    <t>School of Computer Science, Fudan University, Shanghai, China; GienTech Technology Co.,Ltd, Beijing, China; GienTech Technology Co.,Ltd, Beijing, China; GienTech Technology Co.,Ltd, Beijing, China; GienTech Technology Co.,Ltd, Beijing, China; School of Computer Science, Fudan University, Shanghai, China</t>
  </si>
  <si>
    <t>The manufacturing industry can enhance the efficiency of research and development, production, logistics, and operation through visual recognition of scenes. The implementation of visual recognition in manufacturing scenes faces challenges such as significant data dependency, high computational power requirements, and high operation and maintenance costs. Therefore, studying how algorithms can quickly adapt to changes in segmented scenes, reduce training computational power requirements, and support flexible deployment on cloud-edge-end, has become an important research topic in the industry. This paper proposes a classification algorithm framework for behavior recognition based on the basic vision model and downstream task fine-tuning two-stage method. Experimental results demonstrate that, compared to traditional single-task fine-tuning methods, this framework achieved a 10.8% and 6.8% improvement in average precision (AP) on two small-scale behavior recognition datasets, respectively, while using 1/4 computational power hardware and 1/8 training time. Overall, the proposed method exhibits characteristics such as low data sample dependency, low computational power requirements, high training speed, and high scalability based on a shared basic model.</t>
  </si>
  <si>
    <t>https://ieeexplore.ieee.org/stamp/stamp.jsp?arnumber=10629128</t>
  </si>
  <si>
    <t>Manufacturing Industry;Edge Computing;Behavior Recognition;Pre-training;Downstream Task Fine-tuning;Model Optimization</t>
  </si>
  <si>
    <t>Training;Visualization;Costs;Computational modeling;Hardware;Manufacturing;Maintenance</t>
  </si>
  <si>
    <t>U. Vora</t>
  </si>
  <si>
    <t>Architecting a SDS for Microservices-based Distributed Edge Computing Systems</t>
  </si>
  <si>
    <t>2024 11th International Conference on Software Defined Systems (SDS)</t>
  </si>
  <si>
    <t>10.1109/SDS64317.2024.10883885</t>
  </si>
  <si>
    <t>College of Information Sciences and Technology, Pennsylvania State University, University Park, USA</t>
  </si>
  <si>
    <t>Software Defined Systems (SDS) abstract the actual hardware at different layers with software components, layers such as Networking, Storage, Security, Servers, Data Centers, Clouds etc. This abstraction facilitates construction, integration / composition and management of complex systems effectively and sustainably. Microservices architecture is increasingly being used for designing and deploying large-scale application systems in both cloud-based and enterprise infrastructures where relatively small, loosely coupled microservices communicate with each other using lightweight communication protocols and abstract complex software application(s). We propose a sustainable SDS architecture to manage microservices of a distributed edge computing system which reduces dependency on any data centre / cloud infrastructure.</t>
  </si>
  <si>
    <t>979-8-3315-1832-5</t>
  </si>
  <si>
    <t>https://ieeexplore.ieee.org/stamp/stamp.jsp?arnumber=10883885</t>
  </si>
  <si>
    <t>Microservices;Edge computing;Software Defined System;Sustainability</t>
  </si>
  <si>
    <t>Cloud computing;Data centers;Microservice architectures;Computer architecture;Software;Software measurement;Servers;Transient analysis;Complex systems;Edge computing</t>
  </si>
  <si>
    <t>Y. Yu; K. Lin; X. Huang; W. Wu; X. Zeng</t>
  </si>
  <si>
    <t>A Study on Multi-Objective Cloud-Edge Collaborative Task Scheduling Method for Edge Networks</t>
  </si>
  <si>
    <t>2024 3rd International Conference on Cloud Computing, Big Data Application and Software Engineering (CBASE)</t>
  </si>
  <si>
    <t>10.1109/CBASE64041.2024.10824589</t>
  </si>
  <si>
    <t>China Southern Power Grid Company Limited, Guangzhou, Guangdong, China; China Southern Power Grid Company Limited, Guangzhou, Guangdong, China; Guangdong Provincial Key Laboratory of Digital Grid Technology, China Southern Power Grid Company Limited, Southern Power Grid Digital Grid Research Institute Co.,Ltd, Guangzhou, Guangdong, China; Guangdong Provincial Key Laboratory of Digital Grid Technology, China Southern Power Grid Company Limited, Southern Power Grid Digital Grid Research Institute Co.,Ltd, Guangzhou, Guangdong, China; China Southern Power Grid Company Limited, Guangzhou, Guangdong, China</t>
  </si>
  <si>
    <t>As the expansion of new services continues to grow, there may be a shortage of equipment computing, storage and communication resources. At the same time, tasks have the possibility of computation and transmission failure when device resources are limited. Therefore, this paper proposes a research on a multi-objective cloud-edge cooperative task scheduling method for edge networks. The method fully considers the multi-objective optimisation requirements such as task execution efficiency, delay, resource utilisation and energy consumption, and designs an adaptive scheduling strategy by constructing a dynamic model of tasks and resources. The strategy combines genetic algorithms and deep reinforcement learning techniques to achieve reasonable distribution and collaborative processing of tasks between cloud centres and edge nodes. On the basis of the service configuration mechanism, a processing model for microservices is established. By analysing the constraints in task scheduling, priority constraints, capacity constraints and execution time constraints are pointed out. And the scheduling scheme is selected for the task by a multi-criteria decision-making method based on fuzzy logic. The experimental results show that the proposed method has significant advantages in improving the task execution efficiency, reducing the delay and optimising the resource utilisation, which effectively meets the demand of multi-objective optimisation in edge networks, and provides new ideas and references for task scheduling in edge computing environments.</t>
  </si>
  <si>
    <t>979-8-3315-0658-2</t>
  </si>
  <si>
    <t>https://ieeexplore.ieee.org/stamp/stamp.jsp?arnumber=10824589</t>
  </si>
  <si>
    <t>Edge network;Cloud-edge collaboration;Task scheduling;Resource allocation</t>
  </si>
  <si>
    <t>Cloud computing;Adaptation models;Processor scheduling;Collaboration;Stability analysis;Delays;Resource management;Time factors;Optimization;Edge computing</t>
  </si>
  <si>
    <t>A. J. Roumeliotis; E. Kosmatos; K. V. Katsaros; A. J. Amditis</t>
  </si>
  <si>
    <t>Multi-Service And Multi-Tier Edge-Cloud Continuum Planning</t>
  </si>
  <si>
    <t>10.1109/CommNet63022.2024.10793255</t>
  </si>
  <si>
    <t>Institute of Communication and Computer Systems (ICCS); Institute of Communication and Computer Systems (ICCS); Institute of Communication and Computer Systems (ICCS); Institute of Communication and Computer Systems (ICCS)</t>
  </si>
  <si>
    <t>This paper presents optimal planning of multiservice and multi-tier edge-cloud environments. The goal is to evaluate the whole deployment of compute continuum, i.e. the type and number of processing devices and their pairing with specific tier and task based on processing and latency requirements. Especially, this pairing of each task with specific processing device and processing tier is extracted under cost and power minimization objectives. The proposed planning approach is generic therefore applicable to any type of services. In the current work it is applied and validated in the AI inference service tasks. Results show the trade-off among the performance and execution time, i.e. the proposed optimal mechanism outperforms a heuristic scheme (providing a feasible solution of the studied problem), while the latter is less time consuming. Finally, further analysis of trade-offs subject to the execution of these two approaches is presented considering the needs of system‚Äôs service provider and users.</t>
  </si>
  <si>
    <t>https://ieeexplore.ieee.org/stamp/stamp.jsp?arnumber=10793255</t>
  </si>
  <si>
    <t>Multiple tiers;compute continuum;edge computing;resource allocation;artificial intelligence;optimization;inference</t>
  </si>
  <si>
    <t>Performance evaluation;Costs;Computational modeling;Minimization;Market research;Communications technology;Planning;Artificial intelligence;Synthetic data</t>
  </si>
  <si>
    <t>V. Oujezsky; B. Mbarek; F. Kasl; T. Pitner</t>
  </si>
  <si>
    <t>Selected Software and Tools for Smart Grid Simulation in Research</t>
  </si>
  <si>
    <t>2023 15th International Congress on Ultra Modern Telecommunications and Control Systems and Workshops (ICUMT)</t>
  </si>
  <si>
    <t>2157-023X</t>
  </si>
  <si>
    <t>10.1109/ICUMT61075.2023.10333271</t>
  </si>
  <si>
    <t>Faculty of Informatics, Masaryk University, Brno, Czech Republic; Faculty of Informatics, Masaryk University, Brno, Czech Republic; Faculty of Informatics, Masaryk University, Brno, Czech Republic; Faculty of Informatics, Masaryk University, Brno, Czech Republic</t>
  </si>
  <si>
    <t>This article provides an overview of a survey conducted on smart grid software simulators, specifically focusing on their capabilities and implications for the advancement of smart grid research and development. The survey findings shed light on the role of simulators in simulating communication architectures within smart grids and their impact on system communication. Furthermore, the article emphasizes the importance of continued research and development in smart grid simulators to enhance security protocols and technologies, ensuring the resilience and reliability of future smart grid systems.</t>
  </si>
  <si>
    <t>979-8-3503-9328-6</t>
  </si>
  <si>
    <t>https://ieeexplore.ieee.org/stamp/stamp.jsp?arnumber=10333271</t>
  </si>
  <si>
    <t>Smart Grid;software;simulation;survey;technologies</t>
  </si>
  <si>
    <t>Surveys;Computational modeling;Virtual environments;Real-time systems;Data models;Smart grids;Telecommunications</t>
  </si>
  <si>
    <t>Computation System and Information Technology for Sustainable Solutions</t>
  </si>
  <si>
    <t>2023 7th International Conference on Computation System and Information Technology for Sustainable Solutions (CSITSS)</t>
  </si>
  <si>
    <t>10.1109/CSITSS60515.2023.10334182</t>
  </si>
  <si>
    <t>Computation System and Information Technology for Sustainable Solutions.</t>
  </si>
  <si>
    <t>979-8-3503-4314-4</t>
  </si>
  <si>
    <t>https://ieeexplore.ieee.org/stamp/stamp.jsp?arnumber=10334182</t>
  </si>
  <si>
    <t>Information technology;Transportation;Task analysis;Service robots;Renewable energy sources;Medical services;Manufacturing</t>
  </si>
  <si>
    <t>S. Kalarani; V. Sharmila; S. S; J. AG; K. Sudha</t>
  </si>
  <si>
    <t>Scalable Computing in Resource Allocation</t>
  </si>
  <si>
    <t>10.1109/ICECAA58104.2023.10212395</t>
  </si>
  <si>
    <t>Department of Information Technology, St Joseph's Institute of Technology, Chennai, Tamil Nadu, India; Department of Computer Science and Engineering, R.M.D. Engineering College, Chennai, Tamil Nadu, India; Department of Computer Science and Engineering, SRM Valliammai Engineering College, Chennai, Tamil Nadu, India; Department of Computer Science and Engineering, Muthayammal Engineering College (Autonomous), Salem, Tamil Nadu, India; Department of Computer Science and Engineering, Muthayammal Engineering College (Autonomous), Salem, Tamil Nadu, India</t>
  </si>
  <si>
    <t>Computational humanity is enormously voluminous and complex. One of the computing industry's fastest-growing approaches is cloud computing. It is a cutting-edge method for providing IT service over the World Wide Web. Through the Internet, this concept offers computing resources to users in a pool. Resource scheduling and allocation for various aggregate web services is a crucial and challenging problem in cloud computing. This research looks at resource allocation using scalable computing. Infrastructure as a Service (IaaS), or the service of renting out computer resources through the Internet, is offered to users by cloud computing. The client can select from a variety of computing resources depending on their needs. This approach uses the IaaS model to allocate resources for real-time tasks. Real-Time jobs must be finished ahead of schedules. Elasticity or scalable computing refers to the ability to scale up the resource in this situation in accordance with the demands. The resources are scalable and open to a vast user base. In order to finish real-time work ahead of schedules, the user can choose any number of Virtual Machines (VMs) based on speed and rate. The client leases the virtual machines. Hence the fee is set just for the duration of the rental. Additionally, a method is devised to assign VMs to programs with real-time tasks. The allocation is presented as a problem of restricted optimization.</t>
  </si>
  <si>
    <t>https://ieeexplore.ieee.org/stamp/stamp.jsp?arnumber=10212395</t>
  </si>
  <si>
    <t>Cloud computing;Scalable computing;Demand;Timeline;Resource allocation;Infrastructure as a service</t>
  </si>
  <si>
    <t>Cloud computing;Schedules;Web services;Processor scheduling;Real-time systems;Virtual machining;Resource management</t>
  </si>
  <si>
    <t>B. Liang; Y. Yang; L. Yang; K. Guo; Y. Lu; S. Wang</t>
  </si>
  <si>
    <t>A Trial Calculation Method of Complex Multi-user Electricity Charges in the Spot Market Based on Concurrent Computing Architecture</t>
  </si>
  <si>
    <t>10.1109/CEEPE62022.2024.10586293</t>
  </si>
  <si>
    <t>State Grid Shandong Electric Power Company Marketing, Service Center (Metering Center), Jinan, China; State Grid Shandong Electric Power Company Marketing, Service Center (Metering Center), Jinan, China; State Grid Shandong Electric Power Company Marketing, Service Center (Metering Center), Jinan, China; State Grid Shandong Electric Power Company Marketing, Service Center (Metering Center), Jinan, China; State Grid Shandong Electric Power Company Marketing, Service Center (Metering Center), Jinan, China; State Grid Shandong Electric Power Company Marketing, Service Center (Metering Center), Jinan, China</t>
  </si>
  <si>
    <t>Under the premise of the reform of the power system, the spot market has ushered in an era of vigorous development. In the face of the complex and diverse users and electricity bill settlement methods in the spot market, this study proposes a trial calculation method of complex and multi-user electricity charges in the spot market based on concurrent computing architecture. Based on the current situation of the spot market in China, this study establishes a learning model based on Apriori algorithm to explore the relationship between different electricity bill settlement packages and multiple users in the face of different types of electricity tariff calculation methods such as fixed time-sharing, tariff and hybrid and complex and diverse user categories. According to the correlation results, different electricity packages are applicable to different types of users, so the concurrent calculation method can be established to effectively improve the efficiency of electricity bill settlement.</t>
  </si>
  <si>
    <t>https://ieeexplore.ieee.org/stamp/stamp.jsp?arnumber=10586293</t>
  </si>
  <si>
    <t>Smart electricity bill settlement;Data analysis;Correlation rules;Apriori algorithm;Parallel distributed algorithms</t>
  </si>
  <si>
    <t>Concurrent computing;Power engineering;Correlation;Electricity;Computational modeling;Tariffs;Computer architecture</t>
  </si>
  <si>
    <t>S. Bai; W. Sheng; Y. Shang; G. Wang; L. Zhou; L. Sun; Y. Huang; W. Gong</t>
  </si>
  <si>
    <t>Research on Information Security Protection System of Distribution Network Based on Zero Trust Architecture</t>
  </si>
  <si>
    <t>2024 IEEE International Conference on Energy Internet (ICEI)</t>
  </si>
  <si>
    <t>10.1109/ICEI63732.2024.10917171</t>
  </si>
  <si>
    <t>Power Distribution Department, China Electric Power Research Institute, Beijing, China; Power Distribution Department, China Electric Power Research Institute, Beijing, China; Power Distribution Department, China Electric Power Research Institute, Beijing, China; Power Distribution Department, China Electric Power Research Institute, Beijing, China; Power Distribution Department, China Electric Power Research Institute, Beijing, China; Power Distribution Department, China Electric Power Research Institute, Beijing, China; Power Distribution Department, State Grid Fuzhou Electric Power Supply Company, Fujian, China; Operations and Maintenance Department, State Grid Qingdao Power Supply Company, Shandong, China</t>
  </si>
  <si>
    <t>With the large-scale deployment of customer-side equipment such as distributed photovoltaics and charging piles, along with the integration of modern information and communication technologies like the Internet of Things(IoT) and artificial intelligence(AI), the distribution network is gradually evolving into an open power network characterized by cyber-physical fusion and multi-agent interactive participation, facing new challenges in information security protection. Adapting to the needs of the new situation, this paper analyzes the limitations of current protective measures and constructs a distribution network information security protection system that integrates zero trust architecture with boundary defense. It proposes a trust evaluation technology for intelligent terminal driven by cyber-physical fusion and designs a cloud-edge collaboration implementation method, offering new perspectives for the security protection of the energy internet.</t>
  </si>
  <si>
    <t>979-8-3315-2355-8</t>
  </si>
  <si>
    <t>https://ieeexplore.ieee.org/stamp/stamp.jsp?arnumber=10917171</t>
  </si>
  <si>
    <t>Zero trust architecture;distribution network;information security protection system;cyber-physical fusion-driven</t>
  </si>
  <si>
    <t>Photovoltaic systems;Cloud computing;Information security;Energy Internet;Power distribution;Distribution networks;Particle measurements;Zero Trust;Internet of Things;Protection</t>
  </si>
  <si>
    <t>M. Corn; N. Ro≈æman; P. Podr≈æaj; T. Berlec; T. Po≈ærl; R. Vrabiƒç</t>
  </si>
  <si>
    <t>Concept of blockchain-based micro-service control strategy for a domestic water heater</t>
  </si>
  <si>
    <t>2023 IEEE 32nd International Symposium on Industrial Electronics (ISIE)</t>
  </si>
  <si>
    <t>10.1109/ISIE51358.2023.10228045</t>
  </si>
  <si>
    <t>Faculty of Mechanical Engineering, University of Ljubljana, Ljubljana, Slovenia; Faculty of Mechanical Engineering, University of Ljubljana, Ljubljana, Slovenia; Faculty of Mechanical Engineering, University of Ljubljana, Ljubljana, Slovenia; Faculty of Mechanical Engineering, University of Ljubljana, Ljubljana, Slovenia; Faculty of Mechanical Engineering, University of Ljubljana, Ljubljana, Slovenia; Faculty of Mechanical Engineering, University of Ljubljana, Ljubljana, Slovenia</t>
  </si>
  <si>
    <t>This paper proposes a concept of a blockchain-based micro-service control strategy for a domestic water heater. The novelty of the proposed concept is in the employment of blockchain technology, which enables decentralized access to service providers, thereby improving the security of the system. The concept aims to increase security while preserving energy consumption and costs reductions benefits associated with water heating by utilizing advanced control strategies and algorithms. The proposed system consists of a smart device, a service provider, data storage, and a smart contract. The smart device collects and stores data on hot water consumption, which is used to generate accurate predictions of hot water draw profiles. The service provider provides advanced control strategies designed to enhance the performance of the smart device. The data storage is decentralized to ensure data privacy and security. Payments between providers and consumers of the services are executed by employing smart contract deployed on a blockchain network. Testing of the proposed concept was conducted in a hybrid simulation environment. The results of the tests showed that even in decentralized system an improvement in energy consumption efficiency and a reduction in operating costs due to the advance control algorithms is possible without a decrease in users‚Äô comfort.</t>
  </si>
  <si>
    <t>979-8-3503-9971-4</t>
  </si>
  <si>
    <t xml:space="preserve">Ministry of Higher Education; </t>
  </si>
  <si>
    <t>https://ieeexplore.ieee.org/stamp/stamp.jsp?arnumber=10228045</t>
  </si>
  <si>
    <t>Blockchain technology;Micro-service control strategy;Smart water heaters</t>
  </si>
  <si>
    <t>Energy consumption;Data privacy;Costs;Smart contracts;Water heating;Memory;Blockchains</t>
  </si>
  <si>
    <t>T. Reimer; L. E. T. R√≠os; M. Cavalcanti; L. Lucchesi; M. Endler</t>
  </si>
  <si>
    <t>Design and Implementation of a Flexible Mobile Edge Middleware for Multi-Protocol Wireless Connectivity</t>
  </si>
  <si>
    <t>2024 IEEE Conference on Pervasive and Intelligent Computing (PICom)</t>
  </si>
  <si>
    <t>10.1109/PICom64201.2024.00012</t>
  </si>
  <si>
    <t>Department of Informatics, Pontifical Catholic University of Rio de Janeiro (PUC-RIO), Rio de Janeiro, Brazil; Department of Informatics, Pontifical Catholic University of Rio de Janeiro (PUC-RIO), Rio de Janeiro, Brazil; Department of Informatics, Pontifical Catholic University of Rio de Janeiro (PUC-RIO), Rio de Janeiro, Brazil; Department of Informatics, Pontifical Catholic University of Rio de Janeiro (PUC-RIO), Rio de Janeiro, Brazil; Department of Informatics, Pontifical Catholic University of Rio de Janeiro (PUC-RIO), Rio de Janeiro, Brazil</t>
  </si>
  <si>
    <t>The widespread adoption of smartphones, especially in urban areas, play a central role in enabling novel participatory mobile IoT applications through their ubiquitous Internet connectivity and embedded sensors. They act as central nodes to communicate with short-range wireless IoT devices. In these scenarios, smartphones can serve as all-purpose hubs for interacting with wireless IoT devices, sensors, actuators, or mesh networks that are equipped with exclusively short-range wireless connectivity. The study introduces M-Hub2, a Kotlin-based edge middleware for Android devices, capable of identifying nearby BLE, NFC, and Wi-Fi Direct devices, including sensors, actuators, beacons, and other related technologies. The component establishes connections to backend services and IoT applications opportunistically. The M-Hub2's key advancement from its previous version is its modular software architecture and support for various WWAN and WPAN protocols. Experiments utilized BLE, NFC, and Wi-Fi Direct sensors, with dynamic identification and communication by the M-Hub2. The study demonstrated that NFC and BLE devices established faster connections and NFC communication provided superior outcomes.</t>
  </si>
  <si>
    <t>979-8-3315-2274-2</t>
  </si>
  <si>
    <t xml:space="preserve">AFOSR(grant numbers:FA9550-23-1-0136); </t>
  </si>
  <si>
    <t>https://ieeexplore.ieee.org/stamp/stamp.jsp?arnumber=10795399</t>
  </si>
  <si>
    <t>Internet of Things;Middleware;Mobile Objects;Mobile Sensing;Dynamic Adaptation;Remote Sensing and Actuation</t>
  </si>
  <si>
    <t>Wireless communication;Wireless sensor networks;Actuators;Wireless personal area networks;Urban areas;Sensors;Internet of Things;Middleware;Wireless fidelity;Smart phones</t>
  </si>
  <si>
    <t>N. K. A. Nemirajaiah; C. K. Raju</t>
  </si>
  <si>
    <t>A Comprehensive Analysis of Secure Attack Detection on Virtual Machines in Cloud Computing</t>
  </si>
  <si>
    <t>2024 4th International Conference on Mobile Networks and Wireless Communications (ICMNWC)</t>
  </si>
  <si>
    <t>10.1109/ICMNWC63764.2024.10872108</t>
  </si>
  <si>
    <t>Department of Computer Science and Engineering, Sri Siddhartha Institute of Technology, Sri Siddhartha Academy of Higher Education, Tumakuru, India; Department of Artificial Intelligence and Machine Learning, Sri Siddhartha Institute of Technology, Sri Siddhartha Academy of Higher Education, Tumakuru, India</t>
  </si>
  <si>
    <t>Cloud computing provides various computing services including processing power, storage, networking, software, analytics, and databases. A Virtual Machine (VM) is a software-based simulation of a physical computer that runs an operating system and applications. The VM can run multiple functions on a single physical machine. Secure attack detection on VMs utilizes implementation techniques to detect and monitor malicious activities in the cloud environment. This detection involves Intrusion Detection Systems (IDS), anomaly detection methods, and real-time monitoring tools that analyse network traffic, system logs, and user behaviour. Optimization techniques are used to enhance the efficiency of the detection models. Swarm-based algorithms such as Intelligent Water Drop (IWD), Enhanced Shark Smell Optimization Algorithm (ESSOA), Brownian movement-centered gravitation search algorithm (BMGSA), Dual Conditional Moth Flame Algorithm (DC-MFA), Bat Optimization Algorithm (BOA), and Ant Colony Algorithm (ACO) are employed for this purpose. Additionally, Evolution-based algorithms such as Multi-objective Whale Optimization algorithm-based Differential Evolution (M-WODE), Gene Expression Programming (GEP), Genetic Algorithm (GA), and DragonFly-based Genetic Deep Belief Network (DGDBN) have also been used for anomaly detection. The performance metrics of makespan, energy consumption, Degree of Imbalance (DOI), and execution cost are used to evaluate these approaches.</t>
  </si>
  <si>
    <t>979-8-3315-2834-8</t>
  </si>
  <si>
    <t>https://ieeexplore.ieee.org/stamp/stamp.jsp?arnumber=10872108</t>
  </si>
  <si>
    <t>cloud computing;evolution based algorithm;optimization techniques;secure attack detection;swarm based algorithm;virtual machine</t>
  </si>
  <si>
    <t>Measurement;Cloud computing;Telecommunication traffic;Virtual machines;Software;Real-time systems;Optimization;Anomaly detection;Monitoring;Genetic algorithms</t>
  </si>
  <si>
    <t>X. Ma; S. Chen; G. Chen; Z. Zhang; S. Kong</t>
  </si>
  <si>
    <t>Exploration and application of new energy system construction path for ultra-large urban central business district</t>
  </si>
  <si>
    <t>2024 3rd International Conference on Smart Grids and Energy Systems (SGES)</t>
  </si>
  <si>
    <t>10.1109/SGES63808.2024.10824055</t>
  </si>
  <si>
    <t>Shenzhen Shenran Clean Energy Co. LTD, Shenzhen, China; Shenzhen Shenran Clean Energy Co. LTD, Shenzhen, China; Shenzhen Shenran Clean Energy Co. LTD, Shenzhen, China; Shenzhen Shenran Clean Energy Co. LTD, Shenzhen, China; Shenzhen Shenran Clean Energy Co. LTD, Shenzhen, China</t>
  </si>
  <si>
    <t>With the increasingly prominent peak load in the urban core area of high-temperature and high-humidity regions and the growing impact of electric vehicle charging load, the region faces significant pressure on power supply guarantee, weak flexibility in adjustment, and low level of intelligence. The proposal of a new energy system effectively alleviates the problems of energy network development and supply and demand matching. The project aims to build China‚Äôs first large-scale interconnected, flexible and intelligent, safe and reliable ‚Äúworld-class exemplary scene of a new energy system in the urban core area of a super-large city,‚Äù focusing on the ‚Äúenergy-electricity-cooling‚Äù three energy networks, and innovatively integrating the ‚Äúcar-station-building-network-city‚Äù green energy technology path. It will focus on building a number of photovoltaic and energy storage super-charging stations, low-carbon flexible buildings, group-style high-efficiency cooling and green hub projects, integrating car-grid interaction, virtual power plants, and intelligent gas pipeline technologies, to achieve the friendly integration and management of the energy system. It will realize the leading innovative functions of city-level and regional-level energy system flexibility and support, create an international leading smart new power system with the characteristics of ‚Äúgreen and efficient, flexible and open, and digitally enabled,‚Äù explore replicable and scalable exemplary pathways of a new energy system, and create an international benchmark project to achieve advanced urban district demonstration.</t>
  </si>
  <si>
    <t>979-8-3315-3963-4</t>
  </si>
  <si>
    <t>https://ieeexplore.ieee.org/stamp/stamp.jsp?arnumber=10824055</t>
  </si>
  <si>
    <t>New Energy System;Ultra-large Urban Central Business District;Car-Station-Building-Network-City;Flexible Load Aggregation;Virtual Power Plant</t>
  </si>
  <si>
    <t>Photovoltaic systems;Power supplies;Cooling;Green buildings;Urban areas;Buildings;Distribution networks;Power system stability;Regulation;Power system reliability</t>
  </si>
  <si>
    <t>P. S. Ramesh; M. S. S.R; R. Dineshkumar; K. Manigandan; V. Parthipan</t>
  </si>
  <si>
    <t>Advancing Edge Computing Paradigms with Novel Architectures and Algorithms for Real-Time Processing</t>
  </si>
  <si>
    <t>2024 Second International Conference Computational and Characterization Techniques in Engineering &amp; Sciences (IC3TES)</t>
  </si>
  <si>
    <t>10.1109/IC3TES62412.2024.10877634</t>
  </si>
  <si>
    <t>Department of Computer Science and Engineering, Vel Tech Rangarajan Dr. Sagunthala R &amp; D Institute of Science and Technology, Chennai, Tamil Nadu, India; Department of Computer Science and Engineering, CARE College of Engineering, Trichy, Tamil Nadu, India; Department of Electronics and Communication Engineering, Saveetha School of Engineering, Saveetha Institute of Medical and Technical Sciences, Saveetha University, Chennai, India; Department of English, School of Liberal Arts &amp; Sciences, Mohan Babu University, Tirupati, Andhra Pradesh, India; Department of Computer Science and Engineering, Saveetha School of Engineering, Saveetha Institute of Medical and Technical Sciences, Saveetha University, Chennai, India</t>
  </si>
  <si>
    <t>This paper focuses on the advancements of the edge computing paradigms regarding the creation of new emerging architectures and algorithms for improving real-time computing. Looking at the results obtained, the proposed architecture provided 40% reduced latency rates, and 50% higher throughput than the baseline models while using 20% less energy. Key algorithms, including data compression, stream processing, and adaptive algorithms, were evaluated, with the hybrid approach showing the most significant improvements: The improvements were made in the latency where there was a 50% decrease in the latency and in the throughput where there was a 40% increase, and in the accuracy which is 30% enhanced. The above outcomes demonstrate the efficiency of offered solutions in the context of the discussed problems of real-time data processing; the recognition of the edge computing prospects regarding the further evolution of different applications.</t>
  </si>
  <si>
    <t>979-8-3503-6469-9</t>
  </si>
  <si>
    <t>https://ieeexplore.ieee.org/stamp/stamp.jsp?arnumber=10877634</t>
  </si>
  <si>
    <t>Edge Computing;Real-Time Processing;Novel Architectures;Advanced Algorithms;Latency Reduction;Throughput Improvement;Energy Efficiency;Data Compression;Stream Processing;Adaptive Algorithms</t>
  </si>
  <si>
    <t>Training;Adaptation models;Accuracy;Computational modeling;Data compression;Computer architecture;Throughput;Real-time systems;Standards;Edge computing</t>
  </si>
  <si>
    <t>F. Shen; Z. Ding; J. Zhang; M. Zhang; Y. Ji</t>
  </si>
  <si>
    <t>Gateway Design in the Smart Grid Local Area Network</t>
  </si>
  <si>
    <t>2023 IEEE 11th Joint International Information Technology and Artificial Intelligence Conference (ITAIC)</t>
  </si>
  <si>
    <t>10.1109/ITAIC58329.2023.10408838</t>
  </si>
  <si>
    <t>State Grid Jibei Information &amp; Telecommunication Company, Beijing, China; NARI Group Corporation/State Grid Electric Power Research Institute, Nanjing, China; State Grid Jibei Information &amp; Telecommunication Company, Beijing, China; NARI Group Corporation/State Grid Electric Power Research Institute, Nanjing, China; State Grid Jibei Information &amp; Telecommunication Company, Beijing, China</t>
  </si>
  <si>
    <t>The implementation of the dual-carbon target and the construction of a new power system with new energy as the main body have led to a close integration of energy and power systems with internet technology. The goal is to build a smart, clean, and low-carbon energy internet centered around electricity. To achieve this, real-time measurement feedback and dynamic adjustment of parameters are necessary. Digital sensing technology is used to provide panoramic information support and ensure stable grid operation. The fusion gateway device is designed to achieve interconnection of local power networks with inherent security. In this paper, we propose the gateway top level design for the smart grid local access network which can support integration communication among Lora, Wapi and HPLC. The software design is also given which is based on the docker technology.</t>
  </si>
  <si>
    <t>979-8-3503-3366-4</t>
  </si>
  <si>
    <t>https://ieeexplore.ieee.org/stamp/stamp.jsp?arnumber=10408838</t>
  </si>
  <si>
    <t>smart grid;fusion gateway;machine type communication;local accesss network</t>
  </si>
  <si>
    <t>Software design;Systems architecture;Logic gates;Smart grids;Software reliability;Security;Virtualization</t>
  </si>
  <si>
    <t>P. Bhardwaj; N. Auluck; A. Azim</t>
  </si>
  <si>
    <t>Machine Learning-Based Workload Prediction in Vehicular Platooning Systems</t>
  </si>
  <si>
    <t>10.1109/CASCON62161.2024.10837975</t>
  </si>
  <si>
    <t>Computer Science and Engineering, IIT Ropar, Punjab, India; Computer Science and Engineering, IIT Ropar, Punjab, India; Engineering and Applied Science, UOIT, Oshawa, Canada</t>
  </si>
  <si>
    <t>As the demand for self-driving vehicles increases, efficiently scheduling vehicular tasks to maximize battery life and ensure timely completion is crucial. Vehicle platooning, where multiple vehicles travel together as a unit, enhances fuel efficiency, reduces congestion, and increases safety by maintaining optimal distances between vehicles. In this work, we categorize each vehicle's tasks into the Delay-Sensitive, Bounded-Delay, and Delay-Tolerant categories. However, platooning introduces significant computational challenges, such as real-time data handling, vehicle communication, and adapting to dynamic environments. These challenges necessitate advanced computational methods for effective task management. Machine Learning (ML) techniques are employed to determine the most suitable server for offloading tasks. This decision is supported by a workload prediction algorithm that forecasts the next slot's workload. We develop a task offloading approach using Random Forest models to predict workload, considering current server attributes and historical data. This enables us to schedule tasks on the best server in a dynamic environment. Our simulation results demonstrate significant improvements (up to 90%) in task success rates. Results show that our work can contribute towards developing more reliable and efficient autonomous driving systems by optimizing resource utilization and ensuring timely task completion in dynamic environments.</t>
  </si>
  <si>
    <t>https://ieeexplore.ieee.org/stamp/stamp.jsp?arnumber=10837975</t>
  </si>
  <si>
    <t>distributed system;platooning;real-time system;task offloading;workload</t>
  </si>
  <si>
    <t>Machine learning algorithms;Heuristic algorithms;Computational modeling;Predictive models;Prediction algorithms;Dynamic scheduling;Data models;Resource management;Servers;Vehicle dynamics</t>
  </si>
  <si>
    <t>J. A. Brito; J. I. Moreno; L. M. Contreras; M. B. Caama√±o</t>
  </si>
  <si>
    <t>Architecture and Methodology for Green MEC Services Using Programmable Data Planes in 5G and Beyond Networks</t>
  </si>
  <si>
    <t>10.23919/IFIPNetworking62109.2024.10619774</t>
  </si>
  <si>
    <t>Departamento de Ingenier√≠ a de Sistemas Telem√° ticos, ETSI de Telecomunicaci√≥ n Universidad Polit√©cnica de Madrid Madrid, Spain; Departamento de Ingenier√≠ a de Sistemas Telem√° ticos, ETSI de Telecomunicaci√≥ n Universidad Polit√©cnica de Madrid Madrid, Spain; Telef√≥ nica Innovaci√≥ n Digital, Madrid, Spain; Telef√≥ nica Innovaci√≥ n Digital, Madrid, Spain</t>
  </si>
  <si>
    <t>In the era of 5G/6G developments and Multiaccess Edge Computing (MEC) adoption, the telecommunications sector faces the dual challenge of enhancing network capabilities while mitigating environmental impact. This paper introduces an innovative architecture and methodology that leverages programmable data planes to address these concerns. Employing the P4 programming language and QUIC protocol, we propose dynamic load-balancing schemes for switches and servers, aiming to minimize energy consumption and carbon footprint without compromising network performance. Our methodology aims to deliver potential energy savings and enhanced reliability, providing a scalable solution for environmentally sustainable 5G/6G future network deployments.</t>
  </si>
  <si>
    <t xml:space="preserve">Universidad Polit√©cnica de Madrid Project; </t>
  </si>
  <si>
    <t>https://ieeexplore.ieee.org/stamp/stamp.jsp?arnumber=10619774</t>
  </si>
  <si>
    <t>Programmable data planes;green computing;energy consumption;5G/6G;MEC;P4;service availability</t>
  </si>
  <si>
    <t>Transport protocols;5G mobile communication;Green products;Computer architecture;Hardware;Dynamic programming;Telecommunications</t>
  </si>
  <si>
    <t>M. Steidl; R. Ramler; M. Felderer</t>
  </si>
  <si>
    <t>The Past, Present, and Future of Research on the Continuous Development of AI</t>
  </si>
  <si>
    <t>10.1109/SEAA64295.2024.00054</t>
  </si>
  <si>
    <t>University of Innsbruck, Austria; Software Competence Center Hagenberg GmbH, Austria; University of Innsbruck, Austria</t>
  </si>
  <si>
    <t>Since 2020, 33 literature reviews have systematically synthesized research on the continuous development of AI, also known as Machine Learning Operations (MLOps), reflecting the increasing prevalence of AI models across various fields and the multifaceted challenges in their development, integration, and deployment. Yet, the lack of comprehensive analysis of these literature reviews and their covered topics complicates selecting relevant ones and anticipating future trends and research. In addition, these literature reviews gathered related 1397 primary sources to describe aspects of AI's continuous development, integration, and deployment, posing a hidden gem to gain insights into the past and present work and derive insights into the future of AI's continuous development. With this work, we 1) systematically collected and summarised 33 literature reviews via a Multivocal Literature Review (MLR) that focus on the continuous development, deployment, and integration of AI models. 2) Due to minimal overlap between the literature reviews' primary sources, we offer holistic insights into and interrelations of frequently addressed topics. These topics encompass the AI development pipeline, respective Software Engineering (SE) practices, and associated challenges. 3) We discuss future research directions for AI's continuous development, integration, and deployment. Therefore, we base our arguments on identified clusters in the primary sources of literature reviews. This discussion focuses on AI model reliability and resource consumption, emphasizing the interrelation of proposed future work and the effects on the whole pipeline.</t>
  </si>
  <si>
    <t>https://ieeexplore.ieee.org/stamp/stamp.jsp?arnumber=10803495</t>
  </si>
  <si>
    <t>tertiary study;MLOps;CD4ML;continuous development of AI;lifecycle pipeline;literature review;challenges;SE practices;AI reliability;Green AI</t>
  </si>
  <si>
    <t>Limiting;Bibliographies;Pipelines;Machine learning;Market research;Reliability engineering;Software reliability;Artificial intelligence;Software engineering;Systematic literature review</t>
  </si>
  <si>
    <t>Z. Helin; Z. Zhiwei; L. Dewei; C. Rui; L. Qinghai</t>
  </si>
  <si>
    <t>Research on Mid-Platform Scenario Operation and Maintenance System of Computer Cloud Platform Based on Enhanced Risk Prevention</t>
  </si>
  <si>
    <t>10.1109/ICDSCA59871.2023.10393333</t>
  </si>
  <si>
    <t>Information and Communication Branch of State Grid Fujian Electric Power Co., Ltd, Fuzhou, Fujian, China; Information and Communication Branch of State Grid Fujian Electric Power Co., Ltd, Fuzhou, Fujian, China; Information and Communication Branch of State Grid Fujian Electric Power Co., Ltd, Fuzhou, Fujian, China; Information and Communication Branch of State Grid Fujian Electric Power Co., Ltd, Fuzhou, Fujian, China; State Grid Info-Telecom Great Power Science And Technology Co., Ltd., Fuzhou, Fujian</t>
  </si>
  <si>
    <t>It adopts micro-service architecture to create a safe, efficient and agile intelligent operation and maintenance integrated service platform. The system has the functions of low voltage topology recognition, intelligent anomaly research, accurate automatic order sending, auxiliary power grid planning and so on. Combined with some classical theories of situational awareness model, a situational awareness algorithm model based on improved fuzzy clustering algorithm is established. The overall operation and maintenance service platform builds the operation and maintenance service system based on the cloud computing and middle-desk architecture to realize the unified standardization and integration of the whole-domain management resource data. A trial of the system in a power company showed a 0.3% drop in the error rate.</t>
  </si>
  <si>
    <t>https://ieeexplore.ieee.org/stamp/stamp.jsp?arnumber=10393333</t>
  </si>
  <si>
    <t>Risk Prevention and Control;Computer;Cloud Platform;Power Center Service;Operation and Maintenance System</t>
  </si>
  <si>
    <t>Cloud computing;Computational modeling;Clustering algorithms;Computer architecture;Standardization;Maintenance engineering;Topology</t>
  </si>
  <si>
    <t>M. Kumari; N. R. Kidwai; S. S.L.</t>
  </si>
  <si>
    <t>Sustainable Agriculture through Affordable, Real-Time Crop Health Monitoring</t>
  </si>
  <si>
    <t>10.1109/IC3TES62412.2024.10877669</t>
  </si>
  <si>
    <t>Department of Electronics &amp; Communication Engineering, Integral University, Lucknow, India; Department of Electronics &amp; Communication Engineering, Integral University, Lucknow, India; Department of Electronics Engineering, Punjab Engineering College, Chandigarh, India</t>
  </si>
  <si>
    <t>This paper introduces a low-cost, Arduino-based crop health monitoring system designed to optimize agricultural productivity through collection and analysis of data in real-time. The system integrates essential sensors to measuremoisture content of soil, pH levels, temperature, rainfall, and nutrient content (NPK), providing comprehensive insights into crop health. Through the use of Internet of Things (IoT), computer vision, and machine learning (ML) technologies, the device not only monitors but also predicts crop health, offering actionable recommendations for irrigation and nutrient management. This innovative approach aims to make advanced agricultural technology accessible to small and medium-sized farms, promoting sustainability and enhancing crop yields. The system's adaptability to various crops and soil conditions, coupled with its user-friendly interface, positions it as a vital tool in modern precision agriculture.</t>
  </si>
  <si>
    <t>https://ieeexplore.ieee.org/stamp/stamp.jsp?arnumber=10877669</t>
  </si>
  <si>
    <t>Precision Agriculture;Crop Health Monitoring;Arduino-Based System;Machine Learning;IoT in Farming</t>
  </si>
  <si>
    <t>Temperature sensors;Temperature measurement;Soil measurements;Soil;Nutrients;Real-time systems;Sensors;Internet of Things;Sustainable development;Monitoring</t>
  </si>
  <si>
    <t>M. Mounir; M. Y. Chkouri; Y. E. Khamlichi; A. Touhafi</t>
  </si>
  <si>
    <t>Emerging Technologies for Water Quality Monitoring and Assessment: A Systematic Review</t>
  </si>
  <si>
    <t>2024 IEEE 11th International Conference on E-Learning in Industrial Electronics (ICELIE)</t>
  </si>
  <si>
    <t>2997-7282</t>
  </si>
  <si>
    <t>10.1109/ICELIE62250.2024.10814733</t>
  </si>
  <si>
    <t>SIGL Laboratory, ENSA of Tetuan, Abdelmalek Essaadi University, Tetuan, Morocco; SIGL Laboratory, ENSA of Tetuan, Abdelmalek Essaadi University, Tetuan, Morocco; SIGL Laboratory, ENSA of Tetuan, Abdelmalek Essaadi University, Tetuan, Morocco; Department of Electronics and Informatics (ETRO), Vrije Universiteit Brussel (VUB), Brussels, Belgium</t>
  </si>
  <si>
    <t>Water resources, essential for both human and ecological health, are increasingly threatened by pollution, overexploitation, and climate change. Monitoring and assessing water quality are now imperative to protect public health and the environment. A range of advanced technologies is reshaping these processes, including IoT for real-time data collection, remote sensing for large-scale monitoring, and AI for predictive analysis and decision-making. These technologies, combined with Big Data for managing vast datasets, cloud computing for storage and accessibility, edge computing for localized data processing, and digital twins for simulating aquatic systems, offer powerful solutions. However, challenges such as sensor reliability, data management, and system integration persist and must be addressed. To fully harness the potential of these innovations, education plays a crucial role. By integrating these technologies into educational programs, we can equip future generations with the skills needed to manage water resources sustainably. Despite the obstacles, the potential for more sustainable and efficient water management is substantial as these technologies continue to evolve, provided we invest in both technological development and education</t>
  </si>
  <si>
    <t>979-8-3503-6365-4</t>
  </si>
  <si>
    <t>https://ieeexplore.ieee.org/stamp/stamp.jsp?arnumber=10814733</t>
  </si>
  <si>
    <t>Water Quality;Monitoring;Assessment;Internet of Things;IoT;In-situ;Sensors;Remote Sensing;Artificial Intelligence;Machine Learning;Deep Learning;Big Data;Cloud Computing;Digital Twins;Edge computing;Education</t>
  </si>
  <si>
    <t>Climate change;Sensors;Environmental monitoring;Water quality;Water resources;Internet of Things;Remote sensing;Artificial intelligence;Machine learning;Big Data;Deep learning;Cloud computing;Digital twins</t>
  </si>
  <si>
    <t>I. M. Ramadan; C. Centofanti; A. Marotta; F. Graziosi</t>
  </si>
  <si>
    <t>Evaluating Kubernetes Distributions: Insights from Stress Testing Scenarios</t>
  </si>
  <si>
    <t>10.1109/COMSNETS63942.2025.10885637</t>
  </si>
  <si>
    <t>Department of Information Engineering, Computer Science and Mathematics, University of L'Aquila, L'Aquila, Italy; Department of Information Engineering, Computer Science and Mathematics, University of L'Aquila, L'Aquila, Italy; Department of Information Engineering, Computer Science and Mathematics, University of L'Aquila, L'Aquila, Italy; Department of Information Engineering, Computer Science and Mathematics, University of L'Aquila, L'Aquila, Italy</t>
  </si>
  <si>
    <t>In the modern era, Kubernetes has gained widespread adoption for its capability to manage containerized applications through automation. With a variety of Kubernetes distributions aimed at enhancing and extending core functionalities, there's a pressing need for a thorough evaluation to identify the most efficient solutions for orchestrating workloads. This study aims to assess a variety of Kubernetes distributions including k3s, k3d, Kind, MicroK8s, Minikube, and standard streamlined Kubernetes, focusing on pod orchestration efficiency under stress conditions. Utilizing the open-source tool kube-burner for stress testing, we propose a testing architecture and methodology to measure pod initiation, scheduling, and overall readiness times. The results show that streamlined Kubernetes and k3d outperform the others overall, with Minikube excelling in initiation time, while Kind's performance suggests it might not be suitable for production environments. This analysis highlights the trade-offs and performance impacts of different Kubernetes distributions, guiding users in selecting the most efficient option for their needs.</t>
  </si>
  <si>
    <t>https://ieeexplore.ieee.org/stamp/stamp.jsp?arnumber=10885637</t>
  </si>
  <si>
    <t>Kubernetes;Orchestration;Performance Evaluation;Workload Optimization;Microservices</t>
  </si>
  <si>
    <t>Automation;Communication systems;Focusing;Production;Pressing;Stress;Standards;Testing;Stress measurement</t>
  </si>
  <si>
    <t>D. Cao; Y. Li; M. Ren; X. Lan; T. Wang; J. Zhang</t>
  </si>
  <si>
    <t>Overview of the Application of Natural Language Processing Technology in Distribution Network Operation</t>
  </si>
  <si>
    <t>2024 3rd Asian Conference on Frontiers of Power and Energy (ACFPE)</t>
  </si>
  <si>
    <t>10.1109/ACFPE63443.2024.10800976</t>
  </si>
  <si>
    <t>Meizhou Power Supply Bureau, Guangdong Power Grid Co., Ltd., Meizhou, China; Meizhou Power Supply Bureau, Guangdong Power Grid Co., Ltd., Meizhou, China; Meizhou Power Supply Bureau, Guangdong Power Grid Co., Ltd., Meizhou, China; Meizhou Power Supply Bureau, Guangdong Power Grid Co., Ltd., Meizhou, China; Guangzhou Institute of Energy Conversion, Chinese Academy of Sciences, Guangzhou, China; Guangzhou Institute of Energy Conversion, Chinese Academy of Sciences, Guangzhou, China</t>
  </si>
  <si>
    <t>The application of natural language processing (NLP) technology in the operation of distribution networks can significantly improve the efficiency and accuracy of fault diagnosis and data analysis, and is helpful to achieve intelligent operation and maintenance. Therefore, this paper provides an overview of the current status, challenges, and future development trends of NLP technology in the operation of distribution networks. First, the importance and challenges faced by the operation of distribution networks are introduced, as well as the development background of NLP technology and its current application status in multiple fields. Second, the specific applications of NLP in distribution network operation are elaborated. Subsequently, the challenges encountered in applying NLP to distribution network operation are analyzed. Finally, in the conclusion, the future development of NLP in distribution network operation is discussed. This paper emphasizes that it is of great importance to apply NLP technology in improving the operational efficiency of distribution networks and ensuring the safety and stability of the power grid.</t>
  </si>
  <si>
    <t>979-8-3503-6767-6</t>
  </si>
  <si>
    <t>https://ieeexplore.ieee.org/stamp/stamp.jsp?arnumber=10800976</t>
  </si>
  <si>
    <t>natural language processing (NLP);distribution network operation;named entity recognition (NER);information extraction;semantic analysis</t>
  </si>
  <si>
    <t>Fault diagnosis;Accuracy;Terminology;Distribution networks;Power system stability;Natural language processing;Power grids;Stability analysis;Sustainable development;Thermal stability</t>
  </si>
  <si>
    <t>P. Popova; V. Popov; K. Marinova; M. Petrova</t>
  </si>
  <si>
    <t>The Role of Digital Platforms and Big Data Analytics as a Base for Digital Service Innovation</t>
  </si>
  <si>
    <t>2023 4th International Conference on Communications, Information, Electronic and Energy Systems (CIEES)</t>
  </si>
  <si>
    <t>10.1109/CIEES58940.2023.10378780</t>
  </si>
  <si>
    <t>Dept. of Business Informatics, Tsenov Academy of Economics, Svishtov, Bulgaria; Dept. of Business Informatics, Tsenov Academy of Economics, Svishtov, Bulgaria; Dept. of Business Informatics, Tsenov Academy of Economics, Svishtov, Bulgaria; Institute for Scientific Research, Tsenov Academy of Economics, Svishtov, Bulgaria</t>
  </si>
  <si>
    <t>Digital Service Innovation (DSI) is a new concept that aims to create a more personalized digital service for customers. DSI is a strategic decision to utilize digital technology, knowledge, and insights to improve services which has invaded all industry sectors over the last two decades. By allowing different participants to exchange ideas and develop new services, digital platforms (DP) encourage collaboration and integration. Big data analytics (BDA), on the other hand, allows for real-time decision-making and service personalization, which leads to DSI enhancement. The purpose of this paper is to have a better knowledge of the role and importance of DP and BDA in the development of DSI. The research is based on the Prizma review method, which demonstrates the advantages of a systematic review of specialized scientific and applied literature, devoted to digital service innovation. Our analysis is focused on the role of IT and specifically DP and BDA in the development of service innovation and is based on the defined by Lusch and Nambisan tripartite framework of Service Innovation The framework includes: service ecosystems, service platforms, and value cocreation. The interconnections and dependencies indicate characteristics of digital services with innovation potential, as well as the function of two of the most critical information and communication technologies necessary for DSI, BDA, and DP. The manner in which these technologies aid in the achievement of the most significant goals of digital services are highlighted, and examples from various industries are provided. In summary, DSI expands approaches to new value creation and provides a mechanism to actualize innovation by expanding the role and application of modern digital technologies.</t>
  </si>
  <si>
    <t>979-8-3503-3691-7</t>
  </si>
  <si>
    <t>https://ieeexplore.ieee.org/stamp/stamp.jsp?arnumber=10378780</t>
  </si>
  <si>
    <t>digital service innovation;digital platforms;big data analytics;service innovation</t>
  </si>
  <si>
    <t>Industries;Technological innovation;Systematics;Shape;Ecosystems;Decision making;Collaboration</t>
  </si>
  <si>
    <t>S. Majumdar; S. Kirkley; M. Srivastava</t>
  </si>
  <si>
    <t>Voice Command Drone for Law Enforcement and Emergency Response</t>
  </si>
  <si>
    <t>2024 Ninth International Conference On Mobile And Secure Services (MobiSecServ)</t>
  </si>
  <si>
    <t>2640-558X</t>
  </si>
  <si>
    <t>10.1109/MobiSecServ63327.2024.10759963</t>
  </si>
  <si>
    <t>CFP24RAC-ART</t>
  </si>
  <si>
    <t>Artificial Intelligence &amp; Robotics, Zenext AI, Montr√©al, Canada; Crisis Technologies Innovation Lab, Indiana University, Bloomington, IN, USA; Design &amp; UX, Zenext AI, Akron, OH, USA</t>
  </si>
  <si>
    <t>In an era where the rapid response and situational awareness of law enforcement and emergency responders can mean the difference between life and death, leveraging cutting-edge technology is paramount. This paper presents a compelling proposal for integrating Zenext AI's advanced voice-command technology with unmanned aerial systems (UAS) to revolutionize operations in law enforcement and emergency response. These voice-controlled drones will perform critical tasks such as registration plate checks, image capture, suspect tracking, disaster rescue missions, and firefighting support, all initiated through simple voice commands. This innovative solution aims to enhance the operational efficiency, safety, and situational awareness of police officers, firefighters, and other first responders, ensuring they have the best tools to protect and serve the community effectively.</t>
  </si>
  <si>
    <t>979-8-3503-9089-6</t>
  </si>
  <si>
    <t>https://ieeexplore.ieee.org/stamp/stamp.jsp?arnumber=10759963</t>
  </si>
  <si>
    <t>Voice Command;Drones;Law Enforcement;AI;Situational Awareness;Public Safety</t>
  </si>
  <si>
    <t>Law enforcement;Disasters;Machine learning;Image capture;Emergency services;Cognitive load;Public security;Proposals;Time factors;Drones</t>
  </si>
  <si>
    <t>D. K. Yadav; T. A. V. M; M. Aadil</t>
  </si>
  <si>
    <t>Open Lora Design and Implementation For IoT</t>
  </si>
  <si>
    <t>10.1109/PEEIC59336.2023.10451093</t>
  </si>
  <si>
    <t>Maharishi School of Engineering &amp; Technology, Maharishi University of Information Technology, Uttar Pradesh, India; Department of Electronics and Communication Engineering, Presidency University, Bangalore, Karnataka, India; Department of Computer Science and Information Technology, Jain (Deemed to be University), Bangalore, India</t>
  </si>
  <si>
    <t>As an effective low-power wide-area (LPWA) connection that enables energy-efficient gadgets to build an affordable connection across huge regions, the Long Range (LoRa) networking is gaining appeal. This article provides users with a strong basis for numerous IoT applications by outlining a practical method for building and implementing a private LoRa network. Typical LoRa network-based scenarios are examined before we show the LoRa system's structure and describe the functions of every component. In addition, we provide a thorough examination of the equipment conception and development of the LoRa The Gateway, which serves as a link amongst LoRa terminals to the LoRa net administration. Notably, we provide an improved software design for the LoRa servers as well as make its free to download software source code accessible on GitHub as a noteworthy contribution. This design provides flexibility and adaptability by segmenting the LoRa networking server into five separate modules and implementing a message system based on information streaming for inter-module interaction. The performance of the LoRa network is thoroughly tested in the paper's conclusion in real-world settings.</t>
  </si>
  <si>
    <t>https://ieeexplore.ieee.org/stamp/stamp.jsp?arnumber=10451093</t>
  </si>
  <si>
    <t>LoRa network;IoT applications;LPWA connection;LoRa Node;LoRa Gateway;LoRa Network Server;Equipment conception;Software design;Microservices and IoT possibilities</t>
  </si>
  <si>
    <t>Industries;Software design;Source coding;Urban areas;LoRa;Logic gates;Software;Internet of Things;Servers;Software development management</t>
  </si>
  <si>
    <t>X. Song; X. Sun; Z. Li; C. Yang; Y. Wu</t>
  </si>
  <si>
    <t>Real-Time Scheduling Strategy for Cloud-Edge-End Collaborative Electric Vehicles Considering Energy Consumption</t>
  </si>
  <si>
    <t>10.1109/PSGEC58411.2023.10255827</t>
  </si>
  <si>
    <t>Guangdong Province Key Laboratory of Smart Grid Technology, Electric Power Research Institute of Guangdong Power Grid Co., Ltd., Guangzhou, China; Zhaoqing Power Supply Bureau of Guangdong Power Grid Co., Ltd., Zhaoqing, China; Guangdong Province Key Laboratory of Smart Grid Technology, Electric Power Research Institute of Guangdong Power Grid Co., Ltd., Guangzhou, China; Zhaoqing Power Supply Bureau of Guangdong Power Grid Co., Ltd., Zhaoqing, China; Electric Power Research Institute of Guangdong Power Grid Co., Ltd, Guangzhou, China</t>
  </si>
  <si>
    <t>In this paper, a small server with local processing capability is added to the terminal on the basis of energy consumption. As described in the server energy consumption report and the base station communication energy consumption report, a cloud-edge collaboration task offloading strategy considering energy consumption is proposed to reasonably offload the tasks of electric vehicles (EVs) participating in scheduling, and by using particle swarm algorithms, time delay and energy consumption are used as optimization obj ectives. The simulation results show that the cloud-edge collaboration unloading strategy considering energy consumption further improves the grid response efficiency in the scheduling process, and the proposed strategy provides a reference for the future real-time demand response scheduling of a large number of EV s.</t>
  </si>
  <si>
    <t>https://ieeexplore.ieee.org/stamp/stamp.jsp?arnumber=10255827</t>
  </si>
  <si>
    <t>cloud-edge-end collaboration;electric vehicles;demand response;energy consumption</t>
  </si>
  <si>
    <t>Energy consumption;Systematics;System performance;Collaboration;Electric vehicles;Dispatching;Real-time systems</t>
  </si>
  <si>
    <t>M. Frei; R. German; A. Djanatliev</t>
  </si>
  <si>
    <t>An Edge Resource Selection Scheme Considering QoS and Computational Parameters</t>
  </si>
  <si>
    <t>10.1109/ICCCN61486.2024.10637567</t>
  </si>
  <si>
    <t>Fraunhofer Institute for Integrated Circuits IIS, Erlangen, Germany; Dept. of Computer Science, Computer Networks and Communication Systems, University of Erlangen-N√ºrnberg, Germany; Dept. of Computer Science, Computer Networks and Communication Systems, University of Erlangen-N√ºrnberg, Germany</t>
  </si>
  <si>
    <t>Edge computing enhances cloud architectures through the integration of distributed platforms that operate closer to end-users. With dynamically changing network topologies, user mobility, multiple access networks, demand-driven service orchestration, and consequently several distributed service instances that are available, methods for selecting edge resources must adapt to these conditions. This consideration is particularly relevant for edge computing, where target applications often have strict Quality of Service (QoS) constraints. This work proposes an edge resource selection scheme that considers several QoS parameters, computing load, and service usage cost. These metrics are employed to derive a selection score through four distinct algorithms. The overall performance of each algorithm is evaluated by scoring examples, a sensitivity analysis, and in a system-level simulation of a fifth generation (5G) cellular network with user mobility and multiple Multi-Access Edge Computing (MEC) platforms. The results show that all approaches perform well under unambiguous QoS and load conditions, i.e., very good or very poor, but some lose accuracy under moderate, but still acceptable, conditions. For the goal of cost-optimized selection while meeting QoS constraints, one novel method presented is significantly superior to the others. Used in simulation, it generates 12% more computing load on cheaper platforms than its closest competitor, and maintains significantly lower loads on high-cost platforms.</t>
  </si>
  <si>
    <t>https://ieeexplore.ieee.org/stamp/stamp.jsp?arnumber=10637567</t>
  </si>
  <si>
    <t>dge;cloud;MEC;resources;selection;scoring;QoS;latency;performance;load;cost;5G;simulation</t>
  </si>
  <si>
    <t>Measurement;Cellular networks;Cloud computing;Multi-access edge computing;Costs;Accuracy;Sensitivity analysis</t>
  </si>
  <si>
    <t>S. Joshi; B. Hasan; R. Brindha</t>
  </si>
  <si>
    <t>Optimal Declarative Orchestration of Full Lifecycle of Machine Learning Models for Cloud Native</t>
  </si>
  <si>
    <t>10.1109/ICAAIC60222.2024.10575306</t>
  </si>
  <si>
    <t>Department of Computing Technologies, SRM Institute of Science and Technology, Chennai, India; Department of Computing Technologies, SRM Institute of Science and Technology, Chennai, India; Department of Computing Technologies, SRM Institute of Science and Technology, Chennai, India</t>
  </si>
  <si>
    <t>The widespread use of Large Language Models (LLMs) in natural language processing tasks has become increasingly common. LLMs have the ability to produce content that is both coherent and contextually relevant. Notwithstanding, there exist notable obstacles in effectively implementing and overseeing these models within operational settings, especially in infrastructures that are cloud native. A cloud-native system for optimizing and delivering live learning modules on Kubernetes clusters is presented in this study. There are many obstacles in the way of effectively deploying inference services on the cloud. After obtaining a trained model, cloud operators need to specify hardware configurations for every model-serving container. These settings cover a wide range of topics, including CPU core counts, GPU specs, GPU RAM, possible setups for GPU sharing, and runtime parameters like batch size. When combined, these factors provide a vast and intricate configuration space. By utilizing the declarative resource management that Kubernetes provides, the suggested approach leverages declarative resource management capabilities of Kubernetes and allows users to easily train and serve LLMs on those clusters. Kubernetes clusters from a variety of cloud providers, including KIND (provisioned on bare metal), Google Kubernetes Engine (GKE), and Amazon Elastic Kubernetes Service (EKS), are specifically supported by the framework. This Kubernetes custom resource enables users to maximize the performance and cost-effectiveness of LLM deployments by utilizing Kubernetes‚Äô scalability, flexibility, and resource allocation properties and allows to maintain the stable state with use of operators and watch pattern.</t>
  </si>
  <si>
    <t>https://ieeexplore.ieee.org/stamp/stamp.jsp?arnumber=10575306</t>
  </si>
  <si>
    <t>Kubernetes;Orchestration;API;Operator</t>
  </si>
  <si>
    <t>Runtime;Scalability;Graphics processing units;Random access memory;Metals;Machine learning;Natural language processing</t>
  </si>
  <si>
    <t>N. Sharma; P. G. Shambharkar</t>
  </si>
  <si>
    <t>A Systematic Literature Review of the Emerging Technologies used in Securing Healthcare Data</t>
  </si>
  <si>
    <t>2024 12th International Conference on Internet of Everything, Microwave, Embedded, Communication and Networks (IEMECON)</t>
  </si>
  <si>
    <t>10.1109/IEMECON62401.2024.10846068</t>
  </si>
  <si>
    <t>Department of Computer Science &amp; Engineering, Delhi Technological University, Delhi, India; Department of Computer Science &amp; Engineering, Delhi Technological University, Delhi, India</t>
  </si>
  <si>
    <t>This study investigates the unification of blockchain technology and artificial intelligence (AI) models to improve the security and privacy of healthcare records. As healthcare systems increasingly depend on digital technologies, the protection of sensitive patient information has become a critical challenge. Blockchain's decentralized, immutable ledger offers robust data integrity and transparency, while AI techniques provide powerful tools for predictive analytics and decision-making. However, combining these two technologies introduces substantial challenges, including scalability issues, privacy concerns, and the requirement for regulatory compliance. This study systematically reviews existing literature to identify key challenges and promise solutions in the amalgamation of blockchain and AI within healthcare. We evaluate the applicability, objectives, techniques, and security measures of selected studies to assess their relevance and contribution to the field. Our findings reveal that while significant progress has been made, gaps remain in areas such as the alignment of these technologies with regulatory frameworks, the development of privacy-preserving AI methods, and the protection of AI models from adversarial attacks. The paper concludes by proposing a set of research questions and future directions to address these challenges, with the aim of advancing the secure and ethical integration of blockchain and AI in healthcare.</t>
  </si>
  <si>
    <t>979-8-3503-8731-5</t>
  </si>
  <si>
    <t>https://ieeexplore.ieee.org/stamp/stamp.jsp?arnumber=10846068</t>
  </si>
  <si>
    <t>Artificial Intelligence;Blockchain;Smart Healthcare System;Cyber-attacks;Internet of Things (IoT)</t>
  </si>
  <si>
    <t>Ethics;Privacy;Scalability;Decision making;Medical services;Blockchains;Internet of Things;Artificial intelligence;Protection;Predictive analytics</t>
  </si>
  <si>
    <t>M. Weise; A. Rauber</t>
  </si>
  <si>
    <t>DBRepo: A Data Repository System for Research Data in Databases</t>
  </si>
  <si>
    <t>10.1109/BigData62323.2024.10825401</t>
  </si>
  <si>
    <t>Data Science Research Unit, ISE, TU Wien, Vienna, Austria; Data Science Research Unit, ISE, TU Wien, Vienna, Austria</t>
  </si>
  <si>
    <t>In the era of big data, research has become increasingly data-driven, with vast amounts of information being generated and analyzed to produce new insights and discoveries. This data deluge requires a combination of methods and technologies to store, process, share and preserve research data. With many of the world‚Äôs most valuable data being stored in relational databases where it evolves over time as new knowledge is gained and old knowledge invalidated, current repository systems fail to provide researchers with interfaces to conveniently work with this kind of data within their research environments. For this reason, we have developed DBRepo, an institutional data repository for research data in databases (DBRepo) supporting guidelines of the Working Group on Data Citation of the Research Data Alliance. The system has been in use at TU Wien for almost three years now and provides a variety of data science-related interfaces and can be integrated into many workflows and tools. Further, it assists researchers in depositing their datasets by suggesting the table schema (column names, data types, primary key constraints) and it addresses data interoperability issues by suggesting semantic concepts for dataset columns and units of measurements, where applicable. DBRepo is currently in use by six universities globally who use it as data store for hot and cold research data sets. In the paper, we describe their use-cases and provide lessons learned from the various deployments and workflows. Finally, we show how depositing research data into DBRepo increases the data‚Äôs visibility.</t>
  </si>
  <si>
    <t xml:space="preserve">ASEAN-European Academic University Network; </t>
  </si>
  <si>
    <t>https://ieeexplore.ieee.org/stamp/stamp.jsp?arnumber=10825401</t>
  </si>
  <si>
    <t>research data repositories;relational databases;research data management</t>
  </si>
  <si>
    <t>Measurement units;Semantics;Relational databases;Big Data;Interoperability;Guidelines</t>
  </si>
  <si>
    <t>I. Br√≠dov√°; M. Janovec; J. Pap√°n</t>
  </si>
  <si>
    <t>Smart Grid IoT Architecture Design for Academic Environments</t>
  </si>
  <si>
    <t>2024 International Conference on Emerging eLearning Technologies and Applications (ICETA)</t>
  </si>
  <si>
    <t>10.1109/ICETA63795.2024.10850822</t>
  </si>
  <si>
    <t>University of ≈Ωilina, ≈Ωilina, Slovakia; University of ≈Ωilina, ≈Ωilina, Slovakia; University of ≈Ωilina, ≈Ωilina, Slovakia</t>
  </si>
  <si>
    <t>IoT networks are gaining popularity nowadays which results in their development and improvement of technologies in this field. A large number of aspects are required to create a functional IoT network. In order to design these networks for the needs of common users, we need to constantly communicate with these people and improve the current solutions. Since we need experts in this field it is necessary to implement IoT networks in the teaching process. The main purpose of this paper is to present the opinion and requirements of the academic community and consequently to create an architectural approach to the design of intelligent network architecture specially adapted in the academic environment in the phase of development and preparation for the needs of the University of Zilina, Faculty of Management and Informatics and the Department of Information Networking.</t>
  </si>
  <si>
    <t>979-8-3315-2771-6</t>
  </si>
  <si>
    <t>https://ieeexplore.ieee.org/stamp/stamp.jsp?arnumber=10850822</t>
  </si>
  <si>
    <t>IoT;Gateway;Smart technology;Smart grid</t>
  </si>
  <si>
    <t>Performance evaluation;Intelligent networks;Systematics;Education;Logic gates;Smart grids;Security;Internet of Things;Information technology;Intelligent sensors</t>
  </si>
  <si>
    <t>A. Baicoianu; D. Pescaru; D. Sasu; C. Husar; R. Luca; L. P. Larsen</t>
  </si>
  <si>
    <t>Integrated Digital Platform for Marine Energy Management</t>
  </si>
  <si>
    <t>2024 IEEE International Conference on Electrical Systems for Aircraft, Railway, Ship Propulsion and Road Vehicles &amp; International Transportation Electrification Conference (ESARS-ITEC)</t>
  </si>
  <si>
    <t>10.1109/ESARS-ITEC60450.2024.10819756</t>
  </si>
  <si>
    <t>Siemens Industry Software, Brasov, Romania; Siemens Industry Software, Brasov, Romania; Siemens Industry Software, Brasov, Romania; Siemens Industry Software, Brasov, Romania; Siemens Industry Software, Brasov, Romania; Corvus Energy, Bergen, Norway</t>
  </si>
  <si>
    <t>Marine transportation plays a crucial role in global commerce, yet its environmental impact remains a concern. This paper proposes a draft architecture for a maritime digital platform, with a focus on optimizing ship energy systems to enhance sustainability. A key component of the proposed platform architecture is the integration of digital models with real-time data and predictive analytics, providing operators with valuable insights into energy consumption, battery health, and distribution management. By facilitating informed decision-making, the proposed platform aims to enhance system performance, durability, and environmental responsibility. Sensitive maritime data is protected through the implementation of advanced security protocols and encryption techniques, ensuring adherence to recognized industry cybersecurity standards. This paper introduces the fundamental components of the proposed digital platform, emphasizing its potential to revolutionize ship energy management and contribute to a more sustainable maritime industry.</t>
  </si>
  <si>
    <t>979-8-3503-7390-5</t>
  </si>
  <si>
    <t>https://ieeexplore.ieee.org/stamp/stamp.jsp?arnumber=10819756</t>
  </si>
  <si>
    <t>maritime;ship hybridization;cloud computing;digital twin;digital platform</t>
  </si>
  <si>
    <t>Industries;System performance;Decision making;Transportation;Computer architecture;Real-time systems;Batteries;Sustainable development;Marine vehicles;Energy management</t>
  </si>
  <si>
    <t>J. Liu; C. Qu; T. Zhou</t>
  </si>
  <si>
    <t>A Novel Cloud Computing Platform Monitoring System based on Nagios</t>
  </si>
  <si>
    <t>2023 3rd International Conference on Smart Data Intelligence (ICSMDI)</t>
  </si>
  <si>
    <t>10.1109/ICSMDI57622.2023.00039</t>
  </si>
  <si>
    <t>Wuhan Business University, WuHan, HuBei, China; Wuhan Business University, WuHan, HuBei, China; Wuhan Business University, WuHan, HuBei, China</t>
  </si>
  <si>
    <t>Nagios monitoring software can incorporate all hosts and network devices into monitoring according to the network topology, and prompt prompts in case of failures. Hence, considering its efficiency, this paper proposes the novel cloud computing platform monitoring system based on N agios. N agios is a monitoring system that monitors system operation and network information. It can run on Linux and Unix platforms, and provides an optional browser-based Web interface to facilitate system administration. In the designed platform, the novel structure is considered to guarantee the efficiency of the model. Through the testing on the core code, the performance is tested.</t>
  </si>
  <si>
    <t>978-1-6654-6487-1</t>
  </si>
  <si>
    <t>https://ieeexplore.ieee.org/stamp/stamp.jsp?arnumber=10127901</t>
  </si>
  <si>
    <t>Nagios;monitoring system;cloud computing;platform monitoring;information visualization</t>
  </si>
  <si>
    <t>Cloud computing;Network topology;Soft sensors;Computational modeling;Systems operation;Linux;Routing</t>
  </si>
  <si>
    <t>E. J. Sacoto-Cabrera; E. Moreno-Cardenas</t>
  </si>
  <si>
    <t>Shaping the Future of Fog Computing Economics: A Systematic Review of the Most Important Business Models</t>
  </si>
  <si>
    <t>2024 IEEE ANDESCON</t>
  </si>
  <si>
    <t>2996-895X</t>
  </si>
  <si>
    <t>10.1109/ANDESCON61840.2024.10755570</t>
  </si>
  <si>
    <t>GIHP4C, Universidad Polit√©cnica Salesiana, Cuenca, Ecuador; Communications Department, Universitat Polit√®cnica de Val√®ncia, Valencia, Spain</t>
  </si>
  <si>
    <t>Fog Computing, which decentralizes the computing infrastructure and extends cloud capabilities closer to the network edge, emerges as a solution to this challenge. In this paper, the authors review the relevant critical business models of Fog Computing from an economic point of view through business models in different scenarios. Specifically, we will describe the economic interaction of the significant players in the Fog Computing markets: End users, service providers, infrastructure providers, and edge resource owners. The results obtained in this research show that, first, the principal business models depend on infrastructure providers, service providers, and end users' requirements. Second, this review's future issues and opportunities are compelling tradeoff management, adapting to end-user dynamic conditions, and architecture standardization and transparency. Third, the analysis conducted in this article shows the vital role of business model analysis in developing the Fog Computing market based on different architectures, to foster competition and stakeholder collaboration, which will significantly impact the future development of Fog Computing.</t>
  </si>
  <si>
    <t>979-8-3503-5528-4</t>
  </si>
  <si>
    <t>https://ieeexplore.ieee.org/stamp/stamp.jsp?arnumber=10755570</t>
  </si>
  <si>
    <t>fog computing;bussines models;fog economics;IoT</t>
  </si>
  <si>
    <t>Cloud computing;Adaptation models;Biological system modeling;Computational modeling;Computer architecture;Real-time systems;III-V semiconductor materials;Indium phosphide;Business;Edge computing</t>
  </si>
  <si>
    <t>Lakshya; M. I. H. Khan; A. P. Bajarange</t>
  </si>
  <si>
    <t>Enhancing Cloud Resource Management through Predictive Neural Networks and Reinforcement Learning</t>
  </si>
  <si>
    <t>10.1109/ICCCNT61001.2024.10724643</t>
  </si>
  <si>
    <t>Software Engineering, Delhi Technological University, Delhi, India; Electrical Engineering, Jamia Millia Islamia, Delhi, India; Computer Science and Engineering, Parul University, Gujarat, India</t>
  </si>
  <si>
    <t>Prior strategies for scaling microservices encompassed various techniques, including diverse processing approaches and mathematical models. However, these methodologies often exhibited limitations in predictive accuracy and management complexity. This study employs Reinforcement Learning as an innovative alternative, particularly the Double Deep Q-Networks Algorithm. This approach autonomously monitors and evaluates essential scaling parameters, promptly triggering on-site actions when warranted. It adeptly balances the dual aspects of environment exploitation and exploration, optimizing computational resource usage while enhancing cost-effectiveness. Empirical evaluations substantiate the superiority of this approach in dynamically scaling cloud services with precision and resource optimization. By integrating LSTM and RNN predictive capabilities with Reinforcement Learning, this research contributes to efficient cloud resource management, a vital facet of contemporary cloud computing paradigms.</t>
  </si>
  <si>
    <t>https://ieeexplore.ieee.org/stamp/stamp.jsp?arnumber=10724643</t>
  </si>
  <si>
    <t>autoscaling;reinforcement learning;double DQN;Average Memory Utilization SLA</t>
  </si>
  <si>
    <t>Cloud computing;Neural networks;Memory management;Microservice architectures;Reinforcement learning;Prediction algorithms;Mathematical models;Resource management;Optimization;Monitoring</t>
  </si>
  <si>
    <t>P. P. Teja; S. Saravanan; S. Deepika; S. Manasa; A. Vijaykumar; M. Prameela</t>
  </si>
  <si>
    <t>Dynamic Traffic Management and Prioritization for Emergency Vehicles using IoT-enabled Density Control</t>
  </si>
  <si>
    <t>2024 International Conference on Signal Processing, Computation, Electronics, Power and Telecommunication (IConSCEPT)</t>
  </si>
  <si>
    <t>10.1109/IConSCEPT61884.2024.10627923</t>
  </si>
  <si>
    <t>UG EEE Student B V Raju Institute of Technology, Telangana, India; Department of EEE, B V Raju Institute of Technology, Telangana, India; UG EEE Student B V Raju Institute of Technology, Telangana, India; UG EEE Student B V Raju Institute of Technology, Telangana, India; Department of EEE, B V Raju Institute of Technology, Telangana, India; Department of EEE, B V Raju Institute of Technology, Telangana, India</t>
  </si>
  <si>
    <t>- The project's goal is to create a density-based dynamic traffic signal system that can adjust the signal's timing based on the amount of traffic at any particular junction. As traffic congestion is a major problem in the majority of cities around the world, keeping smart traffic flow on the roads is essential as it helps both citizens and security agencies. The traffic signals continuously turn green or red, and the signals for traffic need to change based on how many vehicles are present in the area. The green lights should be on longer in situations where there is a lot of traffic going in one way, and the red lights should stay on longer in situations where there is less traffic. The first should be given to emergency vehicles like ambulances and fire extinguishing engines. Consequently, the idea suggested here is a system in which the length of the green and red light timings is controlled by the volume of traffic at that particular time. If an emergency vehicle is in a lane, that lane is cleared before any other. The implementation of IoT technology is key to our solution. It allows for wireless connectivity between devices that can be monitored and controlled from anywhere, at any time. We use this technology to connect IR sensors that measure the density of vehicles on the road. Additionally, a camera takes pictures of emergency vehicles which are processed in the server by using image processing techniques where the image is processed and calibrated so that signal is sent to the server. The information about emergency vehicles and the density of traffic on each road is then sent to a microcontroller, specifically the ESP32. The microcontroller uses this information to determine the optimal time for green lights, thereby reducing traffic and pollution.</t>
  </si>
  <si>
    <t>979-8-3315-4068-5</t>
  </si>
  <si>
    <t>https://ieeexplore.ieee.org/stamp/stamp.jsp?arnumber=10627923</t>
  </si>
  <si>
    <t>IoT technology;vehicle density;infrared sensors;ESP32 cam module</t>
  </si>
  <si>
    <t>Wireless communication;Wireless sensor networks;Microcontrollers;Roads;Urban areas;Signal processing;Timing</t>
  </si>
  <si>
    <t>D. Saito; S. Hu; Y. Sato</t>
  </si>
  <si>
    <t>A Microservice Scheduler for Heterogeneous Resources on Edge-Cloud Computing Continuum</t>
  </si>
  <si>
    <t>2024 IEEE Symposium in Low-Power and High-Speed Chips (COOL CHIPS)</t>
  </si>
  <si>
    <t>2473-4683</t>
  </si>
  <si>
    <t>10.1109/COOLCHIPS61292.2024.10531183</t>
  </si>
  <si>
    <t>Toyohashi University of Technology, Toyohashi, Japan; Toyohashi University of Technology, Toyohashi, Japan; Toyohashi University of Technology, Toyohashi, Japan</t>
  </si>
  <si>
    <t>Although the Post-5G communication technology is expected to become an enabler for networking with numerous edge devices with ultra-low latency connection, it does not sufficiently exploit the features of cloud computing infrastructures especially from the aspect of heterogeneity in geographical locations and the underlying capability of computing resources. In this paper, we propose a method to represent the hierarchical layers and structures found in the current Edge-Cloud Computing Continuum and attempt to solve the scheduling problem of microservices on a Kubernetes-based platform. We present a novel and practical dynamic resource scheduling approach for microservices that extends the scheduling method implemented originally in Kubernetes toward geographical locations and hierarchy of resources. We evaluate the proposed optimized microservice scheduler on our prototype environment that virtualizes the underlying network topologies for heterogeneous resources. The evaluation result shows that our technique successfully decreases the end-to-end response time of tested microservice application with a three-tier architecture.</t>
  </si>
  <si>
    <t>979-8-3503-8414-7</t>
  </si>
  <si>
    <t xml:space="preserve">New Energy and Industrial Technology Development Organization; </t>
  </si>
  <si>
    <t>https://ieeexplore.ieee.org/stamp/stamp.jsp?arnumber=10531183</t>
  </si>
  <si>
    <t>Edge-Cloud Continuum;Cloud Computing;Scheduling;Kubernetes</t>
  </si>
  <si>
    <t>Cloud computing;Processor scheduling;Scheduling algorithms;Emulation;Microservice architectures;Prototypes;Dynamic scheduling</t>
  </si>
  <si>
    <t>L. Qi; J. Song; M. Chen; M. Zhang; Q. Zou; C. Wan</t>
  </si>
  <si>
    <t>Mining and Clustering Techniques for Load Operation Characteristics of the Internet of Things</t>
  </si>
  <si>
    <t>2024 International Conference on Intelligent Algorithms for Computational Intelligence Systems (IACIS)</t>
  </si>
  <si>
    <t>10.1109/IACIS61494.2024.10721623</t>
  </si>
  <si>
    <t>Power Dispatching Control Center of Guangxi Power Grid Co., Ltd, Nanning, China; Power Dispatching Control Center of Guangxi Power Grid Co., Ltd, Nanning, China; Power Dispatching Control Center of Guangxi Power Grid Co., Ltd, Nanning, China; Power Dispatching Control Center of Guangxi Power Grid Co., Ltd, Nanning, China; Power Dispatching Control Center of Guangxi Power Grid Co., Ltd, Nanning, China; Beijing Tsintergy Technology Co., Ltd, Guangzhou, China</t>
  </si>
  <si>
    <t>In the era of the Internet of Things (IoT), load management has become one of the important challenges in the energy field. Traditional load management methods have high requirements for data accuracy and real-time performance, as well as difficulties in dealing with diverse load characteristics. Therefore, it is particularly urgent to seek a method that can more effectively identify and manage load characteristics. This article proposes a load management method based on clustering technology to address the problems of traditional methods. This method includes steps such as data preprocessing, feature selection, clustering analysis, and interpretation of clustering results. By effectively classifying and managing load data, it is possible to achieve better utilization of energy and improvement of system efficiency. The purpose of this study is to explore a load management method suitable for the Internet of Things environment. Through the application of clustering technology, accurate identification and management of load characteristics have been achieved. The proposal of this method provides new ideas for load management in the energy field, and has important theoretical and practical significance. The experimental results have demonstrated that the CNN algorithm has a longer training time (32.75 seconds) for clustering analysis. The training time of the K-mean algorithm is 13 seconds. The K-means algorithm has a relatively short training time for clustering analysis.</t>
  </si>
  <si>
    <t>979-8-3503-6066-0</t>
  </si>
  <si>
    <t>https://ieeexplore.ieee.org/stamp/stamp.jsp?arnumber=10721623</t>
  </si>
  <si>
    <t>load operation;feature mining;internet of things;clustering techniques</t>
  </si>
  <si>
    <t>Training;Accuracy;System performance;Clustering algorithms;Load management;Feature extraction;Real-time systems;Classification algorithms;Internet of Things;Data mining</t>
  </si>
  <si>
    <t>Y. Ge; F. Fang</t>
  </si>
  <si>
    <t>Design and development of a blood sample preparation instrument</t>
  </si>
  <si>
    <t>Jiangsu Annual Conference on Automation (JACA 2024)</t>
  </si>
  <si>
    <t>10.1049/icp.2025.0014</t>
  </si>
  <si>
    <t>Key Laboratory of Measurement and Control of CSE, School of Automation, Southeast University, Nanjing 21006, Jiangsu, People's Republic of China; Key Laboratory of Measurement and Control of CSE, School of Automation, Southeast University, Nanjing 21006, Jiangsu, People's Republic of China</t>
  </si>
  <si>
    <t>Manual involvement in blood sample preprocessing can lead to various human errors and random contamination. The blood sample preparation instrument adopts an automated approach to preprocess blood samples, completing the aliquoting of blood samples and the dispensing of reagents. This article discusses a blood sample preparation instrument Sanguinary Arrange Gear(SAG) based on a distributed design, introducing its overall structural design and logical design, and detailing the motor control module, process control module, and database module. Experimental results indicate that the blood sample preparation instrument based on a distributed design exhibits good reliability and can effectively achieve the preparatory processing of blood samples.</t>
  </si>
  <si>
    <t>978-1-83724-271-9</t>
  </si>
  <si>
    <t>https://ieeexplore.ieee.org/stamp/stamp.jsp?arnumber=10915958</t>
  </si>
  <si>
    <t>S. Chen; J. Morris; Z. Lu; G. Heilscher</t>
  </si>
  <si>
    <t>Concept and implementation of a grid simulation framework utilizing containerized IEC 61850 compatible IED</t>
  </si>
  <si>
    <t>10.1049/icp.2023.0723</t>
  </si>
  <si>
    <t>Ulm University of Applied Sciences, Ulm University, Germany; Netze BW GmbH, Germany; Ulm University of Applied Sciences, Ulm University, Germany; Ulm University of Applied Sciences, Ulm University, Germany</t>
  </si>
  <si>
    <t>In this contribution, an approach for the virtualization of DER (Decentralized Energy Resources) communication using the container technology is proposed, and the setup of a quasi-dynamic SIL (Software/Controller-in-the-loop) simulation environment for the distribution grid simulation with high DER penetration is demonstrated. At the information and communication level, the standard IEC 61850 is utilized to model the data structure and logic of field communication units, represent measurements collected from PV (Photovoltaics) inverters, and control options for active power curtailment. This concept considers the scalability of DERs and allows for a repeatable, adaptable, and expandable engineering process.As the core element of the proposed concept, two Python modules containing necessary logic and data interfaces are implemented as microservices based on existing open-source Python libraries. In the real-time SIL environment, virtualized Controllable Local Systems (CLS) run as Intelligent Electronic Devices (IED), which contain a simplified IEC 61850 data model structure and interact with the distribution grid management using the IEC 61850 communication protocol. PV generation profiles are constructed using actual field data, representing real-time measurements from PV inverters. Control commands on the PV feed-in power are transmitted to the PV containers by the same IEC 61850 communication connections. In the proposed framework, one SIL simulation with a demo network model, 100 PV containers, and 200 households represented by load profiles has been carried out successfully, proving this concept's feasibility.</t>
  </si>
  <si>
    <t>https://ieeexplore.ieee.org/stamp/stamp.jsp?arnumber=10267227</t>
  </si>
  <si>
    <t>S. Dixit; A. Dutta; S. Agrawal; M. A. Olivas; V. Bhatia; C. D. A. Carrillo; P. Jha; M. Jabhera; A. Karna; S. P. Khanganba; C. Kimambo; R. Lara-Cueva; M. Martinmikko-Blue; F. Mekuria; A. Mody; N. Wasilwa; B. Kloza; C. Polk; M. Borst</t>
  </si>
  <si>
    <t>10.1109/FNWF58287.2023.10520445</t>
  </si>
  <si>
    <t>Basic Internet Foundation, Norway; Applied Physics Labs, Johns Hopkins University, USA; C-DoT, India; National University of Engineering, Nicaragua; Indian Institute of Technology, Indore, India; Universidad de las Fuerzas Armadas - ESPE, Ecuador; Indian Institute of Technology Bombay, India; University of Dodoma, Tanzania; C-DoT, India; Indian Institute of Technology, Indore, India; African Childs Project, Tanzania; Universidad de las Fuerzas Armadas ESPE, Ecuador; University of Oulu, Finland; Council of Scientific and Industrial Research (CSIR), South Africa; A5 Systems LLC; Communications Authority of Kenya; NA; NA; NA</t>
  </si>
  <si>
    <t>Connecting the Unconnected or under-connected (CTU) is the holy grail of transforming the lives of over 3 billion people around the globe with wireless internet who are yet to experience its value in multiple ways. If this could be accomplished, its impact on the society would be enormous as everyone would have access to information and an opportunity to improve their quality of life and income. This chapter from the IEEE Future Networks CTU Working Group endeavors to highlight the need to consider the CTU requirements in 5G and B5G networks in the standardization process and in the development of the use cases and affordable solutions. In its Vision 2030 SDG (Sustainability Development Goals) the United Nations has proclaimed access to internet as basic human right and has said these goals cannot be achieved without affordable access to internet by everyone on this planet[65]. While there are numerous projects and initiatives ongoing around the world, these are fragmented and lack the critical mass and coordination to be able to impact the future standards, product development, and cost of deployment otherwise achievable by economy of scale. Although difficult to pin down, to define a threshold for basic connectivity for all is important. But it would need to be flexible to adapt to changing times. It is the goal of the CTU group to create an open platform where the experts can bring their ideas, solutions, and potentially collaborate to create large global projects and influence the network service providers, manufacturers and their governments. This paper defines the CTU working group's charter, scope, and provides a brief overview of the relevant stakeholders and linkages between them. Then the paper goes into the current status of the CTU landscape and where we want to reach to accomplish the vision of connecting everybody, especially those living in rural and remote areas. We present the various standards and industry fora and how they are interlinked. While technologies are available today, they need to be customized and optimized at the systems level to bring down the cost of the network to be affordable. In addition, the content needs to be relevant and in local languages to be useful, not to mention the need to offer innovative human computer interaction (HCI) solutions (that are not text based) so that people who are not literate or are digitally disadvantaged can easily use the devices and consume services. Another important area is that of flexible spectrum allocation regime at the lower range of the spectrum to increase reach and coverage. Use of renewable energy sources will enable deployment in remote areas where there is lack of power grid, or it is intermittent. Thus, this paper identifies a number of technology gaps to be filled in by 5G and B5G networks, such that access is affordable and content and services are actually consumed by the targeted set of users. Although hitherto unexplored, artificial intelligence (AI) an machine learning (ML) have tremendous role to play for serving the rural and remote communities both to deliver the most needed services and to customize them to the digital capacity of the end users. Technology aside, the need to develop innovative business models is a must to be commercially sustainable in the long-term. A number of such models, especially designed for the rural population, are proposed, such as Village Level Entrepreneur (VLE) Freemium (Free + Premium), revenue sharing among the chain of service providers, subsidized billing by USOF (Universal Service Obligation Funds). Finally, the paper presents a 10-year roadmap starting from the current state to three years, five years, and ten years.</t>
  </si>
  <si>
    <t>https://ieeexplore.ieee.org/stamp/stamp.jsp?arnumber=10520445</t>
  </si>
  <si>
    <t>Human computer interaction;Wireless communication;Renewable energy sources;Costs;5G mobile communication;Product development;Stakeholders;Resource management;Sustainable development;Standards</t>
  </si>
  <si>
    <t>D. R. Dipta; T. Tiemann; B. Gulmezoglu; E. Marin; T. Eisenbarth</t>
  </si>
  <si>
    <t>Dynamic Frequency-Based Fingerprinting Attacks against Modern Sandbox Environments</t>
  </si>
  <si>
    <t>2024 IEEE 9th European Symposium on Security and Privacy (EuroS&amp;P)</t>
  </si>
  <si>
    <t>2995-1356</t>
  </si>
  <si>
    <t>10.1109/EuroSP60621.2024.00025</t>
  </si>
  <si>
    <t>Iowa State University, Ames, IA, USA; University of Luebeck, Lubeck, Germany; Iowa State University, Ames, IA, USA; Telefonica Research, Barcelona, Spain; University of Luebeck, Lubeck, Germany</t>
  </si>
  <si>
    <t>The cloud computing landscape has evolved sig-nificantly in recent years, embracing various sandboxes to meet the diverse demands of modern cloud applications. These sandboxes encompass container-based technologies like Docker and gVisor, microVM-based solutions like Fire-cracker, and security-centric sandboxes relying on Trusted Execution Environments (TEEs) such as Intel SGX and AMD SEV. However, the practice of placing multiple tenants on shared physical hardware raises security and privacy concerns, most notably side-channel attacks. In this paper, we investigate the possibility of fingerprinting containers through CPU frequency reporting sensors in Intel and AMD CPUs. One key enabler of our attack is that the current CPU frequency information can be accessed by user-space attackers. We demonstrate that Docker images exhibit a unique frequency signature, enabling the distinction of different containers with up to 84.5 % accuracy even when multiple containers are running simultaneously in different cores. Additionally, we assess the effectiveness of our attack when performed against several sandboxes deployed in cloud environments, including Google's gVisor, AWS‚Äô Firecracker, and TEE-based platforms like Gramine (utilizing Intel SGX) and AMD SEV. Our empirical results show that these attacks can also be carried out successfully against all of these sandboxes in less than 40 seconds, with an accuracy of over 70 % in all cases. Finally, we propose a noise injection-based countermeasure to mitigate the proposed attack on cloud environments.</t>
  </si>
  <si>
    <t>979-8-3503-5425-6</t>
  </si>
  <si>
    <t xml:space="preserve">German Research Foundation (DFG)(grant numbers:439797619,456967092); </t>
  </si>
  <si>
    <t>https://ieeexplore.ieee.org/stamp/stamp.jsp?arnumber=10629032</t>
  </si>
  <si>
    <t>side-channel attacks;dynamic frequency;container technology;serverless computing;sandbox environment</t>
  </si>
  <si>
    <t>Cloud computing;Privacy;Accuracy;Microarchitecture;Noise;Side-channel attacks;Containers</t>
  </si>
  <si>
    <t>S. Benedict; R. Subair; T. Gupta; V. S.P.</t>
  </si>
  <si>
    <t>Penalty-Enabled Serverless Architecture for Cloud-based Startup Solutions</t>
  </si>
  <si>
    <t>2023 International Conference on Inventive Computation Technologies (ICICT)</t>
  </si>
  <si>
    <t>10.1109/ICICT57646.2023.10134026</t>
  </si>
  <si>
    <t>Dept. of Computer Science and Engineering, Indian Institute of Information Technology, Kottayam, Kerala, India; Dept. of Computer Science and Engineering, Indian Institute of Information Technology, Kottayam, Kerala, India; Dept. of Computer Science and Engineering, Indian Institute of Information Technology, Kottayam, Kerala, India; Dept. of Computer Science and Engineering, Indian Institute of Information Technology, Kottayam, Kerala, India</t>
  </si>
  <si>
    <t>The step to the success of startups is through overcoming competitors by adopting software innovations that improve businesses. Serverless computing model, recently, has intrigued a sizable number of startup professionals belonging to various sectors, including financial or IoT-enabled application developers. One of the main flaws is its heavy dependency on cloud providers, which can still result in hefty pricing to startups and stalling functions in applications. This article proposes a penaltyenabled serverless architecture for startups. The architecture can boost the economy of startups and can analyze the serverlessoriented cost-saving options in applications. The penalty-oriented approach could enable cloud architects, developers, and startups, to rethink the utilization of serverless functions; to gleam of with future innovations.</t>
  </si>
  <si>
    <t>979-8-3503-9849-6</t>
  </si>
  <si>
    <t>https://ieeexplore.ieee.org/stamp/stamp.jsp?arnumber=10134026</t>
  </si>
  <si>
    <t>Architecture;Cloud;Economics;Penalty;Serverless;Startups</t>
  </si>
  <si>
    <t>Manifolds;Technological innovation;Software design;Computational modeling;Serverless computing;Computer architecture;Pricing</t>
  </si>
  <si>
    <t>M. Abbasi; P. Melo; L. Saraiva; P. Pereira; P. Martins; F. S√°; F. Cardoso</t>
  </si>
  <si>
    <t>Enhancing Banking Operations with Microservices and Mobile Technology</t>
  </si>
  <si>
    <t>10.23919/CISTI58278.2023.10211993</t>
  </si>
  <si>
    <t>Polytechnic of Coimbra, Portugal; Polytechnic of Viseu, Portugal; Polytechnic of Viseu, Portugal; Polytechnic of Viseu, Portugal; CISeD - Research Centre in Digital Services, Polytechnic of Viseu, Portugal; CISeD - Research Centre in Digital Services, Polytechnic of Viseu, Portugal; INESC Coimbra, Portugal</t>
  </si>
  <si>
    <t>This paper presents a novel architecture for enhancing the banking experience by combining microservices and a mobile application. The use of microservices provides scalability and flexibility in the development process, making it easier to add new features or modify existing ones. The results of the study shows that the proposed architecture is capable of handling high volume of transactions and requests while providing high quality of service. The mobile application provides a user-friendly interface for accessing financial information, and the use of microservices ensures efficient management of data and transactions. The architecture also has the potential to improve security through the use of security measures to protect sensitive data. As a future research direction, the proposed architecture can be evaluated in real-world settings and its security can be further tested. The field of technology in the banking sector is constantly evolving, and it is important to stay updated with new advancements that can potentially improve the proposed architecture.</t>
  </si>
  <si>
    <t xml:space="preserve">Foundation for Science and Technology; Instituto Polit√©cnico de Viseu; Foundation for Science and Technology; </t>
  </si>
  <si>
    <t>https://ieeexplore.ieee.org/stamp/stamp.jsp?arnumber=10211993</t>
  </si>
  <si>
    <t>financial industry;multi-banking;security;mobile app;microservices</t>
  </si>
  <si>
    <t>Measurement;Scalability;Microservice architectures;Banking;Quality of service;Market research;User experience</t>
  </si>
  <si>
    <t>K. Tsatsakis; A. Tsitsanis; F. Lampathaki; E. Biliri</t>
  </si>
  <si>
    <t>Towards a flexibility analytics and optimization framework for demand side aggregators</t>
  </si>
  <si>
    <t>10.1109/ISGTEUROPE56780.2023.10407935</t>
  </si>
  <si>
    <t>Suite5 Data Intelligence Solutions, Limassol, Cyprus; Suite5 Data Intelligence Solutions, Limassol, Cyprus; Suite5 Data Intelligence Solutions, Limassol, Cyprus; Suite5 Data Intelligence Solutions, Limassol, Cyprus</t>
  </si>
  <si>
    <t>The electricity networks in Europe are facing new challenges due to changing geopolitical conditions at the EC level (as highlighted by the recently implemented REPowerEU regulation) as well as the widespread use of renewable energy sources (RES). To address these challenges, it is necessary to develop solutions that optimize local energy systems, allowing for the integration of distributed generation and demand, as well as coordinating local flexibility resources. Such solutions should combine distributed generation, demand, storage, electric vehicles, and interconnections with local energy networks, and incorporate them into holistic optimization strategies to ensure operational and economic efficiency. Towards this direction, in this paper, we present the methodology and the ICT framework for the optimal utilization of flexibility to address the emerging need for coordinated optimization of different types of controllable assets and DERs in the electricity network. In addition, the results from the early demonstration of the proposed framework in a large-scale pilot site are presented.</t>
  </si>
  <si>
    <t>https://ieeexplore.ieee.org/stamp/stamp.jsp?arnumber=10407935</t>
  </si>
  <si>
    <t>Demand side management;Demand response;Electricity market;Energy storage</t>
  </si>
  <si>
    <t>Renewable energy sources;Europe;Electric vehicles;Regulation;Distributed power generation;Smart grids;Optimization</t>
  </si>
  <si>
    <t>U. Khamdamov; M. Usman; J. Kim</t>
  </si>
  <si>
    <t>A Cost-effective High-throughput Testbed for Supporting AI-enabled DevSecOps Services</t>
  </si>
  <si>
    <t>2023 10th International Conference on Future Internet of Things and Cloud (FiCloud)</t>
  </si>
  <si>
    <t>10.1109/FiCloud58648.2023.00022</t>
  </si>
  <si>
    <t>AI Graduate School Gwangju Institute of Science and Technology, Gwangju, Korea; Department of Mathematics and Computer Science, Karlstad University, Karlstad, Sweden; AI Graduate School Gwangju Institute of Science and Technology, Gwangju, Korea</t>
  </si>
  <si>
    <t>OF@TEIN Playground is a multi-site cloud with distributed edge nodes, which, while offering reduced application latency by processing data at the edge of the network, also introduces new security challenges. To ensure the continuous and secure operation of these nodes, the SmartX Multi-View Visibility and SmartX MultiSec frameworks were introduced. However, these frameworks have limitations regarding AI-powered security mechanisms. The recent surge in data and AI technologies has amplified the need for AI-based and data-driven smart services that can process large amounts of real-time data and provide actionable insights to users. In particular, AI-inspired DevSecOps services can be highly effective in enhancing cybersecurity of the OF@TEIN Playground. However, developing and deploying these services at scale can be a challenge, due to the high costs associated with procuring and maintaining the necessary hardware and software resources. Therefore, this work aims to upgrade the OF@TEIN Playground to flexibly support cloud based AI-inspired DevSecOps services and to adequately meet the current and future demands of playground users. The results show that our effort has resulted in a more reliable, cost-effective, and flexible edge computing research and experimentation testbed.</t>
  </si>
  <si>
    <t>979-8-3503-1635-3</t>
  </si>
  <si>
    <t>https://ieeexplore.ieee.org/stamp/stamp.jsp?arnumber=10410811</t>
  </si>
  <si>
    <t>SmartX Playground;Artificial Intelligence (AI);DevSecOps;Edge Clouds;Testbed;GPU Utilization</t>
  </si>
  <si>
    <t>Cloud computing;Costs;Graphics processing units;Hardware;Software reliability;Surges;Edge computing</t>
  </si>
  <si>
    <t>M. A. Farista; N. Y. Pratiwi; D. S. Hasibuan; E. H. Yossy</t>
  </si>
  <si>
    <t>REST API Response Time Optimization Using Elasticsearch</t>
  </si>
  <si>
    <t>2024 9th International Conference on Business and Industrial Research (ICBIR)</t>
  </si>
  <si>
    <t>10.1109/ICBIR61386.2024.10875784</t>
  </si>
  <si>
    <t>Computer Science Department, BINUS Online, Bina Nusantara University, Jakarta, Indonesia; Computer Science Department, BINUS Online, Bina Nusantara University, Jakarta, Indonesia; Computer Science Department, BINUS Online, Bina Nusantara University, Jakarta, Indonesia; Computer Science Department, BINUS Online, Bina Nusantara University, Jakarta, Indonesia</t>
  </si>
  <si>
    <t>This study compares the performance of relational databases and unstructured databases, specifically Elasticsearch, in optimizing REST API response times. As dataset sizes increase, relational databases face prolonged data retrieval times, a common challenge for many companies relying on them for general-purpose use. Using a replica of an online coffee shop's product catalogue dataset, this research analyzes data retrieval scenarios presented in JSON format. The primary goal is to enhance REST API response times by implementing Elasticsearch, leveraging the inherent speed advantage of unstructured databases in data retrieval. The process involves replicating the catalogue data, converting it to relational JSON, setting up a Node.js server with Elasticsearch runtime, and migrating the data. The results show that Elasticsearch significantly outperforms the relational database, with an average response time of 282.6 ms compared to 754.8 ms‚Äîa 62.5596% improvement. Load testing with 200 concurrent customers accessing the REST API demonstrates a throughput of 60 requests per minute and an average response time of 930 ms, ensuring a smooth user experience under heavy demand. In conclusion, replacing relational databases with Elasticsearch optimizes data retrieval speed, emphasizing its practicality in enhancing data retrieval processes.</t>
  </si>
  <si>
    <t>979-8-3503-8302-7</t>
  </si>
  <si>
    <t>https://ieeexplore.ieee.org/stamp/stamp.jsp?arnumber=10875784</t>
  </si>
  <si>
    <t>elasticsearch;optimization;product catalogue;REST API;response time</t>
  </si>
  <si>
    <t>Surveys;Relational databases;Data retrieval;Throughput;User experience;Time factors;Servers;Optimization;Stress;Testing</t>
  </si>
  <si>
    <t>H. Dinh-Tuan; F. F. Six</t>
  </si>
  <si>
    <t>Optimizing Cloud-Native Services with SAGA: A Service Affinity Graph-Based Approach</t>
  </si>
  <si>
    <t>10.1109/SmartNets61466.2024.10577743</t>
  </si>
  <si>
    <t>Service-centric Networking, Technische Universit√§t Berlin, Berlin, Germany; Technische Universit√§t Berlin, Berlin, Germany</t>
  </si>
  <si>
    <t>Modern software architectures are characterized by their cloud-native, modular, and microservice-based designs. While these systems are known for their efficiency, they also face complex challenges in service optimization, especially in maintaining end-to-end quality of service across dynamically distributed services. This paper introduces a novel approach using the concept of Service Affinity to address this challenge. The proposed method, termed Service Affinity Graph-based Approach, employs a graph-based model to model the interactions among microservices. It formulates the service placement as a minimum-weight k-cut problem and utilizes an approximation algorithm for service clustering. This approach is realized through a conceptual framework that takes into account a wide range of optimization objectives, ranging from enhancing application performance and enforcing data privacy to optimizing operational costs. In addition to presenting the SAGA framework in details, this paper conducts an in-depth empirical evaluation using a prototype deployed on a Kubernetes cluster. The results demonstrate a mean latency improvement of 23.40 %, validating the effectiveness of our approach. Finally, the paper comprehensively discusses various aspects of the proposed methods, including their impli-cations, challenges, and benefits, providing a thorough analysis of the approach's impact.</t>
  </si>
  <si>
    <t>https://ieeexplore.ieee.org/stamp/stamp.jsp?arnumber=10577743</t>
  </si>
  <si>
    <t>microservices;cloud-native;kubernetes;service optimization</t>
  </si>
  <si>
    <t>Software architecture;Scalability;Microservice architectures;Clustering algorithms;Prototypes;User experience;Software</t>
  </si>
  <si>
    <t>N. Qoudhadh; M. Zbakh</t>
  </si>
  <si>
    <t>Algorithms Scheduling Applied to Microservics Architectures: A Survey Study</t>
  </si>
  <si>
    <t>2023 IEEE 6th International Conference on Cloud Computing and Artificial Intelligence: Technologies and Applications (CloudTech)</t>
  </si>
  <si>
    <t>10.1109/CloudTech58737.2023.10366166</t>
  </si>
  <si>
    <t>Information Technology and Engineering, Sciences National School of Computer Science and Systems Analysis, Mohammed V University, Rabat, Morocco; Information Technology and Engineering, Sciences National School of Computer Science and Systems Analysis, Mohammed V University, Rabat, Morocco</t>
  </si>
  <si>
    <t>Microservice architecture is increasingly replacing monolithic architectures due to its numerous advantages, including ease of deployment, flexibility, and availability. The advent of containerization has further amplified the importance of microservices, making them scalable and portable‚Ä¶ Orchestration tools rely on schedulers to control and manage containers running microservices, driving extensive research in search of suitable and optimal scheduling algorithms that minimize costs, reduce overhead, and ensure cluster performance. This paper provides an overview of several popular scheduling algorithms applied by researchers, offering insights into their methodologies through a comparative analysis. We explore the different parameters used and their impact on algorithm performance. Additionally, we delve into the advantages and drawbacks associated with each algorithm, illuminating their strengths and weaknesses. In conclusion, we discuss potential future directions, aiming to identify areas for improvement and innovation in the selection and optimization of scheduling algorithms.</t>
  </si>
  <si>
    <t>979-8-3503-0306-3</t>
  </si>
  <si>
    <t>https://ieeexplore.ieee.org/stamp/stamp.jsp?arnumber=10366166</t>
  </si>
  <si>
    <t>Microservice architecture;Container-Scheduling algorithms;Performance</t>
  </si>
  <si>
    <t>Surveys;Measurement;Cloud computing;Technological innovation;Machine learning algorithms;Scheduling algorithms;Microservice architectures</t>
  </si>
  <si>
    <t>F. Sandin; U. Bodin; A. Lindgren; O. Schel√©n</t>
  </si>
  <si>
    <t>Digital Computing Continuum Abstraction for Neuromorphic Systems</t>
  </si>
  <si>
    <t>2024 International Conference on Neuromorphic Systems (ICONS)</t>
  </si>
  <si>
    <t>10.1109/ICONS62911.2024.00033</t>
  </si>
  <si>
    <t>EISLAB, Machine Learning, Lule√• University of Technology, Lule√•, Sweden; EISLAB, Cyber-Physical Systems, Lule√• University of Technology, Lule√•, Sweden; Applied Digitalisation, Industrial Systems, RISE Research Institutes of Sweden, Kista, Sweden; EISLAB, Cyber-Physical Systems, Lule√• University of Technology, Lule√•, Sweden</t>
  </si>
  <si>
    <t>The rising complexity and data generation in cyber-physical systems and the Internet of Things require a shift towards an edge-to-cloud computing continuum ecosystem with enhanced artificial intelligence (AI) capabilities. Furthermore, resource limitations and the projected doubling of the electricity used by information and communication technologies until 2030 require innovative resource-efficient solutions. Neuromor-phic computing and intelligence are prominent examples that take inspiration from the function of brains, the most energy-efficient processors known. However, neuromorphic systems differ from conventional von Neumann computers and clock-driven sensor systems and likely require different continuum-enabling abstractions and concepts for large-scale and high-utility neuromorphic systems integration. This paper focuses on communication aspects and summarises recent developments in this area, including a problem analysis aiming to identify challenges and open issues for integrating neuromorphic systems in the digital continuum. Our main contribution is a description of event- and query-based communication models commonly used in microservice architectures, with mappings to defining characteristics of neuromorphic systems and the continuum. In this, we outline an abstraction where each neuromorphic system has a digital counterpart called a Gemi. A Gemi keeps an abstract digital model of its corresponding neuromorphic system, is programmable, and provides digital interfaces. Spike and temporal embedding representations in the neuromorphic systems are mapped to an efficient event-based publish-subscribe model in the digital domain.</t>
  </si>
  <si>
    <t>979-8-3503-6865-9</t>
  </si>
  <si>
    <t>https://ieeexplore.ieee.org/stamp/stamp.jsp?arnumber=10766556</t>
  </si>
  <si>
    <t>Neuromorphic computing;Continuum computing;Event-driven;Non-von Neumann;Interoperability;Microservices;Frugal artificial intelligence</t>
  </si>
  <si>
    <t>Program processors;Neuromorphics;Biological system modeling;Computational modeling;Microservice architectures;System integration;Publish-subscribe;Sensor systems;Internet of Things;Artificial intelligence</t>
  </si>
  <si>
    <t>Y. Ding; T. Shi</t>
  </si>
  <si>
    <t>Sustainable LLM Serving: Environmental Implications, Challenges, and Opportunities : Invited Paper</t>
  </si>
  <si>
    <t>2024 IEEE 15th International Green and Sustainable Computing Conference (IGSC)</t>
  </si>
  <si>
    <t>2993-2084</t>
  </si>
  <si>
    <t>10.1109/IGSC64514.2024.00016</t>
  </si>
  <si>
    <t>Purdue University, West Lafayette, IN, USA; Purdue University, West Lafayette, IN, USA</t>
  </si>
  <si>
    <t>Large language models (LLMs) have been widely used for their ability to handle complex natural language tasks with high accuracy. The lifecycle of LLMs development and deployment encompasses both training and serving phases. Although training takes months and consumes significant amounts of energy, recent studies show that the energy consumption of LLM serving has now surpassed that of training, leading to significant environmental impacts, especially in terms of carbon footprints. While much prior work has focused on improving LLM performance, the specific challenge of reducing the carbon footprint of LLM serving has been largely overlooked. This paper identifies key challenges and outlines research directions for making LLM serving more sustainable, aiming to inspire further environmentally responsible advancements in the field.</t>
  </si>
  <si>
    <t>979-8-3315-0786-2</t>
  </si>
  <si>
    <t>https://ieeexplore.ieee.org/stamp/stamp.jsp?arnumber=10765824</t>
  </si>
  <si>
    <t>Training;Energy consumption;Accuracy;Large language models;Natural languages;Green products;Carbon footprint</t>
  </si>
  <si>
    <t>N. Gupta; K. Arora; M. Batra</t>
  </si>
  <si>
    <t>Wireless Wealth: Capitalizing on the 5G Technology Frontier</t>
  </si>
  <si>
    <t>2024 7th International Conference on Circuit Power and Computing Technologies (ICCPCT)</t>
  </si>
  <si>
    <t>10.1109/ICCPCT61902.2024.10673086</t>
  </si>
  <si>
    <t>School of Computer Application, Manav Rachna International Institute of Research &amp; Studies, Faridabad, India; School of Computer Application, Manav Rachna International Institute of Research &amp; Studies, Faridabad, India; School of Computer Application, Manav Rachna International Institute of Research &amp; Studies, Faridabad, India</t>
  </si>
  <si>
    <t>Heavy demand and reduced traditional revenue sources have made tremendous financial pressure on the telecommunication industry. The purpose of this study is to provide an understanding of strategic importance and monetization strategies of 5G using a case study approach. Secondary market research is carried out for the global and Indian telecom market, to find out the direction, forecast, and market readiness about 5G. The paper identified and studied different use cases and business models proposed by original equipment manufacturers (OEM), and research organizations. The paper discusses the new revenue streams that can be generated through new technologies in areas like managed services, IoT applications, partner ecosystems, etc. 5G support these new technologies and will help telecom service providers gain new revenue streams. Based on research output, the study proposed six different business models that will help CSPs to capitalize on their resources.</t>
  </si>
  <si>
    <t>979-8-3503-7281-6</t>
  </si>
  <si>
    <t>https://ieeexplore.ieee.org/stamp/stamp.jsp?arnumber=10673086</t>
  </si>
  <si>
    <t>Monetization;eMBB;URLLC;mMTC;IoT;Telecom Market;Business Model</t>
  </si>
  <si>
    <t>Wireless communication;5G mobile communication;Biological system modeling;Computational modeling;Organizations;Market research;Internet of Things</t>
  </si>
  <si>
    <t>L. Valentine C J; A. Ahmed B; E. Raja; U. PA</t>
  </si>
  <si>
    <t>Enabling Augmented Intelligence Using Gen AI in Mechanical Ventilators</t>
  </si>
  <si>
    <t>2024 International Conference on Smart Electronics and Communication Systems (ISENSE)</t>
  </si>
  <si>
    <t>10.1109/ISENSE63713.2024.10872334</t>
  </si>
  <si>
    <t>Department of Electronics and Communication Engineering, SRM Institute of Science and Technology, Tamil Nadu, India; Department of Electronics and Communication Engineering, SRM Institute of Science and Technology, Tamil Nadu, India; Department of Electronics and Communication Engineering, SRM Institute of Science and Technology, Tamil Nadu, India; Department of Electronics and Communication Engineering, Madras Institute of Technology, Chennai, Tamil Nadu, India</t>
  </si>
  <si>
    <t>Mechanical ventilators, despite their life saving potential, require constant monitoring and manual adjustment that are time consuming and human resource draining. The paper proposes an augmented intelligence approach leveraging existing Generative Artificial Intelligence (Gen AI) such as ChatGPT, Medllama, etc, to enhance the existing patient monitoring systems in place by providing real-time data-driven recommendations for patient diagnosis and ventilators. It uses an ARM Cortex-M7 based microcontroller and FreeRTOS, a real time operating system, to collect vital ventilator data and sends it to cloud for generating actionable insights for clinicians. These Gen AI -enabled recommendations assist healthcare professionals to provide timely adjustments by deciding next course of action based on suggestions to optimize patient care and reduce their monitoring burden.</t>
  </si>
  <si>
    <t>979-8-3315-2812-6</t>
  </si>
  <si>
    <t>https://ieeexplore.ieee.org/stamp/stamp.jsp?arnumber=10872334</t>
  </si>
  <si>
    <t>Mechanical Ventilator;Machine Learning;Gen AI;CDSS;ARM based architecture;RTOS;MQTT</t>
  </si>
  <si>
    <t>Ventilators;Technological innovation;Patient monitoring;Microcontrollers;Operating systems;Lungs;Manuals;Real-time systems;Medical diagnosis;Standards</t>
  </si>
  <si>
    <t>I. O. Peth≈ë; T. S. Micsik; G. Eigner; S. A. Laczi; R. Fleiner</t>
  </si>
  <si>
    <t>Detection and Visualization of Metabolic Pathway Activity Based on Immunohistochemistry</t>
  </si>
  <si>
    <t>2023 IEEE 21st Jubilee International Symposium on Intelligent Systems and Informatics (SISY)</t>
  </si>
  <si>
    <t>10.1109/SISY60376.2023.10417872</t>
  </si>
  <si>
    <t>John von Neumann Faculty of Informatics, √ìbuda University, Budapest, Hungary; Department of Pathology and Experimental Cancer Research, Semmelweis University, Budapest, Hungary; John von Neumann Faculty of Informatics, √ìbuda University, Budapest, Hungary; John von Neumann Faculty of Informatics, √ìbuda University, Budapest, Hungary; John von Neumann Faculty of Informatics, √ìbuda University, Budapest, Hungary</t>
  </si>
  <si>
    <t>The paper describes an approach of platform development for the visualization of metabolic pathways based on enzyme expression data in cancer samples. The input of the application is immunohistochemically measured expression data of metabolic enzymes specifically given for the examined cancer sample. Immunohistochemical evaluation happens according to the H-score and the Shannon diversity index calculated from the given expression data. The platform uses scalable vector graphics and microservices, implemented mostly in Java and TypeScript.</t>
  </si>
  <si>
    <t>979-8-3503-4336-6</t>
  </si>
  <si>
    <t>https://ieeexplore.ieee.org/stamp/stamp.jsp?arnumber=10417872</t>
  </si>
  <si>
    <t>cancer;metabolism;enzyme expression;H-score;Shannon diversity index;data visualization;decision support;vector graphics</t>
  </si>
  <si>
    <t>Graphics;Enzymes;Data visualization;Microservice architectures;Tumors;Immune system;Cancer</t>
  </si>
  <si>
    <t>V. Abhilash; S. H. Venkat; S. Nishal; S. M. Rajagopal; N. Panda</t>
  </si>
  <si>
    <t>E-commerce Evolution: Unleashing the Potential of Serverless Microservices</t>
  </si>
  <si>
    <t>10.1109/ICCCNT61001.2024.10726037</t>
  </si>
  <si>
    <t>Dept. of Computer Science and Engineering, Amrita School of Computing, Amrita Vishwa Vidyapeetham, Bengaluru, India; Dept. of Computer Science and Engineering, Amrita School of Computing, Amrita Vishwa Vidyapeetham, Bengaluru, India; Dept. of Computer Science and Engineering, Amrita School of Computing, Amrita Vishwa Vidyapeetham, Bengaluru, India; Dept. of Computer Science and Engineering, Amrita School of Computing, Amrita Vishwa Vidyapeetham, Bengaluru, India; Dept. of Computer Science and Engineering, Amrita School of Computing, Amrita Vishwa Vidyapeetham, Bengaluru, India</t>
  </si>
  <si>
    <t>Microservice architecture boosts scalability and flexibility by dividing applications into independent, loosely coupled services that can be developed, deployed, and scaled separately. This structure enables teams to work on various services concurrently, speeding up development and deployment processes. Microservices also enhance fault isolation, ensuring that a failure in one service doesn‚Äôt affect the entire application. Furthermore, they support the use of diverse technologies and frameworks, allowing developers to select the most suitable tools for each service.The cloud-based architecture comprising three distinct microservices: Product, Basket, and Ordering. Each microservice is seamlessly exposed to users via AWS API Gateway, facilitating efficient interactions with their respective resources. AWS Lambda functions underpin the business logic for each microservice, enabling serverless execution and scalability, while interfacing with DynamoDB tables to ensure fast and reliable data storage. Notably, the Basket microservice triggers a checkout event, which is processed by the AWS EventBridge event bus. This eventdriven approach leverages multiple EventBridge rules to manage complex workflows and ensure timely responses to various application events. The Ordering microservice further enhances the system‚Äôs efficiency by employing an AWS SQS queue for asynchronous order processing, thereby decoupling the order submission and processing stages for improved reliability and performance. The entire infrastructure is meticulously orchestrated with AWS CDK CloudFormation, providing a framework for scalable, consistent, and automated deployments. Comprehensive monitoring and logging are facilitated by Amazon CloudWatch, offering real-time insights and operational oversight to maintain the health and performance of the application. This architecture not only supports scalability and flexibility but also ensures a seamless and responsive user experience.</t>
  </si>
  <si>
    <t>https://ieeexplore.ieee.org/stamp/stamp.jsp?arnumber=10726037</t>
  </si>
  <si>
    <t>Product microservice;Basket microservice;Ordering microservice;EventBridge;AWS;CDK</t>
  </si>
  <si>
    <t>Scalability;Microservice architectures;Memory;Computer architecture;Logic gates;User experience;Real-time systems;Reliability;Logic;Monitoring</t>
  </si>
  <si>
    <t>Z. Wang; Y. Liu</t>
  </si>
  <si>
    <t>Cloud-Based XAI Services for Assessing Open Repository Models Under Adversarial Attacks</t>
  </si>
  <si>
    <t>10.1109/SSE62657.2024.00031</t>
  </si>
  <si>
    <t>Department of Electrical and Computer Engineering, Concordia University, Montr√©al, Qu√©bec, Canada; Department of Electrical and Computer Engineering, Concordia University, Montr√©al, Qu√©bec, Canada</t>
  </si>
  <si>
    <t>The opacity of AI models necessitates both validation and evaluation before their integration into services. To investigate these models, explainable AI (XAI) employs methods that elucidate the relationship between input features and output predictions. The operations of XAI extend beyond the execution of a single algorithm, involving a series of activities that include preprocessing data, adjusting XAI to align with model parameters, invoking the model to generate predictions, and summarizing the XAI results. Adversarial attacks are well-known threats that aim to mislead AI models. The assessment complexity, especially for XAI, increases when open-source AI models are subject to adversarial attacks due to various combinations. To automate the numerous entities and tasks involved in XAI - based assessments, we propose a cloud-based service framework that encapsulates computing components as microser-vices and organizes assessment tasks into pipelines. The current XAI tools are not inherently service-oriented. This framework also integrates open XAI tool libraries as part of the pipeline composition. We demonstrate the application of XAI services for assessing five quality attributes of AI models: (1) computational cost, (2) performance, (3) robustness, (4) explanation deviation, and (5) explanation resilience across computer vision and tabular cases. The service framework generates aggregated analysis that showcases the quality attributes for more than a hundred combination scenarios.</t>
  </si>
  <si>
    <t>https://ieeexplore.ieee.org/stamp/stamp.jsp?arnumber=10664210</t>
  </si>
  <si>
    <t>Software Engineering;Artificial Intelligence;Explainable AI;Adversarial Attacks;Cloud Services;Evaluation Frameworks</t>
  </si>
  <si>
    <t>Measurement;Computational modeling;Perturbation methods;Pipelines;Predictive models;Software;Robustness</t>
  </si>
  <si>
    <t>T. Lyu; N. Galkin; T. Liakh; C. -W. Yang; V. Vyatkin</t>
  </si>
  <si>
    <t>Methods of data streaming from IEC 61499 applications to Cloud storages</t>
  </si>
  <si>
    <t>10.1109/ISIE51358.2023.10228163</t>
  </si>
  <si>
    <t>Department of Electrical Engineering and Automation, Aalto University, Espoo, Finland; Department of Computer Science, Computer and Space Engineering, Lule√• Tekniska Universitet, Sweden; Department of Computer Science, Computer and Space Engineering, Lule√• Tekniska Universitet, Sweden; Department of Computer Science, Computer and Space Engineering, Lule√• Tekniska Universitet, Sweden; Department of Computer Science, Computer and Space Engineering, Lule√• Tekniska Universitet, Sweden</t>
  </si>
  <si>
    <t>This paper presents and discusses two methods for collecting data from decentralised control applications designed in IEC 61499 architecture. The topic is justified by the growing use of Cloud-based storage and presentation services in the Internet-of-Things systems. Enabling IEC 61499 devices with the capabilities of storing data in the Cloud and using web-based data presentation and data analytics is of great practical importance. Moreover, what is the most elegant way to configure such data streaming in IEC 61499 is an open question, to solving which this paper aims to provide state-of-the-art information.</t>
  </si>
  <si>
    <t xml:space="preserve">Horizon Europe; European Commission; </t>
  </si>
  <si>
    <t>https://ieeexplore.ieee.org/stamp/stamp.jsp?arnumber=10228163</t>
  </si>
  <si>
    <t>IEC61499;data streaming;OPC UA;Cloud services</t>
  </si>
  <si>
    <t>Industrial electronics;Cloud computing;Data analysis;Decentralized control;IEC Standards</t>
  </si>
  <si>
    <t>J. G√≥mez-delaHiz; A. Garc√≠a-L√≥pez; S. Garc√≠a-Gil; D. Ramos-Ramos; A. Fakhreddine; J. M. Murillo; J. Gal√°n-Jim√©nez</t>
  </si>
  <si>
    <t>Throughput-Energy Efficiency Trade-off in Microservices-Based UAV Networks</t>
  </si>
  <si>
    <t>10.1109/ISCC61673.2024.10733667</t>
  </si>
  <si>
    <t>Dept. of Computer Systems and Telematics Engineering, University of Extremadura, Spain; Dept. of Computer Systems and Telematics Engineering, University of Extremadura, Spain; Dept. of Computer Systems and Telematics Engineering, University of Extremadura, Spain; Dept. of Computer Systems and Telematics Engineering, University of Extremadura, Spain; Institute of Networked and Embedded Systems, University of Klagenfurt, Klagenfurt, Austria; Dept. of Computer Systems and Telematics Engineering, University of Extremadura, Spain; Dept. of Computer Systems and Telematics Engineering, University of Extremadura, Spain</t>
  </si>
  <si>
    <t>Rural areas broadband access suffers from the limited investment of network operators, due to the forecasted return on investment. As a consequence, digital services such as eHealth, remote education, or smart agriculture cannot be offered to the rural population. In this context, research on Unmanned Aerial Vehicles (UAV) networks has emerged, which aims to solve the coverage problem by relying on small cells mounted on UAVs to provide coverage. From the network Quality of Service (QoS) point of view, i.e., the performance offered to users according to certain parameters such as delay, reliability, and throughput provisioning can be identified as one of the weak points. For the problem of maximizing throughput, the main solution is to group several UAVs in the same area. However, as the offered throughput increases, the power consumption will also increase. In this context, this paper proposes a genetic algorithm to solve the problem of jointly maximizing the offered throughput in rural scenarios where users request microservice-based IoT applications while minimizing the energy consumption of the swarm of UAVs. The algorithm is defined and evaluated in realistic scenarios, demonstrating its effectiveness on increasing the throughput while decreasing the number of UAVs that are required.</t>
  </si>
  <si>
    <t xml:space="preserve">Ministry of Economy; Austrian Science Fund; </t>
  </si>
  <si>
    <t>https://ieeexplore.ieee.org/stamp/stamp.jsp?arnumber=10733667</t>
  </si>
  <si>
    <t>UAV;Throughput;Energy efficiency;Genetic algorithm;Rural areas;MSA</t>
  </si>
  <si>
    <t>Smart agriculture;Energy consumption;Microservice architectures;Quality of service;Throughput;Autonomous aerial vehicles;Telecommunications;Telecommunication network reliability;Investment;Genetic algorithms</t>
  </si>
  <si>
    <t>E. Marra; D. Leone; M. Liberati; L. Canetta</t>
  </si>
  <si>
    <t>Modular Platform Business Model to Unleash Manufacturing Small and Medium Enterprises' Potential by Democratizing and Fastening Digital Twin Based Solutions Development</t>
  </si>
  <si>
    <t>10.1109/ICE/ITMC61926.2024.10794355</t>
  </si>
  <si>
    <t>Department of Innovative Technologies, SUPSI, Lugano, Switzerland; Department of Innovative Technologies, SUPSI, Lugano, Switzerland; CiaoTech, PNO Group, Rome, Italy; Department of Innovative Technologies, SUPSI, Lugano, Switzerland</t>
  </si>
  <si>
    <t>Digitalization of business has been a growing trend in recent years and a strategic priority for many manufacturing companies. Nevertheless, companies are facing some challenges in these transformation processes, especially Small and Medium Enterprises (SMEs). A promising solution to overcome several obstacles can lie in the adoption of Digital Twin (DT) based solutions since they contribute increasing companies' resilience and flexibility while accelerating decision-making processes. But, although DTs provide several benefits, their development implies the consumption of a large amount of time and money, especially for companies with limited budgets and expertise, like SMEs. A valuable alternative can be provided through the adoption of Digital Platform that could provide quick and cheaper ways to develop digital solutions and services. In this work, the adoption of Digital Platform Innovation will be theorized and empirically validated through a case study addressed to support the development and go-to-market strategy of a new modular DT platform, within the EU funding support.</t>
  </si>
  <si>
    <t xml:space="preserve">European Commission(grant numbers:952071); </t>
  </si>
  <si>
    <t>https://ieeexplore.ieee.org/stamp/stamp.jsp?arnumber=10794355</t>
  </si>
  <si>
    <t>Manufacturing Digital Transformation;Digital Twins;New Business Models;Exploitation;Digital Twins-as-a-service (DTaaS)</t>
  </si>
  <si>
    <t>Resistance;Analytical models;Technological innovation;Costs;Companies;Market research;Manufacturing;Digital twins;Business;Resilience</t>
  </si>
  <si>
    <t>K. El Maghraouir; K. Tran; K. Ruby; B. Godoy; J. Murray; M. L. Gallo-Bourdeau; T. Deshane; P. Gonzalez; D. Moreda; H. Benmeziane; C. L. Lammie; J. B√ºchel; M. Rasch; A. Sebastian; V. Narayanan</t>
  </si>
  <si>
    <t>Analog AI as a Service: A Cloud Platform for In-Memory Computing</t>
  </si>
  <si>
    <t>10.1109/SSE62657.2024.00019</t>
  </si>
  <si>
    <t>IBM T. J. Watson Research Center, Yorktown Heights, NY, USA; IBM T. J. Watson Research Center, Yorktown Heights, NY, USA; IBM T. J. Watson Research Center, Yorktown Heights, NY, USA; IBM T. J. Watson Research Center, Yorktown Heights, NY, USA; IBM T. J. Watson Research Center, Yorktown Heights, NY, USA; IBM Research Europe, R√ºschlikon, Switzerland; IBM T. J. Watson Research Center, Yorktown Heights, NY, USA; IBM T. J. Watson Research Center, Yorktown Heights, NY, USA; IBM T. J. Watson Research Center, Yorktown Heights, NY, USA; IBM T. J. Watson Research Center, Yorktown Heights, NY, USA; IBM T. J. Watson Research Center, Yorktown Heights, NY, USA; IBM Research Europe, R√ºschlikon, Switzerland; IBM T. J. Watson Research Center, Yorktown Heights, NY, USA; IBM Research Europe, R√ºschlikon, Switzerland; IBM T. J. Watson Research Center, Yorktown Heights, NY, USA</t>
  </si>
  <si>
    <t>This paper introduces the Analog AI Cloud Composer platform, a service that allows users to access Analog In-Memory Computing (AIMC) simulation and computing resources over the cloud. We introduce the concept of an Analog AI as a Service (AAaaS). AIMC offers a novel approach for decreasing both the latency and energy usage associated with Deep Neural Network (DNN) inference and training. This platform democratizes access to AIMC computing, making it available to a broader audience, including researchers, developers, and businesses. Emphasizing a user-friendly, no-code approach, AAaaS integrates the Analog Hardware Acceleration Kit (AIHWKit) simulation platform within a fully managed cloud environment. We discuss the architecture of the Analog AI Cloud Composer (AAICC), focusing on its key services such as inference, training, and AIMC hardware access. The platform's design, grounded in cloud services and guidelines, ensures a secure, data-centric user experience with robust control and validation mechanisms.</t>
  </si>
  <si>
    <t>https://ieeexplore.ieee.org/stamp/stamp.jsp?arnumber=10664353</t>
  </si>
  <si>
    <t>Analog AI as a Service;Analog AI;In-memory Computing</t>
  </si>
  <si>
    <t>Training;Cloud computing;Scalability;Microservice architectures;Computer architecture;Artificial neural networks;In-memory computing</t>
  </si>
  <si>
    <t>M. Filppula; P. Kannisto; D. H√§stbacka</t>
  </si>
  <si>
    <t>Open Data Platform Tools for Energy Service Ecosystem in Urban Superblocks</t>
  </si>
  <si>
    <t>2023 IEEE 21st International Conference on Industrial Informatics (INDIN)</t>
  </si>
  <si>
    <t>2378-363X</t>
  </si>
  <si>
    <t>10.1109/INDIN51400.2023.10217855</t>
  </si>
  <si>
    <t>Superblocks, or large city-blocks with some degree of energy autonomy, have yet unanswered challenges related to data utilization. Within superblocks, a service-based data ecosystem could provide benefits in the form of higher-level control applications and flexibility for the energy community. In this paper, we use open data platforms and tools, namely FIWARE and Eclipse Arrowhead, to find a system design for energy data services. The research questions relate to recognizing what features and functions are required from data platforms to provide appropriate solution, and which of them are supported by the studied data platforms. The proposed solution is then tested with a prototype implementation in limited scale to gauge its viability. We conclude that FIWARE and Arrowhead complement each other and when used in unison fill most of the requirements established in this paper.</t>
  </si>
  <si>
    <t>978-1-6654-9313-0</t>
  </si>
  <si>
    <t>https://ieeexplore.ieee.org/stamp/stamp.jsp?arnumber=10217855</t>
  </si>
  <si>
    <t>Energy Management;Smart Building;Internet of Things (IoT);Energy community;Open Source;FIWARE;Eclipse Arrowhead</t>
  </si>
  <si>
    <t>Ecosystems;Prototypes;Informatics;Open data;System analysis and design</t>
  </si>
  <si>
    <t>B. Goyal; K. K. Dixit; A. Dogra; M. Nagar; S. V. Akram; J. Kaur</t>
  </si>
  <si>
    <t>Empowering Assets and Vehicles with Cutting-Edge ESP32 Real-Time Tracking System</t>
  </si>
  <si>
    <t>2024 11th International Conference on Computing for Sustainable Global Development (INDIACom)</t>
  </si>
  <si>
    <t>10.23919/INDIACom61295.2024.10498283</t>
  </si>
  <si>
    <t>Department Electronics and Communication Engineering, Chandigarh University, Punjab, India; Department of Electrical Engineering, GLA University, Mathura, India; Chitkara University Institute of Engineering and Technology Chitkara University, Punjab, India; Department of CSE, IES Institute of Technology and Management IES University, Bhopal, India; Department of ECE, Uttaranchal Institute of Technology Uttaranchal University, Dehradun, India; Dept of CSE, Gulzar Group of Institutions, Punjab, India</t>
  </si>
  <si>
    <t>In today‚Äôs fast-paced world, the need for real-time tracking technology has grown more and more significant, particularly for tracking assets and vehicles. The goal of this project is to equip vehicles and assets with a cutting-edge real-time tracking system based on the ESP32. To effectively track and monitor assets or vehicles, the system combines an ESP32 Wi-Fi board, a GPS Neo module, a SIM800 module, and a battery power source. This system is to create a real-time tracking system for cars and assets based on the ESP32. For effective tracking and monitoring, the system comprises an ESP32 Wi-Fi board, GPS Neo module, SIM800 module, and battery power supply. While the GPS Neo module enables precise location, the ESP32 handles wireless communication and processing. Innovative cellular connectivity is made possible for remote monitoring by the inclusion of the SIM800 module. The battery power source ensures continuous operation. This research demonstrates how these elements may be combined to produce a modern tracking system that will be useful for applications in asset management, transportation, and security. Numerous advantages come with the suggested ESP32-based real-time tracking system, including increased security, effective asset management, and improved logistical operations. It makes it possible for people and companies to keep track of the whereabouts and condition of their assets or vehicles instantly, enabling proactive decision-making, resource allocation, and general operational efficiency improvements.</t>
  </si>
  <si>
    <t>978-93-80544-51-9</t>
  </si>
  <si>
    <t>https://ieeexplore.ieee.org/stamp/stamp.jsp?arnumber=10498283</t>
  </si>
  <si>
    <t>Asset tracking;innovative;research vehicle tracking;ESP32;tracking with IoT monitoring;technology</t>
  </si>
  <si>
    <t>Wireless communication;Real-time systems;Batteries;Asset management;Security;Reliability;Monitoring</t>
  </si>
  <si>
    <t>P. Jacquet; T. Ledoux; R. Rouvoy</t>
  </si>
  <si>
    <t>SweetspotVM: Oversubscribing CPU without Sacrificing VM Performance</t>
  </si>
  <si>
    <t>10.1109/CCGrid59990.2024.00026</t>
  </si>
  <si>
    <t>CNRS, UMR9189 CRIStAL, Inria, Univ.Lille, France; LS2N, UMR CNRS 6004, IMT Atlantique, Inria, France; CNRS, UMR9189 CRIStAL, Univ.Lille, Inria, France</t>
  </si>
  <si>
    <t>The adoption of computing resources oversubscription in cloud environments is conventionally limited to a restricted subset of Virtual Machines (VMs) within the providers‚Äô offerings, primarily driven by performance considerations. So far, VMs schedulers mostly implement all-or-nothing oversubscription strategies, wherein all VM resources are either oversubscribed or remain unaltered. While the former strategy offers higher consolidation rates, the latter delivers better performance guarantees.In this paper, we conducted an empirical study of the individual usage of virtual CPUs (vCPUs) in the OVHCloud production environment and we demonstrate that, as they are not uniformly utilized, the current holistic approach may not be appropriate. Based on these observations, we introduce a novel approach, named SweetspotVM, where oversubscription ratios are applied at the granularity of individual vCPU, instead of the whole VMs. This novel paradigm unlocks a more flexible oversubscription management strategy, pinning oversubscription ratios per vCPU within VMs. We present a prototype of SweetspotVM to illustrate the feasibility of accommodating multiple oversubscription levels within a single host and assigning them to individual vCPU.We assess the viability of our approach on a physical platform, demonstrating the possibility of dividing the cost of hosting VMs by 3, while maintaining the VMs performance at the level of non-oversubscribed platforms. We, therefore, believe that SweetspotVM opens new avenues to boost the consolidation of VMs on a reduced number of servers, with positive impacts on the environmental footprint of cloud computing.</t>
  </si>
  <si>
    <t>https://ieeexplore.ieee.org/stamp/stamp.jsp?arnumber=10701371</t>
  </si>
  <si>
    <t>Cloud;Oversubscription;IaaS</t>
  </si>
  <si>
    <t>Industries;Cloud computing;Costs;Customer services;Prototypes;Production;Software;Servers;Resource management;Tuning</t>
  </si>
  <si>
    <t>S. Bonafini; C. Sacchi; F. Granelli; S. T. Arzo; M. Devetsikiotis; K. Kondepu</t>
  </si>
  <si>
    <t>HW/SW Development of Cloud-RAN in 3D Networks: Computational and Energy Resources for Splitting Options</t>
  </si>
  <si>
    <t>2023 IEEE Aerospace Conference</t>
  </si>
  <si>
    <t>10.1109/AERO55745.2023.10115760</t>
  </si>
  <si>
    <t>Department of Information Engineering and Computer Science (DISI), University of Trento, Trento, Italy; Department of Information Engineering and Computer Science (DISI), University of Trento, Trento, Italy; Department of Information Engineering and Computer Science (DISI), University of Trento, Trento, Italy; Electrical and Computer Engineering Department (ECE), University of New Mexico, Albuquerque, New Mexico; Electrical and Computer Engineering Department (ECE), University of New Mexico, Albuquerque, New Mexico; Department of Computer Science and Engineering, Indian Institute of Technology Dharwad, Karnataka, India</t>
  </si>
  <si>
    <t>The continuous increase in demanding for availability and ultra-reliability of low-latency and broadband wireless connections is instigating further research in the standardization of next-generation mobile systems. 6G networks, among other benefits, should offer global ubiquitous mobility thanks to the utilization of the Space segment as an intelligent yet autonomous ecosystem. In this framework, multi-layered networks will take charge of providing connectivity by implementing Cloud-Radio Access Network (C-RAN) functionalities on heterogeneous nodes distributed over aerial and orbital segments. Unmanned Aerial Vehicles (UAVs), High-Altitude Plat-forms (HAPs), and small satellites compose the Space ecosystem encompassing the 3D networks. Recently, a lot of interest has been raised about splitting operations to distribute baseband processing functionalities among such nodes to balance the computational load and reduce the power consumption. This work focuses on the hardware development of C-RAN physical (PHY-) layer operations to derive their computational and energy demand. More in detail, the 5G Downlink Shared Channel (DLSCH) and the Physical Downlink Shared Channel (PDSCH) are first simulated in MATLAB environment to evaluate the variation of computational load depending on the selected splitting options and number of antennas available at transmitter (TX) and receiver (RX) side. Then, the PHY-layer processing chain is software-implemented and the various splitting options are tested on low-cost processors, such as Raspberry Pi (RP) 3B+ and 4B. By overclocking the RPs, we compute the execution time and we derive the instruction count (IC) per program for each considered splitting option so to achieve the mega instructions per second (MIPS) for the expected processing time. Finally, by comparing the performance achieved by the employed RPs with that of Nvidia Jetson Nano (JN) processor used as benchmark, we shall discuss about size, weight, power and cost (SWaP-C) metrics related to the UAV payload design.</t>
  </si>
  <si>
    <t>978-1-6654-9032-0</t>
  </si>
  <si>
    <t>https://ieeexplore.ieee.org/stamp/stamp.jsp?arnumber=10115760</t>
  </si>
  <si>
    <t>Space vehicles;Three-dimensional displays;Baseband;Costs;Program processors;Power demand;Ecosystems</t>
  </si>
  <si>
    <t>K. A. Makoveichuk; A. V. Olifirov; S. A. Petrenko; Y. T. Makoveichuk; A. N. Kazak</t>
  </si>
  <si>
    <t>Methodology for Applying IIoT Architecture to Design IIOT Systems in the Agricultural Sector of the Russian Federation</t>
  </si>
  <si>
    <t>2023 Seminar on Information Computing and Processing (ICP)</t>
  </si>
  <si>
    <t>10.1109/ICP60417.2023.10397095</t>
  </si>
  <si>
    <t>Department of Data Analysis and Machine Learning, Financial University under the Government of the Russian Federation, Moscow, Russia; Department of Economics and Finance, V.I. Vernadsky Crimean Federal University, Yalta, Russia; Department of Information Security, Saint Petersburg Electrotechnical University ‚ÄúLETI‚Äù, Saint Petersburg, Kazan, Russia; Department of Data Analysis and Machine Learning, Financial University under the Government of the Russian Federation, Moscow, Russia; Department of Management and Tourism Business, V.I. Vernadsky Crimean Federal University, Yalta, Russia</t>
  </si>
  <si>
    <t>The article presents the results of the study of Industrial Internet of Things (IIoT) technologies for the agricultural sector, taking into account international experience for the period 2004 - 2021, and proposes a methodology for applying IIoT architecture to design IIOT systems in the agricultural sector of Russia. A two-factor classification of IIoT systems in agriculture has been made. A typical conceptual scheme of intelligent IIoT system for viticulture and winemaking has been developed. The architecture of a typical IIoT system is analyzed, taking into account the observance of information security in data processing and transmission. An analysis of the current state and prospects for the implementation of IoT in the Russian wine industry has been carried out. A business process model is presented in the concept of BPME (BPM Everywhere) for the production of a certain brand of wine. The model in a non-decomposed form shows sub-processes with and without IoT, using traditional ‚Äúmanual‚Äù methods, as well as taking into account the impact of various business processes on production efficiency and product quality. The reasons for the lag and growth drivers for the use of IIoT in agrosector are identified.</t>
  </si>
  <si>
    <t>979-8-3503-6983-0</t>
  </si>
  <si>
    <t>https://ieeexplore.ieee.org/stamp/stamp.jsp?arnumber=10397095</t>
  </si>
  <si>
    <t>Industrial Internet of things;IIoT architecture;agricultural sector;RFID tags;Business process;BPM Everywhere;model</t>
  </si>
  <si>
    <t>Seminars;Wine industry;Production;Computer architecture;Manuals;Product design;Agriculture</t>
  </si>
  <si>
    <t>M. Vitali; P. Schmiedmayer; V. Bootz</t>
  </si>
  <si>
    <t>Enriching Cloud-native Applications with Sustainability Features</t>
  </si>
  <si>
    <t>10.1109/IC2E59103.2023.00011</t>
  </si>
  <si>
    <t>DEIB, Politecnico di Milano, Milan, Italy; Department of Informatics, Technical University of Munich, Munich, Germany; Department of Informatics, Technical University of Munich, Munich, Germany</t>
  </si>
  <si>
    <t>Due to the ever-growing demand for computational resources, the environmental impact of data centers is continuously increasing. Recently, a great effort has been made to mitigate this impact, while the demand for computational resources has continued to grow. Current mitigation strategies focus on the infrastructure perspective, while the application perspective has been neglected. This paper aims to engage application designers and developers on the path to greener application design. Following the Sustainable Application Design Process (SADP) methodology, we introduce a Sustainable Application Design Architecture (SADA) for enriching cloud-native application components with sustainability features that can be exploited to adapt the application workflow to the environmental context. The architecture enables synergies from design to deployment between all stakeholders involved in the application management. The paper focuses on enriching the application with sustainability features in the design and development phases. We also present and discuss a prototype that can translate design-level sustainability features into development features.</t>
  </si>
  <si>
    <t>https://ieeexplore.ieee.org/stamp/stamp.jsp?arnumber=10305842</t>
  </si>
  <si>
    <t>cloud-native applications;green IS;application design;adaptive workflow;microservices</t>
  </si>
  <si>
    <t>Green products;Prototypes;Microservice architectures;Computer architecture;Quality of service;Energy efficiency;Stakeholders</t>
  </si>
  <si>
    <t>J. Hu; Z. Ren</t>
  </si>
  <si>
    <t>DOCF: A Task-Agnostic Dispersed Collaborative Computing Framework for Aerospace Multi-Agent System</t>
  </si>
  <si>
    <t>2023 International Conference on Future Communications and Networks (FCN)</t>
  </si>
  <si>
    <t>10.1109/FCN60432.2023.10543695</t>
  </si>
  <si>
    <t>State Key Laboratory of Integrated Services Networks, Xidian University, Xi‚Äôan, China; State Key Laboratory of Integrated Services Networks, Xidian University, Xi‚Äôan, China</t>
  </si>
  <si>
    <t>Collaborative computing for aerospace Multi-Agent System (MAS) has become an attractive technology in both academia and industry. Most researches focused on the performance enhancement for specific mission scenarios, which limits their versatility, increases their burden, and leads to a lot of duplicate investment. To relieve this tension, a task-agnostic dispersed collaborative computing framework (DOCF) for aerospace MAS is proposed. The core idea is the separation of strategy generation and data computation. In the strategy generation phase, the strategy that supports various missions with adaption to the features of aerospace MAS (i.e., decentralized and dynamic environment) can be computed distributedly by diffusing the task model and network information to the network. In the data computation phase, the data is processed step by step and the mission can be accomplished by orchestrating the resources of agents based on the strategy. Moreover, the sequence diagram of the proposed framework is demonstrated and the use cases are discussed. Through analysis, the proposed framework can provide a generic approach that can be applied to performing various missions with adaptation to the decentralized and dynamic environment.</t>
  </si>
  <si>
    <t>979-8-3503-9603-4</t>
  </si>
  <si>
    <t>https://ieeexplore.ieee.org/stamp/stamp.jsp?arnumber=10543695</t>
  </si>
  <si>
    <t>Dispersed collaboration computing framework;aerospace multi-agent system;task-agnostic</t>
  </si>
  <si>
    <t>Industries;Adaptation models;Computational modeling;Collaboration;Aerodynamics;Task analysis;Aerospace industry</t>
  </si>
  <si>
    <t>L. Amrutha; D. S. Jayalakshmi; J. Geetha</t>
  </si>
  <si>
    <t>Enhancing Deployment and Performance Measurement of Serverless Cloud Microservices with Warm Start</t>
  </si>
  <si>
    <t>10.1109/ICCCNT61001.2024.10725992</t>
  </si>
  <si>
    <t>Department of Computer Science and Engineering, Ramaiah Institute of Technology, Bangalore, India; Department of Computer Science and Engineering, Ramaiah Institute of Technology, Bangalore, India; Department of Computer Science and Engineering, Ramaiah Institute of Technology, Bangalore, India</t>
  </si>
  <si>
    <t>This paper introduces a comprehensive framework for deploying and evaluating the performance of applications in serverless cloud environments for microservices. It addresses challenges stemming from the distributed nature of microservices and the imperative to protect sensitive data. Key aspects covered include architectural design considerations, emphasizing decomposition into independent microservices with clear interfaces. Robust security mechanisms such as encryption, authentication, and authorization are discussed for safeguarding data shared between microservices. Deployment strategies on serverless cloud platforms like AWS Lambda are explored, highlighting benefits like automatic scaling and cost efficiency. The framework also integrates warm start techniques to mitigate cold start latency issues commonly associated with serverless computing. Techniques for monitoring and logging performance metrics such as responses times, error rate, and supply usage are discussed. Real-world case studies demonstrate the practical implementation and effectiveness of the framework in overcoming challenges associated with deploying an application in serverless cloud environments for microservices.</t>
  </si>
  <si>
    <t>https://ieeexplore.ieee.org/stamp/stamp.jsp?arnumber=10725992</t>
  </si>
  <si>
    <t>Microservices architecture;Serverless computing;Cloud deployment;AWS;Performance measurement;Warm Start</t>
  </si>
  <si>
    <t>Measurement;Authorization;Costs;Error analysis;Microservice architectures;Serverless computing;Distributed databases;Encryption;Security;Monitoring</t>
  </si>
  <si>
    <t>G. Antoniou; H. Volos; Y. Sazeides</t>
  </si>
  <si>
    <t>Taming Performance Variability caused by Client-Side Hardware Configuration</t>
  </si>
  <si>
    <t>10.1109/IISWC63097.2024.00018</t>
  </si>
  <si>
    <t>University of Cyprus; University of Cyprus; University of Cyprus</t>
  </si>
  <si>
    <t>Many online services running in datacenters are implemented using a microservice software architecture characterized by strict latency requirements. Consequently, this popular software paradigm is increasingly used for the performance evaluation of server systems. Due to the scale and complexity of datacenters, the evaluation of server optimization techniques is usually done on a smaller scale using a client-server model. Although the experimental details of the server side are excessively described in most publications, the client side is often ignored. This paper identifies the hardware configuration of the client side as an important source of performance variation that can affect the accuracy and the correctness of the conclusions of a study that analyzes the performance of microservices. This is partially attributed to the strict latency requirements of microservices and the small scale of the experimental environment.In this work we present, using a widely used online-service, several examples where the accuracy and the trends of the conclusions differ based on the configuration of the client-side. At the same time we show that the experimental evaluation time can be significantly affected by the hardware configuration of the client. All these provoke the discussion of the right way to configure the experimental environment for assessing the performance of microservices.</t>
  </si>
  <si>
    <t>https://ieeexplore.ieee.org/stamp/stamp.jsp?arnumber=10763789</t>
  </si>
  <si>
    <t>performance variability;client-side;hardware configuration;microservices</t>
  </si>
  <si>
    <t>Performance evaluation;Accuracy;Microservice architectures;Market research;Hardware;Software;Generators;Complexity theory;Servers;Optimization</t>
  </si>
  <si>
    <t>V. Berry; A. Castelltort; B. Lange; J. Teriihoania; C. Tibermacine; C. Trubiani</t>
  </si>
  <si>
    <t>Is it Worth Migrating a Monolith to Microservices? An Experience Report on Performance, Availability and Energy Usage</t>
  </si>
  <si>
    <t>10.1109/ICWS62655.2024.00112</t>
  </si>
  <si>
    <t>Polytech Engineering School, LIRMM, Universit√© Montpellier, CNRS, Montpellier, France; Polytech Engineering School, LIRMM, Universit√© Montpellier, CNRS, Montpellier, France; ZENITH Team INRIA &amp; LIRMM, Montpellier, France; Polytech Engineering School, Universit√© Montpellier, Montpellier, France; Polytech Engineering School, LIRMM, Universit√© Montpellier, CNRS, Montpellier, France; Computer Science Department, Gran Sasso Science Institute, L‚ÄôAquila, Italy</t>
  </si>
  <si>
    <t>The microservice architecture (MSA) emerged as an evolution of existing architectural styles with the promise of improving software quality by decomposing an app into modules that can be maintained, deployed, and scaled independently. However, the transition from a monolithic to a microservice architecture is fraught with difficulties, especially when it comes to assessing qualitative aspects, as controversial results can arise. In this paper, we present an experience report on the migration of a monolithic web application and use performance, availability and energy efficiency as quality attributes to shed light on such an architectural transition. Horizontal scaling, i.e., distributing the workload across several service instances, is applied and we study its impact.Our main findings are: i) when no app component is replicated, MSA outperforms the monolithic architecture; ii) the monolithic architecture shows performance and availability improvement when replicating the entire app; iii) the replicated MSA version reaches a ceiling when not replicating its routing part (i.e., the API gateway), showing worse response times compared to the replicated monolith; iv) when replicating the API gateway, the MSA version reaches optimal performance with fewer replicates than the monolith; v) when not replicating services, MSA consumes more CPU resources than the monolithic architecture; vi) when scaling up, the MSA version is more efficient than the replicated monolith in terms of memory usage, and it can better exploit CPU resources; vii) when not replicating services, MSA consumes more energy than the monolithic architecture, whereas when scaling up, the MSA version is more efficient than the replicated monolith; MSA version reaches a good balance between CPU and memory usage.</t>
  </si>
  <si>
    <t>https://ieeexplore.ieee.org/stamp/stamp.jsp?arnumber=10707516</t>
  </si>
  <si>
    <t>Microservices;architecture migration;horizontal scaling;load tests;performance;availability;energy usage</t>
  </si>
  <si>
    <t>Energy consumption;Web services;Memory management;Microservice architectures;Software quality;Logic gates;Routing;Energy efficiency;Time factors;Testing</t>
  </si>
  <si>
    <t>J. Feng; D. Lin</t>
  </si>
  <si>
    <t>Top-level design of AI monitoring system architecture based on multi-interactive metaverse strategy</t>
  </si>
  <si>
    <t>2024 7th International Conference on Computer Information Science and Application Technology (CISAT)</t>
  </si>
  <si>
    <t>10.1109/CISAT62382.2024.10695278</t>
  </si>
  <si>
    <t>School of Information Engineering, Hainan Vocational University of Science and Technology, Hainan, China; School of Computer Science and Technology, Harbin Engineering University, China</t>
  </si>
  <si>
    <t>The metaverse represents a groundbreaking concept for the next generation of the Internet and social forms. It maps both the real world and the virtual world into a unified digital space, creating a parallel universe that seamlessly blends virtual and physical realities. In this paper, we explores the technological foundations and applications of the metaverse across various scenarios. First, based on the multi-interaction of the metaverse strategy, the top-level design of Artificial Intelligence(AI) monitoring system is carried out. Then, the practical application cases of artificial intelligence(AI) monitoring system architecture design are presented. This architecture is an open system that requires continuous improvement and supplementation. With the development of advanced AI technologies and hardware supplements, the metaverse will become increasingly refined and comprehensive.</t>
  </si>
  <si>
    <t>979-8-3503-7510-7</t>
  </si>
  <si>
    <t xml:space="preserve">Natural Science Foundation of Hainan Province; </t>
  </si>
  <si>
    <t>https://ieeexplore.ieee.org/stamp/stamp.jsp?arnumber=10695278</t>
  </si>
  <si>
    <t>metaverse;AI monitoring system;architecture design;application case</t>
  </si>
  <si>
    <t>Information science;Metaverse;Refining;Systems architecture;Open systems;Hardware;Internet;Artificial intelligence;Monitoring;Next generation networking</t>
  </si>
  <si>
    <t>E. Maltsev</t>
  </si>
  <si>
    <t>Enhancing Inter-Service Communication Through Multi-Baseline Delta Encoding</t>
  </si>
  <si>
    <t>2024 IEEE 17th International Conference on Advanced Trends in Radioelectronics, Telecommunications and Computer Engineering (TCSET)</t>
  </si>
  <si>
    <t>10.1109/TCSET64720.2024.10755788</t>
  </si>
  <si>
    <t>Department of Electronic Computing Machines, Lviv Polytechnic National University, Lviv, Ukraine</t>
  </si>
  <si>
    <t>In this study, we explore the potential of multi-baseline delta encoding (MDE) to enhance latency in distributed systems, specifically within the context of data-intensive inter-service communication using messaging brokers like Kafka. Unlike traditional delta encoding, which transmits differences between sequential data points, our approach is to transmit differences relative to baselines determined by time windows and unique identifiers. These baselines are stored in a shared registry, ensuring they are accessible to both producers and consumers for consistency and synchronization. In all distributed experiments, we use setups based on message brokers, and we aim to maintain the robustness and scalability of the messaging infrastructure while reducing the volume of transmitted data. We hypothesize that MDE can reduce message size by 20 % and overall latency by at least 10 %. Through a series of experiments and performance evaluations across diverse scenarios, we assess the efficacy of this approach in reducing latency and improving space efficiency. Our results are promising, showing a significant reduction in the serialized size of up to 44 % and median inter-service latency of up to 32 % compared to regular Avro encoding in certain scenarios.</t>
  </si>
  <si>
    <t>979-8-3315-2056-4</t>
  </si>
  <si>
    <t>https://ieeexplore.ieee.org/stamp/stamp.jsp?arnumber=10755788</t>
  </si>
  <si>
    <t>delays;encoding;information exchange;low latency communication;message-oriented middleware;performance evaluation</t>
  </si>
  <si>
    <t>Performance evaluation;Scalability;Distributed databases;Market research;Encoding;Robustness;Telecommunications;Synchronization</t>
  </si>
  <si>
    <t>R. Canal; C. Chenet; A. Arelakis; J. -M. Arnau; J. L. Berral; A. Call; S. Di Carlo; J. J. Costa; D. Gizopoulos; V. Karakostas; F. Lubrano; K. Nikas; Y. Nikolakopoulos; B. Otero; G. Papadimitriou; I. Papaefstathiou; D. Pnevmatikatos; D. Raho; A. Rigo; E. Rodr√≠guez; A. Savino; A. Scionti; N. Tampouratzis; A. Torregrosa</t>
  </si>
  <si>
    <t>VITAMIN-V: Virtual Environment and Tool-Boxing for Trustworthy Development of RISC-V Based Cloud Services</t>
  </si>
  <si>
    <t>2023 26th Euromicro Conference on Digital System Design (DSD)</t>
  </si>
  <si>
    <t>2771-2508</t>
  </si>
  <si>
    <t>10.1109/DSD60849.2023.00050</t>
  </si>
  <si>
    <t>Universitat Polit√®cnica de Catalunya, Spain; Politecnico di Torino, Italy; ZeroPoint Technologies AB, Sweden; Semidynamics, Spain; Universitat Polit√®cnica de Catalunya, Spain; Barcelona Supercomputing Center, Spain; Politecnico di Torino, Italy; Universitat Polit√®cnica de Catalunya, Spain; University of Athens, Greece; University of Athens, Greece; LINKS Foundation, Italy; Institute of Communication &amp; Computer Systems, Greece; ZeroPoint Technologies AB, Sweden; Universitat Polit√®cnica de Catalunya, Spain; University of Athens, Greece; Exapsys, Greece; Institute of Communication &amp; Computer Systems, Greece; Virtual Open Systems, France; Virtual Open Systems, France; Universitat Polit√®cnica de Catalunya, Spain; Politecnico di Torino, Italy; LINKS Foundation, Italy; Exapsys, Greece; Semidynamics, Spain</t>
  </si>
  <si>
    <t>VITAMIN-V is a 2023‚Äì2025 Horizon Europe project that aims to develop a complete RISC-V open-source software stack for cloud services with comparable performance to the cloud-dominant x86 counterpart and a powerful virtual execution environment for software development, validation, verification, and testing that considers the relevant RISC-VISA extensions for cloud deployment. VITAMIN-V will specifically support the RISC-V extensions for virtualization, cryptography, and vec-torization in three virtual environments: QEMU, gem5, and cloud FPGA prototype platforms. The project will focus on European Processor Initiative (EPI) based RISC-V designs and accelerators. VITAMIN-V will also support the ISA extensions by adding the compiler and toolchain support. Furthermore, it will develop novel software validation, verification, and testing approaches to ensure software trustworthiness. To enable the execution of complete cloud stacks, VITAMIN-V will port all necessary machine-dependent modules in relevant open-source cloud software distributions, focusing on three cloud setups. Finally, VITAMIN-V will demonstrate and benchmark these three cloud setups using relevant AI, big-data, and serverless applications. VITAMIN-V aims to match the software performance of its x86 equivalent while contributing to RISC-V open-source virtual environments, software validation, and cloud software suites.</t>
  </si>
  <si>
    <t>979-8-3503-4419-6</t>
  </si>
  <si>
    <t>https://ieeexplore.ieee.org/stamp/stamp.jsp?arnumber=10456836</t>
  </si>
  <si>
    <t>Cloud computing;RISC-V;virtual environments;trustworthy applications</t>
  </si>
  <si>
    <t>Industries;Cloud computing;Technological innovation;Europe;Computer architecture;Software performance;Benchmark testing</t>
  </si>
  <si>
    <t>P. Raith; G. Rattihalli; A. Dhakal; S. R. Chalamalasetti; D. Milojicic; E. Frachtenberg; S. Nastic; S. Dustdar</t>
  </si>
  <si>
    <t>Opportunistic Energy-Aware Scheduling for Container Orchestration Platforms Using Graph Neural Networks</t>
  </si>
  <si>
    <t>10.1109/CCGrid59990.2024.00042</t>
  </si>
  <si>
    <t>TU Wien, Vienna, Austria; Hewlett Packard Labs, Milpitas, USA; Hewlett Packard Labs, Milpitas, USA; Hewlett Packard Labs, Milpitas, USA; Hewlett Packard Labs, Milpitas, USA; Hewlett Packard Labs, Milpitas, USA; TU Wien, Vienna, Austria; TU Wien, Vienna, Austria</t>
  </si>
  <si>
    <t>Reducing the energy consumption of data centers is critical to meeting international climate goals and lowering operation costs. Container orchestration platforms can help counteract this trend by optimally placing applications across the infrastructure to increase resource utilization and reduce energy consumption. But platforms in use today are still energy-agnostic and do not offer any insights into energy consumption. In this paper, we present a monitoring framework and a new modeling approach for resource usage in data centers. The model captures heterogeneous hardware and software and acts as input for a Graph Neural Network (GNN) to predict power consumption. Based on this model, we derive a set of container scheduling algorithms that opportunistically schedule applications based on the estimated energy impact of incoming containers. Our results show that the GNN-based prediction model is very accurate and achieves an average RMSE (Root Mean Square Error) of 7.5%. We have implemented a custom scheduler to demonstrate the benefits of using our prediction, and our scheduler can decrease energy consumption on average by 6.2% without any code changes for the application and without increasing workload completion time compared to the default Kubernetes scheduler.</t>
  </si>
  <si>
    <t>https://ieeexplore.ieee.org/stamp/stamp.jsp?arnumber=10701405</t>
  </si>
  <si>
    <t>GNN;Energy estimation;energy-aware scheduler</t>
  </si>
  <si>
    <t>Energy consumption;Data centers;Schedules;Power demand;Scheduling algorithms;Containers;Predictive models;Graph neural networks;Data models;Software</t>
  </si>
  <si>
    <t>B. M. Khorsandi; M. Asif Habibi; G. Avino; S. Barmpounakis; G. Bernini; M. Ericson; B. Han; I. L. Pav√≥n; J. Mar√≠a Jorquera Valero; D. R. Lopez; B. Richerzhagen; R. B. Rouphael; M. Saimler; L. Scheuvens; C. K. Schindhelm; P. Schneider; T. Svensson; S. Wunderer</t>
  </si>
  <si>
    <t>Enabling Hexa-X 6G Vision: An End-to-End Architecture</t>
  </si>
  <si>
    <t>10.1109/EuCNC/6GSummit60053.2024.10597113</t>
  </si>
  <si>
    <t>Nokia, Germany; RPTU, Germany; LIST, Luxembourg; WINGS, Greece; Nextworks, Italy; Ericsson, Sweden; RPTU, Germany; Atos, Spain; University of Murcia, Spain; Telefonica, Spain; Siemens, Germany; Orange, France; Ericsson, Turkey; TU Dresden, Germany; Siemens, Germany; Nokia, Germany; Chalmers, Sweden; Nokia, Germany</t>
  </si>
  <si>
    <t>The end-to-end (E2E) architecture for the 6th generation of mobile network (6G) necessitates a comprehensive design, considering emerging use cases (UCs), requirements, and key value Indicators (KVIs). These UCs collectively share stringent requirements of extreme connectivity, inclusivity, and flexibility imposed on the architecture and its enablers. Furthermore, the trustworthiness and security of the 6G architecture must be enhanced compared to previous generations, owning to the expected increase in security threats and more complex UCs that may expose new security vulnerabilities. Additionally, sustainability emerges as a critical design consideration in the 6G architecture. In light of these new set of values and requirements for 6G, this paper aims to describe an architecture proposed within the Hexa-X, the European 6G flagship project, capable of enabling the above-mentioned 6G vision for the 2030s and beyond.</t>
  </si>
  <si>
    <t>https://ieeexplore.ieee.org/stamp/stamp.jsp?arnumber=10597113</t>
  </si>
  <si>
    <t>6G mobile communication;Wireless communication;Wireless sensor networks;Ecosystems;Europe;Ad hoc networks;Sensors</t>
  </si>
  <si>
    <t>D. Stavropoulos; P. Tzimotoudis; T. Korakis</t>
  </si>
  <si>
    <t>Design and Development of an IoT Smart Home and Smart Grid Testbed in a Residential Living Lab</t>
  </si>
  <si>
    <t>10.23919/IFIPNetworking62109.2024.10619822</t>
  </si>
  <si>
    <t>Department of Electrical and Computer Engineering, University of Thessaly, Greece; Department of Electrical and Computer Engineering, University of Thessaly, Greece; Department of Electrical and Computer Engineering, University of Thessaly, Greece</t>
  </si>
  <si>
    <t>In this paper, we describe the design process for the deployment of a 50-household IoT smart home and smart grid testbed in a residential living lab environment. We examine our design choices and how we have implemented an ‚Äúhourglass‚Äù paradigm with MQTT at its core to provide the necessary extensibility, modularity, and compatibility. The testbed is constructed utilizing peripheral devices such as commercially available off-the-shelf (COTS) sensors and gateways based on single board computers (SBCs) running open-source home automation frameworks. Furthermore, we address the development of essential tools vital for the ongoing monitoring and maintenance of the testbed infrastructure. Finally, we discuss on how we enabled efficient data discovery and exchange through ontologies and a semantically interoperable framework in order to support a series of illustrative pilot use cases that highlight the practicality and potential of our testbed. These include the application of machine learning techniques to facilitate data analytics, the orchestration of user engagement strategies, and the implementation of demand response schemes.</t>
  </si>
  <si>
    <t>https://ieeexplore.ieee.org/stamp/stamp.jsp?arnumber=10619822</t>
  </si>
  <si>
    <t>IoT;smart home;smart grid;living lab;testbed;data interoperability;experimental infrastructure</t>
  </si>
  <si>
    <t>Smart homes;Machine learning;Ontologies;Logic gates;Extensibility;Demand response;Smart grids</t>
  </si>
  <si>
    <t>N. Patel; A. Mamandipoor; M. Nouri; M. Alian</t>
  </si>
  <si>
    <t>SmartDIMM: In-Memory Acceleration of Upper Layer Protocols</t>
  </si>
  <si>
    <t>2024 IEEE International Symposium on High-Performance Computer Architecture (HPCA)</t>
  </si>
  <si>
    <t>10.1109/HPCA57654.2024.00032</t>
  </si>
  <si>
    <t>University of Kansas; University of Kansas; University of Kansas; University of Kansas</t>
  </si>
  <si>
    <t>There has been significant focus on offloading upperlayer network protocols (ULPs) to accelerators located on CPUs and SmartNICs. However, restricting accelerator placement to these locations limits both the variety of ULPs that can be accelerated and the overall performance. In particular, it overlooks the opportunity to accelerate ULPs running atop a stateful transport protocol in the face of high cache contention. That is, at high network rates, the frequent DRAM accesses and SmartNIC-CPU synchronizations outweigh the benefits of hardware acceleration. This work introduces SmartDIMM, which unlocks the opportunity for accelerating ULPs running atop stateful transport protocols that primarily operate on data stored in DRAM. We prototyped SmartDIMM using Samsung's AxDIMM and implemented endto-end offloading of (de/en)cryption and (de)compression‚Äì two ULPs widely employed in datacenters. We then compared the performance of SmartDIMM with accelerator placements on the CPU, SmartNIC, and PCIe cards. Our results demonstrate that ULP offloading on SmartDIMM outperforms CPU, SmartNIC and PCIe-based offload configurations. In comparison to a server executing (de/en)cryption and (de)compression on the CPU, SmartDIMM achieves 21.0% to 10.28 √ó higher requests per second and 36.3% to 88.9% lower memory bandwidth utilization.</t>
  </si>
  <si>
    <t>979-8-3503-9313-2</t>
  </si>
  <si>
    <t>https://ieeexplore.ieee.org/stamp/stamp.jsp?arnumber=10476416</t>
  </si>
  <si>
    <t>Processing near-memory;Datacenter-scale systems and architectures;End-host Networking</t>
  </si>
  <si>
    <t>Transport protocols;Performance evaluation;Random access memory;Computer architecture;Bandwidth;Programming;Servers</t>
  </si>
  <si>
    <t>Y. Pimpalkar; S. Ravindran; J. Bapat; D. Das</t>
  </si>
  <si>
    <t>New Attacks on Cloud Container-Based IoT Systems in 5G-Advanced and Beyond</t>
  </si>
  <si>
    <t>2023 IEEE International Conference on Electronics, Computing and Communication Technologies (CONECCT)</t>
  </si>
  <si>
    <t>2766-2101</t>
  </si>
  <si>
    <t>10.1109/CONECCT57959.2023.10234780</t>
  </si>
  <si>
    <t>Networking and Communication Research Lab International Institute of Information Technology, Electronics City, Bangalore, India; Networking and Communication Research Lab International Institute of Information Technology, Electronics City, Bangalore, India; Networking and Communication Research Lab International Institute of Information Technology, Electronics City, Bangalore, India; Networking and Communication Research Lab International Institute of Information Technology, Electronics City, Bangalore, India</t>
  </si>
  <si>
    <t>The Internet of Things (IoT) devices generate a large amount of data that get processed in the cloud. Typically, different IoT devices will be allocated to the same Fifth Generation (5G) mobile network slice, on which the IoT services will be using different containers. While cloud containers can offer many benefits, they also introduce new security risks from co-resident containers that can be particularly problematic for IoT devices. The need for long-lasting batteries is essential for the success of wireless-connected IoT devices, particularly in applications where regular battery replacement is impractical or impossible. Energy Depletion Attacks (EDA) can drastically reduce the lifespan of IoT sensor device batteries, whereas Synergistic Power Attacks (SPA) can cause power outages in data centers and disrupt critical services. Although EDA and SPA have been studied in the literature, the IoT cloud information leakages with the advent of network slicing concepts in 5G and 6G leading to these attacks have not been addressed yet. This paper presents comprehensive studies of 5G-Advanced IoT cloud framework and related attacks. It reveals novel systematic methods through which powerful stealth Cloud Container-Based EDA (CC-EDA) and Cloud Container-Based SPA (CC-SPA) can be launched. These attacks are difficult to detect as the attacker impersonates a valid IoT management system and manipulates the system‚Äôs behavior. With a quantitative assessment of the performance of a battery under attack, this paper additionally shows that an aggressive CC-EDA will be deeply damaging and can bring down the entire IoT network within a day. Possible mitigation strategies to address the security concerns associated with IoT cloud-based attacks are proposed.</t>
  </si>
  <si>
    <t>979-8-3503-3439-5</t>
  </si>
  <si>
    <t>https://ieeexplore.ieee.org/stamp/stamp.jsp?arnumber=10234780</t>
  </si>
  <si>
    <t>Internet of Things (IoT);Containers;Cloud Container-Based Energy Depletion Attacks (CC-EDA);Cloud Container-Based Synergistic Power attacks (CC-SPA);Dockers.</t>
  </si>
  <si>
    <t>Cloud computing;Systematics;5G mobile communication;Network slicing;Containers;Information leakage;Batteries</t>
  </si>
  <si>
    <t>A. O. Victor; M. I. Ali</t>
  </si>
  <si>
    <t>A Survey on Stochastic Modeling and Machine Learning Techniques for Optimizing Internet of Medical Things (IoMT) Systems</t>
  </si>
  <si>
    <t>2024 IEEE International Conference on Future Machine Learning and Data Science (FMLDS)</t>
  </si>
  <si>
    <t>10.1109/FMLDS63805.2024.00039</t>
  </si>
  <si>
    <t>SFI Centre for Research Training in Machine Learning, Dublin City University, Dublin, Ireland; School of Electronic Engineering, Dublin City University, Dublin, Ireland</t>
  </si>
  <si>
    <t>The Internet of Medical Things (IoMT) has the potential to transform healthcare, but faces challenges like energy consumption, data scheduling, latency, privacy, joint offloading, limited data, and security. To address these issues, novel architectures and training techniques, such as generative adversarial networks and stochastic gradient descent, are needed. Inter-pretative models can aid decision-making, while low-resource environment suitability and ethical considerations are crucial to prevent bias in healthcare. This study emphasizes the role of stochastic modeling in optimizing energy use, enhancing data scheduling, reducing latency, improving privacy mechanisms, and optimizing joint offloading strategies. The survey reviews the current state of IoMT and advocates for advancements through stochastic methods.</t>
  </si>
  <si>
    <t>979-8-3503-9121-3</t>
  </si>
  <si>
    <t>https://ieeexplore.ieee.org/stamp/stamp.jsp?arnumber=10874093</t>
  </si>
  <si>
    <t>Augmentation;Cloud Computing;Fog layer;GAN;IoT;IoMT;Implantable;Privacy;Synthetic;Security</t>
  </si>
  <si>
    <t>Surveys;Training;Data privacy;Reviews;Stochastic processes;Machine learning;Internet of Medical Things;Transforms;Data models;Security</t>
  </si>
  <si>
    <t>2023 8th International Conference on Computer Science and Engineering (UBMK)</t>
  </si>
  <si>
    <t>10.1109/UBMK59864.2023.10286684</t>
  </si>
  <si>
    <t>979-8-3503-4081-5</t>
  </si>
  <si>
    <t>https://ieeexplore.ieee.org/stamp/stamp.jsp?arnumber=10286684</t>
  </si>
  <si>
    <t>2023 13th International Conference on Cloud Computing, Data Science &amp; Engineering (Confluence)</t>
  </si>
  <si>
    <t>10.1109/Confluence56041.2023.10048866</t>
  </si>
  <si>
    <t>lxvi</t>
  </si>
  <si>
    <t>978-1-6654-6263-1</t>
  </si>
  <si>
    <t>https://ieeexplore.ieee.org/stamp/stamp.jsp?arnumber=10048866</t>
  </si>
  <si>
    <t>Message from the FiCloud-2023 Chairs</t>
  </si>
  <si>
    <t>10.1109/FiCloud58648.2023.00005</t>
  </si>
  <si>
    <t>https://ieeexplore.ieee.org/stamp/stamp.jsp?arnumber=10410812</t>
  </si>
  <si>
    <t>SCSE 2024 Proceedings</t>
  </si>
  <si>
    <t>2024 International Research Conference on Smart Computing and Systems Engineering (SCSE)</t>
  </si>
  <si>
    <t>10.1109/SCSE61872.2024.10550749</t>
  </si>
  <si>
    <t>cv</t>
  </si>
  <si>
    <t>979-8-3503-7568-8</t>
  </si>
  <si>
    <t>https://ieeexplore.ieee.org/stamp/stamp.jsp?arnumber=10550749</t>
  </si>
  <si>
    <t>INCET 2023 Schedule</t>
  </si>
  <si>
    <t>2023 4th International Conference for Emerging Technology (INCET)</t>
  </si>
  <si>
    <t>10.1109/INCET57972.2023.10170171</t>
  </si>
  <si>
    <t>979-8-3503-3575-0</t>
  </si>
  <si>
    <t>https://ieeexplore.ieee.org/stamp/stamp.jsp?arnumber=10170171</t>
  </si>
  <si>
    <t>ASIANCON 2023 Schedule</t>
  </si>
  <si>
    <t>2023 3rd Asian Conference on Innovation in Technology (ASIANCON)</t>
  </si>
  <si>
    <t>10.1109/ASIANCON58793.2023.10270735</t>
  </si>
  <si>
    <t>979-8-3503-0228-8</t>
  </si>
  <si>
    <t>https://ieeexplore.ieee.org/stamp/stamp.jsp?arnumber=10270735</t>
  </si>
  <si>
    <t>ICITEICS 2024 Schedule</t>
  </si>
  <si>
    <t>2024 IEEE International Conference on Information Technology, Electronics and Intelligent Communication Systems (ICITEICS)</t>
  </si>
  <si>
    <t>10.1109/ICITEICS61368.2024.10624824</t>
  </si>
  <si>
    <t>979-8-3503-8269-3</t>
  </si>
  <si>
    <t>https://ieeexplore.ieee.org/stamp/stamp.jsp?arnumber=10624824</t>
  </si>
  <si>
    <t>INOCON 2024 Conference Schedule</t>
  </si>
  <si>
    <t>10.1109/INOCON60754.2024.10511379</t>
  </si>
  <si>
    <t>https://ieeexplore.ieee.org/stamp/stamp.jsp?arnumber=10511379</t>
  </si>
  <si>
    <t>WCONF 2023 Schedule</t>
  </si>
  <si>
    <t>2023 World Conference on Communication &amp; Computing (WCONF)</t>
  </si>
  <si>
    <t>10.1109/WCONF58270.2023.10235182</t>
  </si>
  <si>
    <t>979-8-3503-1120-4</t>
  </si>
  <si>
    <t>https://ieeexplore.ieee.org/stamp/stamp.jsp?arnumber=10235182</t>
  </si>
  <si>
    <t>ECF Report</t>
  </si>
  <si>
    <t>2024 8th International Conference on Computational System and Information Technology for Sustainable Solutions (CSITSS)</t>
  </si>
  <si>
    <t>2767-1097</t>
  </si>
  <si>
    <t>10.1109/CSITSS64042.2024.10817050</t>
  </si>
  <si>
    <t>979-8-3315-0546-2</t>
  </si>
  <si>
    <t>https://ieeexplore.ieee.org/stamp/stamp.jsp?arnumber=10817050</t>
  </si>
  <si>
    <t>Information technology</t>
  </si>
  <si>
    <t>GLOBECOM 2024 Authors Index</t>
  </si>
  <si>
    <t>GLOBECOM 2024 - 2024 IEEE Global Communications Conference</t>
  </si>
  <si>
    <t>10.1109/GLOBECOM52923.2024.10900943</t>
  </si>
  <si>
    <t>979-8-3503-5125-5</t>
  </si>
  <si>
    <t>https://ieeexplore.ieee.org/stamp/stamp.jsp?arnumber=10900943</t>
  </si>
  <si>
    <t>ICCE-Taiwan 2023 Conference Proceedings</t>
  </si>
  <si>
    <t>2023 International Conference on Consumer Electronics - Taiwan (ICCE-Taiwan)</t>
  </si>
  <si>
    <t>2575-8284</t>
  </si>
  <si>
    <t>10.1109/ICCE-Taiwan58799.2023.10226807</t>
  </si>
  <si>
    <t>979-8-3503-2417-4</t>
  </si>
  <si>
    <t>https://ieeexplore.ieee.org/stamp/stamp.jsp?arnumber=10226807</t>
  </si>
  <si>
    <t>10.1109/CSNT60213.2024.10546179</t>
  </si>
  <si>
    <t>https://ieeexplore.ieee.org/stamp/stamp.jsp?arnumber=10546179</t>
  </si>
  <si>
    <t>10.1109/ICWS62655.2024.00004</t>
  </si>
  <si>
    <t>https://ieeexplore.ieee.org/stamp/stamp.jsp?arnumber=10707451</t>
  </si>
  <si>
    <t>CIEES 2024 TOC</t>
  </si>
  <si>
    <t>2024 5th International Conference on Communications, Information, Electronic and Energy Systems (CIEES)</t>
  </si>
  <si>
    <t>10.1109/CIEES62939.2024.10811192</t>
  </si>
  <si>
    <t>xvii</t>
  </si>
  <si>
    <t>979-8-3503-5286-3</t>
  </si>
  <si>
    <t>https://ieeexplore.ieee.org/stamp/stamp.jsp?arnumber=10811192</t>
  </si>
  <si>
    <t>2024 15th International Conference on Information and Communication Technology Convergence (ICTC)</t>
  </si>
  <si>
    <t>10.1109/ICTC62082.2024.10826679</t>
  </si>
  <si>
    <t>979-8-3503-6463-7</t>
  </si>
  <si>
    <t>https://ieeexplore.ieee.org/stamp/stamp.jsp?arnumber=10826679</t>
  </si>
  <si>
    <t>2024 10th International Conference on Big Data and Information Analytics (BigDIA)</t>
  </si>
  <si>
    <t>2771-6902</t>
  </si>
  <si>
    <t>10.1109/BigDIA63733.2024.10808570</t>
  </si>
  <si>
    <t>979-8-3503-5462-1</t>
  </si>
  <si>
    <t>https://ieeexplore.ieee.org/stamp/stamp.jsp?arnumber=10808570</t>
  </si>
  <si>
    <t>10.1109/ICIBA56860.2023.10165360</t>
  </si>
  <si>
    <t>https://ieeexplore.ieee.org/stamp/stamp.jsp?arnumber=10165360</t>
  </si>
  <si>
    <t>10.1109/CSCWD57460.2023.10152550</t>
  </si>
  <si>
    <t>https://ieeexplore.ieee.org/stamp/stamp.jsp?arnumber=10152550</t>
  </si>
  <si>
    <t>ICTC 2023 Index</t>
  </si>
  <si>
    <t>2023 14th International Conference on Information and Communication Technology Convergence (ICTC)</t>
  </si>
  <si>
    <t>10.1109/ICTC58733.2023.10393852</t>
  </si>
  <si>
    <t>c</t>
  </si>
  <si>
    <t>979-8-3503-1327-7</t>
  </si>
  <si>
    <t>https://ieeexplore.ieee.org/stamp/stamp.jsp?arnumber=10393852</t>
  </si>
  <si>
    <t>2023 10th International Conference on Electrical Engineering, Computer Science and Informatics (EECSI)</t>
  </si>
  <si>
    <t>10.1109/EECSI59885.2023.10295863</t>
  </si>
  <si>
    <t>979-8-3503-0686-6</t>
  </si>
  <si>
    <t>https://ieeexplore.ieee.org/stamp/stamp.jsp?arnumber=10295863</t>
  </si>
  <si>
    <t>2024 11th International Conference on Information Technology, Computer, and Electrical Engineering (ICITACEE)</t>
  </si>
  <si>
    <t>2996-1300</t>
  </si>
  <si>
    <t>10.1109/ICITACEE62763.2024.10762778</t>
  </si>
  <si>
    <t>979-8-3503-8930-2</t>
  </si>
  <si>
    <t>https://ieeexplore.ieee.org/stamp/stamp.jsp?arnumber=10762778</t>
  </si>
  <si>
    <t>2023 8th International Conference on Smart and Sustainable Technologies (SpliTech)</t>
  </si>
  <si>
    <t>10.23919/SpliTech58164.2023.10193656</t>
  </si>
  <si>
    <t>978-953-290-128-3</t>
  </si>
  <si>
    <t>https://ieeexplore.ieee.org/stamp/stamp.jsp?arnumber=10193656</t>
  </si>
  <si>
    <t>2023 IEEE International Conferences on Internet of Things (iThings) and IEEE Green Computing &amp; Communications (GreenCom) and IEEE Cyber, Physical &amp; Social Computing (CPSCom) and IEEE Smart Data (SmartData) and IEEE Congress on Cybermatics (Cybermatics)</t>
  </si>
  <si>
    <t>2836-3701</t>
  </si>
  <si>
    <t>10.1109/iThings-GreenCom-CPSCom-SmartData-Cybermatics60724.2023.00004</t>
  </si>
  <si>
    <t>979-8-3503-0946-1</t>
  </si>
  <si>
    <t>https://ieeexplore.ieee.org/stamp/stamp.jsp?arnumber=10501898</t>
  </si>
  <si>
    <t>2023 IEEE International Conference on Sensors, Electronics and Computer Engineering (ICSECE)</t>
  </si>
  <si>
    <t>10.1109/ICSECE58870.2023.10263455</t>
  </si>
  <si>
    <t>979-8-3503-1373-4</t>
  </si>
  <si>
    <t>https://ieeexplore.ieee.org/stamp/stamp.jsp?arnumber=10263455</t>
  </si>
  <si>
    <t>10.1109/IWCMC58020.2023.10182851</t>
  </si>
  <si>
    <t>xxix</t>
  </si>
  <si>
    <t>https://ieeexplore.ieee.org/stamp/stamp.jsp?arnumber=10182851</t>
  </si>
  <si>
    <t>Paper Title</t>
  </si>
  <si>
    <t>10.1109/GLOBECOM54140.2023.10436765</t>
  </si>
  <si>
    <t>https://ieeexplore.ieee.org/stamp/stamp.jsp?arnumber=10436765</t>
  </si>
  <si>
    <t>MECO 2024 TOC</t>
  </si>
  <si>
    <t>2024 13th Mediterranean Conference on Embedded Computing (MECO)</t>
  </si>
  <si>
    <t>10.1109/MECO62516.2024.10577898</t>
  </si>
  <si>
    <t>viii</t>
  </si>
  <si>
    <t>979-8-3503-8756-8</t>
  </si>
  <si>
    <t>https://ieeexplore.ieee.org/stamp/stamp.jsp?arnumber=10577898</t>
  </si>
  <si>
    <t>COMNETSAT 2023 Program Schedule</t>
  </si>
  <si>
    <t>2023 IEEE International Conference on Communication, Networks and Satellite (COMNETSAT)</t>
  </si>
  <si>
    <t>10.1109/COMNETSAT59769.2023.10420577</t>
  </si>
  <si>
    <t>lxi</t>
  </si>
  <si>
    <t>979-8-3503-4110-2</t>
  </si>
  <si>
    <t>https://ieeexplore.ieee.org/stamp/stamp.jsp?arnumber=10420577</t>
  </si>
  <si>
    <t>2024 5th International Symposium on Computer Engineering and Intelligent Communications (ISCEIC)</t>
  </si>
  <si>
    <t>10.1109/ISCEIC63613.2024.10810142</t>
  </si>
  <si>
    <t>979-8-3315-1867-7</t>
  </si>
  <si>
    <t>https://ieeexplore.ieee.org/stamp/stamp.jsp?arnumber=10810142</t>
  </si>
  <si>
    <t>2023 IEEE 6th International Conference on Computer and Communication Engineering Technology (CCET)</t>
  </si>
  <si>
    <t>2836-5992</t>
  </si>
  <si>
    <t>10.1109/CCET59170.2023.10335147</t>
  </si>
  <si>
    <t>979-8-3503-4068-6</t>
  </si>
  <si>
    <t>https://ieeexplore.ieee.org/stamp/stamp.jsp?arnumber=10335147</t>
  </si>
  <si>
    <t>papertitles</t>
  </si>
  <si>
    <t>10.1109/ICSCC62041.2024.10690554</t>
  </si>
  <si>
    <t>https://ieeexplore.ieee.org/stamp/stamp.jsp?arnumber=10690554</t>
  </si>
  <si>
    <t>2024 International Conference on Computing, Sciences and Communications (ICCSC)</t>
  </si>
  <si>
    <t>10.1109/ICCSC62048.2024.10830399</t>
  </si>
  <si>
    <t>979-8-3503-5364-8</t>
  </si>
  <si>
    <t>https://ieeexplore.ieee.org/stamp/stamp.jsp?arnumber=10830399</t>
  </si>
  <si>
    <t>2023 IEEE Symposium on Computers and Communications (ISCC)</t>
  </si>
  <si>
    <t>10.1109/ISCC58397.2023.10218030</t>
  </si>
  <si>
    <t>979-8-3503-0048-2</t>
  </si>
  <si>
    <t>https://ieeexplore.ieee.org/stamp/stamp.jsp?arnumber=10218030</t>
  </si>
  <si>
    <t>GLOBECOM 2024 TOC</t>
  </si>
  <si>
    <t>10.1109/GLOBECOM52923.2024.10901184</t>
  </si>
  <si>
    <t>https://ieeexplore.ieee.org/stamp/stamp.jsp?arnumber=10901184</t>
  </si>
  <si>
    <t>2023 6th International Conference on Energy, Electrical and Power Engineering (CEEPE)</t>
  </si>
  <si>
    <t>10.1109/CEEPE58418.2023.10166383</t>
  </si>
  <si>
    <t>979-8-3503-4827-9</t>
  </si>
  <si>
    <t>https://ieeexplore.ieee.org/stamp/stamp.jsp?arnumber=10166383</t>
  </si>
  <si>
    <t>ISCC 2024 Author Information Page</t>
  </si>
  <si>
    <t>10.1109/ISCC61673.2024.10733646</t>
  </si>
  <si>
    <t>xxxiii</t>
  </si>
  <si>
    <t>https://ieeexplore.ieee.org/stamp/stamp.jsp?arnumber=10733646</t>
  </si>
  <si>
    <t>IC2PCT 2024 TOC</t>
  </si>
  <si>
    <t>10.1109/IC2PCT60090.2024.10486467</t>
  </si>
  <si>
    <t>https://ieeexplore.ieee.org/stamp/stamp.jsp?arnumber=10486467</t>
  </si>
  <si>
    <t>2024 International Conference on Artificial Intelligence, Blockchain, Cloud Computing, and Data Analytics (ICoABCD)</t>
  </si>
  <si>
    <t>10.1109/ICoABCD63526.2024.10704258</t>
  </si>
  <si>
    <t>979-8-3503-6845-1</t>
  </si>
  <si>
    <t>https://ieeexplore.ieee.org/stamp/stamp.jsp?arnumber=10704258</t>
  </si>
  <si>
    <t>Technical Program</t>
  </si>
  <si>
    <t>2024 IEEE 22nd International Conference on Industrial Informatics (INDIN)</t>
  </si>
  <si>
    <t>10.1109/INDIN58382.2024.10774326</t>
  </si>
  <si>
    <t>979-8-3315-2747-1</t>
  </si>
  <si>
    <t>https://ieeexplore.ieee.org/stamp/stamp.jsp?arnumber=10774326</t>
  </si>
  <si>
    <t>10.1109/INDIN51400.2023.10218246</t>
  </si>
  <si>
    <t>https://ieeexplore.ieee.org/stamp/stamp.jsp?arnumber=10218246</t>
  </si>
  <si>
    <t>10.1109/EEPS63402.2024.10804358</t>
  </si>
  <si>
    <t>https://ieeexplore.ieee.org/stamp/stamp.jsp?arnumber=10804358</t>
  </si>
  <si>
    <t>2023 IEEE International Conference on Pervasive Computing and Communications Workshops and other Affiliated Events (PerCom Workshops)</t>
  </si>
  <si>
    <t>2766-8576</t>
  </si>
  <si>
    <t>10.1109/PerComWorkshops56833.2023.10150376</t>
  </si>
  <si>
    <t>978-1-6654-5381-3</t>
  </si>
  <si>
    <t>https://ieeexplore.ieee.org/stamp/stamp.jsp?arnumber=10150376</t>
  </si>
  <si>
    <t>Authors</t>
  </si>
  <si>
    <t>10.1109/ISCC58397.2023.10218317</t>
  </si>
  <si>
    <t>https://ieeexplore.ieee.org/stamp/stamp.jsp?arnumber=10218317</t>
  </si>
  <si>
    <t>2023 46th MIPRO ICT and Electronics Convention (MIPRO)</t>
  </si>
  <si>
    <t>10.23919/MIPRO57284.2023.10159828</t>
  </si>
  <si>
    <t>978-953-233-104-2</t>
  </si>
  <si>
    <t>https://ieeexplore.ieee.org/stamp/stamp.jsp?arnumber=10159828</t>
  </si>
  <si>
    <t>ElCon 2024 TOC</t>
  </si>
  <si>
    <t>2024 Conference of Young Researchers in Electrical and Electronic Engineering (ElCon)</t>
  </si>
  <si>
    <t>2376-6565</t>
  </si>
  <si>
    <t>10.1109/ElCon61730.2024.10468431</t>
  </si>
  <si>
    <t>979-8-3503-6064-6</t>
  </si>
  <si>
    <t>https://ieeexplore.ieee.org/stamp/stamp.jsp?arnumber=10468431</t>
  </si>
  <si>
    <t>10.1109/PSGEC58411.2023.10255963</t>
  </si>
  <si>
    <t>xxx</t>
  </si>
  <si>
    <t>https://ieeexplore.ieee.org/stamp/stamp.jsp?arnumber=10255963</t>
  </si>
  <si>
    <t>Authors Index</t>
  </si>
  <si>
    <t>10.1109/ICITACEE62763.2024.10761952</t>
  </si>
  <si>
    <t>https://ieeexplore.ieee.org/stamp/stamp.jsp?arnumber=10761952</t>
  </si>
  <si>
    <t>10.1109/CSITSS64042.2024.10817031</t>
  </si>
  <si>
    <t>https://ieeexplore.ieee.org/stamp/stamp.jsp?arnumber=10817031</t>
  </si>
  <si>
    <t>10.1109/COMPSAC61105.2024.00004</t>
  </si>
  <si>
    <t>liii</t>
  </si>
  <si>
    <t>https://ieeexplore.ieee.org/stamp/stamp.jsp?arnumber=10633560</t>
  </si>
  <si>
    <t>Table of Content</t>
  </si>
  <si>
    <t>2023 International Conference on Sustainable Emerging Innovations in Engineering and Technology (ICSEIET)</t>
  </si>
  <si>
    <t>10.1109/ICSEIET58677.2023.10303537</t>
  </si>
  <si>
    <t>979-8-3503-2919-3</t>
  </si>
  <si>
    <t>https://ieeexplore.ieee.org/stamp/stamp.jsp?arnumber=10303537</t>
  </si>
  <si>
    <t>10.1109/EEBDA60612.2024.10485892</t>
  </si>
  <si>
    <t>https://ieeexplore.ieee.org/stamp/stamp.jsp?arnumber=10485892</t>
  </si>
  <si>
    <t>2023 IEEE 14th International Conference on Software Engineering and Service Science (ICSESS)</t>
  </si>
  <si>
    <t>10.1109/ICSESS58500.2023.10293020</t>
  </si>
  <si>
    <t>979-8-3503-3627-6</t>
  </si>
  <si>
    <t>https://ieeexplore.ieee.org/stamp/stamp.jsp?arnumber=10293020</t>
  </si>
  <si>
    <t>eCF Paper Report</t>
  </si>
  <si>
    <t>10.1109/ICSEIET58677.2023.10303293</t>
  </si>
  <si>
    <t>https://ieeexplore.ieee.org/stamp/stamp.jsp?arnumber=10303293</t>
  </si>
  <si>
    <t>SCSE 2024 Cover Page</t>
  </si>
  <si>
    <t>10.1109/SCSE61872.2024.10550491</t>
  </si>
  <si>
    <t>c26</t>
  </si>
  <si>
    <t>https://ieeexplore.ieee.org/stamp/stamp.jsp?arnumber=10550491</t>
  </si>
  <si>
    <t>10.1109/WETICE64632.2024.00004</t>
  </si>
  <si>
    <t>https://ieeexplore.ieee.org/stamp/stamp.jsp?arnumber=10880294</t>
  </si>
  <si>
    <t>10.1109/GLOBECOM54140.2023.10436923</t>
  </si>
  <si>
    <t>https://ieeexplore.ieee.org/stamp/stamp.jsp?arnumber=10436923</t>
  </si>
  <si>
    <t>Title Page</t>
  </si>
  <si>
    <t>10.1109/CASCON62161.2024.10837762</t>
  </si>
  <si>
    <t>https://ieeexplore.ieee.org/stamp/stamp.jsp?arnumber=10837762</t>
  </si>
  <si>
    <t>Parallel Session Schedule, (Offline at Ciputra Hotel, Semarang)</t>
  </si>
  <si>
    <t>10.1109/ICITACEE62763.2024.10762759</t>
  </si>
  <si>
    <t>https://ieeexplore.ieee.org/stamp/stamp.jsp?arnumber=10762759</t>
  </si>
  <si>
    <t>2023 ACM/IEEE International Conference on Model Driven Engineering Languages and Systems Companion (MODELS-C)</t>
  </si>
  <si>
    <t>10.1109/MODELS-C59198.2023.00004</t>
  </si>
  <si>
    <t>979-8-3503-2498-3</t>
  </si>
  <si>
    <t>https://ieeexplore.ieee.org/stamp/stamp.jsp?arnumber=10350796</t>
  </si>
  <si>
    <t>MIPRO 2024 TOC</t>
  </si>
  <si>
    <t>2024 47th MIPRO ICT and Electronics Convention (MIPRO)</t>
  </si>
  <si>
    <t>10.1109/MIPRO60963.2024.10569159</t>
  </si>
  <si>
    <t>XII</t>
  </si>
  <si>
    <t>XL</t>
  </si>
  <si>
    <t>979-8-3503-8250-1</t>
  </si>
  <si>
    <t>https://ieeexplore.ieee.org/stamp/stamp.jsp?arnumber=10569159</t>
  </si>
  <si>
    <t>10.1109/ICCWorkshops57953.2023.10283733</t>
  </si>
  <si>
    <t>https://ieeexplore.ieee.org/stamp/stamp.jsp?arnumber=10283733</t>
  </si>
  <si>
    <t>10.1109/INFOCOM52122.2024.10621378</t>
  </si>
  <si>
    <t>https://ieeexplore.ieee.org/stamp/stamp.jsp?arnumber=10621378</t>
  </si>
  <si>
    <t>10.1109/ICoABCD63526.2024.10704416</t>
  </si>
  <si>
    <t>https://ieeexplore.ieee.org/stamp/stamp.jsp?arnumber=10704416</t>
  </si>
  <si>
    <t>2024 International Conference on ICT for Smart Society (ICISS)</t>
  </si>
  <si>
    <t>10.1109/ICISS62896.2024.10751204</t>
  </si>
  <si>
    <t>979-8-3503-8965-4</t>
  </si>
  <si>
    <t>https://ieeexplore.ieee.org/stamp/stamp.jsp?arnumber=10751204</t>
  </si>
  <si>
    <t>Preliminary Program</t>
  </si>
  <si>
    <t>2024 IEEE 99th Vehicular Technology Conference (VTC2024-Spring)</t>
  </si>
  <si>
    <t>10.1109/VTC2024-Spring62846.2024.10683374</t>
  </si>
  <si>
    <t>979-8-3503-8741-4</t>
  </si>
  <si>
    <t>https://ieeexplore.ieee.org/stamp/stamp.jsp?arnumber=10683374</t>
  </si>
  <si>
    <t>2024 IEEE 13th Global Conference on Consumer Electronics (GCCE)</t>
  </si>
  <si>
    <t>2693-0854</t>
  </si>
  <si>
    <t>10.1109/GCCE62371.2024.10760695</t>
  </si>
  <si>
    <t>lxxv</t>
  </si>
  <si>
    <t>979-8-3503-5507-9</t>
  </si>
  <si>
    <t>https://ieeexplore.ieee.org/stamp/stamp.jsp?arnumber=10760695</t>
  </si>
  <si>
    <t>SmartTechCon 2023 Cover Page</t>
  </si>
  <si>
    <t>2023 Second International Conference On Smart Technologies For Smart Nation (SmartTechCon)</t>
  </si>
  <si>
    <t>10.1109/SmartTechCon57526.2023.10391482</t>
  </si>
  <si>
    <t>c64</t>
  </si>
  <si>
    <t>979-8-3503-0541-8</t>
  </si>
  <si>
    <t>https://ieeexplore.ieee.org/stamp/stamp.jsp?arnumber=10391482</t>
  </si>
  <si>
    <t>2024 4th International Conference on Innovative Research in Applied Science, Engineering and Technology (IRASET)</t>
  </si>
  <si>
    <t>10.1109/IRASET60544.2024.10548246</t>
  </si>
  <si>
    <t>979-8-3503-0950-8</t>
  </si>
  <si>
    <t>https://ieeexplore.ieee.org/stamp/stamp.jsp?arnumber=10548246</t>
  </si>
  <si>
    <t>Abstract of Presentations on October 31st</t>
  </si>
  <si>
    <t>10.1109/GCCE62371.2024.10760411</t>
  </si>
  <si>
    <t>https://ieeexplore.ieee.org/stamp/stamp.jsp?arnumber=10760411</t>
  </si>
  <si>
    <t>2023 International Conference on Computer Science and Automation Technology (CSAT)</t>
  </si>
  <si>
    <t>10.1109/CSAT61646.2023.00004</t>
  </si>
  <si>
    <t>979-8-3503-7143-7</t>
  </si>
  <si>
    <t>https://ieeexplore.ieee.org/stamp/stamp.jsp?arnumber=10471747</t>
  </si>
  <si>
    <t>10.1109/GCWkshps58843.2023.10465071</t>
  </si>
  <si>
    <t>https://ieeexplore.ieee.org/stamp/stamp.jsp?arnumber=10465071</t>
  </si>
  <si>
    <t>Welcome</t>
  </si>
  <si>
    <t>10.1109/ICAIIC60209.2024.10463463</t>
  </si>
  <si>
    <t>https://ieeexplore.ieee.org/stamp/stamp.jsp?arnumber=10463463</t>
  </si>
  <si>
    <t>GCCE 2024 Subject Index Page</t>
  </si>
  <si>
    <t>10.1109/GCCE62371.2024.10760986</t>
  </si>
  <si>
    <t>https://ieeexplore.ieee.org/stamp/stamp.jsp?arnumber=10760986</t>
  </si>
  <si>
    <t>Papers by Title</t>
  </si>
  <si>
    <t>10.1109/GCWkshps58843.2023.10464771</t>
  </si>
  <si>
    <t>https://ieeexplore.ieee.org/stamp/stamp.jsp?arnumber=10464771</t>
  </si>
  <si>
    <t>2023 15th International Conference on Electronics, Computers and Artificial Intelligence (ECAI)</t>
  </si>
  <si>
    <t>10.1109/ECAI58194.2023.10194059</t>
  </si>
  <si>
    <t>979-8-3503-2138-8</t>
  </si>
  <si>
    <t>https://ieeexplore.ieee.org/stamp/stamp.jsp?arnumber=10194059</t>
  </si>
  <si>
    <t>CCWC 2024 Cover Page</t>
  </si>
  <si>
    <t>10.1109/CCWC60891.2024.10427915</t>
  </si>
  <si>
    <t>c6</t>
  </si>
  <si>
    <t>https://ieeexplore.ieee.org/stamp/stamp.jsp?arnumber=10427915</t>
  </si>
  <si>
    <t>2024 IEEE 44th International Conference on Distributed Computing Systems (ICDCS)</t>
  </si>
  <si>
    <t>10.1109/ICDCS60910.2024.00004</t>
  </si>
  <si>
    <t>xxv</t>
  </si>
  <si>
    <t>979-8-3503-8605-9</t>
  </si>
  <si>
    <t>https://ieeexplore.ieee.org/stamp/stamp.jsp?arnumber=10630914</t>
  </si>
  <si>
    <t>EIECS 2023 TOC</t>
  </si>
  <si>
    <t>2023 3rd International Conference on Electronic Information Engineering and Computer Science (EIECS)</t>
  </si>
  <si>
    <t>10.1109/EIECS59936.2023.10435421</t>
  </si>
  <si>
    <t>979-8-3503-1667-4</t>
  </si>
  <si>
    <t>https://ieeexplore.ieee.org/stamp/stamp.jsp?arnumber=10435421</t>
  </si>
  <si>
    <t>ICCE-Taiwan 2024 TOC</t>
  </si>
  <si>
    <t>2024 International Conference on Consumer Electronics - Taiwan (ICCE-Taiwan)</t>
  </si>
  <si>
    <t>10.1109/ICCE-Taiwan62264.2024.10674539</t>
  </si>
  <si>
    <t>979-8-3503-8684-4</t>
  </si>
  <si>
    <t>https://ieeexplore.ieee.org/stamp/stamp.jsp?arnumber=10674539</t>
  </si>
  <si>
    <t>Conference Program</t>
  </si>
  <si>
    <t>10.1109/ICBIR61386.2024.10875864</t>
  </si>
  <si>
    <t>https://ieeexplore.ieee.org/stamp/stamp.jsp?arnumber=10875864</t>
  </si>
  <si>
    <t>PIMRC 2024 TOC</t>
  </si>
  <si>
    <t>2024 IEEE 35th International Symposium on Personal, Indoor and Mobile Radio Communications (PIMRC)</t>
  </si>
  <si>
    <t>10.1109/PIMRC59610.2024.10817407</t>
  </si>
  <si>
    <t>979-8-3503-6224-4</t>
  </si>
  <si>
    <t>https://ieeexplore.ieee.org/stamp/stamp.jsp?arnumber=10817407</t>
  </si>
  <si>
    <t>MLCAD 2024 Cover Page</t>
  </si>
  <si>
    <t>2024 ACM/IEEE 6th Symposium on Machine Learning for CAD (MLCAD)</t>
  </si>
  <si>
    <t>10.1109/MLCAD62225.2024.10740232</t>
  </si>
  <si>
    <t>c321</t>
  </si>
  <si>
    <t>979-8-3503-6356-2</t>
  </si>
  <si>
    <t>https://ieeexplore.ieee.org/stamp/stamp.jsp?arnumber=10740232</t>
  </si>
  <si>
    <t>10.1109/ITAIC58329.2023.10408965</t>
  </si>
  <si>
    <t>https://ieeexplore.ieee.org/stamp/stamp.jsp?arnumber=10408965</t>
  </si>
  <si>
    <t>ISCIPT 2024 TOC</t>
  </si>
  <si>
    <t>2024 9th International Symposium on Computer and Information Processing Technology (ISCIPT)</t>
  </si>
  <si>
    <t>10.1109/ISCIPT61983.2024.10672935</t>
  </si>
  <si>
    <t>979-8-3503-8840-4</t>
  </si>
  <si>
    <t>https://ieeexplore.ieee.org/stamp/stamp.jsp?arnumber=10672935</t>
  </si>
  <si>
    <t>ISITIA 2024 TOC</t>
  </si>
  <si>
    <t>2024 International Seminar on Intelligent Technology and Its Applications (ISITIA)</t>
  </si>
  <si>
    <t>10.1109/ISITIA63062.2024.10668077</t>
  </si>
  <si>
    <t>979-8-3503-7857-3</t>
  </si>
  <si>
    <t>https://ieeexplore.ieee.org/stamp/stamp.jsp?arnumber=10668077</t>
  </si>
  <si>
    <t>2023 International Conference on Information Networking (ICOIN)</t>
  </si>
  <si>
    <t>1976-7684</t>
  </si>
  <si>
    <t>10.1109/ICOIN56518.2023.10048949</t>
  </si>
  <si>
    <t>978-1-6654-6268-6</t>
  </si>
  <si>
    <t>https://ieeexplore.ieee.org/stamp/stamp.jsp?arnumber=10048949</t>
  </si>
  <si>
    <t>ICRA 2024 Contributor Page</t>
  </si>
  <si>
    <t>2024 IEEE International Conference on Robotics and Automation (ICRA)</t>
  </si>
  <si>
    <t>10.1109/ICRA57147.2024.10611681</t>
  </si>
  <si>
    <t>cccxv</t>
  </si>
  <si>
    <t>979-8-3503-8457-4</t>
  </si>
  <si>
    <t>https://ieeexplore.ieee.org/stamp/stamp.jsp?arnumber=10611681</t>
  </si>
  <si>
    <t>IAEAC 2024 TOC</t>
  </si>
  <si>
    <t>2024 IEEE 7th Advanced Information Technology, Electronic and Automation Control Conference (IAEAC)</t>
  </si>
  <si>
    <t>2689-6621</t>
  </si>
  <si>
    <t>10.1109/IAEAC59436.2024.10503901</t>
  </si>
  <si>
    <t>979-8-3503-3916-1</t>
  </si>
  <si>
    <t>https://ieeexplore.ieee.org/stamp/stamp.jsp?arnumber=10503901</t>
  </si>
  <si>
    <t>2024 8th International Conference on I-SMAC (IoT in Social, Mobile, Analytics and Cloud) (I-SMAC)</t>
  </si>
  <si>
    <t>10.1109/I-SMAC61858.2024.10714654</t>
  </si>
  <si>
    <t>979-8-3503-7642-5</t>
  </si>
  <si>
    <t>https://ieeexplore.ieee.org/stamp/stamp.jsp?arnumber=10714654</t>
  </si>
  <si>
    <t>10.1109/CloudNet59005.2023.10490035</t>
  </si>
  <si>
    <t>https://ieeexplore.ieee.org/stamp/stamp.jsp?arnumber=10490035</t>
  </si>
  <si>
    <t>2023 16th International Conference on Security of Information and Networks (SIN)</t>
  </si>
  <si>
    <t>10.1109/SIN60469.2023.10474711</t>
  </si>
  <si>
    <t>979-8-3503-4321-2</t>
  </si>
  <si>
    <t>https://ieeexplore.ieee.org/stamp/stamp.jsp?arnumber=10474711</t>
  </si>
  <si>
    <t>Proceedings of the International Conference on Intelligent and Innovative Technologies in Computing, Electrical and Electronics (ICIITCEE 2023)</t>
  </si>
  <si>
    <t>2023 International Conference on Intelligent and Innovative Technologies in Computing, Electrical and Electronics (IITCEE)</t>
  </si>
  <si>
    <t>10.1109/IITCEE57236.2023.10091061</t>
  </si>
  <si>
    <t>lxiii</t>
  </si>
  <si>
    <t>978-1-6654-9260-7</t>
  </si>
  <si>
    <t>https://ieeexplore.ieee.org/stamp/stamp.jsp?arnumber=10091061</t>
  </si>
  <si>
    <t>2023 24th International Conference on Control Systems and Computer Science (CSCS)</t>
  </si>
  <si>
    <t>10.1109/CSCS59211.2023.00004</t>
  </si>
  <si>
    <t>979-8-3503-1339-0</t>
  </si>
  <si>
    <t>https://ieeexplore.ieee.org/stamp/stamp.jsp?arnumber=10214850</t>
  </si>
  <si>
    <t>10.1109/ICMCSI64620.2025.10883514</t>
  </si>
  <si>
    <t>https://ieeexplore.ieee.org/stamp/stamp.jsp?arnumber=10883514</t>
  </si>
  <si>
    <t>10.1109/ICPADS60453.2023.00004</t>
  </si>
  <si>
    <t>https://ieeexplore.ieee.org/stamp/stamp.jsp?arnumber=10476142</t>
  </si>
  <si>
    <t>2025 IEEE 15th Annual Computing and Communication Workshop and Conference (CCWC)</t>
  </si>
  <si>
    <t>10.1109/CCWC62904.2025.10903831</t>
  </si>
  <si>
    <t>979-8-3315-0769-5</t>
  </si>
  <si>
    <t>https://ieeexplore.ieee.org/stamp/stamp.jsp?arnumber=10903831</t>
  </si>
  <si>
    <t>2024 International Conference on Intelligent Cybernetics Technology &amp; Applications (ICICyTA)</t>
  </si>
  <si>
    <t>10.1109/ICICYTA64807.2024.10912961</t>
  </si>
  <si>
    <t>979-8-3315-0649-0</t>
  </si>
  <si>
    <t>https://ieeexplore.ieee.org/stamp/stamp.jsp?arnumber=10912961</t>
  </si>
  <si>
    <t>10.1109/COMNETSAT63286.2024.10862671</t>
  </si>
  <si>
    <t>https://ieeexplore.ieee.org/stamp/stamp.jsp?arnumber=10862671</t>
  </si>
  <si>
    <t>Copyright Page</t>
  </si>
  <si>
    <t>10.1109/CSITSS60515.2023.10334243</t>
  </si>
  <si>
    <t>https://ieeexplore.ieee.org/stamp/stamp.jsp?arnumber=10334243</t>
  </si>
  <si>
    <t>14th International Conference on Cloud Computing, Data Science &amp; Engineering</t>
  </si>
  <si>
    <t>10.1109/Confluence60223.2024.10463481</t>
  </si>
  <si>
    <t>14th International Conference on Cloud Computing, Data Science &amp; Engineering.</t>
  </si>
  <si>
    <t>https://ieeexplore.ieee.org/stamp/stamp.jsp?arnumber=10463481</t>
  </si>
  <si>
    <t>EECSI 2023 TOC</t>
  </si>
  <si>
    <t>10.1109/EECSI59885.2023.10295800</t>
  </si>
  <si>
    <t>https://ieeexplore.ieee.org/stamp/stamp.jsp?arnumber=10295800</t>
  </si>
  <si>
    <t>ICCEA 2024 TOC</t>
  </si>
  <si>
    <t>2024 5th International Conference on Computer Engineering and Application (ICCEA)</t>
  </si>
  <si>
    <t>2159-1288</t>
  </si>
  <si>
    <t>10.1109/ICCEA62105.2024.10603612</t>
  </si>
  <si>
    <t>979-8-3503-8677-6</t>
  </si>
  <si>
    <t>https://ieeexplore.ieee.org/stamp/stamp.jsp?arnumber=10603612</t>
  </si>
  <si>
    <t>ICoSEIT 2024 Cover Page</t>
  </si>
  <si>
    <t>2024 2nd International Conference on Software Engineering and Information Technology (ICoSEIT)</t>
  </si>
  <si>
    <t>10.1109/ICoSEIT60086.2024.10497458</t>
  </si>
  <si>
    <t>c14</t>
  </si>
  <si>
    <t>979-8-3503-1750-3</t>
  </si>
  <si>
    <t>https://ieeexplore.ieee.org/stamp/stamp.jsp?arnumber=10497458</t>
  </si>
  <si>
    <t>ICCEIC 2023 TOC</t>
  </si>
  <si>
    <t>10.1109/ICCEIC60201.2023.10426697</t>
  </si>
  <si>
    <t>https://ieeexplore.ieee.org/stamp/stamp.jsp?arnumber=10426697</t>
  </si>
  <si>
    <t>NOMS 2023 Cover Page</t>
  </si>
  <si>
    <t>10.1109/NOMS56928.2023.10154379</t>
  </si>
  <si>
    <t>c88</t>
  </si>
  <si>
    <t>https://ieeexplore.ieee.org/stamp/stamp.jsp?arnumber=10154379</t>
  </si>
  <si>
    <t>10.1109/GCWkshps58843.2023.10464860</t>
  </si>
  <si>
    <t>https://ieeexplore.ieee.org/stamp/stamp.jsp?arnumber=10464860</t>
  </si>
  <si>
    <t>IMCEC 2024 TOC</t>
  </si>
  <si>
    <t>2024 IEEE 6th Advanced Information Management, Communicates, Electronic and Automation Control Conference (IMCEC)</t>
  </si>
  <si>
    <t>10.1109/IMCEC59810.2024.10575443</t>
  </si>
  <si>
    <t>979-8-3503-1653-7</t>
  </si>
  <si>
    <t>https://ieeexplore.ieee.org/stamp/stamp.jsp?arnumber=10575443</t>
  </si>
  <si>
    <t>ICCE 2024 TOC</t>
  </si>
  <si>
    <t>2024 IEEE International Conference on Consumer Electronics (ICCE)</t>
  </si>
  <si>
    <t>2158-4001</t>
  </si>
  <si>
    <t>10.1109/ICCE59016.2024.10444351</t>
  </si>
  <si>
    <t>cl</t>
  </si>
  <si>
    <t>979-8-3503-2413-6</t>
  </si>
  <si>
    <t>https://ieeexplore.ieee.org/stamp/stamp.jsp?arnumber=10444351</t>
  </si>
  <si>
    <t>10.1109/ICISS62896.2024.10751450</t>
  </si>
  <si>
    <t>https://ieeexplore.ieee.org/stamp/stamp.jsp?arnumber=10751450</t>
  </si>
  <si>
    <t>AEES 2023 TOC</t>
  </si>
  <si>
    <t>2023 4th International Conference on Advanced Electrical and Energy Systems (AEES)</t>
  </si>
  <si>
    <t>10.1109/AEES59800.2023.10469127</t>
  </si>
  <si>
    <t>979-8-3503-4265-9</t>
  </si>
  <si>
    <t>https://ieeexplore.ieee.org/stamp/stamp.jsp?arnumber=10469127</t>
  </si>
  <si>
    <t>10.1109/EECSI59885.2023.10295837</t>
  </si>
  <si>
    <t>https://ieeexplore.ieee.org/stamp/stamp.jsp?arnumber=10295837</t>
  </si>
  <si>
    <t>I. Zyrianoff; C. Kamienski; D. Cavalcanti; D. M. Batista; A. Virdis; L. Gigli</t>
  </si>
  <si>
    <t>2nd International Workshop on the Internet of Time-Critical Things (IoTime 2023)</t>
  </si>
  <si>
    <t>10.1109/WF-IoT58464.2023.10539395</t>
  </si>
  <si>
    <t>Department of Computer Science and Engineering, University of Bologna, Bologna, Italy; Federal University of ABC, Santo Andr√©, Brazil; Intel Corporation, Hillsboro, USA; Institute of Mathematics and Statistics, University of s√£o Paulo, S√£o Paulo, Brasil; University of Pisa, Pisa, Italy; Department of Computer Science and Engineering, University of Bologna, Bologna, Italy</t>
  </si>
  <si>
    <t>With the advances in the interconnection of devices and applications, industrial and consumer applications have adopted the Internet of Things (IoT) as a core component of their systems. In such contexts, precise time and timeliness in task execution are fundamental requirements for emerging IoT applications and new experiences. Industry 4.0, mobile and collaborative robots, autonomous systems, and immersive and interactive human-cyber experiences are only examples of IoT-based domains where precise time, computing, and communication with bounded latencies are strictly required. Furthermore, these applications might be time-critical and safety-critical as they often involve interactions between humans and machines. Such stringent time and safety requirements bring new practical challenges and opportunities to revolutionize computing and communication infrastructure's traditional design, deployment, and management. New concepts in software-defined systems and networks, cloud/edge computing, Time-Sensitive Networking (TSN), Wi-Fi 6/7, 5G, 6G, dynamic, AI-driven resource orches-tration, and Edge AI are emerging as potential building blocks to enable the transformation of computing and communications infrastructure to enable emerging time-critical applications.</t>
  </si>
  <si>
    <t>https://ieeexplore.ieee.org/stamp/stamp.jsp?arnumber=10539395</t>
  </si>
  <si>
    <t>IoT;Time-Critical Things;TSN;Industrial IoT</t>
  </si>
  <si>
    <t>2024 IEEE Third International Conference on Power Electronics, Intelligent Control and Energy Systems (ICPEICES)</t>
  </si>
  <si>
    <t>10.1109/ICPEICES62430.2024.10719332</t>
  </si>
  <si>
    <t>979-8-3503-8719-3</t>
  </si>
  <si>
    <t>https://ieeexplore.ieee.org/stamp/stamp.jsp?arnumber=10719332</t>
  </si>
  <si>
    <t>2023 IEEE 12th International Conference on Intelligent Data Acquisition and Advanced Computing Systems: Technology and Applications (IDAACS)</t>
  </si>
  <si>
    <t>10.1109/IDAACS58523.2023.10348719</t>
  </si>
  <si>
    <t>979-8-3503-5805-6</t>
  </si>
  <si>
    <t>https://ieeexplore.ieee.org/stamp/stamp.jsp?arnumber=10348719</t>
  </si>
  <si>
    <t>WF-IoT 2024 Authors Index</t>
  </si>
  <si>
    <t>10.1109/WF-IoT62078.2024.10811206</t>
  </si>
  <si>
    <t>https://ieeexplore.ieee.org/stamp/stamp.jsp?arnumber=10811206</t>
  </si>
  <si>
    <t>10.1109/ICCECT57938.2023.10140806</t>
  </si>
  <si>
    <t>https://ieeexplore.ieee.org/stamp/stamp.jsp?arnumber=10140806</t>
  </si>
  <si>
    <t>ISITIA 2024 Program</t>
  </si>
  <si>
    <t>10.1109/ISITIA63062.2024.10668274</t>
  </si>
  <si>
    <t>xxxix</t>
  </si>
  <si>
    <t>https://ieeexplore.ieee.org/stamp/stamp.jsp?arnumber=10668274</t>
  </si>
  <si>
    <t>2023 IEEE Intl Conf on Parallel &amp; Distributed Processing with Applications, Big Data &amp; Cloud Computing, Sustainable Computing &amp; Communications, Social Computing &amp; Networking (ISPA/BDCloud/SocialCom/SustainCom)</t>
  </si>
  <si>
    <t>10.1109/ISPA-BDCloud-SocialCom-SustainCom59178.2023.00004</t>
  </si>
  <si>
    <t>979-8-3503-2922-3</t>
  </si>
  <si>
    <t>https://ieeexplore.ieee.org/stamp/stamp.jsp?arnumber=10491642</t>
  </si>
  <si>
    <t>10.1109/NetSoft57336.2023.10175452</t>
  </si>
  <si>
    <t>xl</t>
  </si>
  <si>
    <t>xlviii</t>
  </si>
  <si>
    <t>https://ieeexplore.ieee.org/stamp/stamp.jsp?arnumber=10175452</t>
  </si>
  <si>
    <t>2023 8th International Conference on Intelligent Computing and Signal Processing (ICSP)</t>
  </si>
  <si>
    <t>10.1109/ICSP58490.2023.10248589</t>
  </si>
  <si>
    <t>979-8-3503-0245-5</t>
  </si>
  <si>
    <t>https://ieeexplore.ieee.org/stamp/stamp.jsp?arnumber=10248589</t>
  </si>
  <si>
    <t>10.1109/ICCCIS60361.2023.10425582</t>
  </si>
  <si>
    <t>https://ieeexplore.ieee.org/stamp/stamp.jsp?arnumber=10425582</t>
  </si>
  <si>
    <t>10.1109/ICPADS56603.2022.00004</t>
  </si>
  <si>
    <t>https://ieeexplore.ieee.org/stamp/stamp.jsp?arnumber=10077999</t>
  </si>
  <si>
    <t>Accepted Papers Abstract</t>
  </si>
  <si>
    <t>10.1109/SIN60469.2023.10475031</t>
  </si>
  <si>
    <t>https://ieeexplore.ieee.org/stamp/stamp.jsp?arnumber=10475031</t>
  </si>
  <si>
    <t>2024 Tenth International Conference on Communications and Electronics (ICCE)</t>
  </si>
  <si>
    <t>2836-4392</t>
  </si>
  <si>
    <t>10.1109/ICCE62051.2024.10634620</t>
  </si>
  <si>
    <t>979-8-3503-7979-2</t>
  </si>
  <si>
    <t>https://ieeexplore.ieee.org/stamp/stamp.jsp?arnumber=10634620</t>
  </si>
  <si>
    <t>NOMS 2024 Cover Page</t>
  </si>
  <si>
    <t>10.1109/NOMS59830.2024.10575665</t>
  </si>
  <si>
    <t>c44</t>
  </si>
  <si>
    <t>https://ieeexplore.ieee.org/stamp/stamp.jsp?arnumber=10575665</t>
  </si>
  <si>
    <t>ICCE 2024 Subject Index Page</t>
  </si>
  <si>
    <t>10.1109/ICCE59016.2024.10444318</t>
  </si>
  <si>
    <t>https://ieeexplore.ieee.org/stamp/stamp.jsp?arnumber=10444318</t>
  </si>
  <si>
    <t>10.1109/IDCIOT64235.2025.10914941</t>
  </si>
  <si>
    <t>https://ieeexplore.ieee.org/stamp/stamp.jsp?arnumber=10914941</t>
  </si>
  <si>
    <t>10.1109/SEAA60479.2023.00004</t>
  </si>
  <si>
    <t>https://ieeexplore.ieee.org/stamp/stamp.jsp?arnumber=10371503</t>
  </si>
  <si>
    <t>2024 IEEE International Symposium on Parallel and Distributed Processing with Applications (ISPA)</t>
  </si>
  <si>
    <t>2158-9208</t>
  </si>
  <si>
    <t>10.1109/ISPA63168.2024.00004</t>
  </si>
  <si>
    <t>979-8-3315-0971-2</t>
  </si>
  <si>
    <t>https://ieeexplore.ieee.org/stamp/stamp.jsp?arnumber=10885071</t>
  </si>
  <si>
    <t>ICCC 2023 TOC</t>
  </si>
  <si>
    <t>10.1109/ICCC59590.2023.10507457</t>
  </si>
  <si>
    <t>https://ieeexplore.ieee.org/stamp/stamp.jsp?arnumber=10507457</t>
  </si>
  <si>
    <t>ICEECT 2024 TOC</t>
  </si>
  <si>
    <t>2024 International Conference on Electrical Electronics and Computing Technologies (ICEECT)</t>
  </si>
  <si>
    <t>10.1109/ICEECT61758.2024.10738973</t>
  </si>
  <si>
    <t>979-8-3503-7809-2</t>
  </si>
  <si>
    <t>https://ieeexplore.ieee.org/stamp/stamp.jsp?arnumber=10738973</t>
  </si>
  <si>
    <t>2024 16th International Conference on COMmunication Systems &amp; NETworkS (COMSNETS)</t>
  </si>
  <si>
    <t>10.1109/COMSNETS59351.2024.10427047</t>
  </si>
  <si>
    <t>979-8-3503-8311-9</t>
  </si>
  <si>
    <t>https://ieeexplore.ieee.org/stamp/stamp.jsp?arnumber=10427047</t>
  </si>
  <si>
    <t>SoftCOM 2023 Blank Page</t>
  </si>
  <si>
    <t>2023 International Conference on Software, Telecommunications and Computer Networks (SoftCOM)</t>
  </si>
  <si>
    <t>10.23919/SoftCOM58365.2023.10271587</t>
  </si>
  <si>
    <t>979-8-3503-0107-6</t>
  </si>
  <si>
    <t>https://ieeexplore.ieee.org/stamp/stamp.jsp?arnumber=10271587</t>
  </si>
  <si>
    <t>WF-IoT 2024 TOC</t>
  </si>
  <si>
    <t>10.1109/WF-IoT62078.2024.10811396</t>
  </si>
  <si>
    <t>https://ieeexplore.ieee.org/stamp/stamp.jsp?arnumber=10811396</t>
  </si>
  <si>
    <t>SC24-W: Workshops of the International Conference for High Performance Computing, Networking, Storage and Analysis</t>
  </si>
  <si>
    <t>10.1109/SCW63240.2024.00003</t>
  </si>
  <si>
    <t>https://ieeexplore.ieee.org/stamp/stamp.jsp?arnumber=10820780</t>
  </si>
  <si>
    <t>2023 IEEE/ACM 45th International Conference on Software Engineering (ICSE)</t>
  </si>
  <si>
    <t>1558-1225</t>
  </si>
  <si>
    <t>10.1109/ICSE48619.2023.00004</t>
  </si>
  <si>
    <t>978-1-6654-5701-9</t>
  </si>
  <si>
    <t>https://ieeexplore.ieee.org/stamp/stamp.jsp?arnumber=10172546</t>
  </si>
  <si>
    <t>ICCE-Taiwan 2024 Author Index</t>
  </si>
  <si>
    <t>10.1109/ICCE-Taiwan62264.2024.10674573</t>
  </si>
  <si>
    <t>https://ieeexplore.ieee.org/stamp/stamp.jsp?arnumber=10674573</t>
  </si>
  <si>
    <t>ISPDS 2024 TOC</t>
  </si>
  <si>
    <t>2024 5th International Conference on Information Science, Parallel and Distributed Systems (ISPDS)</t>
  </si>
  <si>
    <t>10.1109/ISPDS62779.2024.10667515</t>
  </si>
  <si>
    <t>979-8-3503-5271-9</t>
  </si>
  <si>
    <t>https://ieeexplore.ieee.org/stamp/stamp.jsp?arnumber=10667515</t>
  </si>
  <si>
    <t>10.1109/ICCWorkshops59551.2024.10615599</t>
  </si>
  <si>
    <t>https://ieeexplore.ieee.org/stamp/stamp.jsp?arnumber=10615599</t>
  </si>
  <si>
    <t>10.1109/ICoABCD63526.2024.10704529</t>
  </si>
  <si>
    <t>https://ieeexplore.ieee.org/stamp/stamp.jsp?arnumber=10704529</t>
  </si>
  <si>
    <t>10.1109/ICCSC62048.2024.10830425</t>
  </si>
  <si>
    <t>https://ieeexplore.ieee.org/stamp/stamp.jsp?arnumber=10830425</t>
  </si>
  <si>
    <t>COMSNETS 2025 Schedule</t>
  </si>
  <si>
    <t>10.1109/COMSNETS63942.2025.10885651</t>
  </si>
  <si>
    <t>https://ieeexplore.ieee.org/stamp/stamp.jsp?arnumber=10885651</t>
  </si>
  <si>
    <t>2023 International Conference on Power System Technology (PowerCon)</t>
  </si>
  <si>
    <t>10.1109/PowerCon58120.2023.10331461</t>
  </si>
  <si>
    <t>979-8-3503-0022-2</t>
  </si>
  <si>
    <t>https://ieeexplore.ieee.org/stamp/stamp.jsp?arnumber=10331461</t>
  </si>
  <si>
    <t>10.1109/IDAACS58523.2023.10348774</t>
  </si>
  <si>
    <t>https://ieeexplore.ieee.org/stamp/stamp.jsp?arnumber=10348774</t>
  </si>
  <si>
    <t>IEEE Journals</t>
  </si>
  <si>
    <t>T. Taleb; K. Samdanis; B. Mada; H. Flinck; S. Dutta; D. Sabella</t>
  </si>
  <si>
    <t>On Multi-Access Edge Computing: A Survey of the Emerging 5G Network Edge Cloud Architecture and Orchestration</t>
  </si>
  <si>
    <t>IEEE Communications Surveys &amp; Tutorials</t>
  </si>
  <si>
    <t>1553-877X</t>
  </si>
  <si>
    <t>10.1109/COMST.2017.2705720</t>
  </si>
  <si>
    <t>Aalto University, Espoo, Finland; Huawei European Research Center, Munich, Germany; Aalto University, Espoo, Finland; Nokia Bell Labs, Espoo, Finland; Aalto University, Espoo, Finland; Intel, Munich, Germany</t>
  </si>
  <si>
    <t>Multi-access edge computing (MEC) is an emerging ecosystem, which aims at converging telecommunication and IT services, providing a cloud computing platform at the edge of the radio access network. MEC offers storage and computational resources at the edge, reducing latency for mobile end users and utilizing more efficiently the mobile backhaul and core networks. This paper introduces a survey on MEC and focuses on the fundamental key enabling technologies. It elaborates MEC orchestration considering both individual services and a network of MEC platforms supporting mobility, bringing light into the different orchestration deployment options. In addition, this paper analyzes the MEC reference architecture and main deployment scenarios, which offer multitenancy support for application developers, content providers, and third parties. Finally, this paper overviews the current standardization activities and elaborates further on open research challenges.</t>
  </si>
  <si>
    <t xml:space="preserve">TAKE 5 Project; Finnish Funding Agency for Technology and Innovation; Finnish Ministry of Employment and the Economy; European Union‚Äôs Horizon 2020 Research and Innovation Programme through the EU/JP 5G!Pagoda Project(grant numbers:723172); </t>
  </si>
  <si>
    <t>https://ieeexplore.ieee.org/stamp/stamp.jsp?arnumber=7931566</t>
  </si>
  <si>
    <t>MEC;Multi-Access Edge Computing;Mobile Edge Computing;5G Mobile Communications;Edge Computing;Application Virtualization;Network Function Virtualization;Software Defined Networking;Network Softwarization</t>
  </si>
  <si>
    <t>Cloud computing;Edge computing;Mobile computing;Computer architecture;5G mobile communication</t>
  </si>
  <si>
    <t>X. Wang; Y. Han; V. C. M. Leung; D. Niyato; X. Yan; X. Chen</t>
  </si>
  <si>
    <t>Convergence of Edge Computing and Deep Learning: A Comprehensive Survey</t>
  </si>
  <si>
    <t>10.1109/COMST.2020.2970550</t>
  </si>
  <si>
    <t>Tianjin Key Laboratory of Advanced Networking, College of Intelligence and Computing, Tianjin University, Tianjin, China; Tianjin Key Laboratory of Advanced Networking, College of Intelligence and Computing, Tianjin University, Tianjin, China; College of Computer Science and Software Engineering, Shenzhen University, Shenzhen, China; School of Computer Science and Engineering, Nanyang Technological University, Singapore; 2012 Lab, Huawei Technologies, Shenzhen, China; School of Data and Computer Science, Sun Yat-sen University, Guangzhou, China</t>
  </si>
  <si>
    <t>Ubiquitous sensors and smart devices from factories and communities are generating massive amounts of data, and ever-increasing computing power is driving the core of computation and services from the cloud to the edge of the network. As an important enabler broadly changing people's lives, from face recognition to ambitious smart factories and cities, developments of artificial intelligence (especially deep learning, DL) based applications and services are thriving. However, due to efficiency and latency issues, the current cloud computing service architecture hinders the vision of ‚Äúproviding artificial intelligence for every person and every organization at everywhere‚Äù. Thus, unleashing DL services using resources at the network edge near the data sources has emerged as a desirable solution. Therefore, edge intelligence, aiming to facilitate the deployment of DL services by edge computing, has received significant attention. In addition, DL, as the representative technique of artificial intelligence, can be integrated into edge computing frameworks to build intelligent edge for dynamic, adaptive edge maintenance and management. With regard to mutually beneficial edge intelligence and intelligent edge, this paper introduces and discusses: 1) the application scenarios of both; 2) the practical implementation methods and enabling technologies, namely DL training and inference in the customized edge computing framework; 3) challenges and future trends of more pervasive and fine-grained intelligence. We believe that by consolidating information scattered across the communication, networking, and DL areas, this survey can help readers to understand the connections between enabling technologies while promoting further discussions on the fusion of edge intelligence and intelligent edge, i.e., Edge DL.</t>
  </si>
  <si>
    <t xml:space="preserve">National Basic Research Program of China (973 Program)(grant numbers:2019YFB2101901,2018YFC0809803); National Science Foundation of China(grant numbers:61702364,61972432,U1711265); Program for Guangdong Introducing Innovative and Enterpreneurial Teams(grant numbers:2017ZT07X355); Chinese National Engineering Laboratory for Big Data System Computing Technology; Canadian Natural Sciences and Engineering Research Council; Singapore NRF National Satellite of Excellence, Design Science and Technology for Secure Critical Infrastructure National Satellite of Excellence(grant numbers:DeST-SCI2019-0007); A*STAR-NTU-SUTD Joint Research Grant Call on Artificial Intelligence for the Future of Manufacturing(grant numbers:RGANS1906); WASP/NTU(grant numbers:M4082187 (4080)); Singapore MOE Tier 1(grant numbers:2017-T1-002-007 RG122/17); MOE Tier 2(grant numbers:MOE2014-T2-2-015 ARC4/15); Singapore(grant numbers:NRF2015-NRF-ISF001-2277); Singapore Energy Market Authority Energy Resilience(grant numbers:NRF2017EWT-EP003-041); </t>
  </si>
  <si>
    <t>https://ieeexplore.ieee.org/stamp/stamp.jsp?arnumber=8976180</t>
  </si>
  <si>
    <t>Edge computing;deep learning;wireless communication;computation offloading;artificial intelligence</t>
  </si>
  <si>
    <t>Edge computing;Cloud computing;Training;Computational modeling;Reliability;Wireless communication;Internet of Things</t>
  </si>
  <si>
    <t>H. Tataria; M. Shafi; A. F. Molisch; M. Dohler; H. Sj√∂land; F. Tufvesson</t>
  </si>
  <si>
    <t>6G Wireless Systems: Vision, Requirements, Challenges, Insights, and Opportunities</t>
  </si>
  <si>
    <t>Proceedings of the IEEE</t>
  </si>
  <si>
    <t>1558-2256</t>
  </si>
  <si>
    <t>10.1109/JPROC.2021.3061701</t>
  </si>
  <si>
    <t>Department of Electrical and Information Technology, Lund University, Lund, Sweden; Spark New Zealand, Wellington, New Zealand; Ming Hsieh Department of Electrical and Computer Engineering, University of Southern California, Los Angeles, CA, USA; Center for Telecoms Research, King‚Äôs College London, London, U.K.; Department of Electrical and Information Technology, Lund University, Lund, Sweden; Department of Electrical and Information Technology, Lund University, Lund, Sweden</t>
  </si>
  <si>
    <t>Mobile communications have been undergoing a generational change every ten years or so. However, the time difference between the so-called ‚ÄúG‚Äôs‚Äù is also decreasing. While fifth-generation (5G) systems are becoming a commercial reality, there is already significant interest in systems beyond 5G, which we refer to as the sixth generation (6G) of wireless systems. In contrast to the already published papers on the topic, we take a top-down approach to 6G. More precisely, we present a holistic discussion of 6G systems beginning with lifestyle and societal changes driving the need for next-generation networks. This is followed by a discussion into the technical requirements needed to enable 6G applications, based on which we dissect key challenges and possibilities for practically realizable system solutions across all layers of the Open Systems Interconnection stack (i.e., from applications to the physical layer). Since many of the 6G applications will need access to an order-of-magnitude more spectrum, utilization of frequencies between 100 GHz and 1 THz becomes of paramount importance. As such, the 6G ecosystem will feature a diverse range of frequency bands, ranging from below 6 GHz up to 1 THz. We comprehensively characterize the limitations that must be overcome to realize working systems in these bands and provide a unique perspective on the physical and higher layer challenges relating to the design of next-generation core networks, new modulation and coding methods, novel multiple-access techniques, antenna arrays, wave propagation, radio frequency transceiver design, and real-time signal processing. We rigorously discuss the fundamental changes required in the core networks of the future, such as the redesign or significant reduction of the transport architecture that serves as a major source of latency for time-sensitive applications. This is in sharp contrast to the present hierarchical network architectures that are not suitable to realize many of the anticipated 6G services. While evaluating the strengths and weaknesses of key candidate 6G technologies, we differentiate what may be practically achievable over the next decade, relative to what is possible in theory. Keeping this in mind, we present concrete research challenges for each of the discussed system aspects, providing inspiration for what follows.</t>
  </si>
  <si>
    <t xml:space="preserve">Ericsson AB, Sweden; ELLIIT: The Link√∂ping-Lund Excellence Center on IT and Mobile Communication; National Science Foundation (NSF); National Institute of Standards and Technology (NIST); Samsung Research America; </t>
  </si>
  <si>
    <t>https://ieeexplore.ieee.org/stamp/stamp.jsp?arnumber=9390169</t>
  </si>
  <si>
    <t>Beamforming;next-generation core network;physical layer (PHY);radio frequency (RF) transceivers;signal processing;sixth-generation (6G);terahertz (THz);ultramassive multiple-input multiple-output (MIMO);waveforms</t>
  </si>
  <si>
    <t>CCBY</t>
  </si>
  <si>
    <t>Array signal processing;Transceivers;Signal processing;6G mobile communication;Massive MIMO;Radio frequency;Physical layer;Next generation networking</t>
  </si>
  <si>
    <t>I. Afolabi; T. Taleb; K. Samdanis; A. Ksentini; H. Flinck</t>
  </si>
  <si>
    <t>Network Slicing and Softwarization: A Survey on Principles, Enabling Technologies, and Solutions</t>
  </si>
  <si>
    <t>10.1109/COMST.2018.2815638</t>
  </si>
  <si>
    <t>Department of Communications and Networking, Aalto University, Espoo, Finland; Department of Computer and Information Security, Sejong University, Seoul, South Korea; Huawei European Research Center, Munich, Germany; Department of Communications System, Eurecom, Nice, France; Nokia Bell Labs, Espoo, Finland</t>
  </si>
  <si>
    <t>Network slicing has been identified as the backbone of the rapidly evolving 5G technology. However, as its consolidation and standardization progress, there are no literatures that comprehensively discuss its key principles, enablers, and research challenges. This paper elaborates network slicing from an end-to-end perspective detailing its historical heritage, principal concepts, enabling technologies and solutions as well as the current standardization efforts. In particular, it overviews the diverse use cases and network requirements of network slicing, the pre-slicing era, considering RAN sharing as well as the end-to-end orchestration and management, encompassing the radio access, transport network and the core network. This paper also provides details of specific slicing solutions for each part of the 5G system. Finally, this paper identifies a number of open research challenges and provides recommendations toward potential solutions.</t>
  </si>
  <si>
    <t xml:space="preserve">Academy of Finland(grant numbers:311654); European Union‚Äôs Horizon 2020 Research and Innovation Program through the 5G!Pagoda Project(grant numbers:723172); Global5G.org Project(grant numbers:761816); </t>
  </si>
  <si>
    <t>https://ieeexplore.ieee.org/stamp/stamp.jsp?arnumber=8320765</t>
  </si>
  <si>
    <t>Network slice;5G;network softwarization;orchestration;network management;NFV;SDN;cloud;mobile network;MANO;open source</t>
  </si>
  <si>
    <t>5G mobile communication;Network slicing;Business;Cloud computing;Industries</t>
  </si>
  <si>
    <t>T. M. Fern√°ndez-Caram√©s; P. Fraga-Lamas</t>
  </si>
  <si>
    <t>A Review on the Use of Blockchain for the Internet of Things</t>
  </si>
  <si>
    <t>IEEE Access</t>
  </si>
  <si>
    <t>2169-3536</t>
  </si>
  <si>
    <t>10.1109/ACCESS.2018.2842685</t>
  </si>
  <si>
    <t>Department of Computer Engineering, Universidade da Coru√±a, A Coru√±a, Spain; Department of Computer Engineering, Universidade da Coru√±a, A Coru√±a, Spain</t>
  </si>
  <si>
    <t>The paradigm of Internet of Things (IoT) is paving the way for a world, where many of our daily objects will be interconnected and will interact with their environment in order to collect information and automate certain tasks. Such a vision requires, among other things, seamless authentication, data privacy, security, robustness against attacks, easy deployment, and self-maintenance. Such features can be brought by blockchain, a technology born with a cryptocurrency called Bitcoin. In this paper, a thorough review on how to adapt blockchain to the specific needs of IoT in order to develop Blockchain-based IoT (BIoT) applications is presented. After describing the basics of blockchain, the most relevant BIoT applications are described with the objective of emphasizing how blockchain can impact traditional cloud-centered IoT applications. Then, the current challenges and possible optimizations are detailed regarding many aspects that affect the design, development, and deployment of a BIoT application. Finally, some recommendations are enumerated with the aim of guiding future BIoT researchers and developers on some of the issues that will have to be tackled before deploying the next generation of BIoT applications.</t>
  </si>
  <si>
    <t xml:space="preserve">Xunta de Galicia(grant numbers:ED431C 2016-045,ED341D R2016/012,ED431G/01); Agencia Estatal de Investigaci√≥n of Spain(grant numbers:TEC2015-69648-REDC,TEC2016-75067-C4-1-R); ERDF funds of EU, UE(grant numbers:AEI/FEDER); BBVA; BritishSpanish Society Grant; </t>
  </si>
  <si>
    <t>https://ieeexplore.ieee.org/stamp/stamp.jsp?arnumber=8370027</t>
  </si>
  <si>
    <t>IoT;blockchain;traceability;consensus;distributed systems;BIoT;fog computing;edge computing</t>
  </si>
  <si>
    <t>OAPA</t>
  </si>
  <si>
    <t>Peer-to-peer computing;Bitcoin;Internet of Things;Cloud computing;Computer architecture</t>
  </si>
  <si>
    <t>C. -X. Wang; X. You; X. Gao; X. Zhu; Z. Li; C. Zhang; H. Wang; Y. Huang; Y. Chen; H. Haas; J. S. Thompson; E. G. Larsson; M. D. Renzo; W. Tong; P. Zhu; X. Shen; H. V. Poor; L. Hanzo</t>
  </si>
  <si>
    <t>On the Road to 6G: Visions, Requirements, Key Technologies, and Testbeds</t>
  </si>
  <si>
    <t>10.1109/COMST.2023.3249835</t>
  </si>
  <si>
    <t>National Mobile Communications Research Laboratory, School of Information Science and Engineering, Southeast University, Nanjing, China; National Mobile Communications Research Laboratory, School of Information Science and Engineering, Southeast University, Nanjing, China; National Mobile Communications Research Laboratory, School of Information Science and Engineering, Southeast University, Nanjing, China; National Mobile Communications Research Laboratory, School of Information Science and Engineering, Southeast University, Nanjing, China; National Mobile Communications Research Laboratory, School of Information Science and Engineering, Southeast University, Nanjing, China; National Mobile Communications Research Laboratory, School of Information Science and Engineering, Southeast University, Nanjing, China; Pervasive Communication Research Center, Purple Mountain Laboratories, Nanjing, China; National Mobile Communications Research Laboratory, School of Information Science and Engineering, Southeast University, Nanjing, China; Department of Engineering, University of Durham, Durham, U.K.; Department of Electronic and Electrical Engineering, LiFi Research and Development Center, University of Strathclyde, Glasgow, U.K.; Institute for Digital Communications, School of Engineering, University of Edinburgh, Edinburgh, U.K.; Department of Electrical Engineering (ISY), Link√∂ping University, Link√∂ping, Sweden; Universit√© Paris-Saclay, CNRS, CentraleSup√©lec, Laboratoire des Signaux et Syst√®mes, Gif-sur-Yvette, France; Wireless Advanced System and Competency Centre, HUAWEI Technologies Canada Company Ltd., Ottawa, ON, Canada; Wireless Technology Lab, HUAWEI Technologies Canada Company Ltd., Ottawa, Canada; Department of Electrical and Computer Engineering, University of Waterloo, Waterloo, Canada; Department of Electrical and Computer Engineering, Princeton University, Princeton, NJ, USA; School of Electronics and Computer Science, University of Southampton, Southampton, U.K.</t>
  </si>
  <si>
    <t>Fifth generation (5G) mobile communication systems have entered the stage of commercial deployment, providing users with new services, improved user experiences as well as a host of novel opportunities to various industries. However, 5G still faces many challenges. To address these challenges, international industrial, academic, and standards organizations have commenced research on sixth generation (6G) wireless communication systems. A series of white papers and survey papers have been published, which aim to define 6G in terms of requirements, application scenarios, key technologies, etc. Although ITU-R has been working on the 6G vision and it is expected to reach a consensus on what 6G will be by mid-2023, the related global discussions are still wide open and the existing literature has identified numerous open issues. This paper first provides a comprehensive portrayal of the 6G vision, technical requirements, and application scenarios, covering the current common understanding of 6G. Then, a critical appraisal of the 6G network architecture and key technologies is presented. Furthermore, existing testbeds and advanced 6G verification platforms are detailed for the first time. In addition, future research directions and open challenges are identified to stimulate the on-going global debate. Finally, lessons learned to date concerning 6G networks are discussed.</t>
  </si>
  <si>
    <t xml:space="preserve">National Key Research and Development Program of China(grant numbers:2018YFB1801101); National Natural Science Foundation of China(grant numbers:61960206006,62122020); Key Technologies Research and Development Program of Jiangsu (Prospective and Key Technologies for Industry)(grant numbers:BE2022067,BE2022067-1,BE2022067-5); EU H2020 RISE TESTBED2 Project(grant numbers:872172); EU H2020 ARIADNE Project(grant numbers:871464); EU H2020 RISE-6G Project(grant numbers:101017011); U.S. National Science Foundation(grant numbers:CCF-1908308,CNS-2128448); Engineering and Physical Sciences Research Council Project(grant numbers:EP/W016605/1,EP/X01228X/1); European Research Council‚Äôs Advanced Fellow Grant QuantCom(grant numbers:789028); </t>
  </si>
  <si>
    <t>https://ieeexplore.ieee.org/stamp/stamp.jsp?arnumber=10054381</t>
  </si>
  <si>
    <t>6G vision;6G key performance indicators (KPIs);6G application scenarios;6G network architecture;6G key technologies;6G testbeds;6G challenges</t>
  </si>
  <si>
    <t>6G mobile communication;5G mobile communication;Wireless communication;Industries;Tutorials;Millimeter wave communication;Research and development</t>
  </si>
  <si>
    <t>K. Cao; Y. Liu; G. Meng; Q. Sun</t>
  </si>
  <si>
    <t>An Overview on Edge Computing Research</t>
  </si>
  <si>
    <t>10.1109/ACCESS.2020.2991734</t>
  </si>
  <si>
    <t>College of Information and Control Engineering, Shenyang Jianzhu University, Shenyang, China; College of Information and Control Engineering, Shenyang Jianzhu University, Shenyang, China; College of Information and Control Engineering, Shenyang Jianzhu University, Shenyang, China; College of Information and Control Engineering, Shenyang Jianzhu University, Shenyang, China</t>
  </si>
  <si>
    <t>With the rapid development of the Internet of Everything (IoE), the number of smart devices connected to the Internet is increasing, resulting in large-scale data, which has caused problems such as bandwidth load, slow response speed, poor security, and poor privacy in traditional cloud computing models. Traditional cloud computing is no longer sufficient to support the diverse needs of today's intelligent society for data processing, so edge computing technologies have emerged. It is a new computing paradigm for performing calculations at the edge of the network. Unlike cloud computing, it emphasizes closer to the user and closer to the source of the data. At the edge of the network, it is lightweight for local, small-scale data storage and processing. This article mainly reviews the related research and results of edge computing. First, it summarizes the concept of edge computing and compares it with cloud computing. Then summarize the architecture of edge computing, keyword technology, security and privacy protection, and finally summarize the applications of edge computing.</t>
  </si>
  <si>
    <t xml:space="preserve">National Natural Science Foundation of China(grant numbers:61602323); National Postdoctoral Foundation of China(grant numbers:2016M591455); Youth Seedling Foundation of Liaoning Province(grant numbers:lnqn201913); Natural Science Funds of Liaoning Province(grant numbers:2019MS264,20180550019); </t>
  </si>
  <si>
    <t>https://ieeexplore.ieee.org/stamp/stamp.jsp?arnumber=9083958</t>
  </si>
  <si>
    <t>Edge computing;cloud computing;Internet of Things</t>
  </si>
  <si>
    <t>Cloud computing;Edge computing;Real-time systems;Internet of Things;Bandwidth;Security;Data privacy</t>
  </si>
  <si>
    <t>H. Viswanathan; P. E. Mogensen</t>
  </si>
  <si>
    <t>Communications in the 6G Era</t>
  </si>
  <si>
    <t>10.1109/ACCESS.2020.2981745</t>
  </si>
  <si>
    <t>Nokia Bell Labs, Murray Hill, USA; Nokia Bell Labs, Aalborg, Denmark</t>
  </si>
  <si>
    <t>The focus of wireless research is increasingly shifting toward 6G as 5G deployments get underway. At this juncture, it is essential to establish a vision of future communications to provide guidance for that research. In this paper, we attempt to paint a broad picture of communication needs and technologies in the timeframe of 6G. The future of connectivity is in the creation of digital twin worlds that are a true representation of the physical and biological worlds at every spatial and time instant, unifying our experience across these physical, biological and digital worlds. New themes are likely to emerge that will shape 6G system requirements and technologies, such as: (i) new man-machine interfaces created by a collection of multiple local devices acting in unison; (ii) ubiquitous universal computing distributed among multiple local devices and the cloud; (iii) multi-sensory data fusion to create multi-verse maps and new mixed-reality experiences; and (iv) precision sensing and actuation to control the physical world. With rapid advances in artificial intelligence, it has the potential to become the foundation for the 6G air interface and network, making data, compute and energy the new resources to be exploited for achieving superior performance. In addition, in this paper we discuss the other major technology transformations that are likely to define 6G: (i) cognitive spectrum sharing methods and new spectrum bands; (ii) the integration of localization and sensing capabilities into the system definition, (iii) the achievement of extreme performance requirements on latency and reliability; (iv) new network architecture paradigms involving sub-networks and RAN-Core convergence; and (v) new security and privacy schemes.</t>
  </si>
  <si>
    <t xml:space="preserve">Nokia; </t>
  </si>
  <si>
    <t>https://ieeexplore.ieee.org/stamp/stamp.jsp?arnumber=9040431</t>
  </si>
  <si>
    <t>6G;AI/ML driven air interface;network localization and sensing;cognitive spectrum sharing;sub-terahertz;RAN-Core convergence;subnetworks;security;privacy;network as a platform</t>
  </si>
  <si>
    <t>6G mobile communication;5G mobile communication;Robot sensing systems;Biology;Digital twin;User interfaces</t>
  </si>
  <si>
    <t>R. Yang; F. R. Yu; P. Si; Z. Yang; Y. Zhang</t>
  </si>
  <si>
    <t>Integrated Blockchain and Edge Computing Systems: A Survey, Some Research Issues and Challenges</t>
  </si>
  <si>
    <t>10.1109/COMST.2019.2894727</t>
  </si>
  <si>
    <t>Faculty of Information Technology, Beijing University of Technology, Beijing, China; Department of Systems and Computer Engineering, Carleton University, Ottawa, ON, Canada; Faculty of Information Technology, Beijing University of Technology, Beijing, China; Faculty of Information Technology, Beijing University of Technology, Beijing, China; Faculty of Information Technology, Beijing University of Technology, Beijing, China</t>
  </si>
  <si>
    <t>Blockchain, as the underlying technology of crypto-currencies, has attracted significant attention. It has been adopted in numerous applications, such as smart grid and Internet-of-Things. However, there is a significant scalability barrier for blockchain, which limits its ability to support services with frequent transactions. On the other side, edge computing is introduced to extend the cloud resources and services to be distributed at the edge of the network, but currently faces challenges in its decentralized management and security. The integration of blockchain and edge computing into one system can enable reliable access and control of the network, storage, and computation distributed at the edges, hence providing a large scale of network servers, data storage, and validity computation near the end in a secure manner. Despite the prospect of integrated blockchain and edge computing systems, its scalability enhancement, self organization, functions integration, resource management, and new security issues remain to be addressed before widespread deployment. In this survey, we investigate some of the work that has been done to enable the integrated blockchain and edge computing system and discuss the research challenges. We identify several vital aspects of the integration of blockchain and edge computing: motivations, frameworks, enabling functionalities, and challenges. Finally, some broader perspectives are explored.</t>
  </si>
  <si>
    <t xml:space="preserve">Beijing University of Technology; Beijing Post-Doctoral Fund; Support Project of High-Level Teachers in Beijing Municipal Universities in the Period of 13th Five-Year Plan(grant numbers:067175315000); National Natural Science Foundation of China(grant numbers:61671029,61571021); </t>
  </si>
  <si>
    <t>https://ieeexplore.ieee.org/stamp/stamp.jsp?arnumber=8624417</t>
  </si>
  <si>
    <t>Blockchain;edge computing;network;storage;computation</t>
  </si>
  <si>
    <t>Blockchain;Edge computing;Bitcoin;Peer-to-peer computing;Scalability;Cloud computing</t>
  </si>
  <si>
    <t>T. Qiu; J. Chi; X. Zhou; Z. Ning; M. Atiquzzaman; D. O. Wu</t>
  </si>
  <si>
    <t>Edge Computing in Industrial Internet of Things: Architecture, Advances and Challenges</t>
  </si>
  <si>
    <t>10.1109/COMST.2020.3009103</t>
  </si>
  <si>
    <t>School of Computer Science and Technology, College of Intelligence and Computing, Tianjin University, Tianjin, China; School of Computer Science and Technology, College of Intelligence and Computing, Tianjin University, Tianjin, China; School of Computer Science and Technology, College of Intelligence and Computing, Tianjin University, Tianjin, China; School of Software, Dalian University of Technology, Dalian, China; School of Computer Science, University of Oklahoma, Norman, OK, USA; Department of Electrical and Computer Engineering, University of Florida, Gainesville, FL, USA</t>
  </si>
  <si>
    <t>The Industrial Internet of Things (IIoT) is a crucial research field spawned by the Internet of Things (IoT). IIoT links all types of industrial equipment through the network; establishes data acquisition, exchange, and analysis systems; and optimizes processes and services, so as to reduce cost and enhance productivity. The introduction of edge computing in IIoT can significantly reduce the decision-making latency, save bandwidth resources, and to some extent, protect privacy. This paper outlines the research progress concerning edge computing in IIoT. First, the concepts of IIoT and edge computing are discussed, and subsequently, the research progress of edge computing is discussed and summarized in detail. Next, the future architecture from the perspective of edge computing in IIoT is proposed, and its technical progress in routing, task scheduling, data storage and analytics, security, and standardization is analyzed. Furthermore, we discuss the opportunities and challenges of edge computing in IIoT in terms of 5G-based edge communication, load balancing and data offloading, edge intelligence, as well as data sharing security. Finally, we introduce some typical application scenarios of edge computing in IIoT, such as prognostics and health management (PHM), smart grids, manufacturing coordination, intelligent connected vehicles (ICV), and smart logistics.</t>
  </si>
  <si>
    <t xml:space="preserve">National Key Research and Development Program of China(grant numbers:2019YFB1703601); National Natural Science Foundation of China(grant numbers:61672131,61971084,61702365); </t>
  </si>
  <si>
    <t>https://ieeexplore.ieee.org/stamp/stamp.jsp?arnumber=9139976</t>
  </si>
  <si>
    <t>Industrial Internet of Things (IIoT);edge computing;reference architecture;advances and challenges;application scenarios</t>
  </si>
  <si>
    <t>Edge computing;Cloud computing;Internet of Things;Computer architecture;Security;Delays</t>
  </si>
  <si>
    <t>C. D. Alwis; A. Kalla; Q. -V. Pham; P. Kumar; K. Dev; W. -J. Hwang; M. Liyanage</t>
  </si>
  <si>
    <t>Survey on 6G Frontiers: Trends, Applications, Requirements, Technologies and Future Research</t>
  </si>
  <si>
    <t>IEEE Open Journal of the Communications Society</t>
  </si>
  <si>
    <t>2644-125X</t>
  </si>
  <si>
    <t>10.1109/OJCOMS.2021.3071496</t>
  </si>
  <si>
    <t>Department of Electrical and Electronic Engineering, University of Sri Jayewardenepura, Nugegoda, Sri Lanka; Centre for Wireless Communications, University of Oulu, Oulu, Finland; Korean Southeast Center for the 4th Industrial Revolution Leader Education, Pusan National University, Busan, Republic of Korea; Department of Computer Science, Swansea University, Swansea, U.K.; Nimbus Research Centre, Munster Technological University, Bishopstown, Cork, Ireland; Department of Biomedical Convergence Engineering, Pusan National University, Yangsan, South Korea; Centre for Wireless Communications, University of Oulu, Oulu, Finland</t>
  </si>
  <si>
    <t>Emerging applications such as Internet of Everything, Holographic Telepresence, collaborative robots, and space and deep-sea tourism are already highlighting the limitations of existing fifth-generation (5G) mobile networks. These limitations are in terms of data-rate, latency, reliability, availability, processing, connection density and global coverage, spanning over ground, underwater and space. The sixth-generation (6G) of mobile networks are expected to burgeon in the coming decade to address these limitations. The development of 6G vision, applications, technologies and standards has already become a popular research theme in academia and the industry. In this paper, we provide a comprehensive survey of the current developments towards 6G. We highlight the societal and technological trends that initiate the drive towards 6G. Emerging applications to realize the demands raised by 6G driving trends are discussed subsequently. We also elaborate the requirements that are necessary to realize the 6G applications. Then we present the key enabling technologies in detail. We also outline current research projects and activities including standardization efforts towards the development of 6G. Finally, we summarize lessons learned from state-of-the-art research and discuss technical challenges that would shed a new light on future research directions towards 6G.</t>
  </si>
  <si>
    <t xml:space="preserve">National Research Foundation of Korea (NRF); Korean Government (MSIT)(grant numbers:NRF-2019R1C1C1006143,NRF-2019R1I1A3A01060518); European Union in RESPONSE 5G(grant numbers:789658); Academy of Finland in 6Genesis(grant numbers:318927); Secure Connect Projects; Institute of Information and Communications Technology Planning and Evaluation (IITP); Korea Government (MSIT)(grant numbers:2020-0-01450); Artificial Intelligence Convergence Research Center, Pusan National University; </t>
  </si>
  <si>
    <t>https://ieeexplore.ieee.org/stamp/stamp.jsp?arnumber=9397776</t>
  </si>
  <si>
    <t>Beyond 5G;6G;mobile communication;emerging technologies;survey</t>
  </si>
  <si>
    <t>6G mobile communication;5G mobile communication;Mobile communication;Internet of Things;Market research;Reliability;Broadband communication</t>
  </si>
  <si>
    <t>L. U. Khan; W. Saad; Z. Han; E. Hossain; C. S. Hong</t>
  </si>
  <si>
    <t>Federated Learning for Internet of Things: Recent Advances, Taxonomy, and Open Challenges</t>
  </si>
  <si>
    <t>10.1109/COMST.2021.3090430</t>
  </si>
  <si>
    <t>Department of Computer Science and Engineering, Kyung Hee University, Yongin, South Korea; Bradley Department of Electrical and Computer Engineering, Wireless@VT, Virginia Tech, Blacksburg, VA, USA; Department of Computer Science and Engineering, Kyung Hee University, Seoul, South Korea; Department of Electrical and Computer Engineering, University of Manitoba, Winnipeg, MB, Canada; Department of Computer Science and Engineering, Kyung Hee University, Yongin, South Korea</t>
  </si>
  <si>
    <t>The Internet of Things (IoT) will be ripe for the deployment of novel machine learning algorithm for both network and application management. However, given the presence of massively distributed and private datasets, it is challenging to use classical centralized learning algorithms in the IoT. To overcome this challenge, federated learning can be a promising solution that enables on-device machine learning without the need to migrate the private end-user data to a central cloud. In federated learning, only learning model updates are transferred between end-devices and the aggregation server. Although federated learning can offer better privacy preservation than centralized machine learning, it has still privacy concerns. In this paper, first, we present the recent advances of federated learning towards enabling federated learning-powered IoT applications. A set of metrics such as sparsification, robustness, quantization, scalability, security, and privacy, is delineated in order to rigorously evaluate the recent advances. Second, we devise a taxonomy for federated learning over IoT networks. Finally, we present several open research challenges with their possible solutions.</t>
  </si>
  <si>
    <t xml:space="preserve">National Research Foundation of Korea (NRF) grant funded by the Korea Government (MSIT)(grant numbers:2020R1A4A1018607); </t>
  </si>
  <si>
    <t>https://ieeexplore.ieee.org/stamp/stamp.jsp?arnumber=9460016</t>
  </si>
  <si>
    <t>Federated learning;Internet of Things;wireless networks</t>
  </si>
  <si>
    <t>Collaborative work;Data models;Internet of Things;Computational modeling;Servers;Machine learning;Cloud computing</t>
  </si>
  <si>
    <t>A. Gharaibeh; M. A. Salahuddin; S. J. Hussini; A. Khreishah; I. Khalil; M. Guizani; A. Al-Fuqaha</t>
  </si>
  <si>
    <t>Smart Cities: A Survey on Data Management, Security, and Enabling Technologies</t>
  </si>
  <si>
    <t>10.1109/COMST.2017.2736886</t>
  </si>
  <si>
    <t>German Jordanian University, Amman, Jordan; University of Waterloo, Waterloo, ON, Canada; Western Michigan University, Kalamazoo, MI, USA; New Jersey Institute of Technology, Newark, NJ, USA; Qatar Computing Research Institute, Doha, Qatar; University of Idaho, Moscow, ID, USA; Western Michigan University, Kalamazoo, MI, USA</t>
  </si>
  <si>
    <t>Integrating the various embedded devices and systems in our environment enables an Internet of Things (IoT) for a smart city. The IoT will generate tremendous amount of data that can be leveraged for safety, efficiency, and infotainment applications and services for city residents. The management of this voluminous data through its lifecycle is fundamental to the realization of smart cities. Therefore, in contrast to existing surveys on smart cities we provide a data-centric perspective, describing the fundamental data management techniques employed to ensure consistency, interoperability, granularity, and reusability of the data generated by the underlying IoT for smart cities. Essentially, the data lifecycle in a smart city is dependent on tightly coupled data management with cross-cutting layers of data security and privacy, and supporting infrastructure. Therefore, we further identify techniques employed for data security and privacy, and discuss the networking and computing technologies that enable smart cities. We highlight the achievements in realizing various aspects of smart cities, present the lessons learned, and identify limitations and research challenges.</t>
  </si>
  <si>
    <t>https://ieeexplore.ieee.org/stamp/stamp.jsp?arnumber=8003273</t>
  </si>
  <si>
    <t>Smart cities;Internet of Things (IoT);data management;data security;network functions virtualization (NFV);software-defined networking (SDN);cloud computing</t>
  </si>
  <si>
    <t>Smart cities;Data security;Data privacy;Tutorials;Internet of Things;Virtualization;Cloud computing;Software defined networking</t>
  </si>
  <si>
    <t>R. Minerva; G. M. Lee; N. Crespi</t>
  </si>
  <si>
    <t>Digital Twin in the IoT Context: A Survey on Technical Features, Scenarios, and Architectural Models</t>
  </si>
  <si>
    <t>10.1109/JPROC.2020.2998530</t>
  </si>
  <si>
    <t>CNRS Lab UMR5157, Telecom SudParis, Institut Polytechnique de Paris, Evry, France; Computer Science Department, Liverpool John Moores University, Liverpool, U.K.; CNRS Lab UMR5157, Telecom SudParis, Institut Polytechnique de Paris, Evry, France</t>
  </si>
  <si>
    <t>Digital twin (DT) is an emerging concept that is gaining attention in various industries. It refers to the ability to clone a physical object (PO) into a software counterpart. The softwarized object, termed logical object, reflects all the important properties and characteristics of the original object within a specific application context. To fully determine the expected properties of the DT, this article surveys the state-of-the-art starting from the original definition within the manufacturing industry. It takes into account related proposals emerging in other fields, namely augmented and virtual reality (e.g., avatars), multiagent systems, and virtualization. This survey thereby allows for the identification of an extensive set of DT features that point to the ‚Äúsoftwarization‚Äù of POs. To properly consolidate a shared DT definition, a set of foundational properties is identified and proposed as a common ground outlining the essential characteristics (must-haves) of a DT. Once the DT definition has been consolidated, its technical and business value is discussed in terms of applicability and opportunities. Four application scenarios illustrate how the DT concept can be used and how some industries are applying it. The scenarios also lead to a generic DT architectural model. This analysis is then complemented by the identification of software architecture models and guidelines in order to present a general functional framework for the DT. This article, eventually, analyses a set of possible evolution paths for the DT considering its possible usage as a major enabler for the softwarization process.</t>
  </si>
  <si>
    <t>https://ieeexplore.ieee.org/stamp/stamp.jsp?arnumber=9120192</t>
  </si>
  <si>
    <t>Artificial intelligence (AI);business models;cyber physical systems (CPSs);digital twin (DT);Internet of Things (IoT);machine learning (ML);multiagent systems;network function virtualization;sensors;servitization;smart city;software architecture;softwarization;virtual and augmented reality</t>
  </si>
  <si>
    <t>Internet of Things;Cloning;Digital twin;Software engineering;Solid modeling;Software architecture;Manufacturing processing</t>
  </si>
  <si>
    <t>R. K. Naha; S. Garg; D. Georgakopoulos; P. P. Jayaraman; L. Gao; Y. Xiang; R. Ranjan</t>
  </si>
  <si>
    <t>Fog Computing: Survey of Trends, Architectures, Requirements, and Research Directions</t>
  </si>
  <si>
    <t>10.1109/ACCESS.2018.2866491</t>
  </si>
  <si>
    <t>School of Technology, Environments and Design, University of Tasmania, Hobart, TAS, Australia; School of Technology, Environments and Design, University of Tasmania, Hobart, TAS, Australia; Faculty of Science, Engineering and Technology, Swinburne University of Technology, Melbourne, VIC, Australia; Faculty of Science, Engineering and Technology, Swinburne University of Technology, Melbourne, VIC, Australia; School of Information Technology, Deakin University, Burwood, VIC, Australia; School of Information Technology, Deakin University, Burwood, VIC, Australia; School of Computing, Newcastle University, Newcastle upon Tyne, U.K.</t>
  </si>
  <si>
    <t>Emerging technologies such as the Internet of Things (IoT) require latency-aware computation for real-time application processing. In IoT environments, connected things generate a huge amount of data, which are generally referred to as big data. Data generated from IoT devices are generally processed in a cloud infrastructure because of the on-demand services and scalability features of the cloud computing paradigm. However, processing IoT application requests on the cloud exclusively is not an efficient solution for some IoT applications, especially time-sensitive ones. To address this issue, Fog computing, which resides in between cloud and IoT devices, was proposed. In general, in the Fog computing environment, IoT devices are connected to Fog devices. These Fog devices are located in close proximity to users and are responsible for intermediate computation and storage. One of the key challenges in running IoT applications in a Fog computing environment are resource allocation and task scheduling. Fog computing research is still in its infancy, and taxonomy-based investigation into the requirements of Fog infrastructure, platform, and applications mapped to current research is still required. This survey will help the industry and research community synthesize and identify the requirements for Fog computing. This paper starts with an overview of Fog computing in which the definition of Fog computing, research trends, and the technical differences between Fog and cloud are reviewed. Then, we investigate numerous proposed Fog computing architectures and describe the components of these architectures in detail. From this, the role of each component will be defined, which will help in the deployment of Fog computing. Next, a taxonomy of Fog computing is proposed by considering the requirements of the Fog computing paradigm. We also discuss existing research works and gaps in resource allocation and scheduling, fault tolerance, simulation tools, and Fog-based microservices. Finally, by addressing the limitations of current research works, we present some open issues, which will determine the future research direction for the Fog computing paradigm.</t>
  </si>
  <si>
    <t xml:space="preserve">University of Tasmania; </t>
  </si>
  <si>
    <t>https://ieeexplore.ieee.org/stamp/stamp.jsp?arnumber=8444370</t>
  </si>
  <si>
    <t>Fog computing;Internet of Things (IoT);fog devices;fault tolerance;IoT application;microservices</t>
  </si>
  <si>
    <t>Edge computing;Cloud computing;Computer architecture;Market research;Internet of Things;Resource management;Taxonomy</t>
  </si>
  <si>
    <t>Y. Liu; M. Peng; G. Shou; Y. Chen; S. Chen</t>
  </si>
  <si>
    <t>Toward Edge Intelligence: Multiaccess Edge Computing for 5G and Internet of Things</t>
  </si>
  <si>
    <t>IEEE Internet of Things Journal</t>
  </si>
  <si>
    <t>2327-4662</t>
  </si>
  <si>
    <t>10.1109/JIOT.2020.3004500</t>
  </si>
  <si>
    <t>Yaqiong Liu and Guochu Shou are all with the School of Information and Communication Engineering, Beijing University of Posts and Telecommunications, Beijing, China; School of Information and Communication Engineering and the State Key Laboratory of Networking and Switching Technology, Beijing University of Posts and Telecommunications, Beijing, China; Yaqiong Liu and Guochu Shou are all with the School of Information and Communication Engineering, Beijing University of Posts and Telecommunications, Beijing, China; School of Cyberspace Security, Beijing University of Posts and Telecommunications, Beijing, China; International School, Beijing University of Posts and Telecommunications, Beijing, China</t>
  </si>
  <si>
    <t>To satisfy the increasing demand of mobile data traffic and meet the stringent requirements of the emerging Internet-of-Things (IoT) applications such as smart city, healthcare, and augmented/virtual reality (AR/VR), the fifth-generation (5G) enabling technologies are proposed and utilized in networks. As an emerging key technology of 5G and a key enabler of IoT, multiaccess edge computing (MEC), which integrates telecommunication and IT services, offers cloud computing capabilities at the edge of the radio access network (RAN). By providing computational and storage resources at the edge, MEC can reduce latency for end users. Hence, this article investigates MEC for 5G and IoT comprehensively. It analyzes the main features of MEC in the context of 5G and IoT and presents several fundamental key technologies which enable MEC to be applied in 5G and IoT, such as cloud computing, software-defined networking/network function virtualization, information-centric networks, virtual machine (VM) and containers, smart devices, network slicing, and computation offloading. In addition, this article provides an overview of the role of MEC in 5G and IoT, bringing light into the different MEC-enabled 5G and IoT applications as well as the promising future directions of integrating MEC with 5G and IoT. Moreover, this article further elaborates research challenges and open issues of MEC for 5G and IoT. Last but not least, we propose a use case that utilizes MEC to achieve edge intelligence in IoT scenarios.</t>
  </si>
  <si>
    <t xml:space="preserve">National Natural Science Foundation of China(grant numbers:61901052); Higher Education Discipline Innovation Project(grant numbers:B17007); Director Funds of Beijing Key Laboratory of Network System Architecture and Convergence(grant numbers:2017BKL-NSAC-ZJ-02); </t>
  </si>
  <si>
    <t>https://ieeexplore.ieee.org/stamp/stamp.jsp?arnumber=9123504</t>
  </si>
  <si>
    <t>Edge computing;edge intelligence;fifth generation (5G);Internet of Things (IoT);low latency;mobile-edge computing;multiaccess edge computing (MEC)</t>
  </si>
  <si>
    <t>Internet of Things;5G mobile communication;Cloud computing;Servers;Edge computing;Bandwidth;Real-time systems</t>
  </si>
  <si>
    <t>M. Polese; L. Bonati; S. D‚ÄôOro; S. Basagni; T. Melodia</t>
  </si>
  <si>
    <t>Understanding O-RAN: Architecture, Interfaces, Algorithms, Security, and Research Challenges</t>
  </si>
  <si>
    <t>10.1109/COMST.2023.3239220</t>
  </si>
  <si>
    <t>Institute for the Wireless Internet of Things, Northeastern University, Boston, MA, USA; Institute for the Wireless Internet of Things, Northeastern University, Boston, MA, USA; Institute for the Wireless Internet of Things, Northeastern University, Boston, MA, USA; Institute for the Wireless Internet of Things, Northeastern University, Boston, MA, USA; Institute for the Wireless Internet of Things, Northeastern University, Boston, MA, USA</t>
  </si>
  <si>
    <t>The Open Radio Access Network (RAN) and its embodiment through the O-RAN Alliance specifications are poised to revolutionize the telecom ecosystem. O-RAN promotes virtualized RANs where disaggregated components are connected via open interfaces and optimized by intelligent controllers. The result is a new paradigm for the RAN design, deployment, and operations: O-RAN networks can be built with multi-vendor, interoperable components, and can be programmatically optimized through a centralized abstraction layer and data-driven closed-loop control. Therefore, understanding O-RAN, its architecture, its interfaces, and workflows is key for researchers and practitioners in the wireless community. In this article, we present the first detailed tutorial on O-RAN. We also discuss the main research challenges and review early research results. We provide a deep dive of the O-RAN specifications, describing its architecture, design principles, and the O-RAN interfaces. We then describe how the O-RAN RAN Intelligent Controllers (RICs) can be used to effectively control and manage 3GPP-defined RANs. Based on this, we discuss innovations and challenges of O-RAN networks, including the Artificial Intelligence (AI) and Machine Learning (ML) workflows that the architecture and interfaces enable, security, and standardization issues. Finally, we review experimental research platforms that can be used to design and test O-RAN networks, along with recent research results, and we outline future directions for O-RAN development.</t>
  </si>
  <si>
    <t xml:space="preserve">U.S. National Science Foundation(grant numbers:CNS-1923789,CNS-2112471); U.S. Office of Naval Research(grant numbers:N00014-20-1-2132); </t>
  </si>
  <si>
    <t>https://ieeexplore.ieee.org/stamp/stamp.jsp?arnumber=10024837</t>
  </si>
  <si>
    <t>Open RAN;O-RAN;cellular;5G;6G</t>
  </si>
  <si>
    <t>Computer architecture;Security;Precoding;3GPP;Radio frequency;Radio access networks;Optimization</t>
  </si>
  <si>
    <t>V. Mothukuri; P. Khare; R. M. Parizi; S. Pouriyeh; A. Dehghantanha; G. Srivastava</t>
  </si>
  <si>
    <t>Federated-Learning-Based Anomaly Detection for IoT Security Attacks</t>
  </si>
  <si>
    <t>10.1109/JIOT.2021.3077803</t>
  </si>
  <si>
    <t>College of Computing and Software Engineering, Kennesaw State University, Kennesaw, GA, USA; College of Computing and Software Engineering, Kennesaw State University, Kennesaw, GA, USA; College of Computing and Software Engineering, Kennesaw State University, Kennesaw, GA, USA; College of Computing and Software Engineering, Kennesaw State University, Kennesaw, GA, USA; Cyber Science Lab, University of Guelph, Guelph, ON, Canada; Department of Mathematics and Computer Science, Brandon University, Brandon, MB, Canada</t>
  </si>
  <si>
    <t>The Internet of Things (IoT) is made up of billions of physical devices connected to the Internet via networks that perform tasks independently with less human intervention. Such brilliant automation of mundane tasks requires a considerable amount of user data in digital format, which, in turn, makes IoT networks an open source of personally identifiable information data for malicious attackers to steal, manipulate, and perform nefarious activities. A huge interest has been developed over the past years in applying machine learning (ML)-assisted approaches in the IoT security space. However, the assumption in many current works is that big training data are widely available and transferable to the main server because data are born at the edge and are generated continuously by IoT devices. This is to say that classic ML works on the legacy set of entire data located on a central server, which makes it the least preferred option for domains with privacy concerns on user data. To address this issue, we propose the federated-learning (FL)-based anomaly detection approach to proactively recognize intrusion in IoT networks using decentralized on-device data. Our approach uses federated training rounds on gated recurrent units (GRUs) models and keeps the data intact on local IoT devices by sharing only the learned weights with the central server of FL. Also, the approach‚Äôs ensembler part aggregates the updates from multiple sources to optimize the global ML model‚Äôs accuracy. Our experimental results demonstrate that our approach outperforms the classic/centralized machine learning (non-FL) versions in securing the privacy of user data and provides an optimal accuracy rate in attack detection.</t>
  </si>
  <si>
    <t>https://ieeexplore.ieee.org/stamp/stamp.jsp?arnumber=9424138</t>
  </si>
  <si>
    <t>Federated learning (FL);gated recurrent units (GRUs);Internet of Things (IoT);recurrent neural networks (RNNs);security</t>
  </si>
  <si>
    <t>Logic gates;Security;Computer architecture;Anomaly detection;Training;Servers;Data models</t>
  </si>
  <si>
    <t>O. Friha; M. A. Ferrag; L. Shu; L. Maglaras; X. Wang</t>
  </si>
  <si>
    <t>Internet of Things for the Future of Smart Agriculture: A Comprehensive Survey of Emerging Technologies</t>
  </si>
  <si>
    <t>IEEE/CAA Journal of Automatica Sinica</t>
  </si>
  <si>
    <t>2329-9274</t>
  </si>
  <si>
    <t>10.1109/JAS.2021.1003925</t>
  </si>
  <si>
    <t>Networks and Systems Laboratory, University of Badji Mokhtar-Annaba, Annaba, Algeria; Department of Computer Science, Guelma University, Gulema, Algeria; School of Engineering, University of Lincoln, Lincoln, UK; School of Computer Science and Informatics, De Montfort University, Leicester, UK; Department of Electrical Engineering, Nanjing Agricultural University, Nanjing, China</t>
  </si>
  <si>
    <t>This paper presents a comprehensive review of emerging technologies for the internet of things (IoT)-based smart agriculture. We begin by summarizing the existing surveys and describing emergent technologies for the agricultural IoT, such as unmanned aerial vehicles, wireless technologies, open-source IoT platforms, software defined networking (SDN), network function virtualization (NFV) technologies, cloud/fog computing, and middleware platforms. We also provide a classification of IoT applications for smart agriculture into seven categories: including smart monitoring, smart water management, agrochemicals applications, disease management, smart harvesting, supply chain management, and smart agricultural practices. Moreover, we provide a taxonomy and a side-by-side comparison of the state-of-the-art methods toward supply chain management based on the blockchain technology for agricultural IoTs. Furthermore, we present real projects that use most of the aforementioned technologies, which demonstrate their great performance in the field of smart agriculture. Finally, we highlight open research challenges and discuss possible future research directions for agricultural IoTs.</t>
  </si>
  <si>
    <t xml:space="preserve">Research Start-Up Fund for Talent Researcher of Nanjing Agricultural University(grant numbers:77H0603); National Natural Science Foundation of China(grant numbers:62072248); </t>
  </si>
  <si>
    <t>https://ieeexplore.ieee.org/stamp/stamp.jsp?arnumber=9374808</t>
  </si>
  <si>
    <t>Agricultural internet of things (IoT);internet of things (IoT);smart agriculture;smart farming;sustainable agriculture</t>
  </si>
  <si>
    <t>Wireless communication;Supply chain management;Agriculture;Unmanned aerial vehicles;Internet of Things;Software defined networking;Open source software</t>
  </si>
  <si>
    <t>L. Lin; X. Liao; H. Jin; P. Li</t>
  </si>
  <si>
    <t>Computation Offloading Toward Edge Computing</t>
  </si>
  <si>
    <t>10.1109/JPROC.2019.2922285</t>
  </si>
  <si>
    <t>College of Mathematics and Informatics, Fujian Normal University, Fuzhou, China; Service Computing Technology and System Laboratory, Cluster and Grid Computing Laboratory, National Engineering Research Center for Big Data Technology and System, School of Computer Science and Technology, Huazhong University of Science and Technology, Wuhan, China; Service Computing Technology and System Laboratory, Cluster and Grid Computing Laboratory, National Engineering Research Center for Big Data Technology and System, School of Computer Science and Technology, Huazhong University of Science and Technology, Wuhan, China; School of Computer Science and Engineering, The University of Aizu, Aizuwakamatsu, Japan</t>
  </si>
  <si>
    <t>We are living in a world where massive end devices perform computing everywhere and everyday. However, these devices are constrained by the battery and computational resources. With the increasing number of intelligent applications (e.g., augmented reality and face recognition) that require much more computational power, they shift to perform computation offloading to the cloud, known as mobile cloud computing (MCC). Unfortunately, the cloud is usually far away from end devices, leading to a high latency as well as the bad quality of experience (QoE) for latency-sensitive applications. In this context, the emergence of edge computing is no coincidence. Edge computing extends the cloud to the edge of the network, close to end users, bringing ultra-low latency and high bandwidth. Consequently, there is a trend of computation offloading toward edge computing. In this paper, we provide a comprehensive perspective on this trend. First, we give an insight into the architecture refactoring in edge computing. Based on that insight, this paper reviews the state-of-the-art research on computation offloading in terms of application partitioning, task allocation, resource management, and distributed execution, with highlighting features for edge computing. Then, we illustrate some disruptive application scenarios that we envision as critical drivers for the flourish of edge computing, such as real-time video analytics, smart ‚Äúthings‚Äù (e.g., smart city and smart home), vehicle applications, and cloud gaming. Finally, we discuss the opportunities and future research directions.</t>
  </si>
  <si>
    <t xml:space="preserve">National Basic Research Program of China (973 Program)(grant numbers:2018YFB1003500); National Natural Science Foundation of China(grant numbers:61832006,61825202,61502103); Japan Society for the Promotion of Science(grant numbers:19K20258); </t>
  </si>
  <si>
    <t>https://ieeexplore.ieee.org/stamp/stamp.jsp?arnumber=8758310</t>
  </si>
  <si>
    <t>Computation offloading;edge computing;Internet of Things (IoT);mobile cloud computing (MCC);mobile edge computing (MEC)</t>
  </si>
  <si>
    <t>Backscatter;Wireless communication;Throughput;Radio frequency;Edge computing;Resource management;Energy harvesting;Internet of Things;Cloud computing</t>
  </si>
  <si>
    <t>I. Farris; T. Taleb; Y. Khettab; J. Song</t>
  </si>
  <si>
    <t>A Survey on Emerging SDN and NFV Security Mechanisms for IoT Systems</t>
  </si>
  <si>
    <t>10.1109/COMST.2018.2862350</t>
  </si>
  <si>
    <t>Department of Communications and Networking, Aalto University, Espoo, Finland; Computer and Information Security Department, Sejong University, Seoul, South Korea; Department of Communications and Networking, Aalto University, Espoo, Finland; Computer and Information Security Department, Sejong University, Seoul, South Korea</t>
  </si>
  <si>
    <t>The explosive rise of Internet of Things (IoT) systems have notably increased the potential attack surfaces for cybercriminals. Accounting for the features and constraints of IoT devices, traditional security countermeasures can be inefficient in dynamic IoT environments. In this vein, the advantages introduced by software defined networking (SDN) and network function virtualization (NFV) have the potential to reshape the landscape of cybersecurity for IoT systems. To this aim, we provide a comprehensive analysis of security features introduced by NFV and SDN, describing the manifold strategies able to monitor, protect, and react to IoT security threats. We also present lessons learned in the adoption of SDN/NFV-based protection approaches in IoT environments, comparing them with conventional security countermeasures. Finally, we deeply discuss the open challenges related to emerging SDN- and NFV-based security mechanisms, aiming to provide promising directives to conduct future research in this fervent area.</t>
  </si>
  <si>
    <t xml:space="preserve">ANASTACIA Project through the European Unions Horizon 2020 Research and Innovation Programme(grant numbers:731558); Swiss State Secretariat for Education, Research, and Innovation; National Research Foundation of Korea; Ministry of Education(grant numbers:NRF-2017R1D1A1B03036285); </t>
  </si>
  <si>
    <t>https://ieeexplore.ieee.org/stamp/stamp.jsp?arnumber=8424018</t>
  </si>
  <si>
    <t>Internet of Things;security;SDN;NFV;cloud;edge computing</t>
  </si>
  <si>
    <t>Security;Wireless sensor networks;Protocols;Internet of Things;Cloud computing;Robot sensing systems</t>
  </si>
  <si>
    <t>R. S. Peres; X. Jia; J. Lee; K. Sun; A. W. Colombo; J. Barata</t>
  </si>
  <si>
    <t>Industrial Artificial Intelligence in Industry 4.0 - Systematic Review, Challenges and Outlook</t>
  </si>
  <si>
    <t>10.1109/ACCESS.2020.3042874</t>
  </si>
  <si>
    <t>Centre of Technology and Systems, UNINOVA Instituto Desenvolvimento de Novas Tecnologias, Caparica, Portugal; Department of Mechanical and Materials Engineering, University of Cincinnati, Cincinnati, OH, USA; Department of Mechanical and Materials Engineering, University of Cincinnati, Cincinnati, OH, USA; Foxconn Industrial Internet, Milwaukee, WI, USA; Department of Electrotechnical and Industrial Informatics, University of Applied Sciences Emden/Leer, Emden, Germany; Centre of Technology and Systems, UNINOVA Instituto Desenvolvimento de Novas Tecnologias, Caparica, Portugal</t>
  </si>
  <si>
    <t>The advent of the Industry 4.0 initiative has made it so that manufacturing environments are becoming more and more dynamic, connected but also inherently more complex, with additional inter-dependencies, uncertainties and large volumes of data being generated. Recent advances in Industrial Artificial Intelligence have showcased the potential of this technology to assist manufacturers in tackling the challenges associated with this digital transformation of Cyber-Physical Systems, through its data-driven predictive analytics and capacity to assist decision-making in highly complex, non-linear and often multistage environments. However, the industrial adoption of such solutions is still relatively low beyond the experimental pilot stage, as real environments provide unique and difficult challenges for which organizations are still unprepared. The aim of this paper is thus two-fold. First, a systematic review of current Industrial Artificial Intelligence literature is presented, focusing on its application in real manufacturing environments to identify the main enabling technologies and core design principles. Then, a set of key challenges and opportunities to be addressed by future research efforts are formulated along with a conceptual framework to bridge the gap between research in this field and the manufacturing industry, with the goal of promoting industrial adoption through a successful transition towards a digitized and data-driven company-wide culture. This paper is among the first to provide a clear definition and holistic view of Industrial Artificial Intelligence in the Industry 4.0 landscape, identifying and analysing its fundamental building blocks and ongoing trends. Its findings are expected to assist and empower researchers and manufacturers alike to better understand the requirements and steps necessary for a successful transition into Industry 4.0 supported by AI, as well as the challenges that may arise during this process.</t>
  </si>
  <si>
    <t xml:space="preserve">FCT/MCTES (UNINOVA-CTS)(grant numbers:UIDB/00066/2020); </t>
  </si>
  <si>
    <t>https://ieeexplore.ieee.org/stamp/stamp.jsp?arnumber=9285283</t>
  </si>
  <si>
    <t>Artificial intelligence;Industry 4.0;digital transformation;guidelines;systematic review;framework;manufacturing</t>
  </si>
  <si>
    <t>Artificial intelligence;Industries;Robots;Systematics;Manufacturing;Decision making;Service robots</t>
  </si>
  <si>
    <t>L. U. Khan; I. Yaqoob; N. H. Tran; S. M. A. Kazmi; T. N. Dang; C. S. Hong</t>
  </si>
  <si>
    <t>Edge-Computing-Enabled Smart Cities: A Comprehensive Survey</t>
  </si>
  <si>
    <t>10.1109/JIOT.2020.2987070</t>
  </si>
  <si>
    <t>Department of Computer Science and Engineering, Kyung Hee University, Yongin, South Korea; Department of Computer Science and Engineering, Kyung Hee University, Yongin, South Korea; School of Computer Science, University of Sydney, Sydney, NSW, Australia; Department of Computer Science and Engineering, Kyung Hee University, Yongin, South Korea; Department of Computer Science and Engineering, Kyung Hee University, Yongin, South Korea; Department of Computer Science and Engineering, Kyung Hee University, Yongin, South Korea</t>
  </si>
  <si>
    <t>Recent years have disclosed a remarkable proliferation of compute-intensive applications in smart cities. Such applications continuously generate enormous amounts of data which demand strict latency-aware computational processing capabilities. Although edge computing is an appealing technology to compensate for stringent latency-related issues, its deployment engenders new challenges. In this article, we highlight the role of edge computing in realizing the vision of smart cities. First, we analyze the evolution of edge computing paradigms. Subsequently, we critically review the state-of-the-art literature focusing on edge computing applications in smart cities. Later, we categorize and classify the literature by devising a comprehensive and meticulous taxonomy. Furthermore, we identify and discuss key requirements, and enumerate recently reported synergies of edge computing-enabled smart cities. Finally, several indispensable open challenges along with their causes and guidelines are discussed, serving as future research directions.</t>
  </si>
  <si>
    <t xml:space="preserve">Institute of Information and Communications Technology Planning and Evaluation (IITP); Korea Government [Ministry of Science and ICT (MSIT), Evolvable Deep Learning Model Generation Platform for Edge Computing](grant numbers:2019-0-01287); MSIT, South Korea, through the Grand Information Technology Research Center Support Program; IITP(grant numbers:IITP-2020-2015-0-00742); </t>
  </si>
  <si>
    <t>https://ieeexplore.ieee.org/stamp/stamp.jsp?arnumber=9063670</t>
  </si>
  <si>
    <t>Cloudlet;fog computing;Internet of Things (IoT);micro data centers;mobile cloud computing (MCC);mobile-edge computing;smart cities</t>
  </si>
  <si>
    <t>Edge computing;Smart cities;Cloud computing;Internet of Things;Autonomous automobiles;Accidents</t>
  </si>
  <si>
    <t>Y. Al-Dhuraibi; F. Paraiso; N. Djarallah; P. Merle</t>
  </si>
  <si>
    <t>Elasticity in Cloud Computing: State of the Art and Research Challenges</t>
  </si>
  <si>
    <t>IEEE Transactions on Services Computing</t>
  </si>
  <si>
    <t>1939-1374</t>
  </si>
  <si>
    <t>10.1109/TSC.2017.2711009</t>
  </si>
  <si>
    <t>Scalair Company, Hem, France; Inria, Lille - Nord Europe, Villeneuve d'Ascq, France; Scalair Company, Hem, France; Inria, Lille - Nord Europe, Villeneuve d'Ascq, France</t>
  </si>
  <si>
    <t>Elasticity is a fundamental property in cloud computing that has recently witnessed major developments. This article reviews both classical and recent elasticity solutions and provides an overview of containerization, a new technological trend in lightweight virtualization. It also discusses major issues and research challenges related to elasticity in cloud computing. We comprehensively review and analyze the proposals developed in this field. We provide a taxonomy of elasticity mechanisms according to the identified works and key properties. Compared to other works in literature, this article presents a broader and detailed analysis of elasticity approaches and is considered as the first survey addressing the elasticity of containers.</t>
  </si>
  <si>
    <t xml:space="preserve">OCCIware research and development project; French Programme d'Investissements d'Avenir; Scalair company; </t>
  </si>
  <si>
    <t>https://ieeexplore.ieee.org/stamp/stamp.jsp?arnumber=7937885</t>
  </si>
  <si>
    <t>Elasticity;cloud computing;auto-scaling;resource provision;scalability;containers</t>
  </si>
  <si>
    <t>Elasticity;Cloud computing;Virtualization;Containers;Scalability;Operating systems;Taxonomy</t>
  </si>
  <si>
    <t>E. Baccarelli; P. G. V. Naranjo; M. Scarpiniti; M. Shojafar; J. H. Abawajy</t>
  </si>
  <si>
    <t>Fog of Everything: Energy-Efficient Networked Computing Architectures, Research Challenges, and a Case Study</t>
  </si>
  <si>
    <t>10.1109/ACCESS.2017.2702013</t>
  </si>
  <si>
    <t>Department of Information Engineering, Electronics and Telecommunications, Sapienza University of Rome, Rome, Italy; Department of Information Engineering, Electronics and Telecommunications, Sapienza University of Rome, Rome, Italy; Department of Information Engineering, Electronics and Telecommunications, Sapienza University of Rome, Rome, Italy; Department of Information Engineering, Electronics and Telecommunications, Sapienza University of Rome, Rome, Italy; School of Information Technology, Deakin University, Geelong, VIC, Australia</t>
  </si>
  <si>
    <t>Fog computing (FC) and Internet of Everything (IoE) are two emerging technological paradigms that, to date, have been considered standing-alone. However, because of their complementary features, we expect that their integration can foster a number of computing and network-intensive pervasive applications under the incoming realm of the future Internet. Motivated by this consideration, the goal of this position paper is fivefold. First, we review the technological attributes and platforms proposed in the current literature for the standing-alone FC and IoE paradigms. Second, by leveraging some use cases as illustrative examples, we point out that the integration of the FC and IoE paradigms may give rise to opportunities for new applications in the realms of the IoE, Smart City, Industry 4.0, and Big Data Streaming, while introducing new open issues. Third, we propose a novel technological paradigm, the Fog of Everything (FoE) paradigm, that integrates FC and IoE and then we detail the main building blocks and services of the corresponding technological platform and protocol stack. Fourth, as a proof-of-concept, we present the simulated energy-delay performance of a small-scale FoE prototype, namely, the V-FoE prototype. Afterward, we compare the obtained performance with the corresponding one of a benchmark technological platform, e.g., the V-D2D one. It exploits only device-to-device links to establish inter-thing ‚Äúad hoc‚Äù communication. Last, we point out the position of the proposed FoE paradigm over a spectrum of seemingly related recent research projects.</t>
  </si>
  <si>
    <t xml:space="preserve">GAUChO-A Green Adaptive Fog Computing and Networking Architectures Project through the MIUR Progetti di Ricerca di Rilevante Interesse Nazionale (PRIN) Bando 2015(grant numbers:2015YPXH4W 004); Vehicular Fog Energy-Efficient QoS Mining and Dissemination of Multimedia Big Data Streams Project (V-FOG) through Sapienza University of Rome Bando 2016; </t>
  </si>
  <si>
    <t>https://ieeexplore.ieee.org/stamp/stamp.jsp?arnumber=7921687</t>
  </si>
  <si>
    <t>Fog of IoE;virtualized networked computing platforms for IoE;context-aware networking-plus-computing distributed resource management;Internet of Energy;Smart City;Industry 4.0;Big Data Streaming;future Internet</t>
  </si>
  <si>
    <t>Cloud computing;Big Data;Edge computing;Biological system modeling;Ecosystems;Smart cities</t>
  </si>
  <si>
    <t>M. N. Bhuiyan; M. M. Rahman; M. M. Billah; D. Saha</t>
  </si>
  <si>
    <t>Internet of Things (IoT): A Review of Its Enabling Technologies in Healthcare Applications, Standards Protocols, Security, and Market Opportunities</t>
  </si>
  <si>
    <t>10.1109/JIOT.2021.3062630</t>
  </si>
  <si>
    <t>Institute of Information Technology, Noakhali Science and Technology University, Noakhali, Bangladesh; Department of Information and Communication Technology, Islamic University, Kushtia, Bangladesh; Department of Computer Science, American International University-Bangladesh, Dhaka, Bangladesh; Institute of Information Technology, Noakhali Science and Technology University, Noakhali, Bangladesh</t>
  </si>
  <si>
    <t>The Internet of Things (IoT) is a methodology or a system that encompasses real-world things to interact and communicate with each other with the assistance of networking technologies. This article describes surveys on advances in IoT-based healthcare methods and reviews the state-of-the-art technologies in detail. Moreover, this review classifies an existing IoT-based healthcare network and represents a summary of all perspective networks. IoT healthcare protocols are analyzed in this context and provide a broad discussion on it. It also initiates a comprehensive survey on IoT healthcare applications and services. Extensive insights into IoT healthcare security, its requirements, challenges, and privacy issues are visualized in IoT surrounding healthcare. In this review, we analyze security and privacy features consisting of data protection, network architecture, Quality of Services (QoS), app development, and continuous monitoring of healthcare that are facing difficulties in many IoT-based healthcare architectures. To mitigate the security problems, an IoT-based security architectural model has been proposed in this review. Furthermore, this review discloses the market opportunity that will enhance the IoT healthcare market development. To conduct the survey, we searched through established journal and conference databases using specific keywords to find scholarly works. We applied a filtering mechanism to collect only papers that were relevant to our research works. The selected papers were then examined carefully to understand their contributions/research focus. Eventually, the paper reviews were analyzed to identify any existing research gaps and untouched areas of research and to discover possible features for sustainable IoT healthcare development.</t>
  </si>
  <si>
    <t>https://ieeexplore.ieee.org/stamp/stamp.jsp?arnumber=9365708</t>
  </si>
  <si>
    <t>Architectures;healthcare;Internet of Things (IoT);networks;security</t>
  </si>
  <si>
    <t>Medical services;Security;Internet of Things;Monitoring;Sensors;Protocols;Analytical models</t>
  </si>
  <si>
    <t>M. Xu; W. C. Ng; W. Y. B. Lim; J. Kang; Z. Xiong; D. Niyato; Q. Yang; X. Shen; C. Miao</t>
  </si>
  <si>
    <t>A Full Dive Into Realizing the Edge-Enabled Metaverse: Visions, Enabling Technologies, and Challenges</t>
  </si>
  <si>
    <t>10.1109/COMST.2022.3221119</t>
  </si>
  <si>
    <t>School of Computer Science and Engineering, Nanyang Technological University, Jurong West, Singapore; Alibaba Group and Alibaba-NTU Joint Research Institute, Nanyang Technological University, Jurong West, Singapore; Alibaba Group and Alibaba-NTU Joint Research Institute, Nanyang Technological University, Jurong West, Singapore; School of Automation, Guangdong University of Technology, Guangzhou, China; Pillar of Information Systems Technology and Design, Singapore University of Technology and Design, Tampines, Singapore; School of Computer Science and Engineering, Nanyang Technological University, Jurong West, Singapore; Department of Computer Science and Engineering, Hong Kong University of Science and Technology, Hong Kong, China; Department of Electrical and Computer Engineering, University of Waterloo, Waterloo, Canada; School of Computer Science and Engineering, Nanyang Technological University, Jurong West, Singapore</t>
  </si>
  <si>
    <t>Dubbed ‚Äúthe successor to the mobile Internet,‚Äù the concept of the Metaverse has grown in popularity. While there exist lite versions of the Metaverse today, they are still far from realizing the full vision of an immersive, embodied, and interoperable Metaverse. Without addressing the issues of implementation from the communication and networking, as well as computation perspectives, the Metaverse is difficult to succeed the Internet, especially in terms of its accessibility to billions of users today. In this survey, we focus on the edge-enabled Metaverse to realize its ultimate vision. We first provide readers with a succinct tutorial of the Metaverse, an introduction to the architecture, as well as current developments. To enable ubiquitous, seamless, and embodied access to the Metaverse, we discuss the communication and networking challenges and survey cutting-edge solutions and concepts that leverage next-generation communication systems for users to immerse as and interact with embodied avatars in the Metaverse. Moreover, given the high computation costs required, e.g., to render 3D virtual worlds and run data-hungry artificial intelligence-driven avatars, we discuss the computation challenges and cloud-edge-end computation framework-driven solutions to realize the Metaverse on resource-constrained edge devices. Next, we explore how blockchain technologies can aid in the interoperable development of the Metaverse, not just in terms of empowering the economic circulation of virtual user-generated content but also to manage physical edge resources in a decentralized, transparent, and immutable manner. Finally, we discuss the future research directions towards realizing the true vision of the edge-enabled Metaverse.</t>
  </si>
  <si>
    <t xml:space="preserve">National Research Foundation (NRF) and Infocomm Media Development Authority through the Future Communications Research and Development Programme (FCP), through the AI Singapore Programme (AISG) and DSO National Laboratories(grant numbers:AISG2-RP-2020-019); Energy Research Test-Bed and Industry Partnership Funding Initiative; Energy Grid (EG) 2.0 Programme through the DesCartes and the Campus for Research Excellence and Technological Enterprise (CREATE) Programme; Alibaba Group through Alibaba Innovative Research (AIR) Program and Alibaba-NTU Singapore Joint Research Institute (JRI); NSFC(grant numbers:62102099,U22A2054); SUTD(grant numbers:SRG-ISTD-2021-165); SUTD-ZJU IDEA Grant [SUTDZJU (VP)](grant numbers:202102); SUTD-ZJU IDEA Seed Grant [SUTD-ZJU (SD)](grant numbers:202101); Ministry of Education, Singapore, through its SUTD Kickstarter Initiative(grant numbers:SKI 20210204); Wallenberg-NTU Presidential Postdoctoral Fellowship; </t>
  </si>
  <si>
    <t>https://ieeexplore.ieee.org/stamp/stamp.jsp?arnumber=9944868</t>
  </si>
  <si>
    <t>Metaverse;edge networks;communication and networking;computation;blockchain;Internet technology</t>
  </si>
  <si>
    <t>Metaverse;Internet;Artificial intelligence;Blockchains;Tutorials;Computer architecture;Avatars</t>
  </si>
  <si>
    <t>L. Bariah; L. Mohjazi; S. Muhaidat; P. C. Sofotasios; G. K. Kurt; H. Yanikomeroglu; O. A. Dobre</t>
  </si>
  <si>
    <t>A Prospective Look: Key Enabling Technologies, Applications and Open Research Topics in 6G Networks</t>
  </si>
  <si>
    <t>10.1109/ACCESS.2020.3019590</t>
  </si>
  <si>
    <t>Department of Electrical and Computer Engineering, KU Center for Cyber-Physical Systems, Khalifa University, Abu Dhabi, United Arab Emirates; School of Engineering, University of Glasgow, Glasgow, U.K.; Department of Electrical and Computer Engineering, KU Center for Cyber-Physical Systems, Khalifa University, Abu Dhabi, United Arab Emirates; Department of Electrical and Computer Engineering, KU Center for Cyber-Physical Systems, Khalifa University, Abu Dhabi, United Arab Emirates; Electronics and Communication Engineering Department, Istanbul Technical University, Istanbul, Turkey; Department of Systems and Computer Engineering, Carleton University, Ottawa, Canada; Department of Electrical and Computer Engineering, Memorial University, St. John‚Äôs, Canada</t>
  </si>
  <si>
    <t>The fifth generation (5G) mobile networks are envisaged to enable a plethora of breakthrough advancements in wireless technologies, providing support of a diverse set of services over a single platform. While the deployment of 5G systems is scaling up globally, it is time to look ahead for beyond 5G systems. This is mainly driven by the emerging societal trends, calling for fully automated systems and intelligent services supported by extended reality and haptics communications. To accommodate the stringent requirements of their prospective applications, which are data-driven and defined by extremely low-latency, ultra-reliable, fast and seamless wireless connectivity, research initiatives are currently focusing on a progressive roadmap towards the sixth generation (6G) networks, which are expected to bring transformative changes to this premise. In this article, we shed light on some of the major enabling technologies for 6G, which are expected to revolutionize the fundamental architectures of cellular networks and provide multiple homogeneous artificial intelligence-empowered services, including distributed communications, control, computing, sensing, and energy, from its core to its end nodes. In particular, the present paper aims to answer several 6G framework related questions: What are the driving forces for the development of 6G? How will the enabling technologies of 6G differ from those in 5G? What kind of applications and interactions will they support which would not be supported by 5G? We address these questions by presenting a comprehensive study of the 6G vision and outlining seven of its disruptive technologies, i.e., mmWave communications, terahertz communications, optical wireless communications, programmable metasurfaces, drone-based communications, backscatter communications and tactile internet, as well as their potential applications. Then, by leveraging the state-of-the-art literature surveyed for each technology, we discuss the associated requirements, key challenges, and open research problems. These discussions are thereafter used to open up the horizon for future research directions.</t>
  </si>
  <si>
    <t xml:space="preserve">Khalifa University of Science, Technology and Research(grant numbers:KU/FSU-8474000122,KU/RC1-C2PS-2/847400012237); Natural Sciences and Engineering Research Council of Canada (NSERC), through its Discovery Program; </t>
  </si>
  <si>
    <t>https://ieeexplore.ieee.org/stamp/stamp.jsp?arnumber=9178307</t>
  </si>
  <si>
    <t>6G;backscatter communications;drone-based communications;terahertz communications;metasurfaces;mm-wave;optical wireless communications;tactile internet</t>
  </si>
  <si>
    <t>5G mobile communication;Wireless communication;Wireless sensor networks;Market research;Artificial intelligence;Reliability;Haptic interfaces</t>
  </si>
  <si>
    <t>V. -L. Nguyen; P. -C. Lin; B. -C. Cheng; R. -H. Hwang; Y. -D. Lin</t>
  </si>
  <si>
    <t>Security and Privacy for 6G: A Survey on Prospective Technologies and Challenges</t>
  </si>
  <si>
    <t>10.1109/COMST.2021.3108618</t>
  </si>
  <si>
    <t>Department of Computer Science and Information Engineering, National Chung Cheng University, Chiayi, Minhsiung, Taiwan; Department of Computer Science and Information Engineering, National Chung Cheng University, Chiayi, Minhsiung, Taiwan; Department of Communications Engineering, National Chung Cheng University, Chiayi, Minhsiung, Taiwan; Department of Computer Science and Information Engineering, Advanced Institute of Manufacturing with High-Tech Innovations, National Chung Cheng University, Chiayi, Minhsiung, Taiwan; Department of Computer Science, National Yang Ming Chiao Tung University, Hsinchu, Taiwan</t>
  </si>
  <si>
    <t>Sixth-generation (6G) mobile networks will have to cope with diverse threats on a space-air-ground integrated network environment, novel technologies, and an accessible user information explosion. However, for now, security and privacy issues for 6G remain largely in concept. This survey provides a systematic overview of security and privacy issues based on prospective technologies for 6G in the physical, connection, and service layers, as well as through lessons learned from the failures of existing security architectures and state-of-the-art defenses. Two key lessons learned are as follows. First, other than inheriting vulnerabilities from the previous generations, 6G has new threat vectors from new radio technologies, such as the exposed location of radio stripes in ultra-massive MIMO systems at Terahertz bands and attacks against pervasive intelligence. Second, physical layer protection, deep network slicing, quantum-safe communications, artificial intelligence (AI) security, platform-agnostic security, real-time adaptive security, and novel data protection mechanisms such as distributed ledgers and differential privacy are the top promising techniques to mitigate the attack magnitude and personal data breaches substantially.</t>
  </si>
  <si>
    <t xml:space="preserve">Ministry of Science and Technology (MOST) of Taiwan(grant numbers:110-2811-E-194-501-MY2,108-2221-E-194-022-MY3,108-2221-E-194-019-MY3); Advanced Institute of Manufacturing with High-Tech Innovations (AIM-HI) through the Featured Areas Research Center Program within the framework of the Higher Education Sprout Project by the Ministry of Education (MOE) in Taiwan; Ministry of Education and Training (MOET) of Vietnam and Thai Nguyen University(grant numbers:B2021-TNA-02); </t>
  </si>
  <si>
    <t>https://ieeexplore.ieee.org/stamp/stamp.jsp?arnumber=9524814</t>
  </si>
  <si>
    <t>6G;security and privacy;AI security;physical layer security;connection security;service security</t>
  </si>
  <si>
    <t>Security;6G mobile communication;Privacy;5G mobile communication;Computer architecture;Systematics;Standards</t>
  </si>
  <si>
    <t>P. Porambage; G. G√ºr; D. P. M. Osorio; M. Liyanage; A. Gurtov; M. Ylianttila</t>
  </si>
  <si>
    <t>The Roadmap to 6G Security and Privacy</t>
  </si>
  <si>
    <t>10.1109/OJCOMS.2021.3078081</t>
  </si>
  <si>
    <t>Centre for Wireless Communications, University of Oulu, Oulu, Finland; Institute of Applied Information Technology (InIT), Zurich University of Applied Sciences (ZHAW), Winterthur, Switzerland; Centre for Wireless Communications, University of Oulu, Oulu, Finland; Centre for Wireless Communications, University of Oulu, Oulu, Finland; Department of Computer and Information Science, Link√∂ping University, Link√∂ping, Sweden; Centre for Wireless Communications, University of Oulu, Oulu, Finland</t>
  </si>
  <si>
    <t>Although the fifth generation (5G) wireless networks are yet to be fully investigated, the visionaries of the 6th generation (6G) echo systems have already come into the discussion. Therefore, in order to consolidate and solidify the security and privacy in 6G networks, we survey how security may impact the envisioned 6G wireless systems, possible challenges with different 6G technologies, and the potential solutions. We provide our vision on 6G security and security key performance indicators (KPIs) with the tentative threat landscape based on the foreseen 6G network architecture. Moreover, we discuss the security and privacy challenges that may encounter with the available 6G requirements and potential 6G applications. We also give the reader some insights into the standardization efforts and research-level projects relevant to 6G security. In particular, we discuss the security considerations with 6G enabling technologies such as distributed ledger technology (DLT), physical layer security, distributed AI/ML, visible light communication (VLC), THz, and quantum computing. All in all, this work intends to provide enlightening guidance for the subsequent research of 6G security and privacy at this initial phase of vision towards reality.</t>
  </si>
  <si>
    <t xml:space="preserve">6Genesis Flagship(grant numbers:318927); 5GEAR Projects; European Union‚Äôs Horizon 2020 Research and Innovation Programme(grant numbers:871808); CENIIT Project 17.01; Excellence Center at Link√∂ping-Lund in IT (ELLIIT); </t>
  </si>
  <si>
    <t>https://ieeexplore.ieee.org/stamp/stamp.jsp?arnumber=9426946</t>
  </si>
  <si>
    <t>6G;security;security threats;AI/ML security;DLT;physical layer security;privacy;quantum computing</t>
  </si>
  <si>
    <t>6G mobile communication;Security;Privacy;5G mobile communication;Computer architecture;Wireless communication;Distributed ledger</t>
  </si>
  <si>
    <t>P. Ranaweera; A. D. Jurcut; M. Liyanage</t>
  </si>
  <si>
    <t>Survey on Multi-Access Edge Computing Security and Privacy</t>
  </si>
  <si>
    <t>10.1109/COMST.2021.3062546</t>
  </si>
  <si>
    <t>School of Computer Science, University College Dublin, Dublin 4, Ireland; School of Computer Science, University College Dublin, Dublin 4, Ireland; School of Computer Science, University College Dublin, Dublin 4, Ireland</t>
  </si>
  <si>
    <t>The European Telecommunications Standards Institute (ETSI) has introduced the paradigm of Multi-Access Edge Computing (MEC) to enable efficient and fast data processing in mobile networks. Among other technological requirements, security and privacy are significant factors in the realization of MEC deployments. In this paper, we analyse the security and privacy of the MEC system. We introduce a thorough investigation of the identification and the analysis of threat vectors in the ETSI standardized MEC architecture. Furthermore, we analyse the vulnerabilities leading to the identified threat vectors and propose potential security solutions to overcome these vulnerabilities. The privacy issues of MEC are also highlighted, and clear objectives for preserving privacy are defined. Finally, we present future directives to enhance the security and privacy of MEC services.</t>
  </si>
  <si>
    <t xml:space="preserve">European Union under RESPONSE 5G(grant numbers:789658); Academy of Finland under 6Genesis Flagship Projects(grant numbers:318927); </t>
  </si>
  <si>
    <t>https://ieeexplore.ieee.org/stamp/stamp.jsp?arnumber=9364272</t>
  </si>
  <si>
    <t>Multi-access edge computing (MEC);security;privacy;Internet of Things (IoT);5G;cloud computing;future networks</t>
  </si>
  <si>
    <t>Security;Privacy;Cloud computing;5G mobile communication;Servers;Real-time systems;Outsourcing</t>
  </si>
  <si>
    <t>F. Liu; G. Tang; Y. Li; Z. Cai; X. Zhang; T. Zhou</t>
  </si>
  <si>
    <t>A Survey on Edge Computing Systems and Tools</t>
  </si>
  <si>
    <t>10.1109/JPROC.2019.2920341</t>
  </si>
  <si>
    <t>School of Data and Computer Science, Sun Yat-sen University, Guangzhou, China; Key Laboratory of Science and Technology on Information System Engineering, National University of Defense Technology, Changsha, China; School of Computer Science and Technology, Hangzhou Dianzi University, Hangzhou, China; College of Computer, National University of Defense Technology, Changsha, China; State Key Laboratory of Computer Architecture, Institute of Computing Technology, Chinese Academy of Sciences, Beijing, China; College of Computer, National University of Defense Technology, Changsha, China</t>
  </si>
  <si>
    <t>Driven by the visions of Internet of Things and 5G communications, the edge computing systems integrate computing, storage, and network resources at the edge of the network to provide computing infrastructure, enabling developers to quickly develop and deploy edge applications. At present, the edge computing systems have received widespread attention in both industry and academia. To explore new research opportunities and assist users in selecting suitable edge computing systems for specific applications, this survey paper provides a comprehensive overview of the existing edge computing systems and introduces representative projects. A comparison of open-source tools is presented according to their applicability. Finally, we highlight energy efficiency and deep learning optimization of edge computing systems. Open issues for analyzing and designing an edge computing system are also studied in this paper.</t>
  </si>
  <si>
    <t xml:space="preserve">National Basic Research Program of China (973 Program)(grant numbers:2016YFB1000302); National Natural Science Foundation of China(grant numbers:61433019); </t>
  </si>
  <si>
    <t>https://ieeexplore.ieee.org/stamp/stamp.jsp?arnumber=8746691</t>
  </si>
  <si>
    <t>Deep learning optimization;edge computing systems;energy efficiency;open-source tools;survey</t>
  </si>
  <si>
    <t>Cloud computing;Edge computing;Computer architecture;Energy efficiency;Internet of Things;Computational modeling;Deep learning;Open source software;Optimization</t>
  </si>
  <si>
    <t>B. Omoniwa; R. Hussain; M. A. Javed; S. H. Bouk; S. A. Malik</t>
  </si>
  <si>
    <t>Fog/Edge Computing-Based IoT (FECIoT): Architecture, Applications, and Research Issues</t>
  </si>
  <si>
    <t>10.1109/JIOT.2018.2875544</t>
  </si>
  <si>
    <t>Computer Science Programme, National Mathematical Centre, Abuja, Nigeria; Department of Electrical Engineering, COMSATS University, Islamabad, Pakistan; Department of Electrical Engineering, COMSATS University, Islamabad, Pakistan; Information and Communication Engineering, Daegu Gyeongbuk Institute of Science and Technology (DGIST), Daegu, South Korea; Department of Electrical Engineering, COMSATS University, Islamabad, Pakistan</t>
  </si>
  <si>
    <t>The Internet-of-Things (IoT) is the future of the Internet, where everything will be connected. Studies have revealed that fog/edge computing-based services will play a major role in extending the cloud by carrying out intermediary services at the edge of the network. Fog/edge computing-based IoT's (FECIoT) distributed architecture enhances service provisioning along the Cloud-to-Things continuum, thereby making it suitable for mission-critical applications. Furthermore, the proximity of fog/edge devices to where the data is produced makes it stand-out in terms of resource allocation, service delivery, and privacy. From the business perspective, FECIoT will lead to a boom and spring up of small-to-medium-sized enterprises, thereby encouraging inclusion for all. To this end, we present a comprehensive survey on state-of-the-art IoT literature over the period 2008-2018 and propose the FECIoT framework which covers the enabling technologies, services, and open research issues. A tutorial approach is employed, progressing from basic to more advanced concepts within the IoT domain. Lastly, we show how FECIoT can be deployed in real-life cyber-physical systems, such as the intelligent transportation system, smart grid, smart health-care, smart homes, and smart environment.</t>
  </si>
  <si>
    <t>https://ieeexplore.ieee.org/stamp/stamp.jsp?arnumber=8489908</t>
  </si>
  <si>
    <t>Cyber-physical systems (CPSs);enabling technologies;fog/edge computing (FEC);Internet-of-Things (IoT);service-oriented architecture (SoA)</t>
  </si>
  <si>
    <t>Cloud computing;Protocols;Computational modeling;Computer architecture;Security;Privacy;Internet of Things</t>
  </si>
  <si>
    <t>R. Gupta; S. Tanwar; F. Al-Turjman; P. Italiya; A. Nauman; S. W. Kim</t>
  </si>
  <si>
    <t>Smart Contract Privacy Protection Using AI in Cyber-Physical Systems: Tools, Techniques and Challenges</t>
  </si>
  <si>
    <t>10.1109/ACCESS.2020.2970576</t>
  </si>
  <si>
    <t>Department of Computer Science and Engineering, Institute of Technology, Nirma University, Ahmedabad, India; Department of Computer Science and Engineering, Institute of Technology, Nirma University, Ahmedabad, India; Artificial Intelligence Department, Near East University, Mersin, Turkey; Department of Computer Science and Engineering, Institute of Technology, Nirma University, Ahmedabad, India; Department of Information and Communication Engineering, Yeungnam University, Gyeongsan, South Korea; Department of Information and Communication Engineering, Yeungnam University, Gyeongsan, South Korea</t>
  </si>
  <si>
    <t>Applications of Blockchain (BC) technology and Cyber-Physical Systems (CPS) are increasing exponentially. However, framing resilient and correct smart contracts (SCs) for these smart application is a quite challenging task because of the complexity associated with them. SC is modernizing the traditional industrial, technical, and business processes. It is self-executable, self-verifiable, and embedded into the BC that eliminates the need for trusted third-party systems, which ultimately saves administration as well as service costs. It also improves system efficiency and reduces the associated security risks. However, SCs are well encouraging the new technological reforms in Industry 4.0, but still, various security and privacy challenges need to be addressed. In this paper, a survey on SC security vulnerabilities in the software code that can be easily hacked by a malicious user or may compromise the entire BC network is presented. As per the literature, the challenges related to SC security and privacy are not explored much by the authors around the world. From the existing proposals, it has been observed that designing a complex SCs cannot mitigate its privacy and security issues. So, this paper investigates various Artificial Intelligence (AI) techniques and tools for SC privacy protection. Then, open issues and challenges for AI-based SC are analyzed. Finally, a case study of retail marketing is presented, which uses AI and SC to preserve its security and privacy.</t>
  </si>
  <si>
    <t xml:space="preserve">National Research Foundation of Korea(grant numbers:22A20130012814); MSIT (Ministry of Science and ICT), South Korea, through the Information Technology Research Center (ITRC) Support Program supervised by the Institute for Information and communications Technology Planning and Evaluation (IITP)(grant numbers:IITP-2019-2016-0-00313); National Research Foundation of Korea(grant numbers:2018R1D1A1A09082266); </t>
  </si>
  <si>
    <t>https://ieeexplore.ieee.org/stamp/stamp.jsp?arnumber=8976143</t>
  </si>
  <si>
    <t>Cyber-physical system;blockchain;smart contract;artificial intelligence;security;privacy</t>
  </si>
  <si>
    <t>Artificial intelligence;Privacy;Security;Smart contracts;Tools;Blockchain</t>
  </si>
  <si>
    <t>Z. Chang; S. Liu; X. Xiong; Z. Cai; G. Tu</t>
  </si>
  <si>
    <t>A Survey of Recent Advances in Edge-Computing-Powered Artificial Intelligence of Things</t>
  </si>
  <si>
    <t>10.1109/JIOT.2021.3088875</t>
  </si>
  <si>
    <t>School of Computer Science, Wuhan University, Wuhan, China; School of Computer Science, Wuhan University, Wuhan, China; School of Computer Science, Wuhan University, Wuhan, China; School of Computer Science, Wuhan University, Wuhan, China; School of National Cybersecurity, Wuhan University, Wuhan, China</t>
  </si>
  <si>
    <t>The Internet of Things (IoT) has created a ubiquitously connected world powered by a multitude of wired and wireless sensors generating a variety of heterogeneous data over time in a myriad of fields and applications. To extract complete information from these data, advanced artificial intelligence (AI) technology, especially deep learning (DL), has proved successful in facilitating data analytics, future prediction and decision making. The collective integration of AI and the IoT has greatly promoted the rapid development of AI-of-Things (AIoT) systems that analyze and respond to external stimuli more intelligently without involvement by humans. However, it is challenging or infeasible to process massive amounts of data in the cloud due to the destructive impact of the volume, velocity, and veracity of data and fatal transmission latency on networking infrastructures. These critical challenges can be adequately addressed by introducing edge computing. This article conducts an extensive survey of an end-edge-cloud orchestrated architecture for flexible AIoT systems. Specifically, it begins with articulating fundamental concepts including the IoT, AI and edge computing. Guided by these concepts, it explores the general AIoT architecture, presents a practical AIoT example to illustrate how AI can be applied in real-world applications and summarizes promising AIoT applications. Then, the emerging technologies for AI models regarding inference and training at the edge of the network are reviewed. Finally, the open challenges and future directions in this promising area are outlined.</t>
  </si>
  <si>
    <t xml:space="preserve">Major Projects of Technical Innovation of Hubei Province(grant numbers:2018AAA046); </t>
  </si>
  <si>
    <t>https://ieeexplore.ieee.org/stamp/stamp.jsp?arnumber=9453402</t>
  </si>
  <si>
    <t>Artificial intelligence (AI);deep learning (DL);edge computing;Internet of Things (IoT);machine learning (ML)</t>
  </si>
  <si>
    <t>Artificial intelligence;Internet of Things;Cloud computing;Edge computing;Computer architecture;Computational modeling;Training</t>
  </si>
  <si>
    <t>J. R. Bhat; S. A. Alqahtani</t>
  </si>
  <si>
    <t>6G Ecosystem: Current Status and Future Perspective</t>
  </si>
  <si>
    <t>10.1109/ACCESS.2021.3054833</t>
  </si>
  <si>
    <t>St. Joseph Engineering College, Mangalore, India; Research Chair of Pervasive and Mobile Computing, King Saud University, Riyadh, Saudi Arabia</t>
  </si>
  <si>
    <t>Next-generation of the cellular network will attempt to overcome the limitations of the current Fifth Generation (5G) networks and equip itself to address the challenges which become obvious in the future. Currently, academia and industry have focused their attention on the Sixth Generation (6G) network, which is anticipated to be the next big game-changer in the telecom industry. The outbreak of COVID'19 has made the whole world to opt for virtual meetings, live video interactions ranging from healthcare, business to education. However, we miss an immersive experience due to the lack of supporting technology. Experts have anticipated that starting from the post-pandemic age, the performance requirements of technology for virtual and real-time communication, the rise of several verticals such as industrial automation, robotics, and autonomous driving will increase tremendously, and will skyrocket during the next decade. In this manuscript, we study the latest perspectives and future megatrends that are most likely to drive 6G. Initially, we describe the instances that lead us to the vision of 6G. Later, we narrate some of the use cases and the KPIs essential to meet their performance requirement. Further, we highlight the key requirements of 6G based on contemporary research such as UN sustainability goals, business model, edge intelligence, digital divide, and the trends in machine learning for 6G.</t>
  </si>
  <si>
    <t xml:space="preserve">Deanship of Scientific Research, Research Chair of Pervasive and Mobile Computing, King Saud University, Riyadh, Saudi Arabia; </t>
  </si>
  <si>
    <t>https://ieeexplore.ieee.org/stamp/stamp.jsp?arnumber=9335927</t>
  </si>
  <si>
    <t>6G;artificial intelligence;cloud computing;sustainability goals;digital divide;healthcare;machine learning;Tera hertz communication;cellular network;6G architecture</t>
  </si>
  <si>
    <t>CCBYNCND</t>
  </si>
  <si>
    <t>6G mobile communication;5G mobile communication;Reliability;Security;Industries;Surgery;Ecosystems</t>
  </si>
  <si>
    <t>K. Cao; S. Hu; Y. Shi; A. W. Colombo; S. Karnouskos; X. Li</t>
  </si>
  <si>
    <t>A Survey on Edge and Edge-Cloud Computing Assisted Cyber-Physical Systems</t>
  </si>
  <si>
    <t>IEEE Transactions on Industrial Informatics</t>
  </si>
  <si>
    <t>1941-0050</t>
  </si>
  <si>
    <t>10.1109/TII.2021.3073066</t>
  </si>
  <si>
    <t>College of Information Science and Technology, Jinan University, Guangzhou, China; School of Electronics and Computer Science, University of Southampton, Highfield, Southampton, U.K.; Department of Mechanical Engineering, University of Victoria, Victoria, BC, Canada; Institute for Industrial Informatics, Automation and Robotics, University of Applied Sciences Emden/Leer, Emden, Germany; Research, SAP, Walldorf, Germany; Department of Electrical and Computer Engineering, Duke University, Durham, NC, USA</t>
  </si>
  <si>
    <t>In recent years, the investigations on cyber-physical systems (CPS) have become increasingly popular in both academia and industry. A primary obstruction against the booming deployment of CPS applications lies in how to process and manage large amounts of generated data for decision making. To tackle this predicament, researchers advocate the idea of coupling edge computing, or edge-cloud computing into the design of CPS. However, this coupling process raises a diversity of challenges to the quality-of-services (QoS) of CPS applications. In this article, we present a survey on edge computing or edge-cloud computing assisted CPS designs from the QoS optimization perspective. We first discuss critical challenges in service latency, energy consumption, security, privacy, and reliability during the integration of CPS with edge computing or edge-cloud computing. Afterwards, we give an overview on the state-of-the-art works tackling different challenges for QoS optimization, and present a systematic classification during outlining literature for highlighting their similarities and differences. We finally summarize the experiences learned from surveyed works and envision future research directions on edge computing or edge-cloud computing assisted CPS optimization.</t>
  </si>
  <si>
    <t xml:space="preserve">National Key Research and Development Program of China Stem Cell and Translational Research(grant numbers:2020YFB1005600); Guangdong Key R&amp;D Plan 2020(grant numbers:2020B0101090002); Basic and Applied Basic Research Foundation of Guangdong Province(grant numbers:2019B1515120010); </t>
  </si>
  <si>
    <t>https://ieeexplore.ieee.org/stamp/stamp.jsp?arnumber=9403939</t>
  </si>
  <si>
    <t>Cyber-physical systems (CPS);edge computing;edge-cloud computing;energy;latency;privacy;reliability;security</t>
  </si>
  <si>
    <t>Edge computing;Optimization;Cloud computing;Servers;Computer architecture;Reliability;Energy consumption</t>
  </si>
  <si>
    <t>J. H. Cox; J. Chung; S. Donovan; J. Ivey; R. J. Clark; G. Riley; H. L. Owen</t>
  </si>
  <si>
    <t>Advancing Software-Defined Networks: A Survey</t>
  </si>
  <si>
    <t>10.1109/ACCESS.2017.2762291</t>
  </si>
  <si>
    <t>Soar Technology, Inc., Ann Arbor, MI, USA; Department of Electrical and Computer Engineering, Georgia Institute of Technology, Atlanta, GA, USA; Department of Electrical and Computer Engineering, Georgia Institute of Technology, Atlanta, GA, USA; Department of Electrical and Computer Engineering, Georgia Institute of Technology, Atlanta, GA, USA; College of Computing, Georgia Institute of Technology, Atlanta, GA, USA; Department of Electrical and Computer Engineering, Georgia Institute of Technology, Atlanta, GA, USA; Department of Electrical and Computer Engineering, Georgia Institute of Technology, Atlanta, GA, USA</t>
  </si>
  <si>
    <t>Having gained momentum from its promise of centralized control over distributed network architectures at bargain costs, software-defined Networking (SDN) is an ever-increasing topic of research. SDN offers a simplified means to dynamically control multiple simple switches via a single controller program, which contrasts with current network infrastructures where individual network operators manage network devices individually. Already, SDN has realized some extraordinary use cases outside of academia with companies, such as Google, AT&amp;T, Microsoft, and many others. However, SDN still presents many research and operational challenges for government, industry, and campus networks. Because of these challenges, many SDN solutions have developed in an ad hoc manner that are not easily adopted by other organizations. Hence, this paper seeks to identify some of the many challenges where new and current researchers can still contribute to the advancement of SDN and further hasten its broadening adoption by network operators.</t>
  </si>
  <si>
    <t>https://ieeexplore.ieee.org/stamp/stamp.jsp?arnumber=8066287</t>
  </si>
  <si>
    <t>Software-defined networking (SDN);network virtualization (NV);network functions virtualization (NFV);standards;SDN interfaces and APIs;data plane;middleboxes;SDN security;hybrid networks;software-defined exchange (SDX);software-defined infrastructure (SDI);software-defined wireless networks (SDWN);Internet of Things (IoT);information-centric networking (ICN);cloud;software-defined RAN;5G</t>
  </si>
  <si>
    <t>Security;Government;Industries;Virtualization;Standards organizations;Centralized control</t>
  </si>
  <si>
    <t>Y. Sahni; J. Cao; S. Zhang; L. Yang</t>
  </si>
  <si>
    <t>Edge Mesh: A New Paradigm to Enable Distributed Intelligence in Internet of Things</t>
  </si>
  <si>
    <t>10.1109/ACCESS.2017.2739804</t>
  </si>
  <si>
    <t>Department of Computing, The Hong Kong Polytechnic University, Hong Kong; Department of Computing, The Hong Kong Polytechnic University, Hong Kong; School of Information Science and Engineering, Central South University, Changsha, China; School of Software Engineering, South China University of Technology, Guangzhou, China</t>
  </si>
  <si>
    <t>In recent years, there has been a paradigm shift in Internet of Things (IoT) from centralized cloud computing to edge computing (or fog computing). Developments in ICT have resulted in the significant increment of communication and computation capabilities of embedded devices and this will continue to increase in coming years. However, existing paradigms do not utilize low-level devices for any decision-making process. In fact, gateway devices are also utilized mostly for communication interoperability and some low-level processing. In this paper, we have proposed a new computing paradigm, named Edge Mesh, which distributes the decision-making tasks among edge devices within the network instead of sending all the data to a centralized server. All the computation tasks and data are shared using a mesh network of edge devices and routers. Edge Mesh provides many benefits, including distributed processing, low latency, fault tolerance, better scalability, better security, and privacy. These benefits are useful for critical applications, which require higher reliability, real-time processing, mobility support, and context awareness. We first give an overview of existing computing paradigms to establish the motivation behind Edge Mesh. Then, we describe in detail about the Edge Mesh computing paradigm, including the proposed software framework, research challenges, and benefits of Edge Mesh. We have also described the task management framework and done a preliminary study on task allocation problem in Edge Mesh. Different application scenarios, including smart home, intelligent transportation system, and healthcare, are presented to illustrate the significance of Edge Mesh computing paradigm.</t>
  </si>
  <si>
    <t xml:space="preserve">RGC General Research Fund(grant numbers:PolyU 152244/15E); NSFC Key Project(grant numbers:61332004); National Natural Science Foundation of China(grant numbers:61502312); </t>
  </si>
  <si>
    <t>https://ieeexplore.ieee.org/stamp/stamp.jsp?arnumber=8010408</t>
  </si>
  <si>
    <t>Edge devices;Internet of Things;distributed intelligence;distributed computing;mesh network</t>
  </si>
  <si>
    <t>Cloud computing;Edge computing;Servers;Resource management;Security;Decision making;Sensors</t>
  </si>
  <si>
    <t>B. Li; Z. Fei; C. Zhou; Y. Zhang</t>
  </si>
  <si>
    <t>Physical-Layer Security in Space Information Networks: A Survey</t>
  </si>
  <si>
    <t>10.1109/JIOT.2019.2943900</t>
  </si>
  <si>
    <t>School of Computer and Software, Nanjing University of Information Science and Technology, Nanjing, China; School of Information and Electronics, Beijing Institute of Technology, Beijing, China; Institute of High Energy Physics, Chinese Academy of Sciences, Beijing, China; Department of Informatics, University of Oslo, Oslo, Norway</t>
  </si>
  <si>
    <t>Research and processing development on satellite communications has strongly re-emerged in recent years. Following the prosperity of various wireless services provided by satellite communications, the security issue has raised growing concerns since the space information network is susceptible to be eavesdropped by illegal adversaries in such a large-scale wireless network. Recently, the physical-layer security (PLS) has emerged as an alternative security paradigm that explores the randomness of the wireless channel to achieve confidentiality and authentication. The success story of the PLS technique now spans a decade and thrives to provide a layer of defense in satellite communications. With this position, a comprehensive survey of satellite communications is conducted in this article with an emphasis on PLS. We first briefly introduce essential background and the view of the satellite Internet of Things (IoT), as well as discuss related research challenges faced by the emerging integrated network architecture. Then, we revisit the most popular satellite channel model influenced by many factors and list the commonly used secrecy performance metrics. Also, we provide an exhaustive review of state-of-the-art research activity on PLS in satellite communications, which we categorize by different architectures including land mobile satellite communication networks, hybrid satellite-terrestrial relay networks, and satellite-terrestrial integrated networks. In addition, a number of open research problems are identified as possible future research directions.</t>
  </si>
  <si>
    <t xml:space="preserve">National Natural Science Foundation of China(grant numbers:61871032,61901447); European Union‚Äôs Horizon 2020 Research and Innovation Programme under Marie Sk≈Çodowska-Curie(grant numbers:824019); Sichuan Science and Technology Program(grant numbers:2019YFH0033); Startup Foundation for Introducing Talent of Nanjing University of Information Science and Technology; Guilin University of Electronic Technology(grant numbers:CRKL190204); Priority Academic Program Development of Jiangsu Higher Education Institutions; Natural Science Foundation of Shandong Province(grant numbers:ZR2019PF018); </t>
  </si>
  <si>
    <t>https://ieeexplore.ieee.org/stamp/stamp.jsp?arnumber=8850067</t>
  </si>
  <si>
    <t>Fifth generation (5G) and beyond;heterogeneous networks;satellite communication;satellite Internet of Things (IoT);security</t>
  </si>
  <si>
    <t>Satellite broadcasting;Security;Satellites;Internet of Things;Earth;Wireless communication</t>
  </si>
  <si>
    <t>Z. Wang; R. Gupta; K. Han; H. Wang; A. Ganlath; N. Ammar; P. Tiwari</t>
  </si>
  <si>
    <t>Mobility Digital Twin: Concept, Architecture, Case Study, and Future Challenges</t>
  </si>
  <si>
    <t>10.1109/JIOT.2022.3156028</t>
  </si>
  <si>
    <t>InfoTech Labs, Toyota Motor North America Research and Development, Mountain View, CA, USA; InfoTech Labs, Toyota Motor North America Research and Development, Mountain View, CA, USA; InfoTech Labs, Toyota Motor North America Research and Development, Mountain View, CA, USA; InfoTech Labs, Toyota Motor North America Research and Development, Mountain View, CA, USA; InfoTech Labs, Toyota Motor North America Research and Development, Mountain View, CA, USA; InfoTech Labs, Toyota Motor North America Research and Development, Mountain View, CA, USA; InfoTech Labs, Toyota Motor North America Research and Development, Mountain View, CA, USA</t>
  </si>
  <si>
    <t>A Digital Twin is a digital replica of a living or nonliving physical entity, and this emerging technology attracted extensive attention from different industries during the past decade. Although a few Digital Twin studies have been conducted in the transportation domain very recently, there is no systematic research with a holistic framework connecting various mobility entities together. In this study, a mobility digital twin (MDT) framework is developed, which is defined as an artificial intelligence (AI)-based data-driven cloud‚Äìedge‚Äìdevice framework for mobility services. This MDT consists of three building blocks in the physical space (namely, Human, Vehicle, and Traffic), and their associated Digital Twins in the digital space. An example cloud‚Äìedge architecture is built with Amazon Web Services (AWS) to accommodate the proposed MDT framework and to fulfill its digital functionalities of storage, modeling, learning, simulation, and prediction. A case study of the personalized adaptive cruise control (P-ACC) system is conducted, which integrates the key microservices of all three digital building blocks of the MDT framework: 1) the Human Digital Twin with user management and driver type classification; 2) the Vehicle Digital Twin with cloud-based advanced driver-assistance systems (ADAS); and 3) the Traffic Digital Twin with traffic flow monitoring and variable speed limit. Future challenges of the proposed MDT framework are discussed toward the end of the article, including standardization, AI for computing, public or private cloud service, and network heterogeneity.</t>
  </si>
  <si>
    <t>https://ieeexplore.ieee.org/stamp/stamp.jsp?arnumber=9724183</t>
  </si>
  <si>
    <t>Amazon Web services (AWS);cloud computing;connected vehicles;digital twin;edge computing</t>
  </si>
  <si>
    <t>Digital twin;Cloud computing;Connected vehicles;Internet of Things;Vehicles;Space vehicles;Computational modeling</t>
  </si>
  <si>
    <t>P. P. Ray</t>
  </si>
  <si>
    <t>An Introduction to Dew Computing: Definition, Concept and Implications</t>
  </si>
  <si>
    <t>10.1109/ACCESS.2017.2775042</t>
  </si>
  <si>
    <t>Department of Computer Applications, Sikkim University, Gangtok, India</t>
  </si>
  <si>
    <t>Since the end of the 1990s, the world has witnessed a tremendous growth in the area of information and communication technology (ICT), starting with grid computing, cloud computing (CC), and fog computing to recently introduced edge computing. Although, these technologies are still in very good shape, they do heavily rely on connectivity, i.e., Internet. To address this challenge, this paper proposes a novel dew-cloud architecture that brings the power of CC together with the dew computing (DC). Originally, the dew-cloud architecture is an extension of the existing client-server architecture, where two servers are placed at both ends of the communication link. With the help of a dew server, a user has more control and flexibility to access his/her personal data in the absence of an Internet connection. Primarily, the data are stored at the dew server as a local copy upon which instantiation of the Internet is synchronized with the master copy at the cloud side. Users can browse, read, write, or append data on the local dew site, which is a local Web form of an actual website. With the incorporation of the dew domain naming system and dew domain name redirection, mapping between different local dew sites has become possible. Novel services, such as infrastructure-as-a-dew, software-as-a-dew service, and software-as-a-dew product, are, hereby, introduced along with the DC. This paper presents the following as key contributions: 1) a precise and concrete definition of DC; 2) detailed and comprehensive discussions of its concept and working principle; 3) application potentials; and 4) technical challenges. The motto of this paper is to conceptualize the fact of empowerment of the ICT-user base with almost an Internet-free surfing experience in coming days.</t>
  </si>
  <si>
    <t>https://ieeexplore.ieee.org/stamp/stamp.jsp?arnumber=8114187</t>
  </si>
  <si>
    <t>Dew-cloud architecture;dew server;dew site;dew database;DDNS;DDNR;dew service</t>
  </si>
  <si>
    <t>Cloud computing;Edge computing;Computer architecture;Computational modeling;Servers;Biological system modeling</t>
  </si>
  <si>
    <t>Y. Wu</t>
  </si>
  <si>
    <t>Cloud-Edge Orchestration for the Internet of Things: Architecture and AI-Powered Data Processing</t>
  </si>
  <si>
    <t>10.1109/JIOT.2020.3014845</t>
  </si>
  <si>
    <t>College of Engineering, Mathematics and Physical Sciences, University of Exeter, Exeter, U.K.</t>
  </si>
  <si>
    <t>The Internet of Things (IoT) has been deeply penetrated into a wide range of important and critical sectors, including smart city, water, transportation, manufacturing, and smart factory. Massive data are being acquired from a fast growing number of IoT devices. Efficient data processing is a necessity to meet diversified and stringent requirements of many emerging IoT applications. Due to the constrained computation and storage resources, IoT devices have resorted to the powerful cloud computing to process their data. However, centralized and remote cloud computing may introduce unacceptable communication delay since its physical location is far away from IoT devices. Edge cloud has been introduced to overcome this issue by moving the cloud in closer proximity to IoT devices. The orchestration and cooperation between the cloud and the edge provides a crucial computing architecture for IoT applications. Artificial intelligence (AI) is a powerful tool to enable the intelligent orchestration in this architecture. This article first introduces such a kind of computing architecture from the perspective of IoT applications. It then investigates the state-of-the-art proposals on AI-powered cloud-edge orchestration for the IoT. Finally, a list of potential research challenges and open issues is provided and discussed, which can provide useful resources for carrying out future research in this area.</t>
  </si>
  <si>
    <t xml:space="preserve">Engineering and Physical Sciences Research Council of United Kingdom(grant numbers:EP/R030863/1); </t>
  </si>
  <si>
    <t>https://ieeexplore.ieee.org/stamp/stamp.jsp?arnumber=9162084</t>
  </si>
  <si>
    <t>Artificial intelligence (AI);cloud computing;edge computing;Internet of Things (IoT);offloading</t>
  </si>
  <si>
    <t>Cloud computing;Servers;Computer architecture;Internet of Things;Edge computing;Data processing;Medical services</t>
  </si>
  <si>
    <t>V. Ziegler; H. Viswanathan; H. Flinck; M. Hoffmann; V. R√§is√§nen; K. H√§t√∂nen</t>
  </si>
  <si>
    <t>6G Architecture to Connect the Worlds</t>
  </si>
  <si>
    <t>10.1109/ACCESS.2020.3025032</t>
  </si>
  <si>
    <t>Nokia Bell Labs and CTO, Munich, Germany; Nokia Bell Labs, Murray Hill, USA; Nokia Bell Labs, Espoo, Finland; Nokia Bell Labs, Munich, Germany; Nokia Bell Labs, Espoo, Finland; Nokia Bell Labs, Espoo, Finland</t>
  </si>
  <si>
    <t>The post-pandemic future will offer tremendous opportunity and challenge from transformation of the human experience linking physical, digital and biological worlds: 6G should be based on a new architecture to fully realize the vision to connect the worlds. We explore several novel architecture concepts for the 6G era driven by a decomposition of the architecture into platform, functions, orchestration and specialization aspects. With 6G, we associate an open, scalable, elastic, and platform agnostic het-cloud, with converged applications and services decomposed into micro-services and serverless functions, specialized architecture for extreme attributes, as well as open service orchestration architecture. Key attributes and characteristics of the associated architectural scenarios are described. At the air-interface level, 6G is expected to encompass use of sub-Terahertz spectrum and new spectrum sharing technologies, air-interface design optimized by AI/ML techniques, integration of radio sensing with communication, and meeting extreme requirements on latency, reliability and synchronization. Fully realizing the benefits of these advances in radio technology will also call for innovations in 6G network architecture as described.</t>
  </si>
  <si>
    <t>https://ieeexplore.ieee.org/stamp/stamp.jsp?arnumber=9200631</t>
  </si>
  <si>
    <t>Computer architecture;Cloud computing;5G mobile communication;Sensors;Microprocessors;Technological innovation;Industries</t>
  </si>
  <si>
    <t>T. R. Gadekallu; Q. -V. Pham; D. C. Nguyen; P. K. R. Maddikunta; N. Deepa; B. Prabadevi; P. N. Pathirana; J. Zhao; W. -J. Hwang</t>
  </si>
  <si>
    <t>Blockchain for Edge of Things: Applications, Opportunities, and Challenges</t>
  </si>
  <si>
    <t>10.1109/JIOT.2021.3119639</t>
  </si>
  <si>
    <t>School of Information Technology and Engineering, Vellore Institute of Technology, Vellore, India; Korean Southeast Center for the 4th Industrial Revolution Leader Education, Pusan National University, Busan, South Korea; School of Engineering, Deakin University, Waurn Ponds, VIC, Australia; School of Information Technology and Engineering, Vellore Institute of Technology, Vellore, India; School of Information Technology and Engineering, Vellore Institute of Technology, Vellore, India; School of Information Technology and Engineering, Vellore Institute of Technology, Vellore, India; School of Engineering, Deakin University, Waurn Ponds, VIC, Australia; School of Computer Science and Engineering, Nanyang Technological University, Singapore; Department of Biomedical Convergence Engineering, Pusan National University, Yangsan, South Korea</t>
  </si>
  <si>
    <t>In recent years, blockchain networks have attracted significant attention in many research areas beyond cryptocurrency, one of them being the Edge of Things (EoT) that is enabled by the combination of edge computing and the Internet of Things (IoT). In this context, blockchain networks enabled with unique features, such as decentralization, immutability, and traceability, have the potential to reshape and transform the conventional EoT systems with higher security levels. Particularly, the convergence of blockchain and EoT leads to a new paradigm, called BEoT that has been regarded as a promising enabler for future services and applications. In this article, we present a state-of-the-art review of recent developments in the BEoT technology and discover its great opportunities in many application domains. We start our survey by providing an updated introduction to blockchain and EoT along with their recent advances. Subsequently, we discuss the use of BEoT in a wide range of industrial applications, from smart transportation, smart city, smart healthcare to smart home, and smart grid. Security challenges in the BEoT paradigm are also discussed and analyzed, with some key services, such as access authentication, data privacy preservation, attack detection, and trust management. Finally, some key research challenges and future directions are also highlighted to instigate further research in this promising area.</t>
  </si>
  <si>
    <t xml:space="preserve">National Research Foundation of Korea (NRF); Korean Government (MSIT)(grant numbers:NRF-2019R1C1C1006143,NRF-2019R1I1A3A01060518); Institute of Information and Communications Technology Planning and Evaluation (IITP); Korea Government (MSIT)(grant numbers:2020-0-01450); Artificial Intelligence Convergence Research Center [Pusan National University]); Ministry of Science and ICT (MSIT), South Korea; Grand Information Technology Research Center Support Program; Institute for Information Communications, Technology, Planning and Evaluation (IITP)(grant numbers:IITP-2021-2016-0-00318); BK21 Four, Korean Southeast Center for the 4th Industrial Revolution Leader Education; Pusan National University Research Grant, 2020; Nanyang Technological University Startup Grant; </t>
  </si>
  <si>
    <t>https://ieeexplore.ieee.org/stamp/stamp.jsp?arnumber=9569742</t>
  </si>
  <si>
    <t>Blockchain;edge computing;Edge of Things (EoT);industrial applications;Internet of Things (IoT);security</t>
  </si>
  <si>
    <t>Blockchains;Internet of Things;Security;Edge computing;Medical services;Smart transportation;Smart grids</t>
  </si>
  <si>
    <t>L. U. Khan; Z. Han; W. Saad; E. Hossain; M. Guizani; C. S. Hong</t>
  </si>
  <si>
    <t>Digital Twin of Wireless Systems: Overview, Taxonomy, Challenges, and Opportunities</t>
  </si>
  <si>
    <t>10.1109/COMST.2022.3198273</t>
  </si>
  <si>
    <t>Department of Computer Science and Engineering, Kyung Hee University, Yongin, South Korea; Electrical and Computer Engineering Department and Computer Science Department, University of Houston, Houston, TX, USA; Department of Computer Science and Engineering, Kyung Hee University, Seoul, South Korea; Department of Electrical and Computer Engineering, University of Manitoba, Winnipeg, MB, Canada; Machine Learning Department, Mohamed Bin Zayed University of Artificial Intelligence, Abu Dhabi, UAE; Department of Computer Science and Engineering, Kyung Hee University, Yongin, South Korea</t>
  </si>
  <si>
    <t>Future wireless services will focus on improving the quality of life by enabling various applications, such as extended reality, brain-computer interaction, and healthcare. These applications will have diverse performance requirements (e.g., user-defined quality of experience metrics, latency, and reliability) which will be challenging to be fulfilled by existing wireless systems. To meet the diverse requirements of the emerging applications, the concept of digital twins has been recently proposed. A digital twin uses a virtual representation along with security-related technologies (e.g., blockchain), communication technologies (e.g., 6G), computing technologies (e.g., edge computing), and machine learning, so as to enable the smart applications. In this tutorial, we present a comprehensive overview on digital twins for wireless systems. First, we present the fundamental concepts (i.e., design aspects, high-level architecture, and frameworks) of digital twins for wireless systems. Second, a comprehensive taxonomy is devised for two aspects, namely, twins for wireless and wireless for twins. For the twins for wireless aspect, we consider issues related to design of twin objects, physical devices, and interface, as well as prototyping, deployment trends, incentive mechanism, isolation of twins, and decoupling. For the wireless for twins aspect, we consider issues related to accessing twin objects, security and privacy, and air interface design are considered. Finally, open research challenges and opportunities are discussed.</t>
  </si>
  <si>
    <t xml:space="preserve">National Research Foundation of Korea (NRF); Korea Government (Ministry of Science and ICT: MSIT)(grant numbers:2020R1A4A1018607); Institute of Information and Communications Technology Planning and Evaluation (IITP); Korea Government (MSIT, Evolvable Deep Learning Model Generation Platform for Edge Computing)(grant numbers:2019-0-01287); IITP Grant; Korea Government (MSIT, Artificial Intelligence Innovation Hub)(grant numbers:2021-0-02068); </t>
  </si>
  <si>
    <t>https://ieeexplore.ieee.org/stamp/stamp.jsp?arnumber=9854866</t>
  </si>
  <si>
    <t>Digital twin;wireless system;machine learning;federated learning;virtual modeling</t>
  </si>
  <si>
    <t>Digital twins;Wireless communication;Tutorials;Computational modeling;Communication system security;Taxonomy;Market research</t>
  </si>
  <si>
    <t>F. G. Brundu; E. Patti; A. Osello; M. D. Giudice; N. Rapetti; A. Krylovskiy; M. Jahn; V. Verda; E. Guelpa; L. Rietto; A. Acquaviva</t>
  </si>
  <si>
    <t>IoT Software Infrastructure for Energy Management and Simulation in Smart Cities</t>
  </si>
  <si>
    <t>10.1109/TII.2016.2627479</t>
  </si>
  <si>
    <t>Politecnico di Torino, Torino, Italy; Politecnico di Torino, Torino, Italy; Politecnico di Torino, Torino, Italy; Politecnico di Torino, Torino, Italy; Politecnico di Torino, Torino, Italy; Fraunhofer Institute for Applied Information Technology FIT, Sankt Augustin, Germany; Fraunhofer Institute for Applied Information Technology FIT, Sankt Augustin, Germany; Politecnico di Torino, Torino, Italy; Politecnico di Torino, Torino, Italy; Politecnico di Torino, Torino, Italy; Politecnico di Torino, Torino, Italy</t>
  </si>
  <si>
    <t>This paper presents an Internet-of-Things software infrastructure that enables energy management and simulation of new control policies in a city district. The proposed platform enables the interoperability and the correlation of (near-)real-time building energy profiles with environmental data from sensors as well as building and grid models. In a smart city context, this platform fulfills 1) the integration of heterogeneous data sources at the building and district level, and 2) the simulation of novel energy policies at the district level aimed at the optimization of the energy usage accounting also for its impact on building comfort. The platform has been deployed in a real-world district and a novel control policy for the heating distribution network has been developed and tested. Results are presented and discussed in the paper.</t>
  </si>
  <si>
    <t xml:space="preserve">EU; FP7; District Information Modeling and Management for Energy Reduction; </t>
  </si>
  <si>
    <t>https://ieeexplore.ieee.org/stamp/stamp.jsp?arnumber=7740051</t>
  </si>
  <si>
    <t>Distributed software infrastructure;energy flow simulation;energy saving;Internet-of-Things (IoT);middleware;smart city</t>
  </si>
  <si>
    <t>Sensors;Data models;Smart cities;Heating systems;Middleware</t>
  </si>
  <si>
    <t>P. Habibi; M. Farhoudi; S. Kazemian; S. Khorsandi; A. Leon-Garcia</t>
  </si>
  <si>
    <t>Fog Computing: A Comprehensive Architectural Survey</t>
  </si>
  <si>
    <t>10.1109/ACCESS.2020.2983253</t>
  </si>
  <si>
    <t>Department of Electrical and Computer Engineering, University of Toronto, Toronto, Canada; Department of Computer Engineering and Information Technology, Amirkabir University of Technology, Tehran, Iran; Department of Computer Engineering and Information Technology, Amirkabir University of Technology, Tehran, Iran; Department of Computer Engineering and Information Technology, Amirkabir University of Technology, Tehran, Iran; Department of Electrical and Computer Engineering, University of Toronto, Toronto, Canada</t>
  </si>
  <si>
    <t>Fog computing is an emerging technology to address computing and networking bottlenecks in large scale deployment of IoT applications. It is a promising complementary computing paradigm to cloud computing where computational, networking, storage and acceleration elements are deployed at the edge and network layers in a multi-tier, distributed and possibly cooperative manner. These elements may be virtualized computing functions placed at edge devices or network elements on demand, realizing the ‚Äúcomputing everywhere‚Äù concept. To put the current research in perspective, this paper provides an inclusive taxonomy for architectural, algorithmic and technologic aspects of fog computing. The computing paradigms and their architectural distinctions, including cloud, edge, mobile edge and fog computing are subsequently reviewed. Practical deployment of fog computing includes a number of different aspects such as system design, application design, software implementation, security, computing resource management and networking. A comprehensive survey of all these aspects from the architectural point of view is covered. Current reference architectures and major application-specific architectures describing their salient features and distinctions in the context of fog computing are explored. Base architectures for application, software, security, computing resource management and networking are presented and are evaluated using a proposed maturity model.</t>
  </si>
  <si>
    <t>https://ieeexplore.ieee.org/stamp/stamp.jsp?arnumber=9046806</t>
  </si>
  <si>
    <t>Cloud Computing;edge computing;fog computing;Internet of Things (IoT);advanced internet architecture</t>
  </si>
  <si>
    <t>Edge computing;Cloud computing;Computer architecture;Resource management;Security;Taxonomy;Software</t>
  </si>
  <si>
    <t>D. Welch; A. Napoli; J. B√§ck; W. Sande; J. Pedro; F. Masoud; C. Fludger; T. Duthel; H. Sun; S. J. Hand; T. -K. Chiang; A. Chase; A. Mathur; T. A. Eriksson; M. Plantare; M. Olson; S. Voll; K. -T. Wu</t>
  </si>
  <si>
    <t>Point-to-Multipoint Optical Networks Using Coherent Digital Subcarriers</t>
  </si>
  <si>
    <t>Journal of Lightwave Technology</t>
  </si>
  <si>
    <t>1558-2213</t>
  </si>
  <si>
    <t>10.1109/JLT.2021.3097163</t>
  </si>
  <si>
    <t>Infinera Corporation, 6373 San Ignacio Ave, San Jose, CA, USA; Infinera Limited, c/o Fitzgerald and Law LLP, New Penderel House, London, U.K.; Infinera, Stockholm, Sweden; Infinera Corporation, 6373 San Ignacio Ave, San Jose, CA, USA; Infinera Unipessoal Lda, Carnaxide, Portugal; Infinera Limited, Ottawa, Ontario, Canada; Infinera GmbH, Nordostpark, Nuremberg, Germany; Infinera GmbH, Nordostpark, Nuremberg, Germany; Infinera Limited, Ottawa, Ontario, Canada; Infinera Corporation, 6373 San Ignacio Ave, San Jose, CA, USA; Infinera Corporation, 6373 San Ignacio Ave, San Jose, CA, USA; Infinera Corporation, 6373 San Ignacio Ave, San Jose, CA, USA; Infinera Corporation, 6373 San Ignacio Ave, San Jose, CA, USA; Infinera, Stockholm, Sweden; Infinera, Stockholm, Sweden; Infinera, Stockholm, Sweden; Coriant, part of Infinera Group, Munich, Germany; Infinera Limited, Ottawa, Ontario, Canada</t>
  </si>
  <si>
    <t>A paradigm shift in optical communication networks is proposed, with the introduction of a new ecosystem of devices and components with the capability of transforming current point-to-point optical networks (with their entailed, limiting, electrical aggregation) into flexible, scalable and cost-effective point-to-multipoint networks. In the new architecture, which better aligns with the hub-and-spoke traffic patterns observed in today's metro and access network segments, interoperability across a variety of transceivers operating at different speeds is achieved using individually routed, digitally generated subcarriers. The first comprehensive demonstration of the technical feasibility of the proposed point-to-multipoint architecture based on digital subcarrier multiplexing is presented, along with the remarkable cost savings and simplification of the network it enables.</t>
  </si>
  <si>
    <t>https://ieeexplore.ieee.org/stamp/stamp.jsp?arnumber=9488196</t>
  </si>
  <si>
    <t>Point-to-Multipoint;digital subcarrier multiplexing;5G;metro aggregation;fronthaul;coherent access</t>
  </si>
  <si>
    <t>Transceivers;Optical fiber networks;Optical switches;Optical fibers;Point-to-multipoint communications;Integrated optics;IP networks</t>
  </si>
  <si>
    <t>E. Al-Masri; K. R. Kalyanam; J. Batts; J. Kim; S. Singh; T. Vo; C. Yan</t>
  </si>
  <si>
    <t>Investigating Messaging Protocols for the Internet of Things (IoT)</t>
  </si>
  <si>
    <t>10.1109/ACCESS.2020.2993363</t>
  </si>
  <si>
    <t>School of Engineering and Technology, University of Washington Tacoma, Tacoma, USA; School of Engineering and Technology, University of Washington Tacoma, Tacoma, USA; School of Engineering and Technology, University of Washington Tacoma, Tacoma, USA; School of Engineering and Technology, University of Washington Tacoma, Tacoma, USA; School of Engineering and Technology, University of Washington Tacoma, Tacoma, USA; School of Engineering and Technology, University of Washington Tacoma, Tacoma, USA; School of Engineering and Technology, University of Washington Tacoma, Tacoma, USA</t>
  </si>
  <si>
    <t>As the number of Internet of Things (IoT) devices proliferates, the magnitude and velocity of data continues to increase rapidly. IoT systems rely primarily on using messaging protocols for exchanging IoT data and there exists several protocols or frameworks that support distinct types of messaging patterns. Given that IoT devices typically have limited computational resources and processing power, choosing a lightweight, reliable, scalable, interoperable, extensible and secure messaging protocol becomes a very challenging task. As a result, it is not uncommon that IoT systems may employ multiple messaging protocols for supporting device heterogeneity and different message exchange patterns. In addition, basic similarities among existing several messaging protocols or frameworks that exist today for exchanging IoT data within IoT systems suggest the potential of interoperability. Given that IoT systems help facilitate the interconnectivity among distributed, heterogeneous entities, interoperability among existing messaging protocols will play an increasingly important role in simplifying the development and deployment of IoT systems. In this paper, we present a comprehensive review of the existing messaging protocols that can be used in deploying IoT systems. Throughout this paper, we highlight the protocols' distinctive approaches and applicability of using them across various IoT environments. In addition, we highlight challenges, strengths and weaknesses of these messaging protocols in the context of IoT.</t>
  </si>
  <si>
    <t>https://ieeexplore.ieee.org/stamp/stamp.jsp?arnumber=9090208</t>
  </si>
  <si>
    <t>Internet of Things;IoT;HTTP;MQTT;CoAP;AMQP;XMPP;DDS;data distribution service;constrained application protocol;message queuing telemetry transport;extensible messaging and presence protocol;HyperText transfer protocol;edge computing;fog computing;cloud applications</t>
  </si>
  <si>
    <t>Protocols;Internet of Things;Object recognition;Open systems;Middleware;Wireless sensor networks;Hardware</t>
  </si>
  <si>
    <t>S. Duan; D. Wang; J. Ren; F. Lyu; Y. Zhang; H. Wu; X. Shen</t>
  </si>
  <si>
    <t>Distributed Artificial Intelligence Empowered by End-Edge-Cloud Computing: A Survey</t>
  </si>
  <si>
    <t>10.1109/COMST.2022.3218527</t>
  </si>
  <si>
    <t>School of Computer Science and Engineering, Central South University, Changsha, China; School of Computer Science and Engineering, Central South University, Changsha, China; Department of Computer Science and Technology, BNRist, Tsinghua University, Beijing, China; School of Computer Science and Engineering, Central South University, Changsha, China; Computer School, Beijing Information Science and Technology University, Beijing, China; Department of Electrical and Software Engineering, University of Calgary, Calgary, Canada; Department of Electrical and Computer Engineering, University of Waterloo, Waterloo, Canada</t>
  </si>
  <si>
    <t>As the computing paradigm shifts from cloud computing to end-edge-cloud computing, it also supports artificial intelligence evolving from a centralized manner to a distributed one. In this paper, we provide a comprehensive survey on the distributed artificial intelligence (DAI) empowered by end-edge-cloud computing (EECC), where the heterogeneous capabilities of on-device computing, edge computing, and cloud computing are orchestrated to satisfy the diverse requirements raised by resource-intensive and distributed AI computation. Particularly, we first introduce several mainstream computing paradigms and the benefits of the EECC paradigm in supporting distributed AI, as well as the fundamental technologies for distributed AI. We then derive a holistic taxonomy for the state-of-the-art optimization technologies that are empowered by EECC to boost distributed training and inference, respectively. After that, we point out security and privacy threats in DAI-EECC architecture and review the benefits and shortcomings of each enabling defense technology in accordance with the threats. Finally, we present some promising applications enabled by DAI-EECC and highlight several research challenges and open issues toward immersive performance acquisition.</t>
  </si>
  <si>
    <t xml:space="preserve">National Key Research and Development Program of China(grant numbers:2022YFF0604502); National Natural Science Foundation of China(grant numbers:62122095,62002389,62072472,U19A2067); Grant from the Guoqiang Institute, Tsinghua University; Natural Science Foundation of Hunan Province, China(grant numbers:2020JJ2050,2021JJ20079); Young Elite Scientist Sponsorship Program by CAST(grant numbers:YESS20200238); Young Talents Plan of Hunan Province of China(grant numbers:2021RC3004); Higher Education Discipline Innovation Project(grant numbers:B18059); Central South University Innovation-Driven Research Programme(grant numbers:2023CXQD029); </t>
  </si>
  <si>
    <t>https://ieeexplore.ieee.org/stamp/stamp.jsp?arnumber=9933792</t>
  </si>
  <si>
    <t>Distributed artificial intelligence;end-edge-cloud computing;network computing;federated learning</t>
  </si>
  <si>
    <t>Artificial intelligence;Cloud computing;Privacy;Security;Training;Edge computing;Servers</t>
  </si>
  <si>
    <t>X. Kong; Y. Wu; H. Wang; F. Xia</t>
  </si>
  <si>
    <t>Edge Computing for Internet of Everything: A Survey</t>
  </si>
  <si>
    <t>10.1109/JIOT.2022.3200431</t>
  </si>
  <si>
    <t>College of Computer Science and Technology, Zhejiang University of Technology, Hangzhou, China; School of Software, Dalian University of Technology, Dalian, China; School of Software, Dalian University of Technology, Dalian, China; Institute of Innovation, Science and Sustainability, Federation University Australia, Ballarat, VIC, Australia</t>
  </si>
  <si>
    <t>In this era of the Internet of Everything (IoE), edge computing has emerged as the critical enabling technology to solve a series of issues caused by an increasing amount of interconnected devices and large-scale data transmission. However, the deficiencies of edge computing paradigm are gradually being magnified in the context of IoE, especially in terms of service migration, security and privacy preservation, and deployment issues of edge node. These issues can not be well addressed by conventional approaches. Thanks to the rapid development of upcoming technologies, such as artificial intelligence (AI), blockchain, and microservices, novel and more effective solutions have emerged and been applied to solve existing challenges. In addition, edge computing can be deeply integrated with technologies in other domains (e.g., AI, blockchain, 6G, and digital twin) through interdisciplinary intersection and practice, releasing the potential for mutual benefit. These promising integrations need to be further explored and researched. In addition, edge computing provides strong support in applications scenarios, such as remote working, new physical retail industries, and digital advertising, which has greatly changed the way we live, work, and study. In this article, we present an up-to-date survey of the edge computing research. In addition to introducing the definition, model, and characteristics of edge computing, we discuss a set of key issues in edge computing and novel solutions supported by emerging technologies in IoE era. Furthermore, we explore the potential and promising trends from the perspective of technology integration. Finally, new application scenarios and the final form of edge computing are discussed.</t>
  </si>
  <si>
    <t xml:space="preserve">National Natural Science Foundation of China(grant numbers:62072409); Zhejiang Provincial Natural Science Foundation(grant numbers:LR21F020003); Fundamental Research Funds for the Provincial Universities of Zhejiang(grant numbers:RF-B2020001); </t>
  </si>
  <si>
    <t>https://ieeexplore.ieee.org/stamp/stamp.jsp?arnumber=9863881</t>
  </si>
  <si>
    <t>6G;artificial intelligence (AI);blockchain;digital twin (DT);edge computing;microservices</t>
  </si>
  <si>
    <t>Edge computing;Cloud computing;Internet of Things;Blockchains;Security;Computational modeling;Task analysis</t>
  </si>
  <si>
    <t>K. Kaur; S. Garg; G. Kaddoum; S. H. Ahmed; M. Atiquzzaman</t>
  </si>
  <si>
    <t>KEIDS: Kubernetes-Based Energy and Interference Driven Scheduler for Industrial IoT in Edge-Cloud Ecosystem</t>
  </si>
  <si>
    <t>10.1109/JIOT.2019.2939534</t>
  </si>
  <si>
    <t>Electrical Engineering Department, √âcole de technologie sup√©rieure, Universit√© du Qu√©bec, Montreal, Canada; Electrical Engineering Department, √âcole de technologie sup√©rieure, Universit√© du Qu√©bec, Montreal, Canada; Electrical Engineering Department, √âcole de technologie sup√©rieure, Universit√© du Qu√©bec, Montreal, Canada; Department of Computer Science, Georgia Southern University, Statesboro, USA; School of Computer Science, University of Oklahoma, Norman, USA</t>
  </si>
  <si>
    <t>With the rapid explosion of Industrial Internet of Things (IIoT), the need for real-time data processing with enhanced flexibility and scalability has increased manifold. However, the newly evolved containerization technology offers lucrative advantages in comparison to the conventional virtual machines. However, management of these light-weight containers is a tedious task, but Google Kubernetes offers a consolidated container management and scheduling for successful execution of various lightweight containers. Nevertheless, the existing Kubernetes solutions fall short in efficiently handling the ‚Äúinterference‚Äù and ‚Äúenergy minimization‚Äù challenges in IIoT set-up. Hence, in this article, we present a competent controller, named Kubernetes-based energy and interference driven scheduler (KEIDS), for container management on edge-cloud nodes taking into account the emission of carbon footprints, interference, and energy consumption. The problem of task scheduling has been formulated using integer linear programming based on multiobjective optimization problem. In detail, KEIDS minimizes the energy utilization of edge-cloud nodes in IIoT for optimal green energy utilization. Henceforth, the applications are scheduled on the available nodes in less time with minimum interference from other applications, which in turn guarantees an optimal performance to the end-users. An extensive evaluation of the proposed KEIDS scheduler in comparison to the existing state-of-the-art schemes indicates its superior performance on real-time data acquired from Google compute cluster.</t>
  </si>
  <si>
    <t xml:space="preserve">Natural Sciences and Engineering Research Council of Canada (NSERC); Tier 2 Canada Research Chair on the Next Generations of Wireless IoT Networks; </t>
  </si>
  <si>
    <t>https://ieeexplore.ieee.org/stamp/stamp.jsp?arnumber=8825476</t>
  </si>
  <si>
    <t>Cloud computing;edge computing;energy minimization;Industrial Internet of Things (IIoT);job scheduling;Kubernetes and multiobjective optimization</t>
  </si>
  <si>
    <t>Cloud computing;Internet of Things;Interference;Containers;Task analysis;Minimization;Resource management</t>
  </si>
  <si>
    <t>H. Wu; H. Han; X. Wang; S. Sun</t>
  </si>
  <si>
    <t>Research on Artificial Intelligence Enhancing Internet of Things Security: A Survey</t>
  </si>
  <si>
    <t>10.1109/ACCESS.2020.3018170</t>
  </si>
  <si>
    <t>School of Software and Microelectronics, Peking University, Beijing, China; Department of Food and Resource Economics, University of Copenhagen, Copenhagen, Denmark; School of Software and Microelectronics, Peking University, Beijing, China; School of Software and Microelectronics, Peking University, Beijing, China</t>
  </si>
  <si>
    <t>Through three development routes of authentication, communication, and computing, the Internet of Things (IoT) has become a variety of innovative integrated solutions for specific applications. However, due to the openness, extensiveness and resource constraints of IoT, each layer of the three-tier IoT architecture suffers from a variety of security threats. In this work, we systematically review the particularity and complexity of IoT security protection, and then find that Artificial Intelligence (AI) methods such as Machine Learning (ML) and Deep Learning (DL) can provide new powerful capabilities to meet the security requirements of IoT. We analyze the technical feasibility of AI in solving IoT security problems and summarize a general process of AI solutions for IoT security. For four serious IoT security threats: device authentication, Denial of Service (DoS) and Distributed Denial of Service (DDoS) attacks defense, intrusion detection and malware detection, we summarize representative AI solutions and compare the different algorithms and technologies used by various solutions. It should be noted that although AI provides many new capabilities for the security protection of IoT, it also brings new potential challenges and possible negative effects to IoT in terms of data, algorithm and architecture. In the future, how to solve these challenges can serve as potential research directions.</t>
  </si>
  <si>
    <t xml:space="preserve">National Basic Research Program of China (973 Program)(grant numbers:2018YFB1402900,2018YFB1403000); Natural Science Foundation of Jiangsu Province(grant numbers:BK20151132); </t>
  </si>
  <si>
    <t>https://ieeexplore.ieee.org/stamp/stamp.jsp?arnumber=9172062</t>
  </si>
  <si>
    <t>Artificial intelligence;deep learning;Internet of Things;machine learning;security</t>
  </si>
  <si>
    <t>Internet of Things;Artificial intelligence;Authentication;Computer architecture;Software;Computer crime</t>
  </si>
  <si>
    <t>D. C. Yacchirema; D. Sarabia-J√°Come; C. E. Palau; M. Esteve</t>
  </si>
  <si>
    <t>A Smart System for Sleep Monitoring by Integrating IoT With Big Data Analytics</t>
  </si>
  <si>
    <t>10.1109/ACCESS.2018.2849822</t>
  </si>
  <si>
    <t>Departamento de Inform√°tica y Ciencias de la Computaci√≥n, Escuela Polit√©cnica Nacional, Quito, Ecuador; Communication Department, Universitat Polit√®cnica de Val√®ncia, Valencia, Spain; Communication Department, Universitat Polit√®cnica de Val√®ncia, Valencia, Spain; Communication Department, Universitat Polit√®cnica de Val√®ncia, Valencia, Spain</t>
  </si>
  <si>
    <t>Obtrusive sleep apnea (OSA) is one of the most important sleep disorders because it has a direct adverse impact on the quality of life. Intellectual deterioration, decreased psychomotor performance, behavior, and personality disorders are some of the consequences of OSA. Therefore, a real-time monitoring of this disorder is a critical need in healthcare solutions. There are several systems for OSA detection. Nevertheless, despite their promising results, these systems not guiding their treatment. For these reasons, this research presents an innovative system for both to detect and support of treatment of OSA of elderly people by monitoring multiple factors such as sleep environment, sleep status, physical activities, and physiological parameters as well as the use of open data available in smart cities. Our system architecture performs two types of processing. On the one hand, a pre-processing based on rules that enables the sending of real-time notifications to responsible for the care of elderly, in the event of an emergency situation. This pre-processing is essentially based on a fog computing approach implemented in a smart device operating at the edge of the network that additionally offers advanced interoperability services: technical, syntactic, and semantic. On the other hand, a batch data processing that enables a descriptive analysis that statistically details the behavior of the data and a predictive analysis for the development of services, such as predicting the least polluted place to perform outdoor activities. This processing uses big data tools on cloud computing. The performed experiments show a 93.3% of effectivity in the air quality index prediction to guide the OSA treatment. The system's performance has been evaluated in terms of latency. The achieved results clearly demonstrate that the pre-processing of data at the edge of the network improves the efficiency of the system.</t>
  </si>
  <si>
    <t xml:space="preserve">European Union‚Äôs Horizon 2020 Research and Innovation Programme through the Interoperability of Heterogeneous IoT Platforms Project (INTER-IoT)(grant numbers:687283); Escuela Polit√©cnica Nacional, Ecuador; Secretar√≠a de Educaci√≥n Superior, Ciencia, Tecnolog√≠a e Innovaci√≥n; </t>
  </si>
  <si>
    <t>https://ieeexplore.ieee.org/stamp/stamp.jsp?arnumber=8392685</t>
  </si>
  <si>
    <t>Internet-of-Things;big data;interoperability;sleep monitoring;health monitoring;open data;fog computing;cloud computing</t>
  </si>
  <si>
    <t>Sleep apnea;Monitoring;Biomedical monitoring;Real-time systems;Computer architecture;Big Data;Sensors</t>
  </si>
  <si>
    <t>A. A. Sadawi; M. S. Hassan; M. Ndiaye</t>
  </si>
  <si>
    <t>A Survey on the Integration of Blockchain With IoT to Enhance Performance and Eliminate Challenges</t>
  </si>
  <si>
    <t>10.1109/ACCESS.2021.3070555</t>
  </si>
  <si>
    <t>Department of Engineering Systems Management, American University of Sharjah, Sharjah, United Arab Emirates; Department of Electrical Engineering, American University of Sharjah, Sharjah, United Arab Emirates; Department of Engineering Systems Management, American University of Sharjah, Sharjah, United Arab Emirates</t>
  </si>
  <si>
    <t>Internet of things IoT is playing a remarkable role in the advancement of many fields such as healthcare, smart grids, supply chain management, etc. It also eases people's daily lives and enhances their interaction with each other as well as with their surroundings and the environment in a broader scope. IoT performs this role utilizing devices and sensors of different shapes and sizes ranging from small embedded sensors and wearable devices all the way to automated systems. However, IoT networks are growing in size, complexity, and number of connected devices. As a result, many challenges and problems arise such as security, authenticity, reliability, and scalability. Based on that and taking into account the anticipated evolution of the IoT, it is extremely vital not only to maintain but to increase confidence in and reliance on IoT systems by tackling the aforementioned issues. The emergence of blockchain opened the door to solve some challenges related to IoT networks. Blockchain characteristics such as security, transparency, reliability, and traceability make it the perfect candidate to improve IoT systems, solve their problems, and support their future expansion. This paper demonstrates the major challenges facing IoT systems and blockchain's proposed role in solving them. It also evaluates the position of current researches in the field of merging blockchain with IoT networks and the latest implementation stages. Additionally, it discusses the issues related to the IoT-blockchain integration itself. Finally, this research proposes an architectural design to integrate IoT with blockchain in two layers using dew and cloudlet computing. Our aim is to benefit from blockchain features and services to guarantee a decentralized data storage and processing and address security and anonymity challenges and achieve transparency and efficient authentication service.</t>
  </si>
  <si>
    <t>https://ieeexplore.ieee.org/stamp/stamp.jsp?arnumber=9393912</t>
  </si>
  <si>
    <t>Blockchain;IoT;smart contract;trust;IoT challenges;IoT security;decentralized IoT;cloudlet computing;dew computing;cloudlet-dew architecture</t>
  </si>
  <si>
    <t>Internet of Things;Blockchain;Security;Sensors;Reliability;Performance evaluation;Wireless sensor networks</t>
  </si>
  <si>
    <t>R. Morabito; I. Farris; A. Iera; T. Taleb</t>
  </si>
  <si>
    <t>Evaluating Performance of Containerized IoT Services for Clustered Devices at the Network Edge</t>
  </si>
  <si>
    <t>10.1109/JIOT.2017.2714638</t>
  </si>
  <si>
    <t>Ericsson Research, Kirkkonummi, Finland; Department of Communications and Networking, Aalto University, Espoo, Finland; DIIES Department, University ‚ÄúMediterranea‚Äù of Reggio Calabria, Reggio Calabria, Italy; Department of Communications and Networking, Aalto University, Espoo, Finland</t>
  </si>
  <si>
    <t>The constant and fast increase in the number of heterogeneous Internet of Things (IoT) devices that populate everyday life environments brings new challenges to the full exploitation of the computation, memory, sensing, and actuation resources associated to them. In this context, device virtualization solutions and platforms may definitely play a key role in enabling the desired tradeoff between flexibility and performance. This paper focuses on lightweight virtualization technologies for IoT devices, suitably thought to effectively deploy new integrated applications and to create a novel distributed and virtualized ecosystem. Two different frameworks for container-based IoT service provisioning are compared, the one based on a direct interaction between two cooperating devices and the other based on the presence of a manager supervising the operations between cooperating devices forming a cluster. In the latter case, accounting for the growing impetus to move intelligence toward the edge of the network, management features are implemented at the network access point to provide short latency responses. We also introduce the outcomes of a thorough performance evaluation campaign conducted via a real IoT testbed. The measurements, performed by accounting for the constraints of typical IoT nodes, shed light on the actual feasibility of container-based IoT frameworks.</t>
  </si>
  <si>
    <t xml:space="preserve">FP7 Marie Curie Initial Training Network METRICS Project(grant numbers:607728); </t>
  </si>
  <si>
    <t>https://ieeexplore.ieee.org/stamp/stamp.jsp?arnumber=7945515</t>
  </si>
  <si>
    <t>Container virtualization;Internet of Things (IoT);multi-access edge computing;service orchestration</t>
  </si>
  <si>
    <t>Containers;Virtualization;Cloud computing;Edge computing;Performance evaluation;Engines;Internet of Things</t>
  </si>
  <si>
    <t>A. Samanta; J. Tang</t>
  </si>
  <si>
    <t>Dyme: Dynamic Microservice Scheduling in Edge Computing Enabled IoT</t>
  </si>
  <si>
    <t>10.1109/JIOT.2020.2981958</t>
  </si>
  <si>
    <t>Shien-Ming Wu School of Intelligent Engineering, South China University of Technology, Guangzhou, China; Shien-Ming Wu School of Intelligent Engineering, South China University of Technology, Guangzhou, China</t>
  </si>
  <si>
    <t>In recent years, the rapid development of mobile edge computing (MEC) provides an efficient execution platform at the edge for Internet-of-Things (IoT) applications. Nevertheless, the MEC also provides optimal resources to different microservices, however, underlying network conditions and infrastructures inherently affect the execution process in MEC. Therefore, in the presence of varying network conditions, it is necessary to optimally execute the available task of end users while maximizing the energy efficiency in edge platform and we also need to provide fair Quality-of-Service (QoS). On the other hand, it is necessary to schedule the microservices dynamically to minimize the total network delay and network price. Thus, in this article, unlike most of the existing works, we propose a dynamic microservice scheduling scheme for MEC. We design the microservice scheduling framework mathematically and also discuss the computational complexity of the scheduling algorithm. Extensive simulation results show that the microservice scheduling framework significantly improves the performance metrics in terms of total network delay, average price, satisfaction level, energy consumption rate (ECR), failure rate, and network throughput over other existing baselines.</t>
  </si>
  <si>
    <t>https://ieeexplore.ieee.org/stamp/stamp.jsp?arnumber=9042873</t>
  </si>
  <si>
    <t>Dynamic microservice scheduling;edge computing;Internet of Things (IoT);microservice;Quality-of-Service (QoS)</t>
  </si>
  <si>
    <t>Dynamic scheduling;Task analysis;Internet of Things;Delays;Quality of service;Processor scheduling;Edge computing</t>
  </si>
  <si>
    <t>Z. Zhou; Q. Wu; X. Chen</t>
  </si>
  <si>
    <t>Online Orchestration of Cross-Edge Service Function Chaining for Cost-Efficient Edge Computing</t>
  </si>
  <si>
    <t>IEEE Journal on Selected Areas in Communications</t>
  </si>
  <si>
    <t>1558-0008</t>
  </si>
  <si>
    <t>10.1109/JSAC.2019.2927070</t>
  </si>
  <si>
    <t>School of Data and Computer Science, Sun Yat-sen University, Guangzhou, China; School of Data and Computer Science, Sun Yat-sen University, Guangzhou, China; School of Data and Computer Science, Sun Yat-sen University, Guangzhou, China</t>
  </si>
  <si>
    <t>Edge computing (EC) has quickly ascended to be the de-facto standard for hosting emerging low-latency applications, as exemplified by intelligent video surveillance, Internet of Vehicles, and augmented reality. For EC, service function chaining is envisioned as a promising approach to configure various services in an agile, flexible, and cost-efficient manner. When running on top of geographically dispersed edge clouds, fully unleashing the benefits of service function chaining is, however, by no means trivial. In this paper, we propose an online orchestration framework for cross-edge service function chaining, which aims to maximize the holistic cost efficiency, via jointly optimizing the resource provisioning and traffic routing on-the-fly. This long-term cost minimization problem is difficult since it is NP-hard and involves future uncertain information. To simultaneously address these dual challenges, we carefully combine an online optimization technique with an approximate optimization method in a joint optimization framework, through: 1) decomposing the long-term problem into a series of one-shot fractional problem with a regularization technique and 2) rounding the fractional solution to a near-optimal integral solution with a randomized dependent scheme that preserves the solution feasibility. The resulting online algorithm achieves an outstanding performance guarantee, as verified by both rigorous theoretical analysis and extensive trace-driven simulations.</t>
  </si>
  <si>
    <t xml:space="preserve">National Basic Research Program of China (973 Program)(grant numbers:2017YFB1001703); National Natural Science Foundation of China(grant numbers:U1711265,61802449); Program for Guangdong Introducing Innovative and Enterpreneurial Teams(grant numbers:2017ZT07X355); Guangdong Natural Science Funds(grant numbers:2018A030313032); Fundamental Research Funds for the Central Universities(grant numbers:17lgjc40); </t>
  </si>
  <si>
    <t>https://ieeexplore.ieee.org/stamp/stamp.jsp?arnumber=8755998</t>
  </si>
  <si>
    <t>Edge Computing;Service Function Chaining;Online Optimization</t>
  </si>
  <si>
    <t>Cloud computing;Edge computing;Routing;Minimization;Computational modeling;Heuristic algorithms;Internet of Things</t>
  </si>
  <si>
    <t>R. Alvizu; G. Maier; N. Kukreja; A. Pattavina; R. Morro; A. Capello; C. Cavazzoni</t>
  </si>
  <si>
    <t>Comprehensive Survey on T-SDN: Software-Defined Networking for Transport Networks</t>
  </si>
  <si>
    <t>10.1109/COMST.2017.2715220</t>
  </si>
  <si>
    <t>SWAN Networks, Politecnico di Milano, Milan, Italy; SWAN Networks, Politecnico di Milano, Milan, Italy; Dipartimento di Elettronica, Informazione e Bioingegneria, Politecnico di Milano, Milan, Italy; SWAN Networks, Politecnico di Milano, Milan, Italy; Telecom Italia SpA, Turin, Italy; Telecom Italia SpA, Turin, Italy; Telecom Italia SpA, Turin, Italy</t>
  </si>
  <si>
    <t>Paradoxically, with an ever-increasing traffic demand, today transport-network operators experience a progressive erosion of their margins. The alarms of change are set, and software define networking (SDN) is coming to the rescue with the promise of reducing capital expenditures and operational expenses. Driven by economic needs and network innovation facilities, today transport SDN (T-SDN) is a reality. It gained big momentum in the last years, however, in the networking industry, the transport network will be perhaps the last segment to embrace SDN, mainly due to the heterogeneous nature and complexity of the optical equipment composing it. This survey guides the reader through a fascinating technological adventure that provides an organic analysis of the T-SDN development and evolution considering contributions from: academic research, standardization bodies, industrial development, open source projects, and alliances among them. After creating a comprehensive picture of T-SDN, we provide an analysis of many open issues that are expected to need significant future work, and give our vision in this path toward a fully programmable and dynamic transport network.</t>
  </si>
  <si>
    <t>https://ieeexplore.ieee.org/stamp/stamp.jsp?arnumber=7947156</t>
  </si>
  <si>
    <t>Software defined networking;optical transport network;transport SDN;software defined optical networking;network programmability;orchestration;transport API;network controller;network virtualization;network function virtualization;OpenFlow;GMPLS</t>
  </si>
  <si>
    <t>Optical fiber networks;Hardware;Technological innovation;Operating systems;Optical sensors;Tutorials</t>
  </si>
  <si>
    <t>Q. Zhou; K. Zheng; L. Hou; J. Xing; R. Xu</t>
  </si>
  <si>
    <t>Design and Implementation of Open LoRa for IoT</t>
  </si>
  <si>
    <t>10.1109/ACCESS.2019.2930243</t>
  </si>
  <si>
    <t>Intelligent Computing and Communication (IC) Laboratory, Key Laboratory of Universal Wireless Communications, Ministry of Education, Beijing University of Posts and Telecommunications, Beijing, China; Intelligent Computing and Communication (IC) Laboratory, Key Laboratory of Universal Wireless Communications, Ministry of Education, Beijing University of Posts and Telecommunications, Beijing, China; Intelligent Computing and Communication (IC) Laboratory, Key Laboratory of Universal Wireless Communications, Ministry of Education, Beijing University of Posts and Telecommunications, Beijing, China; Intelligent Computing and Communication (IC) Laboratory, Key Laboratory of Universal Wireless Communications, Ministry of Education, Beijing University of Posts and Telecommunications, Beijing, China; State Key Laboratory of Rail Traffic Control and Safety, Beijing Jiaotong University, Beijing, China</t>
  </si>
  <si>
    <t>Long Range (LoRa) network is emerging as one of the most promising low-power wide-area (LPWA) networks, since it enables the energy-constraint devices distributed over wide areas to establish affordable connectivity. However, how to implement a cost-effective and flexible LoRa network is still an open challenge. This paper aims at exposing a feasible solution of design and implementation, allowing users to conveniently build a private LoRa network for various IoT applications. First, several typical application scenarios of LoRa network are discussed. Then, the LoRa system architecture is presented with the functionality of each component. We address the hardware design and implementation of LoRa Gateway, which is the bridge between LoRa nodes and LoRa network server. Especially, this paper contributes by proposing an improved software architecture of LoRa network server whose source codes are open on GitHub. Under the architecture, LoRa network server is divided into four decoupled modules and uses the messaging system based on streaming data for the interaction between modules to guarantee scalability and flexibility. Finally, the extensive experiments are conducted to evaluate the performance of LoRa networks in typical environments.</t>
  </si>
  <si>
    <t xml:space="preserve">National Natural Science Foundation of China(grant numbers:61671089); </t>
  </si>
  <si>
    <t>https://ieeexplore.ieee.org/stamp/stamp.jsp?arnumber=8768288</t>
  </si>
  <si>
    <t>LoRa;LPWA;IoT;microservice;open source</t>
  </si>
  <si>
    <t>Network servers;Logic gates;Servers;Internet of Things;Hardware;Computer architecture;Sensors</t>
  </si>
  <si>
    <t>N. Promwongsa; A. Ebrahimzadeh; D. Naboulsi; S. Kianpisheh; F. Belqasmi; R. Glitho; N. Crespi; O. Alfandi</t>
  </si>
  <si>
    <t>A Comprehensive Survey of the Tactile Internet: State-of-the-Art and Research Directions</t>
  </si>
  <si>
    <t>10.1109/COMST.2020.3025995</t>
  </si>
  <si>
    <t>CIISE, Concordia University, Montr√©al, QC, Canada; CIISE, Concordia University, Montr√©al, QC, Canada; D√©partement de G√©nie Logiciel et des Technologies de l‚Äôinformation, √©cole de Technologie Sup√©rieure, Montr√©al, QC, Canada; CIISE, Concordia University, Montr√©al, QC, Canada; College of Technological Innovation, Zayed University, Abu Dhabi, UAE; CIISE, Concordia University, Montr√©al, QC, Canada; Institut Mines-Telecom, Telecom SudParis, Evry, France; College of Technological Innovation, Zayed University, Abu Dhabi, UAE</t>
  </si>
  <si>
    <t>The Internet has made several giant leaps over the years, from a fixed to a mobile Internet, then to the Internet of Things, and now to a Tactile Internet. The Tactile Internet goes far beyond data, audio and video delivery over fixed and mobile networks, and even beyond allowing communication and collaboration among things. It is expected to enable haptic communications and allow skill set delivery over networks. Some examples of potential applications are tele-surgery, vehicle fleets, augmented reality and industrial process automation. Several papers already cover many of the Tactile Internet-related concepts and technologies, such as haptic codecs, applications, and supporting technologies. However, none of them offers a comprehensive survey of the Tactile Internet, including its architectures and algorithms. Furthermore, none of them provides a systematic and critical review of the existing solutions. To address these lacunae, we provide a comprehensive survey of the architectures and algorithms proposed to date for the Tactile Internet. In addition, we critically review them using a well-defined set of requirements and discuss some of the lessons learned as well as the most promising research directions.</t>
  </si>
  <si>
    <t xml:space="preserve">Canadian Natural Sciences and Engineering Research Council and by Ericsson through a CRD Grant; Canada Research Chair Program and Zayed University (United Arab Emirates) through the Research Incentive Fund Program; </t>
  </si>
  <si>
    <t>https://ieeexplore.ieee.org/stamp/stamp.jsp?arnumber=9203885</t>
  </si>
  <si>
    <t>5G/6G;artificial intelligence;edge computing;machine learning;tactile Internet</t>
  </si>
  <si>
    <t>Haptic interfaces;Tutorials;Computer architecture;Surgery;Internet of Things;Reliability</t>
  </si>
  <si>
    <t>Machine Learning-Based Scaling Management for Kubernetes Edge Clusters</t>
  </si>
  <si>
    <t>IEEE Transactions on Network and Service Management</t>
  </si>
  <si>
    <t>1932-4537</t>
  </si>
  <si>
    <t>10.1109/TNSM.2021.3052837</t>
  </si>
  <si>
    <t>MTA-BME Network Softwarization Research Group, Budapest University of Technology and Economics, Budapest, Hungary; MTA-BME Network Softwarization Research Group, Budapest University of Technology and Economics, Budapest, Hungary; MTA-BME Network Softwarization Research Group, Budapest University of Technology and Economics, Budapest, Hungary; MTA-BME Network Softwarization Research Group, Budapest University of Technology and Economics, Budapest, Hungary</t>
  </si>
  <si>
    <t>Kubernetes, the container orchestrator for cloud-deployed applications, offers automatic scaling for the application provider in order to meet the ever-changing intensity of processing demand. This auto-scaling feature can be customized with a parameter set, but those management parameters are static while incoming Web request dynamics often change, not to mention the fact that scaling decisions are inherently reactive, instead of being proactive. We set the ultimate goal of making cloud-based applications' management easier and more effective. We propose a Kubernetes scaling engine that makes the auto-scaling decisions apt for handling the actual variability of incoming requests. In this engine various machine learning forecast methods compete with each other via a short-term evaluation loop in order to always give the lead to the method that suits best the actual request dynamics. We also introduce a compact management parameter for the cloud-tenant application provider to easily set their sweet spot in the resource over-provisioning vs. SLA violation trade-off. We motivate our scaling solution with analytical modeling and evaluation of the current Kubernetes behavior. The multi-forecast scaling engine and the proposed management parameter are evaluated both in simulations and with measurements on our collected Web traces to show the improved quality of fitting provisioned resources to service demand. We find that with just a few, but fundamentally different, and competing forecast methods, our auto-scaler engine, implemented in Kubernetes, results in significantly fewer lost requests with just slightly more provisioned resources compared to the default baseline.</t>
  </si>
  <si>
    <t xml:space="preserve">National Research, Development and Innovation Fund of Hungary under the FK_20 funding scheme; </t>
  </si>
  <si>
    <t>https://ieeexplore.ieee.org/stamp/stamp.jsp?arnumber=9328525</t>
  </si>
  <si>
    <t>Cloud computing;machine learning;auto-scaling;Kubernetes;forecast;resource management</t>
  </si>
  <si>
    <t>Cloud computing;Containers;Engines;Servers;Resource management;Analytical models;Adaptation models</t>
  </si>
  <si>
    <t>N. F. Syed; S. W. Shah; A. Shaghaghi; A. Anwar; Z. Baig; R. Doss</t>
  </si>
  <si>
    <t>Zero Trust Architecture (ZTA): A Comprehensive Survey</t>
  </si>
  <si>
    <t>10.1109/ACCESS.2022.3174679</t>
  </si>
  <si>
    <t>Centre for Cyber Security Research and Innovation (CSRI), Deakin University, Geelong, VIC, Australia; Centre for Cyber Security Research and Innovation (CSRI), Deakin University, Geelong, VIC, Australia; Centre for Cyber Security Research and Innovation (CSRI), Deakin University, Geelong, VIC, Australia; Centre for Cyber Security Research and Innovation (CSRI), Deakin University, Geelong, VIC, Australia; Centre for Cyber Security Research and Innovation (CSRI), Deakin University, Geelong, VIC, Australia; Centre for Cyber Security Research and Innovation (CSRI), Deakin University, Geelong, VIC, Australia</t>
  </si>
  <si>
    <t>We present a detailed survey of the Zero Trust (ZT) security paradigm which has a growing number of advocates in the critical infrastructure risk management space. The article employs a descriptive approach to present the fundamental tenets of ZT and provides a review of numerous potential options available for successful realization of this paradigm. We describe the role of authentication and access control in Zero Trust Architectures (ZTA) and present an in-depth discussion of state-of-the-art techniques for authentication and access control in different scenarios. Furthermore, we comprehensively discuss the conventional approaches to encryption, micro-segmentation, and security automation available for instantiating a ZTA. The article also details various challenges associated with contemporary authentication mechanisms, access control schemes, trust and risk computation techniques, micro-segmentation approaches, and Software-Defined Perimeter, that can impact the implementation of ZT in its true sense. Based upon our analysis, we finally pinpoint the potential future research directions for successful realization of ZT in critical infrastructures.</t>
  </si>
  <si>
    <t xml:space="preserve">Australian Department of Defence; Defence Science and Technology Group‚Äôs Operations Research Network; </t>
  </si>
  <si>
    <t>https://ieeexplore.ieee.org/stamp/stamp.jsp?arnumber=9773102</t>
  </si>
  <si>
    <t>Zero trust architecture (ZTA);access control;authentication;micro-segmentation;software-defined parameter (SDP)</t>
  </si>
  <si>
    <t>Access control;Authentication;Computer architecture;NIST;Encryption;Critical infrastructure;Automation</t>
  </si>
  <si>
    <t>D. Ratasich; F. Khalid; F. Geissler; R. Grosu; M. Shafique; E. Bartocci</t>
  </si>
  <si>
    <t>A Roadmap Toward the Resilient Internet of Things for Cyber-Physical Systems</t>
  </si>
  <si>
    <t>10.1109/ACCESS.2019.2891969</t>
  </si>
  <si>
    <t>Institute of Computer Engineering, TU Wien, Vienna, Austria; Institute of Computer Engineering, TU Wien, Vienna, Austria; CPS Dependability Research Lab, Intel Deutschland GmbH, Neubiberg, Germany; Institute of Computer Engineering, TU Wien, Vienna, Austria; Institute of Computer Engineering, TU Wien, Vienna, Austria; Institute of Computer Engineering, TU Wien, Vienna, Austria</t>
  </si>
  <si>
    <t>The Internet of Things (IoT) is a ubiquitous system connecting many different devices - the things - which can be accessed from the distance. The cyber-physical systems (CPSs) monitor and control the things from the distance. As a result, the concepts of dependability and security get deeply intertwined. The increasing level of dynamicity, heterogeneity, and complexity adds to the system's vulnerability, and challenges its ability to react to faults. This paper summarizes the state of the art of existing work on anomaly detection, fault-tolerance, and self-healing, and adds a number of other methods applicable to achieve resilience in an IoT. We particularly focus on non-intrusive methods ensuring data integrity in the network. Furthermore, this paper presents the main challenges in building a resilient IoT for the CPS, which is crucial in the era of smart CPS with enhanced connectivity (an excellent example of such a system is connected autonomous vehicles). It further summarizes our solutions, work-in-progress and future work to this topic to enable ‚ÄúTrustworthy IoT for CPS‚Äù. Finally, this framework is illustrated on a selected use case: a smart sensor infrastructure in the transport domain.</t>
  </si>
  <si>
    <t xml:space="preserve">IoT4CPS; √ñsterreichische Forschungsf√∂rderungsgesellschaft; </t>
  </si>
  <si>
    <t>https://ieeexplore.ieee.org/stamp/stamp.jsp?arnumber=8606923</t>
  </si>
  <si>
    <t>Anomaly detection;cyber-physical systems (CPS);Internet of Things (IoT);monitoring;resilience;long-term dependability and security;self-adaptation;self-healing</t>
  </si>
  <si>
    <t>Resilience;Security;Internet of Things;Cyber-physical systems;Robustness;Safety;Monitoring</t>
  </si>
  <si>
    <t>B. Ali; M. A. Gregory; S. Li</t>
  </si>
  <si>
    <t>Multi-Access Edge Computing Architecture, Data Security and Privacy: A Review</t>
  </si>
  <si>
    <t>10.1109/ACCESS.2021.3053233</t>
  </si>
  <si>
    <t>School of Engineering, RMIT University, Melbourne, VIC, Australia; School of Engineering, RMIT University, Melbourne, VIC, Australia; School of Engineering, RMIT University, Melbourne, VIC, Australia</t>
  </si>
  <si>
    <t>Multi-Access Edge Computing (MEC) is an extension of cloud computing that aims to provide computation, storage, and networking capabilities at the edge of the network in close proximity to end-users. The MEC architecture supports applications and services that bridge between cloud computing and end-users. The architecture includes devices and systems that are interconnected, layered, and flexibly deployed. As a result of the technological advancements, MEC is facing a myriad of highly sophisticated threats. This paper provides a review of MEC Architecture, use cases, conceptual guidelines for MEC security architecture, security and privacy techniques, and identifies current and future challenges, their implications, and approaches to overcome the challenges. This research examined significant threats, described the MEC architecture, identified the susceptible functional layers, the different categories of threats, and the potential security safeguards. The research recommends that MEC providers should implement multiple layers of security controls to mitigate targeted attacks.</t>
  </si>
  <si>
    <t>https://ieeexplore.ieee.org/stamp/stamp.jsp?arnumber=9330515</t>
  </si>
  <si>
    <t>Multi-access edge computing;MEC;security;privacy;SDN;5G</t>
  </si>
  <si>
    <t>Security;Computer architecture;Data security;Cloud computing;Servers;Data privacy;Edge computing</t>
  </si>
  <si>
    <t>M. Masoudi; M. G. Khafagy; A. Conte; A. El-Amine; B. Fran√ßoise; C. Nadjahi; F. E. Salem; W. Labidi; A. S√ºral; A. Gati; D. Bod√©r√©; E. Arikan; F. Aklamanu; H. Louahlia-Gualous; J. Lallet; K. Pareek; L. Nuaymi; L. Meunier; P. Silva; N. T. Almeida; T. Chahed; T. Sj√∂lund; C. Cavdar</t>
  </si>
  <si>
    <t>Green Mobile Networks for 5G and Beyond</t>
  </si>
  <si>
    <t>10.1109/ACCESS.2019.2932777</t>
  </si>
  <si>
    <t>KTH Royal Institute of Technology, Kista, Sweden; KTH Royal Institute of Technology, Kista, Sweden; Nokia Bell Labs, Nozay, France; Departement Syst√®me R√©seaux, Cybers√©curit√© et Droit du num√©rique (SRCD), IMT Atlantique, CS 17607 35576, Cesson-S√©vign√©, France; Orange Gardens, Ch√°tillon, France; LUSAC, UNICAEN, Normandie University, Caen, France; Orange Gardens, Ch√°tillon, France; Institut Polytechnique Paris, Telecom SudParis, UMR CNRS Samovar, Evry, France; Polaran Ltd, Ankara, Turkey; Orange Gardens, Ch√°tillon, France; Orange Gardens, Ch√°tillon, France; Polaran Ltd, Ankara, Turkey; Nokia Bell Labs, Nozay, France; LUSAC, UNICAEN, Normandie University, Caen, France; Nokia Bell Labs, Nozay, France; MIC Nordic AB, Kista, Sweden; Departement Syst√®me R√©seaux, Cybers√©curit√© et Droit du num√©rique (SRCD), IMT Atlantique, CS 17607 35576, Cesson-S√©vign√©, France; Tele2, Sverige AB, Kista, Sweden; INESC TEC and Faculty of Engineering, University of Porto, Porto, Portugal; INESC TEC and Faculty of Engineering, University of Porto, Porto, Portugal; Institut Polytechnique Paris, Telecom SudParis, UMR CNRS Samovar, Evry, France; MIC Nordic AB, Kista, Sweden; KTH Royal Institute of Technology, Kista, Sweden</t>
  </si>
  <si>
    <t>The heated 5G network deployment race has already begun with the rapid progress in standardization efforts, backed by the current market availability of 5G-enabled network equipment, ongoing 5G spectrum auctions, early launching of non-standalone 5G network services in a few countries, among others. In this paper, we study current and future wireless networks from the viewpoint of energy efficiency (EE) and sustainability to meet the planned network and service evolution toward, along, and beyond 5G, as also inspired by the findings of the EU Celtic-Plus SooGREEN Project. We highlight the opportunities seized by the project efforts to enable and enrich this green nature of the network as compared to existing technologies. In specific, we present innovative means proposed in SooGREEN to monitor and evaluate EE in 5G networks and beyond. Further solutions are presented to reduce energy consumption and carbon footprint in the different network segments. The latter spans proposed virtualized/cloud architectures, efficient polar coding for fronthauling, mobile network powering via renewable energy and smart grid integration, passive cooling, smart sleeping modes in indoor systems, among others. Finally, we shed light on the open opportunities yet to be investigated and leveraged in future developments.</t>
  </si>
  <si>
    <t xml:space="preserve">EU Celtic Plus Projects, mainly by SooGREEN: Service-Oriented Optimization of Green Mobile Networks and in part by AI4Green: Artificial Intelligence for Green Mobile Networks; </t>
  </si>
  <si>
    <t>https://ieeexplore.ieee.org/stamp/stamp.jsp?arnumber=8786138</t>
  </si>
  <si>
    <t>CRAN;DAS;energy efficiency;monitoring;storage;green mobile networks;passive cooling;renewable energy;sleep modes;smart grid;virtualization;Wi-Fi</t>
  </si>
  <si>
    <t>Energy consumption;5G mobile communication;Green products;Optimization;Sustainable development;Cooling;Quality of service</t>
  </si>
  <si>
    <t>P. Bellavista; C. Giannelli; M. Mamei; M. Mendula; M. Picone</t>
  </si>
  <si>
    <t>Application-Driven Network-Aware Digital Twin Management in Industrial Edge Environments</t>
  </si>
  <si>
    <t>10.1109/TII.2021.3067447</t>
  </si>
  <si>
    <t>Department of Computer Science and Engineering, University of Bologna, Bologna, Italy; Department of Mathematics and Computer Science, University of Ferrara, Ferrara, Italy; Department of Sciences and Methods for Engineering, University of Modena and Reggio Emilia, Modena, Italy; Department of Computer Science and Engineering, University of Bologna, Bologna, Italy; Department of Sciences and Methods for Engineering, University of Modena and Reggio Emilia, Modena, Italy</t>
  </si>
  <si>
    <t>The application of Internet of Things (IoT) within industrial environments is fostering the adoption of the digital twin (DT) approach, applied at the edge of the network to handle heterogeneity stemming from siloed application management solutions and from protocols originated by different manufacturing tools and enterprise services. In this challenging context, network heterogeneity also represents a critical element that can significantly limit the design and deployment of DT-oriented applications. This article proposes the Application-driven digital twin networking middleware with the twofold objective of: 1) Simplifying the interaction among heterogeneous devices by allowing DTs to exploit IP-based protocols instead of specialized industrial ones and to enhance packet content expressiveness, by enriching data via well-defined standards. 2) Dynamically managing network resources in edge industrial environments, applying software defined networking to exploit the communication mechanisms most suitable to application requirements, ranging from native IP to more articulated based on packet content.</t>
  </si>
  <si>
    <t xml:space="preserve">Distributed Digital Twins for industrial SMEs: A big-data platform; EU under the call ICT-11-2018-2019(grant numbers:857191); </t>
  </si>
  <si>
    <t>https://ieeexplore.ieee.org/stamp/stamp.jsp?arnumber=9382113</t>
  </si>
  <si>
    <t>Application-driven management;digital twin (DT);edge computing;industrial IoT;software defined networking (SDN)</t>
  </si>
  <si>
    <t>Digital twin;Quality of service;Protocols;Vibrations;Middleware;Production;Payloads</t>
  </si>
  <si>
    <t>S. D. A. Shah; M. A. Gregory; S. Li</t>
  </si>
  <si>
    <t>Cloud-Native Network Slicing Using Software Defined Networking Based Multi-Access Edge Computing: A Survey</t>
  </si>
  <si>
    <t>10.1109/ACCESS.2021.3050155</t>
  </si>
  <si>
    <t>Fifth-Generation (5G) mobile cellular networks provide a promising platform for new, innovative and diverse IoT applications, such as ultra-reliable and low latency communication, real-time and dynamic data processing, intensive computation, and massive device connectivity. End-to-End (E2E) network slicing candidates present a promising approach to resource allocation and distribution that permit operators to flexibly provide scalable virtualized and dedicated logical networks over common physical infrastructure. Though network slicing promises the provision of services on demand, many of its use cases, such as self-driving cars and Google's Stadia, would require the integration of a Multi-Access Edge Computing (MEC) platform in 5G networks. Edge Computing is envisioned as one of the key drivers for 5G and Sixth-Generation (6G) mobile cellular networks, but its role in network slicing remains to be fully explored. We investigate MEC and network slicing for the provision of 5G service focused use cases. Recently, changes to the cloud-native 5G core are a focus with MEC use cases providing network scalability, elasticity, flexibility, and automation. A cloud-native microservices architecture, along with its potential use cases for 5G network slicing, is envisioned. This paper also elaborates on the recent advances made in enabling E2E network slicing, its enabling technologies, solutions, and current standardization efforts. Finally, this paper identifies open research issues and challenges and provides possible solutions and recommendations.</t>
  </si>
  <si>
    <t xml:space="preserve">Royal Melbourne Institute of Technology (RMIT) University Research Stipend Scholarship (RRSS); </t>
  </si>
  <si>
    <t>https://ieeexplore.ieee.org/stamp/stamp.jsp?arnumber=9317860</t>
  </si>
  <si>
    <t>Network slicing;software defined networking;multi-access edge computing;cloud native;ultra-reliable;low latency communication</t>
  </si>
  <si>
    <t>5G mobile communication;Network slicing;Cloud computing;Computer architecture;Edge computing;Software;Servers</t>
  </si>
  <si>
    <t>D. P. Moya Osorio; I. Ahmad; J. D. V. S√°nchez; A. Gurtov; J. Scholliers; M. Kutila; P. Porambage</t>
  </si>
  <si>
    <t>Towards 6G-Enabled Internet of Vehicles: Security and Privacy</t>
  </si>
  <si>
    <t>10.1109/OJCOMS.2022.3143098</t>
  </si>
  <si>
    <t>Centre for Wireless Communications, University of Oulu, Oulu, Finland; VTT Technical Research Centre of Finland Ltd., Espoo, Finland; Departamento de Electr√≥nica, Telecomunicaciones y Redes de Informaci√≥n, Escuela Polit√©cnica Nacional, Quito, Ecuador; Department of Computer and Information Science (IDA), Link√∂ping University, Link√∂ping, Sweden; VTT Technical Research Centre of Finland Ltd., Espoo, Finland; VTT Technical Research Centre of Finland Ltd., Espoo, Finland; Centre for Wireless Communications, University of Oulu, Oulu, Finland</t>
  </si>
  <si>
    <t>The conceptualisation of the sixth generation of mobile wireless networks (6G) has already started with some potential disruptive technologies resonating as enablers for driving the emergence of a number of innovative applications. Particularly, 6G will be a prominent supporter for the evolution towards a truly Intelligent Transportation System and the realization of the Smart City concept by fulfilling the limitations of 5G, once vehicular networks are becoming highly dynamic and complex with stringent requirements on ultra-low latency, high reliability, and massive connections. More importantly, providing security and privacy to such critical systems should be a top priority as vulnerabilities can be catastrophic, thus there are huge concerns regarding data collected from sensors, people and their habits. In this paper, we provide a timely deliberation of the role that promissory 6G enabling technologies such as artificial intelligence, network softwarisation, network slicing, blockchain, edge computing, intelligent reflecting surfaces, backscatter communications, terahertz links, visible light communications, physical layer authentication, and cell-free massive multiple-input multiple-output (MIMO) will play on providing the expected level of security and privacy for the Internet of Vehicles.</t>
  </si>
  <si>
    <t xml:space="preserve">Academy of Finland 6G Flagship(grant numbers:318927,334280); 5G-SAFEplus Celtic+ Project; Business Finland; EU Project AirMOUR (Enabling Sustainable Airmobility in Urrban Contexts via Emergency and Medical Services)(grant numbers:101006601); </t>
  </si>
  <si>
    <t>https://ieeexplore.ieee.org/stamp/stamp.jsp?arnumber=9681822</t>
  </si>
  <si>
    <t>6G networks;Internet of Vehicles;privacy;security;vehicle-to-everything communications</t>
  </si>
  <si>
    <t>Security;6G mobile communication;5G mobile communication;Privacy;Vehicle-to-everything;Long Term Evolution;Data privacy</t>
  </si>
  <si>
    <t>K. Yue; Y. Zhang; Y. Chen; Y. Li; L. Zhao; C. Rong; L. Chen</t>
  </si>
  <si>
    <t>A Survey of Decentralizing Applications via Blockchain: The 5G and Beyond Perspective</t>
  </si>
  <si>
    <t>10.1109/COMST.2021.3115797</t>
  </si>
  <si>
    <t>College of Computer Science, Sichuan University, Chengdu, China; College of Computer Science, Sichuan University, Chengdu, China; College of Computer Science, Sichuan University, Chengdu, China; Science and Technology on Security Communication Laboratory, Institute of Southwestern Communication, Chengdu, China; Department of Electrical, Computer, and Biomedical Engineering, Ryerson University, Toronto, ON, Canada; Center for IP-Based Service Innovation, University of Stavanger, Stavanger, Norway; College of Computer Science, Sichuan University, Chengdu, China</t>
  </si>
  <si>
    <t>Trusted third parties (TTPs) are frequently used for serving as an authority to issue and verify transactions in applications. Although the TTP-based paradigm provides customers with convenience, it causes a whole set of inevitable problems such as security threats, privacy vulnerabilities, and censorship. The TTP-based paradigm is not suitable for all modern networks, e.g., 5G and beyond networks, which are been evolving to support ubiquitous, decentralized, and autonomous services. Driven by the vision of blockchain technologies, there has been a paradigm shift in applications, from TTP-based to decentralized-trust-based. Decentralized applications (DApps) with blockchains promise no trust on authorities, tackling the key challenges of security and privacy problems. A main thrust of blockchain research is to explore frameworks and paradigms for decentralizing applications, fostering a number of new designs ranging from network architectures to business models. Therefore, this paper provides a compact and concise survey on the state-of-the-art research of decentralizing applications with blockchain in the 5G and beyond perspective. We provide four burning 5G and beyond challenges and discuss five aspects of motivation for decentralizing applications with blockchain. Then, we define nine fundamental modules of blockchains and explain the potential influence of these modules on decentralization in depth. We also discuss the interrelation between decentralization and some desired blockchain properties. Particularly, we present the capabilities of blockchain for decentralizing applications through reviewing DApps for 5G and beyond. We clearly distinguish three blockchain paradigms and discuss how developers to make right choices for 5G and beyond. Finally, we highlight important learned lessons and open issues in applying blockchain for decentralizing applications. Lessons learned and open issues from this survey will facilitate the transformation of centralized applications to DApps.</t>
  </si>
  <si>
    <t xml:space="preserve">National Natural Science Foundation of China(grant numbers:62072319); Science and Technology on Communication Security Laboratory(grant numbers:6142103190415); Sichuan Science and Technology Program(grant numbers:2020YFG0254,2019JDTD0001); </t>
  </si>
  <si>
    <t>https://ieeexplore.ieee.org/stamp/stamp.jsp?arnumber=9548956</t>
  </si>
  <si>
    <t>Blockchain;decentralize;DApp;5G and beyond;permissionless blockchain;permissioned blockchain</t>
  </si>
  <si>
    <t>Blockchains;5G mobile communication;Security;Privacy;Smart contracts;Tutorials;Technological innovation</t>
  </si>
  <si>
    <t>Z. Zhou; M. Shojafar; M. Alazab; J. Abawajy; F. Li</t>
  </si>
  <si>
    <t>AFED-EF: An Energy-Efficient VM Allocation Algorithm for IoT Applications in a Cloud Data Center</t>
  </si>
  <si>
    <t>IEEE Transactions on Green Communications and Networking</t>
  </si>
  <si>
    <t>2473-2400</t>
  </si>
  <si>
    <t>10.1109/TGCN.2021.3067309</t>
  </si>
  <si>
    <t>School of Computer Engineering and Applied Mathematics, Changsha University, Changsha, China; 5GIC &amp; 6GIC, Institute for Communication Systems (ICS), University of Surrey, Guildford, U.K.; College of Engineering, IT and Environment, Charles Darwin University, Casuarina, NT, Australia; Faculty of Science, Engineering and Built Environment, Deakin University, Geelong, VIC, Australia; School of Computer Engineering and Applied Mathematics, Changsha University, Changsha, China</t>
  </si>
  <si>
    <t>Cloud Data Centers (CDCs) have become a vital computing infrastructure for enterprises. However, CDCs consume substantial energy due to the increased demand for computing power, especially for the Internet of Things (IoT) applications. Although a great deal of research in green resource allocation algorithms have been proposed to reduce the energy consumption of the CDCs, existing approaches mostly focus on minimizing the number of active Physical Machines (PMs) and rarely address the issue of load fluctuation and energy efficiency of the Virtual Machine (VM) provisions jointly. Moreover, existing approaches lack mechanisms to consider and redirect the incoming traffics to appropriate resources to optimize the Quality of Services (QoSs) provided by the CDCs. We propose a novel adaptive energy-aware VM allocation and deployment mechanism called AFED-EF for IoT applications to handle these problems. The proposed algorithm can efficiently handle the fluctuation of load and has good performance during the VM allocation and placement. We carried out extensive experimental analysis using a real-world workload based on more than a thousand PlanetLab VMs. The experimental results illustrate that AFED-EF outperforms other energy-aware algorithms in energy consumption, Service Level Agreements (SLA) violation, and energy efficiency.</t>
  </si>
  <si>
    <t xml:space="preserve">National Natural Science Foundation of China(grant numbers:61772088); Hunan Province Key Laboratory of Industrial Internet Technology and Security(grant numbers:2019TP1011); Marie Curie Global Fellowship funded by European Commission(grant numbers:MSCA-IF-GF-839255); </t>
  </si>
  <si>
    <t>https://ieeexplore.ieee.org/stamp/stamp.jsp?arnumber=9382007</t>
  </si>
  <si>
    <t>Cloud data center (CDC);Internet of Thing (IoT);energy efficiency;resource provision;virtual machine allocation (VMA);service level agreement (SLA)</t>
  </si>
  <si>
    <t>Energy consumption;Cloud computing;Resource management;Internet of Things;Data centers;Servers;Quality of service</t>
  </si>
  <si>
    <t>B. Alotaibi</t>
  </si>
  <si>
    <t>Utilizing Blockchain to Overcome Cyber Security Concerns in the Internet of Things: A Review</t>
  </si>
  <si>
    <t>IEEE Sensors Journal</t>
  </si>
  <si>
    <t>1558-1748</t>
  </si>
  <si>
    <t>10.1109/JSEN.2019.2935035</t>
  </si>
  <si>
    <t>Department of Information Technology, University of Tabuk, Tabuk, Saudi Arabia</t>
  </si>
  <si>
    <t>The Internet of Things (IoT) is a wide network consisting of Internet-connected objects using installed software, such as home appliances, vehicles, and other entities embedded with sensors, actuators, radio-frequency identification (RFID), and electronics to exchange data. In the last two decades, numerous IoT solutions have been developed by small, medium-sized, and large enterprises to make our lives easier. Furthermore, private and academic researchers have extensively investigated some practical IoT solutions. The rapid expansion of IoT solutions accompanies numerous security concerns because the underlying IoT protocols and communication technologies have not considered security. Recently, blockchain has emerged to become one of the promising technologies that might overcome some of the IoT limitations (security limitations, in particular). Blockchain technology is a database ledger that uses a peer-to-peer (P2P) network and stores transactions and asset registries. Blockchain can be described as a mounting list of records (i.e., blocks) with the following properties: distributed, decentralized, immutable, and shared. This paper surveyed recent security advances to overcome IoT limitations using blockchain. In this article, the blockchain attempts to overcome IoT limitations that are related to cyber security have been classified into four categories: end-to-end traceability; data privacy and anonymity; identity verification and authentication; and confidentiality, data integrity, and availability (CIA). Intended as a guideline for future research, this paper also explores systematic processes.</t>
  </si>
  <si>
    <t>https://ieeexplore.ieee.org/stamp/stamp.jsp?arnumber=8795541</t>
  </si>
  <si>
    <t>Internet of Things;blockchain;cyber security;end-to-end traceability;data privacy;anonymity;identity verification;data integrity;big data;cloud computing</t>
  </si>
  <si>
    <t>Internet of Things;Blockchain;Protocols;Radiofrequency identification;Computer crime</t>
  </si>
  <si>
    <t>K. Roberts; Q. Zhuge; I. Monga; S. Gareau; C. Laperle</t>
  </si>
  <si>
    <t>Beyond 100 Gb/s: capacity, flexibility, and network optimization [Invited]</t>
  </si>
  <si>
    <t>Journal of Optical Communications and Networking</t>
  </si>
  <si>
    <t>1943-0639</t>
  </si>
  <si>
    <t>10.1364/JOCN.9.000C12</t>
  </si>
  <si>
    <t>Ciena Corporation, Ottawa, Ontario K2H 8E9, Canada; Ciena Corporation, Ottawa, Ontario K2H 8E9, Canada; Energy Sciences Network (ESnet), Berkeley, California 94720, USA.; Ciena Corporation, Ottawa, Ontario K2H 8E9, Canada; Ciena Corporation, Ottawa, Ontario K2H 8E9, Canada</t>
  </si>
  <si>
    <t>C12</t>
  </si>
  <si>
    <t>C23</t>
  </si>
  <si>
    <t>In this paper, we discuss building blocks that enable the exploitation of optical capacities beyond 100 Gb‚àïs. Optical networks will benefit from more flexibility and agility in their network elements, especially from coherent transceivers. To achieve capacities of 400 Gb‚àïs and more, coherent transceivers will operate at higher symbol rates. This will be made possible with higher bandwidth components using new electro-optic technologies implemented with indium phosphide and silicon photonics. Digital signal processing will benefit from new algorithms. Multi-dimensional modulation, of which some formats are already in existence in current flexible coherent transceivers, will provide improved tolerance to noise and fiber nonlinearities. Constellation shaping will further improve these tolerances while allowing a finer granularity in the selection of capacity. Frequency-division multiplexing will also provide improved tolerance to the nonlinear characteristics of fibers. Algorithms with reduced computation complexity will allow the implementation, at speeds, of direct pre-compensation of nonlinear propagation effects. Advancement in forward error correction will shrink the performance gap with Shannon‚Äôs limit. At the network control and management level, new tools are being developed to achieve a more efficient utilization of networks. This will also allow for network virtualization, orchestration, and management. Finally, FlexEthernet and FlexOTN will be put in place to allow network operators to optimize capacity in their optical transport networks without manual changes to the client hardware.</t>
  </si>
  <si>
    <t>https://ieeexplore.ieee.org/stamp/stamp.jsp?arnumber=7901442</t>
  </si>
  <si>
    <t>Digital signal processing; Modulation formats;Optical coherent transceivers; Optical networks</t>
  </si>
  <si>
    <t>Transceivers;Optical receivers;Modulation;Optical transmitters;Optical fiber networks;Adaptive optics;Nonlinear optics</t>
  </si>
  <si>
    <t>A. Verma; P. Bhattacharya; N. Madhani; C. Trivedi; B. Bhushan; S. Tanwar; G. Sharma; P. N. Bokoro; R. Sharma</t>
  </si>
  <si>
    <t>Blockchain for Industry 5.0: Vision, Opportunities, Key Enablers, and Future Directions</t>
  </si>
  <si>
    <t>10.1109/ACCESS.2022.3186892</t>
  </si>
  <si>
    <t>Department of Computer Science and Engineering, Institute of Technology, Nirma University, Gujarat, Ahmedabad, India; Department of Computer Science and Engineering, Institute of Technology, Nirma University, Gujarat, Ahmedabad, India; Department of Computer Science and Engineering, Institute of Technology, Nirma University, Gujarat, Ahmedabad, India; Department of Computer Science and Engineering, Institute of Technology, Nirma University, Gujarat, Ahmedabad, India; School of Engineering and Technology, Sharda University, Greater Noida, India; Department of Computer Science and Engineering, Institute of Technology, Nirma University, Gujarat, Ahmedabad, India; Department of Electrical Engineering Technology, University of Johannesburg, Johannesburg, South Africa; Department of Electrical Engineering Technology, University of Johannesburg, Johannesburg, South Africa; Centre for Inter-Disciplinary Research and Innovation, University of Petroleum and Energy Studies, Dehradun, India</t>
  </si>
  <si>
    <t>Industry 4.0 have witnessed a paradigm shift from cyber-physical systems (CPS) that aims at massive automation, to a more customer-driven approach. The shift has been attributed to the design of hyper-cognitive systems, integration of virtual and extended reality, digital machinery prototyping and twin designs, trusted machine boundaries, collaborative robots, and artificial intelligence (AI)-based supply chains. This new wave, termed Industry 5.0, is expected to leverage massive production with user-centric customization outside the scope of Industry 4.0 ecosystems. Industry 5.0 is expected to assist diverse industrial verticals like healthcare, smart farming, drones, smart grids, and supply chain production ecosystems. However, data is shared among multiple heterogeneous networks, spanning different authoritative domains. Thus, trusted and secured data transfer is crucial to synergize and secure the industrial perimeters. Blockchain (BC) is a preferred choice as a security enabler to Industry 5.0 ecosystems owing to its inherent property of immutability, chronology, and auditability in industrial systems. Limited works are proposed that present the vision and holistic view of BC-assisted Industry 5.0 applications. The article presents a first-of-its-kind survey on BC as a security enabler in Industry 5.0. Based on a descriptive survey methodology and research questions, we presented the key drivers, and potential applications, and propose an architectural vision of BC-based Industry 5.0 in diverse applicative verticals. The survey intends to present solutions that would assist industry practitioners, academicians, and researchers to drive novel BC-assisted solutions in Industry 5.0 verticals.</t>
  </si>
  <si>
    <t>https://ieeexplore.ieee.org/stamp/stamp.jsp?arnumber=9809962</t>
  </si>
  <si>
    <t>Blockchain;Industry 5.0;Internet-of-Things;security;privacy</t>
  </si>
  <si>
    <t>Industries;Production;Fourth Industrial Revolution;Security;Service robots;Artificial intelligence;Blockchains</t>
  </si>
  <si>
    <t>H. Zhao; S. Deng; Z. Liu; J. Yin; S. Dustdar</t>
  </si>
  <si>
    <t>Distributed Redundant Placement for Microservice-based Applications at the Edge</t>
  </si>
  <si>
    <t>10.1109/TSC.2020.3013600</t>
  </si>
  <si>
    <t>College of Computer Science and Technology, Zhejiang University, Hangzhou, China; College of Computer Science and Technology, Zhejiang University, Hangzhou, China; College of Computer Science and Technology, Zhejiang University, Hangzhou, China; College of Computer Science and Technology, Zhejiang University, Hangzhou, China; Distributed Systems Group, Technische Universit√§t Wien, Vienna, Austria</t>
  </si>
  <si>
    <t>Multi-access edge computing (MEC) is booming as a promising paradigm to push the computation and communication resources from cloud to the network edge to provide services and to perform computations. With container technologies, mobile devices with small memory footprint can run composite microservice-based applications without time-consuming backbone. Service placement at the edge is of importance to put MEC from theory into practice. However, current state-of-the-art research does not sufficiently take the composite property of services into consideration. Besides, although Kubernetes has certain abilities to heal container failures, high availability cannot be ensured due to heterogeneity and variability of edge sites. To deal with these problems, we propose a distributed redundant placement framework SAA-RP and a GA-based Server Selection (GASS) algorithm for microservice-based applications with sequential combinatorial structure. We formulate a stochastic optimization problem with the uncertainty of microservice request considered, and then decide for each microservice, how it should be deployed and with how many instances as well as on which edge sites to place them. Benchmark policies are implemented in two scenarios, where redundancy is allowed and not, respectively. Numerical results based on a real-world dataset verify that GASS significantly outperforms all the benchmark policies.</t>
  </si>
  <si>
    <t xml:space="preserve">National Key Research and Development Program of China(grant numbers:2017YFB1400601); Key Research and Development Project of Zhejiang Province(grant numbers:2017C01015); National Natural Science Foundation of China(grant numbers:61772461); Natural Science Foundation of Zhejiang Province(grant numbers:LR18F020003,LY17F020014); </t>
  </si>
  <si>
    <t>https://ieeexplore.ieee.org/stamp/stamp.jsp?arnumber=9154603</t>
  </si>
  <si>
    <t>Redundancy;service placement;multi-access edge computing;composite service;sample average approximation</t>
  </si>
  <si>
    <t>Redundancy;Containers;Mobile handsets;Cloud computing;Numerical models;Stochastic processes;Edge computing</t>
  </si>
  <si>
    <t>M. A. Mengistu; A. A. Girmay; C. Camarda; A. Acquaviva; E. Patti</t>
  </si>
  <si>
    <t>A Cloud-Based On-Line Disaggregation Algorithm for Home Appliance Loads</t>
  </si>
  <si>
    <t>IEEE Transactions on Smart Grid</t>
  </si>
  <si>
    <t>1949-3061</t>
  </si>
  <si>
    <t>10.1109/TSG.2018.2826844</t>
  </si>
  <si>
    <t>Department of Control and Computer Engineering, Politecnico di Torino, Torino, Italy; Midori S.R.L., Politecnico di Torino, Torino, Italy; Midori S.R.L., Politecnico di Torino, Torino, Italy; Department of Control and Computer Engineering, Politecnico di Torino, Torino, Italy; Department of Control and Computer Engineering, Politecnico di Torino, Torino, Italy</t>
  </si>
  <si>
    <t>In this paper, we address the problem of providing fast and on-line households appliance load detection in a non-intrusive way from aggregate electric energy consumption data. Enabling on-line load detection is a relevant research problem as it can unlock new grid services such as demand-side management and raises interactivity in energy awareness possibly leading to more green behaviors. To this purpose, we propose an on-line-non-intrusive load monitoring machine learning algorithm combining two methodologies: 1) unsupervised event-based profiling and 2) Markov chain appliance load modeling. The event-based part performs event detection through contiguous and transient data segments, events clustering and matching. The resulting features are used to build household-specific appliance models from generic appliance models. Disaggregation is then performed on-line using an additive factorial hidden Markov model from the generated appliance model parameters. Our solution is implemented on the cloud and tested with public benchmark datasets. Accuracy results are presented and compared with literature solutions, showing that the proposed solution achieves on-line detection with comparable detection performance with respect to non on-line approaches.</t>
  </si>
  <si>
    <t xml:space="preserve">EU Project Flexmeter(grant numbers:646568); </t>
  </si>
  <si>
    <t>https://ieeexplore.ieee.org/stamp/stamp.jsp?arnumber=8337762</t>
  </si>
  <si>
    <t>Non-intrusive load monitoring;load disaggregation;event detection;hidden Markov model;smart metering</t>
  </si>
  <si>
    <t>Hidden Markov models;Home appliances;Load modeling;Aggregates;Data models;Event detection;Feature extraction</t>
  </si>
  <si>
    <t>I. -D. Filip; F. Pop; C. Serbanescu; C. Choi</t>
  </si>
  <si>
    <t>Microservices Scheduling Model Over Heterogeneous Cloud-Edge Environments As Support for IoT Applications</t>
  </si>
  <si>
    <t>10.1109/JIOT.2018.2792940</t>
  </si>
  <si>
    <t>Computer Science Department, University Politehnica of Bucharest, Bucharest, Romania; Computer Science Department, University Politehnica of Bucharest, Bucharest, Romania; Department of Mathematical Methods and Models, University Politehnica of Bucharest, Bucharest, Romania; IT Research Institute, Chosun University, Gwangju, South Korea</t>
  </si>
  <si>
    <t>Motivated by the high-interest in increasing the utilization of nongeneral purpose devices in reaching computational objectives with a reduced cost, we propose a new model for scheduling microservices over heterogeneous cloud-edge environments. Our model uses a particular mathematical formulation for describing an architecture that includes heterogeneous machines that can handle different microservices. Since any new model asks for an early risk-analysis of the solution, we improved the CloudSim simulation framework to be suitable for an experiment that includes that kind of systems. In this paper, we discuss two examples of real-life utilizations of our proposed scheduling architecture. For an objective appreciation of the first example, we also include some experimental results based on the developed simulation tool. As a result of our interpretation of the experimental results we find out that some very simple scheduling algorithms may outperform some others in given situations that are frequently present in cloud-edge environments when we are using a microservice-oriented approach.</t>
  </si>
  <si>
    <t xml:space="preserve">MONROE‚ÄîToff Project (H2020)(grant numbers:644399); NETIO-ForestMon(grant numbers:53/05.09.2016,SMIS2014+105976); SPERO(grant numbers:PN-III-P2-2.1-SOL-2016-03-0046,3Sol/2017); ROBIN(grant numbers:PN-III-P1-1.2-PCCDI-2017-0734); National Research Foundation of Korea(grant numbers:2017R1A6A1A03015496); </t>
  </si>
  <si>
    <t>https://ieeexplore.ieee.org/stamp/stamp.jsp?arnumber=8255573</t>
  </si>
  <si>
    <t>Cloud computing;edge computing;energy efficiency;heterogeneous systems;microservice scheduling</t>
  </si>
  <si>
    <t>Computational modeling;Cloud computing;Internet of Things;Mathematical model;Processor scheduling;Computer architecture</t>
  </si>
  <si>
    <t>C. Yang; S. Lan; L. Wang; W. Shen; G. G. Q. Huang</t>
  </si>
  <si>
    <t>Big Data Driven Edge-Cloud Collaboration Architecture for Cloud Manufacturing: A Software Defined Perspective</t>
  </si>
  <si>
    <t>10.1109/ACCESS.2020.2977846</t>
  </si>
  <si>
    <t>School of Computer Science and Technology, Beijing Institute of Technology, Beijing, China; School of Economics and Management, University of Chinese Academy of Science, Beijing, China; Department of Production Engineering, KTH Royal Institute of Technology, Stockholm, Sweden; State Key Lab of Digital Manufacturing Equipment and Technology, Huazhong University of Science and Technology, Wuhan, China; Department of Industrial and Manufacturing Systems Engineering, The University of Hong Kong, Hong Kong</t>
  </si>
  <si>
    <t>In the practice of cloud manufacturing, there still exist some major challenges, including: 1) cloud based big data analytics and decision-making cannot meet the requirements of many latency-sensitive applications on shop floors; 2) existing manufacturing systems lack enough reconfigurability, openness and evolvability to deal with shop-floor disturbances and market changes; and 3) big data from shop-floors and the Internet has not been effectively utilized to guide the optimization and upgrade of manufacturing systems. This paper proposes an open evolutionary architecture of the intelligent cloud manufacturing system with collaborative edge and cloud processing. Hierarchical gateways connecting and managing shop-floor things at the ‚Äúedge‚Äù side are introduced to support latency-sensitive applications for real-time responses. Big data processed both at the gateways and in the cloud will be used to guide continuous improvement and evolution of edge-cloud systems for better performance. As software tools are becoming dominant as the ‚Äúbrain‚Äù of manufacturing control and decision-making, this paper also proposes a new mode - ‚ÄúAI-Mfg-Ops‚Äù (AI enabled Manufacturing Operations) with a supporting software defined framework, which can promote fast operation and upgrading of cloud manufacturing systems with smart monitoring-analysis-planning-execution in a closed loop. This research can contribute to the rapid response and efficient operation of cloud manufacturing systems.</t>
  </si>
  <si>
    <t xml:space="preserve">Beijing Institute of Technology Research Fund Program for Young Scholars; </t>
  </si>
  <si>
    <t>https://ieeexplore.ieee.org/stamp/stamp.jsp?arnumber=9020166</t>
  </si>
  <si>
    <t>Cloud manufacturing;big data;edge-cloud collaboration;software-defined architecture;Internet of Things</t>
  </si>
  <si>
    <t>Cloud computing;Big Data;Computer architecture;Collaboration;Real-time systems;Manufacturing systems</t>
  </si>
  <si>
    <t>J. Watada; A. Roy; R. Kadikar; H. Pham; B. Xu</t>
  </si>
  <si>
    <t>Emerging Trends, Techniques and Open Issues of Containerization: A Review</t>
  </si>
  <si>
    <t>10.1109/ACCESS.2019.2945930</t>
  </si>
  <si>
    <t>Research Institute of Quantitative Economics, Zhejiang Gongshang University, Hangzhou, China; Department of CIS, Universiti Technologi Petronas, Seri Iskandar, Malaysia; InfraCloud Technologies Pvt. Ltd., Pune, India; Department of ISE, State University of New Jersey, Piscataway, NJ, USA; Research Institute of Quantitative Economics, Zhejiang Gongshang University, Hangzhou, China</t>
  </si>
  <si>
    <t>Containerization is revolutionizing the way that many industries operate, provisioning major impact to modern computing technologies because it is extra lightweight, highly portable, energy, resource and storage efficient, cost-effective, performance efficient, and extremely quick during boot up. These often facilitate efficient load balancing, low-level system maintenance, server consolidation (for efficient energy and resource utilization) and replication of instances over geographical locations for better fault tolerance to escalate application reliability. However, some recent literature have addressed various challenges (such as complex networking, persistent storage facilities, cross data centers and multicloud supports, security issues, and lack of available, capable container management APIs, etc.) regarding successful container adoption in industries, which might have resulted in a seemingly meager increase in industrial deployments of containerization over the past few years despite bestowing efficient lightweight virtualization. Moreover, a comprehensive overview of containerizations along with their popularity dynamics has still not been found in contemporary literature, which further extends knowledge gap between developers and available technologies. Hence, current study touches upon different technicalities involved in containerization with potential problems and possible solutions along with various important industrial applications to manifest its existing supports and technical hardships. Finally, we have conducted a comprehensive experimental study to compare the performance of VMs, containers and unikernels in terms of CPU utilization, memory footprints, network bandwidth, execution time and technological maturity using standard benchmarks and observed containers to deliver satisfactory performance in almost all aspects, however, are still not free from issues regarding isolation &amp; security, performance stability, lack of available efficient tools for crossplatform support and persistent storage. Unikernels deliver good performance with VM-like isolation but still need to achieve desired technical maturity (in terms of microprocessor stability, process containment, persistent storage, etc.). VMs, on the other hand, are found to provide stable performance throughout, though bigger memory footprints and slower spin up/down remain their biggest weaknesses.</t>
  </si>
  <si>
    <t>https://ieeexplore.ieee.org/stamp/stamp.jsp?arnumber=8861307</t>
  </si>
  <si>
    <t>Virtualization;containerization;management and orchestration;isolation and security</t>
  </si>
  <si>
    <t>Containers;Virtualization;Security;Cloud computing;Virtual machine monitors;Linux;Tools</t>
  </si>
  <si>
    <t>V. T. Truong; L. Le; D. Niyato</t>
  </si>
  <si>
    <t>Blockchain Meets Metaverse and Digital Asset Management: A Comprehensive Survey</t>
  </si>
  <si>
    <t>10.1109/ACCESS.2023.3257029</t>
  </si>
  <si>
    <t>Institut National De La Recherche Scientifique (INRS), University of Qu√©bec, Montr√©al, QC, Canada; Institut National De La Recherche Scientifique (INRS), University of Qu√©bec, Montr√©al, QC, Canada; School of Computer Science and Engineering (SCSE), Nanyang Technological University, Jurong West, Singapore</t>
  </si>
  <si>
    <t>Envisioned to be the next-generation Internet, the metaverse has been attracting enormous attention from both the academia and industry. The metaverse can be viewed as a 3D immersive virtual world, where people use Augmented/Virtual Reality (AR/VR) devices to access and interact with others through digital avatars. While early versions of the metaverse exist in several Massively Multiplayer Online (MMO) games, the full-flesh metaverse is expected to be more complex and enabled by various advanced technologies. Blockchain is one of the crucial technologies that could revolutionize the metaverse to become a decentralized and democratic virtual society with its own economic and governance system. Realizing the importance of blockchain for the metaverse, our goal in this paper is to provide a comprehensive survey that clarifies the role of blockchain in the metaverse including in-depth analysis of digital asset management. To this end, we discuss how blockchain can enable the metaverse from different perspectives, ranging from user applications to virtual services and the blockchain-enabled economic system. Furthermore, we describe how blockchain can shape the metaverse from the system perspective, including various solutions for the decentralized governance system and data management. The potential of blockchain for security and privacy aspects of the metaverse infrastructure is also figured out, while a full flow of blockchain-based digital asset management for the metaverse is investigated. Finally, we discuss a wide range of open challenges of the blockchain-empowered metaverse.</t>
  </si>
  <si>
    <t xml:space="preserve">National Research Foundation (NRF), Singapore, and Infocomm Media Development Authority under the Future Communications Research Development Programme (FCP)(grant numbers:FCP-NTU-RG-2022-010); DSO National Laboratories under the AI Singapore Programme(grant numbers:AISG2-RP-2020-019); Energy Research Test-Bed and Industry Partnership Funding Initiative; Energy Grid (EG) 2.0 programme, and under DesCartes and the Campus for Research Excellence and Technological Enterprise (CREATE) programme; </t>
  </si>
  <si>
    <t>https://ieeexplore.ieee.org/stamp/stamp.jsp?arnumber=10068493</t>
  </si>
  <si>
    <t>Metaverse;blockchain;artificial intelligence;digital asset management;the Internet of Things;digital twin;VR/AR</t>
  </si>
  <si>
    <t>Metaverse;Blockchains;Asset management;Security;Games;Decentralized applications;Artificial intelligence</t>
  </si>
  <si>
    <t>L. Wang; L. Jiao; J. Li; J. Gedeon; M. M√ºhlh√§user</t>
  </si>
  <si>
    <t>MOERA: Mobility-Agnostic Online Resource Allocation for Edge Computing</t>
  </si>
  <si>
    <t>IEEE Transactions on Mobile Computing</t>
  </si>
  <si>
    <t>1558-0660</t>
  </si>
  <si>
    <t>10.1109/TMC.2018.2867520</t>
  </si>
  <si>
    <t>Telecooperation Lab, Technische Universit√§t Darmstadt, Darmstadt, Germany; Department of Computer and Information Science, University of Oregon, Eugene, OR, USA; Department of Computer and Information Science, University of Oregon, Eugene, OR, USA; Telecooperation Lab, Technische Universit√§t Darmstadt, Darmstadt, Germany; Telecooperation Lab, Technische Universit√§t Darmstadt, Darmstadt, Germany</t>
  </si>
  <si>
    <t>To better support emerging interactive mobile applications such as those VR-/AR-based, cloud computing is quickly evolving into a new computing paradigm called edge computing. Edge computing has the promise of bringing cloud resources to the network edge to augment the capability of mobile devices in close proximity to the user. One big challenge in edge computing is the efficient allocation and adaptation of edge resources in the presence of high dynamics imposed by user mobility. This paper provides a formal study of this problem. By characterizing a variety of static and dynamic performance measures with a comprehensive cost model, we formulate the online edge resource allocation problem with a mixed nonlinear optimization problem. We propose MOERA, a mobility-agnostic online algorithm based on the ‚Äúregularization‚Äù technique, which can be used to decompose the problem into separate subproblems with regularized objective functions and solve them using convex programming. Through rigorous analysis we are able to prove that MOERA can guarantee a parameterized competitive ratio, without requiring any a priori knowledge on input. We carry out extensive experiments with various real-world data and show that MOERA can achieve an empirical competitive ratio of less than 1.2, reduces the total cost by $4 \times$4√ó compared to static approaches, and outperforms the online greedy one-shot solution by 70 percent. Moreover, we verify that even being future-agnostic, MOERA can achieve comparable performance to approaches with perfect partial future knowledge. We also discuss practical issues with respect to the implementation of our algorithm in real edge computing systems.</t>
  </si>
  <si>
    <t xml:space="preserve">Deutsche Forschungsgemeinschaft(grant numbers:392046569); National Natural Science Foundation of China(grant numbers:61761136014); DFG Collaborative Research Center; National Science Foundation(grant numbers:1564348); </t>
  </si>
  <si>
    <t>https://ieeexplore.ieee.org/stamp/stamp.jsp?arnumber=8449107</t>
  </si>
  <si>
    <t>Edge computing;resource allocation;online optimization;competitive analysis</t>
  </si>
  <si>
    <t>Cloud computing;Resource management;Edge computing;Delays;Mobile computing;Mobile applications;Dynamic scheduling</t>
  </si>
  <si>
    <t>H. Sami; A. Mourad</t>
  </si>
  <si>
    <t>Dynamic On-Demand Fog Formation Offering On-the-Fly IoT Service Deployment</t>
  </si>
  <si>
    <t>10.1109/TNSM.2019.2963643</t>
  </si>
  <si>
    <t>Department of Computer Science and Mathematics, Lebanese American University, Beirut, Lebanon; Department of Computer Science and Mathematics, Lebanese American University, Beirut, Lebanon</t>
  </si>
  <si>
    <t>With the increasing number of IoT devices, fog computing has emerged, providing processing resources at the edge for the tremendous amount of sensed data and IoT computation. The advantage of the fog gets eliminated if it is not present near IoT devices. Fogs nowadays are pre-configured in specific locations with pre-defined services, which limit their diverse availabilities and dynamic service update. In this paper, we address the aforementioned problem by benefiting from the containerization and micro-service technologies to build our on-demand fog framework with the help of the volunteering devices. Our approach overcomes the current limitations by providing available fog devices with the ability to have services deployed on the fly. Volunteering devices form a resource capacity for building the fog computing infrastructure. Moreover, our framework leverages intelligent container placement scheme that produces efficient volunteers' selection and distribution of services. An Evolutionary Memetic Algorithm (MA) is elaborated to solve our multi-objective container placement optimization problem. Real life and simulated experiments demonstrate various improvements over existing approaches interpreted by the relevance and efficiency of (1) forming volunteering fog devices near users with maximum time availability and shortest distance, and (2) deploying services on the fly on selected fogs with improved QoS.</t>
  </si>
  <si>
    <t xml:space="preserve">Lebanese American University; </t>
  </si>
  <si>
    <t>https://ieeexplore.ieee.org/stamp/stamp.jsp?arnumber=8947936</t>
  </si>
  <si>
    <t>IoT;fog computing;on-demand fog formation;edge computing;docker;Kubernetes;Kubeadm;container placement;evolutionary memetic algorithm;micro-services</t>
  </si>
  <si>
    <t>Containers;Edge computing;Computer architecture;Cloud computing;Internet of Things;Memetics;Quality of service</t>
  </si>
  <si>
    <t>J. Li; J. Jin; D. Yuan; H. Zhang</t>
  </si>
  <si>
    <t>Virtual Fog: A Virtualization Enabled Fog Computing Framework for Internet of Things</t>
  </si>
  <si>
    <t>10.1109/JIOT.2017.2774286</t>
  </si>
  <si>
    <t>School of Software and Electrical Engineering, Swinburne University of Technology, Melbourne, VIC, Australia; School of Software and Electrical Engineering, Swinburne University of Technology, Melbourne, VIC, Australia; School of Electrical and Information Engineering, University of Sydney, Sydney, NSW, Australia; National Engineering Laboratory on Interconnection Technology for Next Generation Internet, Beijing Jiaotong University, Beijing, China</t>
  </si>
  <si>
    <t>The prosperity of Internet of Things (IoT) and the success of rich Cloud services have expedited the emergence of a new computing paradigm called Fog computing, which promotes the processing of data at the proximity of their sources. Complementary to the Cloud, Fog promises to offer many appealing features, such as low latency, low cost, high multitenancy, high scalability, and to consolidate the IoT ecosystem. Although the Fog concept has been widely adopted in many areas, a comprehensive realization has yet been adequately researched. To address all these issues, in this paper, object virtualization is investigated to overcome obstacles resulting from resource constraints on sensory-level nodes while service virtualization is explored to easily create tailored applications for end users. Moreover, network function virtualization is studied to perform the flexibility of network service provisioning. Grounded on object virtualization, network function virtualization and service virtualization, a layered framework that encompasses smart objects, Fog and Cloud is presented to illustrate the realization of virtual Fog along IoT continuum. This proposed virtual Fog framework is applied to a smart living case for verification, then quantitative analysis is conducted to demonstrate the low latency, low operating expense, high multitenancy and scalability, followed by an experimental evaluation to further confirm that delay and jitter can be decreased through virtualization.</t>
  </si>
  <si>
    <t>https://ieeexplore.ieee.org/stamp/stamp.jsp?arnumber=8113467</t>
  </si>
  <si>
    <t>Fog computing;Internet of Things (IoT);network function virtualization;object virtualization;service virtualization</t>
  </si>
  <si>
    <t>Virtualization;Cloud computing;Hardware;Internet of Things;Network function virtualization;Sensor phenomena and characterization</t>
  </si>
  <si>
    <t>K. Fu; W. Zhang; Q. Chen; D. Zeng; M. Guo</t>
  </si>
  <si>
    <t>Adaptive Resource Efficient Microservice Deployment in Cloud-Edge Continuum</t>
  </si>
  <si>
    <t>IEEE Transactions on Parallel and Distributed Systems</t>
  </si>
  <si>
    <t>1558-2183</t>
  </si>
  <si>
    <t>10.1109/TPDS.2021.3128037</t>
  </si>
  <si>
    <t>Department of Computer Science and Engineering, Shanghai Jiao Tong University, Shanghai, China; Department of Computer Science and Engineering, Shanghai Jiao Tong University, Shanghai, China; Department of Computer Science and Engineering, Shanghai Jiao Tong University, Shanghai, China; School of Computer Science, China University of Geosciences, Wuhan, Hubei, China; Department of Computer Science and Engineering, Shanghai Jiao Tong University, Shanghai, China</t>
  </si>
  <si>
    <t>User-facing services are now evolving towards the microservice architecture where a service is built by connecting multiple microservice stages. Since the entire service is heavy, the microservice architecture shows the opportunity to only offload some microservice stages to the edge devices that are close to the end users. However, emerging techniques often result in the violation of Quality-of-Service (QoS) of microservice-based services in cloud-edge continuum, as they do not consider the communication overhead or the resource contention between microservices and external co-located tasks. We propose Nautilus, a runtime system that effectively deploys microservice-based user-facing services in cloud-edge continuum. Nautilus ensures the QoS of microservice-based user-facing services while minimizing the required computational resources, which is comprised of a communication-aware microservice mapper, a contention-aware resource manager and an IO-sensitive and load-aware microservice migration scheduler. The mapper divides the microservice graph into multiple partitions based on the communication overhead and maps the partitions to appropriate nodes. On each node, the resource manager determines the optimal resource allocation for its microservices based on reinforcement learning that may capture the complex contention behaviors. Once the microservices are suffered from external IO pressure, the IO-sensitive microservice scheduler migrates the critical one to idle nodes. Furthermore, when the load of microservices changes dynamically, the load-aware microservice scheduler migrates microservices from busy nodes to idle ones to ensure the QoS goal of the entire service. Our experimental results show that Nautilus can guarantee the required QoS target under external shared resources contention while the state-of-the-art suffers from QoS violations. Meanwhile, Nautilus reduces the computational resource usage by 23.9% and the network bandwidth usage by 53.4%, while achieving the required 99%-ile latency.</t>
  </si>
  <si>
    <t xml:space="preserve">National Key Research and Development Program of China(grant numbers:2018YFB1004800); National Natural Science Foundation of China(grant numbers:62022057,61832006,61632017,61872240); Open Research Projects of Zhejiang Lab(grant numbers:2021KE0AB02); </t>
  </si>
  <si>
    <t>https://ieeexplore.ieee.org/stamp/stamp.jsp?arnumber=9615028</t>
  </si>
  <si>
    <t>Cloud-edge continuum;QoS;microservice resources management</t>
  </si>
  <si>
    <t>Quality of service;Cloud computing;Task analysis;Resource management;Computer architecture;Runtime;Bandwidth</t>
  </si>
  <si>
    <t>S. Singh; R. Sulthana; T. Shewale; V. Chamola; A. Benslimane; B. Sikdar</t>
  </si>
  <si>
    <t>Machine-Learning-Assisted Security and Privacy Provisioning for Edge Computing: A Survey</t>
  </si>
  <si>
    <t>10.1109/JIOT.2021.3098051</t>
  </si>
  <si>
    <t>Department of Electrical and Electronics Engineering &amp; APPCAIR, Birla Institute of Technology and Science-Pilani (Pilani Campus), Pilani, India; Department of Computer Science, Birla Institute of Technology and Science-Pilani (Dubai Campus), Dubai, UAE; Department of Electrical and Electronics Engineering &amp; APPCAIR, Birla Institute of Technology and Science-Pilani (Pilani Campus), Pilani, India; Department of Electrical and Electronics Engineering &amp; APPCAIR, Birla Institute of Technology and Science-Pilani (Pilani Campus), Pilani, India; Department of Computer Science, University of Avignon, Avignon, France; Department of Electrical and Computer Engineering, National University of Singapore, Singapore</t>
  </si>
  <si>
    <t>Edge computing (EC), is a technological game changer that has the ability to connect millions of sensors and provide services at the device end. The broad vision of EC integrates storage, processing, monitoring, and control of operations in the Edge of the network. Though EC provides end-to-end connectivity, speeds up operation, and reduces latency of data transfer, security is a major concern. The tremendous growth in the number of Edge Devices and the amount of sensitive information generated at the device and the cloud creates a broad surface of attack and therefore, the need to secure the static and mobile data is imperative. This article is a comprehensive survey that describes the security and privacy issues in various layers of the EC architecture that result from the networking of heterogeneous devices. Second, it discusses the wide range of machine learning and deep learning algorithms that are applied in EC use cases. Following this, this article broadly details the different types of attacks that the Edge network confronts, and the intrusion detection systems and the corresponding machine learning algorithms that overcome these security and privacy concerns. The details of machine learning and deep learning techniques for EC security are tabulated. Finally, the open issues in securing Edge networks and future research directions are provided.</t>
  </si>
  <si>
    <t xml:space="preserve">ASEAN‚ÄîIndia Collaborative Research and Development Scheme (ASEAN-India S&amp;T Development Fund (AISTDF) sponsored)(grant numbers:CRD/2020/000369); </t>
  </si>
  <si>
    <t>https://ieeexplore.ieee.org/stamp/stamp.jsp?arnumber=9490350</t>
  </si>
  <si>
    <t>Attacks;deep learning;edge computing (EC);machine learning;privacy;security</t>
  </si>
  <si>
    <t>Security;Edge computing;Cloud computing;Machine learning algorithms;Computer architecture;Servers;Protocols</t>
  </si>
  <si>
    <t>D. Espinel Sarmiento; A. Lebre; L. Nussbaum; A. Chari</t>
  </si>
  <si>
    <t>Decentralized SDN Control Plane for a Distributed Cloud-Edge Infrastructure: A Survey</t>
  </si>
  <si>
    <t>10.1109/COMST.2021.3050297</t>
  </si>
  <si>
    <t>CISS/IIE/NAVI, Orange Labs, Lannion, France; STACK, IMT Atlantique Bretagne-Pays de la Loire (Campus de Nantes), Nantes, France; RESIST, Universite de Lorraine, Nancy, France; CISS/IIE/NAVI, Orange Labs, Lannion, France</t>
  </si>
  <si>
    <t>Today's emerging needs (Internet of Things applications, Network Function Virtualization services, Mobile Edge computing, etc.) are challenging the classic approach of deploying a few large data centers to provide cloud services. A massively distributed Cloud-Edge architecture could better fit these new trends' requirements and constraints by deploying on-demand infrastructure services in Point-of-Presences within backbone networks. In this context, a key feature is establishing connectivity among several resource managers in charge of operating, each one a subset of the infrastructure. After explaining the networking management challenges related to distributed Cloud-Edge infrastructures, this article surveys and analyzes the characteristics and limitations of existing technologies in the Software Defined Network field that could be used to provide the inter-site connectivity feature. We also introduce Kubernetes, the new de facto container orchestrator platform, and analyze its use in the proposed context. This survey is concluded by providing a discussion about some research directions in the field of SDN applied to distributed Cloud-Edge infrastructures' management.</t>
  </si>
  <si>
    <t>https://ieeexplore.ieee.org/stamp/stamp.jsp?arnumber=9319748</t>
  </si>
  <si>
    <t>IaaS;SDN;virtualization;networking;automation</t>
  </si>
  <si>
    <t>Cloud computing;Neutrons;Computer architecture;Routing;Wide area networks;Tutorials;Quality of service</t>
  </si>
  <si>
    <t>P. Ta-Shma; A. Akbar; G. Gerson-Golan; G. Hadash; F. Carrez; K. Moessner</t>
  </si>
  <si>
    <t>An Ingestion and Analytics Architecture for IoT Applied to Smart City Use Cases</t>
  </si>
  <si>
    <t>10.1109/JIOT.2017.2722378</t>
  </si>
  <si>
    <t>IBM Research, Haifa, Israel; Institute for Communication Systems, University of Surrey, Guildford, U.K.; IBM Research, Haifa, Israel; IBM Research, Haifa, Israel; Institute for Communication Systems, University of Surrey, Guildford, U.K.; Institute for Communication Systems, University of Surrey, Guildford, U.K.</t>
  </si>
  <si>
    <t>As sensors are adopted in almost all fields of life, the Internet of Things (IoT) is triggering a massive influx of data. We need efficient and scalable methods to process this data to gain valuable insight and take timely action. Existing approaches which support both batch processing (suitable for analysis of large historical data sets) and event processing (suitable for realtime analysis) are complex. We propose the hut architecture, a simple but scalable architecture for ingesting and analyzing IoT data, which uses historical data analysis to provide context for real-time analysis. We implement our architecture using open source components optimized for Big Data applications and extend them, where needed. We demonstrate our solution on two real-world smart city use cases in transportation and energy management.</t>
  </si>
  <si>
    <t xml:space="preserve">European Union‚Äôs FP7 Project COSMOS(grant numbers:609043); European Union‚Äôs Horizon 2020 Project CPaaS.io(grant numbers:723076); </t>
  </si>
  <si>
    <t>https://ieeexplore.ieee.org/stamp/stamp.jsp?arnumber=7964673</t>
  </si>
  <si>
    <t>Big data;complex event processing (CEP);context-aware;energy management;ingestion;Internet of Things (IoT);machine learning;smart cities;spark;transportation</t>
  </si>
  <si>
    <t>Real-time systems;Computer architecture;Internet of Things;Transportation;Big Data;Batch production systems;Sparks</t>
  </si>
  <si>
    <t>F. Tang; X. Chen; T. K. Rodrigues; M. Zhao; N. Kato</t>
  </si>
  <si>
    <t>Survey on Digital Twin Edge Networks (DITEN) Toward 6G</t>
  </si>
  <si>
    <t>10.1109/OJCOMS.2022.3197811</t>
  </si>
  <si>
    <t>School of Computer Science and Engineering, Central South University, Changsha, China; School of Computer Science and Engineering, Central South University, Changsha, China; Graduate School of Information Sciences, Tohoku University, Sendai, Japan; School of Computer Science and Engineering, Central South University, Changsha, China; Graduate School of Information Sciences, Tohoku University, Sendai, Japan</t>
  </si>
  <si>
    <t>The next generation (6G) wireless systems aim to cater to the Internet of Everything (IoE) and revolutionize customer services and applications to a fully intelligent and autonomous system. To achieve this, the digital twin edge network (DITEN) is proposed to combine mobile/multi-access edge computing (MEC) and digital twin (DT), thereby improving the network performance such as throughput and security, and reducing the cost of communication, computation, and caching. In DITENs, the network status can be continuously monitored, and based on the obtained network states, the networking schemes, such as routing and resource management, can be studied in the established DITENs from a centralized perspective. In this survey, we present a comprehensive overview of DITEN for 6G. First, we present the fundamental aspects of DITEN, including concept, framework, and potential. Second, a comprehensive design of DITEN is devised, including the DT modeling/updating, DT deployment, key issues, and enabling technologies. Then, the typical applications of DITEN towards 6G are provided, including the Internet of Things (IoT), vehicular network, space-air-ground integrated network (SAGIN), healthcare, wireless systems, and other applications, along with the design of DITEN in each application, such as DT modeling, DT association, incentive mechanisms, and so on. Finally, challenges and open issues are discussed.</t>
  </si>
  <si>
    <t xml:space="preserve">National Natural Science Foundation of China(grant numbers:6200239); Key Research and Development Program of Xinjiang Autonomous Region(grant numbers:2021B01002); Scientific and Technological Innovation 2030 of China(grant numbers:2020AAA0109600); </t>
  </si>
  <si>
    <t>https://ieeexplore.ieee.org/stamp/stamp.jsp?arnumber=9854182</t>
  </si>
  <si>
    <t>Digital twin edge networks (DITEN);6G;DT modeling;DT deployment;applications;challenges</t>
  </si>
  <si>
    <t>Digital twins;Wireless communication;Internet of Things;Computational modeling;Monitoring;Cloud computing;Task analysis</t>
  </si>
  <si>
    <t>L. Silva; N. Magaia; B. Sousa; A. Kobusi≈Ñska; A. Casimiro; C. X. Mavromoustakis; G. Mastorakis; V. H. C. de Albuquerque</t>
  </si>
  <si>
    <t>Computing Paradigms in Emerging Vehicular Environments: A Review</t>
  </si>
  <si>
    <t>10.1109/JAS.2021.1003862</t>
  </si>
  <si>
    <t>Department of Computer Science, LASIGE, Faculty of Sciences, University of Lisbon, Lisbon, Portugal; Department of Computer Science, LASIGE, Faculty of Sciences, University of Lisbon, Lisbon, Portugal; Department of Computer Science, LASIGE, Faculty of Sciences, University of Lisbon, Lisbon, Portugal; Laboratory of Computing Science, Pozna≈Ñ University of Technology, Poznan, Poland; Department of Computer Science, LASIGE, Faculty of Sciences, University of Lisbon, Lisbon, Portugal; Department of Computer Science, University of Nicosia, Nicosia, Cyprus; Department of Management Science and Technology, Hellenic Mediterranean University, Agios Nikolaos, Greece; Science and Technology of Cear√°, LAPISCO, Federal Institute of Education, Fortaleza, Brazil</t>
  </si>
  <si>
    <t>Determining how to structure vehicular network environments can be done in various ways. Here, we highlight vehicle networks' evolution from vehicular ad-hoc networks (VANET) to the internet of vehicles (IoVs), listing their benefits and limitations. We also highlight the reasons in adopting wireless technologies, in particular, IEEE 802.11p and 5G vehicle-to-everything, as well as the use of paradigms able to store and analyze a vast amount of data to produce intelligence and their applications in vehicular environments. We also correlate the use of each of these paradigms with the desire to meet existing intelligent transportation systems' requirements. The presentation of each paradigm is given from a historical and logical standpoint. In particular, vehicular fog computing improves on the deficiences of vehicular cloud computing, so both are not exclusive from the application point of view. We also emphasize some security issues that are linked to the characteristics of these paradigms and vehicular networks, showing that they complement each other and share problems and limitations. As these networks still have many opportunities to grow in both concept and application, we finally discuss concepts and technologies that we believe are beneficial. Throughout this work, we emphasize the crucial role of these concepts for the well-being of humanity.</t>
  </si>
  <si>
    <t xml:space="preserve">Brazilian National Council for Research and Development (CNPq)(grant numbers:304315/2017-6,430274/2018-1); </t>
  </si>
  <si>
    <t>https://ieeexplore.ieee.org/stamp/stamp.jsp?arnumber=9346073</t>
  </si>
  <si>
    <t>Computing paradigm;cloud;edge;fog;internet of vehicle (IoV);vehicular networks</t>
  </si>
  <si>
    <t>Wireless communication;5G mobile communication;Urban areas;Vehicular ad hoc networks;Security;Wireless fidelity;Vehicle-to-everything</t>
  </si>
  <si>
    <t>J. Hwang; L. Nkenyereye; N. Sung; J. Kim; J. Song</t>
  </si>
  <si>
    <t>IoT Service Slicing and Task Offloading for Edge Computing</t>
  </si>
  <si>
    <t>10.1109/JIOT.2021.3052498</t>
  </si>
  <si>
    <t>Sejong University, Seoul, South Korea; Sejong University, Seoul, South Korea; Autonomous IoT Research Center, Korea Electronics Technology Institute, Seongnam, South Korea; Sejong University, Seoul, South Korea; Autonomous IoT Research Center, Korea Electronics Technology Institute, Seongnam, South Korea</t>
  </si>
  <si>
    <t>With the advancement of Internet-of-Things (IoT) technology, various domains, such as smart factories and smart cars have used this new technology to provide value-added services. In addition, technologies, such as multiaccess edge computing (MEC) and network slicing provide another opportunity for the IoT to support more advanced and real-time services that could not have been previously supported. However, the simple integration of such technologies into the IoT does not take the full advantage of MEC and network slicing or the reduction of latency and traffic prioritization, respectively. Therefore, there is a strong need for an efficient integration mechanism for IoT platforms to maximize the benefit of using such technologies. In this article, we introduce a novel architectural framework that enables the virtualization of an IoT platform with minimum functions to support specific IoT services and host the instance in an edge node, close to the end user. As the instance provides its service at the edge node, where the MEC node and network slice are located, the traffic for the end user does not need to traverse back to the cloud. This architecture guarantees not only low latency but also efficient management of IoT services at the edge node. To show the feasibility of the proposed architecture, we conducted an experimental evaluation by comparing the transmission time of both IoT services running on the central cloud and those using sliced IoT functions in the edge gateway. The results show that the proposed architecture provides twice as much transmission speed as that from the conventional cloud-based IoT platform.</t>
  </si>
  <si>
    <t xml:space="preserve">Institute of Information and Communications Technology Planning &amp; Evaluation (IITP); Korea Government (MSIT) (Fast Intelligence Analysis HW/SW Engine Exploiting IoT Platform for Boosting On-device AI in 5G Environment)(grant numbers:2020-0-00959); </t>
  </si>
  <si>
    <t>https://ieeexplore.ieee.org/stamp/stamp.jsp?arnumber=9328448</t>
  </si>
  <si>
    <t>Internet of Things (IoT);multiaccess edge computing (MEC);network slicing;oneM2M standard;virtualization</t>
  </si>
  <si>
    <t>Internet of Things;Cloud computing;Task analysis;Network slicing;Computer architecture;Edge computing;5G mobile communication</t>
  </si>
  <si>
    <t>M. Du; Y. Wang; K. Ye; C. Xu</t>
  </si>
  <si>
    <t>Algorithmics of Cost-Driven Computation Offloading in the Edge-Cloud Environment</t>
  </si>
  <si>
    <t>IEEE Transactions on Computers</t>
  </si>
  <si>
    <t>1557-9956</t>
  </si>
  <si>
    <t>10.1109/TC.2020.2976996</t>
  </si>
  <si>
    <t>Shenzhen Institutes of Advanced Technology, Chinese Academy of Sciences, Shenzhen, China; Shenzhen Institutes of Advanced Technology, Chinese Academy of Sciences, Shenzhen, China; Shenzhen Institutes of Advanced Technology, Chinese Academy of Sciences, Shenzhen, China; Faculty of Science and Technology, State Key Lab of IoTSC, University of Macau, Macau, China</t>
  </si>
  <si>
    <t>Computation offloading between the edge and the cloud is an effective way for deployed service to fully utilize the resources at both sides for its QoS improvement and overall cost reduction. Although the offloading problem has been intensively studied in the context of mobile computing, existing algorithms in most cases cannot be effectively migrated to the edge-cloud environment because their inter-partition communication costs are always deemed as symmetric, and their intra-partition communication costs are often ignored, which, though reasonable to the traditional case, are not valid to our settings anymore. In this article, we propose a new algorithmic approach to the offloading problem in the edge-cloud environment, where a heterogeneous model is advocated to incorporate the communication cost between co-resident tasks while considering the asymmetry of communication costs between non-coresident tasks. We prove the offloading problem with respect to this model is NP-hard, and thereby designing an efficient algorithm to obtain a sub-optimal solution. Additionally, we also show that in a homogeneous case when the intra-partition and inter-partition communication costs between any pair of interactive tasks are symmetric, an optimal offloading algorithm can be devised by transforming the problem into a classical min-cut problem. We implemented and evaluated the algorithms by offloading a PageRank-based application in a controlled edge-cloud setting. Our empirical results show that the proposed algorithm for the heterogeneous case is always efficient to find a better offloading scheme, compared with the selected existing algorithms, while for the homogeneous case, the proposed solution can efficiently achieve the optimal strategy.</t>
  </si>
  <si>
    <t xml:space="preserve">National Key R&amp;D Program of China(grant numbers:2018YFB1004800); Science and Technology Planning Project of Guangdong Province(grant numbers:2019B010137002); Research Center for Ecology and Environment of Central Asia; Chinese Academy of Sciences(grant numbers:SQ2016YFHZ020520); National Natural Science Foundation of China(grant numbers:61672513); Shenzhen Oversea High-Caliber Personnel Innovation Funds(grant numbers:KQCX20170331161854); Shenzhen Basic Research Program(grant numbers:JCYJ20170818153016513); Science and Technology Development Fund(grant numbers:0015/2019/AKP); </t>
  </si>
  <si>
    <t>https://ieeexplore.ieee.org/stamp/stamp.jsp?arnumber=9018141</t>
  </si>
  <si>
    <t>Cloud computing;edge computing;computation offloading;min-cut;MAX-2SAT</t>
  </si>
  <si>
    <t>Task analysis;Computational modeling;Databases;Cloud computing;Bandwidth;Servers;Analytical models</t>
  </si>
  <si>
    <t>B. Kar; W. Yahya; Y. -D. Lin; A. Ali</t>
  </si>
  <si>
    <t>Offloading Using Traditional Optimization and Machine Learning in Federated Cloud‚ÄìEdge‚ÄìFog Systems: A Survey</t>
  </si>
  <si>
    <t>10.1109/COMST.2023.3239579</t>
  </si>
  <si>
    <t>Department of Computer Science and Information Engineering, National Taiwan University of Science and Technology, Taipei, Taiwan; Department of Electrical Engineering and Computer Science, National Yang Ming Chiao Tung University, Hsinchu, Taiwan; Department of Computer Science, National Yang Ming Chiao Tung University, Hsnchu, Taiwan; Department of Electrical Engineering and Computer Science, National Yang Ming Chiao Tung University, Hsinchu, Taiwan</t>
  </si>
  <si>
    <t>The huge amount of data generated by the Internet of Things (IoT) devices needs the computational power and storage capacity provided by cloud, edge, and fog computing paradigms. Each of these computing paradigms has its own pros and cons. Cloud computing provides enhanced data storage and computing power but causes high communication latency. Edge and fog computing provide similar services with lower latency but limited capacity, capability, and coverage. A single computing paradigm cannot fulfill all the requirements of IoT devices and a federation between them is needed to extend their capacity, capability, and services. This federation is beneficial to both subscribers and providers and also reveals research issues in traffic offloading between clouds, edges, and fogs. Optimization has traditionally been used to solve the problem of traffic offloading. However, in such a complex federated system, traditional optimization cannot keep up with the strict latency requirements of decision-making, ranging from milliseconds to sub-seconds. Machine learning approaches, especially reinforcement learning, are consequently becoming popular because they could quickly solve offloading problems in dynamic environments with some unknown information. This study provides a novel federal classification between cloud, edge, and fog and presents a comprehensive research roadmap on offloading for different federated scenarios. We survey the relevant literature on the various optimization approaches used to solve this offloading problem and compare their salient features. We then provide a comprehensive survey on offloading in federated systems with machine learning approaches and the lessons learned as a result of these surveys. Finally, we outline several directions for future research and challenges that have to be faced in order to achieve such a federation.</t>
  </si>
  <si>
    <t xml:space="preserve">Ministry of Science and Technology (MOST), Taiwan(grant numbers:109-2221-E-011-104-MY3); </t>
  </si>
  <si>
    <t>https://ieeexplore.ieee.org/stamp/stamp.jsp?arnumber=10025811</t>
  </si>
  <si>
    <t>Offloading;cloud computing;edge computing;fog computing;federation;optimization;machine learning</t>
  </si>
  <si>
    <t>Cloud computing;Optimization;Edge computing;Internet of Things;Task analysis;Wireless fidelity;Surveys</t>
  </si>
  <si>
    <t>L. Lv; Y. Zhang; Y. Li; K. Xu; D. Wang; W. Wang; M. Li; X. Cao; Q. Liang</t>
  </si>
  <si>
    <t>Communication-Aware Container Placement and Reassignment in Large-Scale Internet Data Centers</t>
  </si>
  <si>
    <t>10.1109/JSAC.2019.2895473</t>
  </si>
  <si>
    <t>Department of Computer Science and Technology, Tsinghua University, Beijing, China; School of Software Engineering, Beijing University of Posts and Telecommunications, Beijing, China; Department of Computer Science, Nankai University, Tianjin, China; Department of Computer Science and Technology, Tsinghua University, Beijing, China; Department of Computing, The Hong Kong Polytechnic University, Hong Kong; State Key Laboratory of Networking and Switching Technology, Beijing University of Posts and Telecommunications, Beijing, China; Baidu, Beijing, China; Baidu, Beijing, China; Baidu, Beijing, China</t>
  </si>
  <si>
    <t>Containerization has been used in many applications for isolation purposes due to its lightweight, scalable, and highly portable properties. However, to apply containerization in large-scale Internet data centers faces a big challenge. Services in data centers are always instantiated as a group of containers, which often generate heavy communication workloads and therefore resulting in inefficient communications and downgraded service performance. Although assigning the containers of the same service to the same server can reduce the communication overhead, this may cause heavily imbalanced resource utilization since containers of the same service are usually intensive to the same resource. To reduce communication cost as well as balance the resource utilization in large-scale data centers, we further explore the container distribution issues in a real industrial environment and find that such conflict lies in two phases-container placement and container reassignment. The objective of this paper is to address the container distribution problem in these two phases. For the container placement problem, we propose an efficient communication aware worst fit decreasing algorithm to place a set of new containers into data centers. For the container reassignment problem, we propose a two-stage algorithm called Sweep&amp;Search to optimize a given initial distribution of containers by migrating containers among servers. We implement the proposed algorithms in Baidu's data centers and conduct extensive evaluations. Compared with the state-of-the-art strategies, the evaluation results show that our algorithms perform better up to 70% and increase the overall service throughput up to 90% simultaneously.</t>
  </si>
  <si>
    <t xml:space="preserve">National Key Research and Development Program of China(grant numbers:2018YFB0803405); China Postdoctoral Science Foundation(grant numbers:2018M630117); National Natural Science Foundation of China(grant numbers:61802024); Huawei Autonomous and Service 2.0 Project(grant numbers:A2018185); Baidu Songguo Plan; NSF of China(grant numbers:61602266); NSF of Tianjin(grant numbers:16JCYBJC41900); National Key Research and Development Program of China(grant numbers:2018YFB0803405); China National Funds for Distinguished Young Scientists(grant numbers:61825204); Beijing Outstanding Young Scientist Project; PolyU G-YBAG; </t>
  </si>
  <si>
    <t>https://ieeexplore.ieee.org/stamp/stamp.jsp?arnumber=8631120</t>
  </si>
  <si>
    <t>Container communication;multi-resource load balance;large-scale data centers;container placement;container reassignment</t>
  </si>
  <si>
    <t>Containers;Servers;Resource management;Data centers;Internet;Throughput;Time factors</t>
  </si>
  <si>
    <t>Y. Zhao; W. Wang; Y. Li; C. Colman Meixner; M. Tornatore; J. Zhang</t>
  </si>
  <si>
    <t>Edge Computing and Networking: A Survey on Infrastructures and Applications</t>
  </si>
  <si>
    <t>10.1109/ACCESS.2019.2927538</t>
  </si>
  <si>
    <t>Institute of Information Photonics and Optical Communications, Beijing University of Posts and Telecommunications, Beijing, China; Institute of Information Photonics and Optical Communications, Beijing University of Posts and Telecommunications, Beijing, China; Institute of Information Photonics and Optical Communications, Beijing University of Posts and Telecommunications, Beijing, China; Department of Electrical and Electronic Engineering, University of Bristol, Bristol, U.K.; Department of Electronics and Information, Politecnico di Milano, Milan, Italy; Institute of Information Photonics and Optical Communications, Beijing University of Posts and Telecommunications, Beijing, China</t>
  </si>
  <si>
    <t>As a concept to enhance and extend cloud-computing capabilities, edge computing aims to provide Internet-based services in the close proximity to users by placing IT infrastructures at the network edge in forms of tiny datacenters. Taking advantage of the close distance to end user and access networks, edge datacenters can provide low-latency and context-aware services and further improve users‚Äô quality of experience. As the network edge is a geographically spread concept, the edge datacenters are usually highly distributed so that they can provide nearby storage and processing capabilities to most of the end users. Furthermore, edge datacenters also co-work with centralized cloud datacenters for service orchestration. Such decentralization and collaboration are expected to introduce significant transformations to both infrastructures and applications. To provide an overview of how edge can be integrated with cloud-computing and how edge computing can benefit applications, this paper studies the infrastructure and application issues of edge computing and networking in several sub-aspects, including related concepts, infrastructures, resource management and virtualization, performance, and applications.</t>
  </si>
  <si>
    <t xml:space="preserve">National Science and Technology Major Project(grant numbers:2017ZX03001016); State Key Laboratory of Advanced Optical Communication Systems and Networks.; </t>
  </si>
  <si>
    <t>https://ieeexplore.ieee.org/stamp/stamp.jsp?arnumber=8758431</t>
  </si>
  <si>
    <t>Edge computing;cloud-computing;datacenter;SDN;NFV;C-RAN;IoT</t>
  </si>
  <si>
    <t>Quantization (signal);Signal to noise ratio;Receivers;Bandwidth;White noise;Timing;Gaussian noise</t>
  </si>
  <si>
    <t>D. Welch; A. Napoli; J. B√§ck; S. Buggaveeti; C. Castro; A. Chase; X. Chen; V. Dominic; T. Duthel; T. A. Eriksson; S. Erkilin√ß; P. Evans; C. R. S. Fludger; B. Foo; T. Frost; P. Gavrilovic; S. J. Hand; A. Kakkar; A. Kumpera; V. Lal; R. Maher; F. Marques; F. Masoud; A. Mathur; R. Milano; M. I. Olmedo; M. Olson; D. Pavinski; J. Pedro; A. Rashidinejad; P. Samra; W. Sande; A. Somani; H. Sun; N. Swenson; H. -S. Tsai; A. Yekani; J. Zhang; M. Ziari</t>
  </si>
  <si>
    <t>Digital Subcarrier Multiplexing: Enabling Software-Configurable Optical Networks</t>
  </si>
  <si>
    <t>10.1109/JLT.2022.3211466</t>
  </si>
  <si>
    <t>Infinera Corporation, San Jose, CA, USA; Infinera, Munich, Germany; Infinera, Stockholm, Sweden; Infinera Corporation, San Jose, CA, USA; Infinera, Munich, Germany; Infinera Corporation, San Jose, CA, USA; Infinera, Stockholm, Sweden; Infinera Corporation, San Jose, CA, USA; Infinera, Munich, Germany; Infinera, Stockholm, Sweden; Infinera, Stockholm, Sweden; Infinera Corporation, San Jose, CA, USA; Infinera, Munich, Germany; Infinera Corporation, San Jose, CA, USA; Infinera Corporation, San Jose, CA, USA; Infinera Corporation, San Jose, CA, USA; Infinera Corporation, San Jose, CA, USA; Infinera, Ottawa, Canada; Infinera, Ottawa, Canada; Infinera Corporation, San Jose, CA, USA; Infinera Corporation, San Jose, CA, USA; Infinera Unipessoal Lda, Carnaxide, Portugal; Infinera, Ottawa, Canada; Infinera Corporation, San Jose, CA, USA; Infinera Corporation, San Jose, CA, USA; Infinera Corporation, San Jose, CA, USA; Infinera, Stockholm, Sweden; Infinera Corporation, Allentown, PA, USA; Infinera Unipessoal Lda, Carnaxide, Portugal; Infinera, Ottawa, Canada; Infinera Corporation, San Jose, CA, USA; Infinera Corporation, San Jose, CA, USA; Infinera, Ottawa, Canada; Infinera, Ottawa, Canada; Infinera Corporation, San Jose, CA, USA; Infinera Corporation, San Jose, CA, USA; Infinera, Ottawa, Canada; Infinera Corporation, Allentown, PA, USA; Infinera Corporation, San Jose, CA, USA</t>
  </si>
  <si>
    <t>The various topologies, traffic patterns and cost targets of optical networks have prevented the deployment of end-to-end solutions across multi-domains, and the optimization of the network as a whole. The consequent limitations in flexibility, scalability, and adaptability of optical networks will become increasingly important with new applications, such as 5G/6G. Coherent transceivers based on digital subcarrier multiplexing (DSCM) are proposed to address these current constraints. In particular, DSCM allows (i) the design of high-capacity point-to-point (P2P) and -multipoint (P2MP) optical networks; (ii) simplified aggregation with passive optics; and (iii) connections between low- and high-speed transceivers. Furthermore, DSCM-based networks reduce the number of opto-electro-opto stages, halve the number of bookended transceivers, and provide a better match for existing hub-and-spoke (H&amp;S) traffic patterns in fast-growing and dynamic access/metro segments. A DSCM-based transceiver will pave the way for the deployment of next-generation flexible, adaptable, and scalable software-configurable optical networks. Key steps and elements to realize this solution are laid out, and promising applications outlined. The first real-time experimental results of coherent P2MP transceivers are presented.</t>
  </si>
  <si>
    <t>https://ieeexplore.ieee.org/stamp/stamp.jsp?arnumber=9907792</t>
  </si>
  <si>
    <t>Digital subcarrier multiplexing;point-to-multipoint;coherent access;metro aggregation;fronthaul;5G</t>
  </si>
  <si>
    <t>Transceivers;Point-to-multipoint communications;Traffic control;Passive optical networks;Costs;Optical transmitters;OFDM</t>
  </si>
  <si>
    <t>L. Chen; Y. Xu; Z. Lu; J. Wu; K. Gai; P. C. K. Hung; M. Qiu</t>
  </si>
  <si>
    <t>IoT Microservice Deployment in Edge-Cloud Hybrid Environment Using Reinforcement Learning</t>
  </si>
  <si>
    <t>10.1109/JIOT.2020.3014970</t>
  </si>
  <si>
    <t>School of Computer Science and the Engineering Research Center of Cyber Security Auditing and Monitoring, Ministry of Education, Fudan University, Shanghai, China; School of Computer Science and the Engineering Research Center of Cyber Security Auditing and Monitoring, Ministry of Education, Fudan University, Shanghai, China; School of Computer Science and the Shanghai Blockchain Engineering Research Center, Fudan University, Shanghai, China; School of Computer Science, Fudan University, Shanghai, China; School of Cyberspace Security, Beijing Institute of Technology, Beijing, China; Faulty of Business and Information Technology, Ontario Tech University, Oshawa, Canada; Department of Computer Science, Texas A&amp;M University--Commerce, Commerce, TX, USA</t>
  </si>
  <si>
    <t>The edge-cloud hybrid environment requires complex deployment strategies to enable the smart Internet-of-Things (IoT) system. However, current service deployment strategies use simple, generalized heuristics and ignore the heterogeneous characteristics in the edge-cloud hybrid environment. In this article, we devise a method to find a microservice-based service deployment strategy that can reduce the average waiting time of IoT devices in the hybrid environment. For this purpose, we first propose a microservice-based deployment problem (MSDP) based on the heterogeneous and dynamic characteristics in the edge-cloud hybrid environment, including heterogeneity of edge server capacities, dynamic geographical information of IoT devices, and changing device preference for applications and complex application structures. We then propose a multiple buffer deep deterministic policy gradient (MB_DDPG) to provide more preferable service deployment solutions. Our algorithm leverages reinforcement learning and neural network to learn a deployment strategy without any human instruction. Therefore, the service provider can make full use of limited resources to improve the Quality of Service (QoS). Finally, we implement MB_DDPG based on real-world data sets and some synthetic data, and we also implement another two algorithms, genetic algorithm and random algorithm, as a contrast. The experimental results demonstrate that MB_DDPG is able to learn a preferable strategy which, in terms of average waiting time, outperforms genetic algorithm and the random algorithm by 32% and 44%, respectively.</t>
  </si>
  <si>
    <t xml:space="preserve">National Key Research and Development Program of China(grant numbers:2019YFB1405000); National Natural Science Foundation of China(grant numbers:61873309,61972034,61572137,61728202); Shanghai Innovation Action Plan Project(grant numbers:19510710500,18510760200,18510732000); </t>
  </si>
  <si>
    <t>https://ieeexplore.ieee.org/stamp/stamp.jsp?arnumber=9162056</t>
  </si>
  <si>
    <t>Edge-cloud hybrid environment;microservice deployment;reinforcement learning;smart Internet-of-Things (IoT) system</t>
  </si>
  <si>
    <t>Servers;Cloud computing;Heuristic algorithms;Internet of Things;Edge computing;Quality of service;Image edge detection</t>
  </si>
  <si>
    <t>O. Cheikhrouhou; R. Mahmud; R. Zouari; M. Ibrahim; A. Zaguia; T. N. Gia</t>
  </si>
  <si>
    <t>One-Dimensional CNN Approach for ECG Arrhythmia Analysis in Fog-Cloud Environments</t>
  </si>
  <si>
    <t>10.1109/ACCESS.2021.3097751</t>
  </si>
  <si>
    <t>CES Laboratory, National School of Engineers of Sfax, University of Sfax, Sfax, Tunisia; School of Computing Technologies, STEM College, RMIT University, Melbourne, VIC, Australia; CES Laboratory, National School of Engineers of Sfax, University of Sfax, Sfax, Tunisia; Department of Information Technology, The University of Haripur, Haripur, Pakistan; Department of Computer Science, College of Computers and Information Technology, Taif University, Taif, Saudi Arabia; Department of Computing, University of Turku, Turku, Finland</t>
  </si>
  <si>
    <t>Cardiovascular diseases are considered the number one cause of death across the globe which can be primarily identified by the abnormal heart rhythms of the patients. By generating electrocardiogram (ECG) signals, wearable Internet of Things (IoT) devices can consistently track the patient's heart rhythms. Although Cloud-based approaches for ECG analysis can achieve some levels of accuracy, they still have some limitations, such as high latency. Conversely, the Fog computing infrastructure is more powerful than edge devices but less capable than Cloud computing for executing compositionally intensive data analytic software. The Fog infrastructure can consist of Fog-based gateways directly connected with the wearable devices to offer many advanced benefits, including low latency and high quality of services. To address these issues, a modular one-dimensional convolution neural network (1D-CNN) approach is proposed in this work. The inference module of the proposed approach is deployable over the Fog infrastructure for analysing the ECG signals and initiating the emergency countermeasures within a minimum delay, whereas its training module is executable on the computationally enriched Cloud data centers. The proposed approach achieves the F1-measure score ‚âà1 on the MIT-BIH Arrhythmia database when applying GridSearch algorithm with the cross-validation method. This approach has also been implemented on a single-board computer and Google Colab-based hybrid Fog-Cloud infrastructure and embodied to a remote patient monitoring system that shows 25% improvement in the overall response time.</t>
  </si>
  <si>
    <t xml:space="preserve">Taif University Researchers Supporting Project through Taif University, Taif, Saudi Arabia(grant numbers:TURSP-2020/114); </t>
  </si>
  <si>
    <t>https://ieeexplore.ieee.org/stamp/stamp.jsp?arnumber=9489314</t>
  </si>
  <si>
    <t>Internet of Things;ECG analysis;1D-CNN;fog computing;hybrid fog-cloud;heart disease</t>
  </si>
  <si>
    <t>Electrocardiography;Cloud computing;Logic gates;Feature extraction;Security;Edge computing;Wearable computers</t>
  </si>
  <si>
    <t>T. Kumar; E. Harjula; M. Ejaz; A. Manzoor; P. Porambage; I. Ahmad; M. Liyanage; A. Braeken; M. Ylianttila</t>
  </si>
  <si>
    <t>BlockEdge: Blockchain-Edge Framework for Industrial IoT Networks</t>
  </si>
  <si>
    <t>10.1109/ACCESS.2020.3017891</t>
  </si>
  <si>
    <t>Centre for Wireless Communication, University of Oulu, Oulu, Finland; Centre for Wireless Communication, University of Oulu, Oulu, Finland; Centre for Wireless Communication, University of Oulu, Oulu, Finland; Rovio Entertainment Company, Espoo, Finland; Centre for Wireless Communication, University of Oulu, Oulu, Finland; VTT Technical Research Centre of Finland, Espoo, Finland; Centre for Wireless Communication, University of Oulu, Oulu, Finland; Industrial Sciences Department (INDI), Vrije Universiteit Brussel, Brussels, Belgium; Centre for Wireless Communication, University of Oulu, Oulu, Finland</t>
  </si>
  <si>
    <t>Industry 4.0 encompasses a promise of a new industrial revolution in terms of providing secure, intelligent, autonomous and self-adaptive industrial IoT (IIoT) networks. Key industrial applications and systems will be significantly more complex due to the involvement of the vast number of different devices and diverse nature of various stakeholders and service providers. These complex industrial processes, services and applications also have strict requirements in terms of performance - latency in particular - and resource-efficiency, together with high standards for security and trust. In this context, Blockchain and Edge Computing emerge as prominent technologies to address the mentioned essential requirements and to further strengthen the rise of the new era of digitization. The Edge computing paradigm ensures low latency services for IIoT applications while optimizing the network usage, whereas Blockchain provides a decentralized way for ensuring data integrity, trust and security. In this paper, we propose a `BlockEdge' framework that combines these two enabling technologies to address some of the critical issues faced by the current IIoT networks. We verify the feasibility of our approach by evaluating the performance and resource-efficiency of BlockEdge in terms of latency, power consumption and network usage, through simulations against non-Blockchain solution.</t>
  </si>
  <si>
    <t xml:space="preserve">Academy of Finland through the projects Industrial Edge, SecureConnet, WiFiUS: Massive IoT, 6G Flagship Project(grant numbers:318927); European Union through the Resilient and Secure Multi-controller Communication Platform for 5G Networks (RESPONSE 5G)(grant numbers:789658); Technology Industries of Finland Centennial Foundation through the Edge Computing Enhanced by Artificial Intelligence (MEC-AI) project; Jane ja Aatos Erkon S√§√§ti√∂; </t>
  </si>
  <si>
    <t>https://ieeexplore.ieee.org/stamp/stamp.jsp?arnumber=9171246</t>
  </si>
  <si>
    <t>Blockchain;edge computing;fog computing;cloud computing;industrial IoT;industry 4.0;performance evaluation</t>
  </si>
  <si>
    <t>Blockchain;Edge computing;Computational modeling;Industries;Security</t>
  </si>
  <si>
    <t>Q. Li; S. Wang; X. Ma; Q. Sun; H. Wang; S. Cao; F. Yang</t>
  </si>
  <si>
    <t>Service Coverage for Satellite Edge Computing</t>
  </si>
  <si>
    <t>10.1109/JIOT.2021.3085129</t>
  </si>
  <si>
    <t>State Key Laboratory of Networking and Switching Technology, Beijing University of Posts and Telecommunications, Beijing, China; State Key Laboratory of Networking and Switching Technology, Beijing University of Posts and Telecommunications, Beijing, China; State Key Laboratory of Networking and Switching Technology, Beijing University of Posts and Telecommunications, Beijing, China; State Key Laboratory of Networking and Switching Technology, Beijing University of Posts and Telecommunications, Beijing, China; Key Laboratory of Space Utilization, Technology and Engineering Center for Space Utilization, Chinese Academy of Sciences, Beijing, China; Key Laboratory of Space Utilization, Technology and Engineering Center for Space Utilization, Chinese Academy of Sciences, Beijing, China; State Key Laboratory of Networking and Switching Technology, Beijing University of Posts and Telecommunications, Beijing, China</t>
  </si>
  <si>
    <t>Recently, increasing investments in satellite-related technologies make the low earth orbit (LEO) satellite constellation a strong complement to terrestrial networks. To mitigate the limitations of the traditional satellite constellation ‚Äúbent-pipe‚Äù architecture, satellite edge computing (SEC) has been proposed by placing computing resources at the LEO satellite constellation. Most existing works focus on space-air-ground integrated network architecture and SEC computing framework. Beyond these works, we are the first to investigate how to efficiently deploy services on the SEC nodes to realize robustness aware service coverage with constrained resources. Facing the challenges of spatial-temporal system dynamics and service coverage-robustness conflict, we propose a novel online service placement algorithm with a theoretical performance guarantee by leveraging Lyapunov optimization and Gibbs sampling. Extensive simulation results show that our algorithm can improve the service coverage by  $4.3\times $  compared with the baseline.</t>
  </si>
  <si>
    <t xml:space="preserve">Key-Area Research and Development Program of Guangdong Province(grant numbers:2020B010164002); NSFC(grant numbers:62032003,61922017); Open Research Fund of Key Laboratory of Space Utilization, Chinese Academy of Sciences(grant numbers:LSUKFJJ-2019-03); </t>
  </si>
  <si>
    <t>https://ieeexplore.ieee.org/stamp/stamp.jsp?arnumber=9444334</t>
  </si>
  <si>
    <t>Satellite edge computing (SEC);service coverage;space-air-ground integrated networks</t>
  </si>
  <si>
    <t>Satellites;Robustness;Low earth orbit satellites;Edge computing;Orbits;Internet of Things;Computer architecture</t>
  </si>
  <si>
    <t>J. Ploennigs; A. Ba; M. Barry</t>
  </si>
  <si>
    <t>Materializing the Promises of Cognitive IoT: How Cognitive Buildings Are Shaping the Way</t>
  </si>
  <si>
    <t>10.1109/JIOT.2017.2755376</t>
  </si>
  <si>
    <t>Smarter Cities Technology Centre, IBM Dublin Technology Campus, IBM Research-Ireland, Dublin, Ireland; Smarter Cities Technology Centre, IBM Dublin Technology Campus, IBM Research-Ireland, Dublin, Ireland; Smarter Cities Technology Centre, IBM Dublin Technology Campus, IBM Research-Ireland, Dublin, Ireland</t>
  </si>
  <si>
    <t>Relatively tiny examples have demonstrated the potential of cognitive IoT (CIoT) in its full-stack, namely, semantic modeling, learning and reasoning over sensors data, and machine learning, to uncover and expose actionable insights via advanced user interfaces. In this paper, we make the case for the feasibility of CIoT in all of its dimensions. We devise a CIoT architecture that integrates thousands of sensors present in our buildings in order to learn the buildings' behavior and intuitively assist users in diagnosing and mitigating undesired events. With our architecture, we place emphasis on the scalability and flexibility that reduce the configuration effort. The solution shows the potential of CIoT to create highly scalable, adaptable and interactive IoT systems functioning for buildings and capable of addressing the challenges encountered in the realm of homes, Smart Cities and Industry 4.0.</t>
  </si>
  <si>
    <t>https://ieeexplore.ieee.org/stamp/stamp.jsp?arnumber=8047951</t>
  </si>
  <si>
    <t>Auagmented reality;automated analytics;cognitive Internet of Things (CIoT);fog and cloud computing;learning and reasoning;semantic modeling</t>
  </si>
  <si>
    <t>Buildings;Computer architecture;Architecture;Cognition;Semantics;Cognitive systems;Internet of Things</t>
  </si>
  <si>
    <t>M. M. Islam; S. Nooruddin; F. Karray; G. Muhammad</t>
  </si>
  <si>
    <t>Internet of Things: Device Capabilities, Architectures, Protocols, and Smart Applications in Healthcare Domain</t>
  </si>
  <si>
    <t>10.1109/JIOT.2022.3228795</t>
  </si>
  <si>
    <t>Department of Electrical and Computer Engineering, Centre for Pattern Analysis and Machine Intelligence, University of Waterloo, Waterloo, Canada; Department of Electrical and Computer Engineering, Centre for Pattern Analysis and Machine Intelligence, University of Waterloo, Waterloo, Canada; Department of Electrical and Computer Engineering, Centre for Pattern Analysis and Machine Intelligence, University of Waterloo, Waterloo, Canada; Department of Computer Engineering, College of Computer and Information Sciences, King Saud University, Riyadh, Saudi Arabia</t>
  </si>
  <si>
    <t>Nowadays, the Internet has spread to practically every country around the world and is having unprecedented effects on people‚Äôs lives. The Internet of Things (IoT) is getting more popular and has a high level of interest in both practitioners and academicians in the age of wireless communication due to its diverse applications. The IoT is a technology that enables everyday things to become savvier, everyday computation toward becoming intellectual, and everyday communication to become a little more insightful. In this article, the most common and popular IoT device capabilities, architectures, and protocols are demonstrated in brief to provide a clear overview of the IoT technology to the researchers in this area. The common IoT device capabilities, including hardware (Raspberry Pi, Arduino, and ESP8266) and software (operating systems (OSs), and built-in tools) platforms are described in detail. The widely used architectures that have recently evolved and used are the three-layer architecture, service-oriented architecture, and middleware-based architecture. The popular protocols for IoT are demonstrated which include constrained application protocol, message queue telemetry transport, extensible messaging and presence protocol, advanced message queuing protocol, data distribution service, low power wireless personal area network, Bluetooth low energy, and ZigBee that are frequently utilized to develop smart IoT applications. Additionally, this research provides an in-depth overview of the potential healthcare applications based on IoT technologies in the context of addressing various healthcare concerns. Finally, this article summarizes state-of-the-art knowledge, highlights open issues and shortcomings, and provides recommendations for further studies which would be quite beneficial to anyone with a desire to work in this field and make breakthroughs to get expertise in this area.</t>
  </si>
  <si>
    <t xml:space="preserve">Natural Sciences and Engineering Research Council (NSERC) Discovery Grant, Canada; </t>
  </si>
  <si>
    <t>https://ieeexplore.ieee.org/stamp/stamp.jsp?arnumber=9983826</t>
  </si>
  <si>
    <t>Communication protocol;device capabilities;healthcare applications;Internet of Things (IoT);IoT architecture</t>
  </si>
  <si>
    <t>Internet of Things;Medical services;Computer architecture;Protocols;Hardware;Software;Security</t>
  </si>
  <si>
    <t>Towards Low-Latency Service Delivery in a Continuum of Virtual Resources: State-of-the-Art and Research Directions</t>
  </si>
  <si>
    <t>10.1109/COMST.2021.3095358</t>
  </si>
  <si>
    <t>Department of Information Technology, imec, IDLab, Ghent University, Gent, Belgium; Department of Information Technology, imec, IDLab, Ghent University, Gent, Belgium; Department of Information Technology, imec, IDLab, Ghent University, Gent, Belgium; Department of Information Technology, imec, IDLab, Ghent University, Gent, Belgium</t>
  </si>
  <si>
    <t>The advent of softwarized networks has enabled the deployment of chains of virtual network and service components on computational resources from the cloud up to the edge, creating a continuum of virtual resources. The next generation of low latency applications (e.g., Virtual Reality (VR), autonomous cars) adds even more stringent requirements to the infrastructure, calling for considerable advancements towards cloud-native micro-service-based architectures. This article presents a comprehensive survey on ongoing research aiming to effectively support low latency services throughout their execution lifetime in next-generation networks. The current state-of-the-art is critically reviewed to identify the most promising trends that will strongly impact the full applicability and high performance of low latency services. This article proposes a taxonomy as well as specific evaluation criteria to classify research across different domains addressing low latency service delivery. Current architectural paradigms such as Multi-access Edge Computing (MEC) and Fog Computing (FC) alongside novel trends on communication networks are discussed. Among these, the integration of Machine Learning (ML) and Artificial intelligence (AI) is introduced as a key research field in current literature towards autonomous network management. A discussion on open challenges and future research directions on low-latency service delivery leads to the conclusion, offering lessons learned and prospects on emerging use cases such as Extended Reality (XR), in which novel trends will play a major role.</t>
  </si>
  <si>
    <t xml:space="preserve">Scientific Research-Flanders (FWO-V) through the Project ‚ÄúIntelligent Dense and Longe Range IoT Networks (IDEAL-IoT)‚Äù(grant numbers:S004017N); </t>
  </si>
  <si>
    <t>https://ieeexplore.ieee.org/stamp/stamp.jsp?arnumber=9476028</t>
  </si>
  <si>
    <t>Low latency;next-generation networks;cloud-native;autonomous networks;orchestration;5G/6G</t>
  </si>
  <si>
    <t>Tutorials;Next generation networking;Taxonomy;Market research;5G mobile communication;Computer architecture;Cloud computing</t>
  </si>
  <si>
    <t>R. Mulero; A. Almeida; G. Azkune; P. Abril-Jim√©nez; M. T. Arredondo Waldmeyer; M. P√°ramo Castrillo; L. Patrono; P. Rametta; I. Sergi</t>
  </si>
  <si>
    <t>An IoT-Aware Approach for Elderly-Friendly Cities</t>
  </si>
  <si>
    <t>10.1109/ACCESS.2018.2800161</t>
  </si>
  <si>
    <t>DeustoTech‚ÄìDeusto Institute of Technology, University of Deusto, Bilbao, Spain; DeustoTech‚ÄìDeusto Institute of Technology, University of Deusto, Bilbao, Spain; DeustoTech‚ÄìDeusto Institute of Technology, University of Deusto, Bilbao, Spain; Universidad Polit√©cnica de Madrid, Madrid, Spain; Universidad Polit√©cnica de Madrid, Madrid, Spain; Universidad Polit√©cnica de Madrid, Madrid, Spain; University of Salento, Lecce, Italy; University of Salento, Lecce, Italy; University of Salento, Lecce, Italy</t>
  </si>
  <si>
    <t>The ever-growing life expectancy of people requires the adoption of proper solutions for addressing the particular needs of elderly people in a sustainable way, both from service provision and economic point of view. Mild cognitive impairments and frailty are typical examples of elderly conditions which, if not timely addressed, can turn out into more complex diseases that are harder and costlier to treat. Information and communication technologies, and in particular Internet of Things technologies, can foster the creation of monitoring and intervention systems, both on an ambient-assisted living and smart city scope, for early detecting behavioral changes in elderly people. This allows to timely detect any potential risky situation and properly intervene, with benefits in terms of treatment's costs. In this context, as part of the H2020-funded City4Age project, this paper presents the data capturing and data management layers of the whole City4Age platform. In particular, this paper deals with an unobtrusive data gathering system implementation to collect data about daily activities of elderly people, and with the implementation of the related linked open data (LOD)-based data management system. The collected data are then used by other layers of the platform to perform risk detection algorithms and generate the proper customized interventions. Through the validation of some use-cases, it is demonstrated how this scalable approach, also characterized by unobtrusive and low-cost sensing technologies, can produce data with a high level of abstraction useful to define a risk profile of each elderly person.</t>
  </si>
  <si>
    <t xml:space="preserve">City4Age Project through the European Union‚Äôs Horizon 2020 Research and Innovation Programme(grant numbers:689731); </t>
  </si>
  <si>
    <t>https://ieeexplore.ieee.org/stamp/stamp.jsp?arnumber=8277181</t>
  </si>
  <si>
    <t>Elderly;IoT;LOD;MCI;monitoring systems;risk detection;smart environments</t>
  </si>
  <si>
    <t>Senior citizens;Middleware;Smart cities;Monitoring;Sensors;Europe;Aging</t>
  </si>
  <si>
    <t>W. Z. Khan; Q. -u. -A. Arshad; S. Hakak; M. K. Khan; Saeed-Ur-Rehman</t>
  </si>
  <si>
    <t>Trust Management in Social Internet of Things: Architectures, Recent Advancements, and Future Challenges</t>
  </si>
  <si>
    <t>10.1109/JIOT.2020.3039296</t>
  </si>
  <si>
    <t>Center of Excellence in Information Assurance, King Saud University, Riyadh, Saudi Arabia; Center of Excellence in Information Assurance, King Saud University, Riyadh, Saudi Arabia; Canadian Institute for Cybersecurity, Faculty of Computer Science, University of New Brunswick, Fredericton, Canada; Center of Excellence in Information Assurance, King Saud University, Riyadh, Saudi Arabia; Department of Computer Science, COMSATS University Islamabad, Islamabad, Pakistan</t>
  </si>
  <si>
    <t>Social Internet of Things (SIoT) is an extension of the Internet of Things (IoT) that converges with social networking concepts to create social networks of interconnected smart objects. This convergence allows the enrichment of the two paradigms, resulting into new ecosystems. While IoT follows two interaction paradigms, human to human (H2H) and thing to thing (T2T), SIoT adds on human-to-thing (H2T) interactions. SIoT enables smart ‚Äúsocial objects‚Äù that intelligently mimic the social behavior of human in the daily life. These social objects (SOs) are equipped with social functionalities capable of discovering other SOs in the surroundings and establishing social relationships. They crawl through the social network of objects for the sake of searching for services and information of interest. The notion of trust and trustworthiness in social communities formed in SIoT is still new and in an early stage of investigation. In this article, our contributions are threefold. First, we present the fundamentals of SIoT and trust concepts in SIoT, clarifying the similarities and differences between IoT and SIoT. Second, we categorize the trust management solutions proposed so far in the literature for SIoT over the last six years and provide a comprehensive review. We then perform a comparison of the state-of-the-art trust management schemes devised for SIoT by performing comparative analysis in terms of trust management process. Third, we identify and discuss the challenges and requirements in the emerging new wave of SIoT, and also highlight the challenges in developing trust and evaluating trustworthiness among the interacting SOs.</t>
  </si>
  <si>
    <t xml:space="preserve">Deputyship for Research and Innovation, ‚ÄúMinistry of Education‚Äù in Saudi Arabia(grant numbers:IFKSURP-43); </t>
  </si>
  <si>
    <t>https://ieeexplore.ieee.org/stamp/stamp.jsp?arnumber=9264256</t>
  </si>
  <si>
    <t>Challenges;Internet of Things (IoT);Social IoT (SIoT);social objects (SOs);social relationships;trust management</t>
  </si>
  <si>
    <t>Internet of Things;Trust management;Social networking (online);Analytical models;Scalability;Vehicle dynamics;Search problems</t>
  </si>
  <si>
    <t>R. R. Karn; P. Kudva; H. Huang; S. Suneja; I. M. Elfadel</t>
  </si>
  <si>
    <t>Cryptomining Detection in Container Clouds Using System Calls and Explainable Machine Learning</t>
  </si>
  <si>
    <t>10.1109/TPDS.2020.3029088</t>
  </si>
  <si>
    <t>Center for Cyber-Physical Systems, Khalifa University, Abu Dhabi, UAE; IBM Research, Yorktown Heights, NY, USA; IBM Research, Yorktown Heights, NY, USA; IBM Research, Yorktown Heights, NY, USA; Center for Cyber-Physical Systems, Khalifa University, Abu Dhabi, UAE</t>
  </si>
  <si>
    <t>The use of containers in cloud computing has been steadily increasing. With the emergence of Kubernetes, the management of applications inside containers (or pods) is simplified. Kubernetes allows automated actions like self-healing, scaling, rolling back, and updates for the application management. At the same time, security threats have also evolved with attacks on pods to perform malicious actions. Out of several recent malware types, cryptomining has emerged as one of the most serious threats with its hijacking of server resources for cryptocurrency mining. During application deployment and execution in the pod, a cryptomining process, started by a hidden malware executable can be run in the background, and a method to detect malicious cryptomining software running inside Kubernetes pods is needed. One feasible strategy is to use machine learning (ML) to identify and classify pods based on whether or not they contain a running process of cryptomining. In addition to such detection, the system administrator will need an explanation as to the reason(s) of the ML's classification outcome. The explanation will justify and support disruptive administrative decisions such as pod removal or its restart with a new image. In this article, we describe the design and implementation of an ML-based detection system of anomalous pods in a Kubernetes cluster by monitoring Linux-kernel system calls (syscalls). Several types of cryptominers images are used as containers within an anomalous pod, and several ML models are built to detect such pods in the presence of numerous healthy cloud workloads. Explainability is provided using SHAP, LIME, and a novel auto-encoding-based scheme for LSTM models. Seven evaluation metrics are used to compare and contrast the explainable models of the proposed ML cryptomining detection engine.</t>
  </si>
  <si>
    <t>https://ieeexplore.ieee.org/stamp/stamp.jsp?arnumber=9215018</t>
  </si>
  <si>
    <t>Cryptomining;docker;kubernetes;containers;machine learning;explainability;pod;anomaly</t>
  </si>
  <si>
    <t>Containers;Cloud computing;Malware;Machine learning;Cryptocurrency;Data mining</t>
  </si>
  <si>
    <t>K. Valtanen; J. Backman; S. Yrj√∂l√§</t>
  </si>
  <si>
    <t>Blockchain-Powered Value Creation in the 5G and Smart Grid Use Cases</t>
  </si>
  <si>
    <t>10.1109/ACCESS.2019.2900514</t>
  </si>
  <si>
    <t>VTT Technical Research Centre of Finland Ltd., Oulu, Finland; VTT Technical Research Centre of Finland Ltd., Oulu, Finland; Nokia Corporate Strategy and Development, Oulu, Finland</t>
  </si>
  <si>
    <t>Before the implementation of a solution, it is cost-efficient and practical to be able to evaluate and analyze the expected value of use cases. Especially, this is emphasized in blockchain (BC) use cases, which typically have a wide business ecosystem and possibly disruptive business models. This paper presents two BC use case value evaluations and results. The IoT use cases were selected from two different industry segments: telecommunications-oriented 5G network slice brokering and the energy industry-related internal electricity allocation in a housing society. The use case value was assessed by applying a resource configuration framework and 4C - commerce, context, content, and connection - business model typology against BC and smart contracts characteristics and capabilities. The results derived from the data collected from the expert workshops proved the expected value of the use cases, and in general, the feasibility of BC technology for facilitating various value-creating resource configuration processes was shown. Furthermore, the resource configuration framework proved to be a valuable theoretical approach for analyzing and developing also the BC-enabled novel use cases and business models. According to the findings, further development of the framework is proposed with an introduced novel decentralized resource configuration prototype that can replace predominant platform-based business models.</t>
  </si>
  <si>
    <t xml:space="preserve">Blockchains Boosting Finnish Industry (BOND) project through Business Finland, the Finnish innovation funding, trade, investment, and travel promotion organization (formerly Tekes, the Finnish Funding Agency for Innovation); </t>
  </si>
  <si>
    <t>https://ieeexplore.ieee.org/stamp/stamp.jsp?arnumber=8648405</t>
  </si>
  <si>
    <t>Blockchain;business models;decentralization;resource configuration;smart grid;4C typology;5G</t>
  </si>
  <si>
    <t>Business;Blockchain;Biological system modeling;Industries;5G mobile communication;Conferences;Smart grids</t>
  </si>
  <si>
    <t>B. Sonkoly; J. Czentye; M. Szalay; B. N√©meth; L. Toka</t>
  </si>
  <si>
    <t>Survey on Placement Methods in the Edge and Beyond</t>
  </si>
  <si>
    <t>10.1109/COMST.2021.3101460</t>
  </si>
  <si>
    <t>Department of Telecommunications and Media Informatics, Faculty of Electrical Engineering and Informatics, MTA-BME Network Softwarization Research Group, Budapest University of Technology and Economics, Budapest, Hungary; Department of Telecommunications and Media Informatics, Faculty of Electrical Engineering and Informatics, MTA-BME Network Softwarization Research Group, Budapest University of Technology and Economics, Budapest, Hungary; Department of Telecommunications and Media Informatics, Faculty of Electrical Engineering and Informatics, MTA-BME Network Softwarization Research Group, Budapest University of Technology and Economics, Budapest, Hungary; Department of Telecommunications and Media Informatics, Faculty of Electrical Engineering and Informatics, MTA-BME Network Softwarization Research Group, Budapest University of Technology and Economics, Budapest, Hungary; Department of Telecommunications and Media Informatics, Faculty of Electrical Engineering and Informatics, MTA-BME Network Softwarization Research Group, Budapest University of Technology and Economics, Budapest, Hungary</t>
  </si>
  <si>
    <t>Edge computing is a (r)evolutionary extension of traditional cloud computing. It expands central cloud infrastructure with execution environments close to the users in terms of latency in order to enable a new generation of cloud applications. This paradigm shift has opened the door for telecommunications operators, mobile and fixed network vendors: they have joined the cloud ecosystem as essential stakeholders considerably influencing the future success of the technology. A key problem in edge computing is the optimal placement of computational units (virtual machines, containers, tasks or functions) of novel distributed applications. These components are deployed to a geographically distributed virtualized infrastructure and heterogeneous networking technologies are invoked to connect them while respecting quality requirements. The optimal hosting environment should be selected based on multiple criteria by novel scheduler algorithms which can cope with the new challenges of distributed cloud architecture where networking aspects cannot be ignored. The research community has dedicated significant efforts to this topic during recent years and a vast number of theoretical results have been published addressing different variants of the related mathematical problems. However, a comprehensive survey focusing on the technical and analytical aspects of the placement problem in various edge architectures is still missing. This survey provides a comprehensive summary and a structured taxonomy of the vast research on placement of computational entities in emerging edge infrastructures. Following the given taxonomy, the research papers are analyzed and categorized according to several dimensions, such as the capabilities of the underlying platforms, the structure of the supported services, the problem formulation, the applied mathematical methods, the objectives and constraints incorporated in the optimization problems, and the complexity of the proposed methods. We summarize the gained insights and important lessons learned, and finally, we reveal some important research gaps in the current literature.</t>
  </si>
  <si>
    <t xml:space="preserve">Ministry of Innovation and Technology of Hungary from the National Research, Development and Innovation Fund through 2018-2.1.17-T√âT-KR, FK_20; 2019-2.1.13-T√âT-IN Funding Schemes(grant numbers:2018-2.1.17-T√âT-KR-2018-00012,135074,2019-2.1.13-T√âT-IN-2020-00021); </t>
  </si>
  <si>
    <t>https://ieeexplore.ieee.org/stamp/stamp.jsp?arnumber=9502167</t>
  </si>
  <si>
    <t>Edge/fog computing;MEC;cloudlets;resource orchestration;function placement optimization;offloading</t>
  </si>
  <si>
    <t>Cloud computing;Optimization;Data centers;Taxonomy;Tutorials;Telecommunications;Task analysis</t>
  </si>
  <si>
    <t>E. Coronado; R. Behravesh; T. Subramanya; A. Fern√†ndez-Fern√†ndez; M. S. Siddiqui; X. Costa-P√©rez; R. Riggio</t>
  </si>
  <si>
    <t>Zero Touch Management: A Survey of Network Automation Solutions for 5G and 6G Networks</t>
  </si>
  <si>
    <t>10.1109/COMST.2022.3212586</t>
  </si>
  <si>
    <t>Software Networks, i2CAT Foundation, Barcelona, Spain; Wireless and Networked Systems, Fondazione Bruno Kessler, Trento, Italy; Architecture, Security and Automation, Nokia Standards, Munich, Germany; Software Networks, i2CAT Foundation, Barcelona, Spain; Software Networks, i2CAT Foundation, Barcelona, Spain; AI-Driven Systems, i2CAT Foundation, Barcelona, Spain; Information Engineering Department, Polytechnic University of Marche, Ancona, Italy</t>
  </si>
  <si>
    <t>Mobile networks are facing an unprecedented demand for high-speed connectivity originating from novel mobile applications and services and, in general, from the adoption curve of mobile devices. However, coping with the service requirements imposed by current and future applications and services is very difficult since mobile networks are becoming progressively more heterogeneous and more complex. In this context, a promising approach is the adoption of novel network automation solutions and, in particular, of zero-touch management techniques. In this work, we refer to zero-touch management as a fully autonomous network management solution with human oversight. This survey sits at the crossroad between zero-touch management and mobile and wireless network research, effectively bridging a gap in terms of literature review between the two domains. In this paper, we first provide a taxonomy of network management solutions. We then discuss the relevant state-of-the-art on autonomous mobile networks. The concept of zero-touch management and the associated standardization efforts are then introduced. The survey continues with a review of the most important technological enablers for zero-touch management. The network automation solutions from the RAN to the core network, including end-to-end aspects such as security, are then surveyed. Finally, we close this article with the current challenges and research directions.</t>
  </si>
  <si>
    <t xml:space="preserve">European Union‚Äôs Horizon 2020 through the Project AI@EDGE; EU(grant numbers:101015922,5GZORRO); EU(grant numbers:871533); CERCA Programme/Generalitat de Catalunya; EU ‚ÄúNextGenerationEU/PRTR,‚Äù MCIN and AEI (Spain)(grant numbers:IJC2020-043058-I); ONOFRE-3 through the Project MCIN/AEI/10.13039/501100011033(grant numbers:PID2020-112675RB-C43); </t>
  </si>
  <si>
    <t>https://ieeexplore.ieee.org/stamp/stamp.jsp?arnumber=9913206</t>
  </si>
  <si>
    <t>Network management;autonomous networks;zero-touch management;mobile networking;wireless networking;5G;6G</t>
  </si>
  <si>
    <t>5G mobile communication;Automation;Radio access networks;Protocols;Tutorials;Terminology;Cloud computing</t>
  </si>
  <si>
    <t>S. Kianpisheh; T. Taleb</t>
  </si>
  <si>
    <t>A Survey on In-Network Computing: Programmable Data Plane and Technology Specific Applications</t>
  </si>
  <si>
    <t>10.1109/COMST.2022.3213237</t>
  </si>
  <si>
    <t>Centre for Wireless Communications, University of Oulu, Oulu, Finland; Centre for Wireless Communications, University of Oulu, Oulu, Finland</t>
  </si>
  <si>
    <t>In comparison with cloud computing, edge computing offers processing at locations closer to end devices and reduces the user experienced latency. The new recent paradigm of in-network computing employs programmable network elements to compute on the path and prior to traffic reaching the edge or cloud servers. It advances common edge/cloud server based computing through proposing line rate processing capabilities at closer locations to the end devices. This paper discusses use cases, enabler technologies and protocols for in-network computing. According to our study, considering programmable data plane as an enabler technology, potential in-network computing applications are in-network analytics, in-network caching, in-network security, and in-network coordination. There are also technology specific applications of in-network computing in the scopes of cloud computing, edge computing, 5G/6G, and NFV. In this survey, the state of the art, in the framework of the proposed categorization, is reviewed. Furthermore, comparisons are provided in terms of a set of proposed criteria which assess the methods from the aspects of methodology, main results, as well as application-specific criteria. Finally, we discuss lessons learned and highlight some potential research directions.</t>
  </si>
  <si>
    <t xml:space="preserve">European Unions Horizon 2020 Research and Innovation Program through the Charity and aerOS Projects(grant numbers:101016509,101069732); Academy of Finland 6Genesis Project(grant numbers:318927); Academy of Finland IDEA-MILL Project(grant numbers:352428); </t>
  </si>
  <si>
    <t>https://ieeexplore.ieee.org/stamp/stamp.jsp?arnumber=9919270</t>
  </si>
  <si>
    <t>In-network computing;programmable data plane;software defined networking;cloud computing;edge computing;6G;and network function virtualization</t>
  </si>
  <si>
    <t>Servers;Cloud computing;Switches;Tutorials;Protocols;Field programmable gate arrays;Fabrics</t>
  </si>
  <si>
    <t>V. Ziegler; P. Schneider; H. Viswanathan; M. Montag; S. Kanugovi; A. Rezaki</t>
  </si>
  <si>
    <t>Security and Trust in the 6G Era</t>
  </si>
  <si>
    <t>10.1109/ACCESS.2021.3120143</t>
  </si>
  <si>
    <t>Nokia Bell Labs, Munich, Germany; Nokia Bell Labs, Munich, Germany; Nokia Bell Labs, Murray Hill, NJ, USA; Nokia Bell Labs, Munich, Germany; Nokia Standards, Bengaluru, India; Nokia Standards, Munich, Germany</t>
  </si>
  <si>
    <t>A comprehensive set of security technology enablers will be critically required for communication systems for the 6G era of the 2030s. Trustworthiness must be assured across IoT, heterogenous cloud and networks, devices, sub-networks, and applications. The 6G threat vector will be defined by 6G architectural disaggregation, open interfaces and an environment with multiple stakeholders. Broadly decomposed into domains of cyber-resilience, privacy and trust and their respective intersection, we explore relevant security technology enablers including automated software creation and automated closed-loop security operation, privacy preserving technologies, hardware and cloud embedded anchors of trust, quantum-safe security, jamming protection and physical layer security as well as distributed ledger technologies. Artificial intelligence and machine learning (AI/ML) as a key technology enabler will be pervasive and of pivotal relevance across the security technology stack and architecture. A novel vision for a trustworthy Secure Telecom Operation Map is developed as part of the automated closed loop operations paradigm.</t>
  </si>
  <si>
    <t>https://ieeexplore.ieee.org/stamp/stamp.jsp?arnumber=9570274</t>
  </si>
  <si>
    <t>6G;security;cyber-resilience;privacy;trustworthiness;sub-networks;wireless networks</t>
  </si>
  <si>
    <t>Security;6G mobile communication;5G mobile communication;Privacy;Cloud computing;Authentication;3GPP</t>
  </si>
  <si>
    <t>S. Siddiqui; S. Hameed; S. A. Shah; I. Ahmad; A. Aneiba; D. Draheim; S. Dustdar</t>
  </si>
  <si>
    <t>Toward Software-Defined Networking-Based IoT Frameworks: A Systematic Literature Review, Taxonomy, Open Challenges and Prospects</t>
  </si>
  <si>
    <t>10.1109/ACCESS.2022.3188311</t>
  </si>
  <si>
    <t>Department of Computer Science, NUCES, Karachi, Pakistan; Department of Computer Science, NUCES, Karachi, Pakistan; School of Computing and Digital Technology, Birmingham City University, Birmingham, U.K.; VTT Technical Research Centre of Finland, Espoo, Finland; School of Computing and Digital Technology, Birmingham City University, Birmingham, U.K.; Information Systems Group, Tallinn University of Technology, Tallinn, Estonia; Distributed Systems Group, Vienna University of Technology, Vienna, Austria</t>
  </si>
  <si>
    <t>Internet of Things (IoT) is characterized as one of the leading actors for the next evolutionary stage in the computing world. IoT-based applications have already produced a plethora of novel services and are improving the living standard by enabling innovative and smart solutions. However, along with its rapid adoption, IoT technology also creates complex challenges regarding the management of IoT networks due to its resource limitations (computational power, energy, and security). Hence, it is urgently needed to refine the IoT-based application‚Äôs architectures to robustly manage the overall IoT infrastructure. Software-defined networking (SDN) has emerged as a paradigm that offers software-based controllers to manage hardware infrastructure and traffic flow on a network effectively. SDN architecture has the potential to provide efficient and reliable IoT network management. This research provides a comprehensive survey investigating the published studies on SDN-based frameworks to address IoT management issues in the dimensions of fault tolerance, energy management, scalability, load balancing, and security service provisioning within the IoT networks. We conducted a Systematic Literature Review (SLR) on the research studies (published from 2010 to 2022) focusing on SDN-based IoT management frameworks. We provide an extensive discussion on various aspects of SDN-based IoT solutions and architectures. We elaborate a taxonomy of the existing SDN-based IoT frameworks and solutions by classifying them into categories such as network function virtualization, middleware, OpenFlow adaptation, and blockchain-based management. We present the research gaps by identifying and analyzing the key architectural requirements and management issues in IoT infrastructures. Finally, we highlight various challenges and a range of promising opportunities for future research to provide a roadmap for addressing the weaknesses and identifying the benefits from the potentials offered by SDN-based IoT solutions.</t>
  </si>
  <si>
    <t>https://ieeexplore.ieee.org/stamp/stamp.jsp?arnumber=9815064</t>
  </si>
  <si>
    <t>Internet of Things (IoT);software-defined networking (SDN);SDN-based IoT management frameworks;systematic literature review;network function virtualization;OpenFlow;middleware;blockchain;security management;fault tolerance;load balancing;scalability;energy management</t>
  </si>
  <si>
    <t>Internet of Things;Blockchains;Middleware;Load management;Computer architecture;Sensors;Security</t>
  </si>
  <si>
    <t>N. Taimoor; S. Rehman</t>
  </si>
  <si>
    <t>Reliable and Resilient AI and IoT-Based Personalised Healthcare Services: A Survey</t>
  </si>
  <si>
    <t>10.1109/ACCESS.2021.3137364</t>
  </si>
  <si>
    <t>Institute of Computer Technology, Technische Universit√§t Wien (TU Wien), Wien, Austria; Institute of Computer Technology, Technische Universit√§t Wien (TU Wien), Wien, Austria</t>
  </si>
  <si>
    <t>Recent technological (e.g., IoT, 5G), and economic (e.g., UN 2030 Sustainable Development Goals) developments have transformed the healthcare sector towards more personalized and IoT-based healthcare services. These services are realized through control and monitoring applications that are typically developed using artificial intelligence (AI)/machine learning (ML) based algorithms, that play a significant role to highlight the efficiency of traditional healthcare systems. Current personalized healthcare services are dedicated in a specific environment to support technological personalization (e.g., personalized gadgets/devices). However, they are unable to consider different inter-related health conditions, leading to inappropriate diagnosis and affect sustainability and the long-term health/life of patients. Towards this problem, the state-of-the-art Healthcare 5.0 technology has evolved that supersede previous healthcare technologies. The goal of healthcare 5.0 is to achieve a fully autonomous healthcare service, that takes into account the interdependent effect of different health conditions of a patient. This paper conducts a comprehensive survey on personalized healthcare services. In particular, we first present an overview of key requirements of comprehensive personalized healthcare services (CPHS) in modern healthcare Internet of Things (HIoT), including the definition of personalization and an example use case scenario as a representative for modern HIoT. Second, we explored a fundamental three-layer architecture for IoT-based healthcare systems using both AI and non-AI-based approaches, considering key requirements for CPHS followed by their strengths and weaknesses in the frame of personalized healthcare services. Third, we highlighted different security threats against each layer of IoT architecture along with the possible AI and non-AI-based solutions. Finally, we propose a methodology to develop reliable, resilient, and personalized healthcare services that address the identified weaknesses of existing approaches.</t>
  </si>
  <si>
    <t>https://ieeexplore.ieee.org/stamp/stamp.jsp?arnumber=9658494</t>
  </si>
  <si>
    <t>Healthcare 5.0;IoT;medicine 4.0;reliability;resilience;personalization;sustainability</t>
  </si>
  <si>
    <t>Medical services;Monitoring;Resilience;Biomedical monitoring;Artificial intelligence;Software reliability</t>
  </si>
  <si>
    <t>H. Tabatabaee Malazi; S. R. Chaudhry; A. Kazmi; A. Palade; C. Cabrera; G. White; S. Clarke</t>
  </si>
  <si>
    <t>Dynamic Service Placement in Multi-Access Edge Computing: A Systematic Literature Review</t>
  </si>
  <si>
    <t>10.1109/ACCESS.2022.3160738</t>
  </si>
  <si>
    <t>Department of Computer Science, Maynooth University, Maynooth, Co. Kildare, Ireland; Department of Computer Science, Munster Technological University, Cork, Ireland; School of Computer Science and Statistics, Trinity College Dublin, Dublin 2, Ireland; School of Computer Science and Statistics, Trinity College Dublin, Dublin 2, Ireland; Department of Computer Science and Technology, University of Cambridge, Cambridge, U.K.; School of Computer Science and Statistics, Trinity College Dublin, Dublin 2, Ireland; School of Computer Science and Statistics, Trinity College Dublin, Dublin 2, Ireland</t>
  </si>
  <si>
    <t>The advent of new cloud-based applications such as mixed reality, online gaming, autonomous driving, and healthcare has introduced infrastructure management challenges to the underlying service network. Multi-access edge computing (MEC) extends the cloud computing paradigm and leverages servers near end-users at the network edge to provide a cloud-like environment. The optimum placement of services on edge servers plays a crucial role in the performance of such service-based applications. Dynamic service placement problem addresses the adaptive configuration of application services at edge servers to facilitate end-users and those devices that need to offload computation tasks. While reported approaches in the literature shed light on this problem from a particular perspective, a panoramic study of this problem reveals the research gaps in the big picture. This paper introduces the dynamic service placement problem and outline its relations with other problems such as task scheduling, resource management, and caching at the edge. We also present a systematic literature review of existing dynamic service placement methods for MEC environments from networking, middleware, applications, and evaluation perspectives. In the first step, we review different MEC architectures and their enabling technologies from a networking point of view. We also introduce different cache deployment solutions in network architectures and discuss their design considerations. The second step investigates dynamic service placement methods from a middleware viewpoint. We review different service packaging technologies and discuss their trade-offs. We also survey the methods and identify eight research directions that researchers follow. Our study categorises the research objectives into six main classes, proposing a taxonomy of design objectives for the dynamic service placement problem. We also investigate the reported methods and devise a solutions taxonomy comprising six criteria. In the third step, we concentrate on the application layer and introduce the applications that can take advantage of dynamic service placement. The fourth step investigates evaluation environments used to validate the solutions, including simulators and testbeds. We introduce real-world datasets such as edge server locations, mobility traces, and service requests used to evaluate the methods. We compile a list of open issues and challenges categorised by various viewpoints in the last step.</t>
  </si>
  <si>
    <t xml:space="preserve">Science Foundation Ireland (SFI), Enable Project(grant numbers:16/SP/3804); </t>
  </si>
  <si>
    <t>https://ieeexplore.ieee.org/stamp/stamp.jsp?arnumber=9738624</t>
  </si>
  <si>
    <t>Mobile edge computing;decentralised cloud;MEC server;service caching;service offloading;computational offloading;service deployment;resource management;service orchestration</t>
  </si>
  <si>
    <t>Cloud computing;Servers;Vehicle dynamics;Resource management;Wireless fidelity;Taxonomy;Task analysis</t>
  </si>
  <si>
    <t>A. A. Nasser; M. Z. Rashad; S. E. Hussein</t>
  </si>
  <si>
    <t>A Two-Layer Water Demand Prediction System in Urban Areas Based on Micro-Services and LSTM Neural Networks</t>
  </si>
  <si>
    <t>10.1109/ACCESS.2020.3015655</t>
  </si>
  <si>
    <t>Faculty of Computers and Information Systems, Mansoura University, Mansoura, Egypt; Faculty of Computers and Information Systems, Mansoura University, Mansoura, Egypt; Department of Computer Engineering and Control Systems, Faculty of Engineering, Mansoura University, Mansoura, Egypt</t>
  </si>
  <si>
    <t>In recent years, scarce water resources became one of the main problems that endanger human species existence and the advancement of any nation. In this research, smart water meters were implemented, distributed, and installed in a regional area in Cairo while data were collected at uniform intervals then sent to the cloud instantly. The solution paradigm uses an Internet of Things (IoT) based on micro-services and containers. The design incorporates real-time streaming and infrastructure performance optimization to store data. A second layer to analyze the acquired data was used to model water consumption using Long Short-Term Memory (LSTM). The designed LSTM is validated and tested to be utilized in the forecast of future water demand. Moreover, two alternative machine learning methods, namely Support Vector Regression and Random Forest commonly utilized in time series forecasting applications, were used for a comparative analysis of which LSTM has proven to be superior. The proper integration of the system elements is the key to the proposed system success. Based on the success of the designed system, it can be applicable on a national scale. That can enable the optimal management of consumers‚Äô demand and improve water infrastructure utilization. The proposed paradigm presents a testbed for various scenarios that can be used in water resources management.</t>
  </si>
  <si>
    <t>https://ieeexplore.ieee.org/stamp/stamp.jsp?arnumber=9163328</t>
  </si>
  <si>
    <t>Water smart meters;time series;resources management;IoT;LSTM;micro-services</t>
  </si>
  <si>
    <t>Water resources;Computer architecture;Demand forecasting;Real-time systems;Artificial intelligence;Cloud computing;Support vector machines</t>
  </si>
  <si>
    <t>N. Mahmoudi; H. Khazaei</t>
  </si>
  <si>
    <t>Performance Modeling of Serverless Computing Platforms</t>
  </si>
  <si>
    <t>IEEE Transactions on Cloud Computing</t>
  </si>
  <si>
    <t>2168-7161</t>
  </si>
  <si>
    <t>10.1109/TCC.2020.3033373</t>
  </si>
  <si>
    <t>Department of Electrical and Computer Engineering, University of Alberta, Edmonton, AB, Canada; Department of Electrical Engineering and Computer Science, York University, Toronto, ON, Canada</t>
  </si>
  <si>
    <t>Analytical performance models have been leveraged extensively to analyze and improve the performance and cost of various cloud computing services. However, in the case of serverless computing, which is projected to be the dominant form of cloud computing in the future, we have not seen analytical performance models to help with the analysis and optimization of such platforms. In this work, we propose an analytical performance model that captures the unique details of serverless computing platforms. The model can be leveraged to improve the quality of service and resource utilization and reduce the operational cost of serverless platforms. Also, the proposed performance model provides a framework that enables serverless platforms to become workload-aware and operate differently for different workloads to provide a better trade-off between the cost and performance depending on the user's preferences. The current serverless offerings require the user to have extensive knowledge of the internals of the platform to perform efficient deployments. Using the proposed analytical model, the provider can simplify the deployment process by calculating the performance metrics for users even before physical deployments. We validate the applicability and accuracy of the proposed model by extensive experimentation on AWS Lambda. We show that the proposed model can calculate essential performance metrics such as average response time, probability of cold start, and the average number of function instances in the steady-state. Also, we show how the performance model can be used to tune the serverless platform for each workload, which will result in better performance or lower cost without scarifying the other. The presented model assumes no non-realistic restrictions, so that it offers a high degree of fidelity while maintaining tractability at large scale.</t>
  </si>
  <si>
    <t xml:space="preserve">Shared Hierarchical Academic Research Computing Network; </t>
  </si>
  <si>
    <t>https://ieeexplore.ieee.org/stamp/stamp.jsp?arnumber=9238484</t>
  </si>
  <si>
    <t>Serverless computing;performance modeling;optimization;queuing theory;stochastic processes</t>
  </si>
  <si>
    <t>Computational modeling;Analytical models;Cloud computing;Concurrent computing;Measurement;Servers;Quality of service</t>
  </si>
  <si>
    <t>M. Sollfrank; F. Loch; S. Denteneer; B. Vogel-Heuser</t>
  </si>
  <si>
    <t>Evaluating Docker for Lightweight Virtualization of Distributed and Time-Sensitive Applications in Industrial Automation</t>
  </si>
  <si>
    <t>10.1109/TII.2020.3022843</t>
  </si>
  <si>
    <t>Technical University of Munich, Garching, Germany; Technical University of Munich, Garching, Germany; Technical University of Munich, Garching, Germany; Technical University of Munich, Garching, Germany</t>
  </si>
  <si>
    <t>A trend, accompanying the change of automation systems and their architectures, is the virtualization of software components. Virtualization strengthens platform-independent development and the provision of secure and isolated applications. Virtualization introduces well-defined interfaces to strengthen modularity, which facilitates the scalability of applications. However, virtualization includes additional software components and layers and, thus, additional computing costs. This additional effort can conflict with the real-time requirements of automation processes. Current research lacks the investigation of the time behavior of container-based virtualizations concerning their use in real-time systems. An assessment concerning real-time applications is required to prepare it for use in industrial automation. This article examines the effects of virtualization on the time delays of a software component based on Docker containers by providing measurements on a hardware testbed in a realistic use case. The experiments indicate that Docker virtualization can meet soft real-time requirements and can be used in industrial automation.</t>
  </si>
  <si>
    <t xml:space="preserve">VDI/VDE(grant numbers:IUK459/002); </t>
  </si>
  <si>
    <t>https://ieeexplore.ieee.org/stamp/stamp.jsp?arnumber=9187833</t>
  </si>
  <si>
    <t>Embedded software;real-time systems;software architecture;software tools;virtual machines (VMs)</t>
  </si>
  <si>
    <t>Real-time systems;Containers;Automation;Virtualization;Computer architecture;Delays;Software</t>
  </si>
  <si>
    <t>T. Ojha; S. Misra; N. S. Raghuwanshi</t>
  </si>
  <si>
    <t>Internet of Things for Agricultural Applications: The State of the Art</t>
  </si>
  <si>
    <t>10.1109/JIOT.2021.3051418</t>
  </si>
  <si>
    <t>Department of Computer Science and Engineering, Indian Institute of Technology Kharagpur, Kharagpur, India; Department of Computer Science and Engineering, Indian Institute of Technology Kharagpur, Kharagpur, India; Department of Agricultural and Food Engineering, Indian Institute of Technology Kharagpur, Kharagpur, India</t>
  </si>
  <si>
    <t>The advent of the Internet of Things (IoT) inspired various new and enhanced sets of applications in multiple domains including agriculture. The recent drive in the adoption of IoT technologies offers a major enhancement for the agricultural sectors in terms of efficiency and scalability. In this article, we investigate the specific issues and challenges associated with IoT, and review various IoT architectures, communication, middleware, and information processing technologies. We, then, discuss few IoT applications for agriculture-presenting various case studies to thoroughly analyze the solutions along with their design and implementation related parameters. Consequently, we provide a comprehensive review of the available simulation tools, data sets, and testbeds which provisions experimentation with IoT in agriculture. We enumerate open issues and challenges present in enabling IoT for agriculture. Finally, this article concludes while giving directions for future research.</t>
  </si>
  <si>
    <t xml:space="preserve">Information Technology Research Academy (ITRA), Government of India(grant numbers:ITRA/15(69)/WATER/M2M/01); </t>
  </si>
  <si>
    <t>https://ieeexplore.ieee.org/stamp/stamp.jsp?arnumber=9321474</t>
  </si>
  <si>
    <t>Agriculture;automation;Internet of Things (IoT);precision agriculture</t>
  </si>
  <si>
    <t>Internet of Things;Agriculture;Cloud computing;Sensors;Production;Irrigation;Diseases</t>
  </si>
  <si>
    <t>J. Gedeon; F. Brandherm; R. Egert; T. Grube; M. M√ºhlh√§user</t>
  </si>
  <si>
    <t>What the Fog? Edge Computing Revisited: Promises, Applications and Future Challenges</t>
  </si>
  <si>
    <t>10.1109/ACCESS.2019.2948399</t>
  </si>
  <si>
    <t>Department of Computer Science, Technische Universit√§t Darmstadt, Darmstadt, Germany; Department of Computer Science, Technische Universit√§t Darmstadt, Darmstadt, Germany; Department of Computer Science, Technische Universit√§t Darmstadt, Darmstadt, Germany; Department of Computer Science, Technische Universit√§t Darmstadt, Darmstadt, Germany; Department of Computer Science, Technische Universit√§t Darmstadt, Darmstadt, Germany</t>
  </si>
  <si>
    <t>Edge computing brings computing and storage resources closer to (mobile) end users and data sources, thus bypassing expensive and slow links to distant cloud computing infrastructures. Often leveraged opportunistically, these heterogeneous resources can be used to offload data and computations, enabling upcoming demanding applications such as augmented reality and autonomous driving. Research in this direction has addressed various challenges, from architectural concerns to runtime optimizations. As of today, however, we lack a widespread availability of edge computing-partly because it remains unclear which of the promised benefits of edge computing are relevant for what types of applications. This article provides a comprehensive snapshot of the current edge computing landscape, with a focus on the application perspective. We outline the characteristics of edge computing and its postulated benefits and drawbacks. To understand the functional composition of applications, we first define common application components that are relevant w.r.t. edge computing. We then present a classification of proposed use cases and analyze them according to their expected benefits from edge computing and which components they use. Furthermore, we illustrate existing products and industry solutions that have recently surfaced and outline future research challenges.</t>
  </si>
  <si>
    <t xml:space="preserve">National Natural Science Foundation of China(grant numbers:392046569 (DFG),61761136014 (NSFC)); Collaborative Research Center 1053‚ÄìMAKI (DFG) and as part of the project D.4 within the RTG 2050 ‚ÄúPrivacy and Trust for Mobile Users‚Äù (DFG); Technische Universit√§t Darmstadt; </t>
  </si>
  <si>
    <t>https://ieeexplore.ieee.org/stamp/stamp.jsp?arnumber=8877785</t>
  </si>
  <si>
    <t>Edge computing;heterogeneous networks;next generation networking mobile applications;Internet of Things;ubiquitous computing</t>
  </si>
  <si>
    <t>Edge computing;Cloud computing;Mobile handsets;Task analysis;Taxonomy;Industries;Hardware</t>
  </si>
  <si>
    <t>O. Oleghe</t>
  </si>
  <si>
    <t>Container Placement and Migration in Edge Computing: Concept and Scheduling Models</t>
  </si>
  <si>
    <t>10.1109/ACCESS.2021.3077550</t>
  </si>
  <si>
    <t>Systems Engineering Department, University of Lagos, Lagos, Nigeria</t>
  </si>
  <si>
    <t>Containers are a form of software virtualization, rapidly becoming the de facto way of providing edge computing services. Research on container-based edge computing is plentiful, and this has been buoyed by the increasing demand for single digit, milliseconds latency computations. A container scheduler is part of the architecture that is used to manage and orchestrate multiple container-based applications on heterogenous computing nodes. The scheduler decides how incoming computing requests are allocated to containers, which edge nodes the containers are placed on, and where already deployed containers are migrated to. This paper aims to clarify the concept of container placement and migration in edge servers and the scheduling models that have been developed for this purpose. The study illuminates the frameworks and algorithms upon which the scheduling models are built. To convert the problem to one that can be solved using an algorithm, the container placement problem in mostly abstracted using multi-objective optimization models or graph network models. The scheduling algorithms are predominantly heuristic-based algorithms, which are able to arrive at sub-optimal solutions very quickly. There is paucity of container scheduling models that consider distributed edge computing tasks. Research in decentralized scheduling systems is gaining momentum and the future outlook is in scheduling containers for mobile edge nodes.</t>
  </si>
  <si>
    <t>https://ieeexplore.ieee.org/stamp/stamp.jsp?arnumber=9422781</t>
  </si>
  <si>
    <t>Algorithm;container;edge computing;migration;placement;scheduling</t>
  </si>
  <si>
    <t>Containers;Edge computing;Processor scheduling;Servers;Computational modeling;Cloud computing;Task analysis</t>
  </si>
  <si>
    <t>J. -F. Uhlenkamp; J. B. Hauge; E. Broda; M. L√ºtjen; M. Freitag; K. -D. Thoben</t>
  </si>
  <si>
    <t>Digital Twins: A Maturity Model for Their Classification and Evaluation</t>
  </si>
  <si>
    <t>10.1109/ACCESS.2022.3186353</t>
  </si>
  <si>
    <t>BIBA‚ÄîBremer Institut f√ºr Produktion und Logistik GmbH, University of Bremen, Bremen, Germany; BIBA‚ÄîBremer Institut f√ºr Produktion und Logistik GmbH, University of Bremen, Bremen, Germany; Faculty of Production Engineering, University of Bremen, Bremen, Germany; BIBA‚ÄîBremer Institut f√ºr Produktion und Logistik GmbH, University of Bremen, Bremen, Germany; BIBA‚ÄîBremer Institut f√ºr Produktion und Logistik GmbH, University of Bremen, Bremen, Germany; BIBA‚ÄîBremer Institut f√ºr Produktion und Logistik GmbH, University of Bremen, Bremen, Germany</t>
  </si>
  <si>
    <t>Digital Twins represent a powerful tool for transforming production and logistics towards Industry 4.0. They mirror physical assets in the digital world, enriching them with additional capabilities and features such as decision-making or lifecycle management. Due to the diverse possibilities associated with the Digital Twin, their design and implementation are also wide-ranging. This paper aims to contribute to the formalization and standardization of the description of Digital Twins. It presents a method for evaluating them through their lifecycle, from design to operation. The paper is based on an overview of their potential functionalities and properties with ranked stages of development. This method allows for an application-specific evaluation of Digital Twins and describes how they can be improved to suit the application better. The maturity model development follows the procedure for developing maturity models for IT management. Relevant capabilities and features were identified with a systematic literature review following the PRISMA guidelines. The results of this review were ranked and categorized and constitute the core of the maturity model, which was validated on five use-cases from different domains in production and logistics. The maturity model assesses Digita Twins in seven categories (context, data, computing capabilities, model, integration, control, human-machine interface) with 31 ranked characteristics. It evaluates existing solutions for potential improvements for a given application or the transfer to a new use-case. The resulting method and a supplementary web service present a generalized model for the evaluation of Digital Twins. Based on a description of a potential application, this is the first step towards a systematic evaluation, improving the structured development of such applications</t>
  </si>
  <si>
    <t>https://ieeexplore.ieee.org/stamp/stamp.jsp?arnumber=9807313</t>
  </si>
  <si>
    <t>Digital twin;maturity model;characteristics;dimensions;literature review;use cases;product development;systematization;digital twin application</t>
  </si>
  <si>
    <t>Digital twins;Analytical models;Bibliographies;Computational modeling;Logistics;Fourth Industrial Revolution;Adaptation models</t>
  </si>
  <si>
    <t>N. Pathak; P. K. Deb; A. Mukherjee; S. Misra</t>
  </si>
  <si>
    <t>IoT-to-the-Rescue: A Survey of IoT Solutions for COVID-19-Like Pandemics</t>
  </si>
  <si>
    <t>10.1109/JIOT.2021.3082838</t>
  </si>
  <si>
    <t>Advanced Technology Development Center, Indian Institute of Technology Kharagpur, Kharagpur, India; Department of Computer Science and Engineering, Indian Institute of Technology Kharagpur, Kharagpur, India; Department of Computer Science and Engineering, Indian Institute of Technology Kharagpur, Kharagpur, India; Department of Computer Science and Engineering, Indian Institute of Technology Kharagpur, Kharagpur, India</t>
  </si>
  <si>
    <t>The atmospheric buoyancy and intangible nature of fatal communicable viruses lead to rapid transmissions among individuals, resulting in global pandemics. Strategic lockdowns and mandatory social distancing are immediate solutions in such scenarios. However, this leads to operational disruptions in education, manufacturing, economy, transportation, governance, and community. Although technological assistance is beneficial in overcoming such issues, the current Internet of Things (IoT) infrastructure has limitations. In this article, we provide a comprehensive review of the possible IoT-based solutions that have the capacity of combating the COVID-19-like viruses. We highlight the societal impacts due to pandemics and identify the specific lacunae in current IoT solutions. We also provide comprehensive detail on how to overcome the challenges along with directions toward the possible technological trends for future research. Compared to existing reviews, our work offers a holistic view of the cause, effects, and the possible solutions that are existing, along with already existing solutions that can be customized to serve the special needs during the pandemic.</t>
  </si>
  <si>
    <t>https://ieeexplore.ieee.org/stamp/stamp.jsp?arnumber=9438712</t>
  </si>
  <si>
    <t>COVID-19;education;governance;healthcare;industry;Internet of Things (IoT);IoT architecture;pandemic;SARS-COV-2;transportation</t>
  </si>
  <si>
    <t>COVID-19;Pandemics;Coronaviruses;Internet of Things;Medical services;Diseases;Government</t>
  </si>
  <si>
    <t>E. Ferko; A. Bucaioni; M. Behnam</t>
  </si>
  <si>
    <t>Architecting Digital Twins</t>
  </si>
  <si>
    <t>10.1109/ACCESS.2022.3172964</t>
  </si>
  <si>
    <t>Division of Product Realisation, M√§lardalen University, Eskilstuna, Sweden; Division of Product Realisation, M√§lardalen University, Eskilstuna, Sweden; Division of Product Realisation, M√§lardalen University, Eskilstuna, Sweden</t>
  </si>
  <si>
    <t>In 2002, Grieves defined the concept of the digital twin as a virtual instance of physical assets capable of continuously mirroring them. Ever since then, driven by remarkable industrial attention, digital twins flourished and ripened in several sectors. The notable industrial adoption has been sided by a growing interest from the software engineering community in general and the software architecture community in particular as demonstrated by the growing number of published peer-reviewed publications and proposed software architectural solutions for digital twins. In this paper, we report on the planning, execution, and results of a systematic mapping study on architecting digital twins. The study captures crucial aspects of software architectures for digital twins as types of architectural solutions, quality attributes, and architectural patterns. It supports practitioners in creating digital twins tailored to their specific needs and researchers in identifying trends and open challenges. Starting from an initial set of potentially relevant 1630 peer-reviewed publications, we selected 140 primary studies. We analysed the set of primary studies using thorough data extraction, analysis, and synthesis process. To compensate for single method limitations and reduce possible threats to conclusion validity, we discussed the results of our study with experts in the software architecture community. Based on our results, the field of software architecture for digital twins is lively and an increasing number of architectural solutions are being proposed. Although there is a lack of widely accepted reference architectural solutions for digital twins, most of them are built using a combination of the layered and service-oriented patterns and address maintainability, performance efficiency, and compatibility quality attributes.</t>
  </si>
  <si>
    <t xml:space="preserve">Swedish Knowledge Foundation [Stiftelsen f√∂r kunskaps- och kompetensutveckling (KKS)] through the Assured Cloud Platforms for Industrial Cyber-physical Systems (ACICS) and Model-Based DevOps for Cyber-Physical System Product Lines (Modev) projects; Sweden‚Äôs Innovation Agency [Verket f√∂r innovationssystem (VINNOVA)] through the PANORAMA Project; Excellence in Production Research [Excellence in Production Research (XPRES)] Framework; </t>
  </si>
  <si>
    <t>https://ieeexplore.ieee.org/stamp/stamp.jsp?arnumber=9770073</t>
  </si>
  <si>
    <t>Architectural patterns;digital twin;software architectures;quality attributes.</t>
  </si>
  <si>
    <t>Digital twin;Systematics;Software architecture;Computer architecture;Standards;Market research;Planning</t>
  </si>
  <si>
    <t>S. T. Arzo; C. Naiga; F. Granelli; R. Bassoli; M. Devetsikiotis; F. H. P. Fitzek</t>
  </si>
  <si>
    <t>A Theoretical Discussion and Survey of Network Automation for IoT: Challenges and Opportunity</t>
  </si>
  <si>
    <t>10.1109/JIOT.2021.3075901</t>
  </si>
  <si>
    <t>Department of Information Engineering and Computer Science, University of Trento, Trento, Italy; Department of Information Engineering and Computer Science, University of Trento, Trento, Italy; Department of Information Engineering and Computer Science, University of Trento, Trento, Italy; Deutsche Telekom Chair of Communication Networks, Institute of Communication Technology, Faculty of Electrical and Computer Engineering, and the Centre for Tactile Internet with Human-in-the-Loop, Cluster of Excellence, Technische Universit√§t Dresden, Dresden, Germany; Department of Electrical and Computer Engineering, University of New Mexico, Albuquerque, NM, USA; Deutsche Telekom Chair of Communication Networks, Institute of Communication Technology, Faculty of Electrical and Computer Engineering, and the Centre for Tactile Internet with Human-in-the-Loop, Cluster of Excellence, Technische Universit√§t Dresden, Dresden, Germany</t>
  </si>
  <si>
    <t>The introduction of the Internet of Things (IoT) and massive machine-type communications has implied an increase in network size and complexity. In particular, there is already a huge number of IoT devices in the market in various sectors, such as smart agriculture, smart city, smart home, smart transportation, etc. The IoT interconnectivity technologies are also increasing. Therefore, these are increasingly overwhelming the efforts of network administrators as they try to design, reconfigure and manage such networks. Relying on humans to manage such complex and dynamic networks is becoming unsustainable. Network automation promises to reduce the cost of administration and maintenance of network infrastructure, by offering networks the capability to manage themselves. Network automation is the ability of the network to manage itself. Various standardization organizations are taking the initiative in introducing network automation, such as European Telecommunication Standardization Institute (ETSI). ETSI is leading the standardization activities for network automation. It has provided different versions of reference architecture called generic autonomic network architecture (GANA), which describes a four-level abstraction for network-management decision elements (DEs), protocol level, function level, node level, and network level. In this article, we review and survey the existing works before and after the introduction of software-defined networking (SDN) and network-function-virtualization (NFV). We relate the main trending paradigms being followed, such as SDN, NFV, machine learning (ML), microservices, multiagent system (MAS), containerization, and cloudification, as a pivotal enabler of full network automation. We also discuss the autonomic architectures proposed in the literature. Finally, we presented possible future research directions and challenges that need to be tackled to progress in achieving full network automation.</t>
  </si>
  <si>
    <t xml:space="preserve">NATO Science for Peace and Security (SPS) Programme in the Framework of the Project ‚ÄúDynamic Architecture based on UAVs Monitoring for Border Security and Safety‚Äù(grant numbers:SPS G5428); German Research Foundation (DFG, Deutsche Forschungsgemeinschaft) as part of Germany‚Äôs Excellence Strategy‚ÄîEXC 2050/1‚ÄîProject ID 390696704‚ÄîCluster of Excellence ‚ÄúCentre for Tactile Internet with Human-in-the-Loop‚Äù (CeTI) of Technische Universit√§t Dresden; </t>
  </si>
  <si>
    <t>https://ieeexplore.ieee.org/stamp/stamp.jsp?arnumber=9416288</t>
  </si>
  <si>
    <t>Autonomic networking;machine learning;multiagent system (MAS);network function virtualization;network management system (NMS);network softwarization;software-defined networking (SDN)</t>
  </si>
  <si>
    <t>Automation;Internet of Things;Computer architecture;Market research;Software;Monitoring;Cloud computing</t>
  </si>
  <si>
    <t>P. Bellavista; A. Corradi; L. Foschini; D. Scotece</t>
  </si>
  <si>
    <t>Differentiated Service/Data Migration for Edge Services Leveraging Container Characteristics</t>
  </si>
  <si>
    <t>10.1109/ACCESS.2019.2943848</t>
  </si>
  <si>
    <t>Dipartimento di Informatica: Scienza e Ingegneria (DISI), University of Bologna, Bologna, Italy; Dipartimento di Informatica: Scienza e Ingegneria (DISI), University of Bologna, Bologna, Italy; Dipartimento di Informatica: Scienza e Ingegneria (DISI), University of Bologna, Bologna, Italy; Dipartimento di Informatica: Scienza e Ingegneria (DISI), University of Bologna, Bologna, Italy</t>
  </si>
  <si>
    <t>The Multi-access Edge Computing (MEC) and Fog Computing paradigms are enabling the opportunity to have middleboxes either statically or dynamically deployed at network edges acting as local proxies with virtualized resources for supporting and enhancing service provisioning in edge localities. However, migration of edge-enabled services poses significant challenges in the edge computing environment. In this paper, we propose an edge computing platform architecture that supports service migration with different options of granularity (either entire service/data migration, or proactive application-aware data migration) across heterogeneous edge devices (either MEC-based servers or resource-poor Fog devices) that host virtualized resources (Docker Containers). The most innovative elements of the technical contribution of our work include i) the possibility to select either an application-agnostic or an application-aware approach, ii) the possibility to choose the appropriate application-aware approach (e.g., based on data access frequencies), iii) an automatic edge services placement support with the aim of finding a more effective placement with low energy consumption, and iv) the in-lab experimentation of the performance achieved over rapidly deployable environments with resource-limited edges such as Raspberry Pi devices.</t>
  </si>
  <si>
    <t>https://ieeexplore.ieee.org/stamp/stamp.jsp?arnumber=8850058</t>
  </si>
  <si>
    <t>Container migration;Docker containers;edge computing;service migration</t>
  </si>
  <si>
    <t>6G mobile communication;Containers;Indexes</t>
  </si>
  <si>
    <t>G. K. Walia; M. Kumar; S. S. Gill</t>
  </si>
  <si>
    <t>AI-Empowered Fog/Edge Resource Management for IoT Applications: A Comprehensive Review, Research Challenges, and Future Perspectives</t>
  </si>
  <si>
    <t>10.1109/COMST.2023.3338015</t>
  </si>
  <si>
    <t>Department of Information Technology, Dr. B.R. Ambedkar National Institute of Technology, Jalandhar, India; Department of Information Technology, Dr. B.R. Ambedkar National Institute of Technology, Jalandhar, India; School of Electronic Engineering and Computer Science, Queen Mary University of London, London, U.K.</t>
  </si>
  <si>
    <t>The proliferation of ubiquitous Internet of Things (IoT) sensors and smart devices in several domains embracing healthcare, Industry 4.0, transportation and agriculture are giving rise to a prodigious amount of data requiring ever-increasing computations and services from cloud to the edge of the network. Fog/Edge computing is a promising and distributed computing paradigm that has drawn extensive attention from both industry and academia. The infrastructural efficiency of these computing paradigms necessitates adaptive resource management mechanisms for offloading decisions and efficient scheduling. Resource Management (RM) is a non-trivial issue whose complexity is the result of heterogeneous resources, incoming transactional workload, edge node discovery, and Quality of Service (QoS) parameters at the same time, which makes the efficacy of resources even more challenging. Hence, the researchers have adopted Artificial Intelligence (AI)-based techniques to resolve the above-mentioned issues. This paper offers a comprehensive review of resource management issues and challenges in Fog/Edge paradigm by categorizing them into provisioning of computing resources, task offloading, resource scheduling, service placement, and load balancing. In addition, existing AI and non-AI based state-of-the-art solutions have been discussed, along with their QoS metrics, datasets analysed, limitations and challenges. The survey provides mathematical formulation corresponding to each categorized resource management issue. Our work sheds light on promising research directions on cutting-edge technologies such as Serverless computing, 5G, Industrial IoT (IIoT), blockchain, digital twins, quantum computing, and Software-Defined Networking (SDN), which can be integrated with the existing frameworks of fog/edge-of-things paradigms to improve business intelligence and analytics amongst IoT-based applications.</t>
  </si>
  <si>
    <t>https://ieeexplore.ieee.org/stamp/stamp.jsp?arnumber=10335918</t>
  </si>
  <si>
    <t>Edge computing;resource management;fog computing;artificial intelligence;machine learning;cloud computing;IoT</t>
  </si>
  <si>
    <t>Internet of Things;Cloud computing;Sensors;Task analysis;Resource management;Surveys;Intelligent sensors</t>
  </si>
  <si>
    <t>J. Yang; J. Dai; H. B. Gooi; H. D. Nguyen; P. Wang</t>
  </si>
  <si>
    <t>Hierarchical Blockchain Design for Distributed Control and Energy Trading Within Microgrids</t>
  </si>
  <si>
    <t>10.1109/TSG.2022.3153693</t>
  </si>
  <si>
    <t>School of Electrical and Electronics Engineering, Nanyang Technological University, Singapore; School of Electrical and Electronics Engineering, Nanyang Technological University, Singapore; School of Electrical and Electronic Engineering, Nanyang Technological University, Singapore; Department of EEE, Nanyang Technological University, Singapore; Department of Electrical Engineering and Computer Science, York University, Toronto, ON, Canada</t>
  </si>
  <si>
    <t>Blockchain technology is recognized as a suitable tool to secure the energy trading because it could perfectly match the distributed structure of peer-to-peer (P2P) energy market. But its usage is stuck on the transaction level. Control systems are significant to the microgrid as they ensure a stable power delivery system and regulate the performance of parameters such as active power and frequency. This paper proves that the blockchain technology is also effective in securing the distributed control systems against the false data injection attack. A six-prosumer microgrid is tested with the implementation of the hierarchical blockchain system. The security of both the control system and energy trading system of the microgrid is ensured. Smart contracts are created to calculate the feedback measurements for the control system and execute the energy transactions. According to the hierarchical structure, the private blockchain with static nodes is implemented for the distributed control to match the sampling rate. A Proof-of-Authority based blockchain is utilized to support the energy trading. In addition, a double auction based simple iteration (DA-SI) pricing scheme is designed to improve the social welfare of the microgrid. Finally, case studies are presented to verify the proposed hierarchical blockchain system as an effective method to safeguard the control system and maximize the benefits of prosumers. Numerical results show the effectiveness and feasibility of the proposed approach.</t>
  </si>
  <si>
    <t xml:space="preserve">National Research Foundation, Singapore, and EMA-ESG, Singapore(grant numbers:NRF2019NRF-CG002-002); Agency for Science, Technology and Research (A*SATR), Singapore, under its Singapore-Germany Academic-Industry (2 + 2) International Collaboration(grant numbers:A1990b0060); </t>
  </si>
  <si>
    <t>https://ieeexplore.ieee.org/stamp/stamp.jsp?arnumber=9718520</t>
  </si>
  <si>
    <t>Distributed control;peer-to-peer energy trading;cyber-security;hierarchical blockchain;smart grid</t>
  </si>
  <si>
    <t>Blockchains;Microgrids;Peer-to-peer computing;Decentralized control;Pricing;Smart contracts;Game theory</t>
  </si>
  <si>
    <t>J. Fang; A. Ma</t>
  </si>
  <si>
    <t>IoT Application Modules Placement and Dynamic Task Processing in Edge-Cloud Computing</t>
  </si>
  <si>
    <t>10.1109/JIOT.2020.3007751</t>
  </si>
  <si>
    <t>Faculty of Information Technology, Beijing University of Technology, Beijing, China; Faculty of Information Technology, Beijing University of Technology, Beijing, China</t>
  </si>
  <si>
    <t>In today's era of Internet of Things (IoT), efficient and real-time processing of massive data generated by IoT device has become the primary issue for traditional cloud computing network architectures. As a supplement of cloud computing, edge computing enhances the real-time performance of service completion by offloading services to edge servers closer to the terminal device for execution, while reducing power consumption and computing load in the cloud. In this article, we propose the following solutions to resolve the different requests of the IoT device: in an ‚Äúedge-cloud‚Äù heterogeneous network environment, create a mapping scheme between application modules and basic resource equipment, considering the two factors of tolerant task latency and system power consumption. In the application step-by-step execution process, heuristic dynamic task processing algorithm is used to reduce the task latency time. Experiments with the ‚ÄúiFogSim‚Äù simulator show that, application service quality is significantly improved and system power consumption is greatly reduced, which compared with the stable application module placement strategy and the static task scheduling strategy.</t>
  </si>
  <si>
    <t xml:space="preserve">Beijing Natural Science Foundation(grant numbers:4192007); National Natural Science Foundation of China(grant numbers:61202076); </t>
  </si>
  <si>
    <t>https://ieeexplore.ieee.org/stamp/stamp.jsp?arnumber=9134385</t>
  </si>
  <si>
    <t>Edge computing;Internet-of-Things (IoT) service placement;resource allocation;task scheduling</t>
  </si>
  <si>
    <t>Task analysis;Cloud computing;Internet of Things;Edge computing;Processor scheduling;Network architecture;Servers</t>
  </si>
  <si>
    <t>S. Sarkar; R. Wankar; S. N. Srirama; N. K. Suryadevara</t>
  </si>
  <si>
    <t>Serverless Management of Sensing Systems for Fog Computing Framework</t>
  </si>
  <si>
    <t>10.1109/JSEN.2019.2939182</t>
  </si>
  <si>
    <t>School of Computer and Information Sciences, University of Hyderabad, Telangana, India; School of Computer and Information Sciences, University of Hyderabad, Telangana, India; Institute of Computer Science, University of Tartu, Tartu, Estonia; School of Computer and Information Sciences, University of Hyderabad, Telangana, India</t>
  </si>
  <si>
    <t>In this paper, we propose a framework for the management of the Internet of Things (IoT) devices in a smart building to model services based on the serverless computing paradigm. The deployment of an IoT compatible serverless paradigm consists of a hierarchical structural design across the edge, fog, and cloud computing layers. The fog/edge nodes collect the data generated from various sensors, process the data in the intermediate nodes, and then forward certain data to a cloud for future analysis. The framework consists of a heterogeneous IoT network. We proposed a data distribution algorithm in the framework to make sure management, maintenance and availability of heterogeneous IoT network in the serverless computing paradigm are effective and efficient. The experiments conducted are validated at the developed fog and edge gateways using API mechanism. The response times for an application doing the computation at fog level and at the cloud level are compared. The experimentation shows that latency is less for the fog model as compared to the data sent to the cloud model.</t>
  </si>
  <si>
    <t>https://ieeexplore.ieee.org/stamp/stamp.jsp?arnumber=8822951</t>
  </si>
  <si>
    <t>Wireless sensor network;smart building;fog computing;serverless computing;sensing systems</t>
  </si>
  <si>
    <t>Cloud computing;Computational modeling;Internet of Things;Edge computing;Data models;Intelligent sensors</t>
  </si>
  <si>
    <t>K. Zhang; Y. Shi; S. Karnouskos; T. Sauter; H. Fang; A. W. Colombo</t>
  </si>
  <si>
    <t>Advancements in Industrial Cyber-Physical Systems: An Overview and Perspectives</t>
  </si>
  <si>
    <t>10.1109/TII.2022.3199481</t>
  </si>
  <si>
    <t>Department of Mechanical Engineering, University of Victoria, Victoria, BC, Canada; Department of Mechanical Engineering, University of Victoria, Victoria, BC, Canada; SAP, Walldorf, Germany; Institute of Computer Technology, Vienna University of Technology, Vienna, Austria; Department of Mechanical Engineering, University of Kansas, Lawrence, KS, USA; Institute for Industrial Informatics, Automation and Robotics, University of Applied Sciences Emden/Leer, Emden, Germany</t>
  </si>
  <si>
    <t>Cyber-physical systems (CPSs) have attracted increasing attention in recent years due to their promise for substantial and long-term benefits to society, economy, environment, and citizens. In addition, the rapid advances in computing, communication, and storage technologies have resulted in a revolution in the information communication technology domain and domination in the industry context. The utilization of CPSs in industrial settings has led to industrial cyber-physical systems (ICPSs), which, in conjunction with the information-driven interactions, enables large-scale cooperation in industrial facilities and among all the stakeholders of the value chain. Hence, the research on ICPSs is essential, especially with respect to the engineering of such systems for industrial applications. This article presents an overview of recent developments in ICPSs. We first introduce the architecture of ICPSs. Then, we review the developments of ICPSs in relevant research domains. Finally, this article concludes by presenting some potential future research directions on ICPSs.</t>
  </si>
  <si>
    <t xml:space="preserve">Natural Sciences and Engineering Research Council of Canada; </t>
  </si>
  <si>
    <t>https://ieeexplore.ieee.org/stamp/stamp.jsp?arnumber=9860057</t>
  </si>
  <si>
    <t>Communication and networking;control;cyber security;industrial cyber-physical system (ICPS);information acquisition</t>
  </si>
  <si>
    <t>Production;Industries;Internet;Informatics;Fourth Industrial Revolution;Process control;Cloud computing</t>
  </si>
  <si>
    <t>S. Matoussi; I. Fajjari; S. Costanzo; N. Aitsaadi; R. Langar</t>
  </si>
  <si>
    <t>5G RAN: Functional Split Orchestration Optimization</t>
  </si>
  <si>
    <t>10.1109/JSAC.2020.2999685</t>
  </si>
  <si>
    <t>LIGM CNRS-UMR 8049, University Gustave Eiffel (UGE), Marne-la-Vall√©e, France; Orange-Labs, Ch√¢tillon, France; Orange-Labs, Ch√¢tillon, France; LI-PaRAD EA 7432, University UVSQ Paris-Saclay, Guyancourt, France; LIGM CNRS-UMR 8049, University Gustave Eiffel (UGE), Marne-la-Vall√©e, France</t>
  </si>
  <si>
    <t>5G RAN aims to evolve new technologies spanning the Cloud infrastructure, virtualization techniques and Software Defined Network capabilities. Advanced solutions are introduced to split the functions of the Radio Access Network (RAN) between centralized and distributed locations. Such paradigms improve RAN flexibility and reduce the infrastructure deployment cost without impacting the user quality of service. We propose a novel functional split orchestration scheme that aims at minimizing the RAN deployment cost, while considering the requirements of its processing network functions and the capabilities of the Cloud infrastructure. With a fine grained approach on user basis, we show that the proposed solution optimizes both processing and bandwidth resource usage, while minimizing the overall energy consumption compared to i) cell-centric, ii) distributed and iii) centralized Cloud-RAN approaches. Moreover, we evaluate the effectiveness of our proposal in a 5G experimental prototype, based on Open Air Interface (OAI). We show that our solution achieves good performance in terms of total deployment cost and resolution time.</t>
  </si>
  <si>
    <t xml:space="preserve">FUI SCORPION Project(grant numbers:17/00464); CNRS PRESS Project(grant numbers:239953); </t>
  </si>
  <si>
    <t>https://ieeexplore.ieee.org/stamp/stamp.jsp?arnumber=9107209</t>
  </si>
  <si>
    <t>C-RAN;NFV;functional split;heuristic;PSO;optimization;OAI</t>
  </si>
  <si>
    <t>Computer architecture;Computational modeling;Cloud computing;Bandwidth;5G mobile communication;Resource management;Optimization</t>
  </si>
  <si>
    <t>P. Wei; K. Guo; Y. Li; J. Wang; W. Feng; S. Jin; N. Ge; Y. -C. Liang</t>
  </si>
  <si>
    <t>Reinforcement Learning-Empowered Mobile Edge Computing for 6G Edge Intelligence</t>
  </si>
  <si>
    <t>10.1109/ACCESS.2022.3183647</t>
  </si>
  <si>
    <t>Beijing National Research Center for Information Science and Technology, Tsinghua University, Beijing, China; Shanghai Key Laboratory of Multidimensional Information Processing, School of Communications and Electronics Engineering, East China Normal University, Shanghai, China; School of Information Science and Technology, Nantong University, Nantong, China; School of Information Science and Technology, Nantong University, Nantong, China; Beijing National Research Center for Information Science and Technology, Tsinghua University, Beijing, China; National Mobile Communications Research Laboratory, Southeast University, Nanjing, China; Beijing National Research Center for Information Science and Technology, Tsinghua University, Beijing, China; National Key Laboratory on Communications, Center for Intelligent Networking and Communications, University of Electronic Science and Technology of China, Chengdu, China</t>
  </si>
  <si>
    <t>Mobile edge computing (MEC) is considered a novel paradigm for computation-intensive and delay-sensitive tasks in fifth generation (5G) networks and beyond. However, its uncertainty, referred to as dynamic and randomness, from the mobile device, wireless channel, and edge network sides, results in high-dimensional, nonconvex, nonlinear, and NP-hard optimization problems. Thanks to the evolved reinforcement learning (RL), upon iteratively interacting with the dynamic and random environment, its trained agent can intelligently obtain the optimal policy in MEC. Furthermore, its evolved versions, such as deep reinforcement learning (DRL), can achieve higher convergence speed efficiency and learning accuracy based on the parametric approximation for the large-scale state-action space. This paper provides a comprehensive research review on RL-enabled MEC and offers insight for development in this area. More importantly, associated with free mobility, dynamic channels, and distributed services, the MEC challenges that can be solved by different kinds of RL algorithms are identified, followed by how they can be solved by RL solutions in diverse mobile applications. Finally, the open challenges are discussed to provide helpful guidance for future research in RL training and learning MEC.</t>
  </si>
  <si>
    <t xml:space="preserve">National Key Research and Development Program of China(grant numbers:2020YFA0711301); National Natural Science Foundation of China(grant numbers:61941104,61901298,61922049,61801248,61771264); Natural Science Foundation of Tianjin(grant numbers:20JCQNJC00300); Science and Technology Development Fund of Tianjin Education Commission for Higher Education(grant numbers:2018KJ211); Shanghai Municipal Science and Technology Major Project(grant numbers:2018SHZDZX04); Tsinghua University‚ÄìChina Mobile Communications Group Company Ltd. Joint Institute; Natural Science Foundation of Jiangsu Province(grant numbers:BK20180943); </t>
  </si>
  <si>
    <t>https://ieeexplore.ieee.org/stamp/stamp.jsp?arnumber=9797722</t>
  </si>
  <si>
    <t>Mobile edge computing (MEC);network uncertainty;reinforcement learning (RL)</t>
  </si>
  <si>
    <t>Task analysis;Optimization;Uncertainty;Servers;Ions;Resource management;Multi-access edge computing</t>
  </si>
  <si>
    <t>Y. K. Kim; M. R. HoseinyFarahabady; Y. C. Lee; A. Y. Zomaya</t>
  </si>
  <si>
    <t>Automated Fine-Grained CPU Cap Control in Serverless Computing Platform</t>
  </si>
  <si>
    <t>10.1109/TPDS.2020.2989771</t>
  </si>
  <si>
    <t>University of Sydney, Camperdown, Australia; University of Sydney, Camperdown, Australia; Macquarie University, Macquarie Park, Australia; University of Sydney, Camperdown, Australia</t>
  </si>
  <si>
    <t>Serverless computing has emerged as a new cloud computing execution model that liberates users and application developers from explicitly managing `physical' resources, leaving such a resource management burden to service providers. In this article, we study the problem of resource allocation for multi-tenant serverless computing platforms explicitly taking into account workload fluctuations including sudden surges. In particular, we investigate different root causes of performance degradation in these platforms where tenants (their applications) have different workload characteristics. To this end, we develop a fine-grained CPU cap control solution as a resource manager that dynamically adjusts CPU usage limit (or CPU cap) concerning applications with same/similar performance requirements, i.e., application groups. The adjustment of CPU caps applies primarily to co-located worker processes of serverless computing platforms to minimize resource contention, which is the major source of performance degradation. The actual adjustment decisions are made based on performance metrics (e.g., throttled time and queue length) using a group-aware scheduling algorithm. The extensive experimental results performed in our local cluster confirm that the proposed resource manager can effectively eliminate the burden of explicit reservation of computing capacity, even when fluctuations and sudden surges in the incoming workload exist. We measure the robustness of the proposed resource manager by comparing it with several heuristics which extensively used in practice, including the enhanced version of round robin and the least length queue scheduling policies, under various workload intensities driven by real-world scenarios. Notably, our resource manager outperforms other heuristics by decreasing skewness and average response time up to 44 and 94 percent, respectively, while it does not over-use the CPU resources.</t>
  </si>
  <si>
    <t xml:space="preserve">Australian Research Council(grant numbers:DP190103710); </t>
  </si>
  <si>
    <t>https://ieeexplore.ieee.org/stamp/stamp.jsp?arnumber=9076860</t>
  </si>
  <si>
    <t>Serverless computing;virtualized cloud platforms;operating system process management;dynamic CPU scheduling;performance modeling</t>
  </si>
  <si>
    <t>Interference;Round robin;Time factors;Resource management;Measurement;Computer architecture</t>
  </si>
  <si>
    <t>R. Ranchal; P. Bastide; X. Wang; A. Gkoulalas-Divanis; M. Mehra; S. Bakthavachalam; H. Lei; A. Mohindra</t>
  </si>
  <si>
    <t>Disrupting Healthcare Silos: Addressing Data Volume, Velocity and Variety With a Cloud-Native Healthcare Data Ingestion Service</t>
  </si>
  <si>
    <t>IEEE Journal of Biomedical and Health Informatics</t>
  </si>
  <si>
    <t>2168-2208</t>
  </si>
  <si>
    <t>10.1109/JBHI.2020.3001518</t>
  </si>
  <si>
    <t>IBM Watson Health, Cambridge, MA, USA; IBM Watson Health, Cambridge, MA, USA; IBM Watson Health, Cambridge, MA, USA; IBM Watson Health, Cambridge, MA, USA; IBM Watson Health, Cambridge, MA, USA; IBM Watson Health, Cambridge, MA, USA; IBM Watson Health, Cambridge, MA, USA; IBM Watson Health, Cambridge, MA, USA</t>
  </si>
  <si>
    <t>Healthcare enterprises are starting to adopt cloud computing due to its numerous advantages over traditional infrastructures. This has become a necessity because of the increased volume, velocity and variety of healthcare data, and the need to facilitate data correlation and large-scale analysis. Cloud computing infrastructures have the power to offer continuous acquisition of data from multiple heterogeneous sources, efficient data integration, and big data analysis. At the same time, security, availability, and disaster recovery are critical factors aiding towards the adoption of cloud computing. However, the migration of healthcare workloads to cloud is not straightforward due to the vagueness in healthcare data standards, heterogeneity and sensitive nature of healthcare data, and many regulations that govern its usage. This paper highlights the need for providing healthcare data acquisition using cloud infrastructures and presents the challenges, requirements, use-cases, and best practices for building a state-of-the-art healthcare data ingestion service on cloud.</t>
  </si>
  <si>
    <t>https://ieeexplore.ieee.org/stamp/stamp.jsp?arnumber=9113446</t>
  </si>
  <si>
    <t>Cloud computing;electronic health record;healthcare information system;healthcare data ingestion</t>
  </si>
  <si>
    <t>Big Data;Cloud Computing;Computer Security;Delivery of Health Care;Eating;Humans</t>
  </si>
  <si>
    <t>Medical services;Cloud computing;Biomedical imaging;Informatics;Standards organizations;Interoperability</t>
  </si>
  <si>
    <t>Y. Yao; X. Chang; J. Mi≈°iƒá; V. Mi≈°iƒá</t>
  </si>
  <si>
    <t>Reliable and Secure Vehicular Fog Service Provision</t>
  </si>
  <si>
    <t>10.1109/JIOT.2018.2855718</t>
  </si>
  <si>
    <t>Beijing Key Laboratory of Security and Privacy in Intelligent Transportation, Beijing Jiaotong University, Beijing, China; Beijing Key Laboratory of Security and Privacy in Intelligent Transportation, Beijing Jiaotong University, Beijing, China; Department of Computer Science, Ryerson University, Toronto, Canada; Department of Computer Science, Ryerson University, Toronto, Canada</t>
  </si>
  <si>
    <t>Vehicular fog computing (VFC) complements vehicular cloud computing as a promising solution for accommodating the surge of mobile traffic and reducing latency. This paper considers vehicular fog service (VFS) provided by a vehicular fog (VF), which is formed on-the-fly by integrating computing and storage resources of parked vehicles. VF dynamicity, due to vehicles' random arrivals and departures, poses a number of challenges for reliable and secure VFS provision to client vehicles. We propose a novel mechanism which consists of a VF construction method and a VFS access method to ensure VFS reliability and security without sacrificing performance. The reliability and security of VFS under our mechanism are discussed in detail. Moreover, we investigate the impact of the proposed mechanism on VF throughput and show that the mechanism is lightweight enough to be used in the latency-sensitive VFC.</t>
  </si>
  <si>
    <t xml:space="preserve">National Natural Science Foundation of China(grant numbers:61572066); Natural Sciences and Engineering Research Council of Canada; </t>
  </si>
  <si>
    <t>https://ieeexplore.ieee.org/stamp/stamp.jsp?arnumber=8410666</t>
  </si>
  <si>
    <t>Quality of service;reliability;security;vehicular fog service (VFS)</t>
  </si>
  <si>
    <t>Reliability;Security;Cloud computing;Quality of service;Internet of Things;Edge computing;Delays</t>
  </si>
  <si>
    <t>S. Benedict</t>
  </si>
  <si>
    <t>Serverless Blockchain-Enabled Architecture for IoT Societal Applications</t>
  </si>
  <si>
    <t>IEEE Transactions on Computational Social Systems</t>
  </si>
  <si>
    <t>2329-924X</t>
  </si>
  <si>
    <t>10.1109/TCSS.2020.3008995</t>
  </si>
  <si>
    <t>Indian Institute of Information Technology Kottayam, Valavoor, India</t>
  </si>
  <si>
    <t>IoT-enabled applications, such as cloud manufacturing, guided water quality or air quality analysis, energy-conscious societal applications, and smart agricultural economics, are designed using a blend of high-end computing technologies, such as cloud, edge, and fog. Smart cities and governmental authorities keep a keen eye out for implementing IoT applications in an automated/decentralized approach with enhanced security measures so that tens of thousands of users, including entrepreneurs, are benefited. Existing IoT architectures are prone to energy inefficiency or resource underutilization problems due to the avoidance of apt technologies, such as serverless computing. This article proposes to set forth a serverless blockchain-enabled IoT architecture for societal applications. It explores the existing IoT architectures and pinpoints the advantages of applying serverless blockchains on IoT architectures. In addition, the proposed IoT architecture is illustrated with a specific use case of IoT societal applications namely air quality monitoring for smart cities (AQMS). This article discloses how air quality sensor data from defective industries were securely transacted to blockchain networks surpassing from the three levels of computing namely edge, fog, and cloud while utilizing serverless and server-oriented functions. In addition, this article exposes a list of the most potent serverless functions that assist AQMS IoT societal applications in detail. The IoT architecture, discussed in this article, will enable innovations and research works for IoT developers and researchers.</t>
  </si>
  <si>
    <t xml:space="preserve">AIC-IIITKottayam; BEL Projects; </t>
  </si>
  <si>
    <t>https://ieeexplore.ieee.org/stamp/stamp.jsp?arnumber=9149700</t>
  </si>
  <si>
    <t>Blockchain;cloud computing;decentralized services;IoT;societal applications</t>
  </si>
  <si>
    <t>Cloud computing;Computer architecture;Air quality;Atmospheric measurements;Pollution measurement;Servers</t>
  </si>
  <si>
    <t>M. Usman; S. Ferlin; A. Brunstrom; J. Taheri</t>
  </si>
  <si>
    <t>A Survey on Observability of Distributed Edge &amp; Container-Based Microservices</t>
  </si>
  <si>
    <t>10.1109/ACCESS.2022.3193102</t>
  </si>
  <si>
    <t>Department of Computer Science, Karlstad University, Karlstad, Sweden; Department of Computer Science, Karlstad University, Karlstad, Sweden; Department of Computer Science, Karlstad University, Karlstad, Sweden; Department of Computer Science, Karlstad University, Karlstad, Sweden</t>
  </si>
  <si>
    <t>Edge computing is proposed as a technical enabler for meeting emerging network technologies (such as 5G and Industrial Internet of Things), stringent application requirements and key performance indicators (KPIs). It aims to alleviate the problems associated with centralized cloud computing systems by placing computational resources to the network‚Äôs edge, closer to the users. However, the complexity of distributed edge infrastructures grows when hosting containerized workloads as microservices, resulting in hard to detect and troubleshoot outages on critical use cases such as industrial automation processes. Observability aims to support operators in managing and operating complex distributed infrastructures and microservices architectures by instrumenting end-to-end runtime performance. To the best of our knowledge, no survey article has been recently proposed for distributed edge and containerized microservices observability. Thus, this article surveys and classifies state-of-the-art solutions from various communities. Besides surveying state-of-the-art, this article also discusses the observability concept, requirements, and design considerations. Finally, we discuss open research issues as well as future research directions that will inspire additional research in this area.</t>
  </si>
  <si>
    <t xml:space="preserve">Knowledge Foundation of Sweden (KKS) through the Synergy Project AIDA‚ÄîA Holistic AI-Driven Networking and Processing Framework for Industrial IoT(grant numbers:Rek:20200067); </t>
  </si>
  <si>
    <t>https://ieeexplore.ieee.org/stamp/stamp.jsp?arnumber=9837035</t>
  </si>
  <si>
    <t>Automation;cloud-native;containers;DevOps;edge;Industrial Internet of Things (IIoT);microservices;monitoring;observability;operation;software-defined infrastructure;visibility</t>
  </si>
  <si>
    <t>Monitoring;Observability;Cloud computing;Microservice architectures;Computer architecture;Industrial Internet of Things;Image edge detection</t>
  </si>
  <si>
    <t>A. U. Rehman; R. L. Aguiar; J. P. Barraca</t>
  </si>
  <si>
    <t>Network Functions Virtualization: The Long Road to Commercial Deployments</t>
  </si>
  <si>
    <t>10.1109/ACCESS.2019.2915195</t>
  </si>
  <si>
    <t>Instituto de Telecomunica√ß√µes, Aveiro, Portugal; Instituto de Telecomunica√ß√µes, Aveiro, Portugal; Instituto de Telecomunica√ß√µes, Aveiro, Portugal</t>
  </si>
  <si>
    <t>Network operators are under pressure to offer efficient network-based services while keeping service deployment costs to a minimum. Network functions virtualization (NFV) can potentially revolutionize network-based services bringing low-deployment costs for network operators. The NFV has been introduced to ultimately extend the non-proprietary and open-standard-based model to network and service deployments, significant improvements to today‚Äôs proprietary locked implementations. Notwithstanding the continuous efforts of both academia and industry to support the NFV paradigm, the current NFV solutions offered are still in its infancy. In this survey, we provide a detailed background of NFV to establish a comprehensive understanding of the subject, ranging from the basics to more advanced topics. Moreover, we offer a comprehensive overview of the NFV main concepts, standardization efforts, the benefits of NFV, and discussions of the NFV architecture as defined by the European telecommunications standardization institute (ETSI). Furthermore, we discuss the NFV applicability and current open source projects. We then highlight NFV requirements, design considerations, and developmental architectural impairments and barriers to commercial NFV deployments. Finally, we conclude enumerating future directions for NFV development.</t>
  </si>
  <si>
    <t xml:space="preserve">FCT/MEC through national funds; FEDER - PT2020 partnership agreement(grant numbers:UID/EEA/50008/2019); Funda√ß√£o para a Ci√™ncia e a Tecnologia(grant numbers:PD/BD/113822/2015); </t>
  </si>
  <si>
    <t>https://ieeexplore.ieee.org/stamp/stamp.jsp?arnumber=8708314</t>
  </si>
  <si>
    <t>Network functions virtualization;virtual network functions;server virtualization;hypervisors;containers;Unikernels;network management and orchestration;network programmability;network softwarization</t>
  </si>
  <si>
    <t>Virtualization;Telecommunications;Hardware;Software;Roads;Computer architecture;Overlay networks</t>
  </si>
  <si>
    <t>C. Guerrero; I. Lera; B. Bermejo; C. Juiz</t>
  </si>
  <si>
    <t>Multi-Objective Optimization for Virtual Machine Allocation and Replica Placement in Virtualized Hadoop</t>
  </si>
  <si>
    <t>10.1109/TPDS.2018.2837743</t>
  </si>
  <si>
    <t>Computer Science Department, Balearic Islands University, Palma, Spain; Computer Science Department, Balearic Islands University, Palma, Spain; Computer Science Department, Balearic Islands University, Palma, Spain; Computer Science Department, Balearic Islands University, Palma, Spain</t>
  </si>
  <si>
    <t>Resource management is a key factor in the performance and efficient utilization of cloud systems, and many research works have proposed efficient policies to optimize such systems. However, these policies have traditionally managed the resources individually, neglecting the complexity of cloud systems and the interrelation between their elements. To illustrate this situation, we present an approach focused on virtualized Hadoop for a simultaneous and coordinated management of virtual machines and file replicas. Specifically, we propose determining the virtual machine allocation, virtual machine template selection, and file replica placement with the objective of minimizing the power consumption, physical resource waste, and file unavailability. We implemented our solution using the non-dominated sorting genetic algorithm-II, which is a multi-objective optimization algorithm. Our approach obtained important benefits in terms of file unavailability and resource waste, with overall improvements of approximately 400 and 170 percent compared to three other optimization strategies. The benefits for the power consumption were smaller, with an improvement of approximately 1.9 percent.</t>
  </si>
  <si>
    <t xml:space="preserve">Spanish Government; Agencia Estatal de Investigaci√≥n; European Commission; Fondo Europeo de Desarrollo Regional(grant numbers:TIN2017-88547-P); MINECO/AEI/FEDER; </t>
  </si>
  <si>
    <t>https://ieeexplore.ieee.org/stamp/stamp.jsp?arnumber=8360490</t>
  </si>
  <si>
    <t>Virtual machine allocation;file replica placement;hadoop;evolutionary computing and genetic algorithms</t>
  </si>
  <si>
    <t>Resource management;Power demand;Genetic algorithms;Optimization;Virtual machining;Cloud computing;Sorting</t>
  </si>
  <si>
    <t>A. Bucchiarone; S. Battisti; A. Marconi; R. Maldacea; D. C. Ponce</t>
  </si>
  <si>
    <t>Autonomous Shuttle-as-a-Service (ASaaS): Challenges, Opportunities, and Social Implications</t>
  </si>
  <si>
    <t>IEEE Transactions on Intelligent Transportation Systems</t>
  </si>
  <si>
    <t>1558-0016</t>
  </si>
  <si>
    <t>10.1109/TITS.2020.3025670</t>
  </si>
  <si>
    <t>Fondazione Bruno Kessler, Trento, Italy; Fondazione Bruno Kessler, Trento, Italy; Fondazione Bruno Kessler, Trento, Italy; I-Mobility Garage, Verona, Italy; Navya Tech, Lyon, France</t>
  </si>
  <si>
    <t>Providing mobility services effectively to residents and visitors is a complex socio-technical system task to city public managers. Smart mobility systems aim to support the efficient exploitation of city transport facilities and sustainable mobility within the urban environment. People need to travel quickly and conveniently between locations at different scales, ranging from a few blocks within a city to a journey across cities. At the same time, goods need to be timely delivered, considering both the users and the businesses' needs. Several cities indicated an interest in using Autonomous Vehicles (AV) for the ‚Äúlast-mile‚Äù mobility services in the last few years. With them, it seems to be easier to get people and goods around using fewer vehicles. In this context, Autonomous Shuttles (AS) are beginning to be thought of as a new mobility/delivery service into the city center where narrow streets are not easily served by traditional buses. They allow them to perform critical areas with minimal new infrastructure and reduce noise and pollution. The article analyses the state-of-art on autonomous shuttles by proposing four application scenarios targeting the last-mile delivery of goods, the tourist experiences, and the shared and integrated mobility. Furthermore, we contribute with the proposition of the Autonomous Shuttles-as-a service (ASaaS) concept as the key pillar for the realization of innovative and sustainable proximity mobility. Our research proposed new research challenges for ASaaS, and we discuss social implications and governance challenges that consider user engagement and sustainability. It also recommended extending new research to focus on simulation and machine learning techniques for last-mile mobility planning and explore the journeys tracking certification via artificial intelligence and blockchain-based techniques.</t>
  </si>
  <si>
    <t>https://ieeexplore.ieee.org/stamp/stamp.jsp?arnumber=9210552</t>
  </si>
  <si>
    <t>Smart mobility;autonomous shuttles;proximity mobility;last mile delivery;mobility services</t>
  </si>
  <si>
    <t>Autonomous vehicles;Biological system modeling;Automobiles;Safety;Smart cities</t>
  </si>
  <si>
    <t>A. K. Bashir; N. Victor; S. Bhattacharya; T. Huynh-The; R. Chengoden; G. Yenduri; P. K. R. Maddikunta; Q. -V. Pham; T. R. Gadekallu; M. Liyanage</t>
  </si>
  <si>
    <t>Federated Learning for the Healthcare Metaverse: Concepts, Applications, Challenges, and Future Directions</t>
  </si>
  <si>
    <t>10.1109/JIOT.2023.3304790</t>
  </si>
  <si>
    <t>Department of Computing and Mathematics, Manchester Metropolitan University, Manchester, U.K.; School of Information Technology, Vellore Institute of Technology, Vellore, India; School of Information Technology, Vellore Institute of Technology, Vellore, India; Department of Computer and Communications Engineering, Ho Chi Minh City University of Technology and Education, Ho Chi Minh City, Vietnam; School of Information Technology, Vellore Institute of Technology, Vellore, India; School of Information Technology, Vellore Institute of Technology, Vellore, India; School of Information Technology, Vellore Institute of Technology, Vellore, India; School of Computer Science and Statistics, Trinity College Dublin, The University of Dublin, Dublin 2, Ireland; School of Information Technology, Vellore Institute of Technology, Vellore, India; School of Computer Science, University College Dublin, D04 V1W8, Ireland</t>
  </si>
  <si>
    <t>Recent technological advancements have considerably improved healthcare systems to provide various intelligent services, improving life quality. The Metaverse, often described as the next evolution of the Internet, helps the users interact with each other and the environment, thus offering a seamless connection between the virtual and physical worlds. Additionally, the Metaverse, by integrating emerging technologies, such as artificial intelligence (AI), cloud edge computing, Internet of Things (IoT), blockchain, and semantic communications, can potentially transform many vertical domains in general and the healthcare sector (healthcare Metaverse) in particular. The healthcare Metaverse holds huge potential to revolutionize the development of intelligent healthcare systems, thus presenting new opportunities for significant advancements in healthcare delivery, personalized healthcare experiences, medical education, collaborative research, and so on. However, various challenges are associated with the realization of the healthcare Metaverse, such as privacy, interoperability, data management, and security. Federated learning (FL), a new branch of AI, opens up enormous opportunities to deal with the aforementioned challenges in the healthcare Metaverse by exploiting the data and computing resources available at the distributed devices. This motivated us to present a survey on adopting FL for the healthcare Metaverse. Initially, we present the preliminaries of IoT-based healthcare systems, FL in conventional healthcare, and the healthcare Metaverse. Furthermore, the benefits of the FL in the healthcare Metaverse are discussed. Subsequently, we discuss the several applications of FL-enabled healthcare Metaverse, including medical diagnosis, patient monitoring, medical education, infectious disease, and drug discovery. Finally, we highlight the significant challenges and potential solutions toward realizing FL in the healthcare Metaverse.</t>
  </si>
  <si>
    <t xml:space="preserve">European Union in SPATIAL(grant numbers:101021808); CONFIDENTIAL-6G(grant numbers:101096435); Science Foundation Ireland under CONNECT Phase 2 Projects(grant numbers:13/RC/2077_P2); </t>
  </si>
  <si>
    <t>https://ieeexplore.ieee.org/stamp/stamp.jsp?arnumber=10215363</t>
  </si>
  <si>
    <t>Cobots;digital twins;disease diagnosis;federated learning (FL);healthcare;healthcare metaverse;metaverse</t>
  </si>
  <si>
    <t>Medical services;Metaverse;Data privacy;Medical diagnostic imaging;Artificial intelligence;Collaboration;Security</t>
  </si>
  <si>
    <t>S. R. Chaudhry; A. Palade; A. Kazmi; S. Clarke</t>
  </si>
  <si>
    <t>Improved QoS at the Edge Using Serverless Computing to Deploy Virtual Network Functions</t>
  </si>
  <si>
    <t>10.1109/JIOT.2020.3011057</t>
  </si>
  <si>
    <t>School of Computer Science and Statistics, Trinity College Dublin, Dublin, Ireland; School of Computer Science and Statistics, Trinity College Dublin, Dublin, Ireland; School of Computer Science and Statistics, Trinity College Dublin, Dublin, Ireland; School of Computer Science and Statistics, Trinity College Dublin, Dublin, Ireland</t>
  </si>
  <si>
    <t>Multiaccess edge computing (MEC) will strengthen forthcoming 5G networks by improving the Quality of Service (QoS), in particular, reducing latency, increasing data processing rates, and providing real-time information to develop high-value Internet-of-Things (IoT) services. To enable data-intensive network services and support advanced analytics, many network operators have proposed to integrate MEC systems with network function virtualization (NFV) consolidating virtual network functions (VNFs) and edge capabilities on a shared infrastructure. As of yet, this integration is not fully established, with various architectural issues currently open, even at standardization level. For instance, any update to VNFs deployed in a MEC system requires a time-consuming manual effort, which affects the overall infrastructure operations. To address these pitfalls, VNFs can be decomposed into microservices, which maintain their own states and exhibit different resource consumption requirements. This article presents an approach to integration that leverages serverless computing to merge MEC and NFV at the system level and to deploy VNFs on demand, by combining MEC functional blocks with an NFV orchestrator using a Kubernetes cluster. We further investigate whether the resource utilization of a MEC system can be improved by leveraging networked FPGA-enabled MEC servers, through an extension of the edge layer that takes advantage of available programmable hardware. We quantitatively evaluate and demonstrate the improvement of 75% end-to-end latency, 99.96% VNF execution time, 26.9% resource utilization, and 15.8% energy consumption in comparison with traditional baselines of cloud, edge, and serverless-edge test cases for a high-definition real-time video streaming application.</t>
  </si>
  <si>
    <t xml:space="preserve">Science Foundation Ireland (SFI)(grant numbers:16/SP/3804); Enable Research Programme; </t>
  </si>
  <si>
    <t>https://ieeexplore.ieee.org/stamp/stamp.jsp?arnumber=9145582</t>
  </si>
  <si>
    <t>Edge computing;networked FPGA;serverless computing;virtual network functions (VNFs) and data security</t>
  </si>
  <si>
    <t>Hardware;Internet of Things;Field programmable gate arrays;Streaming media;Servers;Task analysis;Quality of service</t>
  </si>
  <si>
    <t>M. Antonini; M. Vecchio; F. Antonelli; P. Ducange; C. Perera</t>
  </si>
  <si>
    <t>Smart Audio Sensors in the Internet of Things Edge for Anomaly Detection</t>
  </si>
  <si>
    <t>10.1109/ACCESS.2018.2877523</t>
  </si>
  <si>
    <t>OpenIoT Research Unit, FBK CREATE-NET, Povo (TN), Italy; OpenIoT Research Unit, FBK CREATE-NET, Povo (TN), Italy; OpenIoT Research Unit, FBK CREATE-NET, Povo (TN), Italy; SMARTEST Research Centre, ECampus University, Novedrate (CO), Italy; School of Computer Science and Informatics, Cardiff University, Cardiff, U.K.</t>
  </si>
  <si>
    <t>Everyday objects are becoming smart enough to directly connect to other nearby and remote objects and systems. These objects increasingly interact with machine learning applications that perform feature extraction and model inference in the cloud. However, this approach poses several challenges due to latency, privacy, and dependency on network connectivity between data producers and consumers. To alleviate these limitations, computation should be moved as much as possible towards the IoT edge, that is on gateways, if not directly on data producers. In this paper, we propose a design framework for smart audio sensors able to record and pre-process raw audio streams, before wirelessly transmitting the computed audio features to a modular IoT gateway. In this paper, an anomaly detection algorithm executed as a micro-service is capable of analyzing the received features, hence detecting audio anomalies in real-time. First, to assess the effectiveness of the proposed solution, we deployed a real smart environment showcase. More in detail, we adopted two different anomaly detection algorithms, namely Elliptic Envelope and Isolation Forest, that were purposely trained and deployed on an affordable IoT gateway to detect anomalous sound events happening in an office environment. Then, we numerically compared both the deployments, in terms of end-to-end latency and gateway CPU load, also deriving some ideal capacity bounds.</t>
  </si>
  <si>
    <t xml:space="preserve">Horizon 2020 Framework Programme(grant numbers:688088); </t>
  </si>
  <si>
    <t>https://ieeexplore.ieee.org/stamp/stamp.jsp?arnumber=8502761</t>
  </si>
  <si>
    <t>Anomaly detection;digital signal processing;edge computing;embedded devices;Internet of Things;IoT gateway;machine learning;novelty detection;open-source platforms;outlier detection</t>
  </si>
  <si>
    <t>Anomaly detection;Logic gates;Intelligent sensors;Synthetic aperture sonar;Internet of Things;Software</t>
  </si>
  <si>
    <t>F. Shirin Abkenar; P. Ramezani; S. Iranmanesh; S. Murali; D. Chulerttiyawong; X. Wan; A. Jamalipour; R. Raad</t>
  </si>
  <si>
    <t>A Survey on Mobility of Edge Computing Networks in IoT: State-of-the-Art, Architectures, and Challenges</t>
  </si>
  <si>
    <t>10.1109/COMST.2022.3211462</t>
  </si>
  <si>
    <t>WiNG Lab, School of Electrical and Information Engineering, The University of Sydney, Sydney, NSW, Australia; WiNG Lab, School of Electrical and Information Engineering, The University of Sydney, Sydney, NSW, Australia; School of Electrical, Computer and Telecommunication Engineering, University of Wollongong, Wollongong, NSW, Australia; WiNG Lab, School of Electrical and Information Engineering, The University of Sydney, Sydney, NSW, Australia; WiNG Lab, School of Electrical and Information Engineering, The University of Sydney, Sydney, NSW, Australia; WiNG Lab, School of Electrical and Information Engineering, The University of Sydney, Sydney, NSW, Australia; WiNG Lab, School of Electrical and Information Engineering, The University of Sydney, Sydney, NSW, Australia; School of Electrical, Computer and Telecommunication Engineering, University of Wollongong, Wollongong, NSW, Australia</t>
  </si>
  <si>
    <t>Edge computing leverages computing resources closer to the end-users at the edge of the network, rather than distant cloud servers in the centralized IoT architecture. Edge computing nodes (ECNs), experience less transmission latency and usually save on energy while network overheads are mitigated. The ECNs can be fixed or mobile in their positions. We will focus on mobile ECNs in this survey. This paper presents a comprehensive survey on mobile ECNs and identifies some open research questions. In particular, mobile ECNs are classified into four categories, namely aerial, ground vehicular, spatial, and maritime nodes. For each specific group, any mutual basic terms used in the state-of-the-art are described, different types of nodes employed in the group are reviewed, the general network architecture is introduced, the existing methods and algorithms are studied, and the challenges that the group is scrimmaging against are explored. Moreover, the integrated architectures are surveyed, wherein two different categories of the aforementioned nodes jointly play the role of ECNs in the network. Finally, the research gaps, that are yet to be filled in the area of mobile ECNs, are discussed along with directions for future research and investigation in this promising area.</t>
  </si>
  <si>
    <t>https://ieeexplore.ieee.org/stamp/stamp.jsp?arnumber=9910565</t>
  </si>
  <si>
    <t>Mobile edge computing nodes;aerial nodes;ground vehicular nodes;spatial nodes;maritime vessels;architectures;challenges;applications</t>
  </si>
  <si>
    <t>Cloud computing;Task analysis;Internet of Things;Edge computing;Computer architecture;Servers;Delays</t>
  </si>
  <si>
    <t>F. Guim; T. Metsch; H. Moustafa; T. Verrall; D. Carrera; N. Cadenelli; J. Chen; D. Doria; C. Ghadie; R. G. Prats</t>
  </si>
  <si>
    <t>Autonomous Lifecycle Management for Resource-Efficient Workload Orchestration for Green Edge Computing</t>
  </si>
  <si>
    <t>10.1109/TGCN.2021.3127531</t>
  </si>
  <si>
    <t>Network and Edge Group, Intel Corporation, Santa Clara, CA, USA; Network and Edge Group, Intel Corporation, Santa Clara, CA, USA; Network and Edge Group, Intel Corporation, Santa Clara, CA, USA; Network and Edge Group, Intel Corporation, Santa Clara, CA, USA; Edge Computing Department, NearbyComputing, Barcelona, Spain; Edge Computing Department, NearbyComputing, Barcelona, Spain; Edge Computing Department, Lenovo Group Ltd., Ottawa, ON, Canada; Edge Computing Department, Lenovo Group Ltd., Ottawa, ON, Canada; Edge Computing Department, Lenovo Group Ltd., Ottawa, ON, Canada; Edge Computing Department, Cellnex Telecom, Barcelona, Spain</t>
  </si>
  <si>
    <t>Edge computing is an important pillar for green computation by bringing the Cloud resources to the Edge, serving real-time applications, and reducing the computing and network resources required to transfer data for processing in the Cloud. 5G brings network densification and enables massive IoT and V2X applications, which triggers the need for edge computing to host network functions and user-facing services in a converged edge platform(s). Several edge computing deployments are being observed by ecosystem players (telco, ISVs, chip vendors, CSPs, ‚Ä¶ etc.) for IoT or V2X services, however, focusing on converged network functions and services. The point that is still in its early stages is the dynamic workload orchestration across the converged edge platforms running network functions and multi-tenant IoT services with different compute requirements and different Service Level Objectives (SLOs). This paper focuses on autonomous life cycle management for converged edge platform(s) to enable resource-efficient workload orchestration, contributing to the green goal. We present a solution for intelligent dynamic resources configuration on edge computing platforms hosting multi-tenant services while guaranteeing the SLO for each service and helping green communication goal. The presented solution has been deployed in a trial, and we present results on efficient resources configuration.</t>
  </si>
  <si>
    <t>https://ieeexplore.ieee.org/stamp/stamp.jsp?arnumber=9612603</t>
  </si>
  <si>
    <t>Edge computing;edge analytics;intelligent orchestration;resource efficient orchestration;platform resources awareness</t>
  </si>
  <si>
    <t>Edge computing;Real-time systems;Logic gates;Dynamic scheduling;Cloud computing;Quality of service;5G mobile communication</t>
  </si>
  <si>
    <t>Q. Duan; J. Huang; S. Hu; R. Deng; Z. Lu; S. Yu</t>
  </si>
  <si>
    <t>Combining Federated Learning and Edge Computing Toward Ubiquitous Intelligence in 6G Network: Challenges, Recent Advances, and Future Directions</t>
  </si>
  <si>
    <t>10.1109/COMST.2023.3316615</t>
  </si>
  <si>
    <t>Information Sciences and Technology Department, The Pennsylvania State University, Abington, PA, USA; Electrical Engineering and Computer Science Department, South Dakota State University, Brookings, SD, USA; School of Computer Science, Fudan University, Shanghai, China; School of Computer Science, Fudan University, Shanghai, China; School of Computer Science, Fudan University, Shanghai, China; School of Computer Science, University of Technology Sydney, Sydney, NSW, Australia</t>
  </si>
  <si>
    <t>Full leverage of the huge volume of data generated on a large number of user devices for providing intelligent services in the 6G network calls for Ubiquitous Intelligence (UI). A key to developing UI lies in the involvement of the large number of network devices, which contribute their data to collaborative Machine Learning (ML) and provide their computational resources to support the learning process. Federated Learning (FL) is a new ML method that enables data owners to collaborate in model training without exposing private data, which allows user devices to contribute their data to developing UI. Edge computing deploys cloud-like capabilities at the network edge, which enables network devices to offer their computational resources for supporting FL. Therefore, a combination of FL and edge computing may greatly facilitate the development of ubiquitous intelligence in the 6G network. In this article, we present a comprehensive survey of the recent developments in technologies for combining FL and edge computing with a holistic vision across the fields of FL and edge computing. We conduct our survey from both the perspective of an FL framework deployed in an edge computing environment (FL in Edge) and the perspective of an edge computing system providing a platform for FL (Edge for FL). From the FL in Edge perspective, we first identify the main challenges to FL in edge computing and then survey the representative technical strategies for addressing the challenges. From the Edge for FL perspective, we first analyze the key requirements for edge computing to support FL and then review the recent advances in edge computing technologies that may be exploited to meet the requirements. Then we discuss open problems and identify some possible directions for future research on combining FL and edge computing, with the hope of arousing the research community‚Äôs interest in this emerging and exciting interdisciplinary field.</t>
  </si>
  <si>
    <t xml:space="preserve">Shanghai Science and Technology Project(grant numbers:22510761000); National Natural Science Foundation of China(grant numbers:61873309,92046024,92146002); </t>
  </si>
  <si>
    <t>https://ieeexplore.ieee.org/stamp/stamp.jsp?arnumber=10258360</t>
  </si>
  <si>
    <t>Federated learning;edge computing;ubiquitous intelligence;6G network</t>
  </si>
  <si>
    <t>Edge computing;Surveys;6G mobile communication;Training;Computational modeling;Internet of Things;Federated learning</t>
  </si>
  <si>
    <t>I. Ali; I. Ahmedy; A. Gani; M. U. Munir; M. H. Anisi</t>
  </si>
  <si>
    <t>Data Collection in Studies on Internet of Things (IoT), Wireless Sensor Networks (WSNs), and Sensor Cloud (SC): Similarities and Differences</t>
  </si>
  <si>
    <t>10.1109/ACCESS.2022.3161929</t>
  </si>
  <si>
    <t>Department of Information Systems, Faculty of Computer Science and Information Technology, Universiti Malaya, Kuala Lumpur, Malaysia; Department of Information Systems, Faculty of Computer Science and Information Technology, Universiti Malaya, Kuala Lumpur, Malaysia; Department of Information Systems, Faculty of Computer Science and Information Technology, Universiti Malaya, Kuala Lumpur, Malaysia; Department of Information Systems, Faculty of Computer Science and Information Technology, Universiti Malaya, Kuala Lumpur, Malaysia; School of Computer Science and Electronic Engineering, University of Essex, Colchester, U.K.</t>
  </si>
  <si>
    <t>Data collection is an essential part of sensor devices, particularly in such technologies like Internet of Things (IoT), wireless sensor networks (WSN), and sensor cloud (SC). In recent years, various literature had been published in these research areas to propose different models, architectures, and contributions in the domains. Due to the importance of efficient data collection regarding reducing energy consumption, latency, network lifetime, and general cost, a momentous literature volume has been published to facilitate data collection. Hence, review studies have been conducted on data collection in these domains in isolation. However, a lack of comprehensive review collectively identifies and analyzes the differences and similarities among the data collection proposals in IoT, WSN, and SC. The main objective of this research is to conduct a comprehensive survey to explore the current state, use cases, contributions, performance measures, evaluation measures, and architecture in the IoT, WSN, and SC research domains. The findings indicate that studies on data collection in IoT, WSN, and SC are relatively consistent with stable output in the last five years. Nine novel contributions are found with models, algorithms, and frameworks being the most utilized by the selected studies. In conclusion, key research challenges and future research directions have been identified and discussed.</t>
  </si>
  <si>
    <t xml:space="preserve">Ministry of Higher Education Malaysia Fundamental Research Grant Scheme (FRGS)(grant numbers:FRGS/1/2019/ICT03/UM/02/2); Faculty of Computer Science and Information Technology, University of Malaya(grant numbers:PG035-2016A); </t>
  </si>
  <si>
    <t>https://ieeexplore.ieee.org/stamp/stamp.jsp?arnumber=9740691</t>
  </si>
  <si>
    <t>Data collection in sensor cloud (SC);data collection in wireless sensor networks (WSNs);data collection in Internet of Things (IoT);sensor cloud;similarity and difference;architecture;models;algorithms;frameworks</t>
  </si>
  <si>
    <t>Data collection;Wireless sensor networks;Cloud computing;Internet of Things;Wireless communication;Taxonomy;Sensors</t>
  </si>
  <si>
    <t>S. A. Bhat; I. B. Sofi; C. -Y. Chi</t>
  </si>
  <si>
    <t>Edge Computing and Its Convergence With Blockchain in 5G and Beyond: Security, Challenges, and Opportunities</t>
  </si>
  <si>
    <t>10.1109/ACCESS.2020.3037108</t>
  </si>
  <si>
    <t>Department of Electrical Engineering, Institute of Communications Engineering, National Tsing Hua University, Hsinchu, Taiwan; School of Electronics and Electrical Engineering, Lovely Professional University, Phagwara, India; Department of Electrical Engineering, Institute of Communications Engineering, National Tsing Hua University, Hsinchu, Taiwan</t>
  </si>
  <si>
    <t>The internet is progressing towards a new technology archetype grounded on smart systems, heavily relying on artificial intelligence (AI), machine learning (ML), blockchain platforms, edge computing, and the internet of things (IoT). The merging of IoT, edge computing, and blockchain will be the most important factor of empowering new automatic service and commercial models with various desirable properties, such as self-verifying, self-executing, immutability, data reliability, and confidentiality provided by the advancement in blockchain smart contracts and containers. Motivated by the potential paradigm shift and the security features brought by blockchain from the traditional centralized model to a more robust and resilient decentralized model, this tutorial article proposes a multi-tier integrated blockchain and edge computing architecture for 5G and beyond for solving some security issues faced by resource-constrained edge devices. We begin with a comprehensive overview of different edge computing paradigms and their research challenges. Next, we present the classification of security threats and current defense mechanisms. Then, we present an overview of blockchain and its potential solutions to the main security issues in edge computing. Furthermore, we present the classification of facilitating developers of different architectures to select an appropriate platform for particular applications and offer insights for potential research directions. Finally, we provide key convergence features of the blockchain and edge computing, followed by some conclusions.</t>
  </si>
  <si>
    <t xml:space="preserve">Ministry of Science and Technology (MOST), Taiwan(grant numbers:MOST 108-2221-E-007-012,MOST 109-2221-E007-088); </t>
  </si>
  <si>
    <t>https://ieeexplore.ieee.org/stamp/stamp.jsp?arnumber=9253517</t>
  </si>
  <si>
    <t>Cloud computing;blockchain;edge computing;mist computing;fog computing;security and privacy;5G;cloudlets;server-less computing;consensus process;smart contracts;blockchain platforms</t>
  </si>
  <si>
    <t>Blockchain;Edge computing;Security;5G mobile communication;Computer architecture;Convergence;Cloud computing</t>
  </si>
  <si>
    <t>L. Wang; X. Deng; J. Gui; X. Chen; S. Wan</t>
  </si>
  <si>
    <t>Microservice-Oriented Service Placement for Mobile Edge Computing in Sustainable Internet of Vehicles</t>
  </si>
  <si>
    <t>10.1109/TITS.2023.3274307</t>
  </si>
  <si>
    <t>School of Computer Science and Engineering, Central South University, Changsha, China; School of Computer Science and Engineering, Central South University, Changsha, China; School of Computer Science and Engineering, Central South University, Changsha, China; School of Computer Science and Engineering, Central South University, Changsha, China; Shenzhen Institute for Advanced Study, University of Electronic Science and Technology of China, Shenzhen, China</t>
  </si>
  <si>
    <t>The integration of Mobile Edge Computing (MEC) and microservice architecture drives the implementation of the sustainable Internet of Vehicles (IoV). The microservice architecture enables the decomposition of a service into multiple independent, fine-grained microservices working independently. With MEC, microservices can be placed on Edge Service Providers (ESPs) dynamically, responding quickly and reducing service latency and resource consumption. However, the burgeoning of IoV leads to high computation and resource overheads, making service resource requirements an imminent issue. What‚Äôs more, due to the limited computation power of ESPs, they can only host a few services. Therefore, ESPs should judiciously decide which services to host. In this paper, we propose a Microservice-oriented Service Placement (MOSP) mechanism for MEC-enabled IoV to shorten service latency, reduce high resource consumption levels and guarantee long-term sustainability. Specifically, we formulate the service placement as an integer linear programming program, where service placement decisions are collaboratively optimized among ESPs, aiming to address spatial demand coupling, service heterogeneity, and decentralized coordination in MEC systems. MOSP comprises an upper layer to map the service requests to ESPs and a lower layer to adjust the service placement of ESPs. Evaluation results show that the microservice-oriented service deployment mechanism offers dramatic improvements in terms of resource savings, latency reduction, and service speed.</t>
  </si>
  <si>
    <t xml:space="preserve">National Natural Science Foundation of China Projects(grant numbers:62172441,62172449,61772553); Local Science and Technology Developing Foundation Guided by the Central Government through the Free Exploration Project 2021Szvup166;; Postgraduate Research and Innovation Project of Hunan Province(grant numbers:CX20200211); Fundamental Research Funds for the Central Universities of Central South University(grant numbers:2020zzts138); Opening Project of State Key Laboratory of Nickel and Cobalt Resources Comprehensive Utilization(grant numbers:GZSYS-KY-2022-018,GZSYS-KY-2022-024); Key Project of Shenzhen City Special Fund for Fundamental Research(grant numbers:202208183000751); Hunan Provincial Department of Transportation Foundation(grant numbers:201929); </t>
  </si>
  <si>
    <t>https://ieeexplore.ieee.org/stamp/stamp.jsp?arnumber=10128791</t>
  </si>
  <si>
    <t>Mobile edge computing;microservice;Internet of Vehicles;service placement</t>
  </si>
  <si>
    <t>Microservice architectures;Servers;Cloud computing;Quality of service;Costs;Multi-access edge computing;Memory management</t>
  </si>
  <si>
    <t>A. Javed; A. Malhi; T. Kinnunen; K. Fr√§mling</t>
  </si>
  <si>
    <t>Scalable IoT Platform for Heterogeneous Devices in Smart Environments</t>
  </si>
  <si>
    <t>10.1109/ACCESS.2020.3039368</t>
  </si>
  <si>
    <t>Department of Computer Science, Aalto University, Espoo, Finland; Department of Computer Science, Aalto University, Espoo, Finland; Department of Computer Science, Aalto University, Espoo, Finland; Department of Computer Science, Aalto University, Espoo, Finland</t>
  </si>
  <si>
    <t>The Internet of Things (IoT) is envisioned as a ubiquitous computing infrastructure in which everything becomes connected, enabling gigantic information exchange among Things and people. These connected smart Things generate an enormous amount of data which need to be efficiently managed to form a unified global IoT. Unfortunately, due to the lack of acceptable open standards, communication protocols, and support for device/service discovery, the recent IoT deployments in smart environments (e.g., smart home, smart building, smart city) are posing imperative challenges related to interoperability, discovery, and the configuration of deployed objects, since the number of objects is expected to grow over time. Therefore, it is of utmost importance to provide open and scalable solutions for the discovery of devices (i.e., Things), their configuration, and data management. This paper introduces an open and scalable IoT platform by adopting the modular characteristics of edge computing for smart environments. This paper: (i) performs a systematic literature review of IoT-based infrastructures and analyzes the scalability requirements; (ii) proposes a layered IoT platform for smart environments that fosters heterogeneity, interoperability, discovery, and scalability; and (iii) demonstrates the applicability of the proposed solution by relying on a comprehensive study of a V√§re smart building use case at Aalto University.</t>
  </si>
  <si>
    <t xml:space="preserve">European Union‚Äôs (EU‚Äôs) Horizon 2020 Research and Innovation Program(grant numbers:bIoTope: 688203); Horizon 2020 Project FINEST TWINS(grant numbers:856602); Academy of Finland (Open Messaging Interface)(grant numbers:296096); </t>
  </si>
  <si>
    <t>https://ieeexplore.ieee.org/stamp/stamp.jsp?arnumber=9264173</t>
  </si>
  <si>
    <t>Internet of Things;hashing;edge computing;discovery;communication standards;scalability</t>
  </si>
  <si>
    <t>Internet of Things;Cloud computing;Scalability;Interoperability;Edge computing;Computer architecture;Smart cities</t>
  </si>
  <si>
    <t>M. Aly; F. Khomh; Y. -G. Gu√©h√©neuc; H. Washizaki; S. Yacout</t>
  </si>
  <si>
    <t>Is Fragmentation a Threat to the Success of the Internet of Things?</t>
  </si>
  <si>
    <t>10.1109/JIOT.2018.2863180</t>
  </si>
  <si>
    <t>SWAT Laboratory, Polytechnique Montr√©al, Montreal, QC, Canada; SWAT Laboratory, Polytechnique Montr√©al, Montreal, QC, Canada; Ptidej Team, Concordia University, Montreal, QC, Canada; Reliable Software Engineering Laboratory, Waseda University, Tokyo, Japan; MAGI, Polytechnique Montr√©al, Montreal, QC, Canada</t>
  </si>
  <si>
    <t>Internet of Things (IoT) aims to bring connectivity to almost every objects, i.e., things, found in the physical space. It extends connectivity to everyday things, however, such increase in the connectivity creates many prominent challenges. Context: Generally, IoT opens the door for new applications for machine-to-machine and human-to-human communications. The current trend of collaborating, distributed teams through the Internet, mobile communications, and autonomous entities, e.g., robots, is the first phase of the IoT to develop and deliver diverse services and applications. However, such collaborations is threatened by the fragmentation that we witness in the industry nowadays as it brings difficulty to integrate the diverse technologies of the various objects found in IoT systems. Diverse technologies induce interoperability issues while designing and developing various services and applications, hence, limiting the possibility of reusing the data, more specifically, the software (including frameworks, firmware, applications programming interfaces, and user interfaces) as well as of facing issues, like security threats and bugs, when developing new services or applications. Different aspects of handling data collection ranging from discovering smart sensors for data collection, integrating and applying reasoning on them must be available to provide interoperability and flexibility to the diverse objects interacting in the system. However, such approaches are bound to be challenged in future IoT scenarios as they bring substantial performance impairments in settings with the very large number of collaborating devices and technologies. Objective: We raise the awareness of the community about the lack of interoperability among technologies developed for IoT and challenges that their integration poses. We also provide guidelines for researchers and practitioners interested in connecting IoT networks and devices to develop services and applications. Method: We apply the methods advocated by the evidence-based software engineering paradigm. This paradigm and its core tool, the systematic literature review (SLR), were introduced to the software-engineering research community early 2004 to help researchers and industry systematically and objectively gather and aggregate evidences about different topics. In this paper, we conduct an SLR of both IoT interoperability issues and the state-of-practice of IoT technologies in the industry, highlighting the integration challenges related to the IoT that have significantly shifted the landscape of Internet-based collaborative services and applications nowadays. Results: Our SLR identifies a number of studies from journals, conferences, and workshops with the highest quality in the field. This SLR reports different trends, including frameworks and technologies, for the IoT for better comprehension of the paradigm and discusses the integration and interoperability challenges across the different layers of this technology while shedding light on the current IoT state-of-practice. It also discusses some future research directions for the community.</t>
  </si>
  <si>
    <t>https://ieeexplore.ieee.org/stamp/stamp.jsp?arnumber=8424819</t>
  </si>
  <si>
    <t>Internet of Things (IoT);interoperability;models;protocols;standards;technologies and frameworks</t>
  </si>
  <si>
    <t>Interoperability;Internet of Things;Biological system modeling;Machine-to-machine communications;Wireless sensor networks;Data models</t>
  </si>
  <si>
    <t>M. Testi; M. Ballabio; E. Frontoni; G. Iannello; S. Moccia; P. Soda; G. Vessio</t>
  </si>
  <si>
    <t>MLOps: A Taxonomy and a Methodology</t>
  </si>
  <si>
    <t>10.1109/ACCESS.2022.3181730</t>
  </si>
  <si>
    <t>Integrated Research Centre, Universit√† Campus Bio-Medico di Roma, Rome, Italy; DeepLearningItalia, Bergamo, Italy; Department of Political Sciences, Communication and International Relations, VRAI Laboratory, Universit√† degli Studi di Macerata, Macerata, Italy; Department of Engineering, Unit of Computer Systems and Bioinformatics, Universit√† Campus Bio-Medico di Roma, Rome, Italy; The BioRobotics Institute, Scuola Superiore Sant‚ÄôAnna, Pisa, Italy; Department of Engineering, Unit of Computer Systems and Bioinformatics, Universit√† Campus Bio-Medico di Roma, Rome, Italy; Department of Computer Science, Universit√† degli Studi di Bari Aldo Moro, Bari, Italy</t>
  </si>
  <si>
    <t>Over the past few decades, the substantial growth in enterprise-data availability and the advancements in Artificial Intelligence (AI) have allowed companies to solve real-world problems using Machine Learning (ML). ML Operations (MLOps) represents an effective strategy for bringing ML models from academic resources to useful tools for solving problems in the corporate world. The current literature on MLOps is still mostly disconnected and sporadic. In this work, we review the existing scientific literature and we propose a taxonomy for clustering research papers on MLOps. In addition, we present methodologies and operations aimed at defining an ML pipeline to simplify the release of ML applications in the industry. The pipeline is based on ten steps: business problem understanding, data acquisition, ML methodology, ML training &amp; testing, continuous integration, continuous delivery, continuous training, continuous monitoring, explainability, and sustainability. The scientific and business interest and the impact of MLOps have grown significantly over the past years: the definition of a clear and standardized methodology for conducting MLOps projects is the main contribution of this paper.</t>
  </si>
  <si>
    <t>https://ieeexplore.ieee.org/stamp/stamp.jsp?arnumber=9792270</t>
  </si>
  <si>
    <t>MLOps;continuous monitoring;continuous integration;continuous delivery;continuous training;XAI;sustainability</t>
  </si>
  <si>
    <t>Pipelines;Production;Monitoring;Training;Business;Automation;Surgery</t>
  </si>
  <si>
    <t>E. Harjula; P. Karhula; J. Islam; T. Lepp√§nen; A. Manzoor; M. Liyanage; J. Chauhan; T. Kumar; I. Ahmad; M. Ylianttila</t>
  </si>
  <si>
    <t>Decentralized Iot Edge Nanoservice Architecture for Future Gadget-Free Computing</t>
  </si>
  <si>
    <t>10.1109/ACCESS.2019.2936714</t>
  </si>
  <si>
    <t>Centre for Wireless Communications, University of Oulu, Oulu, Finland; VTT Technical Research Centre of Finland Ltd., Espoo, Finland; Centre for Wireless Communications, University of Oulu, Oulu, Finland; Centre for Ubiquitous Computing, University of Oulu, Oulu, Finland; Rovio Entertainment Ltd., Espoo, Finland; Centre for Wireless Communications, University of Oulu, Oulu, Finland; Department of Computer Science and Technology, University of Cambridge, Cambridge, U.K.; Centre for Wireless Communications, University of Oulu, Oulu, Finland; VTT Technical Research Centre of Finland Ltd., Espoo, Finland; Centre for Wireless Communications, University of Oulu, Oulu, Finland</t>
  </si>
  <si>
    <t>In the envisioned ubiquitous world, services will follow users as they move across smart surroundings. Services are instantiated to users through the environment, appearing and disappearing as they move, which reduces the need for personal communication devices such as smartphones or tablets. To facilitate this development, service architectures need to support virtualized, on-demand service composition based on the hardware and software resources available at the current user location. The technical context for this type of user interaction with digital services through smart surroundings is called Internet of Everything (IoE). Today's service architectures will be too inflexible in this highly decentralized and dynamic environment. Hence, in this article we propose a novel service model called nanoEdge, where nodes collaboratively provide needed functions for virtual services that need to be deployed locally due to performance, efficiency or reliability requirements, for example. The main contributions of this article are the nanoEdge conceptual model and its proof-of-concept (PoC) implementation to show that the model is feasible with regard to performance and resource-efficiency. The successful demonstration of PoC implementation exemplifies future IoE service scenarios with today's hardware components.</t>
  </si>
  <si>
    <t xml:space="preserve">Academy of Finland; Technology Industries of Finland Centennial Foundation; Jane and Aatos Erkko Foundation; </t>
  </si>
  <si>
    <t>https://ieeexplore.ieee.org/stamp/stamp.jsp?arnumber=8808867</t>
  </si>
  <si>
    <t>Edge computing;fog computing;IoT;IoE;virtualization;microservices;nanoservices;gadget-free computing</t>
  </si>
  <si>
    <t>Edge computing;Computer architecture;Internet of Things;Data centers;Hardware;Cloud computing;Virtualization</t>
  </si>
  <si>
    <t>W. Lv; Q. Wang; P. Yang; Y. Ding; B. Yi; Z. Wang; C. Lin</t>
  </si>
  <si>
    <t>Microservice Deployment in Edge Computing Based on Deep Q Learning</t>
  </si>
  <si>
    <t>10.1109/TPDS.2022.3150311</t>
  </si>
  <si>
    <t>School of Computer Science and Technology, Xidian University, Xi'an, China; School of Computer Science and Technology, Xidian University, Xi'an, China; School of Computer Science and Technology, Xidian University, Xi'an, China; School of Computer Science and Technology, Xidian University, Xi'an, China; School of Computer Science and Technology, Xidian University, Xi'an, China; School of Computer Science and Technology, Xidian University, Xi'an, China; School of Computer Science and Technology, Xidian University, Xi'an, China</t>
  </si>
  <si>
    <t>The microservice deployment strategy is promising in reducing the overall service response time in the microservice-oriented edge computing platform. However, existing works ignore the effect of different interaction frequencies among microservices and the decrease in service execution performance caused by the increased node loads. In this article, we first model the invocation relationships among microservices as an undirected and weighted interaction graph to characterize the communication overhead. Then, we propose a multi-objective microservice deployment problem (MMDP) in edge computing. MMDP aims to minimize the communication overhead while achieving load balance between edge nodes. Without the requirement for domain experts, we propose Reward Sharing Deep Q Learning (RSDQL), a learning-based algorithm, to solve MMDP and obtain the optimal deployment strategy. In addition, to improve the scalability of the services, we propose an Elastic Scaling algorithm (ES) based on heuristics to deal with the dynamic pressure of requests. Finally, we conduct a series of experiments in Kubernetes to evaluate the performance of our approach. Experimental results indicate that, compared with interaction-aware strategy and Kubernetes default strategy, RSDQL has shorter response times, more balanced resource loads, and makes services scale elastically according to the request pressure.</t>
  </si>
  <si>
    <t xml:space="preserve">National Natural Science Foundation of China(grant numbers:61972302,61962019); Shaanxi Key Technology R&amp;D Program(grant numbers:2021ZDLGY07-01); </t>
  </si>
  <si>
    <t>https://ieeexplore.ieee.org/stamp/stamp.jsp?arnumber=9712168</t>
  </si>
  <si>
    <t>Microservice;interaction awareness;load balancing;multi-objective model;deep Q learning;elastic scaling</t>
  </si>
  <si>
    <t>Microservice architectures;Containers;Load modeling;Edge computing;Time factors;Load management;Scalability</t>
  </si>
  <si>
    <t>O. Alsaryrah; I. Mashal; T. -Y. Chung</t>
  </si>
  <si>
    <t>Bi-Objective Optimization for Energy Aware Internet of Things Service Composition</t>
  </si>
  <si>
    <t>10.1109/ACCESS.2018.2836334</t>
  </si>
  <si>
    <t>Yuan Ze University, Chung-Li, Taoyuan, TW; Computer Science Department, Aqaba University of Technology, Aqaba, Jordan; Yuan Ze University, Chung-Li, Taoyuan, TW</t>
  </si>
  <si>
    <t>In recent years, service-oriented-based Internet of Things (IoT) has received massive attention from research and industry. Integrating and composing smart objects functionalities or their services is required to create and promote more complex IoT applications with advanced features. When many smart objects are deployed, selecting the most appropriate set of smart objects to compose a service by considering both energy and quality of service (QoS) is an essential and challenging task. In this paper, we reduced the problem of finding an optimal balance between QoS level and the consumed energy of the IoT service composition to a bi-objective shortest path optimization (BSPO) problem and used an exact algorithm named pulse to solve the problem. The BSPO has two objectives, minimizing the QoS including execution time, network latency, and service price, and minimize the energy consumption of the composite service. Experimental evaluations show that the proposed approach has short execution time in various complex service profiles. Meanwhile, it can obtain good performance in energy consumption and thus network lifetime while maintaining a reasonable QoS level.</t>
  </si>
  <si>
    <t xml:space="preserve">Ministry of Science and Technology, Taiwan(grant numbers:MOST 106-2221-E-155-014); </t>
  </si>
  <si>
    <t>https://ieeexplore.ieee.org/stamp/stamp.jsp?arnumber=8359282</t>
  </si>
  <si>
    <t>IoT services;energy efficiency;service composition</t>
  </si>
  <si>
    <t>Quality of service;Energy consumption;Optimization;Task analysis;Energy efficiency;Internet of Things;Wireless sensor networks</t>
  </si>
  <si>
    <t>S. T. Arzo; R. Bassoli; F. Granelli; F. H. P. Fitzek</t>
  </si>
  <si>
    <t>Multi-Agent Based Autonomic Network Management Architecture</t>
  </si>
  <si>
    <t>10.1109/TNSM.2021.3059752</t>
  </si>
  <si>
    <t>Department of Information Engineering and Computer Science, University of Trento, Trento, Italy; Deutsche Telekom Chair of Communication Networks, Institute of Communication Technology, Faculty of Electrical and Computer Engineering, Technische Universit√§t Dresden, Dresden, Germany; Department of Information Engineering and Computer Science, University of Trento, Trento, Italy; Deutsche Telekom Chair of Communication Networks, Institute of Communication Technology, Faculty of Electrical and Computer Engineering, Technische Universit√§t Dresden, Dresden, Germany</t>
  </si>
  <si>
    <t>The advent of network softwarization is enabling multiple innovative solutions through software-defined networking (SDN) and network function virtualization (NFV). Specifically, network softwarization paves the way for autonomic and intelligent networking, which has gained popularity in the research community. Along with the arrival of 5G and beyond, which interconnects billions of devices, the complexity of network management is significantly increasing both investments and operational costs. Autonomic networking is the creation of self-organizing, self-managing, and self-protecting networks, to afford the network management complexes and heterogeneous networks. To achieve full network automation, various aspects of networking need to be addressed. So, this article proposes a novel architecture for the multi-agent-based network automation of the network management system (MANA-NMS). The architecture rely on network function atomization, which defines atomic decision-making units. Such units could represent virtual network functions. These atomic units are autonomous and adaptive. First, the article presents a theoretical discussion of the challenges arisen by automating the decision-making process. Next, the proposed multi-agent system is presented along with its mathematical modeling. Finally, MANA-NMS architecture is mathematically evaluated from functionality, reliability, latency, and resource consumption performance perspectives.</t>
  </si>
  <si>
    <t xml:space="preserve">NATO Science for Peace and Security (SPS) Programme in the framework of the project SPS G5428 ‚ÄúDynamic Architecture based on UAVs Monitoring for Border Security and Safety.‚Äù; German Research Foundation (DFG, Deutsche Forschungsgemeinschaft) as part of Germany‚Äôs Excellence Strategy ≈∞ EXC 2050/1 ≈∞ Project ID 390696704 ≈∞ Cluster of Excellence ‚ÄúCentre for Tactile Internet with Human-in-the-Loop‚Äù (CeTI) of Technische Universit√§t Dresden; </t>
  </si>
  <si>
    <t>https://ieeexplore.ieee.org/stamp/stamp.jsp?arnumber=9354865</t>
  </si>
  <si>
    <t>Autonomic networking;multi-agent system;network management;network function virtualization;software defined networking;C-RAN;5G;future networks</t>
  </si>
  <si>
    <t>Automation;Computer architecture;Software;Network function virtualization;Quality of service;Monitoring;Mathematical model</t>
  </si>
  <si>
    <t>M. Zawish; F. A. Dharejo; S. A. Khowaja; S. Raza; S. Davy; K. Dev; P. Bellavista</t>
  </si>
  <si>
    <t>AI and 6G Into the Metaverse: Fundamentals, Challenges and Future Research Trends</t>
  </si>
  <si>
    <t>10.1109/OJCOMS.2024.3349465</t>
  </si>
  <si>
    <t>Walton Institute for Information and Communication Systems Science, South East Technological University, Waterford, Ireland; Department of Electrical Engineering and Computer Science, Khalifa University, Abu Dhabi, UAE; Faculty of Engineering and Technology, University of Sindh, Jamshoro, Pakistan; Department of Electronic Engineering, Quaid-e-Awam University of Engineering, Science and Technology, Larkana, Pakistan; Centre for Sustainable Digital Technologies, Technological University Dublin, Dublin, Ireland; Department of Computer Science, Munster Technological University, Cork, Ireland; Department of Computer Science and Engineering, University of Bologna, Bologna, Italy</t>
  </si>
  <si>
    <t>Since Facebook was renamed Meta, a lot of attention, debate, and exploration have intensified about what the Metaverse is, how it works, and the possible ways to exploit it. It is anticipated that Metaverse will be a continuum of rapidly emerging technologies, usecases, capabilities, and experiences that will make it up for the next evolution of the Internet. Several researchers have already surveyed the literature on artificial intelligence (AI) and wireless communications in realizing the Metaverse. However, due to the rapid emergence and continuous evolution of technologies, there is a need for a comprehensive and in-depth survey of the role of AI, 6G, and the nexus of both in realizing the immersive experiences of Metaverse. Therefore, in this survey, we first introduce the background and ongoing progress in augmented reality (AR), virtual reality (VR), mixed reality (MR) and spatial computing, followed by the technical aspects of AI and 6G. Then, we survey the role of AI in the Metaverse by reviewing the state-of-the-art in deep learning, computer vision, and Edge AI to extract the requirements of 6G in Metaverse. Next, we investigate the promising services of B5G/6G towards Metaverse, followed by identifying the role of AI in 6G networks and 6G networks for AI in support of Metaverse applications, and the need for sustainability in Metaverse. Finally, we enlist the existing and potential applications, usecases, and projects to highlight the importance of progress in the Metaverse. Moreover, in order to provide potential research directions to researchers, we underline the challenges, research gaps, and lessons learned identified from the literature review of the aforementioned technologies.</t>
  </si>
  <si>
    <t xml:space="preserve">Science Foundation Ireland(grant numbers:21/FFP-A/9174); Science Foundation Ireland and the Department of Agriculture, Food and Marine on behalf of the Government of Ireland VistaMilk Research Centre(grant numbers:16/RC/3835); </t>
  </si>
  <si>
    <t>https://ieeexplore.ieee.org/stamp/stamp.jsp?arnumber=10415393</t>
  </si>
  <si>
    <t>Metaverse;5G;6G;AI;cloud and edge computing;AR/VR/XR;spatial computing</t>
  </si>
  <si>
    <t>6G mobile communication;Surveys;Wireless communication;Computer vision;Telepresence;Metaverse;Artificial intelligence</t>
  </si>
  <si>
    <t>B. Tan; H. Ma; Y. Mei; M. Zhang</t>
  </si>
  <si>
    <t>A Cooperative Coevolution Genetic Programming Hyper-Heuristics Approach for On-Line Resource Allocation in Container-Based Clouds</t>
  </si>
  <si>
    <t>10.1109/TCC.2020.3026338</t>
  </si>
  <si>
    <t>School of Engineering and Computer Science, Victoria University of Wellington, Wellington, New Zealand; School of Engineering and Computer Science, Victoria University of Wellington, Wellington, New Zealand; School of Engineering and Computer Science, Victoria University of Wellington, Wellington, New Zealand; School of Engineering and Computer Science, Victoria University of Wellington, Wellington, New Zealand</t>
  </si>
  <si>
    <t>Containers are lightweight and provide the potential to reduce more energy consumption of data centers than Virtual Machines (VMs) in container-based clouds. On-line resource allocation is the most common operation in clouds. However, the on-line Resource Allocation in Container-based clouds (RAC) is new and challenging because of its two-level architecture, i.e., the allocations of containers to VMs and the allocation of VMs to physical machines. These two allocations interact with each other, and hence cannot be made separately. Since on-line container allocation requires a real-time response, most current allocation techniques rely on heuristics (e.g., First Fit and Best Fit), which do not consider the comprehensive information such as workload patterns and VM types. As a result, resources are not used efficiently and the energy consumption is not sufficiently optimized. We first propose a novel model of the on-line RAC problem with the consideration of VM overheads, VM types and an affinity constraint. Then, we design a Cooperative Coevolution Genetic Programming (CCGP) hyper-heuristic approach to solve the RAC problem, named CCGP-RAC. CCGP-RAC can learn the workload patterns and VM types from historical workload traces and generate allocation rules. The experiments show significant improvement in energy consumption compared to the state-of-the-art algorithms.</t>
  </si>
  <si>
    <t xml:space="preserve">New Zealand Marsden Fund(grant numbers:VUW1510,VUW1614); Royal Society of New Zealand; </t>
  </si>
  <si>
    <t>https://ieeexplore.ieee.org/stamp/stamp.jsp?arnumber=9205601</t>
  </si>
  <si>
    <t>Container-based clouds;container allocation;energy efficiency;genetic programming;hyper-heuristic</t>
  </si>
  <si>
    <t>Resource management;Containers;Cloud computing;Energy consumption;Genetic programming;Mathematical model;Data centers</t>
  </si>
  <si>
    <t>Y. Chiang; Y. Zhang; H. Luo; T. -Y. Chen; G. -H. Chen; H. -T. Chen; Y. -J. Wang; H. -Y. Wei; C. -T. Chou</t>
  </si>
  <si>
    <t>Management and Orchestration of Edge Computing for IoT: A Comprehensive Survey</t>
  </si>
  <si>
    <t>10.1109/JIOT.2023.3245611</t>
  </si>
  <si>
    <t>Department of Electrical Engineering, National Taiwan University, Taipei, Taiwan; Department of Information and Communication Engineering, Xiamen University, Xiamen, China; Department of Electrical Engineering, National Taiwan University, Taipei, Taiwan; Department of Electrical Engineering, National Taiwan University, Taipei, Taiwan; Department of Electrical Engineering, National Taiwan University, Taipei, Taiwan; Department of Electrical Engineering, National Taiwan University, Taipei, Taiwan; Graduate Institute of Communication Engineering, National Taiwan University, Taipei, Taiwan; Department of Electrical Engineering, National Taiwan University, Taipei, Taiwan; Graduate Institute of Communication Engineering, National Taiwan University, Taipei, Taiwan</t>
  </si>
  <si>
    <t>With the development of telecommunication technologies and the proliferation of network applications in the past decades, the traditional cloud network architecture becomes unable to accommodate such demands due to the heavy burden on the backhaul links and long latency. Therefore, edge computing, which brings network functions close to end-users by providing caching, computing and communication resources at network edges, turns into a promising paradigm. Benefit from its nature, edge computing enables emerging scenarios and use cases, such as augmented reality (AR) and Internet of Things (IowT). However, it also creates complexities to efficiently orchestrate heterogeneous services and manage distributed resources in the edge network. In this survey, we make a comprehensive review of the research efforts on service orchestration and resource management for edge computing. We first give an overview of edge computing, including architectures, advantages, enabling technologies and standardization. Next, a comprehensive survey of state-of-the-art techniques in the management and orchestration of edge computing is presented. Subsequently, the state-of-the-art research on the infrastructure of edge computing is discussed in various aspects. Finally, open research challenges and future directions are presented as well.</t>
  </si>
  <si>
    <t xml:space="preserve">National Science and Technology Council (NSTC) of Taiwan(grant numbers:111-2221-E-002-097-MY3,111-2622-8-002-030-,109-2221-E-002-148-MY2); </t>
  </si>
  <si>
    <t>https://ieeexplore.ieee.org/stamp/stamp.jsp?arnumber=10045724</t>
  </si>
  <si>
    <t>Computation offloading;content caching;edge computing;resource management;virtual network embedding (VNE)</t>
  </si>
  <si>
    <t>Edge computing;Cloud computing;Computer architecture;Internet of Things;Resource management;Wireless fidelity;Task analysis</t>
  </si>
  <si>
    <t>L. M. P. Larsen; H. L. Christiansen; S. Ruepp; M. S. Berger</t>
  </si>
  <si>
    <t>Toward Greener 5G and Beyond Radio Access Networks‚ÄîA Survey</t>
  </si>
  <si>
    <t>10.1109/OJCOMS.2023.3257889</t>
  </si>
  <si>
    <t>Department of Radio Access Networks, TDC Net, Copenhagen, Denmark; Department of Electrical and Photonics Engineering, Technical University of Denmark, Lyngby, Denmark; Department of Electrical and Photonics Engineering, Technical University of Denmark, Lyngby, Denmark; Department of Electrical and Photonics Engineering, Technical University of Denmark, Lyngby, Denmark</t>
  </si>
  <si>
    <t>Mobile network traffic is increasing and so is the energy consumption. The Radio Access Network (RAN) part is responsible for the largest share of the mobile network energy consumption, and thus; an important consideration when expanding mobile networks to meet traffic demands. This work analyses how the energy consumption of future mobile networks can be minimised by using the right RAN architecture, share the network with other operators and implementing the most efficient energy minimising technologies in the RAN. It is explored how the different approaches can be realised in real life networks as well as the research state of the art is highlighted. Furthermore, this work provides an overview of future research directions for 6G energy saving potentials. Different energy saving contributions are evaluated by a common methodology for more realistic comparison, based on the potential energy saving of the overall mobile network consumption. Results show that implementing selected technologies and architectures, the mobile network overall energy consumption can be reduced by approximately 30%, corresponding to almost half of the RAN energy consumption. Following this, a set of guidelines towards an energy optimised mobile network is provided, proposing changes to be made initially and in the longer run for brownfield network operators as well as a target network for greenfield network operators.</t>
  </si>
  <si>
    <t xml:space="preserve">Innovationsfonden(grant numbers:1045-00047B); </t>
  </si>
  <si>
    <t>https://ieeexplore.ieee.org/stamp/stamp.jsp?arnumber=10076806</t>
  </si>
  <si>
    <t>Green RAN;C-RAN;vRAN;O-RAN;MOCN;MORAN;network slicing;5G;6G;AI</t>
  </si>
  <si>
    <t>Energy consumption;5G mobile communication;Energy efficiency;Radio access networks;Computer architecture;6G mobile communication;Optimization</t>
  </si>
  <si>
    <t>D. Masouros; S. Xydis; D. Soudris</t>
  </si>
  <si>
    <t>Rusty: Runtime Interference-Aware Predictive Monitoring for Modern Multi-Tenant Systems</t>
  </si>
  <si>
    <t>10.1109/TPDS.2020.3013948</t>
  </si>
  <si>
    <t>Department of Electrical and Computer Engineering, National Technical University of Athens, Athens, Greece; Department of Electrical and Computer Engineering, National Technical University of Athens, Athens, Greece; Department of Electrical and Computer Engineering, National Technical University of Athens, Athens, Greece</t>
  </si>
  <si>
    <t>Modern micro-service and container-based cloud-native applications have leveraged multi-tenancy as a first class system design concern. The increasing number of co-located services/workloads into server facilities stresses resource availability and system capability in an unconventional and unpredictable manner. To efficiently manage resources in such dynamic environments, run-time observability and forecasting are required to capture workload sensitivities under differing interference effects, according to applied co-location scenarios. While several research efforts have emerged on interference-aware performance modelling, they are usually applied at a very coarse-grained manner e.g., estimating the overall performance degradation of an application, thus failing to effectively quantify, predict or provide educated insights on the impact of continuous runtime interference on per-resource allocations. In this paper, we present Rusty, a predictive monitoring system that leverages the power of Long Short-Term Memory networks to enable fast and accurate runtime forecasting of key performance metrics and resource stresses of cloud-native applications under interference. We evaluate Rusty under a diverse set of interference scenarios for a plethora of representative cloud workloads, showing that Rusty i) achieves extremely high prediction accuracy, average R2 value of 0.98, ii) enables very deep prediction horizons retaining high accuracy, e.g., R2 of around 0.99 for a horizon of 1 sec ahead and around 0.94 for an horizon of 5 sec ahead, while iii) satisfying, at the same time, the strict latency constraints required to make Rusty practical for continuous predictive monitoring at runtime.</t>
  </si>
  <si>
    <t xml:space="preserve">European Union's Horizon 2020 Research and Innovation programme(grant numbers:825061); </t>
  </si>
  <si>
    <t>https://ieeexplore.ieee.org/stamp/stamp.jsp?arnumber=9158547</t>
  </si>
  <si>
    <t>predictive monitoring;system predictability;LSTM networks;interference aware;multi-tenant systems</t>
  </si>
  <si>
    <t>Monitoring;Interference;Runtime;Resource management;Measurement;Degradation;Servers</t>
  </si>
  <si>
    <t>E. Kristiani; C. -T. Yang; C. -Y. Huang; P. -C. Ko; H. Fathoni</t>
  </si>
  <si>
    <t>On Construction of Sensors, Edge, and Cloud (iSEC) Framework for Smart System Integration and Applications</t>
  </si>
  <si>
    <t>10.1109/JIOT.2020.3004244</t>
  </si>
  <si>
    <t>Department of Industrial Engineering and Enterprise Information, Tunghai University, Taichung, Taiwan; Department of Computer Science, Tunghai University, Taichung, Taiwan; Department of Industrial Engineering and Enterprise Information, Tunghai University, Taichung, Taiwan; Department of Computer Science, Tunghai University, Taichung, Taiwan; Department of Industrial Engineering and Enterprise Information, Tunghai University, Taichung, Taiwan</t>
  </si>
  <si>
    <t>Intelligent systems influence many aspects of daily life. With the emergence of the Internet of Things (IoT), artificial intelligence (AI), and machine learning (ML), opportunities have been created for smart computing infrastructure. However, problems might arise from the lack of interconnectivity, higher reliability, real-time predictive analytics, and low-latency requirements. Therefore, in this article, we propose the sensors, edge, and cloud (iSEC) framework. The project deploys a smart cloud edge-computing architecture to provide ML and deep learning in the cloud edge environment. Two pilot projects of air quality monitoring system and object detection are demonstrated to evaluate the iSEC framework.</t>
  </si>
  <si>
    <t xml:space="preserve">Ministry of Science and Technology (MOST), Taiwan(grant numbers:108-2221-E-029-010,108-2745-8-029-007,108-2622-E-029-007-CC3); National Applied Research Laboratories (NARLabs), Taiwan(grant numbers:03108F1106); </t>
  </si>
  <si>
    <t>https://ieeexplore.ieee.org/stamp/stamp.jsp?arnumber=9122603</t>
  </si>
  <si>
    <t>Cloud computing;edge computing;Internet of Things (IoT);long-range low-power wide-area network (LPWAN);message passing interface (MPI)</t>
  </si>
  <si>
    <t>Cloud computing;Internet of Things;Sensors;Edge computing;Image edge detection;Wireless sensor networks;Servers</t>
  </si>
  <si>
    <t>O. B. Mora-S√°nchez; E. L√≥pez-Neri; E. J. Cedillo-Elias; E. Aceves-Mart√≠nez; V. M. Larios</t>
  </si>
  <si>
    <t>Validation of IoT Infrastructure for the Construction of Smart Cities Solutions on Living Lab Platform</t>
  </si>
  <si>
    <t>IEEE Transactions on Engineering Management</t>
  </si>
  <si>
    <t>1558-0040</t>
  </si>
  <si>
    <t>10.1109/TEM.2020.3002250</t>
  </si>
  <si>
    <t>Smart Cities Innovation Center CUCEA University of Guadalajara, Zapopan, Mexico; CIIDETEC, Universidad del Valle de M√©xico, Tlaquepaque, M√©xico; Smart Cities Innovation Center CUCEA University of Guadalajara, Zapopan, Mexico; Smart Cities Innovation Center CUCEA University of Guadalajara, Zapopan, Mexico; Smart Cities Innovation Center at the Department of Information Systems CUCEA University of Guadalajara, Zapopan, Mexico</t>
  </si>
  <si>
    <t>The use of Internet-of-things (IoT) applications (solutions) in the real world has increased exponentially. In smart cities, networked IoT devices are collecting data from the physical medium to optimize the decisions to improve city services to citizens. One way to evaluate this services solution is the use of the living labs, shown as a good option to evaluate previous real applications. However, when this is implemented in the real-world cases, most of them are no scalar to the complexity of the city. One of the factors is that it is assumed an IoT infrastructure designed to meet the properties of the scalability for a smart city. This article proposes a validation methodology for the scalability compliant infrastructure: modularity, interoperability, and resiliency properties. The proposed methodology is based on the best practices achieved during a living lab of the Smart Cities Innovation Center in the Universidad de Guadalajara implementation.</t>
  </si>
  <si>
    <t xml:space="preserve">Mexican National Research Council(grant numbers:221198 PROINNOVA 2015); HPE Mexico for the LilaSCI IoT devices; </t>
  </si>
  <si>
    <t>https://ieeexplore.ieee.org/stamp/stamp.jsp?arnumber=9149637</t>
  </si>
  <si>
    <t>Internet of Things (IoT);modularity;resilience;scalability;smart city</t>
  </si>
  <si>
    <t>Smart cities;Scalability;Technological innovation;Resilience;Protocols</t>
  </si>
  <si>
    <t>X. Liao; X. Zhao; Z. Wang; Z. Zhao; K. Han; R. Gupta; M. J. Barth; G. Wu</t>
  </si>
  <si>
    <t>Driver Digital Twin for Online Prediction of Personalized Lane-Change Behavior</t>
  </si>
  <si>
    <t>10.1109/JIOT.2023.3262484</t>
  </si>
  <si>
    <t>CE-CERT, University of California at Riverside, Riverside, CA, USA; CE-CERT, University of California at Riverside, Riverside, CA, USA; College of Engineering, Purdue University, West Lafayette, IN, USA; CE-CERT, University of California at Riverside, Riverside, CA, USA; Toyota Motor North America, InfoTech Labs, Mountain View, CA, USA; Toyota Motor North America, InfoTech Labs, Mountain View, CA, USA; CE-CERT, University of California at Riverside, Riverside, CA, USA; CE-CERT, University of California at Riverside, Riverside, CA, USA</t>
  </si>
  <si>
    <t>Connected and automated vehicles (CAVs) are supposed to share the road with human-driven vehicles (HDVs) in a foreseeable future. Therefore, considering the mixed traffic environment is more pragmatic, as the well-planned operation of CAVs may be interrupted by HDVs. In the circumstance that human behaviors have significant impacts, CAVs need to understand HDV behaviors to make safe actions. In this study, we develop a driver digital twin (DDT) for the online prediction of personalized lane-change behavior, allowing CAVs to predict surrounding vehicles‚Äô behaviors with the help of the digital twin technology. DDT is deployed on a vehicle-edge‚Äìcloud architecture, where the cloud server models the driver behavior for each HDV based on the historical naturalistic driving data, while the edge server processes the real-time data from each driver with his/her digital twin on the cloud to predict the personalized lane-change maneuver. The proposed system is first evaluated on a human-in-the-loop co-simulation platform, and then in a field implementation with three passenger vehicles driving along an on/off ramp segment connecting to the edge server and cloud through the 4G/LTE cellular network. The lane-change intention can be recognized in 6 s on average before the vehicle crosses the lane separation line, and the Mean Euclidean Distance between the predicted trajectory and GPS ground truth is 1.03 m within a 4-s prediction window. Compared to the general model, using a personalized model can improve prediction accuracy by 27.8%. The demonstration video of the proposed system can be watched at https://youtu.be/5cbsabgIOdM.</t>
  </si>
  <si>
    <t xml:space="preserve">Toyota Motor North America, InfoTech Labs; Digital Twin Project; </t>
  </si>
  <si>
    <t>https://ieeexplore.ieee.org/stamp/stamp.jsp?arnumber=10082926</t>
  </si>
  <si>
    <t>Connected and automated vehicle (CAV);digital twin;driver behavior modeling;field implementation;lane-change prediction</t>
  </si>
  <si>
    <t>Vehicles;Behavioral sciences;Digital twins;Predictive models;Hidden Markov models;Computational modeling;Data models</t>
  </si>
  <si>
    <t>M. Barati; O. Rana; I. Petri; G. Theodorakopoulos</t>
  </si>
  <si>
    <t>GDPR Compliance Verification in Internet of Things</t>
  </si>
  <si>
    <t>10.1109/ACCESS.2020.3005509</t>
  </si>
  <si>
    <t>School of Computer Science and Informatics, Cardiff University, Cardiff, U.K; School of Computer Science and Informatics, Cardiff University, Cardiff, U.K; School of Engineering, Cardiff University, Cardiff, U.K; School of Computer Science and Informatics, Cardiff University, Cardiff, U.K</t>
  </si>
  <si>
    <t>Data privacy in Internet of Things (IoT) applications remains a major concern of regulation bodies. The introduction of the European General Data Protection Regulation (GDPR) enables users to control how their data is accessed and processed, requiring consent from users before any data manipulation is carried out on their (personal) data by smart devices or cloud-hosted services. Blockchains provide the benefits of a distributed and immutable ledger recording digital transactions across a global network of peer nodes. Blockchain support for tracking of operations carried out by an IoT-based system provides greater confidence to a user that the IoT device is not infringing user privacy (as the Blockchain can be audited to verify which operation was carried out, by which actor). A formal model (following the privacy-by-design approach) is proposed for supporting GDPR compliance checking for smart devices. The privacy requirements of such applications are related to GDPR obligations of device (and software systems) operators (such as user consent, data protection, right to forget etc). Three smart contracts are proposed as a practical solution to support automated verification of operations carried out by devices on user data, in accordance with GDPR rules. We evaluate the performance and scalability costs of our approach using a Blockchain test network.</t>
  </si>
  <si>
    <t xml:space="preserve">EPSRC(grant numbers:EP/R033439/1); Project title: ‚ÄúPACE: Privacy-aware Cloud Ecosystems.‚Äù; extend appreciation to the Deanship of Scientific Research at Princess Nourah bint Abdualrahman University for supporting his work through the visiting scholar program; </t>
  </si>
  <si>
    <t>https://ieeexplore.ieee.org/stamp/stamp.jsp?arnumber=9127459</t>
  </si>
  <si>
    <t>Blockchain-based auditing;business processes;general data protection regulation;Internet of Things;user privacy</t>
  </si>
  <si>
    <t>Blockchain;Internet of Things;Biomedical monitoring;Data privacy;Privacy;Smart contracts</t>
  </si>
  <si>
    <t>L. Bottaccioli; A. Estebsari; E. Pons; E. Bompard; E. Macii; E. Patti; A. Acquaviva</t>
  </si>
  <si>
    <t>A Flexible Distributed Infrastructure for Real-Time Cosimulations in Smart Grids</t>
  </si>
  <si>
    <t>10.1109/TII.2017.2702206</t>
  </si>
  <si>
    <t>Department of Control and Computer Engineering, Politecnico di Torino, Torino, Italy; Department of Energy, Politecnico di Torino, Torino, Italy; Department of Energy, Politecnico di Torino, Torino, Italy; Department of Energy, Politecnico di Torino, Torino, Italy; Department of Control and Computer Engineering, Politecnico di Torino, Torino, Italy; Department of Control and Computer Engineering, Politecnico di Torino, Torino, Italy; Department of Control and Computer Engineering, Politecnico di Torino, Torino, Italy</t>
  </si>
  <si>
    <t>Due to the increasing penetration of distributed generation, storage, electric vehicles, and new information communication technologies, distribution networks are evolving toward the smart grid paradigm. For this reason, new control strategies, algorithms, and technologies need to be tested and validated before their actual field implementation. In this paper, we present a novel modular distributed infrastructure, based on real-time simulation, for multipurpose smart grid studies. The different components of the infrastructure are described, and the system is applied to a case study based on a real urban district located in northern Italy. The presented infrastructure is shown to be flexible and useful for different and multidisciplinary smart grid studies.</t>
  </si>
  <si>
    <t xml:space="preserve">EU project FLEXMETER; Edifici a Zero Consumo Energetico in Distretti Urbani Intelligenti; </t>
  </si>
  <si>
    <t>https://ieeexplore.ieee.org/stamp/stamp.jsp?arnumber=7921440</t>
  </si>
  <si>
    <t>Cosimulation;distributed infrastructure;photovoltaic (PV);real-time simulation;renewable energy;smart grid</t>
  </si>
  <si>
    <t>Real-time systems;Smart grids;Load modeling;Internet of things;Performance evaluation;Renewable energy sources</t>
  </si>
  <si>
    <t>N. S. Dey; T. Gunasekhar</t>
  </si>
  <si>
    <t>A Comprehensive Survey of Load Balancing Strategies Using Hadoop Queue Scheduling and Virtual Machine Migration</t>
  </si>
  <si>
    <t>10.1109/ACCESS.2019.2927076</t>
  </si>
  <si>
    <t>Department of Computer Science and Engineering, Koneru Lakshmaiah Educational Foundation, Guntur, India; Department of Information Technology, B. V. Raju Institute of Technology, Hyderabad, India</t>
  </si>
  <si>
    <t>The recent growth in the demand for scalable applications from the consumers of the services has motivated the application development community to build and deploy the applications on cloud in the form of services. The deployed applications have significant dependency on the infrastructure available with the application providers. Bounded by the limitations of available resource pools on-premises, many application development companies have migrated the applications to third party cloud environments called data centers. The data center owners or the cloud service providers are entitled to ensure high performance and high availability of the applications and at the same time the desired scalability for the applications. Also, the cloud service providers are also challenging in terms of cost reduction and energy consumption reductions for better manageability of the data center without degrading the performance of the deployed applications. It is to be noted that the performance of the application does not only depend on the responsiveness of the applications rather also must be measured in terms of service level agreements. The violation of the service level agreements or SLA can easily disprove the purpose of application deployments on cloud-based data centers. Thus, the data center owners apply multiple load balancing strategies for maintaining the desired outcomes from the application owners at the minimized cost of data center maintainability. Hence, the demand of the research is to thoroughly study and identify the scopes for improvements in the parallel research outcomes. As the number of applications ranging from small data-centric applications coming with the demand of frequent updates with higher computational capabilities to the big data-centric application as big data analytics applications coming with efficient algorithms for data and computation load managements, the data center owners are forced to think for efficient algorithms for load managements. The algorithms presented by various research attempts have engrossed on application specific demands for load balancing using virtual machine migrations and the solution as the proposed algorithms have become application problem specific. Henceforth, the further demand of the research is a guideline for selecting the appropriate load balancing algorithm via virtual machine migration for characteristics-based specific applications. Hence, this paper presents a comprehensive survey on existing virtual machine migration and selection processes to understand the specific application-oriented capabilities of these strategies with the advantages and bottlenecks. Also, with the understanding of the existing measures for load balancing, it is also important to furnish the further improvement strategies, which can be made possible with a detailed understanding of the parallel research outcomes. Henceforth, this paper also equips the study with guidelines for improvements and for further study. Nonetheless, the study cannot be completed without the mathematical analysis for better understanding and experimental analysis on different standards of datasets for better conclusive decisions. Hence, this paper also presents the discussion on mathematical models and experimental result analysis for the conclusive decision on the improvement factors and the usability of the migration methods for various purposes. Finally, this paper is a comprehensive survey on the background of the research, recent research outcomes using mathematical modeling and experimental studies on various available datasets, and finally identify the scopes of improvements considering various aspects such as execution time, mean time before a VM migration, mean time before a host shutdown, number of node shutdowns, SLA performance degradation, VM migrations, and energy consumption.</t>
  </si>
  <si>
    <t>https://ieeexplore.ieee.org/stamp/stamp.jsp?arnumber=8762113</t>
  </si>
  <si>
    <t>Data center;load balancing;task scheduler;FIFO;FAIR;capacity;hybrid;LATE;SAMR;context-aware;threshold;IQR;LR;MAD;LRR;THR;VM consolidation;VM migration;MC;MMT;RS;MU;PlanetLab;metric;VM migration analysis;energy consumption analysis;SLA analysis</t>
  </si>
  <si>
    <t>Task analysis;Load management;Cloud computing;Data centers;Resource management;Virtual machining;Indexes</t>
  </si>
  <si>
    <t>Y. Shi; C. Yi; B. Chen; C. Yang; K. Zhu; J. Cai</t>
  </si>
  <si>
    <t>Joint Online Optimization of Data Sampling Rate and Preprocessing Mode for Edge‚ÄìCloud Collaboration-Enabled Industrial IoT</t>
  </si>
  <si>
    <t>10.1109/JIOT.2022.3150386</t>
  </si>
  <si>
    <t>College of Computer Science and Technology, Nanjing University of Aeronautics and Astronautics, Nanjing, China; College of Computer Science and Technology, Nanjing University of Aeronautics and Astronautics, Nanjing, China; College of Computer Science and Technology, Nanjing University of Aeronautics and Astronautics, Nanjing, China; College of Computer Science and Technology, Nanjing University of Aeronautics and Astronautics, Nanjing, China; College of Computer Science and Technology, Nanjing University of Aeronautics and Astronautics, Nanjing, China; Department of Electrical and Computer Engineering, Concordia University, Montreal, QC, Canada</t>
  </si>
  <si>
    <t>Edge‚Äìcloud collaboration is critical in the Industrial Internet of Things (IIoT) for serving computation-intensive tasks (e.g., bearing fault monitoring) that require low-response delay, low energy consumption, and high processing accuracy. In this article, an energy-efficient resource management framework for IIoT with closed-loop control on end devices, edge servers, and cloud center is studied. In the considered model, each edge server aggregates the data collected by industrial sensors (i.e., end devices) and forms computation tasks for corresponding data analysis. In order to minimize the system-wide energy consumption, while maintaining a guaranteed service delay and a satisfied data processing accuracy for each IIoT application, a joint optimization of: 1) sensors‚Äô sampling rate adaption; 2) edge servers‚Äô preprocessing mode selection; and 3) edge‚Äìcloud communication and computing resource allocation is formulated. Further taking into account the time-varying channel conditions and randomness of data arrivals, we propose a low-complexity online algorithm, which solves the problem in a dynamic manner. Particularly, the Lyapunov optimization method is first utilized to decompose the long-term problem into a series of instant ones [mixed-integer nonlinear programming (MINLP) problems], and then a Markov approximation algorithm is applied to solve such instant problems to near optimum with the consideration of future impacts. Performance analyses and simulation results show that the proposed algorithm is feasible under long-term service satisfaction constraints, and its energy consumption and service delay are approximately 20% and 28% lower than those of the benchmark schemes, respectively.</t>
  </si>
  <si>
    <t xml:space="preserve">National Natural Science Foundation of China (NSFC)(grant numbers:62002164,61701230,62176122); Natural Sciences and Engineering Research Council of Canada (NSERC) Discovery Grant, CRD Grant, and Concordia University PERFORM Research Chair Program; </t>
  </si>
  <si>
    <t>https://ieeexplore.ieee.org/stamp/stamp.jsp?arnumber=9709555</t>
  </si>
  <si>
    <t>Communication and computing resource allocation;edge‚Äìcloud collaboration;Industrial Internet of Things (IIoT);online optimization;preprocessing mode selection;sampling rate adaption</t>
  </si>
  <si>
    <t>Industrial Internet of Things;Servers;Delays;Collaboration;Cloud computing;Resource management;Energy consumption</t>
  </si>
  <si>
    <t>S. Douch; M. R. Abid; K. Zine-Dine; D. Bouzidi; D. Benhaddou</t>
  </si>
  <si>
    <t>Edge Computing Technology Enablers: A Systematic Lecture Study</t>
  </si>
  <si>
    <t>10.1109/ACCESS.2022.3183634</t>
  </si>
  <si>
    <t>National School of Computer Science and Systems Analysis (ENSIAS), Mohammed V University in Rabat, Rabat, Morocco; TSYS School of Computer Science, Columbus State University, Columbus, GA, USA; Faculty of Sciences (FSR), Mohammed V University in Rabat, Rabat, Morocco; National School of Computer Science and Systems Analysis (ENSIAS), Mohammed V University in Rabat, Rabat, Morocco; Department of Engineering Technology, University of Houston, Houston, TX, USA</t>
  </si>
  <si>
    <t>With the increasing stringent QoS constraints (e.g., latency, bandwidth, jitter) imposed by novel applications (e.g., e-Health, autonomous vehicles, smart cities, etc.), as well as the rapidly increasing number of connected IoT (Internet of Things) devices, the core network is becoming increasingly congested. To cope with those constraints, Edge Computing (EC) is emerging as an innovative computing paradigm that leverages Cloud computing and brings it closer to the customer. ‚ÄúEC‚Äù refers to transferring computing power and intelligence from the central Cloud to the network‚Äôs Edge. With that, EC promotes the idea of processing and caching data at the Edge, thus reducing network congestion and latency. This paper presents a detailed, thorough, and well-structured assessment of Edge Computing and its enabling technologies. Initially, we start by defining EC from the ground up, outlining its architectures and evolution from Cloudlets to Multi-Access Edge Computing. Next, we survey recent studies on the main cornerstones of an EC system, including resource management, computation offloading, data management, network management, etc. Besides, we emphasized EC technology enablers, starting with Edge Intelligence, the branch of Artificial Intelligence (AI) that integrates AI models at resource-constrained edge nodes with significant heterogeneity and mobility. Then, moving on to 5G and its empowering technologies, we explored how EC and 5G complement each other. After that, we studied virtualization and containerization as promising hosting runtime for edge applications. Further to that, we delineated a variety of EC use-case scenarios, e.g., smart cities, e-Health, military applications, etc. Finally, we concluded our survey by highlighting the role of EC integration with future concerns regarding green energy and standardization.</t>
  </si>
  <si>
    <t xml:space="preserve">National Academy of Sciences (NAS)/United States AID (USAID) under the PEER Cycle 5 Project(grant numbers:5-398); Towards Smart Microgrid: Renewable Energy Integration Into Smart Buildings; </t>
  </si>
  <si>
    <t>https://ieeexplore.ieee.org/stamp/stamp.jsp?arnumber=9797685</t>
  </si>
  <si>
    <t>Edge computing;cloud computing;fog computing;multi-access edge computing;edge intelligence;5G;containerization</t>
  </si>
  <si>
    <t>Edge computing;Cloud computing;Quality of service;5G mobile communication;Internet of Things;Terminology</t>
  </si>
  <si>
    <t>M. Mehic; L. Michalek; E. Dervisevic; P. Burdiak; M. Plakalovic; J. Rozhon; N. Mahovac; F. Richter; E. Kaljic; F. Lauterbach; P. Njemcevic; A. Maric; M. Hamza; P. Fazio; M. Voznak</t>
  </si>
  <si>
    <t>Quantum Cryptography in 5G Networks: A Comprehensive Overview</t>
  </si>
  <si>
    <t>10.1109/COMST.2023.3309051</t>
  </si>
  <si>
    <t>Department of Telecommunications, Faculty of Electrical Engineering, University of Sarajevo, Sarajevo, Bosnia and Herzegovina; VSB‚ÄîTechnical University of Ostrava, Ostrava, Czechia; Department of Telecommunications, Faculty of Electrical Engineering, University of Sarajevo, Sarajevo, Bosnia and Herzegovina; VSB‚ÄîTechnical University of Ostrava, Ostrava, Czechia; Department of Telecommunications, Faculty of Electrical Engineering, University of Sarajevo, Sarajevo, Bosnia and Herzegovina; VSB‚ÄîTechnical University of Ostrava, Ostrava, Czechia; Department of Telecommunications, Faculty of Electrical Engineering, University of Sarajevo, Sarajevo, Bosnia and Herzegovina; Deutsche Telekom Security, T-Mobile CZ, Prague, Czechia; Department of Telecommunications, Faculty of Electrical Engineering, University of Sarajevo, Sarajevo, Bosnia and Herzegovina; VSB‚ÄîTechnical University of Ostrava, Ostrava, Czechia; Department of Telecommunications, Faculty of Electrical Engineering, University of Sarajevo, Sarajevo, Bosnia and Herzegovina; Department of Telecommunications, Faculty of Electrical Engineering, University of Sarajevo, Sarajevo, Bosnia and Herzegovina; Department of Telecommunications, Faculty of Electrical Engineering, University of Sarajevo, Sarajevo, Bosnia and Herzegovina; VSB‚ÄîTechnical University of Ostrava, Ostrava, Czechia; Department of Telecommunications, Faculty of Electrical Engineering, University of Sarajevo, Sarajevo, Bosnia and Herzegovina</t>
  </si>
  <si>
    <t>Every attempt to access to the Internet through a Web browser, email sent, VPN connection, VoIP call, instant message or other use of telecommunications systems involves cryptographic techniques. The most commonly applied technique is asymmetric cryptography, which is generally executed in the background without the user even being aware. It establishes a cryptographic code based on the computational complexity of mathematical problems. However, this type of cryptography, which is widely used in today‚Äôs telecommunications systems, is under threat as electronics and computing rapidly develop. The development of fifth-generation cellular networks (5G) is gaining momentum, and given its wide field of application, security requires special attention. This is especially true faced with the development of quantum computers. One solution to this security challenge is to use more advanced techniques to establish cryptographic keys that are not susceptible to attack. An essential part of quantum cryptography, Quantum Key Distribution (QKD) uses the principles of quantum physics to establish and distribute symmetric cryptographic keys between two geographically distant users. QKD establishes information-theoretically secure cryptographic keys that are resistant to eavesdropping when they are created. In this paper, we survey the security challenges and approaches in 5G networks concerning network protocols, interfaces and management organizations. We begin by examining the fundamentals of QKD and discuss the creation of QKD networks and their applications. We then outline QKD network architecture and its components and standards, following with a summary of QKD and post-quantum key distribution techniques and approaches for its integration into existing security frameworks such as VPNs (IPsec and MACsec). We also discuss the requirements, architecture and methods for implementing the FPGA-based encryptors needed to execute cryptographic algorithms with security keys. We discuss the performance and technologies of post-quantum cryptography, and finally, examine reported 5G demonstrations which have used quantum technologies, highlighting future research directions.</t>
  </si>
  <si>
    <t xml:space="preserve">Ministry of the Interior of the Czech Republic Project ‚ÄúNetwork Cybersecurity in the Post-Quantum Era‚Äù(grant numbers:VJ01010008); NATO SPS G5894 Project ‚ÄúQuantum Cybersecurity in 5G Networks (QUANTUM5)‚Äù; H2020 Project OPENQKD(grant numbers:857156); Ministry of Civil Affairs of Bosnia and Herzegovina(grant numbers:10-33-11-7111/22); Ministry of Science, Higher Education and Youth of Canton Sarajevo, Bosnia and Herzegovina(grant numbers:27-02-35-35137-29/22,27-02-35-35143-6/22); Project DQKDNM 2023; </t>
  </si>
  <si>
    <t>https://ieeexplore.ieee.org/stamp/stamp.jsp?arnumber=10231341</t>
  </si>
  <si>
    <t>5G;quantum cryptography;post-quantum cryptography;security</t>
  </si>
  <si>
    <t>Security;Cryptography;Surveys;Quantum computing;5G mobile communication;Tutorials;Protocols</t>
  </si>
  <si>
    <t>C. J. Turner; R. Ma; J. Chen; J. Oyekan</t>
  </si>
  <si>
    <t>Human in the Loop: Industry 4.0 Technologies and Scenarios for Worker Mediation of Automated Manufacturing</t>
  </si>
  <si>
    <t>10.1109/ACCESS.2021.3099311</t>
  </si>
  <si>
    <t>Surrey Business School, University of Surrey, Surrey, Guildford, U.K.; Department of Automatic Control and Systems Engineering, The University of Sheffield, Sheffield, U.K.; Department of Automatic Control and Systems Engineering, The University of Sheffield, Sheffield, U.K.; Department of Automatic Control and Systems Engineering, The University of Sheffield, Sheffield, U.K.</t>
  </si>
  <si>
    <t>Industry 4.0 derived technologies have the potential to enable a new wave of digital manufacturing solutions for semi and fully automated production. In addition, this paradigm encompasses the use of communication technologies to transmit data to processing stations as well as the utilization of cloud based computational resources for data mining. Despite the rise in automation, future manufacturing systems will initially still require humans in the loop to provide supervisory level mediation for even the most autonomous production scenarios. Through a structured review, this paper details a number of key technologies that are most likely to shape this future and describes a range of scenarios for their use in delivering human mediated automated and autonomous production. This paper argues that in all cases of future manufacturing management it is key that the human has oversight of critical information flows and remains an active participant in the delivery of the next generation of production systems.</t>
  </si>
  <si>
    <t>https://ieeexplore.ieee.org/stamp/stamp.jsp?arnumber=9493179</t>
  </si>
  <si>
    <t>Human computer interaction;intelligent systems;visualization;interactive systems;context awareness</t>
  </si>
  <si>
    <t>Manufacturing;Manufacturing systems;Production;Collaboration;Service robots;Job shop scheduling;Context-aware services</t>
  </si>
  <si>
    <t>A. Nugur; M. Pipattanasomporn; M. Kuzlu; S. Rahman</t>
  </si>
  <si>
    <t>Design and Development of an IoT Gateway for Smart Building Applications</t>
  </si>
  <si>
    <t>10.1109/JIOT.2019.2926099</t>
  </si>
  <si>
    <t>Bradley Department of Electrical and Computer Engineering, Advanced Research Institute, Virginia Tech, Arlington, VA, USA; Advanced Research Institute, Virginia Tech, Arlington, VA, USA; Department of Engineering Technology, Old Dominion University, Norfolk, VA, USA; Bradley Department of Electrical and Computer Engineering, Advanced Research Institute, Virginia Tech, Arlington, VA, USA</t>
  </si>
  <si>
    <t>Due to the depletion of energy resources and increased energy demand, there is an increased focus on the energy consumption and management in buildings. Many building energy management (BEM) software platforms are commercially available to monitor and control energy consumption. These platforms are hosted on the physical hardware within the building, due to which the hardware specifications limit their performance. To address this limitation, cloud technology emerged which facilitates software to be deployed at a remote location that has scalable hardware resources. Conventional BEM software can leverage such a cloud platform to offer scalable and maintenance-free installation. Once hosted on a remote cloud platform, BEM software lacks direct connectivity to building sensors/controllers, hence requires a device to support remote accessibility. Most devices are bound to a local area network and therefore, need an additional functional layer on top of its communication stack to perform network address translation (NAT)-Traversal. This functionality is implemented on a scalable software which connects to the devices in the network and acts as a gateway for cloud-based BEM software to access devices in the local area network. Any message sent to this gateway is translated to a respective device protocol. This paper describes the design and implementation of such an Internet of Things (IoT) gateway for a cloud-based BEM system that requires support for BACnet, Modbus, and HTTP RESTful interface devices.</t>
  </si>
  <si>
    <t xml:space="preserve">U.S. Department of Energy(grant numbers:DE-EE-0006352); </t>
  </si>
  <si>
    <t>https://ieeexplore.ieee.org/stamp/stamp.jsp?arnumber=8752396</t>
  </si>
  <si>
    <t>Building energy management;cloud computing;fog computing;Internet of Things (IoT);IoT gateway</t>
  </si>
  <si>
    <t>Cloud computing;Logic gates;Software;Protocols;Performance evaluation;Internet of Things;Buildings</t>
  </si>
  <si>
    <t>P. Lou; S. Liu; J. Hu; R. Li; Z. Xiao; J. Yan</t>
  </si>
  <si>
    <t>Intelligent Machine Tool Based on Edge-Cloud Collaboration</t>
  </si>
  <si>
    <t>10.1109/ACCESS.2020.3012829</t>
  </si>
  <si>
    <t>School of Information Engineering, Wuhan University of Technology, Wuhan, China; School of Information Engineering, Wuhan University of Technology, Wuhan, China; School of Information Engineering, Wuhan University of Technology, Wuhan, China; School of Mechanical and Electronic Engineering, Wuhan University of Technology, Wuhan, China; School of Mechanical and Electronic Engineering, Wuhan University of Technology, Wuhan, China; School of Information Engineering, Wuhan University of Technology, Wuhan, China</t>
  </si>
  <si>
    <t>As a key equipment of manufacturing, the intelligence of CNC machine tools affects the development and progress of intelligent manufacturing. At the same time, the rapid development of various technologies in recent years, such as cloud computing and edge computing, has brought new methods to improve the intelligence of CNC machine tools. This article proposes a new architecture of intelligent machine tools based on edge-cloud collaboration (IMT-ECC). The hierarchical structure of IMT-ECC is introduced and consists of three layers, data acquisition, network communication and edge-cloud collaboration. Combining the real-time characteristic of edge computing and complex problem processing ability of cloud computing, the edge-cloud collaboration is designed to improve the intelligence of machine tools through data collaboration, information collaboration and knowledge collaboration. Finally, the feasibility of the new intelligent machine tool architecture based on edge-cloud collaboration is verified by experiments with gantry heavy-duty CNC machine tools.</t>
  </si>
  <si>
    <t xml:space="preserve">National Natural Science Foundation Committee (NSFC) of China(grant numbers:51905397); Fundamental Research Funds for the Central Universities(grant numbers:WUT 2018III069GX,WUT 2019III071GX); </t>
  </si>
  <si>
    <t>https://ieeexplore.ieee.org/stamp/stamp.jsp?arnumber=9152086</t>
  </si>
  <si>
    <t>Machine tool 4.0;edge-cloud collaboration;edge computing;cloud computing;intelligent machine tool</t>
  </si>
  <si>
    <t>Machine tools;Cloud computing;Collaboration;Edge computing;Real-time systems;Computer architecture;Data processing</t>
  </si>
  <si>
    <t>D. H. Abdulazeez; S. K. Askar</t>
  </si>
  <si>
    <t>Offloading Mechanisms Based on Reinforcement Learning and Deep Learning Algorithms in the Fog Computing Environment</t>
  </si>
  <si>
    <t>10.1109/ACCESS.2023.3241881</t>
  </si>
  <si>
    <t>Department of Computer Science, University of Duhok, Duhok, Iraq; Erbil Technical Engineering College, Erbil Polytechnic University, Erbil, Iraq</t>
  </si>
  <si>
    <t>Fog computing has emerged as a computing paradigm for resource-restricted Internet of things (IoT) devices to support time-sensitive and computationally intensive applications. Offloading can be utilized to transfer resource-intensive tasks from resource-limited end devices to a resource-rich fog or cloud layer to reduce end-to-end latency and enhance the performance of the system. However, this advantage is still challenging to achieve in systems with a high request rate because it leads to long queues of tasks in fog nodes and reveals inefficiencies in terms of delays. In this regard, reinforcement learning (RL) is a well-known method for addressing such decision-making issues. However, in large-scale wireless networks, both action and state spaces are complex and extremely extensive. Consequently, reinforcement learning techniques may not be able to identify an efficient strategy within an acceptable time frame. Hence, deep reinforcement learning (DRL) was developed to integrate RL and deep learning (DL) to address this problem. This paper presents a systematic analysis of using RL or DRL algorithms to address offloading-related issues in fog computing. First, the taxonomy of fog computing offloading mechanisms based on RL and DRL algorithms was divided into three major categories: value-based, policy-based, and hybrid-based algorithms. These categories were then compared based on important features, including offloading problem formulation, utilized techniques, performance metrics, evaluation tools, case studies, their strengths and drawbacks, offloading directions, offloading mode, SDN-based architecture, and offloading decisions. Finally, the future research directions and open issues are discussed thoroughly.</t>
  </si>
  <si>
    <t>https://ieeexplore.ieee.org/stamp/stamp.jsp?arnumber=10035389</t>
  </si>
  <si>
    <t>Fog computing;Internet of Things (IoT);offloading;reinforcement learning;deep reinforcement learning</t>
  </si>
  <si>
    <t>Deep learning;Edge computing;Reinforcement learning;Systematics;Resource management;Heuristic algorithms;Internet of Things</t>
  </si>
  <si>
    <t>A. E. Khaled; A. Helal; W. Lindquist; C. Lee</t>
  </si>
  <si>
    <t>IoT-DDL‚ÄìDevice Description Language for the ‚ÄúT‚Äù in IoT</t>
  </si>
  <si>
    <t>10.1109/ACCESS.2018.2825295</t>
  </si>
  <si>
    <t>Computer and Information Science and Engineering Department, University of Florida, Gainesville, FL, USA; School of Computing and Communication, Lancaster University, Lancaster, U.K.; School of Computing and Communication, Lancaster University, Lancaster, U.K.; Division of Computer Science and Engineering, Hanyang University, Seoul, South Korea</t>
  </si>
  <si>
    <t>We argue that the success of the Internet of Things (IoT) vision will greatly depend on how its main ingredient-the ‚Äúthing‚Äù-is architected and prepared to engage. The IoT's fragmented and widevarying nature introduces the need for additional effort to homogenize these things so they may blend together with the surrounding space to create opportunities for powerful and unprecedented IoT applications. We introduce the IoT Device Description Language (IoT-DDL), a machineand human-readable descriptive language for things, seeking to achieve such integration and homogenization. IoT-DDL explicitly tools things to self-discover and securely share their own capabilities, entities, and services, including the various cloudbased accessories that may be attached to them. We also present the Atlas thing architecture-a lightweight architecture for things that fully exploits IoT-DDL and its specifications. Our architecture provides new OS layers, services, and capabilities we believe a thing must have in order to be prepared to engage in IoT scenarios and applications. The architecture and IoT-DDL enable things to generate their offered services and self-formulate APIs for such services, on the fly, at power-on or whenever a thing description changes. The architecture takes advantage of widely used device management, micro-services, security, and communication standards and protocols. We present details of IoT-DDL and corresponding parts of the thing architecture. We demonstrate some features of IoT-DDL and the architecture through proof-of-concept implementations. Finally, we present a benchmarking study to measure and assess time performance and energy consumption characteristics of our architecture and IoT-DDL on real hardware platforms.</t>
  </si>
  <si>
    <t xml:space="preserve">Philips; Basic Science Research Program through the National Research Foundation of Korea; Ministry of Science; ICT(grant numbers:2017R1A2B4010395); </t>
  </si>
  <si>
    <t>https://ieeexplore.ieee.org/stamp/stamp.jsp?arnumber=8334820</t>
  </si>
  <si>
    <t>Internet of Things architecture;thing description;microservices;OMA;IPSO;CoAP;MQTT</t>
  </si>
  <si>
    <t>Computer architecture;Cloud computing;Internet of Things;Tools;Ecosystems;Metadata</t>
  </si>
  <si>
    <t>M. Kumar; A. Kishor; J. K. Samariya; A. Y. Zomaya</t>
  </si>
  <si>
    <t>An Autonomic Workload Prediction and Resource Allocation Framework for Fog-Enabled Industrial IoT</t>
  </si>
  <si>
    <t>10.1109/JIOT.2023.3235107</t>
  </si>
  <si>
    <t>Department of Information Technology, NIT Jalandhar, Jalandhar, India; Department of Computer Science and Engineering, ABV-Indian Institute of Information Technology and Management Gwalior, Gwalior, India; Department of Computer Science and Engineering, Graphic Era University Dehradun, Dehradun, India; Centre for Distributed and High-Performance Computing, University of Sydney, Sydney, NSW, Australia</t>
  </si>
  <si>
    <t>The Internet of Things (IoT) has revolutionized the industrial field with numerous facilities and advancements. The industrial IoT system demands delay-aware workload execution with the aid of a fog computing platform, and precise resource allocation is required in fog nodes (FNs) to execute the fluctuating industrial IoT workloads with minimal cost and delay. In view of the issue mentioned above, we introduce an autonomic workload prediction and resource allocation framework that efficiently allocates resources among FNs. In the proposed framework, the workloads are predicted in the analysis phase with the guidance of the deep autoencoder (DAE) model, and the FNs are scaled based on the demand of Industrial IoT workloads. The crow search algorithm (CSA) is integrated with the framework for optimal FN selection to improve cost and delay objectives. The proposed scheme is evaluated and compared with the existing optimization models in terms of execution cost, request rejection ratio, throughput, and response time. The simulation results establish that the proposed scheme outperformed other optimization models. The method provided a suitable solution for the optimal FN placement problems in efficiently executing dynamic industrial IoT workloads.</t>
  </si>
  <si>
    <t>https://ieeexplore.ieee.org/stamp/stamp.jsp?arnumber=10012055</t>
  </si>
  <si>
    <t>Delay;execution time;fog node (FN);resource allocation;workload prediction</t>
  </si>
  <si>
    <t>Task analysis;Industrial Internet of Things;Resource management;Delays;Servers;Computational modeling;Cloud computing</t>
  </si>
  <si>
    <t>S. Schneider; R. Khalili; A. Manzoor; H. Qarawlus; R. Schellenberg; H. Karl; A. Hecker</t>
  </si>
  <si>
    <t>Self-Learning Multi-Objective Service Coordination Using Deep Reinforcement Learning</t>
  </si>
  <si>
    <t>10.1109/TNSM.2021.3076503</t>
  </si>
  <si>
    <t>Department for Computer Science, Computer Networks Research Group, Paderborn University, Paderborn, Germany; Munich Research Center, Huawei Technologies D√ºsseldorf, Munich, Germany; Department for Computer Science, Computer Networks Research Group, Paderborn University, Paderborn, Germany; Logistics Department, Fraunhofer ISST, Dortmund, Germany; Department for Computer Science, Computer Networks Research Group, Paderborn University, Paderborn, Germany; Department for Computer Science, Computer Networks Research Group, Paderborn University, Paderborn, Germany; Department for Computer Science, Computer Networks Research Group, Paderborn University, Paderborn, Germany</t>
  </si>
  <si>
    <t>Modern services consist of interconnected components, e.g., microservices in a service mesh or machine learning functions in a pipeline. These services can scale and run across multiple network nodes on demand. To process incoming traffic, service components have to be instantiated and traffic assigned to these instances, taking capacities, changing demands, and Quality of Service (QoS) requirements into account. This challenge is usually solved with custom approaches designed by experts. While this typically works well for the considered scenario, the models often rely on unrealistic assumptions or on knowledge that is not available in practice (e.g., a priori knowledge). We propose DeepCoord, a novel deep reinforcement learning approach that learns how to best coordinate services and is geared towards realistic assumptions. It interacts with the network and relies on available, possibly delayed monitoring information. Rather than defining a complex model or an algorithm on how to achieve an objective, our model-free approach adapts to various objectives and traffic patterns. An agent is trained offline without expert knowledge and then applied online with minimal overhead. Compared to a state-of-the-art heuristic, DeepCoord significantly improves flow throughput (up to 76%) and overall network utility (more than 2x) on real-world network topologies and traffic traces. It also supports optimizing multiple, possibly competing objectives, learns to respect QoS requirements, generalizes to scenarios with unseen, stochastic traffic, and scales to large real-world networks. For reproducibility and reuse, our code is publicly available.</t>
  </si>
  <si>
    <t xml:space="preserve">German Research Foundation within the Collaborative Research Centre ‚ÄúOn-The-Fly Computing‚Äù (SFB 901), the German Federal Ministry of Education and Research under Software Campus(grant numbers:01IS17046 (RealVNF)); European Commission under 5G-PPP project FUDGE-5G(grant numbers:H2020-ICT-42-2020,957242); </t>
  </si>
  <si>
    <t>https://ieeexplore.ieee.org/stamp/stamp.jsp?arnumber=9419067</t>
  </si>
  <si>
    <t>Network and service management;reinforcement learning;self-learning;self-adaptation;multi-objective</t>
  </si>
  <si>
    <t>Quality of service;Monitoring;Runtime;Network topology;Edge computing;Dynamic scheduling;Delays</t>
  </si>
  <si>
    <t>W. Attaoui; E. Sabir; H. Elbiaze; M. Guizani</t>
  </si>
  <si>
    <t>VNF and CNF Placement in 5G: Recent Advances and Future Trends</t>
  </si>
  <si>
    <t>10.1109/TNSM.2023.3264005</t>
  </si>
  <si>
    <t>Intelligent Network and Mobile Charging Department, INWI Corporate, Casablanca, Morocco; Department of Computer Science, University of Quebec at Montreal, Montreal, Canada; Department of Computer Science, University of Quebec at Montreal, Montreal, Canada; Machine Learning Department, Mohamed Bin Zayed University of Artificial Intelligence, Abu Dhabi, UAE</t>
  </si>
  <si>
    <t>With the growing demand for openness, scalability, and granularity, mobile network function virtualization (NFV) has emerged as a key enabler for the most of mobile network operators. NFV decouples network functions from hardware devices. This decoupling allows network services, called Virtualized Network Functions (VNFs), to be hosted on commodity hardware which simplifies and enhances service deployment and management for providers, improves flexibility, and leads to efficient and scalable resource usage, and lower costs. The proper placement of VNFs in the hosting infrastructures is one of the main technical challenges. This placement significantly influences the network‚Äôs performance, reliability, and operating costs. The VNF placement is NP-Hard. Therefore, there is a need for placement methods that can cope with the complexity of the problem and find appropriate solutions in a reasonable duration. The primary purpose of this study is to provide a taxonomy of optimization techniques used to tackle the VNF placement problems. We classify the studied papers based on performance metrics, methods, algorithms, and environment. Virtualization is not limited to simply replacing physical machines with virtual machines or VNFs, but may also include micro-services, containers, and cloud-native systems. In this context, the second part of our article focuses on the placement of Containers Network Functions (CNFs) in edge/fog computing. Many issues have been considered as traffic congestion, resource utilization, energy consumption, performance degradation, etc. For each matter, various solutions are proposed through different surveys and research papers in which each one addresses the placement problem in a specific manner by suggesting single objective or multi-objective methods based on different types of algorithms such as heuristic, meta-heuristic, and machine learning algorithms.</t>
  </si>
  <si>
    <t xml:space="preserve">Mohamed Bin Zayed University of Artificial Intelligence (MBZUAI), Abu Dhabi, UAE(grant numbers:8481000021); </t>
  </si>
  <si>
    <t>https://ieeexplore.ieee.org/stamp/stamp.jsp?arnumber=10090468</t>
  </si>
  <si>
    <t>Virtual network function;container;placement;5G network slicing;cloud native</t>
  </si>
  <si>
    <t>5G mobile communication;Containers;Cloud computing;Virtualization;Network slicing;Internet of Things;Quality of service</t>
  </si>
  <si>
    <t>X. Zhao; C. Huang</t>
  </si>
  <si>
    <t>Microservice Based Computational Offloading Framework and Cost Efficient Task Scheduling Algorithm in Heterogeneous Fog Cloud Network</t>
  </si>
  <si>
    <t>10.1109/ACCESS.2020.2981860</t>
  </si>
  <si>
    <t>School of Digital Media, Shenzhen Institute of Information Technology, Shenzhen, China; Department of Computer Science, Wenzhou University, Wenzhou, China</t>
  </si>
  <si>
    <t>Nowadays, the usage of the fog cloud-based Internet of Things (IoT) applications among users has been growing progressively. These applications may be E-Transport, E-Healthcare, Augmented Reality, and 3D-Game. Generally, contemporary cloud frameworks offer services based on virtual machines. These frameworks incurred with following issues such as long boot-time, overhead and unnecessary cost to run the IoT applications. We propose a new Microservice container fog system (MSCFS) based framework to run the mobility and delay-sensitive applications with minimum cost. The study the cost-efficient task scheduling problem in the heterogeneous fog servers. Furthermore, the study introduces the Cost Aware Computational Offloading and task scheduling (CACOTS)framework, which solves the task scheduling into multiple steps. Such as task sequencing step, resource matching step and scheduling step. The experimental results prove that the proposed MSCFS and CACOTS schemes can enhance server utilization. As decrease the services latency and average services bootup time more effectively, and minimize costs.</t>
  </si>
  <si>
    <t xml:space="preserve">Natural Science Foundation of Guangdong Province(grant numbers:2018A030313339); Ministry of Education in China (MOE) Youth Fund Project of Humanities and Social Sciences(grant numbers:17YJCZH261); Scientific Research Team Project of Shenzhen Institute of Information Technology(grant numbers:SZIIT2019KJ022); National Natural Science Foundation of China(grant numbers:71803136,61471133); Key Research and Development Program Projects in Zhejiang Province(grant numbers:2019C01041); </t>
  </si>
  <si>
    <t>https://ieeexplore.ieee.org/stamp/stamp.jsp?arnumber=9042334</t>
  </si>
  <si>
    <t>Task scheduling;fog servers;boot-up time;microservices;container</t>
  </si>
  <si>
    <t>Task analysis;Cloud computing;Processor scheduling;Servers;Internet of Things;Virtual machining;Containers</t>
  </si>
  <si>
    <t>L. Lavaur; M. -O. Pahl; Y. Busnel; F. Autrel</t>
  </si>
  <si>
    <t>The Evolution of Federated Learning-Based Intrusion Detection and Mitigation: A Survey</t>
  </si>
  <si>
    <t>10.1109/TNSM.2022.3177512</t>
  </si>
  <si>
    <t>IMT Atlantique and the Chair Cybersecurity of Critical Networked Infrastructures (Cyber CNI), Rennes, France; IMT Atlantique and the Chair Cybersecurity of Critical Networked Infrastructures (Cyber CNI), Rennes, France; Department of Network Systems, Cybersecurity and Digital Law (SRCD), IMT Atlantique, IRISA, Rennes, France; Department of Network Systems, Cybersecurity and Digital Law (SRCD), IMT Atlantique, IRISA, Rennes, France</t>
  </si>
  <si>
    <t>In 2016, Google introduced the concept of Federated Learning (FL), enabling collaborative Machine Learning (ML). FL does not share local data but ML models, offering applications in diverse domains. This paper focuses on the application of FL to Intrusion Detection Systems (IDSs). There, common criteria to compare existing solutions are missing. In particular, this survey shows: (i) how FL-based IDSs are used in different domains; (ii) what differences exist between architectures; (iii) the state of the art of FL-based IDS. With a structured literature survey, this work identifies the relevant state of the art in FL‚Äìbased intrusion detection from its creation in 2016 until 2021. It provides a reference architecture and a taxonomy to serve as guidelines to compare and design FL-based IDSs. Both are validated with the existing works. Finally, it identifies research directions for the application of FL to intrusion detection systems.</t>
  </si>
  <si>
    <t xml:space="preserve">chair CyberCNI.fr; FEDER development fund of the Brittany region; </t>
  </si>
  <si>
    <t>https://ieeexplore.ieee.org/stamp/stamp.jsp?arnumber=9780571</t>
  </si>
  <si>
    <t>Federated learning;machine learning;intrusion detection systems;collaborative sharing;network security management;attack mitigation</t>
  </si>
  <si>
    <t>Collaboration;Taxonomy;Statistical analysis;Organizations;Collaborative work;Standardization;Semantics</t>
  </si>
  <si>
    <t>M. Xu; A. N. Toosi; R. Buyya</t>
  </si>
  <si>
    <t>iBrownout: An Integrated Approach for Managing Energy and Brownout in Container-Based Clouds</t>
  </si>
  <si>
    <t>IEEE Transactions on Sustainable Computing</t>
  </si>
  <si>
    <t>2377-3782</t>
  </si>
  <si>
    <t>10.1109/TSUSC.2018.2808493</t>
  </si>
  <si>
    <t>Cloud Computing and Distributed Systems (CLOUDS) Lab, University of Melbourne, Parkville, VIC, Australia; Cloud Computing and Distributed Systems (CLOUDS) Lab, University of Melbourne, Parkville, VIC, Australia; Cloud Computing and Distributed Systems (CLOUDS) Lab, University of Melbourne, Parkville, VIC, Australia</t>
  </si>
  <si>
    <t>Energy consumption of Cloud data centers has been a major concern of many researchers, and one of the reasons for huge energy consumption of Clouds lies in the inefficient utilization of computing resources. Besides energy consumption, another challenge of data centers is the unexpected loads, which leads to the overloads and performance degradation. Compared with VM consolidation and Dynamic Voltage Frequency Scaling that cannot function well when the whole data center is overloaded, brownout has shown to be a promising technique to handle both overloads and energy consumption through dynamically deactivating application optional components, which are also identified as containers/microservices. In this work, we propose an integrated approach to manage energy consumption and brownout in container-based cloud data centers. We also evaluate our proposed scheduling policies with real traces in a prototype system. The results show that our approach reduces about 40, 20, and 10 percent energy than the approach without power-saving techniques, brownout-overbooking approach and auto-scaling approach, respectively, while ensuring Quality of Service.</t>
  </si>
  <si>
    <t xml:space="preserve">China Scholarship Council; Australia Research Council Future Fellowship; </t>
  </si>
  <si>
    <t>https://ieeexplore.ieee.org/stamp/stamp.jsp?arnumber=8302602</t>
  </si>
  <si>
    <t>Cloud data centers;energy efficiency;QoS;containers;microservices;brownout</t>
  </si>
  <si>
    <t>Data centers;Energy consumption;Cloud computing;Quality of service;Servers;Containers;Prototypes</t>
  </si>
  <si>
    <t>T. Zhang; H. Qiu; L. Linguaglossa; W. Cerroni; P. Giaccone</t>
  </si>
  <si>
    <t>NFV Platforms: Taxonomy, Design Choices and Future Challenges</t>
  </si>
  <si>
    <t>10.1109/TNSM.2020.3045381</t>
  </si>
  <si>
    <t>Department of Network and Computer Science, Telecom Paris, Paris, France; Department of Network and Computer Science, Telecom Paris, Paris, France; Department of Network and Computer Science, Telecom Paris, Paris, France; Department of Electrical, Electronic, and Information Engineering ‚ÄúGuglielmo Marconi,‚Äù, University of Bologna, Bologna, Italy; Consorzio Nazionale Interuniversitario per le Telecomunicazioni, Parma, Italy</t>
  </si>
  <si>
    <t>Due to the intrinsically inefficient service provisioning in traditional networks, Network Function Virtualization (NFV) keeps gaining attention from both industry and academia. By replacing the purpose-built, expensive, proprietary network equipment with software network functions consolidated on commodity hardware, NFV envisions a shift towards a more agile and open service provisioning paradigm. During the last few years, a large number of NFV platforms have been implemented to facilitate the development, deployment, and management of Virtual Network Functions (VNFs). Nonetheless, just like any complex system, such platforms commonly consist of abounding software and hardware components and usually incorporate disparate design choices based on distinct motivations or use cases. This broad collection of convoluted alternatives makes it extremely arduous for network operators to make proper choices. Although numerous efforts have been devoted to investigating different aspects of NFV, none of them specifically focused on NFV platforms or attempted to explore their design space. In this article, we present a comprehensive survey on the NFV platform design. Our study solely targets existing NFV platform implementations. We begin with a top-down architectural view of the standard reference NFV platform and present our taxonomy of existing NFV platforms based on what features they provide in terms of a typical network function life cycle. Then we thoroughly explore the design space and elaborate on the implementation choices each platform opts for. We also envision future challenges for NFV platform design in the incoming 5G era. We believe that our study gives a detailed guideline for network operators or service providers to choose the most appropriate NFV platform based on their respective requirements. Our work also provides guidelines for implementing new NFV platforms.</t>
  </si>
  <si>
    <t xml:space="preserve">European Horizon 2020 Programme through the project 5G-EVE on ‚ÄúEuropean 5G validation platform for extensive trials‚Äù(grant numbers:815074); </t>
  </si>
  <si>
    <t>https://ieeexplore.ieee.org/stamp/stamp.jsp?arnumber=9302614</t>
  </si>
  <si>
    <t>Network function virtualization;service function chaining;service management and orchestration;NFV infrastructure;VNF life cycle</t>
  </si>
  <si>
    <t>Hardware;Software;Middleboxes;Space exploration;Monitoring;Switches;Virtualization</t>
  </si>
  <si>
    <t>R. -V. Tkachuk; D. Ilie; K. Tutschku; R. Robert</t>
  </si>
  <si>
    <t>A Survey on Blockchain-Based Telecommunication Services Marketplaces</t>
  </si>
  <si>
    <t>10.1109/TNSM.2021.3123680</t>
  </si>
  <si>
    <t>Department of Computer Science, Blekinge Institute of Technology, Karlshamn, Sweden; Department of Computer Science, Blekinge Institute of Technology, Karlshamn, Sweden; Department of Computer Science, Blekinge Institute of Technology, Karlshamn, Sweden; Ericsson Research, Stockholm, Sweden</t>
  </si>
  <si>
    <t>Digital marketplaces were created recently to accelerate the delivery of applications and services to customers. Their appealing feature is to activate and dynamize the demand, supply, and development of digital goods, applications, or services. By being an intermediary between producer and consumer, the primary business model for a marketplace is to charge the producer with a commission on the amount paid by the consumer. However, most of the time, the commission is dictated by the marketplace facilitator itself and creates an imbalance in value distribution, where producer and consumer sides suffer monetarily. In order to eliminate the need for a centralized entity between the producer and consumer, a blockchain-based decentralized digital marketplace concept was introduced. It provides marketplace actors with the tools to perform business transactions in a trusted manner and without the need for an intermediary. In this work, we provide a survey on Telecommunication Services Marketplaces (TSMs) which employ blockchain technology as the main trust enabling entity in order to avoid any intermediaries. We provide an overview of scientific and industrial proposals on the blockchain-based online digital marketplaces at large, and TSMs in particular. We consider in this study the notion of telecommunication services as any service enabling the capability for information transfer and, increasingly, information processing provided to a group of users by a telecommunications system. We discuss the main standardization activities around the concepts of TSMs and provide particular use-cases for the TSM business transactions such as SLA settlement. Also, we provide insights into the main foundational services provided by the TSM, as well as a survey of the scientific and industrial proposals for such services. Finally, a prospect for future developments is given.</t>
  </si>
  <si>
    <t xml:space="preserve">Swedish Knowledge Foundation through the project Symphony - Supply-and-Demand-based Service Exposure using Robust Distributed Concepts; </t>
  </si>
  <si>
    <t>https://ieeexplore.ieee.org/stamp/stamp.jsp?arnumber=9592675</t>
  </si>
  <si>
    <t>Digital marketplace;telecommunication services marketplace;blockchain technology;communication service provider;distributed ledger technology</t>
  </si>
  <si>
    <t>Blockchains;Business;Distributed ledger;Communications technology;Proposals;Internet of Things;Telecommunication services</t>
  </si>
  <si>
    <t>H. Xu; A. Berres; S. B. Yoginath; H. Sorensen; P. J. Nugent; J. Severino; S. A. Tennille; A. Moore; W. Jones; J. Sanyal</t>
  </si>
  <si>
    <t>Smart Mobility in the Cloud: Enabling Real-Time Situational Awareness and Cyber-Physical Control Through a Digital Twin for Traffic</t>
  </si>
  <si>
    <t>10.1109/TITS.2022.3226746</t>
  </si>
  <si>
    <t>Oak Ridge National Laboratory, Oak Ridge, TN, USA; Oak Ridge National Laboratory, Oak Ridge, TN, USA; Oak Ridge National Laboratory, Oak Ridge, TN, USA; National Renewable Energy Laboratory, Golden, CO, USA; Descartes Labs, Santa Fe, NM, USA; National Renewable Energy Laboratory, Golden, CO, USA; Oak Ridge National Laboratory, Oak Ridge, TN, USA; Y-12 National Security Complex, Oak Ridge, TN, USA; National Renewable Energy Laboratory, Golden, CO, USA; National Renewable Energy Laboratory, Golden, CO, USA</t>
  </si>
  <si>
    <t>This article presents the design, implementation, and use cases of the Chattanooga Digital Twin (CTwin) towards the vision for next-generation smart city applications for urban mobility management. CTwin is an end-to-end web-based platform that incorporates various aspects of the decision-making process for optimizing urban transportation systems in Chattanooga, Tennessee, to reduce traffic congestion, incidents, and vehicle fuel consumption. The platform serves as a cyberinfrastructure to collect and integrate multi-domain urban mobility data from various online repositories and Internet of Things (IoT) sensors, covering multiple urban aspects (e.g., traffic, natural hazards, weather, and safety) that are relevant to urban mobility management. The platform enables advanced capabilities for: (a) real-time situational awareness on traffic and infrastructure conditions on highways and urban roads, (b) cyber-physical control for optimizing traffic signal timing, and (c) interactive visual analytics on big urban mobility data and various metrics for traffic prediction and transportation performance evaluation. The platform is designed using a multi-level componentization paradigm and is implemented using modular and adaptive architecture, rendering it as a generalizable and extendable prototype for other urban management applications. We present several use cases to demonstrate CTwin‚Äôs core capabilities for supporting decision-making in smart urban mobility management.</t>
  </si>
  <si>
    <t xml:space="preserve">United States Department of Energy (U.S. DOE) through UT-Battelle, LLC.(grant numbers:DE-AC05-00OR22725); U.S. DOE, Office of Energy Efficiency and Renewable Energy, Vehicle Technologies Office; </t>
  </si>
  <si>
    <t>https://ieeexplore.ieee.org/stamp/stamp.jsp?arnumber=10018121</t>
  </si>
  <si>
    <t>Traffic flow visualization;level of detail;situational awareness;traffic sensor network;urban mobility;traffic monitoring</t>
  </si>
  <si>
    <t>Digital twins;Real-time systems;Transportation;Urban areas;Measurement;Analytical models;Sensors</t>
  </si>
  <si>
    <t>P. Rito; A. Almeida; A. Figueiredo; C. Gomes; P. Teixeira; R. Rosmaninho; R. Lopes; D. Dias; G. V√≠tor; G. Perna; M. Silva; C. Senna; D. Raposo; M. Lu√≠s; S. Sargento; A. Oliveira; N. B. de Carvalho</t>
  </si>
  <si>
    <t>Aveiro Tech City Living Lab: A Communication, Sensing, and Computing Platform for City Environments</t>
  </si>
  <si>
    <t>10.1109/JIOT.2023.3262627</t>
  </si>
  <si>
    <t>P√≥lo de Aveiro, Instituto de Telecomunica√ß√µes, Aveiro, Portugal; P√≥lo de Aveiro, Instituto de Telecomunica√ß√µes, Aveiro, Portugal; P√≥lo de Aveiro, Instituto de Telecomunica√ß√µes, Aveiro, Portugal; P√≥lo de Aveiro, Instituto de Telecomunica√ß√µes, Aveiro, Portugal; P√≥lo de Aveiro, Instituto de Telecomunica√ß√µes, Aveiro, Portugal; P√≥lo de Aveiro, Instituto de Telecomunica√ß√µes, Aveiro, Portugal; P√≥lo de Aveiro, Instituto de Telecomunica√ß√µes, Aveiro, Portugal; P√≥lo de Aveiro, Instituto de Telecomunica√ß√µes, Aveiro, Portugal; P√≥lo de Aveiro, Instituto de Telecomunica√ß√µes, Aveiro, Portugal; P√≥lo de Aveiro, Instituto de Telecomunica√ß√µes, Aveiro, Portugal; P√≥lo de Aveiro, Instituto de Telecomunica√ß√µes, Aveiro, Portugal; P√≥lo de Aveiro, Instituto de Telecomunica√ß√µes, Aveiro, Portugal; P√≥lo de Aveiro, Instituto de Telecomunica√ß√µes, Aveiro, Portugal; P√≥lo de Aveiro, Instituto de Telecomunica√ß√µes, Aveiro, Portugal; P√≥lo de Aveiro, Instituto de Telecomunica√ß√µes, Aveiro, Portugal; P√≥lo de Aveiro, Instituto de Telecomunica√ß√µes, Aveiro, Portugal; P√≥lo de Aveiro, Instituto de Telecomunica√ß√µes, Aveiro, Portugal</t>
  </si>
  <si>
    <t>This article presents the deployment and experimentation architecture of the Aveiro Tech City Living Lab (ATCLL) in Aveiro, Portugal. This platform comprises a large number of Internet of Things (IoT) devices with communication, sensing, and computing capabilities. The communication infrastructure, built on fiber and millimeter-wave (mmWave) links, integrates a communication network with radio terminals [WiFi, ITS-G5, cellular vehicular-to-everything, 5G and LoRa(WAN)], multiprotocol, spread throughout 44 connected points of access in the city. Additionally, public transportation has also been equipped with communication and sensing units. All these points combine and interconnect a set of sensors, such as mobility (radars, light detection and rangings (LiDARs), and video cameras) and environmental sensors. Combining edge computing and cloud management to deploy the services and manage the platform, and a data platform to gather and process the data, the living lab supports a wide range of services and applications: IoT, intelligent transport systems (ITSs) and assisted driving, environmental monitoring, emergency and safety, and among others. This article describes the architecture, implementation, and deployment to make the overall platform to work and integrate researchers and citizens. Moreover, it showcases some examples of the performance metrics achieved in the city infrastructure, the data that can be collected, visualized, and used to build services and applications to the cities, and, finally, different use cases in the mobility and safety scenarios.</t>
  </si>
  <si>
    <t xml:space="preserve">European Regional Development Fund (ERDF), included in the ‚ÄúUrban Innovative Actions‚Äù Programme, through Project Aveiro STEAM City(grant numbers:UIA03-084); FCT/MEC through National Funds(grant numbers:PTDC/EEI-COM/5284/2020); FCT/MCTES through National Funds and when applicable co-funded EU funds(grant numbers:UIDB/50008/2020-UIDP/50008/2020); </t>
  </si>
  <si>
    <t>https://ieeexplore.ieee.org/stamp/stamp.jsp?arnumber=10083171</t>
  </si>
  <si>
    <t>Connectivity management;smart cities;software-defined networks;test-bed and trials;vehicular networks</t>
  </si>
  <si>
    <t>Sensors;Smart cities;Internet of Things;Wireless fidelity;Safety;Temperature sensors;Computer architecture</t>
  </si>
  <si>
    <t>M. Polese; M. Dohler; F. Dressler; M. Erol-Kantarci; R. Jana; R. Knopp; T. Melodia</t>
  </si>
  <si>
    <t>Empowering the 6G Cellular Architecture With Open RAN</t>
  </si>
  <si>
    <t>10.1109/JSAC.2023.3334610</t>
  </si>
  <si>
    <t>Institute for the Wireless Internet of Things, Northeastern University, Boston, MA, USA; Advanced Technology Group, Ericsson Inc., Santa Clara, CA, USA; School of Electrical Engineering and Computer Science, TU Berlin, Berlin, Germany; School of Electrical Engineering and Computer Science, University of Ottawa, Ottawa, Canada; Google, New York City, NY, USA; EURECOM, Sophia Antipolis, Biot, France; Institute for the Wireless Internet of Things, Northeastern University, Boston, MA, USA</t>
  </si>
  <si>
    <t>Innovation and standardization in 5G have brought advancements to every facet of the cellular architecture. This ranges from the introduction of new frequency bands and signaling technologies for the radio access network (RAN), to a core network underpinned by micro-services and network function virtualization (NFV). However, like any emerging technology, the pace of real-world deployments does not instantly match the pace of innovation. To address this discrepancy, one of the key aspects under continuous development is the RAN with the aim of making it more open, adaptive, functional, and easy to manage. In this paper, we highlight the transformative potential of embracing novel cellular architectures by transitioning from conventional systems to the progressive principles of Open RAN. This promises to make 6G networks more agile, cost-effective, energy-efficient, and resilient. It opens up a plethora of novel use cases, ranging from ubiquitous support for autonomous devices to cost-effective expansions in regions previously underserved. The principles of Open RAN encompass: (i) a disaggregated architecture with modular and standardized interfaces; (ii) cloudification, programmability and orchestration; and (iii) AI-enabled data-centric closed-loop control and automation. We first discuss the transformative role Open RAN principles have played in the 5G era. Then, we adopt a system-level approach and describe how these Open RAN principles will support 6G RAN and architecture innovation. We qualitatively discuss potential performance gains that Open RAN principles yield for specific 6G use cases. For each principle, we outline the steps that research, development and standardization communities ought to take to make Open RAN principles central to next-generation cellular network designs.</t>
  </si>
  <si>
    <t xml:space="preserve">U.S. National Science Foundation(grant numbers:CNS-2117814); Federal Ministry of Education and Research (BMBF), Germany, within the 6G Platform(grant numbers:16KISK050); </t>
  </si>
  <si>
    <t>https://ieeexplore.ieee.org/stamp/stamp.jsp?arnumber=10329947</t>
  </si>
  <si>
    <t>Open RAN;6G;architecture;end-to-end</t>
  </si>
  <si>
    <t>5G mobile communication;Cellular networks;6G mobile communication;Wireless communication;Technological innovation;3GPP;Quality of service</t>
  </si>
  <si>
    <t>M. A. Habibi; B. Han; A. Fellan; W. Jiang; A. G. S√°nchez; I. L. Pavon; A. Boubendir; H. D. Schotten</t>
  </si>
  <si>
    <t>Toward an Open, Intelligent, and End-to-End Architectural Framework for Network Slicing in 6G Communication Systems</t>
  </si>
  <si>
    <t>10.1109/OJCOMS.2023.3294445</t>
  </si>
  <si>
    <t>Department of Electrical and Computer Engineering, Division of Wireless Communications and Radio Navigation, Rheinland-Pf√§lzische Technische Universit√§t, Kaiserslautern, Germany; Department of Electrical and Computer Engineering, Division of Wireless Communications and Radio Navigation, Rheinland-Pf√§lzische Technische Universit√§t, Kaiserslautern, Germany; Department of Electrical and Computer Engineering, Division of Wireless Communications and Radio Navigation, Rheinland-Pf√§lzische Technische Universit√§t, Kaiserslautern, Germany; Intelligent Networking Research Group, German Research Center for Artificial Intelligence, Kaiserslautern, Germany; Research and Innovation Department, ATOS Spain, Madrid, Spain; Research and Innovation Department, ATOS Spain, Madrid, Spain; Network Architecture and Automation Department, Orange Labs Networks, Issy-les-Moulineaux, France; Department of Electrical and Computer Engineering, Division of Wireless Communications and Radio Navigation, Rheinland-Pf√§lzische Technische Universit√§t, Kaiserslautern, Germany</t>
  </si>
  <si>
    <t>The definition of the fundamental concepts and the design of the architectural framework for network slicing in fifth-generation communication systems have been successfully concluded; the standardization activities are almost over; and the commercial deployment has already commenced worldwide. To compete for digital supremacy and to be seen as front-runners in the international technological race, researchers from various regions and countries have begun exploring the technical requirements, envisioning potential applications, identifying innovative enablers, developing testbeds for the preliminary validation of several terrestrial and non-terrestrial technologies, and conceptualizing the architectural design for the next generation of mobile communication systems ‚Äì the sixth-generation (6G) ‚Äì aiming to connect the human, physical, and digital worlds with a high level of intelligence and openness for the 2030s. In support of such an ambitious vision, this article extends the end-to-end network slicing concepts, methods, solutions, and functioning architectures towards 6G. To this intent, the study first presents several decisive motivating trends behind such an extension of network slicing in order to make forthcoming mobile networks fully slicing-aware. Following that, the paper attempts to highlight the intelligentization of a number of key enabling technologies that will bring a renaissance to network slicing in the next decade. It then proposes a unified architectural framework and its principal building blocks in several layers, paving the way for the implementation of an open and intelligent network and network slicing in 6G. The proposed architectural solution harmonizes the most recent specifications of the relevant de jure and de facto standards development organizations in their applicable layers with the aim of architecting a pre-standard-compliant and preliminary framework for slicing the 6G network. Finally, the article is intended to spur interest and lay the groundwork for further investigations and subsequent research and development by highlighting a number of open research challenges and directions in this flourishing field.</t>
  </si>
  <si>
    <t xml:space="preserve">Horizon 2020 Research and Innovation Program of the European Union through Hexa-X(grant numbers:101015956); Hexa-X-II(grant numbers:101095759); </t>
  </si>
  <si>
    <t>https://ieeexplore.ieee.org/stamp/stamp.jsp?arnumber=10178010</t>
  </si>
  <si>
    <t>6G;automation;cloudification;end-to-end architecture;intelligentization;intelligent networks;intelligent network slice;management and orchestration;mobile communication systems;network architecture;network exposure;network slicing;network slice;openness;open network;open network slice;softwarization;standardization;standards;virtualization</t>
  </si>
  <si>
    <t>6G mobile communication;Network slicing;Computer architecture;Automation;Optimization;Industries;Next generation networking</t>
  </si>
  <si>
    <t>A. Ali; M. M. Iqbal</t>
  </si>
  <si>
    <t>A Cost and Energy Efficient Task Scheduling Technique to Offload Microservices Based Applications in Mobile Cloud Computing</t>
  </si>
  <si>
    <t>10.1109/ACCESS.2022.3170918</t>
  </si>
  <si>
    <t>Department of Computer Science, University of Engineering and Technology, Taxila, Taxila, Pakistan; Department of Computer Science, Government Akhtar Nawaz Khan (Shaheed) Degree College KTS, Haripur, Pakistan</t>
  </si>
  <si>
    <t>The number of smartphone users and mobile devices has increased significantly. The Mobile Cloud Applications based on cloud computing have also been increased. The mobile apps can be used in Augmented Reality, E-Transportation, 2D/3-D Games, E-Healthcare, and Education. The modern cloud-based frameworks provide such services on Virtual Machines. The existing frameworks worked well, but these suffered the problems such as overhead, resource utilization, lengthy boot-time, and cost of running Mobile Applications. This study addresses these problems by proposing a Dynamic Decision-Based Task Scheduling Technique for Microservice-based Mobile Cloud Computing Applications (MSCMCC). The MSCMCC runs delay-sensitive applications and mobility with less cost than existing approaches. The study focused on Task Scheduling problems on heterogeneous Mobile Cloud servers. We further propose Task Scheduling and Microservices based Computational Offloading (TSMCO) framework to solve the Task Scheduling in steps, such as Resource Matching, Task Sequencing, and Task Scheduling. Furthermore, the experimental results elaborate that the proposed MSCMCC and TSMCO enhance the Mobile Server Utilization. The proposed system effectively minimizes the cost of healthcare applications by 25%, augmented reality by 23%, E-Transport tasks by 21%, and 3-D games tasks by 19%, the average boot-time of microservices applications by 17%, resource utilization by 36%, and tasks arrival time by 16%.</t>
  </si>
  <si>
    <t xml:space="preserve">University of Engineering and Technology, Taxila, Pakistan; </t>
  </si>
  <si>
    <t>https://ieeexplore.ieee.org/stamp/stamp.jsp?arnumber=9764765</t>
  </si>
  <si>
    <t>Cloud computing;mobile cloud computing;task offloading;task sequencing;task scheduling;microservices</t>
  </si>
  <si>
    <t>Task analysis;Cloud computing;Costs;Processor scheduling;Microservice architectures;Mobile handsets;Servers</t>
  </si>
  <si>
    <t>J. Li; J. -J. Qiu; Y. Zhou; S. Wen; K. -Q. Dou; Q. Li</t>
  </si>
  <si>
    <t>Study on the Reference Architecture and Assessment Framework of Industrial Internet Platform</t>
  </si>
  <si>
    <t>10.1109/ACCESS.2020.3021719</t>
  </si>
  <si>
    <t>Department of Automation, Tsinghua University, Beijing, China; China Industrial Control Systems Cyber Emergency Response Team, Beijing, China; China Industrial Control Systems Cyber Emergency Response Team, Beijing, China; China Industrial Control Systems Cyber Emergency Response Team, Beijing, China; China Industrial Control Systems Cyber Emergency Response Team, Beijing, China; Department of Automation, Tsinghua University, Beijing, China</t>
  </si>
  <si>
    <t>With the continuous innovation of new-generation information technology and its accelerated integration with manufacturing industry, industrial internet platforms (IIPs) are rapidly emerging worldwide. Construction and application of IIP has become a new focus in international competition for leading enterprises, and also a new direction of industrial development for many countries worldwide. However, the development of IIP is still in the stage of exploration, and the industry sector still lacks unified understanding of the IIP. Therefore, this study firstly proposes a reference architecture of IIP to clarify its framework and core functions, so as to provide a general reference model for the industry to understand and jointly promote construction of IIP. Secondly, an assessment system is proposed to evaluate the usage of IIP. The assessment framework is composed from three domains namely the foundation, key capability, value and benefit. Finally, the practical value of the reference architecture and the assessment framework of IIP is verified by an industry practice.</t>
  </si>
  <si>
    <t xml:space="preserve">National Natural Science Foundation of China(grant numbers:61771281); National Social Science Foundation of China(grant numbers:15ZDB151); National Basic Research Program of China (973 Program)(grant numbers:2018YFF0213700); 2018 Industrial Internet Platform Innovation and Development Project of China; </t>
  </si>
  <si>
    <t>https://ieeexplore.ieee.org/stamp/stamp.jsp?arnumber=9186625</t>
  </si>
  <si>
    <t>Industrial Internet platform (IIP);reference architecture;assessment framework;assessment indictor</t>
  </si>
  <si>
    <t>Industries;Computer architecture;Information systems;Manufacturing;Internet of Things;Cloud computing</t>
  </si>
  <si>
    <t>A. Roozbeh; J. Soares; G. Q. Maguire; F. Wuhib; C. Padala; M. Mahloo; D. Turull; V. Yadhav; D. Kostiƒá</t>
  </si>
  <si>
    <t>Software-Defined ‚ÄúHardware‚Äù Infrastructures: A Survey on Enabling Technologies and Open Research Directions</t>
  </si>
  <si>
    <t>10.1109/COMST.2018.2834731</t>
  </si>
  <si>
    <t>Ericsson Research, Ericsson AB, Stockholm, Sweden; Ericsson Research, Ericsson AB, Stockholm, Sweden; Communication Systems Department, KTH Royal Institute of Technology, Stockholm, Sweden; Ericsson Research, Ericsson AB, Stockholm, Sweden; Ericsson Research, Ericsson AB, Stockholm, Sweden; Ericsson Research, Ericsson AB, Stockholm, Sweden; Ericsson Research, Ericsson AB, Stockholm, Sweden; Ericsson Research, Ericsson AB, Stockholm, Sweden; Communication Systems Department, KTH Royal Institute of Technology, Stockholm, Sweden</t>
  </si>
  <si>
    <t>This paper provides an overview of software-defined ‚Äúhardware‚Äù infrastructures (SDHI). SDHI builds upon the concept of hardware (HW) resource disaggregation. HW resource disaggregation breaks today's physical server-oriented model where the use of a physical resource (e.g., processor or memory) is constrained to a physical server's chassis. SDHI extends the definition of of software-defined infrastructures (SDI) and brings greater modularity, flexibility, and extensibility to cloud infrastructures, thus allowing cloud operators to employ resources more efficiently and allowing applications not to be bounded by the physical infrastructure's layout. This paper aims to be an initial introduction to SDHI and its associated technological advancements. This paper starts with an overview of the cloud domain and puts into perspective some of the most prominent efforts in the area. Then, it presents a set of differentiating use-cases that SDHI enables. Next, we state the fundamentals behind SDI and SDHI, and elaborate why SDHI is of great interest today. Moreover, it provides an overview of the functional architecture of a cloud built on SDHI, exploring how the impact of this transformation goes far beyond the cloud infrastructure level in its impact on platforms, execution environments, and applications. Finally, an in-depth assessment is made of the technologies behind SDHI, the impact of these technologies, and the associated challenges and potential future directions of SDHI.</t>
  </si>
  <si>
    <t xml:space="preserve">Knut och Alice Wallenbergs Stiftelse; </t>
  </si>
  <si>
    <t>https://ieeexplore.ieee.org/stamp/stamp.jsp?arnumber=8356736</t>
  </si>
  <si>
    <t>CR-software-defined infrastructure;resource disaggregation;cloud infrastructure;rack-scale;hyperscale computing;disaggregated DC</t>
  </si>
  <si>
    <t>Servers;Cloud computing;Virtualization;Hardware;Virtual machine monitors;Computer architecture</t>
  </si>
  <si>
    <t>Toward Energy-Awareness Smart Building: Discover the Fingerprint of Your Electrical Appliances</t>
  </si>
  <si>
    <t>10.1109/TII.2017.2776300</t>
  </si>
  <si>
    <t>School of Electronics Engineering and Computer Science, Peking University, Beijing, China; School of Software and Microelectronics, Peking University, Beijing, China; School of Electronics Engineering and Computer Science, Peking University, Beijing, China; National Engineering Research Center for Software Engineering and the School of Software and Microelectronics, Peking University, Key Laboratory of High Confidence Software Technologies (PKU), Ministry of Education, Beijing, China; IBM Research‚ÄîChina, Beijing, China; IBM Research‚ÄîChina, Beijing, China</t>
  </si>
  <si>
    <t>Energy efficiency raises significant concerns as it is one of the most promising ways to mitigate climate change. Disaggregation and identification of individual electrical appliances activities are one of the essentials for energy preservation especially for smart buildings. This paper proposes a lightweight electrical appliance activity detection approach for smart building, which leverages a single smart metering device to establish a learning and detection processing for multiple appliances. In this system, data interpolation and transition detection algorithm are proposed to effectively reduce the cost of model training and optimize the detection accuracy. The concept of appliance fingerprint is proposed and a variety of fingerprints, including appliance-based and context-based, are defined to depict fine-grained appliance characteristics. Based on these fingerprints, the paper proposes a multisource fingerprint-weighting KNN (FWKNN) classification algorithm and presents a boosting framework for continuous online learning and detection. A prototype system is implemented and demonstrated in IBM Bluemix PaaS cloud platform. Experimental result and analysis prove that FWKNN outperforms other benchmark methods in detection accuracy.</t>
  </si>
  <si>
    <t xml:space="preserve">National Natural Science Foundation of China(grant numbers:61701007); National Key Research and Development Program of China(grant numbers:2017YFB1200700); China Postdoctoral Science Foundation(grant numbers:2016M600865); IBM Shared University Research Project(grant numbers:TII-17-1292.R1); </t>
  </si>
  <si>
    <t>https://ieeexplore.ieee.org/stamp/stamp.jsp?arnumber=8118142</t>
  </si>
  <si>
    <t>Activity learning;appliance load monitoring (ALM);classification algorithm;fingerprint extraction;Internet of Things;smart building</t>
  </si>
  <si>
    <t>Fingerprint recognition;Time series analysis;Electrical products;Smart buildings;Detection algorithms;Home appliances;Data models;Climate change</t>
  </si>
  <si>
    <t>N. H. Thanh; N. Trung Kien; N. V. Hoa; T. T. Huong; F. Wamser; T. Hossfeld</t>
  </si>
  <si>
    <t>Energy-Aware Service Function Chain Embedding in Edge‚ÄìCloud Environments for IoT Applications</t>
  </si>
  <si>
    <t>10.1109/JIOT.2021.3064986</t>
  </si>
  <si>
    <t>School of Electronics and Telecommunications, Hanoi University of Science and Technology, Hanoi, Vietnam; School of Electronics and Telecommunications, Hanoi University of Science and Technology, Hanoi, Vietnam; School of Electronics and Telecommunications, Hanoi University of Science and Technology, Hanoi, Vietnam; School of Electronics and Telecommunications, Hanoi University of Science and Technology, Hanoi, Vietnam; Chair of Communication Networks, University of W√ºrzburg, W√ºrzburg, Germany; Chair of Communication Networks, University of W√ºrzburg, W√ºrzburg, Germany</t>
  </si>
  <si>
    <t>The implementation of Internet-of-Things (IoT) applications faces several challenges in practice, such as compliance with Quality-of-Service requirements, resource constraints, and energy consumption. In this context, the joint edge‚Äìcloud paradigm for IoT applications can resolve some of the issues arising in pure cloud computing scenarios, such as those related to latency, energy, or privacy. Therefore, an edge‚Äìcloud environment could be promising for resource and energy-efficient IoT applications that implement virtual network functions (VNFs) bound together into service function chains (SFCs). However, a resource and energy-efficient SFC placement requires smart SFC embedding mechanisms in the edge‚Äìcloud environment, as several challenges arise, such as IoT service chain modeling and evaluation, the tradeoff between resource allocation, energy efficiency and performance, and the resource dynamics. In this article, we address issues in modeling resource and energy utilization for IoT applications in edge‚Äìcloud environments. A smart traffic monitoring IP camera system is deployed as a use case for a realistic modeling of a service chain. The system is implemented in our testbed, which is designed and developed specifically to model and investigate the resource and energy utilization of SFC embedding strategies. A resource and energy-aware SFC strategy in the edge‚Äìcloud environment for IoT applications is then proposed. Our algorithm is able to cope with dynamic load and resource situations emerging from dynamic SFC requests. The strategy is evaluated systematically in terms of the acceptance ratio of SFC requests, resource efficiency and utilization, power consumption, and VNF migrations depending on the offered system load. Results show that our strategy outperforms some existing approaches in terms of resource and energy efficiency, thus it overcomes the relevant challenges from practice and meets the demands of IoT applications.</t>
  </si>
  <si>
    <t xml:space="preserve">Hanoi University of Science and Technology (HUST)(grant numbers:T2020-SAHEP-009); </t>
  </si>
  <si>
    <t>https://ieeexplore.ieee.org/stamp/stamp.jsp?arnumber=9373577</t>
  </si>
  <si>
    <t>Edge‚Äìcloud computing;Internet-of-Things (IoT) applications;network function virtualization (NFV);resource and energy-aware service chain embedding (RE-SCE);smart city</t>
  </si>
  <si>
    <t>Internet of Things;Cloud computing;Data models;Computational modeling;Computer architecture;Edge computing;Heuristic algorithms</t>
  </si>
  <si>
    <t>Z. Zhou; M. Shojafar; M. Alazab; F. Li</t>
  </si>
  <si>
    <t>IECL: An Intelligent Energy Consumption Model for Cloud Manufacturing</t>
  </si>
  <si>
    <t>10.1109/TII.2022.3165085</t>
  </si>
  <si>
    <t>School of Computer Engineering and Applied Mathematics, Changsha University, Changsha, China; 5G/6GIC, Institute for Communication Systems (ICS), University of Surrey, Guildford, U.K.; Charles Darwin University, Casuarina, NT, Australia; School of Computer Engineering and Applied Mathematics, Changsha University, Changsha, China</t>
  </si>
  <si>
    <t>The high computational capability provided by a data center makes it possible to solve complex manufacturing issues and carry out large-scale collaborative cloud manufacturing. Accurately, real-time estimation of the power required by a data center can help resource providers predict the total power consumption and improve resource utilization. To enhance the accuracy of server power models, we propose a real-time energy consumption prediction method called IECL that combines the support vector machine, random forest, and grid search algorithms. The random forest algorithm is used to screen the input parameters of the model, while the grid search method is used to optimize the hyperparameters. The error confidence interval is also leveraged to describe the uncertainty in the energy consumption by the server. Our experimental results suggest that the average absolute error for different workloads is less than 1.4% with benchmark models.</t>
  </si>
  <si>
    <t xml:space="preserve">Scientific Research Project of Education Department of Hunan Province(grant numbers:21B0779); Hunan Province Key Laboratory of Industrial Internet Technology and Security(grant numbers:2019TP1011); Marie Curie Global Fellowship; European Commission(grant numbers:MSCA-IF-GF-839255); </t>
  </si>
  <si>
    <t>https://ieeexplore.ieee.org/stamp/stamp.jsp?arnumber=9749900</t>
  </si>
  <si>
    <t>Cloud manufacturing;data center;energy consumption prediction;power model;support vector machine (SVM)</t>
  </si>
  <si>
    <t>Energy consumption;Servers;Data centers;Data models;Manufacturing;Predictive models;Feature extraction</t>
  </si>
  <si>
    <t>A. Mijuskovic; I. Ullah; R. Bemthuis; N. Meratnia; P. Havinga</t>
  </si>
  <si>
    <t>Comparing Apples and Oranges in IoT Context: A Deep Dive Into Methods for Comparing IoT Platforms</t>
  </si>
  <si>
    <t>10.1109/JIOT.2020.3016921</t>
  </si>
  <si>
    <t>EEMCS Faculty, Pervasive Systems Group, University of Twente, NB Enschede, The Netherlands; EEMCS Faculty, Pervasive Systems Group, University of Twente, NB Enschede, The Netherlands; EEMCS Faculty, Pervasive Systems Group, University of Twente, NB Enschede, The Netherlands; EEMCS Faculty, Pervasive Systems Group, University of Twente, NB Enschede, The Netherlands; EEMCS Faculty, Pervasive Systems Group, University of Twente, NB Enschede, The Netherlands</t>
  </si>
  <si>
    <t>Many researchers try to make a comparison between various Internet-of-Things (IoT) platforms based on specific requirements. However, none of the reviewed studies proposed a thorough analysis of the variety of comparative methods. Since there is a lack of comparison frameworks for IoT platforms, individuals or companies have difficulties when selecting a suitable IoT platform matching their associated business requirements. In order to support this selection process, a set of functional and nonfunctional requirements is identified. A framework containing methods in selecting an IoT platform is presented. The methodology is based on statistical and visualization techniques to recommend a suitable IoT platform. Five IoT platforms: 1) Azure; 2) AWS; 3) SaS; 4) ThingWorx; and 5) Kaa IoT are studied to evaluate the performance of the framework. Different comparison methods are proposed and a multicriteria decision analysis method was applied by using an analytical hierarchical process (AHP). One of the methods clusters the functional requirements and compares the IoT platforms based on their ability in supporting a specific requirement or not. The  $K$ -means clustering was applied to determine the clusters of functional requirements. The comparison was made based on the hierarchical level of requirements per main requirement. The other methods use the following statistical tests: error bar test, one-way Anova test, and Tukey‚Äôs honest significant difference test. Based on the selected requirements, an approach is suggested for which IoT platform can be used.</t>
  </si>
  <si>
    <t xml:space="preserve">OP Oost; Project CountDown; Netherlands Organization for Scientific Research (NWO), Project DataRel(grant numbers:628.009.015); </t>
  </si>
  <si>
    <t>https://ieeexplore.ieee.org/stamp/stamp.jsp?arnumber=9169714</t>
  </si>
  <si>
    <t>Functional requirements;Internet-of-Things (IoT) platforms;statistical comparative techniques;visualization</t>
  </si>
  <si>
    <t>Internet of Things;Security;Taxonomy;Scalability;Resource management;Protocols</t>
  </si>
  <si>
    <t>M. Cinque; R. D. Corte; A. Pecchia</t>
  </si>
  <si>
    <t>Microservices Monitoring with Event Logs and Black Box Execution Tracing</t>
  </si>
  <si>
    <t>10.1109/TSC.2019.2940009</t>
  </si>
  <si>
    <t>Dipartimento di Ingegneria Elettrica e delle Tecnologie dell'Informazione (DIETI), Universit√† degli Studi di Napoli Federico II, via Claudio 21, Napoli, Italy; Dipartimento di Ingegneria Elettrica e delle Tecnologie dell'Informazione (DIETI), Universit√† degli Studi di Napoli Federico II, via Claudio 21, Napoli, Italy; Dipartimento di Ingegneria Elettrica e delle Tecnologie dell'Informazione (DIETI), Universit√† degli Studi di Napoli Federico II, via Claudio 21, Napoli, Italy</t>
  </si>
  <si>
    <t>Monitoring is a core practice in any software system. Trends in microservices systems exacerbate the role of monitoring and pose novel challenges to data sources being used for monitoring, such as event logs. Current deployments create a distinct log per microservice; moreover, composing microservices by different vendors exacerbates format and semantic heterogeneity of logs. Understanding and traversing the logs from different microservices demands for substantial cognitive work by human experts. This paper proposes a novel approach to accompany microservices logs with black box tracing to help practitioners in making informed decisions for troubleshooting. Our approach is based on the passive tracing of request-response messages of the REpresentational State Transfer (REST) communication model. Differently from many existing tools for microservices, our tracing is application transparent and non-intrusive. We present an implementation called MetroFunnel and conduct an assessment in the context of two case studies: a Clearwater IP Multimedia Subsystem (IMS) setup consisting of Docker microservices and a Kubernetes orchestrator deployment hosting tens of microservices. MetroFunnel allows making useful attributions in traversing the logs; more important, it reduces the size of collected monitoring data at negligible performance overhead with respect to traditional logs.</t>
  </si>
  <si>
    <t xml:space="preserve">Compagnia di San Paolo(grant numbers:Programme STAR); Ministero dell Istruzione dell Universita e della Ricerca; Universita degli Studi di Napoli Federico II; </t>
  </si>
  <si>
    <t>https://ieeexplore.ieee.org/stamp/stamp.jsp?arnumber=8826375</t>
  </si>
  <si>
    <t>monitoring;microservices;REST;docker;clearwater;kubernetes;log analysis</t>
  </si>
  <si>
    <t>Monitoring;Instruments;Microservice architecture;Measurement;Semantics;Runtime;Software systems;Market research;IP networks</t>
  </si>
  <si>
    <t>I. Ahmad; Z. Asghar; T. Kumar; G. Li; A. Manzoor; K. Mikhaylov; S. A. Shah; M. H√∂yhty√§; J. Reponen; J. Huusko; E. Harjula</t>
  </si>
  <si>
    <t>Emerging Technologies for Next Generation Remote Health Care and Assisted Living</t>
  </si>
  <si>
    <t>10.1109/ACCESS.2022.3177278</t>
  </si>
  <si>
    <t>VTT Technical Research Centre of Finland, Espoo, Finland; Navigil, Espoo, Finland; Centre for Wireless Communications, University of Oulu, Oulu, Finland; Institute of Cyber Security, Shanghai Jiao Tong University, Shanghai, China; Centre for Wireless Communications, University of Oulu, Oulu, Finland; Centre for Wireless Communications, University of Oulu, Oulu, Finland; School of Computing and Digital Technology, Birmingham City University, Birmingham, U.K.; VTT Technical Research Centre of Finland, Espoo, Finland; Centre for Wireless Communications, University of Oulu, Oulu, Finland; VTT Technical Research Centre of Finland, Espoo, Finland; Centre for Wireless Communications, University of Oulu, Oulu, Finland</t>
  </si>
  <si>
    <t>Remote health care is currently one of the most promising solutions to ensure a high level of treatment outcome, cost-efficiency and sustainability of the healthcare systems worldwide. Even though research on remote health care can be traced back to the early days of the Internet, the recent COVID-19 has necessitated further improvement in existing health care systems with invigorated research on remote health care technologies. In this article we delve into the state-of-the-art research in latest technologies and technological paradigms that play a vital role in enabling the next generation remote health care and assisted living. First the need of using the latest technological developments in the domain of remote health care is briefly discussed. Then the most important technologies and technological paradigms that are crucial in enabling remote health care and assisted living are emphasised. Henceforth, a detailed survey of existing technologies, potential challenges in those technologies, and possible solutions is conducted. Finally, missing research gaps and important future research directions in each enabling technology are brought forth to motivate further research in remote health care.</t>
  </si>
  <si>
    <t xml:space="preserve">Academy of Finland through the DigiHealth Project(grant numbers:326291); 6G Flagship Project(grant numbers:318927,346208); </t>
  </si>
  <si>
    <t>https://ieeexplore.ieee.org/stamp/stamp.jsp?arnumber=9780134</t>
  </si>
  <si>
    <t>Telemedicine;5G/6G;medical IoT;remote care;big data;AI/ML;medical informatics</t>
  </si>
  <si>
    <t>Medical services;Aging;Older adults;Statistics;Sociology;Diseases;Next generation networking</t>
  </si>
  <si>
    <t>Z. Ding; S. Wang; C. Jiang</t>
  </si>
  <si>
    <t>Kubernetes-Oriented Microservice Placement With Dynamic Resource Allocation</t>
  </si>
  <si>
    <t>10.1109/TCC.2022.3161900</t>
  </si>
  <si>
    <t>Key Laboratory of Embedded System and Service Computing, Ministry of Education, Tongji University, Shanghai, China; Key Laboratory of Embedded System and Service Computing, Ministry of Education, Tongji University, Shanghai, China; Key Laboratory of Embedded System and Service Computing, Ministry of Education, Tongji University, Shanghai, China</t>
  </si>
  <si>
    <t>Microservices and Kubernetes are widely used in the development and operations of cloud-native applications. By providing automated placement and scaling, Kubernetes has become the main tool for managing microservices. However, existing work and Kubernetes fail to consider the dynamic competition and availability of microservices as well as the problem of shared dependency libraries among multiple microservice instances. To this end, this article proposes an integer nonlinear microservice placement model for Kubernetes with the goal of cost minimization. Specifically, we calculate the number of instances based on microservice availability and construct a model in which the total resource demand of multiple microservice instances exceeds the appropriate proportion of node resources when dynamic resource competition exists and the size of the shared dependency library is less than the node storage capacity. Finally, this article solves the microservice placement model using an improved genetic algorithm. The experimental results demonstrate that higher throughput is obtained with the same costs and that the same throughput is obtained with lower costs.</t>
  </si>
  <si>
    <t xml:space="preserve">National Key Research and Development Program of China(grant numbers:2019YFB1704102); </t>
  </si>
  <si>
    <t>https://ieeexplore.ieee.org/stamp/stamp.jsp?arnumber=9741392</t>
  </si>
  <si>
    <t>Microservice placement;dynamic resource competition;microservice availability;shared dependency libraries;heuristic solving</t>
  </si>
  <si>
    <t>Microservice architectures;Containers;Cloud computing;Costs;Libraries;Dynamic scheduling;Throughput</t>
  </si>
  <si>
    <t>Deepak; P. Gulia; N. S. Gill; M. Yahya; P. Gupta; P. K. Shukla; P. K. Shukla</t>
  </si>
  <si>
    <t>Exploring the Potential of Blockchain Technology in an IoT-Enabled Environment: A Review</t>
  </si>
  <si>
    <t>10.1109/ACCESS.2024.3366656</t>
  </si>
  <si>
    <t>Department of Computer Science and Applications, Maharshi Dayanand University, Rohtak, India; Department of Computer Science and Applications, Maharshi Dayanand University, Rohtak, India; Department of Computer Science and Applications, Maharshi Dayanand University, Rohtak, India; Department of Computer Science, Oakland University, Rochester, MI, USA; School of Computer Science, University College Dublin, Dublin 4, Ireland; Department of Computer Science and Engineering, Koneru Lakshmaiah Education Foundation, Vaddeswaram, Guntur, Andhra Pradesh, India; Department of Computer Science and Engineering, University Institute of Technology RGPV, Bhopal, Madhya Pradesh, India</t>
  </si>
  <si>
    <t>Internet of Things (IoT) plays an essential contribution in connecting devices and enabling seamless data exchange, leading to increased efficiency and convenience. However, security concerns in IoT systems are significant, as compromised devices can lead to data breaches and privacy violations. Blockchain technology can enhance IoT security by providing decentralized consensus, immutability, and transparent transaction records, ensuring secure and trustworthy communication and data integrity. This review article gives a succinct but thorough understanding of blockchain technology, covering architecture of blockchain, working principles, types, applications, platforms, and its role in the IoT environment. The study highlights potential benefits of blockchain like enhanced security and privacy, and explores its integration with IoT. Additionally, the study discusses various real-world applications, examines blockchain platforms, and addresses the limitations and challenges associated with blockchain technology. This review serves as a valuable resource for researchers and practitioners seeking a deeper understanding of blockchain‚Äôs potential and its implications in the IoT landscape.</t>
  </si>
  <si>
    <t>https://ieeexplore.ieee.org/stamp/stamp.jsp?arnumber=10445250</t>
  </si>
  <si>
    <t>Blockchain;data exchange;Internet of Things (IoT);privacy;security</t>
  </si>
  <si>
    <t>Blockchains;Security;Internet of Things;Smart contracts;Proof of Work;Reviews;Computer science;Data transfer;Information exchange;Privacy</t>
  </si>
  <si>
    <t>Y. Liu; K. Akram Hassan; M. Karlsson; Z. Pang; S. Gong</t>
  </si>
  <si>
    <t>A Data-Centric Internet of Things Framework Based on Azure Cloud</t>
  </si>
  <si>
    <t>10.1109/ACCESS.2019.2913224</t>
  </si>
  <si>
    <t>Department of Science and Technology, Link√∂ping University, Campus Norrk√∂ping, Norrk√∂ping, Sweden; Department of Science and Technology, Link√∂ping University, Campus Norrk√∂ping, Norrk√∂ping, Sweden; Department of Science and Technology, Link√∂ping University, Campus Norrk√∂ping, Norrk√∂ping, Sweden; Corporate Research, ABB AB, V√§ster√•s, Sweden; Department of Science and Technology, Link√∂ping University, Campus Norrk√∂ping, Norrk√∂ping, Sweden</t>
  </si>
  <si>
    <t>Internet of Things (IoT) has been found pervasive use cases and become a driving force to constitute a digital society. The ultimate goal of IoT is data and the intelligence generated from data. With the progress in public cloud computing technologies, more and more data can be stored, processed and analyzed in cloud to release the power of IoT. However, due to the heterogeneity of hardware and communication protocols in the IoT world, the interoperability and compatibility among different link layer protocols, sub-systems, and back-end services have become a significant challenge to IoT practices. This challenge cannot be addressed by public cloud suppliers since their efforts are mainly put into software and platform services but can hardly be extended to end devices. In this paper, we propose a data-centric IoT framework that incorporates three promising protocols with fundamental security schemes, i.e., WiFi, Thread, and LoRaWAN, to cater to massive IoT and broadband IoT use cases in local, personal, and wide area networks. By taking advantages of the Azure cloud infrastructure, the framework features a unified device management model and data model to conquer the interoperability challenge. We also provide implementation and a case study to validate the framework for practical applications.</t>
  </si>
  <si>
    <t xml:space="preserve">Environmental Protection Agency; Norrk√∂ping Fund for Research and Development, Sweden; </t>
  </si>
  <si>
    <t>https://ieeexplore.ieee.org/stamp/stamp.jsp?arnumber=8698762</t>
  </si>
  <si>
    <t>Internet of Things;framework;cloud;azure;IoT hub;thread;WiFi;lorawan</t>
  </si>
  <si>
    <t>Internet of Things;Cloud computing;Protocols;Wireless fidelity;Broadband communication;Monitoring;Interoperability</t>
  </si>
  <si>
    <t>L. F. F. De Almeida; j. R. D. Santos; L. A. M. Pereira; A. C. Sodr√©; L. L. Mendes; J. J. P. C. Rodrigues; R. A. L. Rabelo; A. M. Alberti</t>
  </si>
  <si>
    <t>Control Networks and Smart Grid Teleprotection: Key Aspects, Technologies, Protocols, and Case-Studies</t>
  </si>
  <si>
    <t>10.1109/ACCESS.2020.3025235</t>
  </si>
  <si>
    <t>National Institute of Telecommunications (Inatel), Santa Rita do Sapuca√≠, Brazil; National Institute of Telecommunications (Inatel), Santa Rita do Sapuca√≠, Brazil; National Institute of Telecommunications (Inatel), Santa Rita do Sapuca√≠, Brazil; National Institute of Telecommunications (Inatel), Santa Rita do Sapuca√≠, Brazil; National Institute of Telecommunications (Inatel), Santa Rita do Sapuca√≠, Brazil; Post-Graduation Program in Electrical Engineering, Federal University of Piau√≠ (UFPI), Teresina, Brazil; Computing Department, Federal University of Piau√≠ (UFPI), Teresina, Brazil; National Institute of Telecommunications (Inatel), Santa Rita do Sapuca√≠, Brazil</t>
  </si>
  <si>
    <t>The appeal for more reliable, efficient and resilient power grids has become indispensable with the recent technological development and ever-increasing demand for electrical energy. These goals might be achieved by introducing sensors and actuators in the power grid, with the purpose of enabling a smart control of the power network. All power devices must be connected using a reliable communication network, which should be able to operate even when the power grid fails. Currently, several communication technologies have been applied for supporting this new application scenario. This article aims for reviewing both academic and market use cases for technologies applied to the mission-critical, control networks and Smart Grid applications, such as teleprotection, self-healing, communication with control centers and field devices, among others. More specifically, the key aspects, potential technologies, main protocols and use cases of operating data networks in energy transmission, power distribution and smart grid environments, including circuit and packet switching technologies, are discussed into details. Furthermore, resilience and the main telecommunications technologies used in power grids, as well, the correlation among them, are exploited in practical point of view. The article provides a broad discussion on the best telecommunication options to build the emerging intelligent energy distribution systems, covering control networks, teleprotection, and smart grid applications.</t>
  </si>
  <si>
    <t xml:space="preserve">Modelo de Refer√™ncia para a Rede Operativa de Dados da Companhia Energ√©tica de Minas Gerais (CEMIG) funded by the Funda√ß√£o de Amparo √† Pesquisa do Estado de Minas Gerais/Companhia Energ√©tica de Minas Gerais/Ag√™ncia Nacional de Energia El√©trica (FAPEMIG/CEMIG/ANEEL)(grant numbers:D0640); Rede Nacional de Ensino e Pesquisa (RNP), with resources from Minist√©rio da Ci√™ncia, Tecnologia e Inova√ß√µes (MCTIC), through the Radiocommunication Reference Center (Centro de Refer√™ncia em Radiocomunica√ß√µes‚ÄîCRR) Project of the National Institute of Telecommunications (Instituto Nacional de Telecomunica√ß√µes‚ÄîInatel), Brazil(grant numbers:01250.075413/2018-04); Coordena√ß√£o de Aperfei√ßoamento de Pessoal de N√≠vel Superior (CAPES), Brazil(grant numbers:Finance Code 001); Funda√ß√£o para a Ci√™ncia e a Tecnologia/Minist√©rio da Ci√™ncia, Tecnologia e Ensino Superior (FCT/MCTES) through national funds and when applicable co-funded EU(grant numbers:UIDB/EEA/50008/2020); Brazilian National Council for Scientific and Technological Development (CNPq)(grant numbers:309335/2017-5); </t>
  </si>
  <si>
    <t>https://ieeexplore.ieee.org/stamp/stamp.jsp?arnumber=9200485</t>
  </si>
  <si>
    <t>Power grids;telecommunications;power system protection;smart grids;packet switching;circuit and systems;optical fiber networks;SCADA systems;wireless networks;distributed control</t>
  </si>
  <si>
    <t>Smart grids;Telecommunications;Mission critical systems;Wireless communication;Protocols</t>
  </si>
  <si>
    <t>Y. Wang; S. Yang; X. Ren; P. Zhao; C. Zhao; X. Yang</t>
  </si>
  <si>
    <t>IndustEdge: A Time-Sensitive Networking Enabled Edge-Cloud Collaborative Intelligent Platform for Smart Industry</t>
  </si>
  <si>
    <t>10.1109/TII.2021.3104003</t>
  </si>
  <si>
    <t>National Engineering Laboratory for Big Data Analytics and School of Computer Science and Technology, Xi‚Äôan Jiaotong University, Xi‚Äôan, China; National Engineering Laboratory for Big Data Analytics and Ministry of Education Key Lab for Intelligent Networks and Network Security, Xi‚Äôan Jiaotong University, Xi‚Äôan, China; National Engineering Laboratory for Big Data Analytics and School of Computer Science and Technology, Xi‚Äôan Jiaotong University, Xi‚Äôan, China; National Engineering Laboratory for Big Data Analytics and School of Computer Science and Technology, Xi‚Äôan Jiaotong University, Xi‚Äôan, China; Department of Computing, Imperial College London, London, U.K.; National Engineering Laboratory for Big Data Analytics and School of Computer Science and Technology, Xi‚Äôan Jiaotong University, Xi‚Äôan, China</t>
  </si>
  <si>
    <t>An edge-cloud collaborative intelligent (ECCI) platform is of great significance for the agile development and rapid deployment of ECCI applications, which are essential for realizing smart industry in the era of Industry 4.0. However, the existing platforms lack considering the high real-time latency demand of industrial operations, which severely hinders the development of smart industry and may even lead to severe industrial accidents. To effectively reduce the response latency of industrial applications, in this article, we propose an ECCI platform IndustEdge. It takes time-sensitive networking as the deterministic transport for the link layer, and provides an extensible ECCI orchestration component to reduce the system level latency. Furthermore, IndustEdge has an ECCI algorithm library for different collaborative modes and provides the complete life cycle management for ECCI applications. We implement platforms for both the real-world prototype and emulated-world emulation, and conduct two case studies to evaluate the effectiveness of IndustEdge.</t>
  </si>
  <si>
    <t xml:space="preserve">National Key Research and Development Program of China(grant numbers:2017YFB1010004); National Natural Science Foundation of China(grant numbers:61772410,61802298,U1811461,11690011); China Postdoctoral Science Foundation(grant numbers:2020T130513,2019M663726); </t>
  </si>
  <si>
    <t>https://ieeexplore.ieee.org/stamp/stamp.jsp?arnumber=9531530</t>
  </si>
  <si>
    <t>Edge cloud collaborative intelligence (ECCI);edge computing platform;Industry 4.0;smart industry;time -sensitive networking (TSN)</t>
  </si>
  <si>
    <t>Collaboration;Cloud computing;Industries;Emulation;Real-time systems;Bridges;Prototypes</t>
  </si>
  <si>
    <t>R. Bruschi; F. Davoli; P. Lago; J. F. Pajo</t>
  </si>
  <si>
    <t>A Multi-Clustering Approach to Scale Distributed Tenant Networks for Mobile Edge Computing</t>
  </si>
  <si>
    <t>10.1109/JSAC.2019.2894236</t>
  </si>
  <si>
    <t>National Laboratory of Smart, Sustainable and Secure Internet Technologies and Infrastructures (S3ITI), Italian National Consortium for Telecommunications (CNIT), Genoa, Italy; Department of Electrical, Electronic and Telecommunications Engineering, and Naval Architecture (DITEN), University of Genoa, Genoa, Italy; National Laboratory of Smart, Sustainable and Secure Internet Technologies and Infrastructures (S3ITI), Italian National Consortium for Telecommunications (CNIT), Genoa, Italy; Department of Electrical, Electronic and Telecommunications Engineering, and Naval Architecture (DITEN), University of Genoa, Genoa, Italy</t>
  </si>
  <si>
    <t>Fifth generation (5G) mobile networks will lead to a deep integration between networks and applications. Through novel paradigms like network functions virtualization and edge computing, the new classes of heterogeneous application services will be enabled to run close to the mobile end-user devices with zero-perceived latency and fully-cognitive dynamic reconfiguration capabilities. Such ‚Äúvertical‚Äù applications exhibit diverse performance/scalability requirements, and will rely on highly distributed, extremely virtualized, multi-tenant, and software-defined infrastructures. In such a context, handling the required operations in a scalable and dynamic fashion will be of paramount importance. A specific aspect, addressed by software-defined networking (SDN), regards the provision of suitable communication channels, once resource allocation mechanisms have performed the most efficient deployment of virtual network function instances, and VNF chaining needs to be implemented to enable network services. In this respect, this paper introduces the multi-cluster overlay (MCO) network paradigm: a tunnel-less SDN scheme for scalable realization of virtual tenant networks across the 5G distributed infrastructure, able to support (bulk) migrations of software instances among geo-distributed computing resources in a seamless and effective fashion. The numerical simulation and experimental results show that the MCO achieves up to over one order of magnitude smaller number of forwarding rules than the other state-of-the-art SDN mechanisms, while also assuring high performance during reconfiguration operations.</t>
  </si>
  <si>
    <t xml:space="preserve">INPUT and MATILDA projects; European Commission(grant numbers:644672,761898); </t>
  </si>
  <si>
    <t>https://ieeexplore.ieee.org/stamp/stamp.jsp?arnumber=8624501</t>
  </si>
  <si>
    <t>Edge computing;5G;SDN;mobility</t>
  </si>
  <si>
    <t>5G mobile communication;Logic gates;Edge computing;Network function virtualization;Resource management;Cloud computing;Quality of service</t>
  </si>
  <si>
    <t>M. Aazam; E. -N. Huh; M. St-Hilaire; C. -H. Lung; I. Lambadaris</t>
  </si>
  <si>
    <t>Cloud Customer's Historical Record Based Resource Pricing</t>
  </si>
  <si>
    <t>10.1109/TPDS.2015.2473850</t>
  </si>
  <si>
    <t>Department of Systems and Computer Engineering, Carleton University, Ottawa, ON, Canada; Computer Engineering Department, Kyung Hee University, Korea; Department of Systems and Computer Engineering, Carleton University, Ottawa, ON, Canada; Department of Systems and Computer Engineering, Carleton University, Ottawa, ON, Canada; Department of Systems and Computer Engineering, Carleton University, Ottawa, ON, Canada</t>
  </si>
  <si>
    <t>Media content in its digital form has been rapidly scaling up, resulting in popularity gain of cloud computing. Cloud computing makes it easy to manage the vastly increasing digital content. Moreover, additional features like, omnipresent access, further service creation, discovery of services, and resource management also play an important role in this regard. The forthcoming era is interoperability of multiple clouds, known as cloud federation or inter-cloud computing. With cloud federation, services would be provided through two or more clouds. Once matured and standardized, inter-cloud computing is supposed to provide services which would be more scalable, better managed, and efficient. Such tasks are provided through a middleware entity called cloud broker. A broker is responsible for reserving resources, managing them, discovering services according to customer's demands, Service Level Agreement (SLA) negotiation, and match-making between the involved service provider and the customer. So far existing studies discuss brokerage in a narrow focused way. In the research outcome presented in this paper, we provide a holistic brokerage model to manage on-demand and advance service reservation, pricing, and reimbursement. A unique feature of this study is that we have considered dynamic management of customer's characteristics and historical record in evaluating the economics related factors. Additionally, a mechanism of incentive and penalties is provided, which helps in trust build-up for the customers and service providers, prevention of resource underutilization, and profit gain for the involved entities. For practical implications, the framework is modeled on Amazon Elastic Compute Cloud (EC2) On-Demand and Reserved Instances service pricing. For certain features required in the model, data was gathered from Google Cluster trace.</t>
  </si>
  <si>
    <t xml:space="preserve">Basic Science Research Program; National Research Foundation of Korea; Ministry of Education(grant numbers:NRF-2013R1A1A2013620); Institute for Information &amp; communications Technology Promotion (IITP); Korea government(grant numbers:B0101-15-0535); Development of Modularized In-Memory Virtual Desktop System Technology; </t>
  </si>
  <si>
    <t>https://ieeexplore.ieee.org/stamp/stamp.jsp?arnumber=7226829</t>
  </si>
  <si>
    <t>cloud broker;resource management;pricing;Inter-cloud computing;cloud federation;Cloud broker;resource management;pricing;inter-cloud computing;cloud federation</t>
  </si>
  <si>
    <t>Pricing;Resource management;Mathematical model;Cloud computing;Quality of service;Economics;Electronic mail</t>
  </si>
  <si>
    <t>S. M. Alrubei; E. Ball; J. M. Rigelsford</t>
  </si>
  <si>
    <t>A Secure Blockchain Platform for Supporting AI-Enabled IoT Applications at the Edge Layer</t>
  </si>
  <si>
    <t>10.1109/ACCESS.2022.3151370</t>
  </si>
  <si>
    <t>Department of Electronic and Electrical Engineering, The University of Sheffield, Sheffield, U.K.; Department of Electronic and Electrical Engineering, The University of Sheffield, Sheffield, U.K.; Sensata Technologies, Swindon, U.K.</t>
  </si>
  <si>
    <t>In this study, a new blockchain protocol and a novel architecture that integrate the advantages offered by edge computing, artificial intelligence (AI), IoT end-devices, and blockchain were designed, developed, and validated. This new architecture has the ability to monitor the environment, collect data, analyze it, process it using an AI-expert engine, provide predictions and actionable outcomes, and finally share it on a public blockchain platform. For the use-case implementation, the pandemic caused by the wide and rapid spread of the novel coronavirus COVID-19 was used to test and evaluate the proposed system. Recently, various authors traced the spread of viruses in sewage water and studied how it can be used as a tracking system. Early warning notifications can allow governments and organizations to take appropriate actions at the earliest stages possible. The system was validated experimentally using 14 Raspberry Pis, and the results and analyses proved that the system is able to utilize low-cost and low-power flexible IoT hardware at the processing layer to detect COVID-19 and predict its spread using the AI engine, with an accuracy of 95%, and share the outcome over the blockchain platform. This is accomplished when the platform is secured by the honesty-based distributed proof of authority (HDPoA) and without any substantial impact on the devices‚Äô power sources, as there was only a power consumption increase of 7% when the Raspberry Pi was used for blockchain mining and 14% when used to produce an AI prediction.</t>
  </si>
  <si>
    <t>https://ieeexplore.ieee.org/stamp/stamp.jsp?arnumber=9713867</t>
  </si>
  <si>
    <t>Edge computing;blockchain protocol;the Internet of Things (IoT);flexible IoT hardware;artificial intelligence (AI);coronavirus disease (COVID-19)</t>
  </si>
  <si>
    <t>Blockchains;Internet of Things;Artificial intelligence;Security;Computer architecture;Smart contracts;Edge computing</t>
  </si>
  <si>
    <t>M. A. A. da Cruz; J. J. P. C. Rodrigues; P. Lorenz; V. V. Korotaev; V. H. C. de Albuquerque</t>
  </si>
  <si>
    <t>In.IoT‚ÄîA New Middleware for Internet of Things</t>
  </si>
  <si>
    <t>10.1109/JIOT.2020.3041699</t>
  </si>
  <si>
    <t>Instituto de Telecomunica√ß√µes, Santa Rita do Sapuca√≠, Brazil; PPGEE, Federal University of Piau√≠, Teresina, Brazil; IUT, University of Haute Alsace, Colmar, France; International Institute of Photonics and Optoinformatics, ITMO University, St. Petersburg, Russia; ARMTEC Tecnologia em Rob√≥tica, Fortaleza, Brazil</t>
  </si>
  <si>
    <t>The evolution of Internet of Things (IoT) led to the construction of many IoT middleware, a software that plays a key role since it supports the communication among devices, users, and applications. Although various solutions and studies were proposed, they rarely address crucial privacy and security considerations, especially regarding the message queuing telemetry transport (MQTT) protocol. Moreover, in the majority of the solutions, integrating new devices is a time-consuming task performed manually that cannot be accomplished in a scenario with thousands, maybe millions of devices. In this sense, this article proposes a new IoT middleware, called In.IoT, a scalable, secure, and innovative middleware solution that addresses the middleware concerns identified in this article. In.IoT architectural recommendations and requirements are detailed and can be replicated by new and available solutions. It supports MQTT, CoAP, and HTTP as application-layer protocols. Its performance is evaluated in comparison with the most promising solutions available in the literature and the results obtained by the proposed solution are extremely promising. In.IoT is evaluated, demonstrated, validated, and it is ready and available for use.</t>
  </si>
  <si>
    <t xml:space="preserve">Fundo de Apoio ao Desenvolvimento das Comunica√ß√µes, presidential decree no 264/10, November 26, 2010, Republic of Angola; FCT/MCTES through National Funds and when Applicable Co-Funded EU Funds(grant numbers:UIDB/50008/2020); RNP, with resources from MCTIC(grant numbers:01250.075413/2018-04); Centro de Refer√™ncia em Radiocomunica√ß√µes Project of the Instituto Nacional de Telecomunica√ß√µes (Inatel), Brazil; Government of Russian Federation(grant numbers:08-08); Brazilian National Council for Research and Development (CNPq)(grant numbers:304315/2017-6,430274/2018-1,431726/2018-3,309335/2017-5); </t>
  </si>
  <si>
    <t>https://ieeexplore.ieee.org/stamp/stamp.jsp?arnumber=9274362</t>
  </si>
  <si>
    <t>Constrained application protocol (CoAP);hypertext transfer protocol (HTTP);InIoT;Internet of Things (IoT);message queuing telemetry transport (MQTT);middleware;middleware architecture;platform;software</t>
  </si>
  <si>
    <t>Middleware;Internet of Things;Protocols;Computer architecture;Security;Service-oriented architecture;Servers</t>
  </si>
  <si>
    <t>J. Montalban; R. Cabrera; E. Iradier; P. Angueira; Y. Wu; L. Zhang; W. Li; Z. Hong</t>
  </si>
  <si>
    <t>Broadcast Core-Network: Converging Broadcasting With the Connected World</t>
  </si>
  <si>
    <t>IEEE Transactions on Broadcasting</t>
  </si>
  <si>
    <t>1557-9611</t>
  </si>
  <si>
    <t>10.1109/TBC.2021.3105026</t>
  </si>
  <si>
    <t>Department of Communications Engineering, University of the Basque County, Bilbao, Spain; Department of Communications Engineering, University of the Basque County, Bilbao, Spain; Department of Communications Engineering, University of the Basque County, Bilbao, Spain; Department of Communications Engineering, University of the Basque County, Bilbao, Spain; Communications Research Centre Canada, Ottawa, ON, Canada; Communications Research Centre Canada, Ottawa, ON, Canada; Communications Research Centre Canada, Ottawa, ON, Canada; Communications Research Centre Canada, Ottawa, ON, Canada</t>
  </si>
  <si>
    <t>The new ways to consume and deliver media content in a wireless environment have led to a significant increase in the demand for spectrum resources. In addition, the arrival of next-generation wireless communication technologies has encouraged the creating of new verticals targeting novel applications, such as industry IoT, e-health, distance learning, smart city, smart-metering. All these new use cases are centred on an IP-based infrastructure. A promising alternative to satisfy the demand for resources is to incorporate a new delivery mechanism that can alleviate the congestion of classical cell-based point-to-point broadband wireless infrastructures. The best-positioned candidate is the next-generation Digital Terrestrial Television system, which offers a very spectrum efficient one-to-many PHY, and for the first time, native IP support. In ATSC 3.0, the whole system was designed with an IP-centric view, whereas DVB has created standards to deliver services to generic IP devices (DVB-I). Nevertheless, there is still a last missing piece to bring the broadcast infrastructure to the IP-connected world: a Broadcast Core Network (BCN). In this paper, the basics of a BCN are presented with new use cases that are attractive to Broadcast Network Operator (BNO). A possible roadmap towards implementation is described, and a service-based architecture for a BCN is presented and discussed.</t>
  </si>
  <si>
    <t xml:space="preserve">Eusko Jaurlaritza(grant numbers:IT1234-19); PREDOC Grant Program(grant numbers:PRE_2019_2_0037); Spanish Government through Project PHANTOM(grant numbers:RTI2018-099162-B-I00 (MCIU/AEI/FEDER, UE)); </t>
  </si>
  <si>
    <t>https://ieeexplore.ieee.org/stamp/stamp.jsp?arnumber=9521563</t>
  </si>
  <si>
    <t>ATSC 3.0;DVB;core network;digital terrestrial television;NFV;SDN</t>
  </si>
  <si>
    <t>Media;Digital video broadcasting;Broadcasting;Production;IP networks;Wireless communication;Standards</t>
  </si>
  <si>
    <t>M. Ebrahimi; M. S. Haghighi; A. Jolfaei; N. Shamaeian; M. H. Tadayon</t>
  </si>
  <si>
    <t>A Secure and Decentralized Trust Management Scheme for Smart Health Systems</t>
  </si>
  <si>
    <t>10.1109/JBHI.2021.3107339</t>
  </si>
  <si>
    <t>Iran Telecom Research Center (ITRC), Tehran, Iran; School of Electrical and Computer Engineering, College of Engineering, University of Tehran, Tehran, Iran; Department of Computing, Macquarie University, Sydney, NSW, Australia; School of Electrical and Computer Engineering, College of Engineering, University of Tehran, Tehran, Iran; Iran Telecom Research Center (ITRC), Tehran, Iran</t>
  </si>
  <si>
    <t>The Internet of Things (IoT) growth is extremely fast and it now has found its way to healthcare applications too. Many smart health gadgets and devices are helping practitioners in collecting medical information and monitoring patients. In this distributed system, information or service is sometimes shared and used by other devices. Considering the importance of health-related information and the decisions made based on it, there should be some sort of assurance on the security and quality of the services or information provided. Trust management is an efficient means of promoting application security and reliability in these cases. However, due to some limitations that are specific to IoT, traditional trust evaluation algorithms cannot be employed or do not yield satisfactory results. In this paper, evidence theory is exploited to design a decentralized service-oriented trust management model for healthcare IoT. A measure of evidence distance is used to reward well-behaving healthcare service/information providers as well as referrers and punish malicious entities. In this context-aware model, trust is estimated based on direct experiences and indirect feedbacks of recommenders. The process runs in two contexts; trust to healthcare service and trust to recommendation. When personal direct experience does not exist, trust to a source or service is estimated by applying the combinatorial laws of evidence theory and integrating indirect trust values. The proposed model is secure against bad-mouthing, good-mouthing, and on-off attacks due to its dynamic parameters and using the concept of evidence distance. Our results confirm the robustness and efficiency of this scheme.</t>
  </si>
  <si>
    <t xml:space="preserve">Iran National Science Foundation(grant numbers:96003291); </t>
  </si>
  <si>
    <t>https://ieeexplore.ieee.org/stamp/stamp.jsp?arnumber=9521715</t>
  </si>
  <si>
    <t>Internet of Things;smart health;health- care;trust management;cybersecurity;evidence theory</t>
  </si>
  <si>
    <t>Algorithms;Computer Security;Humans;Internet of Things;Reproducibility of Results;Trust</t>
  </si>
  <si>
    <t>Medical services;Trust management;Computational modeling;Evidence theory;Bioinformatics;Data models;Smart healthcare</t>
  </si>
  <si>
    <t>X. He; Z. Tu; M. Wagner; X. Xu; Z. Wang</t>
  </si>
  <si>
    <t>Online Deployment Algorithms for Microservice Systems With Complex Dependencies</t>
  </si>
  <si>
    <t>10.1109/TCC.2022.3161684</t>
  </si>
  <si>
    <t>Faculty of Computing, Harbin Institute of Technology, Harbin, Heilongjiang, China; Faculty of Computing, Harbin Institute of Technology, Harbin, Heilongjiang, China; School of Computer Science, The University of Adelaide, Adelaide, SA, Australia; Faculty of Computing, Harbin Institute of Technology, Harbin, Heilongjiang, China; Faculty of Computing, Harbin Institute of Technology, Harbin, Heilongjiang, China</t>
  </si>
  <si>
    <t>Cloud and edge computing have been widely adopted in many application scenarios. With the increasing demand of fast iteration and complexity of business logic, it is challenging to achieve rapid development and continuous delivery in such highly distributed cloud and edge computing environment. At present, the microservice-based architecture has been the dominant deployment style, and a microservice system has to evolve agilely to offer stable Quality of Service (QoS) in the situation where user requirement changes frequently. A lot of research have been conducted to optimally re-deploy microservices to adapt to changing requirements. Nevertheless, complex dependencies between microservices and the existence of multiple instances of one single microservice in a microservice system together have not been fully considered in existing work. This article defines SPPMS, the Service Placement Problem in Microservice Systems that feature complex dependencies and multiple instances, as a Fractional Polynomial Problem (FPP). Considering the high computation complexity of FPP, it is then transformed into a Quadratic Sum-of-Ratios Fractional Problem (QSRFP) which is further solved by the our proposed greedy-based algorithms. Experiments demonstrate that our models and algorithms outperform existing approaches in both qualities of the generated solutions and computation speed.</t>
  </si>
  <si>
    <t xml:space="preserve">National Key Research and Development Program of China(grant numbers:2018YFB1402500); National Natural Science Foundation of China(grant numbers:61832014,61772155,61832004); Australian Research Council(grant numbers:DP200102364,DP210102670); </t>
  </si>
  <si>
    <t>https://ieeexplore.ieee.org/stamp/stamp.jsp?arnumber=9740415</t>
  </si>
  <si>
    <t>Cloud computing;microservice systems;multiple instance coexistence;service dependencies;service placement</t>
  </si>
  <si>
    <t>Microservice architectures;Quality of service;Servers;Cloud computing;Time factors;Production facilities;Task analysis</t>
  </si>
  <si>
    <t>L. Li; F. Gu; H. Li; J. Guo; X. Gu</t>
  </si>
  <si>
    <t>Digital Twin Bionics: A Biological Evolution-Based Digital Twin Approach for Rapid Product Development</t>
  </si>
  <si>
    <t>10.1109/ACCESS.2021.3108218</t>
  </si>
  <si>
    <t>State Key Laboratory of Fluid Power and Mechatronic Systems, School of Mechanical Engineering, Zhejiang University, Hangzhou, China; State Key Laboratory of Fluid Power and Mechatronic Systems, School of Mechanical Engineering, Zhejiang University, Hangzhou, China; Henan Provincial Key Laboratory of Intelligent Manufacturing of Mechanical Equipment, Zhengzhou University of Light Industry, Zhengzhou, China; Institutes of Science and Development, Chinese Academy of Sciences, Beijing, China; State Key Laboratory of Fluid Power and Mechatronic Systems, School of Mechanical Engineering, Zhejiang University, Hangzhou, China</t>
  </si>
  <si>
    <t>With intensified market competition, product development procedure is accelerated, requiring rapid product innovation and efficient collaboration between design and manufacturing. However, there still exist information islands, prohibiting integration of product life cycle processes. To address this issue, bionics and digital twin (DT) are combined as a potential solution. The concepts, framework, and features of digital twin bionics (DTB) is originally proposed, with co-evolution mechanism of product-twins (including virtual and physical products) and production-twins (including virtual and physical production) elaborated. A symbiotic co-evolution mechanism is presented to integrate the processes of product development and manufacturing. In detail, the supporting technologies, such as industrial internet of things, cloud edge computing, big data, and artificial intelligence, as well as the potential key technologies, are illustrated. A case study for rapid development of automotive body-in-white in an industrial robotics welding production line is investigated to verify the applicability of the proposed framework. The results suggest that the integration of bionics and DTs can accelerate the innovations and developments of new products and also help to achieve efficient management of production construction.</t>
  </si>
  <si>
    <t xml:space="preserve">National Natural Science Foundation of China(grant numbers:71901194,51775517,51775493); </t>
  </si>
  <si>
    <t>https://ieeexplore.ieee.org/stamp/stamp.jsp?arnumber=9523744</t>
  </si>
  <si>
    <t>Digital twin;bionics;product development;co-evolution;product life cycle</t>
  </si>
  <si>
    <t>Biomimetics;Manufacturing;Production;Product development;Digital twin;Product design;Biological system modeling</t>
  </si>
  <si>
    <t>T. Taleb; N. Sehad; Z. Nadir; J. Song</t>
  </si>
  <si>
    <t>VR-Based Immersive Service Management in B5G Mobile Systems: A UAV Command and Control Use Case</t>
  </si>
  <si>
    <t>10.1109/JIOT.2022.3222282</t>
  </si>
  <si>
    <t>Faculty of Information Technology and Electrical Engineering, University of Oulu, Oulu, Finland; Department of Communications and Networking, Aalto University, Espoo, Finland; Department of Communications and Networking, Aalto University, Espoo, Finland; Department of Computer and Information Security, Sejong University, Seoul, South Korea</t>
  </si>
  <si>
    <t>The management of remote services, such as remote surgery, remote sensing, or remote driving, has become increasingly important, especially with the emerging 5G and Beyond 5G technologies. However, the strict network requirements of these remote services represent one of the major challenges that hinder their fast and large-scale deployment in critical infrastructures. This article addresses certain issues inherent in remote and immersive control of virtual reality (VR)-based unmanned aerial vehicles (UAVs), whereby a user remotely controls UAVs, equipped with 360¬∞ cameras, using their head-mounted devices (HMD) and their respective controllers. Remote and immersive control services, using 360¬∞ video streams, require much lower latency and higher throughput for true immersion and high service reliability. To assess and analyze these requirements, this article introduces a real-life testbed system that leverages different technologies (e.g., VR, 360¬∞ video streaming over 4G/5G, and edge computing). In the performance evaluation, different latency types are considered. They are namely: 1) glass-to-glass latency between the 360¬∞ camera of a remote UAV and the HMD display; 2) user/pilot‚Äôs reaction latency; and 3) the command/execution latency. The obtained results indicate that the responsiveness (dubbed Glass-to-Reaction-to-Execution‚ÄîGRE‚Äìlatency) of a pilot, using our system, to a sudden event is within an acceptable range, i.e., around 900 ms.</t>
  </si>
  <si>
    <t xml:space="preserve">European Union‚Äôs Horizon 2020 Research and Innovation Programme through CHARITY Project(grant numbers:101016509); Academy of Finland 6Genesis Project(grant numbers:318927); Idea-Mill(grant numbers:33593); Technology Innovation Program; Ministry of Trade, Industry and Energy (MOTIE), South Korea(grant numbers:RS-2022-00154678); </t>
  </si>
  <si>
    <t>https://ieeexplore.ieee.org/stamp/stamp.jsp?arnumber=9951155</t>
  </si>
  <si>
    <t>5G and beyond;edge computing;immersive services;mobile networking;unmanned aerial vehicle (UAV);virtual reality (VR)</t>
  </si>
  <si>
    <t>Streaming media;Cameras;Reliability;Delays;5G mobile communication;Internet of Things;Autonomous aerial vehicles</t>
  </si>
  <si>
    <t>K. Li; B. P. L. Lau; X. Yuan; W. Ni; M. Guizani; C. Yuen</t>
  </si>
  <si>
    <t>Toward Ubiquitous Semantic Metaverse: Challenges, Approaches, and Opportunities</t>
  </si>
  <si>
    <t>10.1109/JIOT.2023.3302159</t>
  </si>
  <si>
    <t>Real-Time and Embedded Computing Systems Research Centre, Porto, Portugal; Department of Engineering Product Development, Singapore University of Technology and Design, Tampines, Singapore; Digital Productivity and Services Flagship, Commonwealth Scientific and Industrial Research Organization, Sydney, NSW, Australia; Digital Productivity and Services Flagship, Commonwealth Scientific and Industrial Research Organization, Sydney, NSW, Australia; Machine Learning Department, Mohamed Bin Zayed University of Artificial Intelligence, Abu Dhabi, UAE; School of Electrical and Electronics Engineering, Nanyang Technological University, Jurong West, Singapore</t>
  </si>
  <si>
    <t>In recent years, ubiquitous semantic Metaverse has been studied to revolutionize immersive cyber-virtual experiences for augmented reality (AR) and virtual reality (VR) users, which leverages advanced semantic understanding and representation to enable seamless, context-aware interactions within mixed-reality environments. This survey focuses on the intelligence and spatiotemporal characteristics of four fundamental system components in ubiquitous semantic Metaverse, i.e., artificial intelligence (AI), spatiotemporal data representation (STDR), Semantic Internet of Things (SIoT), and semantic-enhanced digital twin (SDT). We thoroughly survey the representative techniques of the four fundamental system components that enable intelligent, personalized, and context-aware interactions with typical use cases of the ubiquitous semantic Metaverse, such as remote education, work and collaboration, entertainment and socialization, healthcare, and e-commerce marketing. Furthermore, we outline the opportunities for constructing the future ubiquitous semantic Metaverse, including scalability and interoperability, privacy and security, performance measurement and standardization, as well as ethical considerations and responsible AI. Addressing those challenges is important for creating a robust, secure, and ethically sound system environment that offers engaging immersive experiences for the users and AR/VR applications.</t>
  </si>
  <si>
    <t xml:space="preserve">National Funds through the FCT/MCTES (Portuguese Foundation for Science and Technology) through the CISTER Research Unit(grant numbers:UIDP/UIDB/04234/2020); Project ADANET(grant numbers:PTDC/EEICOM/3362/2021); Project IBEX(grant numbers:PTDC/CCI-COM/4280/2021); </t>
  </si>
  <si>
    <t>https://ieeexplore.ieee.org/stamp/stamp.jsp?arnumber=10208153</t>
  </si>
  <si>
    <t>Artificial intelligence (AI);augmented reality (AR);data representation;digital twin;Internet of Things;semantic communications;survey;ubiquitous semantic metaverse;virtual reality (VR)</t>
  </si>
  <si>
    <t>Semantics;Metaverse;Social Internet of Things;Urban areas;Surveys;Ethics;Security;Artificial intelligence;Augmented reality;Digital twins;Virtual reality</t>
  </si>
  <si>
    <t>J. Wang; J. Hu; G. Min; Q. Ni; T. El-Ghazawi</t>
  </si>
  <si>
    <t>Online Service Migration in Mobile Edge With Incomplete System Information: A Deep Recurrent Actor-Critic Learning Approach</t>
  </si>
  <si>
    <t>10.1109/TMC.2022.3197706</t>
  </si>
  <si>
    <t>Department of Computer Science, University of Exeter, Exeter, U.K.; Department of Computer Science, University of Exeter, Exeter, U.K.; Department of Computer Science, University of Exeter, Exeter, U.K.; School of Computing and Communications, InfoLab21, Lancaster University, Lancaster, U.K.; Department of Electrical and Computer Engineering, The George Washington University, Washington, DC, USA</t>
  </si>
  <si>
    <t>Multi-access Edge Computing (MEC) is an emerging computing paradigm that extends cloud computing to the network edge to support resource-intensive applications on mobile devices. As a crucial problem in MEC, service migration needs to decide how to migrate user services for maintaining the Quality-of-Service when users roam between MEC servers with limited coverage and capacity. However, finding an optimal migration policy is intractable due to the dynamic MEC environment and user mobility. Many existing studies make centralized migration decisions based on complete system-level information, which is time-consuming and also lacks desirable scalability. To address these challenges, we propose a novel learning-driven method, which is user-centric and can make effective online migration decisions by utilizing incomplete system-level information. Specifically, the service migration problem is modeled as a Partially Observable Markov Decision Process (POMDP). To solve the POMDP, we design a new encoder network that combines a Long Short-Term Memory (LSTM) and an embedding matrix for effective extraction of hidden information, and further propose a tailored off-policy actor-critic algorithm for efficient training. The extensive experimental results based on real-world mobility traces demonstrate that this new method consistently outperforms both the heuristic and state-of-the-art learning-driven algorithms and can achieve near-optimal results on various MEC scenarios.</t>
  </si>
  <si>
    <t xml:space="preserve">EU Horizon 2020 INITIATE(grant numbers:101008297); Royal Society International Exchanges(grant numbers:IEC\NSFC\211460); </t>
  </si>
  <si>
    <t>https://ieeexplore.ieee.org/stamp/stamp.jsp?arnumber=9853218</t>
  </si>
  <si>
    <t>Deep reinforcement learning;multi-access edge computing;partial observable markov decision process;service migration</t>
  </si>
  <si>
    <t>Servers;Delays;Task analysis;Quality of service;Mobile handsets;Computational modeling;Bandwidth</t>
  </si>
  <si>
    <t>H. Tran-Dang; D. -S. Kim</t>
  </si>
  <si>
    <t>A Survey on Matching Theory for Distributed Computation Offloading in IoT-Fog-Cloud Systems: Perspectives and Open Issues</t>
  </si>
  <si>
    <t>10.1109/ACCESS.2022.3219427</t>
  </si>
  <si>
    <t>Department of Electronic Engineering, Kumoh National Institute of Technology, Gumi-si, South Korea; Department of Electronic Engineering, Kumoh National Institute of Technology, Gumi-si, South Korea</t>
  </si>
  <si>
    <t>Fog computing has been widely integrated in the IoT-based systems, creating IoT-Fog- Cloud (IFC) systems to improve the system performances and satisfy the quality of services (QoS) and quality of experience (QoE) requirements for the end users (EUs). This improvement is enabled by computational offloading schemes, which perform the task computation nearby the task generation sources (i.e., IoT devices, EUs) on behalf of remote cloud servers. To realize the benefits of offloading techniques, however, there is a need to incorporate efficient resource allocation frameworks, which can deal effectively with intrinsic properties of computing environment in the IFC systems such as resource heterogeneity of computing devices, various requirements of computation tasks, high task request rates, and so on. While the centralize optimization and non-cooperative game theory based solutions are applicable in a certain number of application scenarios, they fail to be efficient in many of cases, where the global information and control might be unavailable or cost-intensive to achieve it in the large-scale systems. The need of distributed computational offloading algorithms with low computation complexity has motivated a surge of solutions using matching theory. In the present review, we first describe the fundamental concept of this emerging tool enabling the distributed implementation in the computing environment. Then the key solution concepts and algorithmic implementations proposed in the framework of literature are highlighted and discussed. Given the powerful tool of matching theory, its full capability is still unexplored and unexploited in the literature. We thereby discover and discuss existing challenges and corresponding solutions that the matching theory can be applied to resolve them. Furthermore, new problems and open issues for application scenarios of modern IFC systems are also investigated thoroughly.</t>
  </si>
  <si>
    <t xml:space="preserve">Ministry of Science and ICT (MSIT), South Korea, under the Grand Information Technology Research Center Support Program Supervised by the Institute for Information &amp; Communications Technology Planning &amp; Evaluation (IITP)(grant numbers:IITP-2020-2020-0-01612); Priority Research Centers Program through the National Research Foundation of Korea (NRF); Ministry of Education, Science and Technology(grant numbers:2018R1A6A1A03024003); Korea Research Fellowship Program through the National Research Foundation of Korea (NRF); Ministry of Science and ICT(grant numbers:NRF-2020R1I1A1A01073019); </t>
  </si>
  <si>
    <t>https://ieeexplore.ieee.org/stamp/stamp.jsp?arnumber=9938439</t>
  </si>
  <si>
    <t>IoT-Fog-cloud systems;matching theory;distributed algorithm;computational offloading</t>
  </si>
  <si>
    <t>Computational modeling;Optimization;Edge computing;Cloud computing;Resource management;Quality of service;Internet of Things;Distributed algorithms</t>
  </si>
  <si>
    <t>M. A. Ferrag; O. Friha; B. Kantarci; N. Tihanyi; L. Cordeiro; M. Debbah; D. Hamouda; M. Al-Hawawreh; K. -K. R. Choo</t>
  </si>
  <si>
    <t>Edge Learning for 6G-Enabled Internet of Things: A Comprehensive Survey of Vulnerabilities, Datasets, and Defenses</t>
  </si>
  <si>
    <t>10.1109/COMST.2023.3317242</t>
  </si>
  <si>
    <t>AI and Digital Science Research Center, Technology Innovation Institute, Abu Dhabi, UAE; Networks and Systems Laboratory, Badji Mokhtar-Annaba University, Annaba, Algeria; School of Electrical Engineering and Computer Science, University of Ottawa, Ottawa, Canada; AI and Digital Science Research Center, Technology Innovation Institute, Abu Dhabi, UAE; Department of Computer Science, The University of Manchester, Manchester, U.K; Khalifa University 6G Research Center, Khalifa University of Science and Technology, Abu Dhabi, UAE; Department of Computer Science, Labstic Laboratory, Guelma University, Guelma, Algeria; School of Information Technology, Deakin University, Burwood, VIC, Australia; Department of Information Systems and Cyber Security, University of Texas at San Antonio, San Antonio, TX, USA</t>
  </si>
  <si>
    <t>The deployment of the fifth-generation (5G) wireless networks in Internet of Everything (IoE) applications and future networks (e.g., sixth-generation (6G) networks) has raised a number of operational challenges and limitations, for example in terms of security and privacy. Edge learning is an emerging approach to training models across distributed clients while ensuring data privacy. Such an approach when integrated in future network infrastructures (e.g., 6G) can potentially solve challenging problems such as resource management and behavior prediction. However, edge learning (including distributed deep learning) are known to be susceptible to tampering and manipulation. This survey article provides a holistic review of the extant literature focusing on edge learning-related vulnerabilities and defenses for 6G-enabled Internet of Things (IoT) systems. Existing machine learning approaches for 6G‚ÄìIoT security and machine learning-associated threats are broadly categorized based on learning modes, namely: centralized, federated, and distributed. Then, we provide an overview of enabling emerging technologies for 6G‚ÄìIoT intelligence. We also provide a holistic survey of existing research on attacks against machine learning and classify threat models into eight categories, namely: backdoor attacks, adversarial examples, combined attacks, poisoning attacks, Sybil attacks, byzantine attacks, inference attacks, and dropping attacks. In addition, we provide a comprehensive and detailed taxonomy and a comparative summary of the state-of-the-art defense methods against edge learning-related vulnerabilities. Finally, as new attacks and defense technologies are realized, new research and future overall prospects for 6G-enabled IoT are discussed.</t>
  </si>
  <si>
    <t>https://ieeexplore.ieee.org/stamp/stamp.jsp?arnumber=10255264</t>
  </si>
  <si>
    <t>Edge learning;6G;IoT;federated learning;AI vulnerabilities;security</t>
  </si>
  <si>
    <t>6G mobile communication;Security;Internet of Things;Surveys;Peer-to-peer computing;Image edge detection;Federated learning</t>
  </si>
  <si>
    <t>X. Chen; L. Yang; Z. Chen; G. Min; X. Zheng; C. Rong</t>
  </si>
  <si>
    <t>Resource Allocation With Workload-Time Windows for Cloud-Based Software Services: A Deep Reinforcement Learning Approach</t>
  </si>
  <si>
    <t>10.1109/TCC.2022.3169157</t>
  </si>
  <si>
    <t>College of Computer and Data Science, Fuzhou University, Fuzhou, China; College of Computer and Data Science, Fuzhou University, Fuzhou, China; College of Computer and Data Science, Fuzhou University, Fuzhou, China; Department of Computer Science, College of Engineering, Mathematics and Physical Sciences, University of Exeter, Exeter, U.K.; College of Computer and Data Science, Fuzhou University, Fuzhou, China; Department of Electronic Engineering and Computer Science, University of Stavanger, Stavanger, Norway</t>
  </si>
  <si>
    <t>As the workloads and service requests in cloud computing environments change constantly, cloud-based software services need to adaptively allocate resources for ensuring the Quality-of-Service (QoS) while reducing resource costs. However, it is very challenging to achieve adaptive resource allocation for cloud-based software services with complex and variable system states. Most of the existing methods only consider the current condition of workloads, and thus cannot well adapt to real-world cloud environments subject to fluctuating workloads. To address this challenge, we propose a novel Deep Reinforcement learning based resource Allocation method with workload-time Windows (DRAW) for cloud-based software services that considers both the current and future workloads in the resource allocation process. Specifically, an original Deep Q-Network (DQN) based prediction model of management operations is trained based on workload-time windows, which can be used to predict appropriate management operations under different system states. Next, a new feedback-control mechanism is designed to construct the objective resource allocation plan under the current system state through iterative execution of management operations. Extensive simulation results demonstrate that the prediction accuracy of management operations generated by the proposed DRAW method can reach 90.69%. Moreover, the DRAW can achieve the optimal/near-optimal performance and outperform other classic methods by 3$\sim$‚àº13% under different scenarios.</t>
  </si>
  <si>
    <t xml:space="preserve">National Natural Science Foundation of China(grant numbers:62072108); Natural Science Foundation of Fujian Province for Distinguished Young Scholars(grant numbers:2020J06014); </t>
  </si>
  <si>
    <t>https://ieeexplore.ieee.org/stamp/stamp.jsp?arnumber=9761727</t>
  </si>
  <si>
    <t>Cloud-based software services;resource allocation;workload-time windows;deep reinforcement learning;feedback control</t>
  </si>
  <si>
    <t>Resource management;Cloud computing;Software;Quality of service;Costs;Control theory;Predictive models</t>
  </si>
  <si>
    <t>J. Wang; K. Zhu; B. Chen; Z. Han</t>
  </si>
  <si>
    <t>Distributed Clustering-Based Cooperative Vehicular Edge Computing for Real-Time Offloading Requests</t>
  </si>
  <si>
    <t>IEEE Transactions on Vehicular Technology</t>
  </si>
  <si>
    <t>1939-9359</t>
  </si>
  <si>
    <t>10.1109/TVT.2021.3122001</t>
  </si>
  <si>
    <t>College of Computer Science and Technology, Nanjing University of Aeronautics and Astronautics, Nanjing, China; College of Computer Science and Technology, Nanjing University of Aeronautics and Astronautics, Nanjing, China; College of Computer Science and Technology, Nanjing University of Aeronautics and Astronautics, Nanjing, China; University of Houston, Houston, TX, USA</t>
  </si>
  <si>
    <t>Mobile vehicles have been considered as potential edge servers to provide computation resources for the emerging Intelligent Transportation System (ITS) applications. However, how to fully utilize the mobile computation resources to satisfy the real-time arrived computation requests has not been explored yet. This work will address the critical challenges of limited computation resources, stringent computation delay and unknown requirement statistics of real-time tasks in realistic vehicular edge computing scenarios. Specifically, we design a distributed clustering strategy to classify vehicles into multiple cooperative edge servers according to the available computation resources, effective connection time and the distribution of tasks‚Äô expected deadlines. Then, a ‚ÄòLess than or Equal to‚Äô Generalized Assignment Problem (i.e., LEGAP) is formulated to maximize the system service revenue, and on this basis, we propose an offline Bound-and-Bound based Optimal (BBO) algorithm to make periodical scheduling with a global view of tasks‚Äô requirement statistics. The quick branching is conducted by following a greedy solution and the upper bound at each branch is derived by solving a multiple-choice knapsack problem. In addition, we present an online heuristic algorithm which makes real-time offloading decision with the guarantees that the resource capacities of all the computing servers are never exceeded with new tasks arriving. Through comparing with the other four online algorithms, the BBO algorithm achieves the highest service revenues by offloading tasks with shorter delays, and the online heuristic algorithm has the best performance in improving the service ratios.</t>
  </si>
  <si>
    <t xml:space="preserve">National Natural Science Foundation of China(grant numbers:62002166,62071230); Natural Science Foundation of Jiangsu Province(grant numbers:BK20200419,BK20211567); China Postdoctoral Science Foundation(grant numbers:2020M671483); </t>
  </si>
  <si>
    <t>https://ieeexplore.ieee.org/stamp/stamp.jsp?arnumber=9583910</t>
  </si>
  <si>
    <t>Cooperative vehicular edge computing;distributed clustering;online scheduling;bound-and-bound algorithm</t>
  </si>
  <si>
    <t>Task analysis;Servers;Heuristic algorithms;Processor scheduling;Edge computing;Real-time systems;Vehicle dynamics</t>
  </si>
  <si>
    <t>M. M. Islam; Z. A. Bhuiyan</t>
  </si>
  <si>
    <t>An Integrated Scalable Framework for Cloud and IoT Based Green Healthcare System</t>
  </si>
  <si>
    <t>10.1109/ACCESS.2023.3250849</t>
  </si>
  <si>
    <t>Department of Computer Science and Engineering, United International University, Badda, Dhaka, Bangladesh; Department of Computer Science and Engineering, United International University, Badda, Dhaka, Bangladesh</t>
  </si>
  <si>
    <t>Recent developments in IoT-enabled cloud computing and interactive applications have made researchers rethink how healthcare services are currently provided. The IoT-cloud-based systems facilitate remote monitoring and support for patients. However, in the existing area, much emphasis has not been given to making the healthcare systems green. So, in this paper, we present an integrated framework for green healthcare and use cutting-edge technology to make an interactive user interface. We have also ensured the system‚Äôs scalability and performance ratio. This system interface has been designed and developed for patients and doctors, where patients can send their healthcare data using wearable sensors, and doctors can receive those data in real-time. For data identification and analysis, we have adopted Hierarchical Clustering Algorithms. Finally, we have come up with a solution for how to make the interactive healthcare experience better for everyone.</t>
  </si>
  <si>
    <t xml:space="preserve">Institute of Advanced Research (IAR), United International University (UIU), through the Research Grant Scheme(grant numbers:UIU/IAR/01/2021/SE/27); </t>
  </si>
  <si>
    <t>https://ieeexplore.ieee.org/stamp/stamp.jsp?arnumber=10056935</t>
  </si>
  <si>
    <t>Internet of Things;smart healthcare framework;cloud computing;interactive digital healthcare;green healthcare</t>
  </si>
  <si>
    <t>Medical services;Sensors;Internet of Things;Cloud computing;Monitoring;Sensor systems;Green products;Smart healthcare;Green products</t>
  </si>
  <si>
    <t>J. A. Barriga; P. J. Clemente; E. Sosa-S√°nchez; √Å. E. Prieto</t>
  </si>
  <si>
    <t>SimulateIoT: Domain Specific Language to Design, Code Generation and Execute IoT Simulation Environments</t>
  </si>
  <si>
    <t>10.1109/ACCESS.2021.3092528</t>
  </si>
  <si>
    <t>Department of Computer Science, Quercus Software Engineering Group, University of Extremadura, C√°ceres, Spain; Department of Computer Science, Quercus Software Engineering Group, University of Extremadura, C√°ceres, Spain; Department of Computer Science, Quercus Software Engineering Group, University of Extremadura, C√°ceres, Spain; Department of Computer Science, Quercus Software Engineering Group, University of Extremadura, C√°ceres, Spain</t>
  </si>
  <si>
    <t>Internet of Things (IoT) is being applied to areas as smart-cities, home environment, agriculture, industry, etc. Developing, deploying and testing IoT projects require high investments on devices, fog nodes, cloud nodes, analytic nodes, hardware and software. New projects require high investments on devices, fog nodes, cloud nodes, analytic nodes, hardware and software before each system can be developed. In addition, the systems should be developed to test them, which implies time, effort and development costs. However, in order to decrease the cost associated to develop and test the system the IoT system can be simulated. Thus, simulating environments help to model the system, reasoning about it, and take advantage of the knowledge obtained to optimize it. Designing IoT simulation environments has been tackled focusing on low level aspects such as networks, motes and so on more than focusing on the high level concepts related to IoT environments. Additionally, the simulation users require high IoT knowledge and usually programming capabilities in order to implement the IoT environment simulation. The concepts to manage in an IoT simulation includes the common layers of an IoT environment including Edge, Fog and Cloud computing and heterogeneous technology. Model-driven development is an emerging software engineering area which aims to develop the software systems from domain models which capture at high level the domain concepts and relationships, generating from them the software artefacts by using code-generators. In this paper, a model-driven development approach has been developed to define, generate code and deploy IoT systems simulation. This approach makes it possible to design complex IoT simulation environments and deploy them without writing code. To do this, a domain metamodel, a graphical concrete syntax and a model to text transformation have been developed. The IoT simulation environment generated from each model includes the sensors, actuators, fog nodes, cloud nodes and analytical characteristics, which are deployed as microservices and Docker containers and where elements are connected by using publish-subscribe communication protocol. Additionally, two case studies, focused on smart building and agriculture IoT environments, are presented to show the simulation expressiveness.</t>
  </si>
  <si>
    <t xml:space="preserve">Ministry of Science and Innovation (MCI), for the State Research Agency (AEI)(grant numbers:RTI2018-098652-B-I00); Government of Extremadura, Council for Economy, Science and Digital Agenda(grant numbers:GR18112); European Regional Development Fund (ERDF)(grant numbers:IB20058); C√°tedra Telef√≥nica de la Universidad de Extremadura (Red de C√°tedras Telef√≥nica); </t>
  </si>
  <si>
    <t>https://ieeexplore.ieee.org/stamp/stamp.jsp?arnumber=9465106</t>
  </si>
  <si>
    <t>IoT systems;IoT simulation;fog computing;model-driven development;model to text transformation;data analysis</t>
  </si>
  <si>
    <t>Tools;Context modeling;Sensors;Computational modeling;Actuators;Wireless sensor networks;Cloud computing</t>
  </si>
  <si>
    <t>E. Ahvar; S. Ahvar; Z. √Å. Mann; N. Crespi; R. Glitho; J. Garcia-Alfaro</t>
  </si>
  <si>
    <t>DECA: A Dynamic Energy Cost and Carbon Emission-Efficient Application Placement Method for Edge Clouds</t>
  </si>
  <si>
    <t>10.1109/ACCESS.2021.3075973</t>
  </si>
  <si>
    <t>Learning, Data and Robotics Laboratory, ESIEA, Ivry-sur-Seine, France; ISEP-Institut Sup√©rieur d‚Äô√âlectronique de Paris, Paris, France; paluno-The Ruhr Institute for Software Technology, University of Duisburg-Essen, Duisburg, Germany; T√©l√©com SudParis, SAMOVAR, Institut Polytechnique de Paris, Palaiseau, France; Concordia Institute for Information Systems Engineering (CIISE), Concordia University, Montr√©al, Canada; T√©l√©com SudParis, SAMOVAR, Institut Polytechnique de Paris, Palaiseau, France</t>
  </si>
  <si>
    <t>As an increasing amount of data processing is done at the network edge, high energy costs and carbon emission of Edge Clouds (ECs) are becoming significant challenges. The placement of application components (e.g., in the form of containerized microservices) on ECs has an important effect on the energy consumption of ECs, impacting both energy costs and carbon emissions. Due to the geographic distribution of ECs, there is a variety of resources, energy prices and carbon emission rates to consider, which makes optimizing the placement of applications for cost and carbon efficiency even more challenging than in centralized clouds. This paper presents a Dynamic Energy cost and Carbon emission-efficient Application placement method (DECA) for ECs. DECA addresses both the initial placement of applications on ECs and the re-optimization of the placement using migrations. DECA considers geographically varying energy prices and carbon emission rates as well as optimizing the usage of both network and computing resources at the same time. By combining a prediction-based A* algorithm with a Fuzzy Sets technique, DECA makes intelligent decisions to optimize energy cost and carbon emissions. Simulation results show the ability of DECA in providing a tradeoff and optimizing energy cost and carbon emission at the same time.</t>
  </si>
  <si>
    <t xml:space="preserve">European Union‚Äôs Horizon 2020 Research and Innovation Programme (FogProtect)(grant numbers:871525); </t>
  </si>
  <si>
    <t>https://ieeexplore.ieee.org/stamp/stamp.jsp?arnumber=9416667</t>
  </si>
  <si>
    <t>Edge cloud;energy consumption;energy costs;green computing;carbon emission;application placement</t>
  </si>
  <si>
    <t>Carbon dioxide;Energy consumption;Internet of Things;Cloud computing;Optimization;Resource management;Time factors</t>
  </si>
  <si>
    <t>M. Sverko; T. G. Grbac; M. Mikuc</t>
  </si>
  <si>
    <t>SCADA Systems With Focus on Continuous Manufacturing and Steel Industry: A Survey on Architectures, Standards, Challenges and Industry 5.0</t>
  </si>
  <si>
    <t>10.1109/ACCESS.2022.3211288</t>
  </si>
  <si>
    <t>Faculty of Electrical Engineering and Computing, University of Zagreb, 10000, Croatia; Department of Engineering, Juraj Dobrila University of Pula, Pula, Croatia; Faculty of Electrical Engineering and Computing, University of Zagreb, 10000, Croatia</t>
  </si>
  <si>
    <t>Recent technological advances encompassed by the smart factory concept have fundamentally changed industrial control systems in the way they are structured and how they operate. Majority of these changes affect Supervisory Control And Data Acquisition (SCADA) systems, shifting them to a higher level of interoperability, heterogeneous networks, big data and toward internet technologies and services in general. However, this transformation does not affect all SCADA systems equally. The immediate industrial environment and controlled processes have a significant impact as well. This paper presents a holistic approach to SCADA systems implemented in continuous flow production control within the steel industry production environment. We outline the multi-layer architecture of the SCADA control framework and the aspects of interoperability and interconnectivity within the architecture reference models, together with the research challenges and opportunities arising from the recent rapid increasement of the industrial control systems complexity and digital transformation under the Industry 4.0 paradigm, resulting in disrupting levels of the traditional automation pyramid based on Purdue model toward a higher level of integration and interoperability enabling cross-level data exchange empowered by the Industrial Internet of Things. Furthermore, the paper addresses the problem of proprietary SCADA systems and elaborates the causal correlation between SCADA quality requirements and adoption of new technologies in relation to the specific industrial environment of the steel manufacturing process.</t>
  </si>
  <si>
    <t xml:space="preserve">Croatian Science Foundation(grant numbers:HRZZ-IP-2019-04-4216); </t>
  </si>
  <si>
    <t>https://ieeexplore.ieee.org/stamp/stamp.jsp?arnumber=9907002</t>
  </si>
  <si>
    <t>Supervisory control and data acquisition;SCADA;supervisory control;data acquisition;industrial process control;cyber-physical;continuous flow production;manufacturing;steel industry;industry 4.0;industry 5.0;smart factory</t>
  </si>
  <si>
    <t>SCADA systems;Production processes;Data acquisition;Supervisory control;Manufacturing processes;Smart manufacturing;Steel industry;Process control;Cyber-physical systems;Fourth Industrial Revolution;Fifth Industrial Revolution</t>
  </si>
  <si>
    <t>J. Okwuibe; J. Haavisto; E. Harjula; I. Ahmad; M. Ylianttila</t>
  </si>
  <si>
    <t>SDN Enhanced Resource Orchestration of Containerized Edge Applications for Industrial IoT</t>
  </si>
  <si>
    <t>10.1109/ACCESS.2020.3045563</t>
  </si>
  <si>
    <t>Center for Wireless Communication, University of Oulu, Oulu, Finland; Center for Ubiquitous Computing, University of Oulu, Oulu, Finland; Center for Wireless Communication, University of Oulu, Oulu, Finland; VTT Technical Research Center of Finland, Espoo, Finland; Center for Wireless Communication, University of Oulu, Oulu, Finland</t>
  </si>
  <si>
    <t>With the rise of the Industrial Internet of Things (IIoT), there is an intense pressure on resource and performance optimization leveraging on existing technologies, such as Software Defined Networking (SDN), edge computing, and container orchestration. Industry 4.0 emphasizes the importance of lean and efficient operations for sustainable manufacturing. Achieving this goal would require engineers to consider all layers of the system, from hardware to software, and optimizing for resource efficiency at all levels. This emphasizes the need for container-based virtualization tools such as Docker and Kubernetes, offering Platform as a Service (PaaS), while simultaneously leveraging on edge technologies to reduce related latencies. For network management, SDN is poised to offer a cost-effective and dynamic scalability solution by customizing packet handling for various edge applications and services. In this paper, we investigate the energy and latency trade-offs involved in combining these technologies for industrial applications. As a use case, we emulate a 3D-drone-based monitoring system aimed at providing real-time visual monitoring of industrial automation. We compare a native implementation to a containerized implementation where video processing is orchestrated while streaming is handled by an external UE representing the IIoT device. We compare these two scenarios for energy utilization, latency, and responsiveness. Our test results show that only roughly 16 percent of the total power consumption happens on the mobile node when orchestrated. Virtualization adds up about 4.5 percent of the total power consumption while the latency difference between the two approaches becomes negligible after the streaming session is initialized.</t>
  </si>
  <si>
    <t xml:space="preserve">Academy of Finland 6Genesis Flagship(grant numbers:318927); AI Enhanced Mobile Edge Computing project; Future Makers program of Jane and Aatos Erkko Foundation and Technology Industries of Finland Centennial Foundation; Jorma Ollila Grant; </t>
  </si>
  <si>
    <t>https://ieeexplore.ieee.org/stamp/stamp.jsp?arnumber=9296769</t>
  </si>
  <si>
    <t>5G;AR;containerization;cloud;Docker;edge computing;HWPC;industry 40;InfluxDB;IoT;IIoT;latency;MongoDB;multi-access;MNO;NFV;PowerAPI;power consumption;software defined networking (SDN);VR</t>
  </si>
  <si>
    <t>Containers;Industries;Cloud computing;Software;Monitoring;Automation;Hardware</t>
  </si>
  <si>
    <t>Robust Learning-Enabled Intelligence for the Internet of Things: A Survey From the Perspectives of Noisy Data and Adversarial Examples</t>
  </si>
  <si>
    <t>10.1109/JIOT.2020.3018691</t>
  </si>
  <si>
    <t>The Internet of Things (IoT) has been widely adopted in a range of verticals, e.g., automation, health, energy, and manufacturing. Many of the applications in these sectors, such as self-driving cars and remote surgery, are critical and high stakes applications, calling for advanced machine learning (ML) models for data analytics. Essentially, the training and testing data that are collected by massive IoT devices may contain noise (e.g., abnormal data, incorrect labels, and incomplete information) and adversarial examples. This requires high robustness of ML models to make reliable decisions for IoT applications. The research of robust ML has received tremendous attention from both academia and industry in recent years. This article will investigate the state of the art and representative works of robust ML models that can enable high resilience and reliability of IoT intelligence. Two aspects of robustness will be focused on, i.e., when the training data of ML models contain noises and adversarial examples, which may typically happen in many real-world IoT scenarios. In addition, the reliability of both neural networks and reinforcement learning framework will be investigated. Both of these two ML paradigms have been widely used in handling data in IoT scenarios. The potential research challenges and open issues will be discussed to provide future research directions.</t>
  </si>
  <si>
    <t>https://ieeexplore.ieee.org/stamp/stamp.jsp?arnumber=9174633</t>
  </si>
  <si>
    <t>Efficiency;Internet of Things (IoT);machine learning (ML);reliability;robustness</t>
  </si>
  <si>
    <t>Internet of Things;Data models;Noise measurement;Robustness;Artificial intelligence;Training</t>
  </si>
  <si>
    <t>Y. -Y. Shih; H. -P. Lin; A. -C. Pang; C. -C. Chuang; C. -T. Chou</t>
  </si>
  <si>
    <t>An NFV-Based Service Framework for IoT Applications in Edge Computing Environments</t>
  </si>
  <si>
    <t>10.1109/TNSM.2019.2948764</t>
  </si>
  <si>
    <t>Department of Communications Engineering, National Chung Cheng University, Minxiong, Taiwan; Chunghwa Telecom Laboratories, Chunghwa Telecom Company Ltd., Taipei, Taiwan; Graduate Institute of Networking and Multimedia, National Taiwan University, Taipei, Taiwan; Graduate Institute of Networking and Multimedia, National Taiwan University, Taipei, Taiwan; Department of Electrical Engineering, National Taiwan University, Taipei, Taiwan</t>
  </si>
  <si>
    <t>Emerging Internet of Things (IoT) applications share the same characteristics of involving multiple processing components (i.e., function modules) and requiring a massive amount of data to be processed with low latency. To meet these needs, edge/fog computing has been proposed for next-generation mobile networks to migrate the computing from the cloud to the edge of the network. Thanks to the development of Network Functions Virtualization (NFV), with which edge computing platform can virtualize function modules and deploy them on any edge devices to provide flexible services on the edge networks. However, such platform would need to deal with complicated function module calling relationship (i.e., call graph) of applications and user mobility, and both are not thoroughly considered by existing works of NFV and edge computing. In this paper, based on our previous idea of virtual local-hub (VLH), we propose a complete design of edge computing framework, which applies NFV technology on edge computing environment for IoT applications. To handle the complicated call graphs of IoT applications with better resource utilization, the VLH framework adapts the technologies of container-based virtualization and microservice architecture, which enables remote function module sharing on the edge computing environment. The framework includes the heuristic algorithm for function module allocation with the objective of minimizing total bandwidth consumption. We also present a design of protocols for system operations and mobility handling in the framework. Then we implement the framework on commodity hardware as a testbed. Via simulations under a large-scale environment with practical settings and experiments on the testbed under real-world scenarios, we demonstrate and verify the effectiveness and practicability of the proposed VLH framework for IoT application service provision.</t>
  </si>
  <si>
    <t xml:space="preserve">Ministry of Science and Technology(grant numbers:108-2221-E-002-069-MY3,107-2923-E-002-006-MY3,106-2221-E-002-MY2,105-2221-E-002-144-MY3); National Taiwan University(grant numbers:108L880503,108L891904); Ministry of Economic Affairs(grant numbers:107-EC-17-A-02-S5-007); National Chung-Hsing University(grant numbers:2019-5G-0202); MOXA(grant numbers:108-S-C05); Microsoft Research; </t>
  </si>
  <si>
    <t>https://ieeexplore.ieee.org/stamp/stamp.jsp?arnumber=8880517</t>
  </si>
  <si>
    <t>Network functions virtualization;edge computing;fog computing;Internet of Things;wearable device;microservices;container-based virtualization</t>
  </si>
  <si>
    <t>IEEE transactions</t>
  </si>
  <si>
    <t>P. Singh; M. Masud; M. S. Hossain; A. Kaur; G. Muhammad; A. Ghoneim</t>
  </si>
  <si>
    <t>Privacy-Preserving Serverless Computing Using Federated Learning for Smart Grids</t>
  </si>
  <si>
    <t>10.1109/TII.2021.3126883</t>
  </si>
  <si>
    <t>School of Computer Science and Engineering, Lovely Professional University, Phagwara, India; Department of Computer Science, College of Computers and Information Technology, Taif University, Taif, Saudi Arabia; Department of Software Engineering, College of Computer and Information Sciences, King Saud University, Riyadh, Saudi Arabia; School of Computer Science and Engineering, Lovely Professional University, Phagwara, India; Department of Computer Engineering, College of Computer and Information Sciences, King Saud University, Riyadh, Saudi Arabia; Department of Software Engineering, College of Computer and Information Sciences, King Saud University, Riyadh, Saudi Arabia</t>
  </si>
  <si>
    <t>The smart power grid is a critical energy infrastructure where real-time electricity usage data is collected to predict future energy requirements. The existing prediction models focus on the centralized frameworks, where the collected data from various home area networks (HANs) are forwarded to a central server. This process leads to cybersecurity threats. This article proposes a federated learning based model with privacy preservation of smart grids data using serverless cloud computing. The model considers the blockchain-enabled dew servers in each HAN for local data storage and local model training. Advanced perturbation and normalization techniques are used to reduce the inverse impact of irregular workload on the training results. The experiment conducted on benchmarks datasets demonstrates that the proposed model minimizes the computation and communication costs, attacking probability, and improves the test accuracy. Overall, the proposed model enables smart grids with robust privacy preservation and high accuracy.</t>
  </si>
  <si>
    <t xml:space="preserve">Deanship of Scientific Research, King Saud University, Riyadh, Saudi Arabia(grant numbers:RGP-229); </t>
  </si>
  <si>
    <t>https://ieeexplore.ieee.org/stamp/stamp.jsp?arnumber=9611004</t>
  </si>
  <si>
    <t>Blockchain;dew computing;federated learning;privacy-preserving;serverless computing;smart grid</t>
  </si>
  <si>
    <t>Computational modeling;Smart grids;Data models;Data privacy;Servers;Training;Collaborative work</t>
  </si>
  <si>
    <t>P. Li; J. Thomas; X. Wang; A. Khalil; A. Ahmad; R. Inacio; S. Kapoor; A. Parekh; A. Doufexi; A. Shojaeifard; R. J. Piechocki</t>
  </si>
  <si>
    <t>RLOps: Development Life-Cycle of Reinforcement Learning Aided Open RAN</t>
  </si>
  <si>
    <t>10.1109/ACCESS.2022.3217511</t>
  </si>
  <si>
    <t>Department of Electrical and Electronic Engineering, University of Bristol, Bristol, U.K; Department of Electrical and Electronic Engineering, University of Bristol, Bristol, U.K; Department of Electrical and Electronic Engineering, University of Bristol, Bristol, U.K; Department of Electrical and Electronic Engineering, University of Bristol, Bristol, U.K; Vilicom U.K. Ltd., Reading, U.K; Vilicom U.K. Ltd., Reading, U.K; Applied Research, Suffolk, U.K; Applied Research, Suffolk, U.K; Department of Electrical and Electronic Engineering, University of Bristol, Bristol, U.K; InterDigital Communications Inc., Wilmington, DE, USA; Department of Electrical and Electronic Engineering, University of Bristol, Bristol, U.K</t>
  </si>
  <si>
    <t>Radio access network (RAN) technologies continue to evolve, with Open RAN gaining the most recent momentum. In the O-RAN specifications, the RAN intelligent controllers (RICs) are software-defined orchestration and automation functions for the intelligent management of RAN. This article introduces principles for machine learning (ML), in particular, reinforcement learning (RL) applications in the O-RAN stack. Furthermore, we review the state-of-the-art research in wireless networks and cast it onto the RAN framework and the hierarchy of the O-RAN architecture. We provide a taxonomy for the challenges faced by ML/RL models throughout the development life-cycle: from the system specification to production deployment (data acquisition, model design, testing and management, etc.). To address the challenges, we integrate a set of existing MLOps principles with unique characteristics when RL agents are considered. This paper discusses a systematic model development, testing and validation life-cycle, termed: RLOps. We discuss fundamental parts of RLOps, which include: model specification, development, production environment serving, operations monitoring and safety/security. Based on these principles, we propose the best practices for RLOps to achieve an automated and reproducible model development process. At last, a holistic data analytics platform rooted in the O-RAN deployment is designed and implemented, aiming to embrace and fulfil the aforementioned principles and best practices of RLOps.</t>
  </si>
  <si>
    <t xml:space="preserve">Innovate UK/CELTIC-NEXT European collaborative project on AI-enabled Massive MIMO (AIMM); Next-Generation Converged Digital Infrastructure (NG-CDI) Project; BT and Engineering and Physical Sciences Research Council (EPSRC)(grant numbers:EP/R004935/1); </t>
  </si>
  <si>
    <t>https://ieeexplore.ieee.org/stamp/stamp.jsp?arnumber=9931127</t>
  </si>
  <si>
    <t>O-RAN;machine learning;reinforcement learning;MLOps;RLOps;digital twins;data engineering</t>
  </si>
  <si>
    <t>Radio access networks;Computer architecture;Reinforcement learning;Task analysis;Adaptation models;3GPP;Biological system modeling</t>
  </si>
  <si>
    <t>E. Peltonen; I. Ahmad; A. Aral; M. Capobianco; A. Y. Ding; F. Gil-Casti√±eira; E. Gilman; E. Harjula; M. Jurmu; T. Karvonen; M. Kelanti; T. Lepp√§nen; L. Lov√©n; T. Mikkonen; N. Mohan; P. Nurmi; S. Pirttikangas; P. Sroka; S. Tarkoma; T. Yang</t>
  </si>
  <si>
    <t>The Many Faces of Edge Intelligence</t>
  </si>
  <si>
    <t>10.1109/ACCESS.2022.3210584</t>
  </si>
  <si>
    <t>Faculty of Information Technology and Electrical Engineering, University of Oulu, Oulu, Finland; VTT Technical Research Centre of Finland Ltd., Espoo, Finland; Faculty of Computer Science, University of Vienna, Wien, Austria; Business Innovation Manager, Pordenone, Italy; Department of Engineering Systems and Services, TU Delft, Delft, The Netherlands; Enxe√±ar√≠a telem√°tica, University of Vigo, Vigo, Spain; Faculty of Information Technology and Electrical Engineering, University of Oulu, Oulu, Finland; Faculty of Information Technology and Electrical Engineering, University of Oulu, Oulu, Finland; VTT Technical Research Centre of Finland Ltd., Espoo, Finland; Faculty of Information Technology and Electrical Engineering, University of Oulu, Oulu, Finland; Faculty of Information Technology and Electrical Engineering, University of Oulu, Oulu, Finland; Information Technology, Oulu University of Applied Sciences, Oulu, Finland; Faculty of Information Technology and Electrical Engineering, University of Oulu, Oulu, Finland; Department of Computer Science, University of Helsinki, Helsinki, Finland; Connected Mobility, Technical University of Munich, M√ºnchen, Germany; Department of Computer Science, University of Helsinki, Helsinki, Finland; Faculty of Information Technology and Electrical Engineering, University of Oulu, Oulu, Finland; Institute of Radiocommunications, Poznan University of Technology, Pozna≈Ñ, Poland; Faculty of Information Technology and Electrical Engineering, University of Oulu, Oulu, Finland; Pengcheng Laboratory, Shenzhen, China</t>
  </si>
  <si>
    <t>Edge Intelligence (EI) is an emerging computing and communication paradigm that enables Artificial Intelligence (AI) functionality at the network edge. In this article, we highlight EI as an emerging and important field of research, discuss the state of research, analyze research gaps and highlight important research challenges with the objective of serving as a catalyst for research and innovation in this emerging area. We take a multidisciplinary view to reflect on the current research in AI, edge computing, and communication technologies, and we analyze how EI reflects on existing research in these fields. We also introduce representative examples of application areas that benefit from, or even demand the use of EI.</t>
  </si>
  <si>
    <t xml:space="preserve">an international expert group, led by the 6G Flagship at the University of Oulu, Finland(grant numbers:318927,326291,323630); European Union‚Äôs Horizon 2020 research and innovation programme(grant numbers:101021808); Marie Sk≈Çodowska-Curie(grant numbers:956090); National Science Centre in Poland(grant numbers:2018/29/B/ST7/01241); Austrian Science Fund(grant numbers:Y 904-N31,I 5201-N); CHIST-ERA(grant numbers:CHIST-ERA-19-CES-005); City of Vienna (5G Use Case Challenge InTraSafEd 5G); </t>
  </si>
  <si>
    <t>https://ieeexplore.ieee.org/stamp/stamp.jsp?arnumber=9905603</t>
  </si>
  <si>
    <t>Edge intelligence;edge computing;5G;6G</t>
  </si>
  <si>
    <t>Artificial intelligence;Edge computing;Cloud computing;Low latency communication;Real-time systems;Technological innovation;Image edge detection</t>
  </si>
  <si>
    <t>C. Avasalcai; C. Tsigkanos; S. Dustdar</t>
  </si>
  <si>
    <t>Resource Management for Latency-Sensitive IoT Applications With Satisfiability</t>
  </si>
  <si>
    <t>10.1109/TSC.2021.3074188</t>
  </si>
  <si>
    <t>Distributed Systems Group, Technische Universit√§t Wien, Vienna, Austria; Technische Universit√§t Wien, Vienna, Austria; Distributed Systems Group (DSG), Information Systems Institute, Vienna University of Technology, Vienna, Austria</t>
  </si>
  <si>
    <t>Satisfying the software requirements of emerging service-based Internet of Things (IoT) applications has become challenging for cloud-centric architectures, as applications demand fast response times and availability of computational resources closer to end-users. Meeting application demands must occur at runtime, facing uncertainty and in a decentralized manner, something that must be reflected in system deployment. We propose a decentralized resource management technique and accompanying technical framework for the deployment of service-based IoT applications at the edge. Faithful to services engineering, applications we consider are composed of interdependent tasks, which in the IoT setting may be concretized as containerized microservices or serverless functions. A deployment for an arbitrary application is found at runtime through satisfiability; the mapping produced is compliant with tasks‚Äô individual resource requirements and latency constraints by construction. Our approach ensures seamless deployment at runtime, assuming no design-time knowledge of device resources or the current network topology. We evaluate the applicability and realizability of our technique over single-board computers as edge devices, particularly in the absence of cloud resources.</t>
  </si>
  <si>
    <t xml:space="preserve">EU's H2020 Research and Innovation Programme(grant numbers:764785); FORA‚Äî Fog Computing for Robotics and Industrial Automation; FWF Austria(grant numbers:M 2778-N); </t>
  </si>
  <si>
    <t>https://ieeexplore.ieee.org/stamp/stamp.jsp?arnumber=9409738</t>
  </si>
  <si>
    <t>Resource management;edge computing services;decentralization;Internet of Things</t>
  </si>
  <si>
    <t>Task analysis;Internet of Things;Resource management;Runtime;Image edge detection;Edge computing;Computer architecture</t>
  </si>
  <si>
    <t>B. Alturki; S. Reiff-Marganiec; C. Perera; S. De</t>
  </si>
  <si>
    <t>Exploring the Effectiveness of Service Decomposition in Fog Computing Architecture for the Internet of Things</t>
  </si>
  <si>
    <t>10.1109/TSUSC.2019.2907405</t>
  </si>
  <si>
    <t>Department of Informatics, University of Leicester, Leicester, United Kingdom; Department of Informatics, University of Leicester, Leicester, United Kingdom; School of Computer Science and Informatics, Cardiff University, Cardiff, United Kingdom; Institute for Communication Systems, University of Surrey, Guildford, United Kingdom</t>
  </si>
  <si>
    <t>The Internet of Things (IoT) aims to connect everyday physical objects to the internet. These objects will produce a significant amount of data. The traditional cloud computing architecture aims to process data in the cloud. As a result, a significant amount of data needs to be communicated to the cloud. This creates a number of challenges, such as high communication latency between the devices and the cloud, increased energy consumption of devices during frequent data upload to the cloud, high bandwidth consumption, while making the network busy by sending the data continuously, and less privacy because of less control on the transmitted data to the server. Fog computing has been proposed to counter these weaknesses. Fog computing aims to process data at the edge and substantially eliminate the necessity of sending data to the cloud. However, combining the Service Oriented Architecture (SOA) with the fog computing architecture is still an open challenge. In this paper, we propose to decompose services to create linked-microservices (LMS). Linked-microservices are services that run on multiple nodes but closely linked to their linked-partners. Linked-microservices allow distributing the computation across different computing nodes in the IoT architecture. Using four different types of architectures namely cloud, fog, hybrid, and fog+cloud, we explore and demonstrate the effectiveness of service decomposition by applying four experiments to three different type of datasets. Evaluation of the four architectures shows that decomposing services into nodes reduce the data consumption over the network by 10 - 70 percent. Overall, these results indicate that the importance of decomposing services in the context of fog computing for enhancing the quality of service.</t>
  </si>
  <si>
    <t xml:space="preserve">Saudi Arabian Cultural Mission; King Abdul Aziz University; TagItSmart!; European Horizon 2020 programme(grant numbers:688061); EPSRC PETRAS 2(grant numbers:EP/S035362/1); </t>
  </si>
  <si>
    <t>https://ieeexplore.ieee.org/stamp/stamp.jsp?arnumber=8676374</t>
  </si>
  <si>
    <t>Internet of Things (IoT);cloud computing;fog computing;edge computing;data analytics;distributed data analytics;constraint awareness</t>
  </si>
  <si>
    <t>Edge computing;Computer architecture;Cloud computing;Internet of Things;Machine learning algorithms;Data processing;Distributed databases</t>
  </si>
  <si>
    <t>M. Pau; M. Mirz; J. Dinkelbach; P. Mckeever; F. Ponci; A. Monti</t>
  </si>
  <si>
    <t>A Service Oriented Architecture for the Digitalization and Automation of Distribution Grids</t>
  </si>
  <si>
    <t>10.1109/ACCESS.2022.3164393</t>
  </si>
  <si>
    <t>Institute for Automation of Complex Power Systems, RWTH Aachen University, Aachen, Germany; Institute for Automation of Complex Power Systems, RWTH Aachen University, Aachen, Germany; Institute for Automation of Complex Power Systems, RWTH Aachen University, Aachen, Germany; Institute for Automation of Complex Power Systems, RWTH Aachen University, Aachen, Germany; Institute for Automation of Complex Power Systems, RWTH Aachen University, Aachen, Germany; Institute for Automation of Complex Power Systems, RWTH Aachen University, Aachen, Germany</t>
  </si>
  <si>
    <t>Modern distribution grids are complex systems that need advanced management for their secure and reliable operation. The Information and Communication Technology domain today offers unprecedented opportunities for the smart design of tools in support of grid operators. This paper presents a new philosophy for the digitalization and automation of distribution grids, based on a modular architecture of microservices implemented via container technology. This architecture enables a service-oriented deployment of the intelligence needed in the Distribution Management Systems, moving beyond the traditional view of monolithic software installations in the control rooms. The proposed architecture unlocks a broad set of possibilities, including cloud-based implementations, extension of legacy systems and fast integration of machine learning-based analytic tools. Moreover, it potentially opens a completely new market of turnkey services for distribution grid management, thus avoiding large upfront investments for grid operators. This paper presents the main concepts and benefits of the proposed philosophy, together with an example of field implementation based on open source components carried out in the context of the European project SOGNO.</t>
  </si>
  <si>
    <t xml:space="preserve">Service Oriented Grid for the Network of the Future (SOGNO) and Platform for Operation of Distribution Networks (PLATONE), which are European Projects; European Union‚Äôs Horizon 2020 Research and Innovation Program(grant numbers:774613,864300); </t>
  </si>
  <si>
    <t>https://ieeexplore.ieee.org/stamp/stamp.jsp?arnumber=9748116</t>
  </si>
  <si>
    <t>Cloud computing;distribution grid automation;distribution management system;IoT platform;microservice architecture;smart grid</t>
  </si>
  <si>
    <t>Computer architecture;Cloud computing;Automation;Software;Power systems;Smart grids;Microservice architectures</t>
  </si>
  <si>
    <t>L. Zhu; K. Huang; Y. Hu; X. Tai</t>
  </si>
  <si>
    <t>A Self-Adapting Task Scheduling Algorithm for Container Cloud Using Learning Automata</t>
  </si>
  <si>
    <t>10.1109/ACCESS.2021.3078773</t>
  </si>
  <si>
    <t>School of Information Science and Technology, University of Science and Technology of China, Hefei, China; Chinese Academy of Sciences, Institute of Electronics, Suzhou, China; Chinese Academy of Sciences, Institute of Electronics, Suzhou, China; Chinese Academy of Sciences, Institute of Electronics, Suzhou, China</t>
  </si>
  <si>
    <t>With the rapid development of cloud computing and container technology, more and more applications are deployed to the cloud, and the scale of cloud platform is expanding. Due to the large number of container instances running in the platform, complex dependency relationship, fast version iteration and other characteristics, the update of business can often cause the change of the whole cloud resource environment, which triggers the repetitive scheduling problem of related tasks and affects stability of the business. In this paper, we propose a self-adapting task scheduling algorithm (ADATSA) using learning automata to solve these problems. Firstly, we design a learning automata model and objective function for the system on task scheduling problem. Then, we realize an effective reward-penalty mechanism for scheduling actions in combination with the idle state of resources and the running state of tasks in the current environment. Meanwhile, the environment is modeled by cluster, node and task, and the probability of action selected is optimized by scheduling execution, thus enhancing the adaptability to the cloud environment of the scheduling and accelerating convergence. Finally, we construct a framework of task load monitoring with buffer queue to achieve dynamic scheduling based on priority. The experimental part verifies the effectiveness of proposed algorithm with different angles such as resource imbalance degree, resource residual degree and QoS. Compared with other learning automata scheduling models such as LAEAS, non-automata technology based algorithms such as PSOS and K8S scheduling engine, ADATSA shows the better performance of environment adaptability, resource optimization efficiency and QoS in dynamic scheduling. The theoretical analysis was consistent with the experimental results.</t>
  </si>
  <si>
    <t xml:space="preserve">Strategic Priority Research Program of the Chinese Academy of Sciences(grant numbers:XDA19080201); </t>
  </si>
  <si>
    <t>https://ieeexplore.ieee.org/stamp/stamp.jsp?arnumber=9427182</t>
  </si>
  <si>
    <t>Container cloud;learning automata;self-adapting scheduling;reward-penalty strategy</t>
  </si>
  <si>
    <t>Task analysis;Containers;Job shop scheduling;Cloud computing;Optimal scheduling;Learning automata;Dynamic scheduling</t>
  </si>
  <si>
    <t>C. Varadharajan; D. A. Agarwal; W. Brown; M. Burrus; R. W. H. Carroll; D. S. Christianson; B. Dafflon; D. Dwivedi; B. J. Enquist; B. Faybishenko; A. Henderson; M. Henderson; V. C. Hendrix; S. S. Hubbard; Z. Kakalia; A. Newman; B. Potter; H. Steltzer; R. Versteeg; K. H. Williams; C. Wilmer; Y. Wu</t>
  </si>
  <si>
    <t>Challenges in Building an End-to-End System for Acquisition, Management, and Integration of Diverse Data From Sensor Networks in Watersheds: Lessons From a Mountainous Community Observatory in East River, Colorado</t>
  </si>
  <si>
    <t>10.1109/ACCESS.2019.2957793</t>
  </si>
  <si>
    <t>Lawrence Berkeley National Laboratory, Earth and Environmental Sciences Area, Berkeley, USA; Lawrence Berkeley National Laboratory, Computing Sciences Area, Berkeley, USA; Bugs Unlimited, LLC Crested Butte, USA; Lawrence Berkeley National Laboratory, Earth and Environmental Sciences Area, Berkeley, USA; Desert Research Institute, Reno, USA; Lawrence Berkeley National Laboratory, Computing Sciences Area, Berkeley, USA; Lawrence Berkeley National Laboratory, Earth and Environmental Sciences Area, Berkeley, USA; Lawrence Berkeley National Laboratory, Earth and Environmental Sciences Area, Berkeley, USA; Department of Ecology and Evolutionary Biology, The University of Arizona, Tucson, USA; Lawrence Berkeley National Laboratory, Earth and Environmental Sciences Area, Berkeley, USA; Rocky Mountain Biological Laboratory, Crested Butte, USA; Lawrence Berkeley National Laboratory, Computing Sciences Area, Berkeley, USA; Lawrence Berkeley National Laboratory, Computing Sciences Area, Berkeley, USA; Lawrence Berkeley National Laboratory, Earth and Environmental Sciences Area, Berkeley, USA; Lawrence Berkeley National Laboratory, Earth and Environmental Sciences Area, Berkeley, USA; Rocky Mountain Biological Laboratory, Crested Butte, USA; Navarro Research and Engineering, Grand Junction, USA; Fort Lewis College, Durango, USA; Subsurface Insights, LLC, Hanover, USA; Lawrence Berkeley National Laboratory, Earth and Environmental Sciences Area, Berkeley, USA; Rocky Mountain Biological Laboratory, Crested Butte, USA; Lawrence Berkeley National Laboratory, Earth and Environmental Sciences Area, Berkeley, USA</t>
  </si>
  <si>
    <t>The U.S. Department of Energy's Watershed Function Scientific Focus Area (SFA), centered in the East River, Colorado, generates diverse datasets including hydrological, geological, geochemical, geophysical, ecological, microbiological and remote sensing data. The project has deployed extensive field infrastructure involving hundreds of sensors that measure highly diverse phenomena (e.g. stream and groundwater hydrology, water quality, soil moisture, weather) across the watershed. Data from the sensor network are telemetered and automatically ingested into a queryable database. The data are subsequently quality checked, integrated with the United States Geological Survey's stream monitoring network using a custom data integration broker, and published to a portal with interactive visualizations. The resulting data products are used in a variety of scientific modeling and analytical efforts. This paper describes the SFA's end-to-end infrastructure and services that support the generation of integrated datasets from a watershed sensor network. The development and maintenance of this infrastructure, presents a suite of challenges from practical field logistics to complex data processing, which are addressed through various solutions. In particular, the SFA adopts a holistic view for data collection, assessment and integration, which dramatically improves the products generated, and enables a co-design approach wherein data collection is informed by model results and vice-versa.</t>
  </si>
  <si>
    <t xml:space="preserve">U.S. Department of Energy(grant numbers:DE-AC02-05CH11231); WatershedFunction Scientific Focus Area funded by the U.S. Department of Energy, Office of Science, Office of Biological, and Environmental Research(grant numbers:DE-AC02-05CH11231); National Energy Research Scientific Computing Center (NERSC), U.S. Department of Energy Office of Science User Facility operated(grant numbers:DE-AC02-05CH11231); Environmental Systems Science Data Infrastructure for a Virtual Ecosystem (ESS-DIVE) data repository operated(grant numbers:DE-AC02-05CH11231); Subsurface Insights for development of some of the core abilities used here(grant numbers:DE-SC0009732,DE-SC0018447); </t>
  </si>
  <si>
    <t>https://ieeexplore.ieee.org/stamp/stamp.jsp?arnumber=8924700</t>
  </si>
  <si>
    <t>Sensor systems and applications;sensors;geoscience;water resources;watershed;data management;data integration;data processing;co-design</t>
  </si>
  <si>
    <t>Rivers;Data models;Monitoring;Temperature measurement;Data collection;Snow;Biology</t>
  </si>
  <si>
    <t>A. Ghosh; A. Mukherjee; S. Misra</t>
  </si>
  <si>
    <t>SEGA: Secured Edge Gateway Microservices Architecture for IIoT-Based Machine Monitoring</t>
  </si>
  <si>
    <t>10.1109/TII.2021.3102158</t>
  </si>
  <si>
    <t>Department of Computer Science and Engineering, Indian Institute of Technology Kharagpur, Kharagpur, India; Department of Computer Science and Engineering, Indian Institute of Technology Kharagpur, Kharagpur, India; Department of Computer Science and Engineering, Indian Institute of Technology Kharagpur, Kharagpur, India</t>
  </si>
  <si>
    <t>In this article, we propose SEGA, a secured edge gateway microservices architecture for industrial Internet of things-based monitoring of machines in industries. SEGA allows the secured collection, transmission, and temporary storage of data within the edge network. A k-nearest neighbors-based analytics module hosted on the edge gateway processes time-sensitive machine monitoring data on the gateway itself and identifies machines‚Äô operational status. The system predicts the machine state and displays the monitored parameters such as current consumed, power factor, power consumption, and vibrational state of machinery. SEGA also enables secured offloading of data and advanced analytical functions from the edge gateway to the cloud. SEGA's deployment results show negligible changes in the edge gateway's performance due to the inclusion of various security and encryption mechanisms. However, the resource-constrained edge sensor nodes show an increase in wireless packet transmission latencies between them and the gateway by approximately 84.12¬†ms.</t>
  </si>
  <si>
    <t xml:space="preserve">SERB/IMPRINT-2(grant numbers:SERB/F/12680/2018-2019,IMP/2018/000451); </t>
  </si>
  <si>
    <t>https://ieeexplore.ieee.org/stamp/stamp.jsp?arnumber=9507367</t>
  </si>
  <si>
    <t>Edge intelligence;edge networks;industrial IoT (IIoT) gateway;machine monitoring;microservices</t>
  </si>
  <si>
    <t>Logic gates;Industrial Internet of Things;Security;Computer architecture;Monitoring;Cloud computing;Encryption</t>
  </si>
  <si>
    <t>J. Granat; J. M. Batalla; C. X. Mavromoustakis; G. Mastorakis</t>
  </si>
  <si>
    <t>Big Data Analytics for Event Detection in the IoT-Multicriteria Approach</t>
  </si>
  <si>
    <t>10.1109/JIOT.2019.2957320</t>
  </si>
  <si>
    <t>National Institute of Telecommunications, Warsaw, Poland; Warsaw University of Technology, Warsaw, Poland; University of Nicosia, Nicosia, Cyprus; Hellenic Mediterranean University, Heraklion, Greece</t>
  </si>
  <si>
    <t>Security requirements applicable to the Internet of Things (IoT) should aim to ensure integrity, authenticity and authorization, confidentiality/privacy, nonrepudiation, and last but not least, availability. Classic data analysis algorithms are no longer valid for assuring security at all levels and a new approach to data sciences is required, which would consider the complex heterogeneous nature of the IoT, taking also into consideration, its potential to deploy cross layer for security assessment mechanisms. Furthermore, data collected from sensors should be processed and analyzed nearly in real time. The classical algorithms have two main drawbacks: 1) they deal with unidimensional data and 2) they fail to assume limited information available in the stream data processing. In this article, new solutions are discussed and presented that detect anomalies in data streams nearly in real time. Specifically, we propose: 1) an event detection method used in unidimensional data streams and relying on the event strength function, which is an extension of the typical ‚ÄúTrue or False‚Äù decision-making scheme; 2) multiple-criteria event detection approaches based on the Dynamic Pareto Set, introducing a time-depending decision set; and 3) an anomaly detection method based on multicriteria temporal graphs, combining the dynamics of decision making and multicriteria. All the proposed algorithms are presented by means of their formal description and are illustrated with examples.</t>
  </si>
  <si>
    <t xml:space="preserve">National Science Centre, Poland, through the Context-Aware Adaptation Framework for eMBB Services in 5G Networks(grant numbers:2018/30/E/ST7/00413); National Centre of Research and Development, Poland(grant numbers:CYBERSECIDENT/369195/I/NCBR/2017); </t>
  </si>
  <si>
    <t>https://ieeexplore.ieee.org/stamp/stamp.jsp?arnumber=8920092</t>
  </si>
  <si>
    <t>Anomaly detection;data mining;Internet of Things (IoT) security;multicriteria decision making</t>
  </si>
  <si>
    <t>Security;Internet of Things;Sensors;Logic gates;Event detection;Data analysis</t>
  </si>
  <si>
    <t>H. Inaltekin; M. Gorlatova; M. Chiang</t>
  </si>
  <si>
    <t>Virtualized Control Over Fog: Interplay Between Reliability and Latency</t>
  </si>
  <si>
    <t>10.1109/JIOT.2018.2881202</t>
  </si>
  <si>
    <t>Department of Electrical and Electronic Engineering, University of Melbourne, Parkville, VIC, Australia; Department of Electrical and Computer Engineering, Duke University, Durham, NC, USA; School of Electrical and Computer Engineering, Purdue University, West Lafayette, IN, USA</t>
  </si>
  <si>
    <t>This paper introduces an analytical framework to investigate optimal design choices for the placement of virtual controllers along the cloud-to-things continuum. The main application scenarios include low-latency cyber-physical systems in which real-time control actions are required in response to the changes in states of an Internet of Things (IoT) node. In such cases, deploying controller software on a cloud server is often not tolerable due to delay from the network edge to the cloud. Hence, it is desirable to trade reliability with latency by moving controller logic closer to the network edge. Modeling the IoT node as a dynamical system that evolves linearly in time with quadratic penalty for state deviations, recursive expressions for the optimum control policy and the resulting minimum cost value are obtained by taking virtual fog controller reliability and response time latency into account. Our results indicate that latency is more critical than reliability in provisioning virtualized control services over fog endpoints, as it determines the swiftness of the fog control system as well as the timeliness of state measurements. Based on a drone trajectory tracking model, an extensive simulation study is also performed to illustrate the influence of reliability and latency on the control of autonomous vehicles over fog.</t>
  </si>
  <si>
    <t xml:space="preserve">Comcast Innovation Fund Research Grant; AWS Cloud Credits for Research; Microsoft(grant numbers:NSF CSR-1812797); National Science Foundation(grant numbers:1759652); NSF NeTS Award(grant numbers:1759656); Defense Advanced Research Projects Agency(grant numbers:HR001117C0052,HR001117C0048); </t>
  </si>
  <si>
    <t>https://ieeexplore.ieee.org/stamp/stamp.jsp?arnumber=8533367</t>
  </si>
  <si>
    <t>Control;distributed systems;fog computing;Internet of Things (IoT);latency;reliability</t>
  </si>
  <si>
    <t>Edge computing;Cloud computing;Drones;Computer architecture;Software reliability;Control systems</t>
  </si>
  <si>
    <t>Y. Liu; D. Lan; Z. Pang; M. Karlsson; S. Gong</t>
  </si>
  <si>
    <t>Performance Evaluation of Containerization in Edge-Cloud Computing Stacks for Industrial Applications: A Client Perspective</t>
  </si>
  <si>
    <t>IEEE Open Journal of the Industrial Electronics Society</t>
  </si>
  <si>
    <t>2644-1284</t>
  </si>
  <si>
    <t>10.1109/OJIES.2021.3055901</t>
  </si>
  <si>
    <t>Department of Science and Technology, Link√∂ping University, Norrk√∂ping, Sweden; Department of Informatics, University of Oslo, Oslo, Norway; ABB AB, Corporate Research, Forskargr√§nd 7, V√§ster√•s, V√§stmanland, Sweden; Department of Science and Technology, Link√∂ping University, Norrk√∂ping, Sweden; Department of Science and Technology, Link√∂ping University, Norrk√∂ping, Sweden</t>
  </si>
  <si>
    <t>Today, the edge-cloud computing paradigm starts to gain increasing popularity, aiming to enable short latency, fast decision-making and intelligence at the network edge, especially for industrial applications. The container-based virtualization technology has been put on the roadmap by the industry to implement edge-cloud computing infrastructures. Has the performance of the container-based edge-cloud computing stacks reached industry requirement? In this paper, from the industrial client perspective, we provide a performance evaluation methodology and apply it to the state-of-the-art containerization-based edge-cloud computing infrastructures. The influences of the message sending interval, payload, network bandwidth and concurrent devices on full stack latency are measured, and the processing capability of executing machine learning tasks are benchmarked. The results show that containerization on the edge does not introduce noticeable performance degradation in terms of communication, computing and intelligence capabilities, making it a promising technology for the edge-cloud computing paradigm. However, there is a large room for performance improvement between current implementation of the edge-cloud infrastructure and the demanding requirements anticipated by time-critical industrial applications. We also emphasize and showcase that partitioning of an industrial application into microservices throughout the whole stack can be considered during solution design. The proposed evaluation methodology can be a reference to users of edge-cloud computing as well as developers to get a client perspective overview of system performance.</t>
  </si>
  <si>
    <t xml:space="preserve">Swedish Innovation Agency, Vinnova; </t>
  </si>
  <si>
    <t>https://ieeexplore.ieee.org/stamp/stamp.jsp?arnumber=9343777</t>
  </si>
  <si>
    <t>Performance evaluation;edge-cloud computing;containerization;partitioning</t>
  </si>
  <si>
    <t>Cloud computing;Performance evaluation;Computational modeling;Containers;Protocols;Industrial electronics;Computer architecture</t>
  </si>
  <si>
    <t>C. Roy; R. Saha; S. Misra; K. Dev</t>
  </si>
  <si>
    <t>Micro-Safe: Microservices- and Deep Learning-Based Safety-as-a-Service Architecture for 6G-Enabled Intelligent Transportation System</t>
  </si>
  <si>
    <t>10.1109/TITS.2021.3110725</t>
  </si>
  <si>
    <t>Department of Computer Science and Engineering, Indian Institute of Technology Kharagpur, Kharagpur, India; Department of Computer Science and Engineering, Indian Institute of Technology Kharagpur, Kharagpur, India; Department of Computer Science and Engineering, Indian Institute of Technology Kharagpur, Kharagpur, India; Department of Institute of Intelligent Systems, University of Johannesburg, Auckland Park, South Africa</t>
  </si>
  <si>
    <t>In this paper, we propose a microservices and deep learning-based scheme, termed as Micro-Safe, for provisioning Safety-as-a-Service (Safe-aaS) in a 6G environment. A Safe-aaS infrastructure provides customized safety-related decisions dynamically to the registered end-users. As the decisions are time-sensitive in nature, the generation of these decisions should incur minimum latency and high accuracy. Further, scalability and extension of the coverage of the entire Safe-aaS platform are also necessary. Considering road transportation as the application scenario, we propose Safe-aaS, which is a microservices- and deep learning-based platform for provisioning ultra-low latency safety services to the end-users in a 6G scenario. We design the proposed solution in two stages. In the first stage, we develop the microservices-enabled application layer to improve the scalability and adaptability of the traditional Safe-aaS platform. Moreover, we apply the state space model to represent the decision parameters requested and the decision delivered to the end-users. During the second stage, we use deep learning models to improve the accuracy in the decisions delivered to the end-users. Additionally, we apply an assortment of activation functions to analyze and compare the accuracy of the decisions generated in the proposed scheme. Extensive simulation of our proposed scheme, Micro-Safe, demonstrates that latency is improved by 26.1 ‚Äì 31.2%, energy consumption is reduced by 22.1 ‚Äì 29.9%, throughput is increased by 26.1 ‚Äì 31.7%, compared to the existing schemes.</t>
  </si>
  <si>
    <t>https://ieeexplore.ieee.org/stamp/stamp.jsp?arnumber=9548710</t>
  </si>
  <si>
    <t>6G;microservices;deep learning;state space model;safety-as-a-service (safe-aas);road transportation;decision parameters</t>
  </si>
  <si>
    <t>6G mobile communication;Safety;Deep learning;Scalability;Delays;Cloud computing;Throughput</t>
  </si>
  <si>
    <t>J. Lee; F. Solat; T. Y. Kim; H. V. Poor</t>
  </si>
  <si>
    <t>Federated Learning-Empowered Mobile Network Management for 5G and Beyond Networks: From Access to Core</t>
  </si>
  <si>
    <t>10.1109/COMST.2024.3352910</t>
  </si>
  <si>
    <t>Department of Computing, Gachon University, Seongnam, Republic of Korea; Department of Computing, Gachon University, Seongnam, Republic of Korea; Network Intelligence Research Section, Electronics and Telecommunications Research Institute, Daejeon, Republic of Korea; Department of Electrical and Computer Engineering, Princeton University, Princeton, NJ, USA</t>
  </si>
  <si>
    <t>The fifth generation (5G) and beyond wireless networks are envisioned to provide an integrated communication and computing platform that will enable multipurpose and intelligent networks driven by a growing demand for both traditional end users and industry verticals. This evolution will be realized by innovations in both core and access capabilities, mainly from virtualization technologies and ultra-dense networks, e.g., software-defined networking (SDN), network slicing, network function virtualization (NFV), multi-access edge computing (MEC), terahertz (THz) communications, etc. However, those technologies require increased complexity of resource management and large configurations of network slices. In this new milieu, with the help of artificial intelligence (AI), network operators will strive to enable AI-empowered network management by automating radio and computing resource management and orchestration processes in a data-driven manner. In this regard, most of the previous AI-empowered network management approaches adopt a traditional centralized training paradigm where diverse training data generated at network functions over distributed base stations associated with MEC servers are transferred to a central training server. On the other hand, to exploit distributed and parallel processing capabilities of distributed network entities in a fast and secure manner, federated learning (FL) has emerged as a distributed AI approach that can enable many AI-empowered network management approaches by allowing for AI training at distributed network entities without the need for data transmission to a centralized server. This article comprehensively surveys the field of FL-empowered mobile network management for 5G and beyond networks from access to the core. Specifically, we begin with an introduction to the state-of-the-art of FL by exploring and analyzing recent advances in FL in general. Then, we provide an extensive survey of AI-empowered network management, including background on 5G network functions, mobile traffic prediction, and core/access network management regarding standardization and research activities. We then present an extensive survey of FL-empowered network management by highlighting how FL is adopted in AI-empowered network management. Important lessons learned from this review of AI and FL-empowered network management are also provided. Finally, we complement this survey by discussing open issues and possible directions for future research in this important emerging area.</t>
  </si>
  <si>
    <t xml:space="preserve">National Research Foundation of Korea (NRF); Korea Government (MSIT)(grant numbers:2021R1F1A1048098); ICT Research and Development Program of MSICT/IITP (Development of Intelligent 6G Mobile Core Network Technologies)(grant numbers:2022-0-00862); U.S. National Science Foundation(grant numbers:CNS-2128448,ECCS-2335876); </t>
  </si>
  <si>
    <t>https://ieeexplore.ieee.org/stamp/stamp.jsp?arnumber=10400810</t>
  </si>
  <si>
    <t>Federated learning;5G;6G;network management;artificial intelligence;machine learning</t>
  </si>
  <si>
    <t>Surveys;6G mobile communication;Servers;Artificial intelligence;Internet of Things;5G mobile communication;Training</t>
  </si>
  <si>
    <t>A. I. A. Ahmed; A. Gani; S. H. A. Hamid; A. Abdelmaboud; H. J. Syed; R. A. A. Habeeb Mohamed; I. Ali</t>
  </si>
  <si>
    <t>Service Management for IoT: Requirements, Taxonomy, Recent Advances and Open Research Challenges</t>
  </si>
  <si>
    <t>10.1109/ACCESS.2019.2948027</t>
  </si>
  <si>
    <t>Center for Mobile Cloud Computing Research, Faculty of Computer Science and Information Technology, University of Malaya, Kuala Lumpur, Malaysia; Center for Mobile Cloud Computing Research, Faculty of Computer Science and Information Technology, University of Malaya, Kuala Lumpur, Malaysia; Center for Mobile Cloud Computing Research, Faculty of Computer Science and Information Technology, University of Malaya, Kuala Lumpur, Malaysia; Department of Information Systems, King Khalid University, Muhayil Asir, Saudi Arabia; Department of Computer Science, National University of Computer and Emerging Sciences, Karachi, Pakistan; Center for Mobile Cloud Computing Research, Faculty of Computer Science and Information Technology, University of Malaya, Kuala Lumpur, Malaysia; Center for Mobile Cloud Computing Research, Faculty of Computer Science and Information Technology, University of Malaya, Kuala Lumpur, Malaysia</t>
  </si>
  <si>
    <t>The exponential growth in the number of smart devices connected to the Internet of Things (IoT), and associated with various IoT-based smart applications and services, raises interoperability challenges which could affect the sustainability of IoT services. IoT software applications are built using different software platforms and embedded in diverse types of terminals and sensing devices. Aiming to offer smart services over a range of network technologies that use different communication protocols. The concept of Web service with service-oriented solutions was introduced to cope with the heterogeneity of hardware and software, and to tackle issues of interoperability, flexibility and scalability. The main step of this solution was the integration of Web of Things technologies into smart device networks, with the utilization of IoT gateways. Service management is a crucial factor in sustaining service-oriented solutions in dynamic and highly scalable IoT systems, and is concerned with several issues associated with service provisioning, orchestration, composition and adaption. This work was motivated by the need for robust and flexible service management systems that can meet the requirements for the rapid scalability and heterogeneity associated with the exponential growth of IoT systems. In the literature there is no survey of service management issues and associated research efforts in the field of IoT. In this article, we identify the key requirements for managing IoT services as well as common service management platforms for IoT. We provide a thematic taxonomy based on the important factors, and investigate recent advances in service management for IoT systems. Finally, the major challenges that remain open are presented as a guide for future research directions.</t>
  </si>
  <si>
    <t xml:space="preserve">King Khalid University(grant numbers:R.G.P-319-2019); </t>
  </si>
  <si>
    <t>https://ieeexplore.ieee.org/stamp/stamp.jsp?arnumber=8874971</t>
  </si>
  <si>
    <t>Internet of Things;web service;web of things;SOA;microservice;service composition;service orchestration</t>
  </si>
  <si>
    <t>Internet of Things;Protocols;Interoperability;Web services;Security;Metadata</t>
  </si>
  <si>
    <t>M. -I. Corici; F. Eichhorn; R. Bless; M. Gundall; D. Lindenschmitt; B. Bloessl; M. Petrova; L. Wimmer; R. Kreuch; T. Magedanz; H. D. Schotten</t>
  </si>
  <si>
    <t>Organic 6G Networks: Vision, Requirements, and Research Approaches</t>
  </si>
  <si>
    <t>10.1109/ACCESS.2023.3293055</t>
  </si>
  <si>
    <t>Fraunhofer Institute for Open Communication Systems (FOKUS), Berlin, Germany; Fraunhofer Institute for Open Communication Systems (FOKUS), Berlin, Germany; Institute of Telematics (TM), Karlsruhe Institute of Technology (KIT), Karlsruhe, Germany; German Research Center for Artificial Intelligence GmbH (DFKI), Kaiserslautern, Germany; Institute for Wireless Communication and Navigation (WICON), RPTU Kaiserslautern-Landau, Kaiserslautern, Germany; Secure Mobile Networking Lab (SEEMOO) Technische Universit√§t Darmstadt (TUDa), Darmstadt, Germany; Chair and Institute of Networked Systems (iNETS), RWTH Aachen University, Aachen, Germany; Leibniz Institute for High Performance Microelectronics (IHP), Frankfurt (Oder), Germany; Architekturen der Vermittlungsknoten (AV), Technische Universit√§t Berlin (TUB), Berlin, Germany; Fraunhofer Institute for Open Communication Systems (FOKUS), Berlin, Germany; German Research Center for Artificial Intelligence GmbH (DFKI), Kaiserslautern, Germany</t>
  </si>
  <si>
    <t>Building upon the significant number of already published 6G position papers, we are concentrating on the immediate next steps toward turning the research vision of software-centric networks into reality. This is accomplished, by summarizing and assessing the various requirements documents and providing a significant number of specific research directions and approaches in order to fulfill them. This article complements the existing body of work, by focusing on future core networks and their infrastructures, yet maintaining a system-level perspective and progressing in the direction of scoping key technology elements and providing high-potential research approaches for them. Additionally, we rigorously discuss the impact that different technological advancements have on the other parts of the system, to provide a coherent, end-to-end network understanding. This is in strong contrast to current approaches, where from the challenges, each research direction becomes independent and, thus, its advances are potentially cancelled out by the next technology in the chain. By maintaining this system perspective, the adoption of the different technologies becomes easier, as they are developed in unison. To address the requirements in a coherent, holistic, and unified way, we extend our high-level architecture concept named ‚ÄúOrganic 6G Networks‚Äù towards a comprehensive end-to-end system. A holistic software-centric system, adapting the latest software development advancements from the IT industry. The Organic 6G network provides support for building a streamlined software network architecture and offers the next step on the path towards the development and specification of future mobile networks.</t>
  </si>
  <si>
    <t xml:space="preserve">German Federal Ministry for Education and Research (BMBF) through the Project Open6GHub(grant numbers:16KISK003K,16KISK004,16KISK006,16KISK010,16KISK013,16KISK014); </t>
  </si>
  <si>
    <t>https://ieeexplore.ieee.org/stamp/stamp.jsp?arnumber=10175535</t>
  </si>
  <si>
    <t>Mobile networks;6G;core networks;organic core networks;organic networks</t>
  </si>
  <si>
    <t>6G mobile communication;5G mobile communication;Computer architecture;Software engineering;Network architecture;Wireless communication;Complexity theory;Organic electronics</t>
  </si>
  <si>
    <t>D. Kimovski; N. Mehran; C. E. Kerth; R. Prodan</t>
  </si>
  <si>
    <t>Mobility-Aware IoT Application Placement in the Cloud ‚Äì Edge Continuum</t>
  </si>
  <si>
    <t>10.1109/TSC.2021.3094322</t>
  </si>
  <si>
    <t>Institute of Information Technology, University of Klagenfurt, Klagenfurt am W√∂rthersee, Austria; Institute of Information Technology, University of Klagenfurt, Klagenfurt am W√∂rthersee, Austria; Institute of Information Technology, University of Klagenfurt, Klagenfurt am W√∂rthersee, Austria; Institute of Information Technology, University of Klagenfurt, Klagenfurt am W√∂rthersee, Austria</t>
  </si>
  <si>
    <t>The Edge computing extension of the Cloud services towards the network boundaries raises important placement challenges for IoT applications running in a heterogeneous environment with limited computing capacities. Unfortunately, existing works only partially address this challenge by optimizing a single or aggregate objective (e.g., response time), and not considering the edge devices‚Äô mobility and resource constraints. To address this gap, we propose a novel mobility-aware multi-objective IoT application placement (mMAPO) method in the Cloud ‚Äì Edge Continuum that optimizes completion time, energy consumption, and economic cost as conflicting objectives. mMAPO utilizes a Markov model for predictive analysis of the Edge device mobility and constrains the optimization to devices that do not frequently move through the network. We evaluate the quality of the mMAPO placements using simulation and real-world experimentation on two IoT applications. Compared to related work, mMAPO reduces the economic cost by 28 percent and decreases the completion time by 80 percent while maintaining a stable energy consumption.</t>
  </si>
  <si>
    <t xml:space="preserve">European Commission(grant numbers:101016835); </t>
  </si>
  <si>
    <t>https://ieeexplore.ieee.org/stamp/stamp.jsp?arnumber=9473013</t>
  </si>
  <si>
    <t>Cloud;edge continuum;mobility;application placement;multi-objective optimization;energy consumption;cost</t>
  </si>
  <si>
    <t>Internet of Things;Cloud computing;Energy consumption;Optimization;Predictive models;Markov processes;Economics</t>
  </si>
  <si>
    <t>S. Ghaemi; H. Khazaei; P. Musilek</t>
  </si>
  <si>
    <t>ChainFaaS: An Open Blockchain-Based Serverless Platform</t>
  </si>
  <si>
    <t>10.1109/ACCESS.2020.3010119</t>
  </si>
  <si>
    <t>Department of Electrical and Computer Engineering, University of Alberta, Edmonton, Alberta, Canada; Department of Electrical Engineering and Computer Science, York University, Toronto, Canada; Department of Electrical and Computer Engineering, University of Alberta, Edmonton, Alberta, Canada</t>
  </si>
  <si>
    <t>Due to the rapid increase in the total amount of data generated in the world, the need for more computational resources is also increasing dramatically. This trend results in huge data centers and massive server farms being built around the world, which have a negative impact on global carbon emissions. On the other hand, there are many underutilized personal computers around the world that can be used towards distributed computing. To better understand the capacity of personal computers, we have conducted a survey that aims to find their unused computational power. The results indicate that the typical CPU utilization of a personal computer is only 24.5% and, on average, a personal computer is only used 4.5 hours per day. This shows a significant computational potential that can be used towards distributed computing. In this paper, we introduce ChainFaaS with the motivation to use the computational capacity of personal computers as well as to improve developers' experience of internet-based computing services by reducing their costs, enabling transparency, and providing reliability. ChainFaaS is an open, public, blockchain-based serverless platform that takes advantage of personal computers' computational capacity to run serverless tasks. If a substantial number of personal computers were connected to this platform, some tasks could be offloaded from data centers. As a result, the need for building new data centers would be reduced with a positive impact on the environment. We have proposed the design of ChainFaaS, and then implemented and evaluated a prototype of this platform to show its feasibility.</t>
  </si>
  <si>
    <t xml:space="preserve">Future Energy Systems Research Initiative under the Canada First Research Excellence Fund (CFREF) at the University of Alberta, Canada; Compute Canada; SAVI Testbed Cloud; </t>
  </si>
  <si>
    <t>https://ieeexplore.ieee.org/stamp/stamp.jsp?arnumber=9143110</t>
  </si>
  <si>
    <t>Blockchain;distributed ledger technology;serverless computing;green computing;distributed computing</t>
  </si>
  <si>
    <t>Microcomputers;Cloud computing;Task analysis;Data centers;Servers;Carbon dioxide</t>
  </si>
  <si>
    <t>M. Luglio; M. Marchese; F. Patrone; C. Roseti; F. Zampognaro</t>
  </si>
  <si>
    <t>Performance Evaluation of a Satellite Communication-Based MEC Architecture for IoT Applications</t>
  </si>
  <si>
    <t>IEEE Transactions on Aerospace and Electronic Systems</t>
  </si>
  <si>
    <t>1557-9603</t>
  </si>
  <si>
    <t>10.1109/TAES.2022.3199330</t>
  </si>
  <si>
    <t>Electronics Department, University of Rome ‚ÄúTor Vergata,‚Äù, Rome, Italy; Electrical, Electronics and Telecommunication Engineering and Naval Architecture Department (DITEN), University of Genoa, Genoa, Italy; Electrical, Electronics and Telecommunication Engineering and Naval Architecture Department (DITEN), University of Genoa, Genoa, Italy; Electronics Department, University of Rome ‚ÄúTor Vergata,‚Äù, Rome, Italy; Electronics Department, University of Rome ‚ÄúTor Vergata,‚Äù, Rome, Italy</t>
  </si>
  <si>
    <t>New scenarios and use cases are raising following the birth of the fifth generation of mobile communications. The Internet of Things (IoT) is one of the main use cases which are growing, leading to a massive amount of data that need to be exchanged throughout the Internet. Satellite communication networks are essential in remote and isolated environments and can support fully connected environments by offloading the terrestrial infrastructure concerning delay‚Äìtolerant traffic flows. However, satellite network resources are limited and expensive, so they need to be carefully used in order to avoid waste and satisfy the required user performance. The multi-access edge computing (MEC) concept can be exploited in this context to allow data preprocessing at the edge, i.e., close to the users, so reducing the amount of data that has to traverse the backhaul satellite link and, in some cases, reducing data delivery times. This article analyses the performance of a satellite architecture in the IoT framework highlighting the advantages brought by MEC, also including data aggregation and compression techniques.</t>
  </si>
  <si>
    <t xml:space="preserve">ESA; VIBeS project(grant numbers:4000122991/18/U.K./ND); </t>
  </si>
  <si>
    <t>https://ieeexplore.ieee.org/stamp/stamp.jsp?arnumber=9858607</t>
  </si>
  <si>
    <t>Internet of Things (IoT);Message Queuing Telemetry Transport (MQTT);multi-access edge computing (MEC);satellite communications (SatCom)</t>
  </si>
  <si>
    <t>Satellites;Internet of Things;Protocols;Satellite broadcasting;Computer architecture;Performance evaluation;Bandwidth</t>
  </si>
  <si>
    <t>H. Zhou; C. Yang; Y. Sun</t>
  </si>
  <si>
    <t>A Collaborative Optimization Strategy for Energy Reduction in Ironmaking Digital Twin</t>
  </si>
  <si>
    <t>10.1109/ACCESS.2020.3027544</t>
  </si>
  <si>
    <t>College of Control Science and Engineering, Zhejiang University, Hangzhou, China; College of Control Science and Engineering, Zhejiang University, Hangzhou, China; College of Control Science and Engineering, Zhejiang University, Hangzhou, China</t>
  </si>
  <si>
    <t>The expenses of pig iron manufacturing stay in a relatively high level due to the large consumption of coke and ore. There are a variety of methods to optimize the ironmaking process, including multi-indexes method, production-oriented approach, and cost control strategy. In order to reduce the production cost, we optimize the raw materials supply schedule of an ironmaking plant with five sintering machines and seven blast furnaces. The ironmaking plant used to fix the feeding system, leading to an inefficient operation and mismatched connection between these two procedures. At first, the physical characteristics of each blast furnace is captured by linear regression model. Then, a self-adaptive genetic algorithm with variable population size is constructed under distribution system. Finally, the improved genetic algorithm is applied to optimize the total production cost represented by the aggregation of seven coke ratios on a cloud computing platform. With the application of this cloud collaborative optimization framework, the mean coke ratio of the ironmaking factory has decreased 13.96kg/t Fe.</t>
  </si>
  <si>
    <t xml:space="preserve">National Natural Science Foundation of China(grant numbers:61933015); </t>
  </si>
  <si>
    <t>https://ieeexplore.ieee.org/stamp/stamp.jsp?arnumber=9208798</t>
  </si>
  <si>
    <t>Multiple devices;cost control;collaborative optimization</t>
  </si>
  <si>
    <t>Sociology;Statistics;Cloud computing;Optimization;Genetic algorithms;Production facilities;Genetics</t>
  </si>
  <si>
    <t>K. Ashok; S. Gopikrishnan</t>
  </si>
  <si>
    <t>Statistical Analysis of Remote Health Monitoring Based IoT Security Models &amp; Deployments From a Pragmatic Perspective</t>
  </si>
  <si>
    <t>10.1109/ACCESS.2023.3234632</t>
  </si>
  <si>
    <t>School of Computer Science and Engineering, VIT-AP University, Amaravati, Andhra Pradesh, India; School of Computer Science and Engineering, VIT-AP University, Amaravati, Andhra Pradesh, India</t>
  </si>
  <si>
    <t>Remote health monitoring-based Internet of Things (IoT) network security is a multi-domain task, that involves identification of network attack, evaluation of mitigation strategies, design of performance aware data security models, integration of privacy models, and modeling of device-level security methods. Internal designs for each of these models is highly complex, and varies in terms of quantitative &amp; qualitative performance measures. This is due to their variation in terms of design nuances, functional advantages, context-based limitations, and possible deployment-specific future scopes. Due to this variation, it is highly ambiguous to select these models for performance-specific IoT deployments. Moreover, these models also vary in terms of security level, Quality of Service (QoS) parameters, scalability performance, computational complexity, deployment costs, and other performance metrics. Thus, to identify optimum models, researchers &amp; network designers are required to test &amp; validate multiple security models for their deployments. Due to which, the cost &amp; time to market for IoT devices is increased, thereby affecting viability of IoT products. To overcome these selection issues, an empirical survey of different IoT security models including block-chains, encryption techniques, hashing models, privacy preservation techniques, machine learning based security methods, etc. are discussed in this text. This text also discusses various attack mitigation models that provide node-level security, network-level security, physical security, &amp; route-level security. This discussion will assist in initially evaluating different operating characteristics of these models, which will allow readers to identify most suited models for their application-specific use cases. This article also assesses the models‚Äô performance in terms of computational latency, energy consumption, security levels, deployment complexity, and scalability measures. These metrics are compared between different security models, which will further assist readers to identify optimum models for their performance-specific use cases. To further assist in model selection, this text proposes evaluation of a novel IoT Security Performance Rank (ISRP), that combines various performance metrics to form a singular rank which can be used to describe overall performance of these models. Readers will be able to consider optimal security approaches for new and current IoT installations based on this ranking.</t>
  </si>
  <si>
    <t>https://ieeexplore.ieee.org/stamp/stamp.jsp?arnumber=10007827</t>
  </si>
  <si>
    <t>IoT;security;blockchain;QoS;medical signal detection;energy;attacks;data;route;physical;privacy</t>
  </si>
  <si>
    <t>Security;Medical services;Internet of Things;Computational modeling;Blockchains;Data models;Monitoring;Quality of service;Signal detection;Remote monitoring</t>
  </si>
  <si>
    <t>M. Touloupou; M. Themistocleous; E. Iosif; K. Christodoulou</t>
  </si>
  <si>
    <t>A Systematic Literature Review Toward a Blockchain Benchmarking Framework</t>
  </si>
  <si>
    <t>10.1109/ACCESS.2022.3188123</t>
  </si>
  <si>
    <t>Department of Digital Innovation, University of Nicosia, Nicosia, Cyprus; Department of Digital Innovation, University of Nicosia, Nicosia, Cyprus; Department of Digital Innovation, University of Nicosia, Nicosia, Cyprus; Department of Digital Innovation, University of Nicosia, Nicosia, Cyprus</t>
  </si>
  <si>
    <t>Blockchain is a disruptive technology that focuses on the safe exchange of data between several distributed applications. Despite its widespread adoption, there are areas that require further research towards the understanding of their performance characteristics. In addition, consensus algorithms, a vital part of blockchain, require a more comprehensive understanding of their technical principles and characteristics. Along with the design of different types of consensus algorithms, several challenges, such as system scalability and power consumption, have been raised. Therefore, more comprehensive research is needed to investigate the degree to which consensus algorithms are built and how they perform. To this end, this study extends the body of knowledge and contributes towards the assessment of blockchain protocol performance. We present a comprehensive taxonomy of selected studies on blockchain performance, identifying similarities and differences while attempting to identify existing work on simulators and benchmarking frameworks that aim to explore the performance of blockchain-enabled consensus algorithms.</t>
  </si>
  <si>
    <t xml:space="preserve">University Blockchain Research Initiative (UBRI) Project; Ripple‚Äôs Impact Fund, a fund of the Silicon Valley Community Foundation(grant numbers:2021-244121); </t>
  </si>
  <si>
    <t>https://ieeexplore.ieee.org/stamp/stamp.jsp?arnumber=9813702</t>
  </si>
  <si>
    <t>Blockchain;distributed ledgers;consensus;blockchain performance</t>
  </si>
  <si>
    <t>Blockchains;Bibliographies;Systematics;Protocols;Consensus algorithm;Libraries;Planning</t>
  </si>
  <si>
    <t>M. Kaur; M. Z. Khan; S. Gupta; A. Alsaeedi</t>
  </si>
  <si>
    <t>Adoption of Blockchain With 5G Networks for Industrial IoT: Recent Advances, Challenges, and Potential Solutions</t>
  </si>
  <si>
    <t>10.1109/ACCESS.2021.3138754</t>
  </si>
  <si>
    <t>Department of Computer Science and Engineering, University Institute of Engineering, Chandigarh University, Gharuan, Punjab, Mohali, India; Department of Computer Science and Information, Taibah University, Medina, Saudi Arabia; Department of Computer Science and Engineering, University Institute of Engineering, Chandigarh University, Gharuan, Punjab, Mohali, India; Department of Computer Science, College of Computer Science and Engineering, Taibah University, Medina, Saudi Arabia</t>
  </si>
  <si>
    <t>It has been proven that Internet of Things (IoT) platforms can improve the performance and efficiency of a wide range of processes. With the acceptance of IoT as a major part of the technology of Industry 4.0, the notion of leveraging the Internet in industries to enable automation and reconfigure existing industrial processes has greatly evolved. By introducing smart technology and intelligent processes, the Industrial Internet of Things (IIoT) is committed to bringing high operational efficiency, enhanced productivity, and effective management to industrial assets. Despite this, the reliance of IIoT on central architecture presents numerous challenges, including the security and maintenance of smart devices, privacy issues owing to third-party participation, and massive computations conducted by a central entity, all of which prevent its widespread adoption in businesses. Emerging blockchain technologies have the potential to transform IIoT platforms and applications. A distributed and decentralized approach followed by blockchain might offer interesting solutions to the challenges raised by IIoT. Furthermore, 5G networks are expected to deliver excellent solutions to meet the demands of decentralized systems, with a focus on application-specific vulnerabilities. Blockchain and IIoT, enabled by 5G, is a viable option to fully explore the potential of contemporary industry. In this context, this article analyzes and examines recent achievements to highlight the major obstacles in blockchain‚ÄìIIoT convergence and presents a framework for potential solutions. A well-organized literature review by analyzing the existing work in three primary areas: blockchain consensus algorithms used in existing IoT and IIoT applications, blockchain for 5G-enabled IoT networks, and blockchain in industry have been performed, with major findings summarized in each area. Directions for the future are also provided and intend to assist researchers in understanding the full potential of these innovations.</t>
  </si>
  <si>
    <t>https://ieeexplore.ieee.org/stamp/stamp.jsp?arnumber=9663288</t>
  </si>
  <si>
    <t>Blockchain;IIoT;Industry 4.0;IoT;5G</t>
  </si>
  <si>
    <t>Industrial Internet of Things;Blockchains;Fourth Industrial Revolution;Computer architecture;Internet;Computer science</t>
  </si>
  <si>
    <t>J. Han; Y. Hong; J. Kim</t>
  </si>
  <si>
    <t>Refining Microservices Placement Employing Workload Profiling Over Multiple Kubernetes Clusters</t>
  </si>
  <si>
    <t>10.1109/ACCESS.2020.3033019</t>
  </si>
  <si>
    <t>School of Electrical Engineering and Computer Science, Gwangju Institute of Science and Technology (GIST), Gwangju, South Korea; School of Electrical Engineering and Computer Science, Gwangju Institute of Science and Technology (GIST), Gwangju, South Korea; AI Graduate School, Gwangju Institute of Science and Technology (GIST), Gwangju, South Korea</t>
  </si>
  <si>
    <t>As cloud-native computing is becoming the de-facto paradigm in the cloud field, Microservices Architecture has attracted attention from industries and researchers for agility and efficiency. Moreover, with the popularity of the IoT in the context of edge computing, cloud-native applications that utilize geographically-distributed multiple resources are emerging. In line with this trend, there is an increasing demand for microservices placement that selectively use optimal resources. However, optimal microservices placement is a significant challenge because microservices are dynamic and complex, depending on diversified workloads. Besides, generalizing workloads' characteristics consisting of complex microservices is realistically challenging. Thus, microservices deployment with mathematically structured algorithms based on simulation is less practical. As an alternative, a microservices placement framework is required that can reflect the characteristics of workloads derived from empirical profiling. Therefore, in this research work, we propose a refinement framework for profiling-based microservices placement to identify and respond to workload characteristics in a practical way. To achieve this goal, we perform profiling experiments with selected workloads to derive delicate resource requirements. Then, we perform microservices placement with a greedy-based heuristic algorithm that considers application performance by using resource requirements derived from the profiled results. Finally, we verify the proposed concept by comparing the experimental results that use our work and those that don't.</t>
  </si>
  <si>
    <t xml:space="preserve">Vehicles AI Convergence Research and Development Program through the National IT Industry Promotion Agency of Korea (NIPA); Ministry of Science and ICT (MSIT)(grant numbers:S1605-20-1002); Institute of Information and Communications Technology Planning and Evaluation (IITP); Korean Government, MSIT, Artificial Intelligence Graduate School Program (GIST)(grant numbers:2019-0-01842); </t>
  </si>
  <si>
    <t>https://ieeexplore.ieee.org/stamp/stamp.jsp?arnumber=9235316</t>
  </si>
  <si>
    <t>Cloud-native computing;microservices placement;workload profiling;container orchestration;resource monitoring</t>
  </si>
  <si>
    <t>Cloud computing;Containers;Virtual machining;Resource management;Monitoring;Optimization;Refining</t>
  </si>
  <si>
    <t>E. Goshi; R. Stahl; H. Harkous; M. He; R. Pries; W. Kellerer</t>
  </si>
  <si>
    <t>PP5GS‚ÄîAn Efficient Procedure-Based and Stateless Architecture for Next-Generation Core Networks</t>
  </si>
  <si>
    <t>10.1109/TNSM.2022.3230206</t>
  </si>
  <si>
    <t>Chair of Communication Networks, Technical University of Munich, Munich, Germany; Chair of Communication Networks, Technical University of Munich, Munich, Germany; Nokia Standards Department, Nokia, Munich, Germany; Nokia Standards Department, Nokia, Munich, Germany; Nokia Standards Department, Nokia, Munich, Germany; Chair of Communication Networks, Technical University of Munich, Munich, Germany</t>
  </si>
  <si>
    <t>The introduction of the Service-Based Architecture (SBA) for the 5G Core Networks has drastically changed the way these networks are designed and operated. Aiming for higher flexibility and agility, the adoption of SBA is the first step towards cloud-native deployments of 5G Core. However, the high degree of functional decomposition in SBA has implications in terms of increased inter-NF signaling traffic during the execution of control plane procedures, as well as an increased complexity in orchestrating a system with tight inter-NF dependencies. In this work, we introduce PP5GS as a stateless 5G Core architecture that implements a procedure-based functional decomposition of the 5G Core NFs. We develop Per-Procedure NFs for four different control plane procedures and perform extensive evaluations in a private cloud environment orchestrated with Kubernetes. The results show that PP5GS requires up to 34% and 55% less computing resources compared to the baseline stateful and stateless systems, respectively, while generating at least 40% less signaling traffic. Moreover, complex control plane procedures can complete up to 50% faster. Lastly, the results show that PP5GS is a more feasible architecture in leveraging edge-offloading of 5G Core NFs.</t>
  </si>
  <si>
    <t>https://ieeexplore.ieee.org/stamp/stamp.jsp?arnumber=9991849</t>
  </si>
  <si>
    <t>5G core;SBA;control plane;performance measurements</t>
  </si>
  <si>
    <t>5G mobile communication;Cloud computing;Scalability;Computer architecture;Noise measurement;Task analysis;Protocols</t>
  </si>
  <si>
    <t>L. Mendoza-Pitti; H. Calder√≥n-G√≥mez; M. Vargas-Lombardo; J. M. G√≥mez-Pulido; J. L. Castillo-Sequera</t>
  </si>
  <si>
    <t>Towards a Service-Oriented Architecture for the Energy Efficiency of Buildings: A Systematic Review</t>
  </si>
  <si>
    <t>10.1109/ACCESS.2021.3057543</t>
  </si>
  <si>
    <t>Department of Computer Science, University of Alcala, Alcala de Henares, Spain; Department of Computer Science, University of Alcala, Alcala de Henares, Spain; E-health and Supercomputing Research Group (GISES), Technological University of Panama, Panama, Panama; Department of Computer Science, University of Alcala, Alcala de Henares, Spain; Department of Computer Science, University of Alcala, Alcala de Henares, Spain</t>
  </si>
  <si>
    <t>Currently, smart buildings generate large amounts of data due to the many devices and equipment available. Hence, buildings implement building management systems (BMSs), which monitor, control, manage and analyze each of these components. However, current BMSs are incapable of managing a massive amount of data (big data) and therefore cannot extract knowledge or make intelligent decisions in quasi real time. In addition, there are serious limitations to integrating BMSs with other services since they generally use proprietary software. In this sense, service-oriented architecture (SOA) is an architectural style that allows one to build distributed systems and provide functionalities such as services to end users or other types of services. Therefore, an SOA has the great advantage of allowing the expansion of the functionalities of BMSs. In fact, there are several studies that address SOAs for building management. However, we have not found any description or systematic analysis in the literature that allows the development of a versatile and interoperable SOA focused on the energy efficiency of buildings and that can integrate massive data analysis features. For these reasons, this study seeks to fill this knowledge gap and, more specifically, to identify and analyze the various software requirements proposed in the literature and the characteristics of big data that allow for improving the energy efficiency of buildings. To this end, we performed an in-depth review of the literature according to the methodology proposed by Kitchenham. As a result of this review, we provide researchers with a specific vision of the requirements and characteristics to consider for software development aimed at the energy efficiency of unique or historic buildings.</t>
  </si>
  <si>
    <t xml:space="preserve">National Secretariat for Science, Technology and Innovation (SENACYT, Panama) and the Institute for the Training and Use of Human Resources (IFARHU); SENACYT through the National Research System (SNI-SENACYT) National Research System; ‚Äò‚ÄòSmart Energy‚Äô‚Äô Campus of International Excellence; Universidad de Alcal√° and the Universidad Rey Juan Carlos (Spain); </t>
  </si>
  <si>
    <t>https://ieeexplore.ieee.org/stamp/stamp.jsp?arnumber=9348934</t>
  </si>
  <si>
    <t>Big data applications;buildings;energy efficiency;energy management;management information systems;service-oriented systems engineering;software architecture</t>
  </si>
  <si>
    <t>Buildings;Energy efficiency;Service-oriented architecture;Software;Interoperability;Energy consumption;Big Data</t>
  </si>
  <si>
    <t>J. Santos; C. Wang; T. Wauters; F. De Turck</t>
  </si>
  <si>
    <t>Diktyo: Network-Aware Scheduling in Container-Based Clouds</t>
  </si>
  <si>
    <t>10.1109/TNSM.2023.3271415</t>
  </si>
  <si>
    <t>Department of Information Technology, IDLab, Ghent University-imec, Gent, Belgium; AI Cloud Platform Department, IBM Thomas J. Watson Research Center, Yorktown Heights, NY, USA; Department of Information Technology, IDLab, Ghent University-imec, Gent, Belgium; Department of Information Technology, IDLab, Ghent University-imec, Gent, Belgium</t>
  </si>
  <si>
    <t>Containers have revolutionized application deployment and life-cycle management in current cloud platforms. Applications have evolved from single monoliths to complex graphs of loosely-coupled microservices. However, the efficient allocation of microservice-based applications is challenging due to their complex inter-dependencies. Further, recent applications are becoming even more delay-sensitive, demanding lower latency between dependent microservices. Scheduling policies in popular container orchestration platforms mainly aim to increase the resource efficiency of the infrastructure, insufficient for latency-sensitive applications. Application domains such as the Internet of Things and multi-tier Web services would benefit from network-aware policies that consider network latency and bandwidth in the scheduling process. Previous works have studied network-aware scheduling via theoretical formulations or heuristic-based methods evaluated via simulations or small testbeds, making their full applicability in popular platforms difficult. This paper proposes a novel network-aware framework for the popular Kubernetes (K8s) platform named Diktyo that determines the placement of dependent microservices in long-running applications focused on reducing the application‚Äôs end-to-end latency and guaranteeing bandwidth reservations. Simulations show that Diktyo can significantly reduce the network latency for various applications across different infrastructure topologies compared to default K8s scheduling plugins. Also, experiments in a K8s cluster with microservice benchmark applications show that Diktyo can increase database throughput by 22% and reduce application response time by 45%.</t>
  </si>
  <si>
    <t>https://ieeexplore.ieee.org/stamp/stamp.jsp?arnumber=10111024</t>
  </si>
  <si>
    <t>Microservices;container scheduling;Kubernetes;network-aware</t>
  </si>
  <si>
    <t>Microservice architectures;Containers;Network topology;Topology;Bandwidth;Resource management;Cloud computing</t>
  </si>
  <si>
    <t>B. Wan; J. Dang; Z. Li; H. Gong; F. Zhang; S. Oh</t>
  </si>
  <si>
    <t>Modeling Analysis and Cost-Performance Ratio Optimization of Virtual Machine Scheduling in Cloud Computing</t>
  </si>
  <si>
    <t>10.1109/TPDS.2020.2968913</t>
  </si>
  <si>
    <t>Department of Computer Science and Technology, Xidian University, Xi'an, China; Department of Computer Science and Technology, Xidian University, Xi'an, China; Key Laboratory of Hunan Province for Internet of Things and Information Security and College of Information Engineering, Xiangtan University, Xiangtan, China; College of Mathematics and Statistics, Changsha University of Science and Technology, Changsha, China; DEKE Lab, School of Information, Renmin University of China, Beijing, China; Department of Computer and Information Engineering, Ajou University, Suwon, South Korea</t>
  </si>
  <si>
    <t>As an essential feature of cloud computing, dynamic scalability enables the cloud system to dynamically expand or shrink resources according to user needs at runtime. Effectively predicting and optimizing the cost and performance of cloud computing platforms have become one of the key research challenges in the field of cloud computing. In this article, to quantitatively predict the cost and performance of cloud computing platforms, we propose a cloud computing resource analysis model considering both hot/cold startup and hot/cold shutdown of virtual machines (VMs), and use the M/M/N/oo queuing model to analyze cloud computing platform and acquire accurate performance indicators, such as elasticity indicators, cost indicators, performance indicators, cost-performance ratios, etc. In addition, we establish a multi-objective optimization model to optimize both performance and cost of cloud computing platform. Then the optimal stopping and cost-performance optimization algorithm are applied to obtain the optimal configurations, including the number of hot startup VMs, the system service rate, the hot/cold startup rate of VMs, and the hot/cold shutdown rate. By comparing with existing optimization methods, we demonstrate the superiority of our cost-performance ratio optimization method.</t>
  </si>
  <si>
    <t xml:space="preserve">Science and Technology Projects of Xi'an, China(grant numbers:201809170CX11JC12); National Natural Science Foundation of China(grant numbers:61972302); Key Research and Development Program of Shanxi Provence(grant numbers:2017ZDXM-GY-002); Hunan Provincial Natural Science Foundation of China for Distinguished Young Scholars(grant numbers:2018JJ1025); Hunan Science and Technology Planning(grant numbers:2019RS3019); National Key Research and Development Program of China Stem Cell and Translational Research(grant numbers:2018YFB1003702); </t>
  </si>
  <si>
    <t>https://ieeexplore.ieee.org/stamp/stamp.jsp?arnumber=8967018</t>
  </si>
  <si>
    <t>Cloud computing;queuing system;cost-performance ratio optimization</t>
  </si>
  <si>
    <t>Cloud computing;Optimization;Computational modeling;Analytical models;Task analysis;Queueing analysis;Elasticity</t>
  </si>
  <si>
    <t>N. Sharghivand; F. Derakhshan; N. Siasi</t>
  </si>
  <si>
    <t>A Comprehensive Survey on Auction Mechanism Design for Cloud/Edge Resource Management and Pricing</t>
  </si>
  <si>
    <t>10.1109/ACCESS.2021.3110914</t>
  </si>
  <si>
    <t>Department of Computer Engineering, University of Tabriz, Tabriz, Iran; Department of Computer Engineering, University of Tabriz, Tabriz, Iran; Department of Physics, Computer Science and Engineering, Christopher Newport University, Newport News, VA, USA</t>
  </si>
  <si>
    <t>Driven by the vision of cloud and edge computing as the 5th utility, a major challenge is the efficient resource management and pricing taking into account incentives and preferences of cloud/edge providers, users, and the system. In recent years, auction mechanism design has gained wide attention as a tool for addressing this challenge. Here existing surveys lack detailed studies in this area, hence this work presents a comprehensive survey on the state-of-the-art auction-based mechanisms in the field of cloud/edge computing. First, the problem statements and background are presented for cloud/edge computing and auction theory. This is followed by a collaboration model on the benefits of auction mechanism designs to cloud/edge computing. Next, various auction mechanisms in cloud computing are reviewed based upon the following aspects: (1) direction of bids-forward, reverse, and two-sided auctions, (2) the heterogeneity of resources-combinatorial auctions, (3) the number and types of adopted attributes in winner determination-multi-attribute auctions, (4) the setting of auction-offline, online, or sequential auctions, and (5) the interoperability among cloud providers-inter-clouds. For each aspect, existing studies are summarized along with their saliencies and drawbacks. Moreover, existing auction mechanisms in the context of edge computing are also presented. Our comprehensive survey shows that although significant progress has been achieved in this field, there still exist key challenges that need to be investigated, as discussed here to provide future research directions.</t>
  </si>
  <si>
    <t xml:space="preserve">Iran National Science Foundation (INSF); University of Tabriz(grant numbers:97013453); </t>
  </si>
  <si>
    <t>https://ieeexplore.ieee.org/stamp/stamp.jsp?arnumber=9530537</t>
  </si>
  <si>
    <t>Auction mechanism design;cloud computing;edge computing;resource management;resource pricing</t>
  </si>
  <si>
    <t>Cloud computing;Resource management;Pricing;Computational modeling;Edge computing;Servers;Software as a service</t>
  </si>
  <si>
    <t>F. Pereira; H. Sampaio; R. Chaves; R. Correia; M. Lu√≠s; S. Sargento; M. Jord√£o; L. Almeida; C. Senna; A. S. R. Oliveira; N. Borges Carvalho</t>
  </si>
  <si>
    <t>When Backscatter Communication Meets Vehicular Networks: Boosting Crosswalk Awareness</t>
  </si>
  <si>
    <t>10.1109/ACCESS.2020.2974214</t>
  </si>
  <si>
    <t>Instituto de Telecomunica√ß√µes, Aveiro, Portugal; Instituto de Telecomunica√ß√µes, Aveiro, Portugal; Instituto de Telecomunica√ß√µes, Aveiro, Portugal; Instituto de Telecomunica√ß√µes, Aveiro, Portugal; Instituto de Telecomunica√ß√µes, Aveiro, Portugal; Instituto de Telecomunica√ß√µes, Aveiro, Portugal; Instituto de Telecomunica√ß√µes, Aveiro, Portugal; Instituto de Telecomunica√ß√µes, Aveiro, Portugal; Instituto de Telecomunica√ß√µes, Aveiro, Portugal; Instituto de Telecomunica√ß√µes, Aveiro, Portugal; Instituto de Telecomunica√ß√µes, Aveiro, Portugal</t>
  </si>
  <si>
    <t>The research of safety applications in vehicular networks has been a popular research topic in an effort to reduce the number of road victims. Advances on vehicular communications are facilitating information sharing through real time communications, critical for the development of driving assistance systems. However, the communication by itself is not enough to reach the most desired target as we need to know which safety-related information should be disseminated. In this work, we bring passive sensors and backscatter communication to the vehicular network world. The idea is to increase the driver (or vehicle) awareness regarding the presence of pedestrians in a crosswalk. Passive sensors and backscatter communication technologies are used for the pedestrians‚Äô detection phase, while the vehicular network is used during the dissemination of the detection information to surrounding vehicles. The proposed solution was validated through end-to-end experimentation, with real hardware and in a real crosswalk with real pedestrians and vehicles, demonstrating its applicability.</t>
  </si>
  <si>
    <t xml:space="preserve">European Regional Development Fund; National Public (FCT) (OE) through Project MobiWise(grant numbers:POCI-01-0145-FEDER-016426); Urban Innovative Actions(grant numbers:UIA03-084); Funda√ß√£o para a Ci√™ncia e a Tecnologia(grant numbers:SFRH/BD/143204/2019); </t>
  </si>
  <si>
    <t>https://ieeexplore.ieee.org/stamp/stamp.jsp?arnumber=9000613</t>
  </si>
  <si>
    <t>Vulnerable road users;driver assistance systems;connected vehicles;passive sensors;energy harvesting;backscatter communication;vehicular networks;decentralized message dissemination</t>
  </si>
  <si>
    <t>Backscatter;Sensors;Vehicles;Safety;Roads;Batteries;Modulation</t>
  </si>
  <si>
    <t>P. Joshi; M. Hasanuzzaman; C. Thapa; H. Afli; T. Scully</t>
  </si>
  <si>
    <t>Enabling All In-Edge Deep Learning: A Literature Review</t>
  </si>
  <si>
    <t>10.1109/ACCESS.2023.3234761</t>
  </si>
  <si>
    <t>Computer Science Department, Munster Technological University, Cork, Ireland; Computer Science Department, Munster Technological University, Cork, Ireland; CSIRO Data61, Marsfield, NSW, Australia; Computer Science Department, Munster Technological University, Cork, Ireland; Computer Science Department, Munster Technological University, Cork, Ireland</t>
  </si>
  <si>
    <t>In recent years, deep learning (DL) models have demonstrated remarkable achievements on non-trivial tasks such as speech recognition, image processing, and natural language understanding. One of the significant contributors to the success of DL is the proliferation of end devices that act as a catalyst to provide data for data-hungry DL models. However, computing DL training and inference still remains the biggest challenge. Moreover, most of the time central cloud servers are used for such computation, thus opening up other significant challenges, such as high latency, increased communication costs, and privacy concerns. To mitigate these drawbacks, considerable efforts have been made to push the processing of DL models to edge servers (a mesh of computing devices near end devices). Recently, the confluence point of DL and edge has given rise to edge intelligence (EI), defined by the International Electrotechnical Commission (IEC) as the concept where the data is acquired, stored, and processed utilizing edge computing with DL and advanced networking capabilities. Broadly, EI has six levels of categories based on the three locations where the training and inference of DL take place, e.g., cloud server, edge server, and end devices. This survey paper focuses primarily on the fifth level of EI, called all in-edge level, where DL training and inference (deployment) are performed solely by edge servers. All in-edge is suitable when the end devices have low computing resources, e.g., Internet-of-Things, and other requirements such as latency and communication cost are important such as in mission-critical applications (e.g., health care). Besides, 5G/6G networks are envisioned to use all in-edge. Firstly, this paper presents all in-edge computing architectures, including centralized, decentralized, and distributed. Secondly, this paper presents enabling technologies, such as model parallelism, data parallelism, and split learning, which facilitates DL training and deployment at edge servers. Thirdly, model adaptation techniques based on model compression and conditional computation are described because the standard cloud-based DL deployment cannot be directly applied to all in-edge due to its limited computational resources. Fourthly, this paper discusses eleven key performance metrics to evaluate the performance of DL at all in-edge efficiently. Finally, several open research challenges in the area of all in-edge are presented.</t>
  </si>
  <si>
    <t xml:space="preserve">ADVANCE CRT Ph.D. Cohort(grant numbers:18/CRT/6222); ADAPT SFI Research Centre at Munster Technological University; Science Foundation Ireland through the SFI Research Centres Programme; European Regional Development Fund (ERDF)(grant numbers:13/RC/2106\_P2); Horizon 2020 projects STOP Obesity Platform(grant numbers:823978); ITFLOWS(grant numbers:882986); </t>
  </si>
  <si>
    <t>https://ieeexplore.ieee.org/stamp/stamp.jsp?arnumber=10007810</t>
  </si>
  <si>
    <t>Artificial intelligence;all in-edge;deep learning;distributed systems;decentralized systems;edge intelligence</t>
  </si>
  <si>
    <t>Cloud computing;Servers;Computational modeling;Training data;Edge computing;Adaptation models;Deep learning;Artificial intelligence;Edge computing;Distributed processing</t>
  </si>
  <si>
    <t>Y. Xu; L. Chen; Z. Lu; X. Du; J. Wu; P. C. K. Hung</t>
  </si>
  <si>
    <t>An Adaptive Mechanism for Dynamically Collaborative Computing Power and Task Scheduling in Edge Environment</t>
  </si>
  <si>
    <t>10.1109/JIOT.2021.3119181</t>
  </si>
  <si>
    <t>School of Computer Science, Fudan University, Shanghai, China; School of Computer Science, Fudan University, Shanghai, China; School of Computer Science, Fudan University, Shanghai, China; School of Computer Science, Fudan University, Shanghai, China; School of Computer Science, Fudan University, Shanghai, China; Faulty of Business and Information Technology, Ontario Tech University, Oshawa, ON, Canada</t>
  </si>
  <si>
    <t>Edge computing can provide high bandwidth and low-latency service for big data tasks by leveraging the edge side‚Äôs computing, storage, and network resources. With the development of microservice and docker technology, service providers can flexibly and dynamically cache microservice at the edge side to respond efficiently with limited resources. Automatically caching needed services on the nearest edge nodes and dynamically scheduling users‚Äô requests can realize that computing power and software services flow with the users to provide continuous services. However, achieving the goal needs to overcome many challenges, such as the significant fluctuation of user devices‚Äô requests at the edge side and the lack of collaboration among edge nodes. In this article, dynamic computing power scheduling and collaborative task scheduling among edge nodes are comprehensively developed. The problem is considered a multiobjective optimization problem, including sequentially minimizing the deadline missing rate of requests and the average task completion time. We propose an adaptive mechanism for dynamically collaborative computing power and task scheduling (ADCS) in the edge environment to solve this problem. It adopts the greedy decision method to schedule computing tasks to meet their deadline requirements. At the same time, it uses the best-fit method to adjust the computing resources according to the changes of users‚Äô requests. The simulation results show that ADCS can decrease the deadline missing rate and reduce the average completion time. Compared with DSR and CoDSR, the deadline missing rate is reduced by 59.91% and 19.95%, respectively. The average completion time is decreased by 37.87% and 6.71%.</t>
  </si>
  <si>
    <t xml:space="preserve">National Key Research and Development Program of China(grant numbers:2019YFB1405000); National Natural Science Foundation of China(grant numbers:61873309,92046024); Shanghai Science and Technology Innovation Action Plan Project(grant numbers:19510710500,18510732000); </t>
  </si>
  <si>
    <t>https://ieeexplore.ieee.org/stamp/stamp.jsp?arnumber=9566207</t>
  </si>
  <si>
    <t>Collaborative task scheduling;edge computing;heterogeneous resources;Internet of Everything (IoE);microservice caching</t>
  </si>
  <si>
    <t>Task analysis;Processor scheduling;Dynamic scheduling;Collaboration;Scheduling;Cloud computing;Servers</t>
  </si>
  <si>
    <t>J. Islam; T. Kumar; I. Kovacevic; E. Harjula</t>
  </si>
  <si>
    <t>Resource-Aware Dynamic Service Deployment for Local IoT Edge Computing: Healthcare Use Case</t>
  </si>
  <si>
    <t>10.1109/ACCESS.2021.3102867</t>
  </si>
  <si>
    <t>Centre for Wireless Communication, University of Oulu, Oulu, Finland; Centre for Wireless Communication, University of Oulu, Oulu, Finland; Centre for Wireless Communication, University of Oulu, Oulu, Finland; Centre for Wireless Communication, University of Oulu, Oulu, Finland</t>
  </si>
  <si>
    <t>Edge Computing is a novel computing paradigm moving server resources closer to end-devices. In the context of IoT, Edge Computing is a centric technology for enabling reliable, context-aware and low-latency services for several application areas such as smart healthcare, smart industry and smart cities. In our previous work, we have proposed a three-tier IoT Edge architecture and a virtual decentralized service platform based on lightweight microservices, called nanoservices, running on it. Together, these proposals form a basis for virtualizing the available local computational capacity and utilizing it to provide localized resource-efficient IoT services based on the applications‚Äô need. Furthermore, locally-deployed functions are resilient to access network problems and can limit the propagation of sensitive user data for improved privacy. In this paper, we propose an automatic service and resource discovery mechanism for efficient on-the-fly deployment of nanoservices on local IoT nodes. As use case, we have selected a healthcare remote monitoring scenario, which requires high service reliability and availability in a highly dynamic environment. Based on the selected use case, we propose a real-world prototype implementation of the proposed mechanism on Raspberry Pi platform. We evaluate the performance and resource-efficiency of the proposed resource matching function with two alternative deployment approaches: containerized and non-containerized deployment. The results show that the containerized deployment is more resource-efficient, while the resource discovery and matching process takes approximately 6‚Äì17 seconds, where containerization adds only 1‚Äì1.5 seconds. This can be considered a feasible price for streamlined service management, scalability, resource-efficiency and fault-tolerance.</t>
  </si>
  <si>
    <t xml:space="preserve">Academy of Finland, under the projects: DigiHealth and 6G Flagship Projects(grant numbers:326291,318927); </t>
  </si>
  <si>
    <t>https://ieeexplore.ieee.org/stamp/stamp.jsp?arnumber=9507488</t>
  </si>
  <si>
    <t>IoT;edge computing;distributed computing;virtualization;resource discovery;microservices;nanoservices</t>
  </si>
  <si>
    <t>Cloud computing;Computer architecture;Internet of Things;Edge computing;Dynamic scheduling;Computational modeling;Medical services</t>
  </si>
  <si>
    <t>S. Wang; M. A. Qureshi; L. Miralles-Pechu√°n; T. Huynh-The; T. R. Gadekallu; M. Liyanage</t>
  </si>
  <si>
    <t>Explainable AI for 6G Use Cases: Technical Aspects and Research Challenges</t>
  </si>
  <si>
    <t>10.1109/OJCOMS.2024.3386872</t>
  </si>
  <si>
    <t>School of Computer Science, University College Dublin, Dublin 4, Ireland; ADAPT Centre, Explainable Analytics Group, Faculty of Business, Technological University Dublin, Dublin 2, Ireland; School of Computing, Technological University Dublin, Dublin 7, Ireland; Department of Computer and Communications Engineering, Ho Chi Minh City University of Technology and Education, Ho Chi Minh City, Vietnam; Division of Research and Development, Lovely Professional University, Phagwara, India; School of Computer Science, University College Dublin, Dublin 4, Ireland</t>
  </si>
  <si>
    <t>Around 2020, 5G began its commercialization journey, and discussions about the next-generation networks (such as 6G) emerged. Researchers predict that 6G networks will have higher bandwidth, coverage, reliability, energy efficiency, and lower latency, and will be an integrated ‚Äúhuman-centric‚Äù network system powered by artificial intelligence (AI). This 6G network will lead to many real-time automated decisions, ranging from network resource allocation to collision avoidance for self-driving cars. However, there is a risk of losing control over decision-making due to the high-speed, data-intensive AI decision-making that may go beyond designers‚Äô and users‚Äô comprehension. To mitigate this risk, explainable AI (XAI) methods can be used to enhance the transparency of the black-box AI decision-making process. This paper surveys the application of XAI towards the upcoming 6G age, including 6G technologies (such as intelligent radio and zero-touch network management) and 6G use cases (such as industry 5.0). Additionally, the paper summarizes the lessons learned from recent attempts and outlines important research challenges in applying XAI for 6G use cases soon.</t>
  </si>
  <si>
    <t xml:space="preserve">European Commission in SPATIAL(grant numbers:101021808); Academy of Finland in 6Genesis(grant numbers:318927); Science Foundation Ireland through CONNECT Phase 2 Project(grant numbers:13/RC/2077_P2); ADAPT Centre Phase 2 Project(grant numbers:13/RC/2106_P2); Industry Fellowship(grant numbers:21/IRDIF/9839); </t>
  </si>
  <si>
    <t>https://ieeexplore.ieee.org/stamp/stamp.jsp?arnumber=10499970</t>
  </si>
  <si>
    <t>B5G;6G;AI;XAI;explainability</t>
  </si>
  <si>
    <t>6G mobile communication;Artificial intelligence;5G mobile communication;Explainable AI;Resource management;Security;Closed box</t>
  </si>
  <si>
    <t>G. Castellano; F. Esposito; F. Risso</t>
  </si>
  <si>
    <t>A Service-Defined Approach for Orchestration of Heterogeneous Applications in Cloud/Edge Platforms</t>
  </si>
  <si>
    <t>10.1109/TNSM.2019.2941639</t>
  </si>
  <si>
    <t>Department of Control and Computer Engineering, Politecnico di Torino, Turin, Italy; Computer Science Department, Saint Louis University, St. Louis, USA; Department of Control and Computer Engineering, Politecnico di Torino, Turin, Italy</t>
  </si>
  <si>
    <t>Edge Computing is moving resources toward the network borders, thus enabling the deployment of a pool of new applications that benefit from the new distributed infrastructure. However, due to the heterogeneity of such applications, specific orchestration strategies need to be adopted for each deployment request. Each application can potentially require different optimization criteria and may prefer particular reactions upon the occurrence of the same event. This paper presents a Service-Defined approach for orchestrating cloud/edge services in a distributed fashion, where each application can define its own orchestration strategy by means of declarative statements, which are parsed into a Service-Defined Orchestrator (SDO). Moreover, to coordinate the coexistence of a variety of SDOs on the same infrastructure while preserving the resource assignment optimality, we present DRAGON, a Distributed Resource AssiGnment and OrchestratioN algorithm that seeks optimal partitioning of shared resources between different actors. We evaluate the advantages of our novel Service-Defined orchestration approach over some representative edge use cases, as well as measure convergence and performance of DRAGON on a prototype implementation, assessing the benefits compared to conventional orchestration approaches.</t>
  </si>
  <si>
    <t xml:space="preserve">Division of Computer and Network Systems(grant numbers:CNS-1647084,CNS-1836906,CNS-1908574,NSF CNS-1647084); </t>
  </si>
  <si>
    <t>https://ieeexplore.ieee.org/stamp/stamp.jsp?arnumber=8839604</t>
  </si>
  <si>
    <t>Orchestration;mathematical optimization;distributed algorithms;distributed management</t>
  </si>
  <si>
    <t>Optimization;Streaming media;Computer architecture;Resource management;Cloud computing;Partitioning algorithms;Convergence</t>
  </si>
  <si>
    <t>H. Hafi; B. Brik; P. A. Frangoudis; A. Ksentini; M. Bagaa</t>
  </si>
  <si>
    <t>Split Federated Learning for 6G Enabled-Networks: Requirements, Challenges, and Future Directions</t>
  </si>
  <si>
    <t>10.1109/ACCESS.2024.3351600</t>
  </si>
  <si>
    <t>Faculty of New Information and Communication Technologies, Abdelhamid Mehri University, Constantine, Algeria; Computer Science Department, College of Computing and Informatics, Sharjah University, Sharjah, United Arab Emirates; Distributed Systems Group, TU Wien, Vienna, Austria; Communication Systems Department, EURECOM, Sophia-Antipolis, France; Department of Electrical and Computer Engineering, Universit√© du Qu√©bec √† Trois-Rivi√®res, Trois-Rivi√®res, Canada</t>
  </si>
  <si>
    <t>Sixth-generation (6G) networks anticipate intelligently supporting a wide range of smart services and innovative applications. Such a context urges a heavy usage of Machine Learning (ML) techniques, particularly Deep Learning (DL), to foster innovation and ease the deployment of intelligent network functions/operations, which are able to fulfill the various requirements of the envisioned 6G services. The revolution of 6G networks is driven by massive data availability, moving from centralized and big data towards small and distributed data. This trend has motivated the adoption of distributed and collaborative ML/DL techniques. Specifically, collaborative ML/DL consists of deploying a set of distributed agents that collaboratively train learning models without sharing their data, thus improving data privacy and reducing the time/communication overhead. This work provides a comprehensive study on how collaborative learning can be effectively deployed over 6G wireless networks. In particular, our study focuses on Split Federated Learning (SFL), a technique that recently emerged promising better performance compared with existing collaborative learning approaches. We first provide an overview of three emerging collaborative learning paradigms, including federated learning, split learning, and split federated learning, as well as of 6G networks along with their main vision and timeline of key developments. We then highlight the need for split federated learning towards the upcoming 6G networks in every aspect, including 6G technologies (e.g., intelligent physical layer, intelligent edge computing, zero-touch network management, intelligent resource management) and 6G use cases (e.g., smart grid 2.0, Industry 5.0, connected and autonomous systems). Furthermore, we review existing datasets along with frameworks that can help in implementing SFL for 6G networks. We finally identify key technical challenges, open issues, and future research directions related to SFL-enabled 6G networks.</t>
  </si>
  <si>
    <t xml:space="preserve">European Union‚Äôs Horizon 2020 Research and Innovation Program under the Agile and Cognitive Cloud edge Continuum management (AC3) Project(grant numbers:101093129); </t>
  </si>
  <si>
    <t>https://ieeexplore.ieee.org/stamp/stamp.jsp?arnumber=10385040</t>
  </si>
  <si>
    <t>6G networks;wireless communication;federated deep learning;split deep learning;split federated learning</t>
  </si>
  <si>
    <t>6G mobile communication;Federated learning;Artificial intelligence;Surveys;Training;Wireless networks;Market research;Smart devices</t>
  </si>
  <si>
    <t>B. Saovapakhiran; W. Naruephiphat; C. Charnsripinyo; S. Baydere; S. √ñzdemir</t>
  </si>
  <si>
    <t>QoE-Driven IoT Architecture: A Comprehensive Review on System and Resource Management</t>
  </si>
  <si>
    <t>10.1109/ACCESS.2022.3197585</t>
  </si>
  <si>
    <t>National Electronics and Computer Technology Center, NSTDA, Pathumthani, Thailand; National Electronics and Computer Technology Center, NSTDA, Pathumthani, Thailand; National Electronics and Computer Technology Center, NSTDA, Pathumthani, Thailand; Department of Computer Engineering, Yeditepe University, Istanbul, Turkey; Department of Computer Engineering, Hacettepe University, Ankara, Turkey</t>
  </si>
  <si>
    <t>Internet of Things (IoT) services have grown substantially in recent years. Consequently, IoT service providers (SPs) are emerging in the market and competing to offer their services. Many IoT applications utilize these services in an integrated manner with different Quality-of-Service (QoS) requirements. Thus, the provisioning of end-to-end QoS is getting more indispensable for IoT platforms. However, provisioning the system by using only QoS metrics without considering user experiences is not sufficient. Recently, Quality of Experience (QoE) model has become a promising approach to quantify actual user experiences of services. A holistic design approach that considers constraints of various QoS/QoE metrics together is needed to satisfy requirements of these applications and services. Besides, IoT services may operate in environments with limited resources. Therefore, effective management of services and system resources is essential for QoS/QoE support. This paper provides a comprehensive survey for the state-of-the-art studies on IoT services with QoS/QoE perspective. Our contributions are threefold: 1) QoE-driven architecture is demonstrated by classifying vital components according to QoE-related functions in prior studies; 2) QoE metrics and QoE optimization objectives are classified by corresponding system and resource control problems in the architecture; and 3) QoE-aware resource management e.g., QoE-aware offloading, placement and data caching policies with recent Machine Learning approaches are extensively reviewed.</t>
  </si>
  <si>
    <t xml:space="preserve">National Science and Technology Development Agency (NSTDA), Ministry of Higher Education, Science, Research and Innovation, Thailand(grant numbers:P1952667); The Scientific and Technological Research Council of Turkey (TUBITAK), Turkey(grant numbers:119N049); </t>
  </si>
  <si>
    <t>https://ieeexplore.ieee.org/stamp/stamp.jsp?arnumber=9852447</t>
  </si>
  <si>
    <t>Internet of Things;quality of service;quality of experience;IoT services;IoT applications;QoS for IoT services;QoS metrics;QoE metrics;IoT architecture</t>
  </si>
  <si>
    <t>Quality of experience;Quality of service;Internet of Things;Optimization;Computer architecture;Resource management</t>
  </si>
  <si>
    <t>C. Wang; Z. Yuan; P. Zhou; Z. Xu; R. Li; D. O. Wu</t>
  </si>
  <si>
    <t>The Security and Privacy of Mobile-Edge Computing: An Artificial Intelligence Perspective</t>
  </si>
  <si>
    <t>10.1109/JIOT.2023.3304318</t>
  </si>
  <si>
    <t>Hubei Engineering Research Center on Big Data Security, Key Laboratory of Distributed System Security of Hubei Province, School of Cyber Science and Engineering, Huazhong University of Science and Technology, Wuhan, China; Hubei Engineering Research Center on Big Data Security, Key Laboratory of Distributed System Security of Hubei Province, School of Cyber Science and Engineering, Huazhong University of Science and Technology, Wuhan, China; Hubei Engineering Research Center on Big Data Security, Key Laboratory of Distributed System Security of Hubei Province, School of Cyber Science and Engineering, Huazhong University of Science and Technology, Wuhan, China; School of Software and the Key Laboratory for Ubiquitous Network and Service Software of Liaoning Province, Dalian University of Technology, Dalian, China; Intelligent and Distributed Computing Laboratory, School of Computer Science and Technology, Huazhong University of Science and Technology, Wuhan, China; Department of Computer Science, City University of Hong Kong, Kowloon Tong, Hong Kong</t>
  </si>
  <si>
    <t>Mobile-edge computing (MEC) is a new computing paradigm that enables cloud computing and information technology (IT) services to be delivered at the network‚Äôs edge. By shifting the load of cloud computing to individual local servers, MEC helps meet the requirements of ultralow latency, localized data processing, and extends the potential of the Internet of Things (IoT) for end-users. However, the crosscutting nature of MEC and the multidisciplinary components necessary for its deployment have presented additional security and privacy concerns. Fortunately, artificial intelligence (AI) algorithms can cope with excessively unpredictable and complex data, which offers a distinct advantage in dealing with sophisticated and developing adversaries in the security industry. Hence, in this article, we comprehensively provide a survey of security and privacy in MEC from the perspective of AI. On the one hand, we use European Telecommunications Standards Institute (ETSI) MEC reference architecture as our-based framework while merging the software-defined network (SDN) and network function virtualization (NFV) to better illustrate a serviceable platform of MEC. On the other hand, we focus on new security and privacy issues, as well as potential solutions from the viewpoints of AI. Finally, we comprehensively discuss the opportunities and challenges associated with applying AI to MEC security and privacy as possible future research directions.</t>
  </si>
  <si>
    <t xml:space="preserve">National Natural Science Foundation of China(grant numbers:61972448,62172068,61802048); Hong Kong Research Grants Council, General Research Fund(grant numbers:11203523); </t>
  </si>
  <si>
    <t>https://ieeexplore.ieee.org/stamp/stamp.jsp?arnumber=10214503</t>
  </si>
  <si>
    <t>Artificial intelligence (AI);fifth generation (5G);Internet of Things (IoT);machine learning (ML);mobile-edge computing (MEC);security and privacy;software-defined network (SDN) security;virtual machine security</t>
  </si>
  <si>
    <t>Security;Privacy;Artificial intelligence;Internet of Things;Cloud computing;Data privacy;Computer architecture</t>
  </si>
  <si>
    <t>Performance Modeling of Metric-Based Serverless Computing Platforms</t>
  </si>
  <si>
    <t>10.1109/TCC.2022.3169619</t>
  </si>
  <si>
    <t>Analytical performance models are very effective in ensuring the quality of service and cost of service deployment remain desirable under different conditions and workloads. While various analytical performance models have been proposed for previous paradigms in cloud computing, serverless computing lacks such models that can provide developers with performance guarantees. Besides, most serverless computing platforms still require developers‚Äô input to specify the configuration for their deployment that could affect both the performance and cost of their deployment, without providing them with any direct and immediate feedback. In previous studies, we built such performance models for steady-state and transient analysis of scale-per-request serverless computing platforms (e.g., AWS Lambda, Azure Functions, Google Cloud Functions) that could give developers immediate feedback about the quality of service and cost of their deployments. In this work, we aim to develop analytical performance models for latest trend in serverless computing platforms that use concurrency value and the rate of requests per second for autoscaling decisions. Examples of such serverless computing platforms are Knative and Google Cloud Run (a managed Knative service by Google). The proposed performance model can help developers and providers predict the performance and cost of deployments with different configurations which could help them tune the configuration toward the best outcome. We validate the applicability and accuracy of the proposed performance model by extensive real-world experimentation on Knative and show that our performance model is able to accurately predict the steady-state characteristics of a given workload with minimal amount of data collection.</t>
  </si>
  <si>
    <t xml:space="preserve">Shared Hierarchical Academic Research Computing Network; Compute Canada; </t>
  </si>
  <si>
    <t>https://ieeexplore.ieee.org/stamp/stamp.jsp?arnumber=9763051</t>
  </si>
  <si>
    <t>Google cloud run;knative;metric-based autoscaling;optimization;performance modelling;serverless computing;stochastic processes</t>
  </si>
  <si>
    <t>Measurement;Computational modeling;Serverless computing;Concurrent computing;Monitoring;Containers;Analytical models</t>
  </si>
  <si>
    <t>M. Hosseinzadeh; E. Azhir; J. Lansky; S. Mildeova; O. H. Ahmed; M. H. Malik; F. Khan</t>
  </si>
  <si>
    <t>Task Scheduling Mechanisms for Fog Computing: A Systematic Survey</t>
  </si>
  <si>
    <t>10.1109/ACCESS.2023.3277826</t>
  </si>
  <si>
    <t>Institute of Research and Development, Duy Tan University, Da Nang, Vietnam; Research and Development Center, Mobile Telecommunication Company of Iran, Tehran, Iran; Department of Computer Science and Mathematics, Faculty of Economic Studies, University of Finance and Administration, Prague, Czech Republic; Department of Computer Science and Mathematics, Faculty of Economic Studies, University of Finance and Administration, Prague, Czech Republic; Department of Information Technology, University of Human Development, Sulaymaniyah, Iraq; School of Computing and Creative Technologies, College of Arts, Technology and Environment (CATE), University of the West of England, Bristol, U.K.; Department of Computer Engineering, Gachon University, Seongnam, South Korea</t>
  </si>
  <si>
    <t>In the Internet of Things (IoT) ecosystem, some processing is done near data production sites at higher speeds without the need for high bandwidth by combining Fog Computing (FC) and cloud computing. Fog computing offers advantages for real-time systems that require high speed internet connectivity. Due to the limited resources of fog nodes, one of the most important challenges of FC is to meet dynamic needs in real-time. Therefore, one of the issues in the fog environment is the optimal assignment of tasks to fog nodes. An efficient scheduling algorithm should reduce various qualitative parameters such as cost and energy consumption, taking into account the heterogeneity of fog nodes and the commitment to perform tasks within their deadlines. This study provides a detailed taxonomy to gain a better understanding of the research issues and distinguishes important challenges in existing work. Therefore, a systematic overview of existing task scheduling techniques for cloud-fog environment, as well as their benefits and drawbacks, is presented in this article. Four main categories are introduced to study these techniques, including machine learning-based, heuristic-based, metaheuristic-based, and deterministic mechanisms. A number of papers are studied in each category. This survey also compares different task scheduling techniques in terms of execution time, resource utilization, delay, network bandwidth, energy consumption, execution deadline, response time, cost, uncertainty, and complexity. The outcomes revealed that 38% of the scheduling algorithms use metaheuristic-based mechanisms, 30% use heuristic-based, 23% use machine learning algorithms, and the other 9% use deterministic methods. The energy consumption is the most significant parameter addressed in most articles with a share of 19%. Finally, a number of important areas for improving the task scheduling methods in the FC in the future are presented.</t>
  </si>
  <si>
    <t>https://ieeexplore.ieee.org/stamp/stamp.jsp?arnumber=10129024</t>
  </si>
  <si>
    <t>Fog computing;cloud computing;task scheduling;methods;quality of service</t>
  </si>
  <si>
    <t>Task analysis;Processor scheduling;Surveys;Edge computing;Dynamic scheduling;Systematics;Costs;Quality of service</t>
  </si>
  <si>
    <t>L. Dong; H. Gao; W. Wu; Q. Gong; N. C. Dechasa; Y. Liu</t>
  </si>
  <si>
    <t>Dependence-Aware Edge Intelligent Function Offloading for 6G-Based IoV</t>
  </si>
  <si>
    <t>10.1109/TITS.2022.3148229</t>
  </si>
  <si>
    <t>School of Computer Science and Technology, Xidian University, Xi‚Äôan, China; School of Computer Engineering and Science, Shanghai University, Shanghai, China; Department of Computer Science, The University of Texas at Dallas, Richardson, TX, USA; School of Computer Science and Technology, Xidian University, Xi‚Äôan, China; School of Computer Science and Technology, Xidian University, Xi‚Äôan, China; Xi‚Äôan High-Tech Research Institute, Xi‚Äôan, China</t>
  </si>
  <si>
    <t>Using the increasingly wireless communication capacity of 5G/6G technology, edge intelligence (EI) enables modern vehicles to leverage the powerful computing resources of edge servers scattered aside the roads to implement intelligent transportation applications (ITA). The running of these intelligent applications is always accompanied by the calculating and transmitting of massive amounts of road situation data. For the protection of drivers and passengers, these complex processes should be handled in an ultra-reliable and low latent manner. Intelligent processing function offloading from terminals to edge servers is a promising approach to address these issues. However, the runtime environment specification of each intelligent processing function and the interdependence between two consecutive functions pose a challenge for the assignment of the offloaded functions among edge servers. In this paper, we propose a dependence-aware edge intelligent function offloading scheme for 6G-based Internet of Vehicle (IoV). All traditional ITAs are split into different chains of standard intelligent functions. Each edge server can provide some specific intelligent functional services. These services can receive data from cars and serve as different intelligent functions. Then, an intelligent application offloading scheme is changed into an embedding scheme of a service chain. An NP-hard objective function is constructed using a multi-winner committee selection model for this offloading service chain embedding problem. We design two algorithms to get the optimal assignment of intelligent functions using a greedy strategy and dynamic programming strategy separately. Finally, experiments show that when the proportion of vehicles meeting the constraint conditions is not in [9%, 10%], our algorithms are fast.</t>
  </si>
  <si>
    <t xml:space="preserve">National Science Foundation(grant numbers:1747818); Fundamental Research Funds for Central Universities(grant numbers:JB161004); National Science and Technology Major Project of the Ministry of Science and Technology of China(grant numbers:2009ZX03001-003); Project of ‚ÄúFake Transaction Identification Algorithm Based on Big Data‚Äù; Xi‚Äôan Yi Shu Technology Company Ltd; </t>
  </si>
  <si>
    <t>https://ieeexplore.ieee.org/stamp/stamp.jsp?arnumber=9709183</t>
  </si>
  <si>
    <t>IoV;edge intelligence;multi-winner committee selection;dynamic programming;offloading</t>
  </si>
  <si>
    <t>Face recognition;Heuristic algorithms;Servers;Computer architecture;Automobiles;Edge computing;5G mobile communication</t>
  </si>
  <si>
    <t>A. C. Baktir; C. Tunca; A. Ozgovde; G. Salur; C. Ersoy</t>
  </si>
  <si>
    <t>SDN-Based Multi-Tier Computing and Communication Architecture for Pervasive Healthcare</t>
  </si>
  <si>
    <t>10.1109/ACCESS.2018.2873907</t>
  </si>
  <si>
    <t>NETLAB, Computer Networks Research Laboratory, Bogazici University, Istanbul, Turkey; NETLAB, Computer Networks Research Laboratory, Bogazici University, Istanbul, Turkey; Department of Computer Engineering, Galatasaray University, Istanbul, Turkey; Movement Disorders &amp; Dementia Clinic, Istanbul, Turkey; NETLAB, Computer Networks Research Laboratory, Bogazici University, Istanbul, Turkey</t>
  </si>
  <si>
    <t>A large spectrum of healthcare applications, ranging from continuous blood sugar level monitoring to sleep apnea detection are nowadays facilitated by modern mobile gadgets. Wearable and ambient sensors generate enormous amounts of physiological data that demand high computation power for real-time processing and large storage area for recording the personal data. In order to conserve the energy on the battery-limited mainstream mobile devices of the end-users, the execution of the healthcare applications may be offloaded to a remote server. While cloud computing provides unlimited pool of resources for latency-tolerant services such as training a machine learning model, the personalization of healthcare services and the delay sensitivity of continuous health assessment necessitate a computation infrastructure in the vicinity of the end-users. As a remedy to address various demands of a wide range of pervasive healthcare applications, we propose a multi-tier computing and communication architecture composed of end-user devices, edge servers, and legacy cloud data-centers. The dynamic management of this architecture, policies to be applied within the network and the orchestration of the healthcare services are carried out by the concept of programmable networks, in the form of software-defined networking (SDN). As a concrete demonstration of our ideas, a fall risk assessment service is implemented and an experimental study is conducted to evaluate its accuracy and the performance of the multi-tier architecture. The results indicate that the proposed architecture is feasible to enable real-time healthcare services and has significant performance advantages over traditional cloud-based approaches.</t>
  </si>
  <si>
    <t xml:space="preserve">Bogazici University Research Fund(grant numbers:12663); State Planning Organization of Turkey through the TAM Project(grant numbers:2007K120610); </t>
  </si>
  <si>
    <t>https://ieeexplore.ieee.org/stamp/stamp.jsp?arnumber=8482108</t>
  </si>
  <si>
    <t>Edge computing;fall risk assessment;pervasive healthcare;software-defined networking;wearable computing</t>
  </si>
  <si>
    <t>Medical services;Computer architecture;Edge computing;Biomedical monitoring;Servers;Cloud computing;Monitoring</t>
  </si>
  <si>
    <t>J. Zaki; S. M. R. Islam; N. S. Alghamdi; M. Abdullah-Al-Wadud; K. -S. Kwak</t>
  </si>
  <si>
    <t>Introducing Cloud-Assisted Micro-Service-Based Software Development Framework for Healthcare Systems</t>
  </si>
  <si>
    <t>10.1109/ACCESS.2022.3161455</t>
  </si>
  <si>
    <t>Department of Computer and Systems, Faculty of Engineering, Mansoura University, Mansoura, Egypt; Department of Computer Science and Engineering, Sejong University, Seoul, South Korea; Department of Computer Sciences, College of Computer and Information Sciences, Princess Nourah bint Abdulrahman University, Riyadh, Saudi Arabia; Department of Software Engineering, College of Computer and Information Sciences, King Saud University, Riyadh, Saudi Arabia; Department of Information and Communication Engineering, Inha University, Incheon, South Korea</t>
  </si>
  <si>
    <t>In healthcare services, application development is considered the most complex and time-consuming phase. As it is difficult to plan and time-intense, it requires high maintenance. Healthcare applications need strict compliance and the scope of application is immense along with associates, classes in services, and classified system. Application designing in healthcare with the help of traditional approaches such as monolithic and service-oriented architecture (SOA) generate problems in different areas like service availability, remote access to services, service provisioning, scalability, healthcare systems integration with each other. That is why there is a need for less sophisticated and user-friendly healthcare systems, which are easy to plan and develop, inexpensive requirement maintenance, and agile testing. To overcome the aforesaid issues in the domain of healthcare application development, this paper develops a framework of micro services for the development of healthcare services using cloud computing infrastructure. Micro-service-based techniques provide lightly coupled and fine-grained methodology. With the use of micro services technique presented in this work, the efficiency, scalability, and performance are improved. In this research, an approach for development and deployment properly in the cloud for healthcare applications is developed. Thus, it contributes to the system design approach and system analysis. Quantitative and qualitative results are reported showing the advantages of micro services approach used.</t>
  </si>
  <si>
    <t xml:space="preserve">National Research Foundation of Korea-Grant funded by the Korean Government (Ministry of Science)(grant numbers:ICT-NRF-2020R1A2B5B02002478); Sejong university through its faculty research program(grant numbers:20212023); Princess Nourah bint Abdulrahman University Researchers Supporting Project(grant numbers:PNURSP2022R40); Princess Nourah bint Abdulrahman University, Riyadh, Saudi Arabia; </t>
  </si>
  <si>
    <t>https://ieeexplore.ieee.org/stamp/stamp.jsp?arnumber=9739683</t>
  </si>
  <si>
    <t>Service oriented architecture;micro services;cloud computing;healthcare;application design;monolith approach;application software</t>
  </si>
  <si>
    <t>Medical services;Microservice architectures;Monitoring;Cloud computing;Costs;Electrocardiography;Computer architecture</t>
  </si>
  <si>
    <t>E. Zeydan; J. Mangues-Bafalluy; J. Baranda; M. Requena; Y. Turk</t>
  </si>
  <si>
    <t>Service Based Virtual RAN Architecture for Next Generation Cellular Systems</t>
  </si>
  <si>
    <t>10.1109/ACCESS.2022.3144534</t>
  </si>
  <si>
    <t>Centre Tecnol√≤gic de Telecomunicacions de Catalunya, Castelldefels, Barcelona, Spain; Centre Tecnol√≤gic de Telecomunicacions de Catalunya, Castelldefels, Barcelona, Spain; Centre Tecnol√≤gic de Telecomunicacions de Catalunya, Castelldefels, Barcelona, Spain; Centre Tecnol√≤gic de Telecomunicacions de Catalunya, Castelldefels, Barcelona, Spain; Aselsan Corporation, Istanbul, Turkey</t>
  </si>
  <si>
    <t>Service based architecture (SBA) is a paradigm shift from Service-Oriented Architecture (SOA) to microservices, combining their principles. Network virtualization enables the application of SBA in cellular systems. To better guide the software design of this virtualized cellular system with SBA, this paper presents a software perspective and a positional approach to using fundamental development principles for adapting SBA in virtualized Radio Access Networks (vRANs). First, we present the motivation for using an SBA in cellular radio systems. Then, we explore the critical requirements, key principles, and components for the software to provide radio services in SBA. We also explore the potential of applying SBA-based Radio Access Network (RAN) by comparing the functional split requirements of 5G RAN with existing open-source software and accelerated hardware implementations of service bus, and discuss the limitations of SBA. Finally, we present some discussions, future directions, and a roadmap of applying such a high-level design perspective of SBA to next-generation RAN infrastructure.</t>
  </si>
  <si>
    <t xml:space="preserve">European Union (EU) H2020 5GROWTH Project(grant numbers:856709); Generalitat de Catalunya(grant numbers:2017 SGR 1195); National Program on Equipment and Scientific and Technical Infrastructure under the European Regional Development Fund (FEDER)(grant numbers:EQC2018-005257-P); </t>
  </si>
  <si>
    <t>https://ieeexplore.ieee.org/stamp/stamp.jsp?arnumber=9684900</t>
  </si>
  <si>
    <t>Service-based architecture;network interfaces;radio access networks;software</t>
  </si>
  <si>
    <t>Computer architecture;Software;Radio access networks;5G mobile communication;Cloud computing;Protocols;Hardware</t>
  </si>
  <si>
    <t>Z. Cai; R. Buyya</t>
  </si>
  <si>
    <t>Inverse Queuing Model-Based Feedback Control for Elastic Container Provisioning of Web Systems in Kubernetes</t>
  </si>
  <si>
    <t>10.1109/TC.2021.3049598</t>
  </si>
  <si>
    <t>School of Computer Science and Engineering, Nanjing University of Science and Technology, Nanjing, China; Cloud Computing and Distributed Systems (CLOUDS) Laboratory, School of Computing and Information Systems, University of Melbourne, Parkville, VIC, Australia</t>
  </si>
  <si>
    <t>Container orchestration platforms such as Kubernetes and Kubernetes-derived KubeEdge (called Kubernetes-based systems collectively) have been gradually used to conduct unified management of Cloud, Fog, and Edge resources. Container provisioning algorithms are crucial to guaranteeing quality of services (QoS) of such Kubernetes-based systems. However, most existing algorithms focus on placement and migration of fixed number of containers without considering elastic provisioning of containers. Meanwhile, widely used linear-performance-model-based feedback control or fixed-processing-rate-based queuing model on diverse platforms cannot describe the performance of containerized Web systems accurately. Furthermore, a fixed reference point used by existing methods is likely to generate inaccurate output errors incurring great fluctuations encountered with large arrival-rate changes. In this article, a feedback control method is designed based on a combination of varying-processing-rate queuing model and linear-model to provision containers elastically which improves the accuracy of output errors by learning reference models for different arrival rates automatically and mapping output errors from reference models to the queuing model. Our approach is compared with several state-of-art algorithms on a real Kubernetes cluster. Experimental results illustrate that our approach obtains the lowest percentage of service level agreement (SLA) violation (decreasing no less than 8.44 percent) and the second lowest cost.</t>
  </si>
  <si>
    <t xml:space="preserve">National Natural Science Foundation of China(grant numbers:61972202); Fundamental Research Funds for the Central Universities(grant numbers:30919011235); China Scholarship Council; </t>
  </si>
  <si>
    <t>https://ieeexplore.ieee.org/stamp/stamp.jsp?arnumber=9314906</t>
  </si>
  <si>
    <t>Cloud;fog and edge computing;kubernetes;container auto-scaling;Qos control;queuing theory;feedback control</t>
  </si>
  <si>
    <t>Containers;Adaptation models;Computational modeling;Feedback control;Time factors;Quality of service;Cloud computing</t>
  </si>
  <si>
    <t>J. Zhu; R. Yang; X. Sun; T. Wo; C. Hu; H. Peng; J. Xiao; A. Y. Zomaya; J. Xu</t>
  </si>
  <si>
    <t>QoS-Aware Co-Scheduling for Distributed Long-Running Applications on Shared Clusters</t>
  </si>
  <si>
    <t>10.1109/TPDS.2022.3202493</t>
  </si>
  <si>
    <t>Beihang University, Beijing, China; School of Computing, University of Leeds, Leeds, U.K.; School of Computing, University of Leeds, Leeds, U.K.; Beihang University, Beijing, China; Beihang University, Beijing, China; Beihang University, Beijing, China; Alibaba Group, Hangzhou, Zhejiang, China; University of Sydney, Camperdown, NSW, Australia; School of Computing, University of Leeds, Leeds, U.K.</t>
  </si>
  <si>
    <t>To achieve a high degree of resource utilization, production clusters need to co-schedule diverse workloads ‚Äì including both batch analytic jobs with short-lived tasks and long-running applications (LRAs) that execute for a long time frame from hours to months ‚Äì onto the shared resources. Microservice architecture advances the manifestation of distributed LRAs (DLRAs), comprising multiple interconnected microservices that are executed in long-lived distributed containers and serve massive user requests. Detecting and mitigating QoS violation become even more intractable due to the network uncertainties and latency propagation across dependent microservices. However, current resource managers are only responsible for resource allocation among applications/jobs but agnostic to runtime QoS such as latency at application level. The state-of-the-art QoS-aware scheduling approaches are dedicated for monolithic applications, without considering the temporal-spatio performance variability across distributed microservices. In this paper, we present Toposch, a new scheduling and execution framework to prioritize the QoS of DLRAs whilst balancing the performance of batch jobs and maintaining high cluster utilization through harvesting idle resources. Toposch tracks footprints of every single request across microservices and uses critical path analysis, based on the end-to-end latency graph, to identify microservices that have high risk of QoS violation. Based on microservice and node level risk assessment, we intervene the batch scheduling by adaptively reducing the visible resources to batch tasks and thus delaying their execution to give way to DLRAs. We propose a prediction-based vertical resource auto-scaling mechanism, with the aid of resource-performance modeling and fine-grained resource inference and access control, for prompt recovery of QoS violation. A cost-effective task preemption is leveraged to ensure a low-cost task preemption and resource reclamation during the auto-scaling. Toposch is integrated with Apache YARN and experiments show that Toposch outperforms other baselines in terms of performance guarantee of DLRAs, at an acceptable cost of batch job slowdown. The tail latency of DLRAs is merely 1.12x of the case of executing alone on average in Toposch with a 26% JCT increase of Spark analytic jobs.</t>
  </si>
  <si>
    <t xml:space="preserve">MIIT of China(grant numbers:2105-370171-07-02-860873); S&amp;T Program of Hebei(grant numbers:20310101D); Fundamental Research Funds for the Central Universities(grant numbers:20226941); UK EPSRC(grant numbers:EP/T01461X/1); Alan Turing Pilot Project; Alan Turing PDEA Program; </t>
  </si>
  <si>
    <t>https://ieeexplore.ieee.org/stamp/stamp.jsp?arnumber=9869329</t>
  </si>
  <si>
    <t>Resource scheduling;cluster management;QoS;tail latency;datacenters</t>
  </si>
  <si>
    <t>Quality of service;Microservice architectures;Task analysis;Runtime;Containers;Resource management;Databases</t>
  </si>
  <si>
    <t>T. Shi; H. Ma; G. Chen; S. Hartmann</t>
  </si>
  <si>
    <t>Cost-Effective Web Application Replication and Deployment in Multi-Cloud Environment</t>
  </si>
  <si>
    <t>10.1109/TPDS.2021.3133884</t>
  </si>
  <si>
    <t>School of Engineering and Computer Science, Victoria University of Wellington, Wellington, New Zealand; School of Engineering and Computer Science, Victoria University of Wellington, Wellington, New Zealand; School of Engineering and Computer Science, Victoria University of Wellington, Wellington, New Zealand; Department of Informatics, Clausthal University of Technology, Clausthal-Zellerfeld, Germany</t>
  </si>
  <si>
    <t>Multi-cloud is becoming a popular cloud ecosystem because it allows enterprise users to share the workload across multiple cloud service providers to achieve high-quality services with lower operation cost and higher application resilience. In multi-cloud, cloud services are widely distributed at different locations with differentiated prices. Therefore, Web application providers face the challenge to select proper cloud services for application replication and deployment with the aim of minimizing the deployment cost. Meanwhile, the deployed application replicas must satisfy the constraint on request response time to maintain the quality of user experience. To meet the two major requirements, this article studies a new problem of Web application replication and deployment in multi-cloud (WARDMC) that jointly considers both the cost minimization and constraints on average response time, including particularly request processing time and network latency. To address the problem, we develop a new approach named MCApp. MCApp combines iterative mixed integer linear programming with domain-tailored large neighborhood search to optimize both application replicas deployment and user requests dispatching. Extensive experiments using the real-world datasets demonstrate that MCApp significantly outperforms several recently proposed approaches.</t>
  </si>
  <si>
    <t>https://ieeexplore.ieee.org/stamp/stamp.jsp?arnumber=9645306</t>
  </si>
  <si>
    <t>Multi-cloud;Web application deployment;service replication;cost optimization;mixed integer linear programming;large neighborhood search</t>
  </si>
  <si>
    <t>Cloud computing;Costs;Time factors;Optimization;Upper bound;Pricing;User experience</t>
  </si>
  <si>
    <t>B. Ma; Z. Ren; W. Cheng</t>
  </si>
  <si>
    <t>Traffic Routing-Based Computation Offloading in Cybertwin-Driven Internet of Vehicles for V2X Applications</t>
  </si>
  <si>
    <t>10.1109/TVT.2021.3134715</t>
  </si>
  <si>
    <t>State Key Laboratory of Integrated Services Networks, Xidian University, Xi‚Äôan, China; State Key Laboratory of Integrated Services Networks, Xidian University, Xi‚Äôan, China; State Key Laboratory of Integrated Services Networks, Xidian University, Xi‚Äôan, China</t>
  </si>
  <si>
    <t>With the rapid development of the Internet of Vehicles (IoV), a lot of Vehicle-to-Everything (V2X) applications have sprung up. To tackle the conflict between the resource-hungry V2X applications and the resource-constrained vehicles, most works focus on the computation offloading problem, which is significant to V2X applications by bringing computation tasks from the vehicles to the edge or cloud infrastructure. However, the dynamic network conditions caused by the mobility of vehicles will bring task migration and huge additional costs, resulting in poor latency performance. Motivated by the aforementioned problem, a traffic routing-based computation offloading scheme in cybertwin-driven IoV for V2X applications is proposed, in which cybertwin represents the network hardware devices and the network software functions. Moreover, according to the cybertwin-driven IoV network architecture, the traffic routing-based computation offloading problem is formulated. Finally, to avoid the inconsistency between the data transmission direction and the vehicle‚Äôs movement direction, the enhanced Heterogeneous Earliest Finish Time (eHEFT) algorithm is designed, which introduces the gradient routing into the traditional HEFT algorithm. Performance evaluation results validate that the proposed joint optimization scheme is indeed capable of reducing latency.</t>
  </si>
  <si>
    <t xml:space="preserve">National Key R&amp;D Program of China(grant numbers:2019YFB1803301); </t>
  </si>
  <si>
    <t>https://ieeexplore.ieee.org/stamp/stamp.jsp?arnumber=9647922</t>
  </si>
  <si>
    <t>V2X applications;computation offloading;routing;latency</t>
  </si>
  <si>
    <t>Task analysis;Vehicle-to-everything;Routing;Cloud computing;Computational modeling;Heuristic algorithms;Costs</t>
  </si>
  <si>
    <t>A. R. Jadhav; S. Kiran M. P. R.; R. Pachamuthu</t>
  </si>
  <si>
    <t>Development of a Novel IoT-Enabled Power- Monitoring Architecture With Real-Time Data Visualization for Use in Domestic and Industrial Scenarios</t>
  </si>
  <si>
    <t>IEEE Transactions on Instrumentation and Measurement</t>
  </si>
  <si>
    <t>1557-9662</t>
  </si>
  <si>
    <t>10.1109/TIM.2020.3028437</t>
  </si>
  <si>
    <t>Department of Electrical Engineering, IIT Hyderabad, Hyderabad, India; Department of Electrical Engineering, IIT Hyderabad, Hyderabad, India; Department of Electrical Engineering, IIT Hyderabad, Hyderabad, India</t>
  </si>
  <si>
    <t>With the increased interest in smart cities and smart infrastructures, the need for energy conservation is increasing. Especially with the current electrical energy production mainly relying on nonrenewable resources, conservation of electrical energy is one of the challenging aspects across the globe. However, one can only perform energy conservation optimally by identifying consumption patterns at a granular level, which requires accurate and ubiquitous monitoring infrastructure. Because the electrical energy wastage can occur at any granularity (from a small house-hold appliance to grid-level wastage), the development of a low-cost, easy-to-install, and accurate power-monitoring infrastructure is need of the hour. Hence, in this article, we propose the developed designs for IoT-enabled power monitoring. First is the noninvasive power monitor with voltage connection. The second design introduces a novel split architecture with centralized voltage measurement, which removes the need for local voltage measurements. We have proposed the third and final version of the IoT-enabled power monitor to fulfill the need for three-phase power monitoring. Unlike first and second designs, this design can be used with noninvasive and invasive current sensors. The proposed architecture also supports essential features, such as secure data transfer. Developed devices transmit real-time data to the cloud server, which makes the data ubiquitously available anywhere and anytime. For analyzing the performance of the proposed architecture, the developed devices are deployed in real industrial scenarios. As an example use case, the electrical anomaly detection framework using the data collected is also explained, and the corresponding results are discussed.</t>
  </si>
  <si>
    <t xml:space="preserve">Visvesvaraya Ph.D. Scheme, MeitY, Government of India(grant numbers:MEITY-PHD-1115); </t>
  </si>
  <si>
    <t>https://ieeexplore.ieee.org/stamp/stamp.jsp?arnumber=9211481</t>
  </si>
  <si>
    <t>Anomaly detection;fault detection;IoT;operation optimization;power monitoring;smart-buildings</t>
  </si>
  <si>
    <t>Monitoring;Sensors;Voltage measurement;Real-time systems;Data visualization;Current measurement;Systems architecture</t>
  </si>
  <si>
    <t>C. H. T. Arteaga; F. B. Anacona; K. T. T. Ortega; O. M. C. Rendon</t>
  </si>
  <si>
    <t>A Scaling Mechanism for an Evolved Packet Core Based on Network Functions Virtualization</t>
  </si>
  <si>
    <t>10.1109/TNSM.2019.2961988</t>
  </si>
  <si>
    <t>Departamento de Telem√°tica, Grupo de Ingenier??a Telem??tica, Universidad del Cauca, Popay√°n, Colombia; Departamento de Telem√°tica, Grupo de Ingenier??a Telem??tica, Universidad del Cauca, Popay√°n, Colombia; Departamento de Telem√°tica, Grupo de Ingenier??a Telem??tica, Universidad del Cauca, Popay√°n, Colombia; Departamento de Telem√°tica, Grupo de Ingenier??a Telem??tica, Universidad del Cauca, Popay√°n, Colombia</t>
  </si>
  <si>
    <t>The workload variations affect the performance of mobile networks. The scaling task is pivotal for addressing these variations. In the literature, research works have incorporated horizontal or vertical scaling in the virtualized network functions of the Evolved Packet Core (EPC) to improve its performance. However, up to now, these works exploit only horizontal or vertical scaling for achieving their aim. In this paper, we propose a scaling mechanism that utilizes horizontal and vertical scaling and considers workload variations for improving performance in EPC. This mechanism is threshold-based, straightforward, and implementable in real LTE-EPC scenarios. We also develop a mechanism prototype and deploy it in a real public cloud. In this cloud, we conduct a prototype evaluation, regarding registrations per second, latency, CPU, and RAM, and considering a varying workload. The evaluation results reveal that our mechanism increases the registrations per second about 308% and decreases the corresponding latency approximately 70% regarding an EPC without scaling while keeping the CPU usage lower than 90% and the used capacity of registrations per second between 65% and 90%. These results corroborate the importance of used both horizontal and vertical scaling to improve EPC performance, handle workload variations, and save resources.</t>
  </si>
  <si>
    <t xml:space="preserve">University of Cauca and the Administrative Department of Science, Technology and Innovation (COLCIENCIAS)???Colombia through the Ph.D. Scholarship(grant numbers:527-2015); </t>
  </si>
  <si>
    <t>https://ieeexplore.ieee.org/stamp/stamp.jsp?arnumber=8941016</t>
  </si>
  <si>
    <t>Scaling;evolved packet core;4G;network functions virtualization</t>
  </si>
  <si>
    <t>Scalability;Cloud computing;Synchronization;Prototypes;Long Term Evolution;Network function virtualization;Authentication</t>
  </si>
  <si>
    <t>P. Fernando; K. Dadallage; T. Gamage; C. Seneviratne; A. Madanayake; M. Liyanage</t>
  </si>
  <si>
    <t>Proof of Sense: A Novel Consensus Mechanism for Spectrum Misuse Detection</t>
  </si>
  <si>
    <t>10.1109/TII.2022.3169978</t>
  </si>
  <si>
    <t>Faculty of Engineering, Vrije Universiteit Brussel, Brussels, Belgium; Department of Electrical and Information Engineering, University of Ruhuna, Galle, Sri Lanka; Department of Electrical and Information Engineering, University of Ruhuna, Galle, Sri Lanka; Department of Electrical and Information Engineering, University of Ruhuna, Galle, Sri Lanka; Department of Electrical and Computer Engineering, Florida International University (FIU), Miami, FL, USA; School of Computer Science, University College Dublin, Dublin 4, Ireland</t>
  </si>
  <si>
    <t>Optimal use of scarce radio spectrum is essential in the proliferation of beyond 5G networks, and promising blockchain technology offers various benefits for the spectrum management. However, existing blockchain-based solutions are expensive, nonoptimized, and lack spectrum fraud detection. This article proposes a novel consensus mechanism for a blockchain-based dynamic spectrum access (DSA) system. The proposed ‚ÄúProof-of-Sense‚Äù consensus mechanism operates based on spectrum sensing procedures rather than cryptographic calculations. It is specially designed to address fraudulent/unauthorized access to the spectrum by analyzing the sensed spectrum data. The core of the consensus mechanism is a cryptographic key sharing mechanism inspired by Shamir‚Äôs secret sharing scheme. Moreover, the proposed DSA system can enable different microservices, such as automated spectrum auctions, payment and penalty handling, and spectrum fraud detection. A proof of concept based on experimental approaches coupled with Matlab simulations is presented to analyze the performance of the proposed consensus mechanism.</t>
  </si>
  <si>
    <t xml:space="preserve">framework of 6Genesis Flagship(grant numbers:318927); </t>
  </si>
  <si>
    <t>https://ieeexplore.ieee.org/stamp/stamp.jsp?arnumber=9762480</t>
  </si>
  <si>
    <t>Blockchain;consensus algorithm;dynamic spectrum access (DSA);spectrum management;spectrum misuse;spectrum sensing;smart contracts (SC)</t>
  </si>
  <si>
    <t>Blockchains;Sensors;Regulators;Stakeholders;Informatics;Wireless sensor networks;Radio spectrum management</t>
  </si>
  <si>
    <t>S. Chaterji; N. DeLay; J. Evans; N. Mosier; B. Engel; D. Buckmaster; M. R. Ladisch; R. Chandra</t>
  </si>
  <si>
    <t>Lattice: A Vision for Machine Learning, Data Engineering, and Policy Considerations for Digital Agriculture at Scale</t>
  </si>
  <si>
    <t>IEEE Open Journal of the Computer Society</t>
  </si>
  <si>
    <t>2644-1268</t>
  </si>
  <si>
    <t>10.1109/OJCS.2021.3085846</t>
  </si>
  <si>
    <t>Department of Agricultural and Biological Engineering, Purdue University, West Lafayette, IN, USA; Department of Agricultural and Biological Engineering, Purdue University, West Lafayette, IN, USA; Department of Agricultural and Biological Engineering, Purdue University, West Lafayette, IN, USA; Department of Agricultural and Biological Engineering, Purdue University, West Lafayette, IN, USA; Department of Agricultural and Biological Engineering, Purdue University, West Lafayette, IN, USA; Department of Agricultural and Biological Engineering, Purdue University, West Lafayette, IN, USA; Department of Agricultural and Biological Engineering, Purdue University, West Lafayette, IN, USA; Microsoft Research, Microsoft Azure, Redmond, WA, USA</t>
  </si>
  <si>
    <t>Digital agriculture, with the incorporation of Internet-of-Things (IoT)-based technologies, presents the ability to control a system at multiple levels (individual, local, regional, and global) and generates tools that allow for improved decision making and higher productivity. Recent advances in IoT hardware, e.g., networks of heterogeneous embedded devices, and software, e.g., lightweight computer vision algorithms and cloud optimization solutions, make it possible to efficiently process data from diverse sources in a connected (smart) farm. By interconnecting these IoT devices, often across large geographical distances, it is possible to collect data at different time scales, including in near real-time (i.e., with delays of only a few tens of seconds). This data can then be used for actionable insights, e.g., precise applications of soil supplements and reduced environmental footprint. Through LATTICE, we present an integrated vision for IoT solutions, data processing, and actionable analytics for digital agriculture. We couple this with discussion of economics and policy considerations that will underlie adoption of such IoT and ML technologies. Our paper starts off with the types of datasets in typical field operations, followed by the lifecycle for the data and storage, cloud and edge analytics, and fast information-retrieval solutions. We discuss what algorithms are proving to be most impactful in this space, e.g., approximate data analytics and on-device/in-network processing. We conclude by discussing analytics for alternative agriculture for generation of biofuels and policy challenges in the implementation of digital agriculture in the wild.</t>
  </si>
  <si>
    <t xml:space="preserve">Purdue University; Lilly Endowment; Microsoft Research; </t>
  </si>
  <si>
    <t>https://ieeexplore.ieee.org/stamp/stamp.jsp?arnumber=9444818</t>
  </si>
  <si>
    <t>Data integration;data analysis;internet of things;Sensor systems;cloud computing</t>
  </si>
  <si>
    <t>Data integration;Soil;Digital agriculture;Fertilizers;Distributed databases;Cloud computing;Internet of Things;Data analysis;Intelligent sensors</t>
  </si>
  <si>
    <t>W. Viriyasitavat; L. D. Xu; D. Niyato; Z. Bi; D. Hoonsopon</t>
  </si>
  <si>
    <t>Applications of Blockchain in Business Processes: A Comprehensive Review</t>
  </si>
  <si>
    <t>10.1109/ACCESS.2022.3217794</t>
  </si>
  <si>
    <t>Chulalongkorn Business School, Chulalongkorn University, Bangkok, Thailand; Department of Information Technology and Decision Sciences, Old Dominion University, Norfolk, VA, USA; School of Computer Science and Engineering, Nanyang Technological University, Jurong West, Singapore; Department of Civil and Mechanical Engineering, Purdue University Fort Wayne, Fort Wayne, IN, USA; Chulalongkorn Business School, Chulalongkorn University, Bangkok, Thailand</t>
  </si>
  <si>
    <t>Blockchain (BC), as an emerging technology, is revolutionizing Business Process Management (BPM) in multiple ways. The main adoption is to serve as a trusted infrastructure to guarantee the trust of collaborations among multiple partners in trustless environments. Especially, BC enables trust of information by using Distributed Ledger Technology (DLT). With the power of smart contracts, BC enforces the obligations of counterparties that transact in a business process (BP) by programming the contracts as transactions. This paper aims to study the state-of-the-art of BC technologies by (1) exploring its applications in BPM with the focus on how BC provides the trust of BPs in their lifecycles; (2) identifying the relations of BPM as the need and BC as the solution with the assessment towards BPM characteristics; (3) discussing the up-to-date progresses of critical BC in BPM; (4) identifying the challenges and research directions for future advancement in the domain. The main conclusions of our comprehensive review are (1) the study of adopting BC in BPM has attracted a great deal of attention that has been evidenced by a rapidly growing number of relevant articles. (2) The paradigms of BPM over Internet of Things (IoT) have been shifted from persistent to transient, from static to dynamic, and from centralized to decentralized, and new enabling technologies are highly demanded to fulfill some emerging functional requirements (FRs) at the stages of design, configuration, diagnosis, and evaluation of BPs in their lifecycles. (3) BC has been intensively studied and proven as a promising solution to assure the trustiness for both of business processes and their executions in decentralized BPM. (4) Most of the reported BC applications are at their primary stages, future research efforts are needed to meet the technical challenges involved in interoperation, determination of trusted entities, confirmation of time-sensitive execution, and support of irreversibility.</t>
  </si>
  <si>
    <t>https://ieeexplore.ieee.org/stamp/stamp.jsp?arnumber=9931722</t>
  </si>
  <si>
    <t>Blockchain;business process management;smart contracts;trust assurance</t>
  </si>
  <si>
    <t>Business process management;Smart contracts;Task analysis;Distributed ledger;Uncertainty;Internet of Things;Blockchains;Trust management</t>
  </si>
  <si>
    <t>E. Curry; D. Salwala; P. Dhingra; F. A. Pontes; P. Yadav</t>
  </si>
  <si>
    <t>Multimodal Event Processing: A Neural-Symbolic Paradigm for the Internet of Multimedia Things</t>
  </si>
  <si>
    <t>10.1109/JIOT.2022.3143171</t>
  </si>
  <si>
    <t>Insight SFI Research Centre for Data Analytics, Data Science Institute, National University of Ireland Galway, Galway, Ireland; Insight SFI Research Centre for Data Analytics, Data Science Institute, National University of Ireland Galway, Galway, Ireland; Insight SFI Research Centre for Data Analytics, Data Science Institute, National University of Ireland Galway, Galway, Ireland; Insight SFI Research Centre for Data Analytics, Data Science Institute, National University of Ireland Galway, Galway, Ireland; Insight SFI Research Centre for Data Analytics, Data Science Institute, National University of Ireland Galway, Galway, Ireland</t>
  </si>
  <si>
    <t>With the Internet of Multimedia Things (IoMT) becoming a reality, new approaches are needed to process real-time multimodal event streams. Existing approaches to event processing have limited consideration for the challenges of multimodal events, including the need for complex content extraction, and increased computational and memory costs. This article explores event processing as a basis for processing real-time IoMT data. This article introduces the multimodal event processing (MEP) paradigm, which provides a formal basis for native approaches to neural multimodal content analysis (i.e., computer vision, linguistics, and audio) with symbolic event processing rules to support real-time queries over multimodal data streams using the multimodal event processing language to express single, primitive multimodal, and complex multimodal event patterns. The content of multimodal streams is represented using multimodal event knowledge graphs to capture the semantic, spatial, and temporal content of the multimodal streams. The approach is implemented and evaluated within a MEP engine using single and multimodal queries achieving near real-time performance with a throughput of ~30 frames processed per second (fps) and subsecond latency of 0.075‚Äì0.30 s for video streams of 30 fps input rate. Support for high input stream rates (45 fps) is achieved through content-aware load-shedding techniques with a ~127X latency improvement resulting in only a minor decrease in accuracy.</t>
  </si>
  <si>
    <t xml:space="preserve">Science Foundation Ireland; European Regional Development Fund(grant numbers:SFI/12/RC/2289_P2); </t>
  </si>
  <si>
    <t>https://ieeexplore.ieee.org/stamp/stamp.jsp?arnumber=9681901</t>
  </si>
  <si>
    <t>Data management and analytics;event processing;Internet of Multimedia Things (IoMT);service middleware and platform</t>
  </si>
  <si>
    <t>Streaming media;Internet of Things;Real-time systems;Data models;Engines;Data mining;Costs</t>
  </si>
  <si>
    <t>M. Gupta; R. K. Jha; S. Jain</t>
  </si>
  <si>
    <t>Tactile Based Intelligence Touch Technology in IoT Configured WCN in B5G/6G-A Survey</t>
  </si>
  <si>
    <t>10.1109/ACCESS.2022.3148473</t>
  </si>
  <si>
    <t>School of Electronics and Communication Engineering (SoECE), Shri Mata Vaishno Devi University, Katra, Jammu, Jammu and Kashmir, India; Department of Electronics and Communication Engineering, Indian Institute of Information Technology, Design and Manufacturing, Jabalpur (IIITDM Jabalpur), Jabalpur, India; Computer Science Department, Central University of Jammu, Jammu, Jammu and Kashmir, India</t>
  </si>
  <si>
    <t>Touch-enabled sensation and actuation are expected to be the most promising, straightforward, and important uses of the B5G/6G communication networks. In light of the next generation (6G) systems‚Äô prerequisite for low latency, the infrastructure should be reconfigurable, intelligent, and interoperable in the real-time existing wireless network. It has a drastic impact on society due to its high precision, accuracy, reliability, and efficiency, combined with the ability to connect a user from remote areas. Hence, the touch-enabled interaction is primarily concerned with the real-time transmission of tactile-based haptic information over the internet, in addition to the usual audio, visual, and data traffic, thus enabling a paradigm shift towards a real-time control and steering communication system. The existing system latency and overhead often have delays and limitations on the application‚Äôs usability. In light of the aforementioned concerns, the study proposes an intelligent touch-enabled system for B5G/6G and an IoT-based wireless communication network, incorporating AR/VR technologies. The tactile internet and network-slicing serve as the backbone of touch technology and incorporates intelligence from techniques such as artificial intelligence and machine/deep learning. The survey also introduces a layered and interfacing architecture with its E2E solution for the intelligent touch-based wireless communication system. It is anticipated for the upcoming 6G system to provide numerous opportunities for various sectors to utilize AR/VR technology in robotics and healthcare facilities to help in addressing several problems faced by society. Conclusively the article presents a few use cases concerning the deployment of touch infrastructure in automation, robotics, and intelligent healthcare systems, assisting in the diagnosis and treatment of the prevailing Covid-19 cases. The paper concludes with some considerable future research aspects of the proposed system with a few ongoing projects concerning the development and incorporation of the 6G wireless communication system.</t>
  </si>
  <si>
    <t xml:space="preserve">5G and Internet of Things (IoT) Laboratory, School of Electronics and Communication Engineering (SoECE), Technology Business Incubation Center (TBIC), Technical Education Quality Improvement Programme of Government of India-III (TEQIP-III) at Shri Mata Vaishno Devi University (SMVDU), Katra, Jammu; 6G and IoT Innovation Laboratory, Indian Institute of Information Technology, Design and Manufacturing (IIITDM), Jabalpur; </t>
  </si>
  <si>
    <t>https://ieeexplore.ieee.org/stamp/stamp.jsp?arnumber=9701357</t>
  </si>
  <si>
    <t>6G;AI;AR;intelligence;IoT;ML;network slicing;tactile internet;VR</t>
  </si>
  <si>
    <t>Wireless communication;Real-time systems;Virtualization;Next generation networking;NOMA;Learning (artificial intelligence);6G mobile communication</t>
  </si>
  <si>
    <t>D. G. S. Pivoto; T. T. Rezende; M. S. P. Facina; R. Moreira; F. de Oliveira Silva; K. V. Cardoso; S. L. Correa; A. V. D. Araujo; R. S. E. Silva; H. S. Neto; G. R. de Lima Tejerina; A. M. Alberti</t>
  </si>
  <si>
    <t>A Detailed Relevance Analysis of Enabling Technologies for 6G Architectures</t>
  </si>
  <si>
    <t>10.1109/ACCESS.2023.3301811</t>
  </si>
  <si>
    <t>Instituto Nacional de Telecomunica√ß√µes, Santa Rita do Sapuca√≠, Brazil; Instituto Nacional de Telecomunica√ß√µes, Santa Rita do Sapuca√≠, Brazil; Funda√ß√£o Centro de Pesquisa e Desenvolvimento em Telecomunica√ß√µes, Campinas, Brazil; Faculty of Computing, Federal University of Uberl√¢ndia, Uberl√¢ndia, Brazil; Faculty of Computing, Federal University of Uberl√¢ndia, Uberl√¢ndia, Brazil; Instituto de Inform√°tica (INF), Universidade Federal de Goi√°s, Goi√¢nia, Brazil; Instituto de Inform√°tica (INF), Universidade Federal de Goi√°s, Goi√¢nia, Brazil; Instituto de Inform√°tica (INF), Universidade Federal de Goi√°s, Goi√¢nia, Brazil; Federal Institute of Goi√°s, Inhumas, Brazil; Federal Institute Catarinense, Conc√≥rdia, Brazil; Centre for Wireless Communications, Oulu, Finland; Instituto Nacional de Telecomunica√ß√µes, Santa Rita do Sapuca√≠, Brazil</t>
  </si>
  <si>
    <t>As society evolves as a whole, new demands arise with increasingly demanding prerequisites, consequently requiring more significant effort to be met. Such demands cover emerging applications, such as remote surgeries in Smart Health use cases, whose latency and reliability network requirements cannot be met by current communication systems; or simply improving current applications with more challenging requirements to be achieved, such as increasing the transmission rate in a mobile network, offering Quality of Service (QoS), and consequently, better user experience. Therefore, enabling technologies must be chosen to design an appropriate 6G architecture to address such demands. However, the explosion of emerging applications focused on different scopes and requirements to be met makes choosing these enabling technologies extremely complex and unpredictable. Thus, this article aims to create a methodology for analyzing the relevance of enabling technologies and use it to design an optimal architecture capable of meeting the 6G demands. For this purpose, two methods named as Average (AVG) and Analytic Hierarchy Process (AHP) have been selected, whose objective is to determine the relevance of an enabler for the 6G architecture, taking into account different degrees of influencing variables for this analysis, such as adherence to a certain architectural model; popularity in the research area; degree of innovation; synergy with other enablers; and support for requirements. Each of these methods presents a particular result. In the case of the AVG method, the criteria and variables are evaluated independently, and the arithmetic mean is employed to combine the evaluations into a single measure of suitability. In contrast, the AHP method considers the relative importance of criteria and variables in order to classify an optimal set of enabling technologies capable of fulfilling the key roles to be performed by a 6G architecture, and consequently meeting the main 6G demands. Our evaluation provides a unique perspective on 6G enablers, identifying issues and fostering research for future mobile architectures. The results obtained also provide researchers with the necessary information to stay updated on emerging enabling technologies and their suitability for designing new optimized 6G architectures.</t>
  </si>
  <si>
    <t xml:space="preserve">Rede Nacional de Ensino e Pesquisa (RNP), with resources from Minist√©rio da Ci√™ncia, Tecnologia e Inova√ß√µes e Comunica√ß√µes (MCTIC); Brazil 6G Project of the Radiocommunication Reference Center (Centro de Refer√™ncia em Radiocomunica√ß√µes‚ÄîCRR) of the National Institute of Telecommunications (Instituto Nacional de Telecomunica√ß√µes, Inatel), Brazil(grant numbers:01245.010604/2020-14); Coordena√ß√£o de Aperfei√ßoamento de Pessoal de N√≠vel Superior (CAPES)‚ÄîFinance(grant numbers:001); </t>
  </si>
  <si>
    <t>https://ieeexplore.ieee.org/stamp/stamp.jsp?arnumber=10207841</t>
  </si>
  <si>
    <t>6G architectures;6G enabling technologies;6G requirements;6G use cases;AHP;relevance analysis</t>
  </si>
  <si>
    <t>6G mobile communication;Network architecture;User experience</t>
  </si>
  <si>
    <t>P. Wang; L. Dong; y. xu; W. Liu; N. Jing</t>
  </si>
  <si>
    <t>Clustering-Based Emotion Recognition Micro-Service Cloud Framework for Mobile Computing</t>
  </si>
  <si>
    <t>10.1109/ACCESS.2020.2979898</t>
  </si>
  <si>
    <t>National Key Laboratory of Science and Technology on ATR, College of Electronic Science, National University of Defense Technology, Changsha, China; School of Computer Science and Technology, Xidian University, Xi‚Äôan, China; School of Computer Science and Technology, Xidian University, Xi‚Äôan, China; School of Computer Science and Technology, Xidian University, Xi‚Äôan, China; School of Computer Science and Technology, Xidian University, Xi‚Äôan, China</t>
  </si>
  <si>
    <t>In a situation where life becomes more stressful and challenging, people feel compelled to be more concerned about their mental situation. Different emotional statuses are external reactions to different mental states. Therefore, researchers always identify people's mental situation by monitoring their real-time emotions. At the same time, due to the availability of built-in sensors in a smartphone, applications that can identify real-time emotions of mobile users are constantly emerging. However, compared to most emotion recognition algorithms, computing resources and battery life in mobile phones are always limited. This makes accuracy and latency of these applications are unsatisfactory. In this paper, we propose a micro-service platform for mobile emotion recognition application developers (MSPMERAD) which can supply high performance. First, a classifier fusion emotion recognition algorithm is proposed by using a dynamic adaptive fusion strategy. Second, this new algorithm is encapsulated into a micro-service. With other affiliated micro-services such as data uploading, preprocessing, etc., developers can ignore the implementation of the emotion recognition algorithm and just focus on how to collect sensor data and interact with users. The accuracy and latency of one application based on the MSPMERAD are compared with another application that is implemented using a locale emotion recognition algorithm. Experiments based on the daily behavior data of 50 student volunteers show that the application based on our platform has higher recognition accuracy with a more reasonable time.</t>
  </si>
  <si>
    <t xml:space="preserve">Fundamental Research Funds for the Central Universities(grant numbers:JB161004); </t>
  </si>
  <si>
    <t>https://ieeexplore.ieee.org/stamp/stamp.jsp?arnumber=9031338</t>
  </si>
  <si>
    <t>Classifier fusion method;dynamic adaptive fusion strategy;emotion recognition;micro-service;mobile users</t>
  </si>
  <si>
    <t>Emotion recognition;Mobile handsets;Sensors;Heuristic algorithms;Cloud computing;Semantics;Electroencephalography</t>
  </si>
  <si>
    <t>G. Yan; K. Liu; C. Liu; J. Zhang</t>
  </si>
  <si>
    <t>Edge Intelligence for Internet of Vehicles: A Survey</t>
  </si>
  <si>
    <t>IEEE Transactions on Consumer Electronics</t>
  </si>
  <si>
    <t>1558-4127</t>
  </si>
  <si>
    <t>10.1109/TCE.2024.3378509</t>
  </si>
  <si>
    <t>College of Computer Science, Chongqing University, Chongqing, China; College of Computer Science, Chongqing University, Chongqing, China; College of Computer Science, Chongqing University, Chongqing, China; CICT Connected and Intelligent Technologies Company Ltd., Chongqing, China</t>
  </si>
  <si>
    <t>The Internet of Vehicles (IoV) has become a fundamental platform for advancing Intelligent Transportation Systems (ITSs) and Intelligent Connected Vehicles (ICVs). However, the increasing volume of data generated by vehicle sensors and the computational demands of Artificial Intelligence (AI) algorithms present significant challenges for the platform. Edge Intelligence (EI), which brings intelligent computing and data processing closer to vehicles, has emerged as a potential solution. In this survey, we provide a comprehensive overview of Edge Intelligence for the Internet of Vehicles. We begin by discussing the motivations behind employing EI in the IoV for typical AI computations. To fully exploit the potential of EI in heterogeneous IoV environments, we present a layered vehicular EI architecture and discuss its benefits and challenges. Furthermore, we provide a taxonomy of EI approaches for vehicular networks, focusing on cooperative inference, distributed training, and collaborative sensing, in terms of their schemas and advanced frameworks. Finally, we explore emerging trends and research directions in this field, including vehicle-road-cloud integration, generative AI-driven IoV, and vehicular cyber-physical fusion. By offering insights into state-of-the-art techniques and trends, this survey aims to enable researchers to develop innovative solutions for transforming the intelligent IoV ecosystem.</t>
  </si>
  <si>
    <t xml:space="preserve">National Natural Science Foundation of China(grant numbers:62172064); Graduate Scientific Research and Innovation Foundation of Chongqing, China(grant numbers:CYB23044); Fundamental Research Funds for the Central Universities(grant numbers:2023CDJQCZX-001); </t>
  </si>
  <si>
    <t>https://ieeexplore.ieee.org/stamp/stamp.jsp?arnumber=10474509</t>
  </si>
  <si>
    <t>Internet of Vehicles (IoV);edge intelligence (EI);inference;training;sensing</t>
  </si>
  <si>
    <t>Sensors;Artificial intelligence;Training;Collaboration;Internet of Vehicles;Edge computing</t>
  </si>
  <si>
    <t>G. Nencioni; R. G. Garroppo; R. F. Olimid</t>
  </si>
  <si>
    <t>5G Multi-Access Edge Computing: A Survey on Security, Dependability, and Performance</t>
  </si>
  <si>
    <t>10.1109/ACCESS.2023.3288334</t>
  </si>
  <si>
    <t>Department of Electrical Engineering and Computer Science, University of Stavanger, Stavanger, Norway; Department of Information Engineering, University of Pisa, Pisa, Italy; Department of Computer Science, University of Bucharest, Bucharest, Romania</t>
  </si>
  <si>
    <t>The Fifth Generation (5G) of mobile networks offers new and advanced services with stricter requirements. Multi-access Edge Computing (MEC) is a key technology that enables these new services by deploying multiple devices with computing and storage capabilities at the edge of the network, close to end-users. MEC enhances network efficiency by reducing latency, enabling real-time awareness of the local environment, allowing cloud offloading, and reducing traffic congestion. New mission-critical applications require high security and dependability, which are rarely addressed alongside performance. This survey paper fills this gap by presenting 5G MEC‚Äôs three aspects: security, dependability, and performance. The paper provides an overview of MEC, introduces taxonomy, state-of-the-art, and challenges related to each aspect. Finally, the paper presents the challenges of jointly addressing these three aspects.</t>
  </si>
  <si>
    <t xml:space="preserve">Norwegian Research Council through the Management and Orchestration for Data and Network Integration (5G-MODaNeI) Project(grant numbers:308909); Italian Ministry of Education and Research (MIUR) in the framework of the Future-Oriented Research Laboratory (FoReLab) Project (Departments of Excellence); </t>
  </si>
  <si>
    <t>https://ieeexplore.ieee.org/stamp/stamp.jsp?arnumber=10158694</t>
  </si>
  <si>
    <t>5G;MEC;security;dependability;performance</t>
  </si>
  <si>
    <t>5G mobile communication;Security;Computer architecture;Cloud computing;Virtualization;Multi-access edge computing;Ultra reliable low latency communication</t>
  </si>
  <si>
    <t>H. Ning; F. Farha; Z. N. Mohammad; M. Daneshmand</t>
  </si>
  <si>
    <t>A Survey and Tutorial on ‚ÄúConnection Exploding Meets Efficient Communication‚Äù in the Internet of Things</t>
  </si>
  <si>
    <t>10.1109/JIOT.2020.2996615</t>
  </si>
  <si>
    <t>School of Computer and Communication Engineering, University of Science and Technology Beijing, Beijing, China; School of Computer and Communication Engineering, University of Science and Technology Beijing, Beijing, China; School of Computer and Communication Engineering, University of Science and Technology Beijing, Beijing, China; School of Business, Stevens Institute of Technology, Hoboken, NJ, USA</t>
  </si>
  <si>
    <t>Internet-of-Things (IoT)-enabled sensors and services have increased exponentially recently. Transmitting the massive generated data and control messages becomes an overhead on the communication system infrastructure. Many architectures and paradigms have been introduced to address the connection exploding, such as cloudlets, fog, and mist computing. Besides, software-related solutions, such as mobile Internet technologies and software-defined network also take part in mitigating the communication overhead. All of those new techniques have the same purposes summarized in achieving low latency, high throughput, and less storage and computing at the cloud level in addition to other objectives discussed through this survey. We list the proposed solutions, show their advantages and schemes, highlight some of the newest IoT-enabled applications, and show how they benefit from applying the new paradigms.</t>
  </si>
  <si>
    <t xml:space="preserve">National Natural Science Foundation of China(grant numbers:61471035,61672131); Civil Aviation Joint Funds of the National Natural Science Foundation of China(grant numbers:U1633121); </t>
  </si>
  <si>
    <t>https://ieeexplore.ieee.org/stamp/stamp.jsp?arnumber=9098906</t>
  </si>
  <si>
    <t>Connection exploding;Internet-of-Things (IoT) communications</t>
  </si>
  <si>
    <t>Cloud computing;Sensors;Edge computing;Security;Computer architecture;Internet of Things;Privacy;Surveys;Tutorials</t>
  </si>
  <si>
    <t>A. A. Adewuyi; H. Cheng; Q. Shi; J. Cao; X. Wang; B. Zhou</t>
  </si>
  <si>
    <t>SC-TRUST: A Dynamic Model for Trustworthy Service Composition in the Internet of Things</t>
  </si>
  <si>
    <t>10.1109/JIOT.2021.3097980</t>
  </si>
  <si>
    <t>Department of Computer Science, Liverpool John Moores University, Liverpool, U.K.; Department of Computer Science, University of Hertfordshire, Hatfield, U.K.; Department of Computer Science, Liverpool John Moores University, Liverpool, U.K.; Department of Computing, Hong Kong Polytechnic University, Hong Kong; State Key Laboratory of Synthetical Automation for Process Industries, College of Computer Science and Engineering, Northeastern University, Shenyang, China; Department of Computer Science, Liverpool John Moores University, Liverpool, U.K.</t>
  </si>
  <si>
    <t>A future Internet of Things (IoT) will feature a service-oriented architecture consisting of lightweight computing platforms offering individual, loosely coupled microservices. Often, an end-user will request a bespoke service that will require a composition of two or more microservices offered by different service providers. However, the underlying complexities of soft compositions and the increased security risks are inherent in such a massively decentralized and distributed architecture. The use of trust management to secure the IoT is well studied in the literature. However, there are limitations to its use in service compositions in the IoT. Specifically, transparent (agnostic) trust composition and decomposition remain key problems for this area. A novel model for trustworthy service compositions in the IoT, SC-TRUST, is therefore proposed to deal with these challenges. In this study, the trust properties of service compositions and the effect of service workflows on transparent trust composition and decomposition are investigated. Based on the findings, relevant trust evaluation functions are derived to guide the compositions. SC-TRUST was implemented in a suitable application and its performance, in terms of the utility derived and the trust accuracy, convergence, and resiliency, was evaluated. The results show that SC-TRUST improves the quality of service compositions and adequately mitigates trust-related attacks, thus increasing both efficiency and security.</t>
  </si>
  <si>
    <t xml:space="preserve">National Natural Science Foundation of China(grant numbers:61872073); LiaoNing Revitalization Talents Program(grant numbers:XLYC1902010); </t>
  </si>
  <si>
    <t>https://ieeexplore.ieee.org/stamp/stamp.jsp?arnumber=9493744</t>
  </si>
  <si>
    <t>Collaborative computing;distributed applications;Internet of Things (IoT);security and privacy protection;service composition;trust management</t>
  </si>
  <si>
    <t>Internet of Things;Reliability;Collaboration;Trust management;Middleware;Computational modeling;Service-oriented architecture</t>
  </si>
  <si>
    <t>Z. Yuan; T. Azzino; Y. Hao; Y. Lyu; H. Pei; A. Boldini; M. Mezzavilla; M. Beheshti; M. Porfiri; T. E. Hudson; W. Seiple; Y. Fang; S. Rangan; Y. Wang; J. -R. Rizzo</t>
  </si>
  <si>
    <t>Network-Aware 5G Edge Computing for Object Detection: Augmenting Wearables to ‚ÄúSee‚Äù More, Farther and Faster</t>
  </si>
  <si>
    <t>10.1109/ACCESS.2022.3157876</t>
  </si>
  <si>
    <t>Department of Electrical and Computer Engineering, Tandon School of Engineering, New York University, Brooklyn, NY, USA; Department of Electrical and Computer Engineering, Tandon School of Engineering, New York University, Brooklyn, NY, USA; Department of Electrical and Computer Engineering, Tandon School of Engineering, New York University, Brooklyn, NY, USA; Department of Electrical and Computer Engineering, Tandon School of Engineering, New York University, Brooklyn, NY, USA; Department of Electrical and Computer Engineering, Tandon School of Engineering, New York University, Brooklyn, NY, USA; Department of Mechanical and Aerospace Engineering, Tandon School of Engineering, New York University, Brooklyn, NY, USA; Department of Electrical and Computer Engineering, Tandon School of Engineering, New York University, Brooklyn, NY, USA; Department of Mechanical and Aerospace Engineering, Tandon School of Engineering, New York University, Brooklyn, NY, USA; Department of Mechanical and Aerospace Engineering, Tandon School of Engineering, New York University, Brooklyn, NY, USA; Department of Rehabilitation Medicine, NYU Langone Health, New York, NY, USA; Lighthouse Guild, New York, NY, USA; Department of Electrical and Computer Engineering, Tandon School of Engineering, New York University, Brooklyn, NY, USA; Department of Electrical and Computer Engineering, Tandon School of Engineering, New York University, Brooklyn, NY, USA; Department of Electrical and Computer Engineering, Tandon School of Engineering, New York University, Brooklyn, NY, USA; Department of Mechanical and Aerospace Engineering, Tandon School of Engineering, New York University, Brooklyn, NY, USA</t>
  </si>
  <si>
    <t>Advanced wearable devices are increasingly incorporating high-resolution multi-camera systems. As state-of-the-art neural networks for processing the resulting image data are computationally demanding, there has been a growing interest in leveraging fifth generation (5G) wireless connectivity and mobile edge computing for offloading this processing closer to end-users. To assess this possibility, this paper presents a detailed simulation and evaluation of 5G wireless offloading for object detection in the case of a powerful, new smart wearable called VIS4ION, for the Blind-and-Visually Impaired (BVI). The current VIS4ION system is an instrumented book-bag with high-resolution cameras, vision processing, and haptic and audio feedback. The paper considers uploading the camera data to a mobile edge server to perform real-time object detection and transmitting the detection results back to the wearable. To determine the video requirements, the paper evaluates the impact of video bit rate and resolution on object detection accuracy and range. A new street scene dataset with labeled objects relevant to BVI navigation is leveraged for analysis. The vision evaluation is combined with a full-stack wireless network simulation to determine the distribution of throughputs and delays with real navigation paths and ray-tracing from new high-resolution 3D models in an urban environment. For comparison, the wireless simulation considers both a standard 4G-Long Term Evolution (LTE) sub-6-GHz carrier and high-rate 5G millimeter-wave (mmWave) carrier. The work thus provides a thorough and detailed assessment of edge computing for object detection with mmWave and sub-6-GHz connectivity in an application with both high bandwidth and low latency requirements.</t>
  </si>
  <si>
    <t xml:space="preserve">NSF through the Smart and Connected Community Program(grant numbers:1952180); Industrial Affiliates of New York University (NYU) WIRELESS; NSF(grant numbers:1925079,1564142,1547332); Semiconductor Research Corporation (SRC); NSF(grant numbers:2003182); New York University Abu Dhabi (NYUAD) Institute (Research Enhancement Fund)(grant numbers:RE132); </t>
  </si>
  <si>
    <t>https://ieeexplore.ieee.org/stamp/stamp.jsp?arnumber=9730919</t>
  </si>
  <si>
    <t>Mobile edge computing;millimeter-wave;5G wireless;smart wearables;mobile machine vision;deep learning;object detection</t>
  </si>
  <si>
    <t>Wireless communication;Cameras;5G mobile communication;Object detection;Wearable computers;Ions;Image edge detection</t>
  </si>
  <si>
    <t>B. Y. Ooi; W. L. Beh; W. -K. Lee; S. Shirmohammadi</t>
  </si>
  <si>
    <t>Using the Cloud to Improve Sensor Availability and Reliability in Remote Monitoring</t>
  </si>
  <si>
    <t>10.1109/TIM.2018.2882218</t>
  </si>
  <si>
    <t>Faculty of Information and Communication Technology, Universiti Tunku Abdul Rahman, Kampar, Perak, Malaysia; Faculty of Science, Universiti Tunku Abdul Rahman, Kampar, Perak, Malaysia; Faculty of Information and Communication Technology, Universiti Tunku Abdul Rahman, Kampar, Perak, Malaysia; Distributed and Collaborative Virtual Environments Research Laboratory, University of Ottawa, Ottawa, ON, Canada</t>
  </si>
  <si>
    <t>Although there have been significant advancements in low-power remote sensors in recent years, the challenge of sensor availability and data reliability in remote monitoring applications still persists. The fault and failure of sensors will affect the reliability of the monitored data and subsequently the adverse effect will inevitably propagate itself to the data analytics stage. There are many existing solutions focusing on improving sensor nodes to enhance data reliability and couple it with various energy harvesting techniques to prolong the availability of sensor nodes. This paper presents a complementary solution to these existing solutions by analyzing the correlation between data from different sensor nodes using cloud computing resources. The discovered relationship between the sensor nodes can then be used to improve data reliability and availability of sensor nodes. Performance evaluations using real data sets show that there are indeed relationships between the collected data, and through these discovered relationships the fault detection and fault masking methods outperform conventional approaches such as autoregressive-integrated moving average. In addition, this paper also proposes an approach to extend operation of sensor nodes duration through the discovered relationships, with experiments showing promising results.</t>
  </si>
  <si>
    <t>https://ieeexplore.ieee.org/stamp/stamp.jsp?arnumber=8574916</t>
  </si>
  <si>
    <t>Data reliability;remote monitoring;system availability;wireless sensor nodes</t>
  </si>
  <si>
    <t>Reliability;Cloud computing;Wireless sensor networks;Temperature sensors;Remote monitoring;Batteries</t>
  </si>
  <si>
    <t>D. Hawashin; D. A. J. Mahboobeh; K. Salah; R. Jayaraman; I. Yaqoob; M. Debe; S. Ellahham</t>
  </si>
  <si>
    <t>Blockchain-Based Management of Blood Donation</t>
  </si>
  <si>
    <t>10.1109/ACCESS.2021.3133953</t>
  </si>
  <si>
    <t>Department of Industrial and Systems Engineering, Khalifa University of Science and Technology, Abu Dhabi, United Arab Emirates; Department of Electrical Engineering and Computer Science, Khalifa University of Science and Technology, Abu Dhabi, United Arab Emirates; Department of Electrical Engineering and Computer Science, Khalifa University of Science and Technology, Abu Dhabi, United Arab Emirates; Department of Industrial and Systems Engineering, Khalifa University of Science and Technology, Abu Dhabi, United Arab Emirates; Department of Electrical Engineering and Computer Science, Khalifa University of Science and Technology, Abu Dhabi, United Arab Emirates; Heart &amp; Vascular Institute, Cleveland Clinic Abu Dhabi, Abu Dhabi, United Arab Emirates; Heart &amp; Vascular Institute, Cleveland Clinic Abu Dhabi, Abu Dhabi, United Arab Emirates</t>
  </si>
  <si>
    <t>Today‚Äôs a large number of blood donation management systems fall short in providing traceability, immutability, transparency, audit, privacy, and security features. Also, they are vulnerable to the single point of failure problem due to centralization. In this paper, we propose a private Ethereum blockchain-based solution to automate blood donation management in a manner that is decentralized, transparent, traceable, auditable, private, secure, and trustworthy. The proposed solution stores non-critical and large data off-chain using the decentralized storage of the InterPlanetary File System (IPFS). We present the system architecture, sequence diagrams, entity-relationship diagram, and algorithms to briefly explain the working principles of our blood donation management solution. We evaluate the performance of our solution in terms of efficiency and effectiveness through performing security analysis. We make our smart contract code publicly available on Github.</t>
  </si>
  <si>
    <t xml:space="preserve">Khalifa University of Science and Technology(grant numbers:CIRA-2019-001); </t>
  </si>
  <si>
    <t>https://ieeexplore.ieee.org/stamp/stamp.jsp?arnumber=9642983</t>
  </si>
  <si>
    <t>Blockchain;private Ethereum;blood donation management;blood bank;traceability;security</t>
  </si>
  <si>
    <t>Blood;Blockchains;Supply chains;Security;Medical services;Radiofrequency identification;Testing</t>
  </si>
  <si>
    <t>O. S. M. B. H. Almazrouei; P. Magalingam; M. K. Hasan; M. Shanmugam</t>
  </si>
  <si>
    <t>A Review on Attack Graph Analysis for IoT Vulnerability Assessment: Challenges, Open Issues, and Future Directions</t>
  </si>
  <si>
    <t>10.1109/ACCESS.2023.3272053</t>
  </si>
  <si>
    <t>Advanced Informatics Department, Razak Faculty of Technology and Informatics, Universiti Teknologi Malaysia, Kuala Lumpur, Malaysia; Advanced Informatics Department, Razak Faculty of Technology and Informatics, Universiti Teknologi Malaysia, Kuala Lumpur, Malaysia; Center for Cyber Security, Faculty of Information Science and Technology, Universiti Kebangsaan Malaysia, Bangi, Malaysia; College of Computing and Informatics, Universiti Tenaga Nasional, Kajang, Malaysia</t>
  </si>
  <si>
    <t>Vulnerability assessment in industrial IoT networks is critical due to the evolving nature of the domain and the increasing complexity of security threats. This study aims to address the existing gaps in the literature by conducting a comprehensive survey on the use of attack graphs for vulnerability assessment in IoT networks. Attack graphs serve as a valuable cybersecurity tool for modeling and analyzing potential attack scenarios on systems, networks, or applications. The survey covers the research conducted between 2016 and 2021(34 peer-reviewed journal articles and 28 conference papers), identifying and categorizing the main methodologies and technologies employed in generating and analyzing attack graphs. In this review, core modeling techniques for IoT vulnerability assessment are highlighted, such as Markov Decision Processes (MDP), Feature Pyramid Networks (FPN), K-means clustering, and logistic regression models, along with other techniques involving genetic algorithms like fast-forward (FF), contingent fast-forwards (CFF), advanced reinforcement-learning algorithms, and HARMs models. The evaluation of the performance of these attack graph models using IoT networks or devices as case studies is also emphasized. This survey provides valuable insights into the state-of-the-art attack graph techniques for IoT network vulnerability assessment, identifying various applications, performances, research opportunities, and challenges. As a reference source, it serves to inform academicians and practitioners interested in leveraging attack graphs for IoT network vulnerability assessment and guides future research directions in this area.</t>
  </si>
  <si>
    <t xml:space="preserve">Ministry of Higher Education, Government of Malaysia, and the Research Management Centre, Universiti Teknologi Malaysia, through the Fundamental Research Grant Scheme (FRGS) Grant (vote number R.K130000.7856.5F016)(grant numbers:FRGS/1/2018/ICT04/UTM/02/8); </t>
  </si>
  <si>
    <t>https://ieeexplore.ieee.org/stamp/stamp.jsp?arnumber=10113644</t>
  </si>
  <si>
    <t>Attack graph;the Internet of Things;network vulnerabilities;vulnerability assessment</t>
  </si>
  <si>
    <t>Internet of Things;Computer security;Systematics;Databases;Metadata;Wireless sensor networks;Terminology</t>
  </si>
  <si>
    <t>A. Betzler; D. Camps-Mur; E. Garcia-Villegas; I. Demirkol; J. J. Aleixendri</t>
  </si>
  <si>
    <t>SODALITE: SDN Wireless Backhauling for Dense 4G/5G Small Cell Networks</t>
  </si>
  <si>
    <t>10.1109/TNSM.2019.2930745</t>
  </si>
  <si>
    <t>Mobile and Wireless Internet, I2CAT Foundation, Barcelona, Spain; Mobile and Wireless Internet, I2CAT Foundation, Barcelona, Spain; Department of Telematics Engineering, Universitat Polit√®cnica de Catalunya, Barcelona, Spain; Department of Telematics Engineering, Universitat Polit√®cnica de Catalunya, Barcelona, Spain; Mobile and Wireless Internet, I2CAT Foundation, Barcelona, Spain</t>
  </si>
  <si>
    <t>Dense deployments of small cells (SCs) are key to fulfill the capacity requirements of future 5G networks. However, two roadblocks to the adoption of SCs are: 1) the limited availability and the cost of sites with wired backhaul resources and 2) the complexity to manage a dense deployment of wireless backhaul nodes. Towards these challenges we propose SODALITE, a novel system that applies software-defined networking (SDN) to a wireless backhaul network. We present, how SODALITE can be integrated to 3GPP's 4G and 5G architectures, and show the feasibility of SODALITE through LTE network testbed experiments. We substantiate the scalability of SODALITE through stochastic studies using real-life traffic traces from an LTE network and discuss the effects of cell densification and 5G system architecture on these studies. Further, a reliable backhauling solution for wireless links is introduced in SODALITE through SDN-enabled mechanisms that are capable of reconfiguring the data plane upon a link failure detection. Its reliability is shown through experiments on an LTE network testbed, and studied thoroughly via rigorous simulations and network emulator evaluations. As a result, we claim that SODALITE is a promising carrier-grade system to manage a wireless SC backhaul.</t>
  </si>
  <si>
    <t xml:space="preserve">European Union under grant agreements 762057(grant numbers:H2020 5G-PICTURE); Spanish Ministry of Economy and Competitiveness (MINECO)(grant numbers:TEC2016-76795-C6-2-R,RYC-2013-13029,FEDER); </t>
  </si>
  <si>
    <t>https://ieeexplore.ieee.org/stamp/stamp.jsp?arnumber=8771139</t>
  </si>
  <si>
    <t>4G/5G small cells;wireless backhaul;SDN;fast re-route</t>
  </si>
  <si>
    <t>Wireless communication;5G mobile communication;Computer architecture;Long Term Evolution;Scalability;Reliability;Switches</t>
  </si>
  <si>
    <t>N. Magaia; P. Gomes; L. Silva; B. Sousa; C. X. Mavromoustakis; G. Mastorakis</t>
  </si>
  <si>
    <t>Development of Mobile IoT Solutions: Approaches, Architectures, and Methodologies</t>
  </si>
  <si>
    <t>10.1109/JIOT.2020.3046441</t>
  </si>
  <si>
    <t>Department of Computer Science, Faculty of Sciences, LASIGE, University of Lisbon, Lisbon, Portugal; Faculty of Sciences, University of Lisbon, Lisbon, Portugal; Department of Computer Science, Faculty of Sciences, LASIGE, University of Lisbon, Lisbon, Portugal; Faculty of Sciences, University of Lisbon, Lisbon, Portugal; Department of Computer Science, University of Nicosia, Nicosia, Cyprus; Department of Management Science and Technology, Hellenic Mediterranean University, Agios Nikolaos, Greece</t>
  </si>
  <si>
    <t>Modern Living, as we know it, has been impacted meaningfully by the Internet of Things (IoT). IoT consists of a network of things that collect data from machines (e.g., mobile devices) and people. Mobile application development is a flourishing tendency, given the increasing popularity of smartphones. Nowadays, users are accessing their desired services on the smartphone by means of dedicated applications as the latter offers a more customized and prompt service. In addition, companies are also looking to persuade users by offering interactive and effective mobile applications. Mobile application developers are using IoT to develop better applications. However, there is no generalized consensus on the selection of best architecture or even the most suitable communications protocols to be used on an IoT application development. Therefore, this article aims at presenting approaches, architectures, and methodologies relevant to the development of mobile IoT solutions.</t>
  </si>
  <si>
    <t xml:space="preserve">FCT through the LASIGE Research Unit(grant numbers:UIDB/00408/2020,UIDP/00408/2020); </t>
  </si>
  <si>
    <t>https://ieeexplore.ieee.org/stamp/stamp.jsp?arnumber=9302583</t>
  </si>
  <si>
    <t>Architecture;Internet of Things (IoT);methodology;mobile development</t>
  </si>
  <si>
    <t>Internet of Things;Computer architecture;Protocols;Cloud computing;Software;TCPIP;Security</t>
  </si>
  <si>
    <t>L. C. C. De Biase; P. C. Calcina-Ccori; G. Fedrecheski; G. M. Duarte; P. S. S. Rangel; M. K. Zuffo</t>
  </si>
  <si>
    <t>Swarm Economy: A Model for Transactions in a Distributed and Organic IoT Platform</t>
  </si>
  <si>
    <t>10.1109/JIOT.2018.2886069</t>
  </si>
  <si>
    <t>Engineering School, University of S√£o Paulo (Escola Politecnica da USP), S√£o Paulo, Brazil; Institute of Mathematics and Statistics, University of S√£o Paulo, S√£o Paulo, Brazil; Engineering School, University of S√£o Paulo (Escola Politecnica da USP), S√£o Paulo, Brazil; Engineering School, University of S√£o Paulo (Escola Politecnica da USP), S√£o Paulo, Brazil; Engineering School, University of S√£o Paulo (Escola Politecnica da USP), S√£o Paulo, Brazil; Engineering School, University of S√£o Paulo (Escola Politecnica da USP), S√£o Paulo, Brazil</t>
  </si>
  <si>
    <t>The Internet of Things (IoT) is steadily growing and migrating to decentralized architectures. In this context the Swarm approach, based on organic, edge-centric IoT networks, proposes one step further toward cooperation among devices, through the creation of a communication mediator called Swarm Broker. An important aspect in creating a cooperation network in the Swarm is the economical domain: the Swarm economy that guarantees fair rules to stimulate resource sharing among participants. This economic aspect is even more challenging in networks with distributed governance and motivates the adoption of a technology for a trustworthy and immutable public registry, such as blockchain, to store transaction information. In this paper, we aim to create an economic model that regulate the cooperation among the participants of the Swarm, by implementing strategies, to fulfill the restrictions posed by the decentralized network and the presence of resource-constrained devices that integrate the Swarm. We created a microeconomic model for resource sharing in the Swarm and a transaction model, based on the price and reputation of participants. We created a blockchain-based system for storing currency, contract, and reputation information in a distributed way. We included the resulting models and implementation into the Swarm network, by adding a module into the Swarm Broker.</t>
  </si>
  <si>
    <t xml:space="preserve">Coordena√ß√£o de Aperfei√ßoamento de Pessoal de N√≠vel Superior - Brazil (CAPES) - Finance Code 001, CAPES Pro-Defesa Aux√≠lio 2993/2013, Pr√≥-Reitoria de P√≥s-Gradua√ß√£o da Universidade de S√£o Paulo and Laborat√≥rio de Sistemas Integr√°veis Tecnol√≥gico (LSI-TEC); National Secretary for Digital Policies (SEPIN) within the Ministry of Science, Technology, Innovation and Communications (MCTIC) of Brazil(grant numbers:01250.054503/2017-72); </t>
  </si>
  <si>
    <t>https://ieeexplore.ieee.org/stamp/stamp.jsp?arnumber=8572758</t>
  </si>
  <si>
    <t>Blockchain;economic model;edge computing;Internet of Things (IoT)</t>
  </si>
  <si>
    <t>Internet of Things;Economics;Resource management;Cloud computing;Computational modeling;Computer architecture</t>
  </si>
  <si>
    <t>S. V. Sudarsan; O. Schel√©n; U. Bodin</t>
  </si>
  <si>
    <t>Survey on Delegated and Self-Contained Authorization Techniques in CPS and IoT</t>
  </si>
  <si>
    <t>10.1109/ACCESS.2021.3093327</t>
  </si>
  <si>
    <t>EISLAB, Lule√• University of Technology, Lule√•, Sweden; EISLAB, Lule√• University of Technology, Lule√•, Sweden; EISLAB, Lule√• University of Technology, Lule√•, Sweden</t>
  </si>
  <si>
    <t>Authentication, authorization, and digital identity management are core features required by secure digital systems. In this, authorization is a key component for regulating the detailed access credentials with respect to required service resources. Authorization, therefore, plays a significant role in the trust management of autonomous devices and services. Due to the heterogeneous nature of cyber-physical systems and the Internet of Things, several authorization techniques using different access control models, accounts, groups, tokens, and delegations have both strengths and weaknesses. Many studies exist in the literature that focus on other main security requirements, such as authentication, identity management, and confidentiality. However, there is a need for a comprehensive review of different authorization techniques in cyber-physical systems and the Internet of Things. A specific target of this paper is authorization in the cyber-physical system and Internet of Things networks with non-constrained devices in an industrial context with mobility, subcontractors, and autonomous machines that are able to carry out advanced tasks on behalf of others. We study the different authorization techniques using our three-dimensional classification, including access control models, subgranting models, and authorization governance. We focus on the state of the art of authorization subgranting, including delegation techniques by access control/authorization server and self-contained authorization using a new concept of power of attorney. Comparisons are performed with respect to several parameters, such as type of communication, method of authorization, control of expiration, and use of techniques such as public key certificate, encryption techniques, and tokens. The results show the differences and similarities of server-based and power of attorney-based authorization subgranting. The most common standards are also analyzed in light of those classifications.</t>
  </si>
  <si>
    <t xml:space="preserve">Electronic Components and Systems for European Leadership (ECSEL) Joint Undertaking (JU) through the Arrowhead Tools Project(grant numbers:826452); </t>
  </si>
  <si>
    <t>https://ieeexplore.ieee.org/stamp/stamp.jsp?arnumber=9467373</t>
  </si>
  <si>
    <t>Authorization;access control models;cyber-physical systems (CPS);Internet of Things (IoT);subgranting;delegation;power of attorney (PoA);OAuth</t>
  </si>
  <si>
    <t>Authorization;Internet of Things;Security;Authentication;Servers;Task analysis;Standards</t>
  </si>
  <si>
    <t>J. Yang; W. Lv</t>
  </si>
  <si>
    <t>Optimization of Sports Training Systems Based on Wireless Sensor Networks Algorithms</t>
  </si>
  <si>
    <t>10.1109/JSEN.2020.3046290</t>
  </si>
  <si>
    <t>Jiaozuo Normal College, Institute of Physical Education, Jiaozuo, China; Jiaozuo Normal College, Institute of Physical Education, Jiaozuo, China</t>
  </si>
  <si>
    <t>This paper aims to design and optimize a sports training system through wireless sensor network technology, which mainly includes a hardware system and software system. In the hardware system, the design of sensor nodes and the base station is realized, which can realize the real-time collection of movement parameters by the movement collectors. In the software system, the design of base station control, node control, and motion database software is realized, which can effectively collect, store, and analyze the motion parameters. Finally, the wireless sensor network-based sports training system is tested, and the test results show that the system designed in this paper can meet the needs of sports training use. The inertial measurement unit in the wearable device is used to collect the data generated by the human body during exercise, and low-power Bluetooth is used as the data transmission protocol between the wearable device and the smartphone. The server side provides computing resources in the form of cloud computing to achieve client-server interaction. In combination with the idea of service containerization, a deployment scheme for cloud services was proposed using container choreography, and compared to the pre-training period, the subjects‚Äô trunk sway in the front and back directions decreased by 60.5% and 54.0%, and the trunk sway in the left and right directions decreased by 67.1% and 50.3% during and after training, respectively, and the ratio of time occupied by the equilibrium state increased by 63.5% and 47.4%, subjects‚Äô balance was effectively improved.</t>
  </si>
  <si>
    <t>https://ieeexplore.ieee.org/stamp/stamp.jsp?arnumber=9301323</t>
  </si>
  <si>
    <t>Wireless sensors algorithms;networks;athletic training;system optimization</t>
  </si>
  <si>
    <t>Sensors;Wireless sensor networks;Interference;Sensor systems;Training;Cloud computing;Wireless communication</t>
  </si>
  <si>
    <t>R. Tallat; A. Hawbani; X. Wang; A. Al-Dubai; L. Zhao; Z. Liu; G. Min; A. Y. Zomaya; S. Hamood Alsamhi</t>
  </si>
  <si>
    <t>Navigating Industry 5.0: A Survey of Key Enabling Technologies, Trends, Challenges, and Opportunities</t>
  </si>
  <si>
    <t>10.1109/COMST.2023.3329472</t>
  </si>
  <si>
    <t>School of Computer Science and Technology, University of Science and Technology of China, Hefei, China; School of Computer Science and Technology, University of Science and Technology of China, Hefei, China; School of Computer Science and Technology, University of Science and Technology of China, Hefei, China; Computing School, Edinburgh Napier University, Edinburgh, U.K.; Computing School, Edinburgh Napier University, Edinburgh, U.K.; Department of Computer and Network Engineering, The University of Electro-Communications, Tokyo, Japan; Department of Computer Science, College of Engineering, Mathematics, and Physical Sciences, University of Exeter, Exeter, U.K.; Computing School of Computer Science, The University of Sydney, Sydney, NSW, Australia; Insight Centre for Data Analytics, University of Galway, Galway, Ireland</t>
  </si>
  <si>
    <t>This century has been a major avenue for revolutionary changes in technology and industry. Industries have transitioned towards intelligent automation, relying less on human intervention, resulting in the fourth industrial revolution, Industry 4.0. That is why IoT has been the researcher‚Äôs arena for quite some time. With Industry 4.0 still in motion, the world is on the verge of the  $5^{\textit {th}}$  industrial revolution, a relatively new concept with many unclear opinions regarding its potential benefits, challenges, opportunities, trends, and impact on society. There is a dire need for a broader and more critical perspective. This research paints a bigger picture of ‚ÄúWhat is happening?‚Äù and ‚ÄúWhat to expect?‚Äù during the transition phase of Industry 5.0. In this comprehensive review, we have addressed the state-of-the-art practices in Industry 4.0 and the transitional phase of Industry 5.0. We have highlighted the most promising key enabling technologies, trends, research topics, rising challenges, and unfolding opportunities that can help prepare society for this paradigm shift. The paper then surveys the work toward the outstanding key enablers, challenges, trends, and opportunities in the IoT evolution for Industry 5.0. To spur further avenues for researchers and industrialists, the paper offers conclusive insights at the end. In addition, the article has a precise set of research questions answered in consequent sections and subsections for the reader‚Äôs clarity.</t>
  </si>
  <si>
    <t xml:space="preserve">Innovation Team and Talents Cultivation Program of the National Administration of Traditional Chinese Medicine(grant numbers:ZYYCXTD-D-202208); National Natural Science Foundation of China(grant numbers:62372310); Liaoning Province Applied Basic Research Program(grant numbers:2023JH2/101300194); Science Foundation Ireland(grant numbers:SFI/12/RC/2289_P2); </t>
  </si>
  <si>
    <t>https://ieeexplore.ieee.org/stamp/stamp.jsp?arnumber=10305081</t>
  </si>
  <si>
    <t>Industry 5.0;industry 4.0;digital twin;federated learning;Industrial Internet of Things (IIoT);industrial wireless sensor networks;Internet of Robotic Things (IoRT);blockchain;6G;intelligent sensing</t>
  </si>
  <si>
    <t>Industries;Fourth Industrial Revolution;Service robots;Artificial intelligence;Surveys;Robot sensing systems;Industrial Internet of Things</t>
  </si>
  <si>
    <t>M. Ergen; F. Inan; O. Ergen; I. Shayea; M. F. Tuysuz; A. Azizan; N. K. Ure; M. Nekovee</t>
  </si>
  <si>
    <t>Edge on Wheels With OMNIBUS Networking for 6G Technology</t>
  </si>
  <si>
    <t>10.1109/ACCESS.2020.3038233</t>
  </si>
  <si>
    <t>Electronics and Communication Engineering Department, Faculty of Electrical and Electronics Engineering, Istanbul Technical University (ITU), Istanbul, Turkey; Ambeent Inc., Yuba, CA, USA; Electronics and Communication Engineering Department, Faculty of Electrical and Electronics Engineering, Istanbul Technical University (ITU), Istanbul, Turkey; Electronics and Communication Engineering Department, Faculty of Electrical and Electronics Engineering, Istanbul Technical University (ITU), Istanbul, Turkey; Computer and Information Sciences Department, Northumbria University, Newcastle Upon Tyne, U.K.; Advanced Informatics Department, Razak Faculty of Technology and Informatics, Universiti Teknologi Malaysia, Kuala Lumpur, Malaysia; Istanbul Technical University Artificial Intelligence and Data Science Application and Research Center, ITU Ayazaga Campus, Istanbul, Turkey; Centre for Advanced Communications, Mobile Technology and IoT, School of Engineering and Informatics, University of Sussex, Brighton, U.K.</t>
  </si>
  <si>
    <t>In recent years, both the scientific community and the industry have focused on moving computational resources with remote data centres from the centralized cloud to decentralised computing, making them closer to the source or the so called ‚Äúedge‚Äù of the network. This is due to the fact that the cloud system alone cannot sufficiently support the huge demands of future networks with the massive growth of new, time-critical applications such as self-driving vehicles, Augmented Reality/Virtual Reality techniques, advanced robotics and critical remote control of smart Internet-of-Things applications. While decentralised edge computing will form the backbone of future heterogeneous networks, it still remains at its infancy stage. Currently, there is no comprehensive platform. In this article, we propose a novel decentralised edge architecture, a solution called OMNIBUS, which enables a continuous distribution of computational capacity for end-devices in different localities by exploiting moving vehicles as storage and computation resources. Scalability and adaptability are the main features that differentiate the proposed solution from existing edge computing models. The proposed solution has the potential to scale infinitely, which will lead to a significant increase in network speed. The OMNIBUS solution rests on developing two predictive models: (i) to learn timing and direction of vehicular movements to ascertain computational capacity for a given locale, and (ii) to introduce a theoretical framework for sequential to parallel conversion in learning, optimisation and caching under contingent circumstances due to vehicles in motion.</t>
  </si>
  <si>
    <t xml:space="preserve">Ambeent Inc.; Universiti Teknologi Malaysia, Research University Grant Scheme Tier 2(grant numbers:PY/2019/00325); </t>
  </si>
  <si>
    <t>https://ieeexplore.ieee.org/stamp/stamp.jsp?arnumber=9260179</t>
  </si>
  <si>
    <t>Edge computing;5G;6G;V2X;ubiquitous AI;distributed AI;multi-access edge computing (MEC)</t>
  </si>
  <si>
    <t>Scalability;Wheels;Timing;Time factors;Robots;Remote control;Edge computing</t>
  </si>
  <si>
    <t>X. Li; Z. Zhou; Z. Shi; X. Xue; Y. Duan</t>
  </si>
  <si>
    <t>Energy-Efficient Anomaly Detection With Primary and Secondary Attributes in Edge-Cloud Collaboration Networks</t>
  </si>
  <si>
    <t>10.1109/JIOT.2021.3062420</t>
  </si>
  <si>
    <t>School of Information Engineering, China University of Geosciences (Beijing), Beijing, China; School of Information Engineering, China University of Geosciences (Beijing), Beijing, China; Department of Shale Gas, Research Institute of Petroleum Exploration and Development, PetroChina, Beijing, China; School of Computer Software, College of Intelligence and Computing, Tianjin University, Tianjin, China; College of Information Science and Technology, Hainan University, Haikou, China</t>
  </si>
  <si>
    <t>An energy-efficient anomaly detection is fundamental to maintain a healthy status of domain applications in edge-cloud collaboration networks. Generally, various kinds of multimodal sensory data capture heterogeneous attributes, where a certain attribute, called the primary one, may be more significant in detecting certain anomaly. This observation drives us to propose a novel energy-efficient anomaly detection mechanism, where attributes sensed by multimodal smart things (msts) are categorized as primary and secondary ones according to their relevance with the characteristic of this anomaly. This technique includes two steps: 1) an initial anomaly detection in single edge networks. Edge nodes associated with the primary attribute adopt a lightweight object detection model to initially detect the potential occurrence of this anomaly. Certain edge networks are determined where an anomaly is suspected and 2) an anomaly refinement with multimodal and multiattribute smart things in marginal edge networks. The cloud identifies and issues a specific query request to gather anomaly-aware sensory data from smart things with secondary attributes, for refining the detection accuracy of this anomaly, where an adaptive weighted fusion model is developed to analyze sensory data coupling of msts. The experimental results show that this technique performs better than the state of the art on the reduction of energy consumption and query time.</t>
  </si>
  <si>
    <t xml:space="preserve">National Key Research and Development Program of China (Key Technologies and Demonstrations of the Internet of Things and Smart Cities)(grant numbers:2019YFB2101803); National Natural Science Foundation of China(grant numbers:61772479,42050103); </t>
  </si>
  <si>
    <t>https://ieeexplore.ieee.org/stamp/stamp.jsp?arnumber=9369387</t>
  </si>
  <si>
    <t>Edge-cloud collaboration networks;energy-efficient anomaly detection;multimodal smart things (msts);primary and secondary attributes</t>
  </si>
  <si>
    <t>Image edge detection;Anomaly detection;Cloud computing;Collaboration;Sensors;Internet of Things;Oils</t>
  </si>
  <si>
    <t>C. Cabrera; S. Svorobej; A. Palade; A. Kazmi; S. Clarke</t>
  </si>
  <si>
    <t>MAACO: A Dynamic Service Placement Model for Smart Cities</t>
  </si>
  <si>
    <t>10.1109/TSC.2022.3143029</t>
  </si>
  <si>
    <t>Department of Computer Science and Technology, University of Cambridge, Cambridge, U.K; School of Computer Science and Statistics, Trinity College, Dublin, Ireland; School of Computer Science and Statistics, Trinity College, Dublin, Ireland; School of Computer Science and Statistics, Trinity College, Dublin, Ireland; School of Computer Science and Statistics, Trinity College, Dublin, Ireland</t>
  </si>
  <si>
    <t>Smart cities generate huge volumes of data to be processed by applications with different criticality and requirements. For example, a healthcare application needs lower latency when requested from an ambulance travelling to a hospital during an emergency compared to applications in less-critical domains. Cities can use Multi-access Edge Computing to reduce latency by placing applications‚Äô services closer to users. A service placement process selects the set of servers to run the services for deployment. Smart cities challenge this selection as a large number of servers and services generate a large number of potential solutions with different QoS properties. Additionally, placement approaches must consider applications‚Äô criticality and users‚Äô mobility to offer an appropriate overall latency. Current approaches have considered servers‚Äô utilisation and users‚Äô location to place services. However, they do not consider applications‚Äô criticality and mobile users‚Äô paths. This paper presents MAACO, a Mobility-Aware, priority-driven, ACO-based service placement model that prioritises applications according to their criticality and minimises critical applications‚Äô latency, while considering predicted paths for mobile users. Evaluation results show that MAACO achieves lower latency and waiting time compared against baselines at the cost of reduced load balance between the network servers.</t>
  </si>
  <si>
    <t xml:space="preserve">Science Foundation Ireland(grant numbers:16/SP/3804); </t>
  </si>
  <si>
    <t>https://ieeexplore.ieee.org/stamp/stamp.jsp?arnumber=9681330</t>
  </si>
  <si>
    <t>Smart cities;multi-access edge computing;dynamic service placement</t>
  </si>
  <si>
    <t>Servers;Random access memory;Costs;Approximation algorithms;Trajectory;Smart cities;Heuristic algorithms</t>
  </si>
  <si>
    <t>F. Habeeb; K. Alwasel; A. Noor; D. N. Jha; D. AlQattan; Y. Li; G. S. Aujla; T. Szydlo; R. Ranjan</t>
  </si>
  <si>
    <t>Dynamic Bandwidth Slicing for Time-Critical IoT Data Streams in the Edge-Cloud Continuum</t>
  </si>
  <si>
    <t>10.1109/TII.2022.3169971</t>
  </si>
  <si>
    <t>Newcastle University, Newcastle Upon Tyne, U.K.; Saudi Electronic University, Riyadh, Saudi Arabia; College of Computer Science and Engineering, Taibah University, Madinah, Saudi Arabia; University of Oxford, Oxford, U.K.; Newcastle University, Newcastle Upon Tyne, U.K.; School of Computing, Newcastle University, Newcastle Upon Tyne, U.K.; Durham University, Durham, U.K.; Institute of Computer Science, AGH University of Science and Technology, Krak√≥w, Poland; School of Computing, Newcastle University, Newcastle Upon Tyne, U.K.</t>
  </si>
  <si>
    <t>Edge computing has gained momentum in recent years, as complementary to cloud computing, for supporting applications (e.g., industrial control systems) that require time-critical communication guarantees. While edge computing can provide immediate analysis of streaming data from Internet of Things devices, those devices lack computing capabilities to guarantee reasonable performance for time-critical applications. To alleviate this critical problem, the prevalent trend is to offload these data analytic tasks from the edge devices to the cloud. However, existing offloading approaches are static in nature as they are unable to adapt varying workload and network conditions. To handle these issues, we present a novel distributed and quality of services based multilevel queue traffic scheduling system that can undertake semiautomatic bandwidth slicing to process time-critical incoming traffic in the edge-cloud environments. Our developed system shows a great enhancement in latency and throughput as well as reduction in energy consumption for edge-cloud environments.</t>
  </si>
  <si>
    <t>https://ieeexplore.ieee.org/stamp/stamp.jsp?arnumber=9762563</t>
  </si>
  <si>
    <t>Bandwidth slicing;cloud;data stream;edge;Internet of Things (IoT);multiqueues;software-defined networking (SDN);time critical</t>
  </si>
  <si>
    <t>Internet of Things;Cloud computing;Bandwidth;Quality of service;Microservice architectures;Ecosystems;Time factors</t>
  </si>
  <si>
    <t>Z. Zhu; Y. Zhou; R. Wang; F. Tong</t>
  </si>
  <si>
    <t>Internet of Underwater Things Infrastructure: A Shared Underwater Acoustic Communication Layer Scheme for Real-World Underwater Acoustic Experiments</t>
  </si>
  <si>
    <t>10.1109/TAES.2023.3281531</t>
  </si>
  <si>
    <t>College of Ocean and Earth Sciences and the National and Local Joint Engineering Research Center for Navigation and Location Service Technology, Xiamen University, Xiamen, China; College of Ocean and Earth Sciences and the National and Local Joint Engineering Research Center for Navigation and Location Service Technology, Xiamen University, Xiamen, China; College of Ocean and Earth Sciences and the National and Local Joint Engineering Research Center for Navigation and Location Service Technology, Xiamen University, Xiamen, China; College of Ocean and Earth Sciences and the National and Local Joint Engineering Research Center for Navigation and Location Service Technology, Xiamen University, Xiamen, China</t>
  </si>
  <si>
    <t>The advancement of underwater acoustic communication (UAC) holds great promise for the Internet of Underwater Things (IoUT). However, a critical challenge to the development of UAC technology is the difficulty of obtaining sea trial data, such difficulty makes the emerging algorithms inconvenient to evaluate. In this article, we propose a shared UAC layer (SUACL) to collect underwater acoustic signals, the proposed SUACL is founded on the IoUT, and users are allowed to remotely access the system to arrange underwater acoustic data transmission and reception via Internet. The SUACL system aims to enable the remote operation of communication units that are deployed in designated sea areas. The merit of the proposed SUACL is that the sea trial data can be obtained without risky and high expense, and the emerging underwater acoustic technologies can be evaluated in time. The SUACL is composed of the nonunderwater part, which includes the application layer and fusion layer, and the above/underwater part including the communication layer on which we focus. We provide a detailed description of the communication layer of the proposed SUACL system, such as the preamplifier with reconfigurable gain, the analog-to-digital converter with reconfigurable sampling rates, the reconfigurable transducers with different frequency bands, and the reconfigurable number of hydrophones. The SUACL's reconfigurability options make it a versatile tool that can meet the diverse experimental needs for underwater communication research. In addition, we also describe the mechanisms of how experimental data are exchanged through the SUACL. Our experimental results demonstrate the feasibility and effectiveness of the proposed SUACL in a shallow-water environment.</t>
  </si>
  <si>
    <t xml:space="preserve">Fundamental Research Funds for the Central Universities(grant numbers:20720210078); National Key Research and Development Program of China(grant numbers:2018YFE0110000); </t>
  </si>
  <si>
    <t>https://ieeexplore.ieee.org/stamp/stamp.jsp?arnumber=10138644</t>
  </si>
  <si>
    <t>Internet of Underwater Things (IoUT);microservice;shared underwater acoustic communication layer (SUACL);underwater acoustic communication (UAC)</t>
  </si>
  <si>
    <t>Underwater acoustics;Internet;Sensors;Oceans;Internet of Things;Computer architecture;Software</t>
  </si>
  <si>
    <t>H. Liu; Y. Li; S. Wang</t>
  </si>
  <si>
    <t>Request Scheduling Combined With Load Balancing in Mobile-Edge Computing</t>
  </si>
  <si>
    <t>10.1109/JIOT.2022.3176631</t>
  </si>
  <si>
    <t>State Key Laboratory of Networking and Switching Technology, Beijing University of Posts and Telecommunications, Beijing, China; State Key Laboratory of Networking and Switching Technology, Beijing University of Posts and Telecommunications, Beijing, China; State Key Laboratory of Networking and Switching Technology, Beijing University of Posts and Telecommunications, Beijing, China</t>
  </si>
  <si>
    <t>Edge servers can cache some delay-sensitive and resource-intensive applications to reduce the delay of user tasks. However, due to the limited resources of edge servers, they cannot cache all services and process all user requests like remote clouds. In order to take advantage of the low latency, we need to make full use of the limited resources of the edge servers and reasonably allocate user requests to edge servers for processing. Meanwhile, in order to maintain the efficient and long-term operation of the server cluster, we should also consider the load balancing of the cluster. How to balance the server load while making users have the best experience is an urgent problem to be solved. Solving the problem faces the challenge of the interaction between service placement and request scheduling, the tradeoff between communication and computation, and the consideration of response time and edge server load. We propose the service placement algorithm based on user visits and our request scheduling algorithm based on the simulated annealing algorithm. We verify the superiority of our algorithms in response time and server load balancing. The experimental results based on the real data sets prove our algorithm can cope with the actual situation and quickly converge to a favorable value.</t>
  </si>
  <si>
    <t xml:space="preserve">National Key Research and Development Program of China(grant numbers:2020YFB1805502); NSFC(grant numbers:62032003,61922017); </t>
  </si>
  <si>
    <t>https://ieeexplore.ieee.org/stamp/stamp.jsp?arnumber=9779350</t>
  </si>
  <si>
    <t>Load balancing;mobile-edge computing (MEC);request scheduling;service placement</t>
  </si>
  <si>
    <t>Servers;Optimization;Time factors;Delays;Load management;Base stations;Internet of Things</t>
  </si>
  <si>
    <t>M. H. Raza; Y. M. Rind; I. Javed; M. Zubair; M. Q. Mehmood; Y. Massoud</t>
  </si>
  <si>
    <t>Smart Meters for Smart Energy: A Review of Business Intelligence Applications</t>
  </si>
  <si>
    <t>10.1109/ACCESS.2023.3326724</t>
  </si>
  <si>
    <t>Department of Electrical Engineering, MicroNano Laboratory, Information Technology University (ITU), Lahore, Pakistan; Department of Electrical Engineering, MicroNano Laboratory, Information Technology University (ITU), Lahore, Pakistan; Department of Electrical Engineering, MicroNano Laboratory, Information Technology University (ITU), Lahore, Pakistan; Innovative Technologies Laboratories (ITL), King Abdullah University of Science and Technology (KAUST), Thuwal, Saudi Arabia; Department of Electrical Engineering, MicroNano Laboratory, Information Technology University (ITU), Lahore, Pakistan; Innovative Technologies Laboratories (ITL), King Abdullah University of Science and Technology (KAUST), Thuwal, Saudi Arabia</t>
  </si>
  <si>
    <t>Smart Energy (SE) has emerged as a critical technology in tackling global challenges like climate change while addressing the rising energy demands driven by today‚Äôs data-intensive industrial revolution. SE integrates information and communication technologies into energy systems, optimizing them to meet these challenges effectively. At the core of SE operations are smart meters, playing a fundamental role in ensuring efficient functionality. These devices collect data, which is then leveraged to derive Business Intelligence (BI) for operations across the entire spectrum, from the sensing infrastructure to the cloud, primarily utilizing the Internet of Things (IoT) technology framework. With the increasing complexity of operations and the growing demand for optimization and enhanced functionality, the SE technology stack is evolving to integrate across all layers and domains. This integration has led to the stratification of computational load across IoT layers, intensifying the dependence on smart meter data for BI. Consequently, smart meters themselves have evolved to become more functional and complex. This paper‚Äôs novelty lies in its comprehensive exploration of the integration of BI with smart meter data. It delves into various aspects, including the different layers of intelligent operations within SE systems, the current state of the art, and diverse implementations of smart meters and their applications across operational locations, ranging from consumers to fog computing. The paper concludes by identifying research gaps and future directions, offering insights into the evolving requirements for the next generation of SE systems and the necessary adaptations in smart metering infrastructure to support these roles. This work contributes to a better understanding of the evolving landscape of data and computation in the context of SE, facilitating more efficient and effective energy management solutions.</t>
  </si>
  <si>
    <t xml:space="preserve">Innovative Technologies Laboratories (ITL), King Abdullah University of Science and Technology (KAUST), Saudi Arabia; </t>
  </si>
  <si>
    <t>https://ieeexplore.ieee.org/stamp/stamp.jsp?arnumber=10290882</t>
  </si>
  <si>
    <t>Smart grids;smart meters;AMI;cloud;business intelligence;artificial intelligence;smart energy</t>
  </si>
  <si>
    <t>Smart meters;Sensors;Voltage measurement;Power measurement;Meters;Internet of Things;Business intelligence;Smart grids;Artificial intelligence;Energy management;Climate change</t>
  </si>
  <si>
    <t>G. W. De Oliveira; M. Nogueira; A. L. d. Santos; D. M. Batista</t>
  </si>
  <si>
    <t>Intelligent VNF Placement to Mitigate DDoS Attacks on Industrial IoT</t>
  </si>
  <si>
    <t>10.1109/TNSM.2023.3274364</t>
  </si>
  <si>
    <t>Computer Science Department, University of S√£o Paulo, S√£o Paulo, Brazil; Computer Science Department, Federal University of Minas Gerais, Belo Horizonte, Brazil; Computer Science Department, Federal University of Minas Gerais, Belo Horizonte, Brazil; Computer Science Department, University of S√£o Paulo, S√£o Paulo, Brazil</t>
  </si>
  <si>
    <t>The Internet of Things (IoT) has undergone rapid popularization, reaching a wide range of application domains, such as manufactures. Hence, more and more heterogeneous IoT devices have been deployed in a variety of industrial environments, progressively becoming common objects to the supply chain. The physical infrastructure of manufacturing systems has become complex and requires efficient and dynamic solutions for managing network performance and security. Network Function Virtualization (NFV) has attracted attention when the intention is to respond to security threats on Industrial IoT (IIoT). Few works use NFV to detect and mitigate security threats on IIoT networks, but even less consider performance indicators of the network context when placing the Virtual Network Functions (VNFs). Thus, this work introduces a Machine Learning (ML) approach to place security VNFs based on NFV performance to mitigate Distributed Denial of Service (DDoS) attacks on IIoT. Experiments considering a new composed data set and diverse ML techniques show ML classification as an alternative for IIoT scenarios, achieving, according to the best-performing technique, 99.40% of accuracy in relation to the ideal placement. To facilitate the reproduction of the work, all the code and data produced are publicly available.</t>
  </si>
  <si>
    <t xml:space="preserve">Conselho Nacional de Desenvolvimento Cient√≠fico e Tecnol√≥gico (CNPq); INCT of the Future Internet for Smart Cities(grant numbers:465446/2014-0); Coordena√ß√£o de Aperfei√ßoamento de Pessoal de N√≠vel Superior ‚Äì Brasil (CAPES)(grant numbers:001); FAPESP(grant numbers:14/50937-1,15/24485-9); FAPESP(grant numbers:18/23098-0); </t>
  </si>
  <si>
    <t>https://ieeexplore.ieee.org/stamp/stamp.jsp?arnumber=10121740</t>
  </si>
  <si>
    <t>Industrial IoT;NFV;VNF placement;performance management;DDoS attacks;machine learning</t>
  </si>
  <si>
    <t>Security;Performance evaluation;Industrial Internet of Things;Measurement;Denial-of-service attack;Time factors;Computer crime</t>
  </si>
  <si>
    <t>J. Kosi≈Ñska; B. Bali≈õ; M. Konieczny; M. Malawski; S. Zieli≈Ñski</t>
  </si>
  <si>
    <t>Toward the Observability of Cloud-Native Applications: The Overview of the State-of-the-Art</t>
  </si>
  <si>
    <t>10.1109/ACCESS.2023.3281860</t>
  </si>
  <si>
    <t>Institute of Computer Science, AGH University of Krakow, Krak√≥w, Poland; Institute of Computer Science, AGH University of Krakow, Krak√≥w, Poland; Institute of Computer Science, AGH University of Krakow, Krak√≥w, Poland; Institute of Computer Science, AGH University of Krakow, Krak√≥w, Poland; Institute of Computer Science, AGH University of Krakow, Krak√≥w, Poland</t>
  </si>
  <si>
    <t>The Cloud-native model, established to enhance the Twelve-Factor patterns, is an approach to developing and deploying applications according to DevOps concepts, Continuous Integration/Continuous Delivery, containers, and microservices. The notion of observability can help us cope with the complexity of such applications. We present a Systematic Mapping Study (SMS) in the observability of Cloud-native applications. We have chosen 56 studies published between 2018 and 2022. The selected studies were thoroughly analyzed, compared, and classified according to the chosen comparative criteria. The presented SMS assesses engineering approaches, maturity, and efficiency of observability by deliberating around four research questions: 1) What provides the motivations for equipping Cloud-native applications with observability capabilities? 2) Which research areas are addressed in the related literature? 3) How are observability approaches implemented? 4) What are the future trends in the Cloud-native applications observability research?</t>
  </si>
  <si>
    <t xml:space="preserve">European Union‚Äôs Horizon 2020 Research and Innovation Program through Sano(grant numbers:857533); Sano Project carried out within the International Research Agendas Program of the Foundation for Polish Science, co-financed by the European Union under the European Regional Development Fund; </t>
  </si>
  <si>
    <t>https://ieeexplore.ieee.org/stamp/stamp.jsp?arnumber=10141603</t>
  </si>
  <si>
    <t>Cloud-native;microservice architecture;observability;monitoring;logging;tracing;systematic mapping study</t>
  </si>
  <si>
    <t>Observability;Cloud computing;Monitoring;Telemetry;Systematics;Search engines;Microservice architectures</t>
  </si>
  <si>
    <t>L. M. Ru√≠z; P. P. Pueyo; J. Mateo-Forn√©s; J. V. Mayoral; F. S. Teh√†s</t>
  </si>
  <si>
    <t>Autoscaling Pods on an On-Premise Kubernetes Infrastructure QoS-Aware</t>
  </si>
  <si>
    <t>10.1109/ACCESS.2022.3158743</t>
  </si>
  <si>
    <t>Department of Computer Science and INSPIRES, University of Lleida, Lleida, Spain; Department of Computer Science and INSPIRES, University of Lleida, Lleida, Spain; Department of Computer Science and INSPIRES, University of Lleida, Lleida, Spain; Department of Computer Science and INSPIRES, University of Lleida, Lleida, Spain; Department of Computer Science and INSPIRES, University of Lleida, Lleida, Spain</t>
  </si>
  <si>
    <t>Cloud systems and microservices are becoming powerful tools for businesses. The evidence of the advantages of offering infrastructure, hardware or software as a service (IaaS, PaaS, SaaS) is overwhelming. Microservices and decoupled applications are increasingly popular. These architectures, based on containers, have facilitated the efficient development of complex SaaS applications. A big challenge is to manage and design microservices with a massive range of different facilities, from processing and data storage to computing predictive and prescriptive analytics. Computing providers are mainly based on data centers formed of massive and heterogeneous virtualized systems, which are continuously growing and diversifying over time. Moreover, these systems require integrating into current systems while meeting the Quality of Service (QoS) constraints. The primary purpose of this work is to present an on-premise architecture based on Kubernetes and Docker containers aimed at improving QoS regarding resource usage and service level objectives (SLOs). The main contribution of this proposal is its dynamic autoscaling capabilities to adjust system resources to the current workload while improving QoS.</t>
  </si>
  <si>
    <t xml:space="preserve">Intelligent Energy Europe (IEE) program and the Ministerio de Econom√≠a y Competitividad(grant numbers:PID2020-113614RB-C22); MCIN/AEI/10.1H6 network TIN2016-81840-REDT; </t>
  </si>
  <si>
    <t>https://ieeexplore.ieee.org/stamp/stamp.jsp?arnumber=9732997</t>
  </si>
  <si>
    <t>Cloud;microservices;Kubernetes;SLO;QoS</t>
  </si>
  <si>
    <t>Quality of service;Containers;Cloud computing;Monitoring;Measurement;Microservice architectures;Computer architecture</t>
  </si>
  <si>
    <t>M. A. AƒûCA; S. Faye; D. Khadraoui</t>
  </si>
  <si>
    <t>A Survey on Trusted Distributed Artificial Intelligence</t>
  </si>
  <si>
    <t>10.1109/ACCESS.2022.3176385</t>
  </si>
  <si>
    <t>Luxembourg Institute of Science and Technology (LIST), Esch-Sur-Alzette, Luxembourg; Luxembourg Institute of Science and Technology (LIST), Esch-Sur-Alzette, Luxembourg; Luxembourg Institute of Science and Technology (LIST), Esch-Sur-Alzette, Luxembourg</t>
  </si>
  <si>
    <t>Emerging Artificial Intelligence (AI) systems are revolutionizing computing and data processing approaches with their strong impact on society. Data is processed with automated labelling pipelines rather than providing it as input to the system. The innovative nature increases the overall performance of monitoring/detection/reaction mechanisms for efficient system resource management. However, due to hardware-driven design limitations, networking and trust mechanisms are not flexible and adaptive enough to be able to interact and control the resources dynamically. Novel adaptive software-driven design approaches can enable us to build growing intelligent mechanisms with software-defined networking (SDN) features by virtualizing network functionalities with maximized features. These challenges and critical feature sets have been identified and introduced into this survey with their scientific background for AI systems and growing intelligent mechanisms. Furthermore, obstacles and research challenges between 1950‚Äì2021 are explored and discussed with a focus on recent years. The challenges are categorized according to three defined architectural perspectives (central, decentral/autonomous, distributed/hybrid) for emerging trusted distributed AI mechanisms. Therefore, resiliency and robustness can be assured in a dynamic context with an end-to-end Trusted Execution Environment (TEE) for growing intelligent mechanisms and systems. Furthermore, as presented in the paper, the trust measurement, quantification, and justification methodologies on top of Trusted Distributed AI (TDAI) can be applied in emerging distributed systems and their underlying diverse application domains, which will be explored and experimented in our future related works.</t>
  </si>
  <si>
    <t xml:space="preserve">Luxembourg Institute of Science and Technology (LIST) Ph.D. Grant; </t>
  </si>
  <si>
    <t>https://ieeexplore.ieee.org/stamp/stamp.jsp?arnumber=9777972</t>
  </si>
  <si>
    <t>Trusted AI;distributed systems;software defined networking (SDN);trusted execution environment (TEE)</t>
  </si>
  <si>
    <t>Artificial intelligence;Peer-to-peer computing;Security;Monitoring;Scalability;Throughput;Software defined networking</t>
  </si>
  <si>
    <t>Y. Hu; Q. Jia; Y. Yao; Y. Lee; M. Lee; C. Wang; X. Zhou; R. Xie; F. R. Yu</t>
  </si>
  <si>
    <t>Industrial Internet of Things Intelligence Empowering Smart Manufacturing: A Literature Review</t>
  </si>
  <si>
    <t>10.1109/JIOT.2024.3367692</t>
  </si>
  <si>
    <t>Future Network Research Center, Purple Mountain Laboratories, Nanjing, China; Future Network Research Center, Purple Mountain Laboratories, Nanjing, China; Department of Computer Science, Northwestern Polytechnical University, Xi‚Äôan, China; School of Mechanical and Electronic Engineering, Wuhan University of Technology, Wuhan, China; Department of Computer Science, Northwestern Polytechnical University, Xi‚Äôan, China; Department of Computer Science, Peking University, Beijing, China; Future Network Research Center, Purple Mountain Laboratories, Nanjing, China; State Key Laboratory of networking and Switching Technology, Beijing University of Posts and Telecommunications, Beijing, China; Department of Systems and Computer Engineering, Carleton University, Ottawa, ON, Canada</t>
  </si>
  <si>
    <t>The fiercely competitive business environment and increasingly personalized customization needs are driving the digital transformation and upgrading of the manufacturing industry. Industrial Internet of Things (IIoT) intelligence, which can provide innovative and efficient solutions for various aspects of the manufacturing value chain, illuminates the path of transformation for the manufacturing industry. It is time to provide a systematic vision of IIoT intelligence. However, existing surveys often focus on specific areas of IIoT intelligence, leading researchers and readers to have biases in their understanding of IIoT intelligence, that is, believing that research in one direction is the most important for the development of IIoT intelligence, while ignoring contributions from other directions. Therefore, this article provides a comprehensive overview of IIoT intelligence. We first conduct an in-depth analysis of the inevitability of manufacturing transformation and study the successful experiences from the practices of Chinese enterprises. Then, we give our definition of IIoT intelligence and demonstrate the value of IIoT intelligence for industries in functions, operations, deployments, and application. Afterward, we propose a hierarchical development architecture for IIoT intelligence, which consists of five layers. The practical values of technical upgrades at each layer are illustrated by a close look on lighthouse factories. Following that, we identify seven kinds of technologies that accelerate the transformation of manufacturing, and clarify their contributions. The ethical implications and environmental impacts of adopting IIoT intelligence in manufacturing are analyzed as well. Finally, we explore the open challenges and development trends from four aspects to inspire future researches.</t>
  </si>
  <si>
    <t xml:space="preserve">National Natural Science Foundation of China(grant numbers:92367104,92267301); Purple Mountain Talents-Jiangning Baijia Lake Plan Program(grant numbers:74072203-3); Natural Science Foundation of Hubei Province(grant numbers:2023AFB128); Teaching Research Project of Wuhan University of Technology(grant numbers:W2022093); </t>
  </si>
  <si>
    <t>https://ieeexplore.ieee.org/stamp/stamp.jsp?arnumber=10440434</t>
  </si>
  <si>
    <t>Artificial intelligence (AI);Industrial Internet of Things (IIoT);IIoT intelligence;smart manufacturing</t>
  </si>
  <si>
    <t>Industrial Internet of Things;Manufacturing;Computer architecture;Industries;Smart manufacturing;Market research;Costs</t>
  </si>
  <si>
    <t>H. Gu; L. Zhao; Z. Han; G. Zheng; S. Song</t>
  </si>
  <si>
    <t>AI-Enhanced Cloud-Edge-Terminal Collaborative Network: Survey, Applications, and Future Directions</t>
  </si>
  <si>
    <t>10.1109/COMST.2023.3338153</t>
  </si>
  <si>
    <t>State Key Laboratory of Integrated Service Networks, Xidian University, Xi‚Äôan, China; State Key Laboratory of Integrated Service Networks, Xidian University, Xi‚Äôan, China; Department of Electrical and Computer Engineering, University of Houston, Houston, TX, USA; School of Engineering, University of Warwick, Coventry, U.K.; Department of Electronic and Computer Engineering, The Hong Kong University of Science and Technology, Hong Kong, China</t>
  </si>
  <si>
    <t>The cloud-edge-terminal collaborative network (CETCN) is considered as a novel paradigm for emerging applications owing to its huge potential in providing low-latency and ultra-reliable computing services. However, achieving such benefits is very challenging due to the heterogeneous computing power of terminal devices and the complex environment faced by the CETCN. In particular, the high-dimensional and dynamic environment states cause difficulties for the CETCN to make efficient decisions in terms of task offloading, collaborative caching and mobility management. To this end, artificial intelligence (AI), especially deep reinforcement learning (DRL) has been proven effective in solving sequential decision-making problems in various domains, and offers a promising solution for the above-mentioned issues due to several reasons. Firstly, accurate modelling of the CETCN, which is difficult to obtain for real-world applications, is not required for the DRL-based method. Secondly, DRL can effectively respond to high-dimensional and dynamic tasks through iterative interactions with the environment. Thirdly, due to the complexity of tasks and the differences in resource supply among different vendors, collaboration is required between different vendors to complete tasks. The multi-agent DRL (MADRL) methods are very effective in solving collaborative tasks, where the collaborative tasks can be jointly completed by cloud, edge and terminal devices which provided by different vendors. This survey provides a comprehensive overview regarding the applications of DRL and MADRL in the context of CETCN. The first part of this survey provides a depth overview of the key concepts of the CETCN and the mathematical underpinnings of both DRL and MADRL. Then, we highlight the applications of RL algorithms in solving various challenges within CETCN, such as task offloading, resource allocation, caching and mobility management. In addition, we extend discussion to explore how DRL and MADRL are making inroads into emerging CETCN scenarios like intelligent transportation system (ITS), the industrial Internet of Things (IIoT), smart health and digital agriculture. Furthermore, security considerations related to the application of DRL within CETCN are addressed, along with an overview of existing standards that pertain to edge intelligence. Finally, we list several lessons learned in this evolving field and outline future research opportunities and challenges that are critical for the development of the CETCN. We hope this survey will attract more researchers to investigate scalable and decentralized AI algorithms for the design of CETCN.</t>
  </si>
  <si>
    <t xml:space="preserve">National Key Research and Development Program of China(grant numbers:2020YFB1807700); Key-Area Research and Development Program of Guangdong Province(grant numbers:2020B0101120003); Key Research and Development Program of Shaanxi(grant numbers:2022KWZ-09); Postdoctoral Research Program of Shaanxi Province; NSF(grant numbers:CNS-2107216,CNS-2128368,CMMI-2222810,ECCS-2302469); U.S. Department of Transportation; Toyota Motor Corporation; Amazon; National Natural Science Foundation of China(grant numbers:NSFC62071352); Royal Society International Exchanges(grant numbers:IEC/NSFC/181395); NSFC/RGC Joint Research Scheme sponsored by the Research Grants Council of the Hong Kong Special Administrative Region, China; National Natural Science Foundation of China(grant numbers:N_HKUST656/22); Higher Education Discipline Innovation Project(grant numbers:B08038); </t>
  </si>
  <si>
    <t>https://ieeexplore.ieee.org/stamp/stamp.jsp?arnumber=10336879</t>
  </si>
  <si>
    <t>Cloud-edge-terminal collaborative network (CETCN);single-agent reinforcement learning (SARL);multiagent reinforcement learning (MARL);network architecture;task offloading;resource allocation;collaborative caching;mobility management;applications;security;standards</t>
  </si>
  <si>
    <t>Task analysis;Resource management;Surveys;Delays;Cloud computing;Servers;Federated learning</t>
  </si>
  <si>
    <t>R. Xu; S. Razavi; R. Zheng</t>
  </si>
  <si>
    <t>Edge Video Analytics: A Survey on Applications, Systems and Enabling Techniques</t>
  </si>
  <si>
    <t>10.1109/COMST.2023.3323091</t>
  </si>
  <si>
    <t>Department of Computing and Software, McMaster University, Hamilton, ON, Canada; Department of Civil Engineering, McMaster University, Hamilton, ON, Canada; Department of Computing and Software, McMaster University, Hamilton, ON, Canada</t>
  </si>
  <si>
    <t>Video, as a key driver in the global explosion of digital information, can create tremendous benefits for human society. Governments and enterprises are deploying innumerable cameras for a variety of applications, e.g., law enforcement, emergency management, traffic control, and security surveillance, all facilitated by video analytics (VA). This trend is spurred by the rapid advancement of deep learning (DL), which enables more precise models for object classification, detection, and tracking. Meanwhile, with the proliferation of Internet-connected devices, massive amounts of data are generated daily, overwhelming the cloud. Edge computing, an emerging paradigm that moves workloads and services from the network core to the network edge, has been widely recognized as a promising solution. The resulting new intersection, edge video analytics (EVA), begins to attract widespread attention. Nevertheless, only a few loosely-related surveys exist on this topic. The basic concepts of EVA (e.g., definition, architectures) were not fully elucidated due to the rapid development of this domain. To fill these gaps, we provide a comprehensive survey of the recent efforts on EVA. In this paper, we first review the fundamentals of edge computing, followed by an overview of VA. EVA systems and their enabling techniques are discussed next. In addition, we introduce prevalent frameworks and datasets to aid future researchers in the development of EVA systems. Finally, we discuss existing challenges and foresee future research directions. We believe this survey will help readers comprehend the relationship between VA and edge computing, and spark new ideas on EVA.</t>
  </si>
  <si>
    <t xml:space="preserve">China Scholarship Council(grant numbers:202108320092); NSERC Discovery Grants; Canada Research Chair Program; McMaster Faculty of Engineering‚Äôs Multidisciplinary Ph.D. Research Support; </t>
  </si>
  <si>
    <t>https://ieeexplore.ieee.org/stamp/stamp.jsp?arnumber=10274950</t>
  </si>
  <si>
    <t>Video analytics;edge computing;computer vision;deep learning</t>
  </si>
  <si>
    <t>Surveys;Edge computing;Visual analytics;Tutorials;Cloud computing;Real-time systems;Cameras</t>
  </si>
  <si>
    <t>M. A. Rahu; A. F. Chandio; K. Aurangzeb; S. Karim; M. Alhussein; M. S. Anwar</t>
  </si>
  <si>
    <t>Toward Design of Internet of Things and Machine Learning-Enabled Frameworks for Analysis and Prediction of Water Quality</t>
  </si>
  <si>
    <t>10.1109/ACCESS.2023.3315649</t>
  </si>
  <si>
    <t>Department of Electronic Engineering, Quaid-e-Awam University of Engineering, Science and Technology, Nawabshah, Pakistan; Department of Electronic Engineering, Quaid-e-Awam University of Engineering, Science and Technology, Nawabshah, Pakistan; Department of Computer Engineering, College of Computer and Information Sciences, King Saud University, Riyadh, Saudi Arabia; Department of Telecommunication Engineering, Quaid-e-Awam University of Engineering, Science and Technology, Nawabshah, Pakistan; Department of Computer Engineering, College of Computer and Information Sciences, King Saud University, Riyadh, Saudi Arabia; Department of AI and Software, Gachon University, Seongnam-si, South Korea</t>
  </si>
  <si>
    <t>The degradation of water quality has become a critical concern worldwide, necessitating innovative approaches for monitoring and predicting water quality. This paper proposes an integrated framework that combines the Internet of Things (IoT) and machine learning paradigms for comprehensive water quality analysis and prediction. The IoT-enabled framework comprises four modules: sensing, coordinator, data processing, and decision. The IoT framework is equipped with temperature, pH, turbidity, and Total Dissolved Solids (TDS) sensors to collect the data from Rohri Canal, SBA, Pakistan. The acquired data is preprocessed and then analyzed using machine learning models to predict the Water Quality Index (WQI) and Water Quality Class (WQC). With this aim, we designed a machine learning-enabled framework for water quality analysis and prediction. Preprocessing steps such as data cleaning, normalization using the Z-score technique, correlation, and splitting are performed before applying machine learning models. Regression models: LSTM (Long Short-Term Memory), SVR (Support Vector Regression), MLP (Multilayer Perceptron) and NARNet (Nonlinear Autoregressive Network) are employed to predict the WQI, and classification models: SVM (Support Vector Machine), XGBoost (eXtreme Gradient Boosting), Decision Trees, and Random Forest are employed to predict the WQC. Before that, the Dataset used for evaluating machine learning models is split into two subsets: Dataset 1 and Dataset 2. Dataset 1 comprises 600 values for each parameter, while Dataset 2 includes the complete set of 6000 values for each parameter. This division enables comparison and evaluation of the models‚Äô performance. The results indicate that the MLP regression model has strong predictive performance with the lowest Mean Absolute Error (MAE), Mean Squared Error (MSE), and Root Mean Squared Error (RMSE) values, along with the highest R-squared (0.93), indicating accurate and precise predictions. In contrast, the SVR model demonstrates weaker performance, evidenced by higher errors and a lower R-squared (0.73). Among classification algorithms, the Random Forest achieves the highest metrics: accuracy (0.91), precision (0.93), recall (0.92), and F1-score (0.91). It is also conceived that the machine learning models perform better when applied to datasets with smaller numbers of values compared to datasets with larger numbers of values. Moreover, comparisons with existing studies reveal this study‚Äôs improved regression performance, with consistently lower errors and higher R-squared values. For classification, the Random Forest model outperforms others, with exceptional accuracy, precision, recall, and F1-score metrics.</t>
  </si>
  <si>
    <t xml:space="preserve">King Saud University, Riyadh, Saudi Arabia, through the Researchers Supporting Project(grant numbers:RSPD2023R947); </t>
  </si>
  <si>
    <t>https://ieeexplore.ieee.org/stamp/stamp.jsp?arnumber=10251529</t>
  </si>
  <si>
    <t>Data collection;environmental monitoring;Internet of Things (IoT);machine learning;water quality analysis;water quality class (WQC);water quality index (WQI)</t>
  </si>
  <si>
    <t>Water quality;Machine learning;Data models;Monitoring;Water resources;Sensors;Predictive models</t>
  </si>
  <si>
    <t>Q. Li; Z. Ding; X. Tong; G. Wu; S. Stojanovski; T. Luetzenkirchen; A. Kolekar; S. Bangolae; S. Palat</t>
  </si>
  <si>
    <t>6G Cloud-Native System: Vision, Challenges, Architecture Framework and Enabling Technologies</t>
  </si>
  <si>
    <t>10.1109/ACCESS.2022.3205341</t>
  </si>
  <si>
    <t>Intel Corporation, Santa Clara, CA, USA; Intel Corporation, Santa Clara, CA, USA; Intel Corporation, Santa Clara, CA, USA; Intel Corporation, Santa Clara, CA, USA; Intel Corporation, Santa Clara, CA, USA; Intel Corporation, Santa Clara, CA, USA; Intel Corporation, Santa Clara, CA, USA; Intel Corporation, Santa Clara, CA, USA; Intel Corporation, Santa Clara, CA, USA</t>
  </si>
  <si>
    <t>Every generation of wireless technologies needs to bring a set of new system capabilities to enable future applications and services, the sixth generation mobile system (6G) is no exception. This paper provides an overview of the technology transformation from the communication-centric the forth generation mobile system (4G) and the fifth generation mobile system (5G) to the compute-centric 6G with the cloud-native system framework as the foundation of the next generation technologies. We explain what 6G plans to achieve, the fundamental reasons for this technology transformation, the architecture framework and enabling technologies to achieve 6G cloud-native technology objectives. This paper intends to provide a technical deep dive on the 6G cloud-native system to trigger more discussions, innovations and bring the technology transformation from concept to reality.</t>
  </si>
  <si>
    <t>https://ieeexplore.ieee.org/stamp/stamp.jsp?arnumber=9882121</t>
  </si>
  <si>
    <t>6G;cloud-native;cloud computing;communication-computing convergence;system architecture;ubiquitous computing</t>
  </si>
  <si>
    <t>6G mobile communication;Cloud computing;5G mobile communication;Artificial intelligence;Ubiquitous computing;Systems architecture;Security</t>
  </si>
  <si>
    <t>L. You; M. Danaf; F. Zhao; J. Guan; C. L. Azevedo; B. Atasoy; M. Ben-Akiva</t>
  </si>
  <si>
    <t>A Federated Platform Enabling a Systematic Collaboration Among Devices, Data and Functions for Smart Mobility</t>
  </si>
  <si>
    <t>10.1109/TITS.2023.3236991</t>
  </si>
  <si>
    <t>School of Intelligent Systems Engineering, Sun Yat-sen University, Shenzhen, China; Intelligent Transportation Systems Laboratory, Massachusetts Institute of Technology, Cambridge, MA, USA; Future Urban Mobility IRG, Singapore-MIT Alliance for Research and Technology Centre, 4 Engineering Drive 3, Singapore; School of Architecture, Harbin Institute of Technology, Shenzhen, China; Department of Management Engineering, Technical University of Denmark, Kongens Lyngby, Denmark; Intelligent Transportation Systems Laboratory, Massachusetts Institute of Technology, Cambridge, MA, USA; Intelligent Transportation Systems Laboratory, Massachusetts Institute of Technology, Cambridge, MA, USA</t>
  </si>
  <si>
    <t>Through the vast adoption and application of emerging technologies, the intelligence and autonomy of smart mobility can be substantially elevated to address more diversified demands and supplies. Along with this trend, a systematic collaboration among three essential elements of smart mobility services, namely devices, data and functions, is being studied to comprehensively break down the intrinsic barriers that existed in current solutions, to support the integration of connectable devices, the fusion of heterogeneous data, the composability of reusable functions, and the flexibility in their cooperations. To enable such a collaboration, this paper proposes a federated platform, called Future Mobility Sensing Advisor (FMSA), which can 1) manage the three elements through standardized interfaces separately and uniformly; 2) create a fully connected knowledge graph to orchestrate the three elements efficiently and effectively; 3) support the client-server interaction in centralized and federated modes to handle service requests and edge resources with various availability and accessibilities jointly and adaptively; and 4) accommodate various mobility services to foster harmonious and sustainable mobility tenderly and invisibly. Moreover, the efficiency and effectiveness of the platform are also tested through a performance evaluation, and a pilot supported at the Great Boston Area, respectively. As a result, it shows that FMSA can 1) achieve high performance by using the two interaction modes selectively, and 2) renovate smart mobility towards sustainability through personalized services that can measure user preferences and system objectives mutually.</t>
  </si>
  <si>
    <t xml:space="preserve">National Natural Science Foundation of China(grant numbers:62002398); Collaborative Innovation Center for Transportation of Guangzhou(grant numbers:202206010056); National Research Foundation Singapore through the Future Urban Mobility IRG Research Program of Singapore-MIT Alliance for Research and Technology; Tripod (Sustainable Travel Incentives with Prediction, Optimization and Personalization) Project under the U.S. Department of Energy Advanced Research Projects Agency-6 Energy (ARPA-E) Traveler Response Architecture using Novel Signaling for Network Efficiency in Transportation (TRANSNET) program(grant numbers:DE-AR0000611); </t>
  </si>
  <si>
    <t>https://ieeexplore.ieee.org/stamp/stamp.jsp?arnumber=10024386</t>
  </si>
  <si>
    <t>Smart mobility;systematic collaboration;federated platform;service orchestration;federated computing</t>
  </si>
  <si>
    <t>Collaboration;Systematics;Sensors;Public transportation;Distributed databases;Data integration;Costs</t>
  </si>
  <si>
    <t>K. M. Abbasi; T. A. Khan; I. U. Haq</t>
  </si>
  <si>
    <t>Hierarchical Modeling of Complex Internet of Things Systems Using Conceptual Modeling Approaches</t>
  </si>
  <si>
    <t>10.1109/ACCESS.2019.2930933</t>
  </si>
  <si>
    <t>Department of Software Engineering, Bahria University, Islamabad, Pakistan; Department of Software Engineering, Bahria University, Islamabad, Pakistan; Department of CIS, Pakistan Institute of Engineering and Applied Sciences (PIEAS), Islamabad, Pakistan</t>
  </si>
  <si>
    <t>Popularity of the Internet of things (IoT) is currently on the rise. Academia as well as industry is equally fascinated by this disruptive technology. The IoT research and implementation have succeeded securing their place in numerous domains including, but not limited to, business, transportation and logistics, health care, smart cities, and agriculture. Conceptual modeling is pivotal to the design and implementation of a system. Various modeling approaches have been used for a variety of the IoT applications and case studies. In this paper, we examine various innovative applications of the existing conceptual modeling approaches for the IoT. We analyze the use of these approaches against different concerns in isolation as well as in mutual combination for the IoT. We also define a set of terminologies that we frequently encounter in this manuscript and those likely to be used while adopting proposed modeling approaches for the IoT scenarios. This study also attempts to reconcile different modeling approaches toward a unified modeling system. For this purpose, we map various conceptual modeling approaches against different layers of functional model of the IoT reference architecture. There is also a scenario in the end of the paper which elaborates the use of different modeling approaches in hierarchy for a complex IoT system.</t>
  </si>
  <si>
    <t>https://ieeexplore.ieee.org/stamp/stamp.jsp?arnumber=8771106</t>
  </si>
  <si>
    <t>Agent-based modeling;ambient-oriented modeling;aspect-oriented modeling;conceptual modeling approaches;contract-based modeling;fuzzy-logic modeling;the Internet of Things;network-based modeling;object-based modeling;ontology;service-oriented modeling</t>
  </si>
  <si>
    <t>Internet of Things;Computational modeling;Analytical models;Security;Software;Adaptation models;Computer architecture</t>
  </si>
  <si>
    <t>S. Cui; F. Farha; H. Ning; Z. Zhou; F. Shi; M. Daneshmand</t>
  </si>
  <si>
    <t>A Survey on the Bottleneck Between Applications Exploding and User Requirements in IoT</t>
  </si>
  <si>
    <t>10.1109/JIOT.2021.3097634</t>
  </si>
  <si>
    <t>School of Computer and Communication Engineering, University of Science and Technology Beijing, Beijing, China; School of Computer and Communication Engineering, University of Science and Technology Beijing, Beijing, China; School of Computer and Communication Engineering, University of Science and Technology Beijing, Beijing, China; School of Information Engineering, China University of Geosciences (Beijing), Beijing, China; School of Computer and Communication Engineering, University of Science and Technology Beijing, Beijing, China; School of Business, Stevens Institute of Technology, Hoboken, NJ, USA</t>
  </si>
  <si>
    <t>The rapid growth of the Internet of Things (IoT) and the increasing number of connected devices have propelled the proliferation of offered applications, causing ‚Äúapplications exploding.‚Äù In the context of IoT, filtering and selecting the most relevant applications in a given situation is a challenging task. Thus, developing techniques that can alleviate applications exploding and meet users‚Äô requirements is highly demanded for IoT development. This survey focuses on applications exploding in the IoT and reviews some of the existing techniques, such as intelligent sensing, content distribution network, microservices, and 5G, which help mitigate the effects of applications exploding. Furthermore, the survey discusses how to describe user requirements and offer application services to better match the two. In addition, this survey presents the smart home as an instance of typical IoT applications and explores how adaptive users‚Äô requirements for food ordering can be better met when various food provider applications are available for choice. Finally, partially resolved and unresolved bottlenecks brought by applications exploding are put forward to be further researched by the technical and scientific community.</t>
  </si>
  <si>
    <t xml:space="preserve">National Natural Science Foundation of China(grant numbers:61872038); Fundamental Research Funds for the Central Universities(grant numbers:FRF-BD-18-016A); </t>
  </si>
  <si>
    <t>https://ieeexplore.ieee.org/stamp/stamp.jsp?arnumber=9486861</t>
  </si>
  <si>
    <t>Applications exploding;matching applications bottleneck;smart home;user requirements</t>
  </si>
  <si>
    <t>Sensors;Internet of Things;Security;Protocols;Cloud computing;Smart homes;Scalability</t>
  </si>
  <si>
    <t>L. You; F. Zhao; L. Cheah; K. Jeong; P. C. Zegras; M. Ben-Akiva</t>
  </si>
  <si>
    <t>A Generic Future Mobility Sensing System for Travel Data Collection, Management, Fusion, and Visualization</t>
  </si>
  <si>
    <t>10.1109/TITS.2019.2938828</t>
  </si>
  <si>
    <t>Future Urban Mobility IRG, Singapore-MIT Alliance for Research and Technology Centre, Singapore; Future Urban Mobility IRG, Singapore-MIT Alliance for Research and Technology Centre, Singapore; Engineering Systems and Design, Singapore University of Technology and Design, Singapore; Intelligent Transportation Systems Laboratory, Massachusetts Institute of Technology, Cambridge, MA, USA; Department of Urban Studies and Planning, Massachusetts Institute of Technology, Cambridge, MA, USA; Civil and Environmental Engineering, Massachusetts Institute of Technology, Cambridge, MA, USA</t>
  </si>
  <si>
    <t>In studies of human mobility, there is a need for a holistic system for collection of sensing data, management of data flows, fusion of multiple data sources, and visualization of integrated data to better understand travel behavior. We have designed and implemented a generic Future Mobility Sensing (FMS) system to serve these purposes. FMS harnesses various sensing technologies, heterogeneous multi-source data and analytical functionalities with three dedicated platforms, namely 1) the FMS Data Collection Platform, which intertwines sensing objects, machine learning algorithms and user verifications to collect high resolution, multi-day travel data; 2) the FMS Data Management Platform, which provides standardized APIs to access data stored in an interconnected data model; and 3) the FMS Data Fusion and Visualization Platform, which consolidates multi-source data to be interpreted and presented. Together, the three platforms form a mobility sensing flow to facilitate data-driven analysis and decision-making. With FMS, heterogeneous multi-source data are suitably integrated for analysis, and multi-dimensional knowledge is extracted and presented in intuitive and interactive analytical dashboards. The system is intended to be generic to support different requirements of mobility studies, such as travel surveys, as its function modules are reusable and can be customized to support a unified data collection, management, fusion and visualization process. This paper introduces the overall architecture of the FMS system and summarizes various applications that it can support. Specifically, we present a study of commercial vehicle parking in Singapore to demonstrate the capability of the system.</t>
  </si>
  <si>
    <t xml:space="preserve">National Research Foundation Singapore through the Singapore-MIT Alliance for Research and Technology‚Äôs Future Urban Mobility IRG Research Program; Singapore Ministry of National Development and the National Research Foundation; Land and Liveability National Innovation Challenge(grant numbers:L2NICTDF1-2016-1); </t>
  </si>
  <si>
    <t>https://ieeexplore.ieee.org/stamp/stamp.jsp?arnumber=8833515</t>
  </si>
  <si>
    <t>Mobility sensing flow;multi-source data collection;big data;travel survey</t>
  </si>
  <si>
    <t>Frequency modulation;Sensors;Data visualization;Data collection;Data mining;Data integration;Urban areas</t>
  </si>
  <si>
    <t>D. Soldani; P. Nahi; H. Bour; S. Jafarizadeh; M. F. Soliman; L. Di Giovanna; F. Monaco; G. Ognibene; F. Risso</t>
  </si>
  <si>
    <t>eBPF: A New Approach to Cloud-Native Observability, Networking and Security for Current (5G) and Future Mobile Networks (6G and Beyond)</t>
  </si>
  <si>
    <t>10.1109/ACCESS.2023.3281480</t>
  </si>
  <si>
    <t>Rakuten Mobile Inc, Tokyo, Setagaya-ku, Japan; Rakuten Mobile Inc, Tokyo, Setagaya-ku, Japan; Rakuten Mobile Inc, Tokyo, Setagaya-ku, Japan; Rakuten Mobile Inc, Tokyo, Setagaya-ku, Japan; Rakuten Mobile Inc, Tokyo, Setagaya-ku, Japan; DAUIN Department, Politecnico di Torino, Turin, Italy; DAUIN Department, Politecnico di Torino, Turin, Italy; DAUIN Department, Politecnico di Torino, Turin, Italy; DAUIN Department, Politecnico di Torino, Turin, Italy</t>
  </si>
  <si>
    <t>Modern mobile communication networks and new service applications are deployed on cloud-native platforms. Kubernetes (K8s) is the de facto distributed operating system for container orchestration, and the extended version of the Berkeley Packet Filter (eBPF)‚Äì in the Linux (and MS Windows) kernel‚Äì is fundamentally changing the approach to cloud-native networking, security, and observability. In this paper, we introduce what eBPF is, its potential for Telco cloud, and review some of the most promising pricing and billing models applied to this revolutionary operating system (OS) technology. These models include schemes based on a data source usage model or the number of eBPF agents deployed on the network, linked to specific eBPF modules. These modules encompass network observability, runtime security, and power dissipation monitoring. Next, we present our eBPF platform, named Sauron in this work, and demonstrate how eBPF allows us to write custom code and dynamically load eBPF programs into the kernel. These programs enable us to estimate the energy consumption of cloud-native functions, derive performance counters and gauges for transport networks, 5G applications, and non-access stratum protocols. Additionally, we can detect and respond to unauthorized access to cloud-native resources in real-time using eBPF. Our experimental results demonstrate the technical feasibility of eBPF in achieving highly performant monitoring, observability, and security tooling for current mobile networks (5G, 5G Advanced) as well as future networks (6G and beyond).</t>
  </si>
  <si>
    <t>https://ieeexplore.ieee.org/stamp/stamp.jsp?arnumber=10138542</t>
  </si>
  <si>
    <t>eBPF;extended Berkeley packet filter;cloud-native observability;cloud-native security;cloud-native networking;cloud-native monitoring;5G;5G Advanced;6G;Kubernetes;K8s</t>
  </si>
  <si>
    <t>5G mobile communication;Cloud computing;Security;Observability;Linux;6G mobile communication;Band-pass filters</t>
  </si>
  <si>
    <t>R. Torre; I. Leyva-Mayorga; S. Pandi; H. Salah; G. T. Nguyen; F. H. P. Fitzek</t>
  </si>
  <si>
    <t>Implementation of Network-Coded Cooperation for Energy Efficient Content Distribution in 5G Mobile Small Cells</t>
  </si>
  <si>
    <t>10.1109/ACCESS.2020.3029601</t>
  </si>
  <si>
    <t>Deutsche Telekom Chair of Communication Networks, Technische Universit√§t Dresden, Dresden, Germany; Department of Electronic Systems, Aalborg University, Aalborg, Denmark; Deutsche Telekom Chair of Communication Networks, Technische Universit√§t Dresden, Dresden, Germany; Deutsche Telekom Chair of Communication Networks, Technische Universit√§t Dresden, Dresden, Germany; Deutsche Telekom Chair of Communication Networks, Technische Universit√§t Dresden, Dresden, Germany; Deutsche Telekom Chair of Communication Networks, Technische Universit√§t Dresden, Dresden, Germany</t>
  </si>
  <si>
    <t>The continuous increase of mobile data traffic calls for the design of energy-efficient content distribution mechanisms, to be incorporated in the fifth generation of mobile networks, 5G. One of the biggest concerns of the companies and the research community is to reduce the energy consumption in both the user equipments (UEs) and the network equipment. In this article, we present a novel content distribution framework called Network-Coded Cooperative (NCC) Networks, which benefits from the interplay between mobile clouds (MC) and Random Linear Network Coding (RLNC) to reduce the overall energy consumption in the devices that take part in the communication. This novel framework leads to reduced energy consumption by offloading the cellular interface to a link with greater energy efficiency, for instance, WiFi, within the mobile small cell. We evaluate the performance of our framework analytically and in practical implementation (i.e., testbed) in terms of throughput, energy savings, packet decoding ratio, latency, and synchronicity. In comparison to the conventional content distribution system, for the case of four users, the analytical model and the testbed implementation show energy savings of more than 12% and 8%, respectively. Furthermore, network usage is reduced, losses are neutralized, and the content is synchronously distributed to all users.</t>
  </si>
  <si>
    <t xml:space="preserve">European Union‚Äôs H2020 Research and Innovation Program(grant numbers:H2020-MCSA-ITN-2016-SECRET 722424); </t>
  </si>
  <si>
    <t>https://ieeexplore.ieee.org/stamp/stamp.jsp?arnumber=9217438</t>
  </si>
  <si>
    <t>Network coding;random linear network coding (RLNC);cooperative communication;content distribution;cellular networks;mobile small cells;energy efficiency;traffic offload</t>
  </si>
  <si>
    <t>Energy consumption;Analytical models;Cellular networks;Encoding;5G mobile communication;Throughput;Protocols</t>
  </si>
  <si>
    <t>S. Gupta; C. Maple; R. Passerone</t>
  </si>
  <si>
    <t>An Investigation of Cyber-Attacks and Security Mechanisms for Connected and Autonomous Vehicles</t>
  </si>
  <si>
    <t>10.1109/ACCESS.2023.3307473</t>
  </si>
  <si>
    <t>Department of Information Engineering and Computer Science (DISI), University of Trento, Trento, Italy; Secure Cyber Systems Research Group (SCSRG), Warwick Manufacturing Group (WMG), The University of Warwick, Coventry, U.K.; Department of Information Engineering and Computer Science (DISI), University of Trento, Trento, Italy</t>
  </si>
  <si>
    <t>Connected and autonomous vehicles (CAVs) can fulfill the emerging demand for smart transportation on a global scale. Such innovations for transportation can bring manyfold benefits, from fully autonomous driving services to proactive vehicle monitoring and traffic management. However, given the complexity involved in the deployment of CAVs, zero-tolerance safety, and security measures must be incorporated to avert vehicle immobilization, road accidents, disclosure of sensitive data, or any potential threats. In this article, we conceive a reference architecture for a CAVs ecosystem to derive a common attack taxonomy for the investigation of existing and emerging cyber threats. Subsequently, we discuss security mechanisms for the CAVs ecosystem that can be useful for the safe and secure transportation of passengers from one destination to another based on comprehensive studies of academic literature and industry white papers. Our work can provide valuable insights to security engineers and system architects for investigating security problems using a top-to-bottom approach and can aid in envisioning robust security solutions to ensure seamless CAVs operations.</t>
  </si>
  <si>
    <t xml:space="preserve">Fondazione Bruno Kessler (FBK) AI@TN Project; </t>
  </si>
  <si>
    <t>https://ieeexplore.ieee.org/stamp/stamp.jsp?arnumber=10226207</t>
  </si>
  <si>
    <t>Connected and autonomous vehicles;edge computing;fog computing;cloud computing;cyber attacks;security mechanisms</t>
  </si>
  <si>
    <t>Security;Ecosystems;Edge computing;Autonomous vehicles;Sensors;Connected vehicles;Vehicle-to-everything;Cloud computing;Cyberattack</t>
  </si>
  <si>
    <t>T. Zhang; J. Jin; X. Zheng; Y. Yang</t>
  </si>
  <si>
    <t>Rate-Adaptive Fog Service Platform for Heterogeneous IoT Applications</t>
  </si>
  <si>
    <t>10.1109/JIOT.2019.2945328</t>
  </si>
  <si>
    <t>School of Software and Electrical Engineering, Swinburne University of Technology, Melbourne, Australia; School of Software and Electrical Engineering, Swinburne University of Technology, Melbourne, Australia; Department of Computing, Macquarie University, Sydney, Australia; School of Software and Electrical Engineering, Swinburne University of Technology, Melbourne, Australia</t>
  </si>
  <si>
    <t>With the advancement of the Internet of Things (IoT) technologies, the number of heterogeneous IoT applications requiring a variety of resources and services is increasing dramatically. Recently, the introduction of fog computing has further unlocked the potential of real-time services within the IoT context. On the basis of fog architecture, we herein propose a novel rate-adaptive fog service platform aiming at heterogeneous services provisioning and optimized service rate allocation. By forming several service groups in the fog network in which each service could be adequately provisioned, service consumers would always benefit from the fact that the majority of services produced by the IoT applications are in their proximity and thus are delivered to the destination promptly. Taking advantage of the well-known network utility maximization (NUM) approach, a service rate-adaptive algorithm is developed to empower fog nodes working together to adjust service delivery rate dynamically. Throughout this process, the algorithm takes the current network condition and constraint into account to ensure the rate is calibrated in favor of providing satisfactory quality of service (QoS) to each service receiver at the same time. Compared to other resource allocation strategies that mainly focus on allocating resources for a single network service, our proposed platform is capable of not only dealing with both the elastic and inelastic services but also handling the abrupt network changes and converging back to the global optimum rapidly.</t>
  </si>
  <si>
    <t xml:space="preserve">Australian Research Council(grant numbers:DP190102828,DP180100212); Australian Government Research Training Program Scholarship; </t>
  </si>
  <si>
    <t>https://ieeexplore.ieee.org/stamp/stamp.jsp?arnumber=8856237</t>
  </si>
  <si>
    <t>Fog computing;Internet of Things (IoT);network utility maximization (NUM);quality of service (QoS);service-oriented networking</t>
  </si>
  <si>
    <t>Internet of Things;Cloud computing;Quality of service;Real-time systems;Edge computing;Computer architecture;Resource management</t>
  </si>
  <si>
    <t>M. Ibrahim; U. S. Hashmi; M. Nabeel; A. Imran; S. Ekin</t>
  </si>
  <si>
    <t>Embracing Complexity: Agent-Based Modeling for HetNets Design and Optimization via Concurrent Reinforcement Learning Algorithms</t>
  </si>
  <si>
    <t>10.1109/TNSM.2021.3121282</t>
  </si>
  <si>
    <t>School of Electrical and Computer Engineering, Oklahoma State University, Stillwater, OK, USA; School of Electrical Engineering and Computer Science, National University of Sciences and Technology, Islamabad, Pakistan; AI4Networks Research Center, School of Electrical and Computer Engineering, University of Oklahoma, Tulsa, OK, USA; AI4Networks Research Center, School of Electrical and Computer Engineering, University of Oklahoma, Tulsa, OK, USA; School of Electrical and Computer Engineering, Oklahoma State University, Stillwater, OK, USA</t>
  </si>
  <si>
    <t>Complexity is an inherent property in wireless heterogeneous networks (HetNets). In this paper, we investigate the application of the agent-based modeling (ABM) tool for optimization of complex and dynamic HetNets. The proposed framework contains a diversity of game-theoretic, machine learning, and rule-based algorithms within the same model. We present and analyze a HetNet ABM model that runs parallel reinforcement learning (RL) algorithms for spectrum deployment, interference management, resource allocation, and load balancing at both micro and macrocell levels. In our proposed model, two RL-based algorithms work jointly to manage the co-tier and cross-tier interferences. The macrocell runs the first algorithm to control the transmission power of the small cells. The second RL algorithm is run by small cells to assign the users to the sub-bands with less interference levels. Simultaneously, the user association is decided by the users depending on the available resources at the cells and user preferences. The model is then evaluated under various network load conditions to deduce relationships between the cell loads, aggregate bit rate, latency, and user association. Moreover, the system is assessed in a dynamic network scenario with moving users and is confirmed to possess the ability to attain convergence with sufficient performance levels.</t>
  </si>
  <si>
    <t xml:space="preserve">National Science Foundation(grant numbers:1923295,1923669); </t>
  </si>
  <si>
    <t>https://ieeexplore.ieee.org/stamp/stamp.jsp?arnumber=9580469</t>
  </si>
  <si>
    <t>HetNets;complexity;agent-based-modeling;multi-agent-systems;5G and beyond</t>
  </si>
  <si>
    <t>Interference;Load modeling;Resource management;Macrocell networks;Analytical models;Adaptation models;Optimization</t>
  </si>
  <si>
    <t>O. O. Ajibola; T. E. H. El-Gorashi; J. M. H. Elmirghani</t>
  </si>
  <si>
    <t>Energy Efficient Placement of Workloads in Composable Data Center Networks</t>
  </si>
  <si>
    <t>10.1109/JLT.2021.3063325</t>
  </si>
  <si>
    <t>School of Electronic and Electrical Engineering, University of Leeds, Leeds, U.K.; School of Electronic and Electrical Engineering, University of Leeds, Leeds, U.K.; School of Electronic and Electrical Engineering, University of Leeds, Leeds, U.K.</t>
  </si>
  <si>
    <t>This paper studies the energy efficiency of composable data center (DC) infrastructures over network topologies. Using a mixed integer linear programming (MILP) model, we compare the performance of disaggregation at rack-scale and pod-scale over selected electrical, optical and hybrid network topologies relative to a traditional DC. Relative to a pod-scale DC, the results show that physical disaggregation at rack-scale is sufficient for optimal efficiency when the optical network topology is adopted, and resource components are allocated in a suitable manner. The optical network topology also enables optimal energy efficiency in composable DCs. The paper also studies logical disaggregation of traditional DC servers over an optical network topology. Relative to physical disaggregation at rack-scale, logical disaggregation of server resources within each rack enables marginal fall in the total DC power consumption (TDPC) due to improved resource demands placement. Hence, an adaptable composable infrastructure that can support both in memory (access) latency sensitive and insensitive workloads is enabled. We also conduct a study of the adoption of micro-service architecture in both traditional and composable DCs. Our results show that increasing the modularity of workloads improves the energy efficiency in traditional DCs, but disproportionate utilization of DC resources persists. A combination of disaggregation and micro-services achieved up to 23% reduction in the TDPC of the traditional DC by enabling optimal resources utilization and energy efficiencies. Finally, we propose a heuristic for energy efficient placement of workloads in composable DCs which replicates the trends produced by the MILP model formulated in this paper.</t>
  </si>
  <si>
    <t xml:space="preserve">Engineering and Physical Sciences Research Council; INTelligent Energy aware NETworks(grant numbers:EP/H040536/1); SwiTching And tRansmission(grant numbers:EP/K016873/1); Terabit Bidirectional Multi-user Optical Wireless System(grant numbers:EP/S016570/1); Petroleum Technology Trust Fund; </t>
  </si>
  <si>
    <t>https://ieeexplore.ieee.org/stamp/stamp.jsp?arnumber=9369047</t>
  </si>
  <si>
    <t>Composable infrastructures;energy efficient data centers;micro-services;MILP;optical networks;rack-scale data center;software defined infrastructures</t>
  </si>
  <si>
    <t>Servers;Software;Network topology;Energy efficiency;Hardware;Topology;Optical fiber networks</t>
  </si>
  <si>
    <t>T. G√≥rski; A. P. WO≈∫niak</t>
  </si>
  <si>
    <t>Optimization of Business Process Execution in Services Architecture: A Systematic Literature Review</t>
  </si>
  <si>
    <t>10.1109/ACCESS.2021.3102668</t>
  </si>
  <si>
    <t>Department of Computer Science, Polish Naval Academy (PNA) of the Heroes of Westerplatte, Gdynia, Poland; Institute of Computer and Information Systems, Military University of Technology, Warsaw, Poland</t>
  </si>
  <si>
    <t>Web services have become a standard way to provide functions of information systems. The number of web services grows rapidly with the increasing popularity of microservices architecture. In consequence, many business processes are executed entirely through web services. Therefore, optimizing the performance of business process execution may bring many benefits. There are many optimization methods in this area. Our systematic literature review aims to introduce available methods to researchers interested in the optimization of business process execution. We queried four databases: ACM, IEEE Xplore, Science Direct, and Springer. Out of 12150 initially found papers, we have selected 128 for the review. We have grouped methods presented in those papers into three stages of business process optimization: Resource Allocation, Service Composition, and Service Scheduling. Service Composition attracts the largest group of researchers with a vast majority of 119 articles in it. Moreover, the most popular are genetic algorithms. In general, researchers mainly propose heuristic methods that optimize business processes during run-time. We see the potential for further exploration at both Resource Allocation and Service Scheduling stages.</t>
  </si>
  <si>
    <t xml:space="preserve">Statutory Funds of the Department of Computer Science, Polish Naval Academy (PNA) of the Heroes of Westerplatte, through the Project Architectural views model of cooperating information technology (IT) systems; </t>
  </si>
  <si>
    <t>https://ieeexplore.ieee.org/stamp/stamp.jsp?arnumber=9507503</t>
  </si>
  <si>
    <t>Service-oriented architecture;business process;optimization;reliability;micro-services</t>
  </si>
  <si>
    <t>Business;Service-oriented architecture;Optimization;Reliability;Resource management;Computer architecture;Software</t>
  </si>
  <si>
    <t>H. Sami; R. Saado; A. E. Saoudi; A. Mourad; H. Otrok; J. Bentahar</t>
  </si>
  <si>
    <t>Opportunistic UAV Deployment for Intelligent On-Demand IoV Service Management</t>
  </si>
  <si>
    <t>10.1109/TNSM.2023.3242205</t>
  </si>
  <si>
    <t>Concordia Institute for Information Systems Engineering, Concordia University, Montreal, QC, Canada; Department of CSM, Cyber Security Systems and Applied AI Research Center, Lebanese American University, Beirut, Lebanon; Department of CSM, Cyber Security Systems and Applied AI Research Center, Lebanese American University, Beirut, Lebanon; Department of CSM, Cyber Security Systems and Applied AI Research Center, Lebanese American University, Beirut, Lebanon; Department of EECS, Center of Cyber-Physical Systems, Khalifa University, Abu Dhabi, UAE; Concordia Institute for Information Systems Engineering, Concordia University, Montreal, QC, Canada</t>
  </si>
  <si>
    <t>Due to the current improvement in self-driving cars and the extensive focus and research on the topic of the Internet of Vehicles (IoV), the near future may behold a great revolution in the automotive industry as cars become fully autonomous. This change entails a considerable amount of data to be transferred from Internet of Things (IoT) devices, such as radars, sensors, and actuators. Consequently, overwhelming the existing infrastructure, namely cloud, and Road Side Units (RSU), reduces the quality of service (QoS) experienced by vehicular users. Accordingly, this paper contributes in proposing a new architecture for using Unmanned Ariel Vehicles (UAVs) and On-Boarding Units (OBUs) working in collaboration to achieve a significantly improved QoS. The proposed framework offers an end-to-end solution for master election, cluster management and recovery, vehicle selection, service placement, and accurate localization of vehicles. A QoS improvement is possible through an efficient cluster formation and placement solution that assigns lightweight services, as containers, to OBUs and UAVs while meeting various objectives. The efficiency of the proposed scheme originates from the use of the evolutionary Memetic Algorithm that 1) respects the mobility and energy constraints of UAVs and OBUs, 2) meets the user demands, and 3) uses machine learning for the accurate localization of vehicles. Our experiments using the Mininet-WiFi and SUMO simulators show at least 30% improvement in terms of QoS compared to a state-of-the-art solution.</t>
  </si>
  <si>
    <t>https://ieeexplore.ieee.org/stamp/stamp.jsp?arnumber=10036008</t>
  </si>
  <si>
    <t>UAV;OBU;IoV;container placement;memetic algorithm;localization;machine learning</t>
  </si>
  <si>
    <t>Quality of service;Microservice architectures;Containers;Computer architecture;Stability analysis;Optimization;Location awareness</t>
  </si>
  <si>
    <t>W. Dai; Y. Zhang; L. Kong; J. H. Christensen; D. Huang</t>
  </si>
  <si>
    <t>Design of Industrial Edge Applications Based on IEC 61499 Microservices and Containers</t>
  </si>
  <si>
    <t>10.1109/TII.2022.3214199</t>
  </si>
  <si>
    <t>Shanghai Jiao Tong University, Shanghai, China; Shanghai Jiao Tong University, Shanghai, China; Huawei Technology Ltd., Shenzhen, China; Holobloc Inc., Cleveland, OH, USA; Department of Automation, Shanghai Jiao Tong University Shanghai, Shanghai, China</t>
  </si>
  <si>
    <t>Industrial automation is entering a new era of the Industrial Internet with enhanced computing, communication, and storage capabilities provided by cloud computing and field devices. The paradigm of automation systems is shifting from the ISA-95 pyramid to the two-layers architecture: industrial cloud and edge computing. Industrial software is also evolving under the new architecture in ways for which dedicated software applications are no longer suited. Service-based industrial cloud and edge applications provide maximum flexibility, interoperability, and efficiency by combining the IEC 61499 standard, microservice architecture, and container technology. This article provides orchestration methods and deployment procedures for the OT-IT hybrid industrial edge applications. The feasibility of the proposed approach is demonstrated by an industrial case study with accompanying performance analysis.</t>
  </si>
  <si>
    <t xml:space="preserve">National R&amp;D Key Program of China(grant numbers:2021YFB1714000); National Natural Science Foundation of China(grant numbers:61973216,62122048); </t>
  </si>
  <si>
    <t>https://ieeexplore.ieee.org/stamp/stamp.jsp?arnumber=9918040</t>
  </si>
  <si>
    <t>Industrial edge computing;IEC 61499;microservices;linux container;virtualization</t>
  </si>
  <si>
    <t>Microservice architectures;IEC Standards;Cloud computing;Computer architecture;Containers;Automation;Virtualization</t>
  </si>
  <si>
    <t>J. A. Barriga; P. J. Clemente; J. Hern√°ndez; M. A. P√©rez-Toledano</t>
  </si>
  <si>
    <t>SimulateIoT-FIWARE: Domain Specific Language to Design, Code Generation and Execute IoT Simulation Environments on FIWARE</t>
  </si>
  <si>
    <t>10.1109/ACCESS.2022.3142894</t>
  </si>
  <si>
    <t>Department of Computer Science, Quercus Software Engineering Group, Universidad de Extremadura, C√°ceres, Spain; Department of Computer Science, Quercus Software Engineering Group, Universidad de Extremadura, C√°ceres, Spain; Department of Computer Science, Quercus Software Engineering Group, Universidad de Extremadura, C√°ceres, Spain; Department of Computer Science, Quercus Software Engineering Group, Universidad de Extremadura, C√°ceres, Spain</t>
  </si>
  <si>
    <t>Systems based on the Internet of Things (IoT) are continuously growing in many areas such as smart cities, home environments, buildings, agriculture, industry, etc. This system integrates heterogeneous technologies into a complex architecture of interconnected devices capable of communicating, processing, analysing or storing data. There are several IoT platforms that offer several capabilities for the development of these systems. Some of these platforms are Google Cloud‚Äôs IoT Platform, Microsoft Azure IoT suite, ThingSpeak IoT Platform, Thingworx 8 IoT Platform or FIWARE. However, they are complex IoT platforms where each IoT solution has to be developed ad-hoc and implemented by developers by hand. Consequently, developing IoT solutions is a hard, error-prone and tedious task. Thus, increase the abstraction level from which the IoT systems are designed helps to tackle the underlying technology complexity. In this sense, model-driven development approaches can help to both reduce the IoT application time to market and tackle the technological complexity to develop IoT applications. In this paper, we propose a Domain-Specific Language based on SimulateIoT for the design, code generation and simulation of IoT systems which could be deployed on FIWARE infrastructure (an open-source IoT platform). This implies not only designing the IoT system for a high abstraction level and later on code generation, but also designing and deploying an additional simulation layer to simulate the system on the FIWARE infrastructure before final deployment. The FIWARE IoT environment generated includes the sensors, actuators, fog nodes, cloud nodes and analytical characteristics, which are deployed as microservices on Docker containers and composed suitability to obtain a service-oriented architecture. Finally, two case studies focused on a smart building and an agricultural IoT environment are presented to show the IoT solutions deployed using FIWARE.</t>
  </si>
  <si>
    <t xml:space="preserve">Ministerio de Ciencia e Innovaci√≥n (MCI) through the Agencia Estatal de Investigaci√≥n (AEI)(grant numbers:RTI2018-098652-B-I00); Government of Extremadura, Council for Economy, Science and Digital Agenda(grant numbers:GR18112,IB20058); European Regional Development Fund (ERDF); C√°tedra Telef√≥nica de la Universidad de Extremadura (Red de C√°tedras Telef√≥nica); </t>
  </si>
  <si>
    <t>https://ieeexplore.ieee.org/stamp/stamp.jsp?arnumber=9680737</t>
  </si>
  <si>
    <t>Model-driven development;Internet of Things;IoT simulation;services-oriented;FIWARE</t>
  </si>
  <si>
    <t>Internet of Things;Codes;Protocols;Actuators;Computer architecture;Open source software;Model-driven development</t>
  </si>
  <si>
    <t>G. Tricomi; G. Merlino; A. Panarello; A. Puliafito</t>
  </si>
  <si>
    <t>Optimal Selection Techniques for Cloud Service Providers</t>
  </si>
  <si>
    <t>10.1109/ACCESS.2020.3035816</t>
  </si>
  <si>
    <t>Dipartimento di Ingegneria, Universit√† degli Studi di Messina, Messina, Italy; Dipartimento di Ingegneria, Universit√† degli Studi di Messina, Messina, Italy; SmartMe.IO S.r.l., Messina, Italy; Dipartimento di Ingegneria, Universit√† degli Studi di Messina, Messina, Italy</t>
  </si>
  <si>
    <t>Nowadays Cloud computing permeates almost every domain in Information and Communications Technology (ICT) and, increasingly, most of the action is shifting from large, dominant players toward independent, heterogeneous, private/hybrid deployments, in line with an ever wider range of business models and stakeholders. The rapid growth in the numbers and diversity of small and medium Cloud providers is bringing new challenges in the as-a-Services space. Indeed, significant hurdles for smaller Cloud service providers in being competitive with the incumbent market leaders induce some innovative players to ‚Äúfederate‚Äù deployments in order to pool a larger, virtually limitless, set of resources across the federation, and stand to gain in terms of economies of scale and resource usage efficiency. Several are the challenges that need to be addressed in building and managing a federated environment, that may go under the ‚ÄúSecurity‚Äù, ‚ÄúInteroperability‚Äù, ‚ÄúVersatility‚Äù, ‚ÄúAutomatic Selection‚Äù and ‚ÄúScalability‚Äù labels. The aim of this paper is to present a survey about the approaches and challenges belonging to the ‚ÄúAutomatic Selection‚Äù category. This work provides a literature review of different approaches adopted in the ‚ÄúAutomatic and Optimal Cloud Service Provider Selection‚Äù, also covering ‚ÄúFederated and Multi-Cloud‚Äù environments.</t>
  </si>
  <si>
    <t xml:space="preserve">Italian Project TOOLSMART financed by Open Community(grant numbers:PA 2020); Pon Governance(grant numbers:2014‚Äì2020); </t>
  </si>
  <si>
    <t>https://ieeexplore.ieee.org/stamp/stamp.jsp?arnumber=9248017</t>
  </si>
  <si>
    <t>Algorithms;cloud federation;matchmaking;multi-cloud;optimal selection;survey</t>
  </si>
  <si>
    <t>Cloud computing;Computational modeling;Buildings;Economies of scale;Information and communication technology;Stakeholders;Business</t>
  </si>
  <si>
    <t>S. Fayyaz; M. Atif Ur Rehman; M. Salah Ud Din; M. I. Biswas; A. K. Bashir; B. -S. Kim</t>
  </si>
  <si>
    <t>Information-Centric Mobile Networks: A Survey, Discussion, and Future Research Directions</t>
  </si>
  <si>
    <t>10.1109/ACCESS.2023.3268775</t>
  </si>
  <si>
    <t>Department of Electronics and Computer Engineering, Hongik University, Sejong, South Korea; Department of Computing and Mathematics, Manchester Metropolitan University, Manchester, U.K; Department of Electronics and Computer Engineering, Hongik University, Sejong, South Korea; Department of Computing and Mathematics, Manchester Metropolitan University, Manchester, U.K; Department of Computing and Mathematics, Manchester Metropolitan University, Manchester, U.K; Department of Software and Communications Engineering, Hongik University, Sejong, South Korea</t>
  </si>
  <si>
    <t>Information-centric networking (ICN) and its fruition, the named data networking (NDN) is a paradigm shift from host-centric address-based communication architecture to the content-centric name-based one. ICN intends to resolve various major issues faced by today‚Äôs internet architecture such as privacy, security, consistent routing, and mobility, to name a few. With the massive increase of mobile data traffic in today‚Äôs era, mobility is one of the major concerns in networking. On the one hand, ICN realization i.e., the NDN follows a pull-based communication model and natively supports the consumer (end-user) mobility in wired networks by maintaining the forwarding states on intermediate nodes. Nevertheless, the mobile consumer nodes confront issues in wireless networking environments such as excessive energy consumption as a result of request flooding, content retrieval delays due to intermittent connectivity, and bandwidth consumption due to the broadcasting nature of the wireless medium, among others. The producer (content-generator) mobility, on the other hand, was not initially supported in the original architectural design of NDN for both wired and wireless networks. Therefore, to efficiently address the degradation issues incurred by mobile consumer/producer nodes, a plethora of mobility management schemes have been proposed over the recent few years. In this paper, we provided a detailed survey on the existing research efforts‚Äîin the context of producer, consumer, and hybrid mobility, that have been proposed in the literature. Moreover, we outlined various research directions considering the role of mobility in futuristic technologies such as artificial intelligence-enabled smart networks, software-defined networking, edge computing, vehicular-fog computing, autonomous driving, semantic communication, and resource-constrained Internet of Things.</t>
  </si>
  <si>
    <t xml:space="preserve">National Research Foundation of Korea (NRF); Korean Government (MSIT)(grant numbers:2022R1A2C1003549); </t>
  </si>
  <si>
    <t>https://ieeexplore.ieee.org/stamp/stamp.jsp?arnumber=10105953</t>
  </si>
  <si>
    <t>Named data networking;mobility management;producer mobility;wireless networking;artificial intelligence;edge computing;vehicular fog computing;autonomous driving</t>
  </si>
  <si>
    <t>IP networks;Wireless communication;Delays;Wireless sensor networks;Servers;Broadcasting;Sockets</t>
  </si>
  <si>
    <t>H. Sami; A. Hammoud; M. Arafeh; M. Wazzeh; S. Arisdakessian; M. Chahoud; O. Wehbi; M. Ajaj; A. Mourad; H. Otrok; O. Abdel Wahab; R. Mizouni; J. Bentahar; C. Talhi; Z. Dziong; E. Damiani; M. Guizani</t>
  </si>
  <si>
    <t>The Metaverse: Survey, Trends, Novel Pipeline Ecosystem &amp; Future Directions</t>
  </si>
  <si>
    <t>10.1109/COMST.2024.3392642</t>
  </si>
  <si>
    <t>Department of CSM, Artificial Intelligence and Cyber Systems Research Center, Lebanese American University, Beirut, Lebanon; Department of CSM, Artificial Intelligence and Cyber Systems Research Center, Lebanese American University, Beirut, Lebanon; Department of CSM, Artificial Intelligence and Cyber Systems Research Center, Lebanese American University, Beirut, Lebanon; Department of CSM, Artificial Intelligence and Cyber Systems Research Center, Lebanese American University, Beirut, Lebanon; Department of CSM, Artificial Intelligence and Cyber Systems Research Center, Lebanese American University, Beirut, Lebanon; Department of CSM, Artificial Intelligence and Cyber Systems Research Center, Lebanese American University, Beirut, Lebanon; Department of CSM, Artificial Intelligence and Cyber Systems Research Center, Lebanese American University, Beirut, Lebanon; Department of CSM, Artificial Intelligence and Cyber Systems Research Center, Lebanese American University, Beirut, Lebanon; Department of CSM, Artificial Intelligence and Cyber Systems Research Center, Lebanese American University, Beirut, Lebanon; Department of CS, Center of Cyber-Physical Systems, Khalifa University, Abu Dhabi, UAE; Department of Computer and Software Engineering, Polytechnique Montr√©al, Montreal, QC, Canada; Department of CS, Center of Cyber-Physical Systems, Khalifa University, Abu Dhabi, UAE; Concordia Institute for Information Systems Engineering, Concordia University, Montreal, QC, Canada; Department of Software and IT Engineering, √âcole de Technologie Sup√©rieure, Montreal, QC, Canada; Department of Electrical Engineering, √âcole de Technologie Sup√©rieure, Montreal, QC, Canada; Department of CS, Center of Cyber-Physical Systems, Khalifa University, Abu Dhabi, UAE; Department of ML, Mohamed Bin Zayed University of Artificial Intelligence, Abu Dhabi, UAE</t>
  </si>
  <si>
    <t>The Metaverse offers a second world beyond reality, where boundaries are non-existent, and possibilities are endless through engagement and immersive experiences using the virtual reality (VR) technology. Many disciplines can benefit from the advancement of the Metaverse when accurately developed, including the fields of technology, gaming, education, art &amp; culture, socialization, commerce, and businesses. Nevertheless, developing the Metaverse environment to its full potential is an ambiguous task that needs proper guidance and directions. Existing surveys on the Metaverse focus only on a specific aspect and discipline of the Metaverse and lack a holistic view of the entire process. Moreover, most surveys refrain from providing detailed guidance about the development process of the metaverse, including its impact on technologies, businesses, existing challenges, and potential research directions due to their lack of a macro and micro perception of such a topic. To this end, a more holistic, multi-disciplinary, in-depth, and academic and industry-oriented review is required to provide a thorough study of the Metaverse development pipeline and fill the gap in existing Metaverse surveys. To address these issues, we present in this survey a novel multi-layered pipeline ecosystem composed of (1) the Metaverse computing, networking, communications and hardware infrastructure, (2) environment digitization, and (3) user interactions. For every layer, we discuss the components that detail the steps of its development. Also, for each of these components, we examine the impact of a set of enabling technologies and empowering domains (e.g., Artificial Intelligence, Security &amp; Privacy, Blockchain, Business, Ethics, and Social) on its advancement. In addition, we explain the importance of these technologies to support decentralization, interoperability, user experiences, interactions, and monetization. Our presented study highlights the existing challenges for each component, followed by research directions and potential solutions. To the best of our knowledge, this survey is the most comprehensive and allows users, scholars, and entrepreneurs to get an in-depth understanding of the Metaverse ecosystem to find their opportunities and potentials for contribution.</t>
  </si>
  <si>
    <t>https://ieeexplore.ieee.org/stamp/stamp.jsp?arnumber=10507201</t>
  </si>
  <si>
    <t>Metaverse;augmented reality;virtual reality;mixed reality;AI;networking;communications;edge computing;security;privacy;blockchain;digital twins;avatars;rendering;3D modeling;user-to-user and user-to-business interactions</t>
  </si>
  <si>
    <t>Metaverse;Surveys;Pipelines;Ecosystems;Business;Artificial intelligence;Blockchains</t>
  </si>
  <si>
    <t>H. Sharaf; I. Ahmad; T. Dimitriou</t>
  </si>
  <si>
    <t>Extended Berkeley Packet Filter: An Application Perspective</t>
  </si>
  <si>
    <t>10.1109/ACCESS.2022.3226269</t>
  </si>
  <si>
    <t>Department of Computer Engineering, College of Engineering and Petroleum, Kuwait University, Kuwait, Kuwait; Department of Computer Engineering, College of Engineering and Petroleum, Kuwait University, Kuwait, Kuwait; Department of Computer Engineering, College of Engineering and Petroleum, Kuwait University, Kuwait, Kuwait</t>
  </si>
  <si>
    <t>The extended Berkeley Packet Filter (eBPF) is a lightweight and fast 64-bit RISC-like virtual machine (VM) inside the Linux kernel. eBPF has emerged as the most promising and de facto standard of executing untrusted, user-defined specialized code at run-time inside the kernel with strong performance, portability, flexibility, and safety guarantees. Due to these key benefits and availability of a rich ecosystem of compilers and tools within the Linux kernel, eBPF has received widespread adoption by both industry and academia for a wide range of application domains. The most important include enhancing performance of monitoring tools and providing a variety of new security mechanisms, data collection tools and data screening applications. In this review, we investigate the landscape of existing eBPF use-cases and trends with aim to provide a clear roadmap for researchers and developers. We first introduce the necessary background knowledge for eBPF before delving into its applications. Although, the potential use-cases of eBPF are vast, we restrict our focus on four key application domains related to networking, security, storage, and sandboxing. Then for each application domain, we analyze and summarize solution techniques along with their working principles in an effort to provide an insightful discussion that will enable researchers and practitioners to easily adopt eBPF into their designs. Finally, we delineate several exciting research avenues to fully exploit the revolutionary eBPF technology.</t>
  </si>
  <si>
    <t>https://ieeexplore.ieee.org/stamp/stamp.jsp?arnumber=9968265</t>
  </si>
  <si>
    <t>BPF;eBPF;XDP;Linux kernel;security;network;sandboxing;storage;containers</t>
  </si>
  <si>
    <t>Storage management;Band-pass filters;Filtering;Security;Cloud computing;Monitoring;Linux;Containers</t>
  </si>
  <si>
    <t>S. Y. Nikouei; Y. Chen; A. J. Aved; E. Blasch</t>
  </si>
  <si>
    <t>I-ViSE: Interactive Video Surveillance as an Edge Service Using Unsupervised Feature Queries</t>
  </si>
  <si>
    <t>10.1109/JIOT.2020.3016825</t>
  </si>
  <si>
    <t>Department of Electrical and Computer Engineering, Binghamton University‚ÄîSUNY, Binghamton, NY, USA; Department of Electrical and Computer Engineering, Binghamton University‚ÄîSUNY, Binghamton, NY, USA; Department of Applied Analytics Branch, U.S. Air Force Research Laboratory, Rome, NY, USA; Department of Applied Analytics Branch, U.S. Air Force Research Laboratory, Rome, NY, USA</t>
  </si>
  <si>
    <t>Situation awareness (SAW) is essential for many mission-critical applications. However, SAW is challenging when trying to immediately identify objects of interest or focus on suspicious activities from thousands of video frames. This article develops a queryable system to instantly select interesting content. While face recognition technology is mature, in many scenarios, such as public safety monitoring, the features of objects of interest may be much more complicated than face features. In addition, human operators may not be always able to provide a descriptive, simple, and accurate query. Actually, it is more often that there are only rough, general descriptions of certain suspicious objects or accidents. This article proposes interactive video surveillance as an edge service (I-ViSE) based on unsupervised feature queries. Adopting unsupervised methods that do not reveal any private information, the I-ViSE scheme utilizes general features of a human body and color of clothes. An I-ViSE prototype is built following the edge-fog computing paradigm and the experimental results verified the I-ViSE scheme meets the design goal of scene recognition and target analysis in less than 2 s.</t>
  </si>
  <si>
    <t>https://ieeexplore.ieee.org/stamp/stamp.jsp?arnumber=9167223</t>
  </si>
  <si>
    <t>Decentralization;online query;privacy preserving;smart surveillance;video feature extraction</t>
  </si>
  <si>
    <t>Streaming media;Cameras;Computer architecture;Security;Surveillance;Image edge detection;Privacy</t>
  </si>
  <si>
    <t>B. Veith; D. Krummacker; H. D. Schotten</t>
  </si>
  <si>
    <t>The Road to Trustworthy 6G: A Survey on Trust Anchor Technologies</t>
  </si>
  <si>
    <t>10.1109/OJCOMS.2023.3244274</t>
  </si>
  <si>
    <t>Intelligent Networks Research Group, German Research Center for Artificial Intelligence (DFKI GmbH), Kaiserslautern, Germany; Intelligent Networks Research Group, German Research Center for Artificial Intelligence (DFKI GmbH), Kaiserslautern, Germany; Intelligent Networks Research Group, German Research Center for Artificial Intelligence (DFKI GmbH), Kaiserslautern, Germany</t>
  </si>
  <si>
    <t>While 5G networks are driving a growing number of use cases in the fields of iot and industrial applications, the vision of the next generation of mobile communications systems already includes concepts massively transforming the way people will interact with the digital world through the network, as humans are shifting into the center of diverse network driven applications. Envisaged use cases and possibilities to provide services and resources in a distributed manner render an architectural solution for trust establishment a critical component of 6G networks. This survey provides an overview of terms and visions related to the topic of trust in general and in mobile communications systems. Requirements for an end-to-end trust building framework are derived, in order to give a starting point for the design process of a trust anchor service as a component of 6G networks.</t>
  </si>
  <si>
    <t xml:space="preserve">German Federal Ministry for Education and Research (BMBF) through the Project ¬ªOpen6GHub¬´(grant numbers:16KISK003K); </t>
  </si>
  <si>
    <t>https://ieeexplore.ieee.org/stamp/stamp.jsp?arnumber=10042484</t>
  </si>
  <si>
    <t>6G;AI;DLT;trust anchors;trust as a service</t>
  </si>
  <si>
    <t>6G mobile communication;Security;Peer-to-peer computing;Buildings;Quality of service;Distributed ledger;Biological system modeling</t>
  </si>
  <si>
    <t>N. Benzaoui; J. M. Estar√°n; E. Dutisseuil; H. Mardoyan; G. D. Valicourt; A. Dupas; Q. P. Van; D. Verchere; B. U≈°ƒáumliƒá; M. S. Gonzalez; P. Dong; Y. . -K. Chen; S. Bigo; Y. Pointurier</t>
  </si>
  <si>
    <t>CBOSS: bringing traffic engineering inside data center networks</t>
  </si>
  <si>
    <t>10.1364/JOCN.10.00B117</t>
  </si>
  <si>
    <t>Nokia Bell Labs, Route de Villejust, 91620 Nozay, France; Nokia Bell Labs, Route de Villejust, 91620 Nozay, France; Nokia Bell Labs, Route de Villejust, 91620 Nozay, France; Nokia Bell Labs, Route de Villejust, 91620 Nozay, France; Nokia Bell Labs, 791 Holmdel Road, Holmdel, New Jersey 07733, USA; Nokia Bell Labs, Route de Villejust, 91620 Nozay, France; Nokia Bell Labs, Route de Villejust, 91620 Nozay, France; Nokia Bell Labs, Route de Villejust, 91620 Nozay, France; Nokia Bell Labs, Route de Villejust, 91620 Nozay, France; Nokia Bell Labs, Route de Villejust, 91620 Nozay, France; Nokia Bell Labs, 791 Holmdel Road, Holmdel, New Jersey 07733, USA.; Nokia Bell Labs, 791 Holmdel Road, Holmdel, New Jersey 07733, USA; Nokia Bell Labs, Route de Villejust, 91620 Nozay, France; Nokia Bell Labs, Route de Villejust, 91620 Nozay, France</t>
  </si>
  <si>
    <t>Today‚Äôs traditional, hierarchical, fullelectronic data centers cannot guarantee quality of service (QoS) for latency-sensitive applications or carrier-grade multitenancy.We propose cloud burst optical-slot switching (CBOSS), an intra-data center network architecture leveraging the original optical components and custom software- defined network (SDN) control to enable traffic engineering. In particular, we demonstrate network slicing on demand with subwavelength granularity and deterministic per-flowQoSguarantees in a 3-top-of-rack(ToR)CBOSSnetwork prototype. We rely on an integrated silicon photonics (SiP) wavelength dropper, a fast-tunable laser, and custom SDN-based controller.</t>
  </si>
  <si>
    <t>https://ieeexplore.ieee.org/stamp/stamp.jsp?arnumber=8410221</t>
  </si>
  <si>
    <t>Capacity guarantee;Data center;Jitter;Latency;Optical slot switching network;Quality of Service;Tunable laser;Wavelength ropper.</t>
  </si>
  <si>
    <t>Optical switches;Quality of service;Data centers;Optical amplifiers;Optical receivers;Optical filters;Optical fiber networks</t>
  </si>
  <si>
    <t>D. Guam√°n; S. Delgado; J. P√©rez</t>
  </si>
  <si>
    <t>Classifying Model-View-Controller Software Applications Using Self-Organizing Maps</t>
  </si>
  <si>
    <t>10.1109/ACCESS.2021.3066348</t>
  </si>
  <si>
    <t>Departamento de Sistemas Inform√°ticos (DSI), ETS de Ingenier√≠a de Sistemas Inform√°ticos (ETSISI), Universidad Polit√©cnica de Madrid, Madrid, Spain; Departamento de Sistemas Inform√°ticos (DSI), ETS de Ingenier√≠a de Sistemas Inform√°ticos (ETSISI), Universidad Polit√©cnica de Madrid, Madrid, Spain; Departamento de Sistemas Inform√°ticos (DSI), ETS de Ingenier√≠a de Sistemas Inform√°ticos (ETSISI), Universidad Polit√©cnica de Madrid, Madrid, Spain</t>
  </si>
  <si>
    <t>The new era of information and the needs of our society require continuous change in software and technology. Changes are produced very quickly and software systems require evolving at the same velocity, which implies that the decision-making process of software architectures should be (semi-)automated to satisfy changing needs and to avoid wrong decisions. This issue is critical since suboptimal architecture design decisions may lead to high cost and poor software quality. Therefore, systematic and (semi-)automated mechanisms that help software architects during the decision-making process are required. Architectural patterns are one of the most important features of software applications, but the same pattern can be implemented in different ways, leaving to results of different quality. When an application requires to evolve, knowledge extracted from similar applications is useful for driving decisions, since quality pattern implementations can be reproduced in similar applications to improve specific quality attributes. Therefore, clustering methods are especially suitable for classifying similar pattern implementations. In this paper, we apply a novel unsupervised clustering technique, based on the well-known artificial neural network model Self-Organizing Maps, to classify Model-View-Controller (MVC) pattern from a quality point of view. Software quality is analyzed by 24 metrics organized into the categories of Count/Size, Maintainability, Duplications, Complexity, and Design Quality. The main goal of this work is twofold: to identify the quality features that establish the similarity of MVC applications without software architect bias, and to classify MVC applications by means of Self-Organizing Maps based on quality metrics. To that end, this work performs an exploratory study by conducting two analyses with a dataset of 87 Java MVC applications characterized by the 24 metrics and two attributes that describe the technology dimension of the application. The stated findings provide a knowledge base that can help in the decision-making process for the architecture of Java MVC applications.</t>
  </si>
  <si>
    <t xml:space="preserve">Computer Science Department, Universidad T√©cnica Particular de Loja; Spanish Ministry of Economy and Competitiveness (MINECO) through the Project CROWDSAVING(grant numbers:TIN2016-79726-C2-1-R); </t>
  </si>
  <si>
    <t>https://ieeexplore.ieee.org/stamp/stamp.jsp?arnumber=9380344</t>
  </si>
  <si>
    <t>Model-view-controller;software architectures;artificial neural networks;self-organizing maps (SOM);unsupervised clustering techniques;machine learning;software quality</t>
  </si>
  <si>
    <t>Software;Software architecture;Computer architecture;Decision making;Clustering methods;Clustering algorithms;Self-organizing feature maps</t>
  </si>
  <si>
    <t>E. Fadda; P. Plebani; M. Vitali</t>
  </si>
  <si>
    <t>Monitoring-Aware Optimal Deployment for Applications Based on Microservices</t>
  </si>
  <si>
    <t>10.1109/TSC.2019.2910069</t>
  </si>
  <si>
    <t>DAUIN Department, Corso Duca degli Abruzzi 24, Turin, Italy; DEIB Department, Politecnico di Milano, Milan, Italy; DEIB Department, Politecnico di Milano, Milan, Italy</t>
  </si>
  <si>
    <t>Modern cloud applications are required to be distributed, scalable, and reliable. The microservice architectural style enables developers to achieve this goal with reduced effort. Nonetheless, microservices deployment is not trivial due to the heterogeneity of the microservices in terms of both functional and non-functional requirements. This is also true when considering the monitoring requirements that are specific to each microservice and must be satisfied in order to enable the verification of the application objectives satisfaction. However, not all providers offer the same set of metrics with the same quality. The goal of this paper is to provide an approach for supporting the deployment of microservices in multi-cloud environments focusing on the Quality of Monitoring. Adopting a multi-objective mixed integer linear optimisation problem, our approach supports the application owner in finding the optimal deployment for satisfying all the constraints and maximising the quality of monitored data, while minimising the costs. To this end, a knowledge base is introduced to mediate between the perspectives of the cloud provider and the application owner, while a Bayesian Network is adopted to enhance the provider‚Äôs monitoring capabilities by estimating metrics requested by the application owners that the cloud provider is not able to monitor.</t>
  </si>
  <si>
    <t xml:space="preserve">European Union's Horizon 2020(grant numbers:RIA 731945); </t>
  </si>
  <si>
    <t>https://ieeexplore.ieee.org/stamp/stamp.jsp?arnumber=8685146</t>
  </si>
  <si>
    <t>Monitoring system;microservice;multi-cloud;cloud computing;deployment optimisation</t>
  </si>
  <si>
    <t>Monitoring;Measurement;Cloud computing;Optimization;Knowledge based systems;Scalability;Trajectory</t>
  </si>
  <si>
    <t>P. Zhao; P. Wang; X. Yang; J. Lin</t>
  </si>
  <si>
    <t>Towards Cost-Efficient Edge Intelligent Computing With Elastic Deployment of Container-Based Microservices</t>
  </si>
  <si>
    <t>10.1109/ACCESS.2020.2998767</t>
  </si>
  <si>
    <t>School of Computer Science and Technology, Xi‚Äôan Jiaotong University, Xi‚Äôan, China; School of Software Engineering, Xi‚Äôan Jiaotong University, Xi‚Äôan, China; School of Computer Science and Technology, Xi‚Äôan Jiaotong University, Xi‚Äôan, China; School of Computer Science and Technology, Xi‚Äôan Jiaotong University, Xi‚Äôan, China</t>
  </si>
  <si>
    <t>With the tremendous growth of the Internet of Things (IoT), big data, and artificial intelligence (AI), the edge computing-based service paradigm has been introduced to meet the increasing demand of applications. To provide efficient computing services at the network edge, the algorithms and applications are generally deployed based on the container-based microservice strategy, which significantly impacts the system efficiency and QoS. Considering the fundamental system uncertainties, including the dynamic workload and service rate, we investigate how to minimize the long-term system cost through the elastic microservice deployment in this paper. To this end, we formulate the container-based microservice deployment as a stochastic optimization problem to minimize the system cost while maintaining the system QoS and stability. We develop a cost-aware elastic microservice deployment algorithm to solve the formulated problem, which balances the tradeoff between system cost and QoS. Our algorithm makes the real-time decisions based on current queue backlogs and system states without predicting the future knowledge. Finally, we conduct the theoretical analysis and extensive simulations based on data traces from the ResNet-50 model-based visual recognition application. The results demonstrate that our algorithm outperforms the baseline strategies with respect to the system cost, queue backlogs, and the number of Pod replicas.</t>
  </si>
  <si>
    <t xml:space="preserve">National Basic Research Program of China (973 Program)(grant numbers:2017YFB1010004); </t>
  </si>
  <si>
    <t>https://ieeexplore.ieee.org/stamp/stamp.jsp?arnumber=9104693</t>
  </si>
  <si>
    <t>Edge computing system;microservices;elastic deployment;system cost;container</t>
  </si>
  <si>
    <t>Containers;Heuristic algorithms;Edge computing;Computational modeling;Virtualization;Artificial intelligence;Quality of service</t>
  </si>
  <si>
    <t>S. Abdelwahab; S. Zhang; A. Greenacre; K. Ovesen; K. Bergman; B. Hamdaoui</t>
  </si>
  <si>
    <t>When Clones Flock Near the Fog</t>
  </si>
  <si>
    <t>10.1109/JIOT.2018.2817392</t>
  </si>
  <si>
    <t>School of Electrical Engineering and Computer Science, Oregon State University, Corvallis, OR, USA; School of Electrical Engineering and Computer Science, Oregon State University, Corvallis, OR, USA; School of Electrical Engineering and Computer Science, Oregon State University, Corvallis, OR, USA; School of Electrical Engineering and Computer Science, Oregon State University, Corvallis, OR, USA; School of Electrical Engineering and Computer Science, Oregon State University, Corvallis, OR, USA; School of Electrical Engineering and Computer Science, Oregon State University, Corvallis, OR, USA</t>
  </si>
  <si>
    <t>FogMQ is a message brokering and device cloning service in fog and edge computing. Excessive tail end-to-end latency occurs with conventional message brokers when a massive number of geographically distributed devices communicate through a message broker. Latency of broker-less messaging is highly dependent on computational resources of devices. Deviceto-device messaging does not necessarily ensure low messaging latency and cannot scale well for a large number of resourcelimited and geographically distributed devices. For each device, FogMQ provides a high capacity device cloning service that subscribes to device messages. The clones facilitate near-theedge data analytics in resourceful cloud compute nodes. Clones in FogMQ apply Flock; an algorithm mimicking flocking-like behavior and allows the clones to autonomously migrate between heterogeneous cloud platforms. Flock controls and minimizes the weighted tail end-to-end latency. We have implemented FogMQ and evaluated it in a geographically distributed testbed. In our functional evaluation, we show that FogMQ is stable and achieves a bounded tail end-to-end latency that is up to 34% less than existing brokering methods.</t>
  </si>
  <si>
    <t xml:space="preserve">NPRP grant from the Qatar National Research Fund (a member of Qatar Foundation)(grant numbers:NPRP 5-319-2-121); </t>
  </si>
  <si>
    <t>https://ieeexplore.ieee.org/stamp/stamp.jsp?arnumber=8320280</t>
  </si>
  <si>
    <t>Game theory;messages brokering;resource management;ubiquitous computing</t>
  </si>
  <si>
    <t>Cloning;Cloud computing;Servers;Social network services;Internet of Things;Device-to-device communication;Delays</t>
  </si>
  <si>
    <t>C. Zhang; Y. Wang; H. Wu; H. Guo</t>
  </si>
  <si>
    <t>An Energy-Aware Host Resource Management Framework for Two-Tier Virtualized Cloud Data Centers</t>
  </si>
  <si>
    <t>10.1109/ACCESS.2020.3047803</t>
  </si>
  <si>
    <t>School of Software Technology, Dalian University of Technology, Dalian, China; School of Computer Science and Technology, Dalian University of Technology, Dalian, China; School of Computer Science and Information Engineering, Anyang Institute of Technology, Anyang, China; School of Software Technology, Dalian University of Technology, Dalian, China</t>
  </si>
  <si>
    <t>The high energy consumption of cloud data centers is one of the key issues restricting the future development of the cloud computing industry. For two-tier virtualized data centers in which containers are deployed on VMs, this paper conducts an in-depth study of this problem from the aspect of resource management. First, the working model of two-tier virtualized data center is defined. By mapping tasks to containers and using VMs to isolate different jobs, this model improves the resource utilization of hosts while ensuring the isolation and security of jobs. Then, an energy-aware host resource management framework is constructed, which includes two algorithms. The initial static placement is a two-tier scheduling algorithm, including the load balancing alternate placement and the two-sided matching methods to complete the placement of containers to VMs and VMs to hosts respectively. The runtime dynamic consolidation algorithm takes the initial placement scheme as input, and utilizes the dynamic consolidation method to use the least active hosts to meet the real-time resource requirements of containers. Finally, simulation experiments compared with related algorithms are conducted using real workload traces. The results show that the proposed two algorithms have better performance in host resource utilization, number of active hosts, number of container migrations and SLA metric. And the entire framework achieves an energy-saving effect of 13.8% at least.</t>
  </si>
  <si>
    <t xml:space="preserve">National Natural Science Foundation of China Grants (NSFC)(grant numbers:61772112); Innovation Foundation of Science and Technology of Dalian(grant numbers:2018J11CY010); </t>
  </si>
  <si>
    <t>https://ieeexplore.ieee.org/stamp/stamp.jsp?arnumber=9309376</t>
  </si>
  <si>
    <t>Cloud data center;container;virtual machine;energy consumption;resource management</t>
  </si>
  <si>
    <t>Containers;Cloud computing;Heuristic algorithms;Resource management;Data centers;Virtualization;Energy consumption</t>
  </si>
  <si>
    <t>S. Shirvani; Y. Baseri; A. Ghorbani</t>
  </si>
  <si>
    <t>Evaluation Framework for Electric Vehicle Security Risk Assessment</t>
  </si>
  <si>
    <t>10.1109/TITS.2023.3307660</t>
  </si>
  <si>
    <t>Canadian Institute for Cybersecurity (CIC), University of New Brunswick (UNB), Fredericton, Canada; Canadian Institute for Cybersecurity (CIC), University of New Brunswick (UNB), Fredericton, Canada; Canadian Institute for Cybersecurity (CIC), University of New Brunswick (UNB), Fredericton, Canada</t>
  </si>
  <si>
    <t>Electric Vehicles (EVs) seem promising for future transportation to solve environmental concerns and energy management problems. According to Reuters, global car makers plan to invest over half a billion in more efficient and intelligent EVs and batteries. However, there are several challenges in EV mass production, including cybersecurity. Due to the cyber-physical nature of EVs and charging stations, their security and trustworthiness are ongoing challenges. In this study, we identify gaps in the security profiling of EVs and categorize them into five components: 1) charging station security, 2) information privacy, 3) software security, 4) connected vehicle security, and 5) autonomous driving security. Our study provides a comprehensive analysis of identified vulnerabilities, threats, challenges and attacks for different EV security aspects, along with their possible surface/subsurface and countermeasures. We develop a comprehensive security risk assessment framework by first using EV security profiles and mapping identified vulnerabilities to a well-known threat model, STRIDE. Then, we classify the risk levels associated with each vulnerability by setting ground criteria for the impact and likelihood of the threats. Finally, we validate our risk assessment framework by applying the same criteria to eight real-world EV attack scenarios. As a result, researchers can adapt the proposed risk assessment framework to discover threats and assess their risks in EVs and charging station ecosystems.</t>
  </si>
  <si>
    <t xml:space="preserve">NSERC through the Discovery Grant and Canada Research Chair; </t>
  </si>
  <si>
    <t>https://ieeexplore.ieee.org/stamp/stamp.jsp?arnumber=10247152</t>
  </si>
  <si>
    <t>Security profiling;risk assessment;electric vehicle;autonomous vehicle;cybersecurity attacks</t>
  </si>
  <si>
    <t>Security;Risk management;Privacy;Electric vehicles;Autonomous vehicles;Vehicle-to-everything;Transportation;Autonomous driving</t>
  </si>
  <si>
    <t>B. Z. Du; Q. Guo; Y. Zhao; T. Zhi; Y. Chen; Z. Xu</t>
  </si>
  <si>
    <t>Self-Aware Neural Network Systems: A Survey and New Perspective</t>
  </si>
  <si>
    <t>10.1109/JPROC.2020.2977722</t>
  </si>
  <si>
    <t>State Key Laboratory of Computer Architecture, Institute of Computing Technology, Chinese Academy of Sciences, Beijing, China; State Key Laboratory of Computer Architecture, Institute of Computing Technology, Chinese Academy of Sciences, Beijing, China; State Key Laboratory of Computer Architecture, Institute of Computing Technology, Chinese Academy of Sciences, Beijing, China; State Key Laboratory of Computer Architecture, Institute of Computing Technology, Chinese Academy of Sciences, Beijing, China; State Key Laboratory of Computer Architecture, Institute of Computing Technology, Chinese Academy of Sciences, Beijing, China; State Key Laboratory of Computer Architecture, Institute of Computing Technology, Chinese Academy of Sciences, Beijing, China</t>
  </si>
  <si>
    <t>Neural network (NN) processors are specially designed to handle deep learning tasks by utilizing multilayer artificial NNs. They have been demonstrated to be useful in broad application fields such as image recognition, speech processing, machine translation, and scientific computing. Meanwhile, innovative self-aware techniques, whereby a system can dynamically react based on continuously sensed information from the execution environment, have attracted attention from both academia and industry. Actually, various self-aware techniques have been applied to NN systems to significantly improve the computational speed and energy efficiency. This article surveys state-of-the-art self-aware NN systems (SaNNSs), which can be achieved at different layers, that is, the architectural layer, the physical layer, and the circuit layer. At the architectural layer, SaNNS can be characterized from a data-centric perspective where different data properties (i.e., data value, data precision, dataflow, and data distribution) are exploited. At the physical layer, various parameters of physical implementation are considered. At the circuit layer, different logics and devices can be used for high efficiency. In fact, the self-awareness of existing SaNNS is still in a preliminary form. We propose a comprehensive SaNNS from a new perspective, that is, the model layer, to exploit more opportunities for high efficiency. The proposed system is called as MinMaxNN, which features model switching and elastic sparsity based on monitored information from the execution environment. The model switching mechanism implies that models (i.e., min and max model) dynamically switch given different inputs for both efficiency and accuracy. The elastic sparsity mechanism indicates that the sparsity of NNs can be dynamically adjusted in each layer for efficiency. The experimental results show that compared with traditional SaNNS, MinMaxNN can achieve 5.64√ó and 19.66% performance improvement and energy reduction, respectively, without notable loss of accuracy and negative effects on developers' productivity.</t>
  </si>
  <si>
    <t xml:space="preserve">National Basic Research Program of China (973 Program)(grant numbers:2017YFB1003101,2018AAA0103300,2017YFA0700900,2017YFA0700902,2017YFA0700901); NSF of China(grant numbers:61732007,61432016,61532016,61672491,61602441,61602446,61732002,61702478,61732020); Beijing Natural Science Foundation(grant numbers:JQ18013); National Science and Technology Major Project(grant numbers:2018ZX01031102); Transformation and Transfer of Scientific and Technological Achievements of Chinese Academy of Sciences(grant numbers:KFJ-HGZX-013); Key Research Projects in Frontier Science of Chinese Academy of Sciences(grant numbers:QYZDB-SSW-JSC001); Strategic Priority Research Program of Chinese Academy of Science(grant numbers:XDB32050200,XDC01020000); Standardization Research Project of Chinese Academy of Sciences(grant numbers:BZ201800001); Beijing Academy of Artificial Intelligence (BAAI) through the Beijing Nova Program of Science and Technology(grant numbers:Z191100001119093); </t>
  </si>
  <si>
    <t>https://ieeexplore.ieee.org/stamp/stamp.jsp?arnumber=9045930</t>
  </si>
  <si>
    <t>Self-aware neural network (NN) processors</t>
  </si>
  <si>
    <t>Artificial neural networks;Neural networks;Self-aware;Monitoring;Sensors;Program processors;Logic gates</t>
  </si>
  <si>
    <t>X. Guerron; S. Abrah√£o; E. Insfran; M. Fern√°ndez-Diego; F. Gonz√°lez-Ladr√≥n-De-Guevara</t>
  </si>
  <si>
    <t>A Taxonomy of Quality Metrics for Cloud Services</t>
  </si>
  <si>
    <t>10.1109/ACCESS.2020.3009079</t>
  </si>
  <si>
    <t>Instituto Universitario Mixto de Tecnolog√≠a Inform√°tica, Universitat Polit√®cnica de Val√®ncia (UPV), Valencia, Spain; Instituto Universitario Mixto de Tecnolog√≠a Inform√°tica, Universitat Polit√®cnica de Val√®ncia (UPV), Valencia, Spain; Instituto Universitario Mixto de Tecnolog√≠a Inform√°tica, Universitat Polit√®cnica de Val√®ncia (UPV), Valencia, Spain; Departamento de Organizaci√≥n de Empresas, Universitat Polit√®cnica de Val√®ncia (UPV), Valencia, Spain; Departamento de Organizaci√≥n de Empresas, Universitat Polit√®cnica de Val√®ncia (UPV), Valencia, Spain</t>
  </si>
  <si>
    <t>A large number of metrics with which to assess the quality of cloud services have been proposed over the last years. However, this knowledge is still dispersed, and stakeholders have little or no guidance when choosing metrics that will be suitable to evaluate their cloud services. The objective of this paper is, therefore, to systematically identify, taxonomically classify, and compare existing quality of service (QoS) metrics in the cloud computing domain. We conducted a systematic literature review of 84 studies selected from a set of 4333 studies that were published from 2006 to November 2018. We specifically identified 470 metric operationalizations that were then classified using a taxonomy, which is also introduced in this paper. The data extracted from the metrics were subsequently analyzed using thematic analysis. The findings indicated that most metrics evaluate quality attributes related to performance efficiency (64%) and that there is a need for metrics that evaluate other characteristics, such as security and compatibility. The majority of the metrics are used during the Operation phase of the cloud services and are applied to the running service. Our results also revealed that metrics for cloud services are still in the early stages of maturity - only 10% of the metrics had been empirically validated. The proposed taxonomy can be used by practitioners as a guideline when specifying service level objectives or deciding which metric is best suited to the evaluation of their cloud services, and by researchers as a comprehensive quality framework in which to evaluate their approaches.</t>
  </si>
  <si>
    <t xml:space="preserve">Spanish Ministry of Science, Innovation and Universities through the Adapt@Cloud Project(grant numbers:TIN2017-84550-R); Universidad Central del Ecuador (UCE); Banco Central del Ecuador; </t>
  </si>
  <si>
    <t>https://ieeexplore.ieee.org/stamp/stamp.jsp?arnumber=9139920</t>
  </si>
  <si>
    <t>Software quality;metrics;cloud services;systematic literature review</t>
  </si>
  <si>
    <t>Measurement;Cloud computing;Taxonomy;Quality of service;Systematics;NIST;Elasticity</t>
  </si>
  <si>
    <t>E. Russo; G. Costa; G. Longo; A. Armando; A. Merlo</t>
  </si>
  <si>
    <t>LiDiTE: A Full-Fledged and Featherweight Digital Twin Framework</t>
  </si>
  <si>
    <t>IEEE Transactions on Dependable and Secure Computing</t>
  </si>
  <si>
    <t>1941-0018</t>
  </si>
  <si>
    <t>10.1109/TDSC.2023.3236798</t>
  </si>
  <si>
    <t>Department of Informatics, Bioengineering, Robotics, and Systems Engineering (DIBRIS), University of Genoa, Genova, Italy; Institute for Advanced Studies (IMT), Lucca, Italy; Department of Informatics, Bioengineering, Robotics, and Systems Engineering (DIBRIS), University of Genoa, Genova, Italy; Department of Informatics, Bioengineering, Robotics, and Systems Engineering (DIBRIS), University of Genoa, Genova, Italy; Department of Informatics, Bioengineering, Robotics, and Systems Engineering (DIBRIS), University of Genoa, Genova, Italy</t>
  </si>
  <si>
    <t>The rising of the Cyber-Physical System (CPS) and the Industry 4.0 paradigms demands the design and implementation of Digital Twin Frameworks (DTFs) that may support the quick build of reliable Digital Twins (DTs) for experimental and testing purposes. Most of the current DTF proposals allow the generation of DTs at a good pace but affect generality, scalability, portability, and completeness. As a consequence, current DTF are mostly domain-specific and hardly span several application domains (e.g., from simple IoT deployments to the modeling of complex critical infrastructures). Furthermore, the generated DTs often requires a high amount of computational resource to run. In this paper, we present LiDiTE, a solution based on a novel reference model for general-purpose DTFs. LiDiTE overcomes the limitations of state-of-the-art tools by supporting the fine-grained development of real-world complexity scenarios. To achieve that, LiDiTE builds on technologies that favor scalability, reuse, and extensibility of scenarios. We show such features by building the DT of real critical infrastructure and evaluating the performance of our DT against those of the real system. Further contributions of this paper include open access to the source code of LiDiTE and the experimental dataset.</t>
  </si>
  <si>
    <t xml:space="preserve">Horizon 2020 project; Strategic Programs for Advanced Research and Technology in Europe; </t>
  </si>
  <si>
    <t>https://ieeexplore.ieee.org/stamp/stamp.jsp?arnumber=10016764</t>
  </si>
  <si>
    <t>Cyber-physical systems;digital twin;digital twin framework;digital simulation;reference model</t>
  </si>
  <si>
    <t>Computational modeling;Digital twins;Behavioral sciences;Business;Actuators;Valves;Sensors</t>
  </si>
  <si>
    <t>R. L√≥pez-Viana; J. D√≠az; V. H. D√≠az; J. -F. Mart√≠nez</t>
  </si>
  <si>
    <t>Continuous Delivery of Customized SaaS Edge Applications in Highly Distributed IoT Systems</t>
  </si>
  <si>
    <t>10.1109/JIOT.2020.3009633</t>
  </si>
  <si>
    <t>Universidad Polit√©cnica de Madrid, Madrid, Spain; Universidad Polit√©cnica de Madrid, Madrid, Spain; Universidad Polit√©cnica de Madrid, Madrid, Spain; Universidad Polit√©cnica de Madrid, Madrid, Spain</t>
  </si>
  <si>
    <t>Edge computing is a reality for the current IoT systems that need fast processing and quick response time to make real-time decisions and IoT systems without permanent connectivity to the cloud (e.g., car manufacturing, precision agriculture, or cattle raising). Additionally, these industries are facing the need for rapid and continuous innovation by accelerating the delivery of over-the-air (OTA) software updates in edge devices. DevOps promotes collaboration between development and operation teams and automation at all steps of software construction to achieve continuous delivery (CD) of business value. Although DevOps has demonstrated numerous successful cases in the Web domain, in the IoT domain and, more specifically, at the edge, there are few reported cases. This work presents a success case of CD of customized software as a service software as a service (SaaS) updates at the IoT Edge. This may enable new business models at the IoT Edge. This article presents an architectural model of a highly distributed (cloud and edge) IoT system and a CD process flow for customized SaaS applications in edge nodes. Both the architectural model and the CD process flow are instantiated in a case study for precision agriculture.</t>
  </si>
  <si>
    <t xml:space="preserve">AFARCLOUD European Project (Aggregate Farming in the Cloud); ECSEL JU(grant numbers:783221-AFarCloud-H2020-ECSEL-2017-2); Spanish Ministry of Science, Innovation and Universities(grant numbers:PCI2018-092965); crowdsaving(grant numbers:TIN2016-79726-C2-1-R); </t>
  </si>
  <si>
    <t>https://ieeexplore.ieee.org/stamp/stamp.jsp?arnumber=9142209</t>
  </si>
  <si>
    <t>Continuous delivery (CD);DevOps;edge computing;IoT systems;software as a service (SaaS)</t>
  </si>
  <si>
    <t>Cloud computing;Software as a service;Edge computing;Internet of Things;Business;Agriculture</t>
  </si>
  <si>
    <t>H. Guissouma; C. P. Hohl; F. Lesniak; M. Schindewolf; J. Becker; E. Sax</t>
  </si>
  <si>
    <t>Lifecycle Management of Automotive Safety-Critical Over the Air Updates: A Systems Approach</t>
  </si>
  <si>
    <t>10.1109/ACCESS.2022.3176879</t>
  </si>
  <si>
    <t>Institute of Information Processing Technologies, Karlsruhe Institute of Technology, Karlsruhe, Germany; FZI, Karlsruhe, Germany; Institute of Information Processing Technologies, Karlsruhe Institute of Technology, Karlsruhe, Germany; Institute of Information Processing Technologies, Karlsruhe Institute of Technology, Karlsruhe, Germany; Institute of Information Processing Technologies, Karlsruhe Institute of Technology, Karlsruhe, Germany; Institute of Information Processing Technologies, Karlsruhe Institute of Technology, Karlsruhe, Germany</t>
  </si>
  <si>
    <t>With the increasing importance of Over The Air (OTA) updates in the automotive field, maintaining safety standards becomes more challenging as frequent incremental changes of embedded software are regularly integrated into a wide range of vehicle variants. This necessitates new processes and methodologies with a holistic view on the backend, where the updates are developed and released, and the frontend (vehicle), to which the updates are deployed. In this paper, we introduce an approach, including a process and a methodology, for continuous contract-based design, validation and deployment of modular updates for variant-rich automotive systems. The approach considers the vehicle as part of its connected environment enclosing a backend and concentrates on safety-critical applications. In addition, we present the UPDateable Automotive Test dEmonstratoR (UPDATER), which is a mock-up for modern Electric/Electronic architectures including a backend and a frontend part. It serves as a prototype for developing, deploying and monitoring automotive OTA updates. In a case study based on UPDATER, we apply the approach to three exemplary updates of a variable Advanced Driver Assistance System (ADAS). We show how the updates development and management may be achieved in an efficient and agile way.</t>
  </si>
  <si>
    <t xml:space="preserve">German Federal Ministry of Education and Research through the German Federal Ministry of Education and Research (BMBF) in the Project Step-Up!CPS (F√∂rderkennzeichen)(grant numbers:01IS18080D); </t>
  </si>
  <si>
    <t>https://ieeexplore.ieee.org/stamp/stamp.jsp?arnumber=9779735</t>
  </si>
  <si>
    <t>OTA updates;contract-based design;variant and configuration management;safety-critical systems;middleware;DevOps;advanced driver assistance systems;monitoring</t>
  </si>
  <si>
    <t>Computer architecture;Automotive engineering;Software;Safety;Monitoring;Conferences;Adaptation models</t>
  </si>
  <si>
    <t>A. Javadpour; F. Ja‚Äôfari; T. Taleb; Y. Zhao; B. Yang; C. Benza√Ød</t>
  </si>
  <si>
    <t>Encryption as a Service for IoT: Opportunities, Challenges, and Solutions</t>
  </si>
  <si>
    <t>10.1109/JIOT.2023.3341875</t>
  </si>
  <si>
    <t>Faculty of Information Technology and Electrical Engineering, University of Oulu, Oulu, Finland; Department of Computer Engineering, Sharif University of Technology, Tehran, Iran; Faculty of Information Technology and Electrical Engineering, Oulu University, Oulu, Finland; Science and Technology on Communication Security Laboratory, Chengdu, China; ICTFICIAL Oy, Espoo, Finland; Faculty of Information Technology and Electrical Engineering, Oulu University, Oulu, Finland</t>
  </si>
  <si>
    <t>The widespread adoption of Internet of Things (IoT) technology has introduced new cybersecurity challenges. Encryption services are being offloaded to cloud and fog platforms to mitigate these risks. Encryption as a Service (EaaS) emerges as a remedy, offering cryptographic solutions tailored to the resource constraints of IoT devices. This study thoroughly examines existing EaaS platforms, categorizing them based on encryption algorithms and service offerings. Additionally, we outline various EaaS architecture types depending on the placement of key components. Practical implementations of these platforms are explored through different testbeds. A key focus lies in dissecting the challenges that EaaS faces, particularly in the context of IoT, while suggesting potential remedies. This work stands out as an all-encompassing exploration, bridging the gap left by previous surveys.</t>
  </si>
  <si>
    <t xml:space="preserve">European Union‚Äôs Horizon Europe Research and Innovation Program(grant numbers:HORIZON-JU-SNS-2022); RIGOUROUS Project(grant numbers:101095933); Research Council of Finland (former Academy of Finland) 6G Flagship Program(grant numbers:346208); National Science Foundation of China(grant numbers:U20B2049,U20B2048,U20B2046); National Natural Science Foundation of China(grant numbers:62372076); </t>
  </si>
  <si>
    <t>https://ieeexplore.ieee.org/stamp/stamp.jsp?arnumber=10363120</t>
  </si>
  <si>
    <t>Cloud computing;Encryption as a Service (EaaS);fog computing;Internet of Things (IoT)</t>
  </si>
  <si>
    <t>Encryption;Internet of Things;Security;Cloud computing;Surveys;Heuristic algorithms;Performance evaluation</t>
  </si>
  <si>
    <t>S. M. Rajagopal; M. Supriya; R. Buyya</t>
  </si>
  <si>
    <t>Resource Provisioning Using Meta-Heuristic Methods for IoT Microservices With Mobility Management</t>
  </si>
  <si>
    <t>10.1109/ACCESS.2023.3281348</t>
  </si>
  <si>
    <t>Department of Computer Science and Engineering, Amrita School of Computing, Amrita Vishwa Vidyapeetham, Bengaluru, India; Department of Computer Science and Engineering, Amrita School of Computing, Amrita Vishwa Vidyapeetham, Bengaluru, India; CLOUDS Laboratory, School of Computing and Information Systems, The University of Melbourne, Melbourne, VIC, Australia</t>
  </si>
  <si>
    <t>The fog and edge computing paradigm provide a distributed architecture of nodes with processing capability for smart healthcare systems driven by Internet of Thing (IoT) applications. It also provides a method to reduce big data transmissions that cause latency and enhance the system‚Äôs efficiency. Resource provisioning and scheduling in edge and fog systems is a significant problem due to heterogeneity and dispersion of edge/fog/cloud resources. The goal of scheduling is to map tasks to appropriate resources, which belong to NP-hard problems, and it takes much time to find an optimal solution. Meta-heuristic methods achieve near-optimal solutions within a reasonable time. Current edge/fog resource allocation research does not sufficiently address resource allocation problems in mobility-aware microservice-based IoT applications. This paper proposes a meta-heuristic-based micro-service resource provisioning model with mobility management for smart healthcare systems. The proposed approach has been tested on an experimental set-up with a simulation of a critical real-time smart healthcare application with and without considering the mobility of the devices. It applies meta-heuristic methods such as modified genetic and flower pollination algorithms for resource management. The proposed method outperforms the existing solutions in energy consumption, network usage, cost, execution time, and latency by 17%, 20%, 22%, 17%, and 63%, respectively.</t>
  </si>
  <si>
    <t>https://ieeexplore.ieee.org/stamp/stamp.jsp?arnumber=10138589</t>
  </si>
  <si>
    <t>Edge computing;fog computing;Internet of Things;meta-heuristic;microservices;mobility;smart healthcare;time critical applications</t>
  </si>
  <si>
    <t>Edge computing;Internet of Things;Smart healthcare;Metaheuristics;Microservice architectures</t>
  </si>
  <si>
    <t>W. Qiang; W. Chunming; Y. Xincheng; C. Qiumei</t>
  </si>
  <si>
    <t>Intrinsic Security and Self-Adaptive Cooperative Protection Enabling Cloud Native Network Slicing</t>
  </si>
  <si>
    <t>10.1109/TNSM.2021.3071774</t>
  </si>
  <si>
    <t>College of Computer Science and Technology, Nanjing University of Aeronautics and Astronautics, Nanjing, China; College of Computer Science and Technology, Zhejiang University, Hangzhou, China; Future Network Research Center, State Key Laboratory of Mobile Networks and Mobile Multimedia Technology, Nanjing, China; College of Computer Science and Technology, Zhejiang University, Hangzhou, China</t>
  </si>
  <si>
    <t>With the emergence of cloud native technology, the network slicing enables automatic service orchestration, flexible network scheduling and scalable network resource allocation, which profoundly affects the traditional security solution. Security is regarded as a technology independent of the cloud native architecture in the initial design, traditional passive defense such as ‚Äúreinforced‚Äù and ‚Äústacked‚Äù is relied on to achieve system security protection. The lack of intrinsic security mechanisms makes the system capability insufficient when faces the uncertain threat brought by vulnerabilities and backdoors under the ecosystem of opening-up and sharing. The static nature of existing networks and computing systems makes them easy to be compromised and hard to defend, and thus it is urgent to provide intrinsic security and proactive protection against the unpredictable attacks. To this end, this paper proposes a novel paradigm named intrinsic cloud security (iCS) from the perspective of dynamic defense. The dynamic defense provides component-level security, and has complementary and consistency with the cloud native environment. In particular, iCS introduces mimic defense and moving target defense (MTD), and makes full use of the new features introduced by cloud native to implement an intrinsic and proactive defense mechanism with acceptable costs and efficiency. The iCS paradigm achieves seamless integration and symbiosis evolution between security and cloud native. We implement a trial of iCS based on 5GC commercial system and evaluate its performance on costs, efficiency and attack success. The result shows that the iCS enhanced mode always can provide a better and more stable defense effects.</t>
  </si>
  <si>
    <t xml:space="preserve">National Key R&amp;D Program of China(grant numbers:2020YFB1804705); Key R&amp;D Program of Zhejiang Province(grant numbers:2020C01077,2021C01036,2020C01021); Major Scientific Project of Zhejiang Lab(grant numbers:2018FD0ZX01); </t>
  </si>
  <si>
    <t>https://ieeexplore.ieee.org/stamp/stamp.jsp?arnumber=9399165</t>
  </si>
  <si>
    <t>Cyber security;MTD;mimic defense;cloud native;network functions virtualization (NFV);software defined network (SDN);network slicing</t>
  </si>
  <si>
    <t>Security;Cloud computing;Network slicing;5G mobile communication;Ecosystems;Symbiosis;Computer science</t>
  </si>
  <si>
    <t>N. Moustafa; K. -K. R. Choo; A. M. Abu-Mahfouz</t>
  </si>
  <si>
    <t>Guest Editorial: AI-Enabled Threat Intelligence and Hunting Microservices for Distributed Industrial IoT System</t>
  </si>
  <si>
    <t>10.1109/TII.2021.3111028</t>
  </si>
  <si>
    <t>School of Engineering and Information Technology, University of New South Wales (UNSW Canberra), Campbell, ACT, Australia; Department of Information Systems and Cyber Security, University of Texas at San Antonio, San Antonio, TX, USA; Council for Scientific and Industrial Research, Department of Electrical, Electronic and Computer Engineering, University of Pretoria, Pretoria, South Africa</t>
  </si>
  <si>
    <t>Industrial Internet of Things (IIoT) systems are increasingly found in settings such as factories, smart cities/nations, and healthcare institutions. These systems facilitate the interconnection of automation and data analytics across different industrial technologies, such as cyber-physical systems, Internet of Things (IoT), and cloud and edge computing devices and systems. However, IIoT systems also generate significant volume of data, which can incur significant overheads in processing such data at cloud centers¬†[A1]. Existing IIoT systems may be developed as monolithic architecture, where such a system is deployed as a single solution. In this architectural design, few programming languages can be used to create a single application or process composed of several classes, methods, and packages, in which the entire application is executed in one server irrespective of the application requirements.</t>
  </si>
  <si>
    <t>https://ieeexplore.ieee.org/stamp/stamp.jsp?arnumber=9536391</t>
  </si>
  <si>
    <t>Special issues and sections;Security;Industrial Internet of Things;Microservice architecture;Edge computing;Privacy;Blockchains</t>
  </si>
  <si>
    <t>M. Bany Taha; S. Alrabaee; K. -K. R. Choo</t>
  </si>
  <si>
    <t>Efficient Resource Management of Micro-Services in VANETs</t>
  </si>
  <si>
    <t>10.1109/TITS.2023.3255921</t>
  </si>
  <si>
    <t>Data Science and Artificial Intelligent Department, American University of Madaba, Amman, Jordan; Information Systems and Security Department, United Arab Emirates University, Al Ain, Abu Dhabi, United Arab Emirates; Department of Information System and Cybersecurity, The University of Texas at San Antonio, San Antonio, TX, USA</t>
  </si>
  <si>
    <t>While vehicular ad hoc Networks (VANETs) are relatively well-studied, a number of challenges remain, particularly as autonomous vehicles become more commonplace. For example, devices on a vehicle such as, On-Board Units (OBUs) may have resource constraints which render them incapable of supporting computationally expensive cryptography operations required to achieve various security features. One potential solution is to offload computationally expensive tasks to other nodes in the VANET; however, the dynamic nature of the setup (such as the, mobility of the requesting vehicles and other nodes) compounds the challenge of resource management. In this context, we propose a scheme that uses Ciphertext-Policy Attribute-Based Encryption (CP-ABE) to achieve data confidentiality in VANETs despite such challenges. Specifically, we build a cluster of vehicles to perform CP-ABE operations without relying on other nodes in the VANET. We use Kubernetes, an open-source container orchestration system, to build vehicle cluster(s) to handle distributed micro-tasks. In this scheme, we use a set of factors that impact the computation operations in cluster vehicle components (i.e., the OBU). Each factor, including the distance between the data owner vehicle and the target vehicle, the duration of each target vehicle in the cluster, and the resource of each vehicle in the cluster, has a weight based on its influence in computational operations. The Euclidean method is used to calculate the weight value for each factor. Based on the final total weight for each vehicle, our approach distributes the tasks between vehicles. We evaluate our results by comparing our approach with the mechanism of Kubernetes for task distribution, which only considers the resources in each vehicle. We also consider several scenarios with varying factors to evaluate their impact on the execution time of CP-ABE on OBUs in addition to using simulations to evaluate the performance of our approach in terms of transmission and propagation overheads for vehicles in the cluster.</t>
  </si>
  <si>
    <t xml:space="preserve">UAE University and Zayed University joint grant(grant numbers:12R143); </t>
  </si>
  <si>
    <t>https://ieeexplore.ieee.org/stamp/stamp.jsp?arnumber=10077450</t>
  </si>
  <si>
    <t>Resource management;SLNN;MLP;Euclidean algorithm;CP-ABE;VANET</t>
  </si>
  <si>
    <t>Cryptography;Vehicular ad hoc networks;Task analysis;Peer-to-peer computing;Resource management;Clustering algorithms;Vehicle dynamics</t>
  </si>
  <si>
    <t>M. Simiƒá; I. Prokiƒá; J. Dedeiƒá; G. Sladiƒá; B. Milosavljeviƒá</t>
  </si>
  <si>
    <t>Towards Edge Computing as a Service: Dynamic Formation of the Micro Data-Centers</t>
  </si>
  <si>
    <t>10.1109/ACCESS.2021.3104475</t>
  </si>
  <si>
    <t>Faculty of Technical Sciences, University of Novi Sad, Novi Sad, Serbia; Faculty of Technical Sciences, University of Novi Sad, Novi Sad, Serbia; Faculty of Technical Sciences, University of Novi Sad, Novi Sad, Serbia; Faculty of Technical Sciences, University of Novi Sad, Novi Sad, Serbia; Faculty of Technical Sciences, University of Novi Sad, Novi Sad, Serbia</t>
  </si>
  <si>
    <t>Edge computing brings cloud services closer to the edge of the network, where data originates, and dramatically reduces the network latency of the cloud. It is a bridge linking clouds and users making the foundation for novel interconnected applications. However, edge computing still faces many challenges like remote configuration, well-defined native applications model, and limited node capacity. It lacks geo-organization and a clear separation of concerns. As such edge computing is hard to be offered as a service for future real-time user-centric applications. This paper presents the dynamic organization of geo-distributed edge nodes into micro data-centers to cover any arbitrary area and expand capacity, availability, and reliability. A cloud organization is used as an influence with adaptations for a different environment, and a model for edge applications utilizing these adaptations is presented. It is argued that the presented model can be integrated into existing solutions or used as a base for the development of future systems. Furthermore, a clear separation of concerns is given for the proposed model. With the separation of concerns setup, edge-native applications model, and a unified node organization, we are moving towards the idea of edge computing as a service, like any other utility in cloud computing.</t>
  </si>
  <si>
    <t>https://ieeexplore.ieee.org/stamp/stamp.jsp?arnumber=9512038</t>
  </si>
  <si>
    <t>Cloud computing;distributed systems;edge computing;formal specifications;infrastructure as software;platform</t>
  </si>
  <si>
    <t>Cloud computing;Computational modeling;Adaptation models;Peer-to-peer computing;Edge computing;Organizations;Servers</t>
  </si>
  <si>
    <t>R. Xiao; Y. Zhang; X. H. Cui; F. Zhang; H. H. Wang</t>
  </si>
  <si>
    <t>A Hybrid Task Crash Recovery Solution for Edge Computing in IoT-Based Manufacturing</t>
  </si>
  <si>
    <t>10.1109/ACCESS.2021.3068471</t>
  </si>
  <si>
    <t>School of Cyber Science and Engineering, Wuhan University, Wuhan, China; School of Computer and Information Engineering, Hubei University, Wuhan, China; School of Cyber Science and Engineering, Wuhan University, Wuhan, China; Department of Finance, McQuay Air Conditioning and Refrigeration (Wuhan) Company, Wuhan, China; School of Computer and Information Engineering, Hubei University, Wuhan, China</t>
  </si>
  <si>
    <t>Smart factory is the deep integration of technology, business, products, and industry. The R&amp;D of products, the construction of factory information, customer orders, and supply chain data are combined to act on the production. This paper proposes a Hybrid Internet of Things (H-IoT) platform framework, which consists of five layers: intelligent device layer, communication protocol layer, edge computing layer, IoT control layer, and application layer. Object Linking and Embedding (OLE) for Process Control (OPC) transmits the received device data to the database of the edge server through the TCP/IP protocol. After the edge server performs preprocessing such as data cleaning, the device data are uniformly collected and distributed through the IoT layer. The various subsystems of the smart factory obtain the required resource data through IoT. To run tasks uninterruptedly and efficiently, we propose a Container-Managed Task Crash Recovery Mechanism for the Edge Computing (EC) layer. We design a reasonable EC hierarchy, then propose a task migration scheduling strategy. Our method ensures the reliability and stability of manufacturing with mass data transmission even in the case of a random crash of partial edge servers.</t>
  </si>
  <si>
    <t xml:space="preserve">National Key Research and Development Program of China(grant numbers:2018YFC1604000); Fundamental Research Funds for the Central Universities of China(grant numbers:2042017gf0035,2042019kf0268); National Natural Science Foundation of China(grant numbers:61572374,U163620068,U1135005,61572371); Natural Science Foundation of Hubei Province(grant numbers:2017CFB663); Academic Team Building Plan for Young Scholars from Wuhan University(grant numbers:WHU2016012); </t>
  </si>
  <si>
    <t>https://ieeexplore.ieee.org/stamp/stamp.jsp?arnumber=9385091</t>
  </si>
  <si>
    <t>H-IoT framework;EC;container-managed task crash recovery mechanism</t>
  </si>
  <si>
    <t>Edge computing;Production;Task analysis;Manufacturing;Computer architecture;Job shop scheduling;Processor scheduling</t>
  </si>
  <si>
    <t>C. Goumopoulos</t>
  </si>
  <si>
    <t>Smart City Middleware: A Survey and a Conceptual Framework</t>
  </si>
  <si>
    <t>10.1109/ACCESS.2023.3349376</t>
  </si>
  <si>
    <t>Department of Information and Communications Systems Engineering, University of the Aegean, Samos, Greece</t>
  </si>
  <si>
    <t>Smart city middleware serves as a foundational tool in the evolution of urban digitalization, acting as an intermediary software layer that simplifies the development, deployment, and management of applications tailored for smart urban environments. However, the development of effective middleware for smart cities is challenging. The present research embarks on a comprehensive exploration of the smart city middleware landscape, unraveling the intricacies of its development and the challenges faced therein. Rooted in the assessment of 20 distinct middleware solutions, our study highlights the pivotal technologies, features and functionalities that are imperative for a middleware to effectively support a city‚Äôs digital transformation. The functional and non-functional requirements form the nucleus of our evaluation. We also explore the architectural styles pivotal to middleware development and the programming paradigms shaping smart city application development. Our study highlights challenges in using middleware for smart city applications, such as interoperability, scalability, security amidst big data, context management, reliability, quality of service, energy efficiency, and compliance with technological standards and regulations. Based on the detailed analysis, we propose a conceptual framework for smart city middleware, shaped by the challenges and requirements identified in existing literature and middleware solutions. This framework is designed to reflect the diverse demands and complexities of urban digital transformation, and guide smart city middleware development accordingly. As a result, this research stands as a reference study for software developers, urban planners, and researchers, outlining the current state and future directions in the domain of smart city middleware.</t>
  </si>
  <si>
    <t xml:space="preserve">University of the Aegean Research Unit through the ‚ÄúInternet of Things-Intelligent Environments in Next-Generation Networks‚Äù Project(grant numbers:70477); </t>
  </si>
  <si>
    <t>https://ieeexplore.ieee.org/stamp/stamp.jsp?arnumber=10379798</t>
  </si>
  <si>
    <t>Smart cities;middleware;conceptual framework;surveys;functional and non-functional requirements;enabling technologies;architectural styles;programming paradigms;challenges</t>
  </si>
  <si>
    <t>Smart cities;Middleware;Software;Surveys;Interoperability;Security;Computer architecture</t>
  </si>
  <si>
    <t>J. M. Alves; L. M. Hon√≥rio; M. A. M. Capretz</t>
  </si>
  <si>
    <t>ML4IoT: A Framework to Orchestrate Machine Learning Workflows on Internet of Things Data</t>
  </si>
  <si>
    <t>10.1109/ACCESS.2019.2948160</t>
  </si>
  <si>
    <t>Department of Electrical and Computer Engineering, Western University, London, ON, Canada; Department of Electrical Energy, Federal University of Juiz de Fora, Juiz de Fora, Brazil; Department of Electrical and Computer Engineering, Western University, London, ON, Canada</t>
  </si>
  <si>
    <t>Internet of Things (IoT) applications generate vast amounts of real-time data. Temporal analysis of these data series to discover behavioural patterns may lead to qualified knowledge affecting a broad range of industries. Hence, the use of machine learning (ML) algorithms over IoT data has the potential to improve safety, economy, and performance in critical processes. However, creating ML workflows at scale is a challenging task that depends upon both production and specialized skills. Such tasks require investigation, understanding, selection, and implementation of specific ML workflows, which often lead to bottlenecks, production issues, and code management complexity and even then may not have a final desirable outcome. This paper proposes the Machine Learning Framework for IoT data (ML4IoT), which is designed to orchestrate ML workflows, particularly on large volumes of data series. The ML4IoT framework enables the implementation of several types of ML models, each one with a different workflow. These models can be easily configured and used through a simple pipeline. ML4IoT has been designed to use container-based components to enable training and deployment of various ML models in parallel. The results obtained suggest that the proposed framework can manage real-world IoT heterogeneous data by providing elasticity, robustness, and performance.</t>
  </si>
  <si>
    <t xml:space="preserve">Natural Sciences and Engineering Research Council of Canada(grant numbers:STPGP 506840-17); </t>
  </si>
  <si>
    <t>https://ieeexplore.ieee.org/stamp/stamp.jsp?arnumber=8876834</t>
  </si>
  <si>
    <t>Big data;container-based virtualization;IoT;machine learning;machine learning workflow;microservices</t>
  </si>
  <si>
    <t>Machine learning;Internet of Things;Data models;Training;Big Data;Task analysis;Tools</t>
  </si>
  <si>
    <t>F. Tahir; M. Abdullah; F. Bukhari; K. M. Almustafa; W. Iqbal</t>
  </si>
  <si>
    <t>Online Workload Burst Detection for Efficient Predictive Autoscaling of Applications</t>
  </si>
  <si>
    <t>10.1109/ACCESS.2020.2988207</t>
  </si>
  <si>
    <t>Punjab University College of Information Technology (PUCIT), University of the Punjab, Lahore, Pakistan; Punjab University College of Information Technology (PUCIT), University of the Punjab, Lahore, Pakistan; Punjab University College of Information Technology (PUCIT), University of the Punjab, Lahore, Pakistan; College of Computer and Information Sciences, Prince Sultan University, Riyadh, Saudi Arabia; Punjab University College of Information Technology (PUCIT), University of the Punjab, Lahore, Pakistan</t>
  </si>
  <si>
    <t>Autoscaling methods are employed to ensure the scalability of cloud-hosted applications. The public-facing applications are prone to receive sudden workload bursts, and the existing autoscaling methods do not handle the bursty workloads gracefully. It is challenging to detect the burst online from the incoming dynamic workload traffic, and then identifying appropriate resources to address the burst without overprovisioning is even harder. In this paper, we address this challenge by investigating the appropriate method for online burst detection and then proposed a novel predictive autoscaling method to use burst detection for satisfying specific response time requirements. We compared the proposed method with multiple state-of-the-art baseline autoscaling methods under multiple realistic and synthetic bursty workloads for a benchmark application. Our experimental results show a 60.8% average decrease in response time violations as compared to the baseline method.</t>
  </si>
  <si>
    <t xml:space="preserve">Prince Sultan University, Riyadh, Saudi Arabia, and Higher Education Commission, Pakistan; </t>
  </si>
  <si>
    <t>https://ieeexplore.ieee.org/stamp/stamp.jsp?arnumber=9069259</t>
  </si>
  <si>
    <t>Autoscaling;predictive;SLO violations;response time;workload;burstiness;online burst detection</t>
  </si>
  <si>
    <t>Time factors;Resource management;Cloud computing;Computational modeling;Entropy;Predictive models;Load modeling</t>
  </si>
  <si>
    <t>T. Kim; H. Park; Y. Jin; S. -S. Lee; S. Lee</t>
  </si>
  <si>
    <t>Partition Placement and Resource Allocation for Multiple DNN-Based Applications in Heterogeneous IoT Environments</t>
  </si>
  <si>
    <t>10.1109/JIOT.2023.3235993</t>
  </si>
  <si>
    <t>Department of Computer Science, Yonsei University, Seoul, South Korea; Department of Computer Science, Yonsei University, Seoul, South Korea; Department of Computer Science, Yonsei University, Seoul, South Korea; Department of Computer Science, Yale University, New Haven, CT, USA; Department of Computer Science, Yonsei University, Seoul, South Korea</t>
  </si>
  <si>
    <t>The evolution of the Internet of Things (IoT) has been driving the explosive growth of deep neural network (DNN)-based applications and processing demands. Hence, edge computing has emerged as a potential solution to meet these processing requirements. However, emerging IoT applications have increasingly demanded to run multiple DNNs to extract multifaceted knowledge, requiring more computational resources and increasing response time. Consequently, edge nodes cannot act as a complete substitute for the previous cloud paradigm, owing to their relatively limited resources. To address this problem, we propose to incorporate nearby IoT devices when allocating resources to multiple DNN models. Furthermore, the optimization of resource allocation can be hindered by the heterogeneity of IoT devices, which affects the delay performance of DNN-based computing. In this context, we propose a DNN partition placement and resource allocation strategy that considers different processing powers, memory, and battery levels for heterogeneous IoT devices. We evaluate the performance of the proposed strategy through extensive simulations. Simulation results reveal that the proposed strategy outperforms other existing solutions in terms of end-to-end delay, service probability, and energy consumption. The proposed solution was further simulated in a Kubernetes testbed consisting of actual devices to assess its feasibility.</t>
  </si>
  <si>
    <t xml:space="preserve">National Research Foundation of Korea (NRF); Korea Government (MSIT)(grant numbers:2022R1A2B5B01001683); </t>
  </si>
  <si>
    <t>https://ieeexplore.ieee.org/stamp/stamp.jsp?arnumber=10014999</t>
  </si>
  <si>
    <t>Heterogeneous Internet of Things (IoT);multiple deep neural networks (DNNs);partition placement;resource allocation;utility</t>
  </si>
  <si>
    <t>Internet of Things;Computational modeling;Resource management;Performance evaluation;Cloud computing;Edge computing;Delays</t>
  </si>
  <si>
    <t>N. Li; X. Xu; Q. Sun; J. Wu; Q. Zhang; G. Chi; C. -L. ‚Ö†; N. Sprecher</t>
  </si>
  <si>
    <t>Transforming the 5G RAN With Innovation: The Confluence of Cloud Native and Intelligence</t>
  </si>
  <si>
    <t>10.1109/ACCESS.2023.3234493</t>
  </si>
  <si>
    <t>China Mobile Research Institute, Beijing, China; China Mobile Research Institute, Beijing, China; China Mobile Research Institute, Beijing, China; China Mobile Research Institute, Beijing, China; China Mobile Research Institute, Beijing, China; China Mobile Research Institute, Beijing, China; China Mobile Research Institute, Beijing, China; Nokia, Kfar-Saba, Israel</t>
  </si>
  <si>
    <t>Intelligence and cloudification are widely recognized as key driving forces in the evolution of 5G radio access network (RAN). This paper presents a promising architecture framework for the evolution of 5G radio access network, enabled by a deep integration with cloudification and artificial intelligence/machine learning (AI/ML) technologies. To accommodate the diversified scenarios and services and handle the complexity of the 5G network in a flexible and efficient manner, the architecture framework highlights three concepts: convergence of RAN and cloud, RAN empowered by hierarchical AI capabilities, and mutual awareness between RAN and services. The key design aspects and technologies that realize those concepts are discussed systematically. Two typical use cases including the RAN slice resource allocation optimization and RAN-aware video service assurance, are demonstrated along with the simulation or lab test results to validate the potential of the architecture framework.</t>
  </si>
  <si>
    <t>https://ieeexplore.ieee.org/stamp/stamp.jsp?arnumber=10006796</t>
  </si>
  <si>
    <t>5G;AI/ML;cloud-native;RAN;service-awareness</t>
  </si>
  <si>
    <t>Cloud computing;5G mobile communication;Computer architecture;Optimization;Radio access networks;Cloud computing</t>
  </si>
  <si>
    <t>M. S. Irfan; S. Dasgupta; M. Rahman</t>
  </si>
  <si>
    <t>Toward Transportation Digital Twin Systems for Traffic Safety and Mobility: A Review</t>
  </si>
  <si>
    <t>10.1109/JIOT.2024.3395186</t>
  </si>
  <si>
    <t>Department of Civil, Construction, and Environmental Engineering, University of Alabama, Tuscaloosa, AL, USA; Department of Civil, Construction, and Environmental Engineering, University of Alabama, Tuscaloosa, AL, USA; Department of Civil, Construction, and Environmental Engineering, University of Alabama, Tuscaloosa, AL, USA</t>
  </si>
  <si>
    <t>Digital twin (DT) systems aim to create virtual replicas of physical objects that are updated in real-time with their physical counterparts and evolve alongside the physical assets throughout their lifecycle. DT technology promises to significantly enhance the capabilities of intelligent transportation systems (ITSs) through improving safety and mobility. The objectives of this review article are to: 1) conduct an in-depth review of DT technology applications in the transportation domain, i.e., safety and mobility applications; 2) develop a reference architecture for a transportation DT (TDT) system based on a hierarchical concept to guide in developing TDT systems at any scale; 3) identify research challenges for each component, i.e., the physical space, the communication gateway and the digital space of the TDT system, to realize safe and operationally efficient ITS; and 4) provide future research perspectives to develop and deploy networkwide transportation DT systems considering the scale and dynamic nature of future connected and automated transportation systems. Thus, this article focuses on providing a comprehensive understanding of the requirements, reference architecture, challenges, and future research opportunities for a TDT system, starting from individual transportation assets and building up to the entire networkwide TDT.</t>
  </si>
  <si>
    <t xml:space="preserve">Alabama Transportation Institute (ATI) and Federal Motor Carrier Safety Administration (FMCSA)(grant numbers:25-1121-0006-004); </t>
  </si>
  <si>
    <t>https://ieeexplore.ieee.org/stamp/stamp.jsp?arnumber=10530969</t>
  </si>
  <si>
    <t>Automation;connected transportation system;digital twin (DT);mobility;safety</t>
  </si>
  <si>
    <t>Transportation;Digital twins;Safety;Reviews;Internet of Things;Predictive models;Surveys</t>
  </si>
  <si>
    <t>D. D. Robin; J. I. Khan</t>
  </si>
  <si>
    <t>CLB: Coarse-Grained Precision Traffic-Aware Weighted Cost Multipath Load Balancing on PISA</t>
  </si>
  <si>
    <t>10.1109/TNSM.2022.3142106</t>
  </si>
  <si>
    <t>Computer Science Department, Kent State University, Kent, OH, USA; Computer Science Department, Kent State University, Kent, OH, USA</t>
  </si>
  <si>
    <t>This paper presents CLB, a programmable switch-based general-purpose in-network load balancer that can adapt to traffic changes at a very high speed. It uses Weighted-Cost Multipath (WCMP) mechanism for traffic-aware load balancing over many paths at a coarse-grained precision. CLB can be configured to match the load balancing requirements of a wide range of applications at line rate. We have analytically shown that CLB can achieve a bounded response time to traffic changes in the data plane. We implement CLB using the P4 programming language. Our experimental evaluation shows CLB can successfully distribute the incoming load over multiple paths for a given path-weight distribution and leads to performance improvement compared to other load balancing schemes.</t>
  </si>
  <si>
    <t>https://ieeexplore.ieee.org/stamp/stamp.jsp?arnumber=9676704</t>
  </si>
  <si>
    <t>Load-balancer;Programmable Switch;P4;SDN;BMV2;Traffic-aware;In-network</t>
  </si>
  <si>
    <t>Load management;Switches;Servers;Throughput;Hardware;Costs;Random access memory</t>
  </si>
  <si>
    <t>R. Khanam; M. Hussain; R. Hill; P. Allen</t>
  </si>
  <si>
    <t>A Comprehensive Review of Convolutional Neural Networks for Defect Detection in Industrial Applications</t>
  </si>
  <si>
    <t>10.1109/ACCESS.2024.3425166</t>
  </si>
  <si>
    <t>Department of Computer Science, School of Computing and Engineering, University of Huddersfield, Huddersfield, U.K.; Department of Computer Science, School of Computing and Engineering, University of Huddersfield, Huddersfield, U.K.; Department of Computer Science, School of Computing and Engineering, University of Huddersfield, Huddersfield, U.K.; Department of Computer Science, School of Computing and Engineering, University of Huddersfield, Huddersfield, U.K.</t>
  </si>
  <si>
    <t>Quality inspection and defect detection remain critical challenges across diverse industrial applications. Driven by advancements in Deep Learning, Convolutional Neural Networks (CNNs) have revolutionized Computer Vision, enabling breakthroughs in image analysis tasks like classification and object detection. CNNs‚Äô feature learning and classification capabilities have made industrial defect detection through Machine Vision one of their most impactful applications. This article aims to showcase practical applications of CNN models for surface defect detection across various industrial scenarios, from pallet racks to display screens. The review explores object detection methodologies and suitable hardware platforms for deploying CNN-based architectures. The growing Industry 4.0 adoption necessitates enhancing quality inspection processes. The main results demonstrate CNNs‚Äô efficacy in automating defect detection, achieving high accuracy and real-time performance across different surfaces. However, challenges like limited datasets, computational complexity, and domain-specific nuances require further research. Overall, this review acknowledges CNNs‚Äô potential as a transformative technology for industrial vision applications, with practical implications ranging from quality control enhancement to cost reductions and process optimization.</t>
  </si>
  <si>
    <t>https://ieeexplore.ieee.org/stamp/stamp.jsp?arnumber=10589380</t>
  </si>
  <si>
    <t>Computer vision;convolutional neural network;deep learning;industrial defect detection;object detection;quality inspection: manufacturing</t>
  </si>
  <si>
    <t>Defect detection;Hardware;Convolutional neural networks;Computer architecture;Reviews;Artificial intelligence;Inspection;Computer vision;Deep learning;Quality assessment;Manufacturing processes</t>
  </si>
  <si>
    <t>D. Anand; M. A. Togou; G. -M. Muntean</t>
  </si>
  <si>
    <t>A Machine Learning Solution for Video Delivery to Mitigate Co-Tier Interference in 5G HetNets</t>
  </si>
  <si>
    <t>IEEE Transactions on Multimedia</t>
  </si>
  <si>
    <t>1941-0077</t>
  </si>
  <si>
    <t>10.1109/TMM.2022.3187607</t>
  </si>
  <si>
    <t>School of Electronic Engineering, Dublin City University, Dublin, Ireland; School of Electronic Engineering, Dublin City University, Dublin, Ireland; School of Electronic Engineering, Dublin City University, Dublin, Ireland</t>
  </si>
  <si>
    <t>The exponential demand for multimedia services is one reason behind the substantial growth of mobile data traffic. Video traffic patterns have significantly changed in the past two years due to the coronavirus disease (COVID-19). The worldwide pandemic has caused many individuals to work from home and use various online video platforms (e.g., Zoom, Google Meet, and Microsoft Teams). As a result, overloaded macrocells are unable to ensure high Quality of Experience (QoE) to all users. Heterogeneous Networks (HetNets) consisting of small cells (femtocells) and macrocells are a promising solution to mitigate this problem. A critical challenge with the deployment of femtocells in HetNets is the interference management between Macro Base Stations (MBSs), Femto Base Stations (FBSs), and between FBS and FBS. Indeed, the dynamic deployment of femtocells can lead to co-tier interference. With the rolling out of the 5G mobile network, it becomes imperative for mobile operators to maintain network capacity and manage different types of interference. Machine Learning (ML) is considered a promising solution to many challenges in 5G HetNets. In this paper, we propose a Machine Learning Interference Classification and Offloading Scheme (MLICOS) to address the problem of co-tier interference between femtocells for video delivery. Two versions of MLICOS, namely, MLICOS1 and MLICOS2, are proposed. The former uses conventional ML classifiers while the latter employs advanced ML algorithms. Both versions of MLICOS are compared with the classic Proportional Fair (PF) scheduling algorithm, Variable Radius and Proportional Fair scheduling (VR + PF) algorithm, and a Cognitive Approach (CA). The ML models are assessed based on the prediction accuracy, precision, recall and F-measure. Simulation results show that MLICOS outperforms the other schemes by providing the highest throughput and the lowest delay and packet loss ratio. A statistical analysis was also carried out to depict the degree of interference faced by users when different schemes are employed.</t>
  </si>
  <si>
    <t xml:space="preserve">Science Foundation Ireland(grant numbers:18/CRT/6183); ML-LABS Centre for Research Training(grant numbers:12/RC/2289_P2); Insight SFI Research Centre for Data Analytics; </t>
  </si>
  <si>
    <t>https://ieeexplore.ieee.org/stamp/stamp.jsp?arnumber=9811394</t>
  </si>
  <si>
    <t>HetNets;COVID-19;interference;machine learning;QoS;statistical visualization</t>
  </si>
  <si>
    <t>Interference;Femtocells;Streaming media;Resource management;Quality of service;Clustering algorithms;Heuristic algorithms</t>
  </si>
  <si>
    <t>Y. Wang; C. Yang; S. Lan; L. Zhu; Y. Zhang</t>
  </si>
  <si>
    <t>End-Edge-Cloud Collaborative Computing for Deep Learning: A Comprehensive Survey</t>
  </si>
  <si>
    <t>10.1109/COMST.2024.3393230</t>
  </si>
  <si>
    <t>School of Cyberspace Science and Technology, Beijing Institute of Technology, Beijing, China; School of Cyberspace Science and Technology, Beijing Institute of Technology, Beijing, China; School of Economics and Management, University of the Chinese Academy of Sciences, Beijing, China; School of Cyberspace Science and Technology, Beijing Institute of Technology, Beijing, China; Department of Informatics, University of Oslo, Oslo, Norway</t>
  </si>
  <si>
    <t>The booming development of deep learning applications and services heavily relies on large deep learning models and massive data in the cloud. However, cloud-based deep learning encounters challenges in meeting the application requirements of responsiveness, adaptability, and reliability. Edge-based and end-based deep learning enables rapid, near real-time analysis and response, but edge nodes and end devices usually have limited resources to support large models. This necessitates the integration of end, edge, and cloud computing technologies to combine their different advantages. Despite the existence of numerous studies on edge-cloud collaboration, a comprehensive survey for end-edge-cloud computing-enabled deep learning is needed to review the current status and point out future directions. Therefore, this paper: 1) analyzes the collaborative elements within the end-edge-cloud computing system for deep learning, and proposes collaborative training, inference, and updating methods and mechanisms for deep learning models under the end-edge-cloud collaboration framework. 2) provides a systematic investigation of the key enabling technologies for end-edge-cloud collaborative deep learning, including model compression, model partition, and knowledge transfer. 3) highlights six open issues to stimulate continuous research efforts in the field of end-edge-cloud deep learning.</t>
  </si>
  <si>
    <t xml:space="preserve">National Key Research and Development Program of China(grant numbers:2021YFB1715700); National Natural Science Foundation of China(grant numbers:62103046,72201266,72192843,72192844); Fundamental Research Funds for the Central Universities(grant numbers:E1E40805X2,2023CX01020); </t>
  </si>
  <si>
    <t>https://ieeexplore.ieee.org/stamp/stamp.jsp?arnumber=10508191</t>
  </si>
  <si>
    <t>Deep learning;deep neural networks;edge computing;cloud computing;end-edge-cloud collaboration;end-edge-cloud computing</t>
  </si>
  <si>
    <t>Computational modeling;Artificial intelligence;Collaboration;Surveys;Training;Cloud computing;Deep learning</t>
  </si>
  <si>
    <t>M. Hoffmann; S. Janji; A. Samorzewski; ≈Å. Ku≈Çacz; C. Adamczyk; M. Dryja≈Ñski; P. Kryszkiewicz; A. Kliks; H. Bogucka</t>
  </si>
  <si>
    <t>Open RAN xApps Design and Evaluation: Lessons Learnt and Identified Challenges</t>
  </si>
  <si>
    <t>10.1109/JSAC.2023.3336190</t>
  </si>
  <si>
    <t>Rimedo Labs, Pozna≈Ñ, Poland; Rimedo Labs, Pozna≈Ñ, Poland; Rimedo Labs, Pozna≈Ñ, Poland; Rimedo Labs, Pozna≈Ñ, Poland; Institute of Radio-communications, Poznan University of Technology, Pozna≈Ñ, Poland; Rimedo Labs, Pozna≈Ñ, Poland; Rimedo Labs, Pozna≈Ñ, Poland; Rimedo Labs, Pozna≈Ñ, Poland; Rimedo Labs, Pozna≈Ñ, Poland</t>
  </si>
  <si>
    <t>The concept of open radio access networks (RAN) creates numerous opportunities for developing new technology and economy branches. At the same time, a flexible and modular approach in the disaggregated RAN entails the need for careful design of the overall RAN architecture and the implementation and deployment process of new applications. It is assumed that dedicated and specialized software companies may deliver the latter. A joint effort must be guaranteed among different sectors (industry, academia, and standardization bodies) to make the whole process efficient, safe, and reliable. Here, one of the critical driving forces origins from the open-source community that often stimulates the development of a specific technology. In this paper, we address the challenges that have to be faced by third-party application developers in the context of Open RAN. Based on many implemented applications (called xApps or rApps), we compare various available solutions. We pose the most critical issues that must be tackled in the near future to stimulate the progress in open RAN development further. In particular, we compare available open platforms for xApp development and testing. We present the details of implementing four selected applications describing the problems encountered. The paper is split into two logical parts - first, we identify the key ambiguities related to the development of new xApps, which address more complicated use cases like beam management. In the second part, we present the challenges associated with detailed software implementation in existing open platforms. In the first case, we show that dedicated beam mobility management xApp can reduce beam switches and keep beam failures low. However, it requires access to detailed localization information. Similarly, the signaling storm detection xApp provides expected performance under the assumption that there is access to detailed information on, e.g., time advance resolution parameter. We conclude here that several aspects still need to be well-defined to allow smooth software implementation; these include the rules for data reporting in time, parameters available in service models, and localization features. Concerning the second logical part, related to low-level implementation, we compare the numerical results of the traffic steering and quality-of-service-based resource allocation xApps and draw conclusions related to implementation and testing. In particular, we point out problems associated with the simulator, the software, and conflicts inside. Finally, we identify the key challenges which should be treated as incentives for joint academia-industry cooperation in the field of Open RAN. Thus, the paper presents the lesson learned during the first years of xApp development.</t>
  </si>
  <si>
    <t xml:space="preserve">National Centre for Research and Development in Poland within the 5GStar Project on ‚ÄúAdvanced Methods and Techniques for Identification and Counteracting Cyberat-tacks on 5G Access Network and Applications(grant numbers:CYBERSECIDENT/487845/IV/NCBR/2021); </t>
  </si>
  <si>
    <t>https://ieeexplore.ieee.org/stamp/stamp.jsp?arnumber=10329915</t>
  </si>
  <si>
    <t>Open RAN;5G;6G;xApp;ML</t>
  </si>
  <si>
    <t>Computer architecture;Optimization;Radio access networks;Resource management;Security;5G mobile communication;6G mobile communication</t>
  </si>
  <si>
    <t>M. Bieler; A. Skretting; P. B√ºdinger; T. -M. Gr√∏nli</t>
  </si>
  <si>
    <t>Survey of Automated Fare Collection Solutions in Public Transportation</t>
  </si>
  <si>
    <t>10.1109/TITS.2022.3161606</t>
  </si>
  <si>
    <t>Mobile Technology Laboratory, School of Economics, Innovation and Technology, Kristiania University College, Oslo, Norway; Mobile Technology Laboratory, School of Economics, Innovation and Technology, Kristiania University College, Oslo, Norway; Mobile Technology Laboratory, School of Economics, Innovation and Technology, Kristiania University College, Oslo, Norway; Mobile Technology Laboratory, School of Economics, Innovation and Technology, Kristiania University College, Oslo, Norway</t>
  </si>
  <si>
    <t>Public transportation is expensive to operate and maintain and is often unsatisfactory. The attractiveness of public transportation can be enhanced by making it more seamless, which, in turn, would reduce financial constraints and inefficiencies. The adoption of mobile devices for ticketing solutions is promising. However, current solutions are often inflexible and require manual interactions that produce evanescent data. Therefore, using leading-edge technologies and infrastructure, it is desirable to develop a solution to fully automate fare collection. In this paper, we provide a comprehensive literature review to understand the state of public transportation and to facilitate the development and implementation of automated fare collection solutions. First, we discuss existing mobile technologies and their common ticketing implementations. Second, we provide a predictive behavior model with sensor analytics to better understand customer needs. Finally, we highlight how machine learning can harness transactional ticketing data to create valuable business intelligence. Overall, developing and implementing automated fare collection solutions in urban transportation is expected to have a significant positive impact on customer experiences, the emergence of new business models and the reduction of pollutant emissions.</t>
  </si>
  <si>
    <t xml:space="preserve">Pilot-T Program of the Norwegian Research Council; </t>
  </si>
  <si>
    <t>https://ieeexplore.ieee.org/stamp/stamp.jsp?arnumber=9756882</t>
  </si>
  <si>
    <t>Behavior analysis;context awareness;intelligent sensors;intelligent transportation systems;machine learning;mobile applications</t>
  </si>
  <si>
    <t>Public transportation;Machine learning;Mobile applications;Predictive models;Analytical models;Data models;Technological innovation</t>
  </si>
  <si>
    <t>N. Toumi; M. Bagaa; A. Ksentini</t>
  </si>
  <si>
    <t>Machine Learning for Service Migration: A Survey</t>
  </si>
  <si>
    <t>10.1109/COMST.2023.3273121</t>
  </si>
  <si>
    <t>Communication Systems Department, EURECOM, Sophia-Antipolis, France; Department of Electrical and Computer Engineering, Universit√© du Qu√©bec √† Trois-Rivi√®res, Trois-Rivi√®res, Canada; Communication Systems Department, EURECOM, Sophia-Antipolis, France</t>
  </si>
  <si>
    <t>Future communication networks are envisioned to satisfy increasingly granular and dynamic requirements to accommodate the application and user demands. Indeed, novel immersive and mission-critical services necessitate increased computing and network resources, reduced communication latency, and guaranteed reliability. Thus, efficient and adaptive resource management schemes are required to provide and maintain sufficient levels of Quality of Experience (QoE) during the service life-cycle. Service migration is considered a key enabler of dynamic service orchestration. Indeed, moving services on demand is an efficient mechanism for user mobility support, load balancing in case of fluctuations in service demands, and hardware failure mitigation. However, service migration requires planning, as multiple parameters must be optimized to reduce service disruption to a minimum. Recent breakthroughs in computational capabilities allowed the emergence of Machine Learning as a tool for decision making that is expected to enable seamless automation of network resource management by predicting events and learning optimal decision policies. This paper surveys contributions applying Machine Learning (ML) methods to optimize service migration, providing a detailed literature review on recent advances in the field and establishing a classification of current research efforts with an analysis of their strengths and limitations. Finally, the paper provides insights on the main directions for future research.</t>
  </si>
  <si>
    <t xml:space="preserve">European Union‚Äôs H2020 5G!Drones Project(grant numbers:857031); </t>
  </si>
  <si>
    <t>https://ieeexplore.ieee.org/stamp/stamp.jsp?arnumber=10120920</t>
  </si>
  <si>
    <t>Machine learning;service migration;management and orchestration;deep learning;reinforcement learning;prediction;placement</t>
  </si>
  <si>
    <t>Surveys;Cloud computing;Planning;Optimization;Containers;Virtualization;Quality of experience</t>
  </si>
  <si>
    <t>S. Deng; H. Zhao; B. Huang; C. Zhang; F. Chen; Y. Deng; J. Yin; S. Dustdar; A. Y. Zomaya</t>
  </si>
  <si>
    <t>Cloud-Native Computing: A Survey From the Perspective of Services</t>
  </si>
  <si>
    <t>10.1109/JPROC.2024.3353855</t>
  </si>
  <si>
    <t>First Affiliated Hospital, Zhejiang University School of Medicine, Hangzhou, China; First Affiliated Hospital, Zhejiang University School of Medicine, Hangzhou, China; College of Computer Science and Technology, Hangzhou Dianzi University, Hangzhou, China; College of Computer Science and Technology, Zhejiang University, Hangzhou, China; College of Computer Science and Technology, Zhejiang University, Hangzhou, China; College of Computer Science and Technology, Zhejiang University, Hangzhou, China; College of Computer Science and Technology, Zhejiang University, Hangzhou, China; Distributed Systems Group, Technische Universit√§t Wien, Vienna, Austria; School of Computer Science, The University of Sydney, Sydney, NSW, Australia</t>
  </si>
  <si>
    <t>The development of cloud computing delivery models inspires the emergence of cloud-native computing. Cloud-native computing, as the most influential development principle for web applications, has already attracted increasingly more attention in both industry and academia. Despite the momentum in the cloud-native industrial community, a clear research roadmap on this topic is still missing. As a contribution to this knowledge, this article surveys key issues during the life cycle of cloud-native applications, from the perspective of services. Specifically, we elaborate on the research domains by decoupling the life cycle of cloud-native applications into four states: building, orchestration, operation, and maintenance. We also discuss the fundamental necessities and summarize the key performance metrics that play critical roles during the development and management of cloud-native applications. We highlight the key implications and limitations of existing works in each state. The challenges, future directions, and research opportunities are also discussed.</t>
  </si>
  <si>
    <t xml:space="preserve">National Science Foundation of China(grant numbers:62125206,U20A20173,62202133); National Key Research and Development Program of China(grant numbers:2022YFB4500100); Key Research Project of Zhejiang Province(grant numbers:2022C01145); Zhejiang Provincial National Science Foundation of China(grant numbers:LY23F020015); </t>
  </si>
  <si>
    <t>https://ieeexplore.ieee.org/stamp/stamp.jsp?arnumber=10433234</t>
  </si>
  <si>
    <t>Cloud-native applications;microservice;research roadmap;service life-cycle management;survey</t>
  </si>
  <si>
    <t>Cloud computing;Microservice architectures;Surveys;Software engineering;Computer architecture;Service level agreements;Research initiatives;Life cycle assessment;Modeling</t>
  </si>
  <si>
    <t>L. Bonati; M. Polese; S. D‚ÄôOro; S. Basagni; T. Melodia</t>
  </si>
  <si>
    <t>NeutRAN: An Open RAN Neutral Host Architecture for Zero-Touch RAN and Spectrum Sharing</t>
  </si>
  <si>
    <t>10.1109/TMC.2023.3311728</t>
  </si>
  <si>
    <t>Obtaining access to exclusive spectrum, cell sites, Radio Access Network (RAN) equipment, and edge infrastructure imposes major capital expenses to mobile network operators. A neutral host infrastructure, by which a third-party company provides RAN services to mobile operators through network virtualization and slicing techniques, is seen as a promising solution to decrease these costs. Currently, however, neutral host providers lack automated and virtualized pipelines for onboarding new tenants and to provide elastic and on-demand allocation of resources matching operators‚Äô requirements. To address this gap, this paper presents NeutRAN, a zero-touch framework based on the O-RAN architecture to support applications on neutral hosts and automatic operator onboarding. NeutRAN builds upon two key components: (i) an optimization engine to guarantee coverage and to meet quality of service requirements while accounting for the limited amount of shared spectrum and RAN nodes, and (ii) a fully virtualized and automated infrastructure that converts the output of the optimization engine into deployable micro-services to be executed at RAN nodes and cell sites. NeutRAN was prototyped on an OpenShift cluster and on a programmable testbed with 4 base stations and 10 users from 3 different tenants. We evaluate its benefits, comparing it to a traditional license-based RAN where each tenant has dedicated physical and spectrum resources. We show that NeutRAN can deploy a fully operational neutral host-based cellular network in around 10 seconds. Experimental results show that it increases the cumulative network throughput by 2.18√ó and the per-user average throughput by 1.73√ó in networks with shared spectrum blocks of 30 MHz. NeutRAN provides a 1.77√ó cumulative throughput gain even when it can only operate on a shared spectrum block of 10 MHz (one third of the spectrum used in license-based RANs).</t>
  </si>
  <si>
    <t xml:space="preserve">National Science Foundation(grant numbers:CNS-1925601,CNS-2112471,CNS-1923789); Office of Naval Research(grant numbers:N00014-20-1-2132); Army Research Laboratory Cooperative(grant numbers:W911NF-19-2-0221); </t>
  </si>
  <si>
    <t>https://ieeexplore.ieee.org/stamp/stamp.jsp?arnumber=10238780</t>
  </si>
  <si>
    <t>O-RAN;open RAN;neutral host;automation;5G;6G</t>
  </si>
  <si>
    <t>Computer architecture;Optimization;Engines;Resource management;Microprocessors;Throughput;Pipelines</t>
  </si>
  <si>
    <t>G. Araniti; A. Iera; A. Molinaro; S. Pizzi; F. Rinaldi</t>
  </si>
  <si>
    <t>Opportunistic Federation of CubeSat Constellations: A Game-Changing Paradigm Enabling Enhanced IoT Services in the Sky</t>
  </si>
  <si>
    <t>10.1109/JIOT.2021.3115160</t>
  </si>
  <si>
    <t>Department DIIES, University Mediterranea, Reggio Calabria, Italy; National Inter-University Consortium for Telecommunications (CNIT), Napoli, Italy; Department DIIES, University Mediterranea, Reggio Calabria, Italy; Department DIIES, University Mediterranea, Reggio Calabria, Italy; Department DIIES, University Mediterranea, Reggio Calabria, Italy</t>
  </si>
  <si>
    <t>Internet of Space Things (IoST) is a challenging paradigm, which is currently attracting great interest from the scientific and industrial communities. IoST is based on the integration of the space segment into the global Internet-of-Things (IoT) infrastructure. In the relevant literature, reference is generally made to multiple constellations of nanosatellite platforms, used to enable IoT services on a global scale, including also disadvantaged and poorly infrastructured areas. In this article, we focus on multitenant IoT scenarios, wherein multiple CubeSats constellations are enabled to offer services by exploiting a dynamic federation model. The objective is to efficiently provide services in an IoST scenario by leveraging an effective cooperation strategy originally designed for terrestrial IoT networks, the Mobile-IoT-Federation-as-a-Service (MIFaaS) paradigm. We extend this vision to IoT satellite networks in order to allow a constellation of satellites to effectively execute tasks through a tight cooperative behavior with other CubeSats constellations. The reported performance evaluation studies show that better performance, in terms of percentage of tasks successfully completed, can be achieved through the implementation of the proposed cooperation paradigm.</t>
  </si>
  <si>
    <t xml:space="preserve">RUDN University Strategic Academic Leadership Program and PM3 Project (Italian Ministry of University and Research PON Grant)(grant numbers:ARS01_01181); </t>
  </si>
  <si>
    <t>https://ieeexplore.ieee.org/stamp/stamp.jsp?arnumber=9547348</t>
  </si>
  <si>
    <t>CubeSats;federation;Internet of Space Things (IoST);Internet of Things (IoT);multitenancy;virtualization</t>
  </si>
  <si>
    <t>Internet of Things;CubeSat;Satellite broadcasting;5G mobile communication;Space vehicles;Low earth orbit satellites;Orbits</t>
  </si>
  <si>
    <t>Toward Network-Slicing-Enabled Edge Computing: A Cloud-Native Approach for Slice Mobility</t>
  </si>
  <si>
    <t>10.1109/JIOT.2023.3292520</t>
  </si>
  <si>
    <t>School of Engineering and Information Technology, The University of New South Wales Canberra, Australian Defence Force Academy, Canberra, ACT, Australia; School of Engineering, RMIT University, Melbourne, VIC, Australia; School of Engineering, RMIT University, Melbourne, VIC, Australia</t>
  </si>
  <si>
    <t>Network slicing is a key enabler for 5G and beyond networks that permits operators to provide scalable, flexible, and dedicated networks over a common physical infrastructure. To cope with the rising demand for ultrareliable and low-latency communication (URLLC) in beyond 5G networks, the provision of dedicated secure networks closer to the users is essential. Multiaccess edge computing (MEC) is a promising technology that provides data and computational resources closer to mobile users. However, MEC servers are resource-constrained, and offering dedicated service-specific network slices at the edge in a highly dynamic and mobile environment is challenging. Network slicing and MEC are being evolved by two different standardization bodies that limit their integration and raise mobility challenges that deserve more attention. We propose a cloud-native microservices architecture for network slice mobility management in MEC that permits each MEC slice to be distributed as stateless and independently deployable microservices. The proposal separates the MEC slice operational data and the user context, as each network function in a MEC slice stores the context in a separate shared database. The proposed architecture leverages new SDN extended federation modules in compliance with the ETSI requirements for inter-MEC system coordination. The federation modules support a more flexible and scalable creation of network slices at MEC servers, efficient resource utilization, and mobility of network slices across MEC servers. The simulation results show that our proposed architecture outperforms the existing SDN-based approaches for network slicing in MEC by achieving high slice acceptance rates and reduced slice migration delay.</t>
  </si>
  <si>
    <t>https://ieeexplore.ieee.org/stamp/stamp.jsp?arnumber=10173679</t>
  </si>
  <si>
    <t>5G;cloud-native;microservices;multiaccess edge computing (MEC);network slice mobility (NSM);ultrareliable and low-latency communication (URLLC);vehicle-toeverything (V2X)</t>
  </si>
  <si>
    <t>Network slicing;Servers;Microservice architectures;Cloud computing;Vehicle dynamics;Internet of Things;Vehicle-to-everything</t>
  </si>
  <si>
    <t>M. Adam; M. Hammoudeh; R. Alrawashdeh; B. Alsulaimy</t>
  </si>
  <si>
    <t>A Survey on Security, Privacy, Trust, and Architectural Challenges in IoT Systems</t>
  </si>
  <si>
    <t>10.1109/ACCESS.2024.3382709</t>
  </si>
  <si>
    <t>Computer Engineering Department, King Fahd University of Petroleum and Minerals, Dhahran, Saudi Arabia; Information and Computer Science Department, King Fahd University of Petroleum and Minerals, Dhahran, Saudi Arabia; Information and Computer Science Department, King Fahd University of Petroleum and Minerals, Dhahran, Saudi Arabia; Information and Computer Science Department, King Fahd University of Petroleum and Minerals, Dhahran, Saudi Arabia</t>
  </si>
  <si>
    <t>The Internet of Things (IoT) emerged as a pervasive technology, facilitating the seamless interaction of devices, individuals, and services, enabling data exchange and task execution across various domains. While the impact of IoT is undeniably transformative, its extensive proliferation raised significant concerns surrounding security, privacy, and trust, which stand as critical barriers to the widespread adoption and advancement of IoT technology. This review article explores IoT security, privacy, and trust research using a 3-layer IoT architecture. After introducing the fundamental tenets of IoT security, privacy, and trust, it proceeds to examine the prevalent security requirements within IoT architectures and their associated challenges. Then, the survey investigates the recent trends in research dedicated to addressing security, privacy, and trust issues within IoT systems. Furthermore, this article reviews the latest advancements and methodologies designed to secure IoT systems against security breaches and protect the privacy of sensitive data. Finally, the survey outlines unresolved challenges within the IoT security landscape and potential solutions. By offering this consolidated insight, this article offers a bridge between foundational and advanced IoT security topics, providing researchers with an in-depth understanding of current IoT security, privacy, and trust challenges, as well as cutting-edge solutions tailored to address the security and trust-related obstacles faced by IoT applications. In addition, it provides the IoT community with the knowledge necessary to navigate the complex terrain of security, privacy, and trust in IoT systems.</t>
  </si>
  <si>
    <t xml:space="preserve">Deanship of Scientific Research (DSR) at the King Fahd University of Petroleum and Minerals; </t>
  </si>
  <si>
    <t>https://ieeexplore.ieee.org/stamp/stamp.jsp?arnumber=10483048</t>
  </si>
  <si>
    <t>Countermeasures;IDS;IoT architecture;IoT attacks;mitigation;privacy;security;security requirements;trust</t>
  </si>
  <si>
    <t>Internet of Things;Security;Privacy;Surveys;Computer architecture;Reviews;Blockchains;Trust management</t>
  </si>
  <si>
    <t>J. Patman; D. Chemodanov; P. Calyam; K. Palaniappan; C. Sterle; M. Boccia</t>
  </si>
  <si>
    <t>Predictive Cyber Foraging for Visual Cloud Computing in Large-Scale IoT Systems</t>
  </si>
  <si>
    <t>10.1109/TNSM.2020.3010497</t>
  </si>
  <si>
    <t>Department of Electrical Engineering and Computer Science, University of Missouri, Columbia, MO, USA; Department of Electrical Engineering and Computer Science, University of Missouri, Columbia, MO, USA; Department of Electrical Engineering and Computer Science, University of Missouri, Columbia, MO, USA; Department of Electrical Engineering and Computer Science, University of Missouri, Columbia, MO, USA; Department of Electrical Engineering and Information Technology, University of Naples Federico II, Naples, Italy; Department of Electrical Engineering and Information Technology, University of Naples Federico II, Naples, Italy</t>
  </si>
  <si>
    <t>Cyber foraging has been shown to be especially effective for augmenting low-power Internet-of-Thing (IoT) devices by offloading video processing tasks to nearby edge/cloud computing servers. Factors such as dynamic network conditions, concurrent user access, and limited resource availability, cause offloading decisions that negatively impact overall processing throughput and end-user delays. Moreover, edge/cloud platforms currently offer both Virtual Machine (VM) and serverless computing pricing models, but many existing edge offloading approaches only investigate single VM-based offloading performance. In this paper, we propose a predictive (NP-complete) scheduling-based offloading framework and a heuristic-based counterpart that use machine learning to dynamically decide what combinations of functions or single VM needs to be deployed so that tasks can be efficiently scheduled. We collected over 10,000 network and device traces in a series of realistic experiments relating to a protest crowds incident management application. We then evaluated the practicality of our predictive cyber foraging approach using trace-driven simulations for up to 1000 devices. Our results indicate that predicting single VM offloading costs: (a) leads to near-optimal scheduling in 70% of the cases for service function chaining, and (b) offers a 40% gain in performance over traditional baseline estimation techniques that rely on simple statistics for estimations in the case of single VM-offloading. Considering a series of visual computing offloading scenarios, we also validate our approach benefits of using online versus offline machine learning models for predicting offloading delays.</t>
  </si>
  <si>
    <t xml:space="preserve">National Science Foundation(grant numbers:CNS-1647182,CNS-1359125); </t>
  </si>
  <si>
    <t>https://ieeexplore.ieee.org/stamp/stamp.jsp?arnumber=9144518</t>
  </si>
  <si>
    <t>Computation offloading;cyber foraging;edge/cloud computing;machine learning;online job scheduling</t>
  </si>
  <si>
    <t>Computational modeling;Edge computing;Predictive models;Performance evaluation;Servers;Task analysis;Estimation</t>
  </si>
  <si>
    <t>C. M. Coman; G. D‚Äôamico; A. V. Coman; A. Florescu</t>
  </si>
  <si>
    <t>Techniques to Improve Reliability in an IoT Architecture Framework for Intelligent Products</t>
  </si>
  <si>
    <t>10.1109/ACCESS.2021.3072168</t>
  </si>
  <si>
    <t>Tesagon International SRL, Ploiesti, Romania; Focus Innovazione srl, Fasano, Italy; RID International Center SRL, Targu Mures, Romania; Faculty of Electronics, Telecommunications and Information Technology, Politehnica University of Bucharest, Bucuresti, Romania</t>
  </si>
  <si>
    <t>Sensor-Cloud Systems (SCS) are designed to link sensor networks and cloud applications, in order to gather and process information. While this is a hot topic for both academia and industry, with a large number of implementations, not much effort was put towards analysing the reliability of these systems. This article presents an experimental implementation of a system in the field of intelligent products and explores reliability improving techniques in five main areas of the SCS: network communication performance, auto recovery, local backup, automated software testing and system security. They all play an important role in determining the level of reliability of the novel Internet of Things (IoT) architecture framework for intelligent products presented in the article. A new formula is proposed for assessing the reliability of a SCS based on metrics from each of the five areas. Metrics used to assess the system reliability are presented, along with comparisons between operating with improvement techniques and without them. The results show that the reliability of the implemented SCS is improved considerably by implementing a deliberate reliability policy using an original five level tiered approach.</t>
  </si>
  <si>
    <t xml:space="preserve">MANUNET through the Executive Unit for Financing Higher Education, Research, Development and Innovation (UEFISCDI)(grant numbers:COFUND-ERANET MANUNET III-POKET); Apulia Region POR FESR-FSE 2014-2020 - Priority Axis 1 - Research, Technological Development, Innovation - Action 1.6 (Interventions for Strengthening the Regional and National Innovation System and Increasing Collaboration Between Companies and Research Structures and Their Enhancement)(grant numbers:MNET18/ICT-3415); </t>
  </si>
  <si>
    <t>https://ieeexplore.ieee.org/stamp/stamp.jsp?arnumber=9399420</t>
  </si>
  <si>
    <t>Knowledge based systems;Internet of Things;reliability;sensor systems;sustainable development</t>
  </si>
  <si>
    <t>Reliability;Cloud computing;Wireless sensor networks;Security;Software reliability;Monitoring;Media</t>
  </si>
  <si>
    <t>J. Hwang</t>
  </si>
  <si>
    <t>Toward Beneficial Transformation of Enterprise Workloads to Hybrid Clouds</t>
  </si>
  <si>
    <t>10.1109/TNSM.2016.2541120</t>
  </si>
  <si>
    <t>IBM T. J. Watson Research Center, Yorktown Heights, NY, USA</t>
  </si>
  <si>
    <t>With the promise of providing flexible and elastic computing resources on demand, the cloud computing has been attracting enterprises and individuals to migrate workloads in the legacy environment to the public/private/hybrid clouds. However, the workload migration is often interpreted as an image migration or re-installation/data copying as the exact snapshot of the source machine, and the various cloud platforms and service models are rarely taken into consideration during migration planning. Thus, the cloud migration techniques have not provided enough options that can satisfy the various migration requirements. In this paper, we propose a model to tackle the migration challenges that transforms one resource into the same or another resource in hybrid clouds. We formulate the problem as a constraint satisfaction problem, and iteratively decompose the server components and consolidate the servers. Furthermore, we propose a compute-network mapping algorithm to match computing resources with network resources to guarantee network affinity. The ultimate goal is to recommend the optimal target cloud platform with network affinity and the minimum cost. Through the evaluation of the proposed model using real enterprise datasets (up to 2012 machines), we prove that the proposed model satisfies the goal. We show that when migrating into virtualized cloud environments, thorough resource planning can reduce 16% of current resources, 5%-10% servers can be consolidated, and more than 60% servers are possible candidates for server decomposition.</t>
  </si>
  <si>
    <t>https://ieeexplore.ieee.org/stamp/stamp.jsp?arnumber=7430340</t>
  </si>
  <si>
    <t>Cloud Transformation;Cloud Migration;Cloud Analytics;Hybrid Cloud;Cloud Transformation;Cloud Migration;Cloud Analytics;Hybrid Cloud</t>
  </si>
  <si>
    <t>Servers;Cloud computing;Planning;Measurement;Monitoring;Computational modeling</t>
  </si>
  <si>
    <t>Z. Xiang; M. H√∂weler; D. You; M. Reisslein; F. H. P. Fitzek</t>
  </si>
  <si>
    <t>X-MAN: A Non-Intrusive Power Manager for Energy-Adaptive Cloud-Native Network Functions</t>
  </si>
  <si>
    <t>10.1109/TNSM.2021.3126822</t>
  </si>
  <si>
    <t>Deutsche Telecom Chair of Communication Networks, Technische Universit√§t Dresden, Dresden, Germany; Deutsche Telecom Chair of Communication Networks, Technische Universit√§t Dresden, Dresden, Germany; Deutsche Telecom Chair of Communication Networks, Technische Universit√§t Dresden, Dresden, Germany; School of Electrical, Computer, and Energy Engineering, Arizona State University, Tempe, AZ, USA; Deutsche Telecom Chair of Communication Networks, Technische Universit√§t Dresden, Dresden, Germany</t>
  </si>
  <si>
    <t>Emerging microservices demand flexible low-latency processing of network functions in virtualized environments, e.g., as containerized network functions (CNFs). While ensuring highly responsive low-latency CNF processing, the computing environments should conserve energy to reduce costs. In this systems integration study, we develop and evaluate the novel XDP-Monitoring Energy-Adaptive Network Functions (X-MAN) framework for managing the CPU operational states (P-states) so as to reduce the power consumption while prioritizing low-latency service. Architecturally, X-MAN consists of lightweight traffic monitors that are attached to the virtual network interfaces in the kernel space for per-CNF traffic monitoring and a power manager in user space with a global view of the CNFs on a CPU core. Algorithmically, X-MAN monitors the CPU core utilization via hybrid simple and weighted moving average prediction fed by the traffic monitors and a power management based on step-based CPU core frequency (P-state) adjustments. We evaluate X-MAN through extensive measurements in a real physical testbed operating at up to 10 Gbps. We find that X-MAN incurs significantly shorter and more consistent monitoring latencies for the CPU utilization than a state-of-the-art CPU hardware counter approach. Also, X-MAN achieves more responsive CPU core frequency adjustments and more pronounced reductions of the CPU power consumption than a state-of-the-art code instrumentation approach. We make the X-MAN source code publicly available.</t>
  </si>
  <si>
    <t xml:space="preserve">German Research Foundation (DFG, Deutsche Forschungsgemeinschaft) as part of Germany‚Äôs Excellence Strategy ‚Äì EXC 2050/1 ‚Äì Cluster of Excellence ‚ÄúCentre for Tactile Internet with Human-in-the-Loop‚Äù (CeTI) of Technische Universit√§t Dresden(grant numbers:390696704); </t>
  </si>
  <si>
    <t>https://ieeexplore.ieee.org/stamp/stamp.jsp?arnumber=9610120</t>
  </si>
  <si>
    <t>Containerized network function (CNF);CPU P-state;express data path (XDP);load monitoring;microservice;network testbed;power management</t>
  </si>
  <si>
    <t>Monitoring;Power system management;Codes;Central Processing Unit;Hardware;Instruments;Kernel</t>
  </si>
  <si>
    <t>W. G. Hatcher; C. Qian; F. Liang; W. Liao; E. P. Blasch; W. Yu</t>
  </si>
  <si>
    <t>Secure IoT Search Engine: Survey, Challenges Issues, Case Study, and Future Research Direction</t>
  </si>
  <si>
    <t>10.1109/JIOT.2022.3153171</t>
  </si>
  <si>
    <t>Department of Computer and Information Science, Towson University, Towson, MD, USA; Department of Computer and Information Science, Towson University, Towson, MD, USA; Department of Computer Science, Sam Huston State University, Huntsville, TX, USA; Department of Computer and Information Science, Towson University, Towson, MD, USA; Air Force Research Laboratory, Arlington, DC, USA; Department of Computer and Information Science, Towson University, Towson, MD, USA</t>
  </si>
  <si>
    <t>The Internet of Things (IoT) encompasses a near-incalculable collection of dispersed and embedded computing devices acting as sensors and actuators, generating data at an incredible scale. However, a lack of coherency and cross-compatibility in IoT deployments has lead to increasing redundancy and waste of resources. To combat this, various concepts have been proposed for an open IoT search engine (IoT-SE) that serves human and machine users. Invariably, the IoT-SE envisions distributed query retrieval to handle massive volumes of devices and data. Incorporating the massively heterogeneous protocols and properties of devices deployed, the search of such a system for timely and pertinent data is massively challenging, to provide useful knowledge and service for IoT systems. Moreover, enabling and maintaining security and privacy in an IoT-SE is likewise a prodigious task, as end users, IoT devices, and the search system itself, have different protocols and requirements. To this end, a study of security issues in IoT search is conducted to outline the challenges ahead, and a case study to resolve practical security vulnerabilities in an IoT-SE system is carried out. The pertinent issues of security in an IoT-SE system are reviewed. Particularly: 1) a taxonomy is detailed for IoT-SE security issues; 2) the vulnerabilities of machine learning (ML) models in the IoT-SE are considered; and 3) defensive mechanisms are presented for securing IoT Search. A case study is carried out to implement basic security features in the IoT search, addressing the risk of false queries through the design of ML-based solutions. Finally, a roadmap for future research is provided, including the security and privacy for IoT systems connected to the IoT-SE, distributed edge computing in IoT-SE, privacy-preserving data markets in IoT-SE, and distributed ML in IoT-SE.</t>
  </si>
  <si>
    <t xml:space="preserve">Air Force Office of Scientific Research(grant numbers:FA9550-20-1-0418); </t>
  </si>
  <si>
    <t>https://ieeexplore.ieee.org/stamp/stamp.jsp?arnumber=9718521</t>
  </si>
  <si>
    <t>Internet of Things (IoT);knowledge and service;search engine;security</t>
  </si>
  <si>
    <t>Security;Internet of Things;Logic gates;Search engines;Smart homes;Taxonomy;Real-time systems</t>
  </si>
  <si>
    <t>L. Chamari; E. Petrova; P. Pauwels</t>
  </si>
  <si>
    <t>An End-to-End Implementation of a Service-Oriented Architecture for Data-Driven Smart Buildings</t>
  </si>
  <si>
    <t>10.1109/ACCESS.2023.3325767</t>
  </si>
  <si>
    <t>Department of the Built Environment, Eindhoven University of Technology, Eindhoven, The Netherlands; Department of the Built Environment, Eindhoven University of Technology, Eindhoven, The Netherlands; Department of the Built Environment, Eindhoven University of Technology, Eindhoven, The Netherlands</t>
  </si>
  <si>
    <t>Buildings connect with multiple information systems like Building Management Systems (BMS), Energy Management Systems (EMS), IoT devices, Building Information Models (BIM), the electricity grid, weather services, etc. Data-driven smart building software demands seamless integration of the above systems and their data. The lack of a system architecture with well-defined Application Programming Interfaces (APIs) poses a significant challenge for developing reusable, modular and scalable applications. This article presents a service-oriented system architecture designed with data-driven smart buildings in mind. The architecture relies on the Zachman framework and consists of seven service categories: 1) existing business applications, 2) new microservice-based applications, 3) databases, 4) integration software, 5) infrastructure services, 6) shared services, and 7) user interfaces. It closely resembles the MACH architectural principles: Microservices, API-first, Cloud-based components, and Headless principles. This architecture is implemented as a proof-of-concept, including three smart building applications. These include a Digital Twin application integrating sensor data with a BIM model, a web application merging real-time sensor data with semantic building graphs, and a data exploration tool using sensor data, the Brick ontology, and Grafana dashboards. Future implementations include real-time control applications such as Model Predictive Control (MPC). The proposed architecture and its implementations provide a blueprint for a reusable, modular, and scalable architecture in the smart building domain.</t>
  </si>
  <si>
    <t xml:space="preserve">Dutch Ministry of Economic Affairs and Climate Policy and the Ministry of the Interior and Kingdom Relations; </t>
  </si>
  <si>
    <t>https://ieeexplore.ieee.org/stamp/stamp.jsp?arnumber=10287934</t>
  </si>
  <si>
    <t>Building Information Modeling;data-driven buildings;data integration;IoT;linked building data;microservices;reference architecture;REST API;real-time data acquisition;solution architecture</t>
  </si>
  <si>
    <t>Computer architecture;Architecture;Buildings;Smart buildings;Business;Data models;Systems architecture;Data integration;Internet of Things;Real-time systems</t>
  </si>
  <si>
    <t>J. Ariza; M. Jimeno; R. Villanueva-Polanco; J. Capacho</t>
  </si>
  <si>
    <t>Provisioning Computational Resources for Cloud-Based e-Learning Platforms Using Deep Learning Techniques</t>
  </si>
  <si>
    <t>10.1109/ACCESS.2021.3090366</t>
  </si>
  <si>
    <t>Department of Computer Science and Engineering, Universidad del Norte, Barranquilla, Colombia; Department of Computer Science and Engineering, Universidad del Norte, Barranquilla, Colombia; Department of Computer Science and Engineering, Universidad del Norte, Barranquilla, Colombia; Department of Computer Science and Engineering, Universidad del Norte, Barranquilla, Colombia</t>
  </si>
  <si>
    <t>The use of e-learning technologies is growing even faster due to the existing conditions where virtual setups temporarily replace traditional classroom environments. Service infrastructure support for e-learning has moved to the cloud. For this reason, the efficient provisioning of resources for such platforms, which is achieved through prediction, is very relevant. The existing techniques for predicting the use of resources in the cloud are not designed with e-learning‚Äôs specific requirements. This paper presents a neural network-based model for predicting the usage of computational resources for e-learning platforms. This model consists of a series of interconnected neural networks used to predict values for variables of interest, such as Random Access Memory (RAM) usage and Central Processing Unit (CPU) usage. Using data collected from a high school real scenario, we analyzed and used it to train and validate our neural network-based model. This scenario consisted of a Moodle server deployed in a Google Virtual Machine with a configured course and its contents. Each student performed a series of activities while connected to it. Our proposed model achieves high accuracy. The obtained results are promising, paving the way towards constructing software tools for provisioning computational resources on demand for e-learning platforms.</t>
  </si>
  <si>
    <t>https://ieeexplore.ieee.org/stamp/stamp.jsp?arnumber=9459736</t>
  </si>
  <si>
    <t>Availability;cloud-based e-learning platforms;resource consumption;prediction;deep learning</t>
  </si>
  <si>
    <t>Cloud computing;Electronic learning;Monitoring;Prediction algorithms;Computational modeling;Virtual machining;Predictive models</t>
  </si>
  <si>
    <t>S. Kerboeuf; P. Porambage; A. Jain; P. Rugeland; G. Wikstr√∂m; M. Ericson; D. Thai Bui; A. Outtagarts; H. Karvonen; P. Alemany; R. Mu√±oz; R. Vilalta; P. Botsinis; A. Ramos; J. Castaneda Cisneros; M. Karaca; C. Karousatou; S. Barmpounakis; P. Demestichas; A. Zafeiropoulos; I. Tzanettis; S. Papavassiliou; P. G. Giardina; G. Landi; B. Han; A. Nimr; M. A. Uusitalo</t>
  </si>
  <si>
    <t>Design Methodology for 6G End-to-End System: Hexa-X-II Perspective</t>
  </si>
  <si>
    <t>10.1109/OJCOMS.2024.3398504</t>
  </si>
  <si>
    <t>Nokia Bell Labs, Nokia Networks France, Massy, France; VTT Technical Research Centre of Finland, Espoo, Finland; Nokia Bell Labs, Espoo, Finland; Ericsson Research, Stockholm, Sweden; Ericsson Research, Stockholm, Sweden; Ericsson Research, Stockholm, Sweden; Nokia Bell Labs, Nokia Networks France, Massy, France; Nokia Bell Labs, Nokia Networks France, Massy, France; Siemens Industry Software Oy, Siemens EDA, Oulu, Finland; Centre Tecnol√≤gic de Telecomunicacions de Catalunya (CTTC/CERCA), Barcelona, Spain; Centre Tecnol√≤gic de Telecomunicacions de Catalunya (CTTC/CERCA), Barcelona, Spain; Centre Tecnol√≤gic de Telecomunicacions de Catalunya (CTTC/CERCA), Barcelona, Spain; Apple Technology Engineering, Munich, Germany; ATOS-EVIDEN, Madrid, Spain; Ericsson Research, Stockholm, Sweden; Ericsson Research, Istanbul, Turkey; WINGS ICT Solutions, Athens, Greece; WINGS ICT Solutions, Athens, Greece; WINGS ICT Solutions, Athens, Greece; Institute of Communication and Computer Systems, Athens, Greece; Institute of Communication and Computer Systems, Athens, Greece; Institute of Communication and Computer Systems, Athens, Greece; Research &amp; Developmen, Nextworks, Pisa, Italy; Research &amp; Developmen, Nextworks, Pisa, Italy; Division of Wireless Communications and Radio Positioning (WICON), University of Kaiserslautern (RPTU), Kaiserslautern, Germany; Vodafone Chair for Mobile Communications Systems, Technische Universit√§t Dresden, Dresden, Germany; Nokia Bell Labs, Espoo, Finland</t>
  </si>
  <si>
    <t>As the fifth generation (5G) mobile communication systems are commercially deployed, they bring new services, enhance user experiences, and offer various opportunities to different industries. Despite its advancements, 5G encounters several challenges. To tackle these issues, global industrial, academic, and standards organizations are actively researching on sixth generation (6G) wireless communication systems. 6G networks are envisioned as a transformative shift in the interactions between the physical, digital, and human realms, paving the way for a pervasive human-centered cyber-physical world. 6G is positioned to be a platform that offers communication and beyond communication services considering both performance and value centric technological development approaches. In this paper, we present the way forward towards the design of 6G endto-end (E2E) system as a consolidated view of leading industry stakeholders and academia in the European level 6G flagship project Hexa-X-II. We discuss the key challenges with 5G and how 6G is expected to tackle those by introducing new technological innovations and supporting novel use case requirements. We provide a comprehensive methodology for the design of a 6G E2E system including ten principles, a blueprint, and a structured design process. The architecture design principles prioritize environmental sustainability, digital inclusiveness, and trustworthiness, considering their impact on the 6G E2E system. The blueprint is described corresponding to the infrastructure, network centric application, and application layers, as well as the pervasive functionalities and the relevant technological innovations. Following the design principles and the system blueprint, the design process is demonstrated as two-way approaches (i.e., 1) key performance and value indicators based design process. 2) top-down versus bottom-up alignment process) through the lens of a collaborative robot use case. Through this use case, a special attention is given to the technological enablers that cover management and orchestration functionalities and their 6G enhancement to go beyond the limitations characterizing the previous network generation. In addition, virtual modelling aspects related to digital twining and simulations for 6G E2E system design are also discussed.</t>
  </si>
  <si>
    <t xml:space="preserve">Hexa-X-II Project; Smart Networks and Services Joint Undertaking (SNS JU) through the European Union‚Äôs Horizon Europe Research and Innovation Programme(grant numbers:101095759); </t>
  </si>
  <si>
    <t>https://ieeexplore.ieee.org/stamp/stamp.jsp?arnumber=10525242</t>
  </si>
  <si>
    <t>Keywords6G;end-to-end;platform;system;blueprint;network architecture;design process;use case;key value indicators;key performance indicators;collaborative robots</t>
  </si>
  <si>
    <t>6G mobile communication;5G mobile communication;Sustainable development;Industries;Ecosystems;Collaborative robots;Europe</t>
  </si>
  <si>
    <t>L. C. B. C. Ferreira; A. D. R. Borchardt; G. D. S. Cardoso; D. A. Mendes Lemes; G. R. D. R. d. Sousa; F. B. Neto; E. R. de Lima; G. Fraidenraich; P. Cardieri; L. G. P. Meloni</t>
  </si>
  <si>
    <t>Edge Computing and Microservices Middleware for Home Energy Management Systems</t>
  </si>
  <si>
    <t>10.1109/ACCESS.2022.3214229</t>
  </si>
  <si>
    <t>Department of Communications, School of Electrical and Computer Engineering, University of Campinas (FEEC), S√£o Paulo, Campinas, Brazil; Department of Communications, School of Electrical and Computer Engineering, University of Campinas (FEEC), S√£o Paulo, Campinas, Brazil; Department of Communications, School of Electrical and Computer Engineering, University of Campinas (FEEC), S√£o Paulo, Campinas, Brazil; Department of Communications, School of Electrical and Computer Engineering, University of Campinas (FEEC), S√£o Paulo, Campinas, Brazil; Department of Communications, School of Electrical and Computer Engineering, University of Campinas (FEEC), S√£o Paulo, Campinas, Brazil; Companhia Paranaense de Energia, Curitiba, Parana, Brazil; Department of Hardware Design, Instituto de Pesquisa Eldorado, S√£o Paulo, Campinas, Brazil; Department of Communications, School of Electrical and Computer Engineering, University of Campinas (FEEC), S√£o Paulo, Campinas, Brazil; Department of Communications, School of Electrical and Computer Engineering, University of Campinas (FEEC), S√£o Paulo, Campinas, Brazil; Department of Communications, School of Electrical and Computer Engineering, University of Campinas (FEEC), S√£o Paulo, Campinas, Brazil</t>
  </si>
  <si>
    <t>A middleware software can be seem as an abstraction layer between hardware and user applications, that facilitates the development and deployment of services in various scenarios, such as those found in Home Energy Management Systems (HEMS). There are several middleware proposals for HEMS, with most of them taking the cloud computing approach. This approach is unconcerned about computing resources but raises a dependency on external connections. This paper presents a middleware for energy management systems, based on the concept of edge computing for smart homes. The paper presents a reference model for the proposed architecture, considering specific requirements for this type of application. The proposed architecture employs the concept of microservices for data access and system configuration. The proposed middleware is designed to work with embedded systems under computational constraints, such as processing capability and storage, to reduce costs and allow its application closer to the user. The middleware is open and customizable to meet the developer‚Äôs needs. The proposed solution was implemented and tested in a university laboratory, as well as at the Eldorado Research Institute to confirm the effectiveness of the middleware. The proposal stands out from others found in the literature as it can be implemented using low cost hardware. In addition to using microservices concepts, the proposed middleware is a valuable option for applications that need an edge computing approach. A performance analysis was carried out, using low cost hardware with limited resources. The results show that the proposal can handle a significant number of devices, offering low latency and low error rate, and consuming few processing resources and memory.</t>
  </si>
  <si>
    <t xml:space="preserve">Companhia Paranaense de Energia (COPEL) through the Research and Development Project ANEEL PD-02866-0508/2019; </t>
  </si>
  <si>
    <t>https://ieeexplore.ieee.org/stamp/stamp.jsp?arnumber=9917529</t>
  </si>
  <si>
    <t>Home energy management systems;middleware;Internet of Things</t>
  </si>
  <si>
    <t>Middleware;Internet of Things;Hardware;Edge computing;Computer architecture;Microservice architectures;Energy management systems;Computer applications</t>
  </si>
  <si>
    <t>S. Jere; Y. Wang; I. Aryendu; S. Dayekh; L. Liu</t>
  </si>
  <si>
    <t>Bayesian Inference-Assisted Machine Learning for Near Real-Time Jamming Detection and Classification in 5G New Radio (NR)</t>
  </si>
  <si>
    <t>IEEE Transactions on Wireless Communications</t>
  </si>
  <si>
    <t>1558-2248</t>
  </si>
  <si>
    <t>10.1109/TWC.2023.3337058</t>
  </si>
  <si>
    <t>Bradley Department of ECE, Wireless@Virgnia Tech, Virginia Tech, Blacksburg, VA, USA; School of Systems and Enterprises, Stevens Institute of Technology, Hoboken, NJ, USA; School of Systems and Enterprises, Stevens Institute of Technology, Hoboken, NJ, USA; 5G, Advanced Connectivity and Edge Cyber, Deloitte &amp; Touche LLP, Dallas, TX, USA; Bradley Department of ECE, Wireless@Virgnia Tech, Virginia Tech, Blacksburg, VA, USA</t>
  </si>
  <si>
    <t>The increased flexibility and density of spectrum access in 5G New Radio (NR) has made jamming detection and classification a critical research area. To detect coexisting jamming and subtle interference, we introduce a Bayesian Inference-assisted machine learning (ML) methodology. Our methodology uses cross-layer Key Performance Indicator data collected on a Non-Standalone (NSA) 5G NR testbed to leverage supervised learning models, and is further assessed, calibrated, and revealed using Bayesian Network Model (BNM)-based inference. The models can operate on both instantaneous and sequential time-series data samples, achieving an Area under Curve above 0.954 for instantaneous models and above 0.988 for sequential models including the echo state network (ESN) from the Reservoir Computing (RC) family, across various jamming scenarios. The 180 ms instantaneous detection time allows for continuous tracking of the dynamic jamming condition due to UE mobility. Our approach serves as a validation method and a resilience enhancement tool for ML-based jamming detection while also enabling root cause identification for observed performance degradation. The introduced BNM-based inference proof-of-concept is successful in addressing 72.2% of the erroneous predictions of the RC-based sequential detection model caused by insufficient training data samples, thereby demonstrating its near real-time applicability in 5G NR and Beyond-5G networks.</t>
  </si>
  <si>
    <t xml:space="preserve">Cyber 5G Strategic Growth Offering of Deloitte &amp; Touche LLP, Commonwealth Cyber Initiative (CCI) Southwest Node, and US National Science Foundation(grant numbers:CCF-1937487); </t>
  </si>
  <si>
    <t>https://ieeexplore.ieee.org/stamp/stamp.jsp?arnumber=10352089</t>
  </si>
  <si>
    <t>Jamming;interference;network intrusion;5G NR;O-RAN;near real-time;machine learning;reservoir computing;Bayesian network model;causal analysis and inference</t>
  </si>
  <si>
    <t>Jamming;5G mobile communication;Interference;Real-time systems;Bayes methods;Computational modeling;Wireless communication</t>
  </si>
  <si>
    <t>River Publishers Journals</t>
  </si>
  <si>
    <t>P. Szil√°gyi</t>
  </si>
  <si>
    <t>I2BN: Intelligent Intent Based Networks</t>
  </si>
  <si>
    <t>Journal of ICT Standardization</t>
  </si>
  <si>
    <t>2246-0853</t>
  </si>
  <si>
    <t>10.13052/jicts2245-800X.926</t>
  </si>
  <si>
    <t>River Publishers</t>
  </si>
  <si>
    <t>Nokia Bell Labs, Budapest, Hungary</t>
  </si>
  <si>
    <t>Intent based network management reduces the complexity of network programming from a growing set of deeply technical APIs to context-free high-level objectives that the network should autonomously achieve and keep. The practical implementation of an intent based network requires substantial automation technology embedded in the network. Automation should cover the entire lifecycle of intents, from their ingestion to fulfillment and assurance. This article investigates the feasibility of automatically assembling interworking implementation units into intent specific automation pipelines, where units are reusable self-learning closed loop micro-services with self-declared capabilities. Each closed loop may gain knowledge and respond to dynamically changing network conditions, thereby enabling network autonomy in reaching the declared intent objectives. The human-network intent interface for expressing intents is proposed to be based on the aggregation of the deployed network and service automation capabilities, rather than a formalism decoupled from the actual network implementation. This principle removes the ambiguity and compatibility gap between human intent definition and machine intent fulfillment, while retaining the flexibility and extendibility of the intents offered by any specific system via onboarding additional micro-services with novel capabilities. The concepts discussed by the article fit into the architecture and closed loop work items already defined by ETSI ZSM and provides considerations towards new areas such as intent driven autonomous networks and enablers for automation.</t>
  </si>
  <si>
    <t>https://ieeexplore.ieee.org/stamp/stamp.jsp?arnumber=10255479</t>
  </si>
  <si>
    <t>Intent;I2BN;network and service automation;network intelligence;ZSM</t>
  </si>
  <si>
    <t>Autonomous networks;Pipelines;Memory management;Standardization;Machine learning;Programming;Data models</t>
  </si>
  <si>
    <t>P. Z. H. Sun; Y. Bao; X. Ming; T. Zhou</t>
  </si>
  <si>
    <t>Knowledge-Driven Industrial Intelligent System: Concept, Reference Model, and Application Direction</t>
  </si>
  <si>
    <t>10.1109/TCSS.2022.3188295</t>
  </si>
  <si>
    <t>Department of Industrial Engineering, School of Mechanical Engineering, Shanghai Jiao Tong University, Shanghai, China; Department of Industrial Engineering, School of Mechanical Engineering, Shanghai Jiao Tong University, Shanghai, China; Department of Industrial Engineering, School of Mechanical Engineering, Shanghai Jiao Tong University, Shanghai, China; Department of Industrial Engineering, School of Mechanical Engineering, Shanghai Jiao Tong University, Shanghai, China</t>
  </si>
  <si>
    <t>The application of automation technology and artificial intelligence technology has promoted the improvement of the business capabilities of enterprises in industrial scenarios. Compared with the improvement or innovation of the business process, in recent years, part of academic research and practical applications has also shifted their attention from a single point of business intelligence perspective to a comprehensive intelligent upgrade of the industrial system. To the best of our knowledge, however, there is little research on the concept and model of the industrial intelligent system (IIS). To make up for the lack, this article presents the concept and reference model of IIS by analyzing the intelligentization requirement of the industrial systems. Different from academic research on general intelligent system capabilities, the reference model given emphasizes factors that need to be considered when implementing IIS in the industry. By analyzing the reference model, knowledge as the core driving force of IIS is recognized. Then, the four main forms of knowledge in IIS, as well as the role and key technologies of knowledge in different stages of IIS, are discussed in detail. In addition, several important potential applications of IIS are pointed out in this article.</t>
  </si>
  <si>
    <t xml:space="preserve">National Natural Science Foundation of China(grant numbers:71632008); National Natural Science Foundation of China through the Main Research Project on Machine Behavior and Human‚ÄìMachine Collaborated Decision Making Methodology(grant numbers:72192820); Third Research Project on Human Behavior in Human‚ÄìMachine Collaboration(grant numbers:72192822); </t>
  </si>
  <si>
    <t>https://ieeexplore.ieee.org/stamp/stamp.jsp?arnumber=9829421</t>
  </si>
  <si>
    <t>Industrial intelligent system (IIS);industry intelligentization;knowledge flow;reference model</t>
  </si>
  <si>
    <t>Business;Information systems;Knowledge based systems;Knowledge acquisition;Intelligent systems;Industries;Decision making</t>
  </si>
  <si>
    <t>P. Zhao; G. D√°n</t>
  </si>
  <si>
    <t>Joint Resource Dimensioning and Placement for Dependable Virtualized Services in Mobile Edge Clouds</t>
  </si>
  <si>
    <t>10.1109/TMC.2021.3060118</t>
  </si>
  <si>
    <t>Division of Network and Systems Engineering, School of Electrical Engineering and Computer Science, KTH Royal Institute of Technology, Stockholm, Sweden; Division of Network and Systems Engineering, School of Electrical Engineering and Computer Science, KTH Royal Institute of Technology, Stockholm, Sweden</t>
  </si>
  <si>
    <t>Mobile edge computing (MEC) is an emerging architecture for accommodating latency sensitive virtualized services (VSs). Many of these VSs are expected to be safety critical, and will have some form of reliability requirements. In order to support provisioning reliability to such VSs in MEC in an efficient and confidentiality preserving manner, in this paper we consider the joint resource dimensioning and placement problem for VSs with diverse reliability requirements, with the objective of minimizing the energy consumption. We formulate the problem as an integer programming problem, and prove that it is NP-hard. We propose a two-step approximation algorithm with bounded approximation ratio based on Lagrangian relaxation. We benchmark our algorithm against two greedy algorithms in realistic scenarios. The results show that the proposed solution is computationally efficient, scalable and can provide up to 30 percent reduction in energy consumption compared to greedy algorithms.</t>
  </si>
  <si>
    <t xml:space="preserve">Vetenskapsr√•det(grant numbers:2020-03860); Swedish Civil Contingencies Agency; Sweden's Innovation Agency; </t>
  </si>
  <si>
    <t>https://ieeexplore.ieee.org/stamp/stamp.jsp?arnumber=9358007</t>
  </si>
  <si>
    <t>Resource allocation;service placement;Lagrangian relaxation;mobile edge computing;availability</t>
  </si>
  <si>
    <t>Approximation algorithms;Resilience;Process control;Hardware;Energy consumption;Edge computing;Cloud computing</t>
  </si>
  <si>
    <t>L. L. Jim√©nez; O. Schel√©n</t>
  </si>
  <si>
    <t>HYDRA: Decentralized Location-Aware Orchestration of Containerized Applications</t>
  </si>
  <si>
    <t>10.1109/TCC.2020.3041465</t>
  </si>
  <si>
    <t>Department of Computer Science, Electrical and Space Engineering, Lule»ß University of Technology, Lule»ß, Sweden; Department of Computer Science, Electrical and Space Engineering, Lule»ß University of Technology, Lule»ß, Sweden</t>
  </si>
  <si>
    <t>The edge computing paradigm, spurred by the Internet-of-Things, poses new requirements and challenges for distributed application deployment. There is a need for an orchestrator design that leverages characteristics that enable this new paradigm. We present HYDRA, a decentralized and distributed orchestrator for containerized microservice applications. This orchestrator focuses on scalability and resiliency to enable the global manageability of cloud and edge environments. It can manage heterogeneous resources across geographical locations and provide robust application control. Further, HYDRA enables the location-aware deployment of microservice applications via containerization. Thus, an application's services may be deployed to separate locations according to expected needs. In this article, the experiments show the orchestrator scaling to 20000 nodes and simultaneously deploying 30000 applications. Further, empirical results show that location-aware application deployment does not hinder HYDRA's performance, and the random resource search algorithm currently being employed may be used as a baseline to find resources in this decentralized orchestrator. Therefore, we conclude that HYDRA is a viable orchestrator design for the new computing paradigm.</t>
  </si>
  <si>
    <t xml:space="preserve">Energimyndigheten(grant numbers:43090-2); Cloudberry Datacenters; </t>
  </si>
  <si>
    <t>https://ieeexplore.ieee.org/stamp/stamp.jsp?arnumber=9274526</t>
  </si>
  <si>
    <t>Edge computing;fog computing;orchestration;microservices;deployment;containers;Docker;Kubernetes;scalability;decentralized networks</t>
  </si>
  <si>
    <t>Cloud computing;Peer-to-peer computing;Scalability;Containers;Edge computing;Voting;Virtualization</t>
  </si>
  <si>
    <t>C. Tsigkanos; M. M. Bersani; P. A. Frangoudis; S. Dustdar</t>
  </si>
  <si>
    <t>Edge-Based Runtime Verification for the Internet of Things</t>
  </si>
  <si>
    <t>10.1109/TSC.2021.3074956</t>
  </si>
  <si>
    <t>TU Wien, Vienna, Austria; Politecnico di Milano, Milano, Italy; TU Wien, Vienna, Austria; TU Wien, Vienna, Austria</t>
  </si>
  <si>
    <t>Complex distributed systems such as the ones induced by Internet of Things (IoT) deployments, are expected to operate in compliance to their requirements. This can be checked by inspecting events flowing throughout the system, typically originating from end-devices and reflecting arbitrary actions, changes in state or sensing. Such events typically reflect the behavior of the overall IoT system ‚Äì they may indicate executions which satisfy or violate its requirements. This article presents a service-based software architecture and technical framework supporting runtime verification for widely deployed, volatile IoT systems. At the lowest level, systems we consider are comprised of resource-constrained devices connected over wide area networks generating events. In our approach, monitors are deployed on edge components, receiving events originating from end-devices or other edge nodes. Temporal logic properties expressing desired requirements are then evaluated on each edge monitor in a runtime fashion. The system exhibits decentralization since evaluation occurs locally on edge nodes, and verdicts possibly affecting satisfaction of properties on other edge nodes are propagated accordingly. This reduces dependence on cloud infrastructures for IoT data collection and centralized processing. We illustrate how specification and runtime verification can be achieved in practice on a characteristic case study of smart parking. Finally, we demonstrate the feasibility of our design over a testbed instantiation, whereupon we evaluate performance and capacity limits of different hardware classes under monitoring workloads of varying intensity using state-of-the-art LPWAN technology.</t>
  </si>
  <si>
    <t xml:space="preserve">Austrian Science Foundation(grant numbers:M 2778-N); EDENSPACE; </t>
  </si>
  <si>
    <t>https://ieeexplore.ieee.org/stamp/stamp.jsp?arnumber=9411895</t>
  </si>
  <si>
    <t>Monitoring;Sensors;Runtime;Computer architecture;Temperature sensors;Internet of Things;Software architecture</t>
  </si>
  <si>
    <t>E. Hidalgo Fort; P. Blanco-Carmona; J. R. Garcia-Oya; F. Mu√±oz-Chavero; R. Gonzalez-Carvajal; A. R. Serrano-Chacon; E. J. Mascort-Albea</t>
  </si>
  <si>
    <t>Wireless and Low-Power System for Synchronous and Real-Time Structural-Damage Assessment</t>
  </si>
  <si>
    <t>10.1109/JSEN.2023.3270961</t>
  </si>
  <si>
    <t>Electronic Engineering Department, University of Seville, Seville, Spain; Electronic Engineering Department, University of Seville, Seville, Spain; Electronic Engineering Department, University of Seville, Seville, Spain; Electronic Engineering Department, University of Seville, Seville, Spain; Electronic Engineering Department, University of Seville, Seville, Spain; Department of Building Structures and Geotechnical Engineering, University of Seville, Seville, Spain; Department of Building Structures and Geotechnical Engineering, University of Seville, Seville, Spain</t>
  </si>
  <si>
    <t>The rise of the Internet of Things (IoT) systems and the evolution of low-power wide-area networks have directly contributed to the emergence of a new generation of structural health monitoring (SHM) systems based on the nondestructive test (NDT) approach. Consequently, this article presents the design and development of a synchronous, low-cost, real-time, wireless, and low-power consumption SHM system for pre-existing buildings and infrastructures, which has been validated on a structure built in the High Middle Ages forming part of the historical heritage of the city of Seville (Spain). The system proposes a modular and scalable design with the capacity for synchronous monitoring of the accelerations of a structure due to the deployment of several reduced-size nodes that acquire and transmit the accelerations of the structures through a secure sockets layer (SSL) narrowband (NB)-IoT connection. This aspect and firmware over the air (FOTA) capability enables the permanent deployment of sensor nodes, thereby not only obviating the use of costly traditional devices but also granting access to the structures to be monitored for each test and maintenance task and hence supporting the tasks related to the preventive conservation of heritage. The experimental tests carried out demonstrate the low impact of global positioning system (GPS) time synchronization and FOTA on the autonomy of the system. The precision of the system is also validated by comparing the results with a precision system in a real field test. Furthermore, continuous monitoring is guaranteed through the graphical interface developed as a composition of microservices, which enables management of the deployed networks.</t>
  </si>
  <si>
    <t xml:space="preserve">PID2019-107258RB-C31; Ministerio de Ciencia e Innovaci√≥n/Agencia Estatal de Innovacion (MCIN/AEI)(grant numbers:10.13039/501100011033); Sevilla City Council‚Äôs Urban Planning Department; ‚ÄúSpecific collaboration agreement between the University of Sevilla and the Urban Planning Management of the Sevilla City Council, for the development of strategies aimed at the restoration and subsequent preventive conservation of the Medieval wall of Sevilla.‚Äù; </t>
  </si>
  <si>
    <t>https://ieeexplore.ieee.org/stamp/stamp.jsp?arnumber=10124661</t>
  </si>
  <si>
    <t>Built heritage;Internet of Things (IoT);low-cost structural health monitoring (SHM) nodes;narrowband (NB)-IoT;nondestructive test (NDT);SHM;synchronous SHM;wireless sensor networks</t>
  </si>
  <si>
    <t>Monitoring;Wireless sensor networks;Wireless communication;Internet of Things;Sensors;Pollution measurement;Microprogramming</t>
  </si>
  <si>
    <t>M. H. ALSAMH; A. Hawbani; S. Kumar; S. Hamood Alsamhi</t>
  </si>
  <si>
    <t>Multisensory Metaverse-6G: A New Paradigm of Commerce and Education</t>
  </si>
  <si>
    <t>10.1109/ACCESS.2024.3392838</t>
  </si>
  <si>
    <t>Department of Accounting, Faculty of Administrative Science, IBB University, Ibb, Yemen; School of Computer Science, Shenyang Aerospace University, Shenyang, China; Department of CSE, IIIT Naya Raipur, Atal Nagar-Nava Raipur, Chhattisgarh, India; Insight Centre for Data Analytics, University of Galway, Galway, Ireland</t>
  </si>
  <si>
    <t>Multisensory Metaverse applications ignite a revolution across industries, captivating audiences with immersive experiences. With the impending release of 6G technology, the stage is set for an extraordinary advancement toward an even higher level of engagement and immersion. This paper examines how combining multimodal Metaverse apps with 6G technology might change the game, with an emphasis on business and education. We examine how multisensory Metaverse-6G signifies and reshapes a paradigm change in digital connection and immersion in light of the impending advent of 6G networks, distinguished by ultra-high-speed connectivity, low latency, and immense interconnectedness. We investigate how immersive Metaverse experiences improve virtual purchasing, targeted marketing campaigns, and customer engagement from a business perspective. Within the field of education, we investigate how Metaverse technology might transform conventional pedagogical techniques through interactive learning, skill development, and distant collaboration. We aim to build a more connected, immersive, and inclusive digital world by imagining a day when multimodal Metaverse-6G experiences drive innovation across commerce and education. We foresee a future where Metaverse-6G convergence transforms communication and cooperation, and we also highlight future research areas and potential developments. By embracing innovation and tackling challenges, we can fully utilize this convergence to build a more inclusive, immersive, and networked digital future.</t>
  </si>
  <si>
    <t>https://ieeexplore.ieee.org/stamp/stamp.jsp?arnumber=10506898</t>
  </si>
  <si>
    <t>Multisensory;metaverse;extended reality;6G;immersive communication;holographic communication;metaverse-6G immersive experiences;connectivity;interaction;commerce;education</t>
  </si>
  <si>
    <t>Metaverse;6G mobile communication;Surveys;Computer architecture;Collaboration;Technological innovation;Biological system modeling;Multisensory integration;Immersive experience;Education;Commerce and trade</t>
  </si>
  <si>
    <t>Y. Huang; Q. Sun; N. Li; Z. Chen; J. Huang; H. Ding; C. -L. ‚Ö†</t>
  </si>
  <si>
    <t>Validation of Current O-RAN Technologies and Insights on the Future Evolution</t>
  </si>
  <si>
    <t>10.1109/JSAC.2023.3336180</t>
  </si>
  <si>
    <t>China Mobile Research Institute, Beijing, China; Wireless and Terminal Technology Department, China Mobile Research Institute, Beijing, China; Wireless and Terminal Technology Department, China Mobile Research Institute, Beijing, China; Wireless and Terminal Technology Department, China Mobile Research Institute, Beijing, China; Wireless and Terminal Technology Department, China Mobile Research Institute, Beijing, China; China Mobile Research Institute, Beijing, China; China Mobile Research Institute, Beijing, China</t>
  </si>
  <si>
    <t>Entering the 5G era, the mobile network operators (MNO) are facing greater challenges in providing services cost effectively than any other previous generations. The potential solutions to this are lying on the emerging trend of deep convergence of information technology (IT), communication technology (CT) and data technology (DT). In particular, the O-RAN technology, the representation of such ICDT convergence and proposed by the O-RAN ALLIANCE in 2018, is transforming Radio Access Networks towards a new paradigm featuring openness, cloudification and intelligence. O-RAN has gained huge attention from both industry and academia since its inception. In this paper, we presented the recent endeavors from China Mobile, including our deployment scenarios, various test results from open fronthaul, cloud platform to the intelligent controller. Our rich and comprehensive tests have demonstrated the viability and superiority of current O-RAN technologies. Furthermore, we also provide our deep thinking on the O-RAN future evolution in order to better serve the emerging applications such as Metaverse, cloud extended-reality (XR), extensive enterprise private 5G verticals and so on.</t>
  </si>
  <si>
    <t>https://ieeexplore.ieee.org/stamp/stamp.jsp?arnumber=10330580</t>
  </si>
  <si>
    <t>O-RAN;cloudification;RAN intelligent controller;prototype;field trial</t>
  </si>
  <si>
    <t>Computer architecture;Hardware;5G mobile communication;Synchronization;Cloud computing;Testing;Microprocessors;Open RAN</t>
  </si>
  <si>
    <t>S. Bastiaens; M. Alijani; W. Joseph; D. Plets</t>
  </si>
  <si>
    <t>Visible Light Positioning as a Next-Generation Indoor Positioning Technology: A Tutorial</t>
  </si>
  <si>
    <t>10.1109/COMST.2024.3372153</t>
  </si>
  <si>
    <t>Department of Information Technology, Research Group imec-WAVES, Ghent University, Ghent, Belgium; Department of Information Technology, Research Group imec-WAVES, Ghent University, Ghent, Belgium; Department of Information Technology, Research Group imec-WAVES, Ghent University, Ghent, Belgium; Department of Information Technology, Research Group imec-WAVES, Ghent University, Ghent, Belgium</t>
  </si>
  <si>
    <t>Indoor positioning technology has become undisputedly pervasive in modern society. It can be used for numerous applications in various environments, ranging from agriculture to smart industry. Among the different indoor positioning technologies, the development of the indoor visible light positioning (VLP) system has gained momentum recently thanks to its low cost and centimetre-order accuracy. Moreover, VLP is a promising candidate technology for integration with Light Fidelity (Li-Fi), which relies on the optical spectrum to build future wireless networks and plays a significant role in sixth-generation (6G) wireless networks. This tutorial investigates VLP as a novel positioning technology in depth. The inherent characteristics and fundamentals of this technology are extensively described with the components of a VLP system and possible localization approaches being discussed. Furthermore, a mathematical and technical discussion of a simple minimum retrofit of the single photodiode (PD) received signal strength (RSS) VLP systems is provided. Finally, the paper concludes with open challenges and a future roadmap for VLP.</t>
  </si>
  <si>
    <t>https://ieeexplore.ieee.org/stamp/stamp.jsp?arnumber=10457033</t>
  </si>
  <si>
    <t>Visible light positioning (VLP);indoor positioning systems (IPSs);tutorial</t>
  </si>
  <si>
    <t>Tutorials;Global navigation satellite system;Surveys;IP networks;Lighting;Costs;Receivers</t>
  </si>
  <si>
    <t>M. E. Tabacchi; D. Tegolo; D. Cascio; C. Valenti; S. Sorce; V. Gentile; V. Taormina; I. Brusca; G. Magazz√π; A. Giuliano; G. Raso</t>
  </si>
  <si>
    <t>A Fuzzy-Based Clinical Decision Support System for Coeliac Disease</t>
  </si>
  <si>
    <t>10.1109/ACCESS.2022.3208903</t>
  </si>
  <si>
    <t>Dipartimento di Matematica e Informatica, Universit√† degli Studi di Palermo, Palermo, Italy; Dipartimento di Matematica e Informatica, Universit√† degli Studi di Palermo, Palermo, Italy; Dipartimento di Fisica e Chimica, Universit√† degli Studi di Palermo, Palermo, Italy; Dipartimento di Matematica e Informatica, Universit√† degli Studi di Palermo, Palermo, Italy; Facolt√† di Ingegneria e Architettura, Universit√† degli Studi di Enna ‚Äò‚ÄòKore,‚Äô‚Äô, Enna, Italy; Dipartimento di Fisica e Chimica, Universit√† degli Studi di Palermo, Palermo, Italy; Dipartimento di Matematica e Informatica, Universit√† degli Studi di Palermo, Palermo, Italy; Ospedale Fatebenefratelli, Buccheri La Ferla, Palermo, Italy; Dipartimento di Patologia Umana dell‚Äôadulto e dell‚Äôet√† evolutiva, Universit√† di Messina, Messina, Italy; AcrossLimits Ltd., Valletta, Malta; Dipartimento di Fisica e Chimica, Universit√† degli Studi di Palermo, Palermo, Italy</t>
  </si>
  <si>
    <t>Coeliac disease (CD) is a permanent inflammatory disease of the small intestine characterized by the destruction of the mucous membrane of this intestinal tract. Coeliac disease represents the most frequent food intolerance and affects about 1% of the population, but it is severely underdiagnosed. Currently available guidelines require CD-specific serology and atrophic histology in duodenal biopsy samples to diagnose CD in adults. In paediatric CD, but recently in adults also, non-invasive diagnostic strategies have become increasingly popular. In order to increase the rates of correct diagnosis of the disease without the use of biopsy, researchers have recently been using approaches based on artificial intelligence techniques. In this work, we present a Clinical Decision Support System (CDSS)system for supporting CD diagnosis, developed in the context of the Italy-Malta cross-border project ITAMA. The implemented CDSS has been based on a neural-network-based fuzzy classifier. The system was developed and tested using a Virtual Database and a Real Database acquired during the ITAMA project. Analysis on 10,000 virtual patients shows that the system achieved an accuracy of 99% and a sensitivity of 99%. On 19,415 real patients, of which 109 with a confirmed diagnosis of coeliac disease, the system achieved 99.6% accuracy, 85.7% sensitivity, 99.6% specificity and 96% precision. Such results show that the developed system can be used effectively to support the diagnosis of the CD by reducing the appeal to invasive techniques such as biopsy.</t>
  </si>
  <si>
    <t xml:space="preserve">ITAMA Project under the International Cooperation Program Interreg V-A 1(grant numbers:JS-Code C1-1.1-18); </t>
  </si>
  <si>
    <t>https://ieeexplore.ieee.org/stamp/stamp.jsp?arnumber=9900343</t>
  </si>
  <si>
    <t>Coeliac disease;computer aided diagnosis;artificial intelligence;endoscopy;neural network;fuzzy classifier;CDSS</t>
  </si>
  <si>
    <t>Diseases;Biopsy;Decision support systems;Pediatrics;Databases;Medical diagnostic imaging;Social factors;Artificial intelligence;Fuzzy systems;Endoscopy;Clinical diagnosis;Computer aided diagnosis</t>
  </si>
  <si>
    <t>M. Ouyang; J. Xi; W. Bai; K. Li</t>
  </si>
  <si>
    <t>Band-Area Application Container and Artificial Fish Swarm Algorithm for Multi-Objective Optimization in Internet-of-Things Cloud</t>
  </si>
  <si>
    <t>10.1109/ACCESS.2022.3150326</t>
  </si>
  <si>
    <t>School of Software Engineering, South China University of Technology, Guangzhou, China; School of Software Engineering, South China University of Technology, Guangzhou, China; School of Computer Science, Zhaoqing University, Zhaoqing, China; Department of Computer Science, State University of New York, New Paltz, NY, USA</t>
  </si>
  <si>
    <t>Container virtualization methods based on application deployment levels have been widely adopted in cloud-computing environments to implement application construction, deployment, and migration. However, most application containers focus on the interface between the applications and hosts and lack collaboration between application containers. This study proposes a new application container model that contains users, application services, documents, and messages, called Band-area Application Container. A salient feature of the Band-area is that it can express a variety of things in reality, such as organizations or individuals. End users can build a complex and changeable application system through cooperation between the Band-areas. However, the resource allocation of non Internet-of-Thing and Internet-of-Thing tasks from the application container is an open issue. The resource allocation method of tasks should not only improve the quality of the user experience, but also reduce energy consumption by improving the resource utilization of the server. To solve this problem, an artificial fish swarm algorithm is proposed to optimize container-based task scheduling. The algorithm considers not only the reliability, processing time overhead, and energy consumption of the task, but also the resource utilization of the servers. Experimental evaluation shows that, compared with the existing three algorithms, the algorithm obtains a better improvement rate in task processing time overhead, energy consumption, reliability, and cluster load balancing.</t>
  </si>
  <si>
    <t xml:space="preserve">Science and Technology Plan Project of Guangdong Province, China(grant numbers:2014B010112007,2016B010124010); Guangdong Province Educational Science Planning Project(grant numbers:2019KTSCX199); Zhaoqing Science and Technology Special Fund Project(grant numbers:2020G1004); Zhaoqing University Science and Technology Projects(grant numbers:zlgc201933); </t>
  </si>
  <si>
    <t>https://ieeexplore.ieee.org/stamp/stamp.jsp?arnumber=9709286</t>
  </si>
  <si>
    <t>Application container;artificial fish swarm algorithm;Internet-of-Things;multi-objective optimization;task scheduling</t>
  </si>
  <si>
    <t>Containers;Task analysis;Resource management;Optimization;Computational modeling;Scheduling;Cloud computing</t>
  </si>
  <si>
    <t>M. G. Khan; J. Taheri; A. Al-Dulaimy; A. Kassler</t>
  </si>
  <si>
    <t>PerfSim: A Performance Simulator for Cloud Native Microservice Chains</t>
  </si>
  <si>
    <t>10.1109/TCC.2021.3135757</t>
  </si>
  <si>
    <t>Department of Mathematics and Computer Science, Karlstad University, Karlstad, Sweden; Department of Mathematics and Computer Science, Karlstad University, Karlstad, Sweden; School of Innovation, Design and Engineering, M√§lardalen University, V√§ster»ßs, Sweden; Department of Mathematics and Computer Science, Karlstad University, Karlstad, Sweden</t>
  </si>
  <si>
    <t>Cloud native computing paradigm allows microservice-based applications to take advantage of cloud infrastructure in a scalable, reusable, and interoperable way. However, in a cloud native system, the vast number of configuration parameters and highly granular resource allocation policies can significantly impact the performance and deployment cost. For understanding and analyzing these implications in an easy, quick, and cost-effective way, we present PerfSim, a discrete-event simulator for approximating and predicting the performance of cloud native service chains in user-defined scenarios. To this end, we proposed a systematic approach for modeling the performance of microservices endpoint functions by collecting and analyzing their performance and network traces. With a combination of the extracted models and user-defined scenarios, PerfSim can then simulate the performance behavior of all services over a given period and provide an approximation for system KPIs, such as requests‚Äô average response time. Using the processing power of a single laptop, we evaluated both simulation accuracy and speed of PerfSim in 104 prevalent scenarios and compared the simulation results with the identical deployment in a real Kubernetes cluster. We achieved $\scriptstyle \mathtt {\sim }$‚àº81-99% simulation accuracy in approximating the average response time of incoming requests and $\scriptstyle \mathtt {\sim }$‚àº16-1200 times speed-up factor for the simulation.</t>
  </si>
  <si>
    <t xml:space="preserve">Knowledge Foundation of Sweden(grant numbers:20200067); </t>
  </si>
  <si>
    <t>https://ieeexplore.ieee.org/stamp/stamp.jsp?arnumber=9652084</t>
  </si>
  <si>
    <t>Performance simulator;performance modeling;cloud native computing;service chains;simulation platform</t>
  </si>
  <si>
    <t>Cloud computing;Computational modeling;Microservice architectures;Resource management;Emulation;Containers;Testing</t>
  </si>
  <si>
    <t>X. Aizaga-Villon; K. Alarcon-Ballesteros; J. Cordova-Garcia; V. S. Padilla; W. Velasquez</t>
  </si>
  <si>
    <t>FIWARE-Based Telemedicine Apps Modeling for Patients‚Äô Data Management</t>
  </si>
  <si>
    <t>IEEE Engineering Management Review</t>
  </si>
  <si>
    <t>1937-4178</t>
  </si>
  <si>
    <t>10.1109/EMR.2022.3169991</t>
  </si>
  <si>
    <t>Escuela Superior Polit√©cnica del Litoral, Faculty of Electrical and Computer Engineering, ESPOL Polytechnic University, Guayaquil, Ecuador; Escuela Superior Polit√©cnica del Litoral, Faculty of Electrical and Computer Engineering, ESPOL Polytechnic University, Guayaquil, Ecuador; Escuela Superior Polit√©cnica del Litoral, Faculty of Electrical and Computer Engineering, ESPOL Polytechnic University, Guayaquil, Ecuador; Escuela Superior Polit√©cnica del Litoral, Faculty of Electrical and Computer Engineering, ESPOL Polytechnic University, Guayaquil, Ecuador; Escuela Superior Polit√©cnica del Litoral, Faculty of Electrical and Computer Engineering, ESPOL Polytechnic University, Guayaquil, Ecuador</t>
  </si>
  <si>
    <t>Open-source technologies enable communication channels between web platforms and innovative architectures to provide reliable data distribution, in which healthcare applications can particularly benefit from them. This work presents a communication channel design to improve the user experience about telemedicine apps, especially when patients are in remote locations while assuring their information using an innovative approach. The general purpose is to avoid users having to physically go to medical facilities by the correct data management related to their appointments and medical history. By preventing the attendance to healthcare facilities, patients do not expose themselves unnecessarily to viruses and bacteria. Therefore, this research includes a data communications model based on the FIWARE platform and cloud technologies for reliable user medical information distribution. The prototype is developed based on open-source technologies and registered the evaluation of different performance metrics that included cases scenarios in which administrators of healthcare centers configured options according to the availability of assets and informatics resources. The results show the effectiveness of the communication model under realistic conditions for encouraging the acceptance of telemedicine alternatives, especially when patients and medical staff present limitations regarding mobility.</t>
  </si>
  <si>
    <t>https://ieeexplore.ieee.org/stamp/stamp.jsp?arnumber=9762509</t>
  </si>
  <si>
    <t>Cloud system;distributed database;FIWARE;remote patient monitoring;telemedicine</t>
  </si>
  <si>
    <t>Medical services;Telemedicine;Medical diagnostic imaging;Cloud computing;Computer architecture;Hospitals;Proposals</t>
  </si>
  <si>
    <t>W. -K. Lai; Y. -C. Wang; S. -C. Wei</t>
  </si>
  <si>
    <t>Delay-Aware Container Scheduling in Kubernetes</t>
  </si>
  <si>
    <t>10.1109/JIOT.2023.3244545</t>
  </si>
  <si>
    <t>Department of Computer Science and Engineering, National Sun Yat-sen University, Kaohsiung, Taiwan; Department of Computer Science and Engineering, National Sun Yat-sen University, Kaohsiung, Taiwan; Department of Computer Science and Engineering, National Sun Yat-sen University, Kaohsiung, Taiwan</t>
  </si>
  <si>
    <t>Kubernetes is a powerful tool to manage containerized applications, which is also regarded as one promising platform to support microservices in edge computing. The scheduler is a key component of Kubernetes. It allocates each pod (i.e., a set of running containers) to one worker node (i.e., a machine). The default scheduler in Kubernetes is designed for the cloud environment containing homogeneous nodes. However, IoT edge nodes usually have various computing power and network bandwidth. This article proposes a delay-aware container scheduling (DACS) algorithm to address the issue of node heterogeneity in edge computing. To efficiently assign pods to worker nodes, DACS takes account of not only residual resources of worker nodes but also potential delays caused by the pod assignment. We build a Kubernetes cluster by VMware to evaluate system performance. Experimental results reveal that DACS can significantly reduce both processing and network delays, thereby helping Kubernetes perform more efficiently in an edge environment.</t>
  </si>
  <si>
    <t xml:space="preserve">National Science and Technology Council (NSTC), Taiwan,(grant numbers:111-2221-E-110-025); NSTC(grant numbers:111-2221-E-110-023-MY2); </t>
  </si>
  <si>
    <t>https://ieeexplore.ieee.org/stamp/stamp.jsp?arnumber=10044213</t>
  </si>
  <si>
    <t>Container;delay;edge;kubernetes;scheduling</t>
  </si>
  <si>
    <t>Containers;Delays;Processor scheduling;Task analysis;Micromechanical devices;Microservice architectures;Internet of Things</t>
  </si>
  <si>
    <t>TUP Journals</t>
  </si>
  <si>
    <t>H. Li; M. Sun; F. Xia; X. Xu; M. Bilal</t>
  </si>
  <si>
    <t>A Survey of Edge Caching: Key Issues and Challenges</t>
  </si>
  <si>
    <t>Tsinghua Science and Technology</t>
  </si>
  <si>
    <t>1007-0214</t>
  </si>
  <si>
    <t>10.26599/TST.2023.9010051</t>
  </si>
  <si>
    <t>TUP</t>
  </si>
  <si>
    <t>School of Computer Science, Nanjing University of Information Science and Technology, Nanjing, China; Shandong Provincial University Laboratory for Protected Horticulture, Weifang University of Science and Technology, Weifang, China; Reading Academy, Nanjing University of Information Science and Technology, Nanjing, China; School of Software, Nanjing University of Information Science and Technology, Nanjing, China; Department of Computer Engineering, Hankuk University of Foreign Studies, Yongin-si, Republic of Korea</t>
  </si>
  <si>
    <t>With the rapid development of mobile communication technology and intelligent applications, the quantity of mobile devices and data traffic in networks have been growing exponentially, which poses a great burden to networks and brings huge challenge to servicing user demand. Edge caching, which utilizes the storage and computation resources of the edge to bring resources closer to end users, is a promising way to relieve network burden and enhance user experience. In this paper, we aim to survey the edge caching techniques from a comprehensive and systematic perspective. We first present an overview of edge caching, summarizing the three key issues regarding edge caching, i.e., where, what, and how to cache, and then introducing several significant caching metrics. We then carry out a detailed and in-depth elaboration on these three issues, which correspond to caching locations, caching objects, and caching strategies, respectively. In particular, we innovate on the issue ‚Äúwhat to cache‚Äù, interpreting it as the classification of the ‚Äúcaching objects‚Äù, which can be further classified into content cache, data cache, and service cache. Finally, we discuss several open issues and challenges of edge caching to inspire future investigations in this research area.</t>
  </si>
  <si>
    <t>https://ieeexplore.ieee.org/stamp/stamp.jsp?arnumber=10339809</t>
  </si>
  <si>
    <t>edge caching;edge computing;caching location;caching object;caching strategy;5G network architecture;Internet of Things (IoT)</t>
  </si>
  <si>
    <t>Surveys;Measurement;Systematics;5G mobile communication;User experience;Mobile handsets</t>
  </si>
  <si>
    <t>E. Schiller; J. Ajayi; S. Weber; T. Braun; B. Stiller</t>
  </si>
  <si>
    <t>Toward a Live BBU Container Migration in Wireless Networks</t>
  </si>
  <si>
    <t>10.1109/OJCOMS.2022.3149965</t>
  </si>
  <si>
    <t>Department of Informatics IfI, Communication Systems Group CSG, Universit&amp;#x00E4;t Z&amp;#x00FC;rich, Z&amp;#x00FC;rich, Switzerland; Department of Computer Science INF, Communication and Distributed Systems Group CDS, Universit&amp;#x00E4;t Bern, Bern, Switzerland; Faculty of Law IUS, Universit&amp;#x00E4;t Z&amp;#x00FC;rich, Z&amp;#x00FC;rich, Switzerland; Department of Computer Science INF, Communication and Distributed Systems Group CDS, Universit&amp;#x00E4;t Bern, Bern, Switzerland; Department of Informatics IfI, Communication Systems Group CSG, Universit&amp;#x00E4;t Z&amp;#x00FC;rich, Z&amp;#x00FC;rich, Switzerland</t>
  </si>
  <si>
    <t>Cloud Radio Access Networks (Cloud-RANs) have recently emerged as a promising architecture to meet the increasing demands and expectations of future wireless networks. Such an architecture can enable dynamic and flexible network operations to address significant challenges, such as higher mobile traffic volumes and increasing network operation costs. However, the implementation of compute-intensive signal processing Network Functions (NFs) on the General Purpose Processors (General Purpose Processor) that are typically found in data centers could lead to performance complications, such as in the case of overloaded servers. There is therefore a need for methods that ensure the availability and continuity of critical wireless network functionality in such circumstances. Motivated by the goal of providing highly available and fault-tolerant functionality in Cloud-RAN-based networks, this paper proposes the design, specification, and implementation of live migration of containerized Baseband Units (BBUs) in two wireless network settings, namely Long Range Wide Area Network (LoRaWAN) and Long Term Evolution (LTE) networks. Driven by the requirements and critical challenges of live migration, the approach shows that in the case of LoRaWAN networks, the migration of BBUs is currently possible with relatively low downtimes to support network continuity. The analysis and comparison of the performance of functional splits and cell configurations in both networks were performed in terms of fronthaul throughput requirements. The results obtained from such an analysis can be used by both service providers and network operators in the deployment and optimization of Cloud-RANs services, in order to ensure network reliability and continuity in cloud environments.</t>
  </si>
  <si>
    <t xml:space="preserve">University of Z√ºrich, Switzerland; University of Bern; European Union H2020 Research and Innovation Program(grant numbers:830927); H2020 Concordia Project; </t>
  </si>
  <si>
    <t>https://ieeexplore.ieee.org/stamp/stamp.jsp?arnumber=9709593</t>
  </si>
  <si>
    <t>Cloud-RAN;live migration;LoRaWAN;LTE;network function virtualization (NFV)</t>
  </si>
  <si>
    <t>Long Term Evolution;Baseband;Wireless networks;Computer architecture;Wide area networks;Cloud computing;Time-frequency analysis</t>
  </si>
  <si>
    <t>W. Hamdi; C. Ksouri; H. Bulut; M. Mosbah</t>
  </si>
  <si>
    <t>Network Slicing-Based Learning Techniques for IoV in 5G and Beyond Networks</t>
  </si>
  <si>
    <t>10.1109/COMST.2024.3372083</t>
  </si>
  <si>
    <t>Department of Computer Engineering, Ege University, Izmir, Turkey; Automated and Connected Mobility, Vedecom Institute, Versailles, France; Department of Computer Engineering, Ege University, Izmir, Turkey; CNRS, Bordeaux INP, LaBRI, UMR 5800, Univ. Bordeaux, Talence, France</t>
  </si>
  <si>
    <t>The effects of transport development on people‚Äôs lives are diverse, ranging from economy to tourism, health care, etc. Great progress has been made in this area, which has led to the emergence of the Internet of Vehicles (IoV) concept. The main objective of this concept is to offer a safer and more comfortable travel experience through making available a vast array of applications, by relying on a range of communication technologies including the fifth-generation mobile networks. The proposed applications have personalized Quality of Service (QoS) requirements, which raise new challenging issues for the management and allocation of resources. Currently, this interest has been doubled with the start of the discussion of the sixth-generation mobile networks. In this context, Network Slicing (NS) was presented as one of the key technologies in the 5G architecture to address these challenges. In this article, we try to bring together the effects of NS implications in the Internet of Vehicles field and show the impact on transport development. We begin by reviewing the state of the art of NS in IoV in terms of architecture, types, life cycle, enabling technologies, network parts, and evolution within cellular networks. Then, we discuss the benefits brought by the use of NS in such a dynamic environment, along with the technical challenges. Moreover, we provide a comprehensive review of NS deploying various aspects of Learning Techniques for the Internet of Vehicles. Afterwards, we present Network Slicing utilization in different IoV application scenarios through different domains; terrestrial, aerial, and marine. In addition, we review Vehicle-to-Everything (V2X) datasets as well as existing implementation tools; besides presenting a concise summary of the Network Slicing-related projects that have an impact on IoV. Finally, in order to promote the deployment of Network Slicing in IoV, we provide some directions for future research work. We believe that the survey will be useful for researchers from academia and industry. First, to acquire a holistic vision regarding IoV-based NS realization and identify the challenges hindering it. Second, to understand the progression of IoV powered NS applications in the different fields (terrestrial, aerial, and marine). Finally, to determine the opportunities for using Machine Learning Techniques (MLT), in order to propose their own solutions to foster NS-IoV integration.</t>
  </si>
  <si>
    <t xml:space="preserve">French National Agency for Research under the Future Investments Program(grant numbers:ANR-20-IDES-0001); Industrial Research Chair ‚ÄúMobility and Intelligent Transports‚Äù (Foundation of Bordeaux University, 2019-2023); European Union‚Äôs Horizon 2020 Research and Innovation Programme(grant numbers:951947 (5GMED)); </t>
  </si>
  <si>
    <t>https://ieeexplore.ieee.org/stamp/stamp.jsp?arnumber=10457570</t>
  </si>
  <si>
    <t>Internet of Vehicles;network slicing;machine learning techniques</t>
  </si>
  <si>
    <t>Surveys;Network slicing;5G mobile communication;Resource management;Quality of service;Reviews;Marine vehicles</t>
  </si>
  <si>
    <t>L. Chao; X. Peng; Z. Xu; L. Zhang</t>
  </si>
  <si>
    <t>Ecosystem of Things: Hardware, Software, and Architecture</t>
  </si>
  <si>
    <t>10.1109/JPROC.2019.2925526</t>
  </si>
  <si>
    <t>State Key Laboratory of Computer Architecture, Institute of Computing Technology, Chinese Academy of Sciences, Beijing, China; State Key Laboratory of Computer Architecture, Institute of Computing Technology, Chinese Academy of Sciences, Beijing, China; State Key Laboratory of Computer Architecture, Institute of Computing Technology, Chinese Academy of Sciences, Beijing, China; State Key Laboratory of Computer Architecture, Institute of Computing Technology, Chinese Academy of Sciences, Beijing, China</t>
  </si>
  <si>
    <t>Edge computing is a continuum that includes the computing resources from cloud to things. Ecosystem of things (EoT) is a subsystem of the ecosystem of edge computing, which potentially contains trillions of devices of things and directly interacts with the physical world. This paper surveys the state of the art of EoT by focusing on the computing infrastructure aspect with a forward-looking perspective. We point out a trend of smart edge computing with four types of smartness and intelligence. We address three fundamental questions. 1) What capabilities and how much energy efficiency are the hardware providing? What is the future growth potential? 2) What abstractions are provided by the system software? Are they adequate to support smart edge computing? 3) What ecosystem architectures have been proposed for the coordination of things, the edge, and the cloud? Are they meeting the needs to encourage innovation but avoid unnecessary ecosystem fragmentation? We examine advances from both industry and academia, including research results, visions, and project concepts. We also point out future research directions.</t>
  </si>
  <si>
    <t xml:space="preserve">National Natural Science Foundation of China(grant numbers:61532016); CAS Pioneer Hundred Talents Program(grant numbers:Y704061000); </t>
  </si>
  <si>
    <t>https://ieeexplore.ieee.org/stamp/stamp.jsp?arnumber=8768345</t>
  </si>
  <si>
    <t>Architecture;ecosystem of things (EoT);edge computing;hardware;Internet of Things (IoT);software</t>
  </si>
  <si>
    <t>Edge computing;Ecosystems;Computer architecture;Cloud computing;Software engineering;Internet of Things;Smart phones</t>
  </si>
  <si>
    <t>W. Villota; M. Gironza; A. Ordo√±ez; O. M. Caicedo Rendon</t>
  </si>
  <si>
    <t>On the Feasibility of Using Hierarchical Task Networks and Network Functions Virtualization for Managing Software-Defined Networks</t>
  </si>
  <si>
    <t>10.1109/ACCESS.2018.2852649</t>
  </si>
  <si>
    <t>Instituto de Computa√ß√£o, Universidade Estadual de Campinas, Campinas, Brazil; Telematics Engineering Group, Universidad del Cauca, Popay√°n, Colombia; Intelligent Management Systems Group, Foundation University of Popay√°n, Popay√°n, Colombia; Telematics Engineering Group, Universidad del Cauca, Popay√°n, Colombia</t>
  </si>
  <si>
    <t>Management is an essential process to ensure the proper operation of computer networks. There are a lot of proposals to manage software-defined networks (SDN) from their application plane. However, such proposals share some shortcomings related to low automation of network management tasks, long time needed to handle network situations, and the lack of flexibility and workability. In this paper, we introduce JANO to overcome these shortcomings and investigate the feasibility of using automated planning and network functions' virtualization to manage SDN from a vertical management plane. JANO uses hierarchical task networks' planning to generate automatically plans that automate management tasks and reduce the time required by administrators to face network situations. Also, JANO performs an instantiation of the management orchestrator of network functions virtualization to provide flexibility and workability in the generation and execution of plans targeted to addressing network situations. We evaluate JANO in a proof of concept. The evaluation results corroborated that JANO is a feasible solution to manage SDN, since the planning time slightly and linearly increased with the number of primitive tasks that form a plan, the time-consuming needed by administrators to addressing a network situation was short, and the additional traffic was low.</t>
  </si>
  <si>
    <t xml:space="preserve">Universidad del Cauca; </t>
  </si>
  <si>
    <t>https://ieeexplore.ieee.org/stamp/stamp.jsp?arnumber=8408461</t>
  </si>
  <si>
    <t>Automated planning;hierarchical task network;network functions virtualization;software-defined networks</t>
  </si>
  <si>
    <t>Task analysis;Planning;Proposals;Monitoring;Network function virtualization;Workability</t>
  </si>
  <si>
    <t>P. Shantharama; A. S. Thyagaturu; A. Yatavelli; P. Lalwaney; M. Reisslein; G. Tkachuk; E. J. Pullin</t>
  </si>
  <si>
    <t>Hardware Acceleration for Container Migration on Resource-Constrained Platforms</t>
  </si>
  <si>
    <t>10.1109/ACCESS.2020.3024675</t>
  </si>
  <si>
    <t>School of Electrical, Computer, and Energy Engineering, Arizona State University (ASU), Tempe, AZ, USA; Programmable Solutions Group, Intel Corporation, Chandler, AZ, USA; Design Engineering Group, Intel Corporation, San Diego, CA, USA; IP Engineering Group, Intel Corporation, San Diego, CA, USA; School of Electrical, Computer, and Energy Engineering, Arizona State University (ASU), Tempe, AZ, USA; Network Platforms Group, Intel Corporation, Chandler, AZ, USA; Network Platforms Group, Intel Corporation, Chandler, AZ, USA</t>
  </si>
  <si>
    <t>The computing capabilities of client devices are continuously increasing; at the same time, demands for ultra-low latency (ULL) services are increasing. These ULL services can be provided by migrating some micro-service container computations from the cloud and multi-access edge computing (MEC) to the client devices. The migration of a container image requires compression and decompression, which are computationally demanding. We quantitatively examine the hardware acceleration of container image compression and decompression on a client device. Specifically, we compare the Intel¬Æ Quick Assist Technology (QAT) hardware acceleration with software compression/decompression. For scenarios with a local container image registry (i.e., without network bandwidth constraints), we find that Intel QAT speeds up compression by a factor of over 7 compared to the single-core GZIP software and reduces the CPU core utilization by over 15% for large container images. These Intel QAT benefits come at the expense of Input/Output (IO) memory access bitrates of up to 900 Mbyte/s (while the software compression/decompression does not require IO memory access). For scenarios with a remote container image registry, we find that the container push (compression) time savings increase with the network bandwidth, while the container pull (decompression) time savings level out for moderately high network bandwidths and slightly decrease for a very high network bandwidth. Furthermore, Intel QAT acceleration achieves substantial power consumption reductions for container push compression for low to moderately high network bandwidths. Our evaluation results give reference performance benchmarks of the achievable latencies for container image instantiation and migration with and without hardware acceleration of the compression and decompression of container images.</t>
  </si>
  <si>
    <t xml:space="preserve">National Science Foundation(grant numbers:1716121); </t>
  </si>
  <si>
    <t>https://ieeexplore.ieee.org/stamp/stamp.jsp?arnumber=9200377</t>
  </si>
  <si>
    <t>Compression;container migration;Docker;hardware acceleration;Intel QuickAssist Technology (QAT)</t>
  </si>
  <si>
    <t>Containers;Image coding;Cloud computing;Bandwidth;Acceleration;Servers</t>
  </si>
  <si>
    <t>L. C. M. Hurali; A. P. Patil</t>
  </si>
  <si>
    <t>Application Areas of Information-Centric Networking: State-of-the-Art and Challenges</t>
  </si>
  <si>
    <t>10.1109/ACCESS.2022.3223667</t>
  </si>
  <si>
    <t>Department of Computer Science and Engineering, Ramaiah Institute of Technology, Bengaluru, Karnataka, India; Department of Computer Science and Engineering, Ramaiah Institute of Technology, Bengaluru, Karnataka, India</t>
  </si>
  <si>
    <t>The Information-Centric Network (ICN) paradigm has gained popularity since its inception. The host-based IP networks were not primarily designed to handle scenarios that it is exposed to on the current Internet. In that direction lot of research has been happening to develop applications such as web applications, multimedia streaming, the Internet of Things, Wireless Sensor Networks and Vehicular networks. In addition, new ICN application areas, such as social networks, Industrial IoTs, etc., are emerging. This review investigates the possible application areas and their deficiencies evenly, broadly and at a certain level of depth with focus on security, scalability, IP interoperability, modularity and other application specific aspects. We discuss the current state-of-the-art in these ICN-based applications and the existing limitations. A comparative analysis of the literary works available is performed to understand the research gaps available, and a detailed discussion of the challenges in each area is provided. We conclude the review with future challenges in the application development with the ICN paradigm to reap its architectural benefits.</t>
  </si>
  <si>
    <t>https://ieeexplore.ieee.org/stamp/stamp.jsp?arnumber=9956802</t>
  </si>
  <si>
    <t>Content-centric networks;information-centric networks;named data networking;network security</t>
  </si>
  <si>
    <t>Security;Routing;Internet;Information-centric networking;IP networks;Authentication;Registers</t>
  </si>
  <si>
    <t>C. Denninnart; M. A. Salehi</t>
  </si>
  <si>
    <t>Harnessing the Potential of Function-Reuse in Multimedia Cloud Systems</t>
  </si>
  <si>
    <t>10.1109/TPDS.2021.3097911</t>
  </si>
  <si>
    <t>Center of Advanced Computer Study, University of Louisiana at Lafayette, Lafayette, LA, USA; Center of Advanced Computer Study, University of Louisiana at Lafayette, Lafayette, LA, USA</t>
  </si>
  <si>
    <t>Cloud-based computing systems can get oversubscribed due to the budget constraints of their users or limitations in certain resource types. The oversubscription can, in turn, degrade the users perceived Quality of Service (QoS). The approach we investigate to mitigate both the oversubscription and the incurred cost is based on smart reusing of the computation needed to process the service requests (i.e., tasks). We propose a reusing paradigm for the tasks that are waiting for execution. This paradigm can be particularly impactful in serverless platforms where multiple users can request similar services simultaneously. Our motivation is a multimedia streaming engine that processes the media segments in an on-demand manner. We propose a mechanism to identify various types of ‚Äúmergeable‚Äù tasks and aggregate them to improve the QoS and mitigate the incurred cost. We develop novel approaches to determine when and how to perform task aggregation such that the QoS of other tasks is not affected. Evaluation results show that the proposed mechanism can improve the QoS by significantly reducing the percentage of tasks missing their deadlines and reduce the overall time (and subsequently the incurred cost) of utilizing cloud services by more than 9 percent.</t>
  </si>
  <si>
    <t xml:space="preserve">National Science Foundation(grant numbers:CNS-2007209,CNS-2047144); </t>
  </si>
  <si>
    <t>https://ieeexplore.ieee.org/stamp/stamp.jsp?arnumber=9490337</t>
  </si>
  <si>
    <t>Task aggregation;over-subscription;serverless computing;cloud computing;video stream processing</t>
  </si>
  <si>
    <t>Streaming media;Task analysis;Cloud computing;Containers;Engines;Delays;Admission control</t>
  </si>
  <si>
    <t>Forging the Industrial Metaverse for Industry 5.0: Where Extended Reality, IIoT, Opportunistic Edge Computing, and Digital Twins Meet</t>
  </si>
  <si>
    <t>10.1109/ACCESS.2024.3422109</t>
  </si>
  <si>
    <t>Department of Computer Engineering, Faculty of Computer Science, A Coru√±a, Spain; Department of Computer Engineering, Faculty of Computer Science, A Coru√±a, Spain</t>
  </si>
  <si>
    <t>The Industrial Metaverse can benefit from the concepts fostered by Industry 5.0, since it implies making use of dynamic and up-to-date content, as well as fast human-to-machine interactions. To enable such enhancements, this article proposes the concept of Meta-Operator, which is essentially an industrial worker that follows the principles of Industry 5.0 and interacts with Industrial Metaverse applications and with his/her surroundings through advanced Extended Reality (XR) devices. In order to build the foundations of future Meta-Operators, this article provides a thorough description of the main technologies that support such a concept: the main components of the Industrial Metaverse, the latest XR technologies and accessories and the use of Opportunistic Edge Computing (OEC) communications (to detect and interact with the surrounding Internet of Things (IoT) and Industrial IoT (IIoT) devices). Moreover, this paper analyzes how to create the next generation of Industrial Metaverse applications based on the Industry 5.0 concepts, including the most relevant standardization initiatives, the integration of AR/MR devices with IoT/IIoT solutions, the development of advanced communications and software architectures and the creation of shared experiences and opportunistic collaborative protocols. Finally, this article provides an extensive list of potential Industry 5.0 applications for the Industrial Metaverse and analyzes thoroughly the main challenges and research lines. Thus, this article provides a holistic view and useful guidelines for the future developers and researchers that will create the next generation of applications for the Industrial Metaverse.</t>
  </si>
  <si>
    <t xml:space="preserve">PID2020-118857RA-100 (ORBALLO, Opportunistic Edge Computing Based on Mobile and Low-Power IoT Devices); MCIN/AEI/10.13039/501100011033; </t>
  </si>
  <si>
    <t>https://ieeexplore.ieee.org/stamp/stamp.jsp?arnumber=10596039</t>
  </si>
  <si>
    <t>Industrial metaverse;Industry 5.0;Meta-Operator;Augmented Reality;Mixed Reality;Opportunistic Edge Computing;Digital Twins;Metaverse;IIoT</t>
  </si>
  <si>
    <t>Metaverse;Fifth Industrial Revolution;Fourth Industrial Revolution;Industries;Industrial Internet of Things;Extended reality;Object recognition;Mixed reality;Edge computing</t>
  </si>
  <si>
    <t>J. Tang; T. Qin; D. Kong; Z. Zhou; X. Li; Y. Wu; J. Gu</t>
  </si>
  <si>
    <t>Anomaly Detection in Social-Aware IoT Networks</t>
  </si>
  <si>
    <t>10.1109/TNSM.2023.3242320</t>
  </si>
  <si>
    <t>School of Artificial Intelligence, Hebei University of Technology, Tianjin, China; School of Artificial Intelligence, Hebei University of Technology, Tianjin, China; School of Artificial Intelligence, Hebei University of Technology, Tianjin, China; School of Information Engineering, China University of Geosciences, Beijing, China; School of Information Engineering, China University of Geosciences, Beijing, China; School of Information Science and Technology, Jinan University, Guangzhou, China; School of Artificial Intelligence and the Hebei Province Key Laboratory of Big Data Calculation, Hebei University of Technology, Tianjin, China</t>
  </si>
  <si>
    <t>Anomaly event coverage is usually related to several attributes, among which the primary attribute dominates at the time of improving detection efficiency. In the case of Internet of Things (IoT) devices with complex social-aware relationships, IoT nodes with primary attributes should cooperate with each other through their social-aware interactions, to detect potential event anomalies and further determine the coverage of such anomalies. Existing research has put a lot of effort into designing IoT detection frameworks to discover anomalous sensor data, rarely caring about the social-aware interactions. This paper targets this important efficiency problem, and develops a novel anomaly detection mechanism in collaborative social-edge-cloud architecture. The focus of it is to first construct a vector space based Aggregation Behavior Comparison Detection Model, and quantify the change of monitoring behavior by defining the clustering threshold of vector space. This can quickly judge whether a local social network is abnormal and speed up the abnormal detection rate. If it is, a Social Behavior Correlation Detection Model is further designed based on the correlation of primary attributes derived from the dominating social-aware interaction behavior captured by (primary) edge nodes. This strategy can help detect specific ‚Äúabnormal‚Äù areas managed by one or more edge devices with higher accuracy. In the process of anomaly detection, we also propose a spatial index tree to store the information of IoT nodes, so as to effectively collect and route the perceived data of IoT nodes for anomaly analysis. Experimental results demonstrate that our anomaly detection method promotes the detection efficiency and accuracy in comparison with the state of art‚Äôs techniques.</t>
  </si>
  <si>
    <t xml:space="preserve">Basic and Applied Basic Research Foundation of Guangdong Province(grant numbers:2019B1515120010); National Natural Science Foundation of China(grant numbers:61932011); Guangdong KeyR&amp;D Plan2020(grant numbers:2020B0101090002); National KeyR&amp;D Plan2020(grant numbers:2020YFB1005600); Open Project Program of Tianjin Key Laboratory of Aerospace Intelligent Equipment Technology, Tianjin Institute of Aerospace Mechanical and Electrical Equipment(grant numbers:ZNZB-2021-01); Supplementary Funds for Performance of Hebei Province Key Laboratory of Big Data Calculation(grant numbers:22567603H); National Natural Science Foundation of China(grant numbers:61702232); </t>
  </si>
  <si>
    <t>https://ieeexplore.ieee.org/stamp/stamp.jsp?arnumber=10037228</t>
  </si>
  <si>
    <t>Anomaly detection;Internet of Things;aggregation behavior comparison detection;social behavior correlation detection;spatial index tree</t>
  </si>
  <si>
    <t>Internet of Things;Image edge detection;Anomaly detection;Behavioral sciences;Cloud computing;Monitoring;Indexes</t>
  </si>
  <si>
    <t>C. C. Gonz√°lez; E. F. Pupo; E. Iradier; P. Angueira; M. Murroni; J. Montalban</t>
  </si>
  <si>
    <t>Network Selection Over 5G-Advanced Heterogeneous Networks Based on Federated Learning and Cooperative Game Theory</t>
  </si>
  <si>
    <t>10.1109/TVT.2024.3373638</t>
  </si>
  <si>
    <t>Department of Electrical and Electronic Engineering (DIEE/UdR CNIT), University of Cagliari, Sardinia, Italy; Department of Electrical and Electronic Engineering (DIEE/UdR CNIT), University of Cagliari, Sardinia, Italy; Department of Computer Languages and System, University of the Basque Country (UPV/EHU), Bilbao, Spain; Department of Communications Engineering, University of the Basque Country (UPV/EHU), Bilbao, Spain; Department of Electrical and Electronic Engineering (DIEE/UdR CNIT), University of Cagliari, Sardinia, Italy; Department of Electronic Technology, University of the Basque Country (UPV/EHU), Bilbao, Spain</t>
  </si>
  <si>
    <t>5G-Advanced and Beyond claims a 3D ecosystem with cooperation between terrestrial and non-terrestrial networks to achieve seamless coverage, improve capacity, and enable advanced applications with strict quality of service (QoS) requirements. This complex environment requires a disaggregated Radio Access Network (RAN) deployment with open interfaces, such as the architecture promoted by the O-RAN Alliance. This architecture, supporting the slicing paradigm, is a prominent solution to guarantee dynamism and differentiated traffic management. Furthermore, intelligence is critical for future wireless networks to enable Machine Learning (ML)-based optimization for autonomous RANs, handling ultra-dense heterogeneous environments, and adapting to numerous scenarios. This paper presents an enhanced Dynamic Radio Access Network Selection (eDRANS) algorithm based on Federated Double Deep Q-Network (F-DDQN) and inserted in the novel O-RAN architecture. The proposal selects the most suitable base station (BS) to satisfy multiple service requests, optimizing QoS and slicing resource utilization. Moreover, the solution employs a Cooperative Game Theory (CGT) approach to manage resources in overload situations. This load-balancing process enables the acceptance of new clients without abruptly degrading the active users' perception. eDRANS is adapted to diverse network conditions, multiple service constraints, and several user types with different priorities and mobility behaviors. The proposal is validated through network-level simulations, recreating a heterogeneous environment composed of terrestrial-airborne nodes and using the Max-SINR criterion, a heuristic algorithm, and centralized and distributed ML solutions as benchmarks. Results show that eDRANS correctly learns during multiple trial-and-error interactions with the environment, fulfilling the Service Level Agreement (SLA) and maximizing user satisfaction.</t>
  </si>
  <si>
    <t>https://ieeexplore.ieee.org/stamp/stamp.jsp?arnumber=10461128</t>
  </si>
  <si>
    <t>5G-advanced and beyond;federated deep reinforcement learning;game theory;network slicing;QoS</t>
  </si>
  <si>
    <t>Heuristic algorithms;Resource management;Quality of service;Vehicle dynamics;Proposals;Handover;Training</t>
  </si>
  <si>
    <t>A. Fayad; T. Cinkler; J. Rak</t>
  </si>
  <si>
    <t>Toward 6G Optical Fronthaul: A Survey on Enabling Technologies and Research Perspectives</t>
  </si>
  <si>
    <t>10.1109/COMST.2024.3408090</t>
  </si>
  <si>
    <t>Department of Telecommunications and Media Informatics, Budapest University of Technology and Economics, Budapest, Hungary; Department of Telecommunications and Media Informatics, Budapest University of Technology and Economics, Budapest, Hungary; Department of Computer Communications, Gda≈Ñsk University of Technology, Gda≈Ñsk, Poland</t>
  </si>
  <si>
    <t>The anticipated launch of the Sixth Generation (6G) of mobile technology by 2030 will mark a significant milestone in the evolution of wireless communication, ushering in a new era with advancements in technology and applications. 6G is expected to deliver ultra-high data rates and almost instantaneous communications, with three-dimensional coverage for everything, everywhere, and at any time. In the 6G Radio Access Networks (RANs) architecture, the Fronthaul connects geographically distributed Remote Units (RUs) to Distributed/Digital Units (DUs) pool. Among all possible solutions for implementing 6G fronthaul, optical technologies will remain crucial in supporting the 6G fronthaul, as they offer high-speed, low-latency, and reliable transmission capabilities to meet the 6G strict requirements. This survey provides an explanation of the 5G and future 6G optical fronthaul concept and presents a comprehensive overview of the current state of the art and future research directions in 6G optical fronthaul, highlighting the key technologies and research perspectives fundamental in designing fronthaul networks for 5G and future 6G. Additionally, it examines the benefits and drawbacks of each optical technology and its potential applications in 6G fronthaul networks. This paper aims to serve as a comprehensive resource for researchers and industry professionals about the current state and future prospects of 6G optical fronthaul technologies, facilitating the development of robust and efficient wireless networks of the future.</t>
  </si>
  <si>
    <t xml:space="preserve">CHISTERA Sustainable and Adaptive Ultra-High-Capacity Micro Base Stations (SAMBAS) Grant funded by Research Foundation‚ÄìFlanders (FWO), Agence nationale de la Recherche (ANR), National Research, Development and Innovation Office (NKFIH), and U.K. Research and Innovation (UKRI)(grant numbers:CHIST-ERA-20-SICT-003); Passau International Centre for Advanced Interdisciplinary Studies (PICAIS) of the University of Passau, Germany; </t>
  </si>
  <si>
    <t>https://ieeexplore.ieee.org/stamp/stamp.jsp?arnumber=10546919</t>
  </si>
  <si>
    <t>5G;6G;optical fronthaul;point-to-point (P2P);passive optical networks (PON);free space optics (FSO);radio access network (RAN);optical communication technologies</t>
  </si>
  <si>
    <t>6G mobile communication;Optical fiber networks;Passive optical networks;Optical network units;Surveys;Optical fibers;5G mobile communication</t>
  </si>
  <si>
    <t>Y. Shi; Y. Yang; C. Yi; B. Chen; J. Cai</t>
  </si>
  <si>
    <t>Toward Online Reliability-Enhanced Microservice Deployment With Layer Sharing in Edge Computing</t>
  </si>
  <si>
    <t>10.1109/JIOT.2024.3385816</t>
  </si>
  <si>
    <t>College of Computer Science and Technology and the Collaborative Innovation Center of Novel Software Technology and Industrialization, Nanjing University of Aeronautics and Astronautics, Nanjing, Jiangsu, China; College of Computer Science and Technology and the Collaborative Innovation Center of Novel Software Technology and Industrialization, Nanjing University of Aeronautics and Astronautics, Nanjing, Jiangsu, China; College of Computer Science and Technology and the Collaborative Innovation Center of Novel Software Technology and Industrialization, Nanjing University of Aeronautics and Astronautics, Nanjing, Jiangsu, China; College of Computer Science and Technology and the Collaborative Innovation Center of Novel Software Technology and Industrialization, Nanjing University of Aeronautics and Astronautics, Nanjing, Jiangsu, China; Department of Electrical and Computer Engineering, Concordia University, Montr√©al, QC, Canada</t>
  </si>
  <si>
    <t>Container‚Äìbased microservice provisioning, with its elasticity in terms of the layered structure, enables the sharing of common layers among different edge computing tasks, both within and across edge servers (ESs). However, due to the potential hardware breakdowns, each ES may prone to failures, affecting its lifetime (i.e., the time-length that an ES works continuously without interruptions), and in turn leading to the collapse of their hosted/provided microservices or the other ESs‚Äô microservices requesting common layers from it. To address such an issue, in this article, we study the microservice deployment optimization with layer sharing for maximizing the system-wide reliability while satisfying all tasks‚Äô delay requirements. Considering dynamic task generations and the asynchronization of various decision variables with different triggers, we design an online optimization algorithm by leveraging an improved Lyapunov technique integrating randomized rounding, Lagrangian method and convex optimization, which iteratively solves the problem over different timescales. Theoretical analyses and simulations evaluate the performance of the proposed solution, showing that it can achieve an increase of 12.4% in reliability and a reduction of 28.57% in total delay, compared to the counterparts.</t>
  </si>
  <si>
    <t xml:space="preserve">State Key Laboratory of Massive Personalized Customization System and Technology(grant numbers:H&amp;C-MPC-2023-04-01); National Natural Science Foundation of China (NSFC)(grant numbers:62176122); A3 Foresight Program of NSFC(grant numbers:62061146002); Postgraduate Research and Practice Innovation Program of Jiangsu Province(grant numbers:KYCX22_0372); </t>
  </si>
  <si>
    <t>https://ieeexplore.ieee.org/stamp/stamp.jsp?arnumber=10494347</t>
  </si>
  <si>
    <t>Edge computing;layer sharing;microservice deployment;online optimization;reliability enhancement</t>
  </si>
  <si>
    <t>Microservice architectures;Task analysis;Reliability;Optimization;Loading;Delays;Containers</t>
  </si>
  <si>
    <t>J. K. Samriya; S. Kumar; M. Kumar; M. Xu; H. Wu; S. S. Gill</t>
  </si>
  <si>
    <t>Blockchain and Reinforcement Neural Network for Trusted Cloud-Enabled IoT Network</t>
  </si>
  <si>
    <t>10.1109/TCE.2023.3347690</t>
  </si>
  <si>
    <t>Department of CSE, Indian Institute of Information Technology Sonepat, Sonepat, India; Department of Computer Engineering and Applications, GLA University, Mathura, India; Department of IT, Dr. B. R. Ambedkar National Institute of Technology, Jalandhar, India; Shenzhen Institute of Advanced Technology, Chinese Academy of Sciences, Shenzhen, China; Center for Applied Mathematics, Tianjin University, Tianjin, China; School of Electronic Engineering and Computer Science, Queen Mary University of London, London, U.K.</t>
  </si>
  <si>
    <t>The rapid integration of Internet of Things (IoT) services and applications across various sectors is primarily driven by their ability to process real-time data and create intelligent environments through artificial intelligence for service consumers. However, the security and privacy of data have emerged as significant threats to consumers within IoT networks. Issues such as node tampering, phishing attacks, malicious code injection, malware threats, and the potential for Denial of Service (DoS) attacks pose serious risks to the safety and confidentiality of information. To solve this problem, we propose an integrated autonomous IoT network within a cloud architecture, employing Blockchain technology to heighten network security. The primary goal of this approach is to establish a Heterogeneous Autonomous Network (HAN), wherein data is processed and transmitted through cloud architecture. This network is integrated with a Reinforced Neural Network (RNN) called ClouD_RNN, specifically designed to classify the data perceived and collected by sensors. Further, the collected data is continuously monitored by an autonomous network and classified for fault detection and malicious activity. In addition, network security is enhanced by the Blockchain Adaptive Windowing Meta Optimization Protocol (BAW_MOP). Extensive experimental results validate that our proposed approach significantly outperforms state-of-the-art approaches in terms of throughput, accuracy, end-to-end delay, data delivery ratio, network security, and energy efficiency.</t>
  </si>
  <si>
    <t xml:space="preserve">National Natural Science Foundation of China(grant numbers:62071327,62102408); Tianjin Municipal Science and Technology Program(grant numbers:22ZYYYJC00020); Shenzhen Science and Technology Program(grant numbers:RCBS20210609104609044); Chinese Academy of Sciences President‚Äôs International Fellowship Initiative(grant numbers:2023VTC0006); </t>
  </si>
  <si>
    <t>https://ieeexplore.ieee.org/stamp/stamp.jsp?arnumber=10375765</t>
  </si>
  <si>
    <t>Internet of Things;reinforcement neural network;heterogeneous autonomous network;cloud computing;control system</t>
  </si>
  <si>
    <t>Internet of Things;Cloud computing;Blockchains;Security;5G mobile communication;Network security;Deep learning;Quality of service</t>
  </si>
  <si>
    <t>R. Pietrantuono; M. Ficco; F. Palmieri</t>
  </si>
  <si>
    <t>Testing the Resilience of MEC-Based IoT Applications Against Resource Exhaustion Attacks</t>
  </si>
  <si>
    <t>10.1109/TDSC.2023.3263137</t>
  </si>
  <si>
    <t>Universit√† degli Studi di Napoli Federico II, Naples, Italy; Department of Computer Science, University of Salerno, Fisciano, SA, Italy; Department of Computer Science, University of Salerno, Fisciano, SA, Italy</t>
  </si>
  <si>
    <t>Multi-access Edge Computing (MEC) is an emerging computing model that provides the necessary on-demand resources and services to the edge of the network, ensuring powerful computing, storage capacity, mobility, location, and context awareness support to emerging Internet of Things (IoT) applications. Nonetheless, its complex hierarchical model introduces new architectural interdependencies, which can influence the resilience of IoT applications against cyber attacks. Although application resilience has been investigated in the context of cloud computing, existing studies are not directly applicable to such an extended edge-cloud paradigm. The use of different enabling technologies at the edge of the network, such as various wireless access technologies and virtualization, implies several threats and challenges that make the analysis and deployment of resilience mechanisms a technically challenging problem. In this article, we first present an overview of the threat model, describing the threats for the different layers of this paradigm. We then study the impact of resource-exhausting attacks ‚Äì a particularly relevant class for this paradigm - on three different IoT applications exploiting the services offered by the MEC-based architecture. We adopt a testing-based methodology conceived to characterize the resilience of such applications under attack. A set of most important resilience-related indicators are also identified. The characterization's results are useful to support the analyst in planning proper protection means at individual architectural layers.</t>
  </si>
  <si>
    <t xml:space="preserve">NRRP MUR program; EU - NGEU(grant numbers:PE00000014); </t>
  </si>
  <si>
    <t>https://ieeexplore.ieee.org/stamp/stamp.jsp?arnumber=10086638</t>
  </si>
  <si>
    <t>Internet of Things;multi-access edge computing;resilience;threat model;resource-exhausting attacks</t>
  </si>
  <si>
    <t>Internet of Things;Resilience;Security;Cloud computing;Computational modeling;Computer architecture;Virtualization</t>
  </si>
  <si>
    <t>D. Santos; R. Silva; D. Corujo; R. L. Aguiar; B. Parreira</t>
  </si>
  <si>
    <t>Follow the User: A Framework for Dynamically Placing Content Using 5G-Enablers</t>
  </si>
  <si>
    <t>10.1109/ACCESS.2021.3051570</t>
  </si>
  <si>
    <t>Instituto de Telecomunica√ß√µes and Universidade de Aveiro, Campus Universit√°rio de Santiago, Aveiro, Portugal; Instituto de Telecomunica√ß√µes and Universidade de Aveiro, Campus Universit√°rio de Santiago, Aveiro, Portugal; Instituto de Telecomunica√ß√µes and Universidade de Aveiro, Campus Universit√°rio de Santiago, Aveiro, Portugal; Instituto de Telecomunica√ß√µes and Universidade de Aveiro, Campus Universit√°rio de Santiago, Aveiro, Portugal; R&amp;D Department, Altran Portugal, Vila Nova de Gaia, Portugal</t>
  </si>
  <si>
    <t>This article presents a framework for improved and efficient video delivery in scenarios featuring users moving at high speed (e.g., trains), leveraging on dynamic Multi-access Edge Computing (MEC) enabled 5G network capabilities. The framework is location-aware and it allows the content to efficiently follow the users, conserving load usage on network and computational resources, by placing virtualized Content Delivery Network (vCDN) nodes at edge sites. The nodes are controlled by the framework's centralized control unit, which is able to dynamically and preemptively deploy virtulized resources, as the train moves. The framework is capable of segmenting video content and placing the specific portion of content that a user is likely to consume across a set of dynamically deployed vCDN nodes, associated to the coverage section the train is currently passing. A proof of concept was implemented and evaluated, where the benefits of using this framework are assessed. Results showed that the proposed system was able to reduce the load on the core network by 10.9 percent and maximize the cache hit ratio to a value of 99.8 percent.</t>
  </si>
  <si>
    <t xml:space="preserve">Funda√ß√£o para a Ci√™ncia e Tecnologia (FCT) / Minist√©rio para a Educa√ß√£o e Ci√™ncia through the National Funds(grant numbers:PTDC/EEI-TEL/30685/2017); </t>
  </si>
  <si>
    <t>https://ieeexplore.ieee.org/stamp/stamp.jsp?arnumber=9324846</t>
  </si>
  <si>
    <t>vCDN;5G;MEC;location-awareness;video delivery optimization;NFV;SDN</t>
  </si>
  <si>
    <t>5G mobile communication;Peer-to-peer computing;Servers;Monitoring;Quality of experience;Content distribution networks;Optimization</t>
  </si>
  <si>
    <t>R. Kerherve; J. Lallet; L. Beaulieu; I. Fajjari; P. Veitch; J. Dion; B. Sayadi; L. Roullet</t>
  </si>
  <si>
    <t>Next Generation Platform as a Service: Toward Virtualized DVB-RCS2 Decoding System</t>
  </si>
  <si>
    <t>10.1109/TBC.2019.2901392</t>
  </si>
  <si>
    <t>b&lt;&gt;com, Rennes, France; Nokia Bell Labs, Nozay, France; b&lt;&gt;com, Rennes, France; Orange Labs, Ch√¢tillon, France; British Telecom, Ipswich, U.K.; b&lt;&gt;com, Rennes, France; Nokia Bell Labs, Nozay, France; Nokia Bell Labs, Nozay, France</t>
  </si>
  <si>
    <t>Platform-as-a-Service (PaaS) cloud computing services have emerged in the last few years, offering an abstraction framework to enable the development, execution, and management of applications, which is de-coupled from complex infrastructure considerations. The next generation of PaaS solutions (NGPaaS) will have to address more stringent performance requirements compared to traditional PaaSes. They will have to support Telco-specific requirements in terms of resource efficiency, availability, and resilience. According to the 5G promise of convergence between vertical and Telco markets, they will also have to be able to address new use case scenarios. One of the possible scenarios to address could be the combining of Telco and vertical components as digital video broadcasting (DVB). This paper demonstrates how NGPaaS features enable the implementation of 5G-oriented connectivity services in cloud data centers. Regarding the convergence aspect, it aims to demonstrate how NGPaaS features facilitate the build of a combined Telco-broadcasting PaaS system on the cloud where a DVB-RCS2 system is able to bring its own components and integrate them with the connectivity services deployed on the PaaS by a Telco operator. This is achieved by applying specific customizations and enhancements to Kubernetes.</t>
  </si>
  <si>
    <t xml:space="preserve">H2020 European Institute of Innovation and Technology(grant numbers:761557); </t>
  </si>
  <si>
    <t>https://ieeexplore.ieee.org/stamp/stamp.jsp?arnumber=8666151</t>
  </si>
  <si>
    <t>Broadcasting;DVB-S;FPGA;cloud;microservice;kubernetes;acceleration</t>
  </si>
  <si>
    <t>Cloud computing;Digital video broadcasting;5G mobile communication;Containers;Virtualization;Decoding;Field programmable gate arrays</t>
  </si>
  <si>
    <t>L. Nkenyereye; K. -J. Baeg; W. -Y. Chung</t>
  </si>
  <si>
    <t>Deep Reinforcement Learning for Containerized Edge Intelligence Inference Request Processing in IoT Edge Computing</t>
  </si>
  <si>
    <t>10.1109/TSC.2023.3320752</t>
  </si>
  <si>
    <t>AI Convergence Education &amp; Research Group, Pukyong National University, Busan, South Korea; Department of Nanotechnology Engineering, Pukyong National University, Busan, South Korea; Department of AI Convergence &amp; Department of Electronic Engineering, Pukyong National University, Busan, South Korea</t>
  </si>
  <si>
    <t>Edge intelligence (EI) refers to a set of connected systems and devices for artificial intelligence (AI) data collected and learned near the data collection site. The EI model inference phase has been improved through edge caching technologies such as intelligent models (IMs). IM inference across heterogeneously distributed edge nodes is worthy of discussion. The present focuses on software-defined infrastructure (SDI) and introduces a containerized EI framework for a mobile wearable Internet-of-Things (IoT) system. This framework, called the containerized edge intelligence framework (CEIF), is an inter-working architecture that allows the provisioning of containerized EI processing intelligent services related to mobile wearable IoT systems. CEIF enables dynamic instantiation of the inference services of AI models that have been pre-trained on clouds. It also accommodates edge computing devices (ECDs) running the container virtualization technique. Dynamic AI learning policies can also help with workload optimization, thereby reducing the response time of the requests of the EI inference. To stall the rapid increase in user workload when inferring the collected data for analysis, we then propose a deep q-learning algorithm in which the container cluster platform learns the varying user workload at the location of each ECD. The requests of the EI inference are scaled with the learned value and are processed successfully without overloading the ECD. When evaluated in a case study, the proposed algorithm enabled scaling of the processing requests of the EI inference in a containerized EI system while minimizing the number of instantiated container EI instances. The EI inference's requests are completed in an under-loaded container EI cluster system.</t>
  </si>
  <si>
    <t xml:space="preserve">Ministry of Science and Technology; National Research Foundation of Korea(grant numbers:NRF-2019R1A2C1089139); </t>
  </si>
  <si>
    <t>https://ieeexplore.ieee.org/stamp/stamp.jsp?arnumber=10268016</t>
  </si>
  <si>
    <t>Internet of Things;IoT service layer;IoT edge computing;deep reinforcement learning;edge intelligence;artificial intelligence;AI model inference</t>
  </si>
  <si>
    <t>Artificial intelligence;Containers;Computational modeling;Inference algorithms;Edge computing;Data models;Clustering algorithms</t>
  </si>
  <si>
    <t>Band-Area Resource Management Platform and Accelerated Particle Swarm Optimization Algorithm for Container Deployment in Internet-of-Things Cloud</t>
  </si>
  <si>
    <t>10.1109/ACCESS.2022.3198971</t>
  </si>
  <si>
    <t>The method of building and deploying applications through the combination of container virtualization technology and a microservices framework has been widely used in Internet-of-Things clouds. However, there are gaps and a lack of coordination mechanisms between the Internet-of-Things and cloud computing. This study constructs a resource management platform, which is based on application container virtualization technology and combined with the microservices framework. The platform provide a support environment for the construction and deployment of Internet-of-Things cloud applications. However, there is no unified specification for the microservices templates. Therefore, a new service model called tool service was designed. The invocation relationship between services is studied, and developers can combine services through the invocation relationship between services to form a service function chain. However, container-based service deployment remains an unresolved issue. The deployment method of a container involves the quality of service of end users and the profit of cloud providers. To balance the profits of both parties, it is necessary to minimize the service response time and improve the resource utilization of the cloud data center. To address this problem, an accelerated particle swarm optimization strategy is proposed to realize service deployment. Through the invocation relationship between services, the execution containers are aggregated, so as to reduce the service transmission overhead and improve resource utilization. Compared with the experimental results of existing deployment strategies, the proposed optimization strategy has significantly improved performance parameters such as service transmission overhead, container aggregation, and resource utilization.</t>
  </si>
  <si>
    <t xml:space="preserve">Science and Technology Plan Project of Guangdong Province, China(grant numbers:2014B010112007,2016B010124010); Guangdong Province Educational Science Planning Project(grant numbers:2019KTSCX199); Zhaoqing Science and Technology Special Fund Project(grant numbers:2020G1004); Zhaoqing University Science and Technology Projects(grant numbers:zlgc201933); Teaching Reform Project of University Public Computer Course of Guangdong Province(grant numbers:2021-GGJGJ-012); </t>
  </si>
  <si>
    <t>https://ieeexplore.ieee.org/stamp/stamp.jsp?arnumber=9857907</t>
  </si>
  <si>
    <t>Accelerated particle swarm optimization;cloud computing;container;Internet-of-things;microservices;multi-objective optimization</t>
  </si>
  <si>
    <t>Containers;Cloud computing;Internet of Things;Microservice architectures;Resource management;Optimization;Virtualization;Particle swarm optimization</t>
  </si>
  <si>
    <t>A. Zhou; S. Li; X. Ma; S. Wang</t>
  </si>
  <si>
    <t>Service-Oriented Resource Allocation for Blockchain-Empowered Mobile Edge Computing</t>
  </si>
  <si>
    <t>10.1109/JSAC.2022.3213343</t>
  </si>
  <si>
    <t>State Key Laboratory of Network and Switching Technology, Beijing University of Posts and Telecommunications, Beijing, China; State Key Laboratory of Network and Switching Technology, Beijing University of Posts and Telecommunications, Beijing, China; State Key Laboratory of Network and Switching Technology, Beijing University of Posts and Telecommunications, Beijing, China; State Key Laboratory of Network and Switching Technology, Beijing University of Posts and Telecommunications, Beijing, China</t>
  </si>
  <si>
    <t>Integrating dense small cell (DSC) networks with mobile edge computing is employed by 5G to tackle the contradiction between the computation limitations of user equipment (UE) and the stringent latency requirement of services. This paper investigates the service-oriented edge resource allocation problem in DSC networks, determining where to deploy the service entity, how many service entities should be deployed at each edge cloud, and how to assign the UEs to service entities. The problem is challenging for the following three aspects: 1) Service entity deployment and UE assignment are highly coupled. 2) Due to the overlap of coverage regions of densely deployed small cells, the allocation mechanism of different base stations has mutual effects on the overall service performance. 3) Considering the limited resources of edge clouds, it is a thorny problem to encourage edge clouds to cache and share service startup images. We devote the following efforts to tackle the problem under these challenges. First, we explore blockchain‚Äôs decentralized, traceable, and secure characteristics, and propose a scheme to encourage image sharing in mobile edge computing. Second, we formulate the service-oriented edge resource allocation as mixed integer non-linear programming. Third, towards the target of reducing the computational complexity, we decouple UE assignment from service entity deployment and solve it through Gibbs sampling. Moreover, the power of Lyapunov optimization and convex optimization is incorporated to reduce the long-term power consumption and budget. Experiment results demonstrate the superiority of our approach over current notable solutions.</t>
  </si>
  <si>
    <t xml:space="preserve">National Key Research and Development Program of China(grant numbers:2020YFB1805502); National Natural Science Foundation of China (NSFC)(grant numbers:U21B2016,61922017,62032003,61921003,61902036); Beijing University of Posts and Telecommunications (BUPT) Excellent Ph.D. Students Foundation(grant numbers:CX2022226); </t>
  </si>
  <si>
    <t>https://ieeexplore.ieee.org/stamp/stamp.jsp?arnumber=9915530</t>
  </si>
  <si>
    <t>Mobile edge computing;blockchain;image sharing;user equipment assignment;service entity deployment</t>
  </si>
  <si>
    <t>Image edge detection;Resource management;Blockchains;Task analysis;5G mobile communication;Optimization;Peer-to-peer computing;Microcell networks</t>
  </si>
  <si>
    <t>R. Kavanagh; K. Djemame; J. Ejarque; R. M. Badia; D. Garcia-Perez</t>
  </si>
  <si>
    <t>Energy-Aware Self-Adaptation for Application Execution on Heterogeneous Parallel Architectures</t>
  </si>
  <si>
    <t>10.1109/TSUSC.2019.2912000</t>
  </si>
  <si>
    <t>School of Computing, University of Leeds, Leeds, United Kingdom; School of Computing, University of Leeds, Leeds, United Kingdom; Barcelona Supercomputing Center (BSC), Barcelona, Spain; Barcelona Supercomputing Center (BSC), Barcelona, Spain; Atos, Madrid, Spain</t>
  </si>
  <si>
    <t>Hardware in High Performance Computing environments in recent years have increasingly become more heterogeneous in order to improve computational performance. An additional aspect of such systems is the management of power and energy consumption. The increase in heterogeneity requires middleware and programming model abstractions to eliminate additional complexities that it brings, while also offering opportunities such as improved power management. In this paper, we explore application level self-adaptation including aspects such as automated configuration and deployment of applications to different heterogeneous infrastructure and for their redeployment. This therefore not only mitigates complexities associated with heterogeneous devices but aims to take advantage of the heterogeneity. The overall result of this paper is a self-adaptive framework that manages application Quality of Service (QoS) at runtime, which includes the automatic migration of applications between different accelerated infrastructures. Discussion covers when this migration is appropriate and quantifies the likely benefits.</t>
  </si>
  <si>
    <t xml:space="preserve">European Commission(grant numbers:687584); </t>
  </si>
  <si>
    <t>https://ieeexplore.ieee.org/stamp/stamp.jsp?arnumber=8693866</t>
  </si>
  <si>
    <t>Self-adaptation;energy modelling;programming model;heterogeneous hardware architectures;application deployment</t>
  </si>
  <si>
    <t>Task analysis;Runtime;Computer architecture;Quality of service;Hardware;Monitoring;Power demand</t>
  </si>
  <si>
    <t>F. Montori; I. Zyrianoff; L. Gigli; A. Calvio; R. Venanzi; S. Sindaco; L. Sciullo; F. Zonzini; M. Zauli; N. Testoni; A. Bertacchini; E. Londero; E. Alessi; M. D. Felice; L. Bononi; P. Bellavista; L. De Marchi; A. Marzani; P. Azzoni; T. S. Cinotti</t>
  </si>
  <si>
    <t>An IoT Toolchain Architecture for Planning, Running and Managing a Complete Condition Monitoring Scenario</t>
  </si>
  <si>
    <t>10.1109/ACCESS.2023.3237971</t>
  </si>
  <si>
    <t>Department of Computer Science and Engineering, University of Bologna, Bologna, Italy; Department of Computer Science and Engineering, University of Bologna, Bologna, Italy; Department of Computer Science and Engineering, University of Bologna, Bologna, Italy; Department of Computer Science and Engineering, University of Bologna, Bologna, Italy; Department of Computer Science and Engineering, University of Bologna, Bologna, Italy; Advanced Research Center on Electronic Systems ‚ÄúErcole De Castro‚Äù, University of Bologna, Bologna, Italy; Department of Computer Science and Engineering, University of Bologna, Bologna, Italy; Advanced Research Center on Electronic Systems ‚ÄúErcole De Castro‚Äù, University of Bologna, Bologna, Italy; Advanced Research Center on Electronic Systems ‚ÄúErcole De Castro‚Äù, University of Bologna, Bologna, Italy; Advanced Research Center on Electronic Systems ‚ÄúErcole De Castro‚Äù, University of Bologna, Bologna, Italy; Department of Science and Engineering Methods, University of Modena and Reggio Emilia, Modena, Italy; Eurotech S.p.A., Udine, Italy; Advanced Research and System Platforms RND, Analog, MEMS and Sensors Group, STMicroelectronics, Catania, Italy; Department of Computer Science and Engineering, University of Bologna, Bologna, Italy; Department of Computer Science and Engineering, University of Bologna, Bologna, Italy; Department of Computer Science and Engineering, University of Bologna, Bologna, Italy; Advanced Research Center on Electronic Systems ‚ÄúErcole De Castro‚Äù, University of Bologna, Bologna, Italy; Advanced Research Center on Electronic Systems ‚ÄúErcole De Castro‚Äù, University of Bologna, Bologna, Italy; Eurotech S.p.A., Udine, Italy; Advanced Research Center on Electronic Systems ‚ÄúErcole De Castro‚Äù, University of Bologna, Bologna, Italy</t>
  </si>
  <si>
    <t>Condition Monitoring (CM) is an extremely critical application of the Internet of Things (IoT) within Industry 4.0 and Smart City scenarios, especially following the recent energy crisis. CM aims to monitor the status of a physical appliance over time and in real time in order to react promptly when anomalies are detected, as well as perform predictive maintenance tasks. Current deployments suffer from both interoperability and management issues within their engineering process at all phases‚Äì from their design to their deployment, to their management‚Äì, often requiring human intervention. Furthermore, the fragmentation of the IoT landscape and the heterogeneity of IoT solutions hinder a seamless onboarding process of legacy devices and systems. In this paper, we tackle these problems by first proposing an architecture for CM based on both abstraction layers and toolchains, i.e., automated pipelines of engineering tools aimed at supporting the engineering process. In particular, we introduce four different toolchains, each of them dedicated to a well-defined task (e.g., energy monitoring). This orthogonal separation of concerns aims to simplify both the understanding of a complex ecosystem and the accomplishment of independent tasks. We then illustrate our implementation of a complete CM system that follows said architecture as a real Structural Health Monitoring (SHM) pilot of the Arrowhead Tools project, by describing in detail every single tool that we developed. We finally show how our pilot achieves the main objectives of the project: the reduction of engineering costs, the integration of legacy systems, and the interoperability with IoT frameworks.</t>
  </si>
  <si>
    <t xml:space="preserve">Electronic Components and Systems for European Leadership, ECSEL, Joint Undertaking(grant numbers:826452); Arrowhead Tools European Union Horizon 2020 Research and Innovation Program; Istituto nazionale Assicurazione Infortuni sul Lavoro (INAIL)(grant numbers:BRIC/2018); ID=11 Framework, under Project MAC4PRO; </t>
  </si>
  <si>
    <t>https://ieeexplore.ieee.org/stamp/stamp.jsp?arnumber=10019255</t>
  </si>
  <si>
    <t>IoT;WoT;condition monitoring;SHM;arrowhead;toolchain</t>
  </si>
  <si>
    <t>Computer architecture;Sensors;Monitoring;Interoperability;Condition monitoring;Costs;Internet of Things</t>
  </si>
  <si>
    <t>D. F. Blanco; F. Le Mou√´l; T. Lin; M. -P. Escudi√©</t>
  </si>
  <si>
    <t>A Comprehensive Survey on Software as a Service (SaaS) Transformation for the Automotive Systems</t>
  </si>
  <si>
    <t>10.1109/ACCESS.2023.3294256</t>
  </si>
  <si>
    <t>Univ Lyon, INSA Lyon, Inria, CITI, EA3720, Villeurbanne, France; Univ Lyon, INSA Lyon, Inria, CITI, EA3720, Villeurbanne, France; STELLANTIS, Velizy-Villacoublay, France; Univ Lyon, INSA Lyon, Institut Gaston Berger, Villeurbanne, France</t>
  </si>
  <si>
    <t>Over the last few decades, automotive embedded Information and Communication Technology (ICT) systems have been used to enhance vehicle performance and enrich people√¢‚Äôs driving experience, increasing the panel of software features within them. However, even though until now automakers have kept up with the innovation pace in terms of the functionalities that have been offered to passengers, the majority of automakers‚Äô efforts have concentrated on bringing in these new functionalities by adding an unceasingly larger set of ECUs. All of this has been done without evolving any of the embedded software architecture consequently, due to budgetary constraints, legislative limitations, retro-compatibility problems, and a lack of awareness of the trending IT innovation. This unbalanced progress has then led to a substantial increase in in-vehicle architectural complexity, which has become a major concern for automakers nowadays as it makes the vehicle repairing process more complex, decreases software traceability and clashes with the objective of having higher business flexibility, modularity, and dynamicity within the vehicles. In this paper, we are going to go through literature, both academic and industrial, and propose a comprehensive study into automotive system transformation. We begin by giving a detailed analysis of the causes of evolution under five axes - i.e., society, business, industry, application, and technical. Then, we discuss the convergence of cars and software life cycles and propose a three-layered analysis of automotive ICT systems consisting of architecture design, software pipelines, and run-time management. Finally, we are going to propose certain detailed guidelines on the evolution perspectives for automotive systems through deriving from the convergence of advances in IT, as well as current and future automotive environmental constraints.</t>
  </si>
  <si>
    <t xml:space="preserve">Stellantis under the collaborative framework OpenLab VAT@Lyon, involving STELLANTIS and CITI Laboratory (Association Nationale Recherche Technologie (ANRT)(grant numbers:n¬∞2020/1415); </t>
  </si>
  <si>
    <t>https://ieeexplore.ieee.org/stamp/stamp.jsp?arnumber=10177956</t>
  </si>
  <si>
    <t>Automotive ICT system;software defined vehicles;system architecture;vehicle-to-cloud (V2C)/vehicle-to-anything (V2X);software pipelines;E/E architecture</t>
  </si>
  <si>
    <t>Automotive engineering;Computer architecture;Business;Technological innovation;Pipelines;Convergence;Information and communication technology;Software defined networking;System analysis and design;Vehicle-to-everything;Cloud computing</t>
  </si>
  <si>
    <t>L. Liu; J. Li; J. Lv; J. Wang; S. Zhao; Q. Lu</t>
  </si>
  <si>
    <t>Privacy-Preserving and Secure Industrial Big Data Analytics: A Survey and the Research Framework</t>
  </si>
  <si>
    <t>10.1109/JIOT.2024.3353727</t>
  </si>
  <si>
    <t>Key Laboratory of Aerospace Information Security and Trusted Computing, Ministry of Education, School of Cyber Science and Engineering, Wuhan University, Wuhan, China; Key Laboratory of Aerospace Information Security and Trusted Computing, Ministry of Education, School of Cyber Science and Engineering, Wuhan University, Wuhan, China; Institute of Computing Technology Chinese Academy of Sciences, South China University of Technology, Guangzhou, China; Key Laboratory of Aerospace Information Security and Trusted Computing, Ministry of Education, School of Cyber Science and Engineering, Wuhan University, Wuhan, China; Key Laboratory of Aerospace Information Security and Trusted Computing, Ministry of Education, School of Cyber Science and Engineering, Wuhan University, Wuhan, China; Key Laboratory of Aerospace Information Security and Trusted Computing, Ministry of Education, School of Cyber Science and Engineering, Wuhan University, Wuhan, China</t>
  </si>
  <si>
    <t>The development of the Industrial Internet will generate a large amount of valuable data, known as industrial big data (IBD). By mining and utilizing IBD, enterprises can improve production efficiency, reduce costs and risks, optimize management processes, and innovate services and business models. However, IBD comes from various institutions in all walks of life and has features such as multisource, heterogeneity, and multimodality. And data sharing and trading (DS&amp;T) occur in the Industrial Internet environment without mutual trust. These characteristics pose new challenges to analytics methods and privacy and security protection technologies. Therefore, this article aims to provide references for privacy-preserving and secure industrial big data analytics (IBDA) from three perspectives: 1) research framework; 2) platform architecture; and 3) key technologies. First, we review the current state of research on theories and technologies related to IBDA. Then, we reveal three challenges to secure and efficient IBDA. We take the analytics and utilization of IBD as systematic engineering, propose the research framework for privacy-preserving and secure IBDA, and point out the specific content to be studied. Further, we design the architecture of the IBDA platform with the idea of layering, including a function model, security architecture, and system architecture. Finally, detailed research proposals and potential technologies for IBD analytics and utilization are presented from three aspects: 1) data fusion and analytics; 2) data privacy and security protection; and 3) blockchain.</t>
  </si>
  <si>
    <t xml:space="preserve">National Science Foundation of China(grant numbers:51977155); </t>
  </si>
  <si>
    <t>https://ieeexplore.ieee.org/stamp/stamp.jsp?arnumber=10399957</t>
  </si>
  <si>
    <t>Blockchain;data analytics;data sharing and trading (DS&amp;T);federated learning (FL);industrial big data (IBD);privacy and security</t>
  </si>
  <si>
    <t>Big Data;Security;Data privacy;Internet;Blockchains;Computer architecture;Privacy</t>
  </si>
  <si>
    <t>A. Balc√£o-Filho; N. Ruiz; F. d. F. Rosa; R. Bonacin; M. Jino</t>
  </si>
  <si>
    <t>Applying a Consumer-Centric Framework for Trust Assessment of Cloud Computing Service Providers</t>
  </si>
  <si>
    <t>10.1109/TSC.2021.3134125</t>
  </si>
  <si>
    <t>The CTI Renato Archer, Campinas, Brazil; The CTI Renato Archer, Campinas, Brazil; The CTI Renato Archer, Campinas, Brazil; The CTI Renato Archer, Campinas, Brazil; UNICAMP, Campinas, Brazil</t>
  </si>
  <si>
    <t>Cloud computing services consumers do not have enough reliable information about critical characteristics of their providers, such as performance, security, trust and privacy, compliance with laws and regulations, among others. Our proposal addresses these problems presenting a trust assessment framework that integrates three domains: Governance, Transparency, and Security Information. Our approach is consumer-centric and deals with trust aspects from the end-user‚Äôs perspective. We use Indicators to communicate the outcomes, which aim to represent the expression of cybersecurity, manageability, and transparency of services under assessment. This paper includes an implementation proposal, prototype, and proof of concept, in which the framework was applied in a real scenario and executed over a long-term (18 months) usage simulation to verify its applicability, sensitivity, and robustness. Our study is intended for use by consumers of cloud computing who seek to know and measure levels of cybersecurity, protection of privacy, transparency of security, and high levels of quality in their services and infrastructure.</t>
  </si>
  <si>
    <t>https://ieeexplore.ieee.org/stamp/stamp.jsp?arnumber=9645168</t>
  </si>
  <si>
    <t>Cloud computing;trust assessment;metrics;consumer-centric;security;privacy;framework</t>
  </si>
  <si>
    <t>Cloud computing;Security;Privacy;Computational modeling;Measurement;Bibliographies;Taxonomy</t>
  </si>
  <si>
    <t>R. Giuliano</t>
  </si>
  <si>
    <t>From 5G-Advanced to 6G in 2030: New Services, 3GPP Advances, and Enabling Technologies</t>
  </si>
  <si>
    <t>10.1109/ACCESS.2024.3396361</t>
  </si>
  <si>
    <t>Department of Engineering Science, Guglielmo Marconi University, Rome, Italy</t>
  </si>
  <si>
    <t>The telecommunications systems are in continuous evolution. After voice, video, mobile internet, and Internet of Things, what services will be supported in the near future? In the paper, three envisioned services are highlighted, which will be provided in the coming years by new telecommunication systems: immersive communications, everything connected, and high-positioning. The author provides a comprehensive description of their characteristics and investigates the developments that will be implemented in 3GPP Releases 17, Release 18, and Release 19, including technologies that could be integrated for supporting the three new services. In order to evaluate the performance of the new technologies and services, it is important to define appropriate Key Performance Indicators (KPIs). The paper reports and proposes new KPIs for network evaluation to support specific new services such as virtual/mixed reality, smart sensors, and gesture recognition, then facilitating the effective design of the next-generation network and its performance assessment optimally. Requirements of the major application fields that will see widespread adoption in the next 3‚Äì8 years due to these developments are also investigated. Finally, the paper further outlines the most promising enabling technologies, supporting the three bearer services.</t>
  </si>
  <si>
    <t xml:space="preserve">Guglielmo Marconi University; </t>
  </si>
  <si>
    <t>https://ieeexplore.ieee.org/stamp/stamp.jsp?arnumber=10517597</t>
  </si>
  <si>
    <t>5G-advanced;6G;immersive communications;everything connected;high-positioning;3GPP enhancements;Release 18;Release 19</t>
  </si>
  <si>
    <t>Telecommunications;6G mobile communication;3GPP;5G mobile communication;X reality;Smart phones;Next generation networking</t>
  </si>
  <si>
    <t>N. Hossein Motlagh; M. A. Zaidan; L. Lov√©n; P. L. Fung; T. H√§nninen; R. Morabito; P. Nurmi; S. Tarkoma</t>
  </si>
  <si>
    <t>Digital Twins for Smart Spaces‚ÄîBeyond IoT Analytics</t>
  </si>
  <si>
    <t>10.1109/JIOT.2023.3287032</t>
  </si>
  <si>
    <t>Department of Computer Science, University of Helsinki, Helsinki, Finland; Department of Computer Science, University of Helsinki, Helsinki, Finland; Center for Ubiquitous Computing, University of Oulu, Oulu, Finland; Department of Computer Science, University of Helsinki, Helsinki, Finland; Centre for Wireless Communications, University of Oulu, Oulu, Finland; Department of Computer Science, University of Helsinki, Helsinki, Finland; Department of Computer Science, University of Helsinki, Helsinki, Finland; Department of Computer Science, University of Helsinki, Helsinki, Finland</t>
  </si>
  <si>
    <t>Smart spaces, physical spaces that are integrated with sensor-enabled Internet of Things devices, are a powerful paradigm for optimizing the operations of the space and improving its quality for the occupants. Managing the applications and services running in the space is a complex task as the operations of the devices and services are dependent on the physical characteristics of the space, the occupants of the space, and the technologies that are being integrated. Digital twinning, the combination of physical representations with a virtual counterpart, is a potential technology for facilitating the management of smart space devices and services. While digital twins are increasingly adopted in industry, their use in everyday environments remains low due to difficulties in creating and linking the virtual representation with the physical environment. In this article, we propose our vision for the adoption of digital twinning as a pathway to improve the functions of smart spaces. We derive a generic reference architecture that comprises four layers, covering the physical space, the sensing infrastructure, the network interfaces, and the underlying computational infrastructure. Next, we identify and address key requirements for the uptake of digital twins in smart spaces and assess their benefits using the ascendancy model of business analytics. Finally, to demonstrate the practicality of digital twinning, we present a proof-of-concept digital twin for the TellUs smart space at the University of Oulu in Finland and use it to highlight the potential benefits of different ascendancy levels.</t>
  </si>
  <si>
    <t xml:space="preserve">Nokia Center for Advanced Research (NCAR); Business Finland Project(grant numbers:8782/31/2022,8754/31/2022); Academy of Finland(grant numbers:335934,345008,339614,355330,346208); Helsinki Institute for Information Technology (HIIT)(grant numbers:75233229); European Union‚Äôs Horizon 2020 Research and Innovation Programme the EMME-CARE Project(grant numbers:856612); ECSEL JU FRACTAL Project(grant numbers:877056); Finland Centennial Foundation to Urban Air Quality 2.0 Project; </t>
  </si>
  <si>
    <t>https://ieeexplore.ieee.org/stamp/stamp.jsp?arnumber=10153976</t>
  </si>
  <si>
    <t>Digital twin;Internet of Things (IoT);long range (LoRa) networks;sensor networks;smart spaces</t>
  </si>
  <si>
    <t>Sensors;Intelligent sensors;Smart spaces;Digital twins;Wireless communication;Internet of Things;Wireless sensor networks</t>
  </si>
  <si>
    <t>E. G. Kaigom</t>
  </si>
  <si>
    <t>Metarobotics for Industry and Society: Vision, Technologies, and Opportunities</t>
  </si>
  <si>
    <t>10.1109/TII.2023.3337380</t>
  </si>
  <si>
    <t>Faculty of Computer Science and Engineering, Frankfurt University of Applied Sciences, Frankfurt, Germany</t>
  </si>
  <si>
    <t>Metarobotics aims to combine next generation wireless communication, multisense immersion, and collective intelligence to provide a pervasive, itinerant, and noninvasive access and interaction with distant robotized applications. Industry and society are expected to benefit from these functionalities. For instance, robot programmers will no longer travel worldwide to plan and test robot motions, even collaboratively. Instead, they will have a personalized access to robots and their environments from anywhere, thus spending more time with family and friends. Students enrolled in robotics courses will be taught under authentic industrial conditions in real-time. This article describes objectives of metarobotics in society, industry, and in-between. It identifies and surveys technologies likely to enable their completion and provides an architecture to put forward the interplay of key components of metarobotics. Potentials for self-determination, self-efficacy, and work-life-flexibility in robotics-related applications in Society 5.0, Industry 4.0, and Industry 5.0 are outlined.</t>
  </si>
  <si>
    <t>https://ieeexplore.ieee.org/stamp/stamp.jsp?arnumber=10361602</t>
  </si>
  <si>
    <t>6G;collective intelligence;digital twins (DT);holoportation;Industry 4.0/5.0;metaverse;robotics;Society 5.0</t>
  </si>
  <si>
    <t>Service robots;Industries;Metaverse;Surveys;Robot sensing systems;Collaboration;6G mobile communication;Fifth Industrial Revolution</t>
  </si>
  <si>
    <t>V. Zhidchenko; E. Startcev; H. Handroos</t>
  </si>
  <si>
    <t>Reference Architecture for Running Computationally Intensive Physics-Based Digital Twins of Heavy Equipment in a Heterogeneous Execution Environment</t>
  </si>
  <si>
    <t>10.1109/ACCESS.2022.3176645</t>
  </si>
  <si>
    <t>Mechanical Engineering Department, LUT University, Lappeenranta, Finland; Mechanical Engineering Department, LUT University, Lappeenranta, Finland; Mechanical Engineering Department, LUT University, Lappeenranta, Finland</t>
  </si>
  <si>
    <t>Physics-based digital twins for heavy equipment provide a powerful tool for improving operation and maintenance activities. In contrast to data-driven models, they present more explainable and confident results but require more computational power. Besides the problem of physics-based digital twins creation, there is a task of managing their lifecycle, including their execution, maintenance, storage, and updating. The features distinguishing this kind of digital twins are the mobility of the real counterpart, operation in remote locations, long lifecycle, information sensitivity, and gaps in information technology awareness among the equipment owners and users. This paper presents a methodology and reference architecture for a set of interconnected systems capable of running digital twins of heavy equipment in such conditions. A data model for preserving digital twin-related information for decades of machine operation is described. Operating-system-level virtualization technologies are used to run digital twins in a heterogeneous execution environment. An example of the reference architecture implementation is presented for the physics-based digital twins of a mobile log crane. The experimental part of the paper includes a comparison of computing time for different types of digital twins in different execution environments. It highlights the peculiarities related to running physics-based digital twins in containers. Experiments were performed using the Amazon cloud platform, an edge computing system represented by a single-board microcomputer based on ARM architecture, and a virtual machine on a desktop personal computer. Experimental results show that physics-based digital twins for the analysis of the multi-body dynamics can be run within the proposed architecture with real-time performance in all three types of execution environments. The paper demonstrates the practical implementation of physics-based digital twins for heavy equipment and defines directions for future research in this field.</t>
  </si>
  <si>
    <t xml:space="preserve">Business Finland through the Project ‚ÄúService Business from Physics-Based Digital Twins‚ÄîDigiBuzz; </t>
  </si>
  <si>
    <t>https://ieeexplore.ieee.org/stamp/stamp.jsp?arnumber=9779257</t>
  </si>
  <si>
    <t>Cloud computing;data model;digital twin;Internet of Things;simulation;virtualization</t>
  </si>
  <si>
    <t>Digital twins;Data models;Maintenance engineering;Computer architecture;Computational modeling;Internet of Things;Software</t>
  </si>
  <si>
    <t>A. Kaushik; H. S. Al-Raweshidy</t>
  </si>
  <si>
    <t>A Hybrid Latency- and Power-Aware Approach for Beyond Fifth-Generation Internet-of-Things Edge Systems</t>
  </si>
  <si>
    <t>10.1109/ACCESS.2022.3200035</t>
  </si>
  <si>
    <t>Department of Computer Science and Engineering, SRM University, Sonepat, Haryana, India; Department of Electronic and Electrical Engineering, Brunel University London, Uxbridge, London, U.K.</t>
  </si>
  <si>
    <t>Fifth-generation (5G) empowered internet of things (IoT) edge networks suffer from latency in delay-sensitive applications. To fulfil the low latency requirements of beyond fifth-generation (B5G)-IoT applications and provide quality of service (QoS) to IoT-edge communication, it is important to minimize server delay. Furthermore, 5G-IoT systems consume more power than their predecessors, which is a concern given the growing size of future IoT networks. This research presents a hybrid latency and power-aware approach for B5G-IoT networks (HLPA B5G-IoT) that minimizes latency with minimum overhead on battery-constrained IoT nodes while simultaneously providing a power-efficient solution for B5G-IoT-edge networks. HLPA B5G-IoT has a novel algorithm classifier tool (ACT) for selecting appropriate optimization algorithms based on the characteristics and requirements of B5G-IoT systems. The ACT matrix not only parametrically compares HLPA B5G-IoT with existing approaches but also identifies crucial parameters that enable algorithm selection for load balancing and energy efficiency. In this paper, metaheuristic algorithms, i.e., biogeography-based optimization (BBO) and grey wolf optimization (GWO), are tailored to meet the requirements of load balancing and power efficiency in IoT-edge systems. The proposed load-balancing algorithm reduces latency and improves overall network performance by 33.33%, 27.45%, 23.52%, 21.56%, 13.72%, 11.76%, and 7.84% compared with simulated annealing (SA), genetic algorithm (GA), particle swarm optimization (PSO), bacteria foraging algorithm (BFA), ant colony optimization (ACO), bat algorithm (BA), and genetic SA PSO (GSP), respectively. The power-efficiency algorithm consumes 46.6%, 40%, 32.2%, 27.7%, 15.5%, 11.1%, and 6.6% less energy compared with SA, GA, PSO, BFA, ACO, BA, and GSP, respectively.</t>
  </si>
  <si>
    <t>https://ieeexplore.ieee.org/stamp/stamp.jsp?arnumber=9862983</t>
  </si>
  <si>
    <t>Beyond fifth-generation;edge computing;Internet of Things;latency;load balancing;power consumption;workload allocation</t>
  </si>
  <si>
    <t>Internet of Things;Task analysis;Resource management;Cloud computing;Metaheuristics;5G mobile communication;Servers;Edge computing;6G mobile communication;Energy consumption</t>
  </si>
  <si>
    <t>F. Lumpp; F. Fummi; H. D. Patel; N. Bombieri</t>
  </si>
  <si>
    <t>Enabling Kubernetes Orchestration of Mixed-Criticality Software for Autonomous Mobile Robots</t>
  </si>
  <si>
    <t>IEEE Transactions on Robotics</t>
  </si>
  <si>
    <t>1941-0468</t>
  </si>
  <si>
    <t>10.1109/TRO.2023.3334642</t>
  </si>
  <si>
    <t>Department of Engineering for Innovation Medicine, University of Verona, Verona, Italy; Department of Engineering for Innovation Medicine, University of Verona, Verona, Italy; Department of Electrical and Computer Engineering, University of Waterloo, Waterloo, ON, Canada; Department of Engineering for Innovation Medicine, University of Verona, Verona, Italy</t>
  </si>
  <si>
    <t>Containerization and orchestration have become two key requirements in software development best practices. Containerization allows for better resource utilization, platform-independent development, and secure deployment of software. Orchestration automates the deployment, networking, scaling, and availability of containerized workloads and services. While containerization is increasingly being adopted in the robotic community, the use of task orchestration platforms (e.g., Kubernetes) is still an open challenge. The biggest limitation is due to the fact that state-of-the-art orchestrators do not support real-time (RT) containers, while advanced robotic software often consists of a mix of heterogeneous tasks (i.e., ROS nodes) with different levels of temporal constraints (i.e., mixed-criticality systems). This work addresses this challenge by presenting RT-Kube, a platform that extends the de-facto reference standard for container orchestration, Kubernetes, to schedule tasks with mixed-criticality requirements. It implements monitoring of tasks and detects missed deadlines for those with RT constraints. It selects low-priority tasks to be migrated at runtime to different units of the computing cluster to free resources and recover from temporal violations. We present quantitative experimental results on the software implementing the mission of a Robotnik RB-Kairos mobile robot to demonstrate the effectiveness of the proposed approach. The source code is publicly available on GitHub.</t>
  </si>
  <si>
    <t xml:space="preserve">European Union Next-GenerationEU; Piano Nazionale di Ripresa e Resilienza; Missione 4 Componente 2, Investimento 1.5 ‚Äì D.D.(grant numbers:1058 23/06/2022); PNRR; iNEST; Interconnected North-Est Innovation Ecosystem(grant numbers:ECS_00000043); </t>
  </si>
  <si>
    <t>https://ieeexplore.ieee.org/stamp/stamp.jsp?arnumber=10323202</t>
  </si>
  <si>
    <t>Autonomous mobile robots;containers;edge cloud;Kubernetes;mixed-criticality systems (MCSs);orche- stration;real time (RT)</t>
  </si>
  <si>
    <t>Real-time systems;Software;Containers;Standards;Autonomous robots;Mobile robots;Edge computing</t>
  </si>
  <si>
    <t>Z. Lin; L. Lu; J. Shuai; H. Zhao; A. Shahidinejad</t>
  </si>
  <si>
    <t>An Efficient and Autonomous Planning Scheme for Deploying IoT Services in Fog Computing: A Metaheuristic-Based Approach</t>
  </si>
  <si>
    <t>10.1109/TCSS.2023.3254922</t>
  </si>
  <si>
    <t>School of Computer Science and Information Security, Guilin University of Electronic Technology, Guilin, China; Library, Guilin University of Electronic Technology, Guilin, China; School of Computer Science and Information Security, Guilin University of Electronic Technology, Guilin, China; School of Information and Communication, Guilin University of Electronic Technology, Guilin, China; School of Information Technology, Deakin University, Geelong, VIC, Australia</t>
  </si>
  <si>
    <t>The fog computing paradigm is a promising concept to overcome the exponential increase in data volume in Internet of Things (IoT) applications. This paradigm can support delay-sensitive IoT applications by extending cloud services to the network edge. However, fog computing faces challenges such as resource allocation for applications at the network edge due to limited resources as well as its heterogeneous and distributed nature. This is in line with the goals of microservice architecture and develops the placement of microservice-based IoT applications. The IoT service placement problem (SPP) on fog nodes is known as non-deterministic polynomial-time (NP)-hard. In this study, we introduce a meta-heuristic approach named SPP-differential evolution algorithm (DEA) to handle SPP, which originates from the DEA with a shared parallel architecture. The proposed method takes advantage of the scalable and deployable nature of microservices to minimize the resource utilization and delay as much as possible. SPP-DEA is developed based on monitoring, analysis, decision-making, and execution with knowledge bas (MADE-k) autonomous planning model with the aim of compromise between service cost, response time, resource utilization, and throughput. In order to address the computational complexity of the problem, we consider the resource consumption distribution and service deployment priority in the placement process. In order to evaluate the quality of placement in SPP-DEA, extensive experiments have been performed on a synthetic fog environment. The simulation results show that compared to the state-of-the-art approaches, SPP-DEA reduces the service cost and waiting time by 16% and 11%, respectively.</t>
  </si>
  <si>
    <t xml:space="preserve">Natural Science Foundation of Jiangsu Province(grant numbers:BK20180209); Natural Science Foundation of the Jiangsu Higher Education Institutions of China(grant numbers:18KJD520004); Suzhou Vocational Institute of Industrial Technology(grant numbers:2019kyqd018); </t>
  </si>
  <si>
    <t>https://ieeexplore.ieee.org/stamp/stamp.jsp?arnumber=10097451</t>
  </si>
  <si>
    <t>Differential evolution algorithm (DEA);fog computing;Internet of Things (IoT);meta-heuristics;microservice architecture;service placement</t>
  </si>
  <si>
    <t>Internet of Things;Edge computing;Computational modeling;Cloud computing;Metaheuristics;Quality of service;Quality of experience</t>
  </si>
  <si>
    <t>L. Gigli; I. Zyrianoff; F. Zonzini; D. Bogomolov; N. Testoni; M. D. Felice; L. De Marchi; G. Augugliaro; C. Mennuti; A. Marzani</t>
  </si>
  <si>
    <t>Next Generation Edge-Cloud Continuum Architecture for Structural Health Monitoring</t>
  </si>
  <si>
    <t>10.1109/TII.2023.3337391</t>
  </si>
  <si>
    <t>Advanced Research Center on Electronic Systems for Information and Communication Technologies ‚ÄúErcole De Castro, University of Bologna, Bologna, Italy; Advanced Research Center on Electronic Systems for Information and Communication Technologies ‚ÄúErcole De Castro, University of Bologna, Bologna, Italy; Advanced Research Center on Electronic Systems for Information and Communication Technologies ‚ÄúErcole De Castro, University of Bologna, Bologna, Italy; Advanced Research Center on Electronic Systems for Information and Communication Technologies ‚ÄúErcole De Castro, University of Bologna, Bologna, Italy; Advanced Research Center on Electronic Systems for Information and Communication Technologies ‚ÄúErcole De Castro, University of Bologna, Bologna, Italy; Advanced Research Center on Electronic Systems for Information and Communication Technologies ‚ÄúErcole De Castro, University of Bologna, Bologna, Italy; Advanced Research Center on Electronic Systems for Information and Communication Technologies ‚ÄúErcole De Castro, University of Bologna, Bologna, Italy; INAIL Technological Innovations Department, Rome, Italy; INAIL Technological Innovations Department, Rome, Italy; Department of Civil, Chemical, Environmental, and Materials Engineering, University of Bologna, Bologna, Italy</t>
  </si>
  <si>
    <t>Assessing the integrity of industrial and civil appliances has become a priority worldwide. Noteworthy, this goal requires a strong synergy between multiple tools, disciplines, and approaches to be attained via a joint hardware-software co-design of the different Structural Health Monitoring (SHM) system components. This work proposes the $\sf{MAC4PRO}$ architecture, a sensor-to-cloud monitoring platform that seamlessly integrates sensing and software technologies for accurate data measurement, transmission, and analysis. The developed solution stands out for its interoperability and versatility, making it a promising candidate for integration in the next generation of smart structures. Our platform was validated during extensive experimental campaigns targeted at various industrial scenarios. The results show that the $\sf{MAC4PRO}$ architecture can identify subtle changes, such as 1mm size leakage events in pipeline circuits, or less than 1% frequency drifts in civil buildings after seismic excitation, while ensuring more than 90% reduction in the edge-to-cloud data transfer process.</t>
  </si>
  <si>
    <t xml:space="preserve">Istituto Nazionale per l'Assicurazione Contro Gli Infortuni sul Lavoro; </t>
  </si>
  <si>
    <t>https://ieeexplore.ieee.org/stamp/stamp.jsp?arnumber=10373409</t>
  </si>
  <si>
    <t>Edge-cloud continuum;Internet of Things;interoperability;structural health monitoring</t>
  </si>
  <si>
    <t>Computer architecture;Monitoring;Sensors;Cloud computing;Software;Vibrations;Next generation networking;Edge computing;Internet of Things;Interoperability;Medical services;Biomedical monitoring</t>
  </si>
  <si>
    <t>T. Welsh; E. Benkhelifa</t>
  </si>
  <si>
    <t>Bioinspired Multiagent Embryonic Architecture for Resilient Edge Networks</t>
  </si>
  <si>
    <t>10.1109/TII.2019.2916094</t>
  </si>
  <si>
    <t>Cloud Computing and Applications Research Lab, Staffordshire University, Stoke on Trent, U.K.; Cloud Computing and Applications Research Lab, Staffordshire University, Stoke on Trent, U.K.</t>
  </si>
  <si>
    <t>With the pervasive introduction of Internet of Everything (IoE) technologies, use cases are frequently being found operating within harsh environmental conditions. This decreases the need for solutions that permit service delivery to operate in a highly resilient manner. This paper presents an architecture for a novel cloud platform designed for resilient service delivery. It supports networks where poor communication links or high node failure will cause services to be delivered in an nonresilient manner. This could be the result of factors such as high node mobility, poor environmental conditions, and unreliable infrastructure from environment disaster or cyber-attack. This biologically inspired architecture uses a purely distributed multiagent approach to provide self-healing and self-organizing properties, modeled on the characteristics of embryonic development and biological cell communication. To permit high levels of a node churn, this multiagent approach uses local-only communication. Probabilistic cellular automata are used to simulate this architecture and evaluate the efficacy of this approach.</t>
  </si>
  <si>
    <t>https://ieeexplore.ieee.org/stamp/stamp.jsp?arnumber=8712435</t>
  </si>
  <si>
    <t>Artificial intelligence;artificial life;bioinspired;cellular automata (CA);cloud;cybersecurity;edge;embryonic;Internet of Everything (IoE);multiagent;resilience</t>
  </si>
  <si>
    <t>Computer architecture;Microprocessors;Resilience;Automata;Biological system modeling;Data processing;Cloud computing</t>
  </si>
  <si>
    <t>A. Lokman; R. K. Ramasamy; C. -Y. Ting</t>
  </si>
  <si>
    <t>Scheduling and Predictive Maintenance for Smart Toilet</t>
  </si>
  <si>
    <t>10.1109/ACCESS.2023.3241942</t>
  </si>
  <si>
    <t>Faculty of Computing and Informatics, Multimedia University, Cyberjaya, Malaysia; Faculty of Computing and Informatics, Multimedia University, Cyberjaya, Malaysia; Faculty of Computing and Informatics, Multimedia University, Cyberjaya, Malaysia</t>
  </si>
  <si>
    <t>Modern society needs bathrooms. Poor sanitation is caused by worn-out appliances and expensive cleaning. The technique also requires an inexpensive, dependable sensor. This study had three goals. Creating an IoT administration platform is the main goal. Literature evaluations assess the merits and downsides of existing systems. Second, we suggest predictive maintenance to assist predict bathroom equipment breakdowns. Finally, a scheduling algorithm was used to determine how many janitors to hire. We‚Äôll measure the model‚Äôs effectiveness and make future recommendations. Infrared, temperature and humidity sensors create an IoT bathroom. Sensors have been studied to understand how to adapt them to the hygienic and private toilet environment. Sensor accuracy and cost-effectiveness could be enhanced with more development and testing. The Auto-Regressive Integrated Moving Average (ARIMA) model accurately predicts time series lags, making it a good candidate for predictive maintenance. Long Short-Term Memory (LSTM) is good in time series predictions, therefore it‚Äôs fair to compare the two. We use the ARIMA model to handle Remaining Useful Life (RUL) prediction techniques by altering Moving Average (MA) and Auto-Regressive (AR). A genetic algorithm is used to create a janitorial cleaning schedule. The genetic algorithm was proposed to schedule cleaning workers. This approach improves the genetic algorithm by studying soft and hard scheduling restrictions. The Greedy algorithm is used to compare. Experimental evaluations reveal that the suggested model ARIGA meets both goals.</t>
  </si>
  <si>
    <t xml:space="preserve">TM Research and Development from Telekom Malaysia, Malaysia; </t>
  </si>
  <si>
    <t>https://ieeexplore.ieee.org/stamp/stamp.jsp?arnumber=10035972</t>
  </si>
  <si>
    <t>Scheduling;predictive maintenance;IoT</t>
  </si>
  <si>
    <t>Internet of Things;Scheduling;Monitoring;Temperature sensors;Costs;Temperature measurement;Predictive maintenance</t>
  </si>
  <si>
    <t>IoT Capabilities Composition and Decomposition: A Systematic Review</t>
  </si>
  <si>
    <t>10.1109/ACCESS.2023.3260182</t>
  </si>
  <si>
    <t>√âcole doctorale Math√©matiques, Sciences et technologies de l‚Äôinformation, Informatique (ED MSTII), Grenoble Alpes University, Saint-Martin-d‚ÄôH√®res, France; Department of Computer Science, National Institute of Standards and Technology, Gaithersburg, MD, USA; √âcole doctorale Math√©matiques, Sciences et technologies de l‚Äôinformation, Informatique (ED MSTII), Grenoble Alpes University, Saint-Martin-d‚ÄôH√®res, France; Johns Hopkins University, Baltimore, MD, USA</t>
  </si>
  <si>
    <t>As billions of IoT devices join the Internet, researchers and innovators increasingly explore IoT capabilities achieved via service composition or reuse of existing capabilities via service decomposition. Many systematic literature reviews (SLRs) were produced on this subject; however, two issues remain to be addressed: i) a reference taxonomy of the different aspects of IoT capabilities composition and decomposition is needed, and ii) many formal questions (e.g., standards role, formal representations applications, state-space explosion countermeasures, etc.), technical questions (e.g., composition process types and automation levels synergies, service decomposition categories, the role of AI/ML, etc.), and QoS questions (e.g., privacy, interoperability, and scalability challenges and solutions, etc.) remain unanswered. We introduce this work by discussing notions of IoT capabilities composition and decomposition in a layered IoT architecture while highlighting the strengths and weaknesses of existing SLRs. We identify unanswered questions through gaps in related work and motivate these questions using the PICOC methodology. We explain the search methodology and organize the topic questions using the proposed reference taxonomy. The identified research questions are answered, and trends and gaps that need additional attention from the research community are highlighted. This effort benefits city planners and end-users of IoT systems as it contributes to a better understanding of the role of composition and decomposition of IoT capabilities in building value-added services or reusing existing ones for resource optimization. For researchers, this effort contributes a reference taxonomy for the topic and sheds light on important questions while highlighting corresponding trends and gaps requiring further attention.</t>
  </si>
  <si>
    <t xml:space="preserve">National Institute of Standards and Technology (NIST), Gaithersburg, Maryland, USA; </t>
  </si>
  <si>
    <t>https://ieeexplore.ieee.org/stamp/stamp.jsp?arnumber=10078256</t>
  </si>
  <si>
    <t>Capability;composition;decomposition;Internet of Things (IoT);cyber-physical systems (CPS);systematic literature review (SLR)</t>
  </si>
  <si>
    <t>Internet of Things;Atomic layer deposition;Data models;Cyber-physical systems;Atomic measurements;Temperature measurement</t>
  </si>
  <si>
    <t>S. Borenius; P. Kekolahti; H. H√§mm√§inen; M. Lehtonen; P. M√§h√∂nen</t>
  </si>
  <si>
    <t>Novel Industry Architectures for Connectivity Solutions in the Smart Distribution Grids</t>
  </si>
  <si>
    <t>10.1109/ACCESS.2023.3291745</t>
  </si>
  <si>
    <t>School of Electrical Engineering, Aalto University, Espoo, Finland; School of Electrical Engineering, Aalto University, Espoo, Finland; School of Electrical Engineering, Aalto University, Espoo, Finland; School of Electrical Engineering, Aalto University, Espoo, Finland; School of Electrical Engineering, Aalto University, Espoo, Finland</t>
  </si>
  <si>
    <t>The electric energy system is undergoing a major change due to the increasing requirements of dynamic performance. In distribution grids, this evolution will necessitate expanded automation, which in turn will require enhanced connectivity solutions. Strongly evolving communications technologies and architectures, particularly mobile communications as well as cloud and edge computing, will provide new opportunities and alternatives for connectivity solutions. This paper contributes by identifying potential technical and industry architectures for the connectivity solutions required to manage distribution grids in the early 2030s. The study utilizes a senior expert panel and a Delphi survey. Industry architectures are modelled as value networks. The paper uses the Finnish distribution grids as a case example. Regarding technical architectures, the results reveal skepticism concerning those emerging 5G mobile network features that target industrial applications and about the need for extensive distributed computing in the proximity of consumers and prosumers. The most probable industry architectures are found to be those that enable the Distribution System Operators (DSOs) to maintain direct control of critical technical components, or that enable Communications Service Providers (CSPs) to handle the operations of both communications solutions and distributed computing. CSPs are seen as well positioned for this task due to their existing networking and computing infrastructure. However, this may also involve business risks for both DSOs and CSPs.</t>
  </si>
  <si>
    <t xml:space="preserve">Finnish Public Funding Agency for Research, Business Finland through the Project ‚ÄúIFORGE,‚Äù(grant numbers:7127/31/2021); </t>
  </si>
  <si>
    <t>https://ieeexplore.ieee.org/stamp/stamp.jsp?arnumber=10171976</t>
  </si>
  <si>
    <t>Cloud computing;communications;distributed computing;edge computing;industry architectures;mobile communications;overlay networks;power grids;smart grids;value networks</t>
  </si>
  <si>
    <t>Computer architecture;Business;Surveys;5G mobile communication;Cloud computing;Information and communication technology;Cloud computing security;Distributed computing;Edge computing;Mobile communication;Power grids;Smart grids;Overlay networks</t>
  </si>
  <si>
    <t>A. Alwabel; C. K. Swain</t>
  </si>
  <si>
    <t>Deadline and Energy-Aware Application Module Placement in Fog-Cloud Systems</t>
  </si>
  <si>
    <t>10.1109/ACCESS.2024.3350171</t>
  </si>
  <si>
    <t>Department of Computer Sciences, College of Computer Engineering and Sciences, Prince Sattam bin Abdulaziz University, Al-Kharj, Saudi Arabia; Department of Computer Science and Engineering, SRM University, Amaravathi, Andhra Pradesh, India</t>
  </si>
  <si>
    <t>Fog computing has emerged as a promising augmentation of cloud computing, positioned at the network‚Äôs edge, and it is poised to enhance a wide range of Internet of Things (IoT) driven applications. Although fog computing promises to reduce the response time of applications, its omnipresence is subject to the availability and capabilities of the resources in the fog infrastructure. Hence, there is a need of efficiently harness fog infrastructure to execute different IoT applications while meeting their quality of service (QoS) requirements. However, this objective becomes challenging when the applications are decomposed into multiple modules with diverse latency sensitivities. The scatter placement of application modules over distributed fog nodes further intensifies the problem by increasing the overall energy consumption of the fog environment. Therefore, this study proposes a deadline and energy-aware modular application placement policy for fog computing environments. The proposed policy simultaneously prioritizes the placement of critical applications in the fog infrastructure and consolidates the number of active fog nodes for energy management. The performance of the proposed policy was evaluated using iFogSim and compared with several contemporary solutions. The experimental results demonstrate that the proposed policy outperforms others in increasing the percentage of QoS-satisfied applications and reducing energy usage in fog computing.</t>
  </si>
  <si>
    <t xml:space="preserve">Prince Sattam bin Abdulaziz University(grant numbers:2023/01/26767); </t>
  </si>
  <si>
    <t>https://ieeexplore.ieee.org/stamp/stamp.jsp?arnumber=10381709</t>
  </si>
  <si>
    <t>Application module placement;placement policy;latency-aware placement;energy-aware placement;task scheduling;resource management;fog computing;cloud computing</t>
  </si>
  <si>
    <t>Internet of Things;Cloud computing;Edge computing;Resource management;Task analysis;Quality of service;Costs</t>
  </si>
  <si>
    <t>S. Bera; T. Dey; A. Mukherjee; D. De</t>
  </si>
  <si>
    <t>FLAG: Federated Learning for Sustainable Irrigation in Agriculture 5.0</t>
  </si>
  <si>
    <t>10.1109/TCE.2024.3370373</t>
  </si>
  <si>
    <t>CSE Department, Maulana Abul Kalam Azad University of Technology, West Bengal, Kolkata, India; CSE Department, Maulana Abul Kalam Azad University of Technology, West Bengal, Kolkata, India; Computer Science Department, Mahishadal Raj College, Mahishadal, India; CSE Department, Maulana Abul Kalam Azad University of Technology, West Bengal, Kolkata, India</t>
  </si>
  <si>
    <t>This paper proposes a federated learning-based decision making framework for sustainable irrigation using IoT and dew-edge-cloud paradigm. The federated learning is used to prevent the sharing of user identities and raw data for data privacy protection. Further, gradient encryption is used to prevent the leakage of gradient information. Long short-term memory (LSTM) network and deep neural network (DNN) are used for data analysis in local and global models. Edge computing is used to reduce energy consumption and latency. The cache-based dew computing is used to provide temporary holding of the data when network connectivity is not available. The results present that the proposed framework achieves ~99% prediction accuracy at ~50% lower latency and energy consumption than the conventional edge-cloud framework.</t>
  </si>
  <si>
    <t>https://ieeexplore.ieee.org/stamp/stamp.jsp?arnumber=10445480</t>
  </si>
  <si>
    <t>Dew computing;federated learning;energy-efficient;latency;sustainability</t>
  </si>
  <si>
    <t>Servers;Cloud computing;Irrigation;Computational modeling;Data models;Sensors;Soil moisture</t>
  </si>
  <si>
    <t>A. C. Marosi; M. Em≈ëdi; A. Farkas; R. Lovas; R. Beregi; G. Pedone; B. N√©meth; P. G√°sp√°r</t>
  </si>
  <si>
    <t>Toward Reference Architectures: A Cloud-Agnostic Data Analytics Platform Empowering Autonomous Systems</t>
  </si>
  <si>
    <t>10.1109/ACCESS.2022.3180365</t>
  </si>
  <si>
    <t>Laboratory of Parallel and Distributed Systems, Institute for Computer Science and Control, E√∂tv√∂s L√≥r√°nd Research Network, Budapest, Hungary; Laboratory of Parallel and Distributed Systems, Institute for Computer Science and Control, E√∂tv√∂s L√≥r√°nd Research Network, Budapest, Hungary; Laboratory of Parallel and Distributed Systems, Institute for Computer Science and Control, E√∂tv√∂s L√≥r√°nd Research Network, Budapest, Hungary; Laboratory of Parallel and Distributed Systems, Institute for Computer Science and Control, E√∂tv√∂s L√≥r√°nd Research Network, Budapest, Hungary; Centre of Excellence in Production Informatics and Control, Institute for Computer Science and Control, Budapest, Hungary; Centre of Excellence in Production Informatics and Control, Institute for Computer Science and Control, Budapest, Hungary; Systems and Control Laboratory, Institute for Computer Science and Control, E√∂tv√∂s L√≥r√°nd Research Network, Budapest, Hungary; Laboratory of Parallel and Distributed Systems, Institute for Computer Science and Control, E√∂tv√∂s L√≥r√°nd Research Network, Budapest, Hungary</t>
  </si>
  <si>
    <t>This work introduces a scalable, cloud-agnostic and fault-tolerant data analytics platform for state-of-the-art autonomous systems that is built from open-source, reusable building blocks. As the baseline for further new reference architectures, it represents an architecture blueprint for processing, enriching and analyzing various feeds of structured and non-structured input data from advanced Internet-of-Things (IoT) based use cases. The platform builds on industry best practices, leverages on solid open-source components in a reusable fashion, and is based on our experience gathered from numerous IoT and Big Data research projects. The platform is currently used in the framework of the National Laboratory for Autonomous Systems in Hungary (abbreviated as ARNL). The platform is demonstrated through selected use cases from ARNL including the areas of smart/autonomous production systems (collaborative robotic assembly) and autonomous vehicles (mobile robots with smart vehicle control). Finally, we validate the platform through the evaluation of its streaming ingestion capabilities.</t>
  </si>
  <si>
    <t xml:space="preserve">National Research, Development and Innovation (NRDI) Office‚ÄîNKFIH, Hungary(grant numbers:ED_18-2-2018-0006,SNN 129178); Ministry of Innovation and Technology NRDI Office within the framework of the Autonomous Systems National Laboratory Program; Janos Bolyai Research Scholarship of the Hungarian Academy of Sciences; </t>
  </si>
  <si>
    <t>https://ieeexplore.ieee.org/stamp/stamp.jsp?arnumber=9789158</t>
  </si>
  <si>
    <t>Reference architecture;blueprint;data analytics;autonomous systems;IoT;IIoT;big data;mobile robots;collaborative robots;smart control</t>
  </si>
  <si>
    <t>Computer architecture;Data analysis;Cloud computing;Architecture;Open source software;Autonomous systems;Measurement</t>
  </si>
  <si>
    <t>P. Ciancarini; R. Giancarlo; G. Grimaudo</t>
  </si>
  <si>
    <t>Digital Transformation in the Public Administrations: A Guided Tour for Computer Scientists</t>
  </si>
  <si>
    <t>10.1109/ACCESS.2024.3363075</t>
  </si>
  <si>
    <t>Department of Computer Science‚ÄìScience and Engineering, University of Bologna, Bologna, Italy; Department of Mathematics and Computer Science, University of Palermo, Palermo, Italy; Department of Engineering, University of Palermo, Palermo, Italy</t>
  </si>
  <si>
    <t>The goal of Digital Transformation of the Public Sector is the achievement of a better quality of life for citizens, via a more responsive and transparent administration and governance. By now it is clear that technological innovation, both in terms of computer architectures and software systems, is a crucial component of it, yet not sufficient. Indeed, a cultural, organizational and legal shift in how public organizations operate and relate to the citizens is also required. Nevertheless, computer scientists can play a key role in such a transformation and, given its impact on Society, it is essential to achieve a broader level of awareness of it and involvement in it of those scientific and professional figures. To this end, a technical map specifically designed for computer scientists, but properly placed in the context of the cultural, organizational and legal changes mentioned above, would be highly beneficial. To date, such a map is missing, to the best of our knowledge. The main contribution of this Tutorial is to provide it, together with a guided tour describing which key technological aspects enable and drive such a transformation. More specifically, based on a careful analysis of the available scholarly literature, that does not seem to include any Computer Science textbook material, a model of such a transformation is proposed, together with carefully selected examples incarnating it to show its validity: the cities of Barcelona and Chicago. Finally, a look at the future of this area is also provided.</t>
  </si>
  <si>
    <t xml:space="preserve">CINI Grant(grant numbers:PNRM-AMINSEP); Italian MUR PRIN Project ‚ÄúMulticriteria data structures and algorithms: from compressed to learned indexes, and beyond‚Äù(grant numbers:2017WR7SHH); Project INdAM‚ÄîGNCS ‚ÄúAnalysis and Processing of Big Data Based on Graph Models.‚Äù; Italian MUR PRIN Project ‚ÄúMulticriteria data structures and algorithms: from compressed to learned indexes, and beyond‚Äù(grant numbers:2017WR7SHH); </t>
  </si>
  <si>
    <t>https://ieeexplore.ieee.org/stamp/stamp.jsp?arnumber=10423006</t>
  </si>
  <si>
    <t>Agile software development;computer systems organization;cloud computing;computing methodologies;machine learning;data knowledge and engineering;design and engineering of services for e-citizens;digital government;digital transformation</t>
  </si>
  <si>
    <t>Tutorials;Digital transformation;Ecosystems;Computer science;Smart cities;Regulation;Open data;Cloud computing;Data engineering;Knowledge management;Electronic government</t>
  </si>
  <si>
    <t>S. Salim; N. Moustafa; M. Reisslein</t>
  </si>
  <si>
    <t>Cybersecurity of Satellite Communications Systems: A Comprehensive Survey of the Space, Ground, and Links Segments</t>
  </si>
  <si>
    <t>10.1109/COMST.2024.3408277</t>
  </si>
  <si>
    <t>School of Engineering and Information Technology, University of New South Wales, Canberra, ACT, Australia; School of Engineering and Information Technology, University of New South Wales, Canberra, ACT, Australia; School of Electrical, Computer and Energy Engineering, Arizona State University, Tempe, AZ, USA</t>
  </si>
  <si>
    <t>Satellite communications (Satcoms) systems have become an integral part of modern society, providing critical infrastructure for a wide range of applications. However, as the reliance on Satcoms has increased, cyberattacks on Satcoms systems have emerged as a severe concern, with the potential to cause significant disruption, economic losses, and even loss of life. We first give a tutorial-style overview of the architecture of a Satcoms system, which typically consists of a space segment, a ground segment (encompassing the terrestrial ground stations and users), and a links segment. Following the taxonomy provided by this segment structure, we provide‚Äîto the best of our knowledge‚Äîthe first comprehensive survey of the state-of-the-art cyberattacks (cyberthreats) on all three segments of Satcoms systems. For each Satcoms system segment, we organize the cyberattacks according to categories of Satcoms-specific cyberattacks, which we relate to the threat classifications in the general STRIDE cyberthreat model. Also, for all three segments of Satcoms systems, we comprehensively survey the general cybersecurity strategies and the specific cybersecurity mechanisms (techniques) that defend Satcoms systems against cyberattacks. We distill the critical learned lessons associated with Satcoms cybersecurity strategies, such as the need to balance security with cost-effectiveness. Finally, we outline the open challenges and future research directions in Satcoms systems cybersecurity.</t>
  </si>
  <si>
    <t xml:space="preserve">SmartSat CRC(grant numbers:RG214317); Australian Government‚Äôs CRC Program; Australian Research Council/Discovery Early Career Researcher Award(grant numbers:DE23010011); </t>
  </si>
  <si>
    <t>https://ieeexplore.ieee.org/stamp/stamp.jsp?arnumber=10546924</t>
  </si>
  <si>
    <t>Cyberattack;cybersecurity;ground segment;links segment;space segment;satellite communications</t>
  </si>
  <si>
    <t>Computer security;Computer crime;Surveys;Space vehicles;Satellites;Satellite broadcasting;Media</t>
  </si>
  <si>
    <t>Y. Wang; S. Yang; X. Ren; S. Guo; C. Zhao; Q. Han</t>
  </si>
  <si>
    <t>WaterEdge: Edge‚ÄìCloud Collaborative Intelligent Coagulation System for Group-Level Water Treatment Plants</t>
  </si>
  <si>
    <t>IEEE Systems Journal</t>
  </si>
  <si>
    <t>1937-9234</t>
  </si>
  <si>
    <t>10.1109/JSYST.2023.3321734</t>
  </si>
  <si>
    <t>School of Computer Science and Technology, Xi'an University of Posts and Telecommunications, Xi'an, China; National Engineering Laboratory for Big Data Analytics (NEL-BDA) and the Ministry of Education Key Lab for Intelligent Networks and Network Security (MOE KLINNS Lab), Xi'an Jiaotong University, Xi'an, China; National Engineering Laboratory for Big Data Analytics (NEL-BDA), Xi'an Jiaotong University, Xi'an, China; National Engineering Laboratory for Big Data Analytics (NEL-BDA), Xi'an Jiaotong University, Xi'an, China; National Engineering Laboratory for Big Data Analytics (NEL-BDA), Xi'an Jiaotong University, Xi'an, China; National Engineering Laboratory for Big Data Analytics (NEL-BDA), Xi'an Jiaotong University, Xi'an, China</t>
  </si>
  <si>
    <t>Providing an intelligent coagulation solution for group-level water treatment plants (WTPs) is of great significance to improve coagulation efficiency. Existing solutions are devoted to intelligent models based on operators' experience, but ignore the dangers of too much residual aluminum to human health and plant cost. To solve this problem, we propose an edge‚Äìcloud collaborative intelligent (ECCI) coagulation system, WaterEdge, to minimize the residual aluminum, while ensuring water quality. To support this, a collaborative architecture of ‚ÄúmultiPool-multiWTP-cloud‚Äù is developed for fast computation, continuous service maintenance, and upgradation of all WTPs. An ECCI dosage prediction algorithm based on double incremental learning is proposed to determine optimal dosage. To reduce the response time, an ECCI online scheduling algorithm is presented. Furthermore, we build an ECCI platform to provide lifecycle management of applications and verify the effectiveness of WaterEdge in real-world WTPs. Extensive experiments demonstrate that WaterEdge can significantly outperform existing schemes.</t>
  </si>
  <si>
    <t xml:space="preserve">National Key Research and Development Program of China(grant numbers:2021YFB2401300,2022YFA1004100,2020YFA0713900); National Natural Science Foundation of China(grant numbers:62172329,U1811461,U21A6005,11690011,62306234); </t>
  </si>
  <si>
    <t>https://ieeexplore.ieee.org/stamp/stamp.jsp?arnumber=10288578</t>
  </si>
  <si>
    <t>Edge‚Äìcloud collaborative intelligence (ECCI);industrial intelligence;optimal dosage prediction;smart water treatment plants (WTPs);task scheduling</t>
  </si>
  <si>
    <t>Predictive models;Coagulation;Task analysis;Scheduling;Collaboration;Aluminum;Water resources</t>
  </si>
  <si>
    <t>M. A. A. Hilmi; A. Puspaningrum; Darsih; D. O. Siahaan; H. S. Samosir; A. S. Rahma</t>
  </si>
  <si>
    <t>Research Trends, Detection Methods, Practices, and Challenges in Code Smell: SLR</t>
  </si>
  <si>
    <t>10.1109/ACCESS.2023.3334258</t>
  </si>
  <si>
    <t>Department of Informatics, Politeknik Negeri Indramayu, Indramayu, Indonesia; Department of Informatics, Politeknik Negeri Indramayu, Indramayu, Indonesia; Department of Informatics, Politeknik Negeri Indramayu, Indramayu, Indonesia; Department of Informatics, Institut Teknologi Sepuluh Nopember, Surabaya, Indonesia; Faculty of Vocational Studies, Institut Teknologi Del, Toba, Indonesia; Department of Informatics, Institut Teknologi Sepuluh Nopember, Surabaya, Indonesia</t>
  </si>
  <si>
    <t>Context: A code smell indicates a flaw in the design, implementation, or maintenance process that could degrade the software‚Äôs quality and potentially cause future disruptions. Since being introduced by Beck and Fowler, the term code smell has attracted several studies from researchers and practitioners. However, over time, studies are needed to discuss whether this issue is still interesting and relevant. Objective: Conduct a thorough systematic literature review to learn the most recent state of the art for studying code smells, including detection methods, practices, and challenges. Also, an overview of trends and future relevance of the topic of code smell, whether it is still developing, or if there has been a shift in the discussion. Method: The search methodology was employed to identify pertinent scholarly articles from reputable databases such as ScienceDirect, IEEE Xplore, ACM Digital Library, SpringerLink, ProQuest, and CiteSeerX. The application of inclusion and exclusion criteria serves to filter the search results. In addition, forward and backward snowballing techniques are employed to enhance the comprehensiveness of the results. Results: The inquiry yielded 354 scholarly articles published over the timeframe spanning from January 2013 to July 2022. After inclusion, exclusion, and snowballing techniques were applied, 69 main studies regarding code smells were identified. Many researchers focus on detecting code smells, primarily via machine learning techniques and, to a lesser extent, deep learning methods. Additional subjects encompass the ramifications of code smells; code smells within specific contexts, the correlation between code smells and software metrics, and facets about security, refactoring, and development habits. Contexts and types of code smells vary in the focus of the study. Some tools used are Jspirit, aDoctor, CAME, and SonarQube. The study also explores the concept of design smells and anti-pattern detection. While a singular dominating technique to code smell detection has yet to be thoroughly investigated, other aspects of code smell detection remain that still need to be examined. Conclusion: The findings underscore scholarly attention‚Äôs evolution towards code smells over the years. This study identified significant journals and conferences and influential researchers in this field. The detection methods used include empirical, machine learning, and deep learning. However, challenges include subjective interpretation and limited contextual applicability.</t>
  </si>
  <si>
    <t xml:space="preserve">Politeknik Negeri Indramayu on the 2022‚Äì2023 Inter-Higher Education Cooperation Research (PKPT) Scheme in Collaboration with Institut Teknologi Sepuluh Nopember (ITS) Surabaya; </t>
  </si>
  <si>
    <t>https://ieeexplore.ieee.org/stamp/stamp.jsp?arnumber=10322720</t>
  </si>
  <si>
    <t>Code smell;detection;systematic review;software quality;bad smell</t>
  </si>
  <si>
    <t>Codes;Systematics;Surveys;Software quality;Object recognition;Correlation;Taxonomy;Machine learning;Computer security;Performance evaluation</t>
  </si>
  <si>
    <t>R. C. Sofia; J. Salomon; S. Ferlin-Reiter; L. Garc√©s-Erice; P. Urbanetz; H. Mueller; R. Touma; A. Espinosa; L. M. Contreras; V. Theodorou; N. Psaromanolakis; L. Mamatas; V. Tsaoussidis; X. Fu; T. Yuan; A. del Rio; D. Jim√©nez; A. Stam; E. Paraskevoulakou; P. Karamolegkos; V. Vieira; J. Martrat; I. M. Prusiel; D. Matzakou; J. Soldatos; D. Remon; M. Jahn</t>
  </si>
  <si>
    <t>A Framework for Cognitive, Decentralized Container Orchestration</t>
  </si>
  <si>
    <t>10.1109/ACCESS.2024.3406861</t>
  </si>
  <si>
    <t>fortiss GmbH, Munich, Germany; RedHat, Ra‚Äôanana, Israel; RedHat, Ra‚Äôanana, Israel; IBM Research Europe, Z√ºrich, Switzerland; IBM Research Europe, Z√ºrich, Switzerland; Siemens AG, Munich, Germany; i2CAT Foundation, Barcelona, Spain; i2CAT Foundation, Barcelona, Spain; Telef√≥nica, Madrid, Spain; Intracom Telecom, Attica, Greece; Intracom Telecom, Attica, Greece; Athena Research Center, University of Macedonia, Thessaloniki, Greece; Athena Research Center, Democritus University of Thrace, Xanthi, Greece; Institute of Computer Science, University of G√∂ttingen, G√∂ttingen, Germany; Institute of Computer Science, University of G√∂ttingen, G√∂ttingen, Germany; Electr√≥nica F√≠sica, Ingenier√≠a El√©ctrica y F√≠sica Aplicada, Universidad Polit√©cnica de Madrid, Madrid, Spain; Electr√≥nica F√≠sica, Ingenier√≠a El√©ctrica y F√≠sica Aplicada, Universidad Polit√©cnica de Madrid, Madrid, Spain; Almende, Rotterdam, The Netherlands; Data &amp; Cloud Research Group, University of Piraeus Research Centre, Piraeus, Greece; Data &amp; Cloud Research Group, University of Piraeus Research Centre, Piraeus, Greece; INOVA+, Matosinhos, Portugal; ATOS, Madrid, Spain; ATOS, Madrid, Spain; Netcompany-Intrasoft, Luxembourg City, Luxembourg; Netcompany-Intrasoft, Luxembourg City, Luxembourg; Eclipse Foundation, Darmstadt, Germany; Eclipse Foundation, Darmstadt, Germany</t>
  </si>
  <si>
    <t>This perspective paper introduces a novel framework for container orchestration called CODECO. The CODECO orchestration framework relies on a data-network-computing approach to define the best infrastructure that can support the operation of next-generation Internet applications across a mobile, heterogeneous Edge-Cloud continuum. The selection of such an infrastructure is aligned with target performance profiles defined by the user, such as resilience or greenness. CODECO proposes to rely on decentralized Artificial Intelligence approaches to provide the most suitable infrastructure to an application deployment, considering infrastructural challenges, such as intermittent connectivity and node failure. This paper explains the current CODECO framework and gives insight into operational use-cases where CODECO is being deployed, as relevant examples of application for such a framework. Recent developments in the creation of the open-source CODECO framework are described and explained, allowing the use of the framework by the research community. The paper then provides a thorough analysis of CODECO‚Äôs features in comparison with existing orchestration frameworks, explaining the benefits introduced with this dynamic orchestration approach.</t>
  </si>
  <si>
    <t xml:space="preserve">European Commission in the Context of the Horizon Europe Cognitive Decentralised Edge-Cloud Orchestration (CODECO)(grant numbers:101092696); Swiss State Secretariat for Education, Research and Innovation (SERI)(grant numbers:23.00028); </t>
  </si>
  <si>
    <t>https://ieeexplore.ieee.org/stamp/stamp.jsp?arnumber=10540390</t>
  </si>
  <si>
    <t>Edge-cloud;orchestration;Kubernetes;AI/ML;heterogeneous networks;data observability</t>
  </si>
  <si>
    <t>Containers;Europe;Computer architecture;Servers;Internet of Things;Real-time systems;Cloud computing;Edge computing;Heterogeneous networks;Observability;Data models;Internet;Computer applications;Open source software;Automation</t>
  </si>
  <si>
    <t>K. Hayawi; Z. Anwar; A. W. Malik; Z. Trabelsi</t>
  </si>
  <si>
    <t>Airborne Computing: A Toolkit for UAV-Assisted Federated Computing for Sustainable Smart Cities</t>
  </si>
  <si>
    <t>10.1109/JIOT.2023.3292308</t>
  </si>
  <si>
    <t>College of Interdisciplinary Studies, Zayed University, Abu Dhabi, UAE; Department of Computer Science, North Dakota State University, Fargo, ND, USA; Department of Computing, National University of Sciences and Technology, Islamabad, Pakistan; College of Information Technology, United Arab Emirates University, Abu Dhabi, UAE</t>
  </si>
  <si>
    <t>Smart vehicles are equipped with onboard computing units designed to run in-vehicle applications. However, due to limited computing power, the onboard units are unable to execute compute-intensive tasks and those that require near real-time processing. Therefore tasks are offloaded to nearby fog/edge devices that have more powerful processors. However, the fog devices are static, placed at fixed locations such as intersections, and have a limited communication range. Therefore, they can only facilitate vehicles in their immediate vicinity and only limited areas of the city can be covered to provide services on demand. In this article, we propose an unmanned aerial vehicle (UAV)-based computing framework design termed Skywalker to provide computing in regions where there are no static fog units thereby extending coverage. Skywalker‚Äôs contributions are threefold: 1) it allows for load-aware UAV placement and provisions a swarm of UAVs to fly to areas experiencing a gap in service where the size of the swarm is proportional to the demand; 2) it implements multiple scheduling algorithms that the UAVs swarm employs to divide up the task processing responsibility for individual UAVs within the swarm; and 3) a zone-based delivery mechanism is being proposed to facilitate the return of completed tasks, either through direct delivery or relay-based methods. The choice between these options depends on the distance covered by the requesting vehicle from the UAV swarm. The efficiency of the framework is compared with existing techniques and it is found that it can greatly extend coverage during peak traffic hours while providing low communication delay and consuming minimum energy.</t>
  </si>
  <si>
    <t xml:space="preserve">Zayed University through the Cluster Research(grant numbers:R20140); </t>
  </si>
  <si>
    <t>https://ieeexplore.ieee.org/stamp/stamp.jsp?arnumber=10172226</t>
  </si>
  <si>
    <t>Fog computing;smart cities;task offloading;unmanned aerial vehicle (UAV) swarm</t>
  </si>
  <si>
    <t>Task analysis;Smart cities;Edge computing;Autonomous aerial vehicles;Servers;Relays;Real-time systems</t>
  </si>
  <si>
    <t>J. Berrocal; J. Garc√≠a-Alonso; P. Fernandez; A. P√©rez-vereda; J. Hernandez; C. Canal; J. M. Murillo; A. Ruiz-Cortes</t>
  </si>
  <si>
    <t>Early Evaluation of Mobile Applications‚Äô Resource Consumption and Operating Costs</t>
  </si>
  <si>
    <t>10.1109/ACCESS.2020.3015082</t>
  </si>
  <si>
    <t>Department of Computer and Telematic Systems Engineering, University of Extremadura, Badajoz, Spain; Department of Computer and Telematic Systems Engineering, University of Extremadura, Badajoz, Spain; Department of Computer Languages and Systems, University of Sevilla, Sevilla, Spain; Department of Computer Science, University of Malaga, M√°laga, Spain; Department of Computer and Telematic Systems Engineering, University of Extremadura, Badajoz, Spain; Department of Computer Science, University of Malaga, M√°laga, Spain; Department of Computer and Telematic Systems Engineering, University of Extremadura, Badajoz, Spain; Department of Computer Languages and Systems, University of Sevilla, Sevilla, Spain</t>
  </si>
  <si>
    <t>The explosive growth of the mobile application market in recent years has led to a large concomitant mobile software industry whose components are, in many cases, startups and small-size software providers. The success of these applications and the firms behind them depends on a subtle balance between different dimensions mainly affected by their architectural design, such as user satisfaction, resource consumption, operating costs, and timing. The present communication describes a framework with a specific set of practices for identifying the boundaries of different architectural designs ‚Äîin this article we apply it to estimate both the smartphone‚Äôs resource consumption and the operating costs in the cloud‚Äî and thus help in the architectural decision-making process. This will enable mobile software developers to predict at early stages which architectural design best suits their business model in accordance with the number of users and the expected use of the application and even provide an advance alert of when architectural choices will need to be reviewed, obviating the need for costly architectural re-design in further phases.</t>
  </si>
  <si>
    <t xml:space="preserve">MCI/AEI/FEDER,UE, through Projects(grant numbers:RTI2018-094591-B-I00,PGC2018-094905-B-I00); APOLO(grant numbers:U.S.‚Äì1264651); HORATIO(grant numbers:RTI2018-101204‚ÄìB‚ÄìC21); RCIS Research Network(grant numbers:RED2018-102654-T); 4IE+ Project; Interreg V-A Espa√±a-Portugal (POCTEP) 2014‚Äì2020 Program(grant numbers:0499-4IE-PLUS-4-E); FEDER/Junta de Andalucia(grant numbers:UMA18-FEDERJA-180); Department of Economy, Science, and Digital Agenda of the Government of Extremadura(grant numbers:GR18112,IB18030); European Regional Development Fund; </t>
  </si>
  <si>
    <t>https://ieeexplore.ieee.org/stamp/stamp.jsp?arnumber=9162092</t>
  </si>
  <si>
    <t>J9 mobile applications;D211 software architectures;D218 software engineering process;M2 services lifecycle</t>
  </si>
  <si>
    <t>Software;Mobile applications;Investment;Industries;Mobile handsets;Computer architecture</t>
  </si>
  <si>
    <t>D. Fernandes; D. Clemente; G. Soares; P. Sebasti√£o; F. Cercas; R. Dinis; L. S. Ferreira</t>
  </si>
  <si>
    <t>Cloud-Based Implementation of an Automatic Coverage Estimation Methodology for Self-Organising Network</t>
  </si>
  <si>
    <t>10.1109/ACCESS.2020.2986437</t>
  </si>
  <si>
    <t>Instituto Universit√°rio de Lisboa (ISCTE-IUL)/IT‚ÄîInstituto de Telecomunica√ß√µes, Av. das For√ßas Armadas, Lisbon, Portugal; Instituto Universit√°rio de Lisboa (ISCTE-IUL)/IT‚ÄîInstituto de Telecomunica√ß√µes, Av. das For√ßas Armadas, Lisbon, Portugal; Multivision‚ÄîConsultoria, Rua Soeiro Pereira Gomes, Lote N¬∞1, 3¬∞C, Lisbon, Portugal; Instituto Universit√°rio de Lisboa (ISCTE-IUL)/IT‚ÄîInstituto de Telecomunica√ß√µes, Av. das For√ßas Armadas, Lisbon, Portugal; Instituto Universit√°rio de Lisboa (ISCTE-IUL)/IT‚ÄîInstituto de Telecomunica√ß√µes, Av. das For√ßas Armadas, Lisbon, Portugal; FCT‚ÄîUniversidade Nova de Lisboa, Monte da Caparica, Caparica, Portugal; Multivision‚ÄîConsultoria, Rua Soeiro Pereira Gomes, Lote N¬∞1, 3¬∞C, Lisbon, Portugal</t>
  </si>
  <si>
    <t>One of the main concerns of telecommunications operators is related to network coverage. A weak coverage can lead to a performance decrease, not only in the user experience, when using the operators' services, such as multimedia streaming, but also in the overall Quality of Service. This paper presents a novel cloud-based framework of a semi-empirical propagation model that estimates the coverage in a precise way. The novelty of this model is that it is automatically calibrated by using drive test measurements, terrain morphology, buildings in the area, configurations of the network itself and key performance indicators, automatically extracted from the operator's network. Requirements and use cases are presented as motivations for this methodology. The results achieve an accuracy of about 5 dB, allowing operators to obtain accurate neighbour lists, optimise network planning and automate certain actions on the network by enabling the Self-Organising Network concept. The cloud implementation enables a fast and easy integration with other network management and monitoring tools, such as the Metric platform, optimising operators' resource usage recurring to elastic resources on-demand when needed. This implementation was integrated into the Metric platform, which is currently available to be used by several operators.</t>
  </si>
  <si>
    <t xml:space="preserve">OptiNET-5G project and co-funded by the Centro2020, Portugal2020; European Union(grant numbers:023304); Instituto de Telecomunica√ß√µes, FCT/MCTES through national funds and co-funded by the EU funds(grant numbers:UIDB/EEA/50008/2020); </t>
  </si>
  <si>
    <t>https://ieeexplore.ieee.org/stamp/stamp.jsp?arnumber=9060956</t>
  </si>
  <si>
    <t>Cloud implementation;coverage estimation;drive tests;measurements;propagation model</t>
  </si>
  <si>
    <t>Estimation;Telecommunications;Planning;Tools;Measurement;Optimization;Cloud computing</t>
  </si>
  <si>
    <t>K. Velasquez; D. P. Abreu; M. Curado; E. Monteiro</t>
  </si>
  <si>
    <t>Service Placement for Latency Reduction in the Fog Using Application Profiles</t>
  </si>
  <si>
    <t>10.1109/ACCESS.2021.3085370</t>
  </si>
  <si>
    <t>Department of Informatics Engineering, Centre for Informatics and Systems, University of Coimbra, Coimbra, Portugal; Department of Informatics Engineering, Centre for Informatics and Systems, University of Coimbra, Coimbra, Portugal; Department of Informatics Engineering, Centre for Informatics and Systems, University of Coimbra, Coimbra, Portugal; Department of Informatics Engineering, Centre for Informatics and Systems, University of Coimbra, Coimbra, Portugal</t>
  </si>
  <si>
    <t>The Cloud-Fog-Internet of Things continuum combines different paradigms to provide connectivity and ubiquity for end-users, while also granting low latency and low jitter to cope with different challenges, including the requirements of latency-sensitive applications, such as virtual/augmented reality and online gaming. This constitutes a complex and dynamic environment with heterogeneous resources that need to be managed or orchestrated, in order to accomplish application requirements for low latency. Common orchestration solutions make placement decisions based only on the resources of the underlying network and the application resource requests; however, using the profiles of applications to make placement decisions has the potential to enhance the final performance perceived by the end-users. This paper proposes the use of application profiles according to their popularity to guide their placement. To corroborate the effectiveness of the use of the profiles, two placement mechanisms are presented, one based on Genetic Algorithm and the other inspired on graph partitions. Simulation results show that it is possible to reduce the latency and jitter of applications via a service placement guided by the profiles. The mechanism based on graph partitions showed better results for all scenarios, followed closely by the Genetic Algorithm in the scenarios with lower load.</t>
  </si>
  <si>
    <t xml:space="preserve">European Regional Development Fund (FEDER), through the Regional Operational Programme of Lisbon (POR LISBOA 2020); Competitiveness and Internationalization Operational Programme (COMPETE 2020) of the Portugal 2020 Framework through the Project 5G with Nr. 024539(grant numbers:POCI-01-0247-FEDER-024539); National Funds through the Foundation for Science and Technology (FCT), I.P., through the Project Centre for Informatics and Systems of the University of Coimbra (CISUC)(grant numbers:UID/CEC/00326/2020); European Social Fund through the Regional Operational Program Centro 2020; Portuguese Funding Institution, Foundation for Science and Technology (FCT)(grant numbers:SFRH/BD/119392/2016,SFRH/BD/117538/2016); </t>
  </si>
  <si>
    <t>https://ieeexplore.ieee.org/stamp/stamp.jsp?arnumber=9445114</t>
  </si>
  <si>
    <t>Popularity;profiles;latency;placement;fog</t>
  </si>
  <si>
    <t>Cloud computing;Measurement;Proposals;Mathematical model;Genetic algorithms;Quality of service;Quality of experience</t>
  </si>
  <si>
    <t>X. Liang; Q. Wang; A. Al-Tahmeesschi; S. B. Chetty; D. Grace; H. Ahmadi</t>
  </si>
  <si>
    <t>Energy Consumption of Machine Learning Enhanced Open RAN: A Comprehensive Review</t>
  </si>
  <si>
    <t>10.1109/ACCESS.2024.3412758</t>
  </si>
  <si>
    <t>School of Physics, Engineering and Technology, University of York, York, U.K; School of Physics, Engineering and Technology, University of York, York, U.K; School of Physics, Engineering and Technology, University of York, York, U.K; School of Physics, Engineering and Technology, University of York, York, U.K; School of Physics, Engineering and Technology, University of York, York, U.K; School of Physics, Engineering and Technology, University of York, York, U.K</t>
  </si>
  <si>
    <t>The Open Radio Access Network (RAN) emerges as a revolutionary architecture promising unprecedented levels of openness, flexibility, and intelligence within radio access networks. Central to this innovation is the integration of Machine Learning (ML) and Artificial Intelligence (AI) within the RAN Intelligent Controller (RIC), aimed at optimizing network operations and enhancing control mechanisms. This paper undertakes a thorough examination of Open RAN, particularly focusing on its energy consumption aspects, which are pivotal for ensuring the sustainability of future wireless networks. In this paper, we review and compare Open RAN architecture with previous network architectures. In particular we focus on O-RAN Alliance specifications. Additionally, we explore the deployment of ML across various facets of Open RAN and highlights how to estimate the energy consumption of ML models. Through constructing explicit energy consumption models for key O-RAN components, we provide a granular analysis of their energy profiles. Finally we compare the energy dynamics of O-RAN against traditional RAN architectures, delineating the impact of virtualization and disaggregation on energy efficiency.</t>
  </si>
  <si>
    <t xml:space="preserve">Engineering and Physical Sciences Research Council United Kingdom, Impact Acceleration Accounts(grant numbers:EP/X525856/1); Department of Science, Innovation and Technology, U.K., through Yorkshire Open-RAN(grant numbers:TS/X013758/1); </t>
  </si>
  <si>
    <t>https://ieeexplore.ieee.org/stamp/stamp.jsp?arnumber=10552840</t>
  </si>
  <si>
    <t>Open radio access network (Open RAN);energy efficiency;machine learning;disaggregation</t>
  </si>
  <si>
    <t>Energy consumption;Computer architecture;Energy efficiency;Resource management;Virtualization;Reviews;5G mobile communication;Radio access networks;Open systems</t>
  </si>
  <si>
    <t>L. Lin; J. Wu; Z. Zhou; J. Zhao; P. Li; J. Xiong</t>
  </si>
  <si>
    <t>Computing Power Networking Meets Blockchain: A Reputation-Enhanced Trading Framework for Decentralized IoT Cloud Services</t>
  </si>
  <si>
    <t>10.1109/JIOT.2024.3358379</t>
  </si>
  <si>
    <t>College of Computer and Cyber Security, Fujian Normal University, Fuzhou, China; College of Computer and Cyber Security, Fujian Normal University, Fuzhou, China; School of Computer Science and Engineering, Sun Yat-sen University, Guangzhou, China; Zhejiang-HUST Joint Research Center for Graph Processing, Zhejiang Lab, Hangzhou, China; School of Computer Science and Engineering, University of Aizu, Aizuwakamatsu, Japan; College of Computer and Cyber Security, Fujian Normal University, Fuzhou, China</t>
  </si>
  <si>
    <t>Computing power networking (CPN) represents a transformative paradigm in distributed computing, harnessing the collective capabilities of edge servers dispersed across diverse geographical locations. CPN‚Äôs core strengths lie in its ability to accelerate data processing, diminish latency, and scale efficiently, rendering it particularly apt for real-time applications and the Internet of Things. When coupled with blockchain technology, CPN extends its potential by facilitating secure and transparent allocation and trading of computing resources, bolstering data integrity and reliability. However, current research at the intersection of CPN and blockchain primarily focuses on framework development and technology integration, often overlooking the challenge of delivering dependable computing services, especially in the presence of potentially unreliable nodes. To tackle this issue, we introduce a reputation-enhanced resource trading framework, designed to ensure equitable and trustworthy computing power transactions. We establish a decentralized reputation model, capable of accurately assessing node behavior over extended periods. Additionally, we present three optimization mechanisms for reputation updates, accounting for transaction history, quality of service, and transaction amount. Furthermore, our work introduces a reputation-enhanced consensus mechanism within the trading system, strategically employing incentives to motivate participants to deliver high-quality services, thereby increasing their rewards. Simultaneously, it effectively mitigates wealth inequality among resource providers of varying sizes. To validate our approach, we develop a prototype system and conduct performance evaluations, which affirm the superiority of our system in enhancing reputation and delivering robust economic features.</t>
  </si>
  <si>
    <t xml:space="preserve">National Natural Science Foundation of China(grant numbers:62272102,62172454,61502103); Natural Science Foundation of Fujian Province(grant numbers:2021J01167,2023J02014); Japan Society for the Promotion of Science (JSPS) KAKENHI(grant numbers:21H03424); Japan Science and Technology Agency (JST) PRESTO(grant numbers:23828673); </t>
  </si>
  <si>
    <t>https://ieeexplore.ieee.org/stamp/stamp.jsp?arnumber=10414371</t>
  </si>
  <si>
    <t>Blockchain;computing power networking (CPN);consensus mechanism;decentralized cloud computing (DCC);reputation</t>
  </si>
  <si>
    <t>Internet of Things;Servers;Consensus protocol;Cloud computing;Peer-to-peer computing;Computational modeling;Resource management</t>
  </si>
  <si>
    <t>B. Martinez; X. Vilajosana</t>
  </si>
  <si>
    <t>Exploiting the Solar Energy Surplus for Edge Computing</t>
  </si>
  <si>
    <t>10.1109/TSUSC.2021.3058588</t>
  </si>
  <si>
    <t>Internet Interdisciplinary Institute IN3, Universitat Oberta de Catalunya, Barcelona, Spain; IN3, Universitat Oberta de Catalunya, Barcelona, Spain</t>
  </si>
  <si>
    <t>In the context of the global energy ecosystem transformation, we introduce a new approach to reduce the carbon emissions of the cloud-computing sector and, at the same time, foster the deployment of small-scale private photovoltaic plants. We consider the opportunity cost of moving some cloud services to private, distributed, solar-powered computing facilities. To this end, we compare the potential revenue of leasing computing resources to a cloud pool with the revenue obtained by selling the surplus energy to the grid. We first estimate the consumption of virtualized cloud computing instances, establishing a metric of computational efficiency per nominal photovoltaic power installed. Based on this metric and characterizing the site‚Äôs annual solar production, we estimate the total return and payback. The results show that the model is economically viable and technically feasible. We finally depict the still many questions open, such as security, and the fundamental barriers to address, mainly related with a cloud model ruled by a few big players.</t>
  </si>
  <si>
    <t xml:space="preserve">SPOTS(grant numbers:RTI2018-095438-A-I00); Spanish Ministry of Science, Innovation and Universities; Generalitat de Catalunya(grant numbers:2017-SGR-60); </t>
  </si>
  <si>
    <t>https://ieeexplore.ieee.org/stamp/stamp.jsp?arnumber=9352548</t>
  </si>
  <si>
    <t>Green computing;green cloud;sustainable edge computing;energy surplus</t>
  </si>
  <si>
    <t>Computational modeling;Cloud computing;Production;Monitoring;Computer architecture;Companies;Batteries</t>
  </si>
  <si>
    <t>I. Bernab√©-S√°nchez; D. D√≠az-S√°nchez; M. Mu√±oz-Organero</t>
  </si>
  <si>
    <t>Specification and Unattended Deployment of Home Networks at the Edge of the Network</t>
  </si>
  <si>
    <t>10.1109/TCE.2020.3018543</t>
  </si>
  <si>
    <t>Telematic Engineering Department, Carlos III University of Madrid, Legan√©s, Spain; Telematic Engineering Department, Carlos III University of Madrid, Legan√©s, Spain; Telematic Engineering Department, Carlos III University of Madrid, Legan√©s, Spain</t>
  </si>
  <si>
    <t>Consumer devices continue to expand their capabilities by connecting to digital services and other devices to form information-sharing ecosystems. This is complex and requires meeting connection requirements and minimal processing capabilities to ensure communication. The emergence of new services, and the evolution of current technologies, constantly redefine the rules of the game by opening up new possibilities and increasing competition among service providers. Paradigms such as edge computing, softwarization of physical devices, self-configuration mechanisms, definition of software as a code and interoperability between devices, define design principles to be taken into account in future service infrastructures. This work analyzes these principles and presents a programmable architecture in which services and virtual devices are instantiated in any computing infrastructure, as cloud or edge computing, upon request according to the needs specified by service providers or users. Considering that the target computing infrastructures are heterogeneous, the solution defines network elements and provides network templates to ensure it can be deployed on different infrastructures irrespectively of the vendor. A prototype has been developed and tested on a virtualized cloud-based home network relying on open source solutions.</t>
  </si>
  <si>
    <t xml:space="preserve">Project MAGOS(grant numbers:TEC2017-84197-C4-1-R); Comunidad de Madrid (Spain) through the Project CYNAMON(grant numbers:P2018/TCS-4566); European Structural Funds (ESF and FEDER); </t>
  </si>
  <si>
    <t>https://ieeexplore.ieee.org/stamp/stamp.jsp?arnumber=9173527</t>
  </si>
  <si>
    <t>Connected consumer devices;fog computing;orchestrator</t>
  </si>
  <si>
    <t>Cloud computing;Software;Ecosystems;Computer architecture;Edge computing</t>
  </si>
  <si>
    <t>A. Ghammam; T. Ferreira; W. Aljedaani; M. Kessentini; A. Husain</t>
  </si>
  <si>
    <t>Dynamic Software Containers Workload Balancing via Many-Objective Search</t>
  </si>
  <si>
    <t>10.1109/TSC.2023.3237755</t>
  </si>
  <si>
    <t>Department of Computer Science and Engineering, Oakland University, Rochester, MI, USA; College of Innovation and Technology, University of Michigan-Flint, Flint, MI, USA; Department of Computer Science and Engineering, University of North Texas, Denton, TX, USA; Department of Computer Science and Engineering, Oakland University, Rochester, MI, USA; Ford Motor Company, Detroit, MI, USA</t>
  </si>
  <si>
    <t>Software containers are becoming the new state of the art in the industry as they are extensively used to deploy systems. Indeed, the use of containers enables better modularity, reusability, and portability compared to other technologies. As the complexity of software systems is dramatically increasing, it is critical to enable optimal usage of the needed resources to execute them such as memory and CPU. Thus, different scheduling strategies are proposed to select the most suitable nodes to execute a set of containers. For instance, the default strategy in the Docker Swarm kit scheduling framework is based on an equal distribution of the containers between nodes independent of their sizes and consumed resources. However, balancing the containers‚Äô workload is a complex problem due to the conflicting objectives of minimizing the number of selected nodes, minimizing the number of containers per node, the number of changes compared to the original schedule, and the coupling between containers allocated to different nodes. To deal with those conflicting scheduling objectives, we propose a scheduler based on a many-objective optimization approach for scheduling the execution of containers between multiple nodes. The proposed approach aims at finding the best allocation for containers in nodes that leads to efficient utilization of resources. To evaluate our approach, we compared the performance of multiple many and multi-objective techniques based on NSGA-II, NSGA-III, and IBEA algorithms using 48 Docker-related systems and the results show that NSGA-III outperforms the other algorithms in quality attributes as well as in CPU, Memory and Network usage.</t>
  </si>
  <si>
    <t>https://ieeexplore.ieee.org/stamp/stamp.jsp?arnumber=10048583</t>
  </si>
  <si>
    <t>Container scheduling;docker;many-objective optimization</t>
  </si>
  <si>
    <t>Containers;Job shop scheduling;Optimization;Statistics;Software;Sociology;Processor scheduling</t>
  </si>
  <si>
    <t>L. Rosa; L. Foschini; A. Corradi</t>
  </si>
  <si>
    <t>Empowering Cloud Computing With Network Acceleration: A Survey</t>
  </si>
  <si>
    <t>10.1109/COMST.2024.3377531</t>
  </si>
  <si>
    <t>Department of Computer Science and Engineering, University of Bologna, Bologna, Italy; Department of Computer Science and Engineering, University of Bologna, Bologna, Italy; Department of Computer Science and Engineering, University of Bologna, Bologna, Italy</t>
  </si>
  <si>
    <t>Modern interactive and data-intensive applications must operate under demanding time constraints, prompting a shift toward the adoption of specialized software and hardware network acceleration technologies. This specialization, however, poses significant scalability, flexibility, security, and economic sustainability challenges for application developers. Cloud computing holds the potential to overcome these obstacles by offering the cost-effective option to access specialized acceleration technologies through standard cloud interfaces. Nevertheless, that integration is still challenging for cloud providers. In the cloud, physical resources are hidden behind a virtualization layer, whereas acceleration technologies make applications directly interact with the hardware. To bridge this gap, recent literature explores the possibility of empowering cloud platforms with accelerated networking as a commodity, thus offering the innovative option of Network Acceleration as a Service. This survey reviews these recent research efforts by adopting popular technologies like XDP, DPDK, and RDMA as a reference. To organize the surveyed research in a comprehensive framework, we identify four key aspects that pose critical problems to the integration of acceleration options in cloud computing - access interfaces, virtualization techniques, serviceability, and security - and systematically discuss the associated challenges. Then, we present the issues to be further addressed and outline the most promising research directions for the full integration of network acceleration within next-generation cloud computing platforms.</t>
  </si>
  <si>
    <t xml:space="preserve">European Union under the Italian National Recovery and Resilience Plan (NRRP) of NextGenerationEU, partnership on ‚ÄúTelecommunications of the Future‚Äù(grant numbers:PE00000001 (Program ‚ÄúRESTART‚Äù)); </t>
  </si>
  <si>
    <t>https://ieeexplore.ieee.org/stamp/stamp.jsp?arnumber=10472517</t>
  </si>
  <si>
    <t>Cloud computing;network acceleration;next-generation networks;RDMA;XDP;DPDK</t>
  </si>
  <si>
    <t>Cloud computing;Surveys;Virtualization;Tutorials;Data centers;Software;Reviews</t>
  </si>
  <si>
    <t>M. Hu; Z. Guo; H. Wen; Z. Wang; B. Xu; J. Xu; K. Peng</t>
  </si>
  <si>
    <t>Collaborative Deployment and Routing of Industrial Microservices in Smart Factories</t>
  </si>
  <si>
    <t>10.1109/TII.2024.3424347</t>
  </si>
  <si>
    <t>Hubei Key Laboratory of Smart Internet Technology, School of Electronic Information and Communications, Huazhong University of Science and Technology, Wuhan, China; Hubei Key Laboratory of Smart Internet Technology, School of Electronic Information and Communications, Huazhong University of Science and Technology, Wuhan, China; Hubei Key Laboratory of Smart Internet Technology, School of Electronic Information and Communications, Huazhong University of Science and Technology, Wuhan, China; Hubei Key Laboratory of Smart Internet Technology, School of Electronic Information and Communications, Huazhong University of Science and Technology, Wuhan, China; Hubei Key Laboratory of Smart Internet Technology, School of Electronic Information and Communications, Huazhong University of Science and Technology, Wuhan, China; Three Gorges Hi-Tech Information Technology Company, Ltd., Wuhan, China; Hubei Key Laboratory of Smart Internet Technology, School of Electronic Information and Communications, Huazhong University of Science and Technology, Wuhan, China</t>
  </si>
  <si>
    <t>In large smart factories, massive microservices compose complicated modular IT systems, providing various service functions. However, large microservices-based IT systems incur sophisticated communications and invocations among the massive microservices, which calls for efficient orchestration techniques to meet the high requirements in smart factories. Also, complex data interdependencies among microservices tightly couple deployment with routing, further intensifying the difficulties in orchestration. Such challenges demand delicate joint optimization of service deployment and request routing, which however, are neglected by previous work. In this case, this article investigates the collaborative optimization of microservice deployment and routing in smart factories. First, we construct a communication queuing network model to analyze service performance under dynamic load. Second, two heuristics are proposed to provide differentiated deployment and routing schemes for various demands. Finally, rigorous experiments validate that our approach significantly enhances network efficiency across various production scenarios in smart factories.</t>
  </si>
  <si>
    <t xml:space="preserve">National Science and Technology Major Project of China(grant numbers:2022ZD0117104); National Natural Science Foundation of China(grant numbers:62171189,62272183); Key Research and Development Program of Hubei Province China(grant numbers:2022BAA038,2023BAB074); </t>
  </si>
  <si>
    <t>https://ieeexplore.ieee.org/stamp/stamp.jsp?arnumber=10621029</t>
  </si>
  <si>
    <t>Edge computing;queuing networks;request routing;service deployment;smart factory</t>
  </si>
  <si>
    <t>Microservice architectures;Routing;Smart manufacturing;Optimization;Task analysis;Collaboration;Production facilities</t>
  </si>
  <si>
    <t>M. Maule; J. S. Vardakas; C. Verikoukis</t>
  </si>
  <si>
    <t>A Novel 5G-NR Resources Partitioning Framework Through Real-Time User-Provider Traffic Demand Analysis</t>
  </si>
  <si>
    <t>10.1109/JSYST.2021.3115896</t>
  </si>
  <si>
    <t>Iquadrat Informatica S.L., Barcelona, Spain; Iquadrat Informatica S.L., Barcelona, Spain; the University of Patras, Patras, Greece</t>
  </si>
  <si>
    <t>Network slicing (NS) is a key enabler of the 5G and beyond network architectures, allowing multiple dedicated logical networks with selected functionality to be executed on top of a common infrastructure. At the radio access network, novel flexibility paradigms and dynamic response to wireless channel variations are necessary for any NS solution. In this framework, this article proposes a novel real-time NS management framework for the 5G New-Radio, where the slice resource management is achieved through a joint dynamic evaluation of served users‚Äô quality of service and tenants‚Äô service level agreement. The design of the proposed framework within the standardized 5G architecture is discussed, together with the integration of the dynamic resource assignation procedure within the slice life cycle workflow. A novel mathematical model is proposed for the dynamic resource assignation within the slice life cycle workflow. The solution‚Äôs accuracy is tested by means of computer simulations, and found to be satisfactory according to the proposed evaluation metrics. Finally, the practicality of the optimal radio slicing configuration extracted from the proposed model is applied to our experimental platform, and the performance of a real case scenario is comprehensively evaluated.</t>
  </si>
  <si>
    <t xml:space="preserve">EU H2020 5GSTEP-FWD(grant numbers:722429); EU H2020 5G-ERA(grant numbers:101016681); EU H2020 5G-ROUTES(grant numbers:951867); </t>
  </si>
  <si>
    <t>https://ieeexplore.ieee.org/stamp/stamp.jsp?arnumber=9585085</t>
  </si>
  <si>
    <t>5G;5G New-Radio (5G-NR);cloud radio access network (C-RAN);network slicing (NS);resources optimization;service-based architecture;testbed</t>
  </si>
  <si>
    <t>5G mobile communication;Computer architecture;Real-time systems;Dynamic scheduling;Protocols;Cloud computing;3GPP</t>
  </si>
  <si>
    <t>X. Li; Z. Zhou; Q. He; Z. Shi; W. Gaaloul; S. Yangui</t>
  </si>
  <si>
    <t>Re-Scheduling IoT Services in Edge Networks</t>
  </si>
  <si>
    <t>10.1109/TNSM.2023.3242937</t>
  </si>
  <si>
    <t>School of Information Engineering, China University of Geosciences (Beijing), Beijing, China; School of Information Engineering, China University of Geosciences (Beijing), Beijing, China; School of Software and Electrical Engineering, Swinburne University of Technology, Melbourne, VIC, Australia; Department of Shale Gas, Research Institute of Petroleum Exploration and Development, PetroChina, Beijing, China; LAAS-CNRS, University of Toulouse, Toulouse, France; Computer Science Department, TELECOM SudParis, √âvry, France</t>
  </si>
  <si>
    <t>With the explosive growth of the Internet of Things (IoT) devices deployed in edge networks, the functionalities of IoT devices are typically encapsulated as IoT services, and user requests can be achieved through the composition of data and/or computation-intensive IoT services. Considering the prediction-uncertainty of forthcoming requests, certain IoT services may (i) not be hosted currently by appropriate IoT devices, or (ii) such an IoT service exists, but its non-functional properties may hardly be satisfied with respect to certain constraints prescribed by requests. To address this challenge, this paper proposes an efficiency-aware service Migration Scheduling (denoted eMS) mechanism in edge networks, in order to migrate IoT services on-demand, and thus, to optimally settle non-satisfiable constraints. Specifically, IoT services are re-scheduled, such that certain IoT services are migrated from their hosting IoT devices to neighboring ones, while minimizing the energy consumption and average delay caused by this service re-scheduling operation. We formulate this service re-scheduling as a multi-objective and multi-constraint optimization problem, which is solved through integrating the greedy algorithm into the fast non-dominated sorting and crowded-comparison operators as the hybrid genetic algorithm (G-NSGA-II). Based on real-life datasets provided by an oil pipeline monitoring project, extensive experiments are conducted, and evaluation results show that our eMS is promising in reducing the energy consumption and average delay of service re-scheduling in comparison with the state-of-art‚Äôs techniques.</t>
  </si>
  <si>
    <t xml:space="preserve">National Key Research and Development Program of China (Key Technologies and Demonstrations of the Internet of Things and Smart Cities)(grant numbers:2019YFB2101803); National Natural Science Foundation of China(grant numbers:42050103); </t>
  </si>
  <si>
    <t>https://ieeexplore.ieee.org/stamp/stamp.jsp?arnumber=10039683</t>
  </si>
  <si>
    <t>IoT service re-scheduling;data and/or computation-intensive services;service migration;edge networks</t>
  </si>
  <si>
    <t>Internet of Things;Energy consumption;Delays;Energy management;Task analysis;Processor scheduling;Performance evaluation</t>
  </si>
  <si>
    <t>K. Abbas; Y. Cho; A. Nauman; P. W. Khan; T. A. Khan; K. Kondepu</t>
  </si>
  <si>
    <t>Convergence of AI and MEC for Autonomous IoT Service Provisioning and Assurance in B5G</t>
  </si>
  <si>
    <t>10.1109/OJCOMS.2023.3329420</t>
  </si>
  <si>
    <t>Department of Computer Science, Hanyang University, Seoul, South Korea; Department of Computer Science, Hanyang University, Seoul, South Korea; Department of Information and Communication Engineering, Yeungnam University, Gyeongsan, South Korea; Department of Industrial and Management Systems Engineering, West Virginia University, Morgantown, USA; Institute for Communication Systems, University of Surrey, Guildford, U.K.; Department of Computer Science and Engineering, Indian Institute of Technology Dharwad, Dharwad, India</t>
  </si>
  <si>
    <t>With the exponential growth of Internet of Things (IoT) devices, IoT has become a transformative technology with applications spanning various domains. It encompasses a wide range of public and industrial vertical services that come with diverse and stringent Quality of Service (QoS) requirements. Traditional networks often struggle to meet the demands of these diverse IoT services. As a result, the introduction of 5G and Beyond 5G (B5G) networks holds promise in accommodating these diverse IoT services through network slicing technology. Network slicing involves partitioning a single physical network infrastructure into multiple logically isolated networks and ensures dedicated resources to each service as per QoS requirements. Additionally, Multi-Access Edge Computing (MEC) in B5G networks presents an innovative solution to facilitate low-latency communication for IoT services. However, the automatic provisioning and management of end-to-end (e2e) network slicing for IoT services across multi-domain infrastructures pose significant challenges, including manual error-prone resource configuration, network slice template preparation, and human intervention. This paper proposes an automated Artificial Intelligence (AI) and MEC-enabled solution for provisioning and managing network slice resources across multiple domains specifically tailored for IoT services. Our solution provides an abstraction layer that generates slice templates for each domain and automates the deployment of resources based on the specified QoS requirements. It automates the slice resource configuration process, reduces human intervention, and manages the complete lifecycle of IoT slices. We have conducted several tests with our system, creating multiple IoT slices, and have observed stable performance in slice design, resource provisioning, slice isolation, and management.</t>
  </si>
  <si>
    <t xml:space="preserve">National Research Foundation of Korea (NRF); Korea Government (MSIT)(grant numbers:NRF-2022R1A4A1032361); </t>
  </si>
  <si>
    <t>https://ieeexplore.ieee.org/stamp/stamp.jsp?arnumber=10304258</t>
  </si>
  <si>
    <t>IoT;beyond 5G networks;MEC;SDN;network slicing;AI for 5G;service automation and management</t>
  </si>
  <si>
    <t>Internet of Things;5G mobile communication;Quality of service;Network slicing;Artificial intelligence;Resource management;Computer architecture</t>
  </si>
  <si>
    <t>R. Tapwal; P. K. Deb; S. Misra; S. K. Pal</t>
  </si>
  <si>
    <t>Shadows: Blockchain Virtualization for Interoperable Computations in IIoT Environments</t>
  </si>
  <si>
    <t>10.1109/TC.2022.3184271</t>
  </si>
  <si>
    <t>Department of Computer Science and Engineering, Indian Institute of Technology Kharagpur, Kharagpur, West Bengal, India; Department of Computer Science and Engineering, Indian Institute of Technology Kharagpur, Kharagpur, West Bengal, India; Department of Computer Science and Engineering, Indian Institute of Technology Kharagpur, Kharagpur, West Bengal, India; Department of Mechanical Engineering, Indian Institute of Technology Kharagpur, Kharagpur, West Bengal, India</t>
  </si>
  <si>
    <t>In this work, we propose Shadows, a virtual blockchain (VC) for achieving parallel consensus and efficient management of data in industries by utilizing BC. Typically, industrial processes involve heterogeneous activities which require real-time consensus, managed execution, isolation, data sharing, accelerated computation, and efficient utilization of various computational resources such as CPU, RAM, and storage. Achieving these in real-time using a single conventional blockchain (BC) leads to the exertion of computational power. To achieve resource-efficient real-time consensus, we virtualize the nodes of the BC network and create different BC for various activities. Further, to virtualize BC and provide better access to data, we propose smart contracts liable for providing a unified view of a single BC, dynamically creating BCs, allocating resources to these, and making communication between the same. Through lab-scale experiments, we demonstrate that Shadows is capable of utilizing the resources efficiently and achieving real-time consensus. In particular, Shadows uses 18% CPU and 92% memory while reducing consensus time by 56%, compared to a single conventional BC. Shadows also accesses the data efficiently by utilizing smart contracts and dynamically balances the load by migrating the virtual nodes. Further, Shadows reduces the number of migrations to make the balance system by 67%.</t>
  </si>
  <si>
    <t>https://ieeexplore.ieee.org/stamp/stamp.jsp?arnumber=9802863</t>
  </si>
  <si>
    <t>Blockchain;industrial Internet of Things;osmotic computing;parallel consensus;resource allocation;smart contracts;virtualization</t>
  </si>
  <si>
    <t>Smart contracts;Blockchains;Security;Resource management;Industries;Virtualization;Real-time systems</t>
  </si>
  <si>
    <t>R. L. Costa; A. C. Viana; A. Ziviani; L. N. Sampaio</t>
  </si>
  <si>
    <t>Tactful Networking: Humans in the Communication Loop</t>
  </si>
  <si>
    <t>IEEE Transactions on Emerging Topics in Computational Intelligence</t>
  </si>
  <si>
    <t>2471-285X</t>
  </si>
  <si>
    <t>10.1109/TETCI.2020.3039520</t>
  </si>
  <si>
    <t>√àcole Polytechnique/IPP and Inria, Palaiseau, France; Inria, Palaiseau, France; National Laboratory for Scientific Computing (LNCC), Petropolis, Brazil; Federal University of Bahia, Salvador, Brazil</t>
  </si>
  <si>
    <t>This survey discusses the human-perspective into networking through the Tactful Networking paradigm, whose goal is to add perceptive senses to the network by assigning it with human-like capabilities of observation, interpretation, and reaction to daily-life features and associated entities. To achieve this, knowledge extracted from inherent human behavior in terms of routines, personality, interactions, and others is leveraged, empowering the learning and prediction of user needs to improve QoE and system performance while respecting privacy and fostering new applications and services. Tactful Networking groups solutions from literature and innovative interdisciplinary human aspects studied in other areas. The paradigm is motivated by mobile devices' pervasiveness and increasing presence as a sensor in our daily social activities. With the human element in the foreground, it is essential: (i) to center big data analytics around individuals; (ii) to create suitable incentive mechanisms for user participation; (iii) to design and evaluate both human-aware and system-aware networking solutions; and (iv) to apply prior and innovative techniques to deal with human-behavior sensing and learning. This survey reviews the human aspect in networking solutions through over a decade, followed by discussing the tactful networking impact through literature in behavior analysis and representative examples. This paper also discusses a framework comprising data management, analytics, and privacy for enhancing human raw-data to assist Tactful Networking solutions. Finally, challenges and opportunities for future research are presented.</t>
  </si>
  <si>
    <t xml:space="preserve">FAPERJ, FAPESB, CNPq, CAPES, INCT-CiD, and EMBRACE associate team Inria project(grant numbers:AAPG2019); </t>
  </si>
  <si>
    <t>https://ieeexplore.ieee.org/stamp/stamp.jsp?arnumber=9285188</t>
  </si>
  <si>
    <t>Human behavioral perception;human-aware;next-generation networks</t>
  </si>
  <si>
    <t>Social networking (online);Routing;Quality of service;Privacy;Sensors;Data privacy;Quality of experience</t>
  </si>
  <si>
    <t>T. He; A. N. Toosi; R. Buyya</t>
  </si>
  <si>
    <t>Efficient Large-Scale Multiple Migration Planning and Scheduling in SDN-Enabled Edge Computing</t>
  </si>
  <si>
    <t>10.1109/TMC.2023.3326610</t>
  </si>
  <si>
    <t>CLOUDS Lab, School of Computing and Information Systems, University of Melbourne, Parkville, VIC, Australia; Department of Software Systems and Cybersecurity, Faculty of Information Technology, Monash University, Clayton, VIC, Australia; CLOUDS Lab, School of Computing and Information Systems, University of Melbourne, Parkville, VIC, Australia</t>
  </si>
  <si>
    <t>Services provided by mobile edge clouds offer low-latency responses for large-scale and real-time applications. Dynamic service management algorithms generate live service migration requests to support user mobility and ensure service latency in mobile edge clouds. To handle these migration requests, multiple migration planning and scheduling algorithms are necessary to calculate the migration order and optimize the performance and overhead of multiple migrations. However, current planning and scheduling algorithms in cloud data centers are not suitable for dynamic and large-scale scenarios in edge computing, as the network topology expands and the number of migration requests increases. Edge computing requires near real-time scheduling to handle user mobility-induced live migrations. To address this issue, this paper presents an efficient multiple migration planning and scheduling framework for edge computing. The framework includes a lifecycle management framework and innovative iterative Maximal Independent Set-based scheduling algorithms based on the resource dependency graph of multiple migrations. Our solution is shown to efficiently schedule live migrations at scale using real-world taxi traces and telecom base station coordinates. It can achieve significant processing speedups over existing migration planning algorithms in clouds, up to 3,000 times, while ensuring multiple and individual migration performance for time-critical services.</t>
  </si>
  <si>
    <t xml:space="preserve">Australian Research Council(grant numbers:DP160102414,DP230100081); </t>
  </si>
  <si>
    <t>https://ieeexplore.ieee.org/stamp/stamp.jsp?arnumber=10290920</t>
  </si>
  <si>
    <t>Mobile-edge computing;quality of service;service migration;multiple migration scheduling</t>
  </si>
  <si>
    <t>Planning;Edge computing;Heuristic algorithms;Scheduling;Quality of service;Data centers;Cloud computing</t>
  </si>
  <si>
    <t>S. Lu; J. Wu; P. Lu; N. Wang; H. Liu; J. Fang</t>
  </si>
  <si>
    <t>QoS-Aware Online Service Provisioning and Updating in Cost-Efficient Multi-Tenant Mobile Edge Computing</t>
  </si>
  <si>
    <t>10.1109/TSC.2023.3335412</t>
  </si>
  <si>
    <t>Faculty of Information Technology, Beijing University of Technology, Beijing, China; Department of Computer and Information Sciences, Temple University, Philadelphia, PA, USA; Faculty of Information Technology, Beijing University of Technology, Beijing, China; Computer Science at Rowan University, Glassboro, NJ, USA; School of Software Engineering, Beijing Jiaotong University, Beijing, China; Faculty of Information Technology, Beijing University of Technology, Beijing, China</t>
  </si>
  <si>
    <t>The vigorous development of IoT technology has spawned a series of applications that are delay-sensitive or resource-intensive. Mobile edge computing is an emerging paradigm that provides services between end devices and traditional cloud data centers to users. However, with the continuously increasing investment of demands, it is nontrivial to maintain a higher quality-of-service (QoS) under the erratic activities of mobile users. In this paper, we investigate the service provisioning and updating problem under the multiple-users scenario by improving the performance of services with long-term cost constraints. We first decouple the original long-term optimization problem into a per-slot deterministic one by using Lyapunov optimization. Then, we propose two service updating decision strategies by considering the trajectory prediction conditions of users. Based on that, we design an online strategy by utilizing the committed horizon control method looking forward to multiple slots predictions. We prove the performance bound of our online strategy theoretically in terms of the trade-off between delay and cost. Extensive experiments demonstrate the superior performance of the proposed algorithm.</t>
  </si>
  <si>
    <t xml:space="preserve">Fundamental Research Funds for the Central Universities(grant numbers:2021RC258); China Postdoctoral Science Foundation(grant numbers:2021M700366); National Natural Science Foundation of China(grant numbers:92267107); </t>
  </si>
  <si>
    <t>https://ieeexplore.ieee.org/stamp/stamp.jsp?arnumber=10325614</t>
  </si>
  <si>
    <t>Cost-efficient;mobile edge computing;online service provisioning;quality -of-service (QoS)</t>
  </si>
  <si>
    <t>Costs;Delays;Quality of service;Optimization;Servers;Cloud computing;Trajectory</t>
  </si>
  <si>
    <t>M. Klima; M. Bures; K. Frajtak; V. Rechtberger; M. Trnka; X. Bellekens; T. Cerny; B. S. Ahmed</t>
  </si>
  <si>
    <t>Selected Code-Quality Characteristics and Metrics for Internet of Things Systems</t>
  </si>
  <si>
    <t>10.1109/ACCESS.2022.3170475</t>
  </si>
  <si>
    <t>Department of Computer Science, Faculty of Electrical Engineering, Czech Technical University in Prague, Prague, Czech Republic; Department of Computer Science, Faculty of Electrical Engineering, Czech Technical University in Prague, Prague, Czech Republic; Department of Computer Science, Faculty of Electrical Engineering, Czech Technical University in Prague, Prague, Czech Republic; Department of Computer Science, Faculty of Electrical Engineering, Czech Technical University in Prague, Prague, Czech Republic; Department of Computer Science, Faculty of Electrical Engineering, Czech Technical University in Prague, Prague, Czech Republic; Lupovis.io, Glasgow, U.K.; Department of Computer Science, Baylor University, Waco, TX, USA; Department of Computer Science, Faculty of Electrical Engineering, Czech Technical University in Prague, Prague, Czech Republic</t>
  </si>
  <si>
    <t>Software code is present on multiple levels within current Internet of Things (IoT) systems. The quality of this code impacts system reliability, safety, maintainability, and other quality aspects. In this paper, we provide a comprehensive overview of code quality-related metrics, specifically revised for the context of IoT systems. These metrics are divided into main code quality categories: Size, redundancy, complexity, coupling, unit test coverage and effectiveness, cohesion, code readability, security, and code heterogeneity. The metrics are then linked to selected general quality characteristics from the ISO/IEC 25010:2011 standard by their possible impact on the quality and reliability of an IoT system, the principal layer of the system, the code levels and the main phases of the project to which they are relevant. This analysis is followed by a discussion of code smells and their relation to the presented metrics. The overview presented in the paper is the result of a thorough analysis and discussion of the author‚Äôs team with the involvement of external subject-matter experts in which a defined decision algorithm was followed. The primary result of the paper is an overview of the metrics accompanied by applicability notes related to the quality characteristics, the system layer, the level of the code, and the phase of the IoT project.</t>
  </si>
  <si>
    <t xml:space="preserve">Operational Programme (OP) V√Ωzkum, v√Ωvoj a vzdƒõl√°v√°n√≠ (VVV) Funded Project ‚ÄúResearch Center for Informatics‚Äù(grant numbers:CZ.02.1.01/0.0/0.0/16_019/0000765); Knowledge Foundation of Sweden (KKS) through the Synergi Project AIDA-A Holistic Artificial Intelligence (AI)-Driven Networking and Processing Framework for Industrial Internet of Things (IoT)(grant numbers:Rek: 20200067); </t>
  </si>
  <si>
    <t>https://ieeexplore.ieee.org/stamp/stamp.jsp?arnumber=9762941</t>
  </si>
  <si>
    <t>Code quality;code smells;Internet of Things;IoT;maintainability;metrics;quality characteristics;reliability;security</t>
  </si>
  <si>
    <t>Codes;Measurement;Couplings;Internet of Things;Complexity theory;Security;Software reliability</t>
  </si>
  <si>
    <t>B. Almadani; N. Alshammari; A. Al-Roubaiey</t>
  </si>
  <si>
    <t>Adaptive Cruise Control Based on Real-Time DDS Middleware</t>
  </si>
  <si>
    <t>10.1109/ACCESS.2023.3296317</t>
  </si>
  <si>
    <t>Department of Computer Engineering, King Fahd University of Petroleum and Minerals, Dhahran, Saudi Arabia; Department of Computer Engineering, King Fahd University of Petroleum and Minerals, Dhahran, Saudi Arabia; Department of Computer Engineering, King Fahd University of Petroleum and Minerals, Dhahran, Saudi Arabia</t>
  </si>
  <si>
    <t>This paper discusses the Adaptive Cruise Control (ACC) system, which is a solution that allows drivers to minimize the amount of time spent driving. It supports four different driving modes and regulates the acceleration and deceleration of the car in order to maintain a fixed speed or avoid a collision with another vehicle. Real-Time Publish-Subscribe (RTPS) middleware has emerged as one of the most efficient and practical options for the real solutions to the difficulties listed above. This paper proposes to develop a real-time system for integrating the various components of ACC, such as Information Cluster, Radar, Brake Switches, Cruise Switches, ACC Controller, Engine/Throttle Controller, Brake Controller, Brake Actuators, Speed Sensors, and Back Brake Lights. The exchange of data is through a RTPS Data Distribution Service (DDS) middleware. The design of the publish/subscribe model was explained in detail in this paper along with the proper Quality of Service (QoS) policies suggested to govern the behavior of the model.</t>
  </si>
  <si>
    <t xml:space="preserve">King Fahd University of Petroleum and Minerals; </t>
  </si>
  <si>
    <t>https://ieeexplore.ieee.org/stamp/stamp.jsp?arnumber=10185018</t>
  </si>
  <si>
    <t>Adaptive cruise control;DDS middleware;leading vehicle;quality of service policies;ACC controller;engine controller;brake controller</t>
  </si>
  <si>
    <t>Quality of service;Brakes;Middleware;Control systems;Real-time systems;Cruise control;Vehicles</t>
  </si>
  <si>
    <t>C. Natalino; L. Gifre; F. -J. Moreno-Muro; S. Gonzalez-Diaz; R. Vilalta; R. Munoz; P. Monti; M. Furdek</t>
  </si>
  <si>
    <t>Flexible and scalable ML-based diagnosis module for optical networks: a security use case [Invited]</t>
  </si>
  <si>
    <t>10.1364/JOCN.482932</t>
  </si>
  <si>
    <t>Electrical Engineering Department, Chalmers University of Technology, Gothenburg, Sweden; Centre Tecnol√≤gic de Telecomunicacions de Catalunya (CTTC/CERCA), Castelldefels, Spain; ATOS, Madrid, Spain; ATOS, Madrid, Spain; Centre Tecnol√≤gic de Telecomunicacions de Catalunya (CTTC/CERCA), Castelldefels, Spain; Centre Tecnol√≤gic de Telecomunicacions de Catalunya (CTTC/CERCA), Castelldefels, Spain; Electrical Engineering Department, Chalmers University of Technology, Gothenburg, Sweden; Electrical Engineering Department, Chalmers University of Technology, Gothenburg, Sweden</t>
  </si>
  <si>
    <t>C155</t>
  </si>
  <si>
    <t>C165</t>
  </si>
  <si>
    <t>To support the pervasive digital evolution, optical network infrastructures must be able to quickly and effectively adapt to changes arising from traffic dynamicity or external factors such as faults and attacks. Network automation is crucial for enabling dynamic, scalable, resource-efficient, and trustworthy network operations. Novel telemetry solutions enable optical network management systems to obtain fine-grained monitoring data from devices and channels as the first step toward the near-real-time diagnosis of anomalies such as security threats and soft failures. However, the collection of large amounts of data creates a scalability challenge related to processing the data within the desired monitoring cycle regardless of the number of optical services being analyzed. This paper proposes a module that leverages the cloud native software deployment approach to achieve near-real-time machine learning (ML)-assisted diagnosis of optical channels. The results obtained over an emulated physical-layer security scenario demonstrate that the architecture successfully scales the necessary components according to the computational load and consistently achieves the desired monitoring cycle duration over a varying number of monitored optical channels.</t>
  </si>
  <si>
    <t>https://ieeexplore.ieee.org/stamp/stamp.jsp?arnumber=10159444</t>
  </si>
  <si>
    <t>Monitoring;Optical fiber networks;Optical feedback;Task analysis;Optical devices;Security;Scalability</t>
  </si>
  <si>
    <t>S. S. Sefati; A. U. Haq; Nidhi; R. Craciunescu; S. Halunga; A. Mihovska; O. Fratu</t>
  </si>
  <si>
    <t>A Comprehensive Survey on Resource Management in 6G Network Based on Internet of Things</t>
  </si>
  <si>
    <t>10.1109/ACCESS.2024.3444313</t>
  </si>
  <si>
    <t>Telecommunications Department, Faculty of Electronics, Telecommunications and Information Technology, National University of Science and Technology Politehnica Bucharest, Bucharest, Romania; Department of Business Development and Technology, Aarhus University, Aarhus, Denmark; Department of Business Development and Technology, Aarhus University, Aarhus, Denmark; Telecommunications Department, Faculty of Electronics, Telecommunications and Information Technology, National University of Science and Technology Politehnica Bucharest, Bucharest, Romania; Telecommunications Department, Faculty of Electronics, Telecommunications and Information Technology, National University of Science and Technology Politehnica Bucharest, Bucharest, Romania; SmartAvatar B.V. Amsterdam, North Holland, Netherlands; Telecommunications Department, Faculty of Electronics, Telecommunications and Information Technology, National University of Science and Technology Politehnica Bucharest, Bucharest, Romania</t>
  </si>
  <si>
    <t>The transition to 6th Generation (6G) cellular networks offers significant improvements over 5th Generation (5G), enhancing data transfer, reducing latency, and improving network reliability. Advanced Multiple-Input Multiple-Output (MIMO) technology in 6G boosts network efficiency, particularly benefiting Ultra-Reliable Low-Latency Communications (URLLC). This paper reviews literature on resource management in the Internet of Things (IoT) within the 6G context. We categorize the study into four segments: network-aware resource management, dynamic resource allocation, predictive resource distribution based on traffic and architecture, and energy-centric resource allocation considering IoT device mobility and location. We provide a detailed perspective on current research and highlight future research avenues. Key contributions include a comparative study of IoT resource management techniques, an overview of resource management across LTE, 5G, and 6G networks, insights into applications like Intelligent Transportation Systems (ITS), Industrial IoT (IIoT), and Mobile CrowdSensing (MCS), and an emphasis on upcoming challenges. We emphasize the crucial role of efficient resource management in IoT, particularly in the 6G landscape.</t>
  </si>
  <si>
    <t xml:space="preserve">Project ‚ÄúMobility and Training foR beyond 5G ecosystems (MOTOR5G)‚Äù; European Union‚Äôs Horizon 2020 Program under the Marie Sk≈Çodowska Curie Actions (MSCA) Innovative Training Network (ITN)(grant numbers:861219); </t>
  </si>
  <si>
    <t>https://ieeexplore.ieee.org/stamp/stamp.jsp?arnumber=10637461</t>
  </si>
  <si>
    <t>6G network;Internet of Things;resource management;survey;quality of service (QoS)</t>
  </si>
  <si>
    <t>6G mobile communication;Resource management;Internet of Things;5G mobile communication;Surveys;Quality of service;Routing protocols</t>
  </si>
  <si>
    <t>R. Tripathi; V. Sivaraman; V. Tamarapalli</t>
  </si>
  <si>
    <t>Distributed Cost-Aware Fault-Tolerant Load Balancing in Geo-Distributed Data Centers</t>
  </si>
  <si>
    <t>10.1109/TGCN.2021.3107915</t>
  </si>
  <si>
    <t>Department of Information Technology, National Institute of Technology Raipur, Raipur, India; Department of Electrical and Computer Engineering, National University of Singapore, Singapore; Department of Computer Science and Engineering, Indian Institute of Technology Guwahati, Guwahati, India</t>
  </si>
  <si>
    <t>Many critical e-commerce and financial services running on distributed data centers require high availability. Recent surveys show that the frequency and duration of failures (either partial or complete) at a data center are increasing over the years. However, most of the literature does not address fault-tolerance in data centers. In this paper, we address the problem of load balancing in fault-tolerant data centers while minimizing the operating cost (due to energy consumption). We formally model the problem using linear optimization and propose a distributed two-stage algorithm to solve it. In the first stage, the proposed workload shifting algorithm distributes the load on a failed data center across the remaining ones with a marginal increase in the operating cost. Subsequently, the min-cost network flow model is used to derive a request mapping policy, where the quality of service (QoS) requirements are considered using a set of constraints on the delay. We evaluate the proposed algorithms using real-world data for the demand and the energy consumption cost (both brown and green energy). Results show that the proposed algorithm has low computational complexity, yet exactly gives the cost obtained by the global optimal solution.</t>
  </si>
  <si>
    <t>https://ieeexplore.ieee.org/stamp/stamp.jsp?arnumber=9523583</t>
  </si>
  <si>
    <t>Optimization;data centre;renewable energies;fault tolerance;fault tolerant systems</t>
  </si>
  <si>
    <t>Data centers;Load management;Servers;Fault tolerant systems;Fault tolerance;Delays;Optimization</t>
  </si>
  <si>
    <t>A. Melis; A. A. Sadi; D. Berardi; F. Callegati; M. Prandini</t>
  </si>
  <si>
    <t>A Systematic Literature Review of Offensive and Defensive Security Solutions With Software Defined Network</t>
  </si>
  <si>
    <t>10.1109/ACCESS.2023.3276238</t>
  </si>
  <si>
    <t>Department of Computer Science and Engineering, University of Bologna, Bologna, Italy; Department of Computer Science and Engineering, University of Bologna, Bologna, Italy; Department of Computer Science and Engineering, University of Bologna, Bologna, Italy; Department of Computer Science and Engineering, University of Bologna, Bologna, Italy; Department of Computer Science and Engineering, University of Bologna, Bologna, Italy</t>
  </si>
  <si>
    <t>Software Defined Networking (SDN) is one of the most significant innovations in telecommunication systems in the past two decades. From the very beginning, the scientific community understood the importance of investigating the possible usages of SDN as a means to increase network security, but also their potential to be exploited as an attack device. For this reason, there has been a massive production of research works, which, however, do not form a well-defined corpus. The literature is spread over many venues and composed of contributions with very different flavors. Though some review works already exist, in this work we conduct a systematic literature review of the field, gathering 466 relevant publications‚Äî the largest curated dataset on the topic to the best of our knowledge. In our work, the dataset undergoes a twofold analysis: (a) quantitative, through publication metadata, which allows us to chart publication outlets, approaches, and tackled issues; (b) qualitative, through 14 research questions that provide an aggregated overview of the literature contributions to the key issues, also to spot gaps left open. From these analyses, we derive a call for action to address the main open challenges.</t>
  </si>
  <si>
    <t>https://ieeexplore.ieee.org/stamp/stamp.jsp?arnumber=10124203</t>
  </si>
  <si>
    <t>Attack;defense;mitigation;security;SDN;threat</t>
  </si>
  <si>
    <t>Security;Software defined networking;Systematics;Surveys;Bibliographies;Computer crime;Control systems</t>
  </si>
  <si>
    <t>L. Yang; Y. Liao; X. Cheng; M. Xia; G. Xie</t>
  </si>
  <si>
    <t>Efficient Edge Data Management Framework for IIoT via Prediction-Based Data Reduction</t>
  </si>
  <si>
    <t>10.1109/TPDS.2023.3327750</t>
  </si>
  <si>
    <t>Key Laboratory for Embedded and Network Computing of Hunan Province, College of Computer Science and Electronic Engineering, Hunan University, Changsha, Hunan, China; Key Laboratory for Embedded and Network Computing of Hunan Province, College of Computer Science and Electronic Engineering, Hunan University, Changsha, Hunan, China; Key Laboratory for Embedded and Network Computing of Hunan Province, College of Computer Science and Electronic Engineering, Hunan University, Changsha, Hunan, China; Key Laboratory for Embedded and Network Computing of Hunan Province, College of Computer Science and Electronic Engineering, Hunan University, Changsha, Hunan, China; Key Laboratory for Embedded and Network Computing of Hunan Province, College of Computer Science and Electronic Engineering, Hunan University, Changsha, Hunan, China</t>
  </si>
  <si>
    <t>Large amounts of time series data are required to support data analysis at the edge in the end-edge-cloud Industrial Internet of Things (IIoT) architecture. Reducing the storage cost is one of the main challenges in edge data management due to the limited storage resource of edge nodes. The state-of-the-art data reduction method has a high time overhead and poor reduction efficiency for unstable data sets. To solve this problem, this study proposes a time-series data management framework that combines data partition and data compression techniques. For the data partition technique, we propose an adaptive selection strategy to integrate the access pattern of the application and the characteristics of the time series data, thereby improving the partition accuracy. For the data compression technique, we propose a compression scheme based on time series data segmentation by using the idea of divide and conquer; we further introduce a change point detection technique to improve the compression efficiency for unstable data sets. Experimental results obtained with three types of real industrial data sets show that our framework is significantly better than the state-of-the-art method in terms of compression ratio and time overhead.</t>
  </si>
  <si>
    <t xml:space="preserve">National Natural Science Foundation of China(grant numbers:62372167,61972139,62141212,62133014); Natural Science Foundation of Hunan Province(grant numbers:2021JJ30153,2022JJ10021); Natural Science Foundation of Chongqing(grant numbers:cstc2021jcyj-msxmX0817,cstc2021jcyj-msxmX0461,CSTB2022NSCQ-MSX1393); Chongqing Science and Technology Innovation Project(grant numbers:CQYC20220511500); </t>
  </si>
  <si>
    <t>https://ieeexplore.ieee.org/stamp/stamp.jsp?arnumber=10297424</t>
  </si>
  <si>
    <t>Data reduction;edge data management framework;industrial internet of things (IIoT)</t>
  </si>
  <si>
    <t>Industrial Internet of Things;Image edge detection;Data compression;Computer architecture;Time series analysis;Real-time systems;Streams</t>
  </si>
  <si>
    <t>T. Goethals; B. Volckaert; F. D. Turck</t>
  </si>
  <si>
    <t>Enabling and Leveraging AI in the Intelligent Edge: A Review of Current Trends and Future Directions</t>
  </si>
  <si>
    <t>10.1109/OJCOMS.2021.3116437</t>
  </si>
  <si>
    <t>Department of Information Technology, IDLab, Ghent University‚Äîimec, Ghent, Belgium; Department of Information Technology, IDLab, Ghent University‚Äîimec, Ghent, Belgium; Department of Information Technology, IDLab, Ghent University‚Äîimec, Ghent, Belgium</t>
  </si>
  <si>
    <t>The use of AI on Smart applications and in the organization of the network edge presents a rapidly advancing research field, with a great variety of challenges and opportunities. This article aims to provide a holistic review of studies from 2019 to 2021 related to the Intelligent Edge, a concept comprising both the use of AI to organize edge networks (Edge Intelligence) and Smart applications in the edge. An introduction is given to the technologies required to understand the state of the art of AI in edge networks, and a taxonomy is provided with ‚ÄúEnabling Technology‚Äù for Edge Intelligence, ‚ÄúOrganization‚Äù of the edge using AI, and AI ‚ÄúApplications‚Äù in the edge as its main topics. Research trend data from 2015 to 2020 is presented for various subdivisions of these topics, showing both absolute and relative research interest in each subtopic. The ‚ÄúOrganization‚Äù aspect, being the main focus of this article, has a more fine-grained subdivision, explaining all contributing factors in detail. The trends indicate an exponential increase in research interest in nearly all subtopics, but significant differences between them. For each subdivision of the taxonomy a number of selected studies from 2019 to 2021 are gathered to form a high-level illustration of the state of the art of Edge Intelligence. From these selected studies and the trend data, a number of short-term challenges and high-level visions for Edge Intelligence are formulated, providing a basis for future work.</t>
  </si>
  <si>
    <t xml:space="preserve">Vlaio by means of the FlexNet Research Project; </t>
  </si>
  <si>
    <t>https://ieeexplore.ieee.org/stamp/stamp.jsp?arnumber=9555813</t>
  </si>
  <si>
    <t>Fog computing;fog networks;edge networks;edge computing;artificial intelligence;review;trends</t>
  </si>
  <si>
    <t>Artificial intelligence;Software;Market research;Genomics;Taxonomy;Logistics;Training</t>
  </si>
  <si>
    <t>A. H. H. Ngu; J. S. Eyitayo; G. Yang; C. Campbell; Q. Z. Sheng; J. Ni</t>
  </si>
  <si>
    <t>An IoT Edge Computing Framework Using Cordova Accessor Host</t>
  </si>
  <si>
    <t>10.1109/JIOT.2021.3086043</t>
  </si>
  <si>
    <t>Department of Computer Science, Texas State University, San Marcos, TX, USA; Department of Computer Science, Texas State University, San Marcos, TX, USA; Department of Computer Science, Texas State University, San Marcos, TX, USA; Department of Computer Science, Texas State University, San Marcos, TX, USA; Department of Computing, Macquarie University, Sydney, NSW, Australia; Department of Computer Science, Texas State University, San Marcos, TX, USA</t>
  </si>
  <si>
    <t>The Internet of Things (IoT) is a rapidly growing system of physical sensors and connected devices, enabling advanced information gathering, interpretation, and monitoring. The realization of a versatile IoT edge computing framework will accelerate seamless integration of the cyber-world with new physical IoT devices, and will fundamentally change and empower the way humans interact with the world. While there are many cloud-based IoT computing frameworks, they cannot support the needs of IoT applications that require local processing and guarantee of consumer‚Äôs privacy. This article presents experimentation with the opensource plug-and-play IoT middleware, called Cordova Accesor Host. We demonstrated that Cordova Accessor Host supports the essential ingredients of the composition and reusability of IoT services using the accessor as the basic building block and adopting an accessor-module-plugin design pattern. The portability is demonstrated by using the same accessor for collecting sensor data from radically different IoT devices such as, wearables (e.g., smartwatches) and microcontrollers (e.g., Arduino). Our energy profiling experiments show that IoT services deployed using the Cordova Accessor Host consume around 35% less battery power than the same IoT services deployed in the native Android operating system.</t>
  </si>
  <si>
    <t xml:space="preserve">National Science Foundation under the Research Experiences for Undergraduates site(grant numbers:CCF-1659807,CNS-1757893); Texas State University; NSF-CRI(grant numbers:1305302); </t>
  </si>
  <si>
    <t>https://ieeexplore.ieee.org/stamp/stamp.jsp?arnumber=9446337</t>
  </si>
  <si>
    <t>Edge computing;open service platform;service middleware and platform</t>
  </si>
  <si>
    <t>Internet of Things;Sensors;Cloud computing;Edge computing;Servers;Programming;Operating systems</t>
  </si>
  <si>
    <t>M. Samir; K. T. Wassif; S. H. Makady</t>
  </si>
  <si>
    <t>Proactive Auto-Scaling Approach of Production Applications Using an Ensemble Model</t>
  </si>
  <si>
    <t>10.1109/ACCESS.2023.3256302</t>
  </si>
  <si>
    <t>Faculty of Computers and Artificial Intelligence, Cairo University, Giza, Egypt; Faculty of Computers and Artificial Intelligence, Cairo University, Giza, Egypt; Faculty of Computers and Artificial Intelligence, Cairo University, Giza, Egypt</t>
  </si>
  <si>
    <t>The resource usage behaviors of application workloads are currently the primary concern of cloud providers offering hosting services. These services should be able to adapt to workload changes by automatically provisioning and de-provisioning resources so that, at all times, the existing resources in a system match the current service demand. Such behavior can be achieved manually by hiring a DevOps team to manage the application‚Äôs resources. Another option would be automating the resource provisioning processing using automated rules. Once such rules are met, the hosting environment will scale the resources accordingly. However, managing a DevOps team or creating flaky rules can lead to over-scaling application resources. This work proposes a new approach: a proactive auto-scaling framework built on an ensemble model. Such a model utilizes several machine learning techniques to scale application resources to match resource demand before the need arises. We evaluated our solution against three real production applications hosted on Cegedim Cloud Hosting Environment, an industrial environment serving several cloud applications from various domains, and against other machine learning models used in similar proactive auto-scaling experiments mentioned in past work. The experimentation results show that predicting application resources like CPU or RAM is feasible. Moreover, even in production environments, our ensemble model performs optimally in the CPU case and is near the optimal model when predicting RAM resources.</t>
  </si>
  <si>
    <t>https://ieeexplore.ieee.org/stamp/stamp.jsp?arnumber=10066275</t>
  </si>
  <si>
    <t>Auto-scaling;resource allocation;dynamic resource provisioning;resource management on clouds</t>
  </si>
  <si>
    <t>Predictive models;Cloud computing;Machine learning;Prediction algorithms;Load modeling;Data models;Time series analysis</t>
  </si>
  <si>
    <t>Y. Huang; X. Zhang; Z. Xu</t>
  </si>
  <si>
    <t>SatEdge: Platform of Edge Cloud at Satellite and Scheduling Mechanism for Microservice Modules</t>
  </si>
  <si>
    <t>10.1109/ACCESS.2023.3330649</t>
  </si>
  <si>
    <t>School of Information and Communication Engineering, Beijing University of Posts and Telecommunications, Beijing, China; School of Information and Communication Engineering, Beijing University of Posts and Telecommunications, Beijing, China; School of Information and Communication Engineering, Beijing University of Posts and Telecommunications, Beijing, China</t>
  </si>
  <si>
    <t>Edge cloud at satellite (ECS) is a newly developed edge computing (EC) technology that uses EC services offered by satellites to support high reliability and seamless global coverage. Satellites assume the role of computing and storage nodes for edge clouds, while terrestrial control centers function as cloud centers. In this paper, we propose a novel system and software architecture for the ECS to improve the cloud management of satellite networks and increase the flexibility of satellite service provision at the edge. Then, we propose a platform for the ECS based on KubeEdge called SatEdge. SatEdge has many function modules to meet the needs of the satellite-terrestrial network (STN) such as high reliability, high flexibility, and low latency. On this platform, we designed a microservice scheduling algorithm called optimal microservice scheduling with adaptivity and mobility (OMS-AM). OMS-AM can schedule a globally optimal workflow for microservice modules on the satellites to minimize task processing latency, failed task rate, and energy consumption. Compared with our last work, OMS-AM reduces the task processing latency by 14% at most. Additionally, OMS-AM improves the mobility of the current scheduling method put forth in our previous study, which may help lower the task failure rate. Energy usage and the total normalized costs are additional indicators of the efficiency of the microservice architecture.</t>
  </si>
  <si>
    <t xml:space="preserve">National Key Research and Development Program of China(grant numbers:2021YFB2900504,2020YFB1807900); </t>
  </si>
  <si>
    <t>https://ieeexplore.ieee.org/stamp/stamp.jsp?arnumber=10309921</t>
  </si>
  <si>
    <t>Edge cloud at satellite;satellite-terrestrial network;edge computing;microservice scheduling</t>
  </si>
  <si>
    <t>Satellites;Microservice architectures;Cloud computing;Computer architecture;Containers;Edge computing;Task analysis</t>
  </si>
  <si>
    <t>S. M. Nabavinejad; S. Reda</t>
  </si>
  <si>
    <t>BayesTuner: Leveraging Bayesian Optimization For DNN Inference Configuration Selection</t>
  </si>
  <si>
    <t>IEEE Computer Architecture Letters</t>
  </si>
  <si>
    <t>1556-6064</t>
  </si>
  <si>
    <t>10.1109/LCA.2021.3123695</t>
  </si>
  <si>
    <t>School of Computer Science, Institute for Research in Fundamental Sciences (IPM), Tehran, Iran; School of Engineering, Brown University, Providence, RI, USA</t>
  </si>
  <si>
    <t>Deep learning sits at the core of many applications and products deployed on large-scale infrastructures such as data centers. Since the power consumption of data centers contributes significantly to operational costs and carbon footprint, it is essential to improve their power efficiency. To this end, both the hardware platform and application should be configured properly. However, identifying the best configuration automatically for a wide range of available options with affordable search cost is challenging (e.g., DNN batch size, number of cores, and amount of memory allocated to the application). Employing an exhaustive approach to test all the possible configurations is unfeasible. To tackle this challenge, we introduce BayesTuner that employs Bayesian Optimization to estimate the performance model of deep neural network inference applications under different configurations with a few test runs. Having these models, BayesTuner is able to differentiate the optimal or near-optimal configurations from the rest of options. Using a realistic setup with various DNNs, we show how efficiently BayesTuner can explore the huge state space of possible control configurations, and minimize the power consumption of the system, while meeting the throughput constraint of different DNNs.</t>
  </si>
  <si>
    <t xml:space="preserve">National Science Foundation(grant numbers:1814920); DoD ARO(grant numbers:W911NF-19-1-0484); </t>
  </si>
  <si>
    <t>https://ieeexplore.ieee.org/stamp/stamp.jsp?arnumber=9612061</t>
  </si>
  <si>
    <t>Deep neural network;power;throughput;Bayesian optimization</t>
  </si>
  <si>
    <t>Graphics processing units;Power demand;Time factors;Runtime;Time-frequency analysis;Monitoring;Deep learning;Neural networks</t>
  </si>
  <si>
    <t>P. Song; H. Peng; X. Zhang</t>
  </si>
  <si>
    <t>A Micro-Service Approach to Cloud Native RAN for 5G and Beyond</t>
  </si>
  <si>
    <t>10.1109/ACCESS.2023.3332964</t>
  </si>
  <si>
    <t>Networks and Edge Computing, Intel Beijing Research and Development Center, Beijing, China; Networks and Edge Computing, Intel Beijing Research and Development Center, Beijing, China; Networks and Edge Computing, Intel Shanghai Research and Development Center, Shanghai, China</t>
  </si>
  <si>
    <t>5G aims to support diverse applications with programmable infrastructure. Traditional RAN based on purpose-built-in hardware and monolithic software lack resiliency, programmability, and business agility. Cloud native virtualized RAN (vRAN) solves the issues by designing telecom applications into micro-service in cloud environment. This enables flexible virtualized network function deployment, efficient service provisioning, and on-demand resource usage. However, designing telecom RAN applications as micro-services has no guidelines but faces challenges such as high-precision synchronization and real-time processing requirements. This paper first introduces cloud native tenets and the current state of RAN cloudification and then evaluates the micro-service design of RAN software components. A micro-service approach for vDU user plane was proposed in this study, and a vDU prototype was developed based on the Intel x86 computing platform. System validation results proved the feasibility of inter-Pod communication processing latency, and capacity analytics predicted substantial capacity improvement for the proposed vDU scheme. The paper concludes with a summary and open points on the way forward for cloud native vRAN transformation.</t>
  </si>
  <si>
    <t>https://ieeexplore.ieee.org/stamp/stamp.jsp?arnumber=10318161</t>
  </si>
  <si>
    <t>5G NR;vRAN;vDU;cloud native;micro-service</t>
  </si>
  <si>
    <t>Cloud computing;Software engineering;Telecommunications;5G mobile communication;Hardware;Computer architecture;Business;Microservice architectures</t>
  </si>
  <si>
    <t>B. Acar; M. G. Augusto; M. Sterling; F. Sivrikaya; S. Albayrak</t>
  </si>
  <si>
    <t>A Survey on the Use of Container Technologies in Autonomous Driving and the Case of BeIntelli</t>
  </si>
  <si>
    <t>IEEE Open Journal of Intelligent Transportation Systems</t>
  </si>
  <si>
    <t>2687-7813</t>
  </si>
  <si>
    <t>10.1109/OJITS.2023.3331449</t>
  </si>
  <si>
    <t>Chair of Agent Technology, Technische Universit√§t Berlin, Berlin, Germany; Chair of Agent Technology, Technische Universit√§t Berlin, Berlin, Germany; Chair of Agent Technology, Technische Universit√§t Berlin, Berlin, Germany; Chair of Agent Technology, Technische Universit√§t Berlin, Berlin, Germany; Chair of Agent Technology, Technische Universit√§t Berlin, Berlin, Germany</t>
  </si>
  <si>
    <t>The application of containerization technology has seen a significant increase in popularity in recent years, both in the business and scientific sectors. In particular, the ability to create portable applications that can be deployed on different machines has become a valuable asset. Autonomous driving has embraced this technology, as it offers a wide range of potential applications, including the operation of autonomous vehicles and the digitization of infrastructure for the development of Cooperative, Connected, and Automated Mobility (CCAM) services. This paper provides a comprehensive analysis of containerization in autonomous driving, emphasizing its application, utility, benefits, and limitations.</t>
  </si>
  <si>
    <t xml:space="preserve">German Federal Ministry for Digital and Transport (BMDV) through BeIntelli Project(grant numbers:01MM20004); </t>
  </si>
  <si>
    <t>https://ieeexplore.ieee.org/stamp/stamp.jsp?arnumber=10314411</t>
  </si>
  <si>
    <t>Docker;containerization;automotive;CCAM;autonomous driving</t>
  </si>
  <si>
    <t>Containers;Autonomous vehicles;Virtualization;Virtual machining;Operating systems;Microservice architectures;Industries</t>
  </si>
  <si>
    <t>F. Yan; C. Xie; J. Zhang; Y. Xi; Z. Yao; Y. Liu; X. Lin; J. Huang; Y. Ce; X. Zhang; N. Calabretta</t>
  </si>
  <si>
    <t>Network traffic characteristics of hyperscale data centers in the era of cloud applications</t>
  </si>
  <si>
    <t>10.1364/JOCN.494291</t>
  </si>
  <si>
    <t>Alibaba Group, Alibaba Cloud, Beijing, China; Alibaba Group, Alibaba Cloud, New York, NY, USA; Beijing University of Posts and Telecommunications, Beijing, China; Alibaba Group, Alibaba Cloud, Beijing, China; Alibaba Group, Alibaba Cloud, New York, NY, USA; Alibaba Group, Alibaba Cloud, Beijing, China; Alibaba Group, Alibaba Cloud, Beijing, China; Alibaba Group, Alibaba Cloud, Beijing, China; Alibaba Group, Alibaba Cloud, Beijing, China; Alibaba Group, Alibaba Cloud, Beijing, China; Eindhoven University of Technology, Eindhoven, Netherlands</t>
  </si>
  <si>
    <t>We present the network architecture of Alibaba Cloud DCs and investigate their traffic characteristics based on statistical data and captured traces. The statistical coarse-grained data are in the granularity of one minute, while the captured traces are fine-grained data that are in the granularity of one packet. We study the traffic features from the perspective of a macroscopic view, network performance, and microscopic view. The results report that the average utilization ratio of spine switches is stable when the observation time period reaches one day and the intra-ToR traffic ratio is in the range of 2%‚Äì10%. By mapping the folded-Clos topology to a tree topology and considering logical switching planes, we obtain the traffic matrix among pods from the average port utilization ratio. As we further investigate the perspective of network performance and the microscopic view, we find that there is no cell loss happening as the normalized queue speed ${Q_s}$ is lower than 0.4. The normalized queue speed ${Q_s}$ is defined as the total bytes of a queue sent in 1 s divided by 100 Gb, which reflects the packet sending speed of the queue. The observed maximum buffer size for one port conforms with the calculated maximum buffer occupation of 2.8 MB. By analyzing the captured traces, we find that the packet length is subject to a trimodal distribution. Under a time granularity of 10 ms, the instant bandwidth of one ToR port could reach 96 Gb/s at an average load of around 0.2 under a maximum link bandwidth of 100 Gb/s.</t>
  </si>
  <si>
    <t>https://ieeexplore.ieee.org/stamp/stamp.jsp?arnumber=10258089</t>
  </si>
  <si>
    <t>Optical switches;Cloud computing;Bandwidth;Servers;Topology;Data centers;Optical fiber networks</t>
  </si>
  <si>
    <t>B. -Y. Ooi; W. -K. Lee; M. J. W. Shubert; Y. -W. Ooi; C. -Y. Chin; W. -H. Woo</t>
  </si>
  <si>
    <t>A Flexible and Reliable Internet-of-Things Solution for Real-Time Production Tracking With High Performance and Secure Communication</t>
  </si>
  <si>
    <t>IEEE Transactions on Industry Applications</t>
  </si>
  <si>
    <t>1939-9367</t>
  </si>
  <si>
    <t>10.1109/TIA.2023.3255214</t>
  </si>
  <si>
    <t>Faculty of Information and Communication Technology, Universiti Tunku Abdul Rahman, Kampar, Malaysia; Department of Computer Engineering, Gachon University, Seongnam-si, South Korea; Department of Electronics and Information, Ostbayerische Technische Hochschule Regensburg, Regensburg, Germany; Starfive Technology International Sdn Bhd, Penang, Malaysia; W Tech Marketing Sdn. Bhd., Ipoh, Malaysia; Arrow Systems Sdn Bhd, Lahat, Malaysia</t>
  </si>
  <si>
    <t>The concept of Industrial Revolution 4.0 (IR4.0) has attracted a lot of attention from academia and industry in recent years. Many existing manufacturers are forced to relook into their exiting production processes, exploring modern ways to improve the yields. Unfortunately, this is difficult to achieve when the data is limited. The situation is particularly serious for many SMEs in developing countries, wherein the manufacturing machines are not up-to-date and lack computational and connectivity capabilities. As an initiative to tackle this issue, we present an end-to-end Internet-of-Things (IoT) solution in this paper, aiming at tracking the production performance of old manufacturing machines reliably. This paper goes over the designs and reasoning behind the proposed solution. We also demonstrated that with careful optimization, high-performance secure encryption key encapsulation and decapsulation are achievable, which is critical for secure communication in IoT systems. As of the time of writing, our IoT system had been deployed in a real manufacturing environment and had been running continuously for approximately 365 days without data loss over the wide area network (WAN).</t>
  </si>
  <si>
    <t xml:space="preserve">Arrow Systems Sdn. Bhd.; Universiti Tunku Abdul Rahman, Malaysia; </t>
  </si>
  <si>
    <t>https://ieeexplore.ieee.org/stamp/stamp.jsp?arnumber=10065559</t>
  </si>
  <si>
    <t>Industry 4.0;Internet-of-Things;production tracking;smart manufacturing</t>
  </si>
  <si>
    <t>Manufacturing;Production;Reliability;Graphics processing units;Internet of Things;Productivity;Real-time systems</t>
  </si>
  <si>
    <t>S. K. Srichandan; S. K. Majhi; S. Jena; K. Mishra; R. Bhat</t>
  </si>
  <si>
    <t>A Secure and Distributed Placement for Quality of Service-Aware IoT Requests in Fog-Cloud of Things: A Novel Joint Algorithmic Approach</t>
  </si>
  <si>
    <t>10.1109/ACCESS.2024.3390723</t>
  </si>
  <si>
    <t>Sambalpur University Institute of Information Technology, Sambalpur University, Burla, Odisha, India; Department of Computer Science and Information Technology, Guru Ghasidas Vishwavidyalaya, Bilaspur, Chhattisgarh, India; Sambalpur University Institute of Information Technology, Sambalpur University, Burla, Odisha, India; Gandhi Institute of Technology and Management, Visakhapatnam, Andhra Pradesh, India; Department of Computer Science and Engineering, Manipal Institute of Technology, Manipal Academy of Higher Education, Manipal, India</t>
  </si>
  <si>
    <t>The fast proliferation of internet-enabled devices generates massive amounts of data every day from every aspect of life. These internet-enabled devices lack the storage, processing power, and capacity necessary to handle and store this massive amount of accurate and volumetric data. Cloud computing has been proposed as a compelling substitute to process these requests. However, the ingress traffic to the Cloud is huge which causes latency overhead due to the gap that exists between end devices and the Cloud datacentre. Additionally, processing these dynamic and heterogeneous requests with disparate requirements is a computationally NP-hard problem. In this regard, Fog computing appears to be an appealing solution to surpass the aforementioned challenges as a complementary to Cloud. Therefore, this research integrated a Fog layer between the end devices and Cloud datacenters enabling a collaborative computation framework. For the classification of requests and determining the target layers for processing, this research suggests an Adaptive Neuro-Fuzzy Inference System (ANFIS). Furthermore, an improved Honey Badger Algorithm (IHBA) is implemented for scheduling those requests at the target layer. To improve the convergence rate of the traditional HBA, a chaos mapping function has been implemented with an Opposition-based Learning (OBL) method. The proposed task consolidation approach has been validated using extensive simulations for QoS parameters on real-world benchmark datasets. With percentage improvements of 13.69%, 28.4%, 33.85%, 7.66%, 26.48%, and 5.63% for makespan, resource utilization, energy consumption, service delay, service cost, and delay violation, respectively, the obtained simulation results show that the suggested algorithm works better than the current state-of-the-art.</t>
  </si>
  <si>
    <t>https://ieeexplore.ieee.org/stamp/stamp.jsp?arnumber=10504827</t>
  </si>
  <si>
    <t>Adaptive neuro-fuzzy inference system (ANFIS);cloud computing;improved honey badger algorithm;resource management;tasks scheduling and offloading</t>
  </si>
  <si>
    <t>Internet of Things;Cloud computing;Quality of service;Costs;Edge computing;Computational modeling;Biological system modeling;Fuzzy neural networks;Inference algorithms;Resource management;Task analysis;Scheduling</t>
  </si>
  <si>
    <t>B. Saemi; A. A. R. Hosseinabadi; A. Khodadadi; S. Mirkamali; A. Abraham</t>
  </si>
  <si>
    <t>Solving Task Scheduling Problem in Mobile Cloud Computing Using the Hybrid Multi-Objective Harris Hawks Optimization Algorithm</t>
  </si>
  <si>
    <t>10.1109/ACCESS.2023.3329069</t>
  </si>
  <si>
    <t>Department of Computer, Kavosh Institute of Higher Education, Mahmood Abad, Mazandaran, Iran; Department of Computer Science, University of Regina, Regina, Canada; Department of Computer Engineering, Islamic Azad University, Qazvin Branch, Qazvin, Iran; Department of Computer Engineering and IT, Payame Noor University, Tehran, Iran; School of Computer Science Engineering and Technology, Bennett University, Greater Noida, Uttar Pradesh, India</t>
  </si>
  <si>
    <t>Nowadays, mobile devices can run a wide range of programs, and they all require more and more processing power. Due to their limited resources, mobile devices often make use of cloud computing $'\text{s}$  offloading features to do more complex tasks. The offloading problem in Mobile Cloud Computing (MCC) is the task scheduling problem, which entails deciding where to dump work to maximize its value. The task scheduling problem in MCC is an NP-hard problem because of the difficulty in moving resources and the size of the search space required to find the ideal scheduler, making the use of extensive search techniques impractical. For this reason, metaheuristic search strategies are provided, to yield a best-case or near-best-case scenario in terms of job completion time and energy savings. This work provides a non-dominated multi-objective strategy based on the Harris Hawks Optimization (HHO) technique called Hybrid Multi-objective Harris Hawks Optimization (HMHHO) to handle the described issue in MCC. The objectives of this research were allocating jobs from mobile source nodes to processors in the public cloud, cloud patches, and processors in mobile resources. In comparison to the other four algorithms‚Äîthe Genetic Algorithm (GA), the Ant Colony Optimization (ACO), the Particle Swarm Optimization (PSO), and the Cuckoo Search Algorithm (CSA) the proposed method completes jobs faster and uses less energy on average.</t>
  </si>
  <si>
    <t xml:space="preserve">Analytical Center for the Government of the Russian Federation, in November 2021(grant numbers:70-2021-00143,IGK 000000D730321P5Q0002); </t>
  </si>
  <si>
    <t>https://ieeexplore.ieee.org/stamp/stamp.jsp?arnumber=10308570</t>
  </si>
  <si>
    <t>Task scheduling;multi-objective;mobile cloud computing;optimization;metaheuristic algorithm;Harris Hawks optimization</t>
  </si>
  <si>
    <t>Task analysis;Cloud computing;Optimization;Mobile handsets;Processor scheduling;Dynamic scheduling;Costs;Mobile computing;Metaheuristics</t>
  </si>
  <si>
    <t>D. Ou; C. Jiang; M. Zheng; Y. Ren</t>
  </si>
  <si>
    <t>Container Power Consumption Prediction Based on GBRT-PL for Edge Servers in Smart City</t>
  </si>
  <si>
    <t>10.1109/JIOT.2023.3281368</t>
  </si>
  <si>
    <t>School of Computer Science and Technology, Hangzhou Dianzi University, Hangzhou, China; School of Computer Science and Technology, Hangzhou Dianzi University, Hangzhou, China; Zhejiang Hithink RoyalFlush Artificial Intelligence Research Institute, Hangzhou, China; School of Computer Science and Technology, Hangzhou Dianzi University, Hangzhou, China</t>
  </si>
  <si>
    <t>Edge computing and Internet of Things (IoT) devices have been widely deployed in smart city applications due to the rapid promotion and implementation of 5G communication technology. Limited by power supply and hardware computing capability, applications on edge servers are mostly deployed and run in the form of container microservices to improve resource utilization. Therefore, identifying the power consumption at the container granularity is of great importance for the load scheduling and service quality assurance of edge servers. In this article, a gradient boosting piecewise linear regression tree (GBRT-PL)-based container power prediction method is proposed. Performance metrics with a strong correlation between container and server power consumption are selected for power consumption modeling. To effectively suit the nonlinear relationship between container performance metrics and server power consumption, the integrated predictive capabilities of multiple regression trees (RTs) and the segmented linear model of single RT leaf nodes are applied. The data from the experiments prove that the GBRT-PL model predicts power consumption more accurately than other models for single and multiple container groups. The highest average relative error rate in the four multicontainer group tests is 6.72%, whereas the highest relative error rate in the 90% quantile is 11.66%. In addition, it can accurately predict the majority of power consumption peaks, which contributes to the precise detection of power consumption anomalies.</t>
  </si>
  <si>
    <t xml:space="preserve">National Natural Science Foundation of China(grant numbers:61972118); </t>
  </si>
  <si>
    <t>https://ieeexplore.ieee.org/stamp/stamp.jsp?arnumber=10143546</t>
  </si>
  <si>
    <t>Container;edge computing;power consumption prediction;smart city</t>
  </si>
  <si>
    <t>Containers;Power demand;Servers;Cloud computing;Predictive models;Data models;Virtual machining</t>
  </si>
  <si>
    <t>T. Hossfeld; P. E. Heegaard; W. Kellerer</t>
  </si>
  <si>
    <t>Comparing the Scalability of Communication Networks and Systems</t>
  </si>
  <si>
    <t>10.1109/ACCESS.2023.3314201</t>
  </si>
  <si>
    <t>Chair of Communication Networks, University of W√ºrzburg, W√ºrzburg, Germany; Department of Information Security and Communication Technology, Norwegian University of Science and Technology (NTNU), Trondheim, Norway; Chair of Communication Networks, TU Munich, Munich, Germany</t>
  </si>
  <si>
    <t>Scalability is often mentioned in literature, but a stringent definition is missing. In particular, there is no general scalability assessment which clearly indicates whether a system scales or not or whether a system scales better than another. The key contribution of this article is the definition of a scalability index (SI) which quantifies if a system scales in comparison to another system, a hypothetical system, e.g., linear system, or the theoretically optimal system. The suggested SI generalizes different metrics from literature, which are specialized cases of our SI. The primary target of our scalability framework is, however, benchmarking of two systems, which does not require any reference system. The SI is demonstrated and evaluated for different use cases, that are (1) the performance of an IoT load balancer depending on the system load, (2) the availability of a communication system depending on the size and structure of the network, (3) scalability comparison of different location selection mechanisms in fog computing with respect to delays and energy consumption; (4) comparison of time-sensitive networking (TSN) mechanisms in terms of efficiency and utilization. Finally, we discuss how to use and how not to use the SI and give recommendations and guidelines in practice. To the best of our knowledge, this is the first work which provides a general SI for the comparison and benchmarking of systems, which is the primary target of our scalability analysis.</t>
  </si>
  <si>
    <t xml:space="preserve">German Research Foundation [Deutsche Forschungsgemeinschaft (DFG)](grant numbers:316878574 (DFG SDN-App 2)); </t>
  </si>
  <si>
    <t>https://ieeexplore.ieee.org/stamp/stamp.jsp?arnumber=10247010</t>
  </si>
  <si>
    <t>Communication networks;performance;availability;scalability</t>
  </si>
  <si>
    <t>Scalability;Elasticity;Communication networks;Time factors;Measurement;Time measurement;Indexes;Performance evaluation</t>
  </si>
  <si>
    <t>A. Rezazadeh; H. Lutfiyya</t>
  </si>
  <si>
    <t>Multi-Microservice Migration Modeling, Comparison, and Potential in 5G/6G Mobile Edge Computing: A Non-Average Parameter Values Approach</t>
  </si>
  <si>
    <t>10.1109/ACCESS.2023.3342190</t>
  </si>
  <si>
    <t>Department of Computer Science, Western University, London, Canada; Department of Computer Science, Western University, London, Canada</t>
  </si>
  <si>
    <t>Cloud, fog, and edge computing integration with future mobile Internet-of-Things (IoT) devices and related applications in 5G/6G networks will become more practical in the coming years. Containers became the de facto virtualization technique that replaced Virtual Memory (VM). Mobile IoT applications, e.g., intelligent transportation and augmented reality, incorporating fog-edge, have increased the demand for a millisecond-scale response and processing time. Edge Computing reduces remote network traffic and latency. These services must run on edge nodes that are physically close to devices. However, classical migration techniques may not meet the requirements of future mission-critical IoT applications. IoT mobile devices have limited resources for running multiple services, and client-server latency worsens when fog-edge services must migrate to maintain proximity in light of device mobility. This study analyzes the performance of the MiGrror migration method and the pre-copy live migration method when the migration of heterogeneous multiple VMs/containers is considered. This paper presents mathematical models for the stated methods and provides migration guidelines and comparisons for services to be implemented as multiple containers, as in microservice-based environments. Experiments demonstrate that MiGrror outperforms the pre-copy technique and, unlike conventional live migrations, can maintain less than 10 milliseconds of downtime and reduce migration time with a minimal bandwidth overhead. The results show that MiGrror can improve service continuity and availability for users. Most significant is that the model can use average and non-average values for different parameters during migration to achieve improved and more accurate results, while other research typically only uses average values. This paper shows that using only average parameter values in migration can lead to inaccurate results.</t>
  </si>
  <si>
    <t xml:space="preserve">Natural Sciences and Engineering Research Council of Canada and Bell Canada; </t>
  </si>
  <si>
    <t>https://ieeexplore.ieee.org/stamp/stamp.jsp?arnumber=10356059</t>
  </si>
  <si>
    <t>Downtime model;migration model;MiGrror;service continuity;service availability;microservices;heterogeneous multiple containers;multi-access/mobile edge computing (MEC);fog computing;live migration</t>
  </si>
  <si>
    <t>Microservice architectures;Internet of Things;Containers;Edge computing;Cloud computing;Bandwidth;Computational modeling</t>
  </si>
  <si>
    <t>Y. Chen; S. Hao; H. Nazif</t>
  </si>
  <si>
    <t>A Privacy-Aware Approach for Managing the Energy of Cloud-Based IoT Resources Using an Improved Optimization Algorithm</t>
  </si>
  <si>
    <t>10.1109/JIOT.2021.3112474</t>
  </si>
  <si>
    <t>School of Economics and Management, Harbin Institute of Technology, Harbin, China; School of Economics and Management, Harbin Institute of Technology, Harbin, China; Department of Mathematics, Payame Noor University, Tehran, Iran</t>
  </si>
  <si>
    <t>Cloud-based Internet of Things (IoT) is a network of physical things controlled and monitored via the Internet to develop numerous smart systems. In this network, numerous physical things with different types of sensors are created that can be linked to the Internet. IoT devices need to work with limited energy sources for a long time, and wireless communications are the primary source of energy usage. As a result, the lifespan of IoT devices can be extended by minimizing radio communications. Because of the great capability of the IoT, the issue of resource energy consumption is raised. On the other hand, privacy concerns must be considered when designing cloud-based IoT applications. The current article introduces programming formulations of the mentioned issues using an improved ant colony optimization (IACO) algorithm. The method is combined with a new kind of local search algorithm to obtain higher-quality responses. Also, for responding to privacy concerns, a privacy-preserving method has been suggested. The suggested approach has been tested widely, and the outcomes have been compared to the genetic and particle swarm optimization (PSO) algorithms. The results indicated the good ability of the proposed method in terms of network lifespan and energy consumption.</t>
  </si>
  <si>
    <t>https://ieeexplore.ieee.org/stamp/stamp.jsp?arnumber=9536866</t>
  </si>
  <si>
    <t>ACO;cloud computing;clustering;energy;Internet of Things (IoT);network lifetime;privacy;routing</t>
  </si>
  <si>
    <t>Internet of Things;Cloud computing;Energy consumption;Privacy;Routing;Energy efficiency;Clustering algorithms</t>
  </si>
  <si>
    <t>J. Li; Y. Zhou; X. Zhang; S. Liu; Q. Li</t>
  </si>
  <si>
    <t>Assessment of Industrial Internet Platform Application in Manufacturing Enterprises: System Construction and Industrial Practice</t>
  </si>
  <si>
    <t>10.1109/ACCESS.2021.3098940</t>
  </si>
  <si>
    <t>Department of Automation, Tsinghua University, Beijing, China; China Industrial Control Systems Cyber Emergency Response Team, Beijing, China; China Industrial Control Systems Cyber Emergency Response Team, Beijing, China; China Industrial Control Systems Cyber Emergency Response Team, Beijing, China; Department of Automation, Tsinghua University, Beijing, China</t>
  </si>
  <si>
    <t>To evaluate the effectiveness of the industrial Internet Platform (IIP) applied by manufacturing enterprises, this study proposes a set of assessment systems for guiding and standardizing the application of IIP. Our assessment framework is established based on five dimensions: strategy and organization; basic conditions; platform application; business innovation; and efficiency and benefit. We collect IIP application data from more than 1400 manufacturing enterprises in China. The application performance of the IIP in manufacturing enterprises were comprehensively analyzed from different perspectives such as equipment on the cloud, industrial knowledge accumulation and reuse, and industrial APP innovative application. The research results show that the overall score of IIP application in China is 31.76 according to our assessment criterion. The breadth and depth of platform application need to be improved. Furthermore, this study provides guidance to a wide range of potential market participants, such as manufacturing enterprises, service providers and relevant policy makers, to assess the effectiveness of platform application.</t>
  </si>
  <si>
    <t xml:space="preserve">National Natural Science Foundation of China(grant numbers:61771281); National Social Science Fund of China(grant numbers:15ZDB151); National Key Research and Development Program of China(grant numbers:2018YFF0213700); 2018 Industrial Internet Platform Innovation and Development Project of China; 2018 Integrated Standardization of Intelligent Manufacturing and Application of New Models; </t>
  </si>
  <si>
    <t>https://ieeexplore.ieee.org/stamp/stamp.jsp?arnumber=9492081</t>
  </si>
  <si>
    <t>Industrial internet platform;assessment system;manufacturing enterprise</t>
  </si>
  <si>
    <t>Manufacturing;Internet;Security;Computer architecture;Cloud computing;Technological innovation;Collaboration</t>
  </si>
  <si>
    <t>A. Aziz; S. S. Chouhan; O. Schel√©n; U. Bodin</t>
  </si>
  <si>
    <t>Distributed Digital Twins as Proxies-Unlocking Composability and Flexibility for Purpose-Oriented Digital Twins</t>
  </si>
  <si>
    <t>10.1109/ACCESS.2023.3340132</t>
  </si>
  <si>
    <t>Department of Computer Science, Electrical and Space Engineering, Lule√• University of Technology, Lule√•, Sweden; Department of Computer Science, Electrical and Space Engineering, Lule√• University of Technology, Lule√•, Sweden; Department of Computer Science, Electrical and Space Engineering, Lule√• University of Technology, Lule√•, Sweden; Department of Computer Science, Electrical and Space Engineering, Lule√• University of Technology, Lule√•, Sweden</t>
  </si>
  <si>
    <t>In the realm of the Industrial Internet of Things (IoT) and Industrial Cyber-Physical Systems (ICPS), Digital Twins (DTs) have revolutionized the management of physical entities. However, existing implementations often face constraints due to hardware-centric approaches and limited flexibility. This article introduces a transformative paradigm that harnesses the potential of distributed digital twins as proxies, enabling software-centricity and unlocking composability and flexibility for purpose-oriented digital twin development and deployment. The proposed microservices-based architecture, rooted in service-oriented architecture (SOA) and microservices principles, emphasizes reusability, modularity, and scalability. Leveraging the Lean Digital Twin Methodology and packaged business capabilities expedites digital twin creation and deployment, facilitating dynamic responses to evolving industrial demands. This architecture segments the industrial realm into physical and virtual spaces, where core components are responsible for digital twin management, deployment, and secure interactions. By abstracting and virtualizing physical entities into individual digital twins, this approach lays the groundwork for purpose-oriented composite digital twin creation. Our key contributions involve a comprehensive exposition of the architecture, a practical proof-of-concept (PoC) implementation, and the application of the architecture in a use-case scenario. Additionally, we provide an analysis, including a quantitative evaluation of the proxy aspect and a qualitative comparison with traditional approaches. This assessment emphasizes key properties such as reusability, modularity, abstraction, discoverability, and security, transcending the limitations of contemporary industrial systems and enabling agile, adaptable digital proxies to meet modern industrial demands.</t>
  </si>
  <si>
    <t xml:space="preserve">projects Arrowhead flexible Production Value Network (fPVN) [EU Key Digital Technologies Joint Undertaking (KDT JU)](grant numbers:101111977); Mine.io (Horizon Europe)(grant numbers:101091885); AIMS5.0 (EU KDT JU)(grant numbers:10111208); </t>
  </si>
  <si>
    <t>https://ieeexplore.ieee.org/stamp/stamp.jsp?arnumber=10345582</t>
  </si>
  <si>
    <t>OT virtualization;distributed digital twin as proxy;edge;cloud;composition;flexibility</t>
  </si>
  <si>
    <t>Digital twins;Industrial Internet of Things;Interoperability;Computer architecture;Security;Virtualization;Microservice architectures</t>
  </si>
  <si>
    <t>E. F. Kfoury; S. Choueiri; A. Mazloum; A. AlSabeh; J. Gomez; J. Crichigno</t>
  </si>
  <si>
    <t>A Comprehensive Survey on SmartNICs: Architectures, Development Models, Applications, and Research Directions</t>
  </si>
  <si>
    <t>10.1109/ACCESS.2024.3437203</t>
  </si>
  <si>
    <t>College of Engineering and Computing, University of South Carolina, Columbia, SC, USA; College of Engineering and Computing, University of South Carolina, Columbia, SC, USA; College of Engineering and Computing, University of South Carolina, Columbia, SC, USA; College of Engineering and Computing, University of South Carolina, Columbia, SC, USA; College of Engineering and Computing, University of South Carolina, Columbia, SC, USA; College of Engineering and Computing, University of South Carolina, Columbia, SC, USA</t>
  </si>
  <si>
    <t>The end of Moore‚Äôs Law and Dennard Scaling has slowed processor improvements in the past decade. While multi-core processors have improved performance, they are limited by the application‚Äôs level of parallelism, as prescribed by Amdahl‚Äôs Law. This has led to the emergence of domain-specific processors that specialize in a narrow range of functions. Smart Network Interface Cards (SmartNICs) can be seen as a revolutionary technology that combines heterogeneous domain-specific processors and general-purpose cores to offload infrastructure tasks. Despite the impressive advantages of SmartNICs and their importance in modern networks, the literature has been missing a comprehensive survey. To this end, this paper provides a background encompassing an overview of the evolution of NICs from basic to SmartNICs, describing their architectures, development environments, and advantages over legacy NICs. The paper then presents a comprehensive taxonomy of applications offloaded to SmartNICs, covering network, security, storage, and compute functions. Challenges associated with SmartNIC development and deployment are discussed, along with current initiatives and open research issues.</t>
  </si>
  <si>
    <t xml:space="preserve">National Science Foundation (NSF), Office of Advanced Cyberinfrastructure (OAC)(grant numbers:2118311,2403360,2346726); </t>
  </si>
  <si>
    <t>https://ieeexplore.ieee.org/stamp/stamp.jsp?arnumber=10620201</t>
  </si>
  <si>
    <t>SmartNIC;data processing unit (DPU);infrastructure processing unit (IPU);Moore‚Äôs law;application offloading;P4;application specific integrated circuit (ASIC);field programmable gate array (FPGA)</t>
  </si>
  <si>
    <t>Surveys;Program processors;Computer architecture;Hardware;Software;Engines;Switches;Data processing;Moore's Law;Application specific integrated circuits;Field programmable gate arrays</t>
  </si>
  <si>
    <t>S. Ebrahimi; F. Bouali; O. C. L. Haas</t>
  </si>
  <si>
    <t>Resource Management From Single-Domain 5G to End-to-End 6G Network Slicing: A Survey</t>
  </si>
  <si>
    <t>10.1109/COMST.2024.3390613</t>
  </si>
  <si>
    <t>Centre for Future Transport and Cities, Coventry University, Coventry, U.K.; Centre for Future Transport and Cities, Coventry University, Coventry, U.K.; Centre for Future Transport and Cities, Coventry University, Coventry, U.K.</t>
  </si>
  <si>
    <t>Network Slicing (NS) is one of the pillars of the fifth/sixth generation (5G/6G) of mobile networks. It provides the means for Mobile Network Operators (MNOs) to leverage physical infrastructure across different technological domains to support different applications. This survey analyzes the progress made on NS resource management across these domains, with a focus on the interdependence between domains and unique issues that arise in cross-domain and End-to-End (E2E) settings. Based on a generic problem formulation, NS resource management functionalities (e.g., resource allocation and orchestration) are examined across domains, revealing their limits when applied separately per domain. The appropriateness of different problem-solving methodologies is critically analyzed, and practical insights are provided, explaining how resource management should be rethought in cross-domain and E2E contexts. Furthermore, the latest advancements are reported through a detailed analysis of the most relevant research projects and experimental testbeds. Finally, the core issues facing NS resource management are dissected, and the most pertinent research directions are identified, providing practical guidelines for new researchers.</t>
  </si>
  <si>
    <t xml:space="preserve">Centre for Future Transport and Cities (CFTC), Coventry University, Coventry, U.K.; </t>
  </si>
  <si>
    <t>https://ieeexplore.ieee.org/stamp/stamp.jsp?arnumber=10504277</t>
  </si>
  <si>
    <t>Network slicing;end-to-end (E2E);resource management;technological domains;radio access networks (RANs);transport networks (TNs);core networks (CNs);5G/6G networks;orchestration;resource allocation (RA)</t>
  </si>
  <si>
    <t>Resource management;Surveys;5G mobile communication;Reviews;Research and development;Tutorials;Optimization</t>
  </si>
  <si>
    <t>C. Marantos; L. Papadopoulos; C. P. Lamprakos; K. Salapas; D. Soudris</t>
  </si>
  <si>
    <t>Bringing Energy Efficiency Closer to Application Developers: An Extensible Software Analysis Framework</t>
  </si>
  <si>
    <t>10.1109/TSUSC.2022.3222409</t>
  </si>
  <si>
    <t>Green, sustainable and energy-aware computing terms are gaining more and more attention during the last years. The increasing complexity of Internet of Things (IoT) applications makes energy efficiency an important requirement, imposing new challenges to software developers. Software tools capable of providing energy consumption estimations and identifying optimization opportunities are critical during all the phases of application development. This work proposes a novel framework that targets the energy efficiency at application development level. The proposed framework is implemented as a single user-friendly tool-flow, providing a variety of useful features, such as the estimation of the energy consumption without the need of executing the application on the targeted IoT devices and the estimation of potential gains by GPU acceleration on modern heterogeneous IoT architectures. The proposed methodology provides several novel contributions, such as the combination of static analysis and dynamic instrumentation approaches in order to exploit the advantages of both. The framework is evaluated on widely used benchmarks, achieving increased estimation accuracy (more than 90% for similar architectures and more than 72% for the potential use of the GPU). The effectiveness of the framework is further demonstrated using two industrial use-cases achieving an energy reduction from 91% up to 98%.</t>
  </si>
  <si>
    <t xml:space="preserve">EU's Horizon 2020 Research and Innovation Programme(grant numbers:780572); </t>
  </si>
  <si>
    <t>https://ieeexplore.ieee.org/stamp/stamp.jsp?arnumber=9950623</t>
  </si>
  <si>
    <t>Green computing;energy consumption;static analysis;dynamic instrumentation;software design</t>
  </si>
  <si>
    <t>Software;Energy consumption;Internet of Things;Hardware;Graphics processing units;Estimation;Codes</t>
  </si>
  <si>
    <t>H. Liang; Z. Zhang; C. Hu; Y. Gong; D. Cheng</t>
  </si>
  <si>
    <t>A Survey on Spatio-Temporal Big Data Analytics Ecosystem: Resource Management, Processing Platform, and Applications</t>
  </si>
  <si>
    <t>IEEE Transactions on Big Data</t>
  </si>
  <si>
    <t>2332-7790</t>
  </si>
  <si>
    <t>10.1109/TBDATA.2023.3342619</t>
  </si>
  <si>
    <t>School of Computer Science, Wuhan University, Wuhan, Hubei, China; School of Computer Science, Wuhan University, Wuhan, Hubei, China; School of Computer Science, Wuhan University, Wuhan, Hubei, China; School of Computer Science, Wuhan University, Wuhan, Hubei, China; School of Computer Science, Wuhan University, Wuhan, Hubei, China</t>
  </si>
  <si>
    <t>With the rapid evolution of the Internet, Internet of Things (IoT), and geographic information systems (GIS), spatio-temporal Big Data (STBD) is experiencing exponential growth, marking the onset of the STBD era. Recent studies have concentrated on developing algorithms and techniques for the collection, management, storage, processing, analysis, and visualization of STBD. Researchers have made significant advancements by enhancing STBD handling techniques, creating novel systems, and integrating spatio-temporal support into existing systems. However, these studies often neglect resource management and system optimization, crucial factors for enhancing the efficiency of STBD processing and applications. Additionally, the transition of STBD to the innovative Cloud-Edge-End unified computing system needs to be noticed. In this survey, we comprehensively explore the entire ecosystem of STBD analytics systems. We delineate the STBD analytics ecosystem and categorize the technologies used to process GIS data into five modules: STBD, computation resources, processing platform, resource management, and applications. Specifically, we subdivide STBD and its applications into geoscience-oriented and human-social activity-oriented. Within the processing platform module, we further categorize it into the data management layer (DBMS-GIS), data processing layer (BigData-GIS), data analysis layer (AI-GIS), and cloud native layer (Cloud-GIS). The resource management module and each layer in the processing platform are classified into three categories: task-oriented, resource-oriented, and cloud-based. Finally, we propose research agendas for potential future developments.</t>
  </si>
  <si>
    <t xml:space="preserve">National Key Research and Development Program of China(grant numbers:2023YFE0205700); National Natural Science Foundation of China(grant numbers:62302348); Fundamental Research Funds for the Central Universities(grant numbers:2042023kf0132); Hubei Provincial Natural Science Foundation of Chinan(grant numbers:2023AFB831); Hubei Luojia Laboratory(grant numbers:220100016); </t>
  </si>
  <si>
    <t>https://ieeexplore.ieee.org/stamp/stamp.jsp?arnumber=10356753</t>
  </si>
  <si>
    <t>Artificial intelligence framework;Big Data system;cloud platform;database management system;geographic information system;resource management;spatio-temporal Big Data</t>
  </si>
  <si>
    <t>Resource management;Big Data;Cloud computing;Geographic information systems;Artificial intelligence;Ecosystems;Data processing</t>
  </si>
  <si>
    <t>R. Xu; C. -W. Park; S. Khan; W. Jin; S. J. S. Moe; D. H. Kim</t>
  </si>
  <si>
    <t>Optimized Task Scheduling and Virtual Object Management Based on Digital Twin for Distributed Edge Computing Networks</t>
  </si>
  <si>
    <t>10.1109/ACCESS.2023.3325475</t>
  </si>
  <si>
    <t>Big Data Research Center, Jeju National University, Jeju, Republic of Korea; Autonomous IoT Research Section, Electronics and Telecommunications Research Institute, Daejeon, South Korea; Big Data Research Center, Jeju National University, Jeju, Republic of Korea; Department of Electronic and Communication Engineering, Yanbian University, Jilin, Yanji, China; Department of Computer Engineering, Jeju National University, Jeju, South Korea; Department of Computer Engineering, Jeju National University, Jeju, South Korea</t>
  </si>
  <si>
    <t>In this paper, we address the challenge of limited resources in Internet of Things (IoT) devices by proposing a solution based on digital twin in distributed edge computing networks. Edge computing is a promising approach that moves computing resources closer to the network‚Äôs edge to reduce response times in IoT applications. However, simply offloading tasks from IoT devices to edge computing does not accelerate user control. To enhance task performance and improve user management experience, we introduce optimized task scheduling and virtual object management based on a digital twin concept. Our system incorporates virtualization, synchronization, visualization, and simulation functionalities to provide digital twin capabilities. Additionally, we develop a user-friendly web application with a graphical user interface (GUI) for intuitive management of edge computing services. To support our approach, we implement an edge computing supervisor that generates virtualized objects such as edge gateways, IoT devices, and services. These virtual objects serve as resources for creating tasks. Using our proposed digital twin platform, users can dynamically create new tasks based on demand, easily deploy and execute tasks in specific locations, and dynamically allocate edge network resources according to task requirements. An optimized task scheduling mathematical model is presented to compare task scheduling done with and without optimization. Further, the edge computing and digital twin based optimized task scheduling method is integrated with Federated Learning for collaborative learning and privacy preserved computation of sensors sensitive data. We demonstrate the effectiveness of our system by generating tasks for data collection related to indoor environment for prediction of Predicted Mean Vote (PMV) for thermal comfort index of smart homes occupants using HTTP and IoTivity-based devices in distributed edge computing networks. These tasks are properly delivered and executed on the expected edge gateways, showcasing the successful integration of our digital twin platform with edge computing networks. Further, the optimized task scheduling has improved the overall performance of the proposed system, keeping in view latency and processing time.</t>
  </si>
  <si>
    <t xml:space="preserve">Institute of Information &amp; communications Technology Planning &amp; Evaluation (IITP) grant funded by the Korea government (MSIT)(grant numbers:2022-0-00438); </t>
  </si>
  <si>
    <t>https://ieeexplore.ieee.org/stamp/stamp.jsp?arnumber=10287327</t>
  </si>
  <si>
    <t>Internet of Things;edge computing;federated learning;digital twin;task management;hyper-parameter optimization</t>
  </si>
  <si>
    <t>Digital twins;Task analysis;Edge computing;Internet of Things;Logic gates;Federated learning;Processor scheduling</t>
  </si>
  <si>
    <t>O. Boiko; A. Komin; R. Malekian; P. Davidsson</t>
  </si>
  <si>
    <t>Edge-Cloud Architectures for Hybrid Energy Management Systems: A Comprehensive Review</t>
  </si>
  <si>
    <t>10.1109/JSEN.2024.3382390</t>
  </si>
  <si>
    <t>Department of Information Technologies, Sumy State University, Sumy, Ukraine; Department of Information Technologies, Sumy State University, Sumy, Ukraine; Department of Computer Science and Media Technology and the Internet of Things and People Research Centre, Malm√∂ University, Malm√∂, Sweden; Department of Computer Science and Media Technology and the Internet of Things and People Research Centre, Malm√∂ University, Malm√∂, Sweden</t>
  </si>
  <si>
    <t>This article provides an overview of recent research on edge-cloud architectures in hybrid energy management systems (HEMSs). It delves into the typical structure of an IoT system, consisting of three key layers: the perception layer, the network layer, and the application layer. The edge-cloud architecture adds two more layers: the middleware layer and the business layer. This article also addresses challenges in the proposed architecture, including standardization, scalability, security, privacy, regulatory compliance, and infrastructure maintenance. Privacy concerns can hinder the adoption of HEMS. Therefore, we also provide an overview of these concerns and recent research on edge-cloud solutions for HEMS that addresses them. This article concludes by discussing the future trends of edge-cloud architectures for HEMS. These trends include increased use of artificial intelligence on an edge level to improve the performance and reliability of HEMS and the use of blockchain to improve the security and privacy of edge-cloud computing systems.</t>
  </si>
  <si>
    <t xml:space="preserve">J. Gust. Richert stiftelse (Sweco Sverige) for the project Multi-Objective Optimization and Optimal Integration of Hybrid Energy Systems(grant numbers:01003438636); Kamprad Family Foundation (Familjen Kamprads Stiftelse) for the project Models of Distributed Information Processing in Smart Grid Systems; Knowledge Foundation (Stiftelsen f√∂r kunskapsoch kompetensutveckling) for the project Intelligent and Trustworthy IoT Systems(grant numbers:20220087-H-01); </t>
  </si>
  <si>
    <t>https://ieeexplore.ieee.org/stamp/stamp.jsp?arnumber=10492690</t>
  </si>
  <si>
    <t>Distributed computing;distributed energy;domestic energy consumption;edge computing;edge intelligence;hybrid renewable energy systems;Internet of Energy;power systems;renewable energy sources;residential energy consumption;sustainable development;systems architecture;trustworthiness;user data privacy</t>
  </si>
  <si>
    <t>Computer architecture;Cloud computing;Security;Renewable energy sources;Edge computing;Smart grids;Distributed computing;Sustainable development;Systems architecture;Data privacy</t>
  </si>
  <si>
    <t>N. Akhter; R. Mahmud; J. Jin; J. But; I. Ahmad; Y. Xiang</t>
  </si>
  <si>
    <t>Configurable Harris Hawks Optimisation for Application Placement in Space-Air-Ground Integrated Networks</t>
  </si>
  <si>
    <t>10.1109/TNSM.2024.3361176</t>
  </si>
  <si>
    <t>School of Science, Computing and Engineering Technologies, Swinburne University of Technology, Melbourne, VIC, Australia; School of Electrical Engineering, Computing and Mathematical Sciences, Curtin University, Perth, WA, Australia; School of Science, Computing and Engineering Technologies, Swinburne University of Technology, Melbourne, VIC, Australia; School of Science, Computing and Engineering Technologies, Swinburne University of Technology, Melbourne, VIC, Australia; School of Engineering, Edith Cowan University, Perth, WA, Australia; School of Information Technology, Deakin University, Geelong, VIC, Australia</t>
  </si>
  <si>
    <t>Space-Air-Ground Integrated Network (SAGIN) has recently emerged as a viable solution for reliable transmission, high data rates, and seamless connectivity with extensive coverage. However, the characteristics of the computation and communication devices located at various levels of SAGIN make application placement within such environments a challenging task. Real-time service expectations and resource requirements of applications further intensify this issue, and push the domain to operate beyond its capacity, resulting in uneven delays and significant overhead. Taking these constraints into account, SAGIN‚Äôs application placement problem can be expressed as a multiobjective optimisation problem. This paper aims to solve such a problem using a Dynamic Weight-configurable Harris Hawks Optimisation (DW-HHO) algorithm, considering diverse application contexts such as deadlines, resource usage and the number of application activities. It simultaneously minimises application total service time and host resource overhead with a robust global search. The performance of the proposed solution is compared with benchmark metaheuristic solutions such as PSO, NSGA-II, Greedy and Random. Experimental results demonstrate that DW-HHO outperforms other benchmark metaheuristic solutions in optimising resource utilisation and service delivery time of applications in SAGIN environments. The proposed DW-HHO demonstrates notable improvements over existing methods. Specifically, when evaluating the total service time for PSO, NSGA-II, Greedy, and Random, DW-HHO outperforms these methods by 7.28%, 9.07%, 13.01%, and 14.97%, respectively.</t>
  </si>
  <si>
    <t xml:space="preserve">Australian Research Council Linkage Project(grant numbers:LP190100594); </t>
  </si>
  <si>
    <t>https://ieeexplore.ieee.org/stamp/stamp.jsp?arnumber=10418264</t>
  </si>
  <si>
    <t>Application placement;Harris Hawks optimisation (HHO);space-air-ground integrated network (SAGIN)</t>
  </si>
  <si>
    <t>Space-air-ground integrated networks;Resource management;Computer architecture;Satellites;Delays;Computational modeling;Australia</t>
  </si>
  <si>
    <t>A. Medeiros; A. D. Maio; T. Braun; A. Neto</t>
  </si>
  <si>
    <t>TENET: Adaptive Service Chain Orchestrator for MEC-Enabled Low-Latency 6DoF Virtual Reality</t>
  </si>
  <si>
    <t>10.1109/TNSM.2023.3331755</t>
  </si>
  <si>
    <t>Institute of Computer Science, University of Bern, Bern, Switzerland; Institute of Computer Science, University of Bern, Bern, Switzerland; Institute of Computer Science, University of Bern, Bern, Switzerland; Department of Informatics and Applied Mathematics, Federal University of Rio Grande do Norte, Natal, Brazil</t>
  </si>
  <si>
    <t>The next generation of Virtual Reality (VR) applications is expected to provide advanced experiences through Six Degrees of Freedom (6DoF) content, which requires higher data rates and ultra-low latency. In this article, we refactor 6DoF VR applications into atomic services to increase the computing capacity of VR systems aiming to reduce the end-to-end (E2E) of 6DoF VR applications. Those services are chained and deployed across Head-Mounted Displays (HMDs) and Multi-access Edge Computing (MEC) servers in high mobility scenarios over real-edge network topologies. We investigate the Distributed Service Chain Problem (DSCP) to find the optimal service placement of services from a service chain such that its E2E latency does not exceed 5 ms. The DSCP problem is  $\mathcal {NP}$ -hard. We provide an integer linear program to model the system, along with a heuristic, namely disTributed sErvice chaiN orchEstraTor (TENET), which is one order of magnitude faster than optimally solving the DSCP problem. We compare TENET to DSCP implementation and well-known service migration algorithms in terms of E2E latency, power consumption, video resolution selection based on E2E latency, context migrations, and execution time. We observe a significant reduction of E2E latency and gains in more advanced video resolution selection and accepted context service migrations when using TENET‚Äôs deployment strategy on VR services.</t>
  </si>
  <si>
    <t>https://ieeexplore.ieee.org/stamp/stamp.jsp?arnumber=10314807</t>
  </si>
  <si>
    <t>Mobile virtual reality;end-to-end latency;six degrees of freedom videos;multi-access edge computing;service function chaining;service offloading;service migration;quality of service</t>
  </si>
  <si>
    <t>Streaming media;Resists;Servers;Quality of service;Low latency communication;Energy consumption;Computational modeling</t>
  </si>
  <si>
    <t>A. Atutxa; J. Astorga; M. Huarte; E. Jacob; J. Unzilla</t>
  </si>
  <si>
    <t>Enhancing Rescue Operations With Virtualized Mobile Multimedia Services in Scarce Resource Devices</t>
  </si>
  <si>
    <t>10.1109/ACCESS.2020.3041394</t>
  </si>
  <si>
    <t>Department of Communications Engineering, Faculty of Engineering, University of the Basque Country, Bilbao, Spain; Department of Communications Engineering, Faculty of Engineering, University of the Basque Country, Bilbao, Spain; Department of Communications Engineering, Faculty of Engineering, University of the Basque Country, Bilbao, Spain; Department of Communications Engineering, Faculty of Engineering, University of the Basque Country, Bilbao, Spain; Department of Communications Engineering, Faculty of Engineering, University of the Basque Country, Bilbao, Spain</t>
  </si>
  <si>
    <t>The aim of this article is to present an architecture to support reconfigurable multimedia services for a practical emergency environment use case of rescue operations. Specifically, radio communication and video surveillance services are provided by means of a small device carried by a mobile vehicle. This solution is validated by implementing a digital mobile radio (DMR) standard radio hotspot and a video streaming server in an unmanned aerial vehicle (UAV) that conveys a device with scarce resources in order to minimize power consumption. To achieve a fast and flexible deployment of the envisioned services, a virtualization-based approach is proposed. Namely, a Kubernetes orchestrator is used to manage the life-cycle of services deployed on a small resource device, endowing the architecture with scalability and management flexibility. This article describes the executed performance tests that measured key parameters such as deployment time and recovery time after disconnection. Highly promising results were obtained, showing that the proposed architecture can be deployed in less than 4 minutes and can recover from network disconnections in less than 10 seconds. Thus, the performance, reliability and flexibility of the overall solution are demonstrated.</t>
  </si>
  <si>
    <t xml:space="preserve">Spanish Ministry of Economy, Industry and Competitiveness through the State Secretariat for Research, Development and Innovation under the Adaptive Management of 5G Services to Support Critical Events in Cities (5G-City) Project(grant numbers:TEC2016-76795-C6-5-R); Department of Economic Development and Competitiveness of the Basque Government through the 5G4BRIS Research Project(grant numbers:KK-2020/00031); </t>
  </si>
  <si>
    <t>https://ieeexplore.ieee.org/stamp/stamp.jsp?arnumber=9272962</t>
  </si>
  <si>
    <t>Application virtualization;emergency services;multimedia communication;radio communication</t>
  </si>
  <si>
    <t>Streaming media;Containers;Virtualization;Performance evaluation;Time measurement;Reliability;Multimedia communication</t>
  </si>
  <si>
    <t>N. T. Y. Huan; Z. A. Zukarnain</t>
  </si>
  <si>
    <t>A Survey on Addressing IoT Security Issues by Embedding Blockchain Technology Solutions: Review, Attacks, Current Trends, and Applications</t>
  </si>
  <si>
    <t>10.1109/ACCESS.2024.3378592</t>
  </si>
  <si>
    <t>Department of Computer Network, Faculty Science and Information Technology, University Putra Malaysia, Seri Kembangan, Selangor, Malaysia; Faculty of Computer Science and Information Technology, University Putra Malaysia, Seri Kembangan, Malaysia</t>
  </si>
  <si>
    <t>By 2025, the Internet of Things (IoT) infrastructure is projected to encompass over 75 billion devices, facilitated by the increasing proliferation of intelligent applications. The IoT ecosystem consists of sensors that function as data generators and applications that necessitate financial transactions to compensate the data producers. Security is a highly important concern. Typically, IoT gadgets are vulnerable to security breaches, and the advancement of industrial systems might introduce severe security weakness. The rapid evolution of IoT technologies and deployment scenarios makes the existing research challenging to keep pace with emerging threats and vulnerabilities. Employing blockchain technology makes it feasible to enhance security by maintaining payments in a ledger that is not just secure but also translucent, distributed, and immutable. This article provides an introductory overview of the IoT and subsequently delves into the many security threats and vulnerabilities arising within the IoT framework. This study provided an overview of the blockchain, focusing on its categorization and important properties. Moreover, this article examines the necessity of combining blockchain technology with the IoT, in addition to reviewing relevant literature and the studies conducted by other scholars. This article offers insight into the uses of blockchain on the Internet of Things (IoT).</t>
  </si>
  <si>
    <t>https://ieeexplore.ieee.org/stamp/stamp.jsp?arnumber=10473992</t>
  </si>
  <si>
    <t>Blockchain;integration with IoT;blockchain characteristics;IoT security issues</t>
  </si>
  <si>
    <t>Internet of Things;Security;Blockchains;Sensors;Peer-to-peer computing;Routing;Malware</t>
  </si>
  <si>
    <t>M. Goudarzi; M. A. Rodriguez; M. Sarvi; R. Buyya</t>
  </si>
  <si>
    <t>$\mu$Œº-DDRL: A QoS-Aware Distributed Deep Reinforcement Learning Technique for Service Offloading in Fog Computing Environments</t>
  </si>
  <si>
    <t>10.1109/TSC.2023.3332308</t>
  </si>
  <si>
    <t>Cloud Computing and Distributed Systems (CLOUDS) Laboratory, School of Computing and Information Systems, University of Melbourne, Parkville, VIC, Australia; School of Computing and Information Systems, University of Melbourne, Parkville, VIC, Australia; Department of Infrastructure Engineering, University of Melbourne, Parkville, VIC, Australia; Cloud Computing and Distributed Systems (CLOUDS) Laboratory, School of Computing and Information Systems, University of Melbourne, Parkville, VIC, Australia</t>
  </si>
  <si>
    <t>Fog and Edge computing extend cloud services to the proximity of end users, allowing many Internet of Things (IoT) use cases, particularly latency-critical applications. Smart devices, such as traffic and surveillance cameras, often do not have sufficient resources to process computation-intensive and latency-critical services. Hence, the constituent parts of services can be offloaded to nearby Edge/Fog resources for processing and storage. However, making offloading decisions for complex services in highly stochastic and dynamic environments is an important, yet difficult task. Recently, Deep Reinforcement Learning (DRL) has been used in many complex service offloading problems; however, existing techniques are most suitable for centralized environments, and their convergence to the best-suitable solutions is slow. In addition, constituent parts of services often have predefined data dependencies and quality of service constraints, which further intensify the complexity of service offloading. To solve these issues, we propose a distributed DRL technique following the actor-critic architecture based on Asynchronous Proximal Policy Optimization (APPO) to achieve efficient and diverse distributed experience trajectory generation. Also, we employ PPO clipping and V-trace techniques for off-policy correction for faster convergence to the most suitable service offloading solutions. The results obtained demonstrate that our technique converges quickly, offers high scalability and adaptability, and outperforms its counterparts by improving the execution time of heterogeneous services.</t>
  </si>
  <si>
    <t>https://ieeexplore.ieee.org/stamp/stamp.jsp?arnumber=10316602</t>
  </si>
  <si>
    <t>Deep Reinforcement Learning (DRL);Fog/Edge Computing;Internet of Things (IoT);QoS- aware service Offloading</t>
  </si>
  <si>
    <t>Edge computing;Internet of Things;Quality of service;Trajectory;Servers;Stochastic processes;Costs</t>
  </si>
  <si>
    <t>PTP Journals</t>
  </si>
  <si>
    <t>Q. Yu; D. Liang; M. Qin; J. Chen; H. Zhou; J. Ren; Y. Li; J. Wu; Y. Gao; W. Zhang</t>
  </si>
  <si>
    <t>Cybertwin Based Cloud Native Networks</t>
  </si>
  <si>
    <t>Journal of Communications and Information Networks</t>
  </si>
  <si>
    <t>2509-3312</t>
  </si>
  <si>
    <t>10.23919/JCIN.2023.10272347</t>
  </si>
  <si>
    <t>PTP</t>
  </si>
  <si>
    <t>Peng Cheng Laboratory, Shenzhen 518055, China; Peng Cheng Laboratory, Shenzhen 518055, China; Peng Cheng Laboratory, Shenzhen 518055, China; Peng Cheng Laboratory, Shenzhen 518055, China; School of Electronic Science and Engineering, Nanjing University, Nanjing 210008, China; School of Information and Communication Engineering, University of Electronic Science and Technology of China, Chengdu 611730, China; Peng Cheng Laboratory, Shenzhen 518055, China; School of Computer Science, Fudan University, Shanghai 200433, China; Intelligent Networking and Computing Research Center and School of Computer Science, Fudan University, Shanghai 200433, China; School of Electrical Engineering and Telecommunications, University of New South Wales, Sydney 2052, Australia</t>
  </si>
  <si>
    <t>With the emerging applications of the Internet of things, artificial intelligence, and satellite communications, the future network will be featured as the Internet of everything around the globe. The network heterogeneity, applications cloudification, and personalized user services demand a revolutionary change in the network architecture. With the rapid development of cloud native technology, the new network should support heterogeneous networks and personalized quality of services for users. In this paper, we propose a Cybertwin-based cloud native network (CCNN) that merges the radio access network (RAN), the IP bearer network, and the data center network and is based on the cloud native data center network using Kubernetes as a network operating system for unified virtualization of computing, storage, and network resources, unified scheduling and allocation, and unified operation and management. Then, we propose a fully decoupled RAN architecture that can flexibly and efficiently utilize the resource for personlized user services. We also propose a Cybertwin-based management framework built on Kubernetes for integrated networking, computing and storage resource scheduling. Finally, we design an immunology-inspired intrinsic security architecture with zero trust security system and adaptive defense system. The proposed CCNN is a new network architecture expected to address future generation communications and networks challenges.</t>
  </si>
  <si>
    <t>https://ieeexplore.ieee.org/stamp/stamp.jsp?arnumber=10272347</t>
  </si>
  <si>
    <t>6G;network architecture;Cybertwin;cloud native;network security</t>
  </si>
  <si>
    <t>Cloud computing;5G mobile communication;Wireless fidelity;Internet;Servers;Computer architecture;Network architecture</t>
  </si>
  <si>
    <t>A. Barbie; W. Hasselbring</t>
  </si>
  <si>
    <t>From Digital Twins to Digital Twin Prototypes: Concepts, Formalization, and Applications</t>
  </si>
  <si>
    <t>10.1109/ACCESS.2024.3406510</t>
  </si>
  <si>
    <t>Software Engineering Group, Kiel University, Kiel, Germany; Software Engineering Group, Kiel University, Kiel, Germany</t>
  </si>
  <si>
    <t>The transformation to Industry 4.0 also transforms the processes of developing intelligent manufacturing production systems. Digital twins may be employed to advance the development of these new (embedded) software systems. However, there is no consensual definition of what a digital twin is. In this paper, we provide an overview of the current state of the digital twin concept and formalize the digital twin concept using the Object-Z notation. This formalization includes the concepts of physical twins, digital models, digital templates, digital threads, digital shadows, digital twins, and digital twin prototypes. The relationships between all these concepts are visualized as class diagrams using the Unified Modeling Language. Our digital twin prototype approach supports engineers in the development and automated testing of complex embedded software systems. This approach enables engineers to test embedded software systems in a virtual context without the need of a connection to a physical object. In continuous integration/continuous deployment pipelines, such digital twin prototypes can be used for automated integration testing and, thus, allow for an agile verification and validation process. In this paper, we demonstrate and report on the application and implementation of a digital twin using the example of two real-world field studies (ocean observation systems and smart farming). For independent replication and extension of our approach by other researchers, we provide a laboratory study published open source on GitHub.</t>
  </si>
  <si>
    <t xml:space="preserve">Deutsche Forschungsgemeinschaft (DFG) through Open Access Publikationskosten; </t>
  </si>
  <si>
    <t>https://ieeexplore.ieee.org/stamp/stamp.jsp?arnumber=10540125</t>
  </si>
  <si>
    <t>Cyber-physical systems;embedded software systems;digital twin prototypes;automated testing;continuous integration</t>
  </si>
  <si>
    <t>Digital twins;Unified modeling language;Embedded software;Testing;NASA;Mathematical models;Industrial Internet of Things;Cyber-physical systems;Testing;Automatic testing</t>
  </si>
  <si>
    <t>F. Cena; L. Console; A. Matassa; I. Torre</t>
  </si>
  <si>
    <t>Principles to Design Smart Physical Objects as Adaptive Recommenders</t>
  </si>
  <si>
    <t>10.1109/ACCESS.2017.2765746</t>
  </si>
  <si>
    <t>Dipartimento di Informatica, University of Torino, Torino, Italy; Dipartimento di Informatica, University of Torino, Torino, Italy; Dipartimento di Informatica, University of Torino, Torino, Italy; Dip. di Informatica, Bioingegneria, Robotica, Ingegneria dei Sistemi, University of Genova, Genova, Italy</t>
  </si>
  <si>
    <t>Recommenders have proven to be useful means to support people in their activities and in making decisions. They evolved from online recommenders to context-aware and ubiquitous recommenders. Moving forward along this line, this paper introduces the new emerging class of smart physical recommenders: context-aware recommender systems that are embedded into physical everyday objects. This paper describes the features of these systems and presents a conceptual model to design them, by analyzing a number of issues that have to be addressed by a designer and discussing the consequences of different design choices with their impact on the smartness of the designed object. The model is structured in a number of layers corresponding to different conceptual design phases in which different requirements are analyzed. The contribution of this paper is to discuss and provide design guidelines for a new rising class of recommenders that combine the features of intelligent agents, cyber-physical objects, and recommender-support systems. The description of the model is complemented by an exemplary analysis of its application.</t>
  </si>
  <si>
    <t>https://ieeexplore.ieee.org/stamp/stamp.jsp?arnumber=8086157</t>
  </si>
  <si>
    <t>Adaptive systems;context-aware recommenders;multi-layered design;smart objects</t>
  </si>
  <si>
    <t>Analytical models;Intelligent agents;Cognition;Computational modeling;Instruments;Tools</t>
  </si>
  <si>
    <t>S. Gaiardelli; S. Spellini; M. Panato; C. Tadiello; M. Lora; D. S. Cheng; F. Fummi</t>
  </si>
  <si>
    <t>Enabling Service-Oriented Manufacturing Through Architectures, Models, and Protocols</t>
  </si>
  <si>
    <t>10.1109/ACCESS.2024.3385634</t>
  </si>
  <si>
    <t>Department of Engineering for Innovation Medicine (DIMI), University of Verona, Verona, Italy; FACTORYAL S.r.l., San Giovanni Lupatoto, Italy; FACTORYAL S.r.l., San Giovanni Lupatoto, Italy; FACTORYAL S.r.l., San Giovanni Lupatoto, Italy; Department of Engineering for Innovation Medicine (DIMI), University of Verona, Verona, Italy; Department of Engineering for Innovation Medicine (DIMI), University of Verona, Verona, Italy; Department of Engineering for Innovation Medicine (DIMI), University of Verona, Verona, Italy</t>
  </si>
  <si>
    <t>Modern production lines are often composed of machinery from different vendors that must be connected with each other to increase the overall interoperability and flexibility. A common problem that arises in such systems is the complexity of the configuration task: they usually require each component to be manually configured. Thus, machinery requires different configuration strategies, negatively impacting scalability and increasing the chance of human errors. Furthermore, each time the manufacturing system has to be updated, the entire procedure must be repeated. This paper proposes a software architecture abstracting the complexity of existing production lines by enabling the service-oriented manufacturing paradigm. Then, it presents a strategy to model manufacturing systems, covering the topology of the production plant, machinery, and production recipes. The paper also proposes a model-based methodology to automatically configure the reference software architecture and hence the machines in the system. The application of the contributions to a fully-fledged production line shows the effectiveness of relying on model-based automatic configuration.</t>
  </si>
  <si>
    <t xml:space="preserve">European Union‚Äôs Horizon 2020 Research and Innovation Program through the Marie Sk≈Çodowska-Curie(grant numbers:894237); European Union Next-GenerationEU (Piano Nazionale di Ripresa e Resilienza (PNRR)‚ÄîMissione 4, Componente 2, and Investimento 1.5‚ÄîD.D. 1058 23/06/2022) through the PNRR Research Activities of the Consortium Interconnected North-Est Innovation Ecosystem (iNEST)(grant numbers:ECS_00000043); </t>
  </si>
  <si>
    <t>https://ieeexplore.ieee.org/stamp/stamp.jsp?arnumber=10493040</t>
  </si>
  <si>
    <t>Smart manufacturing;computer aided manufacturing;flexible manufacturing systems;software architecture;systems modeling</t>
  </si>
  <si>
    <t>Computer architecture;Manufacturing;Unified modeling language;Automation;Servers;Task analysis;Smart manufacturing;Computer aided manufacturing;Flexible manufacturing systems;Software architecture;Systems engineering and theory</t>
  </si>
  <si>
    <t>X. He; H. Xu; X. Xu; Y. Chen; Z. Wang</t>
  </si>
  <si>
    <t>An Efficient Algorithm for Microservice Placement in Cloud-Edge Collaborative Computing Environment</t>
  </si>
  <si>
    <t>10.1109/TSC.2024.3399650</t>
  </si>
  <si>
    <t>Faculty of Computing, Harbin Institute of Technology, Harbin, China; Faculty of Computing, Harbin Institute of Technology, Harbin, China; Faculty of Computing, Harbin Institute of Technology, Harbin, China; Faculty of Computing, Harbin Institute of Technology, Harbin, China; Faculty of Computing, Harbin Institute of Technology, Harbin, China</t>
  </si>
  <si>
    <t>Microservices along with cloud-edge computing technologies are widely adopted to take advantage of the abundant computing resources of the cloud and the low latency, high bandwidth capabilities of the edge. However, factors such as frequent user requirement changes have made the current deployment scheme not fully adaptable to new requirements, resulting in an increase in average response time. Therefore, the microservice system needs to adjust the microservice deployment scheme online in response to continuously changing user requirements to reduce the average response time, which is known as the cloud-edge collaborative microservice deployment problem. However, existing methods are not able to meet the efficiency requirements and do not fully consider the complex dependencies of microservices and budget constraints in the cloud. To address this problem, this paper proposes a solution to the cloud-edge collaborative microservice deployment problem by modeling it as an NP-hard integer nonlinear programming problem in a cloud-edge environment consisting of private edge clouds and public cloud. An efficient Two-stage Iterated Greedy Optimization (TIGO) algorithm is also proposed and its convergence is proven. Extensive experimental results show that this approach achieves better average response times in less time compared to existing methods.</t>
  </si>
  <si>
    <t xml:space="preserve">National Key Research and Development Program of China(grant numbers:2022ZD0115404); National Natural Science Foundation of China(grant numbers:62372140,61832014); </t>
  </si>
  <si>
    <t>https://ieeexplore.ieee.org/stamp/stamp.jsp?arnumber=10528881</t>
  </si>
  <si>
    <t>Cloud-Edge computing;microservice system;service deployment;complex dependencies</t>
  </si>
  <si>
    <t>Microservice architectures;Cloud computing;Time factors;Servers;Costs;Containers;Quality of service</t>
  </si>
  <si>
    <t>Z. Jiao; J. Zhang; P. Yao; L. Wan; X. Wang</t>
  </si>
  <si>
    <t>C4ISR Service Deployment Based on an Improved Quantum Evolutionary Algorithm</t>
  </si>
  <si>
    <t>10.1109/TNSM.2021.3054752</t>
  </si>
  <si>
    <t>Graduate College, Air Force Engineering University, Xi‚Äôan, China; Information and Navigation College, Air Force Engineering University, Xi‚Äôan, China; Information and Navigation College, Air Force Engineering University, Xi‚Äôan, China; ACT Navigation, Air Force Engineering University, Xi‚Äôan, China; Experimental Training Base of School of Information and Communication, University of National Defense Science and Technology, Xi‚Äôan, China</t>
  </si>
  <si>
    <t>To overcome the limited communication bandwidth in the deployment of command, control, communications, computers, intelligence, surveillance, and reconnaissance (C4ISR) services, a service deployment platform was extended from the cloud to a terminal platform based on the concept of fog computing. Additionally, computing and memory resources on the terminal platform were used to alleviate the communication pressure due to the flow of combat information. A corresponding C4ISR service deployment model was constructed, and the quantum evolutionary algorithm, the shortest path algorithm, and the pairwise exchange method were combined to create a two-level search algorithm. This method can plan the operational information flow path and service deployment simultaneously, thereby achieving the optimal deployment of services even under the constraints of limited communication bandwidth.</t>
  </si>
  <si>
    <t xml:space="preserve">National Natural Science Foundation of China(grant numbers:61403414,61573017); Natural Science Foundation of Shaanxi Province(grant numbers:2016JQ6062,2017JM6062); China Postdoctoral Science Foundation(grant numbers:2016M603042,2017T100817); </t>
  </si>
  <si>
    <t>https://ieeexplore.ieee.org/stamp/stamp.jsp?arnumber=9336054</t>
  </si>
  <si>
    <t>Bandwidth constraints C4ISR service deployment;pairwise exchange method;quantum evolutionary algorithm</t>
  </si>
  <si>
    <t>Bandwidth;Cloud computing;Computational modeling;Task analysis;Software;Processor scheduling;Service-oriented architecture</t>
  </si>
  <si>
    <t>D. Marsh-Hunn; S. Trilles; A. Gonz√°lez-P√©rez; J. Torres-Sospedra; F. Ramos</t>
  </si>
  <si>
    <t>A Comparative Study in the Standardization of IoT Devices Using Geospatial Web Standards</t>
  </si>
  <si>
    <t>10.1109/JSEN.2020.3031315</t>
  </si>
  <si>
    <t>GeOps Spatial Web, Freiburg, Germany; Institute of New Imaging Technologies, Universitat Jaume I, Castell√≥n de la Plana, Spain; Institute of New Imaging Technologies, Universitat Jaume I, Castell√≥n de la Plana, Spain; UBIK Geospatial Solutions S.L., Castell√≥n de la Plana, Spain; Institute of New Imaging Technologies, Universitat Jaume I, Castell√≥n de la Plana, Spain</t>
  </si>
  <si>
    <t>Although billions of devices are embedded in the World Wide Web through the Internet of Things, there is still a lack of a common, interoperable way to connect them and make them interact seamlessly. IoT has also found its way into the spatial web. Environmental monitoring and sensing platforms connected over the web by wireless sensor networks are now a common way to monitor natural phenomena. This study compares two open Web Standards (OGC's Sensor Observation Service and SensorThings API) from the geospatial point of view. An IoT platform, called SEnviro, is used to integrate and evaluate implementations for each standard and contrast their qualitative and quantitative traits. The results of the study show that the SensorThings API proves to be the adequate Web Standard for IoT applications in terms of interoperability. It outperforms the contesting Web Standard in terms of flexibility and scalability, which strongly impacts on developer and user experience.</t>
  </si>
  <si>
    <t xml:space="preserve">Postdoctoral Juan de la Cierva Fellowship Programme of the Spanish Ministry for Science and Innovation(grant numbers:IJC2018-035017-I); Subvenciones para la Realizaci√≥n de Proyectos de I+D+i Desarrollados por Grupos de Investigaci√≥n Emergentes programme(grant numbers:GV/2020/035); </t>
  </si>
  <si>
    <t>https://ieeexplore.ieee.org/stamp/stamp.jsp?arnumber=9224992</t>
  </si>
  <si>
    <t>Internet of Things;interoperability;geospatial standards;sensors</t>
  </si>
  <si>
    <t>Standards;Internet of Things;Geospatial analysis;Interoperability;Sensor phenomena and characterization</t>
  </si>
  <si>
    <t>S. T. Ahmed; V. V. Kumar; J. Jeong</t>
  </si>
  <si>
    <t>Heterogeneous Workload-Based Consumer Resource Recommendation Model for Smart Cities: eHealth Edge‚ÄìCloud Connectivity Using Federated Split Learning</t>
  </si>
  <si>
    <t>10.1109/TCE.2024.3374462</t>
  </si>
  <si>
    <t>Department of Electrical Engineering, Indian Institute of Technology Hyderabad, Hyderabad, India; School of Computer Science Engineering and Information Systems, Vellore Institute of Technology, Vellore, India; Department of Computer Science and Engineering, Dongguk University, Seoul, Republic of Korea</t>
  </si>
  <si>
    <t>Over the past decade, there has been a significant surge in consumer application services and server connectivity, and this trend is expected to double in 2030. The primary contributors to the increased demand for network resources are devices connected through third-party service providers and mobile operators. Many prominent consumer services rely on a client-server architecture, which can introduce latency delays in the communication channel. Additionally, peer-to-peer (P2P) communication places a substantial load on eHealth servers, leading to service delays. In this research paper, we propose a model for scheduling heterogeneous workloads and recommending resources for eHealth edge-cloud connectivity using Federated Split Learning (FSL) model for smart cities. Distributed FSL offers a robust solution for handling both direct and indirect user requests through a distributed mobile core operator stack. This technique empowers eHealth administrators to locally learn optimal policies and make informed decisions by prioritizing resource allocation and scheduling. We demonstrate the effectiveness of this technique through an active simulation server designed for track-driven caching policy and local policy scheduling, ultimately enhancing resource recommendation in eHealth applications. The proposed technique is focused on the development of a heterogeneous workload recommendation system and obtained accuracy of 89.63% over 200 users trails.</t>
  </si>
  <si>
    <t xml:space="preserve">Dongguk University Research Fund of 2023(grant numbers:S-2023-G0001-00043); </t>
  </si>
  <si>
    <t>https://ieeexplore.ieee.org/stamp/stamp.jsp?arnumber=10473185</t>
  </si>
  <si>
    <t>Federated split learning;smart cities;eHealth server;distributed computing;edge computing;resource recommendation</t>
  </si>
  <si>
    <t>Resource management;Servers;Task analysis;Computational modeling;Processor scheduling;Electronic healthcare;Recommender systems</t>
  </si>
  <si>
    <t>CIE Journals</t>
  </si>
  <si>
    <t>K. Shang; W. He; S. Zhang</t>
  </si>
  <si>
    <t>Review on Security Defense Technology Research in Edge Computing Environment</t>
  </si>
  <si>
    <t>Chinese Journal of Electronics</t>
  </si>
  <si>
    <t>2075-5597</t>
  </si>
  <si>
    <t>10.23919/cje.2022.00.170</t>
  </si>
  <si>
    <t>CIE</t>
  </si>
  <si>
    <t>National Digital Switching System Engineering and Technological R&amp;D Center, Zhengzhou, China; National Digital Switching System Engineering and Technological R&amp;D Center, Zhengzhou, China; National Digital Switching System Engineering and Technological R&amp;D Center, Zhengzhou, China</t>
  </si>
  <si>
    <t>Edge computing, which achieves quick data processing by sinking data computing and storage to the network edge, has grown rapidly along with the Internet of things. The new network architecture of edge computing brings new security challenges. Based on this, this paper investigates the edge computing security literature published in recent years and summarizes and analyzes research work on edge computing security from different attack surfaces. We start with the definition and architecture of edge computing. From the attack surface between device and edge server, as well as on edge servers, the research describes the security threats and defense methods of edge computing. In addition, the cause of the attack and the pros and cons of defense methods is introduced. The challenges and future research directions of edge computing are given.</t>
  </si>
  <si>
    <t xml:space="preserve">National Natural Science Foundation of China(grant numbers:62072467); National Key R&amp;D Program of China(grant numbers:2021YFB1006200,2021YFB1006201); </t>
  </si>
  <si>
    <t>https://ieeexplore.ieee.org/stamp/stamp.jsp?arnumber=10410603</t>
  </si>
  <si>
    <t>Edge computing;Security;Threat;Defense;Architecture;Attack surface</t>
  </si>
  <si>
    <t>Cloud computing;Systems architecture;Computer architecture;Network architecture;Data processing;Security;Servers</t>
  </si>
  <si>
    <t>E. J. Khatib; C. S. √Ålvarez-Merino; H. Q. Luo-Chen; R. B. Moreno</t>
  </si>
  <si>
    <t>Designing a 6G Testbed for Location: Use Cases, Challenges, Enablers and Requirements</t>
  </si>
  <si>
    <t>10.1109/ACCESS.2023.3240775</t>
  </si>
  <si>
    <t>E.T.S.I. de Telecomunicaci√≥n, Telecommunication Research Institute (TELMA), Universidad de M√°laga, M√°laga, Spain; E.T.S.I. de Telecomunicaci√≥n, Telecommunication Research Institute (TELMA), Universidad de M√°laga, M√°laga, Spain; E.T.S.I. de Telecomunicaci√≥n, Telecommunication Research Institute (TELMA), Universidad de M√°laga, M√°laga, Spain; E.T.S.I. de Telecomunicaci√≥n, Telecommunication Research Institute (TELMA), Universidad de M√°laga, M√°laga, Spain</t>
  </si>
  <si>
    <t>Location will have a central role in Research and Development (R&amp;D) towards 6G networks, both as a service offered by the network (improving the current offering of 5G) and as an input to increasingly location-aware services and network functions. To integrate location into 6G standards, it will be very important to design validation systems such as testbeds, even when the actual technology is not yet commercially available. This paper performs a review of the use cases and their requirements, enabling technologies in 6G, and challenges; and proposes a flexible testbed architecture for performing network location related R&amp;D. This architecture will allow to deploy an evolving infrastructure which will allow early validation of 6G technologies.</t>
  </si>
  <si>
    <t xml:space="preserve">Horizon 2020 Project LOCalization and analytics on-demand embedded in the 5G ecosystem, for Ubiquitous vertical applicationS (LOCUS) from the European Union(grant numbers:871249); Junta de Andalucia(grant numbers:PY18-4647:PENTA); </t>
  </si>
  <si>
    <t>https://ieeexplore.ieee.org/stamp/stamp.jsp?arnumber=10032155</t>
  </si>
  <si>
    <t>Testbed;proof-of-concept;B5G;6G;location;positioning</t>
  </si>
  <si>
    <t>6G mobile communication;5G mobile communication;Computer architecture;Research and development;Wireless fidelity;Global navigation satellite system</t>
  </si>
  <si>
    <t>D. Bianchini; T. Fapanni; M. Garda; F. Leotta; M. Mecella; A. Rula; E. Sardini</t>
  </si>
  <si>
    <t>Digital Thread for Smart Products: A Survey on Technologies, Challenges, and Opportunities in Service-Oriented Supply Chains</t>
  </si>
  <si>
    <t>10.1109/ACCESS.2024.3454375</t>
  </si>
  <si>
    <t>Department of Information Engineering, University of Brescia, Brescia, Italy; Department of Information Engineering, University of Brescia, Brescia, Italy; Department of Information Engineering, University of Brescia, Brescia, Italy; Department of Computer, Control and Management Engineering, University of Rome ‚ÄúLa Sapienza,‚Äù, Rome, Italy; Department of Computer, Control and Management Engineering, University of Rome ‚ÄúLa Sapienza,‚Äù, Rome, Italy; Department of Information Engineering, University of Brescia, Brescia, Italy; Department of Information Engineering, University of Brescia, Brescia, Italy</t>
  </si>
  <si>
    <t>In Smart Manufacturing, the recent opportunities provided by the Information and Communication Technologies have paved the way to a seamless connection of the manufactured product throughout its entire lifecycle, leading to the diffusion of the concepts of Smart Product and Digital Thread, which leverage digital technologies to assure a continuous flow of data encompassing the design phase of a product, manufacturing, operation, maintenance and also its eventual disposal or recycling. This compelling need to obtain a unified view of information associated with Smart Products has stimulated the so-called Internet of Services (IoS) paradigm, allowing for the sharing of products data and the execution of functions among various participants in intertwined supply chains. In these contexts, service-oriented architectures are being more and more employed to meet the complex and ever-evolving data analysis requirements, particularly when implementing Digital Thread solutions for Smart Products, where several issues must be considered, ranging from the heterogeneity of (Big) data to data sovereignty and data access policies, as information may cross the borders of multiple actors participating in intertwined supply chains. This survey discusses about the technological solutions and challenges to implement Digital Threads for Smart Products in Smart Manufacturing contexts, providing insights on opportunities for future research directions. In addition, the survey proposes a comprehensive multi-tier service-oriented architectural model to jointly tackle (Big) data heterogeneity, data sovereignty and data access policies issues, as they are only partially addressed by the research efforts examined in the literature review.</t>
  </si>
  <si>
    <t xml:space="preserve">Next-GenerationEU (Italian Piano Nazionale di Ripresa e Resilienza (PNRR)‚ÄîM4 C2, Invest 1.3‚ÄîD.D. 1551.11-10-2022)(grant numbers:PE00000004); </t>
  </si>
  <si>
    <t>https://ieeexplore.ieee.org/stamp/stamp.jsp?arnumber=10664538</t>
  </si>
  <si>
    <t>Service-oriented architectures;smart products;digital thread;Internet of Services;cyber-physical production network;smart factory</t>
  </si>
  <si>
    <t>Surveys;Smart manufacturing;Computer architecture;Supply chains;Instruction sets;Distributed databases;Data models;Service-oriented architecture;Product delivery;Cyber-physical systems</t>
  </si>
  <si>
    <t>C. Wang; H. Yu; X. Li; F. Ma; X. Wang; T. Taleb; V. C. M. Leung</t>
  </si>
  <si>
    <t>Dependency-Aware Microservice Deployment for Edge Computing: A Deep Reinforcement Learning Approach With Network Representation</t>
  </si>
  <si>
    <t>10.1109/TMC.2024.3453069</t>
  </si>
  <si>
    <t>College of Computer Science and Software Engineering, Guangdong Laboratory of Artificial Intelligence and Digital Economy (SZ), Shenzhen University, Shenzhen, China; ICTFicial Oy, Espoo, Finland; School of Big Data &amp; Software Engineering, Chongqing University, Chongqing, China; Shenzhen Institute, Tsinghua University, Shenzhen, China; College of Intelligence and Computing, Tianjin University, Tianjin, China; Faculty of Electrical Engineering and Information Technology, Ruhr University Bochum, Bochum, Germany; College of Computer Science &amp; Software Engineering, Shenzhen University, Shenzhen, China</t>
  </si>
  <si>
    <t>The popularity of microservices in industry has sparked much attention in the research community. Despite significant progress in microservice deployment for resource-intensive services and applications at the network edge, the intricate dependencies among microservices are often overlooked, and some studies underestimate the importance of system context extraction in deployment strategies. This paper addresses these issues by formulating the microservice deployment problem as a max-min problem, considering system cost and quality of service (QoS) jointly. We first study the attention-based microservice representation (AMR) method to achieve effective system context extraction. In this way, the contributions of different computing power providers (users, edge servers, or cloud servers) in the networks can be effectively paid attention to. Subsequently, we propose the attention-modified soft actor-critic (ASAC) algorithm to tackle the microservice deployment problem. ASAC leverages attention mechanisms to enhance decision-making and adapt to changing system dynamics. Our simulation results demonstrate ASAC's effectiveness, prioritizing average system cost and reward compared to the other state-of-the-art algorithms.</t>
  </si>
  <si>
    <t xml:space="preserve">Science and Technology Innovation Key R&amp;D Program of Chongqing(grant numbers:CSTB2023TIAD-STX0035); National NSFC(grant numbers:62372072,62072332); Chongqing Research Program of Basic Research and Frontier Technology(grant numbers:cstc2022ycjhbgzxm0058); Regional Science and Technology Innovation Cooperation Project of Chengdu City(grant numbers:2023-YF11-00023-HZ); Tianjin Xinchuang Haihe Lab(grant numbers:22HHXCJC00002); European Union's(grant numbers:101139172); AerOS(grant numbers:101069732); </t>
  </si>
  <si>
    <t>https://ieeexplore.ieee.org/stamp/stamp.jsp?arnumber=10663201</t>
  </si>
  <si>
    <t>Attention mechanism;deep reinforcement learning;dependency-aware;edge computing;microservice deployment;network representation</t>
  </si>
  <si>
    <t>Microservice architectures;Servers;Heuristic algorithms;Decision making;Computer architecture;Cloud computing;Quality of service</t>
  </si>
  <si>
    <t>C. K. Dehury; P. K. Sahoo; B. Veeravalli</t>
  </si>
  <si>
    <t>RRFT: A Rank-Based Resource Aware Fault Tolerant Strategy for Cloud Platforms</t>
  </si>
  <si>
    <t>10.1109/TCC.2021.3126677</t>
  </si>
  <si>
    <t>Mobile &amp; Cloud Lab, Institute of Computer Science, University of Tartu, Tartu, Estonia; Department of Computer Science and Information Engineering, Chang Gung University, Guishan, Taiwan; Department of Electrical and Computer Engineering, National University of Singapore, Singapore, Singapore</t>
  </si>
  <si>
    <t>The applications that are deployed in the cloud to provide services to the users encompass a large number of interconnected dependent cloud components. Multiple identical components are scheduled to run concurrently in order to handle unexpected failures and provide uninterrupted service to the end user, which introduces resource overhead problem for the cloud service provider. Furthermore such resource-intensive fault tolerant strategies bring extra monetary overhead to the cloud service provider and eventually to the cloud users. In order to address these issues, a novel fault tolerant strategy based on the significance level of each component is developed. The communication topology among the application components, their historical performance, failure rate, failure impact on other components, dependencies among them, etc., are used to rank those application components to further decide on the importance of one component over others. Based on the rank, a Markov Decision Process (MDP) model is presented to determine the number of replicas that varies from one component to another. A rigorous performance evaluation is carried out using some of the most common practically useful metrics such as, recovery time upon a fault, average number of components needed, number of parallel components successfully executed, etc., to quote a few, with similar component ranking and fault tolerant strategies. Simulation results demonstrate that the proposed algorithm reduces the required number of virtual and physical machines by approximately 10% and 4.2%, respectively, compared to other similar algorithms.</t>
  </si>
  <si>
    <t xml:space="preserve">Ministry of Science and Technology, Taiwan(grant numbers:110-2221-E-182-008-MY3); </t>
  </si>
  <si>
    <t>https://ieeexplore.ieee.org/stamp/stamp.jsp?arnumber=9609649</t>
  </si>
  <si>
    <t>Cloud computing;component ranking;fault tolerance;Markov decision process</t>
  </si>
  <si>
    <t>Cloud computing;Fault tolerant systems;Fault tolerance;Servers;Software;Task analysis;Software as a service</t>
  </si>
  <si>
    <t>D. F. Blanco; F. le Mou√´l; T. Lin</t>
  </si>
  <si>
    <t>Fenrir: Blockchain-Based Inter-Company App-Store for the Automotive Industry</t>
  </si>
  <si>
    <t>10.1109/ACCESS.2022.3223130</t>
  </si>
  <si>
    <t>Univ Lyon, INSA Lyon, Inria, CITI, EA3720, Villeurbanne, France; Univ Lyon, INSA Lyon, Inria, CITI, EA3720, Villeurbanne, France; Stellantis, Velizy-Villacoublay, France</t>
  </si>
  <si>
    <t>From a software evolution perspective, more actors are integrating the in-vehicle software development cycle. In this process, software deployment mechanisms must include more complex techniques to meet the software verification and traceability levels required by industry safety and security constraints. In this context, we propose Fenrir, a public inter-automaker blockchain-based application store framework in which each automaker retains software installability control. This application store also aims to ensure traceability and security, while also keeping the solution light in terms of both energy consumption and computing requirements, to be used in constrained environments.We implemented Fenrir in a heterogeneous architecture composed by both on-board (bearing an ARM Cortex-A53 chipset, already deployed in cars) and off-board (Amazon EC2) nodes for a realistic automotive use-case scenario, in which we evaluated the performance and energy consumption. We demonstrate that the overheads added by our solution for an entire software deployment pipeline‚Äîcomprising both deployment and usage of already deployed software packages‚Äîdepends mainly on the verification mechanism, whose impact is not significant, i.e., 3.8% for the worst-case scenario and 0.3% for a typical scenario.</t>
  </si>
  <si>
    <t xml:space="preserve">STELLANTIS under the collaborative framework OpenLab VAT@Lyon, involving STELLANTIS and CITI Laboratory (ANRT)(grant numbers:2020/1415); </t>
  </si>
  <si>
    <t>https://ieeexplore.ieee.org/stamp/stamp.jsp?arnumber=9954374</t>
  </si>
  <si>
    <t>Automotive;application store;blockchain;distributed systems;multi-provider;software dependency management;software deployment</t>
  </si>
  <si>
    <t>Blockchains;Automotive engineering;Computer architecture;Standards;Sensors;Actuators;Security;Software engineering;Distributed processing</t>
  </si>
  <si>
    <t>Q. -H. Chen; C. -Y. Wen</t>
  </si>
  <si>
    <t>Optimal Resource Allocation Using Genetic Algorithm in Container-Based Heterogeneous Cloud</t>
  </si>
  <si>
    <t>10.1109/ACCESS.2024.3351944</t>
  </si>
  <si>
    <t>Department of Electrical Engineering, National Chung Hsing University, Taichung, Taiwan; Department of Electrical Engineering, National Chung Hsing University, Taichung, Taiwan</t>
  </si>
  <si>
    <t>This paper tackles the complex problem of optimizing resource configuration for microservice management in heterogeneous cloud environments. To address this challenge, an enhanced framework, the multi-objective microservice allocation (MOMA) algorithm, is developed to formulate the efficient resource management of cloud microservice resources as a constrained optimization problem, guided by resource utilization and network communication overhead, which are two important factors in microservice resource allocation. The proposed framework simplifies the deployment of cloud services and streamlines workload monitoring and analysis within a diverse cloud system. A comprehensive comparison is made between the effectiveness of the proposed algorithm and existing algorithms on real-world datasets, with a focus on resource balancing, network overhead, and network reliability. Experimental results reveal that the proposed algorithm significantly enhances resource utilization, reduces network transmission overhead, and improves reliability.</t>
  </si>
  <si>
    <t xml:space="preserve">Smart Sustainable New Agriculture Research Center (SMARTer), National Science and Technology Council, Taiwan(grant numbers:111-2634-F-005-001); </t>
  </si>
  <si>
    <t>https://ieeexplore.ieee.org/stamp/stamp.jsp?arnumber=10385169</t>
  </si>
  <si>
    <t>Resource allocation;genetic algorithm;container-based heterogeneous cloud;multi-objective optimization;microservice</t>
  </si>
  <si>
    <t>Resource management;Microservice architectures;Scheduling;Optimization;Monitoring;Genetic algorithms;Clustering algorithms</t>
  </si>
  <si>
    <t>T. Liu; J. Wang; B. Kim; J. Xie; Z. Han</t>
  </si>
  <si>
    <t>A Hierarchical Vehicular-Based Architecture for Vehicular Networks: A Case Study on Computation Offloading</t>
  </si>
  <si>
    <t>10.1109/ACCESS.2020.3029169</t>
  </si>
  <si>
    <t>Nanjing Institute of Technology, Nanjing, China; School of Computer Science and Technology, Nanjing University of Aeronautics and Astronautics, Nanjing, China; InfoTech Labs, Toyota Motor North America, Mountain View, CA, USA; Department of Electrical and Computer Engineering, University of North Carolina at Charlotte, Charlotte, NC~, USA; Department of Electrical and Computer Engineering, University of Houston, Houston, TX, USA</t>
  </si>
  <si>
    <t>In order to realize an intelligent transportation system (ITS) which will provide smooth urban traffic, autonomous driving, accurate route navigation, etc., enormous computations need to be migrated from cloud centers to edge nodes, especially for the services requiring stringent latency. In addition to base stations and road side units (RSUs), vehicles can be alteratively considered as a kind of computation resources. In this article, a hierarchical vehicular-based architecture which consists of cloud centers and vehicles is investigated. Computation offloading performance in the hierarchical architecture is also studied. In specific, the main components in vehicular networks and their characteristics on communication and computations are presented firstly. Several communication techniques that are essential in enabling computation offloading among these components are then discussed. Secondly, a hierarchical vehicular-based architecture, which integrates the main components, is constructed. Thirdly, a case study on computation offloading in the proposed architecture is conducted. In the concerned scenario, the computation offloading problem is modelled as a multi-dimensional multiple knapsack problem (MMKP). Two algorithms are investigated, among which, the first algorithm is a greedy heuristic method providing a sub-optimal solution with a low computational complexity. The second algorithm is a modified branch and bound (B&amp;B) method, which can obtain the best solution with a high computational complexity. Numerical results are also presented to verify the performance of the two algorithms. It can be demonstrated that the proposed architecture can migrate more computations from cloud centers to vehicular nodes, when the computations require more communication resources.</t>
  </si>
  <si>
    <t xml:space="preserve">National Natural Science Foundation of China(grant numbers:61702258,62002166); Key Projects of Natural Science Research in Colleges and Universities of Jiangsu Province(grant numbers:19KJA410001); Foundation of Jiangsu Advanced Numerical Control Technology Key Laboratory(grant numbers:SYKJ201901,NSF EARS-1839818,CNS-1717454,CNS-1731424,CNS-1702850,CNS-1718666,CNS-1731675,CNS-1910667,CNS-1910891,CNS-2025284); China Postdoctoral Science Foundation(grant numbers:2020M671483); </t>
  </si>
  <si>
    <t>https://ieeexplore.ieee.org/stamp/stamp.jsp?arnumber=9214822</t>
  </si>
  <si>
    <t>Hierarchical vehicular architecture;intelligent transportation system;computation offloading;multi-dimensional multiple knapsack problem;branch and bound algorithm</t>
  </si>
  <si>
    <t>Computer architecture;Task analysis;Edge computing;Cloud computing;Servers;Electronic mail;Computational modeling</t>
  </si>
  <si>
    <t>B. Guindani; D. Ardagna; A. Guglielmi; R. Rocco; G. Palermo</t>
  </si>
  <si>
    <t>Integrating Bayesian Optimization and Machine Learning for the Optimal Configuration of Cloud Systems</t>
  </si>
  <si>
    <t>10.1109/TCC.2024.3361070</t>
  </si>
  <si>
    <t>Department of Electronics, Information, and Bioengineering, Politecnico di Milano, Milano, Italy; Department of Electronics, Information, and Bioengineering, Politecnico di Milano, Milano, Italy; Department of Mathematics, Politecnico di Milano, Milano, Italy; Department of Electronics, Information, and Bioengineering, Politecnico di Milano, Milano, Italy; Department of Electronics, Information, and Bioengineering, Politecnico di Milano, Milano, Italy</t>
  </si>
  <si>
    <t>Bayesian Optimization (BO) is an efficient method for finding optimal cloud configurations for several types of applications. On the other hand, Machine Learning (ML) can provide helpful knowledge about the application at hand thanks to its predicting capabilities. This work proposes a general approach based on BO, which integrates elements from ML techniques in multiple ways, to find an optimal configuration of recurring jobs running in public and private cloud environments, possibly subject to black-box constraints, e.g., application execution time or accuracy. We test our approach by considering several use cases, including edge computing, scientific computing, and Big Data applications. Results show that our solution outperforms other state-of-the-art black-box techniques, including classical autotuning and BO- and ML-based algorithms, reducing the number of unfeasible executions and corresponding costs up to 2‚Äì4 times.</t>
  </si>
  <si>
    <t xml:space="preserve">MUR(grant numbers:2023-2027); European Commission(grant numbers:956137); </t>
  </si>
  <si>
    <t>https://ieeexplore.ieee.org/stamp/stamp.jsp?arnumber=10418550</t>
  </si>
  <si>
    <t>Acquisition function;Bayesian optimization;black-box optimization;machine learning</t>
  </si>
  <si>
    <t>Cloud computing;Optimization;Closed box;Computational modeling;Costs;Software algorithms;Bayes methods</t>
  </si>
  <si>
    <t>M. Raeiszadeh; A. Ebrahimzadeh; R. H. Glitho; J. Eker; R. A. F. Mini</t>
  </si>
  <si>
    <t>Real-Time Adaptive Anomaly Detection in Industrial IoT Environments</t>
  </si>
  <si>
    <t>10.1109/TNSM.2024.3447532</t>
  </si>
  <si>
    <t>Concordia Institute for Information Systems Engineering, Concordia University, Montreal, QC, Canada; Concordia Institute for Information Systems Engineering, Concordia University, Montreal, QC, Canada; Concordia Institute for Information Systems Engineering, Concordia University, Montreal, QC, Canada; Ericsson Research, Lund, Sweden; Ericsson Research, Lund, Sweden</t>
  </si>
  <si>
    <t>To ensure reliability and service availability, next-generation networks are expected to rely on automated anomaly detection systems powered by advanced machine learning methods with the capability of handling multi-dimensional data. Such multi-dimensional, heterogeneous data occurs mostly in today‚Äôs Industrial Internet of Things (IIoT), where real-time detection of anomalies is critical to prevent impending failures and resolve them in a timely manner. However, existing anomaly detection methods often fall short of effectively coping with the complexity and dynamism of multi-dimensional data streams in IIoT. In this paper, we propose an adaptive method for detecting anomalies in IIoT streaming data utilizing a multi-source prediction model and concept drift adaptation. The proposed anomaly detection algorithm merges a prediction model into a novel drift adaptation method resulting in accurate and efficient anomaly detection that exhibits improved scalability. Our trace-driven evaluations indicate that the proposed method outperforms the state-of-the-art anomaly detection methods by achieving up to an 89.71% accuracy (in terms of Area under the Curve (AUC)) while meeting the given efficiency and scalability requirements.</t>
  </si>
  <si>
    <t xml:space="preserve">Ericsson/ENCQOR-5G Senior Industrial Research Chair on Cloud and Edge Computing for 5G and Beyond; </t>
  </si>
  <si>
    <t>https://ieeexplore.ieee.org/stamp/stamp.jsp?arnumber=10643234</t>
  </si>
  <si>
    <t>Anomaly detection;real-time analytics;concept drift;streaming data;Industrial Internet of Things (IIoT)</t>
  </si>
  <si>
    <t>Anomaly detection;Industrial Internet of Things;Real-time systems;Concept drift;Predictive models;Autoregressive processes;Accuracy</t>
  </si>
  <si>
    <t>R. Ntassah; G. Michele Dell‚ÄôArea; F. Granelli</t>
  </si>
  <si>
    <t>User Classification and Traffic Steering in O-RAN</t>
  </si>
  <si>
    <t>10.1109/OJCOMS.2024.3413590</t>
  </si>
  <si>
    <t>DISI, University of Trento, Trento, Italy; Telecom Italia, Turin, Italy; DISI, University of Trento, Trento, Italy</t>
  </si>
  <si>
    <t>The O-RAN architectural framework enables the application of AI/ML techniques for traffic steering and load balancing. Indeed, an effective steering technique is crucial to avoiding ping-pong and radio link failure. Limited observability and network complexity make it challenging to understand individual user needs. Consequently, traffic steering methods struggle to make optimal decisions, resulting in performance degradation due to unnecessary handovers. Motivated by this, we present an xApp for the RAN intelligence controller (RIC) for user equipment (UE) steering to ensure an even load distribution among cells while maintaining an acceptable throughput level. We propose an ML-aided traffic steering technique. The proposed method comprises three phases: UE classification, downlink (DL) throughput prediction, and a traffic steering (TS) technique. A support vector machine (SVM) is used for UE classification, followed by cell throughput prediction using ensemble Long Short-Term Memory (E-LSTM). The TS algorithm uses the information from the ML models to initiate handovers (HO). The SVM model identifies UEs with low throughput, while the E-LSTM predicts cell DL throughput to provide information about potential target cells for these UEs. Experimental results demonstrate that the proposed method achieves an even load distribution of UEs in 60.25% of the cells with few handovers, while also significantly improving UE throughput.</t>
  </si>
  <si>
    <t xml:space="preserve">Telecom Italia in the framework of the UniversiTIM Program; </t>
  </si>
  <si>
    <t>https://ieeexplore.ieee.org/stamp/stamp.jsp?arnumber=10555357</t>
  </si>
  <si>
    <t>Bagging;DL throughput;load balancing;LSTM;O-RAN;supervised learning;SVM;traffic steering;xApp</t>
  </si>
  <si>
    <t>Throughput;Predictive models;Support vector machines;Load modeling;Radio frequency;Long short term memory;Handover</t>
  </si>
  <si>
    <t>N. A. Singh; A. Roy; S. Misra</t>
  </si>
  <si>
    <t>Edge Intelligence for Rendering Green Camera-Network-as-a-Service</t>
  </si>
  <si>
    <t>10.1109/TGCN.2021.3126276</t>
  </si>
  <si>
    <t>Department of Computer Science and Engineering, Indian Institute of Technology Kharagpur, Kharagpur, India; Advanced Technology Development Centre, Indian Institute of Technology Kharagpur, Kharagpur, India; Department of Computer Science and Engineering, Indian Institute of Technology Kharagpur, Kharagpur, India</t>
  </si>
  <si>
    <t>This work proposes the Green Camera-Network-as-a-Service (G-CNaaS) architecture, which provides on-demand camera networks to multiple end-users simultaneously while utilizing minimal energy. G-CNaaS simultaneously reduces the carbon footprint and eliminates the single application-centric approach of traditional camera networks (TCNs) by enabling each camera to participate in multiple Virtual-Camera-Networks (VCNs) and selecting an optimal set of cameras for each VCN. We couple each camera node in every VCNs with a learning model suitable for the requested application. We assign an intelligent edge device to each VCN to analyze time-sensitive events. We introduce the camera selection factor by leveraging the properties of cameras: 1) field-of-view (FoV); 2) angular-distance; 3) observation range; and 4) residual energy to select the optimal camera set. The results of the extensive simulation of the G-CNaaS architecture show that it excels in performance concerning attributes such as the average lifetime, fair distribution of the work among the camera owners, and cost-effectiveness compared to the TCNs. We observe that the expenditure of a user using the TCN varies by 88.7%, while in the case of G-CNaaS, the expenditure varies by 10.28% with the increase in time from 1‚Äì60 months. On the other hand, the average energy consumed increases by 59.88% and 99.5% in the presence of 10 and 20 camera sensor owners.</t>
  </si>
  <si>
    <t xml:space="preserve">Department of Science and Technology‚ÄîINSPIRE Fellowship (Sanction letter no. DST/INSPIRE Fellowship/2017/1F170547), Government of India; </t>
  </si>
  <si>
    <t>https://ieeexplore.ieee.org/stamp/stamp.jsp?arnumber=9606213</t>
  </si>
  <si>
    <t>Edge intelligence;green computing;virtual camera network;network services;virtualization;cost effectiveness</t>
  </si>
  <si>
    <t>Cameras;Sensors;Streaming media;Carbon footprint;Surveillance;Virtualization;Real-time systems</t>
  </si>
  <si>
    <t>F. He; L. Shen; X. Peng</t>
  </si>
  <si>
    <t>Resource Choreography in Cyber-Physical-Social Systems: Representation, Modeling and Execution</t>
  </si>
  <si>
    <t>10.1109/TSC.2021.3138637</t>
  </si>
  <si>
    <t>Shanghai Key Laboratory of Data Science, School of Computer Science, Fudan University, Shanghai, China; Shanghai Key Laboratory of Data Science, School of Computer Science, Fudan University, Shanghai, China; Shanghai Key Laboratory of Data Science, School of Computer Science, Fudan University, Shanghai, China</t>
  </si>
  <si>
    <t>Myriad of heterogeneous resources are widely distributed in the cyber, physical and social spaces. These resources are integrated by software to form diverse Cyber-Physical-Social Systems (CPSSs). Among them, the CPSSs in the form of resource choreography is receiving more attention. Traditional software development methods may not be suitable for constructing and executing CPSS applications (CPSS-Apps) with the characteristics of loosely-coupled resource collaboration and spatial-temporal constraints sensitive. In this article we propose a comprehensive framework to support resource choreography from the perspectives of representation, modeling and execution. In the framework, a CPSS-App is represented by an application model conforming to a meta-model. An application model is generated by a multi-scene storyboard modeling tool. The model is further used to customize the capability units acting as the abstract unit of the resources providing the same service. An architecture following the microservice style is applied to achieve the choreography of the capability units by asynchronous message communication while a resource is determined by application-level service discovery. The framework is evaluated through a human experiment. The results show that the application construction and execution by the framework is feasible. The modeling tool is usable and the execution architecture is scalable in different environment settings.</t>
  </si>
  <si>
    <t xml:space="preserve">National Key R&amp;D Program of China(grant numbers:2018YFB1004803); </t>
  </si>
  <si>
    <t>https://ieeexplore.ieee.org/stamp/stamp.jsp?arnumber=9664383</t>
  </si>
  <si>
    <t>Cyber-physical-social;modeling;execution;microservice</t>
  </si>
  <si>
    <t>Software;Collaboration;Computer architecture;Microservice architectures;Motion pictures;Medical services;Couplings</t>
  </si>
  <si>
    <t>I. S. M. Isa; T. E. H. El-Gorashi; M. O. I. Musa; J. M. H. Elmirghani</t>
  </si>
  <si>
    <t>Resilient Energy Efficient IoT Infrastructure With Server and Network Protection for Healthcare Monitoring Applications</t>
  </si>
  <si>
    <t>10.1109/ACCESS.2024.3352024</t>
  </si>
  <si>
    <t>Faculty of Technology and Engineering Electronic and Computer, Universiti Teknikal Malaysia Melaka, Durian Tunggal, Melaka, Malaysia; Faculty of Natural, Mathematical and Engineering Sciences, King‚Äôs College London, London, U.K.; School of Electrical and Electronic Engineering, University of Leeds, Leeds, U.K.; Faculty of Natural, Mathematical and Engineering Sciences, King‚Äôs College London, London, U.K.</t>
  </si>
  <si>
    <t>Fog computing has been introduced to extend the cloud services by bringing the services near to the user‚Äôs proximity. However, the distributed location of the fog servers requires a proper management to ensure the network to provide a service resilience during disruption while preserving the energy consumption of the networking and processing equipment. In this paper, a 1+1 server protection scheme where a primary and a secondary processing server are used to serve Electrocardiogram (ECG) monitoring IoT applications concurrently has been considered at the fog networking infrastructure. The infrastructure is designed to be resilient against server failures related to the geographic location of primary and secondary servers and against both server and network failures. A Mixed Integer Linear Programming (MILP) model is developed to optimize the number and locations of the processing servers for energy-efficient resilient fog infrastructure. The results reveal that considering server protection without geographical constraints resulted in network and processing energy penalties as the traffic is doubled compared to the non-resilient scenario. Meanwhile, considering geographical constraints for server protection at low demands resulted in high network energy penalty as more nodes are used to host the processing servers. Interestingly, increasing the resilience level to consider network protection with link and node disjoints selection at high demand resulted in low network energy penalty due to the activation of a large part of the network in any case to serve the demands. The results also reveal that the network energy penalty was reduced when more processing servers are allowed at each fog node while the same processing energy is consumed regardless of the increased resilience level. A heuristic was developed for each resilience scenario for verification and to enable real-time operation of the network, servers and IoT devices, and the results of the heuristic approach those of the MILP.</t>
  </si>
  <si>
    <t xml:space="preserve">PJP through Universiti Teknikal Malaysia Melaka (UTeM), Engineering and Physical Sciences Research Council (EPSRC)(grant numbers:PJP/2022/FTKEE/S01883); INTelligent Energy aware NETworks (INTERNET)(grant numbers:EP/H040536/1); SwiTching And tRansmission (STAR)(grant numbers:EP/K016873/1); Terabit Bidirectional Multi-user Optical Wireless System (TOWS) Project(grant numbers:EP/S016570/1); Ministry of Education, Malaysia, and Universiti Teknikal Malaysia Melaka (UTeM), for his Ph.D. studies, and for the approved fund which makes this important research viable and effective; </t>
  </si>
  <si>
    <t>https://ieeexplore.ieee.org/stamp/stamp.jsp?arnumber=10387434</t>
  </si>
  <si>
    <t>ECG monitoring;energy consumption;fog computing;GPON;health monitoring;Internet of Things;machine-to-machine (M2M) communication;network protection;resilience;server protection</t>
  </si>
  <si>
    <t>Servers;Resilience;Cloud computing;Internet of Things;Edge computing;Monitoring;Energy efficiency</t>
  </si>
  <si>
    <t>E. H. Houssein; M. A. Othman; W. M. Mohamed; M. Younan</t>
  </si>
  <si>
    <t>Internet of Things in Smart Cities: Comprehensive Review, Open Issues, and Challenges</t>
  </si>
  <si>
    <t>10.1109/JIOT.2024.3449753</t>
  </si>
  <si>
    <t>Faculty of Computers and Information, Minia University, Minia, Egypt; Faculty of Computers and Information, Minia University, Minia, Egypt; Faculty of Computers and Information, Minia University, Minia, Egypt; Faculty of Computers and Information, Minia University, Minia, Egypt</t>
  </si>
  <si>
    <t>Smart cities rely mainly on the Internet of Things (IoT) to make an urban area smart to offer its citizens a high quality of life with optimal use of resources and preservation of the environment. IoT is the key component that collects raw data on the surrounding environment to be analyzed to extract information that supports decision making. The widespread use of IoT results in the emergence of smart homes, smart energy, smart transportation, and smart healthcare, which build a smart city. On the other hand, challenges, such as heterogeneity, scalability, security, and privacy, hinder the efficient functioning of the IoT in the construction of smart cities. This article presents a comprehensive overview on the concept of IoT moving forward to the concept of smart city, highlighting key elements and characteristics, studying and reviewing state-of-the-art research on this theme. Future directions are discussed to guide researchers, who focus on interoperability between IoT platforms in smart cities and on IoT architectures based on micro-services. Case studies of successful smart cities are presented for gaining learned lessons. The impact of integrating wireless networks (5G and 6G) in the IoT is also clarified in the future direction. The significance of this research is found in its comprehensive examination of various aspects of the smart city instead of concentrating on a singular facet.</t>
  </si>
  <si>
    <t>https://ieeexplore.ieee.org/stamp/stamp.jsp?arnumber=10646337</t>
  </si>
  <si>
    <t>Internet of Things (IoT);smart city;smart energy;smart healthcare;smart transportation</t>
  </si>
  <si>
    <t>Smart cities;Internet of Things;Reviews;Security;Market research;Sustainable development;Smart transportation</t>
  </si>
  <si>
    <t>M. Touloupou; K. Christodoulou; M. Themistocleous</t>
  </si>
  <si>
    <t>Validating the Blockchain Benchmarking Framework Through Controlled Deployments of XRPL and Ethereum</t>
  </si>
  <si>
    <t>10.1109/ACCESS.2024.3363833</t>
  </si>
  <si>
    <t>Department of Digital Innovation, University of Nicosia, Nicosia, Cyprus; Department of Digital Innovation, University of Nicosia, Nicosia, Cyprus; Department of Digital Innovation, University of Nicosia, Nicosia, Cyprus</t>
  </si>
  <si>
    <t>In the evolving domain of blockchain, a critical challenge lies in the performance analysis of blockchains under controlled test conditions. This paper focuses on validating the Blockchain Benchmarking Framework (BBF), developed for the evaluation of blockchain protocols in a controlled environment. The BBF‚Äôs robustness and versatility are demonstrated through its application to the official Docker clients of Ripple‚Äôs XRP Ledger (XRPL) and Ethereum, deployed in private, local and controlled environments. These deployments are utilized to simulate network dynamics, transaction throughput, and resilience in a variety of scenarios. Our methodology encompasses tests ranging from standard operational conditions to adverse scenarios, including node failures and simulated double-spend attacks. These controlled environments are essential for evaluating the BBF‚Äôs efficacy in stress testing blockchain protocols and assessing their stability and robustness. The BBF‚Äôs ability to accurately capture and analyze performance characteristics is highlighted, providing insights into the operational mechanics, scalability, and resilience of these blockchain clients. The findings emphasize the BBF‚Äôs adaptability and effectiveness in managing different blockchain protocols, reaffirming its potential for broader application in pre-launch testing and analysis of blockchain performance. This study contributes to the understanding of how blockchain clients can be preliminarily assessed before mainnet deployment as well as to validate all the design decisions made by the protocol under different settings and synthetic scenarios.</t>
  </si>
  <si>
    <t>https://ieeexplore.ieee.org/stamp/stamp.jsp?arnumber=10427547</t>
  </si>
  <si>
    <t>Benchmarking framework;blockchain applications;blockchain resilience;blockchain technology;performance analysis</t>
  </si>
  <si>
    <t>Blockchains;Protocols;Benchmark testing;Resilience;Computer crashes;Security;Robustness;Performance evaluation</t>
  </si>
  <si>
    <t>I. Mavromatis; Y. Jin; A. Stanoev; A. Portelli; I. Weeks; B. Holden; E. Glasspole; T. Farnham; A. Khan; U. Raza; A. Aijaz; T. Bierton; I. Seto; N. Patel; M. Sooriyabandara</t>
  </si>
  <si>
    <t>UMBRELLA: A One-Stop Shop Bridging the Gap From Lab to Real-World IoT Experimentation</t>
  </si>
  <si>
    <t>10.1109/ACCESS.2024.3377662</t>
  </si>
  <si>
    <t>Digital Catapult, London, U.K.; Bristol Research and Innovation Laboratory, Toshiba Europe Ltd., Avon, Bristol, U.K.; Nordic Semiconductor, Avon, Bristol, U.K.; Turtle Beach, Basingstoke, Hampshire, U.K.; Bristol Research and Innovation Laboratory, Toshiba Europe Ltd., Avon, Bristol, U.K.; Q5D Technologies Ltd., Portishead, North Somerset, U.K.; Amiosec Ltd., Tewkesbury, Gloucestershire, U.K.; Bristol Research and Innovation Laboratory, Toshiba Europe Ltd., Avon, Bristol, U.K.; Bristol Research and Innovation Laboratory, Toshiba Europe Ltd., Avon, Bristol, U.K.; Waymap, London, U.K.; Bristol Research and Innovation Laboratory, Toshiba Europe Ltd., Avon, Bristol, U.K.; Bristol Research and Innovation Laboratory, Toshiba Europe Ltd., Avon, Bristol, U.K.; Corporate Research and Development Centre, Toshiba Corporation, Saiwai-ku, Kawasaki-shi, Japan; South Gloucestershire Council, Yate, Gloucester, U.K.; Bristol Research and Innovation Laboratory, Toshiba Europe Ltd., Avon, Bristol, U.K.</t>
  </si>
  <si>
    <t>UMBRELLA (A Living Laboratory: https://www.umbrellaiot.com/) is an open, large-scale IoT ecosystem deployed across South Gloucestershire, UK. It is intended to accelerate innovation across multiple technology domains. UMBRELLA is built to bridge the gap between existing specialised testbeds and address holistically real-world technological challenges in a System-of-Systems (SoS) fashion. UMBRELLA provides open access to real-world devices and infrastructure, enabling researchers and the industry to evaluate solutions for Smart Cities, Robotics, Wireless Communications, Edge Intelligence, and more. Key features include over 200 multi-sensor nodes installed on public infrastructure, a robotics arena with 20 mobile robots, a 5G network-in-a-box solution, and a unified backend platform for management, control and secure user access. The heterogeneity of hardware components, including diverse sensors, communication interfaces, and GPU-enabled edge devices, coupled with tools like digital twins, allows for comprehensive experimentation and benchmarking of innovative solutions unviable in lab environments. This paper provides a comprehensive overview of UMBRELLA‚Äôs multi-domain architecture and capabilities, making it an ideal playground for Internet of Things (IoT) and Industrial IoT (IIoT) innovation. It discusses the challenges in designing, developing and operating UMBRELLA as an open, sustainable testbed and shares lessons learned to guide similar future initiatives. With its unique openness, heterogeneity, realism and tools, UMBRELLA aims to continue accelerating cutting-edge technology research, development and translation into real-world progress.</t>
  </si>
  <si>
    <t xml:space="preserve">West of England Local Enterprise Partnership (LEP) Local Growth Fund administered by the West of England Combined Authority (WECA) through UMBRELLA; South Gloucestershire Council; Bristol Research Innovation Laboratory (BRIL), Toshiba Europe Ltd; </t>
  </si>
  <si>
    <t>https://ieeexplore.ieee.org/stamp/stamp.jsp?arnumber=10472978</t>
  </si>
  <si>
    <t>IoT;IIoT;testbed;experimentation;system-of-systems;wireless;robots;smart cities</t>
  </si>
  <si>
    <t>Robots;Wireless sensor networks;Wireless communication;Sensors;Temperature sensors;Robot sensing systems;Ecosystems;Internet of Things;System of systems;Smart cities</t>
  </si>
  <si>
    <t>C. Narmatha; S. Manimurugan; P. Karthikeyan</t>
  </si>
  <si>
    <t>A Smart CIoT With Secure Healthcare Framework Using Optimized Deep Recuperator Neural Network Long Short-Term Memory</t>
  </si>
  <si>
    <t>10.1109/JIOT.2023.3326547</t>
  </si>
  <si>
    <t>Faculty of Computers and Information Technology, University of Tabuk, Tabuk, Saudi Arabia; Faculty of Computers and Information Technology, University of Tabuk, Tabuk, Saudi Arabia; Department of Computer Science and Information Engineering, National Chung Cheng University, Chiayi, Taiwan</t>
  </si>
  <si>
    <t>The healthcare system currently relies on the facility to store and process large amounts of health data, supported by efficient management. The Internet of Things (IoT) has driven the growth of Adroit Healthcare, which has vast data processing capabilities and extensive data collection. The consumer IoT (CIoT), also known as the IoT in the context of individual use cases, is dominated by personal healthcare applications. The remarkable expansion of the CIoT can be attributed to the extensive embrace of wearable technology, facilitating everyday monitoring of vital health indicators like blood pressure, heart rate, and respiration rate. However, the CIoT raises concerns about data security, confidentiality, and customer trust. This study proposes an integrating blockchain and deep learning (DL) approach to promote responsible use of CIoT. The study develops an Intelligent IoT (IIoT) and healthcare diagnostic model, named BT-PWO-DRNN-LSTM, using blockchain technology and Prairie Wolf optimization-based deep recuperator neural network (DRNN) and long short-term memory (LSTM). The BT-PWO-DRNN-LSTM approach includes three key processes: 1) encrypted transactions; 2) cryptographic hash feature; and 3) medical diagnosis. The PWO technique is used for secure communication of medical images, the neighborhood catalogue disposition (NCD) technique is used in the cryptographic hash feature operation (CHFO), and the DL approach is employed as a classification algorithm for diagnosing disorders. The use of PWO methodology for secure healthcare communication and optimal parameter fine-tuning highlights the originality of the study. The BT-PWO-DRNN-LSTM prototype showed positive results with high sensitivity, specificity, and accuracy during the diagnostic process.</t>
  </si>
  <si>
    <t>https://ieeexplore.ieee.org/stamp/stamp.jsp?arnumber=10290899</t>
  </si>
  <si>
    <t>Blockchain technology (BCT);consumer IoT (CIoT);cryptographic hash function;deep learning (DL);deep recuperator neural network (DRNN)-long short-term memory (LSTM);Internet of Things (IoT);Prairie Wolf (PW) optimization</t>
  </si>
  <si>
    <t>Internet of Things;Medical services;Blockchains;Security;Protocols;Cryptography;Biomedical monitoring</t>
  </si>
  <si>
    <t>S. Kumar</t>
  </si>
  <si>
    <t>AI/ML Enabled Automation System for Software Defined Disaggregated Open Radio Access Networks: Transforming Telecommunication Business</t>
  </si>
  <si>
    <t>Big Data Mining and Analytics</t>
  </si>
  <si>
    <t>2097-406X</t>
  </si>
  <si>
    <t>10.26599/BDMA.2023.9020033</t>
  </si>
  <si>
    <t>Institute for Communication Systems, University of Surrey, Guildford, UK</t>
  </si>
  <si>
    <t>Open Air Interface (OAI) alliance recently introduced a new disaggregated Open Radio Access Networks (O-RAN) framework for next generation telecommunications and networks. This disaggregated architecture is open, automated, software defined, virtual, and supports the latest advanced technologies like Artificial Intelligence (AI) Machine Learning (AI/ML). This novel intelligent architecture enables programmers to design and customize automated applications according to the business needs and to improve quality of service in fifth generation (5G) and Beyond 5G (B5G). Its disaggregated and multivendor nature gives the opportunity to new startups and small vendors to participate and provide cheap hardware software solutions to keep the market competitive. This paper presents the disaggregated and programmable O-RAN architecture focused on automation, AI/ML services, and applications with Flexible Radio access network Intelligent Controller (FRIC). We schematically demonstrate the reinforcement learning, external applications (xApps), and automation steps to implement this disaggregated O-RAN architecture. The idea of this research paper is to implement an AI/ML enabled automation system for software defined disaggregated O-RAN, which monitors, manages, and performs AI/ML-related services, including the model deployment, optimization, inference, and training.</t>
  </si>
  <si>
    <t>https://ieeexplore.ieee.org/stamp/stamp.jsp?arnumber=10506767</t>
  </si>
  <si>
    <t>Open Radio Access Networks (O-RAN);Flexible Radio access network Intelligent Controller (FRIC);Reinforcement Learning (RL);external Applications (xApps);Artificial Intelligence (AI);Machine Learning (ML);sixth generation (6G)</t>
  </si>
  <si>
    <t>Training;Automation;5G mobile communication;Computer architecture;Reinforcement learning;Quality of service;Software</t>
  </si>
  <si>
    <t>M. Hu; H. Wang; X. Xu; J. He; Y. Hu; T. Deng; K. Peng</t>
  </si>
  <si>
    <t>Joint Optimization of Microservice Deployment and Routing in Edge via Multi-Objective Deep Reinforcement Learning</t>
  </si>
  <si>
    <t>10.1109/TNSM.2024.3443872</t>
  </si>
  <si>
    <t>Hubei Key Laboratory of Smart Internet Technology, School of Electronic Information and Communications, Huazhong University of Science and Technology, Wuhan, China; Hubei Key Laboratory of Smart Internet Technology, School of Electronic Information and Communications, Huazhong University of Science and Technology, Wuhan, China; Hubei Key Laboratory of Smart Internet Technology, School of Electronic Information and Communications, Huazhong University of Science and Technology, Wuhan, China; Hubei Key Laboratory of Smart Internet Technology, School of Electronic Information and Communications, Huazhong University of Science and Technology, Wuhan, China; Hubei Key Laboratory of Smart Internet Technology, School of Electronic Information and Communications, Huazhong University of Science and Technology, Wuhan, China; Hubei Key Laboratory of Smart Internet Technology, School of Electronic Information and Communications, Huazhong University of Science and Technology, Wuhan, China; Hubei Key Laboratory of Smart Internet Technology, School of Electronic Information and Communications, Huazhong University of Science and Technology, Wuhan, China</t>
  </si>
  <si>
    <t>Edge computing technologies with container-based microservice architectures promise to provide stable and low-latency services for large-scale and complex edge applications. However, due to the limited CPU and storage resources in edge computing scenarios, the coarse-grained service deployment on edge nodes causes performance bottlenecks. In addition, the effective deployment of microservices is tightly correlated with request routing, but the current research ignores the joint optimization of multi-instance deployment and routing. In this paper, we first model the problem of jointly optimizing service deployment and routing in a dynamically changing environment with multi-edge network collaboration based on a queuing network analysis. Secondly, we design heuristic algorithms to scale microservice instances horizontally in dynamic user request states. In addition, we propose a reinforcement learning algorithm based on reward shaping (RSPPO) to minimize user waiting delay and edge network resource consumption. We also solve the microservice deployment and request routing problem for multi-edge collaboration to achieve load balancing among edge nodes. Finally, extensive experiments verify the significant and extensive effectiveness of our algorithm.</t>
  </si>
  <si>
    <t xml:space="preserve">National Science and Technology Major Project of China(grant numbers:2022ZD0117104); National Natural Science Foundation of China(grant numbers:62171189,62272183); Key Research and Development Program of Hubei Province, China(grant numbers:2022BAA038,2023BAB074); </t>
  </si>
  <si>
    <t>https://ieeexplore.ieee.org/stamp/stamp.jsp?arnumber=10639475</t>
  </si>
  <si>
    <t>Fog and edge networks;service deployment;request routing;deep reinforcement learning</t>
  </si>
  <si>
    <t>Microservice architectures;Routing;Heuristic algorithms;Optimization;Collaboration;Edge computing;Delays</t>
  </si>
  <si>
    <t>M. S. Aslanpour; A. N. Toosi; M. A. Cheema; M. B. Chhetri</t>
  </si>
  <si>
    <t>Faashouse: Sustainable Serverless Edge Computing Through Energy-Aware Resource Scheduling</t>
  </si>
  <si>
    <t>10.1109/TSC.2024.3354296</t>
  </si>
  <si>
    <t>Monash University, Clayton, VIC, Australia; Monash University, Clayton, VIC, Australia; Monash University, Clayton, VIC, Australia; CSIRO's DATA61, Eveleigh, NSW, Australia</t>
  </si>
  <si>
    <t>Serverless edge computing is a specialized system design tailored for Internet of Things (IoT) applications. It leverages serverless computing to minimize operational management and enhance resource efficiency, and utilizes the concept of edge computing to allow code execution near the data sources. However, edge devices powered by renewable energy face challenges due to energy input variability, resulting in imbalances in their operational availability. As a result, high-powered nodes may waste excess energy, while low-powered nodes may frequently experience unavailability, impacting system sustainability. Addressing this issue requires energy-aware resource schedulers, but existing cloud-native serverless frameworks are energy-agnostic. To overcome this, we propose an energy-aware scheduler for sustainable serverless edge systems. We introduce a reference architecture for such systems and formally model energy-aware resource scheduling, treating the function-to-node assignment as an imbalanced energy-minimizing assignment problem. We then design an optimal offline algorithm and propose faasHouse, an online energy-aware scheduling algorithm that utilizes resource sharing through computation offloading. Lastly, we evaluate faasHouse against benchmark algorithms using real-world renewable energy traces and a practical cluster of single-board computers managed by Kubernetes. Our experimental results demonstrate significant improvements in balanced operational availability (by 46%) and throughput (by 44%) compared to the Kubernetes scheduler.</t>
  </si>
  <si>
    <t>https://ieeexplore.ieee.org/stamp/stamp.jsp?arnumber=10400820</t>
  </si>
  <si>
    <t>Edge computing;serverless;function-as-a-service;energy awareness;scheduling;sustainability</t>
  </si>
  <si>
    <t>Edge computing;Internet of Things;Renewable energy sources;Logic gates;Containers;Batteries;Computers</t>
  </si>
  <si>
    <t>G. Volpe; A. M. Mangini; M. P. Fanti</t>
  </si>
  <si>
    <t>A Deep Reinforcement Learning Approach for Competitive Task Assignment in Enterprise Blockchain</t>
  </si>
  <si>
    <t>10.1109/ACCESS.2023.3276859</t>
  </si>
  <si>
    <t>Department of Electrical and Information Engineering, Polytechnic University of Bari, Bari, Italy; Department of Electrical and Information Engineering, Polytechnic University of Bari, Bari, Italy; Department of Electrical and Information Engineering, Polytechnic University of Bari, Bari, Italy</t>
  </si>
  <si>
    <t>With the advent of Industry 4.0, the demand of high computing power for tasks such as data mining, 3D rendering, file conversion and cryptography is continuously growing. To this extent, distributed and decentralized environments play a fundamental role by dramatically increasing the amount of available resources. However, there are still several issues in the existing resource sharing solutions, such as the uncertainty of task running time, the renting price and the security of transactions. In this work, we present a blockchain-enabled task assignment platform by performance prediction based on Hyperledger Fabric, an open-source solution for private and permissioned blockchains in enterprise contexts that outperforms other technologies in terms of modularity, security and performance. We propose a model-free deep reinforcement learning framework to predict task runtime in agents current load state while the agent is engaged in multiple concurrent tasks. In addition, we let clients choose between prediction accuracy and price saving on each request. This way, we implicitly give inaccurate agents a chance to get assignments by competing in price rather than in time, allowing them to collect new experiences and improve future predictions. We conduct extensive experiments to evaluate the performance of the proposed scheme.</t>
  </si>
  <si>
    <t>https://ieeexplore.ieee.org/stamp/stamp.jsp?arnumber=10126111</t>
  </si>
  <si>
    <t>Blockchain;cloud;deep reinforcement learning (DRL);resource sharing</t>
  </si>
  <si>
    <t>Task analysis;Blockchains;Runtime;Peer-to-peer computing;Distributed ledger;Fabrics;Prediction algorithms</t>
  </si>
  <si>
    <t>D. Scotece; C. Fiandrino; L. Foschini</t>
  </si>
  <si>
    <t>Handling Data Handoff of AI-Based Applications in Edge Computing Systems</t>
  </si>
  <si>
    <t>10.1109/TNSM.2023.3267942</t>
  </si>
  <si>
    <t>Department of Information Engineering and Computer Science, University of Bologna, Bologna, Italy; IMDEA Networks Institute, Madrid, Spain; Department of Information Engineering and Computer Science, University of Bologna, Bologna, Italy</t>
  </si>
  <si>
    <t>Edge computing aims at better supporting low-latency applications. One of its key techniques is computation offloading, the process that outsources computing tasks from resourced-constrained mobile devices and moves them to edge data centers. In this paper, we tackle an emerging problem within the umbrella of computation offloading, i.e., migration of offloaded inference tasks of Artificial Intelligence (AI) trained models. Such context tailors migration aspects of data-sensitive services where i) the value of the updates is inversely proportional to the data age and ii) outage is highly detrimental to accuracy. To tackle this challenge, we propose Mobile Edge Data-handoff (MED) a framework able to relocate inference or online training tasks from one edge datacenter to another by moving only the necessary data to minimize any accuracy drop during the process. We implemented MED in a well-known edge computing emulator, openLEON, and experimentally verified its performance with an AI-based Industry 4.0 application that forecasts the gas flow in a chemical plant. For our experiments, we use a real, open-source dataset that contains sensors readings. Collected results show that MED, employing proactive data handoff algorithms, is able to minimize the packet loss during the handoff thereby providing guarantees on the inference accuracy.</t>
  </si>
  <si>
    <t xml:space="preserve">Juan de la Cierva Incorporation; Spanish Ministry of Science and Innovation(grant numbers:IJC2019-039885-I); European Commission; Italian National Recovery and Resilience Plan (NRRP) of NextGenerationEU, partnership on ‚ÄúTelecommunications of the Future‚Äù (PE00000001 - program ‚ÄúRESTART‚Äù)(grant numbers:J33C22002880001); </t>
  </si>
  <si>
    <t>https://ieeexplore.ieee.org/stamp/stamp.jsp?arnumber=10104102</t>
  </si>
  <si>
    <t>Multi-access edge computing;industry 4.0;data handoff;computation offloading</t>
  </si>
  <si>
    <t>Edge computing;Task analysis;Computational modeling;Sensors;Industries;Data centers;Containers</t>
  </si>
  <si>
    <t>R. Bolla; R. Bruschi; C. Lombardo; B. Siccardi</t>
  </si>
  <si>
    <t>6G Enablers for Zero-Carbon Network Slices and Vertical Edge Services</t>
  </si>
  <si>
    <t>IEEE Networking Letters</t>
  </si>
  <si>
    <t>2576-3156</t>
  </si>
  <si>
    <t>10.1109/LNET.2023.3262861</t>
  </si>
  <si>
    <t>Department of Electrical, Electronic and Telecommunications Engineering, and Naval Architecture and the National Laboratory of Smart and Secure Networks, the Italian National Consortium for Telecommunications, University of Genoa, Genoa, Italy; Department of Electrical, Electronic and Telecommunications Engineering, and Naval Architecture and the National Laboratory of Smart and Secure Networks, the Italian National Consortium for Telecommunications, University of Genoa, Genoa, Italy; CNIT S2N National Laboratory, Genoa, Italy; Department of Electrical, Electronic and Telecommunications Engineering, and Naval Architecture and the National Laboratory of Smart and Secure Networks, the Italian National Consortium for Telecommunications, University of Genoa, Genoa, Italy</t>
  </si>
  <si>
    <t>6G of radio mobile networks should become an essential enabler for any vertical sector to meet sustainable growth targets of both the United Nations (UN) 2030 Agenda and the European Green Deal. 6G might lead to the dematerialization of (most of) any physical appliances, moving their smart parts to the network edge as virtual software instances. Such software instances can leverage on novel carbon-neutral schemes for computing and communication. Owing this vision, this letter aims to analyze how energy- and carbon-awareness can be introduced into the complex architecture of 6G, and how the diverse stakeholders in the 6G value-chain can benefit from this awareness.</t>
  </si>
  <si>
    <t xml:space="preserve">HORIZON-JU-SNS-2022 Research and Innovation Action 6Green(grant numbers:101096925); </t>
  </si>
  <si>
    <t>https://ieeexplore.ieee.org/stamp/stamp.jsp?arnumber=10086577</t>
  </si>
  <si>
    <t>6G enablers;green networking;edge computing;carbon neutrality</t>
  </si>
  <si>
    <t>6G mobile communication;Stakeholders;Green products;Ecosystems;Energy consumption;Carbon footprint;5G mobile communication</t>
  </si>
  <si>
    <t>G. Vargas-Solar; M. S. Hassan; A. Akoglu</t>
  </si>
  <si>
    <t>JITA4DS: Disaggregated Execution of Data Science Pipelines Between the Edge and the Data Centre</t>
  </si>
  <si>
    <t>Journal of Web Engineering</t>
  </si>
  <si>
    <t>1544-5976</t>
  </si>
  <si>
    <t>10.13052/jwe1540-9589.2111</t>
  </si>
  <si>
    <t>French Council of Scientific Research (CNRS)-LIRIS, France; University of Arizona, USA; University of Arizona, USA</t>
  </si>
  <si>
    <t>This paper targets the execution of data science (DS) pipelines supported by data processing, transmission and sharing across several resources executing greedy processes. Current data science pipelines environments provide various infrastructure services with computing resources such as general-purpose processors (GPP), Graphics Processing Units (GPUs), Field Programmable Gate Arrays (FPGAs) and Tensor Processing Unit (TPU) coupled with platform and software services to design, run and maintain DS pipelines. These one-fits-all solutions impose the complete externalization of data pipeline tasks. However, some tasks can be executed in the edge, and the backend can provide just in time resources to ensure ad-hoc and elastic execution environments. This paper introduces an innovative composable ‚ÄúJust in Time Architecture‚Äù for configuring DCs for Data Science Pipelines (JITA-4DS) and associated resource management techniques. JITA-4DS is a cross-layer man-agement system that is aware of both the application characteristics and the underlying infrastructures to break the barriers between applications, middleware/operating system, and hardware layers. Vertical integration of these layers is needed for building a customizable Virtual Data Center (VDC) to meet the dynamically changing data science pipelines' requirements such as performance, availability, and energy consumption. Accordingly, the paper shows an experimental simulation devoted to run data science workloads and determine the best strategies for scheduling the allocation of resources implemented by JITA-4DS.</t>
  </si>
  <si>
    <t xml:space="preserve">National Science Foundation(grant numbers:NSF CNS-1624668); </t>
  </si>
  <si>
    <t>https://ieeexplore.ieee.org/stamp/stamp.jsp?arnumber=10243631</t>
  </si>
  <si>
    <t>Disaggregated data centers;data science pipelines;edge computing</t>
  </si>
  <si>
    <t>Data centers;Tensors;Processor scheduling;Pipelines;Data science;Logic gates;Software</t>
  </si>
  <si>
    <t>Y. Xu; P. Liu; I. Penesis; G. He</t>
  </si>
  <si>
    <t>A Task-Resource Mapping Algorithm for Large-Scale Batch-Mode Computational Marine Hydrodynamics Codes on Containerized Private Cloud</t>
  </si>
  <si>
    <t>10.1109/ACCESS.2019.2939903</t>
  </si>
  <si>
    <t>School of Computer Science and Communication Engineering, Guangxi University of Science and Technology, Liuzhou, China; Marine, Offshore and Subsea Technology, School of Engineering, Newcastle University, Newcastle Upon Tyne, U.K.; Australia Maritime College, University of Tasmania, Launceston, TAS, Australia; Harbin Institute of Technology, Weihai, China</t>
  </si>
  <si>
    <t>CPU time has long been a remaining problem for large-scale batch mode based scientific computing applications. To address this time-consuming problem, a container-based private cloud was employed, and a novel task-resource mapping algorithm was developed. Firstly, the execution features of typical batch mode codes were extracted and then computing jobs were formulated as a coarseness acyclic DAG. Secondly, to guarantee both job makespan and resource utilization, a novel task-resource mapping algorithm, along with container pre-planning and worst-case-first task placement phases, were developed. Finally, a typical Computational Marine Hydrodynamics software, Rotorysics, with a different scale of input data matrix was used as benchmark software. To manifest the effectiveness of the proposed method, a number of numerical examples were given via CloudSim and a small-medium containerized private cloud platform was adopted with three practical study cases. The computational results show that 1) compared with the traditional HPC workstation computing solution, container-based cloud solution shows significant savings in makespan by more than 6 times. 2) the new method is scalable to address bigger size batch computing problem up to a run matrix 108.</t>
  </si>
  <si>
    <t>https://ieeexplore.ieee.org/stamp/stamp.jsp?arnumber=8827456</t>
  </si>
  <si>
    <t>Computational marine hydrodynamics (CMH) codes;containerization;large-scale batch mode computing;private cloud;task-resource mapping algorithm</t>
  </si>
  <si>
    <t>Task analysis;Cloud computing;Containers;Resource management;Software;Scheduling;Atmospheric modeling</t>
  </si>
  <si>
    <t>D. C. G. Valadares; T. B. D. O. Filho; T. F. Meneses; D. F. S. Santos; A. Perkusich</t>
  </si>
  <si>
    <t>Automating the Deployment of Artificial Intelligence Services in Multiaccess Edge Computing Scenarios</t>
  </si>
  <si>
    <t>10.1109/ACCESS.2022.3208118</t>
  </si>
  <si>
    <t>Virtus RDI Center, Federal University of Campina Grande, Campina Grande, Para√≠ba, Brazil; Virtus RDI Center, Federal University of Campina Grande, Campina Grande, Para√≠ba, Brazil; Virtus RDI Center, Federal University of Campina Grande, Campina Grande, Para√≠ba, Brazil; Virtus RDI Center, Federal University of Campina Grande, Campina Grande, Para√≠ba, Brazil; Virtus RDI Center, Federal University of Campina Grande, Campina Grande, Para√≠ba, Brazil</t>
  </si>
  <si>
    <t>With the increasing adoption of the edge computing paradigm, including multi-access edge computing (MEC) in telecommunication scenarios, many works have explored the benefits of adopting it. Since MEC, in general, presents a reduction in latency and energy consumption compared to cloud computing, it has been applied to deploy artificial intelligence services. This kind of service can have distinct requirements, which involve different computational resource capabilities as well different data formats or communication protocols to collect data. In this sense, we propose the VEF Edge Framework, which aims at helping the development and deployment of artificial intelligence services for MEC scenarios considering requirements as low-latency and CPU/memory consumption. We explain the VEF architecture and present experimental results obtained with a base case‚Äôs implementation: an object detection inference service deployed with VEF. The experiments measured CPU and memory usage for the VEF‚Äôs main components and the processing time for two procedures (inference and video stream handling).</t>
  </si>
  <si>
    <t xml:space="preserve">Ministry of Science, Technology and Innovation of Brazil with Resources from Law No. 8,248, in October 1991 (Resources from the 3rd Softex/UFCG Partnership Agreement); </t>
  </si>
  <si>
    <t>https://ieeexplore.ieee.org/stamp/stamp.jsp?arnumber=9895389</t>
  </si>
  <si>
    <t>Future connected systems;fog computing;edge computing;intelligent services;services deployment</t>
  </si>
  <si>
    <t>Artificial intelligence;Computer architecture;Virtual machining;Cloud computing;Servers;Intelligent systems;Image edge detection;Edge computing;Multi-access edge computing</t>
  </si>
  <si>
    <t>A. Ikoma; Y. Ohsita; M. Murata</t>
  </si>
  <si>
    <t>Resource Allocation Considering Impact of Network on Performance in a Disaggregated Data Center</t>
  </si>
  <si>
    <t>10.1109/ACCESS.2024.3399930</t>
  </si>
  <si>
    <t>Graduate School of Information Science and Technology, Osaka University, Suita, Japan; Cybermedia Center, Osaka University, Toyonaka, Japan; Graduate School of Information Science and Technology, Osaka University, Suita, Japan</t>
  </si>
  <si>
    <t>A disaggregated data center (DDC) can efficiently use resources such as CPU and memory. In a DDC, because each resource is independent and connected by a network, communication between resources is required for task execution. Communication delays can be an overhead for task execution, causing performance degradation. Because communication delays depend on the correspondence between resources on the network and the paths over which they communicate, an efficient resource allocation method is required to determine this relationship. Herein, we propose a resource allocation method called RA-CNP to execute many tasks simultaneously while satisfying performance requirements. This method models the impact of the network on the performance of tasks for the provided service. Furthermore, this method defines a resource allocation problem to avoid the allocation of resources that will be requested in the future. We evaluated the effectiveness of our method by simulating various DDC networks, assuming a DDC at the edge. The results demonstrated that RA-CNP could execute more tasks than conventional methods could, without violating performance requirements, based only on current network information in both networks configured by circuit and packet switches. RA-CNP could allocate resources in less than 10 s, even in a relatively large network configured with 64 switches; this capability demonstrates its practicality.</t>
  </si>
  <si>
    <t xml:space="preserve">National Institute of Information and Communications Technology(grant numbers:JPJ012368C00101); </t>
  </si>
  <si>
    <t>https://ieeexplore.ieee.org/stamp/stamp.jsp?arnumber=10529277</t>
  </si>
  <si>
    <t>Disaggregated data center;optical network;resource allocation;resource disaggregation</t>
  </si>
  <si>
    <t>Task analysis;Resource management;Optical switches;Data centers;Optical packet switching;Delays;Optical fiber networks</t>
  </si>
  <si>
    <t>F. Tian; H. Wang; H. Jiang; B. Zhao</t>
  </si>
  <si>
    <t>Multimodal Renewable Energy Hybrid Supply Optimization Model Based on Heterogeneous Cloud Wireless Access</t>
  </si>
  <si>
    <t>10.1109/ACCESS.2024.3407726</t>
  </si>
  <si>
    <t>College of Information, Shenyang Institute of Engineering, Shenyang, China; College of Information, Shenyang Institute of Engineering, Shenyang, China; School of Renewable Energy, Shenyang Institute of Engineering, Shenyang, China; Innovation and Entrepreneurship Education Center, Shenyang Institute of Engineering, Shenyang, China</t>
  </si>
  <si>
    <t>With the increasing emphasis on environmental issues, the utilization of renewable energy has been recognized as a feasible solution to address the energy crisis and reduce environmental pollution. In view of this, this article proposes a multi-modal renewable energy hybrid power supply optimization model based on heterogeneous cloud wireless access. The model innovatively combines heterogeneous cloud wireless access technology and various intelligent optimization algorithms, including k-clustering algorithm, particle swarm optimization algorithm, and whale optimization algorithm, forming a hybrid optimization algorithm. In order to comprehensively evaluate the actual performance of the model, this study recruited 20 experts to provide detailed ratings on four core dimensions: cost-benefit ratio, reliability, robustness, and user satisfaction. The results showed that the model scored 95.1, 96.4, 95.6, and 96.2 in the four dimensions of cost-benefit ratio, reliability indicators, robustness, and user satisfaction, respectively. This series of significant data not only confirms the theoretical superiority of the model, but also demonstrates its strong potential and practical value in practical applications. In summary, this study provides a promising and innovative solution for the field of renewable energy supply.</t>
  </si>
  <si>
    <t xml:space="preserve">Department of Education of Liaoning Province 2023 Basic Scientific Research Projects of Universities: ‚ÄúResearch on Key Technologies for Coordinated Regulation of Multi Load and Clean Energy Based on Deep Learning‚Äù(grant numbers:JYTMS20230313); </t>
  </si>
  <si>
    <t>https://ieeexplore.ieee.org/stamp/stamp.jsp?arnumber=10542731</t>
  </si>
  <si>
    <t>K-clustering algorithm;heterogeneous cloud radio access;particle swarm optimization algorithm;WOA algorithm;energy supply optimization</t>
  </si>
  <si>
    <t>Optimization;Clustering algorithms;Heuristic algorithms;Renewable energy sources;Wireless communication;Cloud computing;Whale optimization algorithms</t>
  </si>
  <si>
    <t>Y. Yigit; L. A. Maglaras; W. J. Buchanan; B. Canberk; H. Shin; T. Q. Duong</t>
  </si>
  <si>
    <t>AI-Enhanced Digital Twin Framework for Cyber-Resilient 6G Internet of Vehicles Networks</t>
  </si>
  <si>
    <t>10.1109/JIOT.2024.3455089</t>
  </si>
  <si>
    <t>School of Computing, Engineering and The Built Environment, Edinburgh Napier University, Edinburgh, U.K.; School of Computing, Engineering and The Built Environment, Edinburgh Napier University, Edinburgh, U.K.; Blockpass ID Lab, Edinburgh Napier University, Edinburgh, U.K.; School of Computing, Engineering and The Built Environment, Edinburgh Napier University, Edinburgh, U.K.; Department of Electronics and Information Convergence Engineering, Kyung Hee University, Yongin, South Korea; Faculty of Engineering and Applied Science, Memorial University, St. John‚Äôs, NL, Canada</t>
  </si>
  <si>
    <t>Digital twin technology is crucial to the development of the sixth-generation (6G) Internet of Vehicles (IoV) as it allows the monitoring and assessment of the dynamic and complicated vehicular environment. However, 6G IoV networks have critical challenges in network security and computational efficiency, which need to be addressed. Existing digital twin technologies in 6G IoV networks often suffer from limitations, such as reliance on static models and high computational demands, leading to unstable attack detection and inefficiencies. Their results for attack detection performance metrics, precision, detection rate, and F1-Score are insufficient for 6G IoV. Moreover, these systems concentrate all computational processes within the digital twin‚Äôs service layer, leading to inefficiencies. To address these challenges, we introduce a novel artificial intelligence (AI) enhanced digital twin framework designed to significantly improve 6G IoV network security and computational efficiency under dynamic conditions. Our framework employs an advanced feature engineering module that uses feature selection methods and stacked sparse autoencoders (ssAE) to reduce feature dimensions within the cyber twin layer, effectively distributing the overall computational load. It also utilizes an online learning module which enables a network-aware attack detection mechanism for precise attack detection. The proposed solution exhibits a stable performance of around 98% success rate regarding attack detection metrics against two data sets. Specifically, our solution reduces system latency by 12%, energy consumption by 15%, RAM usage by 20%, and improves packet delivery rates by 6.1%. These findings underscore the potential of our framework to enhance the robustness and responsiveness of 6G IoV systems, offering a significant contribution to vehicular network security and management.</t>
  </si>
  <si>
    <t xml:space="preserve">Scientific and Technological Research Council of Turkey (TUBITAK) 1515 Frontier Research and Development Laboratories Support Program for BTS Advanced AI Hub: BTS Autonomous Networks and Data Innovation Lab Project(grant numbers:5239903); National Research Foundation of Korea (NRF) Grant funded by the Korean Government (MSIT)(grant numbers:NRF-2022R1A4A3033401); Canada Excellence Research Chair (CERC)(grant numbers:CERC-2022-00109); </t>
  </si>
  <si>
    <t>https://ieeexplore.ieee.org/stamp/stamp.jsp?arnumber=10673900</t>
  </si>
  <si>
    <t>Artificial intelligence (AI);digital twin;Internet of Vehicles (IoV);ITS;security;vehicular ad-hoc network (VANET)</t>
  </si>
  <si>
    <t>6G mobile communication;Digital twins;Vehicle dynamics;Feature extraction;Artificial intelligence;Measurement;Heuristic algorithms</t>
  </si>
  <si>
    <t>W. V. Solis; J. Marcelo Parra-Ullauri; A. Kertesz</t>
  </si>
  <si>
    <t>Exploring the Synergy of Fog Computing, Blockchain, and Federated Learning for IoT Applications: A Systematic Literature Review</t>
  </si>
  <si>
    <t>10.1109/ACCESS.2024.3398034</t>
  </si>
  <si>
    <t>Software Engineering Department, University of Szeged, Szeged, Hungary; Smart Internet Laboratory, University of Bristol, Bristol, U.K.; Software Engineering Department, University of Szeged, Szeged, Hungary</t>
  </si>
  <si>
    <t>The proliferation of Internet of Things (IoT) applications poses formidable challenges in managing data processing, privacy, and security. In response, technologies such as Fog Computing (FC), Blockchain (BC), and Federated Learning (FL) have emerged as promising solutions. Combining these technologies can broaden their scope, and impose novel challenges. This paper conducts a Systematic Literature Review (SLR) to investigate their integration within the IoT domain, systematically evaluating the current state-of-the-art by analyzing 40 papers against 38 extraction criteria, encompassing technical characteristics specific to FC, BC, FL, or their integration. The findings offer insights into the advantages, challenges, opportunities, and limitations of this integration, addressing data processing, privacy, and security concerns in IoT. By filling a research gap and directly examining FC, BC, and FL interoperability across architectural layers, this study contributes to knowledge expansion in the field. This paper proposes a novel framework for implementing FL and BC within FC environments for IoT applications, alongside a comprehensive synthesis of existing literature, distinguishing it from previous research efforts. Furthermore, it offers valuable insights into the current landscape, identifies research needs, and proposes future research directions. The framework and literature synthesis provided allow readers to access customized information on FC-BC-FL integration, aiding in designing and implementing robust IoT solutions.</t>
  </si>
  <si>
    <t xml:space="preserve">Ministry of Culture and Innovation of Hungary through the National Research, Development and Innovation Fund(grant numbers:TKP2021-NVA); National Project(grant numbers:TKP2021-NVA-09); Connecting Education and Research Communities for an Innovative Resource Aware Society (CERCIRAS) European Cooperation in Science and Technology (COST) Action(grant numbers:CA19135); COST Association, along with the University of Szeged Open Access Fund(grant numbers:6858); U.K. Government (GOV) Department of Science, Innovation, and Technology (DSIT) [Future Open Networks Research Challenge (FONRC)] Project REASON; </t>
  </si>
  <si>
    <t>https://ieeexplore.ieee.org/stamp/stamp.jsp?arnumber=10522660</t>
  </si>
  <si>
    <t>Blockchain;edge computing;federated learning;fog computing;Internet of Things;systematic literature review</t>
  </si>
  <si>
    <t>Internet of Things;Blockchains;Bibliographies;Edge computing;Systematics;Computer architecture;Federated learning;Federated learning;Edge computing;Reviews;Database systems</t>
  </si>
  <si>
    <t>R. C. Sofia; D. Dykeman; P. Urbanetz; A. Galal; D. A. Dave</t>
  </si>
  <si>
    <t>Dynamic, Context-Aware Cross-Layer Orchestration of Containerized Applications</t>
  </si>
  <si>
    <t>10.1109/ACCESS.2023.3307026</t>
  </si>
  <si>
    <t>fortiss GmbH, Research Institute of the Free State of Bavaria for Software Intensive Systems and Services, Munich, Germany; Zurich Research Laboratory, IBM Research Europe, Z√ºrich, Switzerland; Zurich Research Laboratory, IBM Research Europe, Z√ºrich, Switzerland; fortiss GmbH, Research Institute of the Free State of Bavaria for Software Intensive Systems and Services, Munich, Germany; fortiss GmbH, Research Institute of the Free State of Bavaria for Software Intensive Systems and Services, Munich, Germany</t>
  </si>
  <si>
    <t>Container orchestration handles the semi-automated management of applications across Edge-Cloud, providing features such as autoscaling, high availability, and portability. Having been developed for Cloud-based applications, container orchestration faces challenges in the context of decentralized Edge-Cloud environments, requiring a higher degree of adaptability in the verge of mobility, heterogeneous networks, and constrained devices. In this context, this perspective paper aims at igniting discussion on the aspects that a dynamic orchestration approach should integrate to support an elastic orchestration of containerized applications. The motivation for the provided perspective focuses on proposing directions to better support challenges faced by next-generation IoT services, such as mobility or privacy preservation, advocating the use of context awareness and a cognitive, cross-layer approach to container orchestration to be able to provide adequate support to next-generation services. A proof of concept (available open source software) of the discussed concept has been implemented in a testbed composed of embedded devices.</t>
  </si>
  <si>
    <t xml:space="preserve">Horizon Europe Cognitive Decentralised Edge Cloud Orchestration (CODECO)(grant numbers:101092696); fortiss-IBM Center for Artificial Intelligence (C4AI) EDGE; </t>
  </si>
  <si>
    <t>https://ieeexplore.ieee.org/stamp/stamp.jsp?arnumber=10225530</t>
  </si>
  <si>
    <t>Context-awareness;IoT;edge computing;machine learning;data observability</t>
  </si>
  <si>
    <t>Containers;Internet of Things;Next generation networking;Cloud computing;Virtual machine monitors;Dynamic scheduling;Delays;Context awareness;Edge computing;Machine learning;Observability</t>
  </si>
  <si>
    <t>A. Cratere; L. Gagliardi; G. A. Sanca; F. Golmar; F. Dell‚ÄôOlio</t>
  </si>
  <si>
    <t>On-Board Computer for CubeSats: State-of-the-Art and Future Trends</t>
  </si>
  <si>
    <t>10.1109/ACCESS.2024.3428388</t>
  </si>
  <si>
    <t>Department of Electrical and Information Engineering, Micro Nano Sensor Group, Polytechnic University of Bari, Bari, Italy; Instituto de Ciencias F√≠sicas, Universidad de San Mart√≠n-CONICET, Buenos Aires, Argentina; Instituto de Ciencias F√≠sicas, Universidad de San Mart√≠n-CONICET, Buenos Aires, Argentina; Instituto de Ciencias F√≠sicas, Universidad de San Mart√≠n-CONICET, Buenos Aires, Argentina; Department of Electrical and Information Engineering, Micro Nano Sensor Group, Polytechnic University of Bari, Bari, Italy</t>
  </si>
  <si>
    <t>Over the past three decades, the acceptance of higher risk thresholds within the space industry has facilitated the widespread integration of commercial off-the-shelf (COTS) components into avionics and payloads, leading to a remarkable transformation in the design of space missions. This transformation has led to the emergence of the New Space Economy and the widespread adoption of lean or small satellites in general, particularly CubeSats. CubeSats are now widely used in commercial, scientific, and research applications due to their versatility, affordability, simplicity of development, and accelerated development timelines. On-board computing plays a crucial role in the design of CubeSat missions, as increasingly high-performance computational requirements are needed to meet the challenges of future missions. This paper systematically reviews the state-of-the-art of CubeSat Command and Data Handling (C&amp;DH) sub-system, covering both hardware components and flight software (FSW) development frameworks. It presents an analysis of the key features and recent developments of on-board computers (OBCs) in commercial and academic institutional projects funded by governments, agencies and public institutions. It further examines the effects of space radiation on avionics components and discusses the main fault-tolerance techniques used in CubeSat platforms. Finally, this paper highlights trends and hazards for future CubeSat avionics and identify potential directions for future developments in high-performance on-board computing. By synthesizing contemporary research and industry insights, this paper aims to shed light on CubeSat OBC design, providing an overview of the existing technology landscape and the challenges to be addressed for next-generation mission needs.</t>
  </si>
  <si>
    <t>https://ieeexplore.ieee.org/stamp/stamp.jsp?arnumber=10597570</t>
  </si>
  <si>
    <t>Command and data handling (C&amp;DH);CubeSats;on-board computer (OBC);small satellite avionics</t>
  </si>
  <si>
    <t>CubeSat;Payloads;Aerospace electronics;Computer architecture;Space vehicles;Distributed databases;On board unit;Small satellites</t>
  </si>
  <si>
    <t>M. Imran; M. N. Ali; M. S. U. Din; M. A. U. Rehman; B. -S. Kim</t>
  </si>
  <si>
    <t>An Efficient Communication and Computation Resources Sharing in Information-Centric 6G Networks</t>
  </si>
  <si>
    <t>10.1109/JIOT.2024.3397674</t>
  </si>
  <si>
    <t>Department of Software and Communications Engineering, Hongik University, Sejong, South Korea; Department of Software and Communications Engineering, Hongik University, Sejong, South Korea; Department of Electronics and Computer Engineering, Hongik University, Sejong, South Korea; Department of Computing and Mathematics, Manchester Metropolitan University, Manchester, U.K.; Department of Software and Communications Engineering, Hongik University, Sejong, South Korea</t>
  </si>
  <si>
    <t>To efficiently allocate communication and computation resources among enhanced mobile broadband (eMBB) and ultrareliable low-latency communication (uRLLC) applications, this article proposes a joint communication and computation resource allocation scheme in sixth generation (6G) information-centric networks (ICNs) named: CCR-ICN. To achieve efficient communication and computation resources sharing, the CCR-ICN scheme designs a microservice-centric interest naming structure to enable named-based communication. Furthermore, the CCR-ICN scheme designs a robust forwarding strategy specifically tailored to efficiently allocate communication resources, such as bandwidth among eMBB and uRLLC application requests. In addition, for the allocation of computation resources, the proposed scheme designs a priority-driven computation resources allocation mechanism ensuring effective allocation of multiaccess edge computing computation resources. To evaluate the proposed scheme, we performed extensive simulations in a widely used NS-3-based ndnSIM simulator and the results reveal the CCR-ICN achieves 66.82% higher communication resource allocation, and a 17.51% lower communication overhead compared to the TS-6G scheme. Moreover, the CCR-ICN performs computation request satisfaction at 42.03% and 12.72% higher than the TS-6G and extended weighted fair queueing with latency constraint (EWFQ/LC) schemes, respectively. Furthermore, the CCR-ICN achieves computation resource utilization of 35.54% and 21.63% lower than the EWFQ/LC and TS-6G schemes, respectively.</t>
  </si>
  <si>
    <t xml:space="preserve">National Research Foundation of Korea (NRF) Grant funded by the Korea Government (MSIT)(grant numbers:2022R1A2C1003549); </t>
  </si>
  <si>
    <t>https://ieeexplore.ieee.org/stamp/stamp.jsp?arnumber=10522479</t>
  </si>
  <si>
    <t>6G;information-centric networking;named data networking (NDN);networks slices;resource allocation</t>
  </si>
  <si>
    <t>Resource management;Ultra reliable low latency communication;Microservice architectures;Computer architecture;Bandwidth;TCPIP;6G mobile communication</t>
  </si>
  <si>
    <t>Z. Sun; Y. Mei; F. Zhang; H. Huang; C. Gu; M. Zhang</t>
  </si>
  <si>
    <t>Multi-Tree Genetic Programming Hyper-Heuristic for Dynamic Flexible Workflow Scheduling in Multi-Clouds</t>
  </si>
  <si>
    <t>10.1109/TSC.2024.3394691</t>
  </si>
  <si>
    <t>School of Computer Science and Technology, Harbin Institute of Technology (Shenzhen), Shenzhen, China; Evolutionary Computation Research Group, Centre for Data Science and Artificial Intelligence &amp; School of Engineering and Computer Science, Victoria University of Wellington, Wellington, New Zealand; Evolutionary Computation Research Group, Centre for Data Science and Artificial Intelligence &amp; School of Engineering and Computer Science, Victoria University of Wellington, Wellington, New Zealand; School of Computer Science and Technology, Harbin Institute of Technology (Shenzhen), Shenzhen, China; School of Computer Science and Technology, Harbin Institute of Technology (Shenzhen), Shenzhen, China; Evolutionary Computation Research Group, Centre for Data Science and Artificial Intelligence &amp; School of Engineering and Computer Science, Victoria University of Wellington, Wellington, New Zealand</t>
  </si>
  <si>
    <t>Multi-cloud is a promising paradigm due to its advantages such as avoiding vendor lock-in and optimising costs. This article focuses on dynamic flexible workflow scheduling with minimum total monetary cost in multi-clouds, considering multiple categories of services for each cloud with different configurations and billing methods. Existing studies generally ignore the characteristics and states of each individual cloud when making schedules, which may be ineffective regarding cost savings and quality of service. To address this issue, we propose to introduce a cloud selection decision on top of the existing task selection and resource selection decisions to help us select appropriate resource for task in an overall cost-effective cloud. To automatically learn the task, cloud and resource selection rules simultaneously, we propose a new genetic programming with multi-tree representation based on a customised discrete event-driven dynamic workflow scheduling simulator. Simulation results based on two real-world data traces show that the proposed algorithm performs significantly better than the state-of-the-art algorithms in terms of reducing the rental costs and deadline deviation, and improving the success rate. The results also show that the superiority of the proposed algorithm lies in the ability to select an appropriate cloud resource for a task.</t>
  </si>
  <si>
    <t xml:space="preserve">Shenzhen Science and Technology Program(grant numbers:GXWD20220817124827001,JCYJ20210324132406016); </t>
  </si>
  <si>
    <t>https://ieeexplore.ieee.org/stamp/stamp.jsp?arnumber=10509784</t>
  </si>
  <si>
    <t>Deadline constraint;dynamic workflow scheduling;genetic programming;multi-clouds;hyper-heuristic</t>
  </si>
  <si>
    <t>Dynamic scheduling;Cloud computing;Task analysis;Costs;Heuristic algorithms;Processor scheduling;Genetic programming</t>
  </si>
  <si>
    <t>M. Anwar; N. Tariq; M. Ashraf; S. A. Moqurrab; B. Alabdullah; H. S. Alsagri; A. Almjally</t>
  </si>
  <si>
    <t>BBAD: Blockchain-Backed Assault Detection for Cyber Physical Systems</t>
  </si>
  <si>
    <t>10.1109/ACCESS.2024.3404656</t>
  </si>
  <si>
    <t>Department of Avionics Engineering, Air University, Islamabad, Pakistan; Department of Avionics Engineering, Air University, Islamabad, Pakistan; School of Electrical Engineering and Computer Science, National University of Sciences &amp; Technology, Islamabad, Pakistan; School of Computing, Gachon University, Sujeong-gu, Seongnam-si, South Korea; Department of Information Systems, College of Computer and Information Sciences, Princess Nourah Bint Abdulrahman University, P. O. Box 88428, Riyadh, Saudi Arabia; Information Systems Department, College of Computer and Information Sciences, Imam Mohammad Ibn Saud Islamic University, Riyadh, Saudi Arabia; Information Technology, College of Computer and Information Sciences, Imam Mohammad Ibn Saud Islamic University, Riyadh, Saudi Arabia</t>
  </si>
  <si>
    <t>Cybersecurity challenges pose a significant threat to Healthcare Cyber Physical Systems (CPS) because they heavily rely on wireless communication. Particularly, jamming attacks can severely disrupt the integrity of these CPS networks. This research introduces a decentralized system to address this issue. Therefore, this paper suggested a system that leverages trust and blockchain technology to detect jamming attacks in healthcare CPS effectively. It proposes a layered model to improve CPS networks‚Äô lifetime and performance. In smart healthcare environments, it ensures secure and reliable communication between sensor nodes, wearable sensors, medical devices, and monitoring systems. Results show that the suggested approach outperforms the baseline model in identifying and minimizing jamming assaults, with an average percentage difference of 15.71% more detection rate, 20.21% less packet loss rates, 16.65% less node-level energy consumption, reduced network latency of 8.29%, and 9.63% more network throughput.</t>
  </si>
  <si>
    <t xml:space="preserve">Princess Nourah Bint Abdulrahman University, Riyadh, Saudi Arabia, through the Researchers Supporting(grant numbers:PNURSP2024R440); </t>
  </si>
  <si>
    <t>https://ieeexplore.ieee.org/stamp/stamp.jsp?arnumber=10537615</t>
  </si>
  <si>
    <t>Smart healthcare;cyber-physical systems;jamming attacks;sensor nodes;trust</t>
  </si>
  <si>
    <t>Jamming;Medical services;Security;Blockchains;Wireless communication;Reliability;Interference;Smart healthcare;Cyber-physical systems;Trust management</t>
  </si>
  <si>
    <t>M. Wani; M. Kretschmer; B. Schr√∂der; A. Grebe; M. Rademacher</t>
  </si>
  <si>
    <t>Open RAN: A Concise Overview</t>
  </si>
  <si>
    <t>10.1109/OJCOMS.2024.3430823</t>
  </si>
  <si>
    <t>Department of Cooperation Systems, Fraunhofer FIT, Sankt Augustin, Germany; Department of Cooperation Systems, Fraunhofer FIT, Sankt Augustin, Germany; Department of Industrial Communication &amp; Data Research, brown-iposs GmbH, Bonn, Germany; Institute on Computer and Communication Technology, Technische Hochschule K√∂ln, Cologne, Germany; Department of Computer Science, Hochschule Bonn-Rhein-Sieg, Sankt Augustin, Germany</t>
  </si>
  <si>
    <t>Open RAN has emerged as a transformative approach in the evolution of cellular networks, addressing challenges posed by modern applications and high network density. By leveraging disaggregated, virtualized, and software-based elements interconnected through open standardized interfaces, Open RAN introduces agility, cost-effectiveness, and enhanced competition in the Radio Access Network (RAN) domain. The Open RAN paradigm, driven by the O-RAN Alliance specifications, is set to transform the telecom ecosystem. Despite extensive technical literature, there is a lack of succinct summaries for industry professionals, researchers, and policymakers. This paper addresses this gap by providing a concise, yet comprehensive overview of Open RAN. Compared to previous work, our approach introduces Open RAN by gradually splitting up different components known from previous RAN architectures. We believe that this approach leads to a better understanding for people already familiar with the general concept of mobile communication networks. Building upon this general understanding of Open RAN, we introduce key architectural principles, interfaces, components and use-cases. Moreover, this work investigates potential security implications associated with adopting Open RAN architecture, emphasizing the necessity of robust network protection measures.</t>
  </si>
  <si>
    <t xml:space="preserve">Federal Ministry for Digital and Transport of the Federal Republic of Germany(grant numbers:165GU054B); </t>
  </si>
  <si>
    <t>https://ieeexplore.ieee.org/stamp/stamp.jsp?arnumber=10601697</t>
  </si>
  <si>
    <t>Open RAN;5G;security;mobile networks</t>
  </si>
  <si>
    <t>Open RAN;Security;Computer architecture;Hardware;5G mobile communication;Costs;Task analysis</t>
  </si>
  <si>
    <t>M. Moghaddassian; S. Shafaghi; P. Habibi; A. Leon-Garcia</t>
  </si>
  <si>
    <t>Phoenix: Transformative Reconfigurability for Edge IoT Devices in Small-Scale IoT Systems</t>
  </si>
  <si>
    <t>10.1109/ACCESS.2023.3339154</t>
  </si>
  <si>
    <t>The Edward S. Rogers Sr. Department of Electrical and Computer Engineering, University of Toronto, Toronto, Canada; The Edward S. Rogers Sr. Department of Electrical and Computer Engineering, University of Toronto, Toronto, Canada; The Edward S. Rogers Sr. Department of Electrical and Computer Engineering, University of Toronto, Toronto, Canada; The Edward S. Rogers Sr. Department of Electrical and Computer Engineering, University of Toronto, Toronto, Canada</t>
  </si>
  <si>
    <t>Transformative reconfigurability refers to the ability of changing the current software stack of a configurable device by fully replacing its existing one. In the context of IoT systems, such major device reconfigurations can be used to change the role, adapt new functionality, and keep reconfigurable IoT devices compatible with the IoT systems requirements as the ambient technology around them evolve, thus fostering a thriving and continuously-connected IoT environment. In this paper, we introduce Phoenix, an IoT device configuration management system that is designed to automate transformative reconfigurability for edge IoT devices at small scales. Edge IoT devices are typically computationally capable and configurable devices that have enough processing power to run user programs and control sensors and embedded devices in an IoT environment. Enabling transformative reconfigurability for such devices at small scales can increase IoT systems flexibility, efficiency, and adaptability in small IoT environments, for example, agri-farms, smart homes, micro grids, and the like. Phoenix manages the life cycle of edge IoT devices configuration and uses bare-metal provisioning to provide unattended installation of new software stacks that are defined by user intents that instruct the reconfiguration process. We implemented a Phoenix proof-of-concept system and deployed it on the SAVI testbed where we evaluated its performance in reconfiguring a variety of edge IoT devices under different network conditions. Our results indicate that Phoenix can meet the requirements of small-scale heterogeneous IoT systems in various application environments.</t>
  </si>
  <si>
    <t>https://ieeexplore.ieee.org/stamp/stamp.jsp?arnumber=10341245</t>
  </si>
  <si>
    <t>Bare metal provisioning;infrastructure automation;Internet of Things;reconfigurability</t>
  </si>
  <si>
    <t>Internet of Things;Engines;Operating systems;Microservice architectures;Metals;Full stack;Fires;Reconfigurable architectures;Edge computing</t>
  </si>
  <si>
    <t>L. M. Al Qassem; T. Stouraitis; E. Damiani; I. M. Elfadel</t>
  </si>
  <si>
    <t>Containerized Microservices: A Survey of Resource Management Frameworks</t>
  </si>
  <si>
    <t>10.1109/TNSM.2024.3388633</t>
  </si>
  <si>
    <t>Center for Secure Cyber Physical Systems and the College of Computing and Mathematical Sciences, Khalifa University, Abu Dhabi, UAE; Center for Secure Cyber Physical Systems and the College of Computing and Mathematical Sciences, Khalifa University, Abu Dhabi, UAE; Center for Secure Cyber Physical Systems and the College of Computing and Mathematical Sciences, Khalifa University, Abu Dhabi, UAE; Center for Secure Cyber Physical Systems and the College of Computing and Mathematical Sciences, Khalifa University, Abu Dhabi, UAE</t>
  </si>
  <si>
    <t>The growing adoption of microservice architectures (MSAs) has led to major research and development efforts to address their challenges and improve their performance, reliability, and robustness. Important aspects of MSA that are not sufficiently covered in the open literature include efficient cloud resource allocation and optimal power management. Other aspects of MSA remain widely scattered in the literature, including cost analysis, service level agreements (SLAs), and demand-driven scaling. In this article, we examine recent cloud frameworks for containerized microservices with a focus on efficient resource utilization using auto-scaling. We classify these frameworks on the basis of their resource allocation models and underlying hardware resources. We highlight current MSA trends and identify workload-driven resource sharing within microservice meshes and SLA streamlining as two key areas for future microservice research.</t>
  </si>
  <si>
    <t xml:space="preserve">Khalifa University Center of Secure Cyberphysical System; </t>
  </si>
  <si>
    <t>https://ieeexplore.ieee.org/stamp/stamp.jsp?arnumber=10499978</t>
  </si>
  <si>
    <t>Microservices;containers;resource management;container orchestration;machine learning;workload forecasting;reactive allocation;predictive allocation</t>
  </si>
  <si>
    <t>Microservice architectures;Resource management;Cloud computing;Containers;Service level agreements;Computer architecture;Surveys</t>
  </si>
  <si>
    <t>B. Feng; Z. Ding</t>
  </si>
  <si>
    <t>Application-Oriented Cloud Workload Prediction: A Survey and New Perspectives</t>
  </si>
  <si>
    <t>10.26599/TST.2024.9010024</t>
  </si>
  <si>
    <t>Department of Computer Science and Technology, Key Laboratory of Embedded System and Service Computing, Ministry of Education, Tongji University, Shanghai, China; Department of Computer Science and Technology, Key Laboratory of Embedded System and Service Computing, Ministry of Education, Tongji University, Shanghai, China</t>
  </si>
  <si>
    <t>Workload prediction is critical in enabling proactive resource management of cloud applications. Accurate workload prediction is valuable for cloud users and providers as it can effectively guide many practices, such as performance assurance, cost reduction, and energy consumption optimization. However, cloud workload prediction is highly challenging due to the complexity and dynamics of workloads, and various solutions have been proposed to enhance the prediction behavior. This paper aims to provide an in-depth understanding and categorization of existing solutions through extensive literature reviews. Unlike existing surveys, for the first time, we comprehensively sort out and analyze the development landscape of workload prediction from a new perspective, i.e., application-oriented rather than prediction methodologies per se. Specifically, we first introduce the basic features of workload prediction, and then analyze and categorize existing efforts based on two significant characteristics of cloud applications: variability and heterogeneity. Furthermore, we also investigate how workload prediction is applied to resource management. Finally, open research opportunities in workload prediction are highlighted to foster further advancements.</t>
  </si>
  <si>
    <t xml:space="preserve">National Natural Science Foundation of China(grant numbers:62372330); </t>
  </si>
  <si>
    <t>https://ieeexplore.ieee.org/stamp/stamp.jsp?arnumber=10676402</t>
  </si>
  <si>
    <t>cloud computing;workload prediction;resource management;artificial intelligence for IT operations (AIOps)</t>
  </si>
  <si>
    <t>Surveys;Measurement;Energy consumption;Costs;Reviews;Taxonomy;Predictive models</t>
  </si>
  <si>
    <t>KICS Journals</t>
  </si>
  <si>
    <t>S. -H. Lee; J. -Z. Liu</t>
  </si>
  <si>
    <t>A pluggable module for enabling a trusted edge device management system based on microservice</t>
  </si>
  <si>
    <t>Journal of Communications and Networks</t>
  </si>
  <si>
    <t>1976-5541</t>
  </si>
  <si>
    <t>10.23919/JCN.2023.000023</t>
  </si>
  <si>
    <t>KICS</t>
  </si>
  <si>
    <t>Department of Intelligent Commerce, National Kaohsiung University of Science and Technology, Kaohsiung, Taiwan; Department of Intelligent Commerce, National Kaohsiung University of Science and Technology, Kaohsiung, Taiwan</t>
  </si>
  <si>
    <t>In the development of the intelligent Internet of things, edge computing plays a key role. Not only that it has the characteristics of a quick response, but it can also effectively reduce the burden of cloud computing. In addition, it can also extend the application of network edge through the coexistence and collaboration with the cloud system. However, with a large number of edge devices being deployed, the previous remote device management system will face the challenges of resource constraints and software firmware compatibility. In addition, implementing remote fault management, configuration management, accounting management, performance management, and security management through edge device management is a key task. Therefore, this study has designed and implemented a trusted edge device management system based on a microservice and a plug-and-play hardware management device. The running state of the edge device, the functions of remote device control, and system restart are monitored remotely by in- and out-of-band management modes. In addition, in terms of data transmission security, the design concept of a trusted platform module is introduced to realize data encryption and authentication, and ensure security and reliability. In this paper, the operational feasibility of management services based on containerized microservice in edge devices is verified with system benchmarking tools without affecting system performance. According to the experimental results, the proposed architecture in this study can be effective in edge device management.</t>
  </si>
  <si>
    <t>https://ieeexplore.ieee.org/stamp/stamp.jsp?arnumber=10146579</t>
  </si>
  <si>
    <t>Edge computing;Internet of things;microservice;remote device management</t>
  </si>
  <si>
    <t>Internet of Things;Microservice architectures;Cloud computing;Hardware;Computer architecture;Protocols;Software</t>
  </si>
  <si>
    <t>P. Bellavista; N. Bicocchi; M. Fogli; C. Giannelli; M. Mamei; M. Picone</t>
  </si>
  <si>
    <t>ODTE: A Metric for Digital Twin Entanglement</t>
  </si>
  <si>
    <t>10.1109/OJCOMS.2024.3385659</t>
  </si>
  <si>
    <t>Department of Computer Science and Engineering (DISI), University of Bologna, Bologna, Italy; Department of Engineering Sciences and Methods, University of Modena and Reggio Emilia, Reggio Emilia, Italy; Department of Mathematics and Computer Science, University of Ferrara, Ferrara, Italy; Department of Mathematics and Computer Science, University of Ferrara, Ferrara, Italy; Department of Engineering Sciences and Methods, University of Modena and Reggio Emilia, Reggio Emilia, Italy; Department of Engineering Sciences and Methods, University of Modena and Reggio Emilia, Reggio Emilia, Italy</t>
  </si>
  <si>
    <t>Digital Twins (DTs) have recently emerged as a valuable approach for modeling, monitoring, and controlling physical objects in Industrial Internet of Things applications. Measuring the quality of entanglement between the digital and physical counterparts plays a crucial role in the adoption of DTs. In this context, entanglement denotes how well a DT mirrors its counterpart and the extent to which the behavior of the physical counterpart aligns with the commands issued by the DT. In this paper we propose a concise yet expressive and original metric for representing the quality of entanglement, namely Overall Digital Twin Entanglement (ODTE), based on two key factors: timeliness and completeness, i.e., the freshness of the collected data and the ratio between collected and total data, respectively. In addition, the paper describes how we have built our industrial testbed implemented on top of Kubernetes, where we show practical applications of the proposed ODTE metric by highlighting and discussing its benefits in realistic use cases.</t>
  </si>
  <si>
    <t>https://ieeexplore.ieee.org/stamp/stamp.jsp?arnumber=10492860</t>
  </si>
  <si>
    <t>Digital twins;entanglement;industrial IoT</t>
  </si>
  <si>
    <t>Measurement;Quality of experience;Quality of service;Digital twins;Synchronization;Task analysis;Industrial Internet of Things</t>
  </si>
  <si>
    <t>J. Xu; Z. Wei; X. Yuan; Y. Qiao; Z. Lyu; J. Han</t>
  </si>
  <si>
    <t>Throughput Maximization for Result Multicasting by Admitting Delay-Aware Tasks in MEC Networks for High-Speed Railways</t>
  </si>
  <si>
    <t>10.1109/TVT.2024.3357769</t>
  </si>
  <si>
    <t>School of Computer Science and Information Engineering, Hefei University of Technology, Hefei, China; School of Computer Science and Information Engineering, Hefei University of Technology, Hefei, China; Department of Computer Science and Engineering, University of North Texas, Denton, TX, USA; School of Computer Science and Information Engineering, Hefei University of Technology, Hefei, China; School of Computer Science and Information Engineering, Hefei University of Technology, Hefei, China; School of Computer Science and Information Engineering, Hefei University of Technology, Hefei, China</t>
  </si>
  <si>
    <t>The rapid expansion of high-speed railways (HSRs) and the growing demand for diverse data services during long journeys require efficient computing services. Mobile Edge Computing (MEC) emerged as a promising platform to fulfill this demand. We envision a scenario wherein passengers interact with each other on the same or different trains in real-time by offloading computationally intensive and delay-sensitive tasks to the track-side MEC networks for HSRs and computation results are multicast to the receivers. To improve the quality of data services, we propose a novel approach to optimize network throughput by admitting as many tasks as possible, subject to delay constraints, and multicasting the maximum number of results. The high mobility of trains and the frequent handovers during train-ground communication are factored into our scheme, which presents significant challenges to jointly consider the dynamic multicast grouping and admission/rejection policies for tasks/results. We introduce the multi-group-shared Group Steiner tree (GST) model and propose an efficient heuristic algorithm that reduces the multicast routing problem to finding a GST for each candidate cloudlet. The effectiveness of our proposed algorithm is demonstrated through simulations and the results are promising.</t>
  </si>
  <si>
    <t xml:space="preserve">Natural Science Foundation of Anhui Province(grant numbers:2108085MF202); National Natural Science Foundation of China(grant numbers:62002097); Fundamental Research Funds for the Central Universities(grant numbers:PA2023GDGP0044); </t>
  </si>
  <si>
    <t>https://ieeexplore.ieee.org/stamp/stamp.jsp?arnumber=10412682</t>
  </si>
  <si>
    <t>Edge computing;high-speed railways;multicasting;group Steiner tree problem;admission control</t>
  </si>
  <si>
    <t>Cloud computing;Throughput;Delays;Routing;Multicast communication;Multicast algorithms;Edge computing</t>
  </si>
  <si>
    <t>T. Ben Salah; M. Avgeris; A. Leivadeas; I. Lambadaris</t>
  </si>
  <si>
    <t>VNF Placement and Dynamic NUMA Node Selection Through Core Consolidation at the Edge and Cloud</t>
  </si>
  <si>
    <t>10.1109/TNSM.2024.3387275</t>
  </si>
  <si>
    <t>Department of Software and Information Technology Engineering, √âcole de Technologie Sup√©rieure, University of Quebec, Montreal, QC, Canada; Department of Software and Information Technology Engineering, √âcole de Technologie Sup√©rieure, University of Quebec, Montreal, QC, Canada; Department of Software and Information Technology Engineering, √âcole de Technologie Sup√©rieure, University of Quebec, Montreal, QC, Canada; Department of Systems and Computer Engineering, Carleton University, Ottawa, QC, Canada</t>
  </si>
  <si>
    <t>The recent networking trends driven primarily by the different virtualization technologies, such as Network Function Virtualization (NFV) and Service Function Chaining (SFC) pave the way for next-generation network services. In the 5G and beyond era, such services usually have strict delay requirements and the wider adoption of the distribution of their computational needs across the Edge-to-Cloud continuum is certainly a step in the right direction. However, the majority of the optimization solutions for placing the virtualized services so far focus on server selection, leaving other areas such as the impact of Non-Uniform Memory Access (NUMA) and CPU core selection underexplored. In this work, we herein formulate the problem of placing services as SFCs on an Edge/Cloud infrastructure, as a Mixed Integer Programming (MIP) problem. Then, we propose a heuristic algorithm called ‚ÄúDynamic numa node Selection through Cores consolidation ‚Äì DySCo‚Äù to solve it, which optimizes the placement in terms of server, NUMA and core selection. To the best of our knowledge, this is the first attempt to optimize network service placement in an Edge-Cloud interplay. Extensive simulation evaluation shows that DySCo is able to perform close to optimal while finding a solution in a real time fashion. Compared to a mix of baselines and modified solutions from the literature to treat this new problem, DySCo reduces on average the deployment cost by 17.53% and the delay by 28.88% for a given SFC.</t>
  </si>
  <si>
    <t xml:space="preserve">Natural Sciences and Engineering Research Council of Canada (NSERC)(grant numbers:RGPIN-2019-05250); </t>
  </si>
  <si>
    <t>https://ieeexplore.ieee.org/stamp/stamp.jsp?arnumber=10496505</t>
  </si>
  <si>
    <t>Network function virtualization;service function chaining;edge computing;cloud computing;resource allocation;non-uniform memory access</t>
  </si>
  <si>
    <t>Servers;Delays;Resource management;Costs;Random access memory;Quality of service;Throughput</t>
  </si>
  <si>
    <t>C. Lachner; J. Laufer; S. Dustdar; K. Pohl</t>
  </si>
  <si>
    <t>A Data Protection Focused Adaptation Engine for Distributed Video Analytics Pipelines</t>
  </si>
  <si>
    <t>10.1109/ACCESS.2022.3185990</t>
  </si>
  <si>
    <t>Distributed Systems Group, TU Wien, Vienna, Austria; Paluno‚ÄîThe Ruhr Institute for Software Technology, University of Duisburg-Essen, Essen, Germany; Distributed Systems Group, TU Wien, Vienna, Austria; Paluno‚ÄîThe Ruhr Institute for Software Technology, University of Duisburg-Essen, Essen, Germany</t>
  </si>
  <si>
    <t>The design, development, deployment, and operation of a distributed Video Analytics Pipeline (VAP) at the edge of the network is highly complex. In the domain of adaptive systems, several solutions are proposed in literature to optimize either one particular performance aspect of a VAP, e.g., execution time or latency, or focus on minimal energy consumption, or calculate a trade-off including some of those aspects. However, nowadays, most systems utilizing a VAP that records personally identifiable data have to adhere to some form of data protection regulation, such as the GDPR. Still, adaptations to increase data protection requirements are often second to previously mentioned performance or energy consumption characteristics of a VAP. While there is state of the art literature dealing with data protection related adaptations, most of them solely focus on increasing certain security or privacy aspects of a system, leaving previously mentioned performance or energy consumption characteristics out of scope. To the best of our knowledge, there is no solution that covers all of these aspects. In this paper, we present a data protection focused adaptation engine that leverages the application- and infrastructure based adaptation space of a distributed VAP. The engine employs an extended system model and adaptation rules that are based on previous research. It features an optimization algorithm to improve data protection, performance and energy consumption characteristics of a distributed VAP.</t>
  </si>
  <si>
    <t xml:space="preserve">European Union‚Äôs Horizon 2020 Research and Innovation Program (FogProtect)(grant numbers:871525); </t>
  </si>
  <si>
    <t>https://ieeexplore.ieee.org/stamp/stamp.jsp?arnumber=9805737</t>
  </si>
  <si>
    <t>Adaptive systems;optimization;video analytics pipelines;data protection;edge computing</t>
  </si>
  <si>
    <t>Data protection;Energy consumption;Task analysis;Pipelines;Visual analytics;Security;Engines</t>
  </si>
  <si>
    <t>Survivability Analysis of IoT Systems Under Resource Exhausting Attacks</t>
  </si>
  <si>
    <t>IEEE Transactions on Information Forensics and Security</t>
  </si>
  <si>
    <t>1556-6021</t>
  </si>
  <si>
    <t>10.1109/TIFS.2023.3278449</t>
  </si>
  <si>
    <t>Department of Electrical Engineering and Information Technology, University of Napoli Federico II, Napoli, Italy; Department of Computer Science, University of Salerno, Fisciano, Italy; Department of Computer Science, University of Salerno, Fisciano, Italy</t>
  </si>
  <si>
    <t>Essential services in an Internet of Things (IoT)-based critical system should be continuously provided even when undesirable events like failures, attacks, and emergencies happen. In this work, we analyze the system‚Äôs ability to survive failures that are caused by resource exhaustion attacks. Such ability to survive means that the system‚Äôs services should be provided in compliance with the associated requirements also in presence of failures and other undesired events. Accordingly, we present a hybrid method (i.e., measurements- and model-based) to assess the expected survivability of an IoT system under resource-exhaustion attacks and, based on it, to optimize the preventive maintenance trigger period that maximizes survivability and minimizes the expected downtime cost. A realistic case study is implemented to emulate an IoT scenario and used to estimate the extent of resource consumption at each layer of the IoT stack when the system is subject to a resource-exhaustion attack. A semi-Markov process is then adopted to model the transient behavior of the system during an intrusion. The model is enriched with an additional state that represents a proactive recovery, in which the system is not available for a maintenance action aimed at preventing failure. The model solution gives the optimal maintenance triggering time.</t>
  </si>
  <si>
    <t xml:space="preserve">SERICS through the NRRP MUR Program funded by the EU-NGEU(grant numbers:PE00000014); </t>
  </si>
  <si>
    <t>https://ieeexplore.ieee.org/stamp/stamp.jsp?arnumber=10130289</t>
  </si>
  <si>
    <t>Survivability;recovery;Denial of Service;Internet of Things;Markov model</t>
  </si>
  <si>
    <t>Internet of Things;Sensors;Wireless sensor networks;Logic gates;Degradation;Wireless communication;Communication system security</t>
  </si>
  <si>
    <t>S. Chen; Q. Yuan; J. Li; H. He; S. Li; X. Jiang; J. Yang</t>
  </si>
  <si>
    <t>Graph Neural Network Aided Deep Reinforcement Learning for Microservice Deployment in Cooperative Edge Computing</t>
  </si>
  <si>
    <t>10.1109/TSC.2024.3417241</t>
  </si>
  <si>
    <t>University of Science and Technology of China, Hefei, Anhui, China; University of Science and Technology of China, Hefei, Anhui, China; University of Science and Technology of China, Hefei, Anhui, China; University of Science and Technology of China, Hefei, Anhui, China; Guangxi Key Laboratory of Digital Infrastructure, Nanning, Guangxi, China; University of Science and Technology of China, Hefei, Anhui, China; University of Science and Technology of China, Hefei, Anhui, China</t>
  </si>
  <si>
    <t>Deploying microservices on the cooperative edge computing system greatly shortens the interaction delay between users and service and alleviates the traffic burden on the backbones, which has emerged as a new paradigm for service provision. However, it is challenging to embed microservices, having diverse resource demands and heterogeneous invocation relationships, into a distributed edge computing system with irregular network topology. In order to characterize the invocation relationship, we conceive a graph attention network based model to capture the structural features of microservices. Similarly, we propose a multi-channel directed graph convolutional network model to capture the spatial dynamic of edge resources distribution, which jointly considers the heterogeneity of the edge nodes and the links between them. Then, we develop a sequence-to-sequence based multi-step decision model, which maps the feature sequence of the current state to a sequence of deployment actions. Using this model, we further propose a microservice deployment algorithm based on graph neural network aided deep reinforcement learning, where a parallel asynchronous training process is used to accelerate convergence. The performance evaluation shows that the proposed algorithm can improve the deployment success ratio and resource utilization, while ensuring the load balance of edge nodes.</t>
  </si>
  <si>
    <t xml:space="preserve">National Natural Science Foundation of China(grant numbers:62341113,62101525,U23A20275); China Environment for Network Innovations (CENI)(grant numbers:2016-000052-73-01-000515); Guangxi Key Laboratory of Digital Infrastructure(grant numbers:GXDIOP2023001); </t>
  </si>
  <si>
    <t>https://ieeexplore.ieee.org/stamp/stamp.jsp?arnumber=10568381</t>
  </si>
  <si>
    <t>Microservice deployment;collaborative edge computing;deep reinforcement learning;graph neural network</t>
  </si>
  <si>
    <t>Microservice architectures;Edge computing;Computational modeling;Graph neural networks;Servers;Heuristic algorithms;Feature extraction</t>
  </si>
  <si>
    <t>Y. Zhang; D. Kutscher; Y. Cui</t>
  </si>
  <si>
    <t>Networked Metaverse Systems: Foundations, Gaps, Research Directions</t>
  </si>
  <si>
    <t>10.1109/OJCOMS.2024.3426098</t>
  </si>
  <si>
    <t>The Hong Kong University of Science and Technology, Guangzhou, China; The Hong Kong University of Science and Technology, Guangzhou, China; The Hong Kong University of Science and Technology, Guangzhou, China</t>
  </si>
  <si>
    <t>This article discusses ‚ÄòMetaverse‚Äô from a technical perspective, focusing on networked systems aspects. Based on a technical definition of the ‚ÄòMetaverse,‚Äô we examine the current state and challenges in communication and networking within Metaverse systems. We describe the state-of-the-art in different enabling Metaverse technologies and provide a technical analysis of current Metaverse system architectures. We then detail the state-of-the-art and the gaps in four areas: communication performance, mobility, large-scale operation, and end system architecture. Based on our analysis, we formulate a vision for future Metaverse infrastructure, outlining goals, design concepts, and suggested research directions.</t>
  </si>
  <si>
    <t xml:space="preserve">Guangzhou Municipal Key Laboratory on Future Networked Systems(grant numbers:024A03J0623); National Natural Science Foundation of China(grant numbers:62371412); National Key Research and Development Program of China(grant numbers:2024YFE0200600); Guangdong Basic and Applied Basic Research Natural Science Funding Scheme(grant numbers:2024A1515011184); Guangzhou-HKUST (GZ) Joint Funding Scheme(grant numbers:2024A03J0539); </t>
  </si>
  <si>
    <t>https://ieeexplore.ieee.org/stamp/stamp.jsp?arnumber=10592027</t>
  </si>
  <si>
    <t>Metaverse;networking;Internet;information-centric networking</t>
  </si>
  <si>
    <t>Metaverse;Surveys;Blockchains;Artificial intelligence;Computer architecture;Games;Focusing</t>
  </si>
  <si>
    <t>A. Fornaia; G. Marotta; G. Pappalardo; E. Tramontana</t>
  </si>
  <si>
    <t>A Decentralized Solution for Epidemiological Surveillance in Campus Scenarios</t>
  </si>
  <si>
    <t>10.1109/ACCESS.2022.3208167</t>
  </si>
  <si>
    <t>Dipartimento di Matematica e Informatica, University of Catania, Catania, Italy; Dipartimento di Matematica e Informatica, University of Catania, Catania, Italy; Dipartimento di Matematica e Informatica, University of Catania, Catania, Italy; Dipartimento di Matematica e Informatica, University of Catania, Catania, Italy</t>
  </si>
  <si>
    <t>Throughout the various containment phases of a pandemic, such as Covid-19, digital tools and services have proven to be essential measures to counteract the ensuing disrupting effects in social and working interactions. In such scenarios, Nausica@DApp, the comprehensive solution proposed in this paper, eases compatibility of the in-presence activities of a campus-based corporation with the organizational constraints posed by the virus during the pandemic, or at a later endemic stage. This is accomplished throughout several intervention areas, such as personnel contact tracing, crowd gathering surveillance, and epidemiological monitoring. These operational requirements, in particular indirect contact tracing and overcrowd monitoring, call for the adoption of an absolute device localization paradigm, which, in the proposed solution, has been devised on top of the campus WiFi infrastructure, proving to be encouragingly accurate in most cases. Absolute localization, on the other hand, entails a certain amount of server-based centralized operations, which might affect the preservation of user data privacy. The novelty of the proposed solution consists in maximizing confidentiality and integrity in the handling of sensitive personal information, in spite of the centralized aspects of the localization system. This is accomplished by decentralizing contact tracing matching operations, which are entirely carried out locally, by apps running on the users‚Äô mobile devices. Contact data are pseudonymized and their authenticity is guaranteed by a blockchain. Furthermore, the proposed novel solution improves privacy preservation by eschewing recourse to the Bluetooth app-to-app channel for user data exchange, in fact a typical choice of most current contract tracing solutions. Thanks to a sensible use of the blockchain features, integrated into Nausica@DApp‚Äôs microservice-based back-end, a higher degree of operation transparency can be relied upon, thus boosting the user‚Äôs level of trust and enhancing the availability and reliability of data about people gathering within the campus premises. Moreover, contact tracing only requires the mobile device WiFi interface to be on, so that users are neither forced to adopt new habits, nor to grant additional device access permissions to contact tracing apps (potentially undermining their own privacy). The overall system has been analysed in terms of performance and costs, and the experiments have shown that its adoption is viable and effective.</t>
  </si>
  <si>
    <t xml:space="preserve">Project TEAMS‚ÄîTEchniques to Support the Analysis of Big Data in Medicine, Energy and Structures‚ÄîPiano di incentivi per la ricerca di Ateneo 2020/2022; </t>
  </si>
  <si>
    <t>https://ieeexplore.ieee.org/stamp/stamp.jsp?arnumber=9895418</t>
  </si>
  <si>
    <t>Blockchain;contact tracing;data analysis;decentralized apps;distributed systems;epidemiological surveillance;localization;mobile applications;smart contracts</t>
  </si>
  <si>
    <t>Blockchains;Smart contracts;Peer-to-peer computing;Surveillance;Location awareness;Pandemics;Data privacy;Data analysis;Epidemiology;Smart contracts</t>
  </si>
  <si>
    <t>G. Ara√∫jo; V. Barbosa; L. N. Lima; A. Sabino; C. Brito; I. F√©; P. Rego; E. Choi; D. Min; T. A. Nguyen; F. A. Silva</t>
  </si>
  <si>
    <t>Energy Consumption in Microservices Architectures: A Systematic Literature Review</t>
  </si>
  <si>
    <t>10.1109/ACCESS.2024.3389064</t>
  </si>
  <si>
    <t>PASID Laboratory, Federal University of Piau√≠ (UFPI), Picos, Piau√≠, Brazil; PASID Laboratory, Federal University of Piau√≠ (UFPI), Picos, Piau√≠, Brazil; PASID Laboratory, Federal University of Piau√≠ (UFPI), Picos, Piau√≠, Brazil; PASID Laboratory, Federal University of Piau√≠ (UFPI), Picos, Piau√≠, Brazil; PASID Laboratory, Federal University of Piau√≠ (UFPI), Picos, Piau√≠, Brazil; PASID Laboratory, Federal University of Piau√≠ (UFPI), Picos, Piau√≠, Brazil; Federal University of Cear√°, Fortaleza, Brazil; School of Software, College of Computer Science, Kookmin University, Seoul, South Korea; Department of Computer Science and Engineering, College of Engineering, Konkuk University, Seoul, South Korea; Konkuk Aerospace Design-Airworthiness Institute (KADA), Konkuk University, Seoul, South Korea; PASID Laboratory, Federal University of Piau√≠ (UFPI), Picos, Piau√≠, Brazil</t>
  </si>
  <si>
    <t>Cloud computing emerges as a paradigm that facilitates on-demand access to technological resources through the mechanism of service virtualization. This virtualization enables the partitioning of hardware resources among applications that are organized into distinct independent modules. The concept of microservice architecture takes advantage of virtualization capabilities to embrace a software architecture strategy focused on the development of applications as assemblies of several interdependent but loosely coupled modules. Nonetheless, the adoption of microservices architecture is accompanied by substantial energy demands to meet the desired standards of performance and availability. Existing research within the domain of microservices has explored various topics pertinent to energy consumption, including elasticity, reliability, performance, and availability. Yet, the diversity of challenges and solutions presents a complex landscape for identifying prevailing research trends and unaddressed gaps in the context of microservices. This study aims to methodically discern, evaluate, and juxtapose the existing research trends and voids concerning energy consumption within microservices. It elucidates a systematic review on the subject of energy consumption in microservices architectures, offering a compilation of references to facilitate more directed future investigations. The initial selection encompassed 3625 articles, which were subsequently narrowed down through three stages of refinement, resulting in 37 articles chosen for an exhaustive review. These selected studies were cataloged and analyzed based on various criteria, including metrics, evaluation methodologies, and architectural typologies, thus uncovering research gaps and emerging trends related to energy consumption in microservice architectures. Furthermore, this inquiry delineates significant research challenges and prospective directions, structured around the key metrics that underpin the reviewed studies: performance, elasticity, scalability, reliability, sustainability, and availability.</t>
  </si>
  <si>
    <t xml:space="preserve">Basic Science Research Program through the National Research Foundation of Korea (NRF); Ministry of Education(grant numbers:2020R1A6A1A03046811,2021R1A2C2094943); </t>
  </si>
  <si>
    <t>https://ieeexplore.ieee.org/stamp/stamp.jsp?arnumber=10500420</t>
  </si>
  <si>
    <t>Microservices;systematic mapping;energy consumption;cloud computing;container</t>
  </si>
  <si>
    <t>Microservice architectures;Systematics;Computer architecture;Cloud computing;Reviews;Energy consumption;Security</t>
  </si>
  <si>
    <t>A. Alelyani; A. Datta; G. M. Hassan</t>
  </si>
  <si>
    <t>Optimizing Cloud Performance: A Microservice Scheduling Strategy for Enhanced Fault-Tolerance, Reduced Network Traffic, and Lower Latency</t>
  </si>
  <si>
    <t>10.1109/ACCESS.2024.3373316</t>
  </si>
  <si>
    <t>Department of Computer Science and Software Engineering, The University of Western Australia, Perth, WA, Australia; Department of Computer Science and Software Engineering, The University of Western Australia, Perth, WA, Australia; Department of Computer Science and Software Engineering, The University of Western Australia, Perth, WA, Australia</t>
  </si>
  <si>
    <t>The emergence of microservice architecture has brought significant advancements in software development, offering improved scalability and availability of applications. Cloud computing benefits from microservice architecture by mitigating the risks of single failures and ensuring compliance with service-level agreements. However, using microservice architecture presents two challenges: 1) managing network traffic, which leads to latency and network congestion; and 2) inefficient resource allocation for microservices. Current approaches have limitations in addressing these challenges. To overcome these limitations, we propose a novel scheduling strategy that schedules microservice replicas using a modified particle swarm optimization algorithm to place them on the most suitable physical machine. Additionally, we balance the load across physical machines in the cluster using a simple round-robin algorithm. Furthermore, our scheduling strategy integrates with Kubernetes to tackle resource allocation and deployment challenges. The proposed strategy has been evaluated by simulating two scenarios using Alibaba and Google datasets. The experimental results demonstrate the effectiveness of our strategy in reducing traffic, balancing load, and utilizing CPU and memory efficiently.</t>
  </si>
  <si>
    <t xml:space="preserve">University of Western Australia; </t>
  </si>
  <si>
    <t>https://ieeexplore.ieee.org/stamp/stamp.jsp?arnumber=10459012</t>
  </si>
  <si>
    <t>Microservice;network traffic cost;PSO;resource utilization;Alibaba;VM;container;scheduling strategy</t>
  </si>
  <si>
    <t>Microservice architectures;Cloud computing;Telecommunication traffic;Resource management;Costs;Containers;Task analysis;Telecommunication network management;Scheduling;Software development management;Performance evaluation;Fault tolerance</t>
  </si>
  <si>
    <t>Z. Siƒçanica; S. Suƒçiƒá; B. Mila≈°inoviƒá</t>
  </si>
  <si>
    <t>Architecture of an Artificial Intelligence Model Manager for Event-Driven Component-Based SCADA Systems</t>
  </si>
  <si>
    <t>10.1109/ACCESS.2022.3159715</t>
  </si>
  <si>
    <t>Konƒçar‚ÄîDigital, Zagreb, Croatia; Konƒçar‚ÄîDigital, Zagreb, Croatia; Faculty of Electrical Engineering and Computing, University of Zagreb, Zagreb, Croatia</t>
  </si>
  <si>
    <t>This paper analyzes Hat, an open-source framework for developing event-driven component-based SCADA applications, and discusses possibilities to add various analytical tools to such platforms. As a part of the contribution, an open-source component called Artificial Intelligence Model Manager (AIMM) has been developed and integrated into a Hat-based SCADA platform. AIMM is extensible through various plugins, allowing the addition of various models for advanced analytics e.g., machine learning tools, statistical tools, etc. The paper describes AIMM architecture and provides a use case in which state estimation was performed in a medium-voltage distribution grid. This case study demonstrates that it is possible to extend component-based SCADA systems with components for advanced analytics with minimal fundamental system changes.</t>
  </si>
  <si>
    <t xml:space="preserve">Advanced Tools Towards Cost-efficient Decarbonisation of Future Reliable Energy Systems (ATTEST) Project through the European Union‚Äôs Horizon 2020 Research and Innovation Program(grant numbers:864298); </t>
  </si>
  <si>
    <t>https://ieeexplore.ieee.org/stamp/stamp.jsp?arnumber=9734070</t>
  </si>
  <si>
    <t>Artificial intelligence;power system analysis computing;SCADA systems;software architecture</t>
  </si>
  <si>
    <t>SCADA systems;Computer architecture;State estimation;Neural networks;Security;Analytical models;Monitoring</t>
  </si>
  <si>
    <t>J. D. de Hoz Diego; T. Madi; C. Konstantinou</t>
  </si>
  <si>
    <t>CMXsafe: A Proxy Layer for Securing Internet-of-Things Communications</t>
  </si>
  <si>
    <t>10.1109/TIFS.2024.3404258</t>
  </si>
  <si>
    <t>Computer, Electrical and Mathematical Science and Engineering Division, King Abdullah University of Science and Technology, Thuwal, Saudi Arabia; Computer, Electrical and Mathematical Science and Engineering Division, King Abdullah University of Science and Technology, Thuwal, Saudi Arabia; Computer, Electrical and Mathematical Science and Engineering Division, King Abdullah University of Science and Technology, Thuwal, Saudi Arabia</t>
  </si>
  <si>
    <t>Security in Internet-of-Things (IoT) environments has become a major concern. This is partly due to a large number of remotely exploitable IoT vulnerabilities in service authentication and access control combined with the lack of timely technical support. To reduce the threat surface of remote vulnerability exploitation, we propose CMXsafe, a secure-by-design application-agnostic proxy layer that can be updated and managed independently of the IoT device application. CMXsafe places IoT devices behind gateways operating as 4th OSI transport layer relayers to offload security concerns of IoT network communications into the proxy layer. Specifically, the proxy layer produces secure communication paths between IoT applications and platforms while enforcing mutual authentication and access control to proxied services. We evaluate the performance of our architecture on the MQTT protocol used in a standard publisher-broker-subscriber configuration provided by Eclipse Mosquitto. We compare the performance penalty on the protocol when securing communications with TLS following a monolithic implementation and with CMXsafe. The experimental results suggest that CMXsafe outperforms integrated security by providing at least a 25% latency reduction and a 22% bandwidth improvement.</t>
  </si>
  <si>
    <t>https://ieeexplore.ieee.org/stamp/stamp.jsp?arnumber=10536903</t>
  </si>
  <si>
    <t>Internet-of-Things;secure communications;socket proxy;secure proxy session;security context</t>
  </si>
  <si>
    <t>Internet of Things;Security;Servers;Protocols;Sockets;Authentication;Microservice architectures</t>
  </si>
  <si>
    <t>T. Kato; N. Fukumoto; C. Sasaki; A. Tagami; A. Nakao</t>
  </si>
  <si>
    <t>Challenges of CPS/IoT Network Architecture in 6G Era</t>
  </si>
  <si>
    <t>10.1109/ACCESS.2024.3395363</t>
  </si>
  <si>
    <t>KDDI Research, Inc., Saitama, Japan; KDDI Research, Inc., Saitama, Japan; KDDI Research, Inc., Saitama, Japan; KDDI Research, Inc., Saitama, Japan; Graduate School of Engineering, The University of Tokyo, Tokyo, Japan</t>
  </si>
  <si>
    <t>Cyber Physical System (CPS) and Internet of Things (IoT) have attracted attention as a promising technology for the future society. Although the 6th generation mobile system is expected to work as the CPS/IoT platform, the specific technical requirements are not studied thoroughly. In this paper, we take application driven approach focusing on three applications, eHealth, smart manufacturing, and smart city, to identify mandatory technical requirements for the 6G mobile core network architecture to realize CPS/IoT systems. Specifically, this paper gives the following three contributions. First, we investigate several use cases in the applications listed above and list up the requirements for the core network, i.e., the massive connectivity, the flexible SLA, the ambient IoT device accommodation, the wireless sensing function, and the AI-aware data sharing. Second, we identify the issues to satisfy those requirements in the current 5G technologies. Lastly, we pick up the 6G architectures proposed currently and discuss their pros and cons based on the requirements and issues pointed out.</t>
  </si>
  <si>
    <t xml:space="preserve">University of Tokyo; </t>
  </si>
  <si>
    <t>https://ieeexplore.ieee.org/stamp/stamp.jsp?arnumber=10516287</t>
  </si>
  <si>
    <t>6th generation communications system;cyber physical system;Internet of Things</t>
  </si>
  <si>
    <t>6G mobile communication;Network architecture;Smart cities;Sensors;5G mobile communication;Middleware;Internet of Things;Cyber-physical systems</t>
  </si>
  <si>
    <t>Y. Cheng; A. Vijayaraj; K. Sree Pokkuluri; T. Salehnia; A. Montazerolghaem; R. Rateb</t>
  </si>
  <si>
    <t>Vehicular Fog Resource Allocation Approach for VANETs Based on Deep Adaptive Reinforcement Learning Combined With Heuristic Information</t>
  </si>
  <si>
    <t>10.1109/ACCESS.2024.3455168</t>
  </si>
  <si>
    <t>School of Information, Guangdong Polytechnic of Science and Trade, Guangzhou, Guangdong, China; Department of Information Technology, R.M.K. Engineering College, Chennai, Tamil Nadu, India; Department of Computer Science and Engineering, Shri Vishnu Engineering College for Women, Bhimavaram, India; Department of Computer Engineering and Information Technology, Razi University, Kermanshah, Iran; Faculty of Computer Engineering, University of Isfahan, Isfahan, Iran; Department of Computer Science, Faculty of Information Technology, Al-Ahliyya Amman University, Amman, Jordan</t>
  </si>
  <si>
    <t>Intelligent Transport Systems (ITS) are gradually progressing to practical application because of the rapid growth in network and information technology. Currently, the low-latency ITS requirements are hard to achieve in the conventional cloud-based Internet of Vehicles (IoV) infrastructure. In the context of IoV, Vehicular Fog Computing (VFC) has become recognized as an inventive and viable architecture that can effectively decrease the time required for the computation of diverse vehicular application activities. Vehicles receive rapid task execution services from VFC. The benefits of fog computing and vehicular cloud computing are combined in a novel concept called fog-based Vehicular Ad Hoc Networks (VANETs). These networks depend on a movable power source, so they have specific limitations. Cost-effective routing and load distribution in VANETs provide additional difficulties. In this work, a novel method is developed in vehicular applications to solve the difficulty of allocating limited fog resources and minimizing the service latency by using parked vehicles. Here, the improved heuristic algorithm called Revised Fitness-based Binary Battle Royale Optimizer (RF-BinBRO) is proposed to solve the problems of vehicular networks effectively. Additionally, the combination of Deep Adaptive Reinforcement Learning (DARL) and the improved BinBRO algorithm effectively analyzes resource allocation, vehicle parking, and movement status. Here, the parameters are tuned using the RF-BinBRO to achieve better transportation performance. To assess the performance of the proposed algorithm, simulations are carried out. The results defined that the developed VFC resource allocation model attains maximum service satisfaction compared to the traditional methods for resource allocation.</t>
  </si>
  <si>
    <t xml:space="preserve">Razi University of Kermanshah; Al-Ahliyya Amman University; </t>
  </si>
  <si>
    <t>https://ieeexplore.ieee.org/stamp/stamp.jsp?arnumber=10666661</t>
  </si>
  <si>
    <t>Vehicular fog resource allocation;vehicular ad hoc networks;revised fitness-based binary battle royale optimizer;deep adaptive reinforcement learning;reward assessment;service satisfaction;service latency</t>
  </si>
  <si>
    <t>Resource management;Vehicular ad hoc networks;Computational modeling;Cloud computing;Edge computing;Computer architecture;Optimization methods;Reinforcement learning</t>
  </si>
  <si>
    <t>D. Alsadie</t>
  </si>
  <si>
    <t>Artificial Intelligence Techniques for Securing Fog Computing Environments: Trends, Challenges, and Future Directions</t>
  </si>
  <si>
    <t>10.1109/ACCESS.2024.3463791</t>
  </si>
  <si>
    <t>Department of Computer Science and Artificial Intelligence, College of Computing, Umm Al-Qura University, Makkah, Saudi Arabia</t>
  </si>
  <si>
    <t>Fog computing, an extension of cloud computing, enhances capabilities by processing data closer to the source, thereby addressing latency and bandwidth issues inherent in traditional cloud models. However, the integration of Artificial Intelligence (AI) into fog computing introduces challenges, particularly in resource management, security, and privacy. This paper systematically reviews AI applications within fog computing environments, adhering to the Preferred Reporting Items for Systematic Reviews and Meta-Analyses (PRISMA) methodology to ensure rigorous analysis. The studies were selected based on predefined inclusion criteria, including research published between 2010 and 2024 in peer-reviewed journals and conference papers, with searches conducted in databases like IEEE Xplore, ACM Digital Library, SpringerLink, and Scopus. The review identifies critical issues such as resource constraints, transparency in AI-driven security systems, and the need for adaptable AI models to address evolving security threats. In response, innovative solutions such as lightweight AI models (e.g., Pruned Neural Networks, Quantized Models, Knowledge Distillation), Explainable AI (XAI) (e.g., Model-Agnostic Methods, Feature Importance Analysis, Rule-Based Approaches), and federated learning are proposed. Additionally, a novel taxonomy is introduced, categorizing AI techniques into resource management, security enhancement, and privacy-preserving methods, offering a structured framework for researchers and practitioners. The paper concludes that effective AI integration in fog computing is essential for developing secure, efficient, and adaptable distributed systems, with significant implications for both academia and industry.</t>
  </si>
  <si>
    <t>https://ieeexplore.ieee.org/stamp/stamp.jsp?arnumber=10684173</t>
  </si>
  <si>
    <t>Fog computing;artificial intelligence;resource management;explainable AI;privacy and security</t>
  </si>
  <si>
    <t>Artificial intelligence;Security;Edge computing;Resource management;Data models;Computational modeling;Authentication;Explainable AI;Privacy</t>
  </si>
  <si>
    <t>E. Rodriguez; X. Masip-Bruin; J. Martrat; R. Diaz; A. Jukan; F. Granelli; P. Trakadas; G. Xilouris</t>
  </si>
  <si>
    <t>A Security Services Management Architecture Toward Resilient 6G Wireless and Computing Ecosystems</t>
  </si>
  <si>
    <t>10.1109/ACCESS.2024.3427661</t>
  </si>
  <si>
    <t>Advanced Network Architectures Laboratory (CRAAX), Universitat Polit√®cnica de Catalunya (UPC), Vilanova i la Geltru, Barcelona, Spain; Advanced Network Architectures Laboratory (CRAAX), Universitat Polit√®cnica de Catalunya (UPC), Vilanova i la Geltru, Barcelona, Spain; Eviden Research and Innovation, Barcelona, Spain; Eviden Research and Innovation, Barcelona, Spain; Department of Communication Networks, Technische Universit√§t Braunschweig, Braunschweig, Germany; CNIT, University of Trento, Trento, Italy; Department of Port Management and Shipping, National and Kapodistrian University of Athens, Athens, Greece; Department of Port Management and Shipping, National and Kapodistrian University of Athens, Athens, Greece</t>
  </si>
  <si>
    <t>The upcoming sixth-generation (6G) networks are expected to be more heterogeneous, scalable, reliable, secure and energy-efficient. 6G services and applications will benefit from the fast data transmission rates, global coverage, precise positioning, and widespread intelligence capabilities provided by 6G technology. In this complex scenario, new attack surfaces and vectors will emerge, due to the distributed, disaggregated, dynamic, programmable and open nature of the entire end-to-end 6G infrastructure along with the fragmentation of data, as well as the need for supporting cross-platforms interoperability, making the application of security and trust fundamentally challenging. To securely manage services in the future 6G mobile networks along with the set of functions ruling its management, conceptual work is needed to defining functional blocks supporting a secure end-to-end 6G systems management. This is especially critical in handling specific functionalities, such as network disaggregation, risk and threats business impact, energy-efficiency, self-configuration or dynamic discovery. This paper positions an innovative 6G security services management architecture, which builds on a set of innovative building blocks, leveraging key technologies, such as AI-assisted models and Digital Twin, while enabling a human-centric approach toward an end-to-end security solution. Two canonical workflows along with two illustrative application scenarios are proposed, Light Rail Transit and Extended Reality, to conceptually highlight the proposed architecture impact and its expected benefits when high bandwidth, ultra-low latency, and secure communications are required.</t>
  </si>
  <si>
    <t xml:space="preserve">European union‚Äôs Horizon Europe, under the project HORSE(grant numbers:101096342); Ministerio de Ciencia e Innovaci√≥n(grant numbers:MCIN/AEI/10.13039/501100011033); ERDF: A way of making Europe(grant numbers:PID2021-124463OB-I00); Catalan Government(grant numbers:2021 SGR 00326); </t>
  </si>
  <si>
    <t>https://ieeexplore.ieee.org/stamp/stamp.jsp?arnumber=10597424</t>
  </si>
  <si>
    <t>6G;communication systems;wireless communication;network architecture;security</t>
  </si>
  <si>
    <t>6G mobile communication;Security;Prevention and mitigation;Resilience;Privacy;5G mobile communication;Wireless communication;Network architecture</t>
  </si>
  <si>
    <t>K. Afachao; A. M. Abu-Mahfouz; G. P. Hanke</t>
  </si>
  <si>
    <t>Efficient Microservice Deployment in the Edge-Cloud Networks With Policy-Gradient Reinforcement Learning</t>
  </si>
  <si>
    <t>10.1109/ACCESS.2024.3461149</t>
  </si>
  <si>
    <t>Department of Electrical, Electronic and Computer Engineering, University of Pretoria, Pretoria, South Africa; Department of Electrical, Electronic and Computer Engineering, University of Pretoria, Pretoria, South Africa; Department of Computer Science, City University of Hong Kong, Hong Kong, SAR</t>
  </si>
  <si>
    <t>The rise of user-centric design demands ubiquitous access to infrastructure and applications, facilitated by the Edge-Cloud network and microservices. However, efficiently managing resource allocation while orchestrating microservice placement in such dynamic environments presents a significant challenge. These challenges stem from the limited resources of edge devices, the need for low latency responses, and the potential for performance degradation due to service failures or inefficient deployments. This paper addresses the challenge of microservice placement in Edge-Cloud environments by proposing a novel Reinforcement Learning algorithm called Bi-Generic Advantage Actor-Critic for Microservice Placement Policy. This algorithm‚Äôs ability to learn and adapt to the dynamic environment makes it well-suited for optimizing resource allocation and service placement decisions within the Edge-Cloud. We compare this algorithm against three baseline algorithms through simulations on a real-world dataset, evaluating performance metrics such as execution time, network usage, average migration delay, and energy consumption. The results demonstrate the superiority of the proposed method, with an 8% reduction in execution time, translating to faster response times for users. Additionally, it achieves a 4% decrease in network usage and a 2% decrease in energy consumption compared to the best-performing baseline. This research contributes by reproducing the Edge-Cloud environment, applying the novel Bi-Generic Advantage Actor-Critic technique, and demonstrating significant improvements over the state-of-the-art baseline algorithms in microservice placement and resource management within Edge-Cloud environments.</t>
  </si>
  <si>
    <t xml:space="preserve">Telkom, South Africa; </t>
  </si>
  <si>
    <t>https://ieeexplore.ieee.org/stamp/stamp.jsp?arnumber=10680533</t>
  </si>
  <si>
    <t>Edge computing;microservices;network optimization;online placement;scheduling algorithms;reinforcement learning</t>
  </si>
  <si>
    <t>Microservice architectures;Heuristic algorithms;Reliability;Optimization methods;Resource management;Containers;Edge computing;Scheduling;User centered design;Reinforcement learning</t>
  </si>
  <si>
    <t>A. Bazzi; A. Shaout; D. Ma</t>
  </si>
  <si>
    <t>A Novel Variability-Rich Scheme for Software Updates of Automotive Systems</t>
  </si>
  <si>
    <t>10.1109/ACCESS.2024.3409629</t>
  </si>
  <si>
    <t>Department of Electrical and Computer Engineering, University of Michigan-Dearborn, Dearborn, MI, USA; Department of Electrical and Computer Engineering, University of Michigan-Dearborn, Dearborn, MI, USA; Department of Computer and Information Science, University of Michigan-Dearborn, Dearborn, MI, USA</t>
  </si>
  <si>
    <t>The automotive industry is experiencing a significant evolution from traditional hardware-defined to software-defined architecture, enabling higher levels of autonomy, connectivity, safety, and richer in-vehicle experiences. A service oriented architecture is essential for realizing Software-Defined Vehicles (SDVs) and fostering new business models for OEMs. However, this architecture evolution requires new development paradigms to address the increasing complexity of software, which is essential for seamless software development, integration, and deployment from cloud or backend repositories to the vehicle. Given the complexity of vehicular software updates, particularly when dealing with highly distributed embedded ECUs, a software-centric approach is more efficient and suitable to cover different architectures and configurations, ensuring consistency across all platforms. Therefore, we propose a variability-rich scheme for software updates based on a Merkle tree approach that can cope with the complexity of the new software architecture while addressing the safety and security requirements of real-time and resource-constrained embedded systems in the vehicle. The technical analysis and experiments conducted in this paper demonstrate how the proposed scheme, which combines a digital signature and a Merkle hash tree, achieves synergistic authentication and verification of multiple software variants. Our approach offers OEMs the ability to sign a software module once and verify it across multiple ECU variants, providing a more efficient alternative to the traditional method of creating a software update package for each variant. This approach not only adds flexibility to software updates and reduces the complexity of software variant management, but also maintains the security of the vehicle, ensuring that there is no compromise in the safety of the passengers.</t>
  </si>
  <si>
    <t>https://ieeexplore.ieee.org/stamp/stamp.jsp?arnumber=10547264</t>
  </si>
  <si>
    <t>Cyber physical systems;digital signatures;distributed software development;Merkle tree;safety-critical systems;service oriented architecture;software over the air updates;software-defined vehicle;variant management</t>
  </si>
  <si>
    <t>Software;Computer architecture;Automotive engineering;Complexity theory;Industries;Cloud computing;Software algorithms;Cyber-physical systems;Software development management;Service-oriented architecture</t>
  </si>
  <si>
    <t>M. A. Altahat; T. Daradkeh; A. Agarwal</t>
  </si>
  <si>
    <t>Optimized Encryption-Integrated Strategy for Containers Scheduling and Secure Migration in Multi-Cloud Data Centers</t>
  </si>
  <si>
    <t>10.1109/ACCESS.2024.3386169</t>
  </si>
  <si>
    <t>Department of Electrical and Computer Engineering, Concordia University, Montreal, QC, Canada; Department of Computer Science, Yarmouk University, Irbid, Jordan; Department of Electrical and Computer Engineering, Concordia University, Montreal, QC, Canada</t>
  </si>
  <si>
    <t>Containers are recognized for their lightweight and virtualization efficiency, making them a vital element in modern application orchestration. In this context, the scheduler is crucial in strategically distributing containers across diverse computing nodes. This paper presents a novel two-stage container scheduling solution that addresses node imbalances and efficiently deploys containers. The proposed solution formulates the scheduling process as an optimization problem, integrating various objective functions and constraints to enhance server consolidation and minimize energy consumption. The confidentiality of migrated containers is ensured through encryption, and the associated costs are incorporated into the optimization constraints. This approach ensures security in container scheduling, considering container attributes as input features in our proposed attributes-based encryption model. By carefully selecting containers and destination nodes, this work seeks to establish balance within cloud-based clusters. This contributes to the improvement of container orchestration systems and their effectiveness in real-world scenarios. The proposed solution‚Äôs efficacy is demonstrated in its ability to efficiently deploy containers in multi-data center cloud environments and seamlessly migrate them between hosts within the same data center or across different data centers. Our results show optimal consolidation with a reduction in the number of running hosts, ranging from 4% to over 18%. Additionally, the solution promotes minimal total power consumption with savings ranging from 3.5 to 16.25 megawatts, while also ensuring balanced server loads.</t>
  </si>
  <si>
    <t xml:space="preserve">Natural Sciences and Engineering Research Council (NSERC)‚Äôs Discovery Grant, Canada; </t>
  </si>
  <si>
    <t>https://ieeexplore.ieee.org/stamp/stamp.jsp?arnumber=10494738</t>
  </si>
  <si>
    <t>Containers;virtualization;scheduling;placement;optimization;encryption</t>
  </si>
  <si>
    <t>Containers;Encryption;Cloud computing;Security;Cryptography;Servers;Optimization;Scheduling;Optimization methods</t>
  </si>
  <si>
    <t>S. -C. Son; S. -K. Ko; H. O. Lee; S. Lee; B. -T. Lee</t>
  </si>
  <si>
    <t>SIMA: Scalable IoT Microservice Architecture With Users and Things Joint Load Balancing</t>
  </si>
  <si>
    <t>10.1109/JIOT.2023.3317430</t>
  </si>
  <si>
    <t>Honam Research Center, Electronics and Telecommunications Research Institute, Gwangju, Republic of Korea; Honam Research Center, Electronics and Telecommunications Research Institute, Gwangju, Republic of Korea; Honam Research Center, Electronics and Telecommunications Research Institute, Gwangju, Republic of Korea; Honam Research Center, Electronics and Telecommunications Research Institute, Gwangju, Republic of Korea; Honam Research Center, Electronics and Telecommunications Research Institute, Gwangju, Republic of Korea</t>
  </si>
  <si>
    <t>The Internet of Things (IoT) offers advantageous applications through interfacing between people and objects. Therefore, IoT service administrators should be able to partially manage both, as well as apply load-balancing policies jointly, according to their scale. Microservices (MSs) architecture is a futuristic and appropriate software development methodology for partial management. We break away from IoT server systems in monolithic architectures and focus on designing a scalable IoT MS architecture (SIMA) with user and object joint load balancing. The design also includes message exchange procedures for the initialization, discovery, and failure of MS replicas. Finally, we present the experimental results of the limitations of the monolithic platform and the maximum performance of the SIMA.</t>
  </si>
  <si>
    <t xml:space="preserve">Electronics and Telecommunications Research Institute (ETRI); Korean Government (Honam Region Regional Industry-Based ICT Convergence Technology Advancement Support Project)(grant numbers:23ZK1100); </t>
  </si>
  <si>
    <t>https://ieeexplore.ieee.org/stamp/stamp.jsp?arnumber=10256032</t>
  </si>
  <si>
    <t>Internet of Things (IoT);IoT server platform;lightweight machine to machine (LwM2M);microservice architecture (MSA)</t>
  </si>
  <si>
    <t>Internet of Things;Microservice architectures;Scalability;Protocols;Standards;Servers;Cloud computing</t>
  </si>
  <si>
    <t>N. Khezemi; J. Baptiste Minani; F. Sabir; N. Moha; Y. -G. Gu√©h√©neuc; G. El Boussaidi</t>
  </si>
  <si>
    <t>A Systematic Literature Review of IoT System Architectural Styles and Their Quality Requirements</t>
  </si>
  <si>
    <t>10.1109/JIOT.2024.3435496</t>
  </si>
  <si>
    <t>D√©partement de g√©nie logiciel et des TI, √âcole de technologie sup√©rieure, Montreal, QC, Canada; Department of Computer Science and Software Engineering, Concordia University, Montreal, QC, Canada; Department of Computer Sciences, University of the Punjab, Lahore, Pakistan; D√©partement de g√©nie logiciel et des TI, √âcole de technologie sup√©rieure, Montreal, QC, Canada; Department of Computer Science and Software Engineering, Concordia University, Montreal, QC, Canada; D√©partement de g√©nie logiciel et des TI, √âcole de technologie sup√©rieure, Montreal, QC, Canada</t>
  </si>
  <si>
    <t>The Internet of Things (IoT) is increasingly prevalent, with systems developed across various domains. Choosing the right IoT architectural style is challenging due to the diversity of devices, dynamic environments, and real-time data needs. This choice significantly impacts system quality, requiring a careful balance of quality requirements and tradeoffs. Previous studies have not adequately identified the most suitable architectural styles for specific IoT quality needs. This study presents a systematic literature review of 103 primary studies (PSs) on IoT system quality requirements and architectural styles, assessing how each architectural style satisfies specific requirements. We followed the preferred reporting items for systematic review and meta-analysis (PRISMA) protocol to report our findings and answer three research questions (RQs). We selected PSs by applying inclusion and exclusion criteria to relevant papers published until the end of 2023. We analyzed data from PSs to understand IoT system quality requirements and architectural styles, assessing their alignment. The research revealed ten essential quality requirements for IoT systems and identified ten distinct architectural styles. Notably, each architectural style varies in its capacity to fulfill specific quality requirements, particularly regarding security, scalability, and performance. SOA, client-server, and REST architectural styles best fulfill many quality requirements. However, various architectural styles, such as Layered, Microservices, and Peer-to-Peer, show limited support for privacy requirements. Our findings can guide IoT systems practitioners in selecting an architectural style that aligns with their desired quality standards. Additionally, we recommend new research opportunities to deepen understanding of key architectural styles based on specific quality requirements.</t>
  </si>
  <si>
    <t xml:space="preserve">Natural Sciences and Engineering Research Council of Canada (NSERC); Canada Research Chair program (CRCP); </t>
  </si>
  <si>
    <t>https://ieeexplore.ieee.org/stamp/stamp.jsp?arnumber=10759538</t>
  </si>
  <si>
    <t>Architectural style;Internet of Things (IoT);IoT architecture;quality criteria;quality requirements</t>
  </si>
  <si>
    <t>Privacy;Protocols;Scalability;Microservice architectures;Software;Real-time systems;Peer-to-peer computing;Internet of Things;Security;Standards</t>
  </si>
  <si>
    <t>S. Soltani; A. Amanloo; M. Shojafar; R. Tafazolli</t>
  </si>
  <si>
    <t>Intelligent Control in 6G Open RAN: Security Risk or Opportunity?</t>
  </si>
  <si>
    <t>10.1109/OJCOMS.2025.3526215</t>
  </si>
  <si>
    <t>5G/6GIC, Institute for Communication Systems, University of Surrey, Guildford, U.K.; 5G/6GIC, Institute for Communication Systems, University of Surrey, Guildford, U.K.; 5G/6GIC, Institute for Communication Systems, University of Surrey, Guildford, U.K.; 5G/6GIC, Institute for Communication Systems, University of Surrey, Guildford, U.K.</t>
  </si>
  <si>
    <t>The Open Radio Access Network (Open RAN) framework, emerging as the cornerstone for Artificial Intelligence (AI)-enabled Sixth-Generation (6G) mobile networks, heralds a transformative shift in radio access network architecture. As the adoption of Open RAN accelerates, ensuring its security becomes critical. The RAN Intelligent Controller (RIC) plays a central role in Open RAN by improving network efficiency and flexibility. Nevertheless, it also brings about potential security risks that need careful scrutiny. Therefore, it is imperative to evaluate the current state of RIC security comprehensively. This assessment is essential to gain a profound understanding of the security considerations associated with RIC. This survey combines a comprehensive analysis of RAN security, tracing its evolution from 2G to 5G, with an in-depth exploration of RIC security, marking the first comprehensive examination of its kind in the literature. Real-world security incidents involving RIC are vividly illustrated, providing practical insights. The study evaluates the security implications of the RIC within the 6G Open RAN context, addressing security vulnerabilities, mitigation strategies, and potential enhancements. It aims to guide stakeholders in the telecom industry toward a secure and dependable telecommunications infrastructure. The article serves as a valuable reference, shedding light on the RIC‚Äôs crucial role within the broader network infrastructure and emphasizing security‚Äôs paramount importance. This survey also explores the promising security opportunities that the RIC presents for enhancing network security and resilience in the context of 6G mobile networks. It outlines open issues, lessons learned, and future research directions in the domain of intelligent control in 6G Open RAN, facilitating a comprehensive understanding of this dynamic landscape.</t>
  </si>
  <si>
    <t>https://ieeexplore.ieee.org/stamp/stamp.jsp?arnumber=10829659</t>
  </si>
  <si>
    <t>RAN intelligent controller (RIC) security;open radio access network (Open RAN);6G;RAN security;O-RAN</t>
  </si>
  <si>
    <t>Security;Open RAN;6G mobile communication;Surveys;Interoperability;Optimization;Protocols;Network security;5G mobile communication;Software</t>
  </si>
  <si>
    <t>K. Zhu; Z. Zhang; S. Zeadally; F. Sun</t>
  </si>
  <si>
    <t>Learning to Optimize Workflow Scheduling for an Edge‚ÄìCloud Computing Environment</t>
  </si>
  <si>
    <t>10.1109/TCC.2024.3408006</t>
  </si>
  <si>
    <t>School of Electronic and Information Engineering, Beijing Jiaotong University, Beijing, China; School of Electronic and Information Engineering, Beijing Jiaotong University, Beijing, China; College of Communication and Information, University of Kentucky, Lexington, KY, USA; School of Electronic and Information Engineering, Beijing Jiaotong University, Beijing, China</t>
  </si>
  <si>
    <t>The widespread deployment of intelligent Internet of Things (IoT) devices brings tighter latency demands on complex workload patterns such as workflows. In such applications, tremendous dataflows are generated and processed in accordance with specific service chains. Edge computing has proven its feasibility in reducing the traffic in the core network and relieving cloud datacenters of fragmented computational demands. However, the efficient scheduling of workflows in hybrid edge‚Äìcloud networks is still challenging for the intelligent IoT paradigm. Existing works make dispatching decisions prior to real execution, making it difficult to cope with the dynamicity of the environment. Consequently, the schedulers are affected both by the scheduling strategy and by the mutual impact of dynamic workloads. We design an intelligent workflow scheduler for use in an edge‚Äìcloud network where workloads are generated with continuous steady arrivals. We develop new graph neural network (GNN)-based representations for task embedding and we design a proximal policy optimization (PPO)-based online learning scheduler. We further introduce an intrinsic reward to obtain an instantaneous evaluation of the dispatching decision and correct the scheduling policy on-the-fly. Numerical results validate the feasibility of our proposal as it outperforms existing works with an improved quality of service (QoS) level.</t>
  </si>
  <si>
    <t xml:space="preserve">Fundamental Research Funds for the Central Universities(grant numbers:2022JBZY002); National Natural Science Foundation of China(grant numbers:62173026); </t>
  </si>
  <si>
    <t>https://ieeexplore.ieee.org/stamp/stamp.jsp?arnumber=10545338</t>
  </si>
  <si>
    <t>Workflow scheduling;edge computing;Internet of Things;reinforcement learning</t>
  </si>
  <si>
    <t>Task analysis;Processor scheduling;Dynamic scheduling;Cloud computing;Internet of Things;Edge computing;Job shop scheduling</t>
  </si>
  <si>
    <t>A Comprehensive Review of AI Techniques for Resource Management in Fog Computing: Trends, Challenges, and Future Directions</t>
  </si>
  <si>
    <t>10.1109/ACCESS.2024.3447097</t>
  </si>
  <si>
    <t>Fog computing (FC), extending cloud services to the network edge, has emerged as a key paradigm for low-latency applications like the Internet of Things (IoT). However, efficient resource management, task scheduling, and load balancing pose challenges in fog environments. This review surveys recent research efforts aimed at addressing these challenges and optimizing FC performance. We conducted a systematic analysis of relevant research papers on FC published in reputable academic databases. The review focused on studies published between 2019 and 2024 and emphasized artificial intelligence based studies exploring resource management, task scheduling, and load balancing techniques within the FC domain. The review identifies a diverse range of techniques applied to optimize FC performance. These include machine learning (ML) and deep learning (DL) for resource allocation, heuristic algorithms for task scheduling, and nature-inspired meta-heuristics for load balancing. The review evaluates the strengths and limitations of these approaches, highlighting their impact on metrics like latency, energy consumption, and Quality of Service (QoS). This review demonstrates the significant progress made in optimizing FC through innovative techniques. ML and meta-heuristics have emerged as promising approaches for resource management, task scheduling, and load balancing, respectively. However, challenges persist in areas like real-world implementation complexities and ensuring service quality across geographically distributed fog networks. Future research directions are identified, emphasizing the need for further exploration of these challenges and the integration of emerging technologies like deep reinforcement learning for enhanced FC performance.</t>
  </si>
  <si>
    <t>https://ieeexplore.ieee.org/stamp/stamp.jsp?arnumber=10643044</t>
  </si>
  <si>
    <t>Fog computing;artificial intelligence;resource management;optimization;challenges</t>
  </si>
  <si>
    <t>Resource management;Task analysis;Artificial intelligence;Reviews;Load management;Internet of Things;Heuristic algorithms;Edge computing;Optimization methods</t>
  </si>
  <si>
    <t>A. A. Simiscuka; M. A. Togou; M. Zorrilla; G. -M. Muntean</t>
  </si>
  <si>
    <t>360-ADAPT: An Open-RAN-Based Adaptive Scheme for Quality Enhancement of Opera 360¬∞ Content Distribution</t>
  </si>
  <si>
    <t>10.1109/TGCN.2024.3418948</t>
  </si>
  <si>
    <t>Insight SFI Centre for Data Analytics and the School of Electronic Engineering, Dublin City University, Dublin 9, Ireland; School of Computing, Dublin City University, Dublin 9, Ireland; Department of Digital Media, Vicomtech, Donostia-San Sebasti√°n, Spain; Insight SFI Centre for Data Analytics and the School of Electronic Engineering, Dublin City University, Dublin 9, Ireland</t>
  </si>
  <si>
    <t>There is increasing viewer interest and technological support for streaming immersive clips over the Internet. There are, however, challenges in supporting high quality of viewer experience, mostly due to the large amounts of the data associated with immersive video and spatial audio (Ambisonics). In situations where there are limited network resources, the streamed 360¬∞ content needs to be adjusted dynamically to meet the network constraints. Dynamic Adaptive Streaming over HTTP (DASH) adaptation is a key technology for delivering high-quality video over open radio access networks (RANs). DASH allows for efficient adaptation of video streams to the available network conditions. This paper introduces 360-ADAPT, a DASH-based adaptation solution on an Open-RAN architecture for increased quality remote 360¬∞ opera experiences. Unlike existing schemes, 360-ADAPT gives precedence to audio over the video when selecting bitrates, increasing the overall quality of the artistic act and improving use of resources and energy. The proposed 360-ADAPT was tested with real opera viewers in the context of an artistic-oriented platform for opera delivery, part of the Horizon2020 TRACTION project. Results indicate that 360-ADAPT achieves higher perceived quality levels than alternative solutions both in QoS and QoE metrics.</t>
  </si>
  <si>
    <t xml:space="preserve">European Union Horizon 2020 Research and Innovation, TRACTION Project(grant numbers:870610); Science Foundation Ireland (SFI) through the Frontiers Projects FRADIS(grant numbers:21/FFP-P/10244); INSIGHT SFI Research Centre(grant numbers:12/RC/2289_P2); </t>
  </si>
  <si>
    <t>https://ieeexplore.ieee.org/stamp/stamp.jsp?arnumber=10571391</t>
  </si>
  <si>
    <t>Adaptation;QoE;immersive media;360 video;ambisonics;OpenRAN</t>
  </si>
  <si>
    <t>Streaming media;Media;Bit rate;Quality of experience;Quality of service;Headphones;Ambisonics;Open RAN</t>
  </si>
  <si>
    <t>SCROOGEVM: Boosting Cloud Resource Utilization With Dynamic Oversubscription</t>
  </si>
  <si>
    <t>10.1109/TSUSC.2024.3369333</t>
  </si>
  <si>
    <t>Inria, Talence, France; Inria, Villeneuve d'Ascq, France; Inria, Talence, France</t>
  </si>
  <si>
    <t>Despite continuous improvements, cloud physical resources remain underused, hence severely impacting the efficiency of these infrastructures at large. To overcome this inefficiency, Infrastructure-as-a-Service (IaaS) providers usually compensate for oversized Virtual Machines (VMs) by offering more virtual resources than are physically available on a host. However, this technique‚Äîknown as oversubscription‚Äîmay hinder performances when a statically-defined oversubscription ratio results in resource contention of hosted VMs. Therefore, instead of setting a static and cluster-wide ratio, this article studies how a greedy increase of the oversubscription ratio per Physical Machine (PM) and resources type can preserve performance goals. Keeping performance unchanged allows our contribution to be more realistically adopted by production-scale IaaS infrastructures. This contribution, named ScroogeVM, leverages the detection of PM stability to carefully increase the associated oversubscription ratios. Based on metrics shared by public cloud providers, we investigate the impact of resource oversubscription on performance degradation. Subsequently, we conduct a comparative analysis of ScroogeVM with state-of-the-art oversubscription computations. The results demonstrate that our approach outperforms existing methods by leveraging the presence of long-lasting VMs, while avoiding live migration penalties and performance impacts for stakeholders.</t>
  </si>
  <si>
    <t xml:space="preserve">‚ÄúFrugalCloud‚Äù Inria and OVHcloud partnership; Agence Nationale de la Recherche (ANR) under the France 2030 program; CARECloud(grant numbers:ANR-23-PECL-0003); DISTILLER(grant numbers:ANR-21-CE25-0022); SeMaFoR(grant numbers:ANR-20-CE25-0017); </t>
  </si>
  <si>
    <t>https://ieeexplore.ieee.org/stamp/stamp.jsp?arnumber=10444046</t>
  </si>
  <si>
    <t>Cloud;IaaS;oversubscription</t>
  </si>
  <si>
    <t>Cloud computing;Memory management;Resource management;Virtual machine monitors;Green computing;Optimization;Dynamic scheduling</t>
  </si>
  <si>
    <t>R. Panwar; M. Supriya</t>
  </si>
  <si>
    <t>RLPRAF: Reinforcement Learning-Based Proactive Resource Allocation Framework for Resource Provisioning in Cloud Environment</t>
  </si>
  <si>
    <t>10.1109/ACCESS.2024.3421956</t>
  </si>
  <si>
    <t>Department of Computer Science and Engineering, Amrita School of Computing, Amrita Vishwa Vidyapeetham, Bengaluru, India; Department of Computer Science and Engineering, Amrita School of Computing, Amrita Vishwa Vidyapeetham, Bengaluru, India</t>
  </si>
  <si>
    <t>Recent developments in cloud technology enable one to dynamically deploy heterogeneous resources as and when needed. This dynamic nature of the incoming workload causes fluctuations in the cloud environment, which is currently addressed using traditional reactive scaling techniques. Simple reactive approaches affect elastic system performance either by over-provisioning resources which significantly increases the cost, or by under-provisioning, which leads to starvation. Hence automated resource provisioning becomes an effective method to deal with such workload fluctuations. The aforementioned problems can also be resolved by using intelligent resource provisioning techniques by dynamically assigning required resources while adapting to the environment. In this paper, a reinforcement learning-based proactive resource allocation framework (RLPRAF) is proposed. This framework simultaneously learns the environment and distributes the resources. The proposed work presents a paradigm for the optimal allocation of resources by merging the notions of automatic computation, linear regression, and reinforcement learning. When tested with real-time workloads, the proposed RLPRAF method surpasses previous auto-scaling algorithms considering CPU usage, response time, and throughput. Finally, a set of tests demonstrate that the suggested strategy lowers overall expense by 30% and SLA violation by 77.7%. Furthermore, it converges at an optimum timing and demonstrates that it is feasible for a wide range of real-world service-based cloud applications.</t>
  </si>
  <si>
    <t>https://ieeexplore.ieee.org/stamp/stamp.jsp?arnumber=10579971</t>
  </si>
  <si>
    <t>Resource allocation;resource provisioning;autonomic computing systems;machine learning;reinforcement learning;virtual machines</t>
  </si>
  <si>
    <t>Cloud computing;Resource management;Dynamic scheduling;Virtual machining;Costs;Computational modeling;Time factors;Autonomous systems</t>
  </si>
  <si>
    <t>I. F√©; T. A. Nguyen; A. B. Soares; S. Son; E. Choi; D. Min; J. -W. Lee; F. A. Silva</t>
  </si>
  <si>
    <t>Model-Driven Dependability and Power Consumption Quantification of Kubernetes-Based Cloud-Fog Continuum</t>
  </si>
  <si>
    <t>10.1109/ACCESS.2023.3340195</t>
  </si>
  <si>
    <t>Laboratory of Applied Research to Distributed Systems (PASID), Federal University of Piau√≠ (UFPI), Picos, Piau√≠, Brazil; Konkuk Aerospace Design-Airworthiness Research Institute (KADA), Konkuk University, Seoul, South Korea; Distributed Systems and Network Computer Laboratory (DisNeL), Federal University of Piau√≠ (UFPI), Teresina, Piau√≠, Brazil; Electronics and Telecommunications Research Institute (ETRI), Daejeon, South Korea; School of Software, College of Computer Science, Kookmin University, Seoul, South Korea; Department of Computer Science and Engineering, College of Engineering, Konkuk University, Seoul, South Korea; Department of Aerospace Information Engineering, Konkuk University, Seoul, South Korea; Laboratory of Applied Research to Distributed Systems (PASID), Federal University of Piau√≠ (UFPI), Picos, Piau√≠, Brazil</t>
  </si>
  <si>
    <t>System dependability is pivotal for the reliable execution of designated computing functions. With the emergence of cloud-fog computing and microservices architectures, new challenges and opportunities arise in evaluating system dependability. Enhancing dependability in microservices often involves component replication, potentially increasing energy costs. Thus, discerning optimal redundancy strategies and understanding their energy implications is crucial for both cost efficiency and ecological sustainability. This paper presents a model-driven approach to evaluate the dependability and energy consumption of cloud-fog systems, utilizing Kubernetes, a container application orchestration platform. The developed model considers various determinants affecting system dependability, including hardware and software reliability, resource accessibility, and support personnel availability. Empirical studies validate the model‚Äôs effectiveness, demonstrating a 22.33% increase in system availability with only a 1.33% rise in energy consumption. Moreover, this methodology provides a structured framework for understanding cloud-fog system dependability, serves as a reference for comparing dependability across different systems, and aids in resource allocation optimization. This research significantly contributes to the efforts to enhance cloud-fog system dependability.</t>
  </si>
  <si>
    <t>https://ieeexplore.ieee.org/stamp/stamp.jsp?arnumber=10347188</t>
  </si>
  <si>
    <t>Cloud-fog continuum;dependability;Kubernetes;stochastic modeling</t>
  </si>
  <si>
    <t>Modeling;Stochastic processes;Power demand;Energy consumption;Edge computing;Cloud computing</t>
  </si>
  <si>
    <t>S. Javed; J. van Deventer; C. Paniagua; J. Delsing</t>
  </si>
  <si>
    <t>Visualization Approach for RAMI 4.0 Value Chain Analysis</t>
  </si>
  <si>
    <t>10.1109/OJIES.2024.3520410</t>
  </si>
  <si>
    <t>Department of Computer Science, Electrical and Space Engineering, Lulea University of Technology, Lulea, Sweden; Department of Computer Science, Electrical and Space Engineering, Lulea University of Technology, Lulea, Sweden; Department of Computer Science, Electrical and Space Engineering, Lulea University of Technology, Lulea, Sweden; Department of Computer Science, Electrical and Space Engineering, Lulea University of Technology, Lulea, Sweden</t>
  </si>
  <si>
    <t>Industry 4.0 has revolutionized industrial automation, with models, such as Industry 4.0 Reference Architectural Model (RAMI 4.0), providing a structured framework for optimizing value chains and processes. However, the complexity and abstract nature of RAMI 4.0 have limited its practical application, especially due to the lack of clear visualization methods to understand industrial ecosystems. Effective visualization is essential to translate this framework into actionable insights, enabling stakeholders to grasp system interactions, dependencies, and value-creation processes. This article proposes a multidimensional visualization approach, illustrated through a smart heat pump example, to map information and operational technologies, their interactions, and value chains. Combining 3-D visualizations for integrated system overviews with 2-D visualizations for task-specific analysis, the approach provides a comprehensive understanding of RAMI 4.0 value chains, enabling stakeholders to address their analytical needs with clarity. It facilitates run-time value chain analysis, offering real-time insights for decision-making during operations. The approach maps industrial systems across RAMI 4.0 axes and aligns them with engineering processes and lifecycle phases, enabling the exploration of system interactions, dependencies, and stakeholder contributions. This supports the analysis of engineering and business processes, optimizes infrastructure, and facilitates smooth technological transitions. It enhances RAMI 4.0‚Äôs utility for real-time decision-making and operational efficiency, boosting competitiveness in industrial ecosystems.</t>
  </si>
  <si>
    <t xml:space="preserve">European Commission and Arrowhead flexible Production Value Network (fPVN)(grant numbers:101111977,101092069); </t>
  </si>
  <si>
    <t>https://ieeexplore.ieee.org/stamp/stamp.jsp?arnumber=10807841</t>
  </si>
  <si>
    <t>2-D and 3-D visualizations;Industry 4.0 (I4.0);lifecycle management;microservice architecture;real-time decision making;run-time value chain analysis;smart industry ecosystems;stakeholder collaboration</t>
  </si>
  <si>
    <t>Visualization;Stakeholders;Ecosystems;Real-time systems;Complexity theory;Decision making;Industrial electronics;Fourth Industrial Revolution;Biological system modeling;Three-dimensional displays</t>
  </si>
  <si>
    <t>G. Baruffa; A. Detti; L. Rugini; F. Crocetti; P. Banelli; G. Costante; P. Valigi</t>
  </si>
  <si>
    <t>AI-Driven Ground Robots: Mobile Edge Computing and mmWave Communications at Work</t>
  </si>
  <si>
    <t>10.1109/OJCOMS.2024.3399015</t>
  </si>
  <si>
    <t>Department of Engineering, University of Perugia, Perugia, Italy; Department of Electronic Engineering, University of Rome ‚ÄúTor Vergata,‚Äù, Rome, Italy; Department of Engineering, University of Perugia, Perugia, Italy; Department of Engineering, University of Perugia, Perugia, Italy; Department of Engineering, University of Perugia, Perugia, Italy; Department of Engineering, University of Perugia, Perugia, Italy; Department of Engineering, University of Perugia, Perugia, Italy</t>
  </si>
  <si>
    <t>The seamless integration of multiple radio access technologies (multi-RAT) and cloud/edge resources is pivotal for advancing future networks, which seek to unify distributed and heterogeneous computing and communication resources into a cohesive continuum system, tailored for mobile applications. Many research projects and focused studies are proposing solutions in this area, the impact of which is undoubtedly increased by moving from theoretical and simulation studies to experimental validations. To this aim, this paper proposes a testbed architecture that combines contemporary communication and cloud technologies to provide microservice-based mobile applications with the ability to offload part of their tasks to cloud/edge data centers connected by multi-RAT cellular networks. The testbed leverages Kubernetes, Istio service mesh, OpenFlow, public 5G networks, and IEEE 802.11ad mmWave (60 GHz) Wi-Fi access points. The architecture is validated through a use case in which a ground robot autonomously follows a moving object by using an artificial intelligence-driven computer vision application. Computationally intensive navigation tasks are offloaded by the robot to microservice instances, which are executed on demand within cloud and edge data centers that the robot can exploit during its journey. The proposed testbed is flexible and can be reused to assess communication and cloud innovations focusing on multi-RAT cloud continuum scenarios.</t>
  </si>
  <si>
    <t xml:space="preserve">University of Perugia through the Fondo di Ricerca di Base 2022 Project ‚ÄúEnergy-Efficient Networking, Signal Processing and Communications (EFESO)‚Äù; Fondo di Ricerca di Base 2020 Project ‚ÄúSystems, Algorithms, and Architectures for Information Transmission and Processing in Future Telecommunications and Sensor Networks‚Äù; Ministero dell‚ÄôIstruzione, dell‚ÄôUniversit√† e della Ricerca (MIUR) through the PRIN 2017 Project ‚ÄúLiquid Edge Computing Based on Distributed Machine Learning and Millimeter-Wave Radio Access (LIQUID_EDGE);‚Äù; European Union under the Italian National Recovery and Resilience Plan (NRRP) of NextGenerationEU, Partnership on ‚ÄúTelecommunications of the Future,‚Äù Program ‚ÄúRESTART‚Äù(grant numbers:PE00000001); ‚ÄúNetwin‚Äù(grant numbers:E83C22004640001); </t>
  </si>
  <si>
    <t>https://ieeexplore.ieee.org/stamp/stamp.jsp?arnumber=10527382</t>
  </si>
  <si>
    <t>Containerization;ground robot;millimeter wave;mobile edge computing;mobile edge learning;object detection;orchestration;smart city;software defined networking</t>
  </si>
  <si>
    <t>Robots;Microservice architectures;Task analysis;Cloud computing;Millimeter wave communication;5G mobile communication;Image edge detection</t>
  </si>
  <si>
    <t>G. Salierno; L. Leonardi; G. Cabri</t>
  </si>
  <si>
    <t>A Big Data Architecture for Digital Twin Creation of Railway Signals Based on Synthetic Data</t>
  </si>
  <si>
    <t>10.1109/OJITS.2024.3412820</t>
  </si>
  <si>
    <t>Department of Engineering ‚ÄúEnzo Ferrari,‚Äù, University of Modena and Reggio Emilia, Modena, Italy; Department of Engineering ‚ÄúEnzo Ferrari,‚Äù, University of Modena and Reggio Emilia, Modena, Italy; Department of Physics, Informatics and Mathematics, University of Modena and Reggio Emilia, Modena, Italy</t>
  </si>
  <si>
    <t>Industry 5.0 has introduced new possibilities for defining key features of the factories of the future. This trend has transformed traditional industrial production by exploiting Digital Twin (DT) models as virtual representations of physical manufacturing assets. In the railway industry, Digital Twin models offer significant benefits by enabling anticipation of developments in rail systems and subsystems, providing insight into the future performance of physical assets, and allowing testing and prototyping solutions prior to implementation. This paper presents our approach for creating a Digital Twin model in the railway domain. We particularly emphasize the critical role of Big Data in supporting decision-making for railway companies and the importance of data in creating virtual representations of physical objects in railway systems. Our results show that the Digital Twin model of railway switch points, based on synthetic data, accurately represents the behavior of physical railway switches in terms of data points.</t>
  </si>
  <si>
    <t>https://ieeexplore.ieee.org/stamp/stamp.jsp?arnumber=10554659</t>
  </si>
  <si>
    <t>Big data;digital twin;machine learning;synthetic data;railway industry;artificial intelligence</t>
  </si>
  <si>
    <t>Rail transportation;Switches;Digital twins;Big Data;Data models;Computer architecture;Synthetic data;Machine learning;Artificial intelligence;Computer architecture</t>
  </si>
  <si>
    <t>E. B. Wagiu; C. -M. Liu; Y. Palopak</t>
  </si>
  <si>
    <t>Mapping Technological Trajectories of Edge Computing: A Citation Graph Analysis</t>
  </si>
  <si>
    <t>10.1109/JIOT.2024.3355056</t>
  </si>
  <si>
    <t>Department of Computer Science and Information Engineering, National Taipei University of Technology, Taipei, Taiwan; Department of Computer Science and Information Engineering, National Taipei University of Technology, Taipei, Taiwan; Department of Information Management, National Taiwan University of Science and Technology, Taipei, Taiwan</t>
  </si>
  <si>
    <t>The notion of edge computing has recently arisen as a potentially helpful advancement in distributed computing and communication infrastructure. To better understand the evolution and diffusion of technological knowledge in this field, we conducted a citation graph analysis of scholarly publications related to edge computing. Our study aims to identify the critical technological trajectories and research themes that have shaped the development and adoption of edge computing over time. We employ main path analysis (MPA) to construct a citation graph using a comprehensive publications data set from Web of Science (WoS) databases. We applied keyword co-occurrence analysis techniques to identify clusters of research topics and their interconnections. Occurrence cluster analysis results indicate that current research in edge computing is primarily centered around the architecture of edge computing, high-speed networks, mobile edge computing, computing systems, and blockchain and security technologies. We also identified the significant papers and contributors in the edge computing field and their impact on the technological trajectory of edge computing. The results reveal 35 significant papers that shape the emergence of four phases of the technology trajectory, including edge computing transition, architecture, edge future, and edge optimization.</t>
  </si>
  <si>
    <t>https://ieeexplore.ieee.org/stamp/stamp.jsp?arnumber=10402108</t>
  </si>
  <si>
    <t>Edge computing;keyword co-occurrence;main path analysis (MPA);mapping trajectories</t>
  </si>
  <si>
    <t>Edge computing;Trajectory;Internet of Things;Cloud computing;Systematics;Security;Computer architecture</t>
  </si>
  <si>
    <t>S. Jadon; P. K. Kannan; U. Kalaria; K. R. Varsha; K. Gupta; P. B. Honnavalli</t>
  </si>
  <si>
    <t>A Comprehensive Study of Load Balancing Approaches in Real-Time Multi-Core Systems for Mixed Real-Time Tasks</t>
  </si>
  <si>
    <t>10.1109/ACCESS.2024.3388291</t>
  </si>
  <si>
    <t>Department of Computer Science Engineering, PES University, Bengaluru, India; Department of Computer Science Engineering, PES University, Bengaluru, India; Department of Computer Science Engineering, PES University, Bengaluru, India; Department of Computer Science Engineering, PES University, Bengaluru, India; Department of Computer Science Engineering, PES University, Bengaluru, India; Department of Computer Science Engineering, PES University, Bengaluru, India</t>
  </si>
  <si>
    <t>Real-time systems are becoming pervasive with the growing global connectivity and rising consumer demands. The need for real-time processing has become a crucial part of many business applications worldwide. A key factor that determines the time taken for an application to give out the result hinges on its ability to prioritize, manage, and execute real-time workloads. However, there are several difficulties and constraints connected with implementing tasks in a real-time context. This research study primarily focuses on load balancing for mixed real-time tasks on a multi-core system, one of the major challenges for executing real-time workloads. The purpose of load balancing is to distribute the load evenly among the processor(s) and maximize their utility while minimizing overall execution time. The goal of this paper is to present a critical analysis of existing load balancing techniques for both periodic and aperiodic tasks. The paper explores several factors including throughput, performance, migration time, response time, overhead, resource utilization, scalability, fault tolerance, power efficiency, and other variables that play a crucial role in assessing the efficacy of load balancing in real-time systems. The proposed has contributed in four folds. Firstly, the state-of-the-art of various load balancing algorithms are discussed followed by the architecture involved in real-time multi-core systems. Later, different load balancing based scheduling algorithms were compared on the basis of different schemas and metrics for algorithm evaluation is also provided. Finally, the paper also identifies areas that warrant further exploration or investigation, suggesting potential avenues for future research, and highlighting emerging trends or developments that may shape the field.</t>
  </si>
  <si>
    <t>https://ieeexplore.ieee.org/stamp/stamp.jsp?arnumber=10497602</t>
  </si>
  <si>
    <t>Scheduling algorithms;real-time systems;priority-driven algorithms;EDF (earliest deadline first);RM (rate-monotonic);LBPSA (load balanced partitioning and scheduling algorithm);homogeneous multi-core;heterogeneous multi-core;static algorithms;dynamic algorithms</t>
  </si>
  <si>
    <t>Task analysis;Real-time systems;Heuristic algorithms;Scheduling;Load management;Partitioning algorithms;Scheduling algorithms</t>
  </si>
  <si>
    <t>A. Cilfone; L. Davoli; G. Ferrari</t>
  </si>
  <si>
    <t>LoRa Meets IP: A Container-Based Architecture to Virtualize LoRaWAN End Nodes</t>
  </si>
  <si>
    <t>10.1109/TMC.2024.3359150</t>
  </si>
  <si>
    <t>Department of Engineering and Architecture, Internet of Things (IoT) Lab, University of Parma, Parma, Italy; Department of Engineering and Architecture, Internet of Things (IoT) Lab, University of Parma, Parma, Italy; Department of Engineering and Architecture, Internet of Things (IoT) Lab, University of Parma, Parma, Italy</t>
  </si>
  <si>
    <t>In this work, a container-based architecture for the integration of Long Range Wide Area Network (LoRaWAN) end nodes‚Äîe.g., used to monitor industrial machines or mobile entities in specific environments‚Äîwith Internet Protocol (IP)-based networks is proposed and its performance is investigated. To this end, we exploit the native service and resource discovery support of the Constrained Application Protocol (CoAP), as well as its light traffic requirements, owing to its use of User Datagram Protocol (UDP) rather than Transmission Control Protocol (TCP). This approach (i) adapts transparently (with no impact) to both private and public LoRaWAN networks, (ii) enables seamless interaction between LoRaWAN-based and CoAP-based nodes, through a logical ‚Äúvirtualization‚Äù of LoRaWAN nodes at server side, and (iii) enables routing among LoRaWAN end nodes, overcoming LoRaWAN's absence of inter-node communication and lack of compliance (at the end nodes‚Äô side) with IP. Two virtualization approaches are proposed: (i) virtualization of a single end node (represented as a CoAP server) per container and (ii) virtualization of multiple end nodes (as CoAP servers) per container. Finally, deployments of the proposed virtualization architectures, using both a laptop and an Internet of Things (IoT) device (e.g., a Raspberry Pi), are considered, highlighting how the best solution relies on the use of several containers, with more than one CoAP server per container.</t>
  </si>
  <si>
    <t xml:space="preserve">European Union's Horizon 2020 research and innovation program ECSEL Joint Undertaking; Airborne Data Collection on Resilient System Architectures(grant numbers:876038); Intelligent Secure Trustable Things; European Union's Horizon Europe Research and Innovation Program Key Digital Technology (KDT) JU(grant numbers:101097267); OPtimization of Electric Vehicle Autonomy; National Research Centre for Agricultural Technologies(grant numbers:CN00000022); National Recovery and Resilience Plan; Italian Ministry of University and Research; European Union ‚Äì NextGenerationEU; </t>
  </si>
  <si>
    <t>https://ieeexplore.ieee.org/stamp/stamp.jsp?arnumber=10415221</t>
  </si>
  <si>
    <t>Internet of Things;LoRaWAN;virtualization;Constrained Application Protocol (CoAP)</t>
  </si>
  <si>
    <t>Internet of Things;Low-power wide area networks;Virtualization;Servers;Computer architecture;Mobile computing;Downlink</t>
  </si>
  <si>
    <t>R. Verdecchia; L. Scommegna; B. Picano; M. Becattini; E. Vicario</t>
  </si>
  <si>
    <t>Network Digital Twins: A Systematic Review</t>
  </si>
  <si>
    <t>10.1109/ACCESS.2024.3453034</t>
  </si>
  <si>
    <t>Department of Information Engineering, Software Technologies Laboratory, University of Florence, Florence, Italy; Department of Information Engineering, Software Technologies Laboratory, University of Florence, Florence, Italy; Department of Information Engineering, Software Technologies Laboratory, University of Florence, Florence, Italy; Department of Information Engineering, Software Technologies Laboratory, University of Florence, Florence, Italy; Department of Information Engineering, Software Technologies Laboratory, University of Florence, Florence, Italy</t>
  </si>
  <si>
    <t>Network management is becoming more complex due to various factors. The growth of IoT increases the number of nodes to control. The combination of Edge and Fog Computing with distributed algorithms makes network synchronization challenging. Softwarized technologies simplify network management but create integration issues with legacy networks. Even in industrial settings where drones and mobile robots are used, proper network management is crucial yet challenging. In this context, digital twins can be used to replicate the structure and behavior of the physical network and at the same time can be used to successfully manage the complexity and heterogeneity of current networks. Despite the rapid growth of interest in the topic, a comprehensive overview of Network Digital Twin research is currently missing. To address this gap, in this paper, we present a systematic review of the Network Digital Twin literature. From the analysis of 138 primary studies, various insights emerge. Networking Digital Twin is a particularly recent concept that has been explored in the literature since 2017 and is experiencing a steady increase to this day. The vast majority of the studies propose solutions to optimize network performance, but there are also many oriented towards other goals such as security and functional suitability. The three most recurrent application domains, as self-reported in the primary studies, are those of smart industry, edge computing, and vehicular. The main research topics aim at network optimization, support for offloading, resource allocation, and floor monitoring, but also support in the implementation of machine learning algorithms such as federated learning. As a conclusion, Networking Digital Twin proves to be a promising emerging field both for academics and practitioners.</t>
  </si>
  <si>
    <t xml:space="preserve">European Union under Italian National Recovery and Resilience Plan (NRRP) of NextGenerationEU, Partnership on ‚ÄúTelecommunications of the Future‚Äù (Program ‚ÄúRESTART‚Äù)(grant numbers:PE0000001); </t>
  </si>
  <si>
    <t>https://ieeexplore.ieee.org/stamp/stamp.jsp?arnumber=10662957</t>
  </si>
  <si>
    <t>Digital twins;computer networks;systematic literature review</t>
  </si>
  <si>
    <t>Digital twins;Systematics;Monitoring;Data mining;Wireless communication;Synchronization;Surveys;Systematic literature review;Computer networks</t>
  </si>
  <si>
    <t>M. N. Jamil; O. Schel√©n; A. Afif Monrat; K. Andersson</t>
  </si>
  <si>
    <t>Enabling Industrial Internet of Things by Leveraging Distributed Edge-to-Cloud Computing: Challenges and Opportunities</t>
  </si>
  <si>
    <t>10.1109/ACCESS.2024.3454812</t>
  </si>
  <si>
    <t>Department of Computer Science, Electrical and Space Engineering, Lule√• University of Technology, Skellefte√•, Sweden; Department of Computer Science, Electrical and Space Engineering, Lule√• University of Technology, Skellefte√•, Sweden; Department of Computer Science, Electrical and Space Engineering, Lule√• University of Technology, Skellefte√•, Sweden; Department of Computer Science, Electrical and Space Engineering, Lule√• University of Technology, Skellefte√•, Sweden</t>
  </si>
  <si>
    <t>The Industrial Internet of Things (IIoT) promises automation, efficiency, and data-driven decision-making by real-time data collection and analysis. However, traditional IIoT architectures are cloud-centric and, therefore, struggle to handle large volumes of data, edge bandwidth constraints, and data confidentiality. Distributed edge-to-cloud computing emerges as a potential solution, also paving the ground for edge-to-cloud data analytics and distributed Artificial Intelligence (AI) to obtain insights for decision-making and predictive maintenance. Despite the potential, however, there is a lack of comprehensive studies identifying key requirements for distributed edge-to-cloud IIoT and analyzing to what extent emerging IoT platforms meet those requirements. The scope of this article is to survey existing literature to identify key requirements in IIoT from the perspective of distributed edge-to-cloud computing. We provide a comparative analysis of three prominent IoT platforms, namely ThingsBoard, Eclipse Ditto, and Microsoft Azure IoT, and assess how these platforms meet the key IIoT requirements. Finally, we identify open challenges and potential research opportunities based on the insights gained from the analysis of the three IoT platforms, thereby setting the stage for future work.</t>
  </si>
  <si>
    <t xml:space="preserve">Green Transition North project co-funded by European Union(grant numbers:20359796); </t>
  </si>
  <si>
    <t>https://ieeexplore.ieee.org/stamp/stamp.jsp?arnumber=10666680</t>
  </si>
  <si>
    <t>Industrial Internet of Things (IIoT);edge-to-cloud computing;data analytics;IoT platforms</t>
  </si>
  <si>
    <t>Industrial Internet of Things;Cloud computing;Scalability;Data analysis;Real-time systems;Distributed databases;Big Data</t>
  </si>
  <si>
    <t>D. Alekseeva; A. Ometov; E. S. Lohan</t>
  </si>
  <si>
    <t>Demystifying Usability of Open-Source Computational Offloading Simulators: Performance Evaluation Campaign</t>
  </si>
  <si>
    <t>10.1109/JSEN.2023.3310669</t>
  </si>
  <si>
    <t>Faculty of Information Technology and Communication Sciences, Tampere University, Tampere, Finland; Faculty of Information Technology and Communication Sciences, Tampere University, Tampere, Finland; Faculty of Information Technology and Communication Sciences, Tampere University, Tampere, Finland</t>
  </si>
  <si>
    <t>Along with analysis and practical implementation, simulations play a key role in wireless networks and computational offloading research for several reasons. First, the simulations provide the ability to easily obtain the data for a complex system‚Äôs model evaluation. Second, simulated data provide a controlled environment for experimentation, allowing models and algorithms to be tested for robustness and identifying potential limitations before deploying them in real-world applications. Choosing the most appropriate tool for simulation might be challenging and depends on several factors, such as the main purpose, complexity of data, researcher skills, community support, and available budget. As of the time of the present analysis, several system-level open-source tools for modeling computational offloading also cover the systems‚Äô communications side, such as CloudSim, CloudSim Plus, IoTSim-Edge, EdgeCloudSim, iFogSim2, PureEdgeSim, and YAFS. This work presents an evaluation of those based on the unique features and performance results of intensive workload- and delay-tolerant scenarios: XR with an extremely high data rate and workload; remote monitoring with a low data rate with moderate delays and workload requirements; and data streaming as a general human traffic with a relatively high bit rate but moderate workload. The work concludes that CloudSim provides a reliable environment for virtualization on the host resources, while YAFS shows minimal hardware usage, while IoTSim-Edge, PureEdgeSim, and EdgeCloudSim have fewer implemented features.</t>
  </si>
  <si>
    <t xml:space="preserve">Doctoral Training Network in ELectronics, Telecommunications and Automation (DELTA); Pekka Ahonen Fund; Doctoral Grant of the Information Technology and Communications Science Faculty at Tampere University; </t>
  </si>
  <si>
    <t>https://ieeexplore.ieee.org/stamp/stamp.jsp?arnumber=10251116</t>
  </si>
  <si>
    <t>Cloud computing;edge computing;fog computing;modeling;simulation</t>
  </si>
  <si>
    <t>Cloud computing;Computational modeling;Edge computing;Data models;Sensors;Servers;Wireless sensor networks</t>
  </si>
  <si>
    <t>H. Sedghani; F. Filippini; D. Ardagna</t>
  </si>
  <si>
    <t>SPACE4AI-D: A Design-Time Tool for AI Applications Resource Selection in Computing Continua</t>
  </si>
  <si>
    <t>10.1109/TSC.2024.3479935</t>
  </si>
  <si>
    <t>Politecnico di Milano, Milan, Italy; Politecnico di Milano, Milan, Italy; Politecnico di Milano, Milan, Italy</t>
  </si>
  <si>
    <t>Nowadays, Artificial Intelligence (AI) applications are becoming increasingly popular in a wide range of industries, mainly thanks to Deep Neural Networks (DNNs) that needs powerful resources. Cloud computing is a promising approach to serve AI applications thanks to its high processing power, but this sometimes results in an unacceptable latency because of long-distance communication. Vice versa, edge computing is close to where data are generated and therefore it is becoming crucial for their timely, flexible, and secure management. Given the more distributed nature of the edge and the heterogeneity of its resources, efficient component placement and resource allocation approaches become critical in orchestrating the application execution. In this paper, we formulate the resource selection and AI applications component placement problem in a computing continuum as a Mixed Integer Non-Linear Problem (MINLP), and we propose a design-time tool for its efficient solution. We first propose a Random Greedy algorithm to minimize the cost of the placement while guaranteeing some response time performance constraints. Then, we develop some heuristic methods such as Local Search, Tabu Search, Simulated Annealing and Genetic Algorithms, to improve the initial solutions provided by the Random Greedy. To evaluate our proposed approach, we designed an extensive experimental campaign, comparing the heuristics methods with one another and then the best heuristic against Best Cost Performance Constraint (BCPC) algorithm, a state-of-the-art approach. The results demonstrate that our proposed approach finds lower-cost solution than BCPC (27.6% on average) under the same time limit in large-scale systems. Finally, during the validation in a real edge system including FaaS resources our approach finds the globally optimal solution, suffering a deviation of around 12% between actual and predicted costs.</t>
  </si>
  <si>
    <t xml:space="preserve">European Commission(grant numbers:H2020,101016577); AI-SPRINT: AI in Secure Privacy pReserving computINg conTinuum; </t>
  </si>
  <si>
    <t>https://ieeexplore.ieee.org/stamp/stamp.jsp?arnumber=10715700</t>
  </si>
  <si>
    <t>AI services;component placement;cloud edge computing;resource selection</t>
  </si>
  <si>
    <t>Artificial intelligence;Cloud computing;Time factors;Quality of service;Costs;Containers;Partitioning algorithms;Runtime;Heuristic algorithms;Delays</t>
  </si>
  <si>
    <t>Z. Zhang; Y. Zhang; J. Zhang; J. Xie; S. Liu</t>
  </si>
  <si>
    <t>An Endogenous Security Study of Telematics Box in Intelligent Connected Vehicles</t>
  </si>
  <si>
    <t>IEEE Embedded Systems Letters</t>
  </si>
  <si>
    <t>1943-0671</t>
  </si>
  <si>
    <t>10.1109/LES.2024.3432593</t>
  </si>
  <si>
    <t>Electric and Computer Engineering Department, National Digital Switching System Engineering and Technological Research Center, Zhengzhou, China; Endogenous Security Research Center, Purple Mountain Laboratories, Nanjing, China; Endogenous Security Research Center, Purple Mountain Laboratories, Nanjing, China; Electric and Computer Engineering Department, National Digital Switching System Engineering and Technological Research Center, Zhengzhou, China; Endogenous Security Research Center, Purple Mountain Laboratories, Nanjing, China</t>
  </si>
  <si>
    <t>Intelligent connected vehicles (ICVs) are the result of technological advancements in the new era, greatly enhancing the driving experience. However, due to the complex nature of the system, the intelligence of devices, and the connectivity of data, a complex physical fusion system has been created. The in-vehicle Telematics Box (T-Box), serving as the central communication and data hub, faces challenges, such as network vulnerabilities, data privacy, and malicious attacks through untrusted software updates. Therefore, an in-vehicle T-Box with high reliability, security, and performance is an urgent product in the era of the Internet of Vehicles. This article investigates the endogenous security of the T-Box in ICV, with a focus on the integration of dynamic heterogeneous redundancy (DHR) architecture. The underlying idea is to transform the original system into multiple heterogeneous systems, where some of them handle the same business functions. By applying a consensus mechanism to detect malicious nodes and dynamically scheduling healthy nodes into the working mode, a self-purifying defense system with intrinsic security is formed. This design approach endows the T-Box with inherent defense capabilities against unknown vulnerabilities. Meanwhile, the in-vehicle T-Box is redesigned in the software and hardware implementation scheme. Experimental results demonstrate that the new design notably enhances and ensures the robust stability and elevated reliability of the in-vehicle T-Box. Evidently, the upgraded T-Box ensures the safe processing of in-vehicle CAN bus data.</t>
  </si>
  <si>
    <t xml:space="preserve">National Key Research and Development Program Project(grant numbers:2022YFB3102800); Major Science and Technology Projects in Henan Province(grant numbers:221100240100); </t>
  </si>
  <si>
    <t>https://ieeexplore.ieee.org/stamp/stamp.jsp?arnumber=10606440</t>
  </si>
  <si>
    <t>Dynamic heterogeneous redundancy (DHR) architecture;endogenous security;reliability;telematics box</t>
  </si>
  <si>
    <t>Security;Reliability;Hardware;Computer architecture;Operating systems;Numerical models;Virtualization</t>
  </si>
  <si>
    <t>A Modular, End-to-End Next-Generation Network Testbed: Toward a Fully Automated Network Management Platform</t>
  </si>
  <si>
    <t>10.1109/TNSM.2024.3416031</t>
  </si>
  <si>
    <t>Department of Electrical and Computer Engineering, Western University, London, ON, Canada; Department of Electrical and Computer Engineering, Western University, London, ON, Canada; Department of Electrical and Computer Engineering, Western University, London, ON, Canada</t>
  </si>
  <si>
    <t>Experimentation in practical, end-to-end (E2E) next-generation networks deployments is becoming increasingly prevalent and significant in the realm of modern networking and wireless communications research. The prevalence of fifth-generation technology (5G) testbeds and the emergence of developing networks systems, for the purposes of research and testing, focus on the capabilities and features of analytics, intelligence, and automated management using novel testbed designs and architectures, ranging from simple simulations and setups to complex networking systems; however, with the ever-demanding application requirements for modern and future networks, 5G-and-beyond (denoted as 5G+) testbed experimentation can be useful in assessing the creation of large-scale network infrastructures that are capable of supporting E2E virtualized mobile network services. To this end, this paper presents a functional, modular E2E 5G+ system, complete with the integration of a Radio Access Network (RAN) and handling the connection of User Equipment (UE) in real-world scenarios. As well, this paper assesses and evaluates the effectiveness of emulating full network functionalities and capabilities, including a complete description of user-plane data, from UE registrations to communications sequences, and leads to the presentation of a future outlook in powering new experimentation for 6G and next-generation networks.</t>
  </si>
  <si>
    <t>https://ieeexplore.ieee.org/stamp/stamp.jsp?arnumber=10559989</t>
  </si>
  <si>
    <t>Next-generation networks;end-to-end networks;5G and Beyond;network automation;network management platform</t>
  </si>
  <si>
    <t>5G mobile communication;Network systems;Testing;Cloud computing;Next generation networking;Emulation;Software</t>
  </si>
  <si>
    <t>S. D. Meglio; L. Libero Lucio Starace</t>
  </si>
  <si>
    <t>Evaluating Performance and Resource Consumption of REST Frameworks and Execution Environments: Insights and Guidelines for Developers and Companies</t>
  </si>
  <si>
    <t>10.1109/ACCESS.2024.3489892</t>
  </si>
  <si>
    <t>Department of Electrical Engineering and Information Technology, Universit√† degli Studi di Napoli Federico II, Naples, Italy; Department of Electrical Engineering and Information Technology, Universit√† degli Studi di Napoli Federico II, Naples, Italy</t>
  </si>
  <si>
    <t>The REST (REpresentational State Transfer) paradigm has become essential for designing distributed applications that leverage the HTTP protocol, enabling efficient data exchange and the development of scalable architectures such as microservices. However, selecting an appropriate framework among the myriad available options, especially given the diversity of emerging execution environments, presents a significant challenge. Often, this decision neglects crucial factors such as performance and energy efficiency, favoring instead developer familiarity and popularity within the industry. To address this, we conducted a comprehensive benchmark study using a prototype REST API application provided by an industry partner, which was implemented multiple times using different REST API frameworks. We evaluated five different REST API frameworks across three popular programming languages, incorporating both traditional and emerging execution environments, resulting in twelve distinct configurations. Our results reveal significant differences in performance and computational resource consumption across different frameworks and execution environments, highlighting the necessity of making informed technology choices based on thorough analysis rather than convenience or familiarity. In addition to our findings, we offer other contributions to the field: an automated pipeline that benchmarks different configurations with various frameworks and execution environments, and a reference benchmark REST API that can be used in other studies. This research provides valuable insights and tools for developers and organizations aiming to select high-performance, resource-efficient technologies that promote environmental sustainability and reduce operational costs.</t>
  </si>
  <si>
    <t xml:space="preserve">Piano Nazionale di Ripresa e Resilienza Ministero dell‚ÄôUniversit√† e della Ricerca(grant numbers:PE0000013-FAIR); </t>
  </si>
  <si>
    <t>https://ieeexplore.ieee.org/stamp/stamp.jsp?arnumber=10741246</t>
  </si>
  <si>
    <t>Execution environments;green computing;performance benchmark;performance testing;REST API;REST API frameworks;sustainable computing;web applications</t>
  </si>
  <si>
    <t>Java;Benchmark testing;Python;Energy consumption;Energy efficiency;Sports;Software development management;Prototypes;Costs;Codes;Green computing;Green computing;Web services</t>
  </si>
  <si>
    <t>A. Monte Pegado; A. Dionisio Rocha; J. Barata</t>
  </si>
  <si>
    <t>Enhancing Software Distribution and Collaboration in Manufacturing: Developing the IMOS Platform</t>
  </si>
  <si>
    <t>10.1109/ACCESS.2024.3521867</t>
  </si>
  <si>
    <t>NOVA School of Science and Technology, Center of Technology and Systems (UNINOVA-CTS) and Associated Lab of Intelligent Systems (LASI), NOVA University Lisbon, Lisbon, Portugal; NOVA School of Science and Technology, Center of Technology and Systems (UNINOVA-CTS) and Associated Lab of Intelligent Systems (LASI), NOVA University Lisbon, Lisbon, Portugal; NOVA School of Science and Technology, Center of Technology and Systems (UNINOVA-CTS) and Associated Lab of Intelligent Systems (LASI), NOVA University Lisbon, Lisbon, Portugal</t>
  </si>
  <si>
    <t>In today‚Äôs fast-evolving tech landscape, small and medium-sized businesses often struggle to keep pace with innovation due to financial constraints and the complexity of integrating new solutions. As the industrial world transitions from Industry 4.0 to Industry 5.0, both manufacturers and software providers are embracing a modular approach to software procurement and deployment. This strategy not only boosts flexibility and affordability but also prioritizes sustainability and the value of collaborative efforts. The Industry Modular Operating System (IMOS) is presented as a platform supporting software accessibility, execution, and integration, while encouraging partnerships between software developers and industrial site managers. IMOS is designed to address recent industry challenges, with a focus on building a solid framework that highlights modularity, facilitates distribution, and promotes cooperation. This system facilitates the distribution of industry-oriented tools by offering containerized software solutions through a unified marketplace. The platform enables industry professionals to efficiently manage diverse applications and services, both on-site and in the cloud, granting access to tailored data and resources. IMOS uniquely extends the concept of Industrial Symbiosis to digital assets, proposing the development of a collaborative forum that values co-creation, facilitates resource sharing, and fosters symbiotic relations. By creating this flexible ecosystem, IMOS closes the gap between development and production, fostering collaboration, innovation, and shared expertise within an active community of industry leaders.</t>
  </si>
  <si>
    <t xml:space="preserve">Funda√ß√£o para a Ci√™ncia e Tecnologia through the program CTS/00066 and Center of Technology and Systems (CTS); </t>
  </si>
  <si>
    <t>https://ieeexplore.ieee.org/stamp/stamp.jsp?arnumber=10812744</t>
  </si>
  <si>
    <t>Application;cloud;collaborative manufacturing;community;containerization;IMOS;integration;marketplace;symbiosis</t>
  </si>
  <si>
    <t>Software;Collaboration;Manufacturing;Industries;Ecosystems;Technological innovation;Symbiosis;Computer architecture;Production;Operating systems</t>
  </si>
  <si>
    <t>F. Bachini Lopes; A. E. Schaeffer-Filho; G. L. Nazar</t>
  </si>
  <si>
    <t>Modular VNF Components Acceleration With FPGA Overlays</t>
  </si>
  <si>
    <t>10.1109/TNSM.2022.3211448</t>
  </si>
  <si>
    <t>Institute of Informatics, Federal University of Rio Grande do Sul, Porto Alegre, Brazil; Institute of Informatics, Federal University of Rio Grande do Sul, Porto Alegre, Brazil; Institute of Informatics, Federal University of Rio Grande do Sul, Porto Alegre, Brazil</t>
  </si>
  <si>
    <t>Network Functions Virtualization (NFV) is a novel paradigm that aims to minimize operational and capital expenditures, by decoupling network functions from dedicated hardware and implementing them as Virtualized Network Functions (VNFs) instead. However, to fulfill such expectations, VNFs must be implemented efficiently, offering high performance and energy efficiency, which is not always feasible on General-Purpose Processors (GPPs). Thus, the use of reconfigurable accelerators, typically based on Field-Programmable Gate Arrays (FPGAs), has been proposed to offer higher efficiency whilst not forsaking the flexibility that is the core of the NFV paradigm. Not all VNFs or even VNF Components (VNFCs), however, are suitable for FPGA acceleration. This leads to new challenges related to identifying those VNFCs that should be deployed in FPGAs, maximizing the reuse of developed FPGA accelerators, and managing this heterogeneous infrastructure. To address these challenges, in this paper we present an enhanced design of VNFAccel, a platform to manage VNFCs in heterogeneous NFV infrastructures. We evaluate the performance and energy efficiency of the implemented functions in comparison to GPP-based solutions, showing that, when properly used, FPGAs can provide relevant benefits while maintaining the flexibility and reuse potential envisioned for NFV.</t>
  </si>
  <si>
    <t xml:space="preserve">Coordena√ß√£o de Aperfei√ßoamento de Pessoal de N√≠vel Superior - Brasil (CAPES) - Finance Code 001; Funda√ß√£o de Amparo √† Pesquisa do Estado do Rio Grande do Sul (FAPERGS)(grant numbers:#21/2551-0002089-0,#19/2551-0001645-0); Conselho Nacional de Desenvolvimento Cient√≠fico e Tecnol√≥gico (CNPq)(grant numbers:#311276/2021-0,#313124/2020-5); S√£o Paulo Research Foundation (FAPESP)(grant numbers:#2021/06947-6); </t>
  </si>
  <si>
    <t>https://ieeexplore.ieee.org/stamp/stamp.jsp?arnumber=9910597</t>
  </si>
  <si>
    <t>FPGA;network function virtualization;hardware acceleration</t>
  </si>
  <si>
    <t>Field programmable gate arrays;Software;Network function virtualization;Guidelines;Firewalls (computing);Table lookup;Performance evaluation</t>
  </si>
  <si>
    <t>A. Kumar; M. Agarwal</t>
  </si>
  <si>
    <t>Reducing Internal Collateral Damage From DDoS Attacks Through Micro-Service Cloud Architecture</t>
  </si>
  <si>
    <t>10.1109/TIFS.2024.3516560</t>
  </si>
  <si>
    <t>Department of Computer Science and Engineering, Indian Institute of Technology Patna, Patna, Bihar, India; Department of Computer Science and Engineering, Indian Institute of Technology Patna, Patna, Bihar, India</t>
  </si>
  <si>
    <t>Mitigating DDoS attacks poses a significant challenge for cyber security teams within victim organizations, as these attacks directly target service availability. Most DDoS mitigation solutions focus address the direct effects of DDoS attacks, such as service unavailability and network congestion, while the indirect effects, including collateral damage to legitimate users, receive substantially less attention in the present state-of-the-art. To address this gap, we propose a novel defense architecture designed to mitigate collateral damage and ensure service availability for legitimate users even under attack conditions. The proposed approach employs containerization, micro-services architecture, and traffic segmentation to enhance system resilience and fortify security. We send requests for two distinct services, namely an HTTP-based service and an SSH service, in order to analyze the collateral damage caused by the DDoS attack. The proposed architecture classifies incoming HTTP traffic into two categories: ‚Äúbenign traffic‚Äù and ‚Äúsuspicious traffic,‚Äù determined by the number of requests originating from the same source address. We tested this approach in three different scenarios (S-1, S-2, and S-3). Experimental results demonstrate that the proposed architecture effectively isolates suspicious traffic, mitigating its impact on benign services. This ensures the availability of critical services during a DDoS attack while minimizing collateral damage. In scenarios S-1, S-2, and S-3, it maintains service availability at 3%, 67%, and 98%, respectively, highlighting its efficacy in the face of varying levels of DDoS attack intensity. Furthermore, the architecture is extremely effective in reducing the collateral effects on SSH requests during a DDoS attack. In the S-1 scenario, SSH login time was reduced by 25%, 46%, and 27%, respectively. In the S-2 scenario, the reductions were 99%, 53%, and 29%. In the same vein, the system achieved reductions of 4%, 17%, and 99% in the S-3 scenario.</t>
  </si>
  <si>
    <t>https://ieeexplore.ieee.org/stamp/stamp.jsp?arnumber=10810456</t>
  </si>
  <si>
    <t>Security and protection;cloud computing;DDoS attacks;containerization</t>
  </si>
  <si>
    <t>Denial-of-service attack;Computer crime;Cloud computing;Prevention and mitigation;Containers;Virtual machines;Computer architecture;Computational modeling;Accuracy;Security</t>
  </si>
  <si>
    <t>S. Bagheri; H. Kermabon-Bobinnec; M. E. Kabir; S. Majumdar; L. Wang; Y. Jarraya; B. Nour; M. Pourzandi</t>
  </si>
  <si>
    <t>ACE-WARP: A Cost-Effective Approach to Proactive and Non-Disruptive Incident Response in Kubernetes Clusters</t>
  </si>
  <si>
    <t>10.1109/TIFS.2024.3449038</t>
  </si>
  <si>
    <t>Concordia Institute for Information Systems Engineering, Concordia University, Montreal, QC, Canada; Concordia Institute for Information Systems Engineering, Concordia University, Montreal, QC, Canada; Concordia Institute for Information Systems Engineering, Concordia University, Montreal, QC, Canada; Concordia Institute for Information Systems Engineering, Concordia University, Montreal, QC, Canada; Concordia Institute for Information Systems Engineering, Concordia University, Montreal, QC, Canada; Ericsson Security Research, Montreal, QC, Canada; Ericsson Security Research, Montreal, QC, Canada; Ericsson Security Research, Montreal, QC, Canada</t>
  </si>
  <si>
    <t>A large-scale cluster of containers managed with an orchestrator like Kubernetes are behind many cloud-native applications today. However, the weaker isolation provided by containers means attackers can potentially exploit a vulnerable container and then escape its isolation to cause more severe damages to the underlying infrastructure and its hosted applications. Defending against such an attack using existing attack detection solutions can be challenging. Due to the well known high false positive rate of such solutions, taking aggressive actions upon every alert can lead to unacceptable service disruption. On the other hand, waiting for security administrators to perform in-depth analysis and validation could render the mitigation too late to prevent irreversible damages. In this paper, we propose ACE-WARP, a cost-effective proactive and non-disruptive incident response to address such security challenges for Kubernetes clusters. First, our approach is proactive in the sense that it performs mitigation based on predicted (instead of real) attacks, which prevents irreversible damages. Second, our approach is also non-disruptive since the mitigation is achieved through live migration of containers, which causes no service disruption even in the case of false positives. Finally, to realize the full potential of this approach in containers migration, we formulate the inherent trade-off between security and cost (delay) as a multi-objective optimization problem. Our evaluation results show that ACE-WARP can successfully mitigate up to 81% of the attacks, and our optimization algorithm achieves up to 30% more threat reduction and 7% less delay while being 37 times faster compared to a standard optimization solution.</t>
  </si>
  <si>
    <t xml:space="preserve">Natural Sciences and Engineering Research Council of Canada and Ericsson Canada under the Industrial Research Chair in Software-Defined Networking/Network Functions Virtualization (SDN/NFV) Security; Canada Foundation for Innovation through the John R. Evans Leaders Fund (JELF) Project(grant numbers:38599); </t>
  </si>
  <si>
    <t>https://ieeexplore.ieee.org/stamp/stamp.jsp?arnumber=10646387</t>
  </si>
  <si>
    <t>Cloud-native;incident response;proactive security;containers;Kubernetes;attack mitigation;optimization;advanced persistent threats (APT)</t>
  </si>
  <si>
    <t>Prevention and mitigation;Containers;Security;Optimization;Delays;Costs;Wireless sensor networks</t>
  </si>
  <si>
    <t>N. Nasaruddin; M. A. P. Pratama Tresma; M. Khamdan Muchamad; Z. Fuadi</t>
  </si>
  <si>
    <t>Voice Frequency-Based Gender Classification Using Convolutional Neural Network for Smart Home</t>
  </si>
  <si>
    <t>10.1109/ACCESS.2024.3434547</t>
  </si>
  <si>
    <t>Department of Electrical and Computer Engineering, Universitas Syiah Kuala, Banda Aceh, Indonesia; Department of Electrical and Computer Engineering, Universitas Syiah Kuala, Banda Aceh, Indonesia; Department of Electrical and Computer Engineering, Universitas Syiah Kuala, Banda Aceh, Indonesia; Department of Mechanical and Industrial Engineering, Universitas Syiah Kuala, Banda Aceh, Indonesia</t>
  </si>
  <si>
    <t>The smart home‚Äôs functional requirements should include the capability to differentiate between various user categories, such as gender and voice recognition. The data-driven Internet of Things (IoT) can present challenges for the elderly and people with disabilities, but voice recognition technology could offer an effective solution. In addition, developing an accurate gender prediction model for voice recognition is still challenging due to the large time variation and randomness. Therefore, we propose gender classification and detection models based on voice frequency using Convolutional Neural Networks (CNN) with ResNet50 and ResNet101 architectures to enhance smart home functionality. We also introduce an algorithm for converting voice frequencies into images to speed up the recognition and detection processes. The research method involves converting voice frequencies into images to expedite the recognition and detection processes. The CNN models were trained and tested with various learning rates using audio datasets. Performance was evaluated through simulations that measured training accuracy, validation accuracy, recall, precision, and F1 scores. The simulation results show high training accuracy: ResNet50 achieved 99.67% and ResNet101 achieved 99.82%. The validation accuracy of the models also exceeded the accuracy of traditional CNN models in previous studies. The simulation results based on recall, precision, and F1 score for each proposed model are 99.3%, 100%, and 99.65%, respectively. Finally, we successfully used the ResNet50 model to create a low-latency smart home prototype. Thus, this paper significantly contributes to the practical applications of voice-based gender recognition in smart home environments with high accuracy and efficiency in detection.</t>
  </si>
  <si>
    <t xml:space="preserve">Ministry of Education, Culture, Research, and Technology, Indonesia(grant numbers:590/UN11.2.1/PT.01.03/DPRM/2023); </t>
  </si>
  <si>
    <t>https://ieeexplore.ieee.org/stamp/stamp.jsp?arnumber=10613033</t>
  </si>
  <si>
    <t>Voice frequency;convolutional neural networks (CNN);ResNet50;Resnet101;smart home</t>
  </si>
  <si>
    <t>Smart homes;Speech recognition;Deep learning;Convolutional neural networks;Accuracy;Residual neural networks;Prototypes</t>
  </si>
  <si>
    <t>P. Dass; S. Misra</t>
  </si>
  <si>
    <t>FACT: Facilitating Trustworthy Services in Mobile IoT Systems</t>
  </si>
  <si>
    <t>10.1109/JSYST.2023.3321665</t>
  </si>
  <si>
    <t>Department of Computer Science and Engineering, Indian Institute of Technology Kharagpur, Kharagpur, India; Department of Computer Science and Engineering, Indian Institute of Technology Kharagpur, Kharagpur, India</t>
  </si>
  <si>
    <t>Mobile Internet of Things (IoT) users possess dynamic service requirements in a real IoT system and always try to get services from trusted entities, which we term as facility nodes. However, the trustworthiness of the facility nodes varies from location to location, depending upon the service quality and user feedback. Therefore, a service provider may have different trust scores for its deployed facility nodes in different locations. It is always crucial for an IoT user to ensure that service has been taken from trustworthy nodes. In this article, we consider an IoT service provisioning architecture, where an IoT user requests services from nearby trusted nodes that are deployed by service providers other than the user's own registered service provider. To serve the requests from these unregistered users, the facility nodes incur additional costs. Furthermore, due to heterogeneous service requirements, IoT users prefer composite microservices from a set of facility nodes. In such cases, it is difficult to design a pricing scheme to incentivize the facility nodes. Therefore, we propose a pricing mechanism based on a two-stage Stackelberg game and analyze the interactions between the IoT users and the facility nodes, while considering the trust scores and service charges. In the game model, the facility nodes act as the leaders, and the IoT users act as the followers. Using backward induction, we analyze the existence and uniqueness of the Stackelberg equilibrium. Finally, the numerical results based on the mobility traces of a real map show that the proposed scheme incentivizes both the IoT users and the facility nodes, while ensuring trusted services.</t>
  </si>
  <si>
    <t>https://ieeexplore.ieee.org/stamp/stamp.jsp?arnumber=10287681</t>
  </si>
  <si>
    <t>Game theory;mobile users;pricing;service provisioning;trustworthy Internet of Things (IoT)</t>
  </si>
  <si>
    <t>Internet of Things;Costs;Pricing;Games;Cloud computing;Resource management;Delays</t>
  </si>
  <si>
    <t>A. Manchanda; P. P. Jayaraman; A. Banerjee; K. Fizza; A. Zaslavsky</t>
  </si>
  <si>
    <t>Adaptive Context Monitoring Framework for Enhancing Caching Efficiency in Context Management Platforms</t>
  </si>
  <si>
    <t>10.1109/ACCESS.2024.3486103</t>
  </si>
  <si>
    <t>SoSCET - Department of Computing Technologies, Swinburne University of Technology, Melbourne, VIC, Australia; SoSCET - Department of Computing Technologies, Swinburne University of Technology, Melbourne, VIC, Australia; SoSCET - Department of Computing Technologies, Swinburne University of Technology, Melbourne, VIC, Australia; SoSCET - Department of Computing Technologies, Swinburne University of Technology, Melbourne, VIC, Australia; School of Information Technology, Deakin University, Melbourne, VIC, Australia</t>
  </si>
  <si>
    <t>As the Internet of Things (IoT) continues to expand, the volume of data generated by IoT devices and the demand for IoT applications is increasing exponentially. These applications critically rely on real-time context reasoned from IoT data for effective decision-making and actuation, thereby making the accessibility of this context crucial. This study introduces a novel adaptive Context Monitoring Framework (CMF) for enhancing context caching efficiency in Context Management Platforms (CMPs) to better support the near real-time needs of IoT applications. Our proposed framework integrates two novel components: the Context Attributes Prioritisation Engine (CAPE), which prioritises and assigns weights to the context, and the Adaptive Context Management Engine (ACME), which dynamically adjusts thresholds for each context based on incoming query volumes and context cache performance. Combined, our hybrid approach ensures timely updates of context within the cache while also serving context in real-time (reducing any query response latency). Our approach is effective for dynamic changes in an IoT environment through the adaptive approach of continuously monitoring and updating the cached context. We implemented the proposed adaptive framework using a CMP namely the context-as-a-service (CoaaS) platform and evaluated it using real-world datasets obtained from a smart city application. A thorough experimental evaluation demonstrated a marked improvement in cache efficiency, achieving a 90% cache hit rate and reducing the cache expiry ratio to 5%.</t>
  </si>
  <si>
    <t xml:space="preserve">Australian Research Council (ARC) Discovery Project(grant numbers:DP200102299); </t>
  </si>
  <si>
    <t>https://ieeexplore.ieee.org/stamp/stamp.jsp?arnumber=10734123</t>
  </si>
  <si>
    <t>CAPE;CoaaS;context freshness;context caching;hybrid approach;IoT</t>
  </si>
  <si>
    <t>Internet of Things;Monitoring;Real-time systems;Engines;Roads;Delays;Australia;Vehicle dynamics;Time factors;Smart cities</t>
  </si>
  <si>
    <t>M. Penica; M. Bhattacharya; W. O‚ÄôBrien; S. McGrath; M. Hayes; E. O‚ÄôConnell</t>
  </si>
  <si>
    <t>Advancing Interoperable IoT-Based Access Control Systems: A Unified Security Approach in Diverse Environments</t>
  </si>
  <si>
    <t>10.1109/ACCESS.2025.3538748</t>
  </si>
  <si>
    <t>Department of Electronic and Computer Engineering, University of Limerick, Limerick, Ireland; School of Information and Technology, Illinois State University, Normal, IL, USA; Department of Electronic and Computer Engineering, University of Limerick, Limerick, Ireland; Department of Electronic and Computer Engineering, University of Limerick, Limerick, Ireland; Department of Electronic and Computer Engineering, University of Limerick, Limerick, Ireland; Department of Electronic and Computer Engineering, University of Limerick, Limerick, Ireland</t>
  </si>
  <si>
    <t>The convergence of the Internet of Things (IoT) and the construction industry represents a potent opportunity to fundamentally redefine the processes of constructing and maintaining buildings. The integration of IoT technology has the potential to revolutionize building safety, efficiency, and sustainability, offering a promising avenue for innovation and advancement within the industry. In this work, we propose an innovative design and implementation of an interoperable physical access control IoT-based system that can be easily integrated with existing access control security systems and used in various environments such as offices, homes, and public buildings. Based on our developed and implemented physical access control IoT-based system, we identified several challenges in the current state of access control systems. These challenges include difficulties in integrating different security systems, the absence of interoperable standards, and the need for further research to enhance the scalability and performance of such systems.</t>
  </si>
  <si>
    <t xml:space="preserve">Science Foundation Ireland through the CONFIRM Platform(grant numbers:16/RC/3918); </t>
  </si>
  <si>
    <t>https://ieeexplore.ieee.org/stamp/stamp.jsp?arnumber=10870056</t>
  </si>
  <si>
    <t>Internet of Things (IoT);interoperability;physical access control;electronics;smart devices;wireless communication;software design</t>
  </si>
  <si>
    <t>Access control;Security;Protocols;Interoperability;Hardware;Radiofrequency identification;QR codes;Service-oriented architecture;Buildings;Authentication</t>
  </si>
  <si>
    <t>Q. Lu; G. Li; H. Ye</t>
  </si>
  <si>
    <t>EdgeSim++: A Realistic, Versatile, and Easily Customizable Edge Computing Simulator</t>
  </si>
  <si>
    <t>10.1109/JIOT.2024.3434641</t>
  </si>
  <si>
    <t>College of Computer Science and Engineering and the Guangxi Key Laboratory of Embedded Technology and Intelligent System, Guilin University of Technology, Guilin, China; College of Computer Science and Engineering, Guilin University of Technology, Guilin, China; College of Computer Science and Engineering and the Guangxi Key Laboratory of Embedded Technology and Intelligent System, Guilin University of Technology, Guilin, China</t>
  </si>
  <si>
    <t>In the edge computing environment, due to factors, such as expensive devices, complex scenarios, and fine control requirements, it is necessary to use simulators to construct heterogeneous devices, simulate task offloading scenarios, and evaluate and optimize decision-making algorithms. However, existing edge computing simulators overly simplify the simulation process, neglecting device interactions and task complexities, making it difficult to finely control the task offloading process and customize complex scenarios. We propose EdgeSim++, a realistic, versatile, and easily customizable edge computing simulator. EdgeSim++ has the capability to generate a batch of heterogeneous devices with various features, supporting the simulation of multilayer cloud-edge-end scenarios and various multiaccess edge computing architectures. It dynamically sets task and device resource attributes, enables devices to interact and schedule behaviors through the network, and facilitates easy customization of both machine learning and nonmachine learning offloading strategies. Additionally, EdgeSim++ supports network topology visualization and result visualization, providing intuitive displays of task transmission processes and offloading results, and real-time monitoring of device resource changes. To test the effectiveness of EdgeSim++, we provided default machine learning and nonmachine learning offloading strategies, detailed simulation steps, demonstrated scenario construction, showcased process control, monitored resource changes, and compared algorithm effects. The results illustrated that our simulator could realistically simulate complex edge computing scenarios, flexibly control decision processes, and customize complex offloading algorithms, exhibiting good scalability and reusability.</t>
  </si>
  <si>
    <t xml:space="preserve">National Natural Science Foundation of China(grant numbers:62362018); Guangxi Key Research and Development Program(grant numbers:GUIKEAB23075116); </t>
  </si>
  <si>
    <t>https://ieeexplore.ieee.org/stamp/stamp.jsp?arnumber=10612841</t>
  </si>
  <si>
    <t>Artificial intelligence;cloud computing;edge computing;machine learning;modeling and simulation;resource management;task offloading</t>
  </si>
  <si>
    <t>Edge computing;Task analysis;Internet of Things;Resource management;Machine learning;Computer architecture;Machine learning algorithms</t>
  </si>
  <si>
    <t>Z. Wang; F. Zhou; L. Feng; W. Li; T. Zhang; S. Wang; Y. Li</t>
  </si>
  <si>
    <t>Multi-Granularity Decomposition of Componentized Network Applications Based on Weighted Graph Clustering</t>
  </si>
  <si>
    <t>10.13052/jwe1540-9589.21312</t>
  </si>
  <si>
    <t>State Key Laboratory of Networking and Switching Technology, Beijing University of Posts and Telecommunications, Beijing, China; State Key Laboratory of Networking and Switching Technology, Beijing University of Posts and Telecommunications, Beijing, China; State Key Laboratory of Networking and Switching Technology, Beijing University of Posts and Telecommunications, Beijing, China; State Key Laboratory of Networking and Switching Technology, Beijing University of Posts and Telecommunications, Beijing, China; China Mobile Research Institute, Beijing, China; China Mobile Research Institute, Beijing, China; China Mobile Research Institute, Beijing, China</t>
  </si>
  <si>
    <t>With the development of mobile communication and network technology, smart network applications are experiencing explosive growth. These applications may consume different types of resources extensively, thus calling for the resource contribution from multiple nodes available in probably different network domains to meet the service quality requirements. Task decomposition is to set the functional components in an application in several groups to form subtasks, which can then be processed in different nodes. This paper focuses on the models and methods that decompose network applications composed of interdependent components into subtasks in different granularity. The proposed model characterizes factors that have important effects on the decomposition, such as dependency level, expected traffic, bandwidth, transmission delay between components, as well as node resources required by the components, and a density peak clustering (DPC) -based decomposition algorithm is proposed to achieve the multi-granularity decomposition. Simulation results validate the effect of the proposed approach on reducing the expected execution delay and balancing the computing resource demands of subtasks.</t>
  </si>
  <si>
    <t xml:space="preserve">Beijing University of Posts and Telecommunications; </t>
  </si>
  <si>
    <t>https://ieeexplore.ieee.org/stamp/stamp.jsp?arnumber=10243624</t>
  </si>
  <si>
    <t>Componentized network application;weighted graph clustering;density peak clustering;multi-granularity task decomposition</t>
  </si>
  <si>
    <t>Costs;Processor scheduling;Simulation;Clustering algorithms;Bandwidth;Mobile communication;Explosives</t>
  </si>
  <si>
    <t>A. Pati; A. Panigrahi; M. Parhi; B. Kumar Pattanayak; B. Sahu; S. Kant</t>
  </si>
  <si>
    <t>Simulating Fog of Medical Things: Research Challenges and Opportunities</t>
  </si>
  <si>
    <t>10.1109/ACCESS.2024.3468015</t>
  </si>
  <si>
    <t>Department of Computer Science and Engineering, Siksha ‚ÄòO‚Äô Anusandhan (Deemed to be University), bhubaneswar, Odisha, India; Department of Computer Science and Engineering, Siksha ‚ÄòO‚Äô Anusandhan (Deemed to be University), bhubaneswar, Odisha, India; Center for Data Science, Siksha ‚ÄòO‚Äô Anusandhan (Deemed to be University), bhubaneswar, Odisha, India; Department of Computer Science and Engineering, Siksha ‚ÄòO‚Äô Anusandhan (Deemed to be University), bhubaneswar, Odisha, India; Department of Information Technology, Vardhaman College of Engineering (Autonomous), Hyderabad, Telangana, India; Department of Management, College of Business and Economics, Bule Hora University, Ethiopia, Africa</t>
  </si>
  <si>
    <t>Technology has a significant impact on medical applications at the current moment. Contemporary computers are capable of processing a lot of patient medical records quickly. Due to recent advancements in the Internet-of-Things (IoT) and medical applications, patient data may be dispersed over several places. Worldwide, the IoT connects numerous devices for e-healthcare systems. The medical data monitoring and tracking field, exercise programs, and remote medical help are expanding within the e-healthcare systems. IoT-based technologies are now being used in e-healthcare systems, which can relieve pressure on e-healthcare systems, lower medical expenses, and speed up computing and processing. In the IoT setting, cloud computing, which contains centralized data centers, was developed to manage more extensive and sophisticated e-healthcare data. The central server governs the data for all IoT devices. Problems with IoT and Cloud integration only include latency, bandwidth overuse, delays in real-time responses, security, privacy, integrity, etc. The ideas of fog computing and edge computing were developed to solve the above-mentioned problems. A thorough literature overview on Fog-based medical applications using IoT is provided in this article, i.e., Fog of Medical Things (FoMT), that explores the simulators that may be employed to create and assess new Fog-related theories as well as the key attributes of Fog computing frameworks. This review also emphasizes the difficulties in the field and some unanswered questions. This study can serve as a crucial road map for the future creation of Fog-based e-healthcare IoT applications.</t>
  </si>
  <si>
    <t xml:space="preserve">Siksha ‚ÄòO‚Äô Anusandhan, Bhubaneswar, Odisha, India; </t>
  </si>
  <si>
    <t>https://ieeexplore.ieee.org/stamp/stamp.jsp?arnumber=10693431</t>
  </si>
  <si>
    <t>FoMT;IoT;fog computing;cloud computing;simulation tools;e-healthcare systems</t>
  </si>
  <si>
    <t>Cloud computing;Edge computing;Internet of Things;Bandwidth;Medical services;Computational modeling;Security;Electronic healthcare</t>
  </si>
  <si>
    <t>D. Dalai; S. Babu; V. Bala Sukumaran; B. S. Manoj</t>
  </si>
  <si>
    <t>A Novel Space-Based Hosting Approach for Ultra Low Latency Web Services</t>
  </si>
  <si>
    <t>10.1109/ACCESS.2024.3462252</t>
  </si>
  <si>
    <t>Indian Institute of Space Science and Technology, Thiruvananthapuram, Kerala, India; Department of Electrical and Computer Engineering, Iowa State University, Ames, IA, USA; Indian Institute of Space Science and Technology, Thiruvananthapuram, Kerala, India; Indian Institute of Space Science and Technology, Thiruvananthapuram, Kerala, India</t>
  </si>
  <si>
    <t>The lack of terrestrial 4G and 5G communication infrastructure in rural and remote areas aggravates the digital divide. Satellite communication is important to achieve the universal goal of connecting the digitally unconnected population through global coverage. In this paper, first, we discuss the feasibility of hosting web services in satellites through several examples of radiation-hardened processors and computational boards. Next, we propose a Space-Based Hosting Service (SBHS) approach to deploy the content-servers or copies of terrestrial content-servers in satellites to achieve the low-latency service requirements. For SBHS, we develop mathematical models for communication, queuing, as well as computation, and use B+ tree to estimate computational delay and computational energy consumption of the content-server. Further, an optimization algorithm using Markov Decision Process (MDP) is designed to schedule computational cores in Low Earth Orbit (LEO) satellites to minimize queuing delay and computational energy consumption. The efficacy of our SBHS is evaluated using extensive simulations with the Wikipedia use-case in the Iridium-NEXT satellite constellation model under varying traffic conditions from different countries. The results show that SHBS is able to achieve less than 10 ms round trip latency worldwide and minimum end-to-end delays of 9.19 ms and 24.29 ms, respectively, for text-based and multimedia-based traffic. The 92.51% and 88.66% reduction in delay for text and multimedia traffic, respectively, compared to the benchmark schemes underlines the benefits of hosting content-servers in space for achieving ultra-low latency.</t>
  </si>
  <si>
    <t xml:space="preserve">Indian Institute of Technology (IIT) Palakkad Technology IHub Foundation Doctoral Fellowships(grant numbers:IPTIF/HRD/DF/032/,IPTIF/HRD/DF/032/SEP46); Department of Science and Technology-Science and Engineering Research Board (DST-SERB)(grant numbers:CGR/2021/009286); </t>
  </si>
  <si>
    <t>https://ieeexplore.ieee.org/stamp/stamp.jsp?arnumber=10681066</t>
  </si>
  <si>
    <t>LEO satellite;B+ tree;content server;Markov decision process (MDP);satellite networks;Wikipedia</t>
  </si>
  <si>
    <t>Satellite broadcasting;Low earth orbit satellites;Internet;Servers;Space vehicles;Planetary orbits;Markov processes;Online services;Information resources;Encyclopedias;Web services;4G mobile communication;5G mobile communication</t>
  </si>
  <si>
    <t>F. Bahramisirat; M. A. Gregory; S. Li</t>
  </si>
  <si>
    <t>Multi-Access Edge Computing Resource Slice Allocation: A Review</t>
  </si>
  <si>
    <t>10.1109/ACCESS.2024.3515077</t>
  </si>
  <si>
    <t>The global deployment of fifth generation mobile cellular (5G) and beyond (5GB) communication systems has accelerated the growth of the Internet of Things (IoT) and the Internet of Everything (IoE). New applications and services that add complexity to the network, and require low latency, have necessitated new architectures that facilitate dynamic resource allocation. The network edge is changing, as Multi-Access Edge Computing (MEC) is deployed with new responsive designs that include dynamic resource slice allocation that supports the varying needs of new and innovative applications and services. Augmented reality, extended reality and virtual reality applications are key drivers for the changing network architecture. IoT and IoE data aggregation and analysis at the network edge has required new approaches to designing edge network architectures that achieve seamless access anywhere and anytime, ultra-low latency, edge computing and storage, and ultra-high bandwidth. MEC and Network Slicing (NS) are evolving to provide a key part of the solution to the new challenges. MEC allows operators to connect user devices to edge cloud computing and storage systems with low latency and high bandwidth. However, a practical configuration is required to facilitate cloud-based applications and services at the network edge and to address end-user demands. The MEC resources may be flexibly and dynamincally partitioned into separate slices. This paper will review how the integration of MEC and NS can be utilised for efficient resource allocation in edge networks. This article comprehensively reviewed the architecture of network slicing and edge computing. A review of MEC and NS in support of 5G and 5GB has been included and current challenges identified. This article aims to serve as an insightful guide to inspire further research into 5GB communication systems and edge computing.</t>
  </si>
  <si>
    <t>https://ieeexplore.ieee.org/stamp/stamp.jsp?arnumber=10792437</t>
  </si>
  <si>
    <t>Network slicing;multi-access edge computing;5G;6G;resource allocation;radio access network</t>
  </si>
  <si>
    <t>Resource management;5G mobile communication;Network slicing;Ultra reliable low latency communication;Radio access networks;Network function virtualization;Internet of Things;Cloud computing;Surveys;Reviews</t>
  </si>
  <si>
    <t>B. Akdemir; H. Faheem Shahid; M. A. K. Brix; J. L√§√§kk√∂l√§; J. Islam; T. Kumar; J. Reponen; M. T. Nieminen; E. Harjula</t>
  </si>
  <si>
    <t>From Technical Prerequisites to Improved Care: Distributed Edge AI for Tomographic Imaging</t>
  </si>
  <si>
    <t>10.1109/ACCESS.2025.3530297</t>
  </si>
  <si>
    <t>Centre for Wireless Communications‚ÄîNetworks and Systems (CWC-NS), University of Oulu, Oulu, Finland; Centre for Wireless Communications‚ÄîNetworks and Systems (CWC-NS), University of Oulu, Oulu, Finland; University of Oulu, Oulu, Finland; Centre for Wireless Communications‚ÄîNetworks and Systems (CWC-NS), University of Oulu, Oulu, Finland; Centre for Wireless Communications‚ÄîNetworks and Systems (CWC-NS), University of Oulu, Oulu, Finland; Department of Information and Communications Engineering, Aalto University, Espoo, Finland; University of Oulu, Oulu, Finland; University of Oulu, Oulu, Finland; Centre for Wireless Communications‚ÄîNetworks and Systems (CWC-NS), University of Oulu, Oulu, Finland</t>
  </si>
  <si>
    <t>Recent years have seen a surge in AI-driven medical image processing, leading to significant improvements in diagnostic performance. However, medical imaging technologies tend to create staggering volumes of medical data, necessitating high-performance computing. Cloud systems with robust GPUs and resource capacity are optimal choices for DL-based medical image processing. However, transferring data to the cloud for processing strains communication links, introduces high communication latency, and raises privacy and security concerns. Consequently, despite the undisputed benefits of cloud computing, dedicated standalone local computers are still used for image reconstruction in today‚Äôs systems. This localized strategy uses expensive hardware inefficiently and falls short of scalability and maintainability. Edge computing emerges as an innovative concept by bringing cloud processing capabilities closer to data sources. A continuum of computing including local, edge, and cloud tiers would offer a promising solution for medical image processing. According to literature survey, there are no significant works on utilizing edge cloud continuum for CBCT imaging. To fill this gap, we introduce novel 3-TECC architectural concept, specifically designed for CBCT data reconstruction in medical imaging. This article explores the evolving synergy among medical imaging, distributed AI, containerized solutions, and edge-cloud continuum technologies, highlighting their clinical implications and illuminating the potential for transformative patient care. We uncover challenges and opportunities this convergence provides with the CBCT image reconstruction use case, while aligning with regulatory compliance. The proposed 3-TECC architecture advocates a decentralized data processing paradigm, reducing reliance on the centralized approach and emphasizing the role of local-edge computing.</t>
  </si>
  <si>
    <t xml:space="preserve">Business Finland under Tomohead(grant numbers:8095/31/2022); Research Council of Finland DigiHealth(grant numbers:326291); Flagship of Advanced Mathematics for Sensing, Imaging, and Modelling(grant numbers:359186); 6G Flagship Programme(grant numbers:346208); </t>
  </si>
  <si>
    <t>https://ieeexplore.ieee.org/stamp/stamp.jsp?arnumber=10843208</t>
  </si>
  <si>
    <t>CBCT;distributed AI;edge computing;edge cloud continuum;GDPR;medical imaging</t>
  </si>
  <si>
    <t>Imaging;Medical diagnostic imaging;Cloud computing;Image reconstruction;Image edge detection;Computer architecture;Computed tomography;Edge AI;Hospitals;Technical requirements</t>
  </si>
  <si>
    <t>K. Suresh Kumar; J. A. Alzubi; N. M. Sarhan; E. M. Awwad; V. Kandasamy; G. Ali</t>
  </si>
  <si>
    <t>A Secure and Efficient BlockChain and Distributed Ledger Technology-Based Optimal Resource Management in Digital Twin Beyond 5G Networks Using Hybrid Energy Valley and Levy Flight Distributer Optimization Algorithm</t>
  </si>
  <si>
    <t>10.1109/ACCESS.2024.3435847</t>
  </si>
  <si>
    <t>Department of Information Technology, Saveetha Engineering College, Chennai, Tamil Nadu, India; Faculty of Engineering, Al-Balqa Applied University, As-Salt, Jordan; Department of Quantitative Analysis, College of Business Administration, King Saud University, Riyadh, Saudi Arabia; Department of Electrical Engineering, College of Engineering, King Saud University, Riyadh, Saudi Arabia; Department of Information Technology, Panimalar Engineering College, Poonamallee, Chennai, Tamil Nadu, India; Department of Information Technology, Muni University, Arua, Uganda</t>
  </si>
  <si>
    <t>This paper aims to establish a virtual object management system, as well as optimal task scheduling using the foundation of Digital Twins (DT), to improve the user‚Äôs experience with management and to accomplish the task efficiently. On the other hand, offloading tasks using IoT gadgets to edge computing, fails to speed up control by users. The capabilities of the DT are provided by executing processes such as visualization, virtualization, synchronization, and simulation. The optimal selection of the virtual objects for the DT is done by utilizing the implemented Hybrid Energy Valley with L√©vy Flight Distribution Optimization (HEV-LFDO) in order to optimally offload the task by the edge devices. The optimal selection of the virtual objects is done with the aid of the HEV-LFDO in the DT by considering the total cost of executing all tasks using the selected virtual objects and the decision variables to determine whether a virtual object is taken for executing a task or not as the constraint. The data for performing resource management is secured using the blockchain or distributed ledger technology. This accounts for the minimization of the local loss function. Finally, the secured data is considered for optimal resource management tasks. The optimal resource management is done using the same HEV-LFDO. This optimal resource management is carried out by considering the constraints like the cost of assigning a virtual object for the task to the edge device, and the cost of assigning the task to the edge device. These two costs are analyzed by taking the network‚Äôs bandwidth, energy consumption, and computational resources into consideration. Experimental verifications are conducted on the executed optimal resource management scheme to prove the ability of the implemented model to be integrated with the edge computing network. The overall processing time as well as the latency are also minimized by executing the optimal resource management scheme.</t>
  </si>
  <si>
    <t xml:space="preserve">King Saud University, Riyadh, Saudi Arabia, through Researchers Supporting Program(grant numbers:RSPD2024R1052); </t>
  </si>
  <si>
    <t>https://ieeexplore.ieee.org/stamp/stamp.jsp?arnumber=10614449</t>
  </si>
  <si>
    <t>Secure and efficient blockchain;distributed ledger technology;optimal resource management;digital twin beyond 5G networks;hybrid energy valley with l√©vy flight distribution optimization</t>
  </si>
  <si>
    <t>Resource management;Task analysis;Blockchains;Costs;Optimization;Distributed ledger;5G mobile communication;Security;Digital twins;Object detection;Virtualization</t>
  </si>
  <si>
    <t>H. M. Khater; F. Sallabi; M. A. Serhani; E. Barka; K. Shuaib; A. Tariq; M. Khayat</t>
  </si>
  <si>
    <t>Empowering Healthcare With Cyber-Physical System‚ÄîA Systematic Literature Review</t>
  </si>
  <si>
    <t>10.1109/ACCESS.2024.3407376</t>
  </si>
  <si>
    <t>College of Information Technology, United Arab Emirates University, Al Ain, United Arab Emirates; College of Information Technology, United Arab Emirates University, Al Ain, United Arab Emirates; College of Computing and Informatics, University of Sharjah, Sharjah, United Arab Emirates; College of Information Technology, United Arab Emirates University, Al Ain, United Arab Emirates; College of Information Technology, United Arab Emirates University, Al Ain, United Arab Emirates; College of Information Technology, United Arab Emirates University, Al Ain, United Arab Emirates; College of Information Technology, United Arab Emirates University, Al Ain, United Arab Emirates</t>
  </si>
  <si>
    <t>Cyber-physical systems (CPS) are recognized for their intelligence as they seamlessly interact with humans, enhancing the physical world through computation, communication, and control. Over the last few years, the evolution of CPS, including IoT components, has significantly impacted many facets of people‚Äôs lifestyles. It has been immersed in a wide range of services and applications in various areas, including manufacturing, healthcare, and energy. However, the interrelationship between the cyber and physical worlds gives rise to a multitude of research problems and challenges. In the healthcare field, for instance, CPS introduces complexities related to interoperability, privacy, data security, and real-time data processing with critical implications for the reliability and safety of medical processes. To address these challenges and harness the full potential of CPS in healthcare, this paper, through a comprehensive literature review, aims to discuss cutting-edge CPS technologies and solutions that hold promise for healthcare applications. To this end, we propose a comprehensive architectural model that can serve as a benchmark for implementing CPS in healthcare applications. This model thoroughly details how services, components, and technologies can be integrated to transform massive raw data collected from the physical world into valuable information for an enhanced decision-making process. Finally, a use case on healthcare CPS is presented, outlining its characteristics, the role that different technologies have played in its development, and the major challenges in implementing such systems successfully. This study provides a cohesive understanding of the role CPS can play in empowering healthcare while offering insights into the challenges, and future research trends.</t>
  </si>
  <si>
    <t xml:space="preserve">United Arab Emirates University(grant numbers:31R227); </t>
  </si>
  <si>
    <t>https://ieeexplore.ieee.org/stamp/stamp.jsp?arnumber=10542115</t>
  </si>
  <si>
    <t>Cyber-physical systems;healthcare;real-time processing;IoT</t>
  </si>
  <si>
    <t>Medical services;Sensors;Real-time systems;Monitoring;Intelligent sensors;Cloud computing;Cyber-physical systems;Internet of Things</t>
  </si>
  <si>
    <t>K. S. Awaisi; Q. Ye; S. Sampalli</t>
  </si>
  <si>
    <t>A Survey of Industrial AIoT: Opportunities, Challenges, and Directions</t>
  </si>
  <si>
    <t>10.1109/ACCESS.2024.3426279</t>
  </si>
  <si>
    <t>Faculty of Computer Science, Dalhousie University, Halifax, NS, Canada; Faculty of Computer Science, Dalhousie University, Halifax, NS, Canada; Faculty of Computer Science, Dalhousie University, Halifax, NS, Canada</t>
  </si>
  <si>
    <t>Internet of Things (IoT) is an important technology employed in a variety of different applications, such as transportation, healthcare, and manufacturing. In recent years, the number of IoT devices deployed globally has been increasing at a rapid pace and is estimated to reach 20 billion by the end of 2025. In modern industry, IoT plays a pivotal role by monitoring the condition of industrial machines and, consequently, improving the efficiency of industrial processes. To optimize the efficiency of industrial IoT applications, various Artificial Intelligence (AI) techniques have been adopted, leading to a new computing paradigm, namely, Industrial Artificial Intelligence of Things (i.e. Industrial AIoT). In this paper, we describe the challenges to tackle and the opportunities to explore in Industrial AIoT. Specifically, we first review the use of state-of-the-art AI methods in Industrial AIoT applications, with a focus on Deep Learning (DL) and Machine Learning (ML) techniques. Thereafter, we present a series of important applications of Industrial AIoT. The key challenges associated with the implementation of Industrial AIoT applications are also discussed. In addition, the societal and economic impacts of Industrial AIoT are briefly described. Finally, we outline the future research directions in Industrial AIoT, which should be further investigated to fully utilize the potential of this innovative technology.</t>
  </si>
  <si>
    <t xml:space="preserve">Natural Sciences and Engineering Research Council of Canada(grant numbers:RGPIN-2022-04754); </t>
  </si>
  <si>
    <t>https://ieeexplore.ieee.org/stamp/stamp.jsp?arnumber=10591982</t>
  </si>
  <si>
    <t>Internet of Things (IoT);industrial internet of things (IIoT);artificial intelligence (AI);artificial intelligence of things (AIoT);industrial AIoT;machine learning (ML);deep learning (DL)</t>
  </si>
  <si>
    <t>Artificial intelligence;Industrial Internet of Things;Sensors;Industries;Monitoring;Logic gates;Internet of Things;Machine learning;Deep learning</t>
  </si>
  <si>
    <t>Y. Qi; S. Shao; S. Wu; X. Qiu; S. Guo; S. Guo</t>
  </si>
  <si>
    <t>A Distributed Intelligent Service Trusted Provision Approach for IoT</t>
  </si>
  <si>
    <t>10.1109/JIOT.2023.3303927</t>
  </si>
  <si>
    <t>State Key Laboratory of Networking and Switching Technology, Beijing University of Posts and Telecommunications, Beijing, China; State Key Laboratory of Networking and Switching Technology, Beijing University of Posts and Telecommunications, Beijing, China; State Grid Ningxia Information and Telecommunication Company Ltd., Ningxia, China; State Key Laboratory of Networking and Switching Technology, Beijing University of Posts and Telecommunications, Beijing, China; Department of Computing and the Research Institute for Sustainable Urban Development, Hong Kong Polytechnic University, Kowloon, Hong Kong; State Key Laboratory of Networking and Switching Technology, Beijing University of Posts and Telecommunications, Beijing, China</t>
  </si>
  <si>
    <t>The traditional centralized resource scheduling method leads to trust issues among multiple subjects carrying microservices. At the same time, in the process of service provision, single-point failure problems also occur from time to time. In order to realize the trusted provision of services, we build a blockchain-based distributed intelligent service trusted provision architecture, which uses smart contracts to realize the on-chain registration of resource information and automatic orchestration of microservices. In order to break through the bottleneck of blockchain efficiency and improve scalability, we use sharding technology to expand the blockchain. And the Raft-practical Byzantine fault-tolerance two-level consensus mechanism combining the Boneh‚ÄìLynn‚ÄìSacham (BLS) threshold signature (B-RBFT) is designed for blockchain sharding, which greatly improves throughput and reduces consensus delay while taking security into account. To meet higher Quality-of-Service (QoS) requirements, we design the microservice orchestration algorithm based on the improved double deep  $Q$  network (DDQN) to support microservice deployment and migration. In particular, to make the neural network converge faster, we improve the traditional DDQN framework by using double replay buffers and weighted target values. Simulation results show that our proposed algorithm has advantages in convergence speed, resource usage cost, delay, and load balancing.</t>
  </si>
  <si>
    <t xml:space="preserve">National Key Research and Development Program of China(grant numbers:2020YFB1005900); National Natural Science Foundation of China(grant numbers:62071070); BUPT Excellent Ph.D. Students Foundation(grant numbers:CX2022135); </t>
  </si>
  <si>
    <t>https://ieeexplore.ieee.org/stamp/stamp.jsp?arnumber=10216783</t>
  </si>
  <si>
    <t>Blockchain;consensus mechanism;Internet of Things (IoT);microservice orchestration;resource sharing</t>
  </si>
  <si>
    <t>Microservice architectures;Blockchains;Internet of Things;Delays;Resource management;Costs;Computer architecture</t>
  </si>
  <si>
    <t>C. S. M. Babou; Y. Owada; M. Inoue; K. Takizawa; T. Kuri</t>
  </si>
  <si>
    <t>Distributed Edge Cloud Proposal Based on VNF/SDN Environment</t>
  </si>
  <si>
    <t>10.1109/ACCESS.2024.3454357</t>
  </si>
  <si>
    <t>National Institute of Information and Communications Technology, Koganei, Tokyo, Japan; National Institute of Information and Communications Technology, Koganei, Tokyo, Japan; National Institute of Information and Communications Technology, Koganei, Tokyo, Japan; National Institute of Information and Communications Technology, Sendai, Miyagi, Japan; National Institute of Information and Communications Technology, Koganei, Tokyo, Japan</t>
  </si>
  <si>
    <t>The integration of lightweight virtualization and distributed management techniques effectively addresses various challenges in edge cloud environments, including optimizing service provision and reducing energy consumption. As the ICT sector transitions from traditional cloud computing to edge cloud to enhance proximity, it has adopted hypervisor-based virtualization. The emergence of beyond 5G systems, characterized by the need for autonomous orchestration, decentralized processing, ultra-low latency, and high throughput, necessitates a shift towards a distributed cloud system with autonomous functionalities. This infrastructure enables proactive control and management of network functions, allowing the delivery of services and microservices through a preconfigured setup at the edge. In regions prone to geographical instability, where network integrity can be compromised by natural disasters like earthquakes and tsunamis, establishing a robust, self-managing network is crucial. Such a network should be capable of independently providing services using local resources, functioning autonomously without external reliance, and effectively managing itself. This paper introduces NerveNet-VNF, a concept focusing on container-based virtualization of network functions. This system is coupled with SDN technology and integrated with a Dynamic Load Balancing (D-LB) system within a distributed cloud architecture. This integrated solution enables the hosting, management, and provisioning of local microservice requirements. Additionally, it introduces a new concept for splitting network functionality based on containers compared to the traditional abstract splitting system. Evaluation of this system demonstrates improvements in latency and throughput. Notably, there is a 20% reduction in NerveNet-VNF request execution time compared to the pre-existing NerveNet network. Moreover, integrating the distributed SDN controller technique into the distributed cloud system (HEC) has reduced latency by 88.91% and improved throughput by 28.48%.</t>
  </si>
  <si>
    <t>https://ieeexplore.ieee.org/stamp/stamp.jsp?arnumber=10664513</t>
  </si>
  <si>
    <t>Edge cloud;NerveNet-VNF;autonomous orchestrator systems;D-LB;K3s;SDN;VNF;HEC;local data delivery;5G;OpenDayLight;mininet</t>
  </si>
  <si>
    <t>Cloud computing;Load management;Computer architecture;Virtualization;Throughput;Containers;Edge computing;5G mobile communication;Virtualization;Software defined networking</t>
  </si>
  <si>
    <t>A. V. Shvetsov; S. Hamood Alsamhi</t>
  </si>
  <si>
    <t>When Holographic Communication Meets Metaverse: Applications, Challenges, and Future Trends</t>
  </si>
  <si>
    <t>10.1109/ACCESS.2024.3514576</t>
  </si>
  <si>
    <t>Department of Road Transport and Car Service Operations, North-Eastern Federal University, Yakutsk, Russia; ICT, Bahrain Polytechnic, Isa Town, Bahrain</t>
  </si>
  <si>
    <t>Holographic communication represents a transformative technology for reshaping the digital interaction landscape by enabling the creation of realistic, immersive, and interactive 3D experiences. This survey overviews holographic communication and its integration with the Metaverse technologies‚Äô concepts, advantages, uses, and many applications. Furthermore, we examine a new paradigm for integrating holographic communication with the Metaverse, emphasizing how holography enhances immersive quality of virtual environments within the Metaverse, making interactions more lifelike and engaging. Extending the integration of holographic communication and Metaverse, we examine this combination‚Äôs numerous uses in various applications across various industries, such as education where virtual classrooms and 3D simulations redefine remote learning, a business where virtual meetings and product demonstrations create more impactful customer engagements, entertainment where immersive gaming and 3D broadcasting transform user experiences, healthcare where remote consultations and surgical simulations enhance medical training and accessibility, and remote assistance where real-time holographic support improves technical troubleshooting. In addition, we discuss the challenges and prospects of integration of holographic communication into Metaverse ecosystems, emphasizing key approaches and technical developments emerging technologies such as AI-driven content optimization, advanced coding and compression techniques, and new paradigms like terahertz communication and quantum holography. This survey highlights the revolutionary potential of holographic communication and offers insightful information on how it will influence digital engagement and connectivity in the future, eventually opening up new avenues in the quickly changing Metaverse landscape.</t>
  </si>
  <si>
    <t>https://ieeexplore.ieee.org/stamp/stamp.jsp?arnumber=10788695</t>
  </si>
  <si>
    <t>Extended reality;digital interaction;immersive communications;holographic communication;Metaverse;connectivity;virtual environments;interaction;immersive experiences</t>
  </si>
  <si>
    <t>Metaverse;Surveys;Three-dimensional displays;Medical services;Education;Entertainment industry;Ecosystems;Business;Avatars;6G mobile communication</t>
  </si>
  <si>
    <t>Z. Wang; Y. Liu; J. Huang</t>
  </si>
  <si>
    <t>An Open API Architecture to Discover the Trustworthy Explanation of Cloud AI Services</t>
  </si>
  <si>
    <t>10.1109/TCC.2024.3398609</t>
  </si>
  <si>
    <t>Department of Electrical, Computer Engineering, Concordia University, Montr√©al, QC, Canada; Department of Electrical, Computer Engineering, Concordia University, Montr√©al, QC, Canada; Department of Electrical, Computer Engineering, Concordia University, Montr√©al, QC, Canada</t>
  </si>
  <si>
    <t>This article presents the design of an open-API-based explainable AI (XAI) service to provide feature contribution explanations for cloud AI services. Cloud AI services are widely used to develop domain-specific applications with precise learning metrics. However, the underlying cloud AI services remain opaque on how the model produces the prediction. We argue that XAI operations are accessible as open APIs to enable the consolidation of the XAI operations into the cloud AI services assessment. We propose a design using a microservice architecture that offers feature contribution explanations for cloud AI services without unfolding the network structure of the cloud models. We can also utilize this architecture to evaluate the model performance and XAI consistency metrics showing cloud AI services‚Äô trustworthiness. We collect provenance data from operational pipelines to enable reproducibility within the XAI service. Furthermore, we present the discovery scenarios for the experimental tests regarding model performance and XAI consistency metrics for the leading cloud vision AI services. The results confirm that the architecture, based on open APIs, is cloud-agnostic. Additionally, data augmentations result in measurable improvements in XAI consistency metrics for cloud AI services.</t>
  </si>
  <si>
    <t>https://ieeexplore.ieee.org/stamp/stamp.jsp?arnumber=10529172</t>
  </si>
  <si>
    <t>Explainable AI (XAI);microservices;cloud model service;software architecture;software quality</t>
  </si>
  <si>
    <t>Artificial intelligence;Cloud computing;Computer architecture;Computational modeling;Data models;Measurement;Microservice architectures</t>
  </si>
  <si>
    <t>H. C. C. de Resende; M. A. K. Schimuneck; C. B. Both; J. A. Wickboldt; J. M. Marquez-Barja</t>
  </si>
  <si>
    <t>COPA: Experimenter-Level Container Orchestration for Networking Testbeds</t>
  </si>
  <si>
    <t>10.1109/ACCESS.2020.3035619</t>
  </si>
  <si>
    <t>Imec, University of Antwerp, Antwerp, Belgium; Institute of Informatics, Federal University of Rio Grande do Sul (UFRGS), Porto Alegre, Brazil; Applied Computing Graduate Program, University of Vale do Rio dos Sinos (UNISINOS), S√£o Leopoldo, Brazil; Institute of Informatics, Federal University of Rio Grande do Sul (UFRGS), Porto Alegre, Brazil; Imec, University of Antwerp, Antwerp, Belgium</t>
  </si>
  <si>
    <t>As Cloud Computing (CC) branched areas such as Multi-access Edge Computing (MEC) and Fog computing are still on growing research interest. The creation of new tools to improve quality and speed the experimentation in such areas is a general interest. In this article, we propose COPA, an experimenter-level container orchestration tool for networking testbeds. This tool provides a friendly interface for the experimenter test container orchestration algorithms which can start, stop, copy, and even migrate a container from one host to another. COPA also includes network/resources monitoring to feed the experimenter's orchestration algorithm so that it can make decisions based on real-time environment information. Furthermore, the experimenter can automatize the experiment scenario setup and deployment by pre-configuring in COPA. This tool helps the experimenter in testing different scenarios and quickly changing experiment parameters. Considering these features, COPA aims to provide an experimentation architecture to deploy and test container orchestration algorithms. Furthermore, we provide a case study explaining how COPA can be a key tool in the MEC and Network Function Virtualization (NFV) experimentation environments. This tool was already deployed in Federated Union of Telecommunications Research Facilities for an EU-Brazil Open Laboratory (FUTEBOL) testbeds as part of the control framework and was well validated by the project reviewers and partners.</t>
  </si>
  <si>
    <t xml:space="preserve">European Union‚Äôs Horizon 2020 through the 5G for Connected and Automated Road Mobility in the European unioN (5 G-CARMEN) Project(grant numbers:825012); Federated Union of Telecommunications Research Facilities for an EU-Brazil Open Laboratory (FUTEBOL) Project(grant numbers:688941); Brazilian Ministry of Science, Technology, Innovation, and Communication (MCTIC) through Rede Nacional de Ensino e Pesquisa (RNP), Centro de Tecnologia da Informa√ß√£o e Comunica√ß√£o (CTIC), and Conselho Nacional de Desenvolvimento Cient√≠fico e Tecnol√≥gico (CNPq); </t>
  </si>
  <si>
    <t>https://ieeexplore.ieee.org/stamp/stamp.jsp?arnumber=9247110</t>
  </si>
  <si>
    <t>Testbed;multi-access edge computing;future networks;container;orchestration</t>
  </si>
  <si>
    <t>Containers;Tools;Monitoring;Virtualization;Computer architecture;Graphical user interfaces;Edge computing</t>
  </si>
  <si>
    <t>Z. Huang; Y. Tan; Y. Zhu; H. Tan; K. Li</t>
  </si>
  <si>
    <t>MTDA: Efficient and Fair DPU Offloading Method for Multiple Tenants</t>
  </si>
  <si>
    <t>10.1109/TSC.2024.3433588</t>
  </si>
  <si>
    <t>College of Computer Science and Electronic Engineering, Hunan University, Changsha, China; College of Computer Science and Electronic Engineering, Hunan University, Changsha, China; College of Computer Science and Electronic Engineering, Hunan University, Changsha, China; College of Computer Science and Electronic Engineering, Hunan University, Changsha, China; College of Computer Science and Electronic Engineering, Hunan University, Changsha, China</t>
  </si>
  <si>
    <t>In modern cloud computing environment, the offloading potential of DPU must be fully exploited for multiple tenants. Existing DPU offloading techniques lack the capability to perform the fair allocation of a DPU domain's internal resources among tenants with various performance requirements. In this article, we propose a virtual multi-channel DPU offloading architecture for multiple tenants (MTDA) and implement it on a BlueField-2 DPU platform to achieve stability and fairness in resource allocation for generic datacenter tasks. MTDA provides an independent virtual channel for each tenant before their requests are submitted to avoid competition among tenants. Considering the diverse requirements of tenants, MTDA constructs a credit-based resource allocation model and a traffic-aware scheduling algorithm to fully utilize the rich computing resources of DPU and improve the fairness of DPU resource allocation. Experimental results show that MTDA increases the throughput by up to 101.2%, 143.2%, 36.1%, and 41.7%, lowers the latency by up to 50.3%, 58.9%, 26.6%, and 29.4%, improves the fairness by up to 98.8%, 99.0%, 98.3%, and 98.4%, and provides more stable performance for multi-tenants, compared with DPDK, iPipe, FairNIC, and LogNIC.</t>
  </si>
  <si>
    <t xml:space="preserve">construction of innovative provinces in Hunan Province(grant numbers:2021GK4012); National Natural Science Foundation of China(grant numbers:62302158); Natural Science Foundation of Hunan Province(grant numbers:2023JJ40175); </t>
  </si>
  <si>
    <t>https://ieeexplore.ieee.org/stamp/stamp.jsp?arnumber=10609547</t>
  </si>
  <si>
    <t>Credit model;DPU;fair resource allocation;multi-tenant</t>
  </si>
  <si>
    <t>Resource management;Cloud computing;Task analysis;Dynamic scheduling;Computational modeling;Throughput;Multicore processing</t>
  </si>
  <si>
    <t>C. -C. Chen; Y. Chiang; Y. -C. Lee; H. -Y. Wei</t>
  </si>
  <si>
    <t>Edge Computing Management With Collaborative Lazy Pulling for Accelerated Container Startup</t>
  </si>
  <si>
    <t>10.1109/TNSM.2024.3462408</t>
  </si>
  <si>
    <t>Department of Electrical Engineering, National Taiwan University, Taipei, Taiwan; Department of Electrical Engineering, National Taiwan University, Taipei, Taiwan; Department of Electrical Engineering, National Taiwan University, Taipei, Taiwan; Department of Electrical Engineering, National Taiwan University, Taipei, Taiwan</t>
  </si>
  <si>
    <t>With the growing demand for latency-sensitive applications in 5G networks, edge computing has emerged as a promising solution. It enables instant response and dynamic resource allocation based on real-time network information by moving resources from the cloud to the network edge. Containers, known for their lightweight nature and ease of deployment, have been recognized as a valuable virtualization technology for service deployment. However, the prolonged startup time of containers can lead to long response time, particularly in edge computing scenarios characterized by long propagation time, frequent deployment, and migration. In this paper, we comprehensively consider image caching, container assignment, and registry selection problem in an edge system. To our best effort, there is no existing work that has taken all the above aspects into account. To address the problem, we propose a novel image caching strategy that employs partial caching, allowing local registries to cache either the least functional or complete version of application images. In addition, a container assignment and registry selection problem is solved by using an edge-based collaborative lazy pulling algorithm. To evaluate the performance of our proposed algorithms, we conduct experiments with real-world app usage data and popular images in a testbed environment. The experimental results demonstrate that our algorithms outperform traditional greedy algorithms in terms of average user response time and cache hit rate.</t>
  </si>
  <si>
    <t xml:space="preserve">National Science and Technology Council (NSTC) of Taiwan(grant numbers:113-2628-E-002-032-); </t>
  </si>
  <si>
    <t>https://ieeexplore.ieee.org/stamp/stamp.jsp?arnumber=10681577</t>
  </si>
  <si>
    <t>Edge computing;5G;container;caching;resource allocation</t>
  </si>
  <si>
    <t>Containers;Image edge detection;Edge computing;Time factors;Delays;Costs;Collaboration</t>
  </si>
  <si>
    <t>M. De Vincenzi; J. Moore; B. Smith; S. E. Sarma; I. Matteucci</t>
  </si>
  <si>
    <t>Security Risks and Designs in the Connected Vehicle Ecosystem: In-Vehicle and Edge Platforms</t>
  </si>
  <si>
    <t>IEEE Open Journal of Vehicular Technology</t>
  </si>
  <si>
    <t>2644-1330</t>
  </si>
  <si>
    <t>10.1109/OJVT.2024.3524088</t>
  </si>
  <si>
    <t>Institute of Informatics and Telematics, Pisa, Italy; Ford Motor Company, Dearborn, MI, USA; Ford Motor Company, Dearborn, MI, USA; Department of Mechanical Engineering, Massachusetts Institute of Technology, Cambridge, MA, USA; Institute of Informatics and Telematics, Pisa, Italy</t>
  </si>
  <si>
    <t>The evolution of Connected Vehicles (CVs) has introduced significant advancements in both in-vehicle and vehicle-edge platforms, creating a highly connected ecosystem. These advancements, however, have heightened exposure to cybersecurity risks. This work reviews emerging security challenges in the CV ecosystem from a new perspective, focusing on the integration of in-vehicle platforms such as the infotainment system and vehicle-edge platforms. By analyzing case studies such as Android Automotive, Message Queuing Telemetry Transport (MQTT), and the Robot Operating System (ROS), we identify the primary security threats, including malware attacks, data manipulation, and Denial of Service (DoS) attacks. The discussion extends to privacy concerns and the lack of trust-building mechanisms in CVs, highlighting how these gaps can be exploited. To mitigate these risks, we retrieve solutions drawn from the broader field of Internet of Things (IoT) security research, including Multi-Factor Authentication (MFA) and trust-based systems. The proposed framework aims to increase the trustworthiness of devices within the CV ecosystem. Finally, we identify future research directions in adaptive mechanisms and cross-domain security.</t>
  </si>
  <si>
    <t>https://ieeexplore.ieee.org/stamp/stamp.jsp?arnumber=10818588</t>
  </si>
  <si>
    <t>Connected vehicles;security;privacy;android automotive;message queuing telemetry transport;robot operating system</t>
  </si>
  <si>
    <t>Vehicle-to-everything;Security;Ecosystems;Operating systems;Privacy;Malware;Prevention and mitigation;Image edge detection;Connected vehicles;Computer architecture</t>
  </si>
  <si>
    <t>R. L. P. Urtecho; J. Rodr√≠guez-Molina; M. Mart√≠nez-N√∫√±ez; J. Garbajosa</t>
  </si>
  <si>
    <t>Enhancing Agriculture Through IoT and Blockchain: A VeChain-Enhanced Sustainable Development Approach for Small-Scale Agricultural Exploitations</t>
  </si>
  <si>
    <t>10.1109/ACCESS.2024.3506510</t>
  </si>
  <si>
    <t>Department of Telematics and Electronics Engineering, Universidad Polit√©cnica de Madrid, Madrid, Spain; Department of Telematics and Electronics Engineering, Universidad Polit√©cnica de Madrid, Madrid, Spain; Department of Organization Engineering, Business Administration and Statistics, Universidad Polit√©cnica de Madrid, Madrid, Spain; Higher Technical School of Engineering of Information Systems, Universidad Polit√©cnica de Madrid, Madrid, Spain</t>
  </si>
  <si>
    <t>Small and mid-sized exploitations in the agricultural sector face several challenges, including excessive use of environmental resources, limited product visibility, and insufficient automation in farming operations. These issues result in increased operational costs, reduced crop quality, and higher risks of harvest loss, especially when weather predictions are unreliable. Addressing these challenges is crucial to improving productivity and sustainability in farming. This research work introduces a cost-effective Software-as-a-Service (SaaS) solution that leverages Internet of Things (IoT) technology and blockchain -specifically, the VeChain network- to provide real-time data on crop conditions and weather forecasts. The proposed solution enables farmers to make informed decisions by offering actionable insights and monitoring crops growth and general progress over time, thus promoting more efficient and sustainable farming practices. Furthermore, the integration of blockchain ensures transparency and immutability of data, building trust between farmers, distributors, and end customers. This increased visibility and accountability can also enhance product traceability across supply chains. By tackling these issues faced by small and mid-sized agricultural exploitations, this project aims to modernize farming practices, optimize resource utilization, and contribute to long-term sustainability, helping to secure food production in the face of global environmental and economic turmoil.</t>
  </si>
  <si>
    <t xml:space="preserve">Agencia Estatal de Investigaci√≥n/Ministerio de Ciencia e Innovaci√≥n through the project ‚ÄúSustainability-Aware Internet of Things Systems Driven by Social Communities‚Äù(grant numbers:PID2020-118969RB-I00); </t>
  </si>
  <si>
    <t>https://ieeexplore.ieee.org/stamp/stamp.jsp?arnumber=10767676</t>
  </si>
  <si>
    <t>Distributed information systems;Internet of Things;sensors;cloud computing</t>
  </si>
  <si>
    <t>Blockchains;Internet of Things;Security;Crops;Real-time systems;Farming;Monitoring;Agriculture;Supply chains;Weather forecasting</t>
  </si>
  <si>
    <t>J. E. Rivadeneira; J. M. Fernandes; A. Rodrigues; F. Boavida; J. S. Silva</t>
  </si>
  <si>
    <t>An Evaluation of Unobtrusive Sensing in a Healthcare Case Study</t>
  </si>
  <si>
    <t>10.1109/ACCESS.2024.3419555</t>
  </si>
  <si>
    <t>Centre for Informatics and Systems of the University of Coimbra (CISUC), Coimbra, Portugal; Centre for Informatics and Systems of the University of Coimbra (CISUC), Coimbra, Portugal; Polytechnic University of Coimbra, Coimbra Business School | ISCAC, Bencanta, Coimbra, Portugal; Centre for Informatics and Systems of the University of Coimbra (CISUC), Coimbra, Portugal; Institute for Systems Engineering and Computers at Coimbra (INESC Coimbra), University of Coimbra, Coimbra, Portugal</t>
  </si>
  <si>
    <t>This paper examines the integration of Human-in-the-Loop Cyber-Physical Systems (HiTL-CPS) and Unobtrusive Sensing through a case study named iFriend. Our approach enhances the data acquisition phase of HiTLCPS by integrating unobtrusive sensing techniques to monitor real-time heart rate and breathing rate. This is achieved by leveraging Channel State Information (CSI) of Wi-Fi signals, specifically focusing on its amplitude information. This integration facilitates seamless interaction between humans and the cyber-physical environment. We detail the architecture of the iFriend system, comprising sensors, actuators, and computational units forming a closed-loop control mechanism. The unobtrusive sensing module is specifically designed to capture physiological changes without causing discomfort or interfering with daily activities, making it well-suited for healthcare applications and human-machine interaction. We assess iFriend in an experimental setting, demonstrating its feasibility, with between 80% and 90% of estimates hovering around 2.5 breaths per minute for BR or 10 beats per minute for HR, respectively.</t>
  </si>
  <si>
    <t xml:space="preserve">Funda√ß√£o para a Ci√™ncia e a Tecnologia (FCT), I.P.(grant numbers:UIDB/00326/2020,UIDP/00326/2020,UIDB/00308/2020,DOI 10.54499/UIDB/00308/2020); European Social Fund through the Regional Operational Program Centro 2020; FCT through the Ph.D.(grant numbers:SFRH/BD/147371/2019); Secretar√≠a de Educaci√≥n Superior, Ciencia, Tecnolog√≠a e Innovaci√≥n del Ecuador (SENESCYT) under Ph.D.(grant numbers:CZ02-000903-2018); </t>
  </si>
  <si>
    <t>https://ieeexplore.ieee.org/stamp/stamp.jsp?arnumber=10571912</t>
  </si>
  <si>
    <t>CSI;human-in-the-loop;IoT;unobtrusive sensing</t>
  </si>
  <si>
    <t>Sensors;Biomedical monitoring;Monitoring;Machine learning;Wearable sensors;Medical services;Human in the loop</t>
  </si>
  <si>
    <t>J. L. Herrera; J. Berrocal; S. Forti; A. Brogi; J. M. Murillo</t>
  </si>
  <si>
    <t>Multi-Layered Continuous Reasoning for Cloud-IoT Application Management</t>
  </si>
  <si>
    <t>10.1109/TSC.2024.3451239</t>
  </si>
  <si>
    <t>Dipartimento di Informatica-Scienza e Ingegneria, University of Bologna, Bologna, Italy; Department of Computer Science and Communications Engineering, University of Extremadura, Badajoz, Spain; Department of Computer Science, University of Pisa, Pisa, Italy; Department of Computer Science, University of Pisa, Pisa, Italy; Department of Computer Science and Communications Engineering, University of Extremadura, Badajoz, Spain</t>
  </si>
  <si>
    <t>The advent of the Internet of Things has increased the interest in automating mission-critical processes from domains such as smart cities. These applications‚Äô stringent Quality of Service (QoS) requirements motivate their deployment through the Cloud-IoT Continuum, which requires solving the NP-hard problem of placing the application's services onto the infrastructure's devices. Moreover, as the infrastructure and application change over time, the placement needs to continuously adapt to these changes to maintain an acceptable QoS. While continuous reasoning techniques have enabled the creation of tools for these scenarios, they can have some trouble finding a feasible adaptation for abrupt and sharp changes, requiring non-adaptive techniques in those cases. Furthermore, for scenarios with smoother changes, it would be desirable to have faster algorithms to perform this placement. To explore the trade-off of effectiveness and execution times of different methods while ensuring that an application placement is found, we propose Multi-Layered Continuous Reasoning (MLCR) as an autonomic framework to adapt application placements through multiple continuous reasoning-based methods. We also present an MLCR prototype based on three methods: Faustum, MigDADO, and ConDADO. An evaluation in a realistic use case shows that MLCR is faster than traditional methods for application placement and maintains an acceptable QoS.</t>
  </si>
  <si>
    <t xml:space="preserve">CAS21/00057 (MCI/AEI/FEDER, UE)(grant numbers:PID2021-124054OB-C31,DIN2020-011586,PDC2022-133465-I00); MCIN/AEI/10.13039/50100011033(grant numbers:TED2021-130913B-I00); European Union NextGenerationEU/PRTR; Department of Economy, Science and Digital Agenda of the Government of Extremadura(grant numbers:GR21133); European Regional Development Fund; European Union; Italian National Recovery and Resilience Plan (NRRP) of NextGenerationEU; Telecommunications of the Future; PE00000001 - program ‚ÄúRESTART‚Äù; CUP(grant numbers:J33C22 002880001); Energy-aware management of software applications in Cloud-IoT ecosystems(grant numbers:RIC2021_ PON_A18); ESF REACT-EU resources; Italian Ministry of University and Research; PON Ricerca e Innovazione 2014‚Äì20; hOlistic Sustainable Management of distributed softWARE systems (OSMWARE)(grant numbers:UNIPI PRA_2022_64); University of Pisa, Italy; </t>
  </si>
  <si>
    <t>https://ieeexplore.ieee.org/stamp/stamp.jsp?arnumber=10654521</t>
  </si>
  <si>
    <t>Internet of Things (IoT);fog computing;quality of service (QoS);continuous reasoning;service placement</t>
  </si>
  <si>
    <t>Microservice architectures;Quality of service;Cognition;Cloud computing;Internet of Things;Costs;Smart cities</t>
  </si>
  <si>
    <t>B. Anuraj; D. Calvaresi; J. -M. Aerts; J. -P. Calbimonte</t>
  </si>
  <si>
    <t>Dynamic Swarm Orchestration and Semantics in IoT Edge Devices: A Systematic Literature Review</t>
  </si>
  <si>
    <t>10.1109/ACCESS.2024.3446876</t>
  </si>
  <si>
    <t>Institute of Informatics, University of Applied Sciences and Arts Western Switzerland (HES-SO), Sierre, Switzerland; Institute of Informatics, University of Applied Sciences and Arts Western Switzerland (HES-SO), Sierre, Switzerland; Department of Biosystems, Measure, Model &amp; Manage Bioresponses Research Group, KU Leuven, Leuven, Belgium; Institute of Informatics, University of Applied Sciences and Arts Western Switzerland (HES-SO), Sierre, Switzerland</t>
  </si>
  <si>
    <t>In its dynamic evolution, the Internet of Things (IoT) has become increasingly pervasive in our daily lives, ranging from domestic appliances to industrial robots. This integration brings together people, processes, data, and devices, prompting new types of interactions among them. Besides acquiring data, these devices also have actuation and processing capabilities, making them susceptible of becoming autonomous entities with coordination potential. Given the inherent limitations of storage, power, or computation of IoT devices, delegation and cooperation strategies, including intermediary nodes in the network, can significantly optimize the usage of resources. Hence, this type of node can rely on swarm-inspired intelligence to orchestrate edge nodes, possibly with semantics-enabled behaviors. This study proposes a Systematic Literature Review (SLR) investigating different solutions and approaches for the orchestration of edge devices powered by declarative and semantic models of their affordances, goals, and capabilities. The SLR explores different aspects of the literature, including demographics, application domains, goals, requirements, scope, services, frameworks, and technologies, as well as challenges and future directions in the field. The purpose of this SLR is to provide software engineers, researchers, and innovators comprehensive insights into the present status of advancements in this area and a discussion of the unresolved issues and opportunities.</t>
  </si>
  <si>
    <t xml:space="preserve">Horizon Europe Project SmartEdge(grant numbers:101092908); </t>
  </si>
  <si>
    <t>https://ieeexplore.ieee.org/stamp/stamp.jsp?arnumber=10643067</t>
  </si>
  <si>
    <t>Internet of Things;swarm-based orchestration;dynamic orchestration;semantic sensor networks;edge devices;Web of Things</t>
  </si>
  <si>
    <t>Semantics;Internet of Things;Task analysis;Protocols;Planning;Particle swarm optimization;Ontologies</t>
  </si>
  <si>
    <t>B. Picano; R. Fantacci</t>
  </si>
  <si>
    <t>Efficient task offloading and resource allocation in an intelligent UAV-MEC system</t>
  </si>
  <si>
    <t>10.23919/JCN.2024.000050</t>
  </si>
  <si>
    <t>University of Florence, 50139 Firenze, Italy; University of Florence, 50139 Firenze, Italy</t>
  </si>
  <si>
    <t>Nowadays, the functional integration of digital twin (DT) technology and artificial intelligence (AI) methodologies has enabled reliable predictions of many random processes, supporting efficient control and optimization procedures. In line with this trend, this paper explores the joint use of these technologies in an AI-empowered DT framework for an unmanned aerial vehicle-aided multi-access edge computing (UAV-MEC) system. Specifically, this approach defines an intelligent UAV-MEC system capable of significantly improving service quality and deployment flexibility. The focus is on a UAV-MEC network consisting of multiple elementary service areas, where DTs efficiently orchestrate and reduce congestion levels by utilizing UAVs with onboard processing capabilities. A potential architecture for the DTs is outlined, conceptualizing each DT as a collection of basic cyber entities. Additionally, a suitable framework utilizing a matching game approach is proposed to effectively manage task offloading, channel allocation, and the dynamic assignment of UAV support to congested service zones within the same area. Finally, comprehensive simulation results validate the efficacy of the proposed intelligent UAV-MEC system, as indicated by metrics such as task completion delay and accuracy in congestion prediction.</t>
  </si>
  <si>
    <t>https://ieeexplore.ieee.org/stamp/stamp.jsp?arnumber=10759571</t>
  </si>
  <si>
    <t>Digital twin;intelligence system;machine learning;mobile edge computing;unmanned aerial vehicle</t>
  </si>
  <si>
    <t>Autonomous aerial vehicles;Resource management;Artificial intelligence;Optimization;Drones;Delays;Decision making;Costs;6G mobile communication;Trajectory</t>
  </si>
  <si>
    <t>P. K. Dey; M. Yuksel</t>
  </si>
  <si>
    <t>Delegating Data Plane With Cloud-Assisted Routing</t>
  </si>
  <si>
    <t>10.1109/TNSM.2023.3239802</t>
  </si>
  <si>
    <t>Department of Electrical and Computer Engineering, University of Central Florida, Orlando, FL, USA; Department of Electrical and Computer Engineering, University of Central Florida, Orlando, FL, USA</t>
  </si>
  <si>
    <t>Data centers are embracing the software-defined networking (SDN) as it is evident that this technology of completely separating the data plane from the control plane gives more flexibility for their internal routing management and provides better Quality-of-Service (QoS) to the users. Implementing a similar solution to serve the purpose of software-defined wide-area networking using public Internet routing is also gaining popularity. Although, instead of having a complete separation, a hybrid approach to keep most of the control plane along with the least of the data plane in the remote and vice-versa for the local platform may be more fitting. To this end, we propose a new hybrid SDN approach, Cloud-Assisted Routing (CAR), that utilizes the high computational services that cloud offers at a lower price by splitting both control and data plane functions between a local router and a remote cloud computing platform. Such delegation of data plane to a third-party authority requires proper control plane management policies and handling or avoiding possible loops and failures. We detail the architectural view of CAR, address its associated challenges, and present prototype-based evaluations of it for reducing routing table sizes.</t>
  </si>
  <si>
    <t xml:space="preserve">U.S. National Science Foundation(grant numbers:1814086,1647189); </t>
  </si>
  <si>
    <t>https://ieeexplore.ieee.org/stamp/stamp.jsp?arnumber=10025801</t>
  </si>
  <si>
    <t>Routing scalability;software-defined net-working;cloud-assisted networking</t>
  </si>
  <si>
    <t>Cloud computing;Routing;Automobiles;Computer architecture;Internet;Scalability;Switches</t>
  </si>
  <si>
    <t>C. Ren; Y. Hu; L. Sun; H. Li; C. Sun; H. Zhang; A. Nallanathan; V. C. M. Leung</t>
  </si>
  <si>
    <t>Integrated Cognitive Symbiotic Computing and Ambient Backscatter Communication Network</t>
  </si>
  <si>
    <t>IEEE Transactions on Cognitive Communications and Networking</t>
  </si>
  <si>
    <t>2332-7731</t>
  </si>
  <si>
    <t>10.1109/TCCN.2024.3439628</t>
  </si>
  <si>
    <t>Beijing Engineering and Technology Research Center for Convergence Networks and Ubiquitous Services, University of Science and Technology Beijing, Beijing, China; Beijing Engineering and Technology Research Center for Convergence Networks and Ubiquitous Services, University of Science and Technology Beijing, Beijing, China; School of Automation and Electrical Engineering, University of Science and Technology Beijing, Beijing, China; Research and Development Center Sony (China) Ltd., Beijing, China; Research and Development Center Sony (China) Ltd., Beijing, China; Beijing Engineering and Technology Research Center for Convergence Networks and Ubiquitous Services, University of Science and Technology Beijing, Beijing, China; School of Electronic Engineering and Computer Science, Queen Mary University of London, London, U.K.; Department of Electrical and Computer Engineering, The University of British Columbia, Vancouver, BC, Canada</t>
  </si>
  <si>
    <t>Ambient backscatter communication (AmBC) possesses signal reception and energy-harvesting capabilities, allowing providing wireless cognition through simple energy detection. In typical applications like industrial Internet of Things (IoT), cognitive AmBC (CAmBC) networks are required to offer passive communication, edge computing, and cognition capabilities. However, passive communication relies on the environment and has limited computing power, creating interdependencies among spectrum sensing, networking, and computational cognition. Moreover, the heterogeneous evaluation metrics for communication and computation make unified planning and management challenging. Therefore, this paper proposes the integrated cognitive symbiotic computing-AmBC (CSC-AmBC) based on symbiotic communication and cognitive radio. CSC-AmBC integrates AmBC communication and computational cognition capabilities in a task-oriented manner, sharing proximity and AmBC computing and communication (ACC) resources among primary and secondary tasks. Meta-Link with Tokens and two cognitive ACC reuse models is used to facilitate integration and enhance task execution efficiency, which introduces Places to accommodate the heterogeneous and variable ACC resources. Additionally, the task execution gain metric is introduced to evaluate the multi-task ACC resource utilization. Numerical results validate the cognition networking and the advantage of the proposed task execution gain of CSC-AmBC.</t>
  </si>
  <si>
    <t xml:space="preserve">National Natural Science Foundation of China(grant numbers:62201034,62225103,U22B2003,62341103); Beijing Municipal Natural Science Foundation(grant numbers:L212004-03); Beijing Natural Science Foundation(grant numbers:L212004); Xiaomi Fund of Young Scholar, and National Key Laboratory of Wireless Communications Foundation(grant numbers:IFN20230201); </t>
  </si>
  <si>
    <t>https://ieeexplore.ieee.org/stamp/stamp.jsp?arnumber=10623808</t>
  </si>
  <si>
    <t>Integrated computing and communication;ambient backscatter communication;cognitive networks</t>
  </si>
  <si>
    <t>Task analysis;Cognition;Backscatter;Wireless sensor networks;Resource management;Measurement;Symbiosis</t>
  </si>
  <si>
    <t>J. Jeon; S. Park; B. Jeong; Y. -S. Jeong</t>
  </si>
  <si>
    <t>Efficient Container Scheduling With Hybrid Deep Learning Model for Improved Service Reliability in Cloud Computing</t>
  </si>
  <si>
    <t>10.1109/ACCESS.2024.3396652</t>
  </si>
  <si>
    <t>Department of AI‚ãÖSW Convergence, Dongguk University, Seoul, Republic of Korea; Department of Multimedia Engineering, Dongguk University, Seoul, Republic of Korea; Department of Computer Science and Artificial Intelligence, Dongguk University, Seoul, Republic of Korea; Department of AI‚ãÖSW Convergence, Dongguk University, Seoul, Republic of Korea</t>
  </si>
  <si>
    <t>In a cloud computing environment, the container scheduling technique ensures reliability for containerized applications by selecting nodes that satisfy various resource requirements and then deploying containers. If the initial resources of a container are over-allocated, resources may be wasted, or other containers that are waiting in a scheduling queue may not be allocated. However, if resources are under-allocated, service disruptions may occur due to node overbooking, and service reliability cannot be ensured. Therefore, in this study, a forecasted resource-evaluating scheduler (FoRES) is proposed as a container scheduling technique that ensures resource efficiency and service reliability. FoRES predicts future CPU and memory usage by using a time-series decomposition-based hybrid forecasting (DeHyFo) model that combines multiple linear regressions with the LightTS model. FoRES then calculates the optimal scheduling decisions that minimize idle resources and node overload by applying an efficient resource utilization (SERU) scoring function to the predicted resource usage. Evaluating the performance of FoRES based on various scenarios improved resource efficiency and service reliability by up to 2.07 and 2.32 times, respectively, compared with existing scheduling techniques, even if the initial resources of the container were inefficiently allocated.</t>
  </si>
  <si>
    <t xml:space="preserve">Institute of Information &amp; communications Technology Planning &amp; Evaluation (IITP) grant funded by the Korea government (MSIT)(grant numbers:2022-0-00047); Development of microservices development/operation platform technology that supports application service operation intelligence; </t>
  </si>
  <si>
    <t>https://ieeexplore.ieee.org/stamp/stamp.jsp?arnumber=10518053</t>
  </si>
  <si>
    <t>Cloud computing;container scheduling;deep learning;resource efficiency;service reliability;time-series forecasting</t>
  </si>
  <si>
    <t>Containers;Optimal scheduling;Scheduling;Predictive models;Processor scheduling;Resource management;Measurement;Cloud computing;Deep learning;Time series analysis;Reliability</t>
  </si>
  <si>
    <t>W. Villegas-Ch; R. Gutierrez; I. S√°nchez-Salazar; A. Mera-Navarrete</t>
  </si>
  <si>
    <t>Adaptive Security Framework for the Internet of Things: Improving Threat Detection and Energy Optimization in Distributed Environments</t>
  </si>
  <si>
    <t>10.1109/ACCESS.2024.3486983</t>
  </si>
  <si>
    <t>Escuela de Ingenier√≠a en Ciberseguridad, FICA, Universidad de Las Am√©ricas, Quito, Ecuador; Escuela de Ingenier√≠a en Ciberseguridad, FICA, Universidad de Las Am√©ricas, Quito, Ecuador; Escuela de Ingenier√≠a en Ciberseguridad, FICA, Universidad de Las Am√©ricas, Quito, Ecuador; Departamento de Sistemas, Universidad Internacional del Ecuador, Quito, Ecuador</t>
  </si>
  <si>
    <t>The increasing use of Internet of Things (IoT) devices in critical sectors has increased exposure to security threats, making protecting these systems a priority challenge. Based on static configurations, traditional security approaches have proven ineffective in the face of the dynamic nature of emerging threats, as they cannot adapt in real time to changes in the environment or new attack vectors. This work proposes an adaptive security framework for Internet of Things (IoT) systems capable of autonomously detecting, mitigating, and adapting to various threats, improving precision and response times, and optimizing energy consumption. The framework was implemented in a distributed Internet of Things environment, using adaptive architectures based on the Robot Operating System (ROS) and microservices orchestration with Kubernetes. The results showed a significant improvement in response time, with a reduction of 44%, reaching an average of 250 milliseconds, compared to 450 milliseconds for static approaches. Furthermore, a 92% precision in threat detection was achieved, reducing false positives to 4% and false negatives to 6%. Power consumption was controlled, reaching a maximum of 160 milliamp-hours after facing multiple threats, confirming the system‚Äôs efficiency in resource-limited environments. These results demonstrate that the proposed adaptive framework is a robust and efficient solution for security in Internet of Things environments, overcoming the limitations of traditional approaches and ensuring adequate protection without compromising energy efficiency.</t>
  </si>
  <si>
    <t>https://ieeexplore.ieee.org/stamp/stamp.jsp?arnumber=10736580</t>
  </si>
  <si>
    <t>Adaptive security framework;Internet of Things;threat detection;energy efficiency in Internet of Things</t>
  </si>
  <si>
    <t>Security;Internet of Things;Adaptive systems;Real-time systems;Time factors;Threat assessment;Energy consumption;Energy efficiency;Sensors;Logic gates</t>
  </si>
  <si>
    <t>R. Agyeman; B. Rinner</t>
  </si>
  <si>
    <t>Decentralized Text-Based Person Re-Identification in Multi-Camera Networks</t>
  </si>
  <si>
    <t>10.1109/ACCESS.2024.3501382</t>
  </si>
  <si>
    <t>Institute of Networked and Embedded Systems, University of Klagenfurt, Klagenfurt am W√∂rthersee, Austria; Institute of Networked and Embedded Systems, University of Klagenfurt, Klagenfurt am W√∂rthersee, Austria</t>
  </si>
  <si>
    <t>Text-based person re-identification (re-ID) is an emerging research domain in multi-camera surveillance systems. It involves identifying individuals across different camera views using textual descriptions as queries. Although text-based person re-ID holds significant potential for surveillance systems, its practical applications are limited by the high computational demands of existing algorithms. This is because most state-of-the-art algorithms prioritize identification accuracy over resource efficiency. Therefore, surveillance systems based on existing algorithms rely heavily on centralized architectures, where a central application server aggregates videos from camera nodes, generates galleries from the videos, and performs person identification. However, such centralized systems face challenges in large-scale deployments, including scalability issues, high bandwidth utilization, and processing bottlenecks. This paper presents a decentralized approach to text-based person re-ID to overcome these limitations. First, it introduces U-TextReIDNet, a resource-efficient model designed to identify persons in multi-person images on the NVIDIA Jetson Nano embedded board. U-TextReIDNet achieves Top-1 accuracies of 54.02% on the CUHK-PEDES dataset and 38.45% on the RSTPReid dataset. With only 38.77 million parameters, U-TextReIDNet is significantly smaller than most existing text-based person re-ID models. Using U-TextReIDNet, we implement a decentralized system that distributes the person identification task across camera nodes, transmitting only videos containing persons of interest to the command station. Additionally, we developed a prototype of this decentralized system, and conducted performance and usability tests using real human subjects. The prototype successfully performs real-time person re-ID, reduces bandwidth utilization, improves system scalability, and eliminates processing bottlenecks.</t>
  </si>
  <si>
    <t>https://ieeexplore.ieee.org/stamp/stamp.jsp?arnumber=10756694</t>
  </si>
  <si>
    <t>Decentralized algorithm;multi-camera networks;multi-modal re-identification model;real-time video analytics;text-based person re-identification</t>
  </si>
  <si>
    <t>Cameras;Visualization;Identification of persons;Videos;Servers;Feature extraction;Computer architecture;Surveillance;Scalability;Privacy</t>
  </si>
  <si>
    <t>H. Sun; Y. Liu; A. Al-Tahmeesschi; A. Nag; M. Soleimanpour; B. Canberk; H. Arslan; H. Ahmadi</t>
  </si>
  <si>
    <t>Advancing 6G: Survey for Explainable AI on Communications and Network Slicing</t>
  </si>
  <si>
    <t>10.1109/OJCOMS.2025.3534626</t>
  </si>
  <si>
    <t>Institute for Safe Autonomy and School of Physics, Engineering and Technology, York, U.K.; Institute for Safe Autonomy and School of Physics, Engineering and Technology, York, U.K.; Institute for Safe Autonomy and School of Physics, Engineering and Technology, York, U.K.; School of computer Science, University College Dublin, Dublin 4, Ireland; Texas Biomedical Research Institute, San Antonio, TX, USA; School of Computing, Engineering and The Built Environment, Edinburgh Napier University, Edinburgh, U.K.; School of Engineering and Natural Sciences, Istanbul Medipol University, Istanbul, T√ºrkiye; Institute for Safe Autonomy and School of Physics, Engineering and Technology, York, U.K.</t>
  </si>
  <si>
    <t>The unprecedented advancement of Artificial Intelligence (AI) has positioned Explainable AI (XAI) as a critical enabler in addressing the complexities of next-generation wireless communications. With the evolution of the 6G networks, characterized by ultra-low latency, massive data rates, and intricate network structures, the need for transparency, interpretability, and fairness in AI-driven decision-making has become more urgent than ever. This survey provides a comprehensive review of the current state and future potential of XAI in communications, with a focus on network slicing, a fundamental technology for resource management in 6G. By systematically categorizing XAI methodologies‚Äìranging from modelagnostic to model-specific approaches, and from pre-model to post-model strategies‚Äìthis paper identifies their unique advantages, limitations, and applications in wireless communications. Moreover, the survey emphasizes the role of XAI in network slicing for vehicular network, highlighting its ability to enhance transparency and reliability in scenarios requiring real-time decision-making and high-stakes operational environments. Real-world use cases are examined to illustrate how XAI-driven systems can improve resource allocation, facilitate fault diagnosis, and meet regulatory requirements for ethical AI deployment. By addressing the inherent challenges of applying XAI in complex, dynamic networks, this survey offers critical insights into the convergence of XAI and 6G technologies. Future research directions, including scalability, real-time applicability, and interdisciplinary integration, are discussed, establishing a foundation for advancing transparent and trustworthy AI in 6G communications systems.</t>
  </si>
  <si>
    <t xml:space="preserve">Engineering and Physical Sciences Research Council United Kingdom (EPSRC), Impact Acceleration Accounts (IAA) (Green Secure and Privacy Aware Wireless Networks for Sustainable Future Connected and Autonomous Systems)(grant numbers:EP/X525856/1); EPSRC CHEDDAR: Communications Hub for Empowering Distributed Cloud Computing Applications and Research(grant numbers:EP/Y037421/1,EP/X040518/1); Department of Science, Innovation and Technology, U.K.(grant numbers:Yorkshire Open-RAN (YORAN) TS/X013758/1,RIC Enabled (CF-)mMIMO for HDD (REACH) TS/Y008952/1); Scientific and Technological Research Council of Turkey (TUBITAK) 1515 Frontier RD Laboratories Support Program for BTS Advanced AI Hub: BTS Autonomous Networks and Data Innovation Lab(grant numbers:5239903); </t>
  </si>
  <si>
    <t>https://ieeexplore.ieee.org/stamp/stamp.jsp?arnumber=10854503</t>
  </si>
  <si>
    <t>Sixth Generation (6G);wireless communications;Explainable AI (XAI);Artificial Intelligent (AI);Machine Learning (ML);network slicing;vehicular networks</t>
  </si>
  <si>
    <t>6G mobile communication;Artificial intelligence;Explainable AI;Surveys;Network slicing;Wireless communication;Decision making;Reviews;Security;Real-time systems</t>
  </si>
  <si>
    <t>K. Subramaniam; N. Kumar; S. Balusamy; C. Sahoo; G. Chandrasekaran</t>
  </si>
  <si>
    <t>Optimizing UE Power Efficiency: AI/ML Approach for Upgrade Time Determination</t>
  </si>
  <si>
    <t>10.1109/ACCESS.2024.3439008</t>
  </si>
  <si>
    <t>Management S/W Group, Samsung Research and Development Institute, Bengaluru, India; Bearer Software, Samsung Research and Development Institute, Bengaluru, India; SDN and Cloud Solution, Samsung Research and Development Institute, Bengaluru, India; Element Management System Software, Samsung Research and Development Institute, Bengaluru, India; Service Management Orchestrator and Slice Manager Part, Samsung Research and Development Institute, Bengaluru, India</t>
  </si>
  <si>
    <t>The transition of Control Plane (CP) block functions into software entities, as proposed by 3GPP, necessitates periodic downtime for maintenance activities such as software upgrades or failures. This downtime requires the disconnection of all User Equipment (UE) connections to the CP, triggering the UE reattach procedure and resulting in increased UE power consumption and spectrum wastage. To mitigate these challenges, optimal CP upgrade timings should align with periods of low traffic. In this paper, we propose an AI/ML-based procedure to autonomously determine the optimal time to upgrade CP block functions, eliminating the need for manual intervention by operators. Our approach involves analyzing traffic conditions using statistical data from several CP blocks managing base stations across various areas, including residential and non-residential zones like subways, shopping complex and hospitals. Leveraging Seasonal Auto-Regressive Integrated Moving Average (SARIMA) forecasting, we predict bearer statistical data to calculate the optimal CP software upgrade time, validated using Z-Score analysis at the same time. In addition to address the suboptimal upgrade timings, we also proposed CP Outage Handling Procedure (COHP) v2 by preserving UE contexts during CP upgrades. Our results demonstrate SARIMA‚Äôs high accuracy in predicting lean traffic conditions, with an R-Squared score of 0.99. Furthermore, upgrading CP software during predicted lean periods leads to substantial UE power savings ranging from 80% to 97% compared to manual upgrades.</t>
  </si>
  <si>
    <t>https://ieeexplore.ieee.org/stamp/stamp.jsp?arnumber=10623456</t>
  </si>
  <si>
    <t>5G core;cloud native;control plane;user plane;CNF;AI/ML;SARIMA;power optimization</t>
  </si>
  <si>
    <t>Time series analysis;Base stations;Software algorithms;Forecasting;5G mobile communication;3GPP;Energy efficiency</t>
  </si>
  <si>
    <t>A. Ara√∫jo; R. Soares; W. Santos</t>
  </si>
  <si>
    <t>MonitorChain: An Extensible Tool for Real-Time Monitoring of Blockchain-Based Software Applications</t>
  </si>
  <si>
    <t>10.1109/ACCESS.2024.3475876</t>
  </si>
  <si>
    <t>Computing Institute, Federal University of Alagoas, Macei√≥, Brazil; Computing Institute, Federal University of Alagoas, Macei√≥, Brazil; Computing Institute, Federal University of Alagoas, Macei√≥, Brazil</t>
  </si>
  <si>
    <t>Support tools that monitor software application processes are required to identify, measure, and assess their performance and resolve any anomalies that impede their full functionality. Similarly, applications that use blockchain technology require analysis and monitoring tools for the resources and functionality provided by their smart contracts. This paper presents a computational tool that monitors hardware resources and evaluates transaction processing requests in blockchain networks. The solution presented here is called MonitorChain, and it has software components that allow the connection with different blockchain networks, the configuration of the workload, the monitoring of consumed hardware resources, and the evaluation of requests processed over blockchain networks. The effectiveness and adaptability of MonitorChain were validated through extensive evaluations across various blockchain environments, including public networks like Ethereum, Avalanche, and Fantom, as well as a private network using Hyperledger Fabric, with a consistent data load of 10,000 transactions. Additionally, through interviews with experienced software developers, we gathered feedback that led to further refinements and identified opportunities for future enhancements. The results demonstrated MonitorChain‚Äôs capability to provide critical insights into blockchain applications‚Äô performance, scalability, and efficiency. MonitorChain advances the field compared to existing solutions by offering enhanced support for diverse networks, customizable workloads, and real-time data visualization, contributing significantly to the blockchain monitoring landscape.</t>
  </si>
  <si>
    <t xml:space="preserve">Alagoas Research Foundation (FAPEAL)(grant numbers:E:60030.0000002551/2022); </t>
  </si>
  <si>
    <t>https://ieeexplore.ieee.org/stamp/stamp.jsp?arnumber=10706853</t>
  </si>
  <si>
    <t>Blockchain technology;software development tools;real-time monitoring tools;smart contracts</t>
  </si>
  <si>
    <t>Blockchains;Monitoring;Software;Measurement;Scalability;Real-time systems;Distributed ledger;Smart contracts;Security;Software development management;Real-time systems</t>
  </si>
  <si>
    <t>V. Mafeni; Y. Kim</t>
  </si>
  <si>
    <t>An Automated Edge Computing Approach for IoT Device Registration and Application Deployment</t>
  </si>
  <si>
    <t>10.1109/JSYST.2024.3392290</t>
  </si>
  <si>
    <t>School of Electronic Engineering, Soongsil University, Seoul, South Korea; School of Electronic Engineering, Soongsil University, Seoul, South Korea</t>
  </si>
  <si>
    <t>As the Internet of Things (IoT) evolves rapidly across various industries, the number of IoT protocols and applications is growing with vast number of heterogeneous components and entities. In setups with thousands of IoT devices, manual deployment of applications and device registration become impractical due to their time-consuming and costly nature, as well as the requirement for background knowledge of IoT devices and protocols. Furthermore, IoT devices often have resource constraints that prevent them from running complex software. Therefore, there is a significant need to enhance and optimize edge computing systems for IoT, making them suitable and dynamic for automated IoT device registration and heterogeneous application deployment. In this article, we present an edge-based framework designed to facilitate the automated registration of diverse wireless IoT devices and the deployment of IoT applications. To validate our approach, we use a smart irrigation system enhanced with a containerized machine learning model as a proof of concept. Our evaluation of the implemented prototype demonstrates that our system is scalable and feasible.</t>
  </si>
  <si>
    <t xml:space="preserve">Institute of Information and communications Technology Planning and Evaluation(grant numbers:2020-0-00946); Development of Fast and Automatic Service recovery and Transition software in Hybrid Cloud Environment; MSIT, Korea(grant numbers:IITP-2024-RS-2023-00258649); IITP; </t>
  </si>
  <si>
    <t>https://ieeexplore.ieee.org/stamp/stamp.jsp?arnumber=10518055</t>
  </si>
  <si>
    <t>Automation;edge computing;Internet of Things (IoT);service orchestration;wireless sensors</t>
  </si>
  <si>
    <t>Internet of Things;Edge computing;Cloud computing;Scalability;Wireless communication;Manuals;Wireless sensor networks</t>
  </si>
  <si>
    <t>M. Stojiloviƒá; K. Rasmussen; F. Regazzoni; M. B. Tahoori; R. Tessier</t>
  </si>
  <si>
    <t>A Visionary Look at the Security of Reconfigurable Cloud Computing</t>
  </si>
  <si>
    <t>10.1109/JPROC.2023.3330729</t>
  </si>
  <si>
    <t>School of Computer and Communication Sciences, √âcole Polytechnique F√©d√©rale de Lausanne (EPFL), Lausanne, Switzerlan; Department of Computer Science, University of Oxford, Oxford, U.K.; University of Amsterdam, Amsterdam, The Netherlands; Karlsruhe Institute of Technology, Karlsruhe, Germany; Department of Electrical and Computer Engineering, University of Massachusetts Amherst, Amherst, MA, USA</t>
  </si>
  <si>
    <t>Field-programmable gate arrays (FPGAs) have become critical components in many cloud computing platforms. These devices possess the fine-grained parallelism and specialization needed to accelerate applications ranging from machine learning to networking and signal processing, among many others. Unfortunately, fine-grained programmability also makes FPGAs a security risk. Here, we review the current scope of attacks on cloud FPGAs and their remediation. Many of the FPGA security limitations are enabled by the shared power distribution network in FPGA devices. The simultaneous sharing of FPGAs is a particular concern. Other attacks on the memory, host microprocessor, and input/output channels are also possible. After examining current attacks, we describe trends in cloud architecture and how they are likely to impact possible future attacks. FPGA integration into cloud hypervisors and system software will provide extensive computing opportunities but invite new avenues of attack. We identify a series of system, software, and FPGA architectural changes that will facilitate improved security for cloud FPGAs and the overall systems in which they are located.</t>
  </si>
  <si>
    <t xml:space="preserve">German Research Foundation(grant numbers:DFG TA 782/42-1); NSF(grant numbers:CNS-1902532); </t>
  </si>
  <si>
    <t>https://ieeexplore.ieee.org/stamp/stamp.jsp?arnumber=10323596</t>
  </si>
  <si>
    <t>Cloud computing;denial-of-service (DoS) attack;fault injection;field-programmable gate array (FPGA);secure computing;side-channel attack</t>
  </si>
  <si>
    <t>Field programmable gate arrays;Cloud computing;Servers;Security;Data centers;Central Processing Unit;Switches;Reconfigurable architectures;Denial-of-service attack;Side-channel attacks</t>
  </si>
  <si>
    <t>S. Barrachina-Mu√±oz; F. Rezazadeh; L. Blanco; S. Kukli≈Ñski; E. Zeydan; A. Chawla; L. Zanzi; F. Devoti; V. Vlahodimitropoulou; I. Chochliouros; A. -M. Bosneag; S. Cherrared; L. Vettori; J. Mangues-Bafalluy</t>
  </si>
  <si>
    <t>Empowering Beyond 5G Networks: An Experimental Assessment of Zero-Touch Management and Orchestration</t>
  </si>
  <si>
    <t>10.1109/ACCESS.2024.3510804</t>
  </si>
  <si>
    <t>Centre Tecnol√≤gic de Telecomunicacions de Catalunya (CTTC), Barcelona, Spain; Centre Tecnol√≤gic de Telecomunicacions de Catalunya (CTTC), Barcelona, Spain; Centre Tecnol√≤gic de Telecomunicacions de Catalunya (CTTC), Barcelona, Spain; Orange Polska, Warsaw, Poland; Centre Tecnol√≤gic de Telecomunicacions de Catalunya (CTTC), Barcelona, Spain; Ericsson Ireland, Athlone, Ireland; NEC Laboratories Europe, Heidelberg, Germany; NEC Laboratories Europe, Heidelberg, Germany; Hellenic Telecommunications Organization S.A. (OTE), Athens, Greece; Hellenic Telecommunications Organization S.A. (OTE), Athens, Greece; Ericsson Ireland, Athlone, Ireland; Orange France, Ch√¢tillon, France; Centre Tecnol√≤gic de Telecomunicacions de Catalunya (CTTC), Barcelona, Spain; Centre Tecnol√≤gic de Telecomunicacions de Catalunya (CTTC), Barcelona, Spain</t>
  </si>
  <si>
    <t>Effective zero-touch management and orchestration (ZSM&amp;O) is crucial for scaling network slicing, particularly transitioning toward Beyond 5G (B5G) and 6G networks. This paper empirically validates the network slicing framework developed under the European Union Horizon 2020 MonB5G project. Building on three years of academia-industry collaboration, MonB5G introduces a flexible slicing model featuring umbrella slices that orchestrate modular, specialized slices across multi-domain environments to address next-generation service demands. For the first time, we evaluate its practicality in a 5G cloud-native testbed through a virtual reality (VR) streaming use case, supported by solutions such as federated learning-based CPU forecasting, anomaly detection, and deep reinforcement learning (DRL) for radio access network (RAN) optimization. The paper offers insights from technically demanding experimental tests and highlights challenges and development paths for managing next-generation mobile networks.</t>
  </si>
  <si>
    <t xml:space="preserve">H2020 Distributed management of Network Slices in beyond 5G (MonB5G) Project(grant numbers:871780); Spanish Ministry of Economy and Competitiveness (MINECO)‚ÄìProgram Programa de Universalizaci√≥n de Infraestructuras Digitales para la Cohesi√≥n I+D (UNICO I+D)(grant numbers:TSI-063000-2021-54,TSI-063000-2021-55); ‚Äò‚ÄòERDF‚ÄîA way of making Europe‚Äô‚Äô project; Ministerio de Ciencia e Innovaci√≥n/Agencia Estatal de Investigaci√≥n (MCIN/AEI)/10.13039/501100011033(grant numbers:PID2021-126431OB-I00,MINECO TSI-064100-2022-16,TSI-064100-2023-26); Generalitat de Catalunya(grant numbers:2021 SGR 00770); </t>
  </si>
  <si>
    <t>https://ieeexplore.ieee.org/stamp/stamp.jsp?arnumber=10776956</t>
  </si>
  <si>
    <t>Network slicing;scalability;network management;orchestration;B5G;testbed</t>
  </si>
  <si>
    <t>5G mobile communication;6G mobile communication;Scalability;Monitoring;Resource management;Network slicing;Federated learning;Cloud computing;Automation;Anomaly detection</t>
  </si>
  <si>
    <t>R. Raja</t>
  </si>
  <si>
    <t>Software Architecture for Agricultural Robots: Systems, Requirements, Challenges, Case Studies, and Future Perspectives</t>
  </si>
  <si>
    <t>IEEE Transactions on AgriFood Electronics</t>
  </si>
  <si>
    <t>2771-9529</t>
  </si>
  <si>
    <t>10.1109/TAFE.2024.3366335</t>
  </si>
  <si>
    <t>Donders Centre for Cognition, Department of Artificial Intelligence, Radboud University, Nijmegen, The Netherlands</t>
  </si>
  <si>
    <t>Designing software architectures for autonomous robots for agricultural contexts is a demanding and difficult job due to the requirement to monitor numerous sensors and actuators, as well as autonomous decision-making in unpredictable, unexpected scenarios. Depending on the essential requirements of a robotic device for agricultural usage, robot software architecture is created differently. Since no single software architecture exists for all applications, extensive knowledge of the various software architectures for robots is needed when creating your own robotic architecture or selecting one from a number of existing architectures. As a result, this article provides a comprehensive history of software architecture and its application in the agricultural domain along with a chronology of how software design has evolved over time. We provide several case studies to understand the importance of application of software architecture in agriculture and food industry and how to choose the best architecture for agricultural tasks. Finally, this article discusses the open obstacles and difficulties that must be addressed in order to ensure more advancements in the development of robot architecture for agricultural applications.</t>
  </si>
  <si>
    <t>https://ieeexplore.ieee.org/stamp/stamp.jsp?arnumber=10459067</t>
  </si>
  <si>
    <t>Agricultural robot;food processing;food packaging;harvesting robot;robot programming;software architecture</t>
  </si>
  <si>
    <t>Robot sensing systems;Agricultural robots;Software architecture;Food packaging;Robot programming</t>
  </si>
  <si>
    <t>Z. Li; J. Lou; Z. Tang; J. Guo; T. Wang; W. Jia; W. Zhao</t>
  </si>
  <si>
    <t>Online Layer-Aware Joint Request Scheduling, Container Placement, and Resource Provision in Edge Computing</t>
  </si>
  <si>
    <t>10.1109/TSC.2024.3504237</t>
  </si>
  <si>
    <t>School of Artificial Intelligence, Beijing Normal University, Beijing, China; Department of Computer Science and Engineering, Shanghai Jiao Tong University, Shanghai, China; Institute of Artificial Intelligence and Future Networks, Beijing Normal University, Zhuhai, China; Institute of Artificial Intelligence and Future Networks, Beijing Normal University, Zhuhai, China; Institute of Artificial Intelligence and Future Networks, Beijing Normal University, Zhuhai, China; Institute of Artificial Intelligence and Future Networks, Beijing Normal University, Zhuhai, China; Shenzhen University of Advanced Technology, Shenzhen, China</t>
  </si>
  <si>
    <t>Containers have emerged as a pivotal tool for service deployment in edge computing. Before running the container, an image composed of several layers must exist locally. Recent strategies have utilized layer-sharing in images to reduce deployment delays. However, existing research only focuses on a single aspect of container orchestration, like container placement, neglecting the joint optimization of the entire orchestration process. To fill in such gaps, this article introduces an online strategy that considers layer-aware container orchestration, encompassing request scheduling, container placement, and resource provision. The goal is to reduce costs, adapt to evolving user demands, and adhere to system constraints. We present an online optimization problem that accounts for various real-world factors in orchestration, including container and server expenses. An online algorithm is proposed, integrating a regularization-based approach and stepwise rounding to address this optimization problem efficiently. The regularization approach separates time-dependent container placement and server wake-up costs, requiring only current information and past decisions. The stepwise rounding process generates feasible solutions that meet system constraints, reducing computational costs. Additionally, a competitive ratio proof is provided for the proposed algorithm. Extensive evaluations demonstrate that our approach achieves about 20% performance enhancement compared to baseline algorithms.</t>
  </si>
  <si>
    <t xml:space="preserve">National Natural Science Foundation of China(grant numbers:62272050,62302048); Guangdong Key Lab of AI and Multi-modal Data Processing, United International College(grant numbers:Zhuhai); Department of Education of Guangdong Province; Institute of Artificial Intelligence and Future Networks; Engineering Center of AI and Future Education; Guangdong Provincial Department of Science and Technology, China; Zhuhai Science-Tech Innovation Bureau(grant numbers:2320004002772); Interdisciplinary Intelligence Super Computer Center of Beijing Normal University at Zhuhai; </t>
  </si>
  <si>
    <t>https://ieeexplore.ieee.org/stamp/stamp.jsp?arnumber=10759825</t>
  </si>
  <si>
    <t>Container placement;request scheduling;resource provision;edge computing</t>
  </si>
  <si>
    <t>Containers;Costs;Servers;Processor scheduling;Image edge detection;Edge computing;Scheduling;Optimization;Delays;Artificial intelligence</t>
  </si>
  <si>
    <t>A. H. Kazmi; A. Staffolani; T. Zhang; C. Cabrera; S. Clarke</t>
  </si>
  <si>
    <t>Dynamic Service Placement in Edge Computing: A Comparative Evaluation of Nature-Inspired Algorithms</t>
  </si>
  <si>
    <t>10.1109/ACCESS.2024.3520701</t>
  </si>
  <si>
    <t>School of Computer Science and Statistics, Trinity College Dublin, Dublin 2, Ireland; Department of Computer Science and Engineering, University of Bologna, Bologna, Italy; School of Computer Science and Statistics, Trinity College Dublin, Dublin 2, Ireland; Department of Computer Science and Technology, University of Cambridge, Cambridge, U.K.; School of Computer Science and Statistics, Trinity College Dublin, Dublin 2, Ireland</t>
  </si>
  <si>
    <t>Edge computing has emerged as a promising solution for delivering services that demand low latency, high bandwidth, and stringent privacy requirements in numerous data- and compute-intensive applications, such as those in Smart Cities. Heterogeneity in edge computing resources and diverse application requirements demand adaptive optimization techniques, such as service placement, to conform to changing conditions. A service placement model must optimize the selection of edge nodes for deploying and executing services, thereby improving application QoS and maximizing resource utilization. Numerous optimization techniques for adaptive service placement problem have been proposed in the recent past. However, in most cases, the results have been evaluated in limited scenarios. This paper presents a comprehensive comparative study evaluating representative optimization algorithms applied to the problem of dynamic service placement across various application scenarios. The study covers nature-inspired approaches, including both meta-heuristics and reinforcement learning. Our experimental findings offer valuable insights into the strengths and weaknesses of the selected nature-inspired algorithms for service placement optimization, evaluated for applications with different QoS requirements. In our analysis, the Genetic Algorithm shows superior performance in achieving lower average distance and the average number of servers selected. Particle Swarm Optimization excels in minimizing average waiting time and placement decision time. The Artificial Bee Colony maintains low average latency, whereas the RL Proximal Policy Optimization demonstrates superior performance in terms of balancing the utilization of network resources.</t>
  </si>
  <si>
    <t xml:space="preserve">Taighde √âireann - Research Ireland(grant numbers:13/RC/2077_P2); Research Ireland Centre for Future Networks; VMware by Broadcom; </t>
  </si>
  <si>
    <t>https://ieeexplore.ieee.org/stamp/stamp.jsp?arnumber=10810420</t>
  </si>
  <si>
    <t>Edge computing;dynamic service placement;multi-objective optimization;meta-heuristics;nature-inspired algorithms;service offloading;computational offloading;service scheduling</t>
  </si>
  <si>
    <t>Servers;Cloud computing;Edge computing;Privacy;Quality of service;Microservice architectures;Heuristic algorithms;Metaheuristics;Low latency communication;Computational modeling</t>
  </si>
  <si>
    <t>X. Chen; J. Cao; Y. Sahni; M. Zhang; Z. Liang; L. Yang</t>
  </si>
  <si>
    <t>Mobility-Aware Dependent Task Offloading in Edge Computing: A Digital Twin-Assisted Reinforcement Learning Approach</t>
  </si>
  <si>
    <t>10.1109/TMC.2024.3506221</t>
  </si>
  <si>
    <t>Department of Computing, The Hong Kong Polytechnic University, Hung Hom, Hong Kong, SAR, China; Department of Computing, The Hong Kong Polytechnic University, Hung Hom, Hong Kong, SAR, China; Department of Building Environment and Energy Engineering, Hong Kong Polytechnic University, Hung Hom, Hong Kong, SAR, China; Department of Computing, The Hong Kong Polytechnic University, Hung Hom, Hong Kong, SAR, China; Department of Computing, The Hong Kong Polytechnic University, Hung Hom, Hong Kong, SAR, China; School of Software Engineering, South China University of Technology, Guangzhou, China</t>
  </si>
  <si>
    <t>Collaborative edge computing (CEC) has emerged as a promising paradigm, enabling edge nodes to collaborate and execute tasks from end devices. Task offloading is a fundamental problem in CEC that decides when and where tasks are executed upon the arrival of tasks. However, the mobility of users often results in unstable connections, leading to network failures and resource underutilization. Existing works have not adequately addressed joint mobility-aware dependent task offloading and network flow scheduling, resulting in network congestion and suboptimal performance. To address this, we formulate an online joint mobility-aware dependent task offloading and bandwidth allocation problem, to improve the quality of service by reducing task completion time and energy consumption. We introduce a Mobility-aware Digital Twin-assisted Deep Reinforcement Learning (MDT-DRL) algorithm. Our digital twin model equips the reinforcement learning process by providing future states of mobile users, enabling efficient offloading plans for adapting to the mobile CEC system. Experimental results on real-world and synthetic datasets show that MDT-DRL surpasses state-of-the-art baselines on average task completion time and energy consumption.</t>
  </si>
  <si>
    <t xml:space="preserve">Research Institute for Artificial Intelligence of Things; Hong Kong Polytechnic University; Hong Kong (HK) Research Grant Council; Theme-based Research Scheme(grant numbers:T43-513/23-N); National Natural Science Foundation of China(grant numbers:CRS_PolyU501/23); </t>
  </si>
  <si>
    <t>https://ieeexplore.ieee.org/stamp/stamp.jsp?arnumber=10767295</t>
  </si>
  <si>
    <t>Collaborative edge computing;deep reinforcement learning;digital twin;mobility;task offloading</t>
  </si>
  <si>
    <t>Digital twins;Internet of Things;Edge computing;Vehicle dynamics;Dynamic scheduling;Processor scheduling;Real-time systems;Energy consumption;Mobile computing;Job shop scheduling</t>
  </si>
  <si>
    <t>S. Nambi; P. Thanapal</t>
  </si>
  <si>
    <t>EMO-TS: An Enhanced Multi-Objective Optimization Algorithm for Energy-Efficient Task Scheduling in Cloud Data Centers</t>
  </si>
  <si>
    <t>10.1109/ACCESS.2025.3527031</t>
  </si>
  <si>
    <t>School of Computer Science Engineering and Information Systems, Vellore Institute of Technology, Vellore, India; School of Computer Science Engineering and Information Systems, Vellore Institute of Technology, Vellore, India</t>
  </si>
  <si>
    <t>The rapid expansion of cloud data centers, driven by the increasing demand for diverse user services, has escalated energy consumption and greenhouse gas emissions, posed severe environmental risks, and increased operational costs. Addressing these challenges requires innovative solutions for optimizing resource allocation without compromising service quality. This paper presents the Enhanced Multi-Objective Optimization Algorithm for Task Scheduling (EMO-TS). This novel approach integrates Deep Reinforcement Learning (DRL) and Enhanced Electric Fish Optimization (EEFO) to create an adaptive, dynamic, and energy-efficient scheduling framework. The primary objective of EMO-TS is to significantly reduce the energy consumption of cloud data centers while maintaining high levels of resource utilization, time efficiency, and service quality. Through the hybrid methodology of DRL and EEFO, EMO-TS dynamically adjusts task scheduling based on real-time workloads and operational conditions, effectively minimizing power consumption without sacrificing system performance. Additionally, EMO-TS introduces improvements in makespan and task execution, ensuring timely completion and optimal resource use. A comprehensive set of experiments and simulations demonstrates the practical implications of EMO-TS‚Äôs results. EMO-TS outperforms traditional scheduling approaches, reducing energy consumption by up to 25% and decreasing makespan by 15%. These results underscore the algorithm‚Äôs potential to address cloud service providers‚Äô economic and environmental concerns, offering a practical solution for green cloud computing initiatives. Furthermore, the integration of renewable energy sources within the EMO-TS framework shows potential for further reducing the carbon footprint of cloud operations, aligning with global sustainability goals.</t>
  </si>
  <si>
    <t>https://ieeexplore.ieee.org/stamp/stamp.jsp?arnumber=10833625</t>
  </si>
  <si>
    <t>Cloud data centers;deep reinforcement learning;electric fish optimization;energy efficiency;makespan;task scheduling</t>
  </si>
  <si>
    <t>Cloud computing;Data centers;Processor scheduling;Resource management;Dynamic scheduling;Energy consumption;Heuristic algorithms;Energy efficiency;Real-time systems;Scalability</t>
  </si>
  <si>
    <t>F. Mou; J. Lou; Z. Tang; Y. Wu; W. Jia; Y. Zhang; W. Zhao</t>
  </si>
  <si>
    <t>Adaptive Digital Twin Migration in Vehicular Edge Computing and Networks</t>
  </si>
  <si>
    <t>10.1109/TVT.2024.3492349</t>
  </si>
  <si>
    <t>Hong Kong Baptist University, Kowloon Tong, Hong Kong; Department of Computer Science and Engineering, Shanghai Jiao Tong University, Shanghai, China; Institute of Artificial Intelligence and Future Networks, Beijing Normal University, Zhuhai, China; State Key Lab of IoT for Smart City, University of Macau, SAR Macau, China; Institute of Artificial Intelligence and Future Networks, Beijing Normal University, Zhuhai, China; Department of Informatics, University of Oslo, Oslo, Norway; Shenzhen University of Advanced Technology, Shenzhen, China</t>
  </si>
  <si>
    <t>The surge in mobile vehicles and data traffic in Vehicular Edge Computing and Networks (VECONs) requires innovative approaches for low latency, stable connectivity, and efficient resource usage in fast-moving vehicles. Existing studies have identified that utilizing digital twins (DTs) can effectively improve service quality in VECONs. However, it still faces substantial challenges posed by large-scale complex DT communications in sustaining real-time collaborative endeavors. In particular, within the dynamic VECONs, the decision regarding DT migration plays a pivotal role in sustaining the quality of services. In this paper, we propose an adaptive DT migration (ADM) algorithm to minimize the overall migration costs when DTs deliver services. Specifically, 1) We formulate ADM as a combinatorial optimization problem in VECONs, comprehensively considering communication latency and migration latency under complex DT communications, vehicular mobilities, and dynamic states of edges; 2) An ADM algorithm based on off-policy actor-critic reinforcement learning is proposed to make migration decisions. Moreover, the ADM agent employs warm-up policies to address exploration challenges in sparse state spaces; 3) Simulations based on real-world, large-scale urban vehicular mobility datasets demonstrate that our method outperforms existing algorithms by approximately 39% on average, and it can achieve results close to the optimal.</t>
  </si>
  <si>
    <t xml:space="preserve">National Natural Science Foundation of China(grant numbers:62272050,62302048); Science and Technology Development Fund of Macau SAR(grant numbers:0158/2022/A); Guangdong Key Lab of AI and Multi-modal Data Processing, United International College (UIC), Zhuhai(grant numbers:2023-2024); Department of Education of Guangdong Province; Institute of Artificial Intelligence and Future Networks; Engineering Center of AI and Future Education, Guangdong Provincial Department of Science and Technology, China; Zhuhai Science-Tech Innovation Bureau(grant numbers:2320004002772); Interdisciplinary Intelligence Super Computer Center of Beijing Normal University at Zhuhai; </t>
  </si>
  <si>
    <t>https://ieeexplore.ieee.org/stamp/stamp.jsp?arnumber=10746337</t>
  </si>
  <si>
    <t>Digital twin;migration;vehicular edge computing;deep reinforcement learning</t>
  </si>
  <si>
    <t>Vehicle dynamics;Real-time systems;Heuristic algorithms;Costs;Feature extraction;Edge computing;Approximation algorithms;Adaptive systems;Servers;Training</t>
  </si>
  <si>
    <t>J. Arin; G. Velez; P. Bustamante</t>
  </si>
  <si>
    <t>A C-ITS Architecture for MEC and Cloud Native Back-End Services</t>
  </si>
  <si>
    <t>10.1109/ACCESS.2024.3397467</t>
  </si>
  <si>
    <t>Fundaci√≥n Vicomtech, Basque Research and Technology Alliance (BRTA), Donostia-San Sebastian, Spain; Fundaci√≥n Vicomtech, Basque Research and Technology Alliance (BRTA), Donostia-San Sebastian, Spain; Tecnun, Universidad de Navarra, Donostia-San Sebastian, Spain</t>
  </si>
  <si>
    <t>Advances in connectivity and computing infrastructure facilitate the introduction of innovative Cooperative Intelligent Transport Systems (C-ITS) services. However, meeting the requirements of these highly demanding services calls for novel computing architectures that handle extensive device connections, minimize latency, and support multiple resource-intensive services concurrently. To overcome these challenges, this work presents an architecture that comprises three layers: 1) on-board unit (OBU) mainly as a data producer; 2) intermediate edge layer where low-latency backend services can be deployed; and 3) cloud layer for non-real-time backend services. The OBU software stack implements the ETSI C-ITS standard and supports multicast over the cellular network. The edge layer includes an in-memory database, and the cloud layer a persistent database. Each layer has its own Application Programming Interface (API) for data consumption. We conducted several experiments to demonstrate the feasibility of our proposed system that ensures scalability and interconnection between vehicles, edge and cloud servers. We also assess the delay caused by each of the elements of the architecture, and we discuss the potential solutions for the identified issues.</t>
  </si>
  <si>
    <t xml:space="preserve">European Union‚Äôs Horizon 2020 Research and Innovation Program through the Project Monetizing car &amp; mobility data for new Entrants, Technologies and Actors (5GMETA)(grant numbers:957360); </t>
  </si>
  <si>
    <t>https://ieeexplore.ieee.org/stamp/stamp.jsp?arnumber=10521473</t>
  </si>
  <si>
    <t>V2X;C-V2X;5G;MEC;cloud;C-ITS</t>
  </si>
  <si>
    <t>Standards;Computer architecture;Long Term Evolution;Ad hoc networks;Cloud computing;Databases;Low latency communication;Multiaccess communication;Edge computing</t>
  </si>
  <si>
    <t>J. Xie; M. Yu; G. Liu</t>
  </si>
  <si>
    <t>Fusing Algorithms for Intersection of Computer Science and Art: Innovations in Generative Art and Interactive Digital Installations</t>
  </si>
  <si>
    <t>10.1109/ACCESS.2024.3488398</t>
  </si>
  <si>
    <t>School of Arts, Anyang Normal University, Anyang, Henan, China; School of Chinese Language and Literature, Anyang Normal University, Anyang, Henan, China; School of Computer and Information Engineering, Fuyang Normal University, Anhui, Fuyang, China</t>
  </si>
  <si>
    <t>This article investigates the integration of Variational Autoencoders (VAEs) and Particle Swarm Optimization (PSO) in the realm of generative art and interactive digital installations. The study focuses on how these advanced algorithms can enhance artistic expression and interactivity, providing novel approaches for generating and optimizing art. Key innovations include the application of VAEs to create diverse and complex art forms, coupled with PSO to fine-tune these generative processes. The research demonstrates that VAEs significantly improve the aesthetic quality and variety of generated artworks, achieving an average aesthetic score of 8.3 out of 10. Integrating PSO further optimizes these results, enhancing the quality of outputs with a final score of 9.0. The study also reveals that this combination improves user engagement and satisfaction, with interactive installations utilizing VAE + PSO achieving a satisfaction score of 9.0, compared to 7.0 for traditional methods. The findings highlight the transformative impact of these algorithms on art generation, showing that while computational resources and time are higher, the artistic and interactive benefits are substantial. This research underscores the potential of combining deep learning and optimization techniques to push the boundaries of digital creativity and offers new perspectives for artists and designers. The article concludes that the synergy of VAEs and PSO represents a significant advancement in generative art and interactive installations, opening new avenues for future exploration and development in the field.</t>
  </si>
  <si>
    <t>https://ieeexplore.ieee.org/stamp/stamp.jsp?arnumber=10738802</t>
  </si>
  <si>
    <t>Variational autoencoders (VAEs);particle swarm optimization (PSO);generative art;interactive digital installations;artistic expression;deep learning algorithms;algorithmic creativity</t>
  </si>
  <si>
    <t>Art;Heuristic algorithms;Sensors;Creativity;Accuracy;Visualization;Software algorithms;Real-time systems;Tuning;Technological innovation;Particle swarm optimization;Deep learning</t>
  </si>
  <si>
    <t>A. Setijadi Prihatmanto; A. Sukoco; A. Budiyono; D. Tresnawati; N. Lestari; H. Teja Sukmana; U. Atiah; S. Wahyuni; W. Ratnawati; K. Abimanyu Munastha</t>
  </si>
  <si>
    <t>Architecture Transformation: Integrating Smart Systems for Intelligent Agent-Based Service Management in Smart Organizations</t>
  </si>
  <si>
    <t>10.1109/ACCESS.2024.3456845</t>
  </si>
  <si>
    <t>Research Center for Information Communication Technology, Institut Teknologi Bandung, Bandung, Indonesia; Computer Science Faculty, Universitas Bandar Lampung, Bandar Lampung, Indonesia; Indonesia Center for Technology Empowerment, CAP Solutions, Bandung, Indonesia; Institut Teknologi Garut, Garut, Indonesia; Faculty of Engineering, Universitas Sangga Buana, Bandung, Indonesia; Faculty of Science and Technology, UIN Jakarta, Jakarta, Indonesia; Neuro Engineering Study Group, Labuang Baji General Hospital, Makassar, South Sulawesi, Indonesia; Neuro Engineering Study Group, Makassar City General Hospital, Makassar, South Sulawesi, Indonesia; Neuro Engineering Study Group, Tenriawaru General Hospital, Bone, South of Sulawesi, Indonesia; Faculty of Engineering, Universitas Sangga Buana, Bandung, Indonesia</t>
  </si>
  <si>
    <t>In the pursuit of organizational goals, addressing the fundamental needs of employees, such as ensuring the availability of drinking water, plays a pivotal role in fostering a productive, healthy, and value-aligned work environment. This imperative necessitates the implementation of intelligent service management solutions that are both efficient and intelligent. In this research, we propose a visionary architectural transformation that seamlessly integrates intelligent agent-based smart systems within the domain of Smart Organizations. Our novel architectural approach draws inspiration from Activity Theory, strategically orchestrating interactions between employees, company objectives, and tools. Additionally, we employ a meticulously crafted 4-layer organizational system structure to delineate roles, establish rules, foster communities, and optimize task allocation. This forward- looking architecture is further fortified through the integration of cutting-edge technologies, encompassing the Internet of Things (IoT) with precision dispensing scales for real-time predictive capabilities, human-computer interaction (HCI) mobile applications and web services to enhance user-system engagement, and pervasive artificial intelligence (AI) implementations across every layer of the system. The architectural framework is consolidated within a robust Big Data platform, enabling the collection and comprehensive analysis of data on a grand scale. This multifaceted approach seeks to usher in profound and all-encompassing changes in the management of drinking water supply services, encompassing organizational paradigms, technological advancements, and methodological enhancements to enhance efficiency and effectiveness. The focus of this transformation is primarily directed toward companies involved in supply activities, with particular emphasis on drinking water provisioning. Through the development of predictive system prototypes and meticulous performance analysis, our study conclusively demonstrates that the Smart System-based prediction architecture significantly enhances operational performance and elevates the quality of drinking water supply services.</t>
  </si>
  <si>
    <t>https://ieeexplore.ieee.org/stamp/stamp.jsp?arnumber=10670395</t>
  </si>
  <si>
    <t>Architectural transformation;smart system;service management;smart organization</t>
  </si>
  <si>
    <t>Artificial intelligence;Neural engineering;Big Data;Regulation;Real-time systems;Intelligent systems;Organizational aspects;Service-oriented architecture;Internet of Things;Resource management;Human computer interaction;Water resources;Intelligent sensors;Agent-based modeling</t>
  </si>
  <si>
    <t>M. S. Roopa; K. R. Venugopal</t>
  </si>
  <si>
    <t>Digital Twins for Cyber-Physical Healthcare Systems: Architecture, Requirements, Systematic Analysis, and Future Prospects</t>
  </si>
  <si>
    <t>10.1109/ACCESS.2025.3547991</t>
  </si>
  <si>
    <t>Department of Computer Science and Engineering, Nitte Meenakshi Institute of Technology, Bengaluru, India; Department of Computer Science and Engineering, UVCE, Bangalore University, Bengaluru, India</t>
  </si>
  <si>
    <t>Over the past few years, the demand for personalized and accurate healthcare solutions has significantly increased, aiming to enhance medical effectiveness. Digital Twins (DTs), a transformative technology in the evolution of Industry 4.0, have expanded their applications from traditional fields like manufacturing and automotive industries to revolutionizing healthcare. DTs offer a more advanced and precise method of healthcare delivery, enabling better patient-specific care by creating real-time digital replicas of patients‚Äô health conditions. Despite these advancements, healthcare professionals still heavily rely on their expertise to make critical decisions, highlighting the importance of continuous refinement of knowledge and skills to navigate complex healthcare challenges. Personalized treatments and comprehensive healthcare support remain essential for optimizing patient outcomes, though they are still in the early phases of development. This paper introduces a reference architecture specifically designed for Digital Twins in cyber-physical healthcare systems, outlining the key requirements and challenges in developing digital frameworks for such systems. It explores the fundamental principles of Digital Twins in healthcare, focusing on their applications in product design, production processes, and system performance. It also provides a detailed review of current research on healthcare data management, personalized healthcare, and operational efficiency, along with the associated requirements, challenges, and application scenarios. Furthermore, the paper discusses major obstacles and outlines potential future research directions, offering a roadmap to advance healthcare data management, personalized medicine, and operational control within Digital Twin frameworks.</t>
  </si>
  <si>
    <t>https://ieeexplore.ieee.org/stamp/stamp.jsp?arnumber=10910158</t>
  </si>
  <si>
    <t>Cyber physical healthcare systems;healthcare;digital twins;DTs-CPHS;healthcare data management;operational efficiency;personalized healthcare</t>
  </si>
  <si>
    <t>Medical services;Digital twins;Reviews;Medical diagnostic imaging;Real-time systems;Surveys;Computer architecture;System performance;Production;Precision medicine</t>
  </si>
  <si>
    <t>Z. Wang; H. Li; L. Sun; S. Rosenkrantz; H. Che; H. Jiang</t>
  </si>
  <si>
    <t>A Tail Latency SLO Guaranteed Task Scheduling Scheme for User-Facing Services</t>
  </si>
  <si>
    <t>10.1109/TPDS.2025.3542638</t>
  </si>
  <si>
    <t>Department of Computer Science and Engineering, The University of Texas at Arlington, Arlington, TX, USA; Department of Computer Science and Engineering, The University of Texas at Arlington, Arlington, TX, USA; Department of Computer Science and Engineering, The University of Texas at Arlington, Arlington, TX, USA; Department of Computer Science and Engineering, The University of Texas at Arlington, Arlington, TX, USA; Department of Computer Science and Engineering, The University of Texas at Arlington, Arlington, TX, USA; Department of Computer Science and Engineering, The University of Texas at Arlington, Arlington, TX, USA</t>
  </si>
  <si>
    <t>A primary design objective for user-facing services for cloud and edge computing is to maximize query throughput, while meeting query tail latency Service Level Objectives (SLOs) for individual queries. Unfortunately, the existing solutions fall short of achieving this design objective, which we argue, is largely attributed to the fact that they fail to take the query fanout explicitly into account. In this paper, we propose TailGuard based on a Tail-latency-SLO-and-Fanout-aware Earliest-Deadline-First Queuing policy (TF-EDFQ) for task queuing at individual task servers the query tasks are fanned out to. With the task pre-dequeuing time deadline for each task being derived based on both query tail latency SLO and query fanout, TailGuard takes an important first step towards achieving the design objective. A query admission control scheme is also developed to provide tail latency SLO guarantee in the presence of resource shortages. TailGuard is evaluated against First-In-First-Out (FIFO) task queuing, task PRIority Queuing (PRIQ) and Tail-latency-SLO-aware EDFQ (T-EDFQ) policies by both simulation and testing in the Amazon EC2 cloud. It is driven by three types of applications in the Tailbench benchmark suite, featuring web search, in-memory key-value store, and transactional database applications. The results demonstrate that TailGuard can significantly improve resource utilization (e.g., up to 80% compared to FIFO), while also meeting the targeted tail latency SLOs, as compared with the other three policies. TailGuard is also implemented and tested in a highly heterogeneous Sensing-$a$as-a-Service (SaS) testbed for a data sensing service, demonstrating performance gains of up to 33% . These results are consistent with both the simulation and Amazon EC2 results.</t>
  </si>
  <si>
    <t xml:space="preserve">National Science Foundation(grant numbers:CCF SHF-2008835,CCF-SHF2226117); </t>
  </si>
  <si>
    <t>https://ieeexplore.ieee.org/stamp/stamp.jsp?arnumber=10891045</t>
  </si>
  <si>
    <t>Task scheduling;resource management;tail latency SLO;user-facing service</t>
  </si>
  <si>
    <t>Tail;Servers;Resource management;Sensors;Cloud computing;Web search;Time factors;Throughput;Crowdsensing;Admission control</t>
  </si>
  <si>
    <t>D. Gana; F. Jamil</t>
  </si>
  <si>
    <t>DAG-Based Swarm Learning Approach in Healthcare: A Survey</t>
  </si>
  <si>
    <t>10.1109/ACCESS.2025.3531216</t>
  </si>
  <si>
    <t>Department of Computer Science, University of Huddersfield, Huddersfield, U.K.; Department of Computer Science, University of Huddersfield, Huddersfield, U.K.</t>
  </si>
  <si>
    <t>Healthcare systems are advancing at a rapid pace as a result of new technologies to address several issues in the sector such as shortage of skilled health workers and to deal with new diseases like COVID-19. Incorporating technologies like blockchain, federated learning, swarm learning, and Directed Acyclic Graphs is transforming healthcare. This article thoroughly examines recent progress and uses at the intersection of these technologies within the healthcare field. Blockchain‚Äôs innovative consensus mechanisms and secure data flow systems offer encouraging solutions to crucial issues in healthcare data management and security. Also, federated learning has been deployed in various ways to tackle healthcare challenges enabling collaborative data analysis while upholding patient confidentiality. Swarm learning algorithms have been notably effective in healthcare, enriching medical diagnostics, disease prognosis, and precision medicine. Solutions based on Directed Acyclic Graphs present scalable and effective alternative to traditional blockchain frameworks, providing improved consensus speed and decreased bottlenecks in transaction processing. These advancements signify a shift in direction towards fully decentralised and secure healthcare systems. This paper highlights the transformative impact of these technologies on medical diagnostics, disease prediction, and precision medicine.</t>
  </si>
  <si>
    <t xml:space="preserve">University of Huddersfield, Huddersfield, U.K; </t>
  </si>
  <si>
    <t>https://ieeexplore.ieee.org/stamp/stamp.jsp?arnumber=10844296</t>
  </si>
  <si>
    <t>Blockchain;directed acyclic graph;federated learning;IoT;privacy;scalability;smart healthcare;swarm learning</t>
  </si>
  <si>
    <t>Medical services;Blockchains;Diseases;Federated learning;Internet of Things;Security;Accuracy;Surveys;Prediction algorithms;Machine learning algorithms</t>
  </si>
  <si>
    <t>I. Abouzid; Y. K. Bekali; R. Saidi</t>
  </si>
  <si>
    <t>Modelling IoT Behaviour in Supply Chain Business Processes with BPMN: A Systematic Literature Review</t>
  </si>
  <si>
    <t>10.13052/jicts2245-800X.1035</t>
  </si>
  <si>
    <t>SI2M Laboratory, National Institute of Statistics and Applied Economics, Rabat, Morocco; LRIT, Faculty of Sciences, Mohammed V University in Rabat, Morocco; SI2M Laboratory, National Institute of Statistics and Applied Economics, Rabat, Morocco</t>
  </si>
  <si>
    <t>The Internet of Things (IoT) enables to connect physical world to digital processes, allowing real-world data to be fed into business processes. This revolution helps in the making of more informed business decisions as well as the automation and/or improvement of business processes tasks. The successful integration of IoT into business operations is required to realize these benefits. Supporting the modelling of IoT-enhanced business proccesess is the first step toward this goal. Despite the fact that numerous papers studied this topic, it is unclear what the current state of the art is in terms of modelling solutions and gaps. We conduct a systematic literature review in this work to determine how current solutions model IoT into business operations, and whether the standard Business Process Model and Notation (BPMN) has emerged as the de facto standard for business process modelling [20], [26]). The Object Management Group (OMG) developed BPMN, which is now an ISO standard BPMN is already enough for a full modelling of IoT integration, or the extensions are needed. We found and analysed the several existing alternative solutions after reviewing all the literature on this issue. Furthermore, we discuss some key aspects of the planned additions that should be addressed in the near future, such as the absence of standardization.</t>
  </si>
  <si>
    <t>https://ieeexplore.ieee.org/stamp/stamp.jsp?arnumber=10255414</t>
  </si>
  <si>
    <t>Systematic literature review;business process modelling;BPMN;IoT;BPMN extensions;process execution;supply chain</t>
  </si>
  <si>
    <t>Surveys;Analytical models;Systematics;Runtime;Bibliographies;Supply chains;Internet of Things</t>
  </si>
  <si>
    <t>T. Salam; W. Ur Rehman; I. Ud Din; A. Almogren; M. Mohammed Al Ezzi Sufyan; Kainat; M. Yasar Khan; A. Altameem</t>
  </si>
  <si>
    <t>Cooperative Dew Computing for Computational Offloading in Healthcare Monitoring</t>
  </si>
  <si>
    <t>10.1109/ACCESS.2024.3498911</t>
  </si>
  <si>
    <t>Department of Computer Science, Shaheed Benazir Bhutto Women University (SBBWU), Peshawar, Pakistan; Department of Computer Science, University of Peshawar, Peshawar, Pakistan; Department of Information Technology, The University of Haripur, Haripur, Pakistan; Department of Computer Science, Chair of Cyber Security, College of Computer and Information Sciences, King Saud University, Riyadh, Saudi Arabia; Department of Computer Science, University of Peshawar, Peshawar, Pakistan; Department of Computer Science, Shaheed Benazir Bhutto Women University (SBBWU), Peshawar, Pakistan; SFI-Funded E-Governance Unit, Insight Centre for Data Analytics, University of Galway, Galway, Ireland; Department of Natural and Engineering Sciences, College of Applied Studies and Community Services, King Saud University, Riyadh, Saudi Arabia</t>
  </si>
  <si>
    <t>In modern healthcare monitoring, wearable sensors play a crucial role in collecting patient data, especially for individuals with disabilities. However, analyzing this data presents significant challenges, such as high energy consumption, latency, and task allocation inefficiencies. Healthcare monitoring systems face computational demands due to the processing of data from wearable sensors, which are constrained by limited resources and often affected by connectivity issues for data offloading. To address these challenges, this paper proposes a Cooperative Dew-Computing for Healthcare (CCH) framework, which integrates wearable sensors and dew devices within a cloud-fog-dew infrastructure. The CCH framework ensures efficient task distribution and computational offloading by selecting appropriate anchor devices using probabilistic and fuzzy logic techniques, taking into account energy efficiency and computational capabilities. Cooperative communication among anchor devices enables efficient task management, allowing tasks to be offloaded or distributed among multiple anchor devices. The proposed framework enhances healthcare monitoring systems by improving computational efficiency, optimizing resource utilization, and mitigating connectivity issues. This is particularly beneficial for disabled patients who rely on continuous monitoring and efficient data processing. Our evaluations demonstrate that the CCH framework outperforms existing techniques in terms of energy efficiency, latency, and task delay reduction, underscoring its effectiveness in providing timely and efficient data processing for healthcare monitoring systems.</t>
  </si>
  <si>
    <t xml:space="preserve">King Salman Center for Disability Research through Research Group(grant numbers:KSRG-2023-449); </t>
  </si>
  <si>
    <t>https://ieeexplore.ieee.org/stamp/stamp.jsp?arnumber=10753614</t>
  </si>
  <si>
    <t>Dew computing;cooperative communication;healthcare monitoring;disability;computational offloading;Internet of Medical Things</t>
  </si>
  <si>
    <t>Energy consumption;Medical services;Data processing;Energy efficiency;Computational efficiency;Delays;Resource management;Dew computing;Monitoring;Wearable sensors</t>
  </si>
  <si>
    <t>A. Alzahrani; M. Tang</t>
  </si>
  <si>
    <t>Energy-Aware Microservice-Based SaaS Deployment in a Cloud Data Center Using Hybrid Particle Swarm Optimization</t>
  </si>
  <si>
    <t>10.1109/ACCESS.2024.3462894</t>
  </si>
  <si>
    <t>School of Computer Science, Faculty of Science, Queensland University of Technology, Brisbane, QLD, Australia; School of Computer Science, Faculty of Science, Queensland University of Technology, Brisbane, QLD, Australia</t>
  </si>
  <si>
    <t>The deployment of software as a service (SaaS) using a microservice architecture offers several benefits, including scalability, flexibility, and ease of maintenance. One of the most important advantages of the new microservice-based SaaS deployment is that the increase in energy consumption incurred by the deployment of a new microservice-based SaaS can be considered. With the aim of reducing the increase in energy consumption, this paper proposes a new method, namely Hybrid Particle Swarm Optimization (HPSO), to solve the microservice-based SaaS deployment problem. The HPSO incorporates adaptive inertia weight, cognitive, and social parameters to balance the trade-off between exploration and exploitation during the optimization process. Furthermore, the HPSO incorporates a local optimizer to improve the best global solution within the swarm, with a specific emphasis on improving energy efficiency. To evaluate the performance of the HPSO, we have implemented it and compared it with a GA method by experiment. The experimental results have shown that the HPSO can further reduce the increase in energy consumption by 3.68% compared to GA.</t>
  </si>
  <si>
    <t xml:space="preserve">Saudi Cultural Mission and Prince Sattam Bin Abdulaziz University, Saudi Arabia; </t>
  </si>
  <si>
    <t>https://ieeexplore.ieee.org/stamp/stamp.jsp?arnumber=10683711</t>
  </si>
  <si>
    <t>Cloud computing;data center;deployment;energy consumption;hybrid particle swarm optimization;microservice;optimization;software as a service</t>
  </si>
  <si>
    <t>Microservice architectures;Data centers;Software as a service;Genetic algorithms;Energy consumption;Cloud computing;Servers;Particle swarm optimization</t>
  </si>
  <si>
    <t>J. Yang; K. Yang; X. Dai; Z. Xiao; H. Jiang; F. Zeng; B. Li</t>
  </si>
  <si>
    <t>Service-Aware Computation Offloading for Parallel Tasks in VEC Networks</t>
  </si>
  <si>
    <t>10.1109/JIOT.2024.3476476</t>
  </si>
  <si>
    <t>College of Computer Science and Electronic Engineering and the Chongqing Research Institute, Hunan University, Changsha, China; College of Computer Science and Electronic Engineering and the Chongqing Research Institute, Hunan University, Changsha, China; College of Computer Science and Electronic Engineering and the Chongqing Research Institute, Hunan University, Changsha, China; College of Computer Science and Electronic Engineering and the Chongqing Research Institute, Hunan University, Changsha, China; College of Computer Science and Electronic Engineering and the Chongqing Research Institute, Hunan University, Changsha, China; College of Computer Science and Electronic Engineering and the Chongqing Research Institute, Hunan University, Changsha, China; Department of Computer Science and Engineering, Hong Kong University of Science and Technology, Hong Kong, China</t>
  </si>
  <si>
    <t>Vehicular edge computing (VEC) emerges as a promising paradigm for processing computing-intensive parallel vehicular tasks, where vehicular tasks can be offloaded to the edge nodes [e.g., roadside units (RSUs)] to seek less computing delay. Considering the impact of computation services on offloading efficiency, there are several works that jointly study the decision making of task offloading and service caching. However, the existing works fail to consider the time-varying service requests and ignore the time-slots correlation of the computation services. To bridge the gap, this work designs a service-aware parallel task offloading approach, which is the first work to jointly explore time-varying computation services and task offloading based on real-world vehicular trajectory data in VEC networks. Specifically, we first propose a computation service prediction algorithm using the real-world vehicular trajectory data. Guided by this, RSUs flexibly precache computation services. Then, we propose a learning-based parallel task offloading algorithm, which allows vehicles to make offloading decisions based on the history of the edge selections. Furthermore, we conduct simulations to validate the proposed algorithm. The results demonstrate that the proposed algorithm reduces task delay by 45%, 58%, and 55% compared to the algorithms without service-aware computation offloading under various CPU cycles, task numbers, and time slots.</t>
  </si>
  <si>
    <t xml:space="preserve">National Key Research and Development Program of China(grant numbers:2023YFB3001805); Key Program of the National Natural Science Foundation of China(grant numbers:62232007,62272152); Special Key Projects for Technological Innovation and Application Development of Chongqing(grant numbers:CSTB2022TIAD-DEX0016); Key Research and Development Program of Hunan Province(grant numbers:2024AQ2032); Cultivation Project of Yuelu Mountain Industrial Innovation Center(grant numbers:2023YCII0123); Natural Science Foundation Project of Chongqing(grant numbers:cstc2021jcyj-msxm4115,CSTB2024NSCQ-MSX0920); </t>
  </si>
  <si>
    <t>https://ieeexplore.ieee.org/stamp/stamp.jsp?arnumber=10710330</t>
  </si>
  <si>
    <t>Computation offloading;online learning;service caching;service prediction;vehicular edge computing (VEC)</t>
  </si>
  <si>
    <t>Delays;Prediction algorithms;Heuristic algorithms;Computational modeling;Servers;Computational efficiency;Resource management;Edge computing;Trajectory;Energy consumption</t>
  </si>
  <si>
    <t>K. C. Okafor; K. Anoh; T. I. Chinebu; B. Adebisi; G. A. Chukwudebe</t>
  </si>
  <si>
    <t>Mitigating COVID-19 Spread in Closed Populations Using Networked Robots and Internet of Things</t>
  </si>
  <si>
    <t>10.1109/JIOT.2024.3431874</t>
  </si>
  <si>
    <t>Manchester Metropolitan University, Manchester, U.K.; Electrical and Electronic Engineering Department, University of Chichester, Bognor Regis, U.K.; Department of Applied Science, Federal University of Allied Health Sciences, Enugu, Nigeria; Manchester Metropolitan University, Manchester, U.K.; Electrical and Electronic Engineering Department, Federal University of Technology, Owerri, Nigeria</t>
  </si>
  <si>
    <t>Infectious diseases like coronavirus disease 2019 (COVID-19) have remained a primary public and global health concern. Internet of Things (IoT) of networked robots and physiological intervention can be combined to identify and control the spread of the different variants of COVID-19 disease. With this approach, governments and healthcare institutions can plan for such diseases in the future. This article presents a compact computational model (CCM) to identify and control different COVID-19 variants using IoT-networked robots. The CCM comprises seven physiological variables (PVs) and robotic identification (RI) of infected individuals as alternative intervention strategies. This study uses Market Place Service Robots that correctly identify PV and RI for positively infected individuals. The conditions of the existence and the solution of the deterministic model are derived from a compact flow architecture that we develop. We show that the model has COVID-19-free equilibrium and endemic equilibrium. While PV with appropriate isolation and hospital treatment reduces the COVID-19 disease impact by 19% more than RI alone, this study also shows that combining two PV with RI minimizes the impact better than PV or RI alone, by 36% and 43%, respectively. When the PV control parameters are increased, up to 5, in the presence of IoT and RI, up to 99.99% improvement is seen. With all seven PV control parameters in the presence of IoT and RI, the proposed CCM guarantees an infection-free population.</t>
  </si>
  <si>
    <t xml:space="preserve">IEEE HAC/SIGHT‚ÄîFocus on COVID-19 Response and Pressing Community Need(grant numbers:21-Cov2-185); Tetfund Nigeria Program on Resilient AI and Smart Systems(grant numbers:TETF/ES/UNIV/IMO STATE/TSAS/2021); </t>
  </si>
  <si>
    <t>https://ieeexplore.ieee.org/stamp/stamp.jsp?arnumber=10606015</t>
  </si>
  <si>
    <t>Computational complexity;computational intelligence;coronavirus disease 2019 (COVID-19) infection;global vaccination;Internet of Things (IoT);market place service robot (MPSR);smart health infrastructure</t>
  </si>
  <si>
    <t>COVID-19;Statistics;Diseases;Computational modeling;Internet of Things;Computational complexity;Computational intelligence;Vaccines;Smart healthcare;Medical robotics</t>
  </si>
  <si>
    <t>F. S. Samani; R. Stadler</t>
  </si>
  <si>
    <t>A Framework for Dynamically Meeting Performance Objectives on a Service Mesh</t>
  </si>
  <si>
    <t>10.1109/TNSM.2024.3434328</t>
  </si>
  <si>
    <t>Department of Computer Science, KTH Royal Institute of Technology, Stockholm, Sweden; Department of Computer Science, KTH Royal Institute of Technology, Stockholm, Sweden</t>
  </si>
  <si>
    <t>We present a framework for achieving end-to-end management objectives for multiple services that concurrently execute on a service mesh. We apply reinforcement learning (RL) techniques to train an agent that periodically performs control actions to reallocate resources. We develop and evaluate the framework using a laboratory testbed where we run information and computing services on a service mesh, supported by the Istio and Kubernetes platforms. We investigate different management objectives that include end-to-end delay bounds on service requests, throughput objectives, cost-related objectives, and service differentiation. Our framework supports the design of a control agent for a given management objective. The management objective is defined first and then mapped onto available control actions. Several types of control actions can be executed simultaneously, which allows for efficient resource utilization. Second, the framework separates the learning of the system model and the operating region from the learning of the control policy. By first learning the system model and the operating region from testbed traces, we can instantiate a simulator and train the agent for different management objectives. Third, the use of a simulator shortens the training time by orders of magnitude compared with training the agent on the testbed. We evaluate the learned policies on the testbed and show the effectiveness of our approach in several scenarios. In one scenario, we design a controller that achieves the management objectives with 50% less system resources than Kubernetes HPA autoscaling.</t>
  </si>
  <si>
    <t xml:space="preserve">Swedish Governmental Agency for Innovation Systems, VINNOVA, through project ANIARA; </t>
  </si>
  <si>
    <t>https://ieeexplore.ieee.org/stamp/stamp.jsp?arnumber=10612769</t>
  </si>
  <si>
    <t>Performance management;adaptive resource allocation;microservice;reinforcement learning;operating region</t>
  </si>
  <si>
    <t>Microservice architectures;Measurement;Training;Reinforcement learning;Delays;Resource management;Throughput</t>
  </si>
  <si>
    <t>T. Azad; M. A. H. Newton; J. Trevathan; A. Sattar</t>
  </si>
  <si>
    <t>Hierarchical Decentralized Edge Interoperability</t>
  </si>
  <si>
    <t>10.1109/JIOT.2023.3340298</t>
  </si>
  <si>
    <t>School of Information and Communication Technology, Griffith University, Nathan, QLD, Australia; Institute for Integrated and Intelligent Systems, Griffith University, Nathan, QLD, Australia; School of Information and Communication Technology and the Institute for Integrated and Intelligent Systems, Griffith University, Nathan, QLD, Australia; School of Information and Communication Technology and the Institute for Integrated and Intelligent Systems, Griffith University, Nathan, QLD, Australia</t>
  </si>
  <si>
    <t>The Internet of Things (IoT) has many important applications in multiple domains that include home automation, smart cities, healthcare, agriculture, and environment. IoT comprises a wide range of sensors and actuators that communicate with each other over cloud, fog, and edge level networks. Moreover, these devices use various communication protocols and are made by different manufactures. To deal with these diversities, IoT essentially needs interoperable communication interfaces among devices. Unfortunately, existing interoperability solutions are centralized and use fog or cloud level computing resources, making IoT communications latency-prone and poorly scalable. These issues could be handled effectively, if edge level devices could be made interoperable within the edge level and without needing fog or cloud level access. This article proposes a decentralized interoperability solution that stays fully within the edge level. The solution relies on controller devices that work on the interface boundaries of the edge devices. Unlike existing solutions, the proposed solution adopts a hierarchical interoperability model to handle interoperability at network, syntactical, semantic, and organizational levels. Our solution is nonproprietary, generic over vendors and platforms, and easily extendable to new devices. We compare our proposed solution with existing interoperability solutions for edge devices and show its mobility, efficiency, and flexibility.</t>
  </si>
  <si>
    <t>https://ieeexplore.ieee.org/stamp/stamp.jsp?arnumber=10347477</t>
  </si>
  <si>
    <t>Edge devices;Internet of Things (IoT);network interoperability;organizational interoperability;semantic interoperability;syntactic interoperability</t>
  </si>
  <si>
    <t>Interoperability;Internet of Things;Cloud computing;Sensors;Protocols;Semantics;Actuators</t>
  </si>
  <si>
    <t>V. Sundaravarathan; H. Alqalaf; A. Siddiqui; K. Kim; S. Lee; M. Reisslein; A. S. Thyagaturu; N. Ross; J. Howard; S. Tayal</t>
  </si>
  <si>
    <t>Cross-Domain Solutions (CDS): A Comprehensive Survey</t>
  </si>
  <si>
    <t>10.1109/ACCESS.2024.3483659</t>
  </si>
  <si>
    <t>School of Electrical, Computer and Energy Engineering, Arizona State University, Tempe, AZ, USA; School of Electrical, Computer and Energy Engineering, Arizona State University, Tempe, AZ, USA; College of Computer and Information Sciences, Prince Sultan University, Riyadh, Saudi Arabia; School of Electrical, Computer and Energy Engineering, Arizona State University, Tempe, AZ, USA; Hyundai Transys, Mesa, AZ, USA; School of Electrical, Computer and Energy Engineering, Arizona State University, Tempe, AZ, USA; Network and Edge Group, Intel Corporation, Chandler, AZ, USA; Network and Edge Group, Intel Corporation, Chandler, AZ, USA; Extreme Scale Computing Group, Intel Corporation, Hillsboro, OR, USA; Extreme Scale Computing Group, Intel Corporation, Hillsboro, OR, USA</t>
  </si>
  <si>
    <t>A domain is commonly defined as a set of system resources, e.g., computers, to which certain users have prescribed access rights as governed by some security policies. The access (viewing) and transfer of data between distinct domains facilitates a wide range of information technology applications. A Cross-Domain Solution (CDS) can provide the security mechanisms that are required to properly restrict the access and exchange of sensitive information between different domains. This article provides a comprehensive up-to-date survey of CDS. This survey is organized according to a CDS taxonomy with access, transfer, and Multi-Level Security (MLS) as the main CDS categories. An access solution helps a client to view the data present in a server (which is in a different domain, other than the client‚Äôs domain); thus an access solution effectively provides isolation between domains by allowing data access (without data transfer capabilities) between these domains. A transfer solution secures the transfer of data between domains to avoid leaks of data to unauthorized entities. Thereby, a transfer solution effectively connects domains in either a unidirectional or bidirectional manner. An MLS solution handles data with multiple levels of security (sensitivity of the data), such as top-secret, secret, or unclassified data. Aside from the fundamental conceptual approaches from the existing CDS research, this survey gives a comprehensive overview of the existing commercial CDS products. We identify the limitations of the existing CDS concepts and products and outline directions for future research and development to address these limitations and advance the overall CDS research area.</t>
  </si>
  <si>
    <t xml:space="preserve">Defense Advanced Research Projects Agency (DARPA) to Intel Corp; Department of Defense or the US Government; </t>
  </si>
  <si>
    <t>https://ieeexplore.ieee.org/stamp/stamp.jsp?arnumber=10721459</t>
  </si>
  <si>
    <t>Access;data diode;cross-domain solution (CDS);multi level security (MLS);transfer</t>
  </si>
  <si>
    <t>Security;Hardware;Wireless communication;Surveys;Privacy;Military computing;Buildings;Wireless sensor networks;Testing</t>
  </si>
  <si>
    <t>S. Javed; C. Paniagua; I. Javed; J. van Deventer; J. Delsing</t>
  </si>
  <si>
    <t>Run-Time Value Chain Analysis and Cost Accounting via Microservices in Agile Manufacturing</t>
  </si>
  <si>
    <t>10.1109/OJIES.2025.3532664</t>
  </si>
  <si>
    <t>Department of Computer Science, Electrical and Space Engineering, Lulea University of Technology, Lulea, Sweden; Department of Computer Science, Electrical and Space Engineering, Lulea University of Technology, Lulea, Sweden; Independent Researcher, Dubai, UAE; Department of Computer Science, Electrical and Space Engineering, Lulea University of Technology, Lulea, Sweden; Department of Computer Science, Electrical and Space Engineering, Lulea University of Technology, Lulea, Sweden</t>
  </si>
  <si>
    <t>The rapid evolution of manufacturing processes driven by Industry 4.0 demands systems capable of quickly adapting to dynamic market conditions and evolving customer needs. Agile manufacturing emphasizes flexibility, adaptability, and real-time responsiveness, posing challenges in run-time value chain analysis (VCA), including cost flows and production times. This article presents a novel two-stage VCA approach using an activity-based costing mechanism via microservices to address these challenges. The VCA system enables real-time cost accounting and decision-making, supporting both pre and postproduction VCA, contrasting with traditional methods that rely on historical data. The first stage involves top‚Äìdown cost calculations from resources to microservices. In contrast, the second focuses on constructing efficient manufacturing activities based on product requirements, allowing for granular analysis of costs and production times across microservices, activities, broader business processes, and finally, cost objects (e.g., customized products, batches of products, or customer invoices). The approach is validated through a proof-of-concept implementation of the VCA system integrated with the Eclipse Arrowhead framework and simulating Fischertechnik indexed line milling, drilling, and conveying operations. The results demonstrate the effectiveness of the proposed method in providing detailed insights into costs and production times, enhancing the efficiency and competitiveness of agile manufacturers.</t>
  </si>
  <si>
    <t xml:space="preserve">European Commission and Arrowhead flexible Production Value Network; Electronic Components and Systems for European Leadership(grant numbers:101111977); AI-REDGIO5.0(grant numbers:101092069); </t>
  </si>
  <si>
    <t>https://ieeexplore.ieee.org/stamp/stamp.jsp?arnumber=10849611</t>
  </si>
  <si>
    <t>Activity-based costing (ABC);agile manufacturing;eclipse arrowhead framework;Industry 4.0 (I4.0);real-time cost accounting and decision-making</t>
  </si>
  <si>
    <t>Microservice architectures;Agile manufacturing;Costs;Production;Real-time systems;Manufacturing;Cost accounting;Industrial electronics;Decision making;Resource management</t>
  </si>
  <si>
    <t>K. Katsaros; I. Mavromatis; K. Antonakoglou; S. Ghosh; D. Kaleshi; T. Mahmoodi; H. Asgari; A. Karousos; I. Tavakkolnia; H. Safi; H. Hass; C. Vrontos; A. Emami; J. Marcelo Parra-Ullauri; S. Moazzeni; D. Simeonidou</t>
  </si>
  <si>
    <t>AI-Native Multi-Access Future Networks‚ÄîThe REASON Architecture</t>
  </si>
  <si>
    <t>10.1109/ACCESS.2024.3507186</t>
  </si>
  <si>
    <t>Digital Catapult, London, U.K.; Digital Catapult, London, U.K.; Digital Catapult, London, U.K.; Digital Catapult, London, U.K.; Digital Catapult, London, U.K.; Department of Engineering, King‚Äôs College London, Strand Campus, London, U.K.; Thales Research and Technology, Reading, U.K.; Real Wireless, Pulborough, U.K.; Department of Engineering, University of Cambridge, Cambridge, U.K.; Department of Engineering, University of Cambridge, Cambridge, U.K.; Department of Engineering, University of Cambridge, Cambridge, U.K.; Faculty of Engineering, University of Bristol, Bristol, U.K.; Faculty of Engineering, University of Bristol, Bristol, U.K.; Faculty of Engineering, University of Bristol, Bristol, U.K.; Faculty of Engineering, University of Bristol, Bristol, U.K.; Faculty of Engineering, University of Bristol, Bristol, U.K.</t>
  </si>
  <si>
    <t>The development of the sixth generation of communication networks (6G) has been gaining momentum over the past years, with a target of being introduced by 2030. Several initiatives worldwide are developing innovative solutions and setting the direction for the key features of these networks. Some common emerging themes are the tight integration of AI, the convergence of multiple access technologies and sustainable operation, aiming to meet stringent performance and societal requirements. To that end, we are introducing REASON - Realising Enabling Architectures and Solutions for Open Networks. The REASON project aims to address technical challenges in future network deployments, such as E2E service orchestration, sustainability, security and trust management, and policy management, utilising AI-native principles, considering multiple access technologies and cloud-native solutions. This paper presents REASON‚Äôs architecture and the identified requirements for future networks. The architecture is meticulously designed for modularity, interoperability, scalability, simplified troubleshooting, flexibility, and enhanced security, taking into consideration current and future standardisation efforts, and the ease of implementation and training. It is structured into four horizontal layers: Physical Infrastructure, Network Service, Knowledge, and End-User Application, complemented by two vertical layers: Management and Orchestration, and E2E Security. This layered approach ensures a robust, adaptable framework to support the diverse and evolving requirements of 6G networks, fostering innovation and facilitating seamless integration of advanced technologies.</t>
  </si>
  <si>
    <t xml:space="preserve">Project REASON, a U.K. Government funded project under the Future Open Networks Research Challenge (FONRC) sponsored by the Department of Science Innovation and Technology (DSIT); </t>
  </si>
  <si>
    <t>https://ieeexplore.ieee.org/stamp/stamp.jsp?arnumber=10769448</t>
  </si>
  <si>
    <t>Future networks;6G;AI/ML;open networks;reference architecture;native AI</t>
  </si>
  <si>
    <t>6G mobile communication;Ethics;Artificial intelligence;5G mobile communication;Real-time systems;Energy efficiency;Sustainable development;Security;Resilience;Interoperability</t>
  </si>
  <si>
    <t>K. Subramaniam; S. Kumar; A. Mishra; A. Bhandari; J. Manja Ppallan; G. Chandrasekaran</t>
  </si>
  <si>
    <t>PEaF-Production Environment Analyzer Framework: Assisting Continuous Deployment of 5G Workloads Using AI/ML</t>
  </si>
  <si>
    <t>10.1109/ACCESS.2024.3472498</t>
  </si>
  <si>
    <t>Samsung Electronics Research and Development, Bengaluru, India; Samsung Electronics Research and Development, Bengaluru, India; Samsung Electronics Research and Development, Bengaluru, India; Samsung Electronics Research and Development, Bengaluru, India; Samsung Electronics Research and Development, Bengaluru, India; Samsung Electronics Research and Development, Bengaluru, India</t>
  </si>
  <si>
    <t>A Production Environment Analyzer Framework (PEaF) is proposed to address the limitations of the Continuous Deployment (CD) process for 5G workflow lifecycle management. By integrating an AI/ML-based PEaF into the CD pipeline, we aim to ensure reliable deployments. PEaF uses AI/ML techniques to analyze the production environment and predict the health status of the hardware components. It collects raw data, applies K-Means clustering to group similar data points, and assigns scores to each cluster. These scores serve as features for training Support Vector Machine (SVM) and Random Forest (RF) classifiers to classify hardware health status. Experimental results show that PEaF achieves high classification accuracies of 97.26% and 96.44% for SVM and RF, respectively, with clustering. By analyzing the production environment and excluding deteriorating hardware from the CD, service failures are reduced by at least 27.04%. Moreover, PEaF decreases the polling frequency of hardware status by 48.7%, enhancing operational efficiency. Overall, PEaF contributes to advancing Continuous Integration/Continuous Deployment (CI/CD) practices in the 5G ecosystem, ensuring the reliability and stability of the production environment before deploying/upgrading services.</t>
  </si>
  <si>
    <t>https://ieeexplore.ieee.org/stamp/stamp.jsp?arnumber=10703063</t>
  </si>
  <si>
    <t>5G;AI/ML;CI/CD;classification;feature selection;K-means clustering;random forest;regression;support vector machine</t>
  </si>
  <si>
    <t>Hardware;5G mobile communication;Pipelines;Clustering methods;Production;Communications technology;DevOps;Random forests;Telecommunication network reliability;Support vector machines;Classification algorithms</t>
  </si>
  <si>
    <t>Y. He; Y. Zhang; C. Wu; M. Yang; W. Xu; H. Wan; Z. Chen</t>
  </si>
  <si>
    <t>Architecture Design and Application of IIoT Platform in Automobile Manufacturing Based on Microservices and Deep Learning Techniques</t>
  </si>
  <si>
    <t>10.1109/ACCESS.2024.3487832</t>
  </si>
  <si>
    <t>School of Mechanical and Automotive Engineering, South China University of Technology, Guangzhou, China; Guangzhou MINO Equipment Company Ltd., Guangzhou, China; Guangzhou MINO Equipment Company Ltd., Guangzhou, China; Guangzhou MINO Equipment Company Ltd., Guangzhou, China; School of Mechanical and Automotive Engineering, South China University of Technology, Guangzhou, China; School of Mechanical and Automotive Engineering, South China University of Technology, Guangzhou, China; State Key Laboratory of Precision Electronic Manufacturing Technology and Equipment, Guangdong University of Technology, Guangzhou, China</t>
  </si>
  <si>
    <t>An Internet of Things (IoT) platform is a software architecture that enables the connection, management, and analysis of IoT devices, sensors, and data. It provides a centralized system for IoT devices to interact with each other and with the cloud, facilitating the collection, processing, and analysis of data from these devices. However, in the automotive manufacturing industry, traditional Internet of Things (IoT) platforms are facing challenges such as bottleneck issues due to business volume growth and system challenges. To address these challenges, we propose a design methodology for an IoT platform based on microservices. The platform‚Äôs modules are divided into front end, database, security, and operation maintenance architecture, all effectively designed. Through practical applications, the platform enables interconnections between different information systems, production status monitoring, efficiency management, performance evaluation, energy consumption analysis, quality detection, and equipment asset evaluation. Finally, a data-driven deep learning algorithm, named Long Short-Term Memory Neural Network (LSTM) is developed for the state recognition of the industrial robot based on the Intelligent data services platform, which validate the effectiveness of the constructed IoT platforms. This platform offers advantages in extendibility, reusability, and provides methods for upgrading, expanding functions, and maintaining industrial IoT platforms in the discrete manufacturing industry.</t>
  </si>
  <si>
    <t xml:space="preserve">National Natural Science Foundation of China(grant numbers:52205101); Basic and Applied Basic Research Foundation of Guangdong Province(grant numbers:2021A1515110708,2023A1515240021); Young Talent Support Project of Guangzhou Association for Science and Technology(grant numbers:QT-2024-28); </t>
  </si>
  <si>
    <t>https://ieeexplore.ieee.org/stamp/stamp.jsp?arnumber=10737327</t>
  </si>
  <si>
    <t>Automobile manufacturing;IoT platform;microservices;deep learning;long short-term memory recurrent neural network (LSTM);state recognition</t>
  </si>
  <si>
    <t>Microservice architectures;Industrial Internet of Things;Computer architecture;Maintenance;Manufacturing;Business;Security;Databases;Monitoring;Automotive engineering;Long short term memory</t>
  </si>
  <si>
    <t>W. Zheng; Z. Chen; K. Zheng; W. Zheng; Y. Chen; X. Fan</t>
  </si>
  <si>
    <t>WorkloadDiff: Conditional Denoising Diffusion Probabilistic Models for Cloud Workload Prediction</t>
  </si>
  <si>
    <t>10.1109/TCC.2024.3461649</t>
  </si>
  <si>
    <t>School of Computer Science, South China Normal University, Guangzhou, China; School of Computer Science, South China Normal University, Guangzhou, China; School of Computer Science, South China Normal University, Guangzhou, China; School of Computer Science, South China Normal University, Guangzhou, China; School of Computer Science, South China Normal University, Guangzhou, China; College of Big Data and Internet, Shenzhen Technology University, Shenzhen, China</t>
  </si>
  <si>
    <t>Accurate workload forecasting plays a crucial role in optimizing resource allocation, enhancing performance, and reducing energy consumption in cloud data centers. Deep learning-based methods have emerged as the dominant approach in this field, exhibiting exceptional performance. However, most existing methods lack the ability to quantify confidence, limiting their practical decision-making utility. To address this limitation, we propose a novel denoising diffusion probabilistic model (DDPM)-based method, termed WorkloadDiff, for multivariate probabilistic workload prediction. WorkloadDiff leverages both original and noisy signals from input conditions using a two-path neural network. Additionally, we introduce a multi-scale feature extraction method and an adaptive fusion approach to capture diverse temporal patterns within the workload. To enhance consistency between conditions and predicted values, we incorporate a resampling strategy into the inference of WorkloadDiff. Extensive experiments conducted on four public datasets demonstrate the superior performance of WorkloadDiff over all baseline models, establishing it as a robust tool for resource management in cloud data centers.</t>
  </si>
  <si>
    <t xml:space="preserve">National Key R&amp;D Program of China(grant numbers:2019YFB1804003); National Natural Science Foundation of China(grant numbers:42071399); Natural Science Foundation of Top Talent of SZTU(grant numbers:GDRC202318); </t>
  </si>
  <si>
    <t>https://ieeexplore.ieee.org/stamp/stamp.jsp?arnumber=10681248</t>
  </si>
  <si>
    <t>Cloud workload prediction;diffusion models;resource management;resampling</t>
  </si>
  <si>
    <t>Predictive models;Cloud computing;Diffusion models;Time series analysis;Data models;Hidden Markov models;Forecasting</t>
  </si>
  <si>
    <t>I. Eroshkin; L. Vojtech; M. Neruda</t>
  </si>
  <si>
    <t>Fractal-Based N-Environment Multiagent IoT System Reliability</t>
  </si>
  <si>
    <t>10.1109/JIOT.2024.3398406</t>
  </si>
  <si>
    <t>Department of Telecommunication Engineering, Faculty of Electrical Engineering, Czech Technical University in Prague, Prague, Czech Republic; Department of Telecommunication Engineering, Faculty of Electrical Engineering, Czech Technical University in Prague, Prague, Czech Republic; Department of Telecommunication Engineering, Faculty of Electrical Engineering, Czech Technical University in Prague, Prague, Czech Republic</t>
  </si>
  <si>
    <t>The tremendous growth of Internet of Things (IoT) systems and the popularity of distributed systems, which were brought back into fashion by containerization, create new challenges for system maintenance. Each IoT-specific service is characterized by a specific domain, or environment, making the maintenance of distributed IoT systems with dozens of agents a challenging task. This article proposes a fractal-based mathematical model, called the fractal multiagent IoT system (FMAIS), for scalable multiagent systems (e.g., cloud-native services, wide-scale IoT services). A reliability estimation model called the multienvironment enhanced real-time customer-oriented reliability estimation (ME-ERT-CORE) model is proposed as a method for estimating the reliability of a multiagent IoT system, where each agent can be specified by its own domain-specific environment (e.g., healthcare, logistics, smart factories, etc.). An estimation of the time complexity of the FMAIS is performed, and a model called ME-ERT-CORE for estimating its reliability is formulated. The results show that the FMAIS can be used for real-time simulations of system behavior and ME-ERT-CORE can be used for the real-time estimation of its reliability, monitoring purposes, and, for instance, Quality-of-Service (QoS) descriptions based on service level agreement (SLA) requirements. The conducted measurements show that the reliability of the FMAIS with four layers and 96 applications, where each application deploys 96 instances, can be computed in 8.022 ms. With the proposed optimization method, the reliability for the same FMAIS can be computed in 0.219 ms, which is 36 times faster than the ME-ERT-CORE reliability evaluation based on the definition. An FMAIS with the aforementioned parameters can be simulated in 84.300 ms.</t>
  </si>
  <si>
    <t xml:space="preserve">ƒåesk√© Vysok√© Uƒçen√≠ Technick√© v Praze(grant numbers:SGS24/139/OHK3/3T/13); </t>
  </si>
  <si>
    <t>https://ieeexplore.ieee.org/stamp/stamp.jsp?arnumber=10525061</t>
  </si>
  <si>
    <t>Fractal;Internet of Things (IoT);mathematical model;multiagent systems (MASs);multienvironment (ME);real-time systems;reliability estimation;unified reliability</t>
  </si>
  <si>
    <t>Reliability;Internet of Things;Fractals;Mathematical models;Estimation;Real-time systems;Reliability theory</t>
  </si>
  <si>
    <t>M. Karim; M. A. Rahman; M. Atiquzzaman</t>
  </si>
  <si>
    <t>Hybrid Medium Access Control Strategy for Internet-of-Things-Enabled Intravehicular Health Monitoring System</t>
  </si>
  <si>
    <t>10.1109/JIOT.2024.3483228</t>
  </si>
  <si>
    <t>Faculty of Computing, University Malaysia Pahang, Kuantan, Malaysia; School of Engineering, Computing and Mathematical Sciences, University of Wolverhampton, Wolverhampton, U.K.; School of Computer Science, University of Oklahoma, Norman, OK, USA</t>
  </si>
  <si>
    <t>The increasing importance of intravehicular health monitoring systems (IVHMSs) necessitates robust communication protocols within vehicles, especially with the integration of the Internet of Things (IoT). This integration presents challenges in enhancing vehicle health monitoring efficiency due to the constrained space for numerous sensing devices, leading to scalability and performance issues. Existing medium access control (MAC) schemes often result in congestion, decreased throughput, and increased delays. This study proposes a scalable hybrid MAC strategy to improve throughput and reduce congestion in IVHMS. The approach features a two-phase communication model‚Äînonemergency and emergency phases‚Äîfor scalability. Our hybrid MAC strategy combines a history-based approach for emergency communication and a priority-based approach for nonemergency Communication. A Markov chain model evaluates the expected throughput and delay of the proposed MAC strategy, with numerical analysis validating the approach. Results show the hybrid MAC achieves a 66.7% throughput improvement over the history-based strategy and a 16.7% improvement over the priority-based approach while effectively reducing data collisions and delays. Furthermore, the hybrid MAC demonstrates an 8.3% increase in throughput compared to a previously proposed distributed hybrid MAC. Implementing this hybrid MAC in industrial-scale vehicular health monitoring can enhance vehicle safety, benefiting manufacturers and passengers alike.</t>
  </si>
  <si>
    <t xml:space="preserve">University of Wolverhampton, UK, University of Oklahoma, USA; UK-Saudi Challenge Fund 2024 by British Council; </t>
  </si>
  <si>
    <t>https://ieeexplore.ieee.org/stamp/stamp.jsp?arnumber=10735082</t>
  </si>
  <si>
    <t>History-based medium access control (MAC);hybrid MAC;Internet of Things (IoT);Markov chain;priority-based MAC;vehicular health monitoring</t>
  </si>
  <si>
    <t>Media Access Control;Throughput;Delays;Monitoring;Internet of Things;Scalability;Analytical models;Protocols;Sensors;IEEE 802.15 Standard</t>
  </si>
  <si>
    <t>P. Martinez-Julia; V. P. Kafle; H. Asaeda</t>
  </si>
  <si>
    <t>Application of Category Theory to Network Service Fault Detection</t>
  </si>
  <si>
    <t>10.1109/OJCOMS.2024.3425831</t>
  </si>
  <si>
    <t>Network Architecture Laboratory, Network Research Institute, National Institute of Information and Communications Technology, Tokyo, Japan; Network Architecture Laboratory, Network Research Institute, National Institute of Information and Communications Technology, Tokyo, Japan; Network Architecture Laboratory, Network Research Institute, National Institute of Information and Communications Technology, Tokyo, Japan</t>
  </si>
  <si>
    <t>Network automation has become crucial in supporting services in 6G networks. This mainly derives from the complexity of the composition of numerous distributed virtual network functions (VNFs) in creating highly flexible virtual network services. Therefore, a network service automation system is a key technology enabler for 6G. However, the added complexity renders network service automation systems particularly sensitive to faults, some of which cause network outages that harm the smooth operation of basic societal services. Current state-of-the-art (SotA) solutions for fault detection can barely detect hidden faults. Herein, we propose a mechanism for automated network service analysis (ANSA), which constructs and analyzes a digital twin of a network service. The digital twin represents the available information about the network service based on category theory. It uses the properties of category theory to perform an analysis through which the faults of the network service are identified. We evaluate a prototype of a network service automation system that incorporates ANSA to demonstrate 1) the benefits of using digital twins for analyzing network services, 2) the benefits of using category theory for constructing digital twins of the network services, and 3) the resulting improvements in fault detection. Overall, ANSA can detect an average of 94% of the faults present in a network service. In comparison, previous SotA solutions can detect only 30%‚Äì50% of all faults.</t>
  </si>
  <si>
    <t>https://ieeexplore.ieee.org/stamp/stamp.jsp?arnumber=10592034</t>
  </si>
  <si>
    <t>Network automation;fault detection;category theory</t>
  </si>
  <si>
    <t>Fault detection;Automation;Proposals;Digital twins;Monitoring;Data models;6G mobile communication</t>
  </si>
  <si>
    <t>R. Poorzare; D. N. Kanellopoulos; V. K. Sharma; P. Dalapati; O. P. Waldhorst</t>
  </si>
  <si>
    <t>Network Digital Twin Toward Networking, Telecommunications, and Traffic Engineering: A Survey</t>
  </si>
  <si>
    <t>10.1109/ACCESS.2025.3531947</t>
  </si>
  <si>
    <t>Institute of Data-Centric Software Systems (IDSS), Karlsruhe University of Applied Sciences, Karlsruhe, Germany; Department of Mathematics, University of Patras, Patras, Greece; Department of Computer Science and Engineering, The LNM Institute of Information Technology, Jaipur, India; Department of Computer Science and Engineering, The LNM Institute of Information Technology, Jaipur, India; Institute of Data-Centric Software Systems (IDSS), Karlsruhe University of Applied Sciences, Karlsruhe, Germany</t>
  </si>
  <si>
    <t>Network Digital Twin (NDT) is an evolving technology that provides a framework through which a network administrator can have a virtual representation of a computer network. As a result, analysis, monitoring, testing, running new protocols, and more can be performed using the NDT before the final deployment of the developed approach. In this way, the consequences of direct deployment and the negative impact on network operations can be avoided. Telecommunications, along with traffic engineering as one of its critical components, play a prominent role across various networking domains, including Internet service providers, data centers, cellular networks, intelligent transportation systems, and smart cities. In this context, NDT has the potential to serve as a key enabler for optimizing these domains by providing a digital framework, which can facilitate the evaluation and enhancement of different scenarios. Accordingly, this paper presents a comprehensive survey on how NDT can facilitate advancements in network traffic engineering across a wide range of networking domains. First, we start with an in-depth analysis of the evolution of the network digital twin technology and provide a comparison with simulation tools. Next, we examine the role of NDT in various networking and telecommunication domains. We also explore the applicability of NDT technology from a traffic engineering perspective across different network types. Subsequently, we highlight key open research questions and potential future directions that warrant further investigation. Finally, we conclude by outlining the promising future trajectory of NDT within the aforementioned domains.</t>
  </si>
  <si>
    <t xml:space="preserve">Ministry of Science, Research, and the Arts Baden-W√ºrttemberg (MWK)(grant numbers:bwNET2.0); </t>
  </si>
  <si>
    <t>https://ieeexplore.ieee.org/stamp/stamp.jsp?arnumber=10847826</t>
  </si>
  <si>
    <t>Digital twin;network digital twin;telecommunications;traffic engineering;traffic optimization</t>
  </si>
  <si>
    <t>Telecommunications;Data models;Digital twins;Telecommunication traffic;Surveys;Routing;Industrial Internet of Things;Big Data;Testing;Standardization</t>
  </si>
  <si>
    <t>R. Khelifi; B. Nini; M. Berkane</t>
  </si>
  <si>
    <t>Enhanced Classification System for Real-Time Embedded Vision Applications</t>
  </si>
  <si>
    <t>10.1109/ACCESS.2024.3489476</t>
  </si>
  <si>
    <t>Research Laboratory on Computer Science‚Äôs Complex Systems (ReLa(CS)2), University of Oum El Bouaghi, Oum El Bouaghi, Algeria; Research Laboratory on Computer Science‚Äôs Complex Systems (ReLa(CS)2), University of Oum El Bouaghi, Oum El Bouaghi, Algeria; Artificial Intelligence and Autonomous Things Laboratory, University of Oum El Bouaghi, Oum El Bouaghi, Algeria</t>
  </si>
  <si>
    <t>Embedded computer vision systems are increasingly being adopted across various domains, playing a pivotal role in enabling advanced technologies such as autonomous vehicles and industrial automation. Their cost-effectiveness, compact size, and portability make them particularly well-suited for diverse implementations and operations. In real-time scenarios, these systems must process visual data with minimal latency, which is crucial for immediate decision-making. However, these solutions continue to face significant challenges related to computational efficiency, memory usage, and accuracy. This research addresses these challenges by enhancing classification methodologies, specifically in Gray Level Co-occurrence Matrix (GLCM) feature extraction and Support Vector Machine (SVM) classifiers. To maintain a high level of accuracy while preserving performance, a smaller feature set is selected following a comprehensive complexity analysis and is further refined through Correlation-based Feature Selection (CFS). The proposed method achieves an overall classification accuracy of 84.76% with a feature set reduced by 79.2%, resulting in a 72.45% decrease in processing time, a 50% reduction in storage requirements, and up to a 77.8% decrease in memory demand during prediction. These improvements demonstrate the effectiveness of the proposed approach in improving the adaptability and capabilities of embedded vision systems (EVS), optimizing their performance under the constraints of real-time limited-resource environments.</t>
  </si>
  <si>
    <t xml:space="preserve">Research Laboratory on Computer Science‚Äôs Complex Systems (ReLa(CS)2), University of Oum El Bouaghi, Oum El Bouaghi, Algeria; </t>
  </si>
  <si>
    <t>https://ieeexplore.ieee.org/stamp/stamp.jsp?arnumber=10740277</t>
  </si>
  <si>
    <t>Embedded computer vision;limited resource systems;machine learning;pattern classification;real-time image processing</t>
  </si>
  <si>
    <t>Accuracy;Support vector machines;Real-time systems;Feature extraction;Memory management;Computer vision;Surveillance;Bandwidth;Wildlife;Machine learning;Image processing</t>
  </si>
  <si>
    <t>C. Bernardeschi; A. Domenici; A. Fagiolini; M. Palmieri</t>
  </si>
  <si>
    <t>Design and Validation of Cyber-Physical Systems Through Co-Simulation: The Voronoi Tessellation Use Case</t>
  </si>
  <si>
    <t>10.1109/ACCESS.2023.3347494</t>
  </si>
  <si>
    <t>Department of Information Engineering, University of Pisa, Pisa, Italy; Department of Information Engineering, University of Pisa, Pisa, Italy; Department of Engineering, MIRPALab.it, University of Palermo, Palermo, Italy; Department of Information Engineering, University of Pisa, Pisa, Italy</t>
  </si>
  <si>
    <t>This paper reports on the use of co-simulation techniques to build prototypes of co-operative autonomous robotic cyber-physical systems. Designing such systems involves a mission-specific planner algorithm, a control algorithm to drive an agent performing its task; and the plant model to simulate the agent dynamics. An application aimed at positioning a swarm of unmanned aerial vehicles (drones) in a bounded area, exploiting a Voronoi tessellation algorithm developed in this work, is taken as a case study. The paper shows how co-simulation allows testing the complex system at the design phase using models created with different languages and tools. The paper then reports on how the adopted co-simulation platform enables control parameters calibration, by exploiting design space exploration technology. The INTO-CPS co-simulation platform, compliant with the Functional Mock-up Interface standard to exchange dynamic simulation models using various languages, was used in this work. The different software modules were written in Modelica, C, and Python. In particular, the latter was used to implement an original variant of the Voronoi algorithm to tesselate a convex polygonal region, by means of dummy points added at appropriate positions outside the bounding polygon. A key contribution of this case study is that it demonstrates how an accurate simulation of a cooperative drone swarm requires modeling the physical plant together with the high-level coordination algorithm. The coupling of co-simulation and design space exploration has been demonstrated to support control parameter calibration to optimize energy consumption and convergence time to the target positions of the drone swarm. From a practical point of view, this makes it possible to test the ability of the swarm to self-deploy in space in order to achieve optimal detection coverage and allow unmanned aerial vehicles in a swarm to coordinate with each other.</t>
  </si>
  <si>
    <t xml:space="preserve">Italian Ministry of Education and Research (MIUR) in the framework of the FoReLab project (Departments of Excellence); Italian Ministry of Education and Research (MIUR) in the framework of the CrossLab project (Departments of Excellence); European Union through the Next Generation EU(grant numbers:ECS00000017); ‚ÄòEcosistema dell‚ÄôInnovazione‚Äô Tuscany Health Ecosystem (THE), Piano Nazionale di Ripresa e Resilienza (PNRR), Spoke 3: Advanced technologies, methods and materials for human health and well-being; </t>
  </si>
  <si>
    <t>https://ieeexplore.ieee.org/stamp/stamp.jsp?arnumber=10374084</t>
  </si>
  <si>
    <t>Cyber-physical systems;co-simulation;unmanned aerial vehicles;space coverage;Voronoi tessellation;control parameter calibration</t>
  </si>
  <si>
    <t>Drones;Mathematical models;Heuristic algorithms;Quadrotors;Vehicle dynamics;Autonomous aerial vehicles;Cyber-physical systems</t>
  </si>
  <si>
    <t>A. Mondal; S. Misra; G. Das</t>
  </si>
  <si>
    <t>VISE: QoS-Aware Virtual Sensor Orchestration in Green Multi-Sensor-Cloud</t>
  </si>
  <si>
    <t>10.1109/TGCN.2024.3391628</t>
  </si>
  <si>
    <t>Advanced Technology Development Center, Indian Institute of Technology Kharagpur, Kharagpur, India; Department of Computer Science and Engineering, Indian Institute of Technology Kharagpur, Kharagpur, India; G. S. Sanyal School of Telecommunications, Indian Institute of Technology Kharagpur, Kharagpur, India</t>
  </si>
  <si>
    <t>This work presents the problem of optimal resource orchestration for green Sensor-as-a-Service (Se-aaS) in the presence of multiple sensor-cloud service providers (SCSPs) and vehicle owners (VOs). It leads to an oligopolistic market, where the shareholders may adopt unfair means to maximize revenue. Therefore, we consider the trust factors among the SCSPs and the VOs and ensure high QoS to minimize service delay, maximize service availability, and maximize energy efficiency. We propose a virtual sensor orchestration scheme, VISE, to ensure high QoS in green multi-sensor-cloud systems. VISE is a multi-level expected utility game-theoretic scheme. In VISE, the requested SCSP initially aims to find an optimal set of vehicles to send the sensed data from its own sensor-equipped vehicles to the roadside units (RSUs). We consider that the intermediate nodes may belong to other SCSPs. Further, to address the inadequacy of resources, the requested SCSP in VISE relies on selecting an optimal SCSP from the other SCSPs to serve vehicular Se-aaS. We evaluate the performance of VISE both theoretically and experimentally and compare it with benchmark schemes. Simulation results depict 33.33 ‚Äì 53.34% and 21.57 ‚Äì 29.13% increase in end-user satisfaction and network lifetime, respectively, while ensuring a 37.25 ‚Äì 42.85% increase in revenue sharing among the VOs.</t>
  </si>
  <si>
    <t>https://ieeexplore.ieee.org/stamp/stamp.jsp?arnumber=10505912</t>
  </si>
  <si>
    <t>Green multi-sensor-cloud;vehicular networks;trust factor;oligopoly;resource allocation;expected utility theory</t>
  </si>
  <si>
    <t>Virtualization;Quality of service;Cloud computing;Soft sensors;Wireless sensor networks;Resource management;Internet of Things;Vehicular ad hoc networks;Trusted computing</t>
  </si>
  <si>
    <t>W. Chongdarakul; N. Aunsri</t>
  </si>
  <si>
    <t>Heuristic Scheduling Algorithm for Workflow Applications in Cloud-Fog Computing Based on Realistic Client Port Communication</t>
  </si>
  <si>
    <t>10.1109/ACCESS.2024.3462518</t>
  </si>
  <si>
    <t>School of Information Technology, Mae Fah Luang University, Chiang Rai, Thailand; School of Information Technology, Mae Fah Luang University, Chiang Rai, Thailand</t>
  </si>
  <si>
    <t>Cloud-fog computing systems require task scheduling to efficiently manage resources and ensure timely task execution in a distributed environment. Fog computing extends computation, storage, and networking to the edge of the network, thereby improving the user experience, and reducing latency, and data transfer. Task scheduling and client-processing resource management in cloud-fog computing affect cloud system performance and client services. Currently, task scheduling methods mainly focus on assigning client tasks to the most suitable cloud resource or virtual machine (VM) to obtain the minimum scheduled time. However, these techniques do not consider a realistic communication model that, allows many parallel tasks to be sent and received simultaneously without delay. This paper introduces a heuristic workflow scheduling algorithm called Collision-Avoid based on Cloud task Scheduling (CACS) to assign client workflow represented by a directed acyclic graph (DAG) and execute the most appropriate cloud-fog nodes under the single client I/O port restriction to achieve minimum workflow completion time, least delay, and higher resource performance. FogWorkflowSim was used as the cloud-fog computing system simulation. The experimental results showed that the proposed method achieved much better scheduling results than the other compared algorithms.</t>
  </si>
  <si>
    <t xml:space="preserve">Office of the Permanent Secretary, Ministry of Higher Education, Science, Research and Innovation (OPS MHESI), Thailand Science Research and Innovation (TSRI), and Mae Fah Luang University(grant numbers:RGNS 63-193); </t>
  </si>
  <si>
    <t>https://ieeexplore.ieee.org/stamp/stamp.jsp?arnumber=10681397</t>
  </si>
  <si>
    <t>Cloud computing;cloud-fog computing system;cloudsim;fog computing;FogWorkflowSim;task scheduling;workflow scheduling;heuristic task scheduling</t>
  </si>
  <si>
    <t>Cloud computing;Heuristic algorithms;Costs;Dynamic scheduling;Optimal scheduling;Scheduling algorithms;Resource management;Edge computing</t>
  </si>
  <si>
    <t>D. Loconte; S. Ieva; F. Gramegna; I. Bilenchi; C. Fasciano; A. Pinto; G. Loseto; F. Scioscia; M. Ruta; E. Di Sciascio</t>
  </si>
  <si>
    <t>Serverless Microservice Architecture for Cloud-Edge Intelligence in Sensor Networks</t>
  </si>
  <si>
    <t>10.1109/JSEN.2024.3502254</t>
  </si>
  <si>
    <t>Department of Electrical and Information Engineering, Polytechnic University of Bari, Bari, Italy; Department of Electrical and Information Engineering, Polytechnic University of Bari, Bari, Italy; Department of Electrical and Information Engineering, Polytechnic University of Bari, Bari, Italy; Department of Electrical and Information Engineering, Polytechnic University of Bari, Bari, Italy; Department of Electrical and Information Engineering, Polytechnic University of Bari, Bari, Italy; Department of Electrical and Information Engineering, Polytechnic University of Bari, Bari, Italy; Department of Engineering, LUM ‚ÄúGiuseppe Degennaro‚Äù University, Casamassima, Italy; Department of Electrical and Information Engineering, Polytechnic University of Bari, Bari, Italy; Department of Electrical and Information Engineering, Polytechnic University of Bari, Bari, Italy; Department of Electrical and Information Engineering, Polytechnic University of Bari, Bari, Italy</t>
  </si>
  <si>
    <t>Machine learning (ML) is increasingly exploited in a wide range of application areas to analyze data streams from large-scale sensor networks, train predictive models, and perform inference. The cloud-edge intelligence (CEI) computing paradigm integrates cloud infrastructures for resource-intensive ML tasks with devices at the border of a local network for distributed data preprocessing, small-scale model training, and prediction tasks. This can achieve a tunable trade-off of ML accuracy with improved data privacy, response latency, and bandwidth usage. Prevalent CEI architectures are based on microservices encapsulated in containers, but serverless computing is emerging as an alternative model. It is based on stateless event-driven functions to facilitate the development and provisioning of application components, increase the infrastructure elasticity, and reduce management effort. This article proposes a novel CEI framework for sensor-based applications, exploiting serverless computing for data management and ML tasks. Small-scale model training occurs at the edge with local data for quick prediction response, while large-scale models are trained in the cloud with the full sensor network data, and then, they are fed back to edge nodes for a progressive accuracy improvement. A fully functional prototype has been built by leveraging open-source software tools, selected devices for field sensing and edge computing (EC), and a commercial cloud platform. Experiments validate the feasibility and sustainability of the proposal, compared with an existing container-oriented microservice architecture.</t>
  </si>
  <si>
    <t xml:space="preserve">Spoke 9 of the Italian National Center for High-Performance Computing, Big Data and Quantum Computing; Digital Enterprise Grant; Lutech S.p.A. and European Regional Development Fund for Apulia Region 2014/2020 Operating Program; </t>
  </si>
  <si>
    <t>https://ieeexplore.ieee.org/stamp/stamp.jsp?arnumber=10767204</t>
  </si>
  <si>
    <t>Cloud-edge intelligence (CEI);machine learning (ML);microservices;sensor networks;serverless computing</t>
  </si>
  <si>
    <t>Cloud computing;Sensors;Training;Computer architecture;Microservice architectures;Computational modeling;Data models;Accuracy;Internet of Things;Intelligent sensors</t>
  </si>
  <si>
    <t>N. Saqib; N. F. Abdullah; A. Abu-Samah; H. A. H. Alobaidy; R. Nordin</t>
  </si>
  <si>
    <t>Adaptive VNF Placement Considering Overall Latency and 5G Wireless Channel Reliability in Industry 4.0: A Reinforcement Learning Based Approach</t>
  </si>
  <si>
    <t>10.1109/ACCESS.2024.3419065</t>
  </si>
  <si>
    <t>Department of Electrical, Electronic and Systems Engineering, Wireless Research@UKM, Universiti Kebangsaan Malaysia, Bangi, Malaysia; Department of Electrical, Electronic and Systems Engineering, Wireless Research@UKM, Universiti Kebangsaan Malaysia, Bangi, Malaysia; Department of Electrical, Electronic and Systems Engineering, Wireless Research@UKM, Universiti Kebangsaan Malaysia, Bangi, Malaysia; Department of Electrical, Electronic and Systems Engineering, Wireless Research@UKM, Universiti Kebangsaan Malaysia, Bangi, Malaysia; Department of Engineering, School of Engineering and Technology, Sunway University, Bandar Sunway, Selangor, Malaysia</t>
  </si>
  <si>
    <t>Industry 4.0 incorporates the integration of cloud computing, Industrial Internet of Things (IIoT), and modern communication technologies within the industrial automation systems. Various devices with different network requirements of high reliability and low latency, rely on connectivity. The 5G and Beyond (B5G) software-defined architecture facilitates Network Function Virtualization (NFV), which is an essential solution for fulfilling these stringent demands. NFV allows for the implementation and control of Virtual Network Functions (VNFs) in dynamic network environments. VNF placement optimization has been extensively studied in the 5G perspective outside the industry environment with a focus on minimizing delay and cost, increasing VNF reliability, and increasing resource efficiency. However, the complex dynamics of the wireless channel in industrial environments have a considerable impact on the essential delay factors that are important for optimizing the deployment of VNFs. This study focuses on modeling a Wireless Sensor Network (WSN) based Industry 4.0 factory automation scenario at mmWave band, formulating an optimization problem to minimize overall delay while considering packet loss rate in the 5G industrial wireless channel. The optimization problem is formulated as a Markov Decision Process (MDP) and two Reinforcement Learning (RL) based algorithms AVP-Q and AVP-DQN are proposed for optimizing the VNF placement. The proposed algorithms are extensively evaluated against the Value Iteration algorithm which assumes a completely known MDP model and two other algorithms from the literature. The simulated results show that AVP-DQN outperforms existing algorithms for this scenario by 39% and 22.6% and the achieved performance is only close to that of the Value Iteration algorithm.</t>
  </si>
  <si>
    <t xml:space="preserve">Universiti Kebangsaan Malaysia(grant numbers:DPK-2022-009,GUP-2021-023); </t>
  </si>
  <si>
    <t>https://ieeexplore.ieee.org/stamp/stamp.jsp?arnumber=10571938</t>
  </si>
  <si>
    <t>5G;industry 4.0;deep reinforcement learning;VNF placement;URLLC;mmWave</t>
  </si>
  <si>
    <t>Wireless sensor networks;5G mobile communication;Wireless communication;Cloud computing;Production facilities;Reliability;Fourth Industrial Revolution;Deep reinforcement learning;Millimeter wave communication</t>
  </si>
  <si>
    <t>C. A. S. Lelis; J. J. Roncal; L. Silveira; R. D. G. De Aquino; C. A. C. Marcondes; J. Marques; D. S. Loubach; F. A. N. Verri; V. V. Curtis; D. G. De Souza</t>
  </si>
  <si>
    <t>Drone-Based AI System for Wildfire Monitoring and Risk Prediction</t>
  </si>
  <si>
    <t>10.1109/ACCESS.2024.3462436</t>
  </si>
  <si>
    <t>Computer Science Division, Instituto Tecnol√≥gico de Aeron√°utica (ITA), S√£o Jos√© dos Campos, Brazil; Computer Science Division, Instituto Tecnol√≥gico de Aeron√°utica (ITA), S√£o Jos√© dos Campos, Brazil; Computer Science Division, Instituto Tecnol√≥gico de Aeron√°utica (ITA), S√£o Jos√© dos Campos, Brazil; Computer Science Division, Instituto Tecnol√≥gico de Aeron√°utica (ITA), S√£o Jos√© dos Campos, Brazil; Computer Science Division, Instituto Tecnol√≥gico de Aeron√°utica (ITA), S√£o Jos√© dos Campos, Brazil; Computer Science Division, Instituto Tecnol√≥gico de Aeron√°utica (ITA), S√£o Jos√© dos Campos, Brazil; Computer Science Division, Instituto Tecnol√≥gico de Aeron√°utica (ITA), S√£o Jos√© dos Campos, Brazil; Computer Science Division, Instituto Tecnol√≥gico de Aeron√°utica (ITA), S√£o Jos√© dos Campos, Brazil; Computer Science Division, Instituto Tecnol√≥gico de Aeron√°utica (ITA), S√£o Jos√© dos Campos, Brazil; Computer Science Division, Instituto Tecnol√≥gico de Aeron√°utica (ITA), S√£o Jos√© dos Campos, Brazil</t>
  </si>
  <si>
    <t>Wildfires pose a significant threat to ecosystems, human lives, and infrastructure worldwide. Traditional wildfire detection and risk assessment methods often suffer from limitations such as delayed detection and low confidence in certain regions. In this paper, we propose a novel computational system based on Machine Learning for wildfire risk assessment using data collected by drones. The system can integrate various sensors to capture spatiotemporal data on environmental factors such as temperature, humidity, and vegetation. By leveraging high-resolution data collected through autonomous drone missions, our system enhances wildfire risk estimation and enables proactive mission planning. Although the system is mainly designed to address wildfire monitoring using drone-collected data, it can be easily adapted to other environmental monitoring applications and other sources of data. We demonstrate the effectiveness of our approach through a comprehensive evaluation and validation process in both simulated and real-world environments. Our work contributes to advancing wildfire monitoring capabilities, improving early detection, and mitigating the impact of wildfires on communities and the environment.</t>
  </si>
  <si>
    <t xml:space="preserve">Financiadora de Estudos e Projetos (FINEP)(grant numbers:01.22.0615.00); </t>
  </si>
  <si>
    <t>https://ieeexplore.ieee.org/stamp/stamp.jsp?arnumber=10681400</t>
  </si>
  <si>
    <t>Aerial drones;artificial intelligence;environmental monitoring;machine learning;risk assessment;spatiotemporal data;wildfire detection;wildfire risk estimation</t>
  </si>
  <si>
    <t>Wildfires;Predictive models;Sensors;Normalized difference vegetation index;Measurement;Drones;Artificial intelligence;Environmental monitoring;Machine learning;Risk management;Spatiotemporal phenomena</t>
  </si>
  <si>
    <t>Y. R. Julio; I. G. Garcia; J. M. D√≠az; R. Ag√ºero</t>
  </si>
  <si>
    <t>Middleware for Distributed Fulcrum Coding on the Fly: Leveraging Efficient Communications for 5G-IoT Heterogeneous Mobile Devices</t>
  </si>
  <si>
    <t>10.1109/ACCESS.2023.3342916</t>
  </si>
  <si>
    <t>Department of Computer Science and Engineering, Universidad del Norte, Barranquilla, Colombia; Department of Mathematics, Universidad del Norte, Barranquilla, Colombia; Department of Computer Science and Engineering, Universidad del Norte, Barranquilla, Colombia; Department of Communications Engineering, Universidad de Cantabria, Santander, Spain</t>
  </si>
  <si>
    <t>We formalize and evaluate an adaptation of the Middleware Fulcrum coding scheme, developed under a Fog computing architecture, for 5G-IoT mobile devices. This adaptation includes a D2D extension with distributed coding, specifically designed to address the challenges posed by a dynamic topology involving heterogeneous devices in processing capabilities. The proposed method is established at the application layer level to allow for the mapping of packet segments to a finite field scheme (Galois field), which allows for exploiting the algebraic properties of the system to exercise data retrieval with encoded information. In addition, it will enable dynamic adjustment of the coding parameters according to the processing capacity of the communication devices, wireless channel conditions, network topology, and type of stream in the system. In this sense, high-performance coding is distributed to nodes that can offer higher coding complexity in the design, effectively improving the wireless network‚Äôs performance in many aspects, such as delay, energy consumption, and goodput. By characterizing the system as an algebraic system, it is possible to exploit the advantages of FEC through decoding to reduce the signaling in the system.</t>
  </si>
  <si>
    <t xml:space="preserve">Universidad del Norte within the research ‚ÄúDesign of Next-Generation Distributed Codes and a Balance in the Performance of Multicast Networks‚Äù; </t>
  </si>
  <si>
    <t>https://ieeexplore.ieee.org/stamp/stamp.jsp?arnumber=10360114</t>
  </si>
  <si>
    <t>Middleware;fulcrum code;fog computing;Galois field;5G-IoT mobile devices</t>
  </si>
  <si>
    <t>Encoding;Codes;Network coding;5G mobile communication;Middleware;Wireless communication;Performance evaluation</t>
  </si>
  <si>
    <t>C. Vanmathi; A. Farouk; S. M. Alhammad; R. Mangayarkarasi; S. Bhattacharya; M. S. B. Kasyapa</t>
  </si>
  <si>
    <t>The Role of Blockchain in Transforming Industries Beyond Finance</t>
  </si>
  <si>
    <t>10.1109/ACCESS.2024.3468611</t>
  </si>
  <si>
    <t>School of Computer Science Engineering and Information Systems, Vellore Institute of Technology, Vellore, Tamil Nadu, India; Department of Computer Science, Faculty of Computers and Artificial Intelligence, Hurghada University, Hurghada, Egypt; Department of Computer Sciences, College of Computer and Information Sciences, Princess Nourah bint Abdulrahman University, Riyadh, Saudi Arabia; School of Computer Science Engineering and Information Systems, Vellore Institute of Technology, Vellore, Tamil Nadu, India; School of Computer Science Engineering and Information Systems, Vellore Institute of Technology, Vellore, Tamil Nadu, India; School of Computer Science Engineering and Information Systems, Vellore Institute of Technology, Vellore, Tamil Nadu, India</t>
  </si>
  <si>
    <t>Blockchain technology is rapidly transforming how businesses and individuals interact. Its inherent security features, including immutability, tamper-proofing, and verifiable data provenance, are driving its adoption across numerous sectors. The financial sector heavily influences blockchain for its tamper-proof nature, leading to the rise of cryptocurrencies, the technology offers much more. Beyond security, it streamlines processes, reduces costs, and improves customer experience. Smart contracts are one of the predominant key components that automate predetermined operations, further enhancing blockchain‚Äôs capabilities. Understanding the importance of blockchain in non-financial applications is crucial for fully exploiting its potential. This analysis explores the fundamentals of blockchain technology and its applications beyond finance. To meet the growing demand across various sectors, blockchain must integrate with other trending technologies such as the Internet of Things (IoT), Artificial Intelligence (AI), and the edge-cloud paradigm. The analysis examines the role of these technologies in facilitating blockchain-enabled applications. Furthermore, the paper researches the specific use cases such as insurance, energy, healthcare, digital voting, supply chain management and government. Concentrating on these sectors elucidates how organisations harness blockchain to tackle intricate challenges, thereby fostering the advancement of sophisticated digital processes and contributing to societal progression.</t>
  </si>
  <si>
    <t xml:space="preserve">Princess Nourah bint Abdulrahman University, Riyadh, Saudi Arabia, through the Researchers Supporting Project(grant numbers:PNURSP2024R442); </t>
  </si>
  <si>
    <t>https://ieeexplore.ieee.org/stamp/stamp.jsp?arnumber=10695085</t>
  </si>
  <si>
    <t>Blockchain;non-financial applications;energy;insurance;healthcare;decentralization</t>
  </si>
  <si>
    <t>Blockchains;Medical services;Smart contracts;Supply chains;Supply chain management;Open source software;Finance</t>
  </si>
  <si>
    <t>S. Alirezazadeh; L. A. Alexandre</t>
  </si>
  <si>
    <t>A Survey on Task Allocation and Scheduling in Robotic Network Systems</t>
  </si>
  <si>
    <t>10.1109/JIOT.2024.3491944</t>
  </si>
  <si>
    <t>C4-Cloud Computing Competence Center, Universidade da Beira Interior, Covilh√£, Portugal; NOVA LINCS, Universidade da Beira Interior, Covilh√£, Portugal</t>
  </si>
  <si>
    <t>Robotic networks are increasingly relied upon to perform complex tasks that require efficient scheduling and task allocation to optimize processing power, resource management, and energy use. The primary goal in these systems is to enhance performance by minimizing completion time, energy consumption, and delays, while maximizing resource utilization and task throughput. Numerous studies have examined different aspects of task allocation and scheduling, from static approaches to dynamic models that adapt to real-time conditions. This article presents a comprehensive survey of the methods and strategies used in robotic network systems, considering not only traditional approaches but also the role of emerging technologies, such as cloud, fog, and edge computing. We categorize the literature from three perspectives: 1) architectures and applications; 2) methods; and 3) parameters. Furthermore, we analyze the limitations of each approach and propose directions for future research, with a particular focus on scalability, real-world applicability, and the integration of these technologies in dynamic environments.</t>
  </si>
  <si>
    <t xml:space="preserve">Operation Centro-01-0145-FEDER-000019‚Äî C4‚ÄîCentro de Compet√™ncias em Cloud Computing, co-financed by the European Regional Development Fund (ERDF); Programa Operacional Regional do Centro (Centro 2020), in the scope of the Sistema de Apoio √† Investiga√ß√£o Cientif√≠ca e Tecnol√≥gica‚ÄîProgramas Integrados de IC&amp;DT;; NOVA LINCS; FCT.IP(grant numbers:UIDB/04516/2020,UIDP/04516/2020); Computer Science and Communication Research Centre (CIIC), Escola Superior de Tecnologia e Gest√£o(grant numbers:UIDB/04524/2020); FCT-Funda√ß√£o para a Ci√™ncia e a Tecnologia(grant numbers:CEECINST/00060/2021/CP2902/CT0009); </t>
  </si>
  <si>
    <t>https://ieeexplore.ieee.org/stamp/stamp.jsp?arnumber=10742644</t>
  </si>
  <si>
    <t>Cloud;edge;fog;load balancing;robotic network;scheduling;task allocation</t>
  </si>
  <si>
    <t>Robots;Resource management;Cloud computing;Processor scheduling;Dynamic scheduling;Edge computing;Job shop scheduling;Optimization;Internet of Things;Real-time systems</t>
  </si>
  <si>
    <t>Z. Bellal; L. Lahlou; N. Kara; I. El Khayat</t>
  </si>
  <si>
    <t>GAS: DVFS-Driven Energy Efficiency Approach for Latency-Guaranteed Edge Computing Microservices</t>
  </si>
  <si>
    <t>10.1109/TGCN.2024.3420957</t>
  </si>
  <si>
    <t>Software and Information Technology Engineering Department, √âcole de technologie sup√©rieure, Montr√©al, QC, Canada; Software and Information Technology Engineering Department, √âcole de technologie sup√©rieure, Montr√©al, QC, Canada; Software and Information Technology Engineering Department, √âcole de technologie sup√©rieure, Montr√©al, QC, Canada; Ericsson, Mississauga, ON, Canada</t>
  </si>
  <si>
    <t>Edge computing-based microservices (ECM) are pivotal infrastructure components for latency-critical applications such as Virtual Reality/Augmented Reality (VR/AR) and the Internet of Things (IoT). ECM involves strategically deploying microservices at the network‚Äôs edge to fulfill the low latency needs of modern applications. However, achieving efficient resource and energy consumption while meeting the latency requirement in the ECM environment remains challenging. Dynamic Voltage and Frequency Scaling (DVFS) is a common technique to address this issue. It adjusts the CPU frequency and voltage to balance energy cost and performance. However, selecting the optimal CPU frequency depends on the nature of the microservice workload (e.g., CPU-bound, memory-bound, or mixed). Moreover, various microservices with different latency requirement can be deployed on the same edge node. This makes the DVFS application extremely challenging, particularly for a chip-wide DVFS implementation for which CPU cores operate at the same frequency and voltage. To this end, we propose GAS, enerGy Aware microServices edge computing framework, which enables CPU frequency scaling to meet diverse microservice latency requirement with the minimum energy cost. Our evaluation indicates that our CPU scaling policy decreases energy consumption by 5% to 23% compared to Linux governors while maintaining latency requirement and significantly contributing to sustainable edge computing.</t>
  </si>
  <si>
    <t xml:space="preserve">Natural Sciences and Engineering Research Council and Ericsson Canada(grant numbers:561771); </t>
  </si>
  <si>
    <t>https://ieeexplore.ieee.org/stamp/stamp.jsp?arnumber=10578041</t>
  </si>
  <si>
    <t>Edge computing;microservice;DVFS;energy-efficient;container autoscaling</t>
  </si>
  <si>
    <t>Microservice architectures;Edge computing;Energy consumption;Energy efficiency;Task analysis;Frequency diversity;Time-frequency analysis</t>
  </si>
  <si>
    <t>D. Escu√≠n; L. Polo; D. Cipr√©s; C. Mill√°n; J. Carcas</t>
  </si>
  <si>
    <t>A Long-Distance Smart Driving Service Based on Floating Car Data and Open Data</t>
  </si>
  <si>
    <t>10.1109/ACCESS.2022.3195569</t>
  </si>
  <si>
    <t>Instituto Tecnol√≥gico de Arag√≥n, Zaragoza, Spain; Instituto Tecnol√≥gico de Arag√≥n, Zaragoza, Spain; Instituto Tecnol√≥gico de Arag√≥n, Zaragoza, Spain; Instituto Tecnol√≥gico de Arag√≥n, Zaragoza, Spain; Grupo Sese, Zaragoza, Spain</t>
  </si>
  <si>
    <t>The purpose of this manuscript is to present the Smart Driving Service (SDS), a customized mobile application, and a complex microservices framework intended not only for professional drivers but also for novel people who need help during the driving time in their long-distance journeys. The European regulation on driving times, breaks and rest periods for drivers engaged in the carriage of freight is implemented in the system. Additionally, it is necessary to have a feedback report to detect the behavior of drivers and what to do differently to improve driving. This issue is addressed by implementing a Route Performance Index (RPI) to measure the driver compliance. The proposed service has been running in a production stage for 6 months with a reduction in consumption of 2 liters/100 km. Considering that the company runs more than 100M km per year, the savings in fuel are relevant apart from the environmental impact reduction.</t>
  </si>
  <si>
    <t>https://ieeexplore.ieee.org/stamp/stamp.jsp?arnumber=9846968</t>
  </si>
  <si>
    <t>Driver assistance;route navigation;floating car data;telemetry;truck sensors;open data</t>
  </si>
  <si>
    <t>Autonomous automobiles;Road traffic;Behavioral sciences;Sensors;Navigation;Intelligent sensors;Telemetry;Open data</t>
  </si>
  <si>
    <t>A. -I. Manolopoulos; V. -M. Alevizaki; M. Anastasopoulos; A. Tzanakaki</t>
  </si>
  <si>
    <t>An AI-Assisted Framework for Lifecycle Management of Beyond 5G Services</t>
  </si>
  <si>
    <t>10.1109/ACCESS.2024.3507359</t>
  </si>
  <si>
    <t>Department of Physics, National and Kapodistrian University of Athens, Athens, Greece; Department of Physics, National and Kapodistrian University of Athens, Athens, Greece; Department of Physics, National and Kapodistrian University of Athens, Athens, Greece; Department of Physics, National and Kapodistrian University of Athens, Athens, Greece</t>
  </si>
  <si>
    <t>Future mobile communication networks aim to offer services and applications in the most flexible, adaptable and cost-effective manner. B5G networks aim at a fully softwarized network architecture, where hardware and software programming is used for the design, implementation, deployment, management, monitoring and maintenance of network equipment/components/services. Artificial Intelligence (AI) and Machine Learning (ML) techniques are steadily being integrated into 5G systems, offering intelligent automation, proactive network management, and resource allocation optimization. In this environment, the role of Management and Orchestration (MANO) is vital to ensure efficient infrastructure utilization and fulfillment of heterogeneous service requirements. Despite the development of various tools and platforms to facilitate MANO in 5G systems, in most cases there is still the need of human intervention and manual input for configuring the 5G elements according to service requirements. In this paper, a MANO framework has been developed, that specifically targets the orchestration operations of 5G networks. The proposed framework focuses on the lifecycle management of the 5G components, in order to achieve an operational environment with minimal human intervention or manual configuration (Zero Touch Networks -ZTN). Within this ecosystem, an Analytics &amp; AI/ML Platform has comprehensive monitoring capabilities and influences decisions across various layers or aspects of the infrastructure. This includes optimizing the allocation and orchestration of both networking and edge/cloud computing virtual resources within the infrastructure.</t>
  </si>
  <si>
    <t xml:space="preserve">European Union Projects 5G Trusted and Secure Network Services(grant numbers:101127973); Seamless Integration of Efficient 6G Wireless Technologies for Communication and Sensing(grant numbers:101139282); ECO-eNET(grant numbers:101139133); </t>
  </si>
  <si>
    <t>https://ieeexplore.ieee.org/stamp/stamp.jsp?arnumber=10769360</t>
  </si>
  <si>
    <t>5G;B5G;6G;MANO;slicing;NFV;LSTM;LCM;ZSM</t>
  </si>
  <si>
    <t>5G mobile communication;Cloud computing;Monitoring;Computer architecture;Quality of service;Resource management;Optimization;Maintenance;Virtualization;Ultra reliable low latency communication</t>
  </si>
  <si>
    <t>X. Liu; J. Li; H. Wang; W. Jia; J. Yang; Z. Guo</t>
  </si>
  <si>
    <t>Design of an Optimal Scheduling Control System for Smart Manufacturing Processes in Tobacco Industry</t>
  </si>
  <si>
    <t>10.1109/ACCESS.2023.3261883</t>
  </si>
  <si>
    <t>Qingzhou Cigarette Factory, China Tobacco Shandong Industrial Co.Ltd., Qingzhou, China; Qingzhou Cigarette Factory, China Tobacco Shandong Industrial Co.Ltd., Qingzhou, China; Qingzhou Cigarette Factory, China Tobacco Shandong Industrial Co.Ltd., Qingzhou, China; Qingzhou Cigarette Factory, China Tobacco Shandong Industrial Co.Ltd., Qingzhou, China; School of Artificial Intelligence, Chongqing Technology and Business University, Chongqing, China; School of Artificial Intelligence, Chongqing Technology and Business University, Chongqing, China</t>
  </si>
  <si>
    <t>The whole process of tobacco production is composed of many components, in which their operation and administration are currently independent. It is required to deploy smart manufacturing workflow for the whole production process, in order to realize centralized effective global scheduling. This requires an advanced administration control platform that has strong abilities of multisource data integration and automatic decision support. To bridge such research gap, this paper designs an optimal scheduling control system for smart manufacturing processes of tobacco industry. First of all, this work discusses major characteristics of future-generation production control patterns in intelligent tobacco factories (ITF). Then, a five-layer architecture for optimal scheduling control of ITF is proposed, which contains Internet-of-Things layer, centralized control layer, model layer, platform layer and operation layer. In addition, a production scheduling optimization strategy is also developed for the proposed system to serve as the software algorithm that drives the running of whole smart manufacturing processes. Finally, this paper presents a comparative analysis of the proposed system‚Äôs transformation in a cigarette factory. Naturally, the effectiveness of the proposed production optimization scheduling strategy is verified through simulation.</t>
  </si>
  <si>
    <t xml:space="preserve">China Tobacco Shandong Industrial Co., Ltd.; </t>
  </si>
  <si>
    <t>https://ieeexplore.ieee.org/stamp/stamp.jsp?arnumber=10081360</t>
  </si>
  <si>
    <t>Smart manufacturing;optimal scheduling control;Internet of Things;production decision</t>
  </si>
  <si>
    <t>Production;Manufacturing;Industries;Production facilities;Centralized control;Data models;Process control</t>
  </si>
  <si>
    <t>Z. Li; N. Sald√≠as-Vallejos; D. Seco; M. A. Rodr√≠guez; R. Ranjan</t>
  </si>
  <si>
    <t>Long Live the Image: On Enabling Resilient Production Database Containers for Microservice Applications</t>
  </si>
  <si>
    <t>IEEE Transactions on Software Engineering</t>
  </si>
  <si>
    <t>1939-3520</t>
  </si>
  <si>
    <t>10.1109/TSE.2024.3436623</t>
  </si>
  <si>
    <t>School of Electronics, Electrical Engineering and Computer Science, Queen‚Äôs University Belfast, Belfast, U.K.; Department of Computer Science, University of Concepci√≥n, Concepci√≥n, Chile; Department of Computer Science and Information Technologies, Universidade de A Coru√±a, A Coru√±a, Spain; Department of Computer Science, University of Concepci√≥n, Concepci√≥n, Chile; School of Computing, Newcastle University, Newcastle upon Tyne, U.K.</t>
  </si>
  <si>
    <t>Microservices architecture advocates decentralized data ownership for building software systems. Particularly, in the Database per Service pattern, each microservice is supposed to maintain its own database and to handle the data related to its functionality. When implementing microservices in practice, however, there seems to be a paradox: The de facto technology (i.e., containerization) for microservice implementation is claimed to be unsuitable for the microservice component (i.e., database) in production environments, mainly due to the data persistence issues (e.g., dangling volumes) and security concerns. As a result, the existing discussions generally suggest replacing database containers with cloud database services, while leaving the on-premises microservice implementation out of consideration. After identifying three statelessness-dominant application scenarios, we proposed container-native data persistence as a conditional solution to enable resilient database containers in production. In essence, this data persistence solution distinguishes stateless data access (i.e., reading) from stateful data processing (i.e., creating, updating, and deleting), and thus it aims at the development of stateless microservices for suitable applications. In addition to developing our proposal, this research is particularly focused on its validation, via prototyping the solution and evaluating its performance, and via applying this solution to two real-world microservice applications. From the industrial perspective, the validation results have proved the feasibility, usability, and efficiency of fully containerized microservices for production in applicable situations. From the academic perspective, this research has shed light on the operation-side micro-optimization of individual microservices, which fundamentally expands the scope of ‚Äúsoftware micro-optimization‚Äù and reveals new research opportunities.</t>
  </si>
  <si>
    <t xml:space="preserve">ANID Millennium Science Initiative Program(grant numbers:Code ICN17_002); </t>
  </si>
  <si>
    <t>https://ieeexplore.ieee.org/stamp/stamp.jsp?arnumber=10620003</t>
  </si>
  <si>
    <t>Container;data persistence;read-only database;stateless microservice;microservices architecture</t>
  </si>
  <si>
    <t>Databases;Containers;Microservice architectures;Production;Usability;Runtime;Prototypes</t>
  </si>
  <si>
    <t>H. Liao; T. -y. Liu; J. Guo; B. Huang; D. Yang; J. Ding</t>
  </si>
  <si>
    <t>Retrospecting Available CPU Resources: SMT-Aware Scheduling to Prevent SLA Violations in Data Centers</t>
  </si>
  <si>
    <t>10.1109/TPDS.2024.3494879</t>
  </si>
  <si>
    <t>School of Data Science and Engineering, East China Normal University, Shanghai, China; School of Data Science and Engineering, East China Normal University, Shanghai, China; School of Data Science and Engineering, East China Normal University, Shanghai, China; School of Data Science and Engineering, East China Normal University, Shanghai, China; TRE of Alibaba Group, Zhejiang, China; SATG of Intel, Shanghai, China</t>
  </si>
  <si>
    <t>The article focuses on an understudied yet fundamental problem: existing methods typically average the utilization of multiple hardware threads to evaluate the available CPU resources. However, the approach could underestimate the actual usage of the underlying physical core for Simultaneous Multi-Threading (SMT) processors, leading to an overestimation of remaining resources. The overestimation propagates from microarchitecture to operating systems and cloud schedulers, which may misguide scheduling decisions, exacerbate CPU overcommitment, and increase Service Level Agreement (SLA) violations. To address the potential overestimation problem, we propose an SMT-aware and purely data-driven approach named Remaining CPU (RCPU) that reserves more CPU resources to restrict CPU overcommitment and prevent SLA violations. RCPU requires only a few modifications to the existing cloud infrastructures and can be scaled up to large data centers. Extensive evaluations in the data center proved that RCPU contributes to a reduction of SLA violations by 18% on average for 98% of all latency-sensitive applications. Under a benchmarking experiment, we prove that RCPU increases the accuracy by 69% in terms of Mean Absolute Error (MAE) compared to the state-of-the-art.</t>
  </si>
  <si>
    <t xml:space="preserve">National Natural Science Foundation of China(grant numbers:62272167); Hangzhou High-Tech Zone (Binjiang) Institute of Blockchain and Data Security; </t>
  </si>
  <si>
    <t>https://ieeexplore.ieee.org/stamp/stamp.jsp?arnumber=10748366</t>
  </si>
  <si>
    <t>Cloud computing;SMT interference;data center;QoS;microarchitecture;latency-sensitive applications</t>
  </si>
  <si>
    <t>Hardware;Data centers;Cloud computing;Servers;Processor scheduling;Program processors;Monitoring;Message systems;Benchmark testing;Accuracy</t>
  </si>
  <si>
    <t>M. Wiens; G. Steindl; C. Tubeuf; F. Birkelbach; J. Burfeind; T. Meyer</t>
  </si>
  <si>
    <t>DigiWind-An Open-Source Digital Twin Framework for Wind Energy Systems</t>
  </si>
  <si>
    <t>10.1109/ACCESS.2024.3414335</t>
  </si>
  <si>
    <t>Fraunhofer IWES, Bremerhaven, Germany; Institute of Computer Engineering, TU Wien, Vienna, Austria; Institute of Energy Systems and Thermodynamics, TU Wien, Vienna, Austria; Institute of Energy Systems and Thermodynamics, TU Wien, Vienna, Austria; Fraunhofer IWES, Bremerhaven, Germany; Fraunhofer IWES, Bremerhaven, Germany</t>
  </si>
  <si>
    <t>This study introduces DigiWind, an extensible digital twin platform specifically designed for the wind energy domain. The research aims to identify the fundamental requirements and architectural design for such a platform. Functional requirements are identified through a requirements engineering process using the use-case methodology. Existing digital twin and co-simulation platforms are reviewed, and the proposed DigiWind architecture is presented in detail. Three use cases are presented to highlight the integration of workflows and simulation models in the digital twin process. The DigiWind platform features a layered architecture with core implementations such as the template service, model assembly service, co-simulation service, and measurement data service. These components enable the automation of simulations, incorporation of historic measurement data, and data feedback and exchange. The platform supports various use cases including retrospective evaluation, performance monitoring, and scenario simulations. Additionally, a knowledge base and a versioning system ensure automation, documentation, and reproducibility of simulation results. The platform‚Äôs openness promotes collaboration among wind energy stakeholders and supports standardized models for co-simulation using the Functional Mock-up Interface. Overall, DigiWind offers a solution for developing, managing, and integrating digital twins in the wind energy sector, enhancing wind farm performance and operational efficiency.</t>
  </si>
  <si>
    <t xml:space="preserve">vgbe energy e.V.; </t>
  </si>
  <si>
    <t>https://ieeexplore.ieee.org/stamp/stamp.jsp?arnumber=10556529</t>
  </si>
  <si>
    <t>Automation;digital twin;knowledge representation;ontologies;wind energy</t>
  </si>
  <si>
    <t>Digital twins;Wind energy;Python;Production;Biological system modeling;Wind turbines;Data models;Automation;Knowledge representation</t>
  </si>
  <si>
    <t>W. Luo; K. Huang; X. Liang; H. Ren; N. Zhou; C. Zhang; C. Yang; W. Gui</t>
  </si>
  <si>
    <t>Process Manufacturing Intelligence Empowered by Industrial Metaverse: A Survey</t>
  </si>
  <si>
    <t>IEEE Transactions on Cybernetics</t>
  </si>
  <si>
    <t>2168-2275</t>
  </si>
  <si>
    <t>10.1109/TCYB.2024.3420958</t>
  </si>
  <si>
    <t>Department of Strategic and Advanced Interdisciplinary Research, Pengcheng Laboratory, Shenzhen, China; Department of Strategic and Advanced Interdisciplinary Research, Pengcheng Laboratory, Shenzhen, China; Department of Strategic and Advanced Interdisciplinary Research, Pengcheng Laboratory, Shenzhen, China; Department of Strategic and Advanced Interdisciplinary Research, Pengcheng Laboratory, Shenzhen, China; Department of Strategic and Advanced Interdisciplinary Research, Pengcheng Laboratory, Shenzhen, China; Department of Strategic and Advanced Interdisciplinary Research, Pengcheng Laboratory, Shenzhen, China; Department of Strategic and Advanced Interdisciplinary Research, Pengcheng Laboratory, Shenzhen, China; Department of Strategic and Advanced Interdisciplinary Research, Pengcheng Laboratory, Shenzhen, China</t>
  </si>
  <si>
    <t>The intelligent goal of process manufacturing is to achieve high efficiency and greening of the entire production. Whereas the information system it used is functionally independent, resulting to knowledge gaps between each level. Decision-making still requires lots of knowledge workers making manually. The industrial metaverse is a necessary means to bridge the knowledge gaps by sharing and collaborative decision-making. Considering the safety and stability requirements of the process manufacturing, this article conducts a thorough survey on the process manufacturing intelligence empowered by industrial metaverse. First, it analyzes the current status and challenges of process manufacturing intelligence, and then summarizes the latest developments about key enabling technologies of industrial metaverse, such as interconnection technologies, artificial intelligence, cloud-edge computing, digital twin (DT), immersive interaction, and blockchain technology. On this basis, taking into account the characteristics of process manufacturing, a construction approach and architecture for the process industrial metaverse is proposed: a virtual-real fused industrial metaverse construction method that combines DTs with physical avatar, which can effectively ensure the safety of metaverse‚Äôs application in industrial scenarios. Finally, we conducted preliminary exploration and research, to prove the feasibility of proposed method.</t>
  </si>
  <si>
    <t xml:space="preserve">Major Key Project of PCL(grant numbers:PCL2023A09,PCL2023A08); National Natural Science Foundation of China(grant numbers:62103208,62203241); </t>
  </si>
  <si>
    <t>https://ieeexplore.ieee.org/stamp/stamp.jsp?arnumber=10605094</t>
  </si>
  <si>
    <t>Industrial metaverse;intelligent manufacturing;process manufacturing;virtual-real fusion</t>
  </si>
  <si>
    <t>Metaverse;Manufacturing;Decision making;Process control;Optimization;Intelligent manufacturing systems;Process monitoring;Virtual reality;Industrial engineering;Production engineering</t>
  </si>
  <si>
    <t>J. Chen; Y. Lin; S. Peng; S. Wu; K. Kent; H. Dai; K. Ye; Y. Wang</t>
  </si>
  <si>
    <t>Understanding Serverless Inference in Mobile-Edge Networks: A Benchmark Approach</t>
  </si>
  <si>
    <t>10.1109/TCC.2024.3521657</t>
  </si>
  <si>
    <t>Shenzhen Institutes of Advanced Technology, Chinese Academy of Sciences, Shenzhen, China; Shenzhen Institutes of Advanced Technology, Chinese Academy of Sciences, Shenzhen, China; Shenzhen Institutes of Advanced Technology, Chinese Academy of Sciences, Shenzhen, China; Shenzhen Institutes of Advanced Technology, Chinese Academy of Sciences, Shenzhen, China; University of New Brunswick, Canada; University of Southampton, U.K; Shenzhen Institutes of Advanced Technology, Chinese Academy of Sciences, Shenzhen, China; Shenzhen Institutes of Advanced Technology, Chinese Academy of Sciences, Shenzhen, China</t>
  </si>
  <si>
    <t>Although the emerging serverless paradigm has the potential to become a dominant way of deploying cloud-service tasks across millions of mobile and IoT devices, the overhead characteristics of executing these tasks on such a volume of mobile devices remain largely unclear. To address this issue, this paper conducts a deep analysis based on the OpenFaaS platform‚Äîa popular open-source serverless platform for mobile edge environments‚Äîto investigate the overhead of performing deep learning inference tasks on mobile devices. To thoroughly evaluate the inference overhead, we develop a performance benchmark, named ESBench, whereby a set of comprehensive experiments are conducted with respect to a bunch of simulated mobile devices associated with an edge cluster. Our investigation reveals that the performance of deep learning inference tasks is significantly influenced by the model size and resource contention in mobile devices, leading to up to $3\times$3√ó degradation in performance. Moreover, we observe that the network environment can negatively impact the performance of mobile inference, increasing the CPU overhead under poor network conditions. Based on our findings, we further propose some recommendations for designing efficient serverless platforms and resource management strategies as well as for deploying serverless computing in the mobile edge environment.</t>
  </si>
  <si>
    <t xml:space="preserve">3rd Xinjiang Scientific Expedition Program(grant numbers:2021xjkk1300); SIAT-SunTang Big Data&amp;AI Joint Innovation Laboratory(grant numbers:E3Z092); Shenzhen Science and Technology Plan Project(grant numbers:SGDX20220530111001003); Shenzhen Science and Technology Program(grant numbers:CJGJZD20230724093659004); </t>
  </si>
  <si>
    <t>https://ieeexplore.ieee.org/stamp/stamp.jsp?arnumber=10814988</t>
  </si>
  <si>
    <t>Serverless;edge computing;deep learning inference;model serving;benchmark</t>
  </si>
  <si>
    <t>Performance evaluation;Computational modeling;Mobile handsets;Serverless computing;Deep learning;Memory management;Degradation;Benchmark testing;Loading;Runtime environment</t>
  </si>
  <si>
    <t>S. Gebreab; A. Musamih; K. Salah; R. Jayaraman; D. Boscovic</t>
  </si>
  <si>
    <t>Accelerating Digital Twin Development With Generative AI: A Framework for 3D Modeling and Data Integration</t>
  </si>
  <si>
    <t>10.1109/ACCESS.2024.3514175</t>
  </si>
  <si>
    <t>Department of Computer and Information Engineering, Khalifa University, Abu Dhabi, United Arab Emirates; Department of Management Science and Engineering, Khalifa University, Abu Dhabi, United Arab Emirates; Department of Computer and Information Engineering, Khalifa University, Abu Dhabi, United Arab Emirates; Department of Industrial Engineering, New Mexico State University, Las Cruces, NM, USA; Center for AI and Data Analytics, Blockchain Research Laboratory, Arizona State University, Tempe, AZ, USA</t>
  </si>
  <si>
    <t>Digital twins (DTs) have been introduced as valuable tools for digitally representing physical objects or assets. However, developing comprehensive and accurate DTs remains challenging due to the complexity of adding diverse data sources, creating realistic models, and enabling real-time synchronization. In this paper, we propose a DT framework that uses Generative Artificial Intelligence (GenAI) techniques integrated into the DT development pipeline to address these challenges and accelerate the creation of these virtual representations. We demonstrate how 3D generative models utilizing pre-trained 2D diffusion models, and Large Language Models (LLMs) can automate and accelerate key stages of the DT development process, which include 3D modeling, data acquisition and integration, as well as simulation and monitoring. By providing a use-case scenario of a smart medical cooler box, we demonstrate the effectiveness of the proposed framework, highlighting the potential of GenAI to reduce manual effort and streamline the integration of DT components. In particular, we illustrate how it can accelerate the creation of 3D models for DTs from 2D images by using 2D-to-3D generative models. Additionally, we show the use of LLM-based agents in automating the integration of data sources with a DT and connecting physical devices with their virtual counterparts. Challenges related to computational scalability, data privacy, and model hallucinations are highlighted, which need to be addressed for the widespread adoption of GenAI in DT development.</t>
  </si>
  <si>
    <t xml:space="preserve">Khalifa University of Science and Technology(grant numbers:RIG-2023-049); </t>
  </si>
  <si>
    <t>https://ieeexplore.ieee.org/stamp/stamp.jsp?arnumber=10786996</t>
  </si>
  <si>
    <t>Generative AI;large language models;3D generative models;diffusion models;digital twin</t>
  </si>
  <si>
    <t>Three-dimensional displays;Solid modeling;Data models;Rendering (computer graphics);Monitoring;Computational modeling;Adaptation models;Accuracy;Surface treatment;Soft sensors</t>
  </si>
  <si>
    <t>R. A. Khan; H. U. Khan; H. S. Alwageed; H. A. Hashimi; I. Keshta</t>
  </si>
  <si>
    <t>5G Networks Security Mitigation Model: An ANN-ISM Hybrid Approach</t>
  </si>
  <si>
    <t>10.1109/OJCOMS.2025.3529717</t>
  </si>
  <si>
    <t>Department of Computer Science and IT, Software Engineering Research Group, University of Malakand, Malakand, Paksitan; Department of Accounting and Information Systems, College of Business and Economics, Qatar University, Doha, Qatar; College of Computer and Information Sciences, Jouf University, Sakaka, Saudi Arabia; Software Engineering Department, College of Computer and Information Sciences, King Saud University, Riyadh, Saudi Arabia; Computer Science and Information Systems Department, College of Applied Sciences, Almaarefa University, Riyadh, Saudi Arabia</t>
  </si>
  <si>
    <t>The advent of Fifth-Generation (5G) networks has introduced significant security challenges due to increased complexity and diverse use cases. Conventional threat models may fall short of addressing these emerging threats effectively. This paper presents a new security mitigation model using artificial neural network (ANN) with interpretive structure modeling (ISM) to improve the 5G network security system. The main goal of this study is to develop a 5G network security mitigation model (5GN-SMM) that leverages the predictive capabilities of ANN and the analysis of ISM to identify and mitigate security threats by providing practices in 5G networks. This model aims to improve the accuracy and effectiveness of security measures by integrating advanced computational practices with systematic modeling. Initially, a systematic evaluation of existing 5G network security threats was conducted to identify gaps and incorporate best practices into the proposed model. In the second phase, an empirical survey was conducted to identify and validate the systematic literature review (SLR) findings. In the third phase, we employed a hybrid approach integrating ANN for real-time threat detection and risk assessment and utilizing ISM to analyze the relationships between security threats and vulnerabilities, creating a structured framework for understanding their interdependencies. A case study was conducted in the last stage to test and evaluate 5GN-SMM. The given article illustrates that the proposed hybrid model of ANN-ISM shows a better understanding and management of the security threats than the conventional techniques. The component of the ANN then comes up with the potential of the security breach with improved accuracy, and the ISM framework helps in understanding the relationship and the priorities of the threats. We identified 15 security threats and 144 practices in 5G networks through SLR and empirical surveys. The identified security threats were then analyzed and categorized into 15 process areas and five levels of 5GN-SMM. The proposed model includes state-of-the-art machine learning with traditional information security paradigms to offer an integrated solution to the emerging complex security issues related to 5G. This approach enhances the capacity to detect threats and contributes to good policy enforcement and other risk-related activities to enhance safer 5G networks.</t>
  </si>
  <si>
    <t xml:space="preserve">Qatar National Library; Qatar University(grant numbers:IRCC-2021-010); </t>
  </si>
  <si>
    <t>https://ieeexplore.ieee.org/stamp/stamp.jsp?arnumber=10841375</t>
  </si>
  <si>
    <t>5G networks;security threats and practices;systematic literature review;survey and case study;artificial neural networks (ANN);interpretive structure modeling (ISM);threat prediction and assessment</t>
  </si>
  <si>
    <t>5G mobile communication;Security;Network security;Computational modeling;Artificial neural networks;Prevention and mitigation;Accuracy;Telecommunication traffic;Systematic literature review;Privacy</t>
  </si>
  <si>
    <t>Y. ZHANG; S. DUAN; D. ZHANG; J. REN</t>
  </si>
  <si>
    <t>Transparent Computing: Development and Current Status</t>
  </si>
  <si>
    <t>10.1049/cje.2020.07.001</t>
  </si>
  <si>
    <t>Department of Computer Science and Technology, Tsinghua University, Beijing, China; School of Computer Science and Engineering, Central South University, Changsha, China; School of Computer Science and Engineering, Central South University, Changsha, China; School of Computer Science and Engineering, Central South University, Changsha, China</t>
  </si>
  <si>
    <t>Current terminal devices, such as Personal computers (PCs), diskless workstation, mobile terminals and embedded Internet of things (IoT) devices, are facing several challenges, including limited computing capabilities and storage resources, complex maintenance and management of the software and data, as well as secure service provisioning. Facing these challenges, Cloud computing (CC) and Edge computing (EC) encourage the terminal devices to shift compute-intensive works to the cloud servers or edge nodes. Different from CC and EC, Transparent computing (TC) is a novel user-centric computing paradigm in which the hardware and software are separated in different places. Specificaly, all the software, including Operating systems (OSes), applications programs and management tools, are deposited on the servers and transmitted on demand to terminal devices in a transparent way, while the computation is performed on terminals. In this article, we give a broad survey on transparent computing about the development and current status and compare the differences with CC and EC. To realize the provisioning of the cross-platform service, TC shields hardware differences of heterogeneous devices and builds standardized hardware and software interfaces. From the perspective of security, TC entails high-level security mechanisms and the Meta OS can detect malware and OS-level attacks. Specifically, we first review the development courses of network computing paradigms and the motivation of TC. Then, we present a comparison of several emerging computing paradigms and TC from three perspectives, i.e., virtualization, location for computing, and location for storage. We also show the basic architecture of TC, development process, current status, and key enabling technologies of TC for PCs and lightweight terminals. Lastly, several new challenges and future research directions are indicated to inspire continuous investigations. We believe that this survey can help readers to obtain complete information about TC.</t>
  </si>
  <si>
    <t>https://ieeexplore.ieee.org/stamp/stamp.jsp?arnumber=10856186</t>
  </si>
  <si>
    <t>Transparent computing;Network computing;Survey</t>
  </si>
  <si>
    <t>Surveys;Cloud computing;Reviews;Computer architecture;Hardware;Workstations;Internet of Things;Servers;Security;Virtualization</t>
  </si>
  <si>
    <t>R. Rakholia; A. L. Su√°rez-Cetrulo; M. Singh; R. Sim√≥n Carbajo</t>
  </si>
  <si>
    <t>Advancing Manufacturing Through Artificial Intelligence: Current Landscape, Perspectives, Best Practices, Challenges, and Future Direction</t>
  </si>
  <si>
    <t>10.1109/ACCESS.2024.3458830</t>
  </si>
  <si>
    <t>Ireland‚Äôs Centre for Artificial Intelligence (CeADAR), School of Computer Science, University College Dublin (UCD), Dublin 4, Ireland; Ireland‚Äôs Centre for Artificial Intelligence (CeADAR), School of Computer Science, University College Dublin (UCD), Dublin 4, Ireland; Ireland‚Äôs Centre for Artificial Intelligence (CeADAR), School of Computer Science, University College Dublin (UCD), Dublin 4, Ireland; Ireland‚Äôs Centre for Artificial Intelligence (CeADAR), School of Computer Science, University College Dublin (UCD), Dublin 4, Ireland</t>
  </si>
  <si>
    <t>The industrial sector is currently undergoing a transformative era of intelligent automation driven by Artificial Intelligence (AI) capabilities. This synergy greatly enhances efficiency and seamlessly enables data-driven decision-making processes. These advantages enable more efficient resource allocation and enhance production planning precision. This paper aims to provide state-of-the-art and ongoing developments in the AI landscape within the manufacturing industry. In addition, the review explores the key areas where AI is being applied in manufacturing, such as predictive maintenance, quality control, process optimization, supply chain management, robotics and automation, and intelligent decision support systems. The review also encompasses an exploration of the challenges encountered by the manufacturing sector, alongside an investigation into the potential of AI to mitigate these challenges. Furthermore, this work thoroughly reviews recent AI advancements, including explainable AI, human-robot collaboration, edge computing, and the Internet of Things (IoT) integration. The review concludes by providing recommendations, highlighting best practices, and providing insights into potential collaborative opportunities.</t>
  </si>
  <si>
    <t xml:space="preserve">PeRCEPTION Project, which focuses on the predictive development of functional foods using data analytics and machine learning; Enterprise Ireland under the Disruptive Technologies Innovation Fund (DTIF)(grant numbers:DT2020214); </t>
  </si>
  <si>
    <t>https://ieeexplore.ieee.org/stamp/stamp.jsp?arnumber=10677409</t>
  </si>
  <si>
    <t>Smart manufacturing;Industry 4.0;artificial intelligence;automation;machine learning;quality control;Internet of Things;robotics</t>
  </si>
  <si>
    <t>Artificial intelligence;Manufacturing;Industries;Machine learning algorithms;Reviews;Automation;Production;Smart manufacturing;Fourth Industrial Revolution;Quality control;Internet of Things;Best practices</t>
  </si>
  <si>
    <t>F. A. Saif; R. Latip; Z. Mohd Hanapi; S. Kamarudin; A. V. Senthil Kumar; A. Salem Bajaher</t>
  </si>
  <si>
    <t>Multi-Objectives Firefly Algorithm for Task Offloading in the Edge-Fog-Cloud Computing</t>
  </si>
  <si>
    <t>10.1109/ACCESS.2024.3488032</t>
  </si>
  <si>
    <t>Department of Information Technology, Gulf Colleges, Hafar Al Batin, Saudi Arabia; Department of Communication Technology and Network, Faculty of Computer Science and Information Technology, Universiti Putra Malaysia (UPM), Serdang, Malaysia; Department of Communication Technology and Network, Faculty of Computer Science and Information Technology, Universiti Putra Malaysia (UPM), Serdang, Malaysia; Department of Communication Technology and Network, Faculty of Computer Science and Information Technology, Universiti Putra Malaysia (UPM), Serdang, Malaysia; Department of Communication Technology and Network, Faculty of Computer Science and Information Technology, Universiti Putra Malaysia (UPM), Serdang, Malaysia; Department of MCA, Hindusthan College of Arts &amp; Science, Coimbatore, India</t>
  </si>
  <si>
    <t>This study proposes a two-stage strategy to ensure the successful execution of critical tasks. In the first stage, an Enhanced Task Offloading (ETO) algorithm is introduced to determine the appropriate computing layer‚Äîedge, fog, or cloud‚Äîfor offloading incomplete tasks. The algorithm makes this decision by assessing the availability of idle computing resources relative to the task‚Äôs computational requirements. Additionally, it verifies the status of the server (on/off) before offloading; if the server is unavailable, the algorithm proceeds to check the next layer. In the second stage, the strategy employs a Multi-objective Firefly (MFA) algorithm to assign the optimal computational device within the selected layer. Experimental simulations compare the proposed strategy with a benchmark task offloading algorithm. The results demonstrate the superiority of the proposed strategy, achieving reductions in energy consumption and delay and maximizing resource utilization compared to the baseline algorithms.</t>
  </si>
  <si>
    <t xml:space="preserve">Universiti Putra Malaysia; Ministry of Education Malaysia; </t>
  </si>
  <si>
    <t>https://ieeexplore.ieee.org/stamp/stamp.jsp?arnumber=10738798</t>
  </si>
  <si>
    <t>Task offloading;optimization;firefly algorithm;metaheuristic;edge-fog-cloud computing;Internet of Things;energy consumption;transmission delay;Pareto</t>
  </si>
  <si>
    <t>Internet of Things;Delays;Cloud computing;Energy consumption;Scheduling;Edge computing;Optimization;Heuristic algorithms;Servers;Quality of service</t>
  </si>
  <si>
    <t>J. Li; B. Moeini; S. Nejati; M. Sabetzadeh; M. McCallen</t>
  </si>
  <si>
    <t>A Lean Simulation Framework for Stress Testing IoT Cloud Systems</t>
  </si>
  <si>
    <t>10.1109/TSE.2024.3402157</t>
  </si>
  <si>
    <t>University of Ottawa, Ottawa, Canada; University of Ottawa, Ottawa, Canada; University of Ottawa, Ottawa, Canada; University of Ottawa, Ottawa, Canada; Cheetah Networks, Ottawa, Canada</t>
  </si>
  <si>
    <t>The Internet of Things (IoT) connects a plethora of smart devices globally across various applications like smart cities, autonomous vehicles, and health monitoring. Simulation plays a key role in the testing of IoT systems, noting that field testing of a complete IoT product may be infeasible or prohibitively expensive. This paper addresses a specific yet important need in simulation-based testing for IoT: Stress testing of cloud systems that are increasingly employed in IoT applications. Existing stress testing solutions for IoT demand significant computational resources, making them ill-suited and costly. We propose a lean simulation framework designed for IoT cloud stress testing. The framework enables efficient simulation of a large array of IoT and edge devices that communicate with the cloud. To facilitate simulation construction for practitioners, we develop a domain-specific language (DSL), named IoTECS, for generating simulators from model-based specifications. We provide the syntax and semantics of IoTECS and implement IoTECS using Xtext and Xtend. We assess simulators generated from IoTECS specifications for stress testing two real-world systems: a cloud-based IoT monitoring system developed by our industry partner and an IoT-connected vehicle system. Our empirical results indicate that simulators created using IoTECS: (1) achieve best performance when configured with Docker containerization; (2) effectively assess the service capacity of our case-study systems, and (3) outperform industrial stress-testing baseline tools, JMeter and Locust, by a factor of 3.5 in terms of the number of IoT and edge devices they can simulate using identical hardware resources. To gain initial insights about the usefulness of IoTECS in practice, we interviewed two engineers from our industry partner who have firsthand experience with IoTECS. Feedback from these interviews suggests that IoTECS is effective in stress testing IoT cloud systems, saving significant time and effort.</t>
  </si>
  <si>
    <t>https://ieeexplore.ieee.org/stamp/stamp.jsp?arnumber=10535730</t>
  </si>
  <si>
    <t>Simulation-based testing;stress testing;IoT cloud;model-driven engineering;Xtext</t>
  </si>
  <si>
    <t>Internet of Things;Testing;Cloud computing;Stress;Containers;Industries;Performance evaluation</t>
  </si>
  <si>
    <t>P. Porambage; M. Christopoulou; B. Han; M. Asif Habibi; H. Bogucka; P. Kryszkiewicz</t>
  </si>
  <si>
    <t>Security, Privacy, and Trust for Open Radio Access Networks in 6G</t>
  </si>
  <si>
    <t>10.1109/OJCOMS.2024.3519725</t>
  </si>
  <si>
    <t>VTT Technical Research Centre of Finland, Espoo, Finland; National Centre of Scientific Research ‚ÄúDemokritos,‚Äù, Athens, Greece; University of Kaiserslautern (RPTU), Kaiserslautern, Germany; University of Kaiserslautern (RPTU), Kaiserslautern, Germany; Poznan University of Technology, Pozna≈Ñ, Poland; Poznan University of Technology, Pozna≈Ñ, Poland</t>
  </si>
  <si>
    <t>The programmability of radio access networks was already introduced in the fifth generation of mobile networks by leading the pathway towards the Open RAN. To cater the stringent requirements emerging with the novel services and use cases, Open RAN is becoming integral to 6G as well. The most highlighted characteristics of Open RAN such as disaggregated architecture, cloudification of network functions, open interfaces, and intelligent network management are also associated with many challenges related to the security of the end-to-end telco networks. Most existing research works and specifications focus on security in Open RAN in 5G. In this paper, we discuss the role of Open RAN in 6G focusing on three aspects such as security, privacy, and trust, while highlighting their emerging trends and relevance to 6G. Our contributions include presenting a holistic view of Open RAN security within the 6G ecosystem, with insights into use case and stakeholder perspectives and standardization efforts. This includes a concise update on Open RAN security in the 5G era and their applicability to 6G exploration. Moreover, we identify the key research endeavors focused on privacy and trust in Open RAN, with an emphasis on their development toward 6G. Finally, we discuss the possibilities of incorporating energy awareness, quantum-safe solutions, and other emerging technological enablers with Open RAN security.</t>
  </si>
  <si>
    <t xml:space="preserve">XcARet Project funded by the Research Council of Finland(grant numbers:355114); German Federal Ministry for Education and Research through the Open6GHub Project(grant numbers:16KISK004); </t>
  </si>
  <si>
    <t>https://ieeexplore.ieee.org/stamp/stamp.jsp?arnumber=10807044</t>
  </si>
  <si>
    <t>Open radio access network;security;privacy;trust;6G</t>
  </si>
  <si>
    <t>Open RAN;6G mobile communication;Security;5G mobile communication;Privacy;Computer architecture;Surveys;Ecosystems;Reviews;3GPP</t>
  </si>
  <si>
    <t>An efficient tasks offloading procedure for an integrated edge-computing architecture</t>
  </si>
  <si>
    <t>10.23919/JCN.2024.000004</t>
  </si>
  <si>
    <t>The advent of sixth-generation networks has given rise to numerous challenges, requiring the synergistic exploitation of both ground and air edge computing facilities. This paper considers an integrated ground-air edge computing scenario where the computation offloading of a set of delay sensitive tasks has to be performed in a context where ground and air computational facilities are already involved in monitoring and control proceduers in a remote area under an unpredictable overload of computation requests, e.g., related to the management of an emergency situation. In this reference, a matching game is proposed to assign tasks to the most suitable computation nodes, in order to minimize the outage probability of the newly arrived tasks, i.e., the probability with which tasks experience a completion time greater than the corresponding deadline. To this regard, we have considered that new allocated task suffer for a waiting time due to the time needed to complete the service of all the tasks already in the ground or air computation node. As a consequence, to statistically characterize such waiting time, under proper assumptions, we have resorted to the G/G/1 queuing system model and the Lindley's integral equation approach to define a suitable metric to formulate a tasks allocation procedure based on the matching theory. Furthermore, matching stability has been theoretically proved for the proposed approach. Finally, numerical results have been provided in order to highlight the better behavior of the proposed task allocation scheme in comparison with different state-of-the-art alternatives.</t>
  </si>
  <si>
    <t>https://ieeexplore.ieee.org/stamp/stamp.jsp?arnumber=10522525</t>
  </si>
  <si>
    <t>Queueing system;task offloading;unmanned aerial vehicle</t>
  </si>
  <si>
    <t>Task analysis;Delays;Resource management;Edge computing;Drones;Computational modeling;Queueing analysis</t>
  </si>
  <si>
    <t>Y. Zhang; Y. Zhang; J. Ren; J. Misic; A. M. Tulino</t>
  </si>
  <si>
    <t>Guest Editorial Introduction to the Special Section on Vehicular Networks in the Era of 6G: End-Edge-Cloud Orchestrated Intelligence</t>
  </si>
  <si>
    <t>10.1109/TVT.2021.3084829</t>
  </si>
  <si>
    <t>Chinese Academy of Engineering, Tsinghua University, Beijing, China; Central South University, Changsha, China; Central South University, Changsha, China; Ryerson University, Toronto, ON, Canada; New York University, New York, NY, USA</t>
  </si>
  <si>
    <t>The articles in this special section focus on vehicular networks in the era of 6G mobile communication. With the growth of the vehicle population, vehicular networks play a key role in building safe, efficient, and intelligent transport systems and has been attracting a lot of attention from both academic and industrial communities around the world. The rise of autonomous driving technology and the prosperity of mobile applications, e.g., real-time video analytic, image-aided navigation, natural language processing, and etc, have brought tremendous pressure on current vehicular networks, e.g., high bandwidth, ultra-low latency, high reliability, high security, powerful computation capability, and massive connections. It is necessary to continue to develop vehicular networks by combining the latest research intends in other fields to meet quickly rising communication and computation demands. The upcoming 6G technology, which provides Holographic and Artificial Intelligence (AI) enabled communications, together with the increasing implementation of artificial intelligence in mobile devices, will lead to a new research trend to end-edge-cloud orchestrated computing with intelligence. It means that, not only the intelligent communication protocols, but also the intelligent computing resource management and machine learning algorithms among the mobile vehicles, the edge and the cloud, should be redesigned to support the development of vehicular networks.</t>
  </si>
  <si>
    <t>https://ieeexplore.ieee.org/stamp/stamp.jsp?arnumber=9477551</t>
  </si>
  <si>
    <t>Special issues and sections;6G mobile communication;Security;Processor scheduling;Resource management;Reinforcement learning;Mobile ad hoc networks;Data privacy</t>
  </si>
  <si>
    <t>F. Firouzi; M. Daneshmand; J. Song; K. Mankodiya</t>
  </si>
  <si>
    <t>Guest Editorial Special Issue on Empowering the Future Generation Systems: Opportunities by the Convergence of Cloud, Edge, AI, and IoT</t>
  </si>
  <si>
    <t>10.1109/JIOT.2022.3232084</t>
  </si>
  <si>
    <t>Department of Electrical and Computer Engineering, Duke University, Durham, NC, USA; Department of Business Intelligence and Analytics, Stevens Institute of Technology, Hoboken, NJ, USA; Department of Computer and Information Security, Sejong University, Seoul, South Korea; Department of Electrical, Computer, and Biomedical Engineering, University of Rhode Island, Kingston, RI, USA</t>
  </si>
  <si>
    <t>The future generation of the Internet of Things (IoT) systems is characterized by the fusion of technologies‚Äîfrom edge‚Äìfog‚Äìcloud computing to artificial intelligence (AI) and blockchain‚Äîclosing the gap between the physical and digital worlds [A1]. Although these technologies have been developed separately over time, the synergy among them has taken a giant leap. We are witnessing a fast-paced convergence of these technologies resulting in a fundamental paradigm shift unlocking vast benefits and opportunities across vertical markets. However, there are still several barriers, such as a lack of consensus toward any reference models or best practices, hindering the full fusion of these technologies [A1]. To tackle these challenges and facilitate this promising transformation, this special issue was organized to provide a holistic multidisciplinary reference for solutions, architectures, protocols, services, and applications addressing all aspects of the future generation of IoT systems via the fusion of edge, cloud, AI, and blockchain, while considering the corresponding challenges. Thanks to the enormous support from the Editor-in-Chief, Prof. Honggang Wang, and the dedicated work of many reviewers, after a rigorous review process, 27 excellent articles out of 125 submissions were accepted for inclusion in this special issue of the IEEE Internet of Things Journal. We introduce these papers and highlight their key contributions below.</t>
  </si>
  <si>
    <t>https://ieeexplore.ieee.org/stamp/stamp.jsp?arnumber=10049217</t>
  </si>
  <si>
    <t>Special issues and sections;Internet of Things;Artificial intelligence;Computer architecture;Cloud computing;Blockchains;Best practices</t>
  </si>
  <si>
    <t>M. A. Rahman; Z. Tari; D. Zhu; F. Piccialli; X. Wang</t>
  </si>
  <si>
    <t>IEEE Access Special Section Editorial: Cloud-Fog-Edge Computing in Cyber‚ÄìPhysical‚ÄìSocial Systems (CPSS)</t>
  </si>
  <si>
    <t>10.1109/ACCESS.2020.3042584</t>
  </si>
  <si>
    <t>Faculty of Computing, University Malaysia Pahang, Gambang, Malaysia; Centre for Cyber Security Research and Innovation, Royal Melbourne Institute of Technology University, Melbourne, VIC, Australia; Department of Computer Science, The University of Texas at San Antonio, San Antonio, TX, USA; Department of Computer Science, University of Naples Federico II, Napoli, Italy; Department of Computer Science, St. Francis Xavier University, Antigonish, NS, Canada</t>
  </si>
  <si>
    <t>Cyber‚ÄìPhysical‚ÄìSocial Systems (CPSS) integrate the cyber, physical, and social spaces together. One of the ultimate goals of cyber‚Äìphysical‚Äìsocial systems is to make our lives more convenient and intelligent by providing prospective and personalized services for users. To achieve this goal, a wide range of data in CPSS are employed as the starting point for research, since the data contain the users‚Äô historical behavior trajectory and the users‚Äô demand preference. Generated and collected from social and physical spaces and integrated into the cyberspace, CPSS data are complex and heterogeneous, recording all aspects of users‚Äô lives in the forms of image, audio, video, and text. Generally, the collected or generated data in CPSS satisfy the 4Vs (volume, variety, velocity, and veracity) of big data. Thus, knowing how to deal with CPSS big data efficiently is the key to providing services for users. From another perspective, CPSS big data are specified as the global historical data and the local real-time data. Cloud computing, as a powerful paradigm for implementing the data-intensive applications, has an irreplaceable role in processing global historical data. On the other hand, with the increasing computing capacity and communication capabilities of mobile terminal devices, fog-edge computing, as an important and effective supplement of cloud computing, has been widely used to process local real-time data. Therefore, the question of how to systematically and efficiently process CPSS big data (including both the global historical data and the local real-time data) in CPSS has become the key for providing services. The goal of this Special Section is therefore to provide insights and views into the area of Cloud-Fog-Edge Computing in CPSS, as well as to provide directions for research in the field.</t>
  </si>
  <si>
    <t>https://ieeexplore.ieee.org/stamp/stamp.jsp?arnumber=9302565</t>
  </si>
  <si>
    <t>V. C. M. Leung; X. Wang; A. Jamalipour; X. Chen; S. Bouzefrane</t>
  </si>
  <si>
    <t>IEEE Access Special Section Editorial: Edge Computing and Networking for Ubiquitous AI</t>
  </si>
  <si>
    <t>10.1109/ACCESS.2021.3090143</t>
  </si>
  <si>
    <t>College of Computer Science and Software Engineering, Shenzhen University, Shenzhen, China; College of Intelligent Computing, Tianjin University, Tianjin, China; School of Electrical and Information Engineering, The University of Sydney, Sydney, NSW, Australia; School of Computer Science and Engineering, Sun Yat-sen University, Guangzhou, China; CEDRIC Lab, Conservatoire National des Arts et M√©tiers, Paris, France</t>
  </si>
  <si>
    <t>With its rapid development recently, edge computing with processing, storage, and networking capabilities has become an important solution to break through the bottleneck of emerging technology development by virtue of its advantages in reducing data transmission, decreasing service latency, and easing cloud computing pressure. Among several application scenarios such as network optimization, intelligent manufacturing, and real-time video analytics, edge computing can work with artificial intelligence (AI) synergistically. Therefore, many researchers are investigating edge computing with AI from two perspectives. One is that the emergence of AI solves the optimization problem of edge computing. For example, when network devices need to process some complex and fuzzy information, the powerful learning and reasoning ability of AI can help to extract valuable information from the massive data and realize intelligent management. Another is how edge computing supports AI in a networking environment. For example, AI training and inference can be efficiently enabled by a multitude of computing resources from edge computing. Therefore, edge computing and AI are mutually beneficial in networking.</t>
  </si>
  <si>
    <t>https://ieeexplore.ieee.org/stamp/stamp.jsp?arnumber=9467255</t>
  </si>
  <si>
    <t>B. Hu; L. Zhu; Q. Dong; K. Qian; H. Cai; F. Tian</t>
  </si>
  <si>
    <t>Physiological Electrosignal Asynchronous Acquisition Technology: Insight and Perspectives</t>
  </si>
  <si>
    <t>10.1109/TCSS.2024.3350958</t>
  </si>
  <si>
    <t>Ministry of Education Key Laboratory of Brain Health Intelligent Evaluation and Intervention, School of Medical Technology, Beijing Institute of Technology, Beijing, China; School of Medical Technology, Beijing Institute of Technology, Beijing, China; School of Medical Technology, Beijing Institute of Technology, Beijing, China; School of Medical Technology, Beijing Institute of Technology, Beijing, China; School of Information Science and Engineering, Lanzhou University, Lanzhou, China; School of Medical Technology, Beijing Institute of Technology, Beijing, China</t>
  </si>
  <si>
    <t>With great pride and enthusiasm, we present the inaugural edition of IEEE Transactions on Computational Social Systems (TCSS) for 2024. Reflecting on the year gone by, 2023 stands as a hallmark of academic excellence and prolific output, wherein our journal has successfully disseminated a substantial volume of scholarly work‚Äî301 articles encompassing approximately 3600 pages, distributed across six distinct issues.</t>
  </si>
  <si>
    <t>https://ieeexplore.ieee.org/stamp/stamp.jsp?arnumber=10414277</t>
  </si>
  <si>
    <t>C. -W. Tsai; M. -Y. Chen; F. Piccialli; T. Qiu; J. J. Jung; P. C. K. Hung; S. Zeadally</t>
  </si>
  <si>
    <t>IEEE Access Special Section Editorial: Data Mining for Internet of Things</t>
  </si>
  <si>
    <t>10.1109/ACCESS.2021.3090137</t>
  </si>
  <si>
    <t>Department of Computer Science and Engineering, National Sun Yat-sen University, Kaohsiung, Taiwan; Department of Engineering Science, National Cheng Kung University, Tainan, Taiwan; Department of Mathematics and Applications ‚ÄúR. Caccioppoli‚Äù, University of Naples Federico II (UNINA), Naples, Italy; School of Computer Science and Technology, Tianjin University, Tianjin, China; Department of Computer Engineering, Chung-Ang University, Seoul, South Korea; Faculty of Business and Information Technology, University of Ontario Institute of Technology, Oshawa, ON, Canada; College of Communication and Information, University of Kentucky, Lexington, KY, USA</t>
  </si>
  <si>
    <t>It is an irrefutable fact that the Internet of Things (IoT) will eventually change our daily lives because its applications and relevant technologies have been or will be penetrating our daily lives. Also, the IoT is aimed to connect all the things (e.g., devices and systems) together via the Internet, thus making it easy to collect the data of users or environments and to find out useful information from the gathered data by using data mining technologies. As a consequence, how intelligent systems are developed for the IoT has become a critical research topic today. This means that artificial intelligence (AI) technologies (e.g., supervised learning, unsupervised learning, and semi-supervised learning) were used in the development of intelligent systems for analyzing the data captured from IoT devices or making decisions for IoT systems. It can be easily seen that AI can make an IoT system more intelligent and thus more accurate. For example, various sensors can be used for a smart home system to pinpoint the location and analyze the behavior of a human; however, with AI technologies, a more accurate prediction can be provided on the two pieces of information of a human. One of the most important uses for AI technologies is to make IoT systems more intelligent in order to provide a more convenient environment for users; thus, how to use existing AI technologies or develop new AI technologies to construct a better IoT system has attracted the attention of researchers from different disciplines in recent years. That is why, besides using existing supervised, unsupervised, semi-supervised learning algorithms, data mining algorithms, and machine learning algorithms, several recent studies have also attempted to develop new intelligent methods for the devices or systems for the IoT. All these approaches for making an IoT system more intelligent can also be found in the articles of this Special Section.</t>
  </si>
  <si>
    <t>https://ieeexplore.ieee.org/stamp/stamp.jsp?arnumber=9467257</t>
  </si>
  <si>
    <t>C. X. Mavromoustakis; M. Mukherjee; G. Mastorakis; H. Song; M. Gorlatova; M. Aazam</t>
  </si>
  <si>
    <t>Guest Editorial Special Issue on Emerging Trends and Challenges in Fog Computing for IoT</t>
  </si>
  <si>
    <t>10.1109/JIOT.2020.2982520</t>
  </si>
  <si>
    <t>University of Nicosia, Nicosia, Cyprus; College of Artificial Intelligence, Nanjing University of Information Science and Technology, Nanjing, China; Department of Management Science and Technology, Hellenic Mediterranean University, Agios Nikolaos, Greece; Department of Electrical Engineering and Computer Science, Security and Optimization for Networked Globe Laboratory, Embry‚ÄìRiddle Aeronautical University, Daytona Beach, USA; Department of Electrical and Computer Engineering, Duke University, Durham, USA; Department of Computer Science, Carnegie Mellon University, Doha, Qatar</t>
  </si>
  <si>
    <t>With the emergence of the Internet of Things (IoT), billions of heterogeneous physical objects are connected through a network for collecting and sharing information, which can improve various aspects of daily lives, including smart living and transportation, and smart ambient environment, including smart city, smart home, smart agriculture, smart water, waste management, etc. The main objective of the IoT devices is to provide seamless services to the users without their intervention. The all-connected paradigm (i.e., connecting people, things, processes, and data in the network) is based on near Internet ubiquity and includes three types of communication: 1) machine-to-machine; 2) person-to-machine; and 3) person-to-person, and consists as the base for reliable services provision to the end devices at the edge. Fog paradigm implements effectively and efficiently the all-data requests to be shared in a reliable manner as fog implementations complement the cloud computing paradigm by extending computing and caching capabilities to the edges of the network, and it facilitates smart localization decisions and rapid responses. The wide range of IoT services calls for a disruptive, highly efficient, scalable, and flexible communication network able to cope with the increasing demands and the number of connected devices, as well as the diverse and stringent application requirements.</t>
  </si>
  <si>
    <t>https://ieeexplore.ieee.org/stamp/stamp.jsp?arnumber=9091965</t>
  </si>
  <si>
    <t>Special issues and sections;Edge computing;Smart devices;Smart homes;Smart cities;Machine-to-machine communication</t>
  </si>
  <si>
    <t>T. Taleb Aalto</t>
  </si>
  <si>
    <t>Sixth Edition of the IEEE JSAC Series on Network Softwarization and Enablers</t>
  </si>
  <si>
    <t>10.1109/JSAC.2020.2986666</t>
  </si>
  <si>
    <t>Department of Communications and Networking, School of Electrical Engineering, Aalto University, Espoo, Finland</t>
  </si>
  <si>
    <t>The emergence of 5G, the fifth generation of cellular technology, will have a huge impact on what seemed yesterday a figment of our imagination. Outperforming 4G download and upload by up to 100 times, and offering a more reliable connectivity will pave the way to make use-cases such as fully autonomous vehicles, safer and more reliable, all the while reducing the Capital Expenditure (CAPEX) and Operational Expenditure (OPEX).</t>
  </si>
  <si>
    <t>https://ieeexplore.ieee.org/stamp/stamp.jsp?arnumber=9098105</t>
  </si>
  <si>
    <t>Special issues and sections;5G mobile communication;Cellular networks;Heuristic algotithms;Routing;Privacy;Network function virtualization;Cloud computing;Software defined networking</t>
  </si>
  <si>
    <t>D. J. Pagliari; F. Schirrmeister; N. Bagherzadeh; E. Macii</t>
  </si>
  <si>
    <t>Guest Editorial: Thematic Section on Applications of Emerging Computing Technologies in Smart Manufacturing and Industry 4.0</t>
  </si>
  <si>
    <t>IEEE Transactions on Emerging Topics in Computing</t>
  </si>
  <si>
    <t>2168-6750</t>
  </si>
  <si>
    <t>10.1109/TETC.2022.3146784</t>
  </si>
  <si>
    <t>Politecnico di Torino, Torino, Italy; Cadence Design Systems Inc., San Jose, CA, USA; University of California, Irvine, Irvine, CA, USA; Politecnico di Torino, Torino, Italy</t>
  </si>
  <si>
    <t>The papers in this special section focus on applications of emerging computing technologies in smart manufacturing and Industry 4.0. Both of these paradigms are transforming factories into highly complex IT systems, generating massive amounts of data. The modeling and optimization of smart industrial processes, to support decision making, has consequently become a new application domain, with its own unique and peculiar issues, for some of the most prominent emerging technologies across the entire computing stack, from hardware and systems design to applicationlevel software. The massive data collection which forms the foundation of digital industries is enabled by increasingly complex and heterogeneous cyber physical systems (CPSs). Owing to that, the design of software for CPSs is receiving renewed interest from research and industry in relation to challenges such as managing variability and dependencies with an unprecedented degree of customization.</t>
  </si>
  <si>
    <t>https://ieeexplore.ieee.org/stamp/stamp.jsp?arnumber=9726694</t>
  </si>
  <si>
    <t>Special issues and sections;Smart manufacturing;Fourth Industrial Revolution;Artificial intelligence;Digital twin;Computational modeling;Production facilities;Manufacturing automation</t>
  </si>
  <si>
    <t>W. Yang; L. T. Yang; A. T. Chronopoulos</t>
  </si>
  <si>
    <t>Guest Editorial Special Issue on Smart IoT System: Opportunities by Linking Cloud, Edge, and AI</t>
  </si>
  <si>
    <t>10.1109/JIOT.2021.3092440</t>
  </si>
  <si>
    <t>Department of Computer Science and Technology, Hunan University, Changsha, China; Department of Computer Science, St. Francis Xavier University, Antigonish, Canada; Department of Computer Science, University of Texas at San Antonio, San Antonio, TX, USA</t>
  </si>
  <si>
    <t>Recently, the Internet of Things (IoT) technologies have made their entrances into many fields, such as smart city, healthcare, intelligent transportation, forest protection, and environmental monitoring.</t>
  </si>
  <si>
    <t>https://ieeexplore.ieee.org/stamp/stamp.jsp?arnumber=9507561</t>
  </si>
  <si>
    <t>Special issues and sections;Artificial intelligence;Internet of Things;Smart devices</t>
  </si>
  <si>
    <t>2019 Index IEEE Transactions on Parallel and Distributed Systems Vol. 30</t>
  </si>
  <si>
    <t>10.1109/TPDS.2019.2954077</t>
  </si>
  <si>
    <t>Presents the 2019 subject/author index for this publication.</t>
  </si>
  <si>
    <t>https://ieeexplore.ieee.org/stamp/stamp.jsp?arnumber=8938150</t>
  </si>
  <si>
    <t>10.1109/JIOT.2018.2858958</t>
  </si>
  <si>
    <t>Presents the table of contents for this issue of the publication.</t>
  </si>
  <si>
    <t>https://ieeexplore.ieee.org/stamp/stamp.jsp?arnumber=8430662</t>
  </si>
  <si>
    <t>A. Eskandarian</t>
  </si>
  <si>
    <t>Scanning the Issue</t>
  </si>
  <si>
    <t>10.1109/TITS.2023.3299370</t>
  </si>
  <si>
    <t>Dean, College of Engineering and William H. Goodwin Jr. Endowed Chair, Virginia Commonwealth University, Richmond, VA, USA</t>
  </si>
  <si>
    <t>Edge Intelligence in Intelligent Transportation Systems: A Survey T. Gong, L. Zhu, F. R. Yu, and T. Tang Edge intelligence (EI) is becoming one of the research hotspots among researchers, which is believed to help empower intelligent transportation systems (ITS). ITS generates a large amount of data at the network edge by millions of devices and sensors. Data-driven artificial intelligence (AI) is at the core of ITS development. By pushing the AI frontier to the network edge, EI enables ITS AI applications to have lower latency, higher security, less pressure on the backbone network, and better use of edge big data. This article surveys edge intelligence in intelligent transportation systems. The authors first introduce the challenges ITS faces and explain the motivation for using EI in ITS. They then explore the framework of using EI in ITS, including the EI-based ITS architecture, the data gathering and communication methods, the data processing and service delivery, and the performance indexes. The enabling technologies, such as AI models, the Internet of Things, and edge computing technologies used in EI-based ITS, are reviewed intensively. They discuss edge intelligence applications and research fields in ITS in depth. Typical application scenarios, such as autonomous driving, vehicular edge computing, intelligent vehicular transportation system, unmanned aerial vehicle (UAV) in ITS environment, and rail transportation control and management, are explored. The general platforms of EI, the EI training and inference in ITS, as well as the benchmark datasets, are introduced. Finally, they discuss some of the challenges and future directions of using EI in ITS.</t>
  </si>
  <si>
    <t>https://ieeexplore.ieee.org/stamp/stamp.jsp?arnumber=10235285</t>
  </si>
  <si>
    <t>2018 IndexIEEE Internet of Things JournalVol. 5</t>
  </si>
  <si>
    <t>10.1109/JIOT.2019.2894196</t>
  </si>
  <si>
    <t>Presents the 2018 subject/author index for this publication.</t>
  </si>
  <si>
    <t>https://ieeexplore.ieee.org/stamp/stamp.jsp?arnumber=8620612</t>
  </si>
  <si>
    <t>Article</t>
  </si>
  <si>
    <t>Fereira R.J.; Ranaweera C.; Lee K.; Schneider J.-G.</t>
  </si>
  <si>
    <t>Energy efficient resource management for real-time IoT applications</t>
  </si>
  <si>
    <t>10.1016/j.iot.2025.101515</t>
  </si>
  <si>
    <t>The Internet of Things (IoT) has a large and rapidly expanding number of deployed devices, which leads to a significant global energy consumption footprint. Diverse IoT use cases, including smart cities, smart grids, Industry 5.0, eHealth, and autonomous vehicles, are contributing to this increase in energy consumption. Optimising energy utilisation is crucial to sustaining the exponential growth of IoT applications, which demand stringent delays and latencies measured in milliseconds and microseconds. There are additional complexities with the emergence of edge, fog, and cloud computing and the need to manage the energy consumption at all the layers. In this paper, mechanisms that can be used to minimise energy consumption within an edge‚Äìfog‚Äìcloud IoT architecture for real-time IoT applications are being proposed. We investigate mechanisms for optimal node selection, primarily focusing on minimising energy usage while adhering to the Quality of Service (QoS) requirements of various IoT requests. The mechanisms include genetic, modified genetic, and delay-aware algorithms tailored explicitly for real-time IoT applications. We evaluated the proposed mechanisms using a simulation of diverse network scenarios. The results presented in the paper provide insight into balancing processing time and energy efficiency, which are critical considerations in sustainably developing IoT applications in an edge‚Äìfog‚Äìcloud IoT architecture. ¬© 2025 The Author(s)</t>
  </si>
  <si>
    <t>Convergence; Edge computing; Fog computing; IoT; Node selection; Resource allocation</t>
  </si>
  <si>
    <t>Fereira, Rolden John (58174507100); Ranaweera, Chathurika (54788352500); Lee, Kevin (35762723800); Schneider, Jean-Guy (7404423027)</t>
  </si>
  <si>
    <t>58174507100; 54788352500; 35762723800; 7404423027</t>
  </si>
  <si>
    <t>Internet of Things (The Netherlands)</t>
  </si>
  <si>
    <t>https://www.scopus.com/inward/record.uri?eid=2-s2.0-85216975149&amp;doi=10.1016%2fj.iot.2025.101515&amp;partnerID=40&amp;md5=414bee764528de04dbd1e5fc2160d04a</t>
  </si>
  <si>
    <t>Final</t>
  </si>
  <si>
    <t>All Open Access; Hybrid Gold Open Access</t>
  </si>
  <si>
    <t>2-s2.0-85216975149</t>
  </si>
  <si>
    <t>Kirchoff D.F.; Meyer V.; Calheiros R.N.; De Rose C.A.F.</t>
  </si>
  <si>
    <t>Evaluating machine learning prediction techniques and their impact on proactive resource provisioning for cloud environments</t>
  </si>
  <si>
    <t>10.1007/s11227-024-06303-6</t>
  </si>
  <si>
    <t>Cloud computing has several benefits over traditional systems, such as scalability and high availability. However, these benefits, to be eventuated, require efforts in the area of resource provisioning and scaling, to match resources to current and future demand, and this is not always trivial to achieve. Since workload may fluctuate substantially in cloud environments, over-provisioning is a common practice to avoid abrupt quality of service (QoS) drops that may result in service level agreement (SLA) violations, but at the price of increased provisioning costs and energy consumption. Workload prediction is one of the strategies by which efficiency and operational cost of a clouds can be improved. Therefore, in this paper, we show the potential benefits of a proactive resource provisioning scheme augmented by three of the most promising machine learning prediction techniques in this context, namely ARIMA, MLP, and GRU, that are known to be able to cope with the dynamic behavior of our target applications. We analyze the trade-off between resource consumption and quality of service using SLA violations in web workloads, considering real case provisioning requirements and constraints, extensively simulating and analyzing the impact of prediction and scaling intervals, and publishing all used tools and datasets to allow reproducibility. Simulation experiments with a proactive approach are executed using real traces from NASA and Wikipedia workloads and achieved a reduction of 40% in SLA violations on average when compared to a reactive approach, while reducing the provisioned resources by almost 3%. ¬© The Author(s), under exclusive licence to Springer Science+Business Media, LLC, part of Springer Nature 2024.</t>
  </si>
  <si>
    <t>Cloud computing; Machine learning; Resource management; Workload prediction</t>
  </si>
  <si>
    <t>Kirchoff, Dionatr√£ F. (57205188934); Meyer, Vin√≠cius (57209336662); Calheiros, Rodrigo N. (15769041200); De Rose, Cesar A. F. (14021022000)</t>
  </si>
  <si>
    <t>57205188934; 57209336662; 15769041200; 14021022000</t>
  </si>
  <si>
    <t>Journal of Supercomputing</t>
  </si>
  <si>
    <t>https://www.scopus.com/inward/record.uri?eid=2-s2.0-85196259358&amp;doi=10.1007%2fs11227-024-06303-6&amp;partnerID=40&amp;md5=1b3250d2bf954c22545856040f021980</t>
  </si>
  <si>
    <t>2-s2.0-85196259358</t>
  </si>
  <si>
    <t>Economic and social effects; Energy utilization; Forecasting; Machine learning; NASA; Quality of service; Cloud environments; Cloud-computing; Machine-learning; Prediction techniques; Quality-of-service; Resource management; Scalings; Servicelevel agreement (SLA); Traditional systems; Workload predictions; Cloud computing</t>
  </si>
  <si>
    <t>Zhang L.; Li Y.; Pan Y.; Ding L.</t>
  </si>
  <si>
    <t>Advanced informatic technologies for intelligent construction: A review</t>
  </si>
  <si>
    <t>10.1016/j.engappai.2024.109104</t>
  </si>
  <si>
    <t>Since there is a growing interest in driving the digital transformation of the construction industry, the goal of this paper is to provide a full picture and understanding of the emerging research front on intelligent construction. Through the quantitative and qualitative analysis, relevant pieces of literature are thoroughly reviewed to extract useful knowledge to raise awareness of intelligent construction, resulting in the summary of research status and the determination of future needs. In light of the research findings, the rapid development of intelligent construction follows the strategies of standardization, digitization, intellectualization, collaboration, greenization, and customization, which mainly support ‚Äú4S‚Äù technologies. The popular research topics covering intelligent engineering services for the project's full lifecycle (i.e., design, construction, operation, and maintenance) and even the city level have been deeply explored, which are proven to dramatically improve project efficiency, safety, and automation. Moreover, challenges exist in three potential paths for future research, including the digital twin-enabled engineering cloud platform, man-machine-environment interaction, great sustainability under carbon peaking and carbon neutrality goals. As for the practical value, a synthesized point of up-to-date reference is created to guide managers to promote intelligent construction in real-world engineering. ¬© 2024 Elsevier Ltd</t>
  </si>
  <si>
    <t>Construction automation and informatics; Critical review; Digital transformation; Intelligent construction</t>
  </si>
  <si>
    <t>Zhang, Limao (55271615200); Li, Yongsheng (57222116346); Pan, Yue (57205735838); Ding, Lieyun (8909046000)</t>
  </si>
  <si>
    <t>55271615200; 57222116346; 57205735838; 8909046000</t>
  </si>
  <si>
    <t>Engineering Applications of Artificial Intelligence</t>
  </si>
  <si>
    <t>https://www.scopus.com/inward/record.uri?eid=2-s2.0-85202348837&amp;doi=10.1016%2fj.engappai.2024.109104&amp;partnerID=40&amp;md5=d22665c2cec0fbe7c7460bbe78b633b1</t>
  </si>
  <si>
    <t>2-s2.0-85202348837</t>
  </si>
  <si>
    <t>Construction automation; Construction automation and informatic; Critical review; Digital transformation; Digitisation; Informatics; Intelligent constructions; Quantitative and qualitative analysis; Research front; Research status</t>
  </si>
  <si>
    <t>F√© I.; Nguyen T.A.; Mauro M.D.; Postiglione F.; Ramos A.; Soares A.; Choi E.; Min D.; Lee J.W.; Silva F.A.</t>
  </si>
  <si>
    <t>Energy-aware dynamic response and efficient consolidation strategies for disaster survivability of cloud microservices architecture</t>
  </si>
  <si>
    <t>10.1007/s00607-024-01305-x</t>
  </si>
  <si>
    <t>Computer system resilience refers to the ability of a computer system to continue functioning even in the face of unexpected events or disruptions. These disruptions can be caused by a variety of factors, such as hardware failures, software glitches, cyber attacks, or even natural disasters. Modern computational environments need applications that can recover quickly from major disruptions while also being environmentally sustainable. Balancing system resilience with energy efficiency is challenging, as efforts to improve one can harm the other. This paper presents a method to enhance disaster survivability in microservice architectures, particularly those using Kubernetes in cloud-based environments, focusing on optimizing electrical energy use. Aiming to save energy, our work adopt the consolidation strategy that means grouping multiple microservices on a single host. Our aproach uses a widely adopted analytical model, the Generalized Stochastic Petri Net (GSPN). GSPN are a powerful modeling technique that is widely used in various fields, including engineering, computer science, and operations research. One of the primary advantages of GSPN is its ability to model complex systems with a high degree of accuracy. Additionally, GSPN allows for the modeling of both logical and stochastic behavior, making it ideal for systems that involve a combination of both. Our GSPN models compute a number of metrics such as: recovery time, system availability, reliability, Mean Time to Failure, and the configuration of cloud-based microservices. We compared our approach against others focusing on survivability or efficiency. Our approach aligns with Recovery Time Objectives during sudden disasters and offers the fastest recovery, requiring 9% less warning time to fully recover in cases of disaster with alert when compared to strategies with similar electrical consumption. It also saves about 27% energy compared to low consolidation strategies and 5% against high consolidation under static conditions. ¬© The Author(s), under exclusive licence to Springer-Verlag GmbH Austria, part of Springer Nature 2024.</t>
  </si>
  <si>
    <t>68M14; 68M15; 68U01; Availability; Microservices; Petri nets; Reliability; Survivabiliry</t>
  </si>
  <si>
    <t>F√©, Iure (57194271358); Nguyen, Tuan Anh (56433780500); Mauro, Mario Di (54396864500); Postiglione, Fabio (35238137800); Ramos, Alex (59175549600); Soares, Andr√© (57217263565); Choi, Eunmi (8969714200); Min, Dugki (7201670327); Lee, Jae Woo (57203409283); Silva, Francisco Airton (55817259800)</t>
  </si>
  <si>
    <t>57194271358; 56433780500; 54396864500; 35238137800; 59175549600; 57217263565; 8969714200; 7201670327; 57203409283; 55817259800</t>
  </si>
  <si>
    <t>Computing</t>
  </si>
  <si>
    <t>https://www.scopus.com/inward/record.uri?eid=2-s2.0-85196171876&amp;doi=10.1007%2fs00607-024-01305-x&amp;partnerID=40&amp;md5=b5b1962d30b5b522305b7d006316c20a</t>
  </si>
  <si>
    <t>2-s2.0-85196171876</t>
  </si>
  <si>
    <t>Balancing; Energy efficiency; Network security; Petri nets; Power management; Recovery; Stochastic models; Stochastic systems; 68m14; 68m15; 68u01; Cloud-based; Energy aware; Generalized Stochastic Petri nets; Microservice; Survivabiliry; System resiliences; Unexpected events; Disasters</t>
  </si>
  <si>
    <t>Arunachalam A.R.; Jusoh Y.Y.; Abdullah R.; Umarova Z.; Akhmetova S.; Iztayev Z.; Zhumatayev N.</t>
  </si>
  <si>
    <t>Sustainability dimensions in enhancing the energy and resource efficiency of big data systems</t>
  </si>
  <si>
    <t>10.11591/eei.v13i6.8052</t>
  </si>
  <si>
    <t>Big data systems are essential for many businesses to grow, leveraging the vast amounts of data they generate and access. However, big data systems are plagued by significant sustainability challenges. Thus, this study aims to identify metrics that can measure the sustainability of big data systems. This research conducted a comprehensive literature review to identify five key sustainability dimensions: technical, environmental, economic, social, and individual. Then, a set of 29 metrics corresponding to these dimensions was developed. To ensure the relevance and applicability of these metrics, an expert validation session was carried out with five experts in the big data field. The validation process confirmed the appropriateness of our proposed metrics and modification take place. The findings of this study present 30 metrics upon experts‚Äô validation that could enhance the sustainability of big data systems, offering meaningful insights for researchers and practitioners aiming to enhance resource and energy efficiency in this domain. ¬© 2024, Institute of Advanced Engineering and Science. All rights reserved.</t>
  </si>
  <si>
    <t>Big data; Big data systems; Energy efficiency; Resource efficiency; Sustainability dimensions; Sustainability of big data systems</t>
  </si>
  <si>
    <t>Arunachalam, Aishwharya Raani (58416402700); Jusoh, Yusmadi Yah (36147542500); Abdullah, Rusli (24483156100); Umarova, Zhanat (54421451100); Akhmetova, Sabira (57219609293); Iztayev, Zhalgasbek (57210978230); Zhumatayev, Nurlybek (39862549300)</t>
  </si>
  <si>
    <t>58416402700; 36147542500; 24483156100; 54421451100; 57219609293; 57210978230; 39862549300</t>
  </si>
  <si>
    <t>Bulletin of Electrical Engineering and Informatics</t>
  </si>
  <si>
    <t>https://www.scopus.com/inward/record.uri?eid=2-s2.0-85212232367&amp;doi=10.11591%2feei.v13i6.8052&amp;partnerID=40&amp;md5=d48f90f08a5d7424f7ec328ab6cfa516</t>
  </si>
  <si>
    <t>2-s2.0-85212232367</t>
  </si>
  <si>
    <t>Garc√≠a-Gil S.; Ramos-Ramos D.; Berrocal J.; Murillo J.M.; Gal√°n-Jim√©nez J.</t>
  </si>
  <si>
    <t>Microservices migration: A pathway to improved energy efficiency in UAV networks</t>
  </si>
  <si>
    <t>10.1016/j.iot.2024.101463</t>
  </si>
  <si>
    <t>The access to Internet and digital services play a key role in all aspects of development, from the economic to the socio-cultural dimensions, yet a substantial part of the world's population is deprived of this source of opportunities. Rural regions, characterized by having low population densities, suffer this lack of provision the most. On top of that, the remoteness and complicated orography of rural localities render traditional network infrastructure close to useless. To ensure that these localities benefit from access to digital services and to the Internet, we envision the use of swarms of Unmanned Aerial Vehicles (UAVs). Through computing enabled UAVs, the deployment of IoT applications decomposed into microservices that have an impact in the main socio-economic activities becomes a possibility. However, UAVs consume a lot of battery power, which complicates the feasibility of their use in real-world environments. To overcome this limitation, in this paper the energy optimal deployment and migration of microservices is studied, resulting in an Mix Integer Linear Programming (MILP) problem formulation. As a result, an optimal battery drain aware deployer and migrator of microservices in UAV-based networks is proposed. Our method has proved effective during the simulation, perfectly balancing the work load between UAVs, thus balancing also battery drain and maximizing fly time. ¬© 2024 Elsevier B.V.</t>
  </si>
  <si>
    <t>Energy efficiency; IoT; Microservices migration; UAV</t>
  </si>
  <si>
    <t>Garc√≠a-Gil, Santiago (58915641800); Ramos-Ramos, Diego (59246875200); Berrocal, Javier (32667521200); Murillo, Juan Manuel (8687210000); Gal√°n-Jim√©nez, Jaime (35112903800)</t>
  </si>
  <si>
    <t>58915641800; 59246875200; 32667521200; 8687210000; 35112903800</t>
  </si>
  <si>
    <t>https://www.scopus.com/inward/record.uri?eid=2-s2.0-85214268619&amp;doi=10.1016%2fj.iot.2024.101463&amp;partnerID=40&amp;md5=107bbb09a175161e54cf7f77128e30f3</t>
  </si>
  <si>
    <t>2-s2.0-85214268619</t>
  </si>
  <si>
    <t>Andreou A.; Mavromoustakis C.X.; Markakis E.; Bourdena A.; Mastorakis G.</t>
  </si>
  <si>
    <t>On the Synergy of IoMT Devices and Ceiling-Mounted Systems for Advanced Medical Data Analytics</t>
  </si>
  <si>
    <t>10.1109/ACCESS.2025.3546495</t>
  </si>
  <si>
    <t>The article explores a novel framework that combines Ceiling-Mounted Systems (CMS) and Internet of Medical Things (IoMT) devices to address critical challenges in healthcare data management. By leveraging the capabilities of IoMT devices for real-time data collection, the proposed CMS's robust sensing, storage, and processing features support efficient resource allocation in hospital environments. The proposed approach achieves approximately 35% reduction in latency, a 25% improvement in energy efficiency, and a 40% decrease in Age of Information (AoI) compared to traditional frameworks. The multi-objective optimization problem minimizes energy consumption and latency while ensuring fairness and timely data collection, which is particularly critical in patient monitoring and time-sensitive diagnostics scenarios. Deep Reinforcement Learning (DRL) methods solve the resource allocation challenge under realistic constraints. Specifically, Twin-Delayed Deep Deterministic Policy Gradients (TD3) and Soft Actor-Critic (SAC) algorithms are adopted to optimize task scheduling and system decisions in dynamic, resource-constrained settings. Simulation results demonstrate that SAC achieves approximately 20% faster convergence and 15% better adaptability in dynamic hospital environments compared to TD3, making it more suitable for real-time healthcare applications. These findings underscore the benefits of integrating IoMT devices with the proposed CMS infrastructures to meet healthcare requirements, such as robust security, high reliability, and real-time responsiveness. ¬© 2013 IEEE.</t>
  </si>
  <si>
    <t>Age of Information; Deep reinforcement learning; Internet of Medical Things; Low latency communication; Resource allocation</t>
  </si>
  <si>
    <t>Andreou, Andreas (57208713892); Mavromoustakis, Constandinos X. (6602882785); Markakis, Evangelos (7006033121); Bourdena, Athina (36068862200); Mastorakis, George (13205568300)</t>
  </si>
  <si>
    <t>57208713892; 6602882785; 7006033121; 36068862200; 13205568300</t>
  </si>
  <si>
    <t>https://www.scopus.com/inward/record.uri?eid=2-s2.0-85219398739&amp;doi=10.1109%2fACCESS.2025.3546495&amp;partnerID=40&amp;md5=cd50ea157b61077d6797b4163e7f1aaf</t>
  </si>
  <si>
    <t>Article in press</t>
  </si>
  <si>
    <t>2-s2.0-85219398739</t>
  </si>
  <si>
    <t>Diagnosis; Hospital data processing; Network security; Reinforcement learning; Resource allocation; Age of information; Ceiling-mounted; Critical challenges; Data analytics; Hospital environment; Internet of medical thing; Low-latency communication; Medical data; Reinforcement learnings; Resources allocation; Deep reinforcement learning</t>
  </si>
  <si>
    <t>Yu T.; Liang M.; Luo Q.; Lan C.; Wang Y.; Pan Z.</t>
  </si>
  <si>
    <t>Key Technologies and Perspectives of Specialized Sensing and Edge Intelligence for New Power Systems; [Êñ∞ÂûãÁîµÂäõÁ≥ªÁªü‰∏ìÁî®‰º†ÊÑü‰∏éËæπÁºòÊô∫ËÉΩÂÖ≥ÈîÆÊäÄÊúØÂèäÂÖ∂Â±ïÊúõ]</t>
  </si>
  <si>
    <t>10.13336/j.1003-6520.hve.20240676</t>
  </si>
  <si>
    <t>The internet of things plays a significant role in real-time sensing, transparent perception and global regulation of power systems. With the continuous development of new power systems, the traditional device sensing and static independent intelligent systems are difficult to cope with problems such as the proliferation of varied business requirements, explosive growth of diversified data, poor communication reliability and low energy efficiency of sensors, and high cost of iteration algorithmic modelling. Therefore, it is anticipated that the new power systems, which is characterized by its specialized sensing and edge intelligence, will become the new paradigm, and the system is highly multifaceted and integrated, environmentally friendly and continuously reliable, with deep cloud-edge-end synergy. We constructed the system architecture of fusion and coherence of specialized sensing and edge intelligence on the basis of the fundamental connotation of these two elements in a new power system. Then, we emphatically discussed the key technologies, such as localized high-frequency new sensing technology, high-performance embedded chip technology with green energy supply, high-reliability flexible networking technology, lightweight model inference technology, cloud-edge collaborative resource sharing technology, and online learning continuous iteration technology. Finally, to provide a reference for the construction of new power systems, we put forward the future development directions of specialized sensing and edge intelligence in terms of data governance, privacy protection, software-defined hardware, business arithmetic microservices, multi-layer distributed ubiquitous intelligence, and power grand modelling. ¬© 2024 Science Press. All rights reserved.</t>
  </si>
  <si>
    <t>cloud-edge collaboration; edge intelligence; internet of things; new power systems; specialized sensing</t>
  </si>
  <si>
    <t>Yu, Tao (56454665900); Liang, Minhang (57222251791); Luo, Qingquan (57739449800); Lan, Chaofan (57211030361); Wang, Yipeng (58064050000); Pan, Zhenning (57195105695)</t>
  </si>
  <si>
    <t>56454665900; 57222251791; 57739449800; 57211030361; 58064050000; 57195105695</t>
  </si>
  <si>
    <t>Gaodianya Jishu/High Voltage Engineering</t>
  </si>
  <si>
    <t>https://www.scopus.com/inward/record.uri?eid=2-s2.0-85202025131&amp;doi=10.13336%2fj.1003-6520.hve.20240676&amp;partnerID=40&amp;md5=239bf5121c827a9c1ea00022b5e0b39e</t>
  </si>
  <si>
    <t>2-s2.0-85202025131</t>
  </si>
  <si>
    <t>Continuous time systems; Cloud-edge collaboration; Continuous development; Edge intelligence; Global regulation; Key technologies; New power system; Power; Real time sensing; Specialized sensing; Traditional devices</t>
  </si>
  <si>
    <t>Rajagopal S.M.; M. S.; Buyya R.</t>
  </si>
  <si>
    <t>Leveraging blockchain and federated learning in Edge-Fog-Cloud computing environments for intelligent decision-making with ECG data in IoT</t>
  </si>
  <si>
    <t>10.1016/j.jnca.2024.104037</t>
  </si>
  <si>
    <t>Blockchain technology combined with Federated Learning (FL) offers a promising solution for enhancing privacy, security, and efficiency in medical IoT applications across edge, fog, and cloud computing environments. This approach enables multiple medical IoT devices at the network edge to collaboratively train a global machine learning model without sharing raw data, addressing privacy concerns associated with centralized data storage. This paper presents a blockchain and FL-based Smart Decision Making framework for ECG data in microservice-based IoT medical applications. Leveraging edge/fog computing for real-time critical applications, the framework implements a FL model across edge, fog, and cloud layers. Evaluation criteria including energy consumption, latency, execution time, cost, and network usage show that edge-based deployment outperforms fog and cloud, with significant advantages in energy consumption (0.1% vs. Fog, 0.9% vs. Cloud), network usage (1.1% vs. Fog, 31% vs. Cloud), cost (3% vs. Fog, 20% vs. Cloud), execution time (16% vs. Fog, 28% vs. Cloud), and latency (1% vs. Fog, 79% vs. Cloud). ¬© 2024</t>
  </si>
  <si>
    <t>Blockchain; Edge computing; Federated learning; Fog computing; Internet of Things</t>
  </si>
  <si>
    <t>Rajagopal, Shinu M. (58199758200); M., Supriya (57191565393); Buyya, Rajkumar (57194845546)</t>
  </si>
  <si>
    <t>58199758200; 57191565393; 57194845546</t>
  </si>
  <si>
    <t>Journal of Network and Computer Applications</t>
  </si>
  <si>
    <t>https://www.scopus.com/inward/record.uri?eid=2-s2.0-85207594082&amp;doi=10.1016%2fj.jnca.2024.104037&amp;partnerID=40&amp;md5=b7521e9ce67967c3b534d3a91d452635</t>
  </si>
  <si>
    <t>2-s2.0-85207594082</t>
  </si>
  <si>
    <t>Fog computing; Block-chain; Cloud computing environments; ECG data; Edge computing; Energy-consumption; Intelligent decision-making; Machine learning models; Network edges; Network usage; Privacy concerns; Federated learning</t>
  </si>
  <si>
    <t>Wang H.; Yu C.; Zheng J.; Jia Y.; Liu Z.; Yang K.</t>
  </si>
  <si>
    <t>Digital-Twin-Based Operation and Maintenance Management Method for Large Underground Spaces</t>
  </si>
  <si>
    <t>10.3390/buildings14082577</t>
  </si>
  <si>
    <t>Large underground spaces are complex and huge, with problems such as fragmented data that cannot be shared, outdated management methods, and high operation and maintenance costs. The digitization of building information and the use of digital twin technology can effectively improve the efficiency of building operation and maintenance. Using information technology to build a digital-twin-based operation and maintenance management system, the huge and discrete data and equipment system information are effectively integrated and explored for application. First, we analyze the shortcomings of the traditional delivery and operation and maintenance methods and introduce the necessity of a new method of operation and maintenance management based on digital twin; then, we divide the operation and maintenance information of the construction project into four major categories of spatial information and eight major categories of equipment information and complete the coding work, and the categorized data serve as the data basis for operation and maintenance; second, we develop a digital twin operation and maintenance management platform based on the operation and maintenance data of BIM; finally, we carry out case validation for the three major constructions. Finally, case validation is carried out for three major buildings and a large underground space and the practical application shows that the operation and maintenance management system based on digital twin technology provides technical guarantee for decentralized information and system integration management and the information management quality and efficiency of the operation and maintenance process are effectively improved. Through the practice of summarizing the experience, which is worth learning, we aim to create a large underground space operation and maintenance management method to provide a reference. ¬© 2024 by the authors.</t>
  </si>
  <si>
    <t>Building Information Modeling (BIM); data driven; digital delivery; operations and maintenance management; smart buildings</t>
  </si>
  <si>
    <t>Wang, Haitao (59210583100); Yu, Caizhao (59210583000); Zheng, Jiarong (59302635400); Jia, Yihong (59302707200); Liu, Zhansheng (57191688199); Yang, Kai (59302439000)</t>
  </si>
  <si>
    <t>59210583100; 59210583000; 59302635400; 59302707200; 57191688199; 59302439000</t>
  </si>
  <si>
    <t>Buildings</t>
  </si>
  <si>
    <t>https://www.scopus.com/inward/record.uri?eid=2-s2.0-85202444239&amp;doi=10.3390%2fbuildings14082577&amp;partnerID=40&amp;md5=dfe9a7846ac48629c2988f267029ab74</t>
  </si>
  <si>
    <t>All Open Access; Gold Open Access</t>
  </si>
  <si>
    <t>2-s2.0-85202444239</t>
  </si>
  <si>
    <t>Information management; Mortar; Project management; Underground equipment; Building information modeling; Building Information Modelling; Data driven; Digital delivery; Maintenance management; Management method; Operation management; Operation management system; Operations and maintenance; Underground space; Efficiency</t>
  </si>
  <si>
    <t>Lyu L.; Qiao Z.; Dai Y.; Cheng N.; Chen C.; Guan X.; Shen X.</t>
  </si>
  <si>
    <t>AGV-Assisted Adaptive Cooperative Transmission for State Estimation in Industrial IoT Systems</t>
  </si>
  <si>
    <t>10.1109/TVT.2024.3472030</t>
  </si>
  <si>
    <t>The wide application of Internet of Things (IoT) technology in industrial automation promotes the emergence of industrial IoT systems, in which state estimation plays a crucial role in conjecturing system states with sensory data delivered over wireless channels. In this paper, we propose an automated guided vehicle (AGV)-assisted adaptive cooperative transmission scheme to minimize the mean square error of state estimation at a low energy cost. Specifically, a novel performance index, estimation gain, is introduced to evaluate the benefit of scheduling one sensor for estimation error reduction. Then, sensor scheduling and data transmission are jointly optimized to minimize the time-accumulated estimation error, which is challenging to directly solve due to the unclear impact of imperfect transmission on estimation performance. To this end, an estimation gain-based algorithm is designed to determine the scheduled sensors. Besides, an iterative algorithm is designed to solve the adaptive cooperative transmission problem. Simulation results show that the proposed scheme outperforms benchmark schemes in reducing estimation error and energy consumption. ¬© 2024 IEEE.</t>
  </si>
  <si>
    <t>AGV; cooperative transmission; industrial IoT systems; sensor scheduling; state estimation</t>
  </si>
  <si>
    <t>Lyu, Ling (57189042182); Qiao, Zexin (58629498700); Dai, Yanpeng (57189261159); Cheng, Nan (55697440000); Chen, Cailian (10040511200); Guan, Xinping (57392292000); Shen, Xuemin (58094942200)</t>
  </si>
  <si>
    <t>57189042182; 58629498700; 57189261159; 55697440000; 10040511200; 57392292000; 58094942200</t>
  </si>
  <si>
    <t>https://www.scopus.com/inward/record.uri?eid=2-s2.0-85205830375&amp;doi=10.1109%2fTVT.2024.3472030&amp;partnerID=40&amp;md5=a550fdfb327987225ae17c271a929d57</t>
  </si>
  <si>
    <t>2-s2.0-85205830375</t>
  </si>
  <si>
    <t>Automatic guided vehicles; Benchmarking; Channel estimation; Scheduling algorithms; State estimation; Automated guided vehicles; Cooperative transmission; Estimation errors; Industrial automation; Industrial internet of thing system; Internet of things technologies; Sensor scheduling; Sensory data; System state; Wireless channel; Energy utilization</t>
  </si>
  <si>
    <t>Javaid S.; Khalil R.A.; Saeed N.; He B.; Alouini M.-S.</t>
  </si>
  <si>
    <t>Leveraging Large Language Models for Integrated Satellite-Aerial-Terrestrial Networks: Recent Advances and Future Directions</t>
  </si>
  <si>
    <t>10.1109/OJCOMS.2024.3522103</t>
  </si>
  <si>
    <t>Integrated satellite, aerial, and terrestrial networks (ISATNs) represent a sophisticated convergence of diverse communication technologies to ensure seamless connectivity across different altitudes and platforms. This paper explores the transformative potential of integrating Large Language Models (LLMs) into ISATNs, leveraging advanced Artificial Intelligence (AI) and Machine Learning (ML) capabilities to enhance these networks. We outline the current architecture of ISATNs and highlight the significant role LLMs can play in optimizing data flow, signal processing, and network management to advance 5G/6G communication technologies through advanced predictive algorithms and real-time decision-making. A comprehensive analysis of ISATN components is conducted, assessing how LLMs can effectively address traditional data transmission and processing bottlenecks. The paper delves into the network management challenges within ISATNs, emphasizing the necessity for sophisticated resource allocation strategies, traffic routing, and security management to ensure seamless connectivity and optimal performance under varying conditions. Furthermore, we examine the technical challenges and limitations associated with integrating LLMs into ISATNs, such as data integration for LLM processing, scalability issues, latency in decision-making processes, and the design of robust, fault-tolerant systems. The study also identifies critical future research directions for fully harnessing LLM capabilities in ISATNs, which is important for enhancing network reliability, optimizing performance, and achieving a truly interconnected and intelligent global network system.  ¬© 2020 IEEE.</t>
  </si>
  <si>
    <t>5G/6G communication; Integrated satellite-aerial-terrestrial networks; intelligent networks; large language models; resource allocation</t>
  </si>
  <si>
    <t>Javaid, Shumaila (57212490992); Khalil, Ruhul Amin (55546442400); Saeed, Nasir (56622571900); He, Bin (57421744300); Alouini, Mohamed-Slim (35570711700)</t>
  </si>
  <si>
    <t>57212490992; 55546442400; 56622571900; 57421744300; 35570711700</t>
  </si>
  <si>
    <t>https://www.scopus.com/inward/record.uri?eid=2-s2.0-85213485954&amp;doi=10.1109%2fOJCOMS.2024.3522103&amp;partnerID=40&amp;md5=6c24eb998351a18fa5595a9a0f8ad707</t>
  </si>
  <si>
    <t>All Open Access; Gold Open Access; Green Open Access</t>
  </si>
  <si>
    <t>2-s2.0-85213485954</t>
  </si>
  <si>
    <t>5G mobile communication systems; Aircraft communication; Distributed database systems; Fault tolerant computer systems; Finance; Network security; Resource allocation; Risk management; SGML; 5g/6g communication; Aerial networks; Communicationtechnology; Integrated satellite-aerial-terrestrial network; Language model; Large language model; Resources allocation; Satellite network; Seamless connectivity; Terrestrial networks; Decision making</t>
  </si>
  <si>
    <t>Wang F.; Wen X.; Li L.; Wen Y.; Zhang S.; Liu Y.</t>
  </si>
  <si>
    <t>Cloud-Edge-End Collaborative Multi-Service Resource Management for IoT-Based Distribution Grid</t>
  </si>
  <si>
    <t>10.1587/transfun.2024EAP1011</t>
  </si>
  <si>
    <t>E107.A</t>
  </si>
  <si>
    <t>The rapid advancement of cloud-edge-end collaboration offers a feasible solution to realize low-delay and low-energy-consumption data processing for internet of things (IoT)-based smart distribution grid. The major concern of cloud-edge-end collaboration lies on resource management. However, the joint optimization of heterogeneous resources involves multiple timescales, and the optimization decisions of different timescales are intertwined. In addition, burst electromagnetic interference will affect the channel environment of the distribution grid, leading to inaccuracies in optimization decisions, which can result in negative influences such as slow convergence and strong fluctuations. Hence, we propose a cloud-edge-end collaborative multi-timescale multi-service resource management algorithm. Large-timescale device scheduling is optimized by sliding window pricing matching, which enables accurate matching estimation and effective conflict elimination. Small-timescale compression level selection and power control are jointly optimized by disturbance-robust upper confidence bound (UCB), which perceives the presence of electromagnetic interference and adjusts exploration tendency for convergence improvement. Simulation outcomes illustrate the excellent performance of the proposed algorithm. Copyright ¬© 2024 The Institute of Electronics, Information and Communication Engineers.</t>
  </si>
  <si>
    <t>cloud-edge-device collaboration; distribution grid; disturbance-robust UCB; IoT; resource management; sliding window pricing matching</t>
  </si>
  <si>
    <t>Wang, Feng (58987622800); Wen, Xiangyu (58593141200); Li, Lisheng (56083342900); Wen, Yan (57889981600); Zhang, Shidong (36769989900); Liu, Yang (57215700345)</t>
  </si>
  <si>
    <t>58987622800; 58593141200; 56083342900; 57889981600; 36769989900; 57215700345</t>
  </si>
  <si>
    <t>IEICE Transactions on Fundamentals of Electronics, Communications and Computer Sciences</t>
  </si>
  <si>
    <t>https://www.scopus.com/inward/record.uri?eid=2-s2.0-85204287093&amp;doi=10.1587%2ftransfun.2024EAP1011&amp;partnerID=40&amp;md5=adf796170c906e489ae7f82a2bd6c04a</t>
  </si>
  <si>
    <t>All Open Access; Bronze Open Access</t>
  </si>
  <si>
    <t>2-s2.0-85204287093</t>
  </si>
  <si>
    <t>Cloud platforms; Resource allocation; Cloud-edge-device collaboration; Device collaboration; Distribution grid; Disturbance-robust upper confidence bound; Matchings; Resource management; Sliding Window; Sliding window pricing matching; Time-scales; Upper confidence bound; Light interference</t>
  </si>
  <si>
    <t>Jin H.; Jeon G.; Aneka Choi H.W.; Jeon S.; Seo J.T.</t>
  </si>
  <si>
    <t>A threat modeling framework for IoT-Based botnet attacks</t>
  </si>
  <si>
    <t>10.1016/j.heliyon.2024.e39192</t>
  </si>
  <si>
    <t>Internet of Things (IoT) devices are much closer to users than personal computers used in traditional computing environments. Due to prevalence of IoT devices, even if they are compromised and used in attacks, it is difficult to detect and respond to them. Currently, there has been extensive research on threat modeling for cyberattacks. However, there remains a significant gap in research concerning threat modeling for attacks specially targeting IoT devices within the fifth-generation communication environment. In this paper, we present IoT Targeting-Threat Modeling(I3TM) framework established by analyzing botnets that are appeared before 2021 such as Mirai, Pink etc. Through this framework, we identify tactics and techniques to respond to the attacks. Using the identified tactics and techniques from our proposed framework, we can promptly respond to the newly detected attacks. We constructed a Threat Modeling Framework Keyword-Based Metrics to show extracted keywords from reports, academic papers, and white paper that identifies the features of botnet. We also provide an objective way to apply those keywords to the framework. Our framework is organized to analyze the attack process of botnets that may occur against IoT. The framework derives execution for each tactic for objective analysis based on keywords. In the validation for the framework, I3TM identified eight Tactics from Medusa botnet. If the application of the I3TM framework is continuously accumulated, a baseline of similar attack methods and data will be formed. In future research, we are planning to append mitigations for the attacks targeting IoT to the I3TM framework. ¬© 2024</t>
  </si>
  <si>
    <t>Botnet; I3TM; IoT; Threat modeling framework</t>
  </si>
  <si>
    <t>Jin, Hojun (59352002500); Jeon, GyuHyun (59351774300); Aneka Choi, Hee Won (59367671200); Jeon, Seungho (57214781958); Seo, Jung Taek (57211702744)</t>
  </si>
  <si>
    <t>59352002500; 59351774300; 59367671200; 57214781958; 57211702744</t>
  </si>
  <si>
    <t>Heliyon</t>
  </si>
  <si>
    <t>e39192</t>
  </si>
  <si>
    <t>https://www.scopus.com/inward/record.uri?eid=2-s2.0-85206474253&amp;doi=10.1016%2fj.heliyon.2024.e39192&amp;partnerID=40&amp;md5=2889c8de31bbe9b461461e5ece9abe50</t>
  </si>
  <si>
    <t>2-s2.0-85206474253</t>
  </si>
  <si>
    <t>Kumar V.; Sharma K.V.; Kedam N.; Patel A.; Kate T.R.; Rathnayake U.</t>
  </si>
  <si>
    <t>A comprehensive review on smart and sustainable agriculture using IoT technologies</t>
  </si>
  <si>
    <t>10.1016/j.atech.2024.100487</t>
  </si>
  <si>
    <t>The article provides a comprehensive review of the use of the Internet of Things (IoT) in agriculture, along with its advantages and disadvantages. However, it's important to recognize that IoT holds immense potential for generating new ideas that could drive innovations in modern agriculture and address several challenges faced by farmers today. Applications such as smart irrigation, precision farming, crop and soil tracking, smart greenhouses, supply chain management, livestock monitoring, agricultural drones, pest and disease prevention, and farm machinery are among the areas considered for IoT implementation in agriculture by this paper. These innovative solutions have the potential to revolutionize farming practices, improve efficiency, reduce resource wastage, and ultimately enhance agricultural productivity and sustainability. The analysis examines each application in terms of its utility and outlines measures necessary to enhance its effectiveness. Key considerations include addressing connectivity issues, managing costs, ensuring data security and privacy, scaling solutions appropriately, effectively managing data, and promoting awareness and adoption of IoT tools. Despite these challenges, IoT offers numerous benefits to the agricultural sector. The paper underscores the importance of collaboration among farmers, IoT technology companies, academia, and policymakers to address these issues and fully harness the potential of IoT. To achieve this goal, ongoing research, development, and acceptance of IoT-driven solutions are essential to sustain agriculture as a viable option amidst emerging challenges such as climate change and resource scarcity. ¬© 2024</t>
  </si>
  <si>
    <t>Agriculture; Crop monitoring; IoT; Precision farming; Smart irrigation</t>
  </si>
  <si>
    <t>Kumar, Vijendra (57197697241); Sharma, Kul Vaibhav (57209419940); Kedam, Naresh (57188971534); Patel, Anant (57220024457); Kate, Tanmay Ram (59167981600); Rathnayake, Upaka (57211021071)</t>
  </si>
  <si>
    <t>57197697241; 57209419940; 57188971534; 57220024457; 59167981600; 57211021071</t>
  </si>
  <si>
    <t>Smart Agricultural Technology</t>
  </si>
  <si>
    <t>https://www.scopus.com/inward/record.uri?eid=2-s2.0-85195672034&amp;doi=10.1016%2fj.atech.2024.100487&amp;partnerID=40&amp;md5=5a04f90a2d13d7f401afc31ec9d43f1d</t>
  </si>
  <si>
    <t>2-s2.0-85195672034</t>
  </si>
  <si>
    <t>Yuan Y.; Song C.; Zeng K.; Gao L.; Huang Y.; Chen Y.</t>
  </si>
  <si>
    <t>An occupant-centric control case study based on internet of things and data mining for an office space</t>
  </si>
  <si>
    <t>10.1016/j.jobe.2025.111925</t>
  </si>
  <si>
    <t>Although research on Occupant Behavior (OB) and Occupant-Centric Control (OCC) is extensive, the actual application of OCC remains limited. This study addresses this gap by introducing a comprehensive OCC workflow and conducting a case study in an office building in Changsha, China. Firstly, three months of meteorological, indoor environmental, and energy interaction behavior data were collected by multiple IoT sensors from November 2023 to January 2024. In the second step, indoor comfort levels were analyzed according to ASHRAE standards, revealing that 15.3 % of the time during this period fell within uncomfortable intervals. Based on these findings, an OCC experiment was proposed to improve indoor comfort. A data-driven air-conditioning usage behavior model was developed. Subsequently, a two-week pre-heating experiment was conducted following the recommendations of the proposed model. For comparison, non-heating and pre-heating days were alternated. Finally, the experiment was evaluated using occupants' thermal comfort voting and energy consumption analysis. Participants' thermal comfort was recorded using five metrics and one behavioral metric via surveys. Five metrics include thermal sensation, comfort, preference and acceptance. The results indicated a significant improvement in occupant comfort levels, with acceptance ratings increasing from an average of 3.78‚Äì4.38. With pre-heating, the air conditioning energy consumption increased by 1.35 kWh per person per day, representing an increase of approximately 0.98 % overall energy usage. Additionally, a web-based platform named OBIoT was developed to integrate this workflow. These findings provide meaningful insights for improving indoor comfort and optimizing energy consumption. ¬© 2025 Elsevier Ltd</t>
  </si>
  <si>
    <t>Air-conditioner; IoT technology; Occupant-centric control; Office building; Thermal comfort</t>
  </si>
  <si>
    <t>Yuan, Yue (57202939935); Song, Chengcheng (57911089500); Zeng, Kejun (58675456900); Gao, Liying (58676387400); Huang, Yu (7501572630); Chen, Yixing (55498532600)</t>
  </si>
  <si>
    <t>57202939935; 57911089500; 58675456900; 58676387400; 7501572630; 55498532600</t>
  </si>
  <si>
    <t>Journal of Building Engineering</t>
  </si>
  <si>
    <t>https://www.scopus.com/inward/record.uri?eid=2-s2.0-85216374938&amp;doi=10.1016%2fj.jobe.2025.111925&amp;partnerID=40&amp;md5=14ebefd33124ce647e8d49d451988723</t>
  </si>
  <si>
    <t>2-s2.0-85216374938</t>
  </si>
  <si>
    <t>ASHRAE standards; Preheating; Space heating; Thermal comfort; Air conditioner; Case-studies; Comfort level; Indoor comforts; IoT technology; Occupant-centric control; Office space; Pre-heating; Thermal; Work-flows; Air conditioning</t>
  </si>
  <si>
    <t>Pei Q.; Yuan Y.; Hu H.; Wang L.; Zhang D.; Yan B.; Yu C.; Liu F.</t>
  </si>
  <si>
    <t>Working Smarter Not Harder: Hybrid Cooling for Deep Learning in Edge Datacenters</t>
  </si>
  <si>
    <t>10.1109/TSUSC.2025.3542563</t>
  </si>
  <si>
    <t>The proliferation of deep-learning-based mobile and IoT applications has driven the increasing deployment of edge datacenters equipped with domain-specific accelerators. The unprecedented computing power offered by these accelerators puts a heavy burden on the cooling system, motivating more potent cooling techniques like cold water cooling. However, we observe that cold water cooling results in significant energy waste in edge datacenters due to the fluctuating resource utilization both spatially and temporally. To tackle this issue, we propose the concept of "working smarter"by slowing down accelerators deliberately whenever possible and enabling warm water cooling during these times to achieve cooling efficiency. Based on this concept, we develop Hyco - a hybrid water cooling system tailored for edge datacenters running deep learning workloads. First, Hyco features a zone-based cooling architecture enabling dynamic switching between cold water and warm water cooling. Then, based on a lightweight latency estimation method, Hyco incorporates a learning-based scheduling scheme to determine "which"accelerator workers and "when"to slow down through an adaptive and intelligent power-latency trade-off for deep learning models. The simulation with real-world traces shows that Hyco reduces the cooling energy consumption by up to 34.74√ó while satisfying latency constraints more than 99% of the time for deep-learning-based applications.  ¬© 2016 IEEE.</t>
  </si>
  <si>
    <t>deep neural network; deep reinforcement learning; Edge datacenters; energy efficiency; water cooling</t>
  </si>
  <si>
    <t>Pei, Qiangyu (57488996600); Yuan, Yongjie (57488978700); Hu, Haichuan (57814699700); Wang, Lin (59650729100); Zhang, Dong (59651734300); Yan, Bingheng (57188571538); Yu, Chen (55511091200); Liu, Fangming (55717312800)</t>
  </si>
  <si>
    <t>57488996600; 57488978700; 57814699700; 59650729100; 59651734300; 57188571538; 55511091200; 55717312800</t>
  </si>
  <si>
    <t>https://www.scopus.com/inward/record.uri?eid=2-s2.0-85218786045&amp;doi=10.1109%2fTSUSC.2025.3542563&amp;partnerID=40&amp;md5=b24078b63e69242bf162144747aebe08</t>
  </si>
  <si>
    <t>2-s2.0-85218786045</t>
  </si>
  <si>
    <t>Deep learning; Energy efficiency; Mobile edge computing; Water cooling systems; Cold waters; Datacenter; Domain specific; Edge datacenter; Energy; Hybrid cooling; Neural-networks; Reinforcement learnings; Warm water; Water cooling; Deep reinforcement learning</t>
  </si>
  <si>
    <t>Kathole A.B.; Vhatkar K.; Lonare S.; Kshirsagar A.P.</t>
  </si>
  <si>
    <t>Optimization-based resource scheduling techniques in cloud computing environment: A review of scientific workflows and future directions</t>
  </si>
  <si>
    <t>10.1016/j.compeleceng.2025.110080</t>
  </si>
  <si>
    <t>Due to the rapid growth of heterogeneous nature and demand requests over cloud resources, resource scheduling has become the most prominent issue in cloud computing. Thus, the cloud has offered elasticity, uncertainty, and dynamism depending on the services to the users on the internet. Here, the inefficient scheduling approaches have faced difficulty over resources that are being underutilized and over-utilized and it led to the degradation of service performance. The major intention of scheduling is to distribute the tasks between the cloud, where the scheduling algorithm has neglected the issues of imbalance. The scheduling algorithm has optimized the key performance indicators parameters such as resource utilization, cost, energy consumption, availability, reliability, makespan time, response time, and so on. Concerning this, many conventional scheduling algorithms are proposed. This research has depicted a broad literature analysis of resource scheduling in a cloud environment to help researchers detect adequate scheduling algorithms. The current status of the cloud resource allocation strategies is split into several categories. The methodological analysis of resource scheduling is presented in this research work. The optimization and meta-heuristic algorithms used in this work are also discussed. The parameters utilized for estimating the performance of the system are also analyzed. In addition, the benefits and challenges of the resource scheduling algorithms are also discussed. Finally, the research gap analysis is given, which is helpful for researchers in the field of cloud computing to make further improvements in scheduling techniques. ¬© 2025</t>
  </si>
  <si>
    <t>Cloud computing environment; Parameters for optimization; Performance measures; Research gaps and future challenges; Resource scheduling; Scheduling algorithms</t>
  </si>
  <si>
    <t>Kathole, Atul B. (57202995656); Vhatkar, Kapil (57217736929); Lonare, Savita (56044802300); Kshirsagar, Aniruddha P. (57423008500)</t>
  </si>
  <si>
    <t>57202995656; 57217736929; 56044802300; 57423008500</t>
  </si>
  <si>
    <t>Computers and Electrical Engineering</t>
  </si>
  <si>
    <t>https://www.scopus.com/inward/record.uri?eid=2-s2.0-85215590651&amp;doi=10.1016%2fj.compeleceng.2025.110080&amp;partnerID=40&amp;md5=38733126e613265ec0fa04558fd0a127</t>
  </si>
  <si>
    <t>2-s2.0-85215590651</t>
  </si>
  <si>
    <t>Scheduling algorithms; Cloud computing environments; Cloud-computing; Future challenges; Optimisations; Parameter for optimization; Performance measure; Research gap and future challenge; Research gaps; Resource-scheduling; Scheduling techniques; Cloud platforms</t>
  </si>
  <si>
    <t>Babar M.; Tariq M.U.; Qureshi B.; Ullah Z.; Arif F.; Khan Z.</t>
  </si>
  <si>
    <t>An Efficient and Hybrid Deep Learning-Driven Model to Enhance Security and Performance of Healthcare Internet of Things</t>
  </si>
  <si>
    <t>10.1109/ACCESS.2025.3536638</t>
  </si>
  <si>
    <t>The development of wireless communication technology has led to an exponential growth in the Healthcare Internet of Things (H-IoT). Sensors and actuators are used in smart medical devices to collect data about the human body, which is then sent to the fog layer for analysis. However, H-IoT devices present security and Quality of Service (QoS) concerns because of their critical nature, complexity, and dynamic features, which make them incompatible with conventional network topologies. Furthermore, reducing superfluous data and identifying effective fog nodes are difficult tasks. We provide a novel Software-Defined Networking (SDN)- driven Deep Learning (DL) approach to develop a secure, intelligent, and efficient framework for smart H-CIoT networks in order to address the aforementioned challenges. In this method, we have first considered SDN architecture as a promising solution since it allows for reconfiguration over static network infrastructure and manages the distributed architecture of intelligent H-CIoT networks by keeping the data and control planes apart. Secondly, a security module based on Bidirectional Long Short-Term Memory (BiLSTM) is implemented to recognize various forms of attacks within the H-CIoT network. Third, the past medical records of the patients are used to train the DL model. It then makes an informed decision about whether to send the data to the fog layer. The CNN approach is also included in the suggested framework to choose the best fog node. The simulation results indicate that the proposed framework achieved an accuracy of 99.59%, an F1-score of 99.53%, a latency of 3 ms, energy consumption of 55 W, and a probability of 0.92%. It outperforms the baseline and current methods with improvements of 5% in accuracy, 4% in F1-score, 10 ms in latency, 25 W in energy consumption, and 0.66% in probability, respectively. ¬© 2025 The Authors.</t>
  </si>
  <si>
    <t>BiLSTM; deep learning; fog computing; healthcare Internet of Things; software defined networking</t>
  </si>
  <si>
    <t>Babar, Muhammad (58294498600); Tariq, Muhammad Usman (56542764000); Qureshi, Basit (35293201200); Ullah, Zabeeh (59551621800); Arif, Fahim (12646189000); Khan, Zahid (57022980500)</t>
  </si>
  <si>
    <t>58294498600; 56542764000; 35293201200; 59551621800; 12646189000; 57022980500</t>
  </si>
  <si>
    <t>https://www.scopus.com/inward/record.uri?eid=2-s2.0-85217031566&amp;doi=10.1109%2fACCESS.2025.3536638&amp;partnerID=40&amp;md5=d1ef5e3d591dce36350d72503383b376</t>
  </si>
  <si>
    <t>2-s2.0-85217031566</t>
  </si>
  <si>
    <t>Electronic health record; Bidirectional long short-term memory; Deep learning; Energy-consumption; Exponential growth; F1 scores; Healthcare internet of thing; Security and performance; Short term memory; Software-defined networkings; Wireless communication technology; Fog computing</t>
  </si>
  <si>
    <t>Ali T.E.; Ali F.I.; Dakiƒá P.; Zoltan A.D.</t>
  </si>
  <si>
    <t>Trends, prospects, challenges, and security in the healthcare internet of things</t>
  </si>
  <si>
    <t>10.1007/s00607-024-01352-4</t>
  </si>
  <si>
    <t>The Healthcare Internet of Things (H-IoT) is a rapidly developing problem solving model with significant potential to improve patient care and healthcare outcomes. This study focuses on integrating cryptographic platforms into H-IoT systems to enable secure data access. We present insights on how to manage challenges such as cyber risks, resource constraints, latency, and energy consumption by exploring cryptographic approaches in diverse H-IoT applications. We explore important topics including big data management, blockchain, machine learning, edge computing, and software-defined networks. Additionally, we examine real-time operational challenges and emerging trends, such as remote patient monitoring and predictive analytics. Our research underscores the need for strong encryption mechanisms, access controls, device authentication, and proactive threat detection to improve the safety and efficiency of healthcare services. By combining cryptographic approaches with the architecture of the H-IoT system, this work provides the foundation for resilient healthcare infrastructures. Addressing current challenges and anticipating future opportunities contribute to strategic healthcare planning that prioritizes patient privacy and data security while anticipating future strategic healthcare planning opportunities. This article aims to provide valuable information to researchers by covering energy-efficient and resource-optimized healthcare system approaches that are integrated into the development of H-IoT systems. ¬© The Author(s) 2024.</t>
  </si>
  <si>
    <t>Blockchain; DL; Edge computing; Healthcare; IoT; ML; SDN</t>
  </si>
  <si>
    <t>Ali, Tariq Emad (57192645867); Ali, Faten Imad (57221046152); Dakiƒá, Pavle (57224193975); Zoltan, Alwahab Dhulfiqar (59470290800)</t>
  </si>
  <si>
    <t>57192645867; 57221046152; 57224193975; 59470290800</t>
  </si>
  <si>
    <t>https://www.scopus.com/inward/record.uri?eid=2-s2.0-85212157486&amp;doi=10.1007%2fs00607-024-01352-4&amp;partnerID=40&amp;md5=cf5802da7c9a27bf270c1a53d8bdb3d1</t>
  </si>
  <si>
    <t>2-s2.0-85212157486</t>
  </si>
  <si>
    <t>Access control; Blockchain; Electronic health record; Mobile edge computing; Strategic planning; Block-chain; CryptoGraphics; DL; Edge computing; Healthcare; IoT; ML; Patient care; Problem-solving; SDN</t>
  </si>
  <si>
    <t>Altuncƒ± Y.T.</t>
  </si>
  <si>
    <t>A Comprehensive Study on the Estimation of Concrete Compressive Strength Using Machine Learning Models</t>
  </si>
  <si>
    <t>10.3390/buildings14123851</t>
  </si>
  <si>
    <t>Conducting comprehensive analyses to predict concrete compressive strength is crucial for enhancing safety in field applications and optimizing work processes. There is an extensive body of research in the literature focusing on predicting the mechanical properties of concrete, such as compressive strength. Summarizing the key contributions of these studies will serve as a guide for future research. To this end, this study aims to conduct a scientometric analysis of contributions that utilize machine learning (ML) models for predicting concrete compressive strength, assess these models, and provide insights for developing optimal solutions. Additionally, it seeks to offer researchers comprehensive information on prominent research themes, trends, and gaps in the literature regarding concrete compressive strength prediction. For this purpose, 2319 articles addressing the prediction of concrete compressive strength, published between 2000 and 19 August 2024, were identified through the Scopus Database. Scientometric analyses were conducted using VOSviewer software. The evaluation of relevant studies demonstrates that ML models are frequently used to predict concrete compressive strength. The advantages and limitations of these models are examined, with a particular emphasis on key considerations when working with complex datasets. A comprehensive analysis of ML models and their practical contributions to field applications distinguishes this study from existing research. This study contributes significantly to the literature by examining leading institutions, countries, authors, and sources in the field, synthesizing data, and identifying research areas, gaps, and trends in concrete compressive strength prediction. It establishes a strong foundation for the design of ML-supported, reliable, sustainable, and optimized structural systems in civil engineering, building materials, and the concrete industry. ¬© 2024 by the author.</t>
  </si>
  <si>
    <t>compressive strength; concrete; machine learning; mechanical properties; scientometric analysis</t>
  </si>
  <si>
    <t>Altuncƒ±, Yusuf Tahir (16306382400)</t>
  </si>
  <si>
    <t>https://www.scopus.com/inward/record.uri?eid=2-s2.0-85213083122&amp;doi=10.3390%2fbuildings14123851&amp;partnerID=40&amp;md5=fca7483e4eed9b7c06866c52dd86603a</t>
  </si>
  <si>
    <t>2-s2.0-85213083122</t>
  </si>
  <si>
    <t>Compressive strength; Concretes; Prediction models; Comprehensive analysis; Concrete compressive strength; Field application; In-field; Machine learning models; Machine-learning; Mechanical; Property; Scientometric analysis; Strength prediction; Concrete industry</t>
  </si>
  <si>
    <t>Huang S.; Wang Y.; Gong X.; Deng F.</t>
  </si>
  <si>
    <t>Digital transformation and enterprise market value: a perspective on knowledge search and recombination</t>
  </si>
  <si>
    <t>10.1108/JKM-09-2024-1050</t>
  </si>
  <si>
    <t>Purpose: This paper aims to explore the underlying mechanisms and boundary conditions through which equipment manufacturing enterprises can capture market value from digital transformation, with a specific focus on the roles of knowledge search and knowledge recombination. Design/methodology/approach: This study uses a double fixed-effects model to test the hypotheses, using a unique data set of ‚Äúfirm-year‚Äù observations from 739 publicly listed equipment manufacturing companies in China, spanning the period from 2018 to 2022. Findings: Digital transformation drives market value creation in equipment manufacturing enterprises through both breakthrough knowledge recombination (BKR) and progressive knowledge recombination (PKR). In addition, the analysis of marginal conditions reveals that diversified knowledge search serves as a substitute for digital transformation in promoting BKR, while also positively moderating the relationship between digital transformation and PKR. Originality/value: Grounded in the knowledge-based view theoretical framework, this study introduces the novel concepts of BKR and PKR and systematically examines how digital transformation impacts market value in equipment manufacturing enterprises. ¬© 2025, Emerald Publishing Limited.</t>
  </si>
  <si>
    <t>Chinese equipment manufacturing enterprise; Digital transformation; Knowledge recombination; Knowledge search; Profit from knowledge</t>
  </si>
  <si>
    <t>Huang, Shicheng (59529684100); Wang, Yaqi (57217315949); Gong, Xiaoya (58776640800); Deng, Fumin (35229298400)</t>
  </si>
  <si>
    <t>59529684100; 57217315949; 58776640800; 35229298400</t>
  </si>
  <si>
    <t>Journal of Knowledge Management</t>
  </si>
  <si>
    <t>https://www.scopus.com/inward/record.uri?eid=2-s2.0-85216089951&amp;doi=10.1108%2fJKM-09-2024-1050&amp;partnerID=40&amp;md5=495e21039560dcd250c14c25a9375c68</t>
  </si>
  <si>
    <t>2-s2.0-85216089951</t>
  </si>
  <si>
    <t>Wang L.; Liu X.; Ding H.; Hu Y.; Peng K.; Hu M.</t>
  </si>
  <si>
    <t>Energy-Delay-Aware Joint Microservice Deployment and Request Routing with DVFS in Edge: A Reinforcement Learning Approach</t>
  </si>
  <si>
    <t>10.1109/TC.2025.3535826</t>
  </si>
  <si>
    <t>The emerging microservice architecture offers opportunities for accommodating delay-sensitive applications in edge. However, such applications are computation-intensive and energy-consuming, imposing great difficulties to edge servers with limited computing resources, energy supply, and cooling capabilities. To reduce delay and energy consumption in edge, efficient microservice orchestration is necessary, but significantly challenging. Due to frequent communications among multiple microservices, service deployment and request routing are tightly-coupled, which motivates a complex joint optimization problem. When considering multi-instance modeling and fine-grained orchestration for massive microservices, the difficulty is extremely enlarged. Nevertheless, previous work failed to address the above difficulties. Also, they neglected to balance delay and energy, especially lacking dynamic energy-saving abilities. Therefore, this paper minimizes energy and delay by jointly optimizing microservice deployment and request routing via multi-instance modeling, fine-grained orchestration, and dynamic adaptation. Our queuing network model enables accurate end-to-end time analysis covering queuing, computing, and communicating delays. We then propose a delay-aware reinforcement learning algorithm, which derives the static service deployment and routing decisions. Moreover, we design an energy-aware dynamic frequency scaling algorithm, which saves energy with fluctuating request patterns. Experiment results demonstrate that our approaches significantly outperform baseline algorithms in both delay and energy consumption.  ¬© 1968-2012 IEEE.</t>
  </si>
  <si>
    <t>dynamic voltage frequency scaling; Edge computing; queuing theory; reinforcement learning; service orchestration</t>
  </si>
  <si>
    <t>Wang, Liangyuan (58602828200); Liu, Xudong (59537805100); Ding, Haonan (59529547400); Hu, Yi (57669983700); Peng, Kai (49962095200); Hu, Menglan (55458917900)</t>
  </si>
  <si>
    <t>58602828200; 59537805100; 59529547400; 57669983700; 49962095200; 55458917900</t>
  </si>
  <si>
    <t>https://www.scopus.com/inward/record.uri?eid=2-s2.0-85216638444&amp;doi=10.1109%2fTC.2025.3535826&amp;partnerID=40&amp;md5=71265858f6c91f3c7d494e9fcbcbb025</t>
  </si>
  <si>
    <t>2-s2.0-85216638444</t>
  </si>
  <si>
    <t>Delay tolerant networks; Delay-sensitive applications; Dynamic frequency scaling; Edge computing; Energy efficiency; Energy utilization; Finite automata; Learning algorithms; Queueing networks; Reinforcement learning; Voltage scaling; Delay aware; Dynamic voltage; Dynamic voltage frequency scaling; Edge computing; Frequency-scaling; Queuing theory; Reinforcement learnings; Routings; Service orchestration; Voltage frequency; Queueing theory</t>
  </si>
  <si>
    <t>Kaplun D.; Deka S.; Bora A.; Choudhury N.; Basistha J.; Purkayastha B.; Mazumder I.Z.; Gulvanskii V.; Sarma K.K.; Misra D.D.</t>
  </si>
  <si>
    <t>An intelligent agriculture management system for rainfall prediction and fruit health monitoring</t>
  </si>
  <si>
    <t>10.1038/s41598-023-49186-y</t>
  </si>
  <si>
    <t>Contrary to popular belief, agriculture is becoming more data-driven with artificial intelligence and Internet-of-Things (IoT) playing crucial roles. In this paper, the integrated processing executed by various sensors combined as an IoT pack and driving an intelligent agriculture management system designed for rainfall prediction and fruit health monitoring have been included. The proposed system based on an AI aided model makes use of a Convolutional Neural Network (CNN) with long short-term memory (LSTM) layer for rainfall prediction and a CNN with SoftMax layer along with a few deep learning pre-trained models for fruit health monitoring. Another model that works as a combined rainfall predictor and fruit health recognizer is designed using a CNN + LSTM and a multi-head self-attention mechanism which proves to be effective. The entire system is cloud resident and available for use through an application. ¬© 2024, The Author(s).</t>
  </si>
  <si>
    <t>Kaplun, Dmitrii (57205093075); Deka, Surajit (57196392491); Bora, Arunabh (58171903500); Choudhury, Nupur (57192098199); Basistha, Jyotishman (58171311900); Purkayastha, Bhaswadeep (58171519200); Mazumder, Ifthikaruz Zaman (58171903600); Gulvanskii, Vyacheslav (57201580298); Sarma, Kandarpa Kumar (35219168100); Misra, Debashis Dev (57204390679)</t>
  </si>
  <si>
    <t>57205093075; 57196392491; 58171903500; 57192098199; 58171311900; 58171519200; 58171903600; 57201580298; 35219168100; 57204390679</t>
  </si>
  <si>
    <t>Scientific Reports</t>
  </si>
  <si>
    <t>https://www.scopus.com/inward/record.uri?eid=2-s2.0-85181464149&amp;doi=10.1038%2fs41598-023-49186-y&amp;partnerID=40&amp;md5=72239c14fab4f0646caef89fa3631327</t>
  </si>
  <si>
    <t>2-s2.0-85181464149</t>
  </si>
  <si>
    <t>Agriculture; Artificial Intelligence; Bandages; Fruit; Intelligence; agriculture; artificial intelligence; fruit; intelligence</t>
  </si>
  <si>
    <t>Conference paper</t>
  </si>
  <si>
    <t>Huang L.; Zhang L.; Yao C.; Ying F.</t>
  </si>
  <si>
    <t>The Application of¬†Innovative Design Concept of¬†Color and¬†Light and¬†Shadow in¬†Underground Space Lighting</t>
  </si>
  <si>
    <t>10.1007/978-3-031-74353-5_32</t>
  </si>
  <si>
    <t>15192 LNCS</t>
  </si>
  <si>
    <t>This study presents a user-centered approach to enhancing indoor lighting in underground spaces, focusing on the well-being and productivity of occupants while emphasizing energy efficiency and compliance with lighting standards. By integrating design thinking and color theory, the research formulates hypotheses concerning the psychological impacts of lighting, the utility¬†of smart devices for light measurement, and the role of technology¬†in achieving regulatory compliance. Through semi-structured interviews, design strategy proposals, and lighting tests, the study gathers qualitative and quantitative data. The analysis reveals¬†the importance of light distribution, color temperature, and shadow quality in creating functional and engaging environments. The¬†study concludes that an optimized lighting design can significantly improve spatial perception and emotional responses, offering valuable insights for future lighting design in residential¬†and educational spaces. ¬© The Author(s), under exclusive license to Springer Nature Switzerland AG 2025.</t>
  </si>
  <si>
    <t>Colors and lighting; Perception and emotion; Space illumination; Work efficiency</t>
  </si>
  <si>
    <t>Huang, Langqing (59453875600); Zhang, Lingyan (57558689000); Yao, Cheng (55420927900); Ying, Fangtian (35338282100)</t>
  </si>
  <si>
    <t>59453875600; 57558689000; 55420927900; 35338282100</t>
  </si>
  <si>
    <t xml:space="preserve">Lecture Notes in Computer Science (including subseries Lecture Notes in Artificial Intelligence and Lecture Notes in Bioinformatics) </t>
  </si>
  <si>
    <t>https://www.scopus.com/inward/record.uri?eid=2-s2.0-85210844145&amp;doi=10.1007%2f978-3-031-74353-5_32&amp;partnerID=40&amp;md5=10e0ef14fe86c1fa42cc7ce90089b451</t>
  </si>
  <si>
    <t>2-s2.0-85210844145</t>
  </si>
  <si>
    <t>Lighting; Lighting fixtures; User centered design; Color and lighting; Design concept; Indoor lightings; Innovative design; Lighting designs; Perception and emotion; Space illumination; Underground space; User-centered approach; Work efficiency; Regulatory compliance</t>
  </si>
  <si>
    <t>Ma N.; Tang A.; Xiong Z.; Jiang F.</t>
  </si>
  <si>
    <t>A deep multi-agent reinforcement learning approach for the micro-service migration problem with affinity in the cloud</t>
  </si>
  <si>
    <t>10.1016/j.eswa.2025.126856</t>
  </si>
  <si>
    <t>This paper focuses on the micro-service migration problem with affinity, stemming from the cloud computing industry. Because of periodically creating and deleting micro-services to satisfy users‚Äô demands, the deployment of micro-services in the cloud needs to be regularly adjusted, which is referred to as a micro-service migration. An optimal migration schedule should minimize the number of activated physical machines as well as maximize total internal invoking traffic (affinity). A cooperative multi-agent reinforcement learning (MARL) is proposed, which is enhanced by integrating Hindsight Reward Shaping and by fine-tuning the state encoder using a pre-trained ResNet model. The proposed MARL is validated on both synthetic datasets and real cloud traces of ByteDance and Alibaba, compared with four baseline algorithms: Migration Ant Colony Optimization, Migration Neighborhood Search, Single-Agent Reinforcement Learning, and the optimization solver CPLEX. Finally, an evaluation mechanism called Matching Score is proposed to explain the superior performance of MARL. ¬© 2025 Elsevier Ltd</t>
  </si>
  <si>
    <t>Deep reinforcement learning; Invoking traffic; Micro-service; Migration; Resource optimization</t>
  </si>
  <si>
    <t>Ma, Ning (58592020800); Tang, Angjun (59563096100); Xiong, Zifeng (59563096200); Jiang, Fuxin (58532979500)</t>
  </si>
  <si>
    <t>58592020800; 59563096100; 59563096200; 58532979500</t>
  </si>
  <si>
    <t>Expert Systems with Applications</t>
  </si>
  <si>
    <t>https://www.scopus.com/inward/record.uri?eid=2-s2.0-85218173202&amp;doi=10.1016%2fj.eswa.2025.126856&amp;partnerID=40&amp;md5=d438fa38a5aeeeba5f17e5cb73c03ca7</t>
  </si>
  <si>
    <t>2-s2.0-85218173202</t>
  </si>
  <si>
    <t>Deep reinforcement learning; Federated learning; Cloud-computing; Computing industry; Invoking traffic; Micro services; Migration; Multi-agent reinforcement learning; Reinforcement learning approach; Reinforcement learnings; Resources optimization; Service migration; Adversarial machine learning</t>
  </si>
  <si>
    <t>Ejaz M.A.; Wu G.; Ahmed A.; Iftikhar S.; Bawazeer S.</t>
  </si>
  <si>
    <t>Utility-Driven End-to-End Network Slicing for Diverse IoT Users in MEC: A Multi-Agent Deep Reinforcement Learning Approach</t>
  </si>
  <si>
    <t>10.3390/s24175558</t>
  </si>
  <si>
    <t>Mobile Edge Computing (MEC) is crucial for reducing latency by bringing computational resources closer to the network edge, thereby enhancing the quality of services (QoS). However, the broad deployment of cloudlets poses challenges in efficient network slicing, particularly when traffic distribution is uneven. Therefore, these challenges include managing diverse resource requirements across widely distributed cloudlets, minimizing resource conflicts and delays, and maintaining service quality amid fluctuating request rates. Addressing this requires intelligent strategies to predict request types (common or urgent), assess resource needs, and allocate resources efficiently. Emerging technologies like edge computing and 5G with network slicing can handle delay-sensitive IoT requests rapidly, but a robust mechanism for real-time resource and utility optimization remains necessary. To address these challenges, we designed an end-to-end network slicing approach that predicts common and urgent user requests through T distribution. We formulated our problem as a multi-agent Markov decision process (MDP) and introduced a multi-agent soft actor‚Äìcritic (MAgSAC) algorithm. This algorithm prevents the wastage of scarce resources by intelligently activating and deactivating virtual network function (VNF) instances, thereby balancing the allocation process. Our approach aims to optimize overall utility, balancing trade-offs between revenue, energy consumption costs, and latency. We evaluated our method, MAgSAC, through simulations, comparing it with the following six benchmark schemes: MAA3C, SACT, DDPG, S2Vec, Random, and Greedy. The results demonstrate that our approach, MAgSAC, optimizes utility by 30%, minimizes energy consumption costs by 12.4%, and reduces execution time by 21.7% compared to the closest related multi-agent approach named MAA3C. ¬© 2024 by the authors.</t>
  </si>
  <si>
    <t>deep reinforcement learning (DRL); end-to-end network slicing; Internet of Things (IoT); mobile edge computing (MEC); multi-agent; utility optimization</t>
  </si>
  <si>
    <t>Ejaz, Muhammad Asim (57460928400); Wu, Guowei (7404976135); Ahmed, Adeel (57683603900); Iftikhar, Saman (24724555200); Bawazeer, Shaikhan (58202437300)</t>
  </si>
  <si>
    <t>57460928400; 7404976135; 57683603900; 24724555200; 58202437300</t>
  </si>
  <si>
    <t>Sensors</t>
  </si>
  <si>
    <t>https://www.scopus.com/inward/record.uri?eid=2-s2.0-85203879202&amp;doi=10.3390%2fs24175558&amp;partnerID=40&amp;md5=d3914bfb508279746f08e9eb83f85c3e</t>
  </si>
  <si>
    <t>2-s2.0-85203879202</t>
  </si>
  <si>
    <t>5G mobile communication systems; Deep learning; Deep reinforcement learning; Health risks; Markov processes; Mobile edge computing; Network function virtualization; Reinforcement learning; Resource allocation; Deep reinforcement learning; Edge computing; End-to-end network; End-to-end network slicing; Internet of thing; Mobile edge computing; Multi agent; Network slicing; Reinforcement learnings; Utility optimizations; algorithm; article; benchmarking; deep reinforcement learning; energy consumption; human; internet of things; Markov decision process; simulation; Quality of service</t>
  </si>
  <si>
    <t>Chaudhary R.; Aujla G.S.; Kumar N.; Chouhan P.K.</t>
  </si>
  <si>
    <t>A comprehensive survey on software-defined networking for smart communities</t>
  </si>
  <si>
    <t>10.1002/dac.5296</t>
  </si>
  <si>
    <t>The need to provide services closer to the end-user proximity leads to the exchange of a large volume of data generated from the smart devices deployed at different geo-distributed sites. The massive amount of data generated from the smart devices need to be transmitted, analyzed, and processed. This requires seamless data exchanges among geo-separated nodes, which results in a considerable burden on the underlying network infrastructure and can degrade the performance of any implemented solution. Therefore, a dynamic, agile, and programmable network management paradigm is required. To handle the challenges mentioned above, software-defined networking (SDN) gained much attention from academia, researchers, and industrial sectors. Shifting the computational load from forwarding devices to a logically centralized controller is a dream of every network operator who wants to have complete control and global visibility of the network. Also, the concept of network functions virtualization (NFV) in SDN controller is required to increase resource utilization efficiency. Thus, in this paper, a comprehensive survey on SDN for various smart applications is presented. This survey covers the infrastructural details of SDN hardware and OpenFlow switches, controllers, simulation tools, programming languages, open issues, and challenges in SDN implementation with advanced technologies such as 5G and microservices. In addition, the challenges on the control plane and data plane are highlighted in detail, such as fault tolerance, routing, scheduling of flows, and energy consumption on OpenFlow switches. Finally, various open issues and challenges future scope of SDN are discussed and analyzed in the proposal. ¬© 2022 The Authors. International Journal of Communication Systems published by John Wiley &amp; Sons Ltd.</t>
  </si>
  <si>
    <t>data center networks; edge computing; fog computing; healthcare ecosystem; internet of things; network functions virtualization; software-defined networking</t>
  </si>
  <si>
    <t>Chaudhary, Rajat (57195682519); Aujla, Gagangeet Singh (56218282200); Kumar, Neeraj (57206866080); Chouhan, Pushpinder Kaur (8432808800)</t>
  </si>
  <si>
    <t>57195682519; 56218282200; 57206866080; 8432808800</t>
  </si>
  <si>
    <t>International Journal of Communication Systems</t>
  </si>
  <si>
    <t>e5296</t>
  </si>
  <si>
    <t>https://www.scopus.com/inward/record.uri?eid=2-s2.0-85134185071&amp;doi=10.1002%2fdac.5296&amp;partnerID=40&amp;md5=5d4d5855a7667b026c48cbf69ff3ab39</t>
  </si>
  <si>
    <t>All Open Access; Green Open Access</t>
  </si>
  <si>
    <t>2-s2.0-85134185071</t>
  </si>
  <si>
    <t>5G mobile communication systems; Controllers; Edge computing; Electronic data interchange; Energy utilization; Fault tolerance; Fog computing; Internet of things; Network function virtualization; Surveys; Transfer functions; Virtual reality; Communications systems; Data center networks; Edge computing; Healthcare ecosystem; International journals; Issues and challenges; Openflow switches; Smart community; Smart devices; Software-defined networkings; Software defined networking</t>
  </si>
  <si>
    <t>Meijer W.; Trubiani C.; Aleti A.</t>
  </si>
  <si>
    <t>Experimental evaluation of architectural software performance design patterns in microservices</t>
  </si>
  <si>
    <t>10.1016/j.jss.2024.112183</t>
  </si>
  <si>
    <t>Microservice architectures and design patterns enhance the development of large-scale applications by promoting flexibility. Industrial practitioners perceive the importance of applying architectural patterns but they struggle to quantify their impact on system quality requirements. Our research aims to quantify the effect of design patterns on system performance metrics, e.g., service latency and resource utilization, even more so when the patterns operate in real-world environments subject to heterogeneous workloads. We built a cloud infrastructure to host a well-established benchmark system that represents our test bed, complemented by the implementation of three design patterns: Gateway Aggregation, Gateway Offloading, Pipe and Filters. Real performance measurements are collected and compared with model-based predictions that we derived as part of our previous research, thus further consolidating the actual impact of these patterns. Our results demonstrate that, despite the difficulty to parameterize our benchmark system, model-based predictions are in line with real experimentation, since the performance behaviors of patterns, e.g., bottleneck switches, are mostly preserved. In summary, this is the first work that experimentally demonstrates the performance behavior of microservices-based architectural patterns. Results highlight the complexity of evaluating the performance of design patterns and emphasize the need for complementing theoretical models with empirical data. ¬© 2024 The Authors</t>
  </si>
  <si>
    <t>Design patterns; Microservice architectures; Performance evaluation</t>
  </si>
  <si>
    <t>Meijer, Willem (59305161600); Trubiani, Catia (24781277400); Aleti, Aldeida (35092219900)</t>
  </si>
  <si>
    <t>59305161600; 24781277400; 35092219900</t>
  </si>
  <si>
    <t>Journal of Systems and Software</t>
  </si>
  <si>
    <t>https://www.scopus.com/inward/record.uri?eid=2-s2.0-85202513844&amp;doi=10.1016%2fj.jss.2024.112183&amp;partnerID=40&amp;md5=8b1f6581c9edf2d495918d11ac6527da</t>
  </si>
  <si>
    <t>2-s2.0-85202513844</t>
  </si>
  <si>
    <t>Application programs; Architectural design; Software design; Testbeds; Architectural pattern; Benchmark system; Design Patterns; Experimental evaluation; Microservice architecture; Model-based prediction; Performance; Performances design; Performances evaluation; Software performance; Gateways (computer networks)</t>
  </si>
  <si>
    <t>Priyadarshini A.; Pradhan S.K.; Mishra K.</t>
  </si>
  <si>
    <t>A Joint Adaptive Neuro-Fuzzy Inference System and Binary Quantum-based Avian Navigation Algorithm for Optimal Resource Monitoring, Task Scheduling and Migration in Cloud-based System</t>
  </si>
  <si>
    <t>10.1109/ACCESS.2025.3547057</t>
  </si>
  <si>
    <t>A vast amount of data is generated daily from all aspects of individual lives due to the increasing proliferation of devices that are connected to the internet. These internet-connected gadgets lack the necessary capacity, resources, and storage to effectively process and retain large volumes of data with accuracy and reliability. Therefore, it is vital to regulate and process the unpredictable data created by a computing paradigm with robust resource specifications. Cloud computing has been considered an appealing solution for effectively analyzing and storing this data within a specific timeframe. Furthermore, the existence of multiple conflicting factors and the classification of the problem as NP-hard make resource management and task consolidation major obstacles in Cloud-based systems. This research suggests a hybrid Resource Monitoring, Task Scheduling and Migration technique that combines an Adaptive Neuro-Fuzzy Inference System (ANFIS) with a Binary Quantum-based Avian Navigation Optimizer technique (BQANA) to tackle these challenges. The BQANA algorithm is utilized to enhance the control parameters of the ANFIS system. Additionally, a load balancing technique is proposed to provide an even distribution of workloads among Cloud Virtual Machines (VMs) to optimize resource management. Furthermore, a task migration strategy has also been adopted to offload the overloaded tasks to under-utilized VMs. The proposed approach presented in this study has been thoroughly validated using extensive simulations on real-world benchmark datasets, specifically for Quality of Service (QoS) characteristics. The simulation results demonstrate that the proposed methodology outperforms previous methods with regard to makespan, resource utilization, response time, energy consumption, and load balancing, with respective enhancements of 24.7%, 15.4%, 16.9%, 4.51%, and 23.4%. 2013 IEEE.</t>
  </si>
  <si>
    <t>Adaptive Neuro-Fuzzy Inference System; Cloud Computing; Quantum-based Avian Navigation Optimizer; Resource Management; Task Migration; Task Scheduling</t>
  </si>
  <si>
    <t>Priyadarshini, Aliva (57510872700); Pradhan, Sateesh Kumar (7202877367); Mishra, Kaushik (57216924574)</t>
  </si>
  <si>
    <t>57510872700; 7202877367; 57216924574</t>
  </si>
  <si>
    <t>https://www.scopus.com/inward/record.uri?eid=2-s2.0-86000332618&amp;doi=10.1109%2fACCESS.2025.3547057&amp;partnerID=40&amp;md5=8fcc59d551bec232b7c4f8721de44ea7</t>
  </si>
  <si>
    <t>2-s2.0-86000332618</t>
  </si>
  <si>
    <t>Balancing; Benchmarking; Cloud computing; Cloud platforms; Fuzzy inference; Fuzzy neural networks; Information management; Network security; Resource allocation; Adaptive neuro-fuzzy inference; Adaptive neuro-fuzzy inference system; Cloud-computing; Neuro-fuzzy inference systems; Optimizers; Quantum-based avian navigation optimizer; Resource management; Resource monitoring; Task migration; Tasks scheduling; Quality of service</t>
  </si>
  <si>
    <t>Sonia; Nath R.</t>
  </si>
  <si>
    <t>A systematic review of various load balancing approaches in cloud computing utilizing machine learning and deep learning</t>
  </si>
  <si>
    <t>10.1007/s41060-025-00718-x</t>
  </si>
  <si>
    <t>Load balancing in cloud computing plays a vital role in optimizing resource utilization, enhancing performance, and managing task allocation within dynamic and highly virtualized environments. This review paper comprehensively explores the diverse spectrum of load balancing methods employed in cloud computing, shedding light on their characteristics, advantages, and limitations. More advanced load balancing techniques leverage intelligent algorithms and real-time data to make dynamic decisions. Both machine and deep learning-based approaches, including reinforcement learning and neural networks, have gained prominence for their ability to adapt to changing workloads and traffic patterns. These methods exhibit great promise in optimizing resource allocation and improving overall system performance. Additionally, this review delves into emerging trends such as edge computing, hybrid cloud deployments, and container orchestration, exploring the evolution of load balancing strategies to meet the demands of these evolving paradigms. This review paper offers a thorough overview of load balancing techniques in cloud computing, equipping researchers, practitioners, and cloud architects with essential insights for choosing the most appropriate load balancing strategies tailored to their specific needs and use cases. It also highlights key challenges and outlines future research directions in this evolving field. ¬© The Author(s), under exclusive licence to Springer Nature Switzerland AG 2025.</t>
  </si>
  <si>
    <t>Cloud computing; Container orchestration; Edge computing; Load balancing; Machine and deep learning-based approaches</t>
  </si>
  <si>
    <t>Sonia (59547214900); Nath, Rajender (24281462700)</t>
  </si>
  <si>
    <t>59547214900; 24281462700</t>
  </si>
  <si>
    <t>International Journal of Data Science and Analytics</t>
  </si>
  <si>
    <t>https://www.scopus.com/inward/record.uri?eid=2-s2.0-85217219343&amp;doi=10.1007%2fs41060-025-00718-x&amp;partnerID=40&amp;md5=f941a190ff93c24030c0ae4c460ab5a8</t>
  </si>
  <si>
    <t>2-s2.0-85217219343</t>
  </si>
  <si>
    <t>Deep learning; Deep reinforcement learning; Reinforcement learning; Resource allocation; Cloud-computing; Container orchestration; Edge computing; Learning-based approach; Load balancing strategy; Load balancing technique; Load-Balancing; Machine and deep learning-based approach; Review papers; Systematic Review; Adversarial machine learning</t>
  </si>
  <si>
    <t>Hu C.; Chen S.</t>
  </si>
  <si>
    <t>Survey of Adaptive Elastic Scaling Studies on Distributed Service Resources; [ÂàÜÂ∏ÉÂºèÊúçÂä°ËµÑÊ∫êËá™ÈÄÇÂ∫îÂºπÊÄß‰º∏Áº©Á†îÁ©∂ÁªºËø∞]</t>
  </si>
  <si>
    <t>10.3778/j.issn.1673-9418.2312034</t>
  </si>
  <si>
    <t>In distributed service resource environments, a large number of service resources are underutilized or even idle for a long time due to the narrow percentage of peak load. Adaptive elastic scaling of resources can significantly improve system energy efficiency and reduce operation overhead: on the one hand, service resources can be expanded to cope with high demand during high load; and on the other hand, they can be scaled down to reduce the overhead during low load. However, the actual load is usually highly volatile, and the service resources required to satisfy the quality of service are constantly varying, which poses a great challenge to the adaptive elastic scaling of service resources. Although existing commercial distributed platforms generally have some resource elastic scaling capability, they suffer from limited adaptive ability and poor precision, and there exists a considerable improvement space. In order to promote the research and application development in this field, this paper analyzes the studies on adaptive elastic scaling of service resources in this environment. Firstly, the corresponding research background and main challenges in demand evaluation and resource adjustment are analyzed. Secondly, a categorized survey of domestic and international studies in this field is conducted, by dividing these studies into three categories based on the resource objects they adjust. The similarities and differences of these studies are compared, and their respective characteristics and usefulness are summarized. Finally, these study efforts are summarily analyzed, then a comprehensive realization is outlined based on the analysis, and besides, the current application status, research challenges and future research trends are discussed. ¬© 2024 Journal of Computer Engineering and Applications Beijing Co., Ltd.; Science Press. All rights reserved.</t>
  </si>
  <si>
    <t>adaptive elastic scaling; distributed service resources; parallel and distributed computing; resource management and allocation</t>
  </si>
  <si>
    <t>Hu, Cheng (57020308200); Chen, Shihong (37006455900)</t>
  </si>
  <si>
    <t>57020308200; 37006455900</t>
  </si>
  <si>
    <t>Journal of Frontiers of Computer Science and Technology</t>
  </si>
  <si>
    <t>https://www.scopus.com/inward/record.uri?eid=2-s2.0-85206541403&amp;doi=10.3778%2fj.issn.1673-9418.2312034&amp;partnerID=40&amp;md5=eca2494224578d070885f26e16ad93f2</t>
  </si>
  <si>
    <t>2-s2.0-85206541403</t>
  </si>
  <si>
    <t>Laso S.; Rodr√≠guez P.; Herrera J.L.; Berrocal J.; Murillo J.M.</t>
  </si>
  <si>
    <t>Energy consumption and workload prediction for edge nodes in the Computing Continuum</t>
  </si>
  <si>
    <t>10.1016/j.suscom.2025.101088</t>
  </si>
  <si>
    <t>The Computing Continuum paradigm provides developers with a distributed infrastructure for deploying applications through the network, improving performance and energy consumption. However, to maintain applications‚Äô efficiency, their deployment in the Computing Continuum has to be continuously adapted to the varying load of different nodes of the network. In practice, existing support frameworks allow developers to automatically identify how to deploy applications based on the infrastructure status. However, as the application takes time to be deployed, the chosen deployment is outdated once it is applied through the network, as workloads change over time. To address this practical engineering challenge and plan deployments that foresee changes in energy consumption and workload, predictive solutions are needed. To fulfill this need, this work presents the Microservice Energy consumption and Workload Forecaster (MEWF), a prediction system that leverages artificial intelligence techniques to precisely predict CPU usage and energy consumption in varying circumstances. Our practical evaluation over multiple real microservices shows that MEWF improves prediction precision by up to 55% w.r.t. state-of-the-art benchmarks, enabling efficient resource management and demonstrating significant value for real-world deployments. ¬© 2025</t>
  </si>
  <si>
    <t>Artificial Intelligence; Computing Continuum; Energy consumption; Microservices; Workload prediction</t>
  </si>
  <si>
    <t>Laso, Sergio (57215899094); Rodr√≠guez, Pablo (59510541000); Herrera, Juan Luis (57215896262); Berrocal, Javier (32667521200); Murillo, Juan M. (8687210000)</t>
  </si>
  <si>
    <t>57215899094; 59510541000; 57215896262; 32667521200; 8687210000</t>
  </si>
  <si>
    <t>Sustainable Computing: Informatics and Systems</t>
  </si>
  <si>
    <t>https://www.scopus.com/inward/record.uri?eid=2-s2.0-85216566548&amp;doi=10.1016%2fj.suscom.2025.101088&amp;partnerID=40&amp;md5=4e078c054bd4918f2fd8a7d05c018de2</t>
  </si>
  <si>
    <t>2-s2.0-85216566548</t>
  </si>
  <si>
    <t>Change-over time; Computing continuum; Distributed infrastructure; Edge nodes; Energy consumption prediction; Energy-consumption; Improving performance; Microservice; Varying load; Workload predictions</t>
  </si>
  <si>
    <t>Li L.; Li J.; Liu R.; Li Z.</t>
  </si>
  <si>
    <t>Overview of blockchain-based terminal-edge-cloud collaborative computing paradigm</t>
  </si>
  <si>
    <t>10.1016/j.compeleceng.2024.109737</t>
  </si>
  <si>
    <t>With the rapid development of the Internet of Things (IoT), terminal-edge-cloud collaborative computing (TECC), a hierarchical distributed computing model, has become an effective solution to meet the various application requirements in terms of high computing power, high storage capacity, and low-latency services. However, the TECC still faces many challenges in terms of data security and privacy protection. Integrating blockchain into TECC frameworks can enable trustful data exchange between nodes while ensuring the integrity and availability of data. This paper presents an in-depth survey of blockchain-based TECC technology. In particular, we first introduce the key of the TECC paradigm and blockchain briefly. Then we focus on the integration of blockchain into the TECC paradigm. Specifically, the paper divides the TECC frameworks into three categories: one-layer, two-layers and multiple layers. Moreover, this paper summarizes core technologies in blockchain-based TECC architectures, TECC based on lightweight blockchains, and summarizes the application scenarios from different perspectives. Finally, the paper outlines the future direction of blockchain-based TECC. ¬© 2024</t>
  </si>
  <si>
    <t>Blockchain; Collaborative framework; Data secret; Edge computing; Internet of things</t>
  </si>
  <si>
    <t>Li, Lingyun (59348820400); Li, Juan (57216662161); Liu, Ruhong (58967725000); Li, Ziyu (59301361200)</t>
  </si>
  <si>
    <t>59348820400; 57216662161; 58967725000; 59301361200</t>
  </si>
  <si>
    <t>https://www.scopus.com/inward/record.uri?eid=2-s2.0-85205281585&amp;doi=10.1016%2fj.compeleceng.2024.109737&amp;partnerID=40&amp;md5=e2a1bdadca5e57799a667aef29d17316</t>
  </si>
  <si>
    <t>2-s2.0-85205281585</t>
  </si>
  <si>
    <t>Application requirements; Block-chain; Collaborative framework; Computing frameworks; Computing paradigm; Data secret; Distributed computing models; Edge clouds; Edge computing; Effective solution; Data integrity</t>
  </si>
  <si>
    <t>Liu Q.; Sun J.; Zhang Y.; Liu X.</t>
  </si>
  <si>
    <t>DenMerD: a feature enhanced approach to radar beam blockage correction with edge-cloud computing</t>
  </si>
  <si>
    <t>10.1186/s13677-024-00607-x</t>
  </si>
  <si>
    <t>In the field of meteorology, the global radar network is indispensable for detecting weather phenomena and offering early warning services. Nevertheless, radar data frequently exhibit anomalies, including gaps and clutter, arising from atmospheric refraction, equipment malfunctions, and other factors, resulting in diminished data quality. Traditional radar blockage correction methods, such as employing approximate radial information interpolation and supplementing missing data, often fail to effectively exploit potential patterns in massive radar data, for the large volume of data precludes a thorough analysis and understanding of the inherent complex patterns and dependencies through simple interpolation or supplementation techniques. Fortunately, edge computing possesses certain data processing capabilities and cloud center boasts substantial computational power, which together can collaboratively offer timely computation and storage for the correction of radar beam blockage. To this end, an edge-cloud collaborative driven deep learning model named DenMerD is proposed in this paper, which includes dense connection module and merge distribution (MD) unit. Compared to existing models such as RC-FCN, DenseNet, and VGG, this model greatly improves key performance metrics, with 30.7 (Formula presented.) improvement in Critical Success Index (CSI), 30.1 (Formula presented.) improvement in Probability of Detection (POD), and 3.1 (Formula presented.) improvement in False Alarm Rate (FAR). It also performs well in the Structure Similarity Index Measure (SSIM) metrics compared to its counterparts. These findings underscore the efficacy of the design in improving feature propagation and beam blockage accuracy, and also highlights the potential and value of mobile edge computing in processing large-scale meteorological data. ¬© The Author(s) 2024.</t>
  </si>
  <si>
    <t>Deep learning; Image restoration; Mobile edge computing; Radar beam blockage correction</t>
  </si>
  <si>
    <t>Liu, Qi (55712216100); Sun, Jiawei (57562221500); Zhang, Yonghong (8956384200); Liu, Xiaodong (55717309800)</t>
  </si>
  <si>
    <t>55712216100; 57562221500; 8956384200; 55717309800</t>
  </si>
  <si>
    <t>Journal of Cloud Computing</t>
  </si>
  <si>
    <t>https://www.scopus.com/inward/record.uri?eid=2-s2.0-85184368036&amp;doi=10.1186%2fs13677-024-00607-x&amp;partnerID=40&amp;md5=f8b8937487f90b43673e5494523f78c7</t>
  </si>
  <si>
    <t>2-s2.0-85184368036</t>
  </si>
  <si>
    <t>Data handling; Deep learning; Digital storage; Image enhancement; Interpolation; Meteorology; Mobile edge computing; Blockage correction; Cloud-computing; Deep learning; Early warning; Edge clouds; Radar beam; Radar beam blockage correction; Radar data; Radar network; Weather phenomena; Image reconstruction</t>
  </si>
  <si>
    <t>Xu J.; Li J.; Zhang L.; Huang C.; Yu H.; Ji H.</t>
  </si>
  <si>
    <t>A Real-Time Resource Dispatch Approach for Edge Computing Devices in Digital Distribution Networks Considering Burst Tasks</t>
  </si>
  <si>
    <t>10.3390/pr12071328</t>
  </si>
  <si>
    <t>Edge computing technology can effectively solve huge challenges posed by the large number of terminal devices accessing and massive data processing in digital distribution networks. Burst tasks, such as faults and data requests from the cloud, can occur at any time for edge computing devices in distribution networks. These tasks are unpredictable and usually hold the highest priority and must be completed as soon as possible. Although resources can be reserved partially at each period in the pre-scheduled operation plan, they may still be insufficient to handle burst tasks adequately. A real-time resource dispatch approach for burst tasks is developed in this study to address the above problems. The concept of flexibility for edge computing devices is presented, determining the real-time dispatch duration. Real-time resource dispatch and task handling processing are analyzed in detail, considered as task real-time dispatch models, computation process real-time dispatch constraints, and resource limitation constraints. The proposed real-time resource dispatch approach takes full advantage of the transferable characteristics for partial original plan tasks to adjust the pre-scheduled operation plan and release flexible resources for immediate processing of the burst task, completing burst tasks quickly and minimizing the impact for previous planned tasks on the edge computing device. The capability of the proposed method to efficiently deal with the burst tasks is also verified by the case study. ¬© 2024 by the authors.</t>
  </si>
  <si>
    <t>burst tasks; digital distribution network; edge computing; real-time processing mechanism; resource rescheduling</t>
  </si>
  <si>
    <t>Xu, Jing (57207904063); Li, Juan (59452008700); Zhang, Liang (59645888100); Huang, Chaoming (57203396158); Yu, Hao (56387786900); Ji, Haoran (56718981600)</t>
  </si>
  <si>
    <t>57207904063; 59452008700; 59645888100; 57203396158; 56387786900; 56718981600</t>
  </si>
  <si>
    <t>Processes</t>
  </si>
  <si>
    <t>https://www.scopus.com/inward/record.uri?eid=2-s2.0-85199653538&amp;doi=10.3390%2fpr12071328&amp;partnerID=40&amp;md5=daec28941af9287320a051f9add59084</t>
  </si>
  <si>
    <t>2-s2.0-85199653538</t>
  </si>
  <si>
    <t>Data handling; Digital devices; Burst task; Computing devices; Digital distribution; Digital distribution network; Edge computing; Real- time; Real-time processing mechanism; Realtime processing; Resource dispatch; Resource rescheduling; Edge computing</t>
  </si>
  <si>
    <t>Abdalla R.S.; Ali E.S.; Mahbub S.A.; Mokhtar R.A.; Ahmed Z.E.</t>
  </si>
  <si>
    <t>Internet of Energy (IoE): A Comprehensive Review of Design, Principles, and Architectural Frameworks</t>
  </si>
  <si>
    <t>10.1007/978-3-031-81570-6_6</t>
  </si>
  <si>
    <t>587 LNICST</t>
  </si>
  <si>
    <t>Design of energy resources, transmission, distribution, and consumption in network architecture is becoming a challenging energy optimization issue. The demand for power analysis becomes a key pillar in sustainable renewable energy and adaptation to climate change. State-of-the-art technologies can play a vital role in realizing the new architectural design for smart grids and cities. The 4th generation mobile network is considered a critical technology and enabler. The 3GPP standard body is set to a target of 35% of the deployment of the 4G to be Low Power Wide Area (LPWA) network by 2020. LPWA is an Internet of Energy (IoE) structure that can provide a comprehensive stream of energy sector applications. The IoE with intelligent computing tools can dramatically enhance energy efficiency, improve and sustain renewable energy, and diminish energy contamination‚Äôs ecological effects. This paper reviews the literature on the IoE design principles and architecture models comprehensively. it also explains IoE enabling technologies, including fog computing and various interoperability and data analysis standards. ¬© ICST Institute for Computer Sciences, Social Informatics and Telecommunications Engineering 2025.</t>
  </si>
  <si>
    <t>Communications and measurement technology; IoE Computational Tools; IoE Cyber Security; IoE Design; IoE Interoperability; IoE Standards; smart energy systems; smart grid</t>
  </si>
  <si>
    <t>Abdalla, Rania Salih (59660534200); Ali, Elmustafa Sayed (57221716104); Mahbub, Sara A. (59661498900); Mokhtar, Rania A. (16022551600); Ahmed, Zeinab E. (57336782700)</t>
  </si>
  <si>
    <t>59660534200; 57221716104; 59661498900; 16022551600; 57336782700</t>
  </si>
  <si>
    <t>Lecture Notes of the Institute for Computer Sciences, Social-Informatics and Telecommunications Engineering, LNICST</t>
  </si>
  <si>
    <t>https://www.scopus.com/inward/record.uri?eid=2-s2.0-85219185797&amp;doi=10.1007%2f978-3-031-81570-6_6&amp;partnerID=40&amp;md5=9e88b92557bec229b50d1ccf392d3eac</t>
  </si>
  <si>
    <t>2-s2.0-85219185797</t>
  </si>
  <si>
    <t>Digital storage; Internet of Energy; Interoperability; Network security; Power systems computer aided design; Renewable energy; Smart power grids; Communicationtechnology; Computational tools; Cyber security; Energy; Energy design; Energy standards; Internet of energy computational tool; Internet of energy cybe security; Internet of energy design; Internet of energy interoperability; Internet of energy standard; Measurement technologies; Smart energy systems; Smart grid; Fog computing</t>
  </si>
  <si>
    <t>Tong J.; Qi Z.; Pu T.; Song R.; Zhang J.; Tan Y.; Wang X.</t>
  </si>
  <si>
    <t>Edge Intelligence to Power Internet of Things: Concept, Architecture, Technology and Application; [ÁîµÂäõÁâ©ËÅîÁΩëËæπÁºòÊô∫ËÉΩÔºöÊ¶ÇÂøµ„ÄÅÊû∂ÊûÑ„ÄÅÊäÄÊúØÂèäÂ∫îÁî®]</t>
  </si>
  <si>
    <t>10.13334/j.0258-8013.pcsee.231196</t>
  </si>
  <si>
    <t>In recent years, with the large-scale deployment of sensors, acquisition devices, and perception terminals, as well as the integration of new technologies such as Artificial Intelligence, 5G, and BeiDou, there are many intelligent applications in Power Internet of Things (PIoT), such as intelligent inspection, online monitoring, and demand response. These applications have generated massive amounts of sensory data. Uploading the data to cloud servers consumes a significant amount of communication bandwidth, placing immense pressure on network channels and cloud resources. Moreover, the data process cannot meet the real-time requirements of these applications. To address these issues, the concept of edge intelligence to PIoT has emerged. By combining edge computing with artificial intelligence, edge intelligence to PIoT uses AI algorithms to perform preprocessing, local computation, and inference near the data source. This approach reduces the communication bandwidth, and decreases transmission latency and power consumption. Edge Intelligence to PIoT provides an effective solution to the above problems. This article first explains the concept and evolution of edge intelligence to PIoT. Then, the architecture of edge intelligence in smart grid IoT is proposed, and the hardware and software foundations of edge intelligence to PIoT are analyzed from three levels: edge-side AI chips, edge computing operating systems, and edge computing frameworks. Next, key technologies in edge intelligence to PIoT are discussed from five aspects: cloud-edge collaboration, model compression, model acceleration, swarm intelligence, and federated learning. Furthermore, application scenarios for edge intelligence to PIoT are explored in the five aspects of ‚Äúgeneration, transmission, transformation, distribution, and utilization‚Äù. Finally, the opportunities and challenges of edge intelligence to PIoT are analyzed. ¬©2024 Chin.Soc.for Elec.Eng.</t>
  </si>
  <si>
    <t>artificial intelligence; cloud-edge collaboration; edge computing; edge intelligence; model compression; power internet of things</t>
  </si>
  <si>
    <t>Tong, Jie (23390828800); Qi, Zihao (57468767400); Pu, Tianjiao (36893098000); Song, Rui (58729258500); Zhang, Jun (57999074200); Tan, Yuanpeng (55892676800); Wang, Xiaofei (35118116900)</t>
  </si>
  <si>
    <t>23390828800; 57468767400; 36893098000; 58729258500; 57999074200; 55892676800; 35118116900</t>
  </si>
  <si>
    <t>Zhongguo Dianji Gongcheng Xuebao/Proceedings of the Chinese Society of Electrical Engineering</t>
  </si>
  <si>
    <t>https://www.scopus.com/inward/record.uri?eid=2-s2.0-85193072736&amp;doi=10.13334%2fj.0258-8013.pcsee.231196&amp;partnerID=40&amp;md5=cb25683492aed640cdb629ce0b50a197</t>
  </si>
  <si>
    <t>2-s2.0-85193072736</t>
  </si>
  <si>
    <t>5G mobile communication systems; Bandwidth; Edge computing; Electric power distribution; Electric power transmission; Inference engines; Radio navigation; Radio transmission; Architecture technology; Cloud-edge collaboration; Communication bandwidth; Edge computing; Edge intelligence; Large-scale deployment; Model compression; Power; Power internet of thing; Technologies and applications; Internet of things</t>
  </si>
  <si>
    <t>Mahesar A.R.; Li X.; Sajnani D.K.</t>
  </si>
  <si>
    <t>Efficient microservices offloading for cost optimization in diverse MEC cloud networks</t>
  </si>
  <si>
    <t>10.1186/s40537-024-00975-w</t>
  </si>
  <si>
    <t>In recent years, mobile applications have proliferated across domains such as E-banking, Augmented Reality, E-Transportation, and E-Healthcare. These applications are often built using microservices, an architectural style where the application is composed of independently deployable services focusing on specific functionalities. Mobile devices cannot process these microservices locally, so traditionally, cloud-based frameworks using cost-efficient Virtual Machines (VMs) and edge servers have been used to offload these tasks. However, cloud frameworks suffer from extended boot times and high transmission overhead, while edge servers have limited computational resources. To overcome these challenges, this study introduces a Microservices Container-Based Mobile Edge Cloud Computing (MCBMEC) environment and proposes an innovative framework, Optimization Task Scheduling and Computational Offloading with Cost Awareness (OTSCOCA). This framework addresses Resource Matching, Task Sequencing, and Task Scheduling to enhance server utilization, reduce service latency, and improve service bootup times. Empirical results validate the efficacy of MCBMEC and OTSCOCA, demonstrating significant improvements in server efficiency, reduced service latency, faster service bootup times, and notable cost savings. These outcomes underscore the pivotal role of these methodologies in advancing mobile edge computing applications amidst the challenges of edge server limitations and traditional cloud-based approaches. ¬© The Author(s) 2024.</t>
  </si>
  <si>
    <t>Cloud; Container; Microservices; Mobile edge computing; Optimization; Task scheduling</t>
  </si>
  <si>
    <t>Mahesar, Abdul Rasheed (57210474897); Li, Xiaoping (55900922400); Sajnani, Dileep Kumar (57210465385)</t>
  </si>
  <si>
    <t>57210474897; 55900922400; 57210465385</t>
  </si>
  <si>
    <t>Journal of Big Data</t>
  </si>
  <si>
    <t>https://www.scopus.com/inward/record.uri?eid=2-s2.0-85203164850&amp;doi=10.1186%2fs40537-024-00975-w&amp;partnerID=40&amp;md5=868625516dd5d38db4e20cbc460736e9</t>
  </si>
  <si>
    <t>2-s2.0-85203164850</t>
  </si>
  <si>
    <t>Cloud platforms; Computation offloading; Mobile cloud computing; Cloud-based; Cost-awareness; Edge clouds; Edge computing; Edge server; Microservice; Optimisations; Optimization task; Service latency; Tasks scheduling; Mobile edge computing</t>
  </si>
  <si>
    <t>Ku J.C.; Chen S.L.</t>
  </si>
  <si>
    <t>The Deployment and Implementation of Cloud Platform for Remote Automatic Correction of Artificial Intelligence Models</t>
  </si>
  <si>
    <t>10.1109/TII.2025.3528563</t>
  </si>
  <si>
    <t>Despite the advanced research in artificial intelligence (AI) technology within the academic community, enterprises have yet to fully integrate this technology into practical applications. In the manufacturing sector, deploying professional IT personnel to implement AI for just a few machines is not ideal, posing a significant challenge for traditional factories. Additionally, the rising consumer demand for highly personalized and high-value-added products necessitates increased flexibility in production design and implementation. This study aims to establish an AI model cloud service platform that possesses the following features: 1) remote dynamic model adjustment, 2) automated continuous integration, 3) automated continuous deployment, 4) administrator web status display interface, 5) data security protection mechanism, 6) global remote deployment, and 7) multiscenario operations including deployment mechanisms, model adjustment mechanisms, server setup mechanisms, and more. The platform aims to address the issue of production lines struggling to integrate AI into practical applications. The innovation of this research lies in the proposed system architecture and platform for introducing AI into the manufacturing industry. Enterprises can use this study to establish their AI integration systems and deploy relevant technologies, or they can directly apply the research outcomes to their industrial control environments. This approach reduces the difficulties enterprises face when introducing AI technology, accelerates the transition from production automation to intelligent manufacturing, enhances production efficiency and sustainability, and improves the operational performance and management of the manufacturing industry, thereby strengthening global competitiveness.  ¬© 2005-2012 IEEE.</t>
  </si>
  <si>
    <t>Automated deployment; automated integration; cloud service; dynamic model correction; model monitoring; smart manufacturing</t>
  </si>
  <si>
    <t>Ku, Je Chiao (59541077600); Chen, Shang Liang (7410253186)</t>
  </si>
  <si>
    <t>59541077600; 7410253186</t>
  </si>
  <si>
    <t>https://www.scopus.com/inward/record.uri?eid=2-s2.0-85216898753&amp;doi=10.1109%2fTII.2025.3528563&amp;partnerID=40&amp;md5=b77fe8ba26faf4c1c9df17cb8e6201bf</t>
  </si>
  <si>
    <t>2-s2.0-85216898753</t>
  </si>
  <si>
    <t>Artificial intelligence technologies; Automated deployment; Automated integration; Cloud services; Dynamic model correction; Dynamics models; Intelligence models; Model corrections; Model monitoring; Smart manufacturing; Smart manufacturing</t>
  </si>
  <si>
    <t>Mechalikh C.; Silem A.E.H.; Safavifar Z.; Golpayegani F.</t>
  </si>
  <si>
    <t>Quality matters: A comprehensive comparative study of edge computing simulators</t>
  </si>
  <si>
    <t>10.1016/j.simpat.2024.103042</t>
  </si>
  <si>
    <t>Edge computing, by pushing resources closer to the network's edge, is revolutionizing data processing, enabling real-time analysis and localized decision-making on resource-constrained devices. However, designing and validating innovative solutions within this dynamic environment presents significant challenges. While numerous edge simulators exist, their shortcomings often restrict researchers‚Äô ability to address their research questions. Many of them serve specific use cases (e.g., small scale scenarios, static application placement, etc.), lacking the breadth and flexibility needed for diverse research requirements. Furthermore, the lack of benchmarking studies complicates the process of selecting the right simulators for a specific need. This study addresses these limitations by presenting a comprehensive evaluation of 24 edge computing simulators, filling a critical gap in the literature. We propose a robust methodology that assesses the simulators based on functionality, maintenance, scalability, reliability, efficiency, and usability. Our study provides clear classifications and comparisons of the simulators to assist researchers in selecting the most suitable one for their edge computing scenarios. Additionally, we identify and discuss opportunities and challenges for advancing the current state of the art in edge simulation, highlighting potential areas for future research. ¬© 2024 Elsevier B.V.</t>
  </si>
  <si>
    <t>Edge computing; Fog computing; Modeling and simulation; Quality evaluation; Simulation frameworks</t>
  </si>
  <si>
    <t>Mechalikh, Charafeddine (57211428839); Silem, Abd El Heq (57213368335); Safavifar, Zahra (57437760900); Golpayegani, Fatemeh (55943122100)</t>
  </si>
  <si>
    <t>57211428839; 57213368335; 57437760900; 55943122100</t>
  </si>
  <si>
    <t>Simulation Modelling Practice and Theory</t>
  </si>
  <si>
    <t>https://www.scopus.com/inward/record.uri?eid=2-s2.0-85210382422&amp;doi=10.1016%2fj.simpat.2024.103042&amp;partnerID=40&amp;md5=891588f275df34e72c0fb46c3c908d5e</t>
  </si>
  <si>
    <t>2-s2.0-85210382422</t>
  </si>
  <si>
    <t>Comparatives studies; Decisions makings; Edge computing; Localised; Model and simulation; Network edges; Quality evaluation; Real time analysis; Resourceconstrained devices; Simulation framework</t>
  </si>
  <si>
    <t>Uzun S.; Yildiz E.; Arslanta≈ü H.</t>
  </si>
  <si>
    <t>Optimizing neural network models for predicting nuclear reactor channel temperature: A study on hyperparameter tuning and performance analysis</t>
  </si>
  <si>
    <t>10.1016/j.nucengdes.2024.113636</t>
  </si>
  <si>
    <t>This study emphasizes how important accurate prediction of channel temperatures in nuclear reactors is for safety and operational efficiency. While traditional methods require long and complex processes such as kernel modeling and mathematical simulations, artificial neural networks (ANN) provide more efficient predictions by accelerating this process. The superior ability of ANNs to process large data sets is intended to demonstrate that this study will provide a valuable alternative compared to conventional methods and increase the accuracy of reactor temperature predictions. In this study, the training performances of Artificial Neural Network (ANN) developed to determine the nuclear reactor channel temperature with different hyperparameter combinations were analysed. It was conducted several experimental studies to assess the influence of hyperparameters on our model for nuclear reactor parameter data prediction. The training and validation results indicates that learning rate, hidden layer sizes and number have critical effects for the more precisive prediction. It was observed that models with a learning rate of 0.05 and 0.5 achieved successful learning with less fluctuation in training and validation errors. When looking at hidden layer sizes, networks with 32 and 64 neurons performed better than networks with 16 neurons. For the test phase our model can successfully predict data with slight error margin. As a result, we demonstrated that neural networks are a powerful tool in nuclear reactor channel temperature prediction through our proposed model. ¬© 2024 Elsevier B.V.</t>
  </si>
  <si>
    <t>Artificial neural network; Channel temperature; Hyperparameter optimization; Nuclear reactor</t>
  </si>
  <si>
    <t>Uzun, Sinem (57223227807); Yildiz, Eyy√ºp (57205617316); Arslanta≈ü, Hatice (57200284164)</t>
  </si>
  <si>
    <t>57223227807; 57205617316; 57200284164</t>
  </si>
  <si>
    <t>Nuclear Engineering and Design</t>
  </si>
  <si>
    <t>https://www.scopus.com/inward/record.uri?eid=2-s2.0-85206795072&amp;doi=10.1016%2fj.nucengdes.2024.113636&amp;partnerID=40&amp;md5=99994d5106de3091ccf46d33ce990119</t>
  </si>
  <si>
    <t>2-s2.0-85206795072</t>
  </si>
  <si>
    <t>Prediction models; Channel temperature; Hidden layers; Hyper-parameter; Hyper-parameter optimizations; Learning rates; Neural network model; Neural-networks; Reactor channels; Temperature prediction; Tuning analysis; Neural network models</t>
  </si>
  <si>
    <t>Edozie E.; Shuaibu A.N.; Sadiq B.O.; John U.K.</t>
  </si>
  <si>
    <t>Artificial intelligence advances in anomaly detection for telecom networks</t>
  </si>
  <si>
    <t>10.1007/s10462-025-11108-x</t>
  </si>
  <si>
    <t>Telecommunication networks are becoming increasingly dynamic and complex due to the massive amounts of data they process. As a result, detecting abnormal events within these networks is essential for maintaining security and ensuring seamless operation. Traditional methods of anomaly detection, which rely on rule-based systems, are no longer effective in today‚Äôs fast-evolving telecom landscape. Thus, making AI useful in addressing these shortcomings. This review critically examines the role of Artificial Intelligence (AI), particularly deep learning, in modern anomaly detection systems for telecom networks. It explores the evolution from early strategies to current AI-driven approaches, discussing the challenges, the implementation of machine learning algorithms, and practical case studies. Additionally, emerging AI technologies such as Generative Adversarial Networks (GANs) and Reinforcement Learning (RL) are highlighted for their potential to enhance anomaly detection. This review provides AI‚Äôs transformative impact on telecom anomaly detection, addressing challenges while leveraging 5G/6G, edge computing, and the Internet of Things (IoT). It recommends hybrid models, advanced data preprocessing, and self-adaptive systems to enhance robustness and reliability, enabling telecom operators to proactively manage anomalies and optimize performance in a data driven environment. ¬© The Author(s) 2025.</t>
  </si>
  <si>
    <t>AI; Anomaly detection; Deep learning; Machine learning; Network security; Telecommunication networks</t>
  </si>
  <si>
    <t>Edozie, Enerst (59549716900); Shuaibu, Aliyu Nuhu (56032330600); Sadiq, Bashir Olaniyi (57194234226); John, Ukagwu Kelechi (57222592725)</t>
  </si>
  <si>
    <t>59549716900; 56032330600; 57194234226; 57222592725</t>
  </si>
  <si>
    <t>Artificial Intelligence Review</t>
  </si>
  <si>
    <t>https://www.scopus.com/inward/record.uri?eid=2-s2.0-85217392036&amp;doi=10.1007%2fs10462-025-11108-x&amp;partnerID=40&amp;md5=e2508bb03e62fef081fcea706e4d4072</t>
  </si>
  <si>
    <t>2-s2.0-85217392036</t>
  </si>
  <si>
    <t>'current; Anomaly detection; Anomaly detection systems; Deep learning; Machine-learning; Networks security; Rules based systems; Telecom; Telecom networks; Telecommunications networks</t>
  </si>
  <si>
    <t>Patel Y.S.; Townend P.; Singh A.; √ñstberg P.-O.</t>
  </si>
  <si>
    <t>Modeling the Green Cloud Continuum: integrating energy considerations into Cloud‚ÄìEdge models</t>
  </si>
  <si>
    <t>10.1007/s10586-024-04383-w</t>
  </si>
  <si>
    <t>The energy consumption of Cloud‚ÄìEdge systems is becoming a critical concern economically, environmentally, and societally; some studies suggest data centers and networks will collectively consume 18% of global electrical power by 2030. New methods are needed to mitigate this consumption, e.g. energy-aware workload scheduling, improved usage of renewable energy sources, etc. These schemes need to understand the interaction between energy considerations and Cloud‚ÄìEdge components. Model-based approaches are an effective way to do this; however, current theoretical Cloud‚ÄìEdge models are limited, and few consider energy factors. This paper analyses all relevant models proposed between 2016 and 2023, discovers key omissions, and identifies the major energy considerations that need to be addressed for Green Cloud‚ÄìEdge systems (including interaction with energy providers). We investigate how these can be integrated into existing and aggregated models, and conclude with the high-level architecture of our proposed solution to integrate energy and Cloud‚ÄìEdge models together. ¬© The Author(s) 2024.</t>
  </si>
  <si>
    <t>Cloud‚ÄìEdge; Continuum; Green; Models; Renewable energy; Resource management</t>
  </si>
  <si>
    <t>Patel, Yashwant Singh (56425380600); Townend, Paul (12139594700); Singh, Anil (57219277932); √ñstberg, Per-Olov (24385207800)</t>
  </si>
  <si>
    <t>56425380600; 12139594700; 57219277932; 24385207800</t>
  </si>
  <si>
    <t>Cluster Computing</t>
  </si>
  <si>
    <t>https://www.scopus.com/inward/record.uri?eid=2-s2.0-85190304126&amp;doi=10.1007%2fs10586-024-04383-w&amp;partnerID=40&amp;md5=eb4b87d9e1d9ba9cad8d3a46457b0730</t>
  </si>
  <si>
    <t>2-s2.0-85190304126</t>
  </si>
  <si>
    <t>Energy utilization; Green computing; Power management; Cloud‚Äìedge; Continuum; Edge modeling; Energy; Energy considerations; Energy-consumption; Green; Green Clouds; Renewable energies; Resource management; Renewable energy</t>
  </si>
  <si>
    <t>Ismagulov N.; Chukubayev Y.</t>
  </si>
  <si>
    <t>Sustainable Urban Development in Kazakhstan Through Innovative Approaches to Resource Management</t>
  </si>
  <si>
    <t>10.18280/ijsdp.191217</t>
  </si>
  <si>
    <t>The concept of the smart city is becoming increasingly important in light of contemporary challenges related to sustainable development and efficient resource utilization. This study focuses on the contribution of integrating digital technologies into urban infrastructure, which is critical for ensuring the sustainable development of urban areas. While advanced cities like Copenhagen and Singapore demonstrate successes in implementing smart practices, Kazakhstan faces significant challenges in this domain. The aim of the research is to analyze the gaps in urban development and explore global practices that can be adapted to the Kazakh context. Utilizing the leapfrog development model, the study evaluates strategies for implementing smart technologies in Kazakh cities, emphasizing their potential to enhance ecological sustainability, energy efficiency, and rational resource use. The main findings indicate that technological innovations are key to improving the quality of life for residents and promoting sustainable urban development. The research offers practical recommendations for urban planners and policymakers, highlighting the importance of integrating smart technologies into sustainable development strategies, particularly in the context of developing countries such as Kazakhstan. Copyright: ¬©2024 The authors.</t>
  </si>
  <si>
    <t>city diplomacy; developing countries; ecological preservation; IoT technologies; smart infrastructure; urbanization</t>
  </si>
  <si>
    <t>Ismagulov, Nurzhan (59497493700); Chukubayev, Yermek (57131156600)</t>
  </si>
  <si>
    <t>59497493700; 57131156600</t>
  </si>
  <si>
    <t>International Journal of Sustainable Development and Planning</t>
  </si>
  <si>
    <t>https://www.scopus.com/inward/record.uri?eid=2-s2.0-85213882800&amp;doi=10.18280%2fijsdp.191217&amp;partnerID=40&amp;md5=d8c9be5fac8593c092a2083c543ad6c5</t>
  </si>
  <si>
    <t>2-s2.0-85213882800</t>
  </si>
  <si>
    <t>Kazakhstan; developing world; infrastructure; innovation; quality of life; smart city; sustainable development; urban development; urbanization</t>
  </si>
  <si>
    <t>Zheng R.; Xu J.; Wang X.; Liu M.; Zhu J.</t>
  </si>
  <si>
    <t>Service placement strategies in mobile edge computing based on an improved genetic algorithm</t>
  </si>
  <si>
    <t>10.1016/j.pmcj.2024.101986</t>
  </si>
  <si>
    <t>In mobile edge computing (MEC), quality of service (QoS) is closely related to optimizing service placement strategies, which is crucial to providing efficient services that meet user needs. However, due to the mobility of users and the energy consumption limit of edge servers, the existing policies make it difficult to ensure the QoS level of users. In this paper, a novel genetic algorithm based on a simulated annealing algorithm is proposed to balance the QoS of users and the energy consumption of edge servers. Finally, the effectiveness of the algorithm is verified by experiments. The results show that the QoS value obtained by the proposed algorithm is closer to the maximum value, which has significant advantages in improving QoS value and resource utilization. In addition, in software development related to mobile edge computing, our algorithm helps improve the program's running speed. ¬© 2024 Elsevier B.V.</t>
  </si>
  <si>
    <t>Energy consumption; Genetic algorithm; Mobile edge computing; Nonlinear function approximation; Service placement</t>
  </si>
  <si>
    <t>Zheng, Ruijuan (23987900100); Xu, Junwei (57417756800); Wang, Xueqi (59219389200); Liu, Muhua (57189071888); Zhu, Junlong (55637627900)</t>
  </si>
  <si>
    <t>23987900100; 57417756800; 59219389200; 57189071888; 55637627900</t>
  </si>
  <si>
    <t>Pervasive and Mobile Computing</t>
  </si>
  <si>
    <t>https://www.scopus.com/inward/record.uri?eid=2-s2.0-85206651645&amp;doi=10.1016%2fj.pmcj.2024.101986&amp;partnerID=40&amp;md5=ee3f294ea9f1fd2fcfb3a5be4a9d843c</t>
  </si>
  <si>
    <t>2-s2.0-85206651645</t>
  </si>
  <si>
    <t>Mobile applications; Mobile edge computing; Edge computing; Edge server; Energy-consumption; Nonlinear function approximation; Placement strategy; Quality-of-service; Service levels; Service placements; Services values; User need</t>
  </si>
  <si>
    <t>Souri A.; Mood S.E.; Gao M.; Li K.-C.</t>
  </si>
  <si>
    <t>Tournament based equilibrium optimization for minimizing energy consumption on dynamic task scheduling in cloud-edge computing</t>
  </si>
  <si>
    <t>10.1007/s10586-024-04489-1</t>
  </si>
  <si>
    <t>With the increasing advancements in the Internet of Things (IoT) and the growing production of tasks by IoT devices, the demand for cloud computing centers has become more critical than ever. The energy consumption in cloud computing servers has a significant impact on the overall costs and environmental pollution. This article addresses the task allocation problem to cloud computing servers with the aim of reducing energy consumption in those servers while maintaining Quality of Service (QoS). Evolutionary algorithms have been employed to solve this NP-hard problem. In this paper, a novel version of Equilibrium Optimization algorithm is defined and used for finding good solutions for this problem. In the proposed algorithm, a tournament operator is introduced to control selection pressure and enhance the algorithm‚Äôs exploration capability during local optima convergence, added to the EO algorithm. The utilization of this operator in the proposed algorithm eliminates the need for sorting all search agents at each iteration, resulting in reduced execution time. The simulation results indicate that the proposed algorithm has demonstrated a 24% improvement in performance compared to existing algorithms in solving the task allocation problem to servers in cloud computing environments. ¬© The Author(s), under exclusive licence to Springer Science+Business Media, LLC, part of Springer Nature 2024.</t>
  </si>
  <si>
    <t>Cloud computing; Energy efficiency; Equilibrium optimization; Internet of things; Tournament selection</t>
  </si>
  <si>
    <t>Souri, Alireza (56901126500); Mood, Sepehr Ebrahimi (57210123890); Gao, Mingliang (26634962800); Li, Kuan-Ching (57224659283)</t>
  </si>
  <si>
    <t>56901126500; 57210123890; 26634962800; 57224659283</t>
  </si>
  <si>
    <t>https://www.scopus.com/inward/record.uri?eid=2-s2.0-85189306472&amp;doi=10.1007%2fs10586-024-04489-1&amp;partnerID=40&amp;md5=01bc60aa0bb57e95f16701ef09f3b475</t>
  </si>
  <si>
    <t>2-s2.0-85189306472</t>
  </si>
  <si>
    <t>Computational complexity; Edge computing; Energy utilization; Evolutionary algorithms; Green computing; Internet of things; Iterative methods; Optimization; Quality of service; Allocation problems; Cloud-computing; Dynamic task-scheduling; Edge computing; Energy-consumption; Equilibrium optimizations; Minimizing energy; ON dynamics; Task allocation; Tournament selection; Energy efficiency</t>
  </si>
  <si>
    <t>Zhou Z.-B.; Li X.-C.; Wang Y.-W.; Wang Y.-S.</t>
  </si>
  <si>
    <t>Data and Computation-Intensive Service Reconfiguration with Low Cost of Imbalanced Resources in Edge Networks; [ËµÑÊ∫êÂ§±ÈÖçÊó∂‰Ωé‰ª£‰ª∑ÁöÑÊï∞ÊçÆ‰∏éËÆ°ÁÆóÂØÜÈõÜÂûãÊúçÂä°ÈáçÈÖç]</t>
  </si>
  <si>
    <t>10.11897/SP.J.1016.2024.02035</t>
  </si>
  <si>
    <t>The advent of edge computing has revolutionized the landscape of Internet of Things (IoT) applications, enabling a plethora of services to operate at the network periphery. Among these are augmented reality, online interactive gaming, and real-time video processing, all of which arc characterized by their sensitivity to latency. The quality of servicc (QoS) demands for these applications arc stringent, necessitating precisc control over geospatial positioning, response times, energy efficiency, and other resource-intensive constraints. IoT devices, which are integral to the functioning of these applications, encapsulate a variety of functionalities through IoT services. The fulfillment of user requests often hinges on the seamless composition of these data and computation-intensive services. However, the resource limitations inherent to IoT devices pose a significant challenge. The dynamic allocation and deallocation of resources during the runtime of IoT services lead to fluctuations in the availability of these resources within edge networks. Given the difficulty in replenishing IoT device resources and the potential for substantial variability in their consumption, the risk of device overload is a genuine concern. This can result in a decline in the ability of IoT services to consistently meet user requests, thereby degrading the QoS for both current and future requests. This paper introduces a novel low-cost service reconfiguration strategy designed to mitigate the imbalance of resources in edge computing environments. By leveraging service migration technologies, we propose a resource-efficient reconfiguration method capable of accommodating a greater number of forthcoming user requests, all while adhering to specified QoS constraints. We formulate the service reconfiguration problem as markov multi-phases decisions, which are addressed by Double Q-network with the replay buffer to enhance Reinforcement Learning (denoted DQRL). This algorithm considers the delay of IoT applications and resource utilization of IoT devices comprehensively, to optimize service reconfiguration in edge networks. The proposed strategy is underpinned by an intelligent deci- sion-making framework that optimizes the allocation of resources to IoT services, thereby enhancing the resilience and adaptability of edge networks to fluctuating demands. To validate the efficacy of our approach, we conducted extensive experiments using a dataset from Shanghai telecom base stations, which provided a realistic and complex environment for testing. The experimental results show that our approach performs better than baseline techniques in terms of satisfying delay constraints of IoT applications, decreasing energy consumption, and improving the resource utilization efficiency of IoT devices. This performance not only contributes to the sustainability of IoT ecosystems but also enhances the overall resource utilization efficiency of IoT devices. ¬© 2024 Science Press. All rights reserved.</t>
  </si>
  <si>
    <t>data and computation-intensive service; edge networks; resource utilization efficiency; service migration; service reconfiguration</t>
  </si>
  <si>
    <t>Zhou, Zhang-Bing (24340085800); Li, Xiao-Cui (57205587018); Wang, Yu-Wei (55954730600); Wang, Ya-Sha (8729530100)</t>
  </si>
  <si>
    <t>24340085800; 57205587018; 55954730600; 8729530100</t>
  </si>
  <si>
    <t>Jisuanji Xuebao/Chinese Journal of Computers</t>
  </si>
  <si>
    <t>https://www.scopus.com/inward/record.uri?eid=2-s2.0-85204964694&amp;doi=10.11897%2fSP.J.1016.2024.02035&amp;partnerID=40&amp;md5=41eff319d93707f33c7ff34a468e8c56</t>
  </si>
  <si>
    <t>2-s2.0-85204964694</t>
  </si>
  <si>
    <t>Crushing; Damage detection; Edge computing; Health risks; Markov processes; Network security; Quality of service; Reinforcement learning; Resource allocation; Special effects; Computation intensives; Data and computation-intensive service; Data intensive; Edge computing; EDGE Networks; Resource utilization efficiency; Resources utilizations; Service migration; Service Reconfiguration; Utilization efficiency; Augmented reality</t>
  </si>
  <si>
    <t>Wang Y.; Sun L.</t>
  </si>
  <si>
    <t>Energy-efficient dynamic sensor time series classification for edge health devices</t>
  </si>
  <si>
    <t>10.1016/j.cmpb.2024.108268</t>
  </si>
  <si>
    <t>Background and Objective: Time series data plays a crucial role in the realm of the Internet of Things Medical (IoMT). Through machine learning (ML) algorithms, online time series classification in IoMT systems enables reliable real-time disease detection. Deploying ML algorithms on edge health devices can reduce latency and safeguard patients‚Äô privacy. However, the limited computational resources of these devices underscore the need for more energy-efficient algorithms. Furthermore, online time series classification inevitably faces the challenges of concept drift (CD) and catastrophic forgetting (CF). To address these challenges, this study proposes an energy-efficient Online Time series classification algorithm that can solve CF and CD for health devices, called OTCD. Methods: OTCD first detects the appearance of concept drift and performs prototype updates to mitigate its impact. Afterward, it standardizes the potential space distribution and selectively preserves key training parameters to address CF. This approach reduces the required memory and enhances energy efficiency. To evaluate the performance of the proposed model in real-time health monitoring tasks, we utilize electrocardiogram (ECG) and photoplethysmogram (PPG) data. By adopting various feature extractors, three arrhythmia classification models are compared. To assess the energy efficiency of OTCD, we conduct runtime tests on each dataset. Additionally, the OTCD is compared with state-of-the-art (SOTA) dynamic time series classification models for performance evaluation. Results: The OTCD algorithm outperforms existing SOTA time series classification algorithms in IoMT. In particular, OTCD is on average 2.77% to 14.74% more accurate than other models on the MIT-BIH arrhythmia dataset. Additionally, it consumes low memory (1 KB) and performs computations at a rate of 0.004 GFLOPs per second, leading to energy savings and high time efficiency. Conclusion: Our proposed algorithm, OTCD, enables efficient real-time classification of medical time series on edge health devices. Experimental results demonstrate its significant competitiveness, offering promising prospects for safe and reliable healthcare. ¬© 2024 Elsevier B.V.</t>
  </si>
  <si>
    <t>Catastrophic forgetting; Concept drift; Edge health devices; Sensor time series classification; Smart healthcare</t>
  </si>
  <si>
    <t>Wang, Yueyuan (58998111800); Sun, Le (57210276417)</t>
  </si>
  <si>
    <t>58998111800; 57210276417</t>
  </si>
  <si>
    <t>Computer Methods and Programs in Biomedicine</t>
  </si>
  <si>
    <t>https://www.scopus.com/inward/record.uri?eid=2-s2.0-85195595665&amp;doi=10.1016%2fj.cmpb.2024.108268&amp;partnerID=40&amp;md5=4730451f4481294e8dfd5a4cbb18a67f</t>
  </si>
  <si>
    <t>2-s2.0-85195595665</t>
  </si>
  <si>
    <t>Algorithms; Arrhythmias, Cardiac; Electrocardiography; Humans; Internet of Things; Machine Learning; Monitoring, Physiologic; Photoplethysmography; Signal Processing, Computer-Assisted; Computational efficiency; Diseases; Electrocardiography; Health care; Machine learning; Online systems; Real time systems; Statistical tests; Time series; Catastrophic forgetting; Concept drifts; Edge health device; Energy efficient; Machine learning algorithms; Online time; Real- time; Sensor time series classification; Smart healthcare; Time series classifications; Article; classification algorithm; comparative study; controlled study; convolutional neural network; diagnostic accuracy; electrocardiogram; energy consumption; feature selection; heart arrhythmia; heart supraventricular arrhythmia; human; internet of things; mean squared error; memory consolidation; phonocardiography; photoelectric plethysmography; recurrent neural network; time series analysis; algorithm; classification; devices; diagnosis; electrocardiography; internet of things; machine learning; physiologic monitoring; procedures; signal processing; Energy efficiency</t>
  </si>
  <si>
    <t>Hijjawi M.; Jamil F.; Jamil H.; Alsboui T.; Hill R.; Hameed I.A.</t>
  </si>
  <si>
    <t>Optimal smart contracts for controlling the environment in electric vehicles based on an Internet of Things network</t>
  </si>
  <si>
    <t>10.1016/j.comcom.2024.06.004</t>
  </si>
  <si>
    <t>The scientific community has recently focused on intelligent models for predicting and optimizing EV energy management. Despite numerous studies in energy management optimization, there is a critical need to address the trade-off between energy consumption and occupant comfort. Existing IoT systems face challenges in data analytics security and authenticity, highlighting the need for contemporary models to overcome data privacy and cost-related issues. This study introduces a smart contract model based on optimization and control modules, aiming to manage energy consumption while satisfying user comfort requirements intelligently. Introducing a smart contract model with hierarchical layers‚Äîprediction, optimization, control, and Blockchain‚Äîthe proposed approach intelligently manages energy consumption while meeting user comfort requirements. Utilizing a Kalman filter for prediction and the BAT algorithm for optimization, the model integrates modules to tailor user preferences and enhance comfort. The synergy between the optimization module and a convolutional FLC enhances system performance, ensuring minimized energy usage and elevated user comfort levels. The study also evaluates the model's implementation of the Hyperledger Fabric network, assessing outcomes regarding caliper, latency, throughput, and resource utilization. ¬© 2024 The Author(s)</t>
  </si>
  <si>
    <t>Electric vehicles; Energy optimization; Energy prediction; Smart cities; User comfort level</t>
  </si>
  <si>
    <t>Hijjawi, Mohammad (42961403600); Jamil, Faisal (57205302075); Jamil, Harun (57222651920); Alsboui, Tariq (55355808800); Hill, Richard (7404753515); Hameed, Ibrahim A. (36175945700)</t>
  </si>
  <si>
    <t>42961403600; 57205302075; 57222651920; 55355808800; 7404753515; 36175945700</t>
  </si>
  <si>
    <t>Computer Communications</t>
  </si>
  <si>
    <t>https://www.scopus.com/inward/record.uri?eid=2-s2.0-85196629941&amp;doi=10.1016%2fj.comcom.2024.06.004&amp;partnerID=40&amp;md5=813f1be928e1050ee7efd08774929f7b</t>
  </si>
  <si>
    <t>2-s2.0-85196629941</t>
  </si>
  <si>
    <t>Blockchain; Data Analytics; Data privacy; Economic and social effects; Electric vehicles; Energy management; Energy utilization; Forecasting; Internet of things; Smart city; Smart power grids; Comfort level; Energy optimization; Energy prediction; Energy-consumption; Intelligent models; Optimisations; Optimization module; Scientific community; User comfort level; User comforts; Smart contract</t>
  </si>
  <si>
    <t>Timpanaro G.; Foti V.T.</t>
  </si>
  <si>
    <t>Sustainable extraction of bioproducts from cactus pear waste: Economic viability and market opportunities in a green economy</t>
  </si>
  <si>
    <t>10.1016/j.crgsc.2025.100449</t>
  </si>
  <si>
    <t>This study investigates the economic viability of extracting bioproducts from discarded cactus pear (Opuntia ficus-indica) waste in Sicily, where the cactus pear industry is well-established. The focus is on employing green extraction technologies, such as microwave-assisted methods, to produce valuable compounds like seed oil, pectin, and bioactive substances for use in the cosmetic, nutraceutical, and pharmaceutical industries. The results demonstrate that increasing the scale of production from 200 to 400 tons significantly enhances the financial performance of the operation, reducing the payback period from 6.5 to 4 years and yielding positive Net Present Value (NPV) and Internal Rate of Return (IRR) values, reaching up to 35.7 %. However, challenges such as the seasonality of raw material availability and the high energy requirements of green technologies are noted. These findings suggest that while the project is economically feasible, managing supply chain variability and optimising energy consumption are critical for long-term sustainability. Additionally, the increasing consumer demand for sustainable and functional products provides a strong market opportunity for these bioproducts, though competition from international players leveraging economies of scale could pose a threat. This study highlights the importance of integrating green technologies in bioeconomy projects and offers insights for policymakers and industry leaders. Policymakers can support these initiatives through incentives and regulations, while businesses in the cosmetic and nutraceutical sectors may find competitive advantages in the quality and sustainability of these bioproducts. Further research should explore alternative biomass sources and innovations in extraction efficiency to ensure continuous production and cost reductions. ¬© 2025</t>
  </si>
  <si>
    <t>Bioproducts; Cactus pear waste; Circular economy; Economic viability; Green extraction technology</t>
  </si>
  <si>
    <t>Timpanaro, Giuseppe (55377394500); Foti, Vera Teresa (53863567500)</t>
  </si>
  <si>
    <t>55377394500; 53863567500</t>
  </si>
  <si>
    <t>Current Research in Green and Sustainable Chemistry</t>
  </si>
  <si>
    <t>https://www.scopus.com/inward/record.uri?eid=2-s2.0-85218856839&amp;doi=10.1016%2fj.crgsc.2025.100449&amp;partnerID=40&amp;md5=b913cc61a04999d27ac45c37d2edaddd</t>
  </si>
  <si>
    <t>2-s2.0-85218856839</t>
  </si>
  <si>
    <t>Soongpol B.; Netinant P.; Rukhiran M.</t>
  </si>
  <si>
    <t>Practical Sustainable Software Development in Architectural Flexibility for Energy Efficiency Using the Extended Agile Framework</t>
  </si>
  <si>
    <t>10.3390/su16135738</t>
  </si>
  <si>
    <t>Many regular business operations are transforming into digital services, increasing advanced multi-platforms, rapid operational alignment, flexibility, and environmental impact through energy consumption, hardware waste, and technology investments. Flexible and sustainable system development models emphasizing energy efficiency can help innovate software development as digital servicing applications shift. This research is motivated by the need to improve energy consumption in early software design and development due to rising technological efficiency and sustainability demands. Although effective in iterative development and stakeholder engagement, traditional Agile methodologies often struggle with long-term sustainability and energy efficiency. Extended Agile, combining Agile, layered architecture, and aspect-oriented frameworks (ALAI), promises to improve system modularity, flexibility, maintainability, and sustainability. This study‚Äôs findings are not just theoretical, but also practically relevant, as they explore the energy efficiency of ALAI software development methodologies, using graduate admission information system services (GAISS) as an example. GAISS is a complex system that handles the entire process of graduate admissions, from application submission to final decision. The study quantifies the energy usage of a student-list webpage by analyzing Microsoft IIS server logs from February 2022 to May 2024. Directly applicable findings show that the GAISS based on the ALAI framework reduces energy consumption by 10.7914% compared to traditional Agile software developments. ALAI used 892.80 kWh versus Agile‚Äôs 1000.80 kWh during operations, saving energy. These findings demonstrate the benefits of integrating aspect-oriented frameworks and layering approaches into Agile methodologies, contributing to sustainable software development discourse. The study emphasizes the importance of energy-efficient frameworks such as ALAI to reduce software systems‚Äô environmental impact and promote software development sustainability. The findings of this study, with their practical relevance, assist software developers and organizations in choosing software design and development methods that maximize operational efficiency and environmental sustainability. ¬© 2024 by the authors.</t>
  </si>
  <si>
    <t>agile; aspect-oriented; energy efficiency; flexibility; framework; layering; software development; sustainability</t>
  </si>
  <si>
    <t>Soongpol, Buerian (58766517600); Netinant, Paniti (6507249299); Rukhiran, Meennapa (57201645315)</t>
  </si>
  <si>
    <t>58766517600; 6507249299; 57201645315</t>
  </si>
  <si>
    <t xml:space="preserve">Sustainability (Switzerland) </t>
  </si>
  <si>
    <t>https://www.scopus.com/inward/record.uri?eid=2-s2.0-85198449600&amp;doi=10.3390%2fsu16135738&amp;partnerID=40&amp;md5=1ad850b0d978a007606fa8eb5da24200</t>
  </si>
  <si>
    <t>2-s2.0-85198449600</t>
  </si>
  <si>
    <t>business development; energy efficiency; environmental impact; information system; software; stakeholder; sustainability; sustainable development</t>
  </si>
  <si>
    <t>Yang T.; Sun J.; Mohajer A.</t>
  </si>
  <si>
    <t>Queue stability and dynamic throughput maximization in multi-agent heterogeneous wireless networks</t>
  </si>
  <si>
    <t>10.1007/s11276-024-03730-4</t>
  </si>
  <si>
    <t>The Industrial Internet of Things (IIoT) envisions enhanced surveillance and control for industrial applications through diverse IoT devices. However, the increasing heterogeneity of deployed end devices poses challenges to current practices, hampering overall performance as device numbers escalate. To tackle this issue, we introduce an innovative distributed power control algorithm leveraging the wireless channel's nature to approximate the centralized maximum-weight scheduling algorithm. Employing ubiquitous multi-protocol mobile devices as intermediaries, we propose a concurrent dual-hop/multi-hop backhauling strategy, improving interoperability and facilitating data relay, translation, and forwarding from end IoT devices. Our focus is directed towards addressing large-scale network stability and queue management challenges. We formulate a long-term time-averaged optimization problem, incorporating considerations of end-to-end rate control, routing, link scheduling, and resource allocation to guarantee essential network-wide throughput. Furthermore, we present a real-time decomposition-based approximation algorithm that ensures adaptive resource allocation, queue stability, and meeting Quality of Service (QoS) constraints with the highest energy efficiency. Comprehensive numerical results verify significant energy efficiency improvements across diverse traffic models, maintaining throughput requirements for both uniform and hotspot User Equipment (UE) distribution patterns. This work offers a comprehensive solution to enhance IIoT performance and address evolving challenges in industrial applications. ¬© The Author(s), under exclusive licence to Springer Science+Business Media, LLC, part of Springer Nature 2024.</t>
  </si>
  <si>
    <t>Distributed resource allocation; IIoT; Maximum-weight scheduling; Queue stability; Throughput utility maximization</t>
  </si>
  <si>
    <t>Yang, Ting (57298060700); Sun, Jiabao (57298060600); Mohajer, Amin (55608570700)</t>
  </si>
  <si>
    <t>57298060700; 57298060600; 55608570700</t>
  </si>
  <si>
    <t>Wireless Networks</t>
  </si>
  <si>
    <t>https://www.scopus.com/inward/record.uri?eid=2-s2.0-85190390054&amp;doi=10.1007%2fs11276-024-03730-4&amp;partnerID=40&amp;md5=c49370aa50762942975fc7eb577b2c78</t>
  </si>
  <si>
    <t>2-s2.0-85190390054</t>
  </si>
  <si>
    <t>Approximation algorithms; Energy efficiency; Heterogeneous networks; Mobile telecommunication systems; Multi agent systems; Network security; Power control; Quality of service; Queueing networks; Queueing theory; Scheduling algorithms; Stability; Wireless networks; Distributed resource allocation; Dynamic throughputs; Industrial internet of thing; Maximum-weight scheduling; Performance; Queue dynamics; Queue stability; Throughput maximization; Throughput utility maximization; Utility maximizations; Internet of things</t>
  </si>
  <si>
    <t>Mughal F.R.; He J.; Das B.; Dharejo F.A.; Zhu N.; Khan S.B.; Alzahrani S.</t>
  </si>
  <si>
    <t>Adaptive federated learning for resource-constrained IoT devices through edge intelligence and multi-edge clustering</t>
  </si>
  <si>
    <t>10.1038/s41598-024-78239-z</t>
  </si>
  <si>
    <t>In the rapidly growing Internet of Things (IoT) landscape, federated learning (FL) plays a crucial role in enhancing the performance of heterogeneous edge computing environments due to its scalability, robustness, and low energy consumption. However, one of the major challenges in such environments is the efficient selection of edge nodes and the optimization of resource allocation, especially in dynamic and resource-constrained settings. To address this, we propose a novel architecture called Multi-Edge Clustered and Edge AI Heterogeneous Federated Learning (MEC-AI HetFL), which leverages multi-edge clustering and AI-driven node communication. This architecture enables edge AI nodes to collaborate, dynamically selecting significant nodes and optimizing global learning tasks with low complexity. Compared to existing solutions like EdgeFed, FedSA, FedMP, and H-DDPG, MEC-AI HetFL improves resource allocation, quality score, and learning accuracy, offering up to 5 times better performance in heterogeneous and distributed environments. The solution is validated through simulations and network traffic tests, demonstrating its ability to address the key challenges in IoT edge computing deployments. ¬© The Author(s) 2024.</t>
  </si>
  <si>
    <t>Edge artificial intelligence; Edge computing; Federated learning; Heterogeneous cluster networks; Internet of things; Resource management</t>
  </si>
  <si>
    <t>Mughal, Fahad Razaque (57203181587); He, Jingsha (8688078000); Das, Bhagwan (56493885700); Dharejo, Fayaz Ali (57195487028); Zhu, Nafei (36573007200); Khan, Surbhi Bhatia (56655934600); Alzahrani, Saeed (58714653300)</t>
  </si>
  <si>
    <t>57203181587; 8688078000; 56493885700; 57195487028; 36573007200; 56655934600; 58714653300</t>
  </si>
  <si>
    <t>https://www.scopus.com/inward/record.uri?eid=2-s2.0-85209755101&amp;doi=10.1038%2fs41598-024-78239-z&amp;partnerID=40&amp;md5=8f0f9468b4c0609252b3266aaf117941</t>
  </si>
  <si>
    <t>2-s2.0-85209755101</t>
  </si>
  <si>
    <t>article; artificial intelligence; energy consumption; federated learning; human; intelligence; internet of things; learning; resource allocation; simulation</t>
  </si>
  <si>
    <t>Laouamri A.; Cherbal S.; Mosbah Y.; Benrebbouh C.; Kharoubi K.</t>
  </si>
  <si>
    <t>Blockchain Approach for Healthcare Using Fog Topology and Lightweight Consensus</t>
  </si>
  <si>
    <t>10.18267/j.aip.256</t>
  </si>
  <si>
    <t>Background: The internet of things (IoT) has transformed healthcare by integrating various devices and systems, fostering innovation in data management and operational efficiency. However, ensuring data integrity, security and trust within IoT networks remains a pressing challenge, particularly in critical sectors such as healthcare. Objective: This study aims to explore the integration of blockchain technology with IoT systems, focusing on addressing scalability and real-time applicability issues in healthcare data management. By proposing novel solutions, the research seeks to enhance the security and reliability of IoT systems in healthcare environments. Methods: The proposed framework incorporates a lightweight raft-based consensus protocol and enhanced cryptographic measures, such as Schnorr signatures and hashes, to address existing limitations in scalability and latency. The architecture and algorithms for signature generation, encryption, emergency state actions and consensus are developed and evaluated through extensive simulations using the NS3 toolkit. Results: The simulation results validate the effectiveness of the proposed approach in improving healthcare IoT systems. The findings demonstrate enhancements in energy efficiency, throughput and network usage, establishing the potential of the framework for revolutionizing healthcare data management by providing secure, scalable and efficient solutions. Conclusion: The study contributes to advancing secure and reliable decentralized data management systems for IoT in healthcare by making use of blockchain technology. The proposed architecture addresses critical challenges and offers practical benefits such as resource efficiency and system stability. While promising, the framework requires real-world testing and further optimization to overcome potential scalability bottlenecks in large-scale healthcare deployments. ¬© 2025 by the author(s).</t>
  </si>
  <si>
    <t>Blockchain; Data integrity; Decentralized systems; Healthcare; IoT; Privacy; Security</t>
  </si>
  <si>
    <t>Laouamri, Aya (36239023700); Cherbal, Sarra (57113710100); Mosbah, Yacine (59668311700); Benrebbouh, Chahrazed (57425466000); Kharoubi, Kamir (59538069800)</t>
  </si>
  <si>
    <t>36239023700; 57113710100; 59668311700; 57425466000; 59538069800</t>
  </si>
  <si>
    <t>Acta Informatica Pragensia</t>
  </si>
  <si>
    <t>https://www.scopus.com/inward/record.uri?eid=2-s2.0-85219659593&amp;doi=10.18267%2fj.aip.256&amp;partnerID=40&amp;md5=f4a588fe07f6bd42a2b6c38d4e74df3d</t>
  </si>
  <si>
    <t>2-s2.0-85219659593</t>
  </si>
  <si>
    <t>Xu X.; Zang S.; Bilal M.; Xu X.; Dou W.</t>
  </si>
  <si>
    <t>Intelligent architecture and platforms for private edge cloud systems: A review</t>
  </si>
  <si>
    <t>10.1016/j.future.2024.06.024</t>
  </si>
  <si>
    <t>The development of cloud, fog, and edge computing has led to great advances in reducing latency and saving bandwidth, and these methods have therefore been broadly applied in various domains, including healthcare, transportation, and the Internet of Things (IoT). Traditional edge computing solutions have proven to be insufficient in fulfilling the demanding prerequisites of low latency and high data rates. Additionally, publicly available edge cloud solutions fail to meet the required standards for ensuring privacy protection. Consequently, Private Edge Cloud Systems (PECSs) have garnered attention as a prospective solution owing to their capacity to mitigate privacy risks and their significant computing capacity. PECS research has seen significant growth, but there is a lack of detailed review of its issues, approaches, and applications in the literature. To explore the potential application value of PECS, this paper provides a systematic review of intelligent platforms and architecture for PECSs. Specifically, an overview of the fundamental characteristics of PECSs is provided. Second, we classify intelligent platforms and architectures and analyze their implementation techniques and realization methods. Third, we discuss four specific application scenarios. Finally, promising future research directions are discussed. The findings of this research show that PECSs can effectively meet the requirements for low latency and privacy protection and are a fertile domain for further research. ¬© 2024 The Author(s)</t>
  </si>
  <si>
    <t>Cloud computing; Edge cloud; Edge computing; Private edge cloud systems; Public edge cloud</t>
  </si>
  <si>
    <t>Xu, Xiyuan (59178956100); Zang, Shaobo (59178956200); Bilal, Muhammad (56562681700); Xu, Xiaolong (55706201200); Dou, Wanchun (7006874536)</t>
  </si>
  <si>
    <t>59178956100; 59178956200; 56562681700; 55706201200; 7006874536</t>
  </si>
  <si>
    <t>Future Generation Computer Systems</t>
  </si>
  <si>
    <t>https://www.scopus.com/inward/record.uri?eid=2-s2.0-85196423494&amp;doi=10.1016%2fj.future.2024.06.024&amp;partnerID=40&amp;md5=a1fb2bf57e5b948b03b007c23c135cbb</t>
  </si>
  <si>
    <t>2-s2.0-85196423494</t>
  </si>
  <si>
    <t>Architecture; Computer architecture; Internet of things; Cloud systems; Cloud-computing; Edge clouds; Edge computing; Intelligent architectures; Intelligent platform; Private edge cloud system; Public edge cloud; Edge computing</t>
  </si>
  <si>
    <t>Mendula M.; Bellavista P.; Levorato M.; Contreras S.L.D.G.</t>
  </si>
  <si>
    <t>A novel middleware for adaptive and efficient split computing for real-time object detection</t>
  </si>
  <si>
    <t>10.1016/j.pmcj.2025.102028</t>
  </si>
  <si>
    <t>Real-world applications requiring real-time responsiveness frequently rely on energy-intensive and compute-heavy neural network algorithms. Strategies include deploying distributed and optimized Deep Neural Networks on mobile devices, which can lead to considerable energy consumption and degraded performance, or offloading larger models to edge servers, which requires low-latency wireless channels. Here we present Furcifer, a novel middleware that autonomously adjusts the computing strategy (i.e., local computing, edge computing, or split computing) based on context conditions. Utilizing container-based services and low-complexity predictors that generalize across environments, Furcifer supports supervised compression as a viable alternative to pure local or remote processing in real-time environments. An extensive set of experiments coversdiverse scenarios, including both stable and highly dynamic channel environments with unpredictable changes in connection quality and load. In moderate-varying scenarios, Furcifer demonstrates significant benefits: achieving a 2x reduction in energy consumption, a 30% higher mean Average Precision score compared to local computing, and a three-fold FPS increase over static offloading. In highly dynamic environments with unreliable connectivity and rapid increases in concurrent clients, Furcifer's predictive capabilities preserves up to 30% energy, achieving a 16% higher accuracy rate, and completing 80% more frame inferences compared to pure local computing and approaches without trend forecasting, respectively. ¬© 2025 The Authors</t>
  </si>
  <si>
    <t>Edge computing; Energy efficiency; Image compression; Machine learning; Middleware; Object detection; Split computing</t>
  </si>
  <si>
    <t>Mendula, Matteo (57220863182); Bellavista, Paolo (6603925242); Levorato, Marco (8901243100); Contreras, Sharon Ladron de Guevara (59663139000)</t>
  </si>
  <si>
    <t>57220863182; 6603925242; 8901243100; 59663139000</t>
  </si>
  <si>
    <t>https://www.scopus.com/inward/record.uri?eid=2-s2.0-85218423854&amp;doi=10.1016%2fj.pmcj.2025.102028&amp;partnerID=40&amp;md5=4823af15ec50dfe4ee0128737e94eb64</t>
  </si>
  <si>
    <t>2-s2.0-85218423854</t>
  </si>
  <si>
    <t>Computation offloading; Deep neural networks; Image compression; Mobile edge computing; Edge computing; Energy; Images compression; Machine-learning; Neural networks algorithms; Neural-networks; Objects detection; Real- time; Real-world; Split computing; Middleware</t>
  </si>
  <si>
    <t>Liu R.; Shi J.; Chen X.; Lu C.</t>
  </si>
  <si>
    <t>Network anomaly detection and security defense technology based on machine learning: A review</t>
  </si>
  <si>
    <t>10.1016/j.compeleceng.2024.109581</t>
  </si>
  <si>
    <t>Robust solutions are essential for protecting complex network systems in the constantly changing cybersecurity scenario. This investigation examines the role of machine learning (ML) in improving the safety of digital infrastructure by examining network anomaly detection and security defense. We evaluate the effectiveness of key ML techniques, including deep learning (DL), ensemble methods, and supervised and unsupervised learning, in recognizing abnormalities and reducing dangers. Real-time monitoring and adaptive reactions are emphasized in the analysis of ML-based systems integration into comprehensive security frameworks. This section also addresses challenges like interpretability, harmful assaults, and model resilience. Real-world case examples emphasize the importance of ML in the advancement of network security. The paper continues with a discussion of ML's future role in the optimization of security measures and the mitigation of emergent threats. ¬© 2024 Elsevier Ltd</t>
  </si>
  <si>
    <t>Anomaly detection; Cybersecurity; Deep learning; Ensemble methods; Machine learning; Network security; Security defense; Supervised learning; Threat mitigation; Unsupervised learning</t>
  </si>
  <si>
    <t>Liu, Ruixiao (59160753100); Shi, Jing (59295950300); Chen, Xingyu (59296286300); Lu, Cuiying (56174621100)</t>
  </si>
  <si>
    <t>59160753100; 59295950300; 59296286300; 56174621100</t>
  </si>
  <si>
    <t>https://www.scopus.com/inward/record.uri?eid=2-s2.0-85201919225&amp;doi=10.1016%2fj.compeleceng.2024.109581&amp;partnerID=40&amp;md5=6a59a223a39579b82970bdefeefbe2a2</t>
  </si>
  <si>
    <t>2-s2.0-85201919225</t>
  </si>
  <si>
    <t>Contrastive Learning; Cybersecurity; Federated learning; Self-supervised learning; Anomaly detection; Cyber security; Deep learning; Defence technology; Ensemble methods; Machine-learning; Network anomaly detection; Networks security; Security defense; Threats mitigations; Adversarial machine learning</t>
  </si>
  <si>
    <t>Ida Evangeline S.; Darwin S.; Peter Anandkumar P.; Chithambara Thanu M.</t>
  </si>
  <si>
    <t>Anomaly detection in smart grid using a trace-based graph deep learning model</t>
  </si>
  <si>
    <t>10.1007/s00202-024-02327-6</t>
  </si>
  <si>
    <t>Electricity plays a significant role in the everyday lives of people. Researchers have long been interested in the classification problem of electric power anomaly detection. Anomaly detection can stop little issues from snowballing into unmanageable issues. In addition, it helps cut down on energy waste. Existing anomaly detection models mostly ignore the spatial attribute of electricity consumption data. They would primarily emphasize the time series information contained within the energy consumption data. Furthermore, the trace has the ability to precisely reconstruct consumer pathways; the smart grid can thus use it to detect anomalies. To fill this research gap, we propose a trace-based graph deep learning model to detect anomalous consumers in the smart grid. An unsupervised encoder‚Äìdecoder is used in the proposed model. First, our model combines traces using an efficient unified graph representation and provides quality scores. Then, the long short-term memory network extracts the temporal attributes, while the graph neural network extracts the spatial attributes. Finally, it computes the anomaly score by adding two hyper-parameters with two-part loss values. We conducted experiments on power consumption data that was gathered from an open-source dataset. The proposed model performs better than a range of standard anomaly detection models. The F1-score of our model is 94.60%, and the AUC is 98.90%. Experiments show that our model is stable even in extreme data imbalance. ¬© The Author(s), under exclusive licence to Springer-Verlag GmbH Germany, part of Springer Nature 2024.</t>
  </si>
  <si>
    <t>Anomaly detection; Energy consumption; Graph neural network; Spatio-temporal learning</t>
  </si>
  <si>
    <t>Ida Evangeline, S. (57219030805); Darwin, S. (56321288900); Peter Anandkumar, P. (57210133080); Chithambara Thanu, M. (56737211700)</t>
  </si>
  <si>
    <t>57219030805; 56321288900; 57210133080; 56737211700</t>
  </si>
  <si>
    <t>Electrical Engineering</t>
  </si>
  <si>
    <t>https://www.scopus.com/inward/record.uri?eid=2-s2.0-85188325172&amp;doi=10.1007%2fs00202-024-02327-6&amp;partnerID=40&amp;md5=5f7f8547b28da9c4819c2aad8d225820</t>
  </si>
  <si>
    <t>2-s2.0-85188325172</t>
  </si>
  <si>
    <t>Deep learning; Electric power utilization; Graph neural networks; Learning systems; Smart power grids; Anomaly detection; Anomaly detection models; Electric power; Energy wastes; Energy-consumption; Graph neural networks; Learning models; Smart grid; Spatial attribute; Spatio-temporal learning; Anomaly detection</t>
  </si>
  <si>
    <t>Zhang Y.; Fan W.; Yu Y.; Yuan‚Äôan L.</t>
  </si>
  <si>
    <t>DRL-Based Resource Orchestration for Vehicular Edge Computing With Multi-Edge and Multi-Vehicle Assistance</t>
  </si>
  <si>
    <t>10.1109/TITS.2025.3540918</t>
  </si>
  <si>
    <t>Vehicular Edge Computing (VEC) offers a promising framework for providing vehicles with low-latency and highly reliable services. By leveraging the underutilized computational resources of parked and moving vehicles commonly found in urban areas, a VEC system can enhance the performance of surrounding user devices and alleviate the loads on its edge servers. In this study, a resource orchestration scheme is introduced for a multi-device, multi-vehicle, and multi-edge scenario. Tasks from a device can be offloaded to its associated edge server, a neighboring edge server, a parked vehicle, or a moving vehicle. Our goal is to achieve the total task processing cost (comprising task processing latency and energy consumption) minimization across all devices through making strategies for task offloading and computational and communication resource allocation. We decompose the optimization problem and propose a Twin Delayed Deep Deterministic Policy Gradient (TD3)-based Deep Reinforcement Learning (DRL) algorithm. Furthermore, to accelerate the convergence speed of the algorithm, we optimize the uplink transmit power allocation sub-problem separately by designing a numerical algorithm. We analyze the complexity of the algorithm and assess its convergence. Through extensive simulations across 5 different scenarios, our proposed scheme outperforms 4 reference schemes, showcasing reductions in total task processing costs ranging from 15.13% to 38.59%. ¬© 2000-2011 IEEE All rights reserved.</t>
  </si>
  <si>
    <t>moving vehicles; parked vehicles; resource management; task offloading; Vehicular edge computing</t>
  </si>
  <si>
    <t>Zhang, Yaoyin (58109590400); Fan, Wenhao (53877225100); Yu, Yang (59656428300); Yuan‚Äôan, Liu (24282220600)</t>
  </si>
  <si>
    <t>58109590400; 53877225100; 59656428300; 24282220600</t>
  </si>
  <si>
    <t>https://www.scopus.com/inward/record.uri?eid=2-s2.0-85218949632&amp;doi=10.1109%2fTITS.2025.3540918&amp;partnerID=40&amp;md5=c0eff617da5dfa311f2155d9485e20dc</t>
  </si>
  <si>
    <t>2-s2.0-85218949632</t>
  </si>
  <si>
    <t>Computation offloading; Deep reinforcement learning; Mobile edge computing; Reinforcement learning; Computational resources; Edge computing; Edge server; Moving vehicles; Multi-vehicles; Parked vehicle; Resource management; Task offloading; Task-processing; Vehicular edge computing; Resource allocation</t>
  </si>
  <si>
    <t>Larracoechea J.A.; Ilarri S.; Roose P.</t>
  </si>
  <si>
    <t>A Proposal of Behavior-Based Consumption Profiles for Green Software Design</t>
  </si>
  <si>
    <t>10.3390/app14177456</t>
  </si>
  <si>
    <t>Despite the increase in the efficiency of energy consumption in information and communication technology, software execution and its constraints are responsible for how energy is consumed in hardware hosts. Consequently, researchers have promoted the development of sustainable software with new development methods and tools to lessen its hardware demands. However, the approaches developed so far lack cohesiveness along the stages of the software development life cycle (SDLC) and exist outside of a holistic method for green software development (GSD). In addition, there is a severe lack of approaches that target the analysis and design stages of the SDLC, leaving software architects and designers unsupported. In this article, we introduce our behavior-based consumption profile (BBCP) external Domain-Specific Language (DSL), aimed at assisting software architects and designers in modeling the behavior of software. The models generated with our external DSL contain multiple sets of properties that characterize features of the software‚Äôs behavior. In contrast to other modeling languages, our BBCP emphasizes how time and probability are involved in software execution and its evolution over time, helping its users to gather an expectation of software usage and hardware consumption from the initial stages of software development. To illustrate the feasibility and benefits of our proposal, we conclude with an analysis of the model of a software service created using the BBCP, which is simulated using Insight Maker to obtain an estimation of hardware consumption and later translated to energy consumption. ¬© 2024 by the authors.</t>
  </si>
  <si>
    <t>behavior with software; green software; SOA; software behavior; software engineering; software profiling</t>
  </si>
  <si>
    <t>Larracoechea, Jorge Andr√©s (57221960959); Ilarri, Sergio (7801631434); Roose, Philippe (55843683500)</t>
  </si>
  <si>
    <t>57221960959; 7801631434; 55843683500</t>
  </si>
  <si>
    <t>Applied Sciences (Switzerland)</t>
  </si>
  <si>
    <t>https://www.scopus.com/inward/record.uri?eid=2-s2.0-85203852902&amp;doi=10.3390%2fapp14177456&amp;partnerID=40&amp;md5=764572cb721393b46c5d6d5cbbf1be5c</t>
  </si>
  <si>
    <t>2-s2.0-85203852902</t>
  </si>
  <si>
    <t>Program translators; Software design; Behavior with software; Behavior-based; Energy-consumption; Green software; SOA; Software architects; Software behavior; Software development life-cycle; Software execution; Software profiling; Green development</t>
  </si>
  <si>
    <t>Torres-P√©rez C.; Coronado E.; Cervell√≥-Pastor C.; Palomares J.; Carmona-Cejudo E.; Siddiqui M.S.</t>
  </si>
  <si>
    <t>Minimizing active nodes in MEC environments: A distributed learning-driven framework for application placement</t>
  </si>
  <si>
    <t>10.1016/j.comnet.2024.111008</t>
  </si>
  <si>
    <t>Application placement in Multi-Access Edge Computing (MEC) must adhere to service level agreements (SLAs), minimize energy consumption, and optimize metrics based on specific service requirements. In distributed MEC system environments, the placement problem also requires consideration of various types of applications with different entry distribution rates and requirements, and the incorporation of varying numbers of hosts to enable the development of a scalable system. One possible way to achieve these objectives is to minimize the number of active nodes in order to avoid resource fragmentation and unnecessary energy consumption. This paper presents a Distributed Deep Reinforcement Learning-based Capacity-Aware Application Placement (DDRL-CAAP) approach aimed at reducing the number of active nodes in a multi-MEC system scenario that is managed by several orchestrators. Internet of Things (IoT) and Extended Reality (XR) applications are considered in order to evaluate close-to-real-world environments via simulation and on a real testbed. The proposed design is scalable for different numbers of nodes, MEC systems, and vertical applications. The performance results show that DDRL-CAAP achieves an average improvement of 98.3% in inference time compared with the benchmark Integer Linear Programming (ILP) algorithm, and a mean reduction of 4.35% in power consumption compared with a Random Selection (RS) algorithm. ¬© 2024 Elsevier B.V.</t>
  </si>
  <si>
    <t>Application placement; Distributed deep reinforcement learning; MEC; Scalability</t>
  </si>
  <si>
    <t>Torres-P√©rez, Claudia (58543031700); Coronado, Estefan√≠a (56996889100); Cervell√≥-Pastor, Cristina (15847660800); Palomares, Javier (58519467800); Carmona-Cejudo, Estela (57710712300); Siddiqui, Muhammad Shuaib (37051441800)</t>
  </si>
  <si>
    <t>58543031700; 56996889100; 15847660800; 58519467800; 57710712300; 37051441800</t>
  </si>
  <si>
    <t>Computer Networks</t>
  </si>
  <si>
    <t>https://www.scopus.com/inward/record.uri?eid=2-s2.0-85214240125&amp;doi=10.1016%2fj.comnet.2024.111008&amp;partnerID=40&amp;md5=847a47039db126bf25c257dba9f2bbd2</t>
  </si>
  <si>
    <t>2-s2.0-85214240125</t>
  </si>
  <si>
    <t>Contrastive Learning; Deep reinforcement learning; Integer linear programming; Reinforcement learning; Active node; Application placements; Capacity-aware; Computing system; Distributed deep reinforcement learning; Edge computing; Energy-consumption; Multi-access edge computing; Multiaccess; Reinforcement learnings; Active learning</t>
  </si>
  <si>
    <t>K.M. U.; Shukla S.</t>
  </si>
  <si>
    <t>Energy and performance-aware workflow scheduler using dynamic virtual network resource optimization under edge-cloud platform</t>
  </si>
  <si>
    <t>10.1016/j.compeleceng.2025.110085</t>
  </si>
  <si>
    <t>Complex scientific workflows represented as directed acyclic graphs (DAG) have more task interdependencies and are typically handled on heterogeneous cloud-based systems. Nevertheless, the workflow resource requirements, such as lowering makespan and energy meeting delay constraints, were not met by the current cloud-based resource provisioning model. Although multi-cloud platforms have shown to be an effective means of cutting costs and enhancing performance efficiency, they are unable to satisfy the demands of complex workflows that are sensitive to delays. Although edge-cloud platforms have been utilized to reduce delay, overall performance is affected by the dynamic changes in workflow quality of service (QoS). Server scaling has been accomplished to meet application dynamic requirements by using efficient virtual network function (VNF) placement that ensures reliability; however, current work has not reduced energy consumption while optimizing VNF based on a simple workflow devoid of task interdependencies. In overcoming the research shortcoming, this paper introduces an energy and performance-aware workflow scheduler (EPAWS) for edge-cloud platforms; the EPAWS introduces an efficient VNF placement and service function chain (SFC) optimization for execution of scientific workflow in edge-cloud platforms. Simulation outcome shows the EPAWS is very efficient in reducing makespan by 97.7%, 97.4%, and 87.29% for Inspiral workflow, 87.46%, 65.86%, and 49.83% for CyberShake workflow and energy consumption by 91.5%, 71.62%, and 52.2% for Inspiral workflow, 96.63%, 94.6%, and 90.39% for CyberShake workflow in comparison with baseline models such as energy-aware adaptive-scaling (EAAS), reliability- enhancement strategy for workflow scheduler (RESWS), and multi-objective resource optimized workflow scheduler (MOROWS), respectively. ¬© 2025</t>
  </si>
  <si>
    <t>Directed acyclic graph; Edge-cloud; Energy efficiency; Scientific workflow; Service function chain; Virtual network function</t>
  </si>
  <si>
    <t>K.M., Uma (59527337600); Shukla, Shailendra (57194203681)</t>
  </si>
  <si>
    <t>59527337600; 57194203681</t>
  </si>
  <si>
    <t>https://www.scopus.com/inward/record.uri?eid=2-s2.0-85215938352&amp;doi=10.1016%2fj.compeleceng.2025.110085&amp;partnerID=40&amp;md5=dbceb332fd1601e27dac8d3545a04baf</t>
  </si>
  <si>
    <t>2-s2.0-85215938352</t>
  </si>
  <si>
    <t>Network function virtualization; Quality of service; Acyclic graphs; Directed acyclic graph; Edge clouds; Energy; Network functions; Scientific workflows; Service function chain; Service functions; Virtual network function; Virtual networks; Cloud platforms</t>
  </si>
  <si>
    <t>Dui H.; Zhai J.; Fu X.</t>
  </si>
  <si>
    <t>Attack strategies and reliability analysis of Wireless Mesh Networks considering cascading failures</t>
  </si>
  <si>
    <t>10.1016/j.ress.2025.110832</t>
  </si>
  <si>
    <t>Wireless Mesh Networks (WMNs) are vital to modern infrastructure, and attacks on WMNs can lead to paralysis of interdependent systems, causing significant social and economic consequences. However, existing studies often assume all attacks coincide, focusing on cascading failures from a single perspective while neglecting specific attack strategies. This study is the first to apply sequential attack strategies to WMNs and conduct a comparative analysis with synchronous strategies. First, we propose a system model for WMNs that incorporates path loss and link capacity, representing real-world scenarios. Secondly, we introduce two novel reliability metrics, transmission reliability and reliability degradation rate, to quantify the impact of attacks. In the final case study, we analyze the effects of synchronous and sequential attack strategies under four node attack rules. Results reveal that sequential attack strategies dynamically identify and exploit critical nodes, causing prolonged degradation of transmission reliability and amplifying cascading failures. Compared to synchronous attack strategies, sequential attack strategies increase the global reliability degradation rate and reliability degradation rate during the attack phase by 28.62 % and 55.36 %, respectively. Therefore, sequential attack strategies should combine these two node attack rules to achieve maximum impact. These findings confirm that the proposed sequential attack strategy effectively disrupts network performance and provides meaningful insights for developing WMN defense strategies. ¬© 2025</t>
  </si>
  <si>
    <t>Attack strategies; Cascading failure; Reliability; Wireless Mesh Network</t>
  </si>
  <si>
    <t>Dui, Hongyan (25959546400); Zhai, Jiabao (59519068600); Fu, Xiuwen (55814003600)</t>
  </si>
  <si>
    <t>25959546400; 59519068600; 55814003600</t>
  </si>
  <si>
    <t>Reliability Engineering and System Safety</t>
  </si>
  <si>
    <t>https://www.scopus.com/inward/record.uri?eid=2-s2.0-85215395988&amp;doi=10.1016%2fj.ress.2025.110832&amp;partnerID=40&amp;md5=f30ec4c6f90b8f57ee42140c2e0046c2</t>
  </si>
  <si>
    <t>2-s2.0-85215395988</t>
  </si>
  <si>
    <t>Mesh generation; Reliability analysis; Wireless mesh networks (WMN); Attack strategies; Cascading failures; Degradation rate; Interdependent systems; MeshNetworks; Modern infrastructure; Reliability degradation; Transmission reliability; Wireless mesh; Wireless mesh network; MESH networking</t>
  </si>
  <si>
    <t>Wang R.; Mou X.; Wo T.; Zhang M.; Liu Y.; Wang T.; Liu P.; Yan J.; Liu X.</t>
  </si>
  <si>
    <t>ACbot: an IIoT platform for industrial robots</t>
  </si>
  <si>
    <t>10.1007/s11704-024-3449-x</t>
  </si>
  <si>
    <t>As the application of Industrial Robots (IRs) scales and related participants increase, the demands for intelligent Operation and Maintenance (O&amp;M) and multi-tenant collaboration rise. Traditional methods could no longer cover the requirements, while the Industrial Internet of Things (IIoT) has been considered a promising solution. However, there‚Äôs a lack of IIoT platforms dedicated to IR O&amp;M, including IR maintenance, process optimization, and knowledge sharing. In this context, this paper puts forward the multi-tenant-oriented ACbot platform, which attempts to provide the first holistic IIoT-based solution for O&amp;M of IRs. Based on an information model designed for the IR field, ACbot has implemented an application architecture with resource and microservice management across the cloud and multiple edges. On this basis, we develop four vital applications including real-time monitoring, health management, process optimization, and knowledge graph. We have deployed the ACbot platform in real-world scenarios that contain various participants, types of IRs, and processes. To date, ACbot has been accessed by 10 organizations and managed 60 industrial robots, demonstrating that the platform fulfills our expectations. Furthermore, the application results also showcase its robustness, versatility, and adaptability for developing and hosting intelligent robot applications. ¬© Higher Education Press 2025.</t>
  </si>
  <si>
    <t>cloud-edge collaboration; IIoT platform; industrial robots; intelligent applications</t>
  </si>
  <si>
    <t>Wang, Rui (59100440800); Mou, Xudong (57219287339); Wo, Tianyu (15838274700); Zhang, Mingyang (57209285204); Liu, Yuxin (59418180300); Wang, Tiejun (57947107400); Liu, Pin (57208865640); Yan, Jihong (35301440800); Liu, Xudong (24478022500)</t>
  </si>
  <si>
    <t>59100440800; 57219287339; 15838274700; 57209285204; 59418180300; 57947107400; 57208865640; 35301440800; 24478022500</t>
  </si>
  <si>
    <t>Frontiers of Computer Science</t>
  </si>
  <si>
    <t>https://www.scopus.com/inward/record.uri?eid=2-s2.0-85206855045&amp;doi=10.1007%2fs11704-024-3449-x&amp;partnerID=40&amp;md5=a453f1a8734fa5b9a976560a8d479b74</t>
  </si>
  <si>
    <t>2-s2.0-85206855045</t>
  </si>
  <si>
    <t>Intelligent robots; Knowledge acquisition; Knowledge graph; Taxation; Cloud-edge collaboration; Industrial internet of thing platform; Intelligent applications; Intelligent maintenance; Intelligent operations; Multi tenants; Operations and maintenance; Process knowledge; Process optimisation; Robot maintenance; Industrial robots</t>
  </si>
  <si>
    <t>Khatua S.; Mukherjee A.; De D.</t>
  </si>
  <si>
    <t>FedGen: Federated learning-based green edge computing for optimal route selection using genetic algorithm in Internet of Vehicular Things</t>
  </si>
  <si>
    <t>10.1016/j.vehcom.2024.100812</t>
  </si>
  <si>
    <t>Time-efficient route planning is a significant research area of Internet of Vehicular Things. Optimal route selection is important to reach the destination in minimal time. Further, energy efficiency is vital for route planning in a sustainable environment. To address these issues, this paper proposes a federated learning and genetic algorithm-based green edge computing framework for optimal route planning in Internet of Vehicular Things. The vehicles are connected to the road side unit. The road side unit processes the image and video of the road, and predicts the number of vehicles on the road. For video processing Region-based Convolutional Neural Network is used. The road side units send the result and the local model parameters to the regional server. The regional server determines the optimal route using modified genetic algorithm, and sends it to the vehicles and the cloud. Also, the regional server updates its model and sends the updated model parameters to the road side units. The road side units update their local models accordingly. The regional server also sends the model parameters to the cloud, and the cloud updates the global model. The cloud sends the updated model parameters to the regional servers. The regional servers update their models accordingly. The results present that above 90% accuracy is achieved by the proposed model. The results also present that using modified GA the proposed approach reduces time and power consumption to find the optimal route by ‚àº62% and ‚àº66% than the cloud-only model. ¬© 2024 Elsevier Inc.</t>
  </si>
  <si>
    <t>Federated learning; Internet of Vehicular Things; Optimal route; Power consumption; Time consumption; Vehicular networks</t>
  </si>
  <si>
    <t>Khatua, Sushovan (58791950900); Mukherjee, Anwesha (57199852370); De, Debashis (16177578800)</t>
  </si>
  <si>
    <t>58791950900; 57199852370; 16177578800</t>
  </si>
  <si>
    <t>Vehicular Communications</t>
  </si>
  <si>
    <t>https://www.scopus.com/inward/record.uri?eid=2-s2.0-85195579129&amp;doi=10.1016%2fj.vehcom.2024.100812&amp;partnerID=40&amp;md5=3a05c423b1b048e9fab3537cdbdd6333</t>
  </si>
  <si>
    <t>2-s2.0-85195579129</t>
  </si>
  <si>
    <t>Stogia M.; Naserentin V.; Dimara A.; Eleftheriou O.; Tzitzios I.; Papaioannou C.; Pantusheva M.; Papaioannou A.; Spaias G.; Anagnostopoulos C.-N.; Logg A.; Krinidis S.</t>
  </si>
  <si>
    <t>A Scalable and User-Friendly Framework Integrating IoT and Digital Twins for Home Energy Management Systems</t>
  </si>
  <si>
    <t>10.3390/app142411834</t>
  </si>
  <si>
    <t>The rise in electricity costs for households over the past year has driven significant changes in energy usage patterns, with many residents adopting smarter energy-efficient practices, such as improved indoor insulation and advanced home energy management systems powered by IoT and Digital Twin technologies. These measures not only mitigate rising bills but also ensure optimized thermal comfort and sustainability in typical residential settings. This paper proposes an innovative framework to facilitate the adoption of energy-efficient practices in households by leveraging the integration of Internet of Things technologies with Digital Twins. It introduces a novel approach that exploits standardized parametric 3D models, enabling the efficient simulation and optimization of home energy systems. This design significantly reduces deployment complexity, enhances scalability, and empowers users with real-time insights into energy consumption, indoor conditions, and actionable strategies for sustainable energy management. The results showcase that the proposed method significantly outperforms traditional approaches, achieving a 94% reduction in deployment time and a 98% decrease in memory usage through the use of standardized parametric models and plug-and-play IoT integration. ¬© 2024 by the authors.</t>
  </si>
  <si>
    <t>digital twin; home energy management systems; internet of things; IoT architecture; real-time monitoring</t>
  </si>
  <si>
    <t>Stogia, Myrto (59489602000); Naserentin, Vasilis (57211082959); Dimara, Asimina (57201366573); Eleftheriou, Orfeas (57950296400); Tzitzios, Ioannis (58245236600); Papaioannou, Christoforos (57207194977); Pantusheva, Mariya (57219490991); Papaioannou, Alexios (57280507500); Spaias, George (58703830800); Anagnostopoulos, Christos-Nikolaos (8966682200); Logg, Anders (13411014700); Krinidis, Stelios (55968599400)</t>
  </si>
  <si>
    <t>59489602000; 57211082959; 57201366573; 57950296400; 58245236600; 57207194977; 57219490991; 57280507500; 58703830800; 8966682200; 13411014700; 55968599400</t>
  </si>
  <si>
    <t>https://www.scopus.com/inward/record.uri?eid=2-s2.0-85213252428&amp;doi=10.3390%2fapp142411834&amp;partnerID=40&amp;md5=66136762b5aa2392aff9223a3cfd6ad0</t>
  </si>
  <si>
    <t>2-s2.0-85213252428</t>
  </si>
  <si>
    <t>Energy management; Smart homes; Electricity costs; Energy efficient; Energy usage; Home energy management systems; IoT architecture; Real time monitoring; Smart energies; Thermal; Usage patterns; User friendly; Energy utilization</t>
  </si>
  <si>
    <t>Dakiƒá V.; Kovaƒç M.; Slovinac J.</t>
  </si>
  <si>
    <t>Evolving High-Performance Computing Data Centers with Kubernetes, Performance Analysis, and Dynamic Workload Placement Based on Machine Learning Scheduling</t>
  </si>
  <si>
    <t>10.3390/electronics13132651</t>
  </si>
  <si>
    <t>In the past twenty years, the IT industry has moved away from using physical servers for workload management to workloads consolidated via virtualization and, in the next iteration, further consolidated into containers. Later, container workloads based on Docker and Podman were orchestrated via Kubernetes or OpenShift. On the other hand, high-performance computing (HPC) environments have been lagging in this process, as much work is still needed to figure out how to apply containerization platforms for HPC. Containers have many advantages, as they tend to have less overhead while providing flexibility, modularity, and maintenance benefits. This makes them well-suited for tasks requiring a lot of computing power that are latency- or bandwidth-sensitive. But they are complex to manage, and many daily operations are based on command-line procedures that take years to master. This paper proposes a different architecture based on seamless hardware integration and a user-friendly UI (User Interface). It also offers dynamic workload placement based on real-time performance analysis and prediction and Machine Learning-based scheduling. This solves a prevalent issue in Kubernetes: the suboptimal placement of workloads without needing individual workload schedulers, as they are challenging to write and require much time to debug and test properly. It also enables us to focus on one of the key HPC issues‚Äîenergy efficiency. Furthermore, the application we developed that implements this architecture helps with the Kubernetes installation process, which is fully automated, no matter which hardware platform we use‚Äîx86, ARM, and soon, RISC-V. The results we achieved using this architecture and application are very promising in two areas‚Äîthe speed of workload scheduling and workload placement on a correct node. This also enables us to focus on one of the key HPC issues‚Äîenergy efficiency. ¬© 2024 by the authors.</t>
  </si>
  <si>
    <t>data center architecture; dynamic performance evaluation; hardware and software integration; high-performance computing; Kubernetes</t>
  </si>
  <si>
    <t>Dakiƒá, Vedran (57213589010); Kovaƒç, Mario (56031685500); Slovinac, Jurica (59217927000)</t>
  </si>
  <si>
    <t>57213589010; 56031685500; 59217927000</t>
  </si>
  <si>
    <t>Electronics (Switzerland)</t>
  </si>
  <si>
    <t>https://www.scopus.com/inward/record.uri?eid=2-s2.0-85198497070&amp;doi=10.3390%2felectronics13132651&amp;partnerID=40&amp;md5=68c1962eed9b2fb555edba080697018c</t>
  </si>
  <si>
    <t>2-s2.0-85198497070</t>
  </si>
  <si>
    <t>Gill S.S.; Golec M.; Hu J.; Xu M.; Du J.; Wu H.; Walia G.K.; Murugesan S.S.; Ali B.; Kumar M.; Ye K.; Verma P.; Kumar S.; Cuadrado F.; Uhlig S.</t>
  </si>
  <si>
    <t>Edge AI: A Taxonomy, Systematic Review and Future Directions</t>
  </si>
  <si>
    <t>10.1007/s10586-024-04686-y</t>
  </si>
  <si>
    <t>Edge Artificial Intelligence (AI) incorporates a network of interconnected systems and devices that receive, cache, process, and analyse data in close communication with the location where the data is captured with AI technology. Recent advancements in AI efficiency, the widespread use of Internet of Things (IoT) devices, and the emergence of edge computing have unlocked the enormous scope of Edge AI. The goal of Edge AI is to optimize data processing efficiency and velocity while ensuring data confidentiality and integrity. Despite being a relatively new field of research, spanning from 2014 to the present, it has shown significant and rapid development over the last five years. In this article, we present a systematic literature review for Edge AI to discuss the existing research, recent advancements, and future research directions. We created a collaborative edge AI learning system for cloud and edge computing analysis, including an in-depth study of the architectures that facilitate this mechanism. The taxonomy for Edge AI facilitates the classification and configuration of Edge AI systems while also examining its potential influence across many fields through compassing infrastructure, cloud computing, fog computing, services, use cases, ML and deep learning, and resource management. This study highlights the significance of Edge AI in processing real-time data at the edge of the network. Additionally, it emphasizes the research challenges encountered by Edge AI systems, including constraints on resources, vulnerabilities to security threats, and problems with scalability. Finally, this study highlights the potential future research directions that aim to address the current limitations of Edge AI by providing innovative solutions. ¬© The Author(s), under exclusive licence to Springer Science+Business Media, LLC, part of Springer Nature 2024.</t>
  </si>
  <si>
    <t>Artificial intelligence; Cloud computing; Edge AI; Edge computing; Machine learning</t>
  </si>
  <si>
    <t>Gill, Sukhpal Singh (57216940144); Golec, Muhammed (57219976731); Hu, Jianmin (59235057700); Xu, Minxian (54394627800); Du, Junhui (58032820100); Wu, Huaming (55605704300); Walia, Guneet Kaur (58630100800); Murugesan, Subramaniam Subramanian (59516286800); Ali, Babar (59234687000); Kumar, Mohit (56243664000); Ye, Kejiang (35957654600); Verma, Prabal (57194110658); Kumar, Surendra (57201889314); Cuadrado, Felix (23008194000); Uhlig, Steve (55148419500)</t>
  </si>
  <si>
    <t>57216940144; 57219976731; 59235057700; 54394627800; 58032820100; 55605704300; 58630100800; 59516286800; 59234687000; 56243664000; 35957654600; 57194110658; 57201889314; 23008194000; 55148419500</t>
  </si>
  <si>
    <t>https://www.scopus.com/inward/record.uri?eid=2-s2.0-85207056495&amp;doi=10.1007%2fs10586-024-04686-y&amp;partnerID=40&amp;md5=ad750f45f587bf5916a20f2be448a037</t>
  </si>
  <si>
    <t>2-s2.0-85207056495</t>
  </si>
  <si>
    <t>Cloud platforms; Taxonomies; Artificial intelligence systems; Artificial intelligence technologies; Cloud-computing; Data confidentiality; Data integrity; Edge artificial intelligence; Edge computing; Future research directions; Machine-learning; Systematic Review; Adversarial machine learning</t>
  </si>
  <si>
    <t>Bhattacharya T.; Peddi A.V.; Ponaganti S.; Veeramalla S.T.</t>
  </si>
  <si>
    <t>A survey on various security protocols of edge computing</t>
  </si>
  <si>
    <t>10.1007/s11227-024-06678-6</t>
  </si>
  <si>
    <t>Edge computing has emerged as a transformative data processing method by decentralizing computations and bringing them toward the data source, significantly reducing latency and enhancing response times. However, this shift introduces unique security challenges, especially within the detection and prevention of cyberattacks. This paper gives a comprehensive evaluation of the edge security landscape in peripheral computing, with specialized expertise in identifying and mitigating various types of attacks. We explore the challenges associated with detecting and preventing attacks in edge computing environments, acknowledging the limitations of existing approaches. One of the very interesting novelties that we include in this survey article is, that we designed a Web application that runs on an edge network and simulates SQL injection attacks-a common threat in edge computing. Through this simulation, we examined every one of the cleanup strategies used to discover and prevent such attacks using input sanitization techniques, ensuring that the malicious SQL code turned neutralized. Our studies contribute to deeper know-how of the security landscape in edge computing by providing meaningful insights into the effectiveness of multiple prevention strategies. ¬© The Author(s), under exclusive licence to Springer Science+Business Media, LLC, part of Springer Nature 2024.</t>
  </si>
  <si>
    <t>Attack prevention; Device vulnerabilities; Edge; Edge computing; Edge network simulation; iFogSim; Input sanitization; Real-time attacks; SQL injection; Threat detection</t>
  </si>
  <si>
    <t>Bhattacharya, Tathagata (56893273900); Peddi, Adithya Vardhan (59475760200); Ponaganti, Srikanth (59475760300); Veeramalla, Sai Teja (58999279400)</t>
  </si>
  <si>
    <t>56893273900; 59475760200; 59475760300; 58999279400</t>
  </si>
  <si>
    <t>https://www.scopus.com/inward/record.uri?eid=2-s2.0-85212268914&amp;doi=10.1007%2fs11227-024-06678-6&amp;partnerID=40&amp;md5=4b8c271f0fb1e1d9ad6aec27f22909be</t>
  </si>
  <si>
    <t>2-s2.0-85212268914</t>
  </si>
  <si>
    <t>Cyber attacks; Attack prevention; Device vulnerability; Edge; Edge computing; Edge network simulation; EDGE Networks; Ifogsim; Input sanitization; Network simulation; Real- time; Real-time attack; Sanitization; SQL injection; Threat detection; Mobile edge computing</t>
  </si>
  <si>
    <t>Calagna A.; Ravera S.; Chiasserini C.F.</t>
  </si>
  <si>
    <t>Enabling efficient collection and usage of network performance metrics at the edge</t>
  </si>
  <si>
    <t>10.1016/j.comnet.2025.111158</t>
  </si>
  <si>
    <t>Microservices (MSs)-based architectures have become the de facto standard for designing and implementing edge computing applications. In particular, by leveraging Network Performance Metrics (NPMs) coming from the Radio Access Network (RAN) and sharing context-related information, AI-driven MSs have demonstrated to be highly effective in optimizing RAN performance. In this context, this work addresses the critical challenge of ensuring efficient data sharing and consistency by proposing a holistic platform that regulates the collection and usage of NPMs. We first introduce two reference platform architectures and detail their implementation using popular, off-the-shelf database solutions. Then, to evaluate and compare such architectures and their implementation, we develop PACE, a highly configurable, scalable, MS-based emulation framework of producers and consumers of NPMs, capable of realistically reproducing a broad range of interaction patterns and load dynamics. Using PACE on our cloud computing testbed, we conduct a thorough characterization of various NPM platform architectures and implementations under a spectrum of realistic edge traffic scenarios, from loosely coupled control loops to latency- and mission- critical use cases. Our results reveal fundamental trade-offs in stability, availability, scalability, resource usage, and energy footprint, demonstrating how PACE effectively enables the identification of suitable platform solutions depending on the reference edge scenario and the required levels of reliability and data consistency. ¬© 2025 The Authors</t>
  </si>
  <si>
    <t>Data availability; Data consistency; Edge computing; Microservices</t>
  </si>
  <si>
    <t>Calagna, Antonio (58512977800); Ravera, Stefano (59663749400); Chiasserini, Carla Fabiana (7004886008)</t>
  </si>
  <si>
    <t>58512977800; 59663749400; 7004886008</t>
  </si>
  <si>
    <t>https://www.scopus.com/inward/record.uri?eid=2-s2.0-85219496402&amp;doi=10.1016%2fj.comnet.2025.111158&amp;partnerID=40&amp;md5=f64d1e547fad5b1fffd2abc6d9567fa1</t>
  </si>
  <si>
    <t>2-s2.0-85219496402</t>
  </si>
  <si>
    <t>Cloud platforms; Radio access networks; Computing applications; Data availability; Data consistency; De facto standard; Edge computing; Microservice; Network performance metrics; Performance; Platform architecture; Radio access networks; Cloud computing architecture</t>
  </si>
  <si>
    <t>Afzal I.; ul Amin N.; Ahmad Z.; Algarni A.</t>
  </si>
  <si>
    <t>A Latency-Aware and Fault-Tolerant Framework for Resource Scheduling and Data Management in Fog-Enabled Smart City Transportation Systems</t>
  </si>
  <si>
    <t>10.32604/cmc.2024.057755</t>
  </si>
  <si>
    <t>The deployment of the Internet of Things (IoT) with smart sensors has facilitated the emergence of fog computing as an important technology for delivering services to smart environments such as campuses, smart cities, and smart transportation systems. Fog computing tackles a range of challenges, including processing, storage, bandwidth, latency, and reliability, by locally distributing secure information through end nodes. Consisting of endpoints, fog nodes, and back-end cloud infrastructure, it provides advanced capabilities beyond traditional cloud computing. In smart environments, particularly within smart city transportation systems, the abundance of devices and nodes poses significant challenges related to power consumption and system reliability. To address the challenges of latency, energy consumption, and fault tolerance in these environments, this paper proposes a latency-aware, fault-tolerant framework for resource scheduling and data management, referred to as the FORD framework, for smart cities in fog environments. This framework is designed to meet the demands of time-sensitive applications, such as those in smart transportation systems. The FORD framework incorporates latency-aware resource scheduling to optimize task execution in smart city environments, leveraging resources from both fog and cloud environments. Through simulation-based executions, tasks are allocated to the nearest available nodes with minimum latency. In the event of execution failure, a fault-tolerant mechanism is employed to ensure the successful completion of tasks. Upon successful execution, data is efficiently stored in the cloud data center, ensuring data integrity and reliability within the smart city ecosystem. ¬© 2025 The Authors. Published by Tech Science Press.</t>
  </si>
  <si>
    <t>data management; fault tolerance; Fog computing; resource scheduling; smart cities; smart transportation</t>
  </si>
  <si>
    <t>Afzal, Ibrar (57213606696); ul Amin, Noor (57224662253); Ahmad, Zulfiqar (57213608630); Algarni, Abdulmohsen (26421927200)</t>
  </si>
  <si>
    <t>57213606696; 57224662253; 57213608630; 26421927200</t>
  </si>
  <si>
    <t>Computers, Materials and Continua</t>
  </si>
  <si>
    <t>https://www.scopus.com/inward/record.uri?eid=2-s2.0-85214290518&amp;doi=10.32604%2fcmc.2024.057755&amp;partnerID=40&amp;md5=62c47ffcd6b57a7fbca48404d9044717</t>
  </si>
  <si>
    <t>2-s2.0-85214290518</t>
  </si>
  <si>
    <t>Data integrity; Fault tolerant computer systems; Resource allocation; Cloud infrastructures; Cloud-computing; Fault-tolerant; Latency-aware; Power; Resource-scheduling; Smart environment; Smart transportation; System reliability; Transportation system; Fog computing</t>
  </si>
  <si>
    <t>Alwakid G.; Humayun M.; Ahmad Z.; Shaheen M.</t>
  </si>
  <si>
    <t>Development of a Sustainable and Optimized Energy Ecosystem with Real-Time Monitoring through Innovative IoT-Based Actuator Design for Human-Centric Security in Smart Cities</t>
  </si>
  <si>
    <t>10.22967/HCIS.2025.15.002</t>
  </si>
  <si>
    <t>The emergence of the Internet of Things (IoT) has ushered in the new era of technological advancement, significantly transforming various sectors of business and industry. The actuation industry is an important sector for converting energy into mechanical motion, and it is currently undergoing an evolutionary change. Actuators are significant elements that connect digital systems to physical infrastructure. Actuators allow for automation, control, and optimization of operations in smart cities. Conventional actuators are characterized by imperfections in terms of performance, agility, and real-time monitoring. Accordingly, this article presents an innovative actuator design that outperforms existing actuators in terms of performance, reliability, and scalability. We designed the novel actuator to incorporate multiple sensors and devices, including force, vibration, temperature, and position sensors. This design is intelligent and performs very well in real-time collection, processing, and analysis of data. It has the ability to integrate with a cloud-based platform. Such connections make it possible for remote monitoring, management, and human-centric security in smart cities through object detection. The proposed design optimizes the performance of actuator and makes adjustments where necessary. The proposed actuator design employs idealized design principles, control systems, and high-strength materials. It helps achieve a longer life cycle and a high level of robustness in demanding industrial conditions. Smart control algorithms incorporate dynamic force control, adaptive speed regulation, and precision of positioning. They also find applications in diverse solutions, such as regulating valves and robotics. This study also highlights the vital role of renewable energy sources, smart grids, and energy efficiency in the creation of a sustainable and optimized energy ecosystem for smart cities. IoT-based actuators with intelligent designs improve the performance, efficiency, and reliability of actuation in smart cities with real-time monitoring. It is a step forward in the evolution of modern industrial and commercial applications in urban developments. ¬© (2024), (Korea Information Processing Society). All Rights Reserved.</t>
  </si>
  <si>
    <t>Energy Optimization; Green Ecosystem; Human-Centric Security; IoTBased Actuator; Real-Time Monitoring; Smart Cities</t>
  </si>
  <si>
    <t>Alwakid, Ghadah (57199285762); Humayun, Mamoona (56580449600); Ahmad, Zulfiqar (57213608630); Shaheen, Momina (57205752463)</t>
  </si>
  <si>
    <t>57199285762; 56580449600; 57213608630; 57205752463</t>
  </si>
  <si>
    <t>Human-centric Computing and Information Sciences</t>
  </si>
  <si>
    <t>https://www.scopus.com/inward/record.uri?eid=2-s2.0-85216927679&amp;doi=10.22967%2fHCIS.2025.15.002&amp;partnerID=40&amp;md5=70263ab1d3be94e630c5d88b0cd98b94</t>
  </si>
  <si>
    <t>2-s2.0-85216927679</t>
  </si>
  <si>
    <t>Design for manufacturability; Digital control systems; Energy security; Feedback control; Integrated circuit design; Intelligent robots; Nanofluidics; Network security; Robust control; Robustness (control systems); Structural dynamics; Valves (mechanical); Actuator design; Energy; Energy optimization; Green ecosystem; Human-centric; Human-centric security; Iotbased actuator; Performance; Performance reliability; Real time monitoring; Adaptive control systems</t>
  </si>
  <si>
    <t>Naik B.B.; Priyanka B.; Ansari S.A.</t>
  </si>
  <si>
    <t>Energy-efficient task offloading and efficient resource allocation for edge computing: a quantum inspired particle swarm optimization approach</t>
  </si>
  <si>
    <t>10.1007/s10586-024-04833-5</t>
  </si>
  <si>
    <t>Efficient processing of workflow applications (WAs) is crucial in edge computing environments to enhance efficiency, flexibility, collaboration, and cost savings. Workflow scheduling involves finding an optimal schedule for a group of sub-tasks while maintaining dependency constraints. It is also a non-deterministic polynomial (NP)-complete problem. One of the most challenging aspects of scheduling workflow applications is generating a valid sequence of execution while adhering to dependency constraints among all sub-tasks. In this paper, we propose a novel energy-effective workflow scheduling algorithm based on Quantum-Inspired Particle Swarm Optimization (QIPSO), termed QIPSO-WSA. This algorithm addresses the challenges of efficiently scheduling workflows while optimizing energy consumption. It leverages concepts from QIPSO to enhance the scheduling process and achieve energy efficiency in edge computing environments. QIPSO-WSA considers several critical factors, including makespan, energy consumption, and resource utilization. Quantum particles (QPs) are generated using quantum bits and are updated using a quantum angle. The QPs are decoded using novel hashing techniques, and the fitness function is designed by incorporating various objectives. Extensive simulations are performed and compared with evolutionary techniques. Statistical analyses, including analysis of variance and the Friedman test, are conducted, and the Taguchi parametric statistical technique is applied to assess performance. The simulation results demonstrate that QIPSO-WSA outperforms existing approaches, achieving improvements in makespan by 11.11%, resource utilization by 5.79%, and energy consumption by 9.52%. ¬© The Author(s), under exclusive licence to Springer Science+Business Media, LLC, part of Springer Nature 2024.</t>
  </si>
  <si>
    <t>Edge computing; Energy consumption; Hashing; Quantum inspired particle swarm optimization; Quantum particles; Workflow scheduling</t>
  </si>
  <si>
    <t>Naik, Banavath Balaji (57204528433); Priyanka, Bollu (58478074400); Ansari, Sarfaraj Alam (57212615619)</t>
  </si>
  <si>
    <t>57204528433; 58478074400; 57212615619</t>
  </si>
  <si>
    <t>https://www.scopus.com/inward/record.uri?eid=2-s2.0-85217398484&amp;doi=10.1007%2fs10586-024-04833-5&amp;partnerID=40&amp;md5=159b614e35865fc3a262ec77c825feaf</t>
  </si>
  <si>
    <t>2-s2.0-85217398484</t>
  </si>
  <si>
    <t>Computation offloading; Network security; Polynomial approximation; Quantum efficiency; Resource allocation; Scheduling algorithms; Computing environments; Edge computing; Energy-consumption; Hashing; Particle swarm; Quantum inspired particle swarm optimization; Quantum particles; Swarm optimization; Workflow applications; Workflow scheduling; Particle swarm optimization (PSO)</t>
  </si>
  <si>
    <t>Filz M.-A.; Bosse J.P.; Herrmann C.</t>
  </si>
  <si>
    <t>Digitalization platform for data-driven quality management in multi-stage manufacturing systems</t>
  </si>
  <si>
    <t>10.1007/s10845-023-02162-9</t>
  </si>
  <si>
    <t>Digital transformation is driving the current technological trends in manufacturing. An integral constituent is a communication between machines, between machines and humans, or between machines and products. This extensive communication involves large volumes of data. Many manufacturers apply data analytics (e.g., for quality management or improvement purposes) to translate the data into a business value. However, isolated, rigid, and area-specific IT solutions often carry this out. Today‚Äôs complex manufacturing requires quality management approaches that constitute a holistic view of and understanding of process‚Äìproduct interactions along the process chain instead of focusing solely on single processes. A novel platform approach to support quality management in manufacturing systems is proposed in this paper to overcome this deficit. It integrates state-of-the-art concepts of IT with modeling approaches for planning and operation of quality management. A conceptual framework and the technical architecture for implementing a digitalization platform are presented in this regard. Moreover, the approach is validated and implemented within a web application based on a use case of data-driven quality management in electronics production. ¬© The Author(s) 2023.</t>
  </si>
  <si>
    <t>Data analytics; Digital platform; Machine learning; Manufacturing system; Quality management</t>
  </si>
  <si>
    <t>Filz, Marc-Andr√© (57202846964); Bosse, Jan Philipp (57383766400); Herrmann, Christoph (35764295500)</t>
  </si>
  <si>
    <t>57202846964; 57383766400; 35764295500</t>
  </si>
  <si>
    <t>Journal of Intelligent Manufacturing</t>
  </si>
  <si>
    <t>https://www.scopus.com/inward/record.uri?eid=2-s2.0-85163742508&amp;doi=10.1007%2fs10845-023-02162-9&amp;partnerID=40&amp;md5=9598490acb7a10c0b0e224951b5feb39</t>
  </si>
  <si>
    <t>2-s2.0-85163742508</t>
  </si>
  <si>
    <t>E-learning; Information management; Machine learning; Quality management; 'current; Business value; Data analytics; Data driven; Digital platforms; Digital transformation; Large volumes; Machine-learning; Multi-stage manufacturing systems; Technological trends; Data Analytics</t>
  </si>
  <si>
    <t>Volokyta A.; Kogan A.; Cherevatenko O.; Korenko D.; Oboznyi D.; Kulakov Y.</t>
  </si>
  <si>
    <t>Traffic Engineering with Specified Quality of Service Parameters in Software-defined Networks</t>
  </si>
  <si>
    <t>10.5815/ijcnis.2024.05.01</t>
  </si>
  <si>
    <t>A method of traffic engineering (TE) based on the method of multi-path routing is proposed in the study. Today, one of the main challenges in networking is to organize an efficient TE system that will provide such parameters of quality of service (QoS) as the allowable value of packet loss and time for traffic re-routing. Traditional one-way routing facilities do not provide the required quality of service (QoS) parameters for TE. Modern computer networks use static and dynamic routing algorithms, which are characterized by big time complexity and a large amount of service information. This negatively affects the overall state of the network, namely: leads to network congestion, device failure, loss of information during routing and increases the time for traffic re-routing. Research has shown that the most promising way to solve the TE problem in computer networks is a comprehensive approach, which consists of multi-path routing, SDN technology and monitoring of the overall situation of the network. This paper proposes a method of traffic engineering in a software-defined network with specified quality of service parameters, which has reduced the time of traffic re-routing and the percentage of packet loss due to the combination of the centralized TE method and multi-path routing. From a practical point of view, the obtained method, will improve the quality of service in computer networks in comparison with the known method of traffic construction. ¬© 2024, Modern Education and Computer Science Press. All rights reserved.</t>
  </si>
  <si>
    <t>Bandwidth; Channel Congestion; Index Terms: Traffic Engineering; Quality of Service; SDN; Traffic Reconfiguration</t>
  </si>
  <si>
    <t>Volokyta, Artem (54421406500); Kogan, Alla (57208345647); Cherevatenko, Oleksii (58870866100); Korenko, Dmytro (57226547598); Oboznyi, Dmytro (59365023800); Kulakov, Yurii (57190438722)</t>
  </si>
  <si>
    <t>54421406500; 57208345647; 58870866100; 57226547598; 59365023800; 57190438722</t>
  </si>
  <si>
    <t>International Journal of Computer Network and Information Security</t>
  </si>
  <si>
    <t>https://www.scopus.com/inward/record.uri?eid=2-s2.0-85206254846&amp;doi=10.5815%2fijcnis.2024.05.01&amp;partnerID=40&amp;md5=4de7c0a65d4801fceb673ad8e1aad386</t>
  </si>
  <si>
    <t>2-s2.0-85206254846</t>
  </si>
  <si>
    <t>Zhao H.; Li P.</t>
  </si>
  <si>
    <t>An efficient class-dependent learning label approach using feature selection to improve multi-label classification algorithms</t>
  </si>
  <si>
    <t>10.1007/s10586-024-04756-1</t>
  </si>
  <si>
    <t>Recently, multi-label categorization learning has emerged as a new area of study in machine learning since it offers a multi-dimensional perspective of the multi-dimensional object. To build a multi-label classification (MLC) system that is both quick and efficient, one must consider the large data environment. This paper introduces a new MLC model, RR-IPLST (Ridge Regression-Principal Label Space Transformation), which uses a combination of ridge regression and original label space transformation (IPLST). The model includes Advanced Orthogonal Projection to Latent Structures (AOPLS) for optimal dimensionality reduction, increasing data set relevance. IPLST uses Singular Value Decomposition (SVD) to identify label correlations, while RR mitigates multicollinearity problems. Unsupervised learning, especially the value learning method, refines label predictions. The proposed model is rigorously evaluated on ten diverse multi-label datasets and demonstrates its effectiveness. Support vector machine, simple Bayes polynomial, k nearest neighbor, decision trees, linear and discriminant analysis are five regularly used data set classification techniques whose outputs are compared. The simulation results showed that the application of the proposed solution is of higher quality compared to similar methods in terms of accuracy, precision, convergence, error measurement, stability and other tested parameters in different data sets. So that the evaluation and test results of the proposed method show a 92.21% improvement compared to other existing algorithms. ¬© The Author(s), under exclusive licence to Springer Science+Business Media, LLC, part of Springer Nature 2024.</t>
  </si>
  <si>
    <t>Advanced hybrid MLC; Feature selection; Normalization unsupervised-learning; Reduction in dimensions</t>
  </si>
  <si>
    <t>Zhao, Hao (59384751300); Li, Panpan (59384751400)</t>
  </si>
  <si>
    <t>59384751300; 59384751400</t>
  </si>
  <si>
    <t>https://www.scopus.com/inward/record.uri?eid=2-s2.0-85207447213&amp;doi=10.1007%2fs10586-024-04756-1&amp;partnerID=40&amp;md5=3720b7d24a078a6ead23592537563eb8</t>
  </si>
  <si>
    <t>2-s2.0-85207447213</t>
  </si>
  <si>
    <t>Contrastive Learning; Decision trees; Dimensionality reduction; Feature Selection; Federated learning; Linear transformations; Nearest neighbor search; Support vector machines; Unsupervised learning; % reductions; Advanced hybrid multi-label classification; Data set; Features selection; Label space; Multi-label classifications; Normalisation; Normalization unsupervised-learning; Reduction in dimension; Ridge regression; Adversarial machine learning</t>
  </si>
  <si>
    <t>Huang Z.; Xie M.; Tang S.; Chang Z.; Yao Z.; Bao Y.; Wang S.</t>
  </si>
  <si>
    <t>INS: Identifying and Mitigating Performance Interference in Clouds via Interference-Sensitive Paths</t>
  </si>
  <si>
    <t>10.1145/3698038.3698508</t>
  </si>
  <si>
    <t>Identifying and managing performance interference in clouds has long been a critical and challenging task for cloud providers. They keep seeking useful performance indicators from underlying systems to monitor cloud applications accurately. However, state-of-the-art indicators are either sensitive to limited applications and resource contention or are unrobust to the continually changing production environments. There still lacks a practical and efficient indicator for production environments. This paper proposes INS, a cloud runtime system that can effectively detect the performance fluctuation of online cloud applications and reallocate resources to curb performance interference. It proposes INSPath as the new performance indicator to describe the degree of performance degradation and pinpoint the resource bottlenecks. Our evaluation of nine widely-used applications demonstrates that INS can detect the SLO violations of applications and identify the resource bottleneck accurately. Meanwhile, INS outperforms state-of-the-art PARTIES with more responsive and effective resource tuning and fewer SLO violations. ¬© 2024 Owner/Author.</t>
  </si>
  <si>
    <t>Cloud Computing; Datacenters; Performance Indicator; Resource Management</t>
  </si>
  <si>
    <t>Huang, Ziwei (59392282900); Xie, Mengyao (57192545767); Tang, Shibo (59391602300); Chang, Zihao (57215343670); Yao, Zhicheng (56178414400); Bao, Yungang (24824184900); Wang, Sa (23135743900)</t>
  </si>
  <si>
    <t>59392282900; 57192545767; 59391602300; 57215343670; 56178414400; 24824184900; 23135743900</t>
  </si>
  <si>
    <t>SoCC 2024 - Proceedings of the 2024 ACM Symposium on Cloud Computing</t>
  </si>
  <si>
    <t>https://www.scopus.com/inward/record.uri?eid=2-s2.0-85215528374&amp;doi=10.1145%2f3698038.3698508&amp;partnerID=40&amp;md5=1b363923898a96dcf8da2396c675c159</t>
  </si>
  <si>
    <t>2-s2.0-85215528374</t>
  </si>
  <si>
    <t>Cloud applications; Cloud providers; Cloud-computing; Datacenter; Performance; Performance indicators; Production environments; Resource management; State of the art; Underlying systems; Cloud platforms</t>
  </si>
  <si>
    <t>Valizadeh P.; Yaghmaee M.H.; Sedaghat Y.</t>
  </si>
  <si>
    <t>Reliability and bandwidth aware routing in SDN-based fog computing for IoT applications</t>
  </si>
  <si>
    <t>10.1016/j.adhoc.2025.103803</t>
  </si>
  <si>
    <t>Software-Defined Networking (SDN) and fog computing are pivotal in supporting computationally intensive tasks within Internet of Things (IoT) applications, enhancing efficiency and reliability. However, many IoT applications are constrained by communication paths prone to link failures, necessitating robust fault tolerance techniques to ensure reliable traffic flow. In particular, real-time IoT applications demand stringent reliability and bandwidth requirements (constraints), which are challenging to meet simultaneously. Although previous research has investigated SDN-based routing to improve reliability, developing a routing algorithm that satisfies both reliability and bandwidth constraints remains an NP-hard problem. In this paper, we propose two novel routing algorithms: Reliability Aware Bandwidth constrained Routing (RABR) and Reliability and Bandwidth Constrained Routing (RBCR), specifically designed for SDN-enabled environments. Our approach prioritizes service reliability while meeting strict reliability and bandwidth criteria. The proposed solution integrates several phases, including reliability aware and bandwidth constrained path routing and flow duplication through parallel/hybrid and sequential routing methods. Furthermore, we introduce a greedy heuristic algorithm, implemented by the SDN controller with an efficient time complexity. Simulation results demonstrate that our algorithm surpasses state-of-the-art approaches in critical metrics such as reliability, reliability-bandwidth success rate, and Runtime. As such, our solution emerges as a robust choice for SDN-enabled IoT environments. ¬© 2025 Elsevier B.V.</t>
  </si>
  <si>
    <t>Bandwidth; Fog computing; IoT applications; Reliability; SDN</t>
  </si>
  <si>
    <t>Valizadeh, Parisa (57771730600); Yaghmaee, Mohammad Hossein (35587877700); Sedaghat, Yasser (23482882900)</t>
  </si>
  <si>
    <t>57771730600; 35587877700; 23482882900</t>
  </si>
  <si>
    <t>Ad Hoc Networks</t>
  </si>
  <si>
    <t>https://www.scopus.com/inward/record.uri?eid=2-s2.0-85218913785&amp;doi=10.1016%2fj.adhoc.2025.103803&amp;partnerID=40&amp;md5=5b350eaca5815ebf286d961878d9c1da</t>
  </si>
  <si>
    <t>2-s2.0-85218913785</t>
  </si>
  <si>
    <t>Fault tolerance; Heuristic algorithms; Bandwidth-aware; Bandwidth-constrained routing; Communication path; Efficiency and reliability; Fault tolerance techniques; Internet of thing application; Link failures; Routings; Software-defined networkings; Traffic flow; Fog computing</t>
  </si>
  <si>
    <t>Ghasemzadeh A.; Aghdasi H.S.; Saeedvand S.</t>
  </si>
  <si>
    <t>Edge server placement and allocation optimization: a tradeoff for enhanced performance</t>
  </si>
  <si>
    <t>10.1007/s10586-024-04277-x</t>
  </si>
  <si>
    <t>Considering the expansion of the Internet of Things (IoT) and the volume of data and user requests, Mobile Edge Computing (MEC) is considered a novel and efficient solution that puts decentralized servers at the network‚Äôs edge. This has the effect of lowering bandwidth demand and transmission latency. Optimal edge server placement and allocation, as the first stage of MEC, can improve end-user service quality, edge computing system utility, and cost and energy consumption. The majority of previous¬†edge server placement studies have employed only one objective or developed a fitness function by the weighted sum method for optimization. Usually, using a single optimization objective without considering other objectives cannot yield the desired results for a problem with a multi-objective design. On the other hand, assigning weights to objectives can lead to losing optimal points in non-convex problems and selecting improper weights. Therefore, in this¬†paper,¬†we propose a multi-objective solution for the¬†positioning and allocation of edge servers for¬†MEC services based on the NSGA-II algorithm. In this regard, we identify two workload variance and latency reduction objectives with extensive evaluations. The experimental evaluation of the results using real-world data reveals that solutions based on the¬†NSGA-II yield superior convergence and diversity of Pareto front points compared to Multi-Objective Particle Swarm Optimization (MOPSO), Multi-Objective Biogeography Based Optimization (MOBBO), and Adaptive Weighted Sum Method (AWSM). Additionally, it effectively mitigates workload variance on servers and exhibits an average latency reduction of 8.79% in comparison to the adaptive weighted-sum approach, 9.19% in comparison to MOPSO, and 0.28% in comparison to MOBBO. ¬© The Author(s), under exclusive licence to Springer Science+Business Media, LLC, part of Springer Nature 2024. corrected publication, 2024.</t>
  </si>
  <si>
    <t>Edge server placement and allocation; Latency; Multi-objective optimization; Workload balance</t>
  </si>
  <si>
    <t>Ghasemzadeh, Ardalan (57195408250); Aghdasi, Hadi S. (24576457500); Saeedvand, Saeed (57092671800)</t>
  </si>
  <si>
    <t>57195408250; 24576457500; 57092671800</t>
  </si>
  <si>
    <t>https://www.scopus.com/inward/record.uri?eid=2-s2.0-85184926874&amp;doi=10.1007%2fs10586-024-04277-x&amp;partnerID=40&amp;md5=51f2925a6ee1d4c2273e868d88941c39</t>
  </si>
  <si>
    <t>2-s2.0-85184926874</t>
  </si>
  <si>
    <t>Energy utilization; Green computing; Heuristic algorithms; Internet of things; Mobile edge computing; Particle swarm optimization (PSO); Quality of service; Edge server; Edge server placement and allocation; Latency; Latency reduction; Multi objective; Multi objective particle swarm optimization; Multi-objectives optimization; Optimisations; Server placements; Workload balance; Multiobjective optimization</t>
  </si>
  <si>
    <t>Ramos-Ramos D.; Gonz√°lez-Vegas A.; Berrocal J.; Gal√°n-Jim√©nez J.</t>
  </si>
  <si>
    <t>Energy-Aware Microservice-Based Application Deployment in UAV-Based Networks for Rural Scenarios</t>
  </si>
  <si>
    <t>10.1007/s10922-024-09825-9</t>
  </si>
  <si>
    <t>Yearly, the rates of Internet penetration are on the rise, surpassing 80% in developed nations. Despite this progress, over two billion individuals in rural and low-income regions face a complete absence of Internet access. This lack of connectivity hinders the implementation of vital services like remote healthcare, emergency assistance, distance learning, and personal communications. To bridge this gap and bring essential services to rural populations, this paper leverages Unmanned Aerial Vehicles (UAVs). The proposal introduces a UAV-based network architecture and an energy-efficient algorithm to deploy Internet of Things (IoT) applications. These applications are broken down into microservices, strategically distributed among a subset of UAVs. This approach addresses the limitations associated with running an entire IoT application on a single UAV, which could lead to suboptimal outcomes due to battery and computational constraints. Simulation results conducted in a realistic scenario underscore the effectiveness of the proposed solution. The evaluation includes assessing the percentage of IoT requests successfully served to users in the designated area and reducing the energy consumption required by UAVs during the handling of such requests. ¬© The Author(s) 2024.</t>
  </si>
  <si>
    <t>Digital divide; Energy efficiency; IoT; Microservices; UAV</t>
  </si>
  <si>
    <t>Ramos-Ramos, Diego (59246875200); Gonz√°lez-Vegas, Alejandro (59155363400); Berrocal, Javier (32667521200); Gal√°n-Jim√©nez, Jaime (35112903800)</t>
  </si>
  <si>
    <t>59246875200; 59155363400; 32667521200; 35112903800</t>
  </si>
  <si>
    <t>Journal of Network and Systems Management</t>
  </si>
  <si>
    <t>https://www.scopus.com/inward/record.uri?eid=2-s2.0-85195140061&amp;doi=10.1007%2fs10922-024-09825-9&amp;partnerID=40&amp;md5=2e2706949b802ecb64f3b849b5f3cf9b</t>
  </si>
  <si>
    <t>2-s2.0-85195140061</t>
  </si>
  <si>
    <t>Antennas; Distance education; Energy utilization; Internet of things; Network architecture; Power management (telecommunication); Rural areas; Unmanned aerial vehicles (UAV); Aerial vehicle; Application deployment; Digital divide; Distance-learning; Energy aware; Essential services; Internet access; Low incomes; Microservice; Unmanned aerial vehicle; Energy efficiency</t>
  </si>
  <si>
    <t>Nikpour M.; Yousefi P.B.; Jafarzadeh H.; Danesh K.; Shomali R.; Asadi S.; Lonbar A.G.; Ahmadi M.</t>
  </si>
  <si>
    <t>Intelligent energy management with IoT framework in smart cities using intelligent analysis: An application of machine learning methods for complex networks and systems</t>
  </si>
  <si>
    <t>10.1016/j.jnca.2024.104089</t>
  </si>
  <si>
    <t>This study addresses the growing challenges of energy consumption and the depletion of energy resources, particularly in the context of smart buildings. As the demand for energy increases alongside the need for efficient building maintenance, it becomes imperative to explore innovative energy management solutions. We present a review of Internet of Things (IoT)-based frameworks aimed at managing smart city energy consumption, the pivotal role of IoT devices in addressing these issues due to their compactness, sensing, measurement, and computing capabilities. Our review methodology involves a thorough analysis of existing literature on IoT architectures and frameworks for intelligent energy management applications. We focus on systems that not only collect and store data but also support intelligent analysis for monitoring, controlling, and enhancing system efficiency. Additionally, we examine the potential for these frameworks to serve as platforms for the development of third-party applications, thereby extending their utility and adaptability. The findings from our review indicate that IoT-based frameworks offer potential to reduce energy consumption and environmental impact in smart buildings. By adopting intelligent mechanisms and solutions, these frameworks facilitate effective energy management, leading to improved system efficiency and sustainability. Considering these findings, we recommend further exploration and adoption of IoT-based wireless sensing systems in smart buildings as a strategic approach to energy management. Our review highlights the importance of incorporating intelligent analysis and enabling the development of third-party applications within the IoT framework to efficiently meet evolving energy demands and maintenance challenges. ¬© 2024 Elsevier Ltd</t>
  </si>
  <si>
    <t>Energy; Intelligence methods; Internet of things; mart cities</t>
  </si>
  <si>
    <t>Nikpour, Maryam (57614711900); Yousefi, Parisa Behvand (58507583200); Jafarzadeh, Hadi (58507129200); Danesh, Kasra (58483574400); Shomali, Roya (59224636700); Asadi, Saeed (59344860700); Lonbar, Ahmad Gholizadeh (58914928500); Ahmadi, Mohsen (57208807826)</t>
  </si>
  <si>
    <t>57614711900; 58507583200; 58507129200; 58483574400; 59224636700; 59344860700; 58914928500; 57208807826</t>
  </si>
  <si>
    <t>https://www.scopus.com/inward/record.uri?eid=2-s2.0-85212324130&amp;doi=10.1016%2fj.jnca.2024.104089&amp;partnerID=40&amp;md5=c2400d9030ff97141c248e15714aadc1</t>
  </si>
  <si>
    <t>2-s2.0-85212324130</t>
  </si>
  <si>
    <t>Energy; Energy-consumption; Intelligence method; Intelligent analysis; Intelligent energy management; Machine learning methods; Mart city; Networks and systems; System efficiency; Third party application (Apps)</t>
  </si>
  <si>
    <t>Miao J.; Rajasekhar D.; Mishra S.; Nayak S.K.; Yadav R.</t>
  </si>
  <si>
    <t>A Microservice-Based Smart Agriculture System to Detect Animal Intrusion at the Edge</t>
  </si>
  <si>
    <t>10.3390/fi16080296</t>
  </si>
  <si>
    <t>Smart agriculture stands as a promising domain for IoT-enabled technologies, with the potential to elevate crop quality, quantity, and operational efficiency. However, implementing a smart agriculture system encounters challenges such as the high latency and bandwidth consumption linked to cloud computing, Internet disconnections in rural locales, and the imperative of cost efficiency for farmers. Addressing these hurdles, this paper advocates a fog-based smart agriculture infrastructure integrating edge computing and LoRa communication. We tackle farmers‚Äô prime concern of animal intrusion by presenting a solution leveraging low-cost PIR sensors, cameras, and computer vision to detect intrusions and predict animal locations using an innovative algorithm. Our system detects intrusions pre-emptively, identifies intruders, forecasts their movements, and promptly alerts farmers. Additionally, we compare our proposed strategy with other approaches and measure their power consumptions, demonstrating significant energy savings afforded by our strategy. Experimental results highlight the effectiveness, energy efficiency, and cost-effectiveness of our system compared to state-of-the-art systems. ¬© 2024 by the authors.</t>
  </si>
  <si>
    <t>animal intrusion detection; fog computing; LoRa; smart agriculture</t>
  </si>
  <si>
    <t>Miao, Jinpeng (58558229700); Rajasekhar, Dasari (58359144600); Mishra, Shivakant (7402725656); Nayak, Sanjeet Kumar (55811613100); Yadav, Ramanarayan (58558811400)</t>
  </si>
  <si>
    <t>58558229700; 58359144600; 7402725656; 55811613100; 58558811400</t>
  </si>
  <si>
    <t>Future Internet</t>
  </si>
  <si>
    <t>https://www.scopus.com/inward/record.uri?eid=2-s2.0-85202290186&amp;doi=10.3390%2ffi16080296&amp;partnerID=40&amp;md5=afe75154a8168a5efc000ea5ccffad49</t>
  </si>
  <si>
    <t>2-s2.0-85202290186</t>
  </si>
  <si>
    <t>Fog computing; Agriculture systems; Animal intrusion detection; Bandwidth consumption; Cloud-computing; Cost-efficiency; Crop quality; Intrusion-Detection; Lora; Operational efficiencies; Smart agricultures; Smart agriculture</t>
  </si>
  <si>
    <t>Hou X.; Xu C.; Li C.; Liu J.; Tang X.; Cheng K.-T.; Guo M.</t>
  </si>
  <si>
    <t>Improving Efficiency in Multi-Modal Autonomous Embedded Systems Through Adaptive Gating</t>
  </si>
  <si>
    <t>10.1109/TC.2024.3500382</t>
  </si>
  <si>
    <t>The parallel advancement of AI and IoT technologies has recently boosted the development of multi-modal computing (M2C) on pervasive autonomous embedded systems (AES). M2C takes advantage of data from different modalities such as images, audio, and text and is able to achieve notable improvements in accuracy. However, achieving these accuracy gains often comes at the cost of increased computational complexity and energy consumption. Furthermore, the presence of numerous advanced sensors in these systems significantly contributes to power consumption, exacerbating the issue of limited power resources. Collectively, these challenges pose difficulties in deploying M2C on small embedded devices with scarce energy resources. In this article, we propose an Adaptive Modality Gating technique called AMG for in-situ M2C applications. The primary objective of AMG is to conserve energy while preserving the accuracy advantages of M2C. To achieve this goal, AMG incorporates two first-of-its-kind designs. Firstly, it introduces a novel semi-gating architecture that enables partial modality sensor power gating. Specifically, we devise the de-centralized AMG (D-AMG) and centralized AMG (C-AMG) architecture. The former buffers raw data on sensors while the latter buffers raw data on the computing board, which are suitable for different edge scenarios respectively. Secondly, it facilitates a self-initialization/tuning process on the AES, which is supported by carefully-built analytical model. Extensive evaluations demonstrate the effectiveness of AMG. It achieves a 1.6x to 3.8x throughput higher than other power management methods and improves the lifespan of AES by 10% to 280% longer within the same energy budget, while satisfying all performance and latency requirements across various scenarios. ¬© 1968-2012 IEEE.</t>
  </si>
  <si>
    <t>autonomous embedded systems; Edge AI; efficiency management; modality gating architecture; multi-modal DNNs</t>
  </si>
  <si>
    <t>Hou, Xiaofeng (57190338889); Xu, Cheng (57943793600); Li, Chao (56697637700); Liu, Jiacheng (57195231115); Tang, Xuehan (57944527900); Cheng, Kwang-Ting (59140230000); Guo, Minyi (7201564780)</t>
  </si>
  <si>
    <t>57190338889; 57943793600; 56697637700; 57195231115; 57944527900; 59140230000; 7201564780</t>
  </si>
  <si>
    <t>https://www.scopus.com/inward/record.uri?eid=2-s2.0-85209883016&amp;doi=10.1109%2fTC.2024.3500382&amp;partnerID=40&amp;md5=34cdbac33e57c8fa226de6870e50ad85</t>
  </si>
  <si>
    <t>2-s2.0-85209883016</t>
  </si>
  <si>
    <t>Adaptive modulation; Energy utilization; Advanced sensors; Autonomous embedded system; Edge AI; Efficiency managements; Embedded-system; Energy-consumption; Improving efficiency; Modality gating architecture; Multi-modal; Multi-modal DNN; Budget control</t>
  </si>
  <si>
    <t>Meisenbacher S.; Galenzowski J.; F√∂rderer K.; Suess W.; Waczowicz S.; Mikut R.; Hagenmeyer V.</t>
  </si>
  <si>
    <t>Automation Level Taxonomy for¬†Time Series Forecasting Services: Guideline for¬†Real-World Smart Grid Applications</t>
  </si>
  <si>
    <t>10.1007/978-3-031-74738-0_18</t>
  </si>
  <si>
    <t>15271 LNCS</t>
  </si>
  <si>
    <t>Achieving net-zero carbon emissions necessitates the major transformation of electrical grids into smart grids. In this context, urban districts play a crucial role in the flexible balancing of electricity demand and supply, which involves solving decentralized optimization problems. Such optimization problems rely on forecasts of local demand and supply, and require the systematic orchestration of data streams using cloud services. At the same time, it is necessary to automate both the design and operation of forecasting models in such services to keep pace with the increasing need for such locally adapted forecasts. Therefore, this paper proposes an automation level taxonomy to communicate the scope of automation in time series forecasting. Furthermore, we demonstrate a forecasting service that is used in a downstream demand-side management application and realized in the real-world project Smart East in Karlsruhe, Germany. Finally, we analyze existing forecasting services in the literature, categorize them according to the proposed automation level taxonomy, and compare them with our implementation. ¬© The Author(s), under exclusive license to Springer Nature Switzerland AG 2025.</t>
  </si>
  <si>
    <t>automation; cloud service; forecasting; real-world application; smart grid; taxonomy</t>
  </si>
  <si>
    <t>Meisenbacher, Stefan (57221151251); Galenzowski, Johannes (57225149802); F√∂rderer, Kevin (57195424168); Suess, Wolfgang (7005539921); Waczowicz, Simon (56566776700); Mikut, Ralf (6603574925); Hagenmeyer, Veit (15837418700)</t>
  </si>
  <si>
    <t>57221151251; 57225149802; 57195424168; 7005539921; 56566776700; 6603574925; 15837418700</t>
  </si>
  <si>
    <t>https://www.scopus.com/inward/record.uri?eid=2-s2.0-85207822518&amp;doi=10.1007%2f978-3-031-74738-0_18&amp;partnerID=40&amp;md5=36eb3f160d374c83b4bf8b4405f7d6c2</t>
  </si>
  <si>
    <t>2-s2.0-85207822518</t>
  </si>
  <si>
    <t>Demand side management; Automation levels; Cloud services; Demand and supply; Optimization problems; Real-world; Real-world application; Smart grid; Smart grid applications; Time series forecasting; Zero carbons; Smart power grids</t>
  </si>
  <si>
    <t>≈†atkauskas N.; Venƒçkauskas A.</t>
  </si>
  <si>
    <t>Multi-Agent Dynamic Fog Service Placement Approach</t>
  </si>
  <si>
    <t>10.3390/fi16070248</t>
  </si>
  <si>
    <t>Fog computing as a paradigm was offered more than a decade ago to solve Cloud Computing issues. Long transmission distances, higher data flow, data loss, latency, and energy consumption lead to providing services at the edge of the network. But, fog devices are known for being mobile and heterogenous. Their resources can be limited, and their availability can be constantly changing. A service placement optimization is needed to meet the QoS requirements. We propose a service placement orchestration, which functions as a multi-agent system. Fog computing services are represented by agents that can both work independently and cooperate. Service placement is being completed by a two-stage optimization method. Our service placement orchestrator is distributed, services are discovered dynamically, resources can be monitored, and communication messages among fog nodes can be signed and encrypted as a solution to the weakness of multi-agent systems due to the lack of monitoring tools and security. ¬© 2024 by the authors.</t>
  </si>
  <si>
    <t>fog; fog computing; fog service placement; multi-agent systems; placement; service placement</t>
  </si>
  <si>
    <t>≈†atkauskas, Nerijus (57211467301); Venƒçkauskas, Algimantas (55061639500)</t>
  </si>
  <si>
    <t>57211467301; 55061639500</t>
  </si>
  <si>
    <t>https://www.scopus.com/inward/record.uri?eid=2-s2.0-85199607803&amp;doi=10.3390%2ffi16070248&amp;partnerID=40&amp;md5=c28c3047f36bef99ae6c1298345f638b</t>
  </si>
  <si>
    <t>2-s2.0-85199607803</t>
  </si>
  <si>
    <t>Energy utilization; Fog computing; Multi agent systems; Quality of service; Cloud-computing; Data loss; Dataflow; Flow data; Fog service placement; Multi agent; Placement; Service placements; Transmission distances; Fog</t>
  </si>
  <si>
    <t>Kaur D.; Virk A.K.</t>
  </si>
  <si>
    <t>Smart neck collar: IoT-based disease detection and health monitoring for dairy cows</t>
  </si>
  <si>
    <t>10.1007/s43926-025-00109-5</t>
  </si>
  <si>
    <t>The dairy industry is crucial for meeting global milk demands, making the health and well-being of dairy cows paramount. This research paper introduces an innovative approach to monitor the vital health parameters and overall health¬†status of dairy cows through the development of an Internet of Things (IoT)-based neck collar device. This smart collar system incorporates a range of sensors for measuring temperature, pulse rate, and activity level. These sensors continuously collect data, which is wirelessly transmitted to a central database for real-time monitoring. Machine learning algorithms analyse these data to detect anomalies and patterns indicative of various health conditions. By enabling early disease detection, the IoT-based collar facilitates timely intervention, reducing the risk of cow morbidity and mortality, ultimately leading to enhanced milk production and overall herd health. In this paper, the design and architecture of the neck collar has been presented. The smart neck collar is characterized by low power consumption, miniaturization, intelligence, ease of operation, cost-effective new materials, portability, and high performance. By providing continuous and comprehensive monitoring, this technology significantly contributes to dairy cow welfare and farm operational efficiency. A comprehensive dataset containing vital health parameters of 150 dairy cows was collected over a period of two-months from seven districts in Punjab, India, including Fatehgarh Sahib, Ludhiana, Nawan Shahr, Patiala, Sangrur, Ropar, and Hoshiarpur, using smart neck collars. This dataset was analyzed using various machine learning algorithms, including Random Forest, Support Vector Machines, K-Nearest Neighbor, Na√Øve Bayes, and Decision Trees. The analysis revealed that Random Forest and Decision Trees were the most effective algorithms for predicting the health status of cows, achieving accuracies of 92% and 91%, respectively. ¬© The Author(s) 2025.</t>
  </si>
  <si>
    <t>Internet of things (IoT); Machine learning; Precision livestock farming (PLF)</t>
  </si>
  <si>
    <t>Kaur, Devinder (58460902800); Virk, Amandeep Kaur (57194041766)</t>
  </si>
  <si>
    <t>58460902800; 57194041766</t>
  </si>
  <si>
    <t>Discover Internet of Things</t>
  </si>
  <si>
    <t>https://www.scopus.com/inward/record.uri?eid=2-s2.0-85218408387&amp;doi=10.1007%2fs43926-025-00109-5&amp;partnerID=40&amp;md5=a941b344a4d13e1bf9f60030c6667a57</t>
  </si>
  <si>
    <t>2-s2.0-85218408387</t>
  </si>
  <si>
    <t>Diseases; Electronic health record; Nearest neighbor search; Dairy cow; Disease detection; Health status; Internet of thing; Machine learning algorithms; Machine-learning; Precision livestock farming; Random forests; Vital health parameters; Support vector machines</t>
  </si>
  <si>
    <t>Sobrinho A.; Vilarim M.; Barbosa A.; Candeia Gurj√£o E.; Santos D.F.S.; Valadares D.; Dias Da Silva L.</t>
  </si>
  <si>
    <t>Challenges and Opportunities in Mobile Network Security for Vertical Applications: A Survey</t>
  </si>
  <si>
    <t>10.1145/3696446</t>
  </si>
  <si>
    <t>Ensuring the security of vertical applications in fifth-generation (5G) mobile communication systems and previous generations is crucial. These systems must prioritize maintaining the confidentiality, integrity, and availability of services and data. Examples of vertical applications include smart cities, smart transportation, public services, Industry 4.0, smart grids, smart health, and smart agriculture. Each vertical application has specific security requirements and faces unique threats within the mobile network environment. Thus, it is essential to implement comprehensive and robust security measures. This approach helps minimize the attack surface and effectively manage risks. This survey thoroughly examines mobile networks and their security challenges in vertical applications, shedding light on associated threats and potential solutions. Our study considers the interplay between security considerations in 5G, legacy networks, and vertical applications. We emphasize the challenges, opportunities, and promising directions for future research in this field and the importance of securing vertical applications in the evolving landscape of mobile technology. ¬© 2024 Copyright held by the owner/author(s). Publication rights licensed to ACM.</t>
  </si>
  <si>
    <t>5G; privacy; security; vertical applications</t>
  </si>
  <si>
    <t>Sobrinho, √Ålvaro (56435901000); Vilarim, Matheus (59426740500); Barbosa, Amanda (59426163100); Candeia Gurj√£o, Edmar (7801397843); Santos, Danilo F. S. (24734342000); Valadares, Dalton (55927266200); Dias Da Silva, Leandro (55664662100)</t>
  </si>
  <si>
    <t>56435901000; 59426740500; 59426163100; 7801397843; 24734342000; 55927266200; 55664662100</t>
  </si>
  <si>
    <t>ACM Computing Surveys</t>
  </si>
  <si>
    <t>https://www.scopus.com/inward/record.uri?eid=2-s2.0-85210301716&amp;doi=10.1145%2f3696446&amp;partnerID=40&amp;md5=ebc479878818cc174d5158ed356d23f2</t>
  </si>
  <si>
    <t>2-s2.0-85210301716</t>
  </si>
  <si>
    <t>5G mobile communication systems; 5g; Mobile communications systems; Networks security; Privacy; Public services; Security; Service industries; Smart agricultures; Smart grid; Vertical application; Smart agriculture</t>
  </si>
  <si>
    <t>Wu J.; Zhang J.; Zhang Y.; Wen Y.</t>
  </si>
  <si>
    <t>Constraint-aware and multi-objective optimization for micro-service composition in mobile edge computing</t>
  </si>
  <si>
    <t>10.1002/spe.3217</t>
  </si>
  <si>
    <t>As a new paradigm of distributed computing, mobile edge computing (MEC) has gained increasing attention due to its ability to expand the capabilities of centralized cloud computing. In MEC environments, a software application typically consists of multiple micro-services, which can be composed together in a flexible manner to achieve various user requests. However, the composition of micro-services in MEC is still a challenging research issue arising from three aspects. Firstly, composite micro-services constructed by ignoring the processing capabilities of different micro-services may cause waste of edge resources. Secondly, edge servers' limitations in terms of computational power can easily cause service occupancy between composite micro-services, severely affecting the user experience. Thirdly, in dynamic and unstable mobile environments, different edge users have different sensitivities to request latency, which increases the complexity of micro-service composition. In order to improve edge resource utilization and user experience on micro-service invocations, in this paper, we comprehensively consider the above three factors, and we first model the micro-services composition problem in MEC as a constrained multi-objective optimization problem. Then, a micro-service composition optimization method M3C combining graph search and branch-and-bound strategy is proposed to find a composition solution set with low energy consumption and high success rate for multiple edge users. Finally, we perform a series of experiments on two widely used datasets. Experimental results show that our proposed approach significantly outperforms the four competing baseline approaches, and that it is sufficiently efficient for practical deployment. ¬© 2023 John Wiley &amp; Sons Ltd.</t>
  </si>
  <si>
    <t>micro-service composition; micro-services; mobile edge computing; multi-objective optimization</t>
  </si>
  <si>
    <t>Wu, Jintao (57188570943); Zhang, Jingyi (57215070911); Zhang, Yiwen (38863602600); Wen, Yiping (24451504400)</t>
  </si>
  <si>
    <t>57188570943; 57215070911; 38863602600; 24451504400</t>
  </si>
  <si>
    <t>Software - Practice and Experience</t>
  </si>
  <si>
    <t>https://www.scopus.com/inward/record.uri?eid=2-s2.0-85159077377&amp;doi=10.1002%2fspe.3217&amp;partnerID=40&amp;md5=e55bd825337409e2597a6046f99a32d2</t>
  </si>
  <si>
    <t>2-s2.0-85159077377</t>
  </si>
  <si>
    <t>Application programs; Branch and bound method; Constrained optimization; Energy utilization; Mobile edge computing; Quality of service; Centralised; Cloud-computing; Computing environments; Edge resources; Micro services; Micro-service composition; Multi-objectives optimization; Services composition; Users' experiences; Multiobjective optimization</t>
  </si>
  <si>
    <t>Sathupadi K.; Avula R.; Velayutham A.; Achar S.</t>
  </si>
  <si>
    <t>RAP-Optimizer: Resource-Aware Predictive Model for Cost Optimization of Cloud AIaaS Applications</t>
  </si>
  <si>
    <t>10.3390/electronics13224462</t>
  </si>
  <si>
    <t>Artificial Intelligence (AI) applications are rapidly growing, and more applications are joining the market competition. As a result, the AI-as-a-service (AIaaS) model is experiencing rapid growth. Many of these AIaaS-based applications are not properly optimized initially. Once they start experiencing a large volume of traffic, different challenges start revealing themselves. One of these challenges is maintaining a profit margin for the sustainability of the AIaaS application-based business model, which depends on the proper utilization of computing resources. This paper introduces the resource award predictive (RAP) model for AIaaS cost optimization called RAP-Optimizer. It is developed by combining a deep neural network (DNN) with the simulated annealing optimization algorithm. It is designed to reduce resource underutilization and minimize the number of active hosts in cloud environments. It dynamically allocates resources and handles API requests efficiently. The RAP-Optimizer reduces the number of active physical hosts by an average of 5 per day, leading to a 45% decrease in server costs. The impact of the RAP-Optimizer was observed over a 12-month period. The observational data show a significant improvement in resource utilization. It effectively reduces operational costs from USD 2600 to USD 1250 per month. Furthermore, the RAP-Optimizer increases the profit margin by 179%, from USD 600 to USD 1675 per month. The inclusion of the dynamic dropout control (DDC) algorithm in the DNN training process mitigates overfitting, achieving a 97.48% validation accuracy and a validation loss of 2.82%. These results indicate that the RAP-Optimizer effectively enhances resource management and cost-efficiency in AIaaS applications, making it a valuable solution for modern cloud environments. ¬© 2024 by the authors.</t>
  </si>
  <si>
    <t>AIaaS; cloud resource optimization; cost-efficiency; deep neural network; dynamic dropout control; overfitting mitigation; profit margin enlarging; resource utilization; simulated annealing</t>
  </si>
  <si>
    <t>Sathupadi, Kaushik (59426342400); Avula, Ramya (59426251800); Velayutham, Arunkumar (59426834900); Achar, Sandesh (58166846900)</t>
  </si>
  <si>
    <t>59426342400; 59426251800; 59426834900; 58166846900</t>
  </si>
  <si>
    <t>https://www.scopus.com/inward/record.uri?eid=2-s2.0-85210290250&amp;doi=10.3390%2felectronics13224462&amp;partnerID=40&amp;md5=ee96b0f319e7889c389f805f6f3b6156</t>
  </si>
  <si>
    <t>2-s2.0-85210290250</t>
  </si>
  <si>
    <t>Bermejo B.; Juiz C.; Calzarossa M.C.</t>
  </si>
  <si>
    <t>The Goodness of Nesting Containers in Virtual Machines for Server Consolidation</t>
  </si>
  <si>
    <t>10.1007/s10723-024-09782-2</t>
  </si>
  <si>
    <t>Virtualization and server consolidation are the technologies that govern today‚Äôs data centers, allowing both efficient management at the functionality level as well as at the energy and performance levels. There are two main ways to virtualize either using virtual machines or containers. Both have a series of characteristics and applications, sometimes being not compatible with each other. Not to lose the advantages of each of them, there is a trend to load data centers by nesting containers in virtual machines. Although there are good experiences at a functional level, the performance and energy consumption trade-off of these solutions is not completely clear. Therefore, it is necessary to study how this new trend affects both energy consumption and performance. In this work, we present an experimental study aimed to investigate the behavior of nesting containers in virtual machines while executing CPU-intensive workloads. Our objective is to understand what performance and energy nesting configurations are equivalent or not. In this way, administrators will be able to manage their data centers more efficiently. ¬© The Author(s) 2024.</t>
  </si>
  <si>
    <t>Consolidation; Containers; CPU-intensive Workloads; Monitoring; Nesting; Performance-energy trade-off; Virtual machines</t>
  </si>
  <si>
    <t>Bermejo, Belen (57189471344); Juiz, Carlos (6602910973); Calzarossa, Maria Carla (6603608018)</t>
  </si>
  <si>
    <t>57189471344; 6602910973; 6603608018</t>
  </si>
  <si>
    <t>Journal of Grid Computing</t>
  </si>
  <si>
    <t>https://www.scopus.com/inward/record.uri?eid=2-s2.0-85207068659&amp;doi=10.1007%2fs10723-024-09782-2&amp;partnerID=40&amp;md5=11390228502cbf96154d6dfd0b12738b</t>
  </si>
  <si>
    <t>2-s2.0-85207068659</t>
  </si>
  <si>
    <t>Information management; Virtualization; CPU-intensive; CPU-intensive workload; Datacenter; Energy; Energy-consumption; Nesting; Performance; Performance-energy trade-off; Server consolidation; Trade off; Virtual machine</t>
  </si>
  <si>
    <t>Liu D.; Zhang L.; Xu Y.; Wang X.; Sun L.; Pu Y.; Hou X.; Li C.; Guo M.</t>
  </si>
  <si>
    <t>Power synchronization: taming massive diversified serverless functions under power constraints</t>
  </si>
  <si>
    <t>10.1007/s11432-022-3882-y</t>
  </si>
  <si>
    <t>Carbon neutrality has become an important design objective worldwide. However, the on-going shift to cloud-naive era does not necessarily mean energy efficiency. From the perspective of power management, co-hosted serverless functions are difficult to tame. They are lightweight, short-lived applications sensitive to power capping activities. In addition, they exhibit great individual and temporal variability, presenting idiosyncratic performance/power scaling goals that are often at odds with one another. To date, very few proposals exist in terms of tailored power management for serverless platforms. In this work, we introduce power synchronization, a novel yet generic mechanism for managing serverless functions in a power-efficient way. Our insight with power synchronization is that uniform application power behavior enables consistent and uncompromised function operation on shared host machines. We also propose PowerSync, a synchronization-based power management framework that ensures optimal efficiency based on a clear understanding of functions. Our evaluation shows that PowerSync can improve the energy efficiency of functions by up to 16% without performance loss compared to conventional power management strategies. ¬© Science China Press 2024.</t>
  </si>
  <si>
    <t>energy efficiency; power management; power synchronization; serverless computing; variability</t>
  </si>
  <si>
    <t>Liu, Du (58024643500); Zhang, Lu (57209985648); Xu, Yechen (59459545900); Wang, Xinkai (57852734200); Sun, Lingyu (57944771100); Pu, Yifei (58024239500); Hou, Xiaofeng (57190338889); Li, Chao (56697637700); Guo, Minyi (7201564780)</t>
  </si>
  <si>
    <t>58024643500; 57209985648; 59459545900; 57852734200; 57944771100; 58024239500; 57190338889; 56697637700; 7201564780</t>
  </si>
  <si>
    <t>Science China Information Sciences</t>
  </si>
  <si>
    <t>https://www.scopus.com/inward/record.uri?eid=2-s2.0-85211122285&amp;doi=10.1007%2fs11432-022-3882-y&amp;partnerID=40&amp;md5=a73c300db7ea6921fca67c91c24fd365</t>
  </si>
  <si>
    <t>2-s2.0-85211122285</t>
  </si>
  <si>
    <t>Carbon neutralities; Design objectives; Energy; Mean energy; Power; Power constraints; Power synchronization; Serverless computing; Variability</t>
  </si>
  <si>
    <t>Agos Jawaddi S.N.; Ismail A.; Sulaiman M.S.; Cardellini V.</t>
  </si>
  <si>
    <t>Analyzing Energy-Efficient and Kubernetes-Based Autoscaling of Microservices Using Probabilistic Model Checking</t>
  </si>
  <si>
    <t>10.1007/s10723-024-09789-9</t>
  </si>
  <si>
    <t>Microservices are widely used to enable agility and scalability in modern software systems, while cloud computing offers cost-effective ways to provision computing resources on demand. However, ensuring the correctness of scaling decisions and their impact on energy consumption is a challenging problem that has not been sufficiently addressed in previous research. Thus, in this paper, we present an innovative approach for analyzing host energy consumption and energy violations influenced by microservice autoscaling policies using probabilistic model checking (PMC). We propose four variations of the Markov Decision Process (MDP) models that incorporate various scaling constraints inspired by Kubernetes-based Horizontal Pod Autoscaler, and we encode these models using two different approaches, namely, bounded-by-action (BBA) and bounded-by-state (BBS). We use PMC to verify the scaling policies in terms of host energy consumption and energy violations, and we conduct sensitivity analysis to demonstrate the effectiveness of our models in generating energy-efficient scaling policies. Our results show that the latency and energy-based MDP model offers the most suitable policies for ensuring energy efficiency in microservice systems. Additionally, the number of pods and the scale-out action significantly affect energy consumption and violations. Sensitivity analysis also reveals that incorporating latency into scaling decisions is key to energy efficiency, while variations in the maximum pod threshold significantly influence energy consumption and violation. Our approach provides a formal method for ensuring the correctness of microservice autoscaling decisions in cloud environments at design time and can help reduce energy consumption and violations while ensuring service-level objectives are met. ¬© The Author(s), under exclusive licence to Springer Nature B.V. 2024.</t>
  </si>
  <si>
    <t>Energy-driven microservice autoscaling; Formal verification; Kubernetes; Markov decision process; Microservices; Probabilistic model checking</t>
  </si>
  <si>
    <t>Agos Jawaddi, Siti Nuraishah (58283711400); Ismail, Azlan (55377382600); Sulaiman, Mohd Suffian (57212956093); Cardellini, Valeria (6603463586)</t>
  </si>
  <si>
    <t>58283711400; 55377382600; 57212956093; 6603463586</t>
  </si>
  <si>
    <t>https://www.scopus.com/inward/record.uri?eid=2-s2.0-85213696655&amp;doi=10.1007%2fs10723-024-09789-9&amp;partnerID=40&amp;md5=2351a5b1f5d24e45730f45c2899e134e</t>
  </si>
  <si>
    <t>2-s2.0-85213696655</t>
  </si>
  <si>
    <t>Cloud computing; Energy efficiency; Formal verification; Health risks; Model checking; Program debugging; Sensitivity analysis; Autoscaling; Energy-consumption; Energy-driven; Energy-driven microservice autoscaling; Kubernetes; Markov Decision Processes; Microservice; Probabilistic model checking; Probabilistic model-checking; Scalings; Markov processes</t>
  </si>
  <si>
    <t>Filippini F.; Cavenaghi L.; Calmi N.; Savi M.; Ciavotta M.</t>
  </si>
  <si>
    <t>ML-Based Performance Modeling in¬†Edge FaaS Systems</t>
  </si>
  <si>
    <t>10.1007/978-3-031-84617-5_10</t>
  </si>
  <si>
    <t>15547 LNCS</t>
  </si>
  <si>
    <t>The Function as a Service (FaaS) model is becoming increasingly attractive for both cloud and edge computing scenarios, offering a solution where self-contained functions are executed in response to specific events. In this model, the complexities of load balancing and scaling are handled by the service providers. However, accurate resource consumption estimates are crucial in FaaS-enabled clusters, especially at the edge, to optimize resource efficiency, minimize latency, prevent overloads, and ensure scalability. This work focuses on performance modeling within FaaS-enabled distributed and decentralized edge environments, at both the node and function levels. Using a Machine Learning (ML)-based approach, we propose a framework to predict key performance metrics, such as CPU usage, memory, and energy consumption. Additionally, we forecast potential system overloads based on the incoming load. By introducing a profiling tool that characterizes functions by their resource usage patterns, prediction of node-level resource consumption without needing detailed function-level knowledge is made possible. Experimental results show that our models achieve 97% accuracy in predicting node overloads. ¬© IFIP International Federation for Information Processing 2025.</t>
  </si>
  <si>
    <t>Edge Computing; Function as a Service; Machine Learning; Performance Modeling</t>
  </si>
  <si>
    <t>Filippini, Federica (57222342275); Cavenaghi, Luca (59195067000); Calmi, Nicolas (59403800500); Savi, Marco (55973142500); Ciavotta, Michele (23977734600)</t>
  </si>
  <si>
    <t>57222342275; 59195067000; 59403800500; 55973142500; 23977734600</t>
  </si>
  <si>
    <t>https://www.scopus.com/inward/record.uri?eid=2-s2.0-86000026396&amp;doi=10.1007%2f978-3-031-84617-5_10&amp;partnerID=40&amp;md5=0cc1c9eff8a979a5d71a73619ba8f885</t>
  </si>
  <si>
    <t>2-s2.0-86000026396</t>
  </si>
  <si>
    <t>Xu R.; Lan Q.; Pokhrel S.R.; Li G.</t>
  </si>
  <si>
    <t>A Knowledge Graph-Based Survey on Distributed Ledger Technology for IoT Verticals</t>
  </si>
  <si>
    <t>10.1145/3609503</t>
  </si>
  <si>
    <t>The Internet of Things (IoT) and distributed ledger technology (DLT) have significantly changed our daily lives. Due to their distributed operational environment and naturally decentralized applications, the convergence of these two technologies indicates a more lavish arrangement for the future. This article develops a comprehensive survey to investigate and illustrate state-of-the-art DLT for various IoT use cases, from smart homes to autonomous vehicles and smart cities. We develop a novel framework for conducting a systematic and comprehensive review of DLT over the IoT by extending the knowledge graph approach. With relevant insights from this review, we extract innovative and pragmatic techniques to DLT design that enable high-performance, sustainable, and highly scalable IoT systems. Our findings support designing an end-to-end IoT-native DLT architecture for the future that fully coordinates network-assisted functionalities. ¬© 2023 Copyright held by the owner/author(s). Publication rights licensed to ACM.</t>
  </si>
  <si>
    <t>blockchain; Distributed ledger; Internet of Things</t>
  </si>
  <si>
    <t>Xu, Rongxin (57787354500); Lan, Qiujun (7005384718); Pokhrel, Shiva Raj (55585499400); Li, Gang (56336374700)</t>
  </si>
  <si>
    <t>57787354500; 7005384718; 55585499400; 56336374700</t>
  </si>
  <si>
    <t>https://www.scopus.com/inward/record.uri?eid=2-s2.0-85174709665&amp;doi=10.1145%2f3609503&amp;partnerID=40&amp;md5=0156bababe3f3a538f6a75f9a0fa5f54</t>
  </si>
  <si>
    <t>2-s2.0-85174709665</t>
  </si>
  <si>
    <t>Automation; Blockchain; Distributed ledger; Graphic methods; Intelligent buildings; Autonomous Vehicles; Block-chain; Daily lives; Decentralised; Graph-based; Knowledge graphs; Operational environments; Smart homes; State of the art; Technology designs; Internet of things</t>
  </si>
  <si>
    <t>Javanmardi S.; Sakellari G.; Shojafar M.; Caruso A.</t>
  </si>
  <si>
    <t>Why it does not work? Metaheuristic task allocation approaches in Fog-enabled Internet of Drones</t>
  </si>
  <si>
    <t>10.1016/j.simpat.2024.102913</t>
  </si>
  <si>
    <t>Several scenarios that use the Internet of Drones (IoD) networks require a Fog paradigm, where the Fog devices, provide time-sensitive functionality such as task allocation, scheduling, and resource optimization. The problem of efficient task allocation/scheduling is critical for optimizing Fog-enabled Internet of Drones performance. In recent years, many articles have employed meta-heuristic approaches for task scheduling/allocation in Fog-enabled IoT-based scenarios, focusing on network usage and delay, but neglecting execution time. While promising in the academic area, metaheuristic have many limitations in real-time environments due to their high execution time, resource-intensive nature, increased time complexity, and inherent uncertainty in achieving optimal solutions, as supported by empirical studies, case studies, and benchmarking data. We propose a task allocation method named F-DTA that is used as the fitness function of two metaheuristic approaches: Particle Swarm Optimization (PSO) and The Krill Herd Algorithm (KHA). We compare our proposed method by simulation using the iFogSim2 simulator, keeping all the settings the same for a fair evaluation and only focus on the execution time. The results confirm its superior performance in execution time, compared to the metaheuristics. ¬© 2024 The Authors</t>
  </si>
  <si>
    <t>Execution time; Fog-enabled Internet of Drones; IoT-Fog networks; Metaheuristic algorithms; Task allocation</t>
  </si>
  <si>
    <t>Javanmardi, Saeed (56197016500); Sakellari, Georgia (17435670700); Shojafar, Mohammad (26436114300); Caruso, Antonio (35270991800)</t>
  </si>
  <si>
    <t>56197016500; 17435670700; 26436114300; 35270991800</t>
  </si>
  <si>
    <t>https://www.scopus.com/inward/record.uri?eid=2-s2.0-85185708948&amp;doi=10.1016%2fj.simpat.2024.102913&amp;partnerID=40&amp;md5=23f8baf111cede07022d239d7485b53a</t>
  </si>
  <si>
    <t>2-s2.0-85185708948</t>
  </si>
  <si>
    <t>Fog; Fog computing; Heuristic algorithms; Heuristic methods; Internet of things; Particle swarm optimization (PSO); Allocation approach; Allocation optimization; Execution time; Fog-enabled internet of drone; IoT-fog network; Meta-heuristic approach; Meta-heuristics algorithms; Metaheuristic; Performance; Task allocation; Drones</t>
  </si>
  <si>
    <t>Shahnejat Bushehri A.; Amirnia A.; Belkhiri A.; Keivanpour S.; De Magalhaes F.G.; Nicolescu G.</t>
  </si>
  <si>
    <t>Deep Learning-Driven Anomaly Detection for Green IoT Edge Networks</t>
  </si>
  <si>
    <t>10.1109/TGCN.2023.3335342</t>
  </si>
  <si>
    <t>The widespread use of sensor devices in IoT networks imposes a significant burden on energy consumption at the network's edge. To address energy concerns, a prompt anomaly detection strategy is required on demand for troubleshooting resource-constrained IoT devices. It enables devices to adapt their configuration according to the dynamic signal quality and transmission settings. However, obtaining accurate energy data from IoT nodes without external devices is unfeasible. This paper proposes a framework for energy anomaly detection of IoT nodes using data transmission analysis. We use a public dataset that contains peer-to-peer IoT communication energy and link quality data. Our framework first utilizes linear regression to analyze and identify the dominant features of data communication for IoT transceivers. Later, a deep neural network modifies the gradient flow to focus on the dominant features. This modification improves the detection accuracy of anomalies by minimizing the associated reconstruction error. Finally, the energy stabilization feedback provides nodes with insight to change their transmission configuration for future communication. The experimental results show that the proposed approach outperforms other unsupervised models in anomalous energy detection. It also proves that redesigning the conventional loss function by enhancing the impact of our dominant features can dramatically improve the reliability of the anomaly detection method.  ¬© 2017 IEEE.</t>
  </si>
  <si>
    <t>anomaly detection; deep learning; edge networks; energy consumption; IoT; link quality; low power; power consumption; smart city; Transmission protocol; unsupervised learning; wireless sensor networks</t>
  </si>
  <si>
    <t>Shahnejat Bushehri, Ahmad (57210917749); Amirnia, Ashkan (58556953100); Belkhiri, Adel (57226064825); Keivanpour, Samira (56126000000); De Magalhaes, Felipe Gohring (44061175900); Nicolescu, Gabriela (8925268100)</t>
  </si>
  <si>
    <t>57210917749; 58556953100; 57226064825; 56126000000; 44061175900; 8925268100</t>
  </si>
  <si>
    <t>https://www.scopus.com/inward/record.uri?eid=2-s2.0-85178040343&amp;doi=10.1109%2fTGCN.2023.3335342&amp;partnerID=40&amp;md5=e1b420f489bd714d547ca0cd708cd612</t>
  </si>
  <si>
    <t>2-s2.0-85178040343</t>
  </si>
  <si>
    <t>Anomaly detection; Computing power; Convolutional codes; Data communication systems; Deep neural networks; Electric power distribution; Green computing; Internet of things; Low power electronics; Peer to peer networks; Radio transceivers; Sensor nodes; Smart city; Unsupervised learning; Anomaly detection; Data-communication; Deep learning; EDGE Networks; Energy-consumption; IoT; Link quality; Low Power; Optimisations; Peer-to-peer computing; Transmission protocols; Energy utilization</t>
  </si>
  <si>
    <t>Kwon D.; Shin S.; Kim J.; Ji Y.</t>
  </si>
  <si>
    <t>Development of Web-of-Things Standard Protocol-Based Complex Environmental Sensor Device with High Availability Support</t>
  </si>
  <si>
    <t>10.7840/kics.2024.49.3.453</t>
  </si>
  <si>
    <t>In this paper, we develop a complex environmental sensor device based on WoT (Web of Things) standard protocol for effective and stable indoor environment control and real-time data collection. The environmental sensor is equipped with complex sensors such as temperature, humidity, illumination, sound, carbon dioxide, particulate matter, and formaldehyde to calculate the thermal, visual, auditory, and air quality comfort that people feel in indoor spaces, and is developed by applying the WoT standard protocol for linking with various application/analysis services. Additionally, to ensure the stability of long-term data collection, an MCU is installed in addition to the CPU to monitor hardware and network status. On the software side, it adopts a microservice architecture to provide load balancing and high availability. Additionally, a cloud management platform have been developed to improve the manageability of multiple devices installed in various locations. ¬© 2024, Korean Institute of Communications and Information Sciences. All rights reserved.</t>
  </si>
  <si>
    <t>environmental sensor; Internet of Things (IoT); microservice; Web of Things (WoT)</t>
  </si>
  <si>
    <t>Kwon, Dongwoo (58323997900); Shin, Seulbi (58964905900); Kim, Jaehyeon (58965175300); Ji, Youngmin (57195946884)</t>
  </si>
  <si>
    <t>58323997900; 58964905900; 58965175300; 57195946884</t>
  </si>
  <si>
    <t>Journal of Korean Institute of Communications and Information Sciences</t>
  </si>
  <si>
    <t>https://www.scopus.com/inward/record.uri?eid=2-s2.0-85189133904&amp;doi=10.7840%2fkics.2024.49.3.453&amp;partnerID=40&amp;md5=46c2601931820e605b0bce313511caee</t>
  </si>
  <si>
    <t>2-s2.0-85189133904</t>
  </si>
  <si>
    <t>Keshavarz Haddadha P.; Rezvani M.H.; MollaMotalebi M.; Shankar A.</t>
  </si>
  <si>
    <t>Machine learning methods for service placement: a systematic review</t>
  </si>
  <si>
    <t>10.1007/s10462-023-10684-0</t>
  </si>
  <si>
    <t>With the growth of real-time and latency-sensitive applications in the Internet of Everything (IoE), service placement cannot rely on cloud computing alone. In response to this need, several computing paradigms, such as Mobile Edge Computing (MEC), Ultra-dense Edge Computing (UDEC), and Fog Computing (FC), have emerged. These paradigms aim to bring computing resources closer to the end user, reducing delay and wasted backhaul bandwidth. One of the major challenges of these new paradigms is the limitation of edge resources and the dependencies between different service parts. Some solutions, such as microservice architecture, allow different parts of an application to be processed simultaneously. However, due to the ever-increasing number of devices and incoming tasks, the problem of service placement cannot be solved today by relying on rule-based deterministic solutions. In such a dynamic and complex environment, many factors can influence the solution. Optimization and Machine Learning (ML) are two well-known tools that have been used most for service placement. Both methods typically use a cost function. Optimization is usually a way to define the difference between the predicted and actual value, while ML aims to minimize the cost function. In simpler terms, ML aims to minimize the gap between prediction and reality based on historical data. Instead of relying on explicit rules, ML uses prediction based on historical data. Due to the NP-hard nature of the service placement problem, classical optimization methods are not sufficient. Instead, metaheuristic and heuristic methods are widely used. In addition, the ever-changing big data in IoE environments requires the use of specific ML methods. In this systematic review, we present a taxonomy of ML methods for the service placement problem. Our findings show that 96% of applications use a distributed microservice architecture. Also, 51% of the studies are based on on-demand resource estimation methods and 81% are multi-objective. This article also outlines open questions and future research trends. Our literature review shows that one of the most important trends in ML is reinforcement learning, with a 56% share of research. ¬© The Author(s) 2024.</t>
  </si>
  <si>
    <t>Application perspective; Computing paradigms; Distributed microservices; Internet of Everything (IoE); Resource estimation</t>
  </si>
  <si>
    <t>Keshavarz Haddadha, Parviz (58894479600); Rezvani, Mohammad Hossein (19640626200); MollaMotalebi, Mahdi (54420737600); Shankar, Achyut (7005442649)</t>
  </si>
  <si>
    <t>58894479600; 19640626200; 54420737600; 7005442649</t>
  </si>
  <si>
    <t>https://www.scopus.com/inward/record.uri?eid=2-s2.0-85185395922&amp;doi=10.1007%2fs10462-023-10684-0&amp;partnerID=40&amp;md5=2ec6da22a0cb4e86e1ff318eca5d2d8f</t>
  </si>
  <si>
    <t>2-s2.0-85185395922</t>
  </si>
  <si>
    <t>Fog; Fog computing; Heuristic methods; Internet of Everything; Learning systems; Mobile edge computing; Optimization; Reinforcement learning; Application perspective; Computing paradigm; Distributed microservice; Internet of everything; Machine learning methods; Machine-learning; Optimisations; Resource estimation; Service placements; Systematic Review; Cost functions</t>
  </si>
  <si>
    <t>Imran B.; Ahsan M.; Akbar A.H.; Shah G.A.</t>
  </si>
  <si>
    <t>D4GW: DTLS for gateway multiplexed application to secure MQTT(SN)-based pub/sub architecture</t>
  </si>
  <si>
    <t>10.1016/j.iot.2024.101172</t>
  </si>
  <si>
    <t>MQTT-SN a pub/sub application layer protocol is a well-established protocol in the Internet of Things (IoT) paradigm. MQTT-SN gateway application is available as an open-source contribution. Since the gateway receives unencrypted UDP traffic from sensor nodes and translates it to MQTT packets to be forwarded to the MQTT Broker, the first hop always remains vulnerable to potential cyber‚Äìphysical attacks. This paper identifies potential threats to the current MQTT-SN gateway and provides security while remaining concurrent. We propose a secure gateway application, SecGW, that achieves concurrency while remaining as robust to vulnerabilities as a single BIOS. The performance of SecGW is evaluated by measuring system scalability, resilience, processing delay, and consumed power through the analysis of payload transactions and their types. The evaluation has been carried out on a low-powered IoT testbed. The results of the experimental setup show satisfactorily linear scalability of memory, fairly consistent delays, and an insignificant increase in security-attributable power consumption for an increasing number of connected clients. The packet-level analysis of traffic in an experimental setup demonstrates the resilience of SecGW through stage-wise identification and isolation of misbehaving clients. ¬© 2024 Elsevier B.V.</t>
  </si>
  <si>
    <t>DTLS; Gateway; IoT; MQTT-SN; Security</t>
  </si>
  <si>
    <t>Imran, Bilal (57192916300); Ahsan, Muhammad (57213686595); Akbar, Ali Hammad (14035045800); Shah, Ghalib Asadullah (14042806500)</t>
  </si>
  <si>
    <t>57192916300; 57213686595; 14035045800; 14042806500</t>
  </si>
  <si>
    <t>Internet of Things (Netherlands)</t>
  </si>
  <si>
    <t>https://www.scopus.com/inward/record.uri?eid=2-s2.0-85189019950&amp;doi=10.1016%2fj.iot.2024.101172&amp;partnerID=40&amp;md5=5a09cc3ad11393178c265a65f07ef1d2</t>
  </si>
  <si>
    <t>2-s2.0-85189019950</t>
  </si>
  <si>
    <t>√ñz√ßevik Y.</t>
  </si>
  <si>
    <t>Data-oriented QMOOD model for quality assessment of multi-client software applications</t>
  </si>
  <si>
    <t>10.1016/j.jestch.2024.101660</t>
  </si>
  <si>
    <t>There has been a great effort to evaluate software quality using proper tools and methods against different development environments changing over time. Quality Model for Object Oriented Design (QMOOD) is a verified model used for quality assessment of object-oriented software. The model associates quality metrics gathered from the source code and quality attributes in use to present a quality measurement. However, the model should be revised for recent multi-client software including native client applications, because there is a deficiency of metric gathering tools in such environments. More specifically, it is sometimes not possible to gather all quality properties required by QMOOD in all native development platforms of client applications. Hence, even though different client applications have the same design, the implementation quality cannot be monitored for the quality assurance. Analyzing and simplifying the metric set may alleviate this challenge, and a convenient quality assessment might be achieved. Thus, we propose to change the operational aspect of QMOOD by inserting an additional layer, Data Analytic, to the hierarchical structure of the conventional model. Accordingly, we provide a discussion on a case study including five native client applications. For this purpose, a design quality of one of the client applications is achieved to validate the appropriateness of the design, the data analytic on the metric set are implemented and the proposed data-oriented simplified QMOOD is applied to the other client applications. Finally, it is stated that the proposed approach successfully alleviated the problems in metric gathering for multi-client applications while applying QMOOD. ¬© 2024</t>
  </si>
  <si>
    <t>Multi-client applications; Native application development; QMOOD; Quality assessment; Software design quality</t>
  </si>
  <si>
    <t>√ñz√ßevik, Yusuf (55848336100)</t>
  </si>
  <si>
    <t>Engineering Science and Technology, an International Journal</t>
  </si>
  <si>
    <t>https://www.scopus.com/inward/record.uri?eid=2-s2.0-85187396118&amp;doi=10.1016%2fj.jestch.2024.101660&amp;partnerID=40&amp;md5=5df789139d150592da34e3365e929811</t>
  </si>
  <si>
    <t>2-s2.0-85187396118</t>
  </si>
  <si>
    <t>Li C.; Wang J.; Wang‚Äé S.; Zhang Y.</t>
  </si>
  <si>
    <t>A review of IoT applications in healthcare</t>
  </si>
  <si>
    <t>10.1016/j.neucom.2023.127017</t>
  </si>
  <si>
    <t>Integrating Internet of Things (IoT) technologies in the healthcare industry represents a transformative shift with tangible benefits. This paper provides a detailed examination of IoT adoption in healthcare, focusing on specific sensor types and communication methods. It underscores successful real-world applications, including remote patient monitoring, individualized treatment strategies, and streamlined healthcare delivery. Furthermore, it delves into the intricate challenges to realizing the full potential of IoT in healthcare. This includes addressing data security concerns, ensuring seamless interoperability, and optimizing the use of IoT-generated data. The paper seeks to inspire practitioners and researchers by highlighting the practical implications of IoT in healthcare, emphasizing the ways IoT can enhance patient care, resource allocation, and overall healthcare efficiency. ¬© 2023 The Authors</t>
  </si>
  <si>
    <t>Healthcare; IoT; Remote monitoring</t>
  </si>
  <si>
    <t>Li, Chunyan (56347006800); Wang, Jiaji (57315667600); Wang‚Äé, Shuihua (36544650700); Zhang, Yudong (35786830100)</t>
  </si>
  <si>
    <t>56347006800; 57315667600; 36544650700; 35786830100</t>
  </si>
  <si>
    <t>Neurocomputing</t>
  </si>
  <si>
    <t>https://www.scopus.com/inward/record.uri?eid=2-s2.0-85176314566&amp;doi=10.1016%2fj.neucom.2023.127017&amp;partnerID=40&amp;md5=1c0d0df44423b7e277e96d95f922ec77</t>
  </si>
  <si>
    <t>2-s2.0-85176314566</t>
  </si>
  <si>
    <t>Patient treatment; Remote patient monitoring; Communication method; Healthcare; Healthcare delivery; Healthcare industry; Internet of things technologies; Patient care; Real-world; Remote monitoring; Specific sensors; Type methods; 5G networks; Article; artificial intelligence; blockchain; bluetooth; city; cloud computing; communication technology; edge computing; environment; health care; human; indoor environment; Internet; internet of things; near field communication; outdoor environment; personalized medicine; telemonitoring; Wi-Fi; zigbee; Internet of things</t>
  </si>
  <si>
    <t>Jeong J.; Premsankar G.; Ghaddar B.; Tarkoma S.</t>
  </si>
  <si>
    <t>A robust optimization approach for placement of applications in edge computing considering latency uncertainty</t>
  </si>
  <si>
    <t>10.1016/j.omega.2024.103064</t>
  </si>
  <si>
    <t>Edge computing brings computing and storage resources close to end-users to support new applications and services that require low network latency. It is currently used in a wide range of industries, from industrial automation and augmented reality, to smart cities and connected vehicles, where low latency, data privacy, and real-time processing are critical requirements. The latency of accessing applications in edge computing must be consistently below a threshold of a few tens of milliseconds to maintain an acceptable experience for end-users. However, the latency between users and applications can vary considerably depending on the network load and mode of wireless access. An application provider must be able to guarantee that requests are served in a timely manner by their application instances hosted in the edge despite such latency variations. This article focuses on the placement and traffic allocation problem faced by application providers in determining where to place application instances on edge nodes such that requests are served within a certain deadline. It proposes novel formulations based on robust optimization to provide optimal plans that protect against latency variations in a configurable number of network links. The robust formulations are based on two different types of polyhedral uncertainty sets that offer different levels of protection against variations in latency. Extensive simulations show that our robust models are able to keep the number of chosen edge nodes low while reducing the number of latency violations as compared to a deterministic optimization model that only considers the average latency of network links. ¬© 2024 The Authors</t>
  </si>
  <si>
    <t>Application placement; Edge computing; Robust optimization; Telecommunication networks; Uncertainty in network latency</t>
  </si>
  <si>
    <t>Jeong, Jaehee (57217144356); Premsankar, Gopika (57076872400); Ghaddar, Bissan (14057923000); Tarkoma, Sasu (10141380000)</t>
  </si>
  <si>
    <t>57217144356; 57076872400; 14057923000; 10141380000</t>
  </si>
  <si>
    <t>Omega (United Kingdom)</t>
  </si>
  <si>
    <t>https://www.scopus.com/inward/record.uri?eid=2-s2.0-85186537354&amp;doi=10.1016%2fj.omega.2024.103064&amp;partnerID=40&amp;md5=ec3160a366c628cc2d9ea112c4dfe71e</t>
  </si>
  <si>
    <t>All Open Access; Green Open Access; Hybrid Gold Open Access</t>
  </si>
  <si>
    <t>2-s2.0-85186537354</t>
  </si>
  <si>
    <t>Data privacy; Digital storage; Edge computing; Optimization; Application placements; Application providers; Edge computing; End-users; In networks; Network latencies; Robust optimization; Telecommunications networks; Uncertainty; Uncertainty in network latency; article; augmented reality; automation; controlled study; data privacy; human; latent period; simulation; telecommunication; uncertainty; Augmented reality</t>
  </si>
  <si>
    <t>Guo J.; Bilal M.; Qiu Y.; Qian C.; Xu X.; Raymond Choo K.-K.</t>
  </si>
  <si>
    <t>Survey on digital twins for Internet of Vehicles: Fundamentals, challenges, and opportunities</t>
  </si>
  <si>
    <t>10.1016/j.dcan.2022.05.023</t>
  </si>
  <si>
    <t>As autonomous vehicles and the other supporting infrastructures (e.g., smart cities and intelligent transportation systems) become more commonplace, the Internet of Vehicles (IoV) is getting increasingly prevalent. There have been attempts to utilize Digital Twins (DTs) to facilitate the design, evaluation, and deployment of IoV-based systems, for example by supporting high-fidelity modeling, real-time monitoring, and advanced predictive capabilities. However, the literature review undertaken in this paper suggests that integrating DTs into IoV-based system design and deployment remains an understudied topic. In addition, this paper explains how DTs can benefit IoV system designers and implementers, as well as describes several challenges and opportunities for future researchers. ¬© 2022 Chongqing University of Posts and Telecommunications</t>
  </si>
  <si>
    <t>Digital twin; Internet of vehicles; Simulation; Traffic systems</t>
  </si>
  <si>
    <t>Guo, Jiajie (58515256800); Bilal, Muhammad (56562681700); Qiu, Yuying (57550426500); Qian, Cheng (57227743200); Xu, Xiaolong (55706201200); Raymond Choo, Kim-Kwang (57208540261)</t>
  </si>
  <si>
    <t>58515256800; 56562681700; 57550426500; 57227743200; 55706201200; 57208540261</t>
  </si>
  <si>
    <t>Digital Communications and Networks</t>
  </si>
  <si>
    <t>https://www.scopus.com/inward/record.uri?eid=2-s2.0-85187359445&amp;doi=10.1016%2fj.dcan.2022.05.023&amp;partnerID=40&amp;md5=c5b51b6c99fe238b03d9f5b4e48163c3</t>
  </si>
  <si>
    <t>2-s2.0-85187359445</t>
  </si>
  <si>
    <t>Intelligent systems; Real time systems; Systems analysis; Autonomous Vehicles; Design evaluation; High-fidelity modeling; Intelligent transportation systems; Internet of vehicle; Predictive capabilities; Real time monitoring; Simulation; Traffic systems; Vehicle-based systems; Vehicles</t>
  </si>
  <si>
    <t>Wang S.; Zhang C.</t>
  </si>
  <si>
    <t>Construction of Multi-feature Fusion Prediction Model Based on IoT Time Series Data and Deep Learning</t>
  </si>
  <si>
    <t>10.1109/NPSPE62515.2024.00026</t>
  </si>
  <si>
    <t>In the current era of continuous progress in electrical equipment automation, the threat of lightning is increasing to the stability and safe operation of electrical equipment. As the first line of defense in the power system, arresters may significantly reduce the lightning protection performance when subjected to lightning. Therefore, in this study, a method was proposed that utilizes an improved transformer model to integrate multiple features collected in the Internet of Things (IoT) environment that affect changes in leakage current of zinc oxide varistors, and its time series data is used to predict changes when affected by lightning. Firstly, it analyzed the present application condition of deep learning algorithms in the Internet of Things. Secondly, they also analyzed the preprocessing methods for IoT temporal data and the requirements of Deep Learning for predicting temporal data; this article proposes a model that integrates multi-feature time data through an improved Transformer and the Internet of Things. Finally, the performance indicators of the model are output through simulation experiments to complete the testing. The experimental manifest that the improved model has the ability to accurately predict the leakage current of ZnO varistors. This study provides a reference for guaranteeing the safety and stability of the power system, as well as the integration of the Internet of Things and deep learning.  ¬© 2024 IEEE.</t>
  </si>
  <si>
    <t>artificial intelligence; deep learning; metal oxide arrester; prediction model; time sequence data</t>
  </si>
  <si>
    <t>Wang, Su (59672732900); Zhang, Chunlong (57200248986)</t>
  </si>
  <si>
    <t>59672732900; 57200248986</t>
  </si>
  <si>
    <t>Proceedings - 2024 International Conference on New Power System and Power Electronics, NPSPE 2024</t>
  </si>
  <si>
    <t>https://www.scopus.com/inward/record.uri?eid=2-s2.0-86000196363&amp;doi=10.1109%2fNPSPE62515.2024.00026&amp;partnerID=40&amp;md5=386b682ba180606bf8da1cea517d0718</t>
  </si>
  <si>
    <t>2-s2.0-86000196363</t>
  </si>
  <si>
    <t>Deep learning; Electric power system protection; Electric power system stability; Electric transformer testing; Information leakage; Leakage currents; Lightning arresters; Network security; Prediction models; Transformer protection; Varistors; 'current; Deep learning; Electrical equipment; Metal oxide arrester; Multi-feature fusion; Power; Prediction modelling; Temporal Data; Time sequence data; Time-series data; Ability testing</t>
  </si>
  <si>
    <t>Sony P.; Siva Shanmugam G.; Nagarajan S.</t>
  </si>
  <si>
    <t>Enhancement of Semantic Interoperability in Healthcare Systems Using IFCIoT Architecture</t>
  </si>
  <si>
    <t>10.3837/tiis.2024.04.004</t>
  </si>
  <si>
    <t>Fast decision support systems and accurate diagnosis have become significant in the rapidly growing healthcare sector. As the number of disparate medical IoT devices connected to the human body rises, fast and interrelated healthcare data retrieval gets harder and harder. One of the most important requirements for the Healthcare Internet of Things (HIoT) is semantic interoperability. The state-of-the-art HIoT systems have problems with bandwidth and latency. An extension of cloud computing called fog computing not only solves the latency problem but also provides other benefits including resource mobility and on-demand scalability. The recommended approach helps to lower latency and network bandwidth consumption in a system that provides semantic interoperability in healthcare organizations. To evaluate the system's language processing performance, we simulated it in three different contexts. 1. Polysemy resolution system 2. System for hyponymy -hypernymy resolution with polysemy 3. System for resolving polysemy, hypernymy, hyponymy, meronymy, and holonymy. In comparison to the other two systems, the third system has lower latency and network usage. The proposed framework can reduce the computation overhead of heterogeneous healthcare data. The simulation results show that fog computing can reduce delay, network usage, and energy consumption. ¬© 2024 Korean Society for Internet Information. All rights reserved.</t>
  </si>
  <si>
    <t>Fog Computing; Internet of Medical Things; Interoperability; Ontology; UMLS</t>
  </si>
  <si>
    <t>Sony, P. (56406275600); Siva Shanmugam, G. (56872832800); Nagarajan, Sureshkumar (56180472100)</t>
  </si>
  <si>
    <t>56406275600; 56872832800; 56180472100</t>
  </si>
  <si>
    <t>KSII Transactions on Internet and Information Systems</t>
  </si>
  <si>
    <t>https://www.scopus.com/inward/record.uri?eid=2-s2.0-85192729417&amp;doi=10.3837%2ftiis.2024.04.004&amp;partnerID=40&amp;md5=6ab1dbf0072ae5c0f9ef30bf135cd181</t>
  </si>
  <si>
    <t>2-s2.0-85192729417</t>
  </si>
  <si>
    <t>Artificial intelligence; Bandwidth; Decision support systems; Diagnosis; Energy utilization; Fog computing; Health care; Internet of things; Semantic Web; Semantics; Fastest decisions; Healthcare sectors; Healthcare systems; Hyponymy; Internet of medical thing; Low latency; Network usage; Ontology's; Semantic interoperability; UMLS; Interoperability</t>
  </si>
  <si>
    <t>Wang X.; Zhang Y.; Zhuo Z.; Li X.; Chen G.; Nallanathan A.</t>
  </si>
  <si>
    <t>Evolutionary Game Caching Resource Allocation Strategy for 6 G Networks</t>
  </si>
  <si>
    <t>10.1109/TVT.2024.3498866</t>
  </si>
  <si>
    <t>Network slicing is a key technology in sixth-generation (6G) communication networks. However, the performance of virtualized nodes sharing cache resources in 6G network slicing is degraded by the inappropriate allocation of resources. This paper proposes a cache resource allocation strategy for 6G network slicing based on game dynamics (RASGD). A 6G slicing network model is developed that describes the relationship between virtualized node mapping and resource sharing, and an evolutionary public goods game cache resource allocation (PGGRA) method is proposed to improve data transmission performance. This strategy defines the cache resource gap and selects the input cost according to the cache resource gap and evolutionary game strategy. When the cache resources are sufficient, the input is carried out, and when the cache resources are insufficient or the demand is large, unnecessary input is reduced to avoid the waste of resources, so as to achieve the intelligent allocation of cache resource. Simulation results demonstrate that the RASGD strategy improves the successful arrival rate of slice packets by at least 4.79% and improves the network congestion by at least 22.9% compared with the resource allocation strategy based on number of nodes (RANN) and resource allocation strategy based on node degree (RAND).  ¬© 2024 IEEE.</t>
  </si>
  <si>
    <t>Data transmission performance; evolutionary game; network slicing; resource allocation</t>
  </si>
  <si>
    <t>Wang, Xinyi (58091011100); Zhang, Yuexia (22982243100); Zhuo, Zhihai (23391622400); Li, Xingwang (56152312500); Chen, Gaojie (22957084600); Nallanathan, Arumugam (6603561059)</t>
  </si>
  <si>
    <t>58091011100; 22982243100; 23391622400; 56152312500; 22957084600; 6603561059</t>
  </si>
  <si>
    <t>https://www.scopus.com/inward/record.uri?eid=2-s2.0-85209751844&amp;doi=10.1109%2fTVT.2024.3498866&amp;partnerID=40&amp;md5=0ffc3c6d865f3c9131aa006ef5e6bf24</t>
  </si>
  <si>
    <t>2-s2.0-85209751844</t>
  </si>
  <si>
    <t>Dogani J.; Yazdanpanah A.; Zare A.; Khunjush F.</t>
  </si>
  <si>
    <t>A two-tier multi-objective service placement in container-based fog-cloud computing platforms</t>
  </si>
  <si>
    <t>10.1007/s10586-023-04183-8</t>
  </si>
  <si>
    <t>The utilization of cloud computing in Internet of Things (IoT) applications has become widespread. However, it presents challenges for latency-sensitive scenarios due to data transmission to the centralized cloud structure, which leads to increased network traffic and service delays. To address this, fog computing has emerged as an intermediary layer between the cloud and IoT, ensuring low-latency interactions. A pivotal challenge within the fog computing paradigm is the service placement problem, involving assigning services to appropriate nodes, which is recognized as NP-hard. Recognizing the intricate nature of service placement, this study introduces a multi-objective optimization approach tailored for dynamic service placement within container-based fog computing environments. Considering multiple objectives is imperative due to the complex interplay of performance metrics in fog computing scenarios. A two-tier resource management framework based on Kubernetes is proposed to manage these diverse yet interrelated objectives effectively. The framework harnesses the power of the multi-objective, non-dominated sorting genetic algorithm II (NSGA-II) to reconcile conflicting objectives and facilitate optimal service placement decisions. Incorporating multi-objective optimization enables a comprehensive evaluation of service placement solutions, ensuring a balanced trade-off between latency, cost-efficiency, and energy consumption. Empirical evaluations demonstrate that the proposed method improves cost, average latency time, and energy consumption by 8% to 36% compared to state-of-the-art methods. ¬© The Author(s), under exclusive licence to Springer Science+Business Media, LLC, part of Springer Nature 2023.</t>
  </si>
  <si>
    <t>Container-based virtualization; Fog computing; Kubernetes; Multi-objective optimization; Service placement</t>
  </si>
  <si>
    <t>Dogani, Javad (57382261600); Yazdanpanah, Ali (58534040500); Zare, Arash (58534220900); Khunjush, Farshad (6507454499)</t>
  </si>
  <si>
    <t>57382261600; 58534040500; 58534220900; 6507454499</t>
  </si>
  <si>
    <t>https://www.scopus.com/inward/record.uri?eid=2-s2.0-85177840481&amp;doi=10.1007%2fs10586-023-04183-8&amp;partnerID=40&amp;md5=cbad153c735b7a39f1d42bc354aa8525</t>
  </si>
  <si>
    <t>2-s2.0-85177840481</t>
  </si>
  <si>
    <t>Containers; Economic and social effects; Energy utilization; Fog; Fog computing; Genetic algorithms; Green computing; Internet of things; Virtualization; Cloud computing platforms; Cloud-computing; Container-based virtualization; Energy-consumption; Kubernetes; Multi objective; Multi-objectives optimization; Service placements; Two tiers; Virtualizations; Multiobjective optimization</t>
  </si>
  <si>
    <t>Iram S.; Fernando T.; Asim M.; Shakeel H.M.</t>
  </si>
  <si>
    <t>Intelligent framework of sustainable cyber-physical services for autonomous manufacturing industries</t>
  </si>
  <si>
    <t>10.1007/s11761-024-00439-2</t>
  </si>
  <si>
    <t>Product Service Systems (PSSs) introduce new business models for enterprises to promote tangible products along with intangible functions or services, thereby incentivising product sustainability with profitability, economic stability and customer satisfaction. However, the unique characteristics of a PSS challenge obsolete product development processes and demand a dynamic change in the complex building blocks of the underlying design and in the development infrastructure to attain high quality services. This implies a need for radical change in the team structure and the team collaboration model, in the organizational structure, technical infrastructure and in the complex process models by taking the complete product life cycle into consideration. This paper, firstly, identifies PSS unique features that challenge the capabilities of existing frameworks to design a standard PSS. In response, new business models are proposed to address the challenges relating to actors‚Äô involvement, technology provision, organizational needs and process workflow modelling. Secondly, these proposed business models are combined into one comprehensive collaborative PSS design and development methodology by modifying existing modelling techniques. An assessment framework based on Goal-Question-Metrics approach and McCall Quality Model is successfully used to evaluate the PSS development methodology and subsequently, the developed framework through a use-case study analysis. ¬© The Author(s) 2024.</t>
  </si>
  <si>
    <t>Business models; Collaboration; Cyber physical system (CPS); Design and development process; Product service system (PSS); Product sustainability</t>
  </si>
  <si>
    <t>Iram, Shamaila (55075286200); Fernando, Terrence (7004517728); Asim, Muhammad (57200862047); Shakeel, Hafiz Muhammad (57249258700)</t>
  </si>
  <si>
    <t>55075286200; 7004517728; 57200862047; 57249258700</t>
  </si>
  <si>
    <t>Service Oriented Computing and Applications</t>
  </si>
  <si>
    <t>https://www.scopus.com/inward/record.uri?eid=2-s2.0-85209711709&amp;doi=10.1007%2fs11761-024-00439-2&amp;partnerID=40&amp;md5=099b781b2ec5453fb04a92c4e9bb9ab3</t>
  </si>
  <si>
    <t>2-s2.0-85209711709</t>
  </si>
  <si>
    <t>Customer satisfaction; Product development; Quality of service; Business models; Collaboration; Cybe physical system; Cybe-physical systems; Cyber-physical systems; Design and development process; New business models; Product service system; Product sustainability; Product-service systems; Smart manufacturing</t>
  </si>
  <si>
    <t>Ye L.; Yang L.; Xia Y.; Zhao X.</t>
  </si>
  <si>
    <t>A Cost-Driven Intelligence Scheduling Approach for Deadline-Constrained IoT Workflow Applications in Cloud Computing</t>
  </si>
  <si>
    <t>10.1109/JIOT.2024.3351630</t>
  </si>
  <si>
    <t>Cloud computing is a potent platform for delivering high-quality computational services to intricate Internet of Things (IoT) applications. However, effective scheduling approaches are essential to meet application demands while maximizing cloud computing's potential. In this study, we propose an innovative workflow scheduling method for addressing the cost-effective, deadline-constrained scheduling challenge of IoT applications in cloud computing systems. Our solution, the F-ant colony optimization (ACO) algorithm, leverages a hybrid intelligence approach that combines ACO with a cost-driven heuristic strategy. The primary goal is to minimize workflow scheduling costs while ensuring that workflow deadlines are met. F-ACO introduces a deadline distribution method to derive task subdeadlines, enabling dynamic adjustments for unscheduled tasks to meet workflow deadlines. Furthermore, we introduce an adaptive ACO-based task ordering mechanism with self-adaptive heuristic information to optimize task scheduling sequences, reducing search space redundancy and enhancing convergence speed. The approach includes a cost-driven task scheduling method designed to allocate each task to a acrlong VM with minimal execution cost and idle time, further optimizing the overall workflow scheduling cost. To validate our F-ACO algorithm, we conducted numerous simulations using real-world workflows and compared its performance against state-of-the-art algorithms. Our experimental results affirm F-ACO'S competitive edge in effectively scheduling IoT applications in cloud computing environments. ¬© 2014 IEEE.</t>
  </si>
  <si>
    <t>Ant colony optimization (ACO); cloud computing; cost driven; deadline constrained; workflow scheduling</t>
  </si>
  <si>
    <t>Ye, Lingjuan (57218098855); Yang, Liwen (57205297697); Xia, Yuanqing (55916672500); Zhao, Xinchao (56170196000)</t>
  </si>
  <si>
    <t>57218098855; 57205297697; 55916672500; 56170196000</t>
  </si>
  <si>
    <t>https://www.scopus.com/inward/record.uri?eid=2-s2.0-85182347716&amp;doi=10.1109%2fJIOT.2024.3351630&amp;partnerID=40&amp;md5=7a259d5a07884775bc980057616ef1a0</t>
  </si>
  <si>
    <t>2-s2.0-85182347716</t>
  </si>
  <si>
    <t>Artificial intelligence; Cloud computing; Constrained optimization; Cost benefit analysis; Cost effectiveness; Heuristic algorithms; Internet of things; Multitasking; Scheduling algorithms; Cloud-computing; Cost-driven; Deadline-constrained; Heuristics algorithm; Processor scheduling; Scheduling; Task analysis; Work-flows; Workflow scheduling; Ant colony optimization</t>
  </si>
  <si>
    <t>Shi Z.</t>
  </si>
  <si>
    <t>Edge-End Collaborative Communication and Computing Resource Scheduling for IoT Empowered PV Monitoring</t>
  </si>
  <si>
    <t>10.1109/TCE.2024.3478767</t>
  </si>
  <si>
    <t>The swift advancement of internet of things (IoT) and consumer electronics along with edge computing offers a feasible solution to meet the stringent data processing requirements imposed by real-Time monitoring of distributed solar photovoltaic (PV). For resource scheduling problems in terms of data processing, ant colony algorithm offers an effective solution. However, conventional ant colony suffers from poor convergence and path searching performances due to the lack of adaptability. Hence, we propose an edge-end collaborative multi-Timescale resource scheduling algorithm to address these challenges. The large-Timescale container selection is optimized by the proposed ant colony algorithm, which dynamically adjusts pheromone and heuristic factors to strike a balance between exploitation and exploration. The small-Timescale channel allocation and power control are jointly optimized by integrating bilateral matching with British auction, which solves matching competition with low complexity and achieves queuing delay guarantee based on option combination and elimination. Results from simulations indicate that the algorithm put forward can diminish queuing delay and decrease energy consumption.  ¬© 1975-2011 IEEE.</t>
  </si>
  <si>
    <t>auction matching; consumer electronics; distributed PV monitoring; edge computing; improved ant colony; IoT; resource scheduling</t>
  </si>
  <si>
    <t>Shi, Zhan (55468464000)</t>
  </si>
  <si>
    <t>https://www.scopus.com/inward/record.uri?eid=2-s2.0-85207470841&amp;doi=10.1109%2fTCE.2024.3478767&amp;partnerID=40&amp;md5=3dd34c40a6fd4e6fdf503c25c08da91b</t>
  </si>
  <si>
    <t>2-s2.0-85207470841</t>
  </si>
  <si>
    <t>Edge computing; Network security; Queueing theory; Scheduling algorithms; Ant colonies; Ant colonies algorithm; Auction matching; Distributed photovoltaic monitoring; Edge computing; Improved ant colony; Matchings; Photovoltaics; Resource-scheduling; Time-scales; Ant colony optimization</t>
  </si>
  <si>
    <t>Tian J.; Zhang X.; Zheng S.; Liu Z.; Zhan C.</t>
  </si>
  <si>
    <t>Synergising an Advanced Optimisation Technique with Deep Learning: A Novel Method in Fault Warning Systems</t>
  </si>
  <si>
    <t>10.3390/math12091301</t>
  </si>
  <si>
    <t>In the realm of automated industry and smart production, the deployment of fault warning systems is crucial for ensuring equipment reliability and enhancing operational efficiency. Although there are a multitude of existing methodologies for fault warning, the proficiency of these systems in processing and analysing data is increasingly challenged by the progression of industrial apparatus and the escalating magnitude and intricacy of the data involved. To address these challenges, this research outlines an innovative fault warning methodology that combines a bi-directional long short-term memory (Bi-LSTM) network with an enhanced hunter‚Äìprey optimisation (EHPO) algorithm. The Bi-LSTM network is strategically utilised to outline complex temporal patterns in machinery operational data, while the EHPO algorithm is employed to meticulously fine-tune the hyperparameters of the Bi-LSTM, aiming to enhance the accuracy and generalisability of fault warning. The EHPO algorithm, building upon the foundational hunter‚Äìprey optimisation (HPO) framework, introduces an advanced population initialisation process, integrates a range of strategic exploration methodologies, and strengthens its search paradigms through the incorporation of the differential evolution (DE) algorithm. This comprehensive enhancement aims to boost the global search efficiency and accelerate the convergence speed of the algorithm. Empirical analyses, conducted using datasets from real-world industrial scenarios, have validated the improved warning performance of this proposed methodology against some benchmark techniques, as evidenced by superior metrics such as root mean square error (RMSE) and mean absolute error (MAE), albeit with a slight increase in computational resource requirements. This study not only proposes a novel paradigm for fault warning within complex industrial frameworks but also contributes to the discourse on hyperparameter optimisation within the field of machine learning algorithms. ¬© 2024 by the authors.</t>
  </si>
  <si>
    <t>deep learning architecture; enhanced optimisation approach; hyperparameter adjustment; industrial anomaly warning; synergising algorithms</t>
  </si>
  <si>
    <t>Tian, Jia (59116397800); Zhang, Xingqin (57946152100); Zheng, Shuangqing (58417014300); Liu, Zhiyong (58554448400); Zhan, Changshu (36722802500)</t>
  </si>
  <si>
    <t>59116397800; 57946152100; 58417014300; 58554448400; 36722802500</t>
  </si>
  <si>
    <t>Mathematics</t>
  </si>
  <si>
    <t>https://www.scopus.com/inward/record.uri?eid=2-s2.0-85192704905&amp;doi=10.3390%2fmath12091301&amp;partnerID=40&amp;md5=81561aec02920dcbffba49acc0cf4b9a</t>
  </si>
  <si>
    <t>2-s2.0-85192704905</t>
  </si>
  <si>
    <t>Sravanthi G.; Moparthi N.R.</t>
  </si>
  <si>
    <t>Dual Interactive Wasserstein Generative Adversarial Network optimized with arithmetic optimization algorithm-based job scheduling in cloud-based IoT</t>
  </si>
  <si>
    <t>10.1007/s10586-023-03994-z</t>
  </si>
  <si>
    <t>Job scheduling plays a prominent part in cloud computing, and the production schedule of jobs can increase the cloud system‚Äôs effectiveness. When serving millions of users at once, cloud computing must provide all user requests with excellent performance and ensure Quality of Service (QoS). A suitable task scheduling algorithm is needed to appropriately and effectively fulfil these requests. Several methods were proposed for job scheduling in cloud computing, but the existing techniques do not provide better efficiency. The Dual Interactive Wasserstein Generative Adversarial Network Optimized with Arithmetic Optimization Algorithm Based Job Scheduling in Cloud-Based Internet of Things is proposed to overcome this issue. Primarily, the data from the Alibaba dataset is preprocessed using the Kernel Co-Relation (KC) method. The preprocessed data is given to the Dual Interactive Wasserstein Generative Adversarial Network (DIWGAN) for task forecasting in the dynamic cloud environment, and it generates scheduled tasks as output. Then the Arithmetic Optimization Algorithm (AOA) is utilized to optimize the weight parameters of the Dual Interactive Wasserstein Generative Adversarial Network. The proposed method precisely predicts the future workload and diminishes extravagant power consumption at cloud data centres. The proposed method is implemented in MATLAB. The proposed method attains lower MSE (Mean Square Error), RMSE (Root Mean Square Error), MAPE (Mean Squared Prediction Error), MAE (Mean Absolute Error), and higher results without optimization algorithm before and after normalization compared to the current approaches. ¬© The Author(s), under exclusive licence to Springer Science+Business Media, LLC, part of Springer Nature 2023.</t>
  </si>
  <si>
    <t>Cloud computing; Cloud data centre; Job scheduling; Kernel co-relation; Task forecasting</t>
  </si>
  <si>
    <t>Sravanthi, Gunaganti (55842947000); Moparthi, Nageswara Rao (57191229469)</t>
  </si>
  <si>
    <t>55842947000; 57191229469</t>
  </si>
  <si>
    <t>https://www.scopus.com/inward/record.uri?eid=2-s2.0-85151422721&amp;doi=10.1007%2fs10586-023-03994-z&amp;partnerID=40&amp;md5=b8830cdda7cef6606987cd3adc79daf3</t>
  </si>
  <si>
    <t>2-s2.0-85151422721</t>
  </si>
  <si>
    <t>Cloud computing; Errors; Generative adversarial networks; Internet of things; MATLAB; Mean square error; Optimization; Production control; Quality of service; Scheduling algorithms; Cloud data centers; Cloud systems; Cloud-based; Cloud-computing; Jobs scheduling; Kernel co-relation; Optimization algorithms; Performance; Production schedule; Task forecasting; Forecasting</t>
  </si>
  <si>
    <t>Moulya P.; Manitha P.V.; Nair M.G.</t>
  </si>
  <si>
    <t>Integration of wind energy in smart grid: A review</t>
  </si>
  <si>
    <t>10.1063/5.0217491</t>
  </si>
  <si>
    <t>The Smart Grid is being improved daily for greater efficiency and is developing as the world's smartest technology. One method to improve the efficacy or efficiency of smart grid (SG) technology is to integrate alternative renewable energy sources into it. This research has looked at the possibility of integrating alternative energy sources with Smart Grid technology. One of these alternate energy sources is wind power. This study gives an overview of various factors that are considered while integrating wind energy into the smart grid. The efficiency and performance will increase if alternative energy sources can be linked to the Smart Grid based on certain parameters like continuous forecasting and how that is impacting the smart grid, controlling and managing strategies, etc. Several challenges will occur after successful integration of wind energy. The challenges, economic aspects and environmental benefits are addressed in this research. For further improvement of smart grids in the future, the excess energy that is generated needs to be stored in energy storage systems. In this research study, all of these subjects have been covered. ¬© 2024 Author(s).</t>
  </si>
  <si>
    <t>Hybrid System; Smart Grid; Smart Grid Integration; Wind Energy; Wind Power Plant</t>
  </si>
  <si>
    <t>Moulya, P. (59206176900); Manitha, P.V. (55552819800); Nair, Manjula G. (8141612100)</t>
  </si>
  <si>
    <t>59206176900; 55552819800; 8141612100</t>
  </si>
  <si>
    <t>AIP Conference Proceedings</t>
  </si>
  <si>
    <t>https://www.scopus.com/inward/record.uri?eid=2-s2.0-85197634432&amp;doi=10.1063%2f5.0217491&amp;partnerID=40&amp;md5=06846b909695d90b69ae7b38f9193ffe</t>
  </si>
  <si>
    <t>2-s2.0-85197634432</t>
  </si>
  <si>
    <t>Chiu K.-L.; Eichler G.; Lin C.-T.; Di Guglielmo G.; Carloni L.P.</t>
  </si>
  <si>
    <t>WOLT: Transparent Deployment of ML Workloads on Lightweight Many-Accelerator Architectures</t>
  </si>
  <si>
    <t>10.1109/ICCD63220.2024.00102</t>
  </si>
  <si>
    <t>Most available frameworks to develop machine learning applications target software deployment on general-purpose processors or GPUs. We propose Wolt, an end-to-end efficient solution to run TFLite application workloads on lightweight system-on-chip (SoC) architectures that feature many fixed-function hardware accelerators. WOltenables the execution of TFLite operations on pre-designed accelerators without requiring any modification of the application source code. As it establishes an interface between the high-level framework and the device drivers of the accelerators, WOLtincludes a resource manager that allows multi-tenant and conflict-free hardware acceleration of many TFLite applications running in parallel on the SoC. We evaluated WOltwith a comprehensive set of FPGA-based experiments by profiling and running 13 different TFLite workloads on a variety of complete SoC prototypes. We designed these prototypes by combining many CVA6 RISC-V processors with multiple accelerators for vector-matrix multiplication and two-dimensional convolution. For these workloads, Woltdelivers up to 23.2 x performance speedup and up to 14.6 x energy-efficiency gains compared to a purely software execution. When running multiple TFLite workloads in parallel, Wolt achieves up to 4 x of additional performance gain compared to basic hardware acceleration, thanks to efficient resource management. ¬© 2024 IEEE.</t>
  </si>
  <si>
    <t>accelerator; delegate; TensorFlow; TFLite</t>
  </si>
  <si>
    <t>Chiu, Kuan-Lin (57217585340); Eichler, Guy (57223044975); Lin, Chuan-Tung (57577149900); Di Guglielmo, Giuseppe (54920834500); Carloni, Luca P. (6603918799)</t>
  </si>
  <si>
    <t>57217585340; 57223044975; 57577149900; 54920834500; 6603918799</t>
  </si>
  <si>
    <t>Proceedings - IEEE International Conference on Computer Design: VLSI in Computers and Processors</t>
  </si>
  <si>
    <t>https://www.scopus.com/inward/record.uri?eid=2-s2.0-85217029457&amp;doi=10.1109%2fICCD63220.2024.00102&amp;partnerID=40&amp;md5=c8db9c3f3ba8df08ab6a63600ac7d833</t>
  </si>
  <si>
    <t>2-s2.0-85217029457</t>
  </si>
  <si>
    <t>Charged particles; Graphics processing unit; Hadrons; Linear accelerators; Parallel architectures; Photons; Program processors; Resource allocation; Software prototyping; Accelerator architectures; Delegate; General purpose processors; General-purpose GPUs; Hardware acceleration; Machine learning applications; Software deployment; Systems-on-Chip; Tensorflow; Tflite; System-on-chip</t>
  </si>
  <si>
    <t>de Lima E.C.; Rossi F.D.; Luizelli M.C.; Calheiros R.N.; Lorenzon A.F.</t>
  </si>
  <si>
    <t>A neural network framework for optimizing parallel computing in cloud servers</t>
  </si>
  <si>
    <t>10.1016/j.sysarc.2024.103131</t>
  </si>
  <si>
    <t>Energy efficiency has become a major focus in optimizing hardware resource usage for Cloud servers. One approach widely employed to enhance the execution of parallel applications is thread-level parallelism (TLP) exploitation. This technique leverages multiple threads to improve computational efficiency and performance. However, the increasing heterogeneity of resources in cloud environments and the complexity of selecting the optimal configuration for each application pose a significant challenge to cloud users due to the massive number of possible configurations and the need to effectively harness TLP in diverse hardware setups to achieve optimal energy efficiency and performance. To address this challenge, we propose TLP-Allocator, an artificial neural network (ANN) optimization strategy that uses hardware and software metrics to build and train an ANN model. It predicts worker node and thread count combinations that provide optimal energy-delay product (EDP) results. In experiments using ten well-known applications on a private cloud with heterogeneous resources, we show that TLP-Allocator predicts combinations that yield EDP values close to the best achieved by an exhaustive search. It also improves the overall EDP by 38.2% compared to state-of-the-art workloads scheduling on cloud environments. ¬© 2024 Elsevier B.V.</t>
  </si>
  <si>
    <t>Artificial neural network; Cloud computing; Energy efficiency; Parallel computing</t>
  </si>
  <si>
    <t>de Lima, Everton C. (57247934300); Rossi, F√°bio D. (55482352100); Luizelli, Marcelo C. (56516976700); Calheiros, Rodrigo N. (15769041200); Lorenzon, Arthur F. (55561944100)</t>
  </si>
  <si>
    <t>57247934300; 55482352100; 56516976700; 15769041200; 55561944100</t>
  </si>
  <si>
    <t>Journal of Systems Architecture</t>
  </si>
  <si>
    <t>https://www.scopus.com/inward/record.uri?eid=2-s2.0-85189554138&amp;doi=10.1016%2fj.sysarc.2024.103131&amp;partnerID=40&amp;md5=024c7f42640ea802ac7ecb675a5f325e</t>
  </si>
  <si>
    <t>2-s2.0-85189554138</t>
  </si>
  <si>
    <t>Cloud computing; Computational efficiency; Computer hardware; Green computing; Neural networks; Allocators; Cloud environments; Cloud servers; Cloud-computing; Efficiency and performance; Energy delay product; Neural-networks; Optimal energy; Parallel com- puting; Thread level parallelism; Energy efficiency</t>
  </si>
  <si>
    <t>Varella W.A.; Oliveira Neto G.C.D.; Stefani E.; Costa I.; Monteiro R.C.; Conde W.; da Silva Junior W.; Baptestone R.C.; Goes R.D.S.; Riccotta R.; Gaspar M.A.; Felisoni P.R.; Ohashi F.K.; Nascimento H.D.; Fernandes A.A.; Martins F.S.</t>
  </si>
  <si>
    <t>Integrated Service Architecture to Promote the Circular Economy in Agriculture 4.0</t>
  </si>
  <si>
    <t>10.3390/su16062535</t>
  </si>
  <si>
    <t>Innovation has been the transforming tool of precision agriculture as a response to population growth and the demand for more food with quality, less waste, food security, and sustainable management of environmental resources. The challenges are to increase the productivity of cultivated areas, both for current and future areas, to manage the use of potable water, scarce in many regions, to keep the soil fertile, and to reduce waste through reuse, optimization, resource sharing, and operational and strategic management based on accurate information of planting, harvesting, and management of environmental conditions, which are also objectives of the Circular Economy. Therefore, using Industry 4.0 technologies in agriculture becomes fundamental to facing such challenges. This paper presents a systematic literature review on Industry 4.0 technologies adopted in agriculture for sustainable development, considering environmental, economic, and social benefits. The research pointed to the use of IoT in irrigation control systems by sending automatic commands, monitoring soil and weather conditions, in the use of machinery with some automation features and in cloud data storage systems, and with the use of Big Data analytical tools, with access by mobile devices, these uses contribute to operational and strategic decision making in the management of planting and harvesting. However, the literature review did not find a technological architecture for Integrated Services in Agriculture 4.0. Thus, this paper proposes a Service Architecture that enables the promotion of a Circular Economy in Agriculture 4.0. The contribution of this article to the theory is in the expansion of knowledge of the use of technologies in Agriculture 4.0. In terms of practice, this article provides an Integrated Service Architecture so that new products can be developed for Agriculture 4.0 and thus contribute to society in reducing food insecurity, generating environmental, economic, and social benefits, and promoting the Circular Economy in Agriculture 4.0. ¬© 2024 by the authors.</t>
  </si>
  <si>
    <t>Agriculture 4.0; Circular Economy; economic sustainability; environmental sustainability; Service Architecture; social sustainability</t>
  </si>
  <si>
    <t>Varella, Walter Augusto (58348643500); Oliveira Neto, Geraldo Cardoso de (57191636885); Stefani, Eduardo (57393321700); Costa, Ivanir (24476176800); Monteiro, Rog√©rio Carlos (58962244900); Conde, Wilians (58961803800); da Silva Junior, Wanderley (57447259600); Baptestone, Rolney Carlos (57203340250); Goes, Roberto de Souza (57393171000); Riccotta, Rosangela (57393475400); Gaspar, Marcos Antonio (30967476800); Felisoni, Paulo Ribeiro (58961804000); Ohashi, Fabio Kazuo (57358191200); Nascimento, Hugo do (58961804100); Fernandes, Aguinaldo Aragon (57393020900); Martins, Fellipe Silva (57189852226)</t>
  </si>
  <si>
    <t>58348643500; 57191636885; 57393321700; 24476176800; 58962244900; 58961803800; 57447259600; 57203340250; 57393171000; 57393475400; 30967476800; 58961804000; 57358191200; 58961804100; 57393020900; 57189852226</t>
  </si>
  <si>
    <t>https://www.scopus.com/inward/record.uri?eid=2-s2.0-85189004328&amp;doi=10.3390%2fsu16062535&amp;partnerID=40&amp;md5=eb9adceab2acfc1e19c8c4885d9cc973</t>
  </si>
  <si>
    <t>2-s2.0-85189004328</t>
  </si>
  <si>
    <t>automation; decision making; harvesting; literature review; population growth; precision agriculture; recycling</t>
  </si>
  <si>
    <t>Zhao W.; Weng T.; Ruan Y.; Liu Z.; Wu X.; Zheng X.; Kato N.</t>
  </si>
  <si>
    <t>Quantum Computing in Wireless Communications and Networking: A Tutorial-Cum-Survey</t>
  </si>
  <si>
    <t>10.1109/COMST.2024.3502762</t>
  </si>
  <si>
    <t>Owing to its outstanding parallel computing capabilities, quantum computing (QC) has been a subject of continuous attention. With the gradual maturation of QC platforms, it has increasingly played a significant role in various fields such as transportation, pharmaceuticals, and industrial manufacturing, achieving unprecedented milestones. In modern society, wireless communication stands as an indispensable infrastructure, with its essence lying in optimization. Although artificial intelligence (AI) algorithms such as reinforcement learning (RL) and mathematical optimization have greatly enhanced the performance of wireless communication, the rapid attainment of optimal solutions for wireless communication problems remains an unresolved challenge. QC, however, presents a new alternative. This paper aims to elucidate the fundamentals of QC and explore its applications in wireless communications and networking. First, we provide a tutorial on QC, covering its basics, characteristics, and popular QC algorithms. Next, we introduce the applications of QC in communications and networking, followed by its applications in miscellaneous areas such as security and privacy, localization and tracking, and video streaming. Finally, we discuss remaining open issues before concluding.  ¬© 1998-2012 IEEE.</t>
  </si>
  <si>
    <t>edge computing; localization; offloading; quantum algorithm; quantum computing; reinforcement learning; resource allocation; scheduling; security and privacy; video streaming; wireless communications and networking</t>
  </si>
  <si>
    <t>Zhao, Wei (57202893713); Weng, Tangjie (59205772300); Ruan, Yue (55369848800); Liu, Zhi (57194722312); Wu, Xuangou (55694516000); Zheng, Xiao (24832536400); Kato, Nei (7403474407)</t>
  </si>
  <si>
    <t>57202893713; 59205772300; 55369848800; 57194722312; 55694516000; 24832536400; 7403474407</t>
  </si>
  <si>
    <t>IEEE Communications Surveys and Tutorials</t>
  </si>
  <si>
    <t>https://www.scopus.com/inward/record.uri?eid=2-s2.0-85210356254&amp;doi=10.1109%2fCOMST.2024.3502762&amp;partnerID=40&amp;md5=03227c0bb7b56464c4a78092ead36563</t>
  </si>
  <si>
    <t>2-s2.0-85210356254</t>
  </si>
  <si>
    <t>Computation offloading; Optimization algorithms; Quantum communication; Quantum electronics; Reinforcement learning; Scheduling algorithms; Communications and networkings; Edge computing; Localisation; Offloading; Quantum algorithms; Quantum Computing; Reinforcement learnings; Resources allocation; Security and privacy; Video-streaming; Wireless communications; Wireless networking; Quantum computers</t>
  </si>
  <si>
    <t>Akbar M.A.; Esposito M.; Hyrynsalmi S.; Kumar K.D.; Lcnarduzzi V.; Li X.; Mehraj A.; Mikkonen T.; Moreschini S.; Makitalo N.; Oivo M.; Paavonen A.-S.; Parveen R.; Smolander K.; Su R.; Systa K.; Taibi D.; Yang N.; Zhang Z.; Zohaib M.</t>
  </si>
  <si>
    <t>6GSoft: Software for Edge-to-Cloud Continuum</t>
  </si>
  <si>
    <t>10.1109/SEAA64295.2024.00082</t>
  </si>
  <si>
    <t>In the era of 6G, developing and managing software requires cutting-edge software engineering (SE) theories and practices tailored for such complexity across a vast number of connected edge devices. Our project aims to lead the development of sustainable methods and energy-efficient orchestration models specifically for edge environments, enhancing architectural support driven by AI for contemporary edge-to-cloud continuum computing. This initiative seeks to position Finland at the forefront of the 6G landscape, focusing on sophisticated edge orchestration and robust software architectures to optimize the performance and scalability of edge networks. Collaborating with leading Finnish universities and companies, the project emphasizes deep industry-academia collaboration and international expertise to address critical challenges in edge orchestration and software architecture, aiming to drive significant advancements in software productivity and market impact. ¬© 2024 IEEE.</t>
  </si>
  <si>
    <t>6G; energy efficiency; scalability; SE; sustainability; system architecture</t>
  </si>
  <si>
    <t>Akbar, Muhammad Azeem (57200183503); Esposito, Matteo (57833979900); Hyrynsalmi, Sami (50361307000); Kumar, Karthikeyan Dinesh (59230734700); Lcnarduzzi, Valentina (55348964400); Li, Xiaozhou (56203689000); Mehraj, Ali (58991197900); Mikkonen, Tommi (57220096141); Moreschini, Sergio (57196187277); Makitalo, Niko (54420686000); Oivo, Markku (6603040928); Paavonen, Anna-Sofia (59230508300); Parveen, Risha (59230960100); Smolander, Kari (6602550741); Su, Ruoyu (58602252500); Systa, Kari (6506558673); Taibi, Davide (55920884000); Yang, Nan (58859572400); Zhang, Zheying (56068626800); Zohaib, Muhammad (59077228700)</t>
  </si>
  <si>
    <t>57200183503; 57833979900; 50361307000; 59230734700; 55348964400; 56203689000; 58991197900; 57220096141; 57196187277; 54420686000; 6603040928; 59230508300; 59230960100; 6602550741; 58602252500; 6506558673; 55920884000; 58859572400; 56068626800; 59077228700</t>
  </si>
  <si>
    <t>Proceedings of the Euromicro Conference on Software Engineering and Advanced Applications, EUROMICRO-SEAA</t>
  </si>
  <si>
    <t>https://www.scopus.com/inward/record.uri?eid=2-s2.0-85218627571&amp;doi=10.1109%2fSEAA64295.2024.00082&amp;partnerID=40&amp;md5=12cfd7d27b45e0baa8153bb8d232392f</t>
  </si>
  <si>
    <t>2-s2.0-85218627571</t>
  </si>
  <si>
    <t>Scalability; Software architecture; 6g; Architectural support; Cutting edges; Energy; Energy efficient; Finland; Software engineering practices; Software engineering theories; Systems architecture; Theory and practice; Cloud computing architecture</t>
  </si>
  <si>
    <t>Kaur N.; Mittal A.</t>
  </si>
  <si>
    <t>MTFP: matrix-based task-fog pairing method for task scheduling in fog computing</t>
  </si>
  <si>
    <t>10.1007/s41870-024-01817-x</t>
  </si>
  <si>
    <t>In the present era of seamless connectivity which demands enormous smart devices to be allied and send data to the cloud, it seems imperative to organize and process cloud-based smart Internet of Things (IoT) applications in real time. Hence, to support the continuous demand for the scheduling of real-time latency-sensitive tasks; the adaptability of fog computing is necessary which provide close adjacency to the tasks generating sources. Fog computing ensures optimal scheduling of latency-sensitive tasks by appropriate resource allocation considering dynamic user requirements. But the process of scheduling is an open challenge due to limited availability and processing capacity of fog resources. Further, provisioning of an appropriate fog resource is also necessary for timely execution of tasks. Hence, the papers present a novel task-scheduling heuristic algorithm; Matrix-based Task-Fog Pairing (MTFP) that aim to provide a feasible solution for fog resource provisioning to latency sensitive tasks. The algorithm worked on two different matrixes called compatibility and execution time matrix for scheduling priority tasks in order to achieve the desired Quality of Experience (QoE) to the end-user. Finally, the proposed algorithm MTFP is compared with the present state-of-the-art and shown improvement in term of reducing tasks execution time by 18%, delay by 16% and energy consumption by 14.5%. ¬© Bharati Vidyapeeth's Institute of Computer Applications and Management 2024.</t>
  </si>
  <si>
    <t>Cloud computing; Fog computing; IoT; Resource scheduling; Task scheduling</t>
  </si>
  <si>
    <t>Kaur, Navjeet (57262855200); Mittal, Ayush (57221964207)</t>
  </si>
  <si>
    <t>57262855200; 57221964207</t>
  </si>
  <si>
    <t>International Journal of Information Technology (Singapore)</t>
  </si>
  <si>
    <t>https://www.scopus.com/inward/record.uri?eid=2-s2.0-85190545407&amp;doi=10.1007%2fs41870-024-01817-x&amp;partnerID=40&amp;md5=9b7a242253171a786d7e3449e52f3dd5</t>
  </si>
  <si>
    <t>2-s2.0-85190545407</t>
  </si>
  <si>
    <t>Xu J.; Yang J.</t>
  </si>
  <si>
    <t>Research on a design method of information energy saving service system</t>
  </si>
  <si>
    <t>10.1145/3671151.3671215</t>
  </si>
  <si>
    <t>In China‚Äôs energy consumption, industry is the largest energy consumption in China, energy consumption accounts for about 70% of the total energy consumption in the country. In Europe, companies collectively consume about a quarter of society‚Äôs total energy consumption, and almost a third in Germany. The increasing scarcity of resources has led to rising energy prices, in addition to governments have also formulated more stringent environmental regulations and standards, industrial development is facing increasing pressure, and improving the efficiency of energy use in the production process will play a more important role in the near future. Therefore, strengthening enterprise energy management, implementing the scientific concept of development, carrying out enterprise energy saving and consumption reduction actions, and improving energy efficiency are the most effective ways to reduce resource consumption and protect the environment, and are also important contents of China‚Äôs new industrialization road [1], which will improve enterprise economic benefits and alleviate energy and environmental constraints faced by social and economic development. It is of great significance to build a resource-saving and environment-friendly society, realize energy saving, emission reduction and low-carbon economy, and complete the planning objectives. In order to enable enterprises to better complete resource allocation, production organization, department settlement and cost accounting, it is necessary to establish a set of effective automatic energy data collection and monitoring and analysis system for the collected energy data, so that enterprises can grasp the energy situation in real time, lay a solid data foundation for the realization of automatic energy regulation, and facilitate the measurement and cost accounting work of enterprises. At the same time, through the results of energy monitoring and analysis, the energy consumption of enterprises is continuously improved, so that energy is efficiently used, and the competitiveness of enterprises is continuously enhanced. ¬© 2024 ACM.</t>
  </si>
  <si>
    <t>Data architecture; Information energy saving; Physical architecture; Server configuration</t>
  </si>
  <si>
    <t>Xu, Jianqiao (59242172600); Yang, Jing (59241495100)</t>
  </si>
  <si>
    <t>59242172600; 59241495100</t>
  </si>
  <si>
    <t>ACM International Conference Proceeding Series</t>
  </si>
  <si>
    <t>https://www.scopus.com/inward/record.uri?eid=2-s2.0-85200153365&amp;doi=10.1145%2f3671151.3671215&amp;partnerID=40&amp;md5=d8051943d6970dd1111d6d8e58241344</t>
  </si>
  <si>
    <t>2-s2.0-85200153365</t>
  </si>
  <si>
    <t>Competition; Cost accounting; Cost benefit analysis; Economic and social effects; Emission control; Energy efficiency; Environmental regulations; Renewable energy; Data architectures; Energy  savings; Energy data; Energy-consumption; Energy-savings; Information energy saving; Monitoring and analysis; Physical architecture; Server configuration; Total energy; Energy utilization</t>
  </si>
  <si>
    <t>Kiv A.E.; Semerikov S.O.; Nechypurenko P.P.; Bondarenko O.V.; Iatsyshyn A.V.; Artemchuk V.O.; Klimov S.V.; Danylchuk H.B.; Vakaliuk T.A.; Chukharev S.M.; Sakhno S.I.; Striuk A.M.</t>
  </si>
  <si>
    <t>Sustainable Futures in a Changing World ‚Äì Reflections from the 5th International Conference on Sustainable Futures: Environmental, Technological, Social and Economic Matters (ICSF 2024)</t>
  </si>
  <si>
    <t>10.1088/1755-1315/1415/1/011001</t>
  </si>
  <si>
    <t>This paper presents an overview of the 5th International Conference on Sustainable Futures: Environmental, Technological, Social, and Economic Matters (ICSF 2024), held in May 2024. The conference brought together over 250 researchers, practitioners, and educators from 19 countries to share cutting-edge research and innovative solutions across a wide range of sustainability-related disciplines. The proceedings cover diverse topics, including climate change, disaster risk reduction, sustainable infrastructure, education for sustainability, environmental engineering, and sustainable business practices. Key themes that emerged include the integration of digital technologies in sustainability efforts, the impacts of global crises on sustainable development, and the importance of interdisciplinary approaches. The conference showcased both theoretical advancements and practical applications, with a particular focus on addressing the United Nations Sustainable Development Goals. This overview highlights the conference‚Äôs role in fostering global dialogue and collaboration to address pressing sustainability challenges and shape a more sustainable future. ¬© 2024 Institute of Physics Publishing. All rights reserved.</t>
  </si>
  <si>
    <t>Kiv, A.E. (6602488378); Semerikov, S.O. (56375008500); Nechypurenko, P.P. (57194519666); Bondarenko, O.V. (57211133711); Iatsyshyn, A.V. (57204368879); Artemchuk, V.O. (56005792600); Klimov, S.V. (57213815768); Danylchuk, H.B. (57209541581); Vakaliuk, T.A. (57211133927); Chukharev, S.M. (57211517801); Sakhno, S.I. (57216845649); Striuk, A.M. (57194524952)</t>
  </si>
  <si>
    <t>6602488378; 56375008500; 57194519666; 57211133711; 57204368879; 56005792600; 57213815768; 57209541581; 57211133927; 57211517801; 57216845649; 57194524952</t>
  </si>
  <si>
    <t>IOP Conference Series: Earth and Environmental Science</t>
  </si>
  <si>
    <t>https://www.scopus.com/inward/record.uri?eid=2-s2.0-85212872357&amp;doi=10.1088%2f1755-1315%2f1415%2f1%2f011001&amp;partnerID=40&amp;md5=3a7ec81bcfa7f4dc354470c239678b29</t>
  </si>
  <si>
    <t>2-s2.0-85212872357</t>
  </si>
  <si>
    <t>Taheri S.; Amiri A.J.; Razban A.</t>
  </si>
  <si>
    <t>Real-world implementation of a cloud-based MPC for HVAC control in educational buildings</t>
  </si>
  <si>
    <t>10.1016/j.enconman.2024.118270</t>
  </si>
  <si>
    <t>In their quest to enhance energy efficiency and carbon footprint management, many enterprises are turning their attention towards optimizing their facilities through amplified data monitoring and innovative control methods. In this context, this research highlights a practical solution in a commercial building located in the United States. It explains the creation, implementation, and costs of a universally applicable model predictive control (MPC) framework for the building's heating, ventilation, and air conditioning (HVAC) system. The paper elaborates on both the hardware and software used to accumulate pertinent data and the formulation of the MPC system. This approach leverages cloud-based microservices and can be seamlessly integrated into current building management systems. In this regard, this paper presents three innovative strategies: Proportional‚Äìintegral (PI)+Preheating, MPC, and occupancy-based control. These scenarios were designed to improve energy efficiency and thermal comfort significantly by reducing temperature fluctuations and adhering more closely to the setpoint temperature. The implementation of these strategies resulted in substantial energy savings, with reductions in energy consumption of 12.83%, 19.21%, and 14.98%, respectively. ¬© 2024 Elsevier Ltd</t>
  </si>
  <si>
    <t>Building management systems; Cloud-based solutions; Educational Buildings; HVAC</t>
  </si>
  <si>
    <t>Taheri, Saman (57215212971); Amiri, Alireza Jafarian (58912701700); Razban, Ali (57202511592)</t>
  </si>
  <si>
    <t>57215212971; 58912701700; 57202511592</t>
  </si>
  <si>
    <t>Energy Conversion and Management</t>
  </si>
  <si>
    <t>https://www.scopus.com/inward/record.uri?eid=2-s2.0-85186336293&amp;doi=10.1016%2fj.enconman.2024.118270&amp;partnerID=40&amp;md5=845f5f11c42eff07af3fff0fc1e8b4b8</t>
  </si>
  <si>
    <t>2-s2.0-85186336293</t>
  </si>
  <si>
    <t>Carbon footprint; Energy efficiency; Energy utilization; HVAC; Office buildings; Predictive control systems; Air conditioning controls; Building management system; Cloud-based; Cloud-based solution; Data monitoring; Educational buildings; Enterprise IS; Heating ventilation and air conditioning; Model-predictive control; Real-world implementation; Model predictive control</t>
  </si>
  <si>
    <t>Deng X.; Fu Y.; Zhu Q.</t>
  </si>
  <si>
    <t>Task-Driven Delay Minimization for UAV-Assisted Mobile Crowdsensing Networks: A Joint Optimization Approach</t>
  </si>
  <si>
    <t>10.1109/JIOT.2024.3497000</t>
  </si>
  <si>
    <t>In this work, we investigate a task-driven delay minimization problem for unmanned aerial vehicle (UAV) enabled mobile crowdsensing (MCS) networks. Our focus is to reduce overall latency and improve data collection efficiency for delay-sensitive tasks through jointly optimizing the sensing data size, bandwidth allocation, and UAV hovering position. The formulated problem is a mixed-integer programming problem, which is also non-convex. We introduce an efficient alternating optimization algorithm to address this challenge. Specifically, the original minimization problem is decomposed into two subproblems. The first subproblem focuses on bandwidth and sensing data allocation. By leveraging the latent structure property of the problem, we derive the optimal sensing data allocation given a bandwidth allocation policy. Based on it, we reveal that the first optimization subproblem can be converted into a maximum weighted matching problem in a bipartite graph, which can be optimally solved using the Hungarian algorithm. To address the optimization of the UAV's hovering position subproblem, we employ the successive convex approximation (SCA) technique, which transforms it into a convex problem that can be efficiently solved by standard convex optimization solvers. We also analyze the convergence and the time complexity for the developed joint optimization algorithm. Afterward, we approximate the global optimal solutions in closed form for several specific cases of the problem. Extensive simulations confirm the superior performance of our proposed scheme compared to various benchmark strategies in terms of both delay and energy consumption.  ¬© 2014 IEEE.</t>
  </si>
  <si>
    <t>Alternating optimization; Delay minimization; Mobile crowdsensing; Resource allocation; Unmanned aerial vehicle (UAV)</t>
  </si>
  <si>
    <t>Deng, Xianyang (59461489400); Fu, Yaru (55554164800); Zhu, Qi (35220981400)</t>
  </si>
  <si>
    <t>59461489400; 55554164800; 35220981400</t>
  </si>
  <si>
    <t>https://www.scopus.com/inward/record.uri?eid=2-s2.0-85211222613&amp;doi=10.1109%2fJIOT.2024.3497000&amp;partnerID=40&amp;md5=57d62461dd386974d814286034d8a08b</t>
  </si>
  <si>
    <t>2-s2.0-85211222613</t>
  </si>
  <si>
    <t>Approximation algorithms; Benchmarking; Convex optimization; Crowdsourcing; Global optimization; Graph algorithms; Integer programming; Mixed-integer linear programming; Optimal detection; Optimization algorithms; Photomapping; Resource allocation; Shape optimization; Steganography; Structural optimization; Aerial vehicle; Alternating optimizations; Delay minimization; Joint optimization; Mobile crowdsensing; Resources allocation; Sensing data; Sub-problems; Task-driven; Unmanned aerial vehicle; Unmanned aerial vehicles (UAV)</t>
  </si>
  <si>
    <t>Pons L.; Petit S.; Pons J.; G√≥mez M.E.; Sahuquillo J.</t>
  </si>
  <si>
    <t>A modular approach to build a hardware testbed for cloud resource management research</t>
  </si>
  <si>
    <t>10.1007/s11227-023-05856-2</t>
  </si>
  <si>
    <t>Research on resource management focuses on optimizing system performance and energy efficiency by distributing shared resources like processor cores, caches, and main memory among competing applications. This research spans a wide range of applications, including those from high-performance computing, machine learning, and mobile computing. Existing research frameworks often simplify research by concentrating on specific characteristics, such as the architecture of the computing nodes, resource monitoring, and representative workloads. For instance, this is typically the case with cloud systems, which introduce additional complexity regarding hardware and software requirements. To avoid this complexity during research, experimental frameworks are being developed. Nevertheless, proposed frameworks often fail regarding the types of nodes included, virtualization support, and management of critical shared resources. This paper presents Stratus, an experimental framework that overcomes these limitations. Stratus includes different types of nodes, a comprehensive virtualization stack, and the ability to partition the major shared resources of the system. Even though Stratus was originally conceived to perform cloud research, its modular design allows Stratus to be extended, broadening its research use on different computing domains and platforms, matching the complexity of modern cloud environments, as shown in the case studies presented in this paper. ¬© The Author(s), under exclusive licence to Springer Science+Business Media, LLC, part of Springer Nature 2023.</t>
  </si>
  <si>
    <t>Cloud computing; Experimental framework; High-performance computing; Resource management; Virtualization</t>
  </si>
  <si>
    <t>Pons, Lucia (57203783290); Petit, Salvador (8634755300); Pons, Julio (56937864300); G√≥mez, Mar√≠a E. (13806251100); Sahuquillo, Julio (7007162116)</t>
  </si>
  <si>
    <t>57203783290; 8634755300; 56937864300; 13806251100; 7007162116</t>
  </si>
  <si>
    <t>https://www.scopus.com/inward/record.uri?eid=2-s2.0-85180673547&amp;doi=10.1007%2fs11227-023-05856-2&amp;partnerID=40&amp;md5=85f0b16fe4e025eff8a23a8311348517</t>
  </si>
  <si>
    <t>2-s2.0-85180673547</t>
  </si>
  <si>
    <t>Clouds; Energy efficiency; Green computing; Natural resources management; Resource allocation; Virtual reality; Cloud-computing; Experimental framework; Hardware testbeds; High-performance computing; Management research; Modular approach; Performance computing; Resource management; Shared resources; Virtualizations; Virtualization</t>
  </si>
  <si>
    <t>Moustafa A.M.; Abdelghany M.B.; Younis A.-S.A.; Moness M.; Al-Durra A.; Guerrero J.M.</t>
  </si>
  <si>
    <t>Software-defined control of an emulated hydrogen energy storage for energy internet ecosystems</t>
  </si>
  <si>
    <t>10.1016/j.ijhydene.2023.08.208</t>
  </si>
  <si>
    <t>The increasing heterogeneity and scalability of the Internet of everything, especially, the Energy Internet (EI), is a prompt for novel engineering paradigms. The current infrastructure of hardware technologies besides the available software stack is becoming obsolete for handling the advanced requirements of the smart energy ecosystem. Accordingly, software definitions of the Internet of Things (IoT) stack functions are gaining interest to provide more flexible and scalable implementations. This paper investigates a sophisticated softwarization explicit hybrid model predictive control strategy for energy storage facility systems through the accessor design pattern. This strategy is presumed to support and facilitate the integration of higher-level analytic and control functionalities within the IoT stack at edges and nodes. Simulation is conducted with the Ptolemy II software to evaluate the execution semantics of the proposed strategy. In addition, real-time experiments on a lab-scale hydraulic tank process with both abrupt and gradual commands test scenarios showed the efficiency and reliability of the accessor-based controllers for achieving the control objectives for the benchmark storage facility with an abstract implementation. The analysis shows that this process can serve as a benchmark to mimic the charge and discharge cycles of storage elements in EI ecosystems. ¬© 2023 The Author(s)</t>
  </si>
  <si>
    <t>Accessors; Energy Internet; Explicit hybrid model predictive control; Hydrogen storage; Software-defined control; Softwarization</t>
  </si>
  <si>
    <t>Moustafa, Ahmed M. (56878521000); Abdelghany, Muhammad Bakr (57210824314); Younis, Al-Shaimaa A. (57201947354); Moness, Mohammed (6603025695); Al-Durra, Ahmed (24331074800); Guerrero, Josep M. (35588010400)</t>
  </si>
  <si>
    <t>56878521000; 57210824314; 57201947354; 6603025695; 24331074800; 35588010400</t>
  </si>
  <si>
    <t>International Journal of Hydrogen Energy</t>
  </si>
  <si>
    <t>https://www.scopus.com/inward/record.uri?eid=2-s2.0-85170204242&amp;doi=10.1016%2fj.ijhydene.2023.08.208&amp;partnerID=40&amp;md5=7df2cbeb8ccee4516dc9d6b48b3a3a3e</t>
  </si>
  <si>
    <t>2-s2.0-85170204242</t>
  </si>
  <si>
    <t>Computer software; Ecosystems; Hydrogen storage; Internet of Everything; Internet of things; Semantics; 'current; Accessors; Energy internet; Explicit hybrid model predictive control; Hybrid model; Hydrogen energy storages; Model-predictive control; Software-defined control; Softwarization; Storage facilities; Model predictive control</t>
  </si>
  <si>
    <t>Wu J.; Wang L.; Jin Q.; Liu F.</t>
  </si>
  <si>
    <t>Graft: Efficient Inference Serving for Hybrid Deep Learning With SLO Guarantees via DNN Re-Alignment</t>
  </si>
  <si>
    <t>10.1109/TPDS.2023.3340518</t>
  </si>
  <si>
    <t>Deep neural networks (DNNs) have been widely adopted for various mobile inference tasks, yet their ever-increasing computational demands are hindering their deployment on resource-constrained mobile devices. Hybrid deep learning partitions a DNN into two parts and deploys them across the mobile device and a server, aiming to reduce inference latency or prolong battery life of mobile devices. However, such partitioning produces (non-uniform) DNN fragments which are hard to serve efficiently on the server. This article presents Graft - an efficient inference serving system for hybrid deep learning with latency service-level objective (SLO) guarantees. Our main insight is to mitigate the non-uniformity by a core concept called DNN re-alignment, allowing multiple heterogeneous DNN fragments to be restructured to share layers. To fully exploit the potential of DNN re-alignment, Graft employs fine-grained GPU resource sharing. Based on that, we propose efficient algorithms for merging, grouping, and re-aligning DNN fragments to maximize request batching opportunities, minimizing resource consumption while guaranteeing the inference latency SLO. We implement a Graft prototype and perform extensive experiments with five types of widely used DNNs and real-world network traces. Our results show that Graft improves resource efficiency by up to 70% compared with the state-of-the-art inference serving systems.  ¬© 1990-2012 IEEE.</t>
  </si>
  <si>
    <t>Deep learning systems; edge computing; GPU sharing; hybrid deep learning</t>
  </si>
  <si>
    <t>Wu, Jing (57838304800); Wang, Lin (57188626214); Jin, Qirui (58764336300); Liu, Fangming (55717312800)</t>
  </si>
  <si>
    <t>57838304800; 57188626214; 58764336300; 55717312800</t>
  </si>
  <si>
    <t>https://www.scopus.com/inward/record.uri?eid=2-s2.0-85179792572&amp;doi=10.1109%2fTPDS.2023.3340518&amp;partnerID=40&amp;md5=1a7804a55f2fe5d0c4f8b2dbe1df8e21</t>
  </si>
  <si>
    <t>2-s2.0-85179792572</t>
  </si>
  <si>
    <t>Alignment; Computer graphics; Constrained optimization; Deep neural networks; Edge computing; Grafting (chemical); Inference engines; Program processors; Deep learning; Deep learning system; Edge computing; GPU sharing; Hybrid deep learning; Mobile handsets; Network fragments; Optimisations; Resource management; Service level objective; Graphics processing unit</t>
  </si>
  <si>
    <t>Sobottka T.; Halbwidl C.; Gaal A.; Nausch M.; Fuchs B.; Hold P.; Czarnetzki L.</t>
  </si>
  <si>
    <t>Optimizing operations of flexible assembly systems: demonstration of a digital twin concept with optimized planning and control, sensors and visualization</t>
  </si>
  <si>
    <t>10.1007/s10845-024-02537-6</t>
  </si>
  <si>
    <t>This paper presents the development of an optimized planning and control method for flexible manufacturing and assembly systems. While the significant potential of flexible manufacturing concepts to help producers adapt to market developments is recognized, the complexity of the flexible systems and the need to optimally plan and control them is a major obstacle in their practical implementation. Thus, this paper aims to develop a comprehensive digital planning method, based on a digital twin and to demonstrate the feasibility of the approach for practical application scenarios. The approach consists of four modules: (1) a simulation-based optimization module that applies reinforcement learning and genetic algorithms to optimize the module configuration and job routing in cellular reconfigurable manufacturing systems; (2) a synchronization module that links the physical and virtual systems via sensors and event handling; (3) a sensor module that enables a continuous status update for the digital twin; and (4) a visualization module that communicates the optimized plans and control measures to the shop floor staff. The demonstrator implementation and evaluation are implemented in a learning factory. The results include solutions for the method components and demonstrate their successful interaction in a digital twin, while also pointing towards the current technology readiness and future work required to transfer this demonstrator implementation to a full-scale industrial implementation. ¬© The Author(s) 2024.</t>
  </si>
  <si>
    <t>AI; Digital twin; Flexible manufacturing systems; IoT sensors; Reinforcement learning; Simulation</t>
  </si>
  <si>
    <t>Sobottka, Thomas (55315257500); Halbwidl, Christoph (57382652900); Gaal, Alexander (57211283186); Nausch, Matthias (57212208623); Fuchs, Benedikt (57227890900); Hold, Philipp (57190191217); Czarnetzki, Leonhard (57907003900)</t>
  </si>
  <si>
    <t>55315257500; 57382652900; 57211283186; 57212208623; 57227890900; 57190191217; 57907003900</t>
  </si>
  <si>
    <t>https://www.scopus.com/inward/record.uri?eid=2-s2.0-85211226385&amp;doi=10.1007%2fs10845-024-02537-6&amp;partnerID=40&amp;md5=e3a68a34b2b01cce4f73ecadc4d11917</t>
  </si>
  <si>
    <t>2-s2.0-85211226385</t>
  </si>
  <si>
    <t>Assembly machines; Cellular manufacturing; Digital control systems; Reinforcement learning; Smart manufacturing; Assembly systems; Flexible Assembly; Flexible manufacturing; IoT sensor; Optimized control; Optimized planning; Planning and control; Planning method; Reinforcement learnings; Simulation; Flexible manufacturing systems</t>
  </si>
  <si>
    <t>Nu√±ez I.; Rovetto C.; Cruz E.; Smolarz A.; Concepcion D.; Cano E.E.</t>
  </si>
  <si>
    <t>Design of a microservices-based architecture for residential energy efficiency monitoring</t>
  </si>
  <si>
    <t>10.24425/ijet.2024.152511</t>
  </si>
  <si>
    <t>With the significant advancement of electrical infrastructure in the context of smart buildings and smart homes, the need arises to overcome the limitations of the traditional energy efficiency control system based on service-oriented architecture (SOA). To address these challenges, this study proposes a distributed architecture based on microservices, with the main objective of improving the performance and stability of these systems. This proposal seeks to enable end users to effectively monitor and control their electrical devices while effectively integrating them into a wide network of power systems. The proposed architecture relies on a series of cloud services that enable better performance and control in energy efficiency management, highlighting key features of microservices such as fault tolerance, performance, and scalability. Using a structural methodology centered on preexisting components and an iterative approach, a versatile and scalable architecture was designed that addresses current challenges in energy efficiency management. The results show a significant impact on key performance indicators such as demand response, energy savings, and power quality, highlighting the resilience and scalability of the proposed architecture. The conclusions highlight the importance of energy efficiency in reducing the environmental impact and costs associated with electric power, suggesting future improvements in data access and the implementation of advanced machine learning algorithms. ¬© The Author(s).</t>
  </si>
  <si>
    <t>energy efficiency; internet of things (IoT); Microservices; smart homes; software architecture</t>
  </si>
  <si>
    <t>Nu√±ez, Ivonne (57988307500); Rovetto, Carlos (36700409000); Cruz, Edmanuel (57196730404); Smolarz, Andrzej (56249263000); Concepcion, Dimas (58745340600); Cano, Elia Esther (36699322600)</t>
  </si>
  <si>
    <t>57988307500; 36700409000; 57196730404; 56249263000; 58745340600; 36699322600</t>
  </si>
  <si>
    <t>International Journal of Electronics and Telecommunications</t>
  </si>
  <si>
    <t>https://www.scopus.com/inward/record.uri?eid=2-s2.0-85208929675&amp;doi=10.24425%2fijet.2024.152511&amp;partnerID=40&amp;md5=4d5e280c29c8e85db218bec4498c64b0</t>
  </si>
  <si>
    <t>2-s2.0-85208929675</t>
  </si>
  <si>
    <t>Service oriented architecture (SOA); Efficiency control; Efficiency managements; Electrical infrastructure; Energy; Internet of thing; Microservice; Performance; Proposed architectures; Residential energy efficiency; Smart homes; Smart homes</t>
  </si>
  <si>
    <t>Cabrera R.; Montalban J.; Iradier E.; Angueira P.; Muntean G.-M.</t>
  </si>
  <si>
    <t>A Combined Service-Based Architecture-Virtualized/Open RAN Approach for Increased Service Performance in HetNets</t>
  </si>
  <si>
    <t>10.1109/TVT.2024.3517420</t>
  </si>
  <si>
    <t>Researchers have sought solutions to interconnect different radio access technologies, enabling them to coexist in the current and future heterogeneous network environments to obtain additional benefits. This paper presents SVORA, an innovative approach that integrates the concept of Virtualized/Open (V/O)-Radio Access Network (RAN) with a Service-Based Architecture (SBA) in order to optimize the energy consumed by the network and minimize the communication delay. In the context of SVORA, the Delay-Aware Energy Efficiency-based RAN selection algorithm (DEER) is proposed. DEER employs utility functions and considers Quality of Service (QoS) metrics such as throughput, resource block utilization, delay, and energy consumption measurements when finding the RAN to best support the requested service. DEER is highly flexible, being able to be tuned to support critical delay services, prioritizes energy saving, or observe a balanced approach. Testing shows that the SVORA-based DEER was able to increase the number of users and the aggregate data rate by about 10%, whereas the delay and energy consumption decreased by approximately 90% and 50%, respectively. ¬© 1967-2012 IEEE.</t>
  </si>
  <si>
    <t>Cabrera, Rufino (57238858500); Montalban, Jon (36240791100); Iradier, Eneko (57190665556); Angueira, Pablo (6602311059); Muntean, Gabriel-Miro (6602801186)</t>
  </si>
  <si>
    <t>57238858500; 36240791100; 57190665556; 6602311059; 6602801186</t>
  </si>
  <si>
    <t>https://www.scopus.com/inward/record.uri?eid=2-s2.0-85212547685&amp;doi=10.1109%2fTVT.2024.3517420&amp;partnerID=40&amp;md5=cb1d0003c920b019c79551d7cdcafbe4</t>
  </si>
  <si>
    <t>2-s2.0-85212547685</t>
  </si>
  <si>
    <t>Delay tolerant networks; Energy efficiency; Energy utilization; 'current; Delay aware; Energy; Heterogeneous network environments; Hetnets; Radio access networks; Radio access technologies; Selection algorithm; Service performance; Services-based architecture; Radio access networks</t>
  </si>
  <si>
    <t>Golec M.; Wu H.; Ozturac R.; Parlikad A.K.; Cuadrado F.; Gill S.S.; Uhlig S.</t>
  </si>
  <si>
    <t>CAPTAIN: A Testbed for Co-Simulation of Scalable Serverless Computing Environments for AIoT Enabled Predictive Maintenance in Industry 4.0</t>
  </si>
  <si>
    <t>10.1109/JIOT.2024.3488283</t>
  </si>
  <si>
    <t>The massive amounts of data generated by the Industrial Internet of Things (IIoT) require considerable processing power, which increases carbon emissions and energy usage, and we need sustainable solutions to enable flexible manufacturing. Serverless computing shows potential for meeting this requirement by scaling idle containers to zero energy-efficiency and cost, but this will lead to a cold start delay. Most solutions rely on idle containers, which necessitates dynamic request time forecasting and container execution monitoring. Furthermore, Artificial Intelligence of Things (AIoT) can provide autonomous and sustainable solutions by combining IIoT with Artificial Intelligence (AI) to solve this problem. Therefore, we develop a new testbed, CAPTAIN, to facilitate AI-based co-simulation of scalable and flexible serverless computing in IIoT environments. The AI module in the CAPTAIN framework employs Random Forest (RF) and Light Gradient-Boosting Machine (LightGBM) models to optimize cold start frequency and prevent cold starts based on their prediction results. The proxy module additionally monitors the client-server network and constantly updates the AI module training dataset via a message queue. Finally, we evaluated the proxy module's performance using a predictive maintenance-based real-world IIoT application and the AI module's performance in a realistic serverless environment using a Microsoft Azure dataset. The AI module of the CAPTAIN outperforms baselines in terms of cold start frequency, computational time with 0.5 milliseconds, energy consumption with 1161.0 joules, and CO2 emissions with 32.25e-05 gCO2. The CAPTAIN testbed provides a co-simulation of sustainable and scalable serverless computing environments for AIoT-enabled predictive maintenance in Industry 4.0. ¬© 2014 IEEE.</t>
  </si>
  <si>
    <t>Artificial Intelligence; Cloud Computing; Flexible Manufacturing; Industrial Internet of Things; Predictive Maintenance; Serverless Computing</t>
  </si>
  <si>
    <t>Golec, Muhammed (57219976731); Wu, Huaming (55605704300); Ozturac, Ridvan (57226449916); Parlikad, Ajith Kumar (9736080300); Cuadrado, Felix (23008194000); Gill, Sukhpal Singh (57216940144); Uhlig, Steve (55148419500)</t>
  </si>
  <si>
    <t>57219976731; 55605704300; 57226449916; 9736080300; 23008194000; 57216940144; 55148419500</t>
  </si>
  <si>
    <t>https://www.scopus.com/inward/record.uri?eid=2-s2.0-85208228417&amp;doi=10.1109%2fJIOT.2024.3488283&amp;partnerID=40&amp;md5=79d9c5a8dcade2dfbbff6960c6a42c9a</t>
  </si>
  <si>
    <t>2-s2.0-85208228417</t>
  </si>
  <si>
    <t>Competition; Flexible manufacturing systems; Glass plants; Plastic bottles; Windows operating system; Cloud-computing; Cold-start; Computing environments; Cosimulation; Flexible manufacturing; Industrial internet of thing; Module performance; Predictive maintenance; Serverless computing; Sustainable solution; Testbeds</t>
  </si>
  <si>
    <t>Lawal K.N.; Mata M.; Olaniyi T.K.; Gibson R.M.</t>
  </si>
  <si>
    <t>Exploring Scalable User Mobility Impact on Energy Efficiency, Latency and Network Usage in Smart Homes</t>
  </si>
  <si>
    <t>10.1007/978-3-031-73122-8_28</t>
  </si>
  <si>
    <t>1155 LNNS</t>
  </si>
  <si>
    <t>It is anticipated that global IoT devices are set to rise from 10 billion in 2020 to 30 billion by 2030, with the highest number of devices, about 5 billion, expected in China. The increase in users within smart homes directly increases demand for IoT devices, leading to global energy consumption, latency and network usage issues in a Cloud network infrastructure. This study demonstrates the impact of increased users in smart homes through user scalability impact on energy consumption, latency and network bandwidth usage. Positioning data obtained from Phyphox is used as dummy data for this research. The ifogSim2 network simulation toolkit conducts user scalability simulations in a Cloud and Fog-based scenario. The results from the evaluation simulation of user scalability in a Cloud and Fog-based scenario demonstrate an average percentage difference of 3.10%, 90.33% and 33.03% for energy consumption, latency and network usage, respectively. The results indicate that the benefits of Fog computing address the challenges of Cloud computing through optimisation and provide a solution to the global issue of the increased number of IoT devices and users. The percentage difference for energy consumption was the lowest, followed by network usage, and latency was the highest. This variance shows that using and adopting Fog computing in a smart home network architecture is more efficient than traditional Cloud computing. The user scalability further demonstrates that as the number of users increases, the level of energy consumption, latency and network usage increase. Therefore, as the user demand for smart IoT devices increases, adopting Fog computing addresses the challenges associated with Cloud computing and optimises the energy consumption, latency and network usage in a smart home environment. ¬© The Author(s), under exclusive license to Springer Nature Switzerland AG 2024.</t>
  </si>
  <si>
    <t>Cloud computing; Fog computing; Smart home; Smart IoT</t>
  </si>
  <si>
    <t>Lawal, Kelvin N. (57968351900); Mata, Mario (58617169700); Olaniyi, Titus K. (57968041400); Gibson, Ryan M. (56816286200)</t>
  </si>
  <si>
    <t>57968351900; 58617169700; 57968041400; 56816286200</t>
  </si>
  <si>
    <t>Lecture Notes in Networks and Systems</t>
  </si>
  <si>
    <t>https://www.scopus.com/inward/record.uri?eid=2-s2.0-85209540234&amp;doi=10.1007%2f978-3-031-73122-8_28&amp;partnerID=40&amp;md5=bf9f48f618ee3c094237c74757679914</t>
  </si>
  <si>
    <t>2-s2.0-85209540234</t>
  </si>
  <si>
    <t>Cloud platforms; Fog computing; Cloud networks; Cloud-computing; Energy; Energy networks; Energy-consumption; Global energy; Network usage; Smart homes; Smart IoT; Users' mobility; Smart homes</t>
  </si>
  <si>
    <t>Nie J.; Jiang J.; Li Y.; Li J.; Qiao Y.; Ercisli S.</t>
  </si>
  <si>
    <t>UAVEC-FLchain: Distributed multi-regional jujube orchard joint yield estimation for secure agricultural-IoT applications</t>
  </si>
  <si>
    <t>10.1016/j.iot.2024.101143</t>
  </si>
  <si>
    <t>In recent years, Internet of Things (IoT) is closely integrated with smart agriculture, providing better technical guarantee for the growth management and yield estimation of agricultural products. In this paper, targeted at the distributed jujube orchards, we develop a federated learning-based framework for secure multi-regional yield estimation on IoT edge devices. In specific, we propose the UAVEC-FLchain framework for secure and efficient jujube yield estimation, consisting of the UAVEC module, data joint processing module, and data tracking module. Different UAV devices are used at edge terminals to collect distributed images of different jujube orchards, and the model is trained securely with federation learning and blockchain. Furthermore, we propose a method to avoid malicious node attacks by calculating the contribution of computing nodes. Experimental results indicate that as the number of participating nodes increases, the average detection accuracy improves. The results of training with 60 nodes show an 8.06 % improvement over training with 6 nodes. When facing malicious node attacks, the relative error of the proposed framework is 10.24 % lower than that with traditional federated learning. ¬© 2024 Elsevier B.V.</t>
  </si>
  <si>
    <t>Edge computing; Federated learning; Jujube; Smart agriculture; UAV</t>
  </si>
  <si>
    <t>Nie, Jing (57192907761); Jiang, Jiachen (58538963500); Li, Yang (57214958963); Li, Jingbin (44661627700); Qiao, Yujie (58912775100); Ercisli, Sezai (23392282200)</t>
  </si>
  <si>
    <t>57192907761; 58538963500; 57214958963; 44661627700; 58912775100; 23392282200</t>
  </si>
  <si>
    <t>https://www.scopus.com/inward/record.uri?eid=2-s2.0-85186335511&amp;doi=10.1016%2fj.iot.2024.101143&amp;partnerID=40&amp;md5=d476649bfd7d71045ed9082deb931078</t>
  </si>
  <si>
    <t>2-s2.0-85186335511</t>
  </si>
  <si>
    <t>Wang X.; Zhao Y.; Qiu C.; Hu Q.; Leung V.C.M.</t>
  </si>
  <si>
    <t>Socialized Learning: A Survey of the Paradigm Shift for Edge Intelligence in Networked Systems</t>
  </si>
  <si>
    <t>10.1109/COMST.2024.3482978</t>
  </si>
  <si>
    <t>Amidst the robust impetus from artificial intelligence (AI) and big data, edge intelligence (EI) has emerged as a nascent computing paradigm, synthesizing AI with edge computing (EC) to become an exemplary solution for unleashing the full potential of AI services. Nonetheless, challenges in communication costs, resource allocation, privacy, and security continue to constrain its proficiency in supporting services with diverse requirements. In response to these issues, this paper introduces socialized learning (SL) as a promising solution, further propelling the advancement of EI. SL is a learning paradigm predicated on social principles and behaviors, aimed at amplifying the collaborative capacity and collective intelligence of agents within the EI system. SL not only enhances the system's adaptability but also optimizes communication, and networking processes, essential for distributed intelligence across diverse devices and platforms. Therefore, a combination of SL and EI may greatly facilitate the development of collaborative intelligence in the future network. This paper presents the findings of a literature review on the integration of EI and SL, summarizing the latest achievements in existing research on EI and SL. Subsequently, we delve comprehensively into the limitations of EI and how it could benefit from SL. Special emphasis is placed on the communication challenges and networking strategies and other aspects within these systems, underlining the role of optimized network solutions in improving system efficiency. Based on these discussions, we elaborate in detail on three integrated components: socialized architecture, socialized training, and socialized inference, analyzing their strengths and weaknesses. Finally, we identify some possible future applications of combining SL and EI, discuss open problems and suggest some future research, with the hope of arousing the research community's interest in this emerging and exciting interdisciplinary field.  ¬© 1998-2012 IEEE.</t>
  </si>
  <si>
    <t>artificial intelligence (AI); edge computing (EC); Edge intelligence (EI); socialized learning (SL)</t>
  </si>
  <si>
    <t>Wang, Xiaofei (35118116900); Zhao, Yunfeng (57192718518); Qiu, Chao (56673534800); Hu, Qinghua (7403214664); Leung, Victor C. M. (7102336029)</t>
  </si>
  <si>
    <t>35118116900; 57192718518; 56673534800; 7403214664; 7102336029</t>
  </si>
  <si>
    <t>https://www.scopus.com/inward/record.uri?eid=2-s2.0-85207387120&amp;doi=10.1109%2fCOMST.2024.3482978&amp;partnerID=40&amp;md5=977da46255a0731d043afc5a1e10d812</t>
  </si>
  <si>
    <t>2-s2.0-85207387120</t>
  </si>
  <si>
    <t>Adversarial machine learning; Collaborative learning; Federated learning; Mobile edge computing; Artificial intelligence; Computing paradigm; Data edges; Edge computing; Edge intelligence; Networked systems; Paradigm shifts; Socialized learning; Resource allocation</t>
  </si>
  <si>
    <t>Mengistu T.M.; Kim T.; Lin J.-W.</t>
  </si>
  <si>
    <t>A Survey on Heterogeneity Taxonomy, Security and Privacy Preservation in the Integration of IoT, Wireless Sensor Networks and Federated Learning</t>
  </si>
  <si>
    <t>10.3390/s24030968</t>
  </si>
  <si>
    <t>Federated learning (FL) is a machine learning (ML) technique that enables collaborative model training without sharing raw data, making it ideal for Internet of Things (IoT) applications where data are distributed across devices and privacy is a concern. Wireless Sensor Networks (WSNs) play a crucial role in IoT systems by collecting data from the physical environment. This paper presents a comprehensive survey of the integration of FL, IoT, and WSNs. It covers FL basics, strategies, and types and discusses the integration of FL, IoT, and WSNs in various domains. The paper addresses challenges related to heterogeneity in FL and summarizes state-of-the-art research in this area. It also explores security and privacy considerations and performance evaluation methodologies. The paper outlines the latest achievements and potential research directions in FL, IoT, and WSNs and emphasizes the significance of the surveyed topics within the context of current technological advancements. ¬© 2024 by the authors.</t>
  </si>
  <si>
    <t>energy efficiency; federated learning; heterogeneity; Internet of Things; machine learning; security and privacy; wireless sensor networks</t>
  </si>
  <si>
    <t>Mengistu, Tesfahunegn Minwuyelet (57406763300); Kim, Taewoon (55843475100); Lin, Jenn-Wei (7501723279)</t>
  </si>
  <si>
    <t>57406763300; 55843475100; 7501723279</t>
  </si>
  <si>
    <t>https://www.scopus.com/inward/record.uri?eid=2-s2.0-85184485012&amp;doi=10.3390%2fs24030968&amp;partnerID=40&amp;md5=127481b01a976d3fbb10b8cefd8f4fc7</t>
  </si>
  <si>
    <t>2-s2.0-85184485012</t>
  </si>
  <si>
    <t>Integration; Internet of things; Machine learning; Network security; Wireless sensor networks; Collaborative modeling; Federated learning; Heterogeneity; Machine learning techniques; Machine-learning; Model training; Physical environments; Privacy preservation; Security and privacy; State of the art; article; controlled study; human; internet of things; learning; machine learning; privacy; productivity; security; sensor; taxonomy; Energy efficiency</t>
  </si>
  <si>
    <t>Vinod Kumar Reddy K.; Bande V.; Jacob N.; Mallareddy A.; Khaja Shareef S.; Vikruthi S.</t>
  </si>
  <si>
    <t>Adaptive Fog Computing Framework (AFCF): Bridging IoT and Blockchain for Enhanced Data Processing and Security</t>
  </si>
  <si>
    <t>10.14445/23488549/IJECE-V11I3P116</t>
  </si>
  <si>
    <t>This research introduces an Adaptive Fog Computing Framework (AFCF) aimed at enhancing the efficiency and scalability of IoT ecosystems through blockchain technology integration, addressing task allocation, resource management, and task offloading challenges within fog and cloud computing paradigms. Employing simulations, the study utilized task distribut ion strategies, blockchain stability assessment, and cloud server workload management, demonstrating the framework‚Äôs capacity to maintain performance across diverse IoT settings. Quantitative results revealed a cent percent success rate in task processing, with a balanced load distribution at 50% and an average task complexity of 6.47893 in arbitrary units. The system demonstrated a latency of 48.479 milliseconds and a throughput of 2.469697 tasks per timestep, showcasing high scalability (97.8%) and energy efficiency (15.774194 in arbitrary efficiency units), emphasizing the AFCF‚Äôs robustness in varied tasks and resource dynamics. The study concludes the AFCF‚Äôs potential for real-world IoT applications, highlighting its implications for future research and practical deployment, underscoring its contribution to fog and cloud computing literature and paving the way for further exploration into adaptive computing frameworks. ¬© 2024 Seventh Sense Research Group¬Æ.</t>
  </si>
  <si>
    <t>Blockchain technology; Cloud computing; Data integrity; Edge computing; Fog computing; IoT ecosystem; Resource management; Scalability; Simulation; Task allocation; Task offloading</t>
  </si>
  <si>
    <t>Vinod Kumar Reddy, K. (58983343300); Bande, Vasavi (57209688895); Jacob, Novy (58930923600); Mallareddy, A. (57209274070); Khaja Shareef, Sk (57211447463); Vikruthi, Sriharsha (57216763981)</t>
  </si>
  <si>
    <t>58983343300; 57209688895; 58930923600; 57209274070; 57211447463; 57216763981</t>
  </si>
  <si>
    <t>SSRG International Journal of Electronics and Communication Engineering</t>
  </si>
  <si>
    <t>https://www.scopus.com/inward/record.uri?eid=2-s2.0-85190261262&amp;doi=10.14445%2f23488549%2fIJECE-V11I3P116&amp;partnerID=40&amp;md5=39488603b70cd55ecd85f3785cae523b</t>
  </si>
  <si>
    <t>2-s2.0-85190261262</t>
  </si>
  <si>
    <t>Sajal S.M.; Zhu T.; Urgaonkar B.; Sen S.</t>
  </si>
  <si>
    <t>TraceUpscaler: Upscaling Traces to Evaluate Systems at High Load</t>
  </si>
  <si>
    <t>10.1145/3627703.3629581</t>
  </si>
  <si>
    <t>Trace replay is a common approach for evaluating systems by rerunning historical traffic patterns, but it is not always possible to find suitable real-world traces at the desired level of system load. Experimenting with higher traffic loads requires upscaling a trace to artificially increase the load. Unfortunately, most prior research has adopted ad-hoc approaches for upscaling, and there has not been a systematic study of how the upscaling approach impacts the results. One common approach is to count the arrivals in a predefined time-interval and multiply these counts by a factor, but this requires generating new requests/jobs according to some model (e.g., a Poisson process), which may not be realistic. Another common approach is to divide all the timestamps in the trace by an upscaling factor to squeeze the requests into a shorter time period. However, this can distort temporal patterns within the input trace. This paper evaluates the pros and cons of existing trace upscaling techniques and introduces a new approach, TraceUpscaler, that avoids the drawbacks of existing methods. The key idea behind TraceUpscaler is to decouple the arrival timestamps from the request parameters/data and upscale just the arrival timestamps in a way that preserves temporal patterns within the input trace. Our work applies to open-loop traffic where requests have arrival timestamps that aren't dependent on previous request completions. We evaluate TraceUpscaler under multiple experimental settings using both real-world and synthetic traces. Through our study, we identify the trace characteristics that affect the quality of upscaling in existing approaches and show how TraceUpscaler avoids these pitfalls. We also present a case study demonstrating how inaccurate trace upscaling can lead to incorrect conclusions about a system's ability to handle high load.  ¬© 2024 ACM.</t>
  </si>
  <si>
    <t>Analysis; Cloud Computing; Measurement; Testing and Verification of Systems; Workloads</t>
  </si>
  <si>
    <t>Sajal, Sultan Mahmud (57223215891); Zhu, Timothy (56428381500); Urgaonkar, Bhuvan (14020908300); Sen, Siddhartha (24512695400)</t>
  </si>
  <si>
    <t>57223215891; 56428381500; 14020908300; 24512695400</t>
  </si>
  <si>
    <t>EuroSys 2024 - Proceedings of the 2024 European Conference on Computer Systems</t>
  </si>
  <si>
    <t>https://www.scopus.com/inward/record.uri?eid=2-s2.0-85191979384&amp;doi=10.1145%2f3627703.3629581&amp;partnerID=40&amp;md5=1dce659ce06222dfa09fa3f6a84d1d4f</t>
  </si>
  <si>
    <t>2-s2.0-85191979384</t>
  </si>
  <si>
    <t>Analyse; Cloud-computing; Evaluating systems; High load; Real-world; Temporal pattern; Testing and verification of system; Time-stamp; Upscaling; Workload</t>
  </si>
  <si>
    <t>Hussein D.H.; Ibnkahla M.</t>
  </si>
  <si>
    <t>A Novel Mathematical Framework for Modeling Application-Specific IoT Traffic</t>
  </si>
  <si>
    <t>10.1109/JIOT.2023.3293028</t>
  </si>
  <si>
    <t>Traffic modeling is a valuable tool for simulating traffic characteristics and assessing the effectiveness of new network mechanisms and protocol designs. The emergence of the Internet of Things (IoT) has led to a growing interest in IoT traffic modeling due to the unique characteristics of IoT traffic, such as sudden data bursts and application-dependent traffic characteristics. The focus of the literature has been on modeling the arrival distribution of IoT traffic. However, this approach fails to capture important characteristics of time-series traffic, such as IoT traffic behaviors and seasonality patterns. Such characteristics provide crucial insights for the effective management and optimization of IoT networks. By exploiting time-series characteristics, dynamic resource allocation mechanisms can be designed instead of resource provisioning for peak usage. Additionally, comprehending the traffic generation behavior of IoT sensors can provide insight into the energy consumption of the sensor layer, which has a multitude of uses. In this article, we present a novel IoT traffic modeling framework called the tiered Markov-modulated stochastic process (TMMSP). The TMMSP framework can produce application-specific IoT time-series traffic traces that mimic the behaviors, e.g., the temporal dynamics, of real IoT traffic. Our results illustrate the flexibility and capability of the TMMSP framework in modeling the traffic behaviors of three IoT applications, specifically, telehealth, asset monitoring, and building security applications. Finally, we illustrate how the TMMSP framework can be used to evaluate the performance of an autonomous edge slicing (AES) mechanism.  ¬© 2014 IEEE.</t>
  </si>
  <si>
    <t>Automation; edge computing; Internet of Things (IoT); Markov models; network slicing; semi-Markov models; traffic modeling</t>
  </si>
  <si>
    <t>Hussein, Dana Haj (57221605720); Ibnkahla, Mohamed (24773088300)</t>
  </si>
  <si>
    <t>57221605720; 24773088300</t>
  </si>
  <si>
    <t>https://www.scopus.com/inward/record.uri?eid=2-s2.0-85164386755&amp;doi=10.1109%2fJIOT.2023.3293028&amp;partnerID=40&amp;md5=4263a16b870d810807e0500ea5c1bd4f</t>
  </si>
  <si>
    <t>2-s2.0-85164386755</t>
  </si>
  <si>
    <t>Behavioral research; Energy utilization; Green computing; Internet of things; Markov processes; Stochastic systems; Time series analysis; 3GPP; Application specific; Behavioral science; Edge computing; Markov modeling; Network slicing; Process framework; Semi Markov model; Time-series analysis; Traffic modeling; Edge computing</t>
  </si>
  <si>
    <t>Fawad M.; Rasool G.; Palma F.</t>
  </si>
  <si>
    <t>Android Source Code Smells: A Systematic Literature Review</t>
  </si>
  <si>
    <t>10.1002/spe.3401</t>
  </si>
  <si>
    <t>Introduction: Modern software developers strive to develop applications that are robust, easy to maintain, and possess high levels of quality. However, code smells can hinder this goal as they are visible signs of underlying issues. Numerous techniques and tools have been proposed for detecting code smells in various contexts and programming languages. Despite this, research on Android-specific code smells and their impact on external quality attributes is still in its early stages. Objective: This study aims to provide a comprehensive summary of state-of-the-art techniques, tools, and approaches used for detecting and refactoring code smells in Android applications. Methodology: A systematic literature review was conducted between November 2007 and December 2023, adhering to standard guidelines. In total, 79 primary studies were identified, analyzed, and synthesized. Results: A total of 237 code smells were identified using 51 techniques and tools, based on seven distinct approaches. Efficiency was found to be the most affected external quality attribute. The code smell Durable Wakelock was the most studied. Challenges: Despite the extensive research, the software engineering community faces numerous challenges. These include a lack of in-depth investigation into Android-specific code smells, a limited number of studied quality attributes, insufficient involvement of industry experts in the research process, scarcity of Android-oriented metrics, and dependence on industry-exclusive datasets. Future Directions: This review suggests potential research directions that are valuable for researchers and practitioners seeking to gain insights into current open research problems in this domain. ¬© 2024 John Wiley &amp; Sons Ltd.</t>
  </si>
  <si>
    <t>android; antipattern; code smell; detection; mobile application; refactoring</t>
  </si>
  <si>
    <t>Fawad, Muhammad (57907624300); Rasool, Ghulam (57951665700); Palma, Francis (55329588400)</t>
  </si>
  <si>
    <t>57907624300; 57951665700; 55329588400</t>
  </si>
  <si>
    <t>https://www.scopus.com/inward/record.uri?eid=2-s2.0-85213570396&amp;doi=10.1002%2fspe.3401&amp;partnerID=40&amp;md5=6f4f6c7d2a7a8cafdba7ef34fa85c548</t>
  </si>
  <si>
    <t>2-s2.0-85213570396</t>
  </si>
  <si>
    <t>Mobile applications; Android; Anti-patterns; Code smell; Detection; External quality; Mobile applications; Quality attributes; Refactorings; Systematic literature review; Techniques and tools; Application programs</t>
  </si>
  <si>
    <t>Narayanappa S.; Anitha T.N.; Mishra P.; Herakal R.P.; Kolur J.</t>
  </si>
  <si>
    <t>A trust based secure access control using authentication mechanism for interoperability in internet of things</t>
  </si>
  <si>
    <t>10.11591/ijece.v14i2.pp2262-2273</t>
  </si>
  <si>
    <t>The internet of things (IoT) is a revolutionary innovation in many aspects of our society including interactions, financial activity, and global security such as the military and battlefield internet. Due to the limited energy and processing capacity of network devices, security, energy consumption, compatibility, and device heterogeneity are the long-term IoT problems. As a result, energy and security are critical for data transmission across edge and IoT networks. Existing IoT interoperability techniques need more computation time, have unreliable authentication mechanisms that break easily, lose data easily, and have low confidentiality. In this paper, a key agreement protocol-based authentication mechanism for IoT devices is offered as a solution to this issue. This system makes use of information exchange, which must be secured to prevent access by unauthorized users. Using a compact contiki/cooja simulator, the performance and design of the suggested framework are validated. The simulation findings are evaluated based on detection of malicious nodes after 60 minutes of simulation. The suggested trust method, which is based on privacy access control, reduced packet loss ratio to 0.32%, consumed 0.39% power, and had the greatest average residual energy of 0.99 mJoules at 10 nodes. ¬© 2024 Institute of Advanced Engineering and Science. All rights reserved.</t>
  </si>
  <si>
    <t>Contiki/cooja simulator; Internet of things; Interoperability; Routing protocol for low-power and lossy networks; Trust based mechanism; Wireless sensor networks</t>
  </si>
  <si>
    <t>Narayanappa, Shashikala (58902123000); Anitha, Tulavanur Narayanareddy (36808943300); Mishra, Priti (57198727769); Herakal, Renuka Patil (58902571900); Kolur, Jayasudha (58902866100)</t>
  </si>
  <si>
    <t>58902123000; 36808943300; 57198727769; 58902571900; 58902866100</t>
  </si>
  <si>
    <t>International Journal of Electrical and Computer Engineering</t>
  </si>
  <si>
    <t>https://www.scopus.com/inward/record.uri?eid=2-s2.0-85185818399&amp;doi=10.11591%2fijece.v14i2.pp2262-2273&amp;partnerID=40&amp;md5=2a9f76b74df9ea1137154c2851bcb820</t>
  </si>
  <si>
    <t>2-s2.0-85185818399</t>
  </si>
  <si>
    <t>Zhong Y.; Chen X.; Wang Z.; Lin R.F.-Y.</t>
  </si>
  <si>
    <t>The nexus among artificial intelligence, supply chain and energy sustainability: A time-varying analysis</t>
  </si>
  <si>
    <t>10.1016/j.eneco.2024.107479</t>
  </si>
  <si>
    <t>Studying the interrelationship among artificial intelligence, supply chain and energy market is crucial to achieving sustainable development. The research uses the TVP-SV-VAR methodology to recognise the ever-changing correlation among the artificial intelligence index (AII), global supply chain pressure indicator (GSCPI) and global energy-related uncertainty index (GEUI). In light of quantitative discussions, it is presented that AII exerts negative influences on GSCPI and GEUI, highlighting that the development of artificial intelligence would facilitate global supply chain stability and energy sustainability; in turn, GSCPI and GEUI have positive and adverse influences on AII. Through comparing, the correlation between AII and GEUI is only reflected in the short term, whereas the interrelationship between AII and GSCPI could be observed in the short-, medium- and long-run situations. In addition, GSCPI exerts positive and negative influences on GEUI in the short, medium and long runs, whereas the positive effects of GEUI on GSCPI means the uncertainty in the energy market might destroy the supply chain across the globe. In the context of a new round of scientific and technological revolution and industrial transformation, this study will provide significant recommendations to maintain global supply chain stability and energy sustainability by applying artificial intelligence technology. ¬© 2024 Elsevier B.V.</t>
  </si>
  <si>
    <t>Artificial intelligence; Energy sustainability; Global supply chain; TVP-SV-VAR</t>
  </si>
  <si>
    <t>Zhong, Yufei (58722621000); Chen, Xuesheng (57247210600); Wang, Zhixian (57362108500); Lin, Regina Fang-Ying (57196052698)</t>
  </si>
  <si>
    <t>58722621000; 57247210600; 57362108500; 57196052698</t>
  </si>
  <si>
    <t>Energy Economics</t>
  </si>
  <si>
    <t>https://www.scopus.com/inward/record.uri?eid=2-s2.0-85188531462&amp;doi=10.1016%2fj.eneco.2024.107479&amp;partnerID=40&amp;md5=1f350410d27d14231af745509a66b76a</t>
  </si>
  <si>
    <t>2-s2.0-85188531462</t>
  </si>
  <si>
    <t>Power markets; Supply chains; Sustainable development; Value engineering; Energy markets; Energy sustainability; Global energy; Global supply chain; Longest run; Pressure indicator; Research use; Time varying analysis; TVP-SV-VAR; Uncertainty; artificial intelligence; correlation; energy resource; energy use; environmental economics; supply chain management; sustainability; sustainable development; technology adoption; Artificial intelligence</t>
  </si>
  <si>
    <t>Aydin S.; Aldara D.</t>
  </si>
  <si>
    <t>Microservices-based databank for Turkish hazelnut cultivars using IoT and semantic web technologies</t>
  </si>
  <si>
    <t>10.1002/cpe.8062</t>
  </si>
  <si>
    <t>Information and communication technologies (ICTs) can play a crucial role in facilitating access to comprehensive information on the quality standards of Turkish hazelnut cultivars. In this regard, this study introduces a Hazelnut Databank System (HDS) that utilizes the microservices architecture, an integrated software system supported by the Internet of Things (IoT) and semantic web, to categorize Turkish hazelnut cultivars. The study focuses on developing microservices using various programming languages and frameworks. Specifically, C# on the.NET Core Framework was used for both microservices and the web-based application implemented through the ASP.NET Core MVC Framework. Mobile-based software applications were created using Xamarin. Forms, and the IoT application was developed using the Python programming language. The data storage is facilitated through the MS SQL Server database. Additionally, the study incorporates the implementation of a hazelnut species classification system using the DNN + ResNet50 machine learning model, achieving an impressive accuracy rate of 95.77%. The overall usability of the system was evaluated, resulting in a score of 42 out of 50. By providing detailed information on Turkish hazelnut cultivars, the HDS has the potential to greatly improve hazelnut production quality in Turkey and increase awareness of hazelnut agriculture among relevant stakeholders. ¬© 2024 John Wiley &amp; Sons Ltd.</t>
  </si>
  <si>
    <t>agricultural information dissemination; hazelnut classification; hazelnut databank system; hazelnut shape categorization; microservices in agriculture; Turkish hazelnut cultivars</t>
  </si>
  <si>
    <t>Aydin, Sahin (57215304534); Aldara, Dieaa (58922096000)</t>
  </si>
  <si>
    <t>57215304534; 58922096000</t>
  </si>
  <si>
    <t>Concurrency and Computation: Practice and Experience</t>
  </si>
  <si>
    <t>e8062</t>
  </si>
  <si>
    <t>https://www.scopus.com/inward/record.uri?eid=2-s2.0-85186901425&amp;doi=10.1002%2fcpe.8062&amp;partnerID=40&amp;md5=63c34d7617fcf2dd23abd4aead29af5e</t>
  </si>
  <si>
    <t>2-s2.0-85186901425</t>
  </si>
  <si>
    <t>Application programs; Classification (of information); Digital storage; Information dissemination; Internet of things; Semantic Web; Agricultural information dissemination; Agricultural informations; Databanks; Hazelnut classification; Hazelnut databank system; Hazelnut shape categorization; Microservice in agriculture; Semantic Web technology; Turkish hazelnut cultivar; Turkishs; Agriculture</t>
  </si>
  <si>
    <t>Luo L.; Zhao G.; Xu H.; Yu Z.; Xie L.</t>
  </si>
  <si>
    <t>Achieving Cost Optimization for Tenant Task Placement in Geo-Distributed Clouds</t>
  </si>
  <si>
    <t>10.1109/TNET.2023.3319434</t>
  </si>
  <si>
    <t>Cloud infrastructure has gradually displayed a tendency of geographical distribution in order to provide anywhere, anytime connectivity to tenants all over the world. The tenant task placement in geo-distributed clouds comes with three critical and coupled factors: regional diversity in electricity prices, access delay for tenants, and traffic demand among tasks. However, existing works disregard either the regional difference in electricity prices or the tenant requirements in geo-distributed clouds, resulting in increased operating costs or low user QoS. To bridge the gap, we design a cost optimization framework for tenant task placement in geo-distributed clouds, called TanGo. However, it is non-trivial to achieve an optimization framework while meeting all the tenant requirements. To this end, we first formulate the electricity cost minimization for task placement problem as a constrained mixed-integer non-linear programming problem. We then propose a near-optimal algorithm with a tight approximation ratio (1-1/e)$ using an effective submodular-based method. Results of in-depth simulations based on real-world datasets show the effectiveness of our algorithm as well as the overall 10%-30% reduction in electricity expenses compared to commonly-adopted alternatives.  ¬© 1993-2012 IEEE.</t>
  </si>
  <si>
    <t>cost effectiveness; Geo-distributed cloud; multi region; regionless; task placement</t>
  </si>
  <si>
    <t>Luo, Luyao (57226553375); Zhao, Gongming (57195226639); Xu, Hongli (55347490500); Yu, Zhuolong (57190839641); Xie, Liguang (34868928900)</t>
  </si>
  <si>
    <t>57226553375; 57195226639; 55347490500; 57190839641; 34868928900</t>
  </si>
  <si>
    <t>IEEE/ACM Transactions on Networking</t>
  </si>
  <si>
    <t>https://www.scopus.com/inward/record.uri?eid=2-s2.0-85174824112&amp;doi=10.1109%2fTNET.2023.3319434&amp;partnerID=40&amp;md5=552dee119b3b725afeddc185af258371</t>
  </si>
  <si>
    <t>2-s2.0-85174824112</t>
  </si>
  <si>
    <t>Approximation algorithms; Cost benefit analysis; Cost effectiveness; Geographical distribution; Integer programming; Job analysis; Nonlinear programming; Operating costs; Costs Optimization; Datacenter; Delay; Distributed clouds; Geo-distributed cloud; Multi region; Optimisations; Regionless; Task analysis; Task placement; Distributed cloud</t>
  </si>
  <si>
    <t>Papaioannou A.; Dimara A.; Krinidis S.; Anagnostopoulos C.-N.; Ioannidis D.; Tzovaras D.</t>
  </si>
  <si>
    <t>Advanced proactive anomaly detection in multi-pattern home appliances for energy optimization</t>
  </si>
  <si>
    <t>10.1016/j.iot.2024.101175</t>
  </si>
  <si>
    <t>As far as home appliances are concerned, a major issue arises as malfunctions frequently go unnoticed by homeowners, consuming a significant amount of energy. Identifying this problem highlights the need for an error detection technique, which is vital to minimize energy waste while enhancing household appliance efficiency. This paper introduces an innovative method for advanced proactive anomaly detection in multi-pattern home appliances using variational autoencoders (VAE). Specifically, a CNN-LSTM based VAE integrating a novel dynamic threshold method is exploited for identifying abnormal consumption usage. The overall suggested framework is a complete integrated approach comprising a training and testing phase. Both phases are initiated from robust feature engineering to enhance the multipattern operation program classification. Additionally, a smoothing and decomposition process is applied to optimize the performance of the CNN-LSTM VAE. The efficacy of the method is evaluated on data from 26 different front-load washing machines, demonstrating its effectiveness in identifying anomaly points across various washing programs. Furthermore, compared to the same approach with a static threshold, the proposed method showed improvements of up to 11. 4% on the F1 score. Finally, simulated use case scenarios indicate a reduction of nearly 30% of energy consumption, due to error prevention. As a result, the suggested approach is a robust and applicable tool for energy and demand side management. ¬© 2024 Elsevier B.V.</t>
  </si>
  <si>
    <t>Anomaly detection; Demand side management; Dynamic threshold; Energy efficiency; Multi-pattern; Sustainability; Variational autoencoders</t>
  </si>
  <si>
    <t>Papaioannou, Alexios (57280507500); Dimara, Asimina (57201366573); Krinidis, Stelios (55968599400); Anagnostopoulos, Christos-Nikolaos (8966682200); Ioannidis, Dimosthenis (19638392200); Tzovaras, Dimitrios (13105681700)</t>
  </si>
  <si>
    <t>57280507500; 57201366573; 55968599400; 8966682200; 19638392200; 13105681700</t>
  </si>
  <si>
    <t>https://www.scopus.com/inward/record.uri?eid=2-s2.0-85189884824&amp;doi=10.1016%2fj.iot.2024.101175&amp;partnerID=40&amp;md5=3c018ddecad22fa9c3a008d98cb32b3a</t>
  </si>
  <si>
    <t>2-s2.0-85189884824</t>
  </si>
  <si>
    <t>Yuan H.; Wang S.; Bi J.; Zhang J.; Zhou M.</t>
  </si>
  <si>
    <t>Hybrid and Spatiotemporal Detection of Cyberattack Network Traffic in Cloud Data Centers</t>
  </si>
  <si>
    <t>10.1109/JIOT.2024.3360294</t>
  </si>
  <si>
    <t>The rapid expansion of Internet users results in an immense influx of network traffic within extensive cloud data centers. Accurate and instantaneous identification and forecasting of network traffic aid system managers in efficiently distributing resources, assessing network performance based on specific service demands and scrutinizing the health of network status. However, sources and distributions of traffic are different, which makes accurate warnings of cyberattack traffic difficult. Recently, emerging neural networks have demonstrated their efficacy in forecasting time series data of network cyberattacks. The time series has temporal and spatial features, which can be efficiently captured with Informer and convolutional neural networks (CNNs). To realize high-performance spatiotemporal detection of cyberattacks, this work for the first time designs a hybrid and spatiotemporal prediction framework, which integrates CNNs, Informer, and a Softmax classifier to realize high-classification accuracy of normal and abnormal cyberattacks. Real-life data are adopted to evaluate the proposed method, which yields significant improvement in classification accuracy over typical benchmark classification models.  ¬© 2014 IEEE.</t>
  </si>
  <si>
    <t>Anomaly time series detection; deep learning; network cyberattacks; neural networks; spatiotemporal features</t>
  </si>
  <si>
    <t>Yuan, Haitao (36652221400); Wang, Shen (58929475700); Bi, Jing (55847050400); Zhang, Jia (36065598500); Zhou, MengChu (7403506743)</t>
  </si>
  <si>
    <t>36652221400; 58929475700; 55847050400; 36065598500; 7403506743</t>
  </si>
  <si>
    <t>https://www.scopus.com/inward/record.uri?eid=2-s2.0-85187267949&amp;doi=10.1109%2fJIOT.2024.3360294&amp;partnerID=40&amp;md5=8f5d0bf7eb5da507784de6670618c0c8</t>
  </si>
  <si>
    <t>2-s2.0-85187267949</t>
  </si>
  <si>
    <t>Convolution; Deep learning; Feature extraction; Neural networks; Time series analysis; Anomaly time series detection; Cyber-attacks; Deep learning; Features extraction; Network cyberattack; Neural-networks; Spatiotemporal feature; Telecommunications traffic; Time-series analysis; Times series; Forecasting</t>
  </si>
  <si>
    <t>Da Silva M.L.; Meyer V.; De Rose C.A.F.</t>
  </si>
  <si>
    <t>Edge computing and its boundaries to IoT and Industry 4.0: a systematic mapping study</t>
  </si>
  <si>
    <t>10.1504/IJGUC.2024.142733</t>
  </si>
  <si>
    <t>In the last decade, cloud computing transformed the IT industry, allowing companies to execute many services that require on-demand availability of computational resources with more flexible provisioning and cost models, including the processing of already growing data volumes. In the past few years, other technologies such as internet of things and Industry 4.0 emerged increasing data generation even more. The large amounts of data from user devices and machinery drive academia and industry to explore edge computing as an alternative. This study presents a preliminary mapping of the edge computing field, focusing on its boundaries to the internet of things and Industry 4.0. We analysed 219 studies from different academic databases, and after the classification process, we mapped 90 into 8 distinct edge computing sub-areas and 9 categories. We highlight key challenges and research gaps this field faces, considering the internet of things and Industry 4.0 demands.  ¬© 2024 Inderscience Enterprises Ltd.</t>
  </si>
  <si>
    <t>edge computing; Industry 4.0; internet of things; systematic mapping</t>
  </si>
  <si>
    <t>Da Silva, Matheus L. (57216949549); Meyer, Vin√≠cius (57209336662); De Rose, Cesar A.F. (14021022000)</t>
  </si>
  <si>
    <t>57216949549; 57209336662; 14021022000</t>
  </si>
  <si>
    <t>International Journal of Grid and Utility Computing</t>
  </si>
  <si>
    <t>https://www.scopus.com/inward/record.uri?eid=2-s2.0-85210304249&amp;doi=10.1504%2fIJGUC.2024.142733&amp;partnerID=40&amp;md5=8ee333e3a942f8bdda22d1aaa10f6841</t>
  </si>
  <si>
    <t>2-s2.0-85210304249</t>
  </si>
  <si>
    <t>Cloud-computing; Computational resources; Cost models; Data generation; Data volume; Edge computing; IT industry; On demands; Systematic mapping; Systematic mapping studies</t>
  </si>
  <si>
    <t>Li C.; Jiang K.; Zhang Y.; Jiang L.; Luo Y.; Wan S.</t>
  </si>
  <si>
    <t>Deep Reinforcement Learning-based Mining Task Offloading Scheme for Intelligent Connected Vehicles in UAV-aided MEC</t>
  </si>
  <si>
    <t>10.1145/3653451</t>
  </si>
  <si>
    <t>The convergence of unmanned aerial vehicle (UAV)-aided mobile edge computing (MEC) networks and blockchain transforms the existing mobile networking paradigm. However, in the temporary hotspot scenario for intelligent connected vehicles (ICVs) in UAV-aided MEC networks, deploying blockchain-based services and applications in vehicles is generally impossible due to its high computational resource and storage requirements. One possible solution is to offload part of all the computational tasks to MEC servers wherever possible. Unfortunately, due to the limited availability and high mobility of the vehicles, there is still lacking simple solutions that can support low-latency and higher reliability networking services for ICVs. In this article, we study the task offloading problem of minimizing the total system latency and the optimal task offloading scheme, subject to constraints on the hover position coordinates of the UAV, the fixed bonuses, flexible transaction fees, transaction rates, mining difficulty, costs and battery energy consumption of the UAV. The problem is confirmed to be a challenging linear integer planning problem, we formulate the problem as a constrained Markov decision process. Deep Reinforcement Learning (DRL) has excellently solved sequential decision-making problems in dynamic ICVs environment, therefore, we propose a novel distributed DRL-based P-D3QN approach by using Prioritized Experience Replay strategy and the dueling double deep Q-network (D3QN) algorithm to solve the optimal task offloading policy effectively. Finally, experiment results show that compared with the benchmark scheme, the P-D3QN algorithm can bring about 26.24% latency improvement and increase about 42.26% offloading utility.  ¬© 2024 Copyright held by the owner/author(s). Publication rights licensed to ACM.</t>
  </si>
  <si>
    <t>Deep reinforcement learning (DRL); Intelligent Connected Vehicles (ICVs); Mining task offloading; Mobile edge computing (MEC); Unmanned aerial vehicle (UAV)</t>
  </si>
  <si>
    <t>Li, Chunlin (35315777900); Jiang, Kun (57207956789); Zhang, Yong (57027352200); Jiang, Lincheng (55839853100); Luo, Youlong (47361266600); Wan, Shaohua (35190004700)</t>
  </si>
  <si>
    <t>35315777900; 57207956789; 57027352200; 55839853100; 47361266600; 35190004700</t>
  </si>
  <si>
    <t>ACM Transactions on Design Automation of Electronic Systems</t>
  </si>
  <si>
    <t>https://www.scopus.com/inward/record.uri?eid=2-s2.0-85193283141&amp;doi=10.1145%2f3653451&amp;partnerID=40&amp;md5=d98d6ccff5e8c578d655e33bd73107ba</t>
  </si>
  <si>
    <t>2-s2.0-85193283141</t>
  </si>
  <si>
    <t>Antennas; Blockchain; Computation offloading; Decision making; Deep learning; Energy utilization; Markov processes; Mobile edge computing; Unmanned aerial vehicles (UAV); Aerial vehicle; Block-chain; Deep reinforcement learning; Intelligent connected vehicle; Mining task offloading; Mining tasks; Mobile edge computing; Reinforcement learnings; Task offloading; Unmanned aerial vehicle; Reinforcement learning</t>
  </si>
  <si>
    <t>Cornejo O.; Briola D.; Micucci D.; Ginelli D.; Mariani L.; Santos Parrilla A.; Juristo N.</t>
  </si>
  <si>
    <t>A family of experiments about how developers perceive delayed system response time</t>
  </si>
  <si>
    <t>10.1007/s11219-024-09660-w</t>
  </si>
  <si>
    <t>Collecting and analyzing data about developers working on their development tasks can help improve development practices, finally increasing the productivity of teams. Indeed, monitoring and analysis tools have already been used to collect data from productivity tools. Monitoring inevitably consumes resources and, depending on their extensiveness, may significantly slow down software systems, interfering with developers‚Äô activity. There is thus a challenging trade-off between monitoring and validating applications in their operational environment and preventing the degradation of the user experience. The lack of studies about when developers perceive an overhead introduced in an application makes it¬†extremely difficult to fine-tune techniques working in the field. In this paper, we address this challenge by presenting an empirical study that quantifies how developers perceive overhead. The study consists of three replications of an experiment that involved 99 computer science students in total, followed by a small-scale experimental assessment of the key findings with 12 professional developers. Results show that non-negligible overhead can be introduced for a short period into applications without developers perceiving it and that the sequence in which complex operations are executed influences the perception of the system response time. This information can be exploited to design better monitoring techniques. ¬© The Author(s) 2024.</t>
  </si>
  <si>
    <t>Empirical software engineering; Monitoring; User studies</t>
  </si>
  <si>
    <t>Cornejo, Oscar (56454317100); Briola, Daniela (25930792600); Micucci, Daniela (55913239600); Ginelli, Davide (57203263709); Mariani, Leonardo (8965048200); Santos Parrilla, Adri√°n (58914742500); Juristo, Natalia (6701344777)</t>
  </si>
  <si>
    <t>56454317100; 25930792600; 55913239600; 57203263709; 8965048200; 58914742500; 6701344777</t>
  </si>
  <si>
    <t>Software Quality Journal</t>
  </si>
  <si>
    <t>https://www.scopus.com/inward/record.uri?eid=2-s2.0-85186432239&amp;doi=10.1007%2fs11219-024-09660-w&amp;partnerID=40&amp;md5=e185a01f56aa0c7cdb1b6f4ff0b4020e</t>
  </si>
  <si>
    <t>2-s2.0-85186432239</t>
  </si>
  <si>
    <t>Data acquisition; Response time (computer systems); Software engineering; Analysis tools; Delayed systems; Development practices; Development tasks; Empirical Software Engineering; Monitoring and analysis; Monitoring tools; Productivity tools; System response time; User study; Economic and social effects</t>
  </si>
  <si>
    <t>Warch D.; Schaffert M.; Neis P.</t>
  </si>
  <si>
    <t>PROTOTYPICAL IMPLEMENTATION OF MUNICIPAL MONITORING FOR SINGLE-FAMILY HOUSING AREAS IN DEMOGRAPHIC TRANSITION; [PROTOTYPISCHE IMPLEMENTIERUNG EINES KOMMUNALEN MONITORINGS VON EINFAMILIENHAUSGEBIETEN IM DEMOGRAFISCHEN √úBERGANG]</t>
  </si>
  <si>
    <t>10.14627/gis.Science.2024.4.2</t>
  </si>
  <si>
    <t>The demographic transition in single-family house areas poses major challenges for municipalities. This paper presents the development of a monitoring system as a planning support application for municipalities. Based on an analysis of the state of art and the technical challenges, a prototype based on open source technologies is presented. The application automatically processes data from municipal registers and supplementary sources to calculate and clearly visualize relevant and established demographic indicators. Particular emphasis is placed on user-friendliness, data protection and flexible analysis levels. This enables planners to analyze demographic trends exploratively and develop targeted spatial planning measures on this basis. Future steps include further development in real-world laboratories and usability tests. The aim is to exploit the full potential of the application as a contribution to urban resilience. ¬© 2024, VDE Verlag GmbH. All rights reserved.</t>
  </si>
  <si>
    <t>Demographic transition; indicators; monitoring; single-family housing areas</t>
  </si>
  <si>
    <t>Warch, Dominik (58671653800); Schaffert, Markus (46761574700); Neis, Pascal (15049937900)</t>
  </si>
  <si>
    <t>58671653800; 46761574700; 15049937900</t>
  </si>
  <si>
    <t>gis.Science - Die Zeitschrift fur Geoinformatik</t>
  </si>
  <si>
    <t>https://www.scopus.com/inward/record.uri?eid=2-s2.0-85215377983&amp;doi=10.14627%2fgis.Science.2024.4.2&amp;partnerID=40&amp;md5=72688b8e93ac031c4aea0615d75100f3</t>
  </si>
  <si>
    <t>2-s2.0-85215377983</t>
  </si>
  <si>
    <t>demographic transition; demography; monitoring system; residential location; spatial planning; urban housing; visualization</t>
  </si>
  <si>
    <t>Yang J.; Zhou Y.; Guo Z.; Zhou Y.; Shen Y.</t>
  </si>
  <si>
    <t>Deep learning-based intelligent precise aeration strategy for factory recirculating aquaculture systems</t>
  </si>
  <si>
    <t>10.1016/j.aiia.2024.04.001</t>
  </si>
  <si>
    <t>Factory recirculating aquaculture system (RAS) is facing in a stage of continuous research and technological innovation. Intelligent aquaculture is an important direction for the future development of aquaculture. However, the RAS nowdays still has poor self-learning and optimal decision-making capabilities, which leads to high aquaculture cost and low running efficiency. In this paper, a precise aeration strategy based on deep learning is designed for improving the healthy growth of breeding objects. Firstly, the situation perception driven by computer vision is used to detect the hypoxia behavior. Then combined with the biological energy model, it is constructed to calculate the breeding objects oxygen consumption. Finally, the optimal adaptive aeration strategy is generated according to hypoxia behavior judgement and biological energy model. Experimental results show that the energy consumption of proposed precise aeration strategy decreased by 26.3% compared with the manual control and 12.8% compared with the threshold control. Meanwhile, stable water quality conditions accelerated breeding objects growth, and the breeding cycle with the average weight of 400 g was shortened from 5 to 6 months to 3‚Äì4 months. ¬© 2024 The Authors</t>
  </si>
  <si>
    <t>Deep learning; Intelligent control; Precise aeration; Recirculating aquaculture system</t>
  </si>
  <si>
    <t>Yang, Junchao (56471024200); Zhou, Yuting (58343727400); Guo, Zhiwei (57194773275); Zhou, Yueming (57205345122); Shen, Yu (7404766835)</t>
  </si>
  <si>
    <t>56471024200; 58343727400; 57194773275; 57205345122; 7404766835</t>
  </si>
  <si>
    <t>Artificial Intelligence in Agriculture</t>
  </si>
  <si>
    <t>https://www.scopus.com/inward/record.uri?eid=2-s2.0-85192147074&amp;doi=10.1016%2fj.aiia.2024.04.001&amp;partnerID=40&amp;md5=543bc3ff58c48b41fad255c1fbcf4211</t>
  </si>
  <si>
    <t>2-s2.0-85192147074</t>
  </si>
  <si>
    <t>Decision making; Deep learning; Energy utilization; Learning systems; Water quality; Aeration strategies; Biological energy; Deep learning; Energy model; Optimal decision making; Precise aeration; Recirculating aquaculture system; Running efficiency; Self-learning; Technological innovation; Aquaculture</t>
  </si>
  <si>
    <t>Crognale M.; Rinaldi C.; Potenza F.; Gattulli V.; Colarieti A.; Franchi F.</t>
  </si>
  <si>
    <t>Developing and Testing High-Performance SHM Sensors Mounting Low-Noise MEMS Accelerometers</t>
  </si>
  <si>
    <t>10.3390/s24082435</t>
  </si>
  <si>
    <t>Recently, there has been increased interest in adopting novel sensing technologies for continuously monitoring structural systems. In this respect, micro-electrical mechanical system (MEMS) sensors are widely used in several applications, including structural health monitoring (SHM), in which accelerometric samples are acquired to perform modal analysis. Thanks to their significantly lower cost, ease of installation in the structure, and lower power consumption, they enable extensive, pervasive, and battery-less monitoring systems. This paper presents an innovative high-performance device for SHM applications, based on a low-noise triaxial MEMS accelerometer, providing a guideline and insightful results about the opportunities and capabilities of these devices. Sensor nodes have been designed, developed, and calibrated to meet structural vibration monitoring and modal identification requirements. These components include a protocol for reliable command dissemination through network and data collection, and improvements to software components for data pipelining, jitter control, and high-frequency sampling. Devices were tested in the lab using shaker excitation. Results demonstrate that MEMS-based accelerometers are a feasible solution to replace expensive piezo-based accelerometers. Deploying MEMS is promising to minimize sensor node energy consumption. Time and frequency domain analyses show that MEMS can correctly detect modal frequencies, which are useful parameters for damage detection. The acquired data from the test bed were used to examine the functioning of the network, data transmission, and data quality. The proposed architecture has been successfully deployed in a real case study to monitor the structural health of the Marcus Aurelius Exedra Hall within the Capitoline Museum of Rome. The performance robustness was demonstrated, and the results showed that the wired sensor network provides dense and accurate vibration data for structural continuous monitoring. ¬© 2024 by the authors.</t>
  </si>
  <si>
    <t>internet of things; SHM-board; structural health monitoring; ultra-low-power micro-controller</t>
  </si>
  <si>
    <t>Crognale, Marianna (57216584986); Rinaldi, Cecilia (57216581359); Potenza, Francesco (23397637500); Gattulli, Vincenzo (6603769681); Colarieti, Andrea (35203077700); Franchi, Fabio (57193013263)</t>
  </si>
  <si>
    <t>57216584986; 57216581359; 23397637500; 6603769681; 35203077700; 57193013263</t>
  </si>
  <si>
    <t>https://www.scopus.com/inward/record.uri?eid=2-s2.0-85191410430&amp;doi=10.3390%2fs24082435&amp;partnerID=40&amp;md5=3d73e116b65ac9a4e5a8404e4105540a</t>
  </si>
  <si>
    <t>2-s2.0-85191410430</t>
  </si>
  <si>
    <t>Accelerometers; Damage detection; Energy utilization; Frequency domain analysis; Internet of things; Modal analysis; Sensor nodes; Structural dynamics; Lower noise; Micro controller; Micro-electrical mechanical systems; Monitoring sensors; Performance; Sensing technology; Structural health monitoring-board; Structural systems; Ultra-low power; Ultra-low-power micro-controller; accelerometer; article; data quality; diagnosis; energy consumption; health survey; human; internet of things; Italy; MEMS accelerometer; microelectromechanical system; noise; protocol; sensor; software; vibration; Structural health monitoring</t>
  </si>
  <si>
    <t>Tusa F.; Clayman S.; Buzachis A.; Fazio M.</t>
  </si>
  <si>
    <t>Microservices and serverless functions‚Äîlifecycle, performance, and resource utilisation of edge based real-time IoT analytics</t>
  </si>
  <si>
    <t>10.1016/j.future.2024.02.006</t>
  </si>
  <si>
    <t>Edge Computing harnesses resources close to the data sources to reduce end-to-end latency and allow real-time process automation for verticals such as Smart City, Healthcare and Industry 4.0. Edge resources are limited when compared to traditional Cloud data centres; hence the choice of proper resource management strategies in this context becomes paramount. Microservice and Function as a Service architectures support modular and agile patterns, compared to a monolithic design, through lightweight containerisation, continuous integration / deployment and scaling. The advantages brought about by these technologies may initially seem obvious, but we argue that their usage at the Edge deserves a more in-depth evaluation. By analysing both the software development and deployment lifecycle, along with performance and resource utilisation, this paper explores microservices and two alternative types of serverless functions to build edge real-time IoT analytics. In the experiments comparing these technologies, microservices generally exhibit slightly better end-to-end processing latency and resource utilisation than serverless functions. One of the serverless functions and the microservices excel at handling larger data streams with auto-scaling. Whilst serverless functions natively offer this feature, the choice of container orchestration framework may determine its availability for microservices. The other serverless function, while supporting a simpler lifecycle, is more suitable for low-invocation scenarios and faces challenges with parallel requests and inherent overhead, making it less suitable for real-time processing in demanding IoT settings. ¬© 2024 The Author(s)</t>
  </si>
  <si>
    <t>Edge analytics; Function as a service; IoT; Microservices; Real-time; Serverless computing</t>
  </si>
  <si>
    <t>Tusa, Francesco (35106246600); Clayman, Stuart (35217494700); Buzachis, Alina (57202386934); Fazio, Maria (7103169882)</t>
  </si>
  <si>
    <t>35106246600; 35217494700; 57202386934; 7103169882</t>
  </si>
  <si>
    <t>https://www.scopus.com/inward/record.uri?eid=2-s2.0-85185531334&amp;doi=10.1016%2fj.future.2024.02.006&amp;partnerID=40&amp;md5=d015b0db6a9d278a03224ac0dbd68823</t>
  </si>
  <si>
    <t>2-s2.0-85185531334</t>
  </si>
  <si>
    <t>Data Analytics; Data handling; Information management; Internet of things; Life cycle; Software design; Edge analytic; Edge-based; Function as a service; IoT; Life-cycle performance; Microservice; Real- time; Resources utilizations; Scalings; Serverless computing; Containers</t>
  </si>
  <si>
    <t>Wang C.; Ma X.; Xing R.; Li S.; Zhou A.; Wang S.</t>
  </si>
  <si>
    <t>Delay- and Resource-Aware Satellite UPF Service Optimization</t>
  </si>
  <si>
    <t>10.1109/TMC.2024.3494043</t>
  </si>
  <si>
    <t>Executing 5G core network functions on satellites has become crucial to enhance satellite network management and service capabilities. The User Plane Function (UPF) is responsible for efficient data traffic forwarding and is envisioned as a key and pioneering core network function that will be deployed on satellites. However, managing and providing services with satellite UPFs face dual challenges. Limited satellite resources constrain the user scale that a satellite UPF can service, resulting in an unguaranteed service delay. Moreover, the extremely rapid mobility of satellites renders it difficult for satellite UPFs to provide seamless services. To address the above challenges, this paper presents the first-of-its-kind service optimization scheme for satellite UPFs in terms of switch control, state migration, and traffic routing. To provide guaranteed service delay, we provide a theoretical analysis based on the M/G/1 queue model, demonstrating the service delay-resource consumption trade-off. A satellite UPF switch control scheme is integrated into the service optimization process, which can decrease satellite UPF service delay while saving satellite resources by adjusting the switch control parameters. To provide seamless services, we propose a satellite UPF-oriented state-aware service migration and traffic routing (UPF service optimization) algorithm. A policy network-based reinforcement learning approach is employed to dynamically perceive the satellite network's state as well as the satellite UPF switch state. Building upon the optimization of service delay through satellite UPF switch control, the processes of state-aware state migration and traffic routing are further employed to reduce delay, ensuring seamless service effectively. Experiments reveal that the proposed algorithm outperforms other benchmark algorithms under different metrics. The service delay is reduced by an average of 23.2% compared with other algorithms.  ¬© 2002-2012 IEEE.</t>
  </si>
  <si>
    <t>Delay-resource Consumption Trade-off; Policy Network; Satellite UPF; Service Optimization</t>
  </si>
  <si>
    <t>Wang, Chao (36675846200); Ma, Xiao (56996455900); Xing, Ruolin (57938301900); Li, Sisi (57211885205); Zhou, Ao (55414096000); Wang, Shangguang (36185971000)</t>
  </si>
  <si>
    <t>36675846200; 56996455900; 57938301900; 57211885205; 55414096000; 36185971000</t>
  </si>
  <si>
    <t>https://www.scopus.com/inward/record.uri?eid=2-s2.0-85208697245&amp;doi=10.1109%2fTMC.2024.3494043&amp;partnerID=40&amp;md5=14d9dcfc641a8d3f554c044d6739b96c</t>
  </si>
  <si>
    <t>2-s2.0-85208697245</t>
  </si>
  <si>
    <t>Air navigation; Benchmarking; Decision making; Information management; Linear programming; Nonlinear programming; Product development; Queueing theory; Resource allocation; Routing algorithms; Delay-resource consumption trade-off; Policy networks; Resources consumption; Satellite user plane function; Seamless services; Service delays; Service optimization; Switch control; Trade off; User planes; 5G mobile communication systems</t>
  </si>
  <si>
    <t>Schaffert M.; Warch D.; M√ºller H.</t>
  </si>
  <si>
    <t>A Planning Support System for Monitoring Aging Neighborhoods in Germany</t>
  </si>
  <si>
    <t>10.3390/geomatics4010004</t>
  </si>
  <si>
    <t>Many single-family homes built in Germany in the first decades following the Second World War are now occupied by elderly residents. If local conditions are unfavorable, a large number of these buildings may enter the real estate market in a short period of time and put pressure on the local housing market. Planners and decision-makers therefore need detailed spatiotemporal information about these neighborhoods to effectively address and counteract such developments. We present the design and implementation of a planning support system that can generate the required information. The architecture of this newly developed software consists of a composite, multitier framework to perform the complex tasks of data importation, data processing, and visualization. Legally mandated municipal population registers provide the key data for the calculation of indicators as a base for spatiotemporal analyses and visualizations. These registers offer high data quality in terms of completeness, logical consistency, spatial, and temporal and thematic accuracy. We demonstrate the implemented method using population data from a local government in a rural area in southwestern Germany. The results show that the new tool, which relies on open software components, is capable to identify and prioritize areas with particularly high levels of problem pressure. The tool can be used not only for analyses in a local context, but also at a regional level. ¬© 2024 by the authors.</t>
  </si>
  <si>
    <t>demographic transition; GIS; monitoring; single-family housing areas; spatiotemporal analysis</t>
  </si>
  <si>
    <t>Schaffert, Markus (46761574700); Warch, Dominik (58671653800); M√ºller, Hartmut (16203715700)</t>
  </si>
  <si>
    <t>46761574700; 58671653800; 16203715700</t>
  </si>
  <si>
    <t>Geomatics</t>
  </si>
  <si>
    <t>https://www.scopus.com/inward/record.uri?eid=2-s2.0-85191157087&amp;doi=10.3390%2fgeomatics4010004&amp;partnerID=40&amp;md5=2edcd5184cfc05013eb1aa68d379e6fe</t>
  </si>
  <si>
    <t>2-s2.0-85191157087</t>
  </si>
  <si>
    <t>Hussain S.M.; Begh G.R.</t>
  </si>
  <si>
    <t>A multi-objective priority aware task scheduling in fog‚Äìcloud environment using improved meta-heuristic algorithm</t>
  </si>
  <si>
    <t>10.1007/s13198-024-02589-0</t>
  </si>
  <si>
    <t>Internet of Things (IoT) tasks have a variety of quality of service (QoS) needs, wherein the fog-cloud computing has emerged as a promising platform for handling the tasks. As a result of its proximity to IoT devices, the fog environment offers minimal latency, but it also faces resource limitations, which is not present in cloud environment. So a basic problem of the fog-cloud environment is the execute tasks that are offloaded from IoT devices by effectively using the fog-cloud resources. Hence, this research introduces a novel task scheduling approach based on the improved meta-heuristic algorithm. An improved zebra algorithm (ImZP) is proposed for performing the priority aware task scheduling. The zebra algorithm is hybridized with the mutation operation of the differential evolution algorithm (DE) for enhancing the exploration criteria to accomplish the global best solution. Besides, the acquisition of non-dominant solutions while considering the multi-objective fitness function, pareto optimal front is considered. Here, the multi-objective function based on priority, cost and execution time are considered in scheduling the task optimally. The analysis of ImZP show superior performance over the existing algorithims in terms of the metrics like priority, availability, makespan, energy consumption, cost and success rate. The values obtained are respectively 0.9702%, 0.7436%, 0.00567¬†ms, 0.03066¬†J, 0.04171G$ and 0.7438. ¬© The Author(s) under exclusive licence to The Society for Reliability Engineering, Quality and Operations Management (SREQOM), India and The Division of Operation and Maintenance, Lulea University of Technology, Sweden 2024.</t>
  </si>
  <si>
    <t>Differential evolution; Fog broker; Improved meta-heuristic algorithm; Multi-objective fitness; Pareto optimal front; Priority aware task scheduling; Resource management</t>
  </si>
  <si>
    <t>Hussain, Syed Mujtiba (56111801600); Begh, G.R. (35147497400)</t>
  </si>
  <si>
    <t>56111801600; 35147497400</t>
  </si>
  <si>
    <t>International Journal of System Assurance Engineering and Management</t>
  </si>
  <si>
    <t>https://www.scopus.com/inward/record.uri?eid=2-s2.0-85212093137&amp;doi=10.1007%2fs13198-024-02589-0&amp;partnerID=40&amp;md5=39ada4f135d0e34c7b89e43d6f218834</t>
  </si>
  <si>
    <t>2-s2.0-85212093137</t>
  </si>
  <si>
    <t>Cloud platforms; Pareto principle; Resource allocation; Differential Evolution; Fog broker; Improved meta-heuristic algorithm; Meta-heuristics algorithms; Multi objective; Multi-objective fitness; Pareto-optimal front; Priority aware task scheduling; Resource management; Tasks scheduling; Fog computing</t>
  </si>
  <si>
    <t>Lago P.; Condori¬†Fernandez N.; Fatima I.; Funke M.; Malavolta I.</t>
  </si>
  <si>
    <t>The sustainability assessment framework toolkit: a decade of modeling experience</t>
  </si>
  <si>
    <t>10.1007/s10270-024-01230-9</t>
  </si>
  <si>
    <t>Software intensive systems play a crucial role in most, if not all, aspects of modern society. As such, both their sustainability and their role in supporting sustainable processes must be realized by design. To this aim, the architecture of software intensive systems should be designed to support sustainability goals; and measured to understand how effectively they do so. In this paper, we present the sustainability assessment framework (SAF) Toolkit‚Äîa set of instruments we developed to support software architects and design decision makers in modeling sustainability as a software quality property. The SAF Toolkit is the result of our experience gained in more than a decade of case studies in collaboration with industrial partners. We illustrate the toolkit with examples that come from some of such studies. We extract our lessons learned, our current research, and future plans to extend the SAF Toolkit for further architecture modeling and measurement. ¬© The Author(s), under exclusive licence to Springer-Verlag GmbH Germany, part of Springer Nature 2024.</t>
  </si>
  <si>
    <t>Framework; Quality assessment; Software architecture design; Software sustainability</t>
  </si>
  <si>
    <t>Lago, Patricia (56187491900); Condori¬†Fernandez, Nelly (6507361130); Fatima, Iffat (58245782000); Funke, Markus (57849383200); Malavolta, Ivano (25823118300)</t>
  </si>
  <si>
    <t>56187491900; 6507361130; 58245782000; 57849383200; 25823118300</t>
  </si>
  <si>
    <t>Software and Systems Modeling</t>
  </si>
  <si>
    <t>https://www.scopus.com/inward/record.uri?eid=2-s2.0-85207810374&amp;doi=10.1007%2fs10270-024-01230-9&amp;partnerID=40&amp;md5=69c819de579aa17becc633ce66453466</t>
  </si>
  <si>
    <t>2-s2.0-85207810374</t>
  </si>
  <si>
    <t>Computer software selection and evaluation; Software design; Software quality; Decision makers; Design decisions; Framework; Quality assessment; Software architects; Software architecture design; Software intensive systems; Software sustainability; Sustainability assessment; Sustainable process; Sustainable development goals</t>
  </si>
  <si>
    <t>Wen D.; Zhou Y.; Li X.; Shi Y.; Huang K.; Letaief K.B.</t>
  </si>
  <si>
    <t>A Survey on Integrated Sensing, Communication, and Computation</t>
  </si>
  <si>
    <t>10.1109/COMST.2024.3521498</t>
  </si>
  <si>
    <t>The forthcoming generation of wireless technology, 6G, promises a revolutionary leap beyond traditional data-centric services. It aims to usher in an era of ubiquitous intelligent services, where everything is interconnected and intelligent. This vision requires the seamless integration of three fundamental modules: Sensing for information acquisition, communication for information sharing, and computation for information processing and decision-making. These modules are intricately linked, especially in complex tasks such as edge learning and inference. However, the performance of these modules is interdependent, creating a resource competition for time, energy, and bandwidth. Existing techniques like integrated communication and computation (ICC), integrated sensing and computation (ISC), and integrated sensing and communication (ISAC) have made partial strides in addressing this challenge, but they fall short of meeting the extreme performance requirements. To overcome these limitations, it is essential to develop new techniques that comprehensively integrate sensing, communication, and computation. This integrated approach, known as Integrated Sensing, Communication, and Computation (ISCC), offers a systematic perspective for enhancing task performance. This paper begins with a comprehensive survey of historic and related techniques such as ICC, ISC, and ISAC, highlighting their strengths and limitations. It then discusses the benefits, functions, and challenges of ISCC. Subsequently, the state-of-the-art signal designs for ISCC, along with network resource management strategies specifically tailored for ISCC are explored. Furthermore, this paper discusses the exciting research opportunities that lie ahead for implementing ISCC in future advanced networks, and the unresolved issues requiring further investigation. ISCC is expected to unlock the full potential of intelligent connectivity, paving the way for groundbreaking applications and services. ¬© 2024 IEEE.</t>
  </si>
  <si>
    <t>integrated communication and computation; Integrated sensing and communication; integrated sensing and computation; integrated sensing-communication-computation; network resource management; signal design; task-oriented communicationss</t>
  </si>
  <si>
    <t>Wen, Dingzhu (57146469000); Zhou, Yong (35732808900); Li, Xiaoyang (57201887016); Shi, Yuanming (55695283900); Huang, Kaibin (15834779200); Letaief, Khaled B. (55666697100)</t>
  </si>
  <si>
    <t>57146469000; 35732808900; 57201887016; 55695283900; 15834779200; 55666697100</t>
  </si>
  <si>
    <t>https://www.scopus.com/inward/record.uri?eid=2-s2.0-85208377646&amp;doi=10.1109%2fCOMST.2024.3521498&amp;partnerID=40&amp;md5=62ade1fb5629373c7d3e45683b8a6822</t>
  </si>
  <si>
    <t>2-s2.0-85208377646</t>
  </si>
  <si>
    <t>Inference engines; Information management; Resource allocation; Integrated communication and computation; Integrated sensing; Integrated sensing and communication; Integrated sensing and computation; Integrated sensing-communication-computation; Network resource management; Signal design; Task-oriented; Task-oriented communicationss; Decision making</t>
  </si>
  <si>
    <t>Chen X.; Xu H.; Xu C.</t>
  </si>
  <si>
    <t>Optimizing Dynamic Data Center Provisioning through Speed Scaling: A Primal-Dual Perspective</t>
  </si>
  <si>
    <t>10.1145/3626183.3659956</t>
  </si>
  <si>
    <t>A significant proportion of energy consumed in modern data centers and clouds is dedicated to provisioning idle servers for maintaining Quality of Service guarantees. Various studies have been conducted exploring dynamic provisioning in data centers with the objective of reducing overall energy consumption. However, many of these studies assume a fixed energy cost per operating server where each server can only handle one job within a given time slot. In this paper, we address a new and practical problem that involves speed scaling of multiple servers within a data center. Specifically, we consider a scenario where each server can handle multiple jobs simultaneously, and the energy consumed is a piece-wise convex function that depends on processing speed. In addition, turning on a server incurs a substantial energy cost. To tackle this problem, we develop a new online primal-dual fitting framework. By leveraging this framework, we have found that the straightforward LIF algorithm, which allocates new workloads to servers based on their minimal idle times, attains a bounded competitive ratio in comparison to the optimal offline solution. Building upon this finding, we have designed a novel algorithm called BDST . BDST dynamically updates server provisioning based on a long-term evaluation of the trade-off between the cost of maintaining high-speed for current servers and the cost of powering on additional servers. One critical aspect of BDST is its remarkable constant competitive ratio of less than three, regardless of the shape of the energy function. ¬© 2024 Owner/Author.</t>
  </si>
  <si>
    <t>capacity provisioning; energy efficiency; online scheduling algorithms</t>
  </si>
  <si>
    <t>Chen, Xiaosong (59201998500); Xu, Huanle (56081119100); Xu, Chengzhong (55600419500)</t>
  </si>
  <si>
    <t>59201998500; 56081119100; 55600419500</t>
  </si>
  <si>
    <t>Annual ACM Symposium on Parallelism in Algorithms and Architectures</t>
  </si>
  <si>
    <t>https://www.scopus.com/inward/record.uri?eid=2-s2.0-85197401257&amp;doi=10.1145%2f3626183.3659956&amp;partnerID=40&amp;md5=e486ce0f8e304dc40fe33a1a0b0ab45b</t>
  </si>
  <si>
    <t>2-s2.0-85197401257</t>
  </si>
  <si>
    <t>Aspect ratio; Economic and social effects; Energy utilization; Green computing; Quality of service; Scheduling algorithms; Capacity provisioning; Competitive ratio; Data clouds; Datacenter; Dynamic data; Energy cost; Online scheduling algorithm; Primal-dual; Proportion of energy; Speed scaling; Energy efficiency</t>
  </si>
  <si>
    <t>Umer A.; Ali M.; Jehangiri A.I.; Bilal M.; Shuja J.</t>
  </si>
  <si>
    <t>Multi-Objective Task-Aware Offloading and Scheduling Framework for Internet of Things Logistics</t>
  </si>
  <si>
    <t>10.3390/s24082381</t>
  </si>
  <si>
    <t>IoT-based smart transportation monitors vehicles, cargo, and driver statuses for safe movement. Due to the limited computational capabilities of the sensors, the IoT devices require powerful remote servers to execute their tasks, and this phenomenon is called task offloading. Researchers have developed efficient task offloading and scheduling mechanisms for IoT devices to reduce energy consumption and response time. However, most research has not considered fault-tolerance-based job allocation for IoT logistics trucks, task and data-aware scheduling, priority-based task offloading, or multiple-parameter-based fog node selection. To overcome the limitations, we proposed a Multi-Objective Task-Aware Offloading and Scheduling Framework for IoT Logistics (MT-OSF). The proposed model prioritizes the tasks into delay-sensitive and computation-intensive tasks using a priority-based offloader and forwards the two lists to the Task-Aware Scheduler (TAS) for further processing on fog and cloud nodes. The Task-Aware Scheduler (TAS) uses a multi-criterion decision-making process, i.e., the analytical hierarchy process (AHP), to calculate the fog nodes‚Äô priority for task allocation and scheduling. The AHP decides the fog nodes‚Äô priority based on node energy, bandwidth, RAM, and MIPS power. Similarly, the TAS also calculates the shortest distance between the IoT-enabled vehicle and the fog node to which the IoT tasks are assigned for execution. A task-aware scheduler schedules delay-sensitive tasks on nearby fog nodes while allocating computation-intensive tasks to cloud data centers using the FCFS algorithm. Fault-tolerant manager is used to check task failure; if any task fails, the proposed system re-executes the tasks, and if any fog node fails, the proposed system allocates the tasks to another fog node to reduce the task failure ratio. The proposed model is simulated in iFogSim2 and demonstrates a 7% reduction in response time, 16% reduction in energy consumption, and 22% reduction in task failure ratio in comparison to Ant Colony Optimization and Round Robin. ¬© 2024 by the authors.</t>
  </si>
  <si>
    <t>analytical hierarchy process (AHP); computation-intensive tasks; delay-sensitive tasks; energy consumption; fault-tolerant manager; IoT task offloading &amp; scheduling; smart transportation of logistics; task-aware scheduler</t>
  </si>
  <si>
    <t>Umer, Asif (56829500800); Ali, Mushtaq (57214142421); Jehangiri, Ali Imran (55860824200); Bilal, Muhammad (56562681700); Shuja, Junaid (55345604500)</t>
  </si>
  <si>
    <t>56829500800; 57214142421; 55860824200; 56562681700; 55345604500</t>
  </si>
  <si>
    <t>https://www.scopus.com/inward/record.uri?eid=2-s2.0-85191409032&amp;doi=10.3390%2fs24082381&amp;partnerID=40&amp;md5=7793b14af524c47ced1060ae2d5ed501</t>
  </si>
  <si>
    <t>2-s2.0-85191409032</t>
  </si>
  <si>
    <t>Ant colony optimization; Computation offloading; Decision making; Delay-sensitive applications; Fault tolerance; Fog; Hierarchical systems; Internet of things; Response time (computer systems); Analytical Hierarchy Process; Computation-intensive task; Delay sensitive; Delay-sensitive task; Energy-consumption; Fault-tolerant; Fault-tolerant manager; IoT task offloading &amp; scheduling; Smart transportation of logistic; Task offloading; Task-aware; Task-aware scheduler; Tasks scheduling; adult; algorithm; analytic hierarchy process; ant colony optimization; article; bandwidth; controlled study; decision making; diagnosis; energy consumption; female; human; internet of things; male; reaction time; sensor; simulation; traffic and transport; Energy utilization</t>
  </si>
  <si>
    <t>Hidayat W.N.; Hakim O.S.; Sukaridhoto S.; Zainuddin M.A.; Prayudi A.; Arissabarno C.; Achmad Z.M.; Budiarti R.P.N.</t>
  </si>
  <si>
    <t>Digital Twin System for Smart Buildings Integrated with Blockchain and Mixed Reality Technology</t>
  </si>
  <si>
    <t>10.1109/ISCT62336.2024.10791262</t>
  </si>
  <si>
    <t>The integration of 3D innovation, Mixed Reality (MR), and blockchain in smart buildings has revolutionized the IoT sector. Visualization using 3D technology and immersive interfaces allows users to control and interact with devices within smart building environments. Users can use hand gestures or controllers in a 3D environment to adjust lighting, monitor energy consumption, or manage other smart devices. When combined with MR, the capabilities of 3D technology are enhanced with virtual elements overlaying onto the real-world environment. Within smart buildings, MR can visualize real-time sensor data, display device statuses, and provide intuitive visual feedback. The integration of blockchain in this ecosystem adds layers of security, transparency, and trust by securely recording and verifying device data, control commands, and user interactions. Blockchain technology enables secure peer-to-peer communication and smart contracts for automated device interactions and control. User testing results for controlling smart buildings with Mixed Reality (MR) technology showed high user satisfaction with an average score of 4.48. Users appreciated the performance and functionality of the system, as well as the new experience provided by the natural and immersive MR interface for interacting with smart building controls. ¬© 2024 IEEE.</t>
  </si>
  <si>
    <t>Blockchain; Digital Twin; Mixed Reality; Smart Buildings; Supply Chain</t>
  </si>
  <si>
    <t>Hidayat, Wahyu Nur (57210040496); Hakim, Oktafian Sultan (57942183600); Sukaridhoto, Sritrusta (35100882700); Zainuddin, Muhammad Agus (56313569400); Prayudi, Agus (57220072007); Arissabarno, Cahyo (58637444700); Achmad, Zacky Maulana (58637075000); Budiarti, Rizqi Putri Nourma (57193812041)</t>
  </si>
  <si>
    <t>57210040496; 57942183600; 35100882700; 56313569400; 57220072007; 58637444700; 58637075000; 57193812041</t>
  </si>
  <si>
    <t>Digest of Technical Papers - IEEE International Conference on Consumer Electronics</t>
  </si>
  <si>
    <t>https://www.scopus.com/inward/record.uri?eid=2-s2.0-85215303502&amp;doi=10.1109%2fISCT62336.2024.10791262&amp;partnerID=40&amp;md5=39de37eb7ab840bd944600636e232a48</t>
  </si>
  <si>
    <t>2-s2.0-85215303502</t>
  </si>
  <si>
    <t>Blockchain; Intelligent buildings; 3-D environments; 3D technology; Block-chain; Building environment; Building integrated; Energy-consumption; Hand gesture; Immersive; Mixed reality; Mixed reality technologies; Smart homes</t>
  </si>
  <si>
    <t>Hassan H.B.; Sarhan Q.I.; Besz√©des √Å.</t>
  </si>
  <si>
    <t>Evaluating Python Static Code Analysis Tools Using FAIR Principles</t>
  </si>
  <si>
    <t>10.1109/ACCESS.2024.3503493</t>
  </si>
  <si>
    <t>The quality of modern software relies heavily on the effective use of static code analysis tools. To improve their usefulness, these tools should be evaluated using a framework that prioritizes collaboration, user-friendliness, and long-term sustainability. In this paper, we suggest applying the FAIR principles‚ÄîFindability, Accessibility, Interoperability, and Reusability‚Äîas a foundation for assessing static code analysis tools. We specifically focus on Python-based tools, analyzing their features and how well they align with FAIR guidelines. Our findings indicate that it is important to expand the FAIR principles to include thorough documentation, performance assessments, and robust testing frameworks for a more complete evaluation. As Internet of Things (IoT) applications and technologies become increasingly common, these tools must adapt to meet the unique challenges posed by complex and interconnected systems. Addressing these issues is vital for ensuring security and scalability within IoT environments. By implementing this FAIR-based approach, we aim to support the development of static code analysis tools that cater to the evolving needs of the software engineering community while ensuring they remain sustainable and reliable. ¬© 2013 IEEE.</t>
  </si>
  <si>
    <t>FAIR principles; IoT; python; software quality; static code analysis</t>
  </si>
  <si>
    <t>Hassan, Hassan Bapeer (57219255445); Sarhan, Qusay Idrees (54584292000); Besz√©des, √Årp√°d (6506259777)</t>
  </si>
  <si>
    <t>57219255445; 54584292000; 6506259777</t>
  </si>
  <si>
    <t>https://www.scopus.com/inward/record.uri?eid=2-s2.0-85210011091&amp;doi=10.1109%2fACCESS.2024.3503493&amp;partnerID=40&amp;md5=2757ebaf056375c05db86cbed6f6af78</t>
  </si>
  <si>
    <t>2-s2.0-85210011091</t>
  </si>
  <si>
    <t>Application programs; Computer software selection and evaluation; Reusability; Ease-of-use; FAIR principle; Long-term viability; Performance metrices; Software metrics; Software Quality; Software quality assurance; Static code analysis; Static code analysis tools; Technical capabilities; Python</t>
  </si>
  <si>
    <t>Aggarwal S.; Mittal A.</t>
  </si>
  <si>
    <t>Futuristic hospitality conceptualized: DASH - Decentralized Autonomous and Smart Hotel system</t>
  </si>
  <si>
    <t>10.1016/j.joitmc.2024.100223</t>
  </si>
  <si>
    <t>Ubiquitous hospitality has stimulated a rise in expeditions to inspiring getaways and extraordinary destinations. It is imperative for hotels to create a distinct and immersive experience leveraging disruptive technologies like Artificial Intelligence, Machine Learning, Internet of Things, and Blockchain, while ensuring economic affordability for patrons. This study introduces an autonomous and agile smart hotel system, DASH-Decentralized Autonomous and Smart Hotel system, operating on a pay-per-use model, meticulously tracking the usage of amenities and utilities for patrons. The proposed system is an amalgamation of Internet of Things, Robots, Artificial Intelligence, and Blockchain, each enhancing trust, transparency, and underlying operations while reducing workforce and operational costs. This work distinguishes itself by focusing on the complete automation of hotels rather than merely complementing current activities with these technologies. Method: This research hinges on an extensive literature review, deepening the understanding of contemporary hospitality systems, technological advances, and emerging trends. Building on these insights, this work employed conceptual modelling to create a robust framework for the DASH system, strategically integrating decentralization, autonomy, and intelligence. This method bridges visionary ideals with practical implementation, shaping the future of hospitality through cutting-edge technology integration. Main Findings: DASH, as a Decentralized Autonomous and Smart Hotel System, successfully integrates disruptive technologies to create an innovative and automated hospitality experience. The pay-per-use model proves effective in tracking amenity and utility usage, ensuring a cost-efficient and tailored service for patrons. The amalgamation of Internet of Things, Robots, Artificial Intelligence, and Blockchain enhances trust, transparency, and operational efficiency within the hospitality institution. The study's approach of steering towards complete hotel automation distinguishes it from existing literature, showcasing a unique and forward-thinking perspective on the implementation of disruptive technologies in the hospitality sector. ¬© 2024 The Authors</t>
  </si>
  <si>
    <t>Automation in hospitality; Autonomous hotels; Blockchain; Internet of Things; Pay per use model; Robots; Smart hotel; Smart tourism</t>
  </si>
  <si>
    <t>Aggarwal, Swati (55417140800); Mittal, Anshul (57220675072)</t>
  </si>
  <si>
    <t>55417140800; 57220675072</t>
  </si>
  <si>
    <t>Journal of Open Innovation: Technology, Market, and Complexity</t>
  </si>
  <si>
    <t>https://www.scopus.com/inward/record.uri?eid=2-s2.0-85184612525&amp;doi=10.1016%2fj.joitmc.2024.100223&amp;partnerID=40&amp;md5=134ce0a19ff8b9abb4938fc40ce28ad7</t>
  </si>
  <si>
    <t>2-s2.0-85184612525</t>
  </si>
  <si>
    <t>Horchulhack P.; Viegas E.K.; Santin A.O.; Ramos F.V.; Tedeschi P.</t>
  </si>
  <si>
    <t>Detection of quality of service degradation on multi-tenant containerized services</t>
  </si>
  <si>
    <t>10.1016/j.jnca.2024.103839</t>
  </si>
  <si>
    <t>Computational services are progressively migrating to container-based solutions due to their faster provision time and lower resource allocation overhead. Service providers rely on container multi-tenancy to share their computing infrastructure and pave their way to profit. Yet, the Quality of Service (QoS) impact due to container multi-tenancy on deployed services is still widely overlooked in the literature. This paper proposes a new service provider monitoring model for detecting container multi-tenancy that can lead to QoS degradation, split into two phases. First, we monitor the container resource usage through the container engine and the associated process namespace, thus, keeping container isolation. The main assumption is that the assessment of resource utilization, as measured by the container engine, should be complemented by the concurrent reporting of resource utilization from the container processes. Second, we detect QoS degradation of distributed containerized services through a time-series classification approach coped with a feature reduction technique. The feature reduction selects the prominent performance features from the deployed distributed service, whereas the time-series classifier ensures the evaluation of the deployed service over time, improving the system detection accuracy. Thanks to an extensive experimental assessment considering a containerized distributed Big Data processing platform, we show that container multi-tenancy can affect the processing performance and the QoS of deployed services. In addition, we show that the proposed model can detect QoS degradation at the service provider domain with a true-positive rate up to 90%, a false-positive rate of 8%, and an average F1-Score up to 0.94. ¬© 2024</t>
  </si>
  <si>
    <t>Container; Docker; Kubernetes; Machine learning; Multi-tenancy; QoS</t>
  </si>
  <si>
    <t>Horchulhack, Pedro (57271150200); Viegas, Eduardo K. (55489491500); Santin, Altair O. (9036491500); Ramos, Felipe V. (57271433600); Tedeschi, Pietro (57205428562)</t>
  </si>
  <si>
    <t>57271150200; 55489491500; 9036491500; 57271433600; 57205428562</t>
  </si>
  <si>
    <t>https://www.scopus.com/inward/record.uri?eid=2-s2.0-85184018867&amp;doi=10.1016%2fj.jnca.2024.103839&amp;partnerID=40&amp;md5=203df8241ae306c312231761e7e94c32</t>
  </si>
  <si>
    <t>2-s2.0-85184018867</t>
  </si>
  <si>
    <t>Containers; Data handling; Engines; Feature extraction; Time series; Deployed services; Docker; Features reductions; Kubernetes; Machine-learning; Multi tenancies; Quality-of-service; Resources utilizations; Service degradation; Service provider; Quality of service</t>
  </si>
  <si>
    <t>Kiv A.E.; Semerikov S.O.; Striuk A.M.; Osadchyi V.V.; Vakaliuk T.A.; Nechypurenko P.P.; Bondarenko O.V.; Mintii I.S.; Malchenko S.L.</t>
  </si>
  <si>
    <t>Advancing Education in Challenging Times: A Review of the XVI International Conference on Mathematics, Science and Technology Education (ICon-MaSTEd 2024)</t>
  </si>
  <si>
    <t>10.1088/1742-6596/2871/1/011001</t>
  </si>
  <si>
    <t>This paper presents a comprehensive review of the XVI International Conference on Mathematics, Science and Technology Education (ICon-MaSTEd 2024), held from May 15-17, 2024, at Kryvyi Rih State Pedagogical University, Ukraine. The conference, organized in a hybrid format, brought together over 100 attendees from 9 countries, showcasing cutting-edge research and innovations in educational practices amid global challenges. The review synthesizes key themes and findings from 37 selected papers across various domains, including Mathematics Education, Science Education, Computer Science Education, and Educational Technology. Notable trends include the increased integration of artificial intelligence and digital technologies in education, the development of 21st-century skills, and adaptive strategies for education in crises. Particular attention is given to studies addressing the unique educational challenges faced in Ukraine, demonstrating the resilience and innovation of educators and researchers in conflict-affected regions. The paper highlights significant contributions in areas such as online learning environments, visual thinking in mathematics, AI applications in mental health education, and the design of university digital ecosystems.  ¬© Published under licence by IOP Publishing Ltd.</t>
  </si>
  <si>
    <t>Kiv, A.E. (6602488378); Semerikov, S.O. (56375008500); Striuk, A.M. (57194524952); Osadchyi, V.V. (57190217440); Vakaliuk, T.A. (57211133927); Nechypurenko, P.P. (57194519666); Bondarenko, O.V. (57211133711); Mintii, I.S. (57204971103); Malchenko, S.L. (24463497700)</t>
  </si>
  <si>
    <t>6602488378; 56375008500; 57194524952; 57190217440; 57211133927; 57194519666; 57211133711; 57204971103; 24463497700</t>
  </si>
  <si>
    <t>Journal of Physics: Conference Series</t>
  </si>
  <si>
    <t>https://www.scopus.com/inward/record.uri?eid=2-s2.0-85209205846&amp;doi=10.1088%2f1742-6596%2f2871%2f1%2f011001&amp;partnerID=40&amp;md5=6d0bb5c046f2e35a826502b331904da6</t>
  </si>
  <si>
    <t>2-s2.0-85209205846</t>
  </si>
  <si>
    <t>Adversarial machine learning; Contrastive Learning; Economic and social effects; Medical education; STEM (science, technology, engineering and mathematics); Teaching; Artificial intelligence technologies; Computer Science Education; Cutting edges; Global challenges; Hybrid formats; Mathematics education; Mathematics science and technologies; Science education; Technology education; Ukraine; Educational technology</t>
  </si>
  <si>
    <t>Nigade V.; Bauszat P.; Bal H.; Wang L.</t>
  </si>
  <si>
    <t>Inference serving with end-to-end latency SLOs over dynamic edge networks</t>
  </si>
  <si>
    <t>10.1007/s11241-024-09418-4</t>
  </si>
  <si>
    <t>While high accuracy is of paramount importance for deep learning (DL) inference, serving inference requests on time is equally critical but has not been carefully studied especially when the request has to be served over a dynamic wireless network at the edge. In this paper, we propose Jellyfish‚Äîa novel edge DL inference serving system that achieves soft guarantees for end-to-end inference latency service-level objectives (SLO). Jellyfish handles the network variability by utilizing both data and deep neural network (DNN) adaptation to conduct tradeoffs between accuracy and latency. Jellyfish features a new design that enables collective adaptation policies where the decisions for data and DNN adaptations are aligned and coordinated among multiple users with varying network conditions. We propose efficient algorithms to continuously map users and adapt DNNs at runtime, so that we fulfill latency SLOs while maximizing the overall inference accuracy. We further investigate dynamic DNNs, i.e., DNNs that encompass multiple architecture variants, and demonstrate their potential benefit through preliminary experiments. Our experiments based on a prototype implementation and real-world WiFi and LTE network traces show that Jellyfish can meet latency SLOs at around the 99th percentile while maintaining high accuracy. ¬© The Author(s) 2024.</t>
  </si>
  <si>
    <t>Data adaptation; DNN adaptation; Dynamic DNNs; Dynamic edge networks; Inference serving</t>
  </si>
  <si>
    <t>Nigade, Vinod (57194210081); Bauszat, Pablo (55762588500); Bal, Henri (7006758810); Wang, Lin (57188626214)</t>
  </si>
  <si>
    <t>57194210081; 55762588500; 7006758810; 57188626214</t>
  </si>
  <si>
    <t>Real-Time Systems</t>
  </si>
  <si>
    <t>https://www.scopus.com/inward/record.uri?eid=2-s2.0-85184224496&amp;doi=10.1007%2fs11241-024-09418-4&amp;partnerID=40&amp;md5=9c680f8a3bd9e11df16a906de7354abb</t>
  </si>
  <si>
    <t>2-s2.0-85184224496</t>
  </si>
  <si>
    <t>Inference engines; Mobile telecommunication systems; Wi-Fi; Data adaptation; Deep neural network adaptation; Dynamic DNN; Dynamic edge network; Dynamic wireless networks; EDGE Networks; End to end latencies; High-accuracy; Inference serving; Neural network adaptation; Deep neural networks</t>
  </si>
  <si>
    <t>Habibi M.W.; Buditjahjanto I.G.P.A.</t>
  </si>
  <si>
    <t>Impact of Training Kit-Based Internet of Things to Learn Microcontroller Viewed in Cognitive Domain</t>
  </si>
  <si>
    <t>10.18421/TEM132-30</t>
  </si>
  <si>
    <t>‚Äì This research aims to find out how effective the IoT microcontroller training kit learning media is and to analyze the effect of using the IoT microcontroller training kit compared to the common microcontroller training kit on students‚Äô cognitive learning outcomes in learning microcontroller and microprocessor programming techniques. The normalized gain method was used to determine the effectiveness of the IoT microcontroller training kit learning media. The ANOVA method was used to determine the effect of using the IoT microcontroller training kit and common microcontroller training kit on the average student cognitive learning outcomes. The research results show that the IoT microcontroller training kit learning media has a normalized gain value of 59.62% in the effective enough category. The average cognitive learning outcomes of students using the IoT microcontroller training kit are greater than those using the regular microcontroller training kit, according to the results of the study using one-way ANOVA, where the p-value is less than the Œ± value of 0.05. This IoT microcontroller training kit can be used to improve students‚Äô cognition regarding microcontroller learning in vocational schools. ¬© 2024 Mohammad Wildan Habibi &amp; I Gusti Putu Asto Buditjahjanto; published by UIKTEN. This work is licensed under the Creative Commons Attribution-NonCommercial-NoDerivs 4.0 License.</t>
  </si>
  <si>
    <t>cognitive domain; IoT; microcontroller; Quality education; training kit</t>
  </si>
  <si>
    <t>Habibi, Mohammad Wildan (59144107400); Buditjahjanto, I. Gusti Putu Asto (35728306600)</t>
  </si>
  <si>
    <t>59144107400; 35728306600</t>
  </si>
  <si>
    <t>TEM Journal</t>
  </si>
  <si>
    <t>https://www.scopus.com/inward/record.uri?eid=2-s2.0-85196111907&amp;doi=10.18421%2fTEM132-30&amp;partnerID=40&amp;md5=bac7da647a559d2a80c8f2c4ae5be4ca</t>
  </si>
  <si>
    <t>2-s2.0-85196111907</t>
  </si>
  <si>
    <t>Dhakal A.; Kulkarni S.G.; Ramakrishnan K.K.</t>
  </si>
  <si>
    <t>D-STACK: High Throughput DNN Inference by Effective Multiplexing and Spatio-Temporal Scheduling of GPUs</t>
  </si>
  <si>
    <t>10.1109/TCC.2024.3476210</t>
  </si>
  <si>
    <t>Hardware accelerators such as GPUs are required for real-time, low latency inference with Deep Neural Networks (DNN). Providing inference services in the cloud can be resource intensive, and effectively utilizing accelerators in the cloud is important. Spatial multiplexing of the GPU, while limiting the GPU resources (GPU%) to each DNN to the right amount, leads to higher GPU utilization and higher inference throughput. Right-sizing the GPU for each DNN the optimal batching of requests to balance throughput and service level objectives (SLOs), and maximizing throughput by appropriately scheduling DNNs are still significant challenges.This article introduces a dynamic and fair spatio-temporal scheduler (D-STACK) for multiple DNNs to run in the GPU concurrently. We develop and validate a model that estimates the parallelism each DNN can utilize and a lightweight optimization formulation to find an efficient batch size for each DNN. Our holistic inference framework provides high throughput while meeting application SLOs. We compare D-STACK with other GPU multiplexing and scheduling methods (e.g., NVIDIA Triton, Clipper, Nexus), using popular DNN models. Our controlled experiments with multiplexing several popular DNN models achieve up to 1.6√ó improvement in GPU utilization and up to 4√ó improvement in inference throughput.  ¬© 2013 IEEE.</t>
  </si>
  <si>
    <t>Datasets; gaze detection; neural networks; text tagging</t>
  </si>
  <si>
    <t>Dhakal, Aditya (57200495213); Kulkarni, Sameer G. (57191339154); Ramakrishnan, K.K. (7101600362)</t>
  </si>
  <si>
    <t>57200495213; 57191339154; 7101600362</t>
  </si>
  <si>
    <t>https://www.scopus.com/inward/record.uri?eid=2-s2.0-85207134247&amp;doi=10.1109%2fTCC.2024.3476210&amp;partnerID=40&amp;md5=6b0d16b48b961c1be7abc09b7a7d3dfe</t>
  </si>
  <si>
    <t>2-s2.0-85207134247</t>
  </si>
  <si>
    <t>Deep neural networks; Graphics processing unit; Scheduling algorithms; Dataset; Gaze detection; Hardware accelerators; High-throughput; Network inference; Neural network model; Neural-networks; Service level objective; Spatio-temporal; Text tagging; Computer graphics equipment</t>
  </si>
  <si>
    <t>Himeur Y.; Sayed A.N.; Alsalemi A.; Bensaali F.; Amira A.</t>
  </si>
  <si>
    <t>Edge AI for Internet of Energy: Challenges and perspectives</t>
  </si>
  <si>
    <t>10.1016/j.iot.2023.101035</t>
  </si>
  <si>
    <t>The digital landscape of the Internet of Energy (IoE) is on the brink of a revolutionary transformation with the integration of edge Artificial Intelligence (AI). This comprehensive review elucidates the promise and potential that edge AI holds for reshaping the IoE ecosystem. Commencing with a meticulously curated research methodology, the article delves into the myriad of edge AI techniques specifically tailored for IoE. The myriad benefits, spanning from reduced latency and real-time analytics to the pivotal aspects of information security, scalability, and cost-efficiency, underscore the indispensability of edge AI in modern IoE frameworks. As the narrative progresses, readers are acquainted with pragmatic applications and techniques, highlighting on-device computation, secure private inference methods, and the avant-garde paradigms of AI training on the edge. A critical analysis follows, offering a deep dive into the present challenges including security concerns, computational hurdles, and standardization issues. However, as the horizon of technology ever expands, the review culminates in a forward-looking perspective, envisaging the future symbiosis of 5G networks, federated edge AI, deep reinforcement learning, and more, painting a vibrant panorama of what the future beholds. For anyone vested in the domains of IoE and AI, this review offers both a foundation and a visionary lens, bridging the present realities with future possibilities. ¬© 2023</t>
  </si>
  <si>
    <t>Blockchain; Edge AI; Energy efficiency in buildings; Federated learning; Internet of energy (IoE); Large language models (LLMs)</t>
  </si>
  <si>
    <t>Himeur, Yassine (55636199800); Sayed, Aya Nabil (57226268709); Alsalemi, Abdullah (57197796766); Bensaali, Faycal (6506260453); Amira, Abbes (23003399100)</t>
  </si>
  <si>
    <t>55636199800; 57226268709; 57197796766; 6506260453; 23003399100</t>
  </si>
  <si>
    <t>https://www.scopus.com/inward/record.uri?eid=2-s2.0-85185927709&amp;doi=10.1016%2fj.iot.2023.101035&amp;partnerID=40&amp;md5=35c6d5651b9f1bb4e6f19778fea9a25d</t>
  </si>
  <si>
    <t>2-s2.0-85185927709</t>
  </si>
  <si>
    <t>Alsafery W.; Rana O.; Perera C.</t>
  </si>
  <si>
    <t>Sensing within Smart Buildings: A Survey</t>
  </si>
  <si>
    <t>10.1145/3596600</t>
  </si>
  <si>
    <t>13 s</t>
  </si>
  <si>
    <t>Increasingly, buildings are being fitted with sensors for the needs of different sectors, such as education, industry and business. Using Internet of Things devices combined with analysis of data being generated by these devices, it is possible to infer a number of metrics, e.g., building occupancy and activities of occupants. The information thus gathered can be used to develop software applications to support energy management, occupant comfort, and space utilization. This survey explores the use of sensors in smart building environments, identifying different approaches to employ sensors in buildings. The most commonly used data-driven approaches for activity recognition in such buildings is also investigated, concluding by highlighting current research challenges and future research directions in this area. ¬© 2023 Copyright held by the owner/author(s). Publication rights licensed to ACM.</t>
  </si>
  <si>
    <t>activity recognition; occupancy; Sensors; smart buildings</t>
  </si>
  <si>
    <t>Alsafery, Wael (57203918787); Rana, Omer (7003659610); Perera, Charith (55293491900)</t>
  </si>
  <si>
    <t>57203918787; 7003659610; 55293491900</t>
  </si>
  <si>
    <t>https://www.scopus.com/inward/record.uri?eid=2-s2.0-85168795114&amp;doi=10.1145%2f3596600&amp;partnerID=40&amp;md5=d615c61bf19ef8a073cb83d3117a014f</t>
  </si>
  <si>
    <t>2-s2.0-85168795114</t>
  </si>
  <si>
    <t>Intelligent buildings; Pattern recognition; Activity recognition; Analysis of data; Building activities; Building occupancy; Education industry; Occupancy; Occupant comforts; Software applications; Space utilization; Support energy; Application programs</t>
  </si>
  <si>
    <t>Chen X.; Cao J.; Sahni Y.; Jiang S.; Liang Z.</t>
  </si>
  <si>
    <t>Dynamic Task Offloading in Edge Computing Based on Dependency-Aware Reinforcement Learning</t>
  </si>
  <si>
    <t>10.1109/TCC.2024.3381646</t>
  </si>
  <si>
    <t>Collaborative edge computing (CEC) is an emerging computing paradigm in which edge nodes collaborate to perform tasks from end devices. Task offloading decides when and at which edge node tasks are executed. Most existing studies assume task profiles and network conditions are known in advance, which can hardly adapt to dynamic real-world computation environments. Some learning-based methods use online task offloading without considering task dependency and network flow scheduling, leading to underutilized resources and flow congestion. We study Online Dependent Task Offloading (ODTO) in CEC, jointly optimizing network flow scheduling to optimize quality of service by reducing task completion time and energy consumption. The challenge of ODTO lies in how to offload dependent tasks and schedule network flows in dynamic networks. We model ODTO as the Markov Decision Process (MDP) and propose an Asynchronous Deep Progressive Reinforcement Learning (ADPRL) approach that optimize offloading and bandwidth decisions. We design a novel dependency-aware reward mechanism to address task dependency and dynamic network. Extensive experiments on the Alibaba cluster trace dataset and synthetic dataset indicate that our algorithm outperforms heuristic and learning-based methods in average task completion time and energy consumption.  ¬© 2013 IEEE.</t>
  </si>
  <si>
    <t>Collaborative edge computing; deep reinforcement learning; network flow scheduling; task offloading</t>
  </si>
  <si>
    <t>Chen, Xiangchun (58743182800); Cao, Jiannong (7403354073); Sahni, Yuvraj (57140493800); Jiang, Shan (57189240747); Liang, Zhixuan (57212478992)</t>
  </si>
  <si>
    <t>58743182800; 7403354073; 57140493800; 57189240747; 57212478992</t>
  </si>
  <si>
    <t>https://www.scopus.com/inward/record.uri?eid=2-s2.0-85189152214&amp;doi=10.1109%2fTCC.2024.3381646&amp;partnerID=40&amp;md5=42c2547cc86ab4e0ac5d76ca5988d9b1</t>
  </si>
  <si>
    <t>2-s2.0-85189152214</t>
  </si>
  <si>
    <t>Computation offloading; Deep learning; Green computing; Heuristic algorithms; Heuristic methods; Learning algorithms; Markov processes; Optimization; Quality of service; Reinforcement learning; Scheduling algorithms; Collaborative edge computing; Deep reinforcement learning; Edge computing; Energy-consumption; Flow scheduling; Heuristics algorithm; Network flow scheduling; Networks flows; Optimal scheduling; Processor scheduling; Reinforcement learnings; Schedule; Task analysis; Task offloading; Energy utilization</t>
  </si>
  <si>
    <t>Majeed Parry G.; Revolidis I.; Ellul J.; Pace G.J.</t>
  </si>
  <si>
    <t>Bottling Up Trust: A Review of Blockchain Adoption in Wine Supply Chain Traceability</t>
  </si>
  <si>
    <t>10.1109/ACCESS.2024.3505428</t>
  </si>
  <si>
    <t>Though viticulture, wine production and distribution, involves processes mainly revolving around a single component/ingredient - grapes, it still faces the challenges of supply chain management. Supply chains require significant trust among stakeholders, and whilst for the most parts modern day supply chains 'work', it is when failures/mistakes occur that risks are high. Blockchain technology has emerged as a potential solution to confront supply chain-related traceability, transparency, and trust issues - of which extensive work has been done in applying it to wine sector. In this paper, we provide an overview of the technology and its capacity to bring about transformative changes to the viticulture supply chain. The current state of blockchain assimilation in the wine supply chain is presented, whilst highlighting the benefits and challenges associated with utilising blockchain within the wine industry-related supply chains. We pinpoint technological, legal, and adoption obstacles that must be overcome to ensure the successful integration of blockchain within the viticulture supply chain. Drawing on the state-of-the-art and industry practices, we propose directions to overcome hurdles - which may better support enhanced supply chain traceability, amplified transparency, and consumer trust, improved quality assurance and safeguarding against counterfeiting and fraud within the viticulture industry.  ¬© 2013 IEEE.</t>
  </si>
  <si>
    <t>Blockchain; counterfeiting; sustainability; traceability; transparency; trust; wine supply chain</t>
  </si>
  <si>
    <t>Majeed Parry, Gowher (59422254900); Revolidis, Ioannis (57194702661); Ellul, Joshua (26031366400); Pace, Gordon J. (15045382800)</t>
  </si>
  <si>
    <t>59422254900; 57194702661; 26031366400; 15045382800</t>
  </si>
  <si>
    <t>https://www.scopus.com/inward/record.uri?eid=2-s2.0-85210529343&amp;doi=10.1109%2fACCESS.2024.3505428&amp;partnerID=40&amp;md5=d14fcb0a4724d0b047f30968890a7023</t>
  </si>
  <si>
    <t>2-s2.0-85210529343</t>
  </si>
  <si>
    <t>Blockchain; Breweries; Supply chains; 'current; Benefit and challenges; Block-chain; Chain management; Counterfeiting; Single components; Traceability; Trust; Wine production; Wine supply chain; Wine</t>
  </si>
  <si>
    <t>Sharma A.; Thangaraj V.</t>
  </si>
  <si>
    <t>Intelligent service placement algorithm based on DDQN and prioritized experience replay in IoT-Fog computing environment</t>
  </si>
  <si>
    <t>10.1016/j.iot.2024.101112</t>
  </si>
  <si>
    <t>The widespread use of Internet of Things-based applications has led to the development of the fog computing paradigm, enabling seamless utilization of edge and cloud resources. The placement of IoT service requests at the appropriate fog nodes is one of the key problems in a fog-cloud environment, which affects the overall system performance and user experience. The challenges associated with service placement are the stochastic nature of service demand, heterogeneous and distributed characteristics of fog nodes. The objective of this work is to develop an effective service placement method to meet the varying resource requirements of services while optimizing two important performance parameters: service execution time and fog nodes‚Äô energy consumption. Existing solutions are slow to adapt and neglecting the temporal patterns of service resource demand. This paper proposes a novel service placement algorithm based on double deep Q-Network and prioritized experience replay (DDQN-PER), which explores the optimal service placement strategy using the adaptive learning ability of deep reinforcement learning (DRL). The DRL agent learns the dynamic nature of the resource requirements of services to find an appropriate fog node for service placement. To evaluate the performance of the proposed algorithm, experiments are carried out using Measurement and Analysis on the WIDE Internet (MAWI) traffic traces. The proposed DDQN-PER algorithm, compared with other state-of-the-art methods and experimental results, show that the proposed method can minimize the service latency time and fog node's energy consumption from 2.5% to 8% and 6% to 17%, respectively. ¬© 2024 Elsevier B.V.</t>
  </si>
  <si>
    <t>Deep reinforcement learning; Energy consumption; Fog computing; Latency; Prioritized experience replay; Service placement</t>
  </si>
  <si>
    <t>Sharma, Ankur (57199494783); Thangaraj, Veni (56308037000)</t>
  </si>
  <si>
    <t>57199494783; 56308037000</t>
  </si>
  <si>
    <t>https://www.scopus.com/inward/record.uri?eid=2-s2.0-85185165442&amp;doi=10.1016%2fj.iot.2024.101112&amp;partnerID=40&amp;md5=9acbf5aa33c12abcdfe72970be83ae05</t>
  </si>
  <si>
    <t>2-s2.0-85185165442</t>
  </si>
  <si>
    <t>Yuan H.; Hu Q.; Wang S.; Bi J.; Buyya R.; Lu J.; Yang J.; Zhang J.; Zhou M.</t>
  </si>
  <si>
    <t>Cost-optimized Task Offloading for Dependent Applications in Collaborative Edge and Cloud Computing</t>
  </si>
  <si>
    <t>10.1109/JIOT.2024.3522964</t>
  </si>
  <si>
    <t>A collaborative system that includes mobile devices (MDs), edge nodes (ENs), and the cloud is needed where ENs at the network edge can run offloaded tasks of MDs with limited resources and energy for timely processing for latency-sensitive applications. Unlike existing studies, we formulate a total cost minimization problem for the system for applications, which can be divided into several interdependent subtasks. Each subtask can be executed in MDs, ENs, and the cloud. This work formulates a mixed-integer nonlinear program to minimize the total system cost. To address it, a novel meta-heuristic optimization algorithm called Genetic Simulated-annealing-based Particle swarm optimization with Auto-Encoder (GSPAE) is proposed, which innovatively combines feature extraction of deep learning and global search of meta-heuristic optimization. Genetic operations provide diverse solutions, the Metropolis acceptance of annealing offers a robust global search, and autoencoders extract distribution characteristics of particles towards high-quality regions for fast convergence. Thus, GSPAE optimizes the associations between ENs and MDs and the scheduling of subtasks among MDs, ENs, and the cloud. Experiments with large-scale Google cluster datasets show that compared to state-of-the-art benchmark methods, GSPAE reduces the total cost by at least 17% while strictly meeting limits of application latency, available energy, computing, and communication resources of ENs and MDs. ¬© 2014 IEEE.</t>
  </si>
  <si>
    <t>autoencoders; Cloud computing; deep learning; edge computing; particle swarm optimization; task offloading</t>
  </si>
  <si>
    <t>Yuan, Haitao (36652221400); Hu, Qinglong (57444854400); Wang, Shen (58929475700); Bi, Jing (55847050400); Buyya, Rajkumar (57194845546); Lu, Jinhu (58532857500); Yang, Jinhong (55840829700); Zhang, Jia (36065598500); Zhou, Mengchu (7403506743)</t>
  </si>
  <si>
    <t>36652221400; 57444854400; 58929475700; 55847050400; 57194845546; 58532857500; 55840829700; 36065598500; 7403506743</t>
  </si>
  <si>
    <t>https://www.scopus.com/inward/record.uri?eid=2-s2.0-85214703352&amp;doi=10.1109%2fJIOT.2024.3522964&amp;partnerID=40&amp;md5=1afa33293560ef51ef7f53056ac7981e</t>
  </si>
  <si>
    <t>2-s2.0-85214703352</t>
  </si>
  <si>
    <t>Cloud platforms; Computation offloading; Deep learning; Integer programming; Nonlinear programming; Particle swarm optimization (PSO); Simulated annealing; Auto encoders; Cloud-computing; Deep learning; Edge computing; Edge nodes; Particle swarm; Particle swarm optimization; Subtask; Swarm optimization; Task offloading; Mobile edge computing</t>
  </si>
  <si>
    <t>Qazi F.; Khan S.A.; Hanif F.; Agha D.-E.-S.</t>
  </si>
  <si>
    <t>Efficient Routing Algorithm Towards the Security of Vehicular Ad-Hoc Network and Its Applications</t>
  </si>
  <si>
    <t>10.1007/s10776-023-00613-x</t>
  </si>
  <si>
    <t>A mobile ad hoc network (MANET) is a cluster of wireless mobile devices that can create a temporary network without seeking the support of any central management or infrastructure. Due to such issues, wireless communications require energy consumption, frequent data transmission, and nodes' mobility. Secondly, loss of data packets occurs because of various reasons such as traffic congestion, node mobility, or unexpected losses. An efficient vehicular ad hoc network (VANET) routing protocol is proposed in this study using a genetic algorithm (GA) and evolution-based techniques while considering all the parameters. A new fitness function (F.F) to obtain the optimum route is proposed in this study by using the routes provided by the Ad hoc on-demand multipath distance vector AOMDV routing protocol. This study uses a new type of routing mechanism based on cryptography to demonstrate how to secure V2V and V2I communications from various network threats in a VANET environment. For VANET communications, the transmission message must meet the requirements for integrity, confidentiality, and non-repudiation to ensure that a trustworthy third party can identify users with a pattern of misbehavior. While ensuring optimized route selection and secured communications, a hybrid approach AOMDV-RGA and ABC is proposed. AOMDV-RGA (AOMDV Routing using Genetic Algorithm) is used for selecting optimal routes among the routes, and ABSC (Authentication Based Secured Communication) is proposed for performing secured communication between V2V and V2I. The experimental results demonstrate the proposed technique's effectiveness compared with other previously developed techniques to address the routing and security problems of VANETs. ¬© The Author(s), under exclusive licence to Springer Science+Business Media, LLC, part of Springer Nature 2024.</t>
  </si>
  <si>
    <t>ABSC (authentication based secured communication); Ad hoc on-demand multipath distance vector (AOMDV) routing protocol; Confidentiality and non-repudiation; Cryptography; Fitness function (F.F); Genetic algorithm (GA); Integrity; Mobile ad hoc network (MANET)</t>
  </si>
  <si>
    <t>Qazi, Farheen (57203920619); Khan, Sadiq Ali (57188853359); Hanif, Fozia (56057077600); Agha, Dur-E-Shawar (57203917695)</t>
  </si>
  <si>
    <t>57203920619; 57188853359; 56057077600; 57203917695</t>
  </si>
  <si>
    <t>International Journal of Wireless Information Networks</t>
  </si>
  <si>
    <t>https://www.scopus.com/inward/record.uri?eid=2-s2.0-85182857048&amp;doi=10.1007%2fs10776-023-00613-x&amp;partnerID=40&amp;md5=2c49298d9c543a781b26b7c934b3a13b</t>
  </si>
  <si>
    <t>2-s2.0-85182857048</t>
  </si>
  <si>
    <t>Authentication; Cryptography; Energy utilization; Internet protocols; Mobile security; Mobile telecommunication systems; Network security; Routing protocols; Traffic congestion; Vehicular ad hoc networks; Ad hoc on-demand multipath distance vector  routing protocol; Ad hoc on-demand multipath distance vectors; Authentication based secured communication; Confidentiality and non-repudiation; Distance vector routing protocols; Fitness function; Fitness functions; Genetic algorithm; Integrity; Mobile ad hoc network; Mobile ad-hoc networks; Non repudiation; Secured communication; Genetic algorithms</t>
  </si>
  <si>
    <t>Adeppady M.; Conte A.; Giaccone P.; Karl H.; Chiasserini C.F.</t>
  </si>
  <si>
    <t>Dynamic Management of Constrained Computing Resources for Serverless Services</t>
  </si>
  <si>
    <t>10.1109/TNSM.2024.3497155</t>
  </si>
  <si>
    <t>In resource-constrained cloud systems, e.g., at the network edge or in private clouds, serverless computing is increasingly adopted to deploy microservices-based applications, leveraging its promised high resource efficiency. Provisioning resources to serverless services, however, poses several challenges, due to the high cold-start latency of containers and stringent Service Level Agreement (SLA) requirements of the microservices. In response, we investigate the behavior of containers in different states (i.e., running, warm, or cold) and exploit our experimental observations to formulate an optimization problem that minimizes the energy consumption of the active servers while reducing SLA violations. In light of the problem complexity, we propose a low-complexity algorithm, named AiW, which utilizes a multi-queueing approach to balance energy consumption and system performance by reusing containers effectively and invoking cold-starts only when necessary. To further minimize the energy consumption of data centers, we introduce the two-timescale COmputing resource Management at the Edge (COME) framework, comprising an orchestrator running our proposed AiW algorithm for container provisioning and Dynamic Server Provisioner (DSP) for dynamically activating/deactivating servers in response to AiW's decisions on request scheduling. COME addresses the mismatch in timescales for resource provisioning decisions at the container and server levels. Extensive performance evaluation through simulation shows AiW's close match to the optimum and COME's significant reduction in power consumption by 22-64% compared state-of-the-art alternatives. ¬© 2004-2012 IEEE.</t>
  </si>
  <si>
    <t>Cloud Computing Services; Edge Computing; Energy-aware Management; Orchestration</t>
  </si>
  <si>
    <t>Adeppady, Madhura (57435100000); Conte, Alberto (8688261400); Giaccone, Paolo (55222154600); Karl, Holger (7101711052); Chiasserini, Carla Fabiana (7004886008)</t>
  </si>
  <si>
    <t>57435100000; 8688261400; 55222154600; 7101711052; 7004886008</t>
  </si>
  <si>
    <t>https://www.scopus.com/inward/record.uri?eid=2-s2.0-85209387259&amp;doi=10.1109%2fTNSM.2024.3497155&amp;partnerID=40&amp;md5=194332a05c569de08bf598f33679b575</t>
  </si>
  <si>
    <t>2-s2.0-85209387259</t>
  </si>
  <si>
    <t>Edge computing; Energy utilization; Information management; Cloud computing services; Cold-start; Dynamic management; Edge computing; Energy aware; Energy-aware management; Energy-consumption; Orchestration; Servicelevel agreement (SLA); Time-scales; Cloud platforms</t>
  </si>
  <si>
    <t>Poth A.; Saalfeld L.</t>
  </si>
  <si>
    <t>Improve IT Sustainability with IT Technology ‚Äì Comparison of an Explore vs. Exploit Strategy (with a Case Study on Containerized Workloads)</t>
  </si>
  <si>
    <t>10.1007/978-3-031-71142-8_2</t>
  </si>
  <si>
    <t>2180 CCIS</t>
  </si>
  <si>
    <t>The size and complexity of IT systems is growing over time. Therefore, the resource unit footprint of an IT system grows, too. But what impact has an exploration strategy of new technologies to reduce the footprint? Based on a case study of a cloud service from the Volkswagen Group IT an exploration approach is compared with an exploitation approach. It presents the methodical approach and its effects on the resource unit footprint of a micro-service architecture of the IT service. The approach enables the DevOps team to beat Wirth‚Äôs law by keeping the footprint at least constant by offering more capabilities and features to their users. ¬© The Author(s), under exclusive license to Springer Nature Switzerland AG 2024.</t>
  </si>
  <si>
    <t>Containerization; Green IT; Micro-Service; Native Image; Sustainability; Wirth‚Äôs law</t>
  </si>
  <si>
    <t>Poth, Alexander (57207597845); Saalfeld, Luca (59337943700)</t>
  </si>
  <si>
    <t>57207597845; 59337943700</t>
  </si>
  <si>
    <t>Communications in Computer and Information Science</t>
  </si>
  <si>
    <t>https://www.scopus.com/inward/record.uri?eid=2-s2.0-85204598573&amp;doi=10.1007%2f978-3-031-71142-8_2&amp;partnerID=40&amp;md5=368aebc947fe40d0bd796c242e692b49</t>
  </si>
  <si>
    <t>2-s2.0-85204598573</t>
  </si>
  <si>
    <t>Case-studies; Containerization; Exploration strategies; Green-IT; IT system; Micro services; Native image; Resource units; Technology comparison; Wirth‚Äôs law</t>
  </si>
  <si>
    <t>Chiariotti F.</t>
  </si>
  <si>
    <t>Age of Information Analysis for a Shared Edge Computing Server</t>
  </si>
  <si>
    <t>10.1109/TCOMM.2024.3412761</t>
  </si>
  <si>
    <t>Mobile Edge Computing (MEC) is expected to play a significant role in the development of 6G networks, as new applications such as cooperative driving and eXtended Reality (XR) require both communication and computational resources from the network edge. However, the limited capabilities of edge servers may be strained to perform complex computational tasks within strict latency bounds for multiple clients. In these contexts, both maintaining a low expected Age of Information (AoI) and guaranteeing a low Peak AoI (PAoI) even in the worst case may have significant user experience and safety implications. In this work, we investigate a theoretical model of a MEC server, deriving the expected AoI and the PAoI and latency distributions under the First In First Out (FIFO) and Generalized Processor Sharing (GPS) resource allocation policies. We consider both synchronized and unsynchronized systems, and draw insights on the robust design of resource allocation policies from the analytical results, as well as considering the dimensioning of MEC capabilities in two realistic 6G use cases. ¬© 1972-2012 IEEE.</t>
  </si>
  <si>
    <t>Age of Information; generalized processor sharing; mobile edge computing</t>
  </si>
  <si>
    <t>Chiariotti, Federico (57044628000)</t>
  </si>
  <si>
    <t>IEEE Transactions on Communications</t>
  </si>
  <si>
    <t>https://www.scopus.com/inward/record.uri?eid=2-s2.0-85196102336&amp;doi=10.1109%2fTCOMM.2024.3412761&amp;partnerID=40&amp;md5=0b3dc1579bd2d6a81182db97b3c46213</t>
  </si>
  <si>
    <t>2-s2.0-85196102336</t>
  </si>
  <si>
    <t>Cooperative communication; Global positioning system; Information management; Job analysis; Resource allocation; Age of information; Computational modelling; Cooperative driving; Edge computing; Generalized processor sharing; New applications; Optimisations; Resource allocation policy; Resource management; Task analysis; Mobile edge computing</t>
  </si>
  <si>
    <t>Suprihadi; Wijono S.; Hartomo K.D.</t>
  </si>
  <si>
    <t>Analysis service architecture utilizing middleware for information services management systems</t>
  </si>
  <si>
    <t>10.6703/IJASE.202406_21(2).001</t>
  </si>
  <si>
    <t>The field of Information Service Management is concerned with the effective management of information technology (IT) services across their entire lifespan, encompassing activities such as design, development, deployment, operation, and continuous improvement. The components encompass many procedures, namely service design, service transition, service operation, and constant service improvement. The proliferation of information service management aligns with the ubiquity of the internet and its web-based services, notwithstanding the constraints posed by intermittent wireless connectivity. When the attainment of web service reliability is accomplished, there is a decrease in communication overhead, resulting in the retrieval of the correct response with little exertion. The worldwide pandemic issue presents an opportunity to glean useful insights that can contribute to the progress of digital health technologies. The remote monitoring of patient's health conditions and treatment actions inside the health system is crucial to mitigate the potential danger of disease transmission. Furthermore, there is a need for further development of digital technology that enables the sharing of information and facilitates evidence-based decision-making among stakeholders. The provision of data integration and analysis services is necessitated by the utilization of web services. The utilization of the middleware technique is deemed to be more suitable for web services. This study presents a novel model, referred to as Analysis Service Architecture utilizing Middleware (ASAM). The ASAM framework was established through the utilization of the Service Computing Systems Engineering Life Cycle approach. Further, ASAM is applied to the Management of Tuberculosis Information Services in Epidemic Tuberculosis cases in Indonesia. We evaluate and analyze our proposed method with other Information service management including face recognition, object recognition, and optical character recognition as a basis for evidence-based decision-making. Black box method testing with 50 service samples was carried out to measure aspects of functionality, reliability, and efficiency with ISO/ICE 9126 standards. The result is that the ASAM model is considered feasible as a new model of service-oriented middleware based on service-oriented architecture. ¬© The Author(s). This is an open access article distributed under the terms of the Creative Commons Attribution License (CC BY 4.0), which permits unrestricted distribution provided the original author and source are cited.</t>
  </si>
  <si>
    <t>Artificial intelligence; ASAM; Information service; Service architecture</t>
  </si>
  <si>
    <t>Suprihadi (56662195400); Wijono, Sutarto (57211614145); Hartomo, Kristoko Dwi (56543586000)</t>
  </si>
  <si>
    <t>56662195400; 57211614145; 56543586000</t>
  </si>
  <si>
    <t>International Journal of Applied Science and Engineering</t>
  </si>
  <si>
    <t>https://www.scopus.com/inward/record.uri?eid=2-s2.0-85195639041&amp;doi=10.6703%2fIJASE.202406_21%282%29.001&amp;partnerID=40&amp;md5=58217764b668e724c9fe0acbddb09b87</t>
  </si>
  <si>
    <t>2-s2.0-85195639041</t>
  </si>
  <si>
    <t>Li X.; Zhao J.; Wang Y.; Ma L.; Ma J.; Gao X.; Zhang J.</t>
  </si>
  <si>
    <t>HealthEdge: A Proactive DRL-Driven Service Reconfiguration Mechanism for Pre-Hospital Emergency Response in Edge Networks</t>
  </si>
  <si>
    <t>10.1109/ICDH62654.2024.00046</t>
  </si>
  <si>
    <t>Digital health initiatives are increasingly reliant on Internet of Things (IoT) applications to provide timely and efficient care, with pre-hospital emergency services being a critical component. These services are inherently delay-sensitive, necessitating robust resource management to ensure rapid response times and high-quality care. However, IoT devices in edge networks, such as emergency response units, are often resource-constrained, posing challenges in meeting the dynamic demands of emergency medical services. The imperative of pre-hospital emergency response demands an urgent reevaluation of current resource allocation strategies in edge networks. Traditional static dispatch protocols often fall short in dynamically optimizing ambulance deployment, leading to life-threatening delays and suboptimal patient outcomes. This paper introduces an innovative service reconfiguration mechanism that proactively addresses the pressing need for real-time, intelligent service allocation in emergency health services. This mechanism aims to re-schedule the configuration of resources provided by IoT devices through service migration technique. Extensive experiments are conducted upon datasets of pre-hospital emergency in Shenhzen, and experimental results show that our mechanism is more efficient than baseline techniques in satisfying delay constraints of IoT applications, decreasing energy consumption of IoT devices, and improving the service efficiency of pre-hospital emergency.  ¬© 2024 IEEE.</t>
  </si>
  <si>
    <t>Delay-Sensitive IoT Applications; Edge Networks; Online Reconfiguration; Pre-hospital Emergency; Reinforcement Learning</t>
  </si>
  <si>
    <t>Li, Xiaocui (57205587018); Zhao, Junfeng (36618431600); Wang, Yasha (8729530100); Ma, Liantao (57206144656); Ma, Junyi (56969955400); Gao, Xin (57226033447); Zhang, Jinhui (57935285200)</t>
  </si>
  <si>
    <t>57205587018; 36618431600; 8729530100; 57206144656; 56969955400; 57226033447; 57935285200</t>
  </si>
  <si>
    <t>Proceedings - 2024 IEEE International Conference on Digital Health, ICDH 2024</t>
  </si>
  <si>
    <t>https://www.scopus.com/inward/record.uri?eid=2-s2.0-85203833740&amp;doi=10.1109%2fICDH62654.2024.00046&amp;partnerID=40&amp;md5=970813cb9b5003e2096bf0bdc6590091</t>
  </si>
  <si>
    <t>2-s2.0-85203833740</t>
  </si>
  <si>
    <t>Delay tolerant networks; Edge computing; Intelligent systems; Reinforcement learning; Risk management; Critical component; Delay sensitive; Delay-sensitive internet of thing application; EDGE Networks; Emergency response; Online reconfiguration; Pre-hospital emergency; Reconfiguration mechanisms; Reinforcement learnings; Service Reconfiguration; Resource allocation</t>
  </si>
  <si>
    <t>Cortellessa V.; Di Pompeo D.; Tucci M.</t>
  </si>
  <si>
    <t>Exploring Sustainable Alternatives for the Deployment of Microservices Architectures in the Cloud</t>
  </si>
  <si>
    <t>10.1109/ICSA59870.2024.00012</t>
  </si>
  <si>
    <t>As organizations increasingly migrate their applications to the cloud, the optimization of microservices architectures becomes imperative for achieving sustainability goals. Nonetheless, sustainable deployments may increase costs and deteriorate performance, thus the identification of optimal trade-offs among these conflicting requirements is a key objective not easy to achieve. This paper introduces a novel approach to support cloud deployment of microservices architectures by targeting optimal combinations of application performance, deployment costs, and power consumption. By leveraging genetic algorithms, specifically NSGA-II, we automate the generation of alternative architectural deployments. The results demonstrate the potential of our approach through a comprehensive assessment of the Train Ticket case study.  ¬© 2024 IEEE.</t>
  </si>
  <si>
    <t>model-driven engineering; performance; refactoring; search-based software engineering; sustainability</t>
  </si>
  <si>
    <t>Cortellessa, Vittorio (6603764364); Di Pompeo, Daniele (57188727238); Tucci, Michele (55317706000)</t>
  </si>
  <si>
    <t>6603764364; 57188727238; 55317706000</t>
  </si>
  <si>
    <t>Proceedings - IEEE 21st International Conference on Software Architecture, ICSA 2024</t>
  </si>
  <si>
    <t>https://www.scopus.com/inward/record.uri?eid=2-s2.0-85201051178&amp;doi=10.1109%2fICSA59870.2024.00012&amp;partnerID=40&amp;md5=ebb3d2628f5d1191a5b97bd9115b93a3</t>
  </si>
  <si>
    <t>2-s2.0-85201051178</t>
  </si>
  <si>
    <t>Computer architecture; Economic and social effects; Genetic algorithms; Sustainable development; Cloud deployments; Key objective; Model-driven Engineering; Optimal combination; Optimisations; Performance; Refactorings; Search-based; Search-based software engineering; Trade off; Software engineering</t>
  </si>
  <si>
    <t>Hajvali M.; Adabi S.; Rezaee A.; Hosseinzadeh M.</t>
  </si>
  <si>
    <t>Decentralized and scalable hybrid scheduling-clustering method for real-time applications in volatile and dynamic Fog-Cloud Environments</t>
  </si>
  <si>
    <t>10.1186/s13677-023-00428-4</t>
  </si>
  <si>
    <t>A major challenge in Cloud-Fog settings is the scheduling of workflow applications with time constraints as the environment is highly volatile and dynamic. Furthermore, adding the complexities of handling IoT nodes, as the major owners of the workflow requests, renders the problem space even harder to address. This paper presents a hybrid scheduling-clustering method for addressing this challenge. The proposed lightweight, decentralized, and dynamic clustering algorithm is based on fuzzy inference with intrinsic support for mobility to form stable and well-sized clusters of IoT nodes while avoiding global clustering and recurrent re-clustering. The proposed distributed method uses Cloud resources along with clusters of mobile and inert Fog nodes to schedule time-constrained workflow applications with considering a proper balance between contradicting criteria and promoting scalability and adaptability. The Velociraptor simulator (version 0.6.7) has been used to throughtly examine and compare the proposed method in real workloads with two contemporary and noteworthy methods. The evaluation results show the superiority of the proposed method as the resource utilization is about 20% better and the schedule success rate is almost 21% better compared with the two other methods. Also, other parameters such as throughput and energy consumption have been studied and reported. ¬© 2023, The Author(s).</t>
  </si>
  <si>
    <t>Clustering; Fog computing; Fuzzy inference system; Workflow scheduling algorithm</t>
  </si>
  <si>
    <t>Hajvali, Masoumeh (55565369800); Adabi, Sahar (25621279900); Rezaee, Ali (55392412200); Hosseinzadeh, Mehdi (57201880569)</t>
  </si>
  <si>
    <t>55565369800; 25621279900; 55392412200; 57201880569</t>
  </si>
  <si>
    <t>https://www.scopus.com/inward/record.uri?eid=2-s2.0-85157981182&amp;doi=10.1186%2fs13677-023-00428-4&amp;partnerID=40&amp;md5=05cd72a4ca15ca07e1f24b82996aedac</t>
  </si>
  <si>
    <t>2-s2.0-85157981182</t>
  </si>
  <si>
    <t>Cluster analysis; Clustering algorithms; Energy utilization; Fog computing; Fuzzy clustering; Fuzzy inference; Internet of things; Scheduling algorithms; Cloud environments; Clustering methods; Clusterings; Decentralised; Fuzzy inference systems; Hybrid scheduling; Real-time application; Workflow applications; Workflow scheduling; Workflow scheduling algorithm; Fog</t>
  </si>
  <si>
    <t>Srirama S.N.</t>
  </si>
  <si>
    <t>A decade of research in fog computing: Relevance, challenges, and future directions</t>
  </si>
  <si>
    <t>10.1002/spe.3243</t>
  </si>
  <si>
    <t>Recent developments in the Internet of Things (IoT) and real-time applications, have led to the unprecedented growth in the connected devices and their generated data. Traditionally, this sensor data is transferred and processed at the cloud, and the control signals are sent back to the relevant actuators, as part of the IoT applications. This cloud-centric IoT model, resulted in increased latencies and network load, and compromised privacy. To address these problems, Fog Computing was coined by Cisco in 2012, a decade ago, which utilizes proximal computational resources for processing the sensor data. Ever since its proposal, fog computing has attracted significant attention and the research fraternity focused at addressing different challenges such as fog frameworks, simulators, resource management, placement strategies, quality of service aspects, fog economics and so forth. However, after a decade of research, we still do not see large-scale deployments of public/private fog networks, which can be utilized in realizing interesting IoT applications. In the literature, we only see pilot case studies and small-scale testbeds, and utilization of simulators for demonstrating scale of the specified models addressing the respective technical challenges. There are several reasons for this, and most importantly, fog computing did not present a clear business case for the companies and participating individuals yet. This article summarizes the technical, non-functional, and economic challenges, which have been posing hurdles in adopting fog computing, by consolidating them across different clusters. The article also summarizes the relevant academic and industrial contributions in addressing these challenges and provides future research directions in realizing real-time fog computing applications, also considering the emerging trends such as federated learning and quantum computing. ¬© 2023 John Wiley &amp; Sons Ltd.</t>
  </si>
  <si>
    <t>fog challenges; fog computing; fog economics; fog offloading; fog state-of-the-art; Internet of Things</t>
  </si>
  <si>
    <t>Srirama, Satish Narayana (14632859900)</t>
  </si>
  <si>
    <t>https://www.scopus.com/inward/record.uri?eid=2-s2.0-85165319251&amp;doi=10.1002%2fspe.3243&amp;partnerID=40&amp;md5=4256acbb1e3c63dd075b0b5b19225e21</t>
  </si>
  <si>
    <t>2-s2.0-85165319251</t>
  </si>
  <si>
    <t>Computation offloading; Data handling; Fog computing; Industrial research; Internet of things; Quality of service; Computational resources; Control signal; Fog challenge; Fog economic; Fog offloading; Fog state-of-the-art; Network load; Real-time application; Sensors data; State of the art; Fog</t>
  </si>
  <si>
    <t>Chiradeja P.; Yoomak S.</t>
  </si>
  <si>
    <t>Development of public lighting system with smart lighting control systems and internet of thing (IoT) technologies for smart city</t>
  </si>
  <si>
    <t>10.1016/j.egyr.2023.10.027</t>
  </si>
  <si>
    <t>This study proposes the design and development of public light systems integrated with Internet of Things (IoT) applications for smart cities. Smart public lighting systems are designed using LED light sources in combination with a controller based on light intensity and motion sensors to control the brightness in working areas as per standard requirements. The control of smart public lighting systems is designed to operate in three modes: manual, scheduled, and auto modes, which are tested and compared in terms of lighting and power quality. Other functions of IoT, such as air pollution detection, security system-based video surveillance, and warning systems for flood disasters, are integrated into smart public lighting systems. A prototype of the designed smart public lighting system is presented in this paper. The parameters of average illuminance, overall uniformity, and threshold increment were implemented using DIALux software to optimise the luminaire spacing. The results showed that the goal of energy saving could be achieved using the auto mode. Although the automatic mode caused current harmonic distortion to the electrical grid, the harmonic value was less than the specified standard. Furthermore, the precision of IoT system operation was dependent on environmental variations and the reliability of wireless network technology. ¬© 2023 The Authors</t>
  </si>
  <si>
    <t>Internet of thing; LED luminaire; Light control; Lighting quality; Public lighting system; Smart city</t>
  </si>
  <si>
    <t>Chiradeja, Pathomthat (6602636144); Yoomak, Suntiti (57191076618)</t>
  </si>
  <si>
    <t>6602636144; 57191076618</t>
  </si>
  <si>
    <t>Energy Reports</t>
  </si>
  <si>
    <t>https://www.scopus.com/inward/record.uri?eid=2-s2.0-85173628648&amp;doi=10.1016%2fj.egyr.2023.10.027&amp;partnerID=40&amp;md5=c953bc2f3a09d3a987a18830e40b1db4</t>
  </si>
  <si>
    <t>2-s2.0-85173628648</t>
  </si>
  <si>
    <t>Energy conservation; Environmental technology; Light emitting diodes; Lighting fixtures; Network security; Power quality; Quality control; Security systems; Smart city; Urban growth; Design and Development; Internet of things technologies; LED luminaires; Light control; Lighting controls; Lighting quality; Lighting systems; Public lighting; Public lighting system; Smart lightings; Internet of things</t>
  </si>
  <si>
    <t>Adreani L.; Bellini P.; Fanfani M.; Nesi P.; Pantaleo G.</t>
  </si>
  <si>
    <t>Smart City Digital Twin Framework for Real-Time Multi-Data Integration and Wide Public Distribution</t>
  </si>
  <si>
    <t>10.1109/ACCESS.2024.3406795</t>
  </si>
  <si>
    <t>Digital Twins are becoming fundamental tools to monitor the status of entities, predict their future evolution and simulate alternative scenarios to understand the impact of possible changes for planning and design. More recently, Digital Twin solutions have been applied in the context of Smart Cities. Thanks to the large deployment of sensors, together with the increasing amount of information available for municipalities and governmental organizations, it is possible to build wide virtual reproductions of urban environments including structural data and real-time information that can undoubtfully help decision makers to face future challenges in urban development and improve the citizens' quality of life. In this paper, the Snap4City Smart City Digital Twin framework is presented, which can respond to the requirements identified in recent literature and by international forums. The proposed architecture provides an integrated solution for data gathering, indexing, computing, and information distribution, thus realizing a continuously updated digital twin of the urban environment at global and local scales for monitoring operation and planning. It addresses 3D building models, road networks, Internet of Things entities, points of interest, paths, as well as results from analytical processes for traffic density reconstruction, pollutant dispersion, predictions, and what-if analysis for assessing impact of changes, all integrated into a freely accessible interactive 3D web interface, enabling stakeholder and citizen participation to city decision processes. As case study, the digital twin of the city of Florence (Italy) is presented, including what-if analysis. The solution is released on top of the Snap4City platform as open-source and made available through our GitHub repository (https://github.com/disit) and as Docker compose.  ¬© 2013 IEEE.</t>
  </si>
  <si>
    <t>3D city model; 3D web interface; digital twin; Internet of Things/Internet of Everything; ontology; smart city</t>
  </si>
  <si>
    <t>Adreani, Lorenzo (57847341100); Bellini, Pierfrancesco (7006393521); Fanfani, Marco (55439858000); Nesi, Paolo (7003901227); Pantaleo, Gianni (37052666700)</t>
  </si>
  <si>
    <t>57847341100; 7006393521; 55439858000; 7003901227; 37052666700</t>
  </si>
  <si>
    <t>https://www.scopus.com/inward/record.uri?eid=2-s2.0-85194864285&amp;doi=10.1109%2fACCESS.2024.3406795&amp;partnerID=40&amp;md5=e3e58f805cb2f7601dfabfe09aab2a05</t>
  </si>
  <si>
    <t>2-s2.0-85194864285</t>
  </si>
  <si>
    <t>Data integration; HTTP; Internet of things; Interoperability; Ontology; Smart city; Three dimensional computer graphics; Three dimensional displays; Urban growth; 3d city model; 3d web interface; City model; Internet of thing/internet of everything; Ontology's; Solid modelling; Three-dimensional display; Urban areas; Web interface; Web-sites; Decision making</t>
  </si>
  <si>
    <t>Qayyum F.; Alkanhel R.; Muthanna A.</t>
  </si>
  <si>
    <t>Maximizing Efficiency in Energy Trading Operations through IoT-Integrated Digital Twins</t>
  </si>
  <si>
    <t>10.3390/s23249656</t>
  </si>
  <si>
    <t>The Internet of Things (IoT) has brought about significant transformations in multiple sectors, including healthcare and navigation systems, by offering essential functionalities crucial for their operations. Nevertheless, there is ongoing debate surrounding the unexplored possibilities of the IoT within the energy industry. The requirement to better the performance of distributed energy systems necessitates transitioning from traditional mission-critical electric smart grid systems to digital twin-based IoT frameworks. Energy storage systems (ESSs) used within nano-grids have the potential to enhance energy utilization, fortify resilience, and promote sustainable practices by effectively storing surplus energy. The present study introduces a conceptual framework consisting of two fundamental modules: (1) Power optimization of energy storage systems (ESSs) in peer-to-peer (P2P) energy trading. (2) Task orchestration in IoT-enabled environments using digital twin technology. The optimization of energy storage systems (ESSs) aims to effectively manage surplus ESS energy by employing particle swarm optimization (PSO) techniques. This approach is designed to fulfill the energy needs of the ESS itself as well as meet the specific requirements of participating nano-grids. The primary objective of the IoT task orchestration system, which is based on the concept of digital twins, is to enhance the process of peer-to-peer nano-grid energy trading. This is achieved by integrating virtual control mechanisms through orchestration technology combining task generation, device virtualization, task mapping, task scheduling, and task allocation and deployment. The nano-grid energy trading system‚Äôs architecture utilizes IoT sensors and Raspberry Pi-based edge technology to enable virtual operation. The evaluation of the proposed study is carried out through the examination of a simulated dataset derived from nano-grid dwellings. This research analyzes the efficacy of optimization approaches in mitigating energy trading costs and optimizing power utilization in energy storage systems (ESSs). The coordination of IoT devices is crucial in improving the system‚Äôs overall efficiency. ¬© 2023 by the authors.</t>
  </si>
  <si>
    <t>complex problem solving; critical IoT systems; Internet of Things; nano-grid; optimization; task modeling; task orchestration</t>
  </si>
  <si>
    <t>Qayyum, Faiza (57225395084); Alkanhel, Reem (57194337237); Muthanna, Ammar (56121861000)</t>
  </si>
  <si>
    <t>57225395084; 57194337237; 56121861000</t>
  </si>
  <si>
    <t>https://www.scopus.com/inward/record.uri?eid=2-s2.0-85180617758&amp;doi=10.3390%2fs23249656&amp;partnerID=40&amp;md5=45de696a6adc5a9553455df8e42cc39c</t>
  </si>
  <si>
    <t>2-s2.0-85180617758</t>
  </si>
  <si>
    <t>Energy efficiency; Energy utilization; Internet of things; Navigation systems; Particle swarm optimization (PSO); Peer to peer networks; Power markets; Smart power grids; Complex problem solving; Critical internet of thing system; Energy industry; Energy trading; Nano-grid; Optimisations; Storage systems; Surplus energy; Task modelling; Task orchestration; article; conceptual framework; diagnosis; digital twin; electric potential; energy; internet of things; particle swarm optimization; problem solving; raspberry; sensor; simulation; Energy storage</t>
  </si>
  <si>
    <t>Gopu A.; Thirugnanasambandam K.; R R.; AlGhamdi A.S.; Alshamrani S.S.; Maharajan K.; Rashid M.</t>
  </si>
  <si>
    <t>Energy-efficient virtual machine placement in distributed cloud using NSGA-III algorithm</t>
  </si>
  <si>
    <t>10.1186/s13677-023-00501-y</t>
  </si>
  <si>
    <t>Cloud computing is the most widely adapted computing model to process scientific workloads in remote servers accessed through the internet. In the IaaS cloud, the virtual machine (VM) is the execution unit that processes the user workloads. Virtualization enables the execution of multiple virtual machines (VMs) on a single physical machine (PM). Virtual machine placement (VMP) strategically assigns VMs to suitable physical devices within a data center. From the cloud provider's perspective, the virtual machine must be placed optimally to reduce resource wastage to aid economic revenue and develop green data centres. Cloud providers need an efficient methodology to minimize resource wastage, power consumption, and network transmission delay. This paper uses NSGA-III, a multi-objective evolutionary algorithm, to simultaneously reduce the mentioned objectives to obtain a non-dominated solution. The performance metrics (Overall Nondominated Vector Generation and Spacing) of the proposed NSGA-III algorithm is compared with other multi-objective algorithms, namely VEGA, MOGA, SPEA, and NSGA-II. It is observed that the proposed algorithm performs 7% better that the existing algorithm in terms of ONVG and 12% better results in terms of spacing. ANOVA and DMRT statistical tests are used to cross-validate the results. ¬© 2023, Springer-Verlag GmbH Germany, part of Springer Nature.</t>
  </si>
  <si>
    <t>Cloud computing; Distributed system; Energy efficient; NSGA-III algorithm; Virtualization</t>
  </si>
  <si>
    <t>Gopu, Arunkumar (57196315734); Thirugnanasambandam, Kalaipriyan (57200617693); R, Rajakumar (57383637700); AlGhamdi, Ahmed Saeed (57220046135); Alshamrani, Sultan S. (56825932900); Maharajan, K. (57208339962); Rashid, Mamoon (57191990629)</t>
  </si>
  <si>
    <t>57196315734; 57200617693; 57383637700; 57220046135; 56825932900; 57208339962; 57191990629</t>
  </si>
  <si>
    <t>https://www.scopus.com/inward/record.uri?eid=2-s2.0-85168777830&amp;doi=10.1186%2fs13677-023-00501-y&amp;partnerID=40&amp;md5=95246f39bf982546fa6deef5579b184d</t>
  </si>
  <si>
    <t>2-s2.0-85168777830</t>
  </si>
  <si>
    <t>Distributed cloud; Economics; Electric power transmission; Energy efficiency; Evolutionary algorithms; Green computing; Network security; Virtual reality; Virtualization; Cloud providers; Cloud-computing; Computing model; Distributed clouds; Distributed systems; Energy efficient; NSGA-III algorithm; Scientific workloads; Virtual machine placements; Virtualizations; Virtual machine</t>
  </si>
  <si>
    <t>Jiang Z.; Van Zoest V.; Deng W.; Ngai E.C.H.; Liu J.</t>
  </si>
  <si>
    <t>Leveraging Machine Learning for Disease Diagnoses Based on Wearable Devices: A Survey</t>
  </si>
  <si>
    <t>10.1109/JIOT.2023.3313158</t>
  </si>
  <si>
    <t>Many countries around the world are facing a shortage of healthcare resources, especially during the post-epidemic era, leading to a dramatic increase in the need for self-detection and self-management of diseases. The popularity of smart wearable devices, such as smartwatches, and the development of machine learning (ML) bring new opportunities for the early detection and management of various prevalent diseases, such as cardiovascular diseases, Parkinson's disease, and diabetes. In this survey, we comprehensively review the articles related to specific diseases or health issues based on small wearable devices and ML. More specifically, we first present an overview of the articles selected and classify them according to their targeted diseases. Then, we summarize their objectives, wearable device and sensor data, ML techniques, and wearing locations. Based on the literature review, we discuss the challenges and propose future directions from the perspectives of privacy concerns, security concerns, transmission latency and reliability, energy consumption, multimodality, multisensor, multidevices, evaluation metrics, explainability, generalization and personalization, social influence, and human factors, aiming to inspire researchers in this field. ¬© 2014 IEEE.</t>
  </si>
  <si>
    <t>Disease diagnoses; machine learning (ML); physical health; smart watches; wearable devices</t>
  </si>
  <si>
    <t>Jiang, Zhihan (57212679315); Van Zoest, Vera (57201072104); Deng, Weipeng (57968653800); Ngai, Edith C. H. (7003298971); Liu, Jiangchuan (8969748600)</t>
  </si>
  <si>
    <t>57212679315; 57201072104; 57968653800; 7003298971; 8969748600</t>
  </si>
  <si>
    <t>https://www.scopus.com/inward/record.uri?eid=2-s2.0-85171545997&amp;doi=10.1109%2fJIOT.2023.3313158&amp;partnerID=40&amp;md5=65aa8547d7a04d87e8743ce181582e9d</t>
  </si>
  <si>
    <t>2-s2.0-85171545997</t>
  </si>
  <si>
    <t>Deep learning; Diagnosis; Energy utilization; Learning systems; mHealth; Deep learning; Disease diagnosis; Healthcare resources; Machine-learning; Medical services; Physical health; Self detection; Self management; Smart watch; Wearable devices; Wearable sensors</t>
  </si>
  <si>
    <t>Motta L.L.; Ferreira L.C.B.C.; Cabral T.W.; Lemes D.A.M.; Cardoso G.D.S.; Borchardt A.; Cardieri P.; Fraidenraich G.; de Lima E.R.; Neto F.B.; Meloni L.G.P.</t>
  </si>
  <si>
    <t>General Overview and Proof of Concept of a Smart Home Energy Management System Architecture</t>
  </si>
  <si>
    <t>10.3390/electronics12214453</t>
  </si>
  <si>
    <t>This paper proposes and implements a smart architecture for Home Energy Management Systems (HEMS) that enables interoperability among devices from different manufacturers. This is achieved through the use of standardized elements and the design of an innovative middleware. The system comprises a control unit that communicates with smart outlets using the Wireless Smart Ubiquitous Network (WI-SUN) Home Area Network (HAN) specification, while smart metering is achieved using the WI-SUN Field Area Network (FAN) specification. To manage important data, a web platform and mobile app were created. Additionally, machine learning techniques are utilized to identify energy consumption of individual appliances when only the aggregate energy consumption of the house is available. The architecture presented here supports real-time control of energy use and generation through HEMS, and new devices can be added transparently. Finally, a comparison of the proposed system with similar systems in literature highlights its many advantages in terms of functionality. ¬© 2023 by the authors.</t>
  </si>
  <si>
    <t>big data; cloud processing; HEMS; IoT; machine learning; open middleware</t>
  </si>
  <si>
    <t>Motta, Lucas L. (57209291916); Ferreira, Luiz C. B. C. (56437217100); Cabral, Thales W. (57221942405); Lemes, Dimas A. M. (57223434569); Cardoso, Gustavo dos S. (57944755800); Borchardt, Andreza (57643482500); Cardieri, Paulo (6602681536); Fraidenraich, Gustavo (6506451414); de Lima, Eduardo R. (55516369700); Neto, Fernando B. (57223437445); Meloni, Lu√≠s G. P. (16643141600)</t>
  </si>
  <si>
    <t>57209291916; 56437217100; 57221942405; 57223434569; 57944755800; 57643482500; 6602681536; 6506451414; 55516369700; 57223437445; 16643141600</t>
  </si>
  <si>
    <t>https://www.scopus.com/inward/record.uri?eid=2-s2.0-85176573797&amp;doi=10.3390%2felectronics12214453&amp;partnerID=40&amp;md5=8f6f1385e80dbea136bc34285aae0065</t>
  </si>
  <si>
    <t>2-s2.0-85176573797</t>
  </si>
  <si>
    <t>Anglano C.; Canonico M.; Desimoni F.; Guazzone M.; Savarro D.</t>
  </si>
  <si>
    <t>The HealthTracker System: App and Cloud-Based Wearable Multi-Sensor Device for Patients Health Tracking</t>
  </si>
  <si>
    <t>10.3390/app14020887</t>
  </si>
  <si>
    <t>Telemedicine has emerged as a vital component of contemporary healthcare, revolutionizing the way medical services are delivered and accessed (e.g., it enables patients living in underserved or rural areas to receive medical consultation and treatment remotely). Moreover, telemedicine plays a pivotal role in improving healthcare efficiency by reducing wait times, minimizing unnecessary hospital visits, and optimizing resource allocation. In this paper, we present HealthTracker, a monitoring infrastructure for patients comprising two Internet of Things (IoT) devices (one of which was designed and created by us) and a mobile app that sends data collected by the IoT devices to a cloud service. All these components work together to provide an innovative system able to monitor patient health condition, provide alerts in emergency cases, and elaborate upon data to improve the quality of medical care. Preliminary tests show that the system works well, and real experimentation will start soon in collaboration with the local health authority. ¬© 2024 by the authors.</t>
  </si>
  <si>
    <t>cloud computing; telemedicine; wearable devices</t>
  </si>
  <si>
    <t>Anglano, Cosimo (6601960410); Canonico, Massimo (6602971617); Desimoni, Francesco (58624020700); Guazzone, Marco (24821842200); Savarro, Davide (59076054900)</t>
  </si>
  <si>
    <t>6601960410; 6602971617; 58624020700; 24821842200; 59076054900</t>
  </si>
  <si>
    <t>https://www.scopus.com/inward/record.uri?eid=2-s2.0-85192494331&amp;doi=10.3390%2fapp14020887&amp;partnerID=40&amp;md5=e494759f8919161f5a3a0f5fb68cb111</t>
  </si>
  <si>
    <t>2-s2.0-85192494331</t>
  </si>
  <si>
    <t>Premalatha B.; Prakasam P.</t>
  </si>
  <si>
    <t>Optimal Energy-efficient Resource Allocation and Fault Tolerance scheme for task offloading in IoT-FoG Computing Networks</t>
  </si>
  <si>
    <t>10.1016/j.comnet.2023.110080</t>
  </si>
  <si>
    <t>Due to technology development in the recent past, it is observed that an exponential growth in the usage of high speed intelligent devices which includes smart objects, smart home, smart vehicles etc. Therefore, for the efficient transmission between different smart objects/devices situated across different regions, an effective communication is required and the corresponding technology is called as ‚ÄòInternet of Things (IoT)‚Äô. This leads to an issues in various aspects like, increase in complexity, low data rate &amp; latency and security may reduce the performance of the existing technologies. Therefore, there is a huge requirement of advanced technology which may support ultra-low latency transmission for the task received from the devices. Fog computing (FC) is one of an emerging technology that can improve network performance and provide resource-constrained applications for the IoT devices. In this paper, the Optimal Energy-efficient Resource Allocation (OEeRA) algorithm is proposed based on Minimal Cost Resource Allocation (MCRA) and Fault Identification and Rectification (FIR) algorithms for effective task offloading of IoT-FoG computing networks. The MCRA algorithm is proposed to assign at least one FN and Resource Block (RB) for each device, and also it ensures that each FN is connected with one or more RBs and devices. The leftover RBs are collected and stored in the buffer to replace the faulty RBs, as proposed in the FIR algorithm, which achieves better processing and response time with higher fault detection accuracy. The energy efficiency (EE) of the proposed OEeRA algorithm is computed through MCRA and FIR algorithms by varying FN, RB, and IoT devices. The performance analysis shows that the proposed algorithm achieved the maximum EE of 6.12 √ó 109 bit/J, 5.69 √ó 1010 bit/J, and 3.019 √ó 1010 (bit/J) for varying RBs, IoTs, and FNs, respectively. ¬© 2023 Elsevier B.V.</t>
  </si>
  <si>
    <t>Energy Efficiency; Fault Tolerance; Fog Computing; Internet of Things; Task offloading</t>
  </si>
  <si>
    <t>Premalatha, B. (58706771200); Prakasam, P. (59002812600)</t>
  </si>
  <si>
    <t>58706771200; 59002812600</t>
  </si>
  <si>
    <t>https://www.scopus.com/inward/record.uri?eid=2-s2.0-85177615927&amp;doi=10.1016%2fj.comnet.2023.110080&amp;partnerID=40&amp;md5=3ae8a30acf6a37495549d4b1badd7d7b</t>
  </si>
  <si>
    <t>2-s2.0-85177615927</t>
  </si>
  <si>
    <t>Automation; Computational complexity; Energy efficiency; Fault detection; Fault tolerance; FIR filters; Fog; Internet of things; Resource allocation; Vehicle to vehicle communications; Vehicle transmissions; Energy-efficient resource allocation; Fault identifications; Identification algorithms; Minimal cost; Optimal energy; Rectification algorithms; Resource allocation algorithms; Resources allocation; Smart objects; Task offloading; Fog computing</t>
  </si>
  <si>
    <t>Molu R.J.J.; Mbasso W.F.; Saatong K.T.; Dzonde Naoussi S.R.; Alruwaili M.; Elrashidi A.; Nureldeen W.</t>
  </si>
  <si>
    <t>Enhancing power quality monitoring with discrete wavelet transform and extreme learning machine: a dual-stage pattern recognition approach</t>
  </si>
  <si>
    <t>10.3389/fenrg.2024.1435704</t>
  </si>
  <si>
    <t>Monitoring energy quality events is crucial for maintaining the stability and reliability of power grids. This paper presents a novel system integrating Discrete Wavelet Transform (DWT) and Extreme Learning Machine (ELM) for detecting and classifying power quality disturbances. The DWT performs multi-resolution analysis to decompose signals into time-frequency components, capturing various disturbances such as sags, swells, and harmonics. The ELM classifier, trained on these decomposed signals, achieves an impressive classification accuracy of 99.69%, significantly outperforming conventional methods like STFT with SVM (97.22%) and FFT with ANN (99.30%). The system was validated on a Xilinx Zynq-7000 SoC FPGA, demonstrating real-time processing capabilities with a latency of 1.5 milliseconds and a power consumption of 1.8¬†W. These findings highlight the effectiveness of the proposed method for real-time, accurate, and energy-efficient power quality monitoring. Copyright ¬© 2024 Molu, Mbasso, Saatong, Dzonde Naoussi, Alruwaili, Elrashidi and Nureldeen.</t>
  </si>
  <si>
    <t>discrete wavelet transform; energy quality monitoring; extreme learning machine; FPGA implementation; power quality disturbances; real-time processing</t>
  </si>
  <si>
    <t>Molu, Reagan Jean Jacques (57814124700); Mbasso, Wulfran Fendzi (57815282000); Saatong, Kenfack Tsobze (57813923000); Dzonde Naoussi, Serge Raoul (59662930800); Alruwaili, Mohammed (57236723700); Elrashidi, Ali (55657725800); Nureldeen, Waleed (58086605200)</t>
  </si>
  <si>
    <t>57814124700; 57815282000; 57813923000; 59662930800; 57236723700; 55657725800; 58086605200</t>
  </si>
  <si>
    <t>Frontiers in Energy Research</t>
  </si>
  <si>
    <t>https://www.scopus.com/inward/record.uri?eid=2-s2.0-85205818526&amp;doi=10.3389%2ffenrg.2024.1435704&amp;partnerID=40&amp;md5=6ed986b66169edacee1feb176505919e</t>
  </si>
  <si>
    <t>2-s2.0-85205818526</t>
  </si>
  <si>
    <t>Discrete-wavelet-transform; Energy quality; Energy quality monitoring; Extreme learning machine; FPGA implementations; FPGAs implementation; Learning machines; Power quality disturbances; Quality monitoring; Realtime processing; Discrete wavelet transforms</t>
  </si>
  <si>
    <t>Wang S.-T.; Xu H.; Mamandipoor A.; Mahapatra R.; Ahn B.H.; Ghodrati S.; Kailas K.; Alian M.; Esmaeilzadeh H.</t>
  </si>
  <si>
    <t>Data Motion Acceleration: Chaining Cross-Domain Multi Accelerators</t>
  </si>
  <si>
    <t>10.1109/HPCA57654.2024.00083</t>
  </si>
  <si>
    <t>There has been an arms race for devising accelerators for deep learning in recent years. However, real-world applications are not only neural networks but often span across multiple domains, e.g., database queries, compression, encryption, video coding, signal processing, and traditional machine learning, which may or may not contain deep learning. The sole focus on this single domain is sub-optimal as it misses the potential to proliferate and promote cross-domain multi-acceleration as there is an opportunity to harness the power of chaining heterogeneous Domain-Specific Architectures (DSAs) in modern datacenter applications. However, there is a catch as the data motion overhead can outweigh the benefits from all these chained heterogeneous accelerators. We dub the data restructuring and communication overhead of executing a single application using a chain of accelerators [1] as the data motion overhead. In a stark contrast with most works on DSAs that deal with accelerating compute kernels, this work focuses on accelerating data motion within a chain of heterogeneous DSAs in a multi-accelerator datacenter. To that end, this paper introduces Data Motion Acceleration (DMX) for (1) reducing data movement, (2) accelerating data restructuring, and (3) enabling interoperability between heterogeneous accelerators from different domains through a cross-stack hardware-software solution. The results with five end-to-end applications show that utilizing DMX offers up to 8.2 √ó, 13.6 √ó, and 5.2 √ó improvement in latency, throughput, and energy efficiency in a multi-accelerator system, respectively.  ¬© 2024 IEEE.</t>
  </si>
  <si>
    <t>Wang, Shu-Ting (57838593600); Xu, Hanyang (57226284190); Mamandipoor, Amin (58483653600); Mahapatra, Rohan (57113174300); Ahn, Byung Hoon (57219505143); Ghodrati, Soroush (57204894123); Kailas, Krishnan (7801500964); Alian, Mohammad (57190014688); Esmaeilzadeh, Hadi (6506771295)</t>
  </si>
  <si>
    <t>57838593600; 57226284190; 58483653600; 57113174300; 57219505143; 57204894123; 7801500964; 57190014688; 6506771295</t>
  </si>
  <si>
    <t>Proceedings - International Symposium on High-Performance Computer Architecture</t>
  </si>
  <si>
    <t>https://www.scopus.com/inward/record.uri?eid=2-s2.0-85190262143&amp;doi=10.1109%2fHPCA57654.2024.00083&amp;partnerID=40&amp;md5=80fab9a20bbb8aedc030c43870e35ba0</t>
  </si>
  <si>
    <t>2-s2.0-85190262143</t>
  </si>
  <si>
    <t>Cryptography; Energy efficiency; Query languages; Video signal processing; Cross-domain; Data motion; Data restructuring; Database queries; Datacenter; Domain specific architectures; Heterogeneous domains; Multiple domains; Neural-networks; Real-world; Deep learning</t>
  </si>
  <si>
    <t>Tundo A.; Mobilio M.; Riganelli O.; Mariani L.</t>
  </si>
  <si>
    <t>Monitoring Probe Deployment Patterns for Cloud-Native Applications: Definition and Empirical Assessment</t>
  </si>
  <si>
    <t>10.1109/TSC.2024.3349648</t>
  </si>
  <si>
    <t>Monitoring is a key feature to enhance systems with the capability to anticipate, detect, predict, and mitigate failures, while providing Quality of Service (QoS) monitoring and Service Level Agreements (SLAs) guarantee. Monitoring frameworks can serve these purposes by deploying probes according to many possible patterns that have different features, for instance in terms of efficiency and privacy. So far, these probe deployment patterns have not been systematically defined, analyzed and assessed. Thus, engineers who design and configure their monitoring systems have to take decisions only based on partial knowledge and personal experience. This article addresses this knowledge gap, by presenting a systematic analysis of 11 probe deployment patterns, their known uses, and implementations. We assess these patterns qualitatively, and quantitatively using both VMs and containers. Results show the targets have negligible resource consumption (e.g., less than 1% CPU usage), while the probe holder consumption is mainly significant in relation to memory consumption, reaching up to 10 GiB in our experiments. Our findings suggest that reusing probes and holders among users can generally enhance efficiency and scalability when direct access to the monitored target is not an option. We generate a set of best practices that can assist engineers in configuring their monitoring systems. Finally, we showcase the application of certain patterns through three practical usage scenarios, which feature diverse technologies and requirements.  ¬© 2008-2012 IEEE.</t>
  </si>
  <si>
    <t>cloud computing; cloud monitoring; container monitoring; deployment patterns; design patterns; monitoring best practices; Monitoring probes; probe deployment</t>
  </si>
  <si>
    <t>Tundo, Alessandro (57210864404); Mobilio, Marco (55916296500); Riganelli, Oliviero (14020561200); Mariani, Leonardo (8965048200)</t>
  </si>
  <si>
    <t>57210864404; 55916296500; 14020561200; 8965048200</t>
  </si>
  <si>
    <t>https://www.scopus.com/inward/record.uri?eid=2-s2.0-85182384243&amp;doi=10.1109%2fTSC.2024.3349648&amp;partnerID=40&amp;md5=ec9aacbcd646b704965f060401c07f58</t>
  </si>
  <si>
    <t>2-s2.0-85182384243</t>
  </si>
  <si>
    <t>Cloud computing; Efficiency; Probes; Quality of service; Time series analysis; Best practices; Cloud monitoring; Cloud-computing; Container monitoring; Deployment pattern; Design Patterns; Monitoring best practice; Monitoring probes; Probe deployment; Time-series analysis; Virtual machining; Containers</t>
  </si>
  <si>
    <t>Bachiega J.; Costa B.; Carvalho L.R.; Rosa M.J.F.; Araujo A.</t>
  </si>
  <si>
    <t>Computational Resource Allocation in Fog Computing: A Comprehensive Survey</t>
  </si>
  <si>
    <t>10.1145/3586181</t>
  </si>
  <si>
    <t>14 S</t>
  </si>
  <si>
    <t>Fog computing is a paradigm that allows the provisioning of computational resources and services at the edge of the network, closer to the end devices and users, complementing cloud computing. The heterogeneity and large number of devices are challenges to obtaining optimized resource allocation in this environment. Over time, some surveys have been presented on resource management in fog computing. However, they now lack a broader and deeper view about this subject, considering the recent publications. This article presents a systematic literature review with a focus on resource allocation for fog computing, and in a more comprehensive way than the existing works. The survey is based on 108 selected publications from 2012 to 2022. The analysis has exposed their main techniques, metrics used, evaluation tools, virtualization methods, architecture, and domains where the proposed solutions were applied. The results show an updated and comprehensive view about resource allocation in fog computing. The main challenges and open research questions are discussed, and a new fog computing resource management cycle is proposed. Copyright ¬© 2023 held by the owner/author(s). Publication rights licensed to ACM.</t>
  </si>
  <si>
    <t>Fog computing; resource allocation; resource management; resource provisioning</t>
  </si>
  <si>
    <t>Bachiega, Joao (57194948132); Costa, Breno (57202579209); Carvalho, Leonardo R. (57209337873); Rosa, Michel J. F. (57193361846); Araujo, Aleteia (15924909500)</t>
  </si>
  <si>
    <t>57194948132; 57202579209; 57209337873; 57193361846; 15924909500</t>
  </si>
  <si>
    <t>https://www.scopus.com/inward/record.uri?eid=2-s2.0-85168807345&amp;doi=10.1145%2f3586181&amp;partnerID=40&amp;md5=32e5c787c29fe655f9e44f1febb3e5f5</t>
  </si>
  <si>
    <t>2-s2.0-85168807345</t>
  </si>
  <si>
    <t>Fog; Fog computing; Natural resources management; Cloud-computing; Computational resources; End-devices; End-users; Evaluation tool; Optimized resources; Resource management; Resource provisioning; Resources allocation; Systematic literature review; Resource allocation</t>
  </si>
  <si>
    <t>Ibn-Khedher H.; Laroui M.; Alfaqawi M.; Magnouche A.; Moungla H.; Afifi H.</t>
  </si>
  <si>
    <t>6G-edge support of Internet of Autonomous Vehicles: A survey</t>
  </si>
  <si>
    <t>10.1002/ett.4918</t>
  </si>
  <si>
    <t>With the commercial deployment of 5G mobile communication systems, 6G is proposed to meet the needs of new use cases including connected and autonomous vehicles (CAVs). In this article, we surveyed different 6G embracing technologies such as mobile edge computing, unmanned aerial vehicles, network function virtualization, software defined networking, and artificial intelligence that can enhance the Internet of Autonomous Vehicles (IoAV) network performance comparing to existing 5G enabled solutions. Then, we highlight the convergence path of 6G and IoAV to satisfy the next generation of CAV applications. Further, we propose 6G cellular communication to support the quality of next IoAV applications. Furthermore, the article attempts to study the serious challenges in the 6G-IoAV research field and propose potential future directions. ¬© 2023 John Wiley &amp; Sons, Ltd.</t>
  </si>
  <si>
    <t>Ibn-Khedher, Hatem (56997434300); Laroui, Mohammed (57207992996); Alfaqawi, Mohammed (55611941600); Magnouche, Ahlam (58773057200); Moungla, Hassine (13408921700); Afifi, Hossam (7004117162)</t>
  </si>
  <si>
    <t>56997434300; 57207992996; 55611941600; 58773057200; 13408921700; 7004117162</t>
  </si>
  <si>
    <t>Transactions on Emerging Telecommunications Technologies</t>
  </si>
  <si>
    <t>e4918</t>
  </si>
  <si>
    <t>https://www.scopus.com/inward/record.uri?eid=2-s2.0-85180183737&amp;doi=10.1002%2fett.4918&amp;partnerID=40&amp;md5=822898cc7ba64bc01234d7e804ce4fb8</t>
  </si>
  <si>
    <t>2-s2.0-85180183737</t>
  </si>
  <si>
    <t>5G mobile communication systems; Autonomous vehicles; Commercial vehicles; Mobile edge computing; Radio broadcasting; Aerial vehicle; Autonomous Vehicles; Commercial deployment; Edge supports; Research fields; Software-defined networkings; Vehicle applications; Vehicle network; Virtualization software; Antennas</t>
  </si>
  <si>
    <t>Lim J.</t>
  </si>
  <si>
    <t>Adaptive Scheduling Based on Intelligent Agents in Edge-Cloud Computing Environments</t>
  </si>
  <si>
    <t>10.70003/160792642024072504011</t>
  </si>
  <si>
    <t>Scheduling in cloud computing environments has been extended to support the Internet of Things (IoT) applications, which require additional quality of services such as energy consumption and real-time properties. To this end, edge-cloud computing environments are prevalently deployed by encompassing the fog management layer. However, traditional scheduling techniques for cloud tasks have limited capabilities to support real-time properties required for IoT applications. In this paper, we propose a deep learning-based dynamic cloud scheduling technique using intelligent agents, which intelligently adapt to users‚Äô requirements and selective quality of services based on distributed learning in edge-cloud computing environments. The proposed cloud task scheduling method is composed of two logical components: distributed learning management (learning distribution and aggregation) and intelligence management of multi-agents, which are independent of each other. The performance results show that the self-employed agents intelligently adapt to their environments and perform hyperparameter learning for efficient and effective task scheduling in edge-cloud computing environments. ¬© 2024 Taiwan Academic Network Management Committee. All rights reserved.</t>
  </si>
  <si>
    <t>Cloud computing; Distributed learning; Edge computing; Multi-agents; Task scheduling</t>
  </si>
  <si>
    <t>Lim, JongBeom (36716537900)</t>
  </si>
  <si>
    <t>Journal of Internet Technology</t>
  </si>
  <si>
    <t>https://www.scopus.com/inward/record.uri?eid=2-s2.0-85201526216&amp;doi=10.70003%2f160792642024072504011&amp;partnerID=40&amp;md5=1b5cde4c01875aeb4f4be5ac0235e4cf</t>
  </si>
  <si>
    <t>2-s2.0-85201526216</t>
  </si>
  <si>
    <t>Distributed cloud; Fog computing; Multi agent systems; Scheduling algorithms; Cloud computing environments; Cloud-computing; Distributed learning; Edge clouds; Edge computing; Multi agent; Quality-of-service; Real-time properties; Scheduling techniques; Tasks scheduling; Quality of service</t>
  </si>
  <si>
    <t>Pinheiro T.; Mialaret M.; Pereira P.; Lins L.; Silva D.; Dantas J.; MacIel P.</t>
  </si>
  <si>
    <t>Performance Modeling of Microservices with Circuit Breakers using Stochastic Petri Nets</t>
  </si>
  <si>
    <t>10.1109/SysCon61195.2024.10553490</t>
  </si>
  <si>
    <t>Circuit Breakers (CBs) are critical for containerized microservices infrastructures when managing a surge in workload, as they can serve as a protection mechanism to prevent system overload and meet service level agreements (SLAs). In the event of a sudden increase in workload, microservices (MSs) can face challenges such as resource exhaustion and many discarded requests. CBs can help mitigate these issues by monitoring the services and, if necessary, redirecting the flow of requests to another infrastructure. However, it is difficult to evaluate the behavior of these infrastructures and CB mechanisms in a production environment. To address the above issues, this paper proposes a model using stochastic Petri nets (SPNs) to represent these infrastructures and their auto-scaling mechanisms, the MSs, the CBs, the incoming external arrival rate, and the workload generated between the MSs. Service providers can estimate metrics including circuit breaker activation (CBA), overload forwarding rate (OFR), containers utilization (Uc), unallocated containers (NUc), throughput (TP), discard probability (DP), and discard rate (DR). The model enables the performance evaluation of individual MSs and the entire microservice platform (MP). The work investigates how the microservices adapt to changing conditions and the trade-offs associated with different CB configurations. Using a real testbed, our solution was validated with a confidence interval (CI) of 95%. A case study was used to investigate the feasibility of the solution by evaluating its application in a real-world scenario. We found that the CBs reduced DR by 71.4% on average. This corresponds to an average number of 75,454 requests over 1 hour that were not discarded but forwarded to another infrastructure.  ¬© 2024 IEEE.</t>
  </si>
  <si>
    <t>Circuit Breakers; Microservices; Performance Modeling; Stochastic Petri Nets</t>
  </si>
  <si>
    <t>Pinheiro, Thiago (57207116535); Mialaret, Marco (57221083432); Pereira, Paulo (57209866892); Lins, Luan (57221331821); Silva, Daliton (55803552400); Dantas, Jamilson (55557300600); MacIel, Paulo (26643185100)</t>
  </si>
  <si>
    <t>57207116535; 57221083432; 57209866892; 57221331821; 55803552400; 55557300600; 26643185100</t>
  </si>
  <si>
    <t>SysCon 2024 - 18th Annual IEEE International Systems Conference, Proceedings</t>
  </si>
  <si>
    <t>https://www.scopus.com/inward/record.uri?eid=2-s2.0-85197342863&amp;doi=10.1109%2fSysCon61195.2024.10553490&amp;partnerID=40&amp;md5=31a854d2383526bddc2a87d43097d868</t>
  </si>
  <si>
    <t>2-s2.0-85197342863</t>
  </si>
  <si>
    <t>Containers; Economic and social effects; Petri nets; Satellites; Stochastic models; Stochastic systems; Timing circuits; Arrival rates; Circuit-breakers; Microservice; Performance Modeling; Production environments; Protection mechanisms; Scaling mechanism; Service provider; Servicelevel agreement (SLA); Stochastic Petri Nets; Electric circuit breakers</t>
  </si>
  <si>
    <t>Patwary A.K.; Parvez M.O.; Awang Z.; Bidin M.F.B.</t>
  </si>
  <si>
    <t>Navigating Financial Performance in the Culinary Industry: Does Web 2.0 Matter?</t>
  </si>
  <si>
    <t>10.1080/15428052.2024.2361693</t>
  </si>
  <si>
    <t>By considering the importance of culinary and technology adoption, this study investigates the impacts of perceived benefits (marketing, management, and competitive advantages) on web 2.0 adoption intention in the culinary industry. The study also examines the role of Web 2.0 adoption intention on the company‚Äôs financial performance. This research used Smart-PLS version 3 and SPSS 24 software for data analysis. An online survey was conducted using Google Docs forms, and data obtained from 1082 usable responses were used for analysis. The study found that perceived benefits (marketing, management, and competitive advantages) significantly impact W‚Äôs intention to adopt Web 2.0 and its financial performance. In this era, technology adoption can change the direction of any company. Technological adoption occurs fast in global companies, and the culinary industry is no exception. Like other sectors, the culinary industry must adopt technological advancements to maintain this competitive market. The culinary industry contributes significantly to its growth, especially in Malaysia. ¬© 2024 Taylor &amp; Francis.</t>
  </si>
  <si>
    <t>culinary industry; Financial performance; Malaysia; perceived benefits</t>
  </si>
  <si>
    <t>Patwary, Ataul Karim (57213152869); Parvez, M. Omar (57217167544); Awang, Zaimatul (57210733622); Bidin, Muhammad Firdaus Bin (57212028428)</t>
  </si>
  <si>
    <t>57213152869; 57217167544; 57210733622; 57212028428</t>
  </si>
  <si>
    <t>Journal of Culinary Science and Technology</t>
  </si>
  <si>
    <t>https://www.scopus.com/inward/record.uri?eid=2-s2.0-85195117579&amp;doi=10.1080%2f15428052.2024.2361693&amp;partnerID=40&amp;md5=8d4a750b07a83a6fca66b431558b091e</t>
  </si>
  <si>
    <t>2-s2.0-85195117579</t>
  </si>
  <si>
    <t>Commerce; Finance; Marketing; Adoption intention; Competitive advantage; Culinary industry; Financial performance; Malaysia; Marketing management; Online surveys; Perceived benefits; Technology adoption; Web 2.0; Competition</t>
  </si>
  <si>
    <t>Wang J.; Berger D.S.; Kazhamiaka F.; Irvene C.; Zhang C.; Choukse E.; Frost K.; Fonseca R.; Warrier B.; Bansal C.; Stern J.; Bianchini R.; Sriraman A.</t>
  </si>
  <si>
    <t>Designing Cloud Servers for Lower Carbon</t>
  </si>
  <si>
    <t>10.1109/ISCA59077.2024.00041</t>
  </si>
  <si>
    <t>To mitigate climate change, we must reduce carbon emissions from hyperscale cloud computing. We find that cloud compute servers cause the majority of emissions in a general-purpose cloud. Thus, we motivate designing carbon-efficient compute server SKUs, or GreenSKUs, using recently-available low-carbon server components. To this end, we design and build three GreenSKUs using low-carbon components, such as energy-efficient CPUs, reused old DRAM via CXL, and reused old SSDs.We detail several challenges that limit GreenSKUs, carbon savings at scale and may prevent their adoption by cloud providers. To address these challenges, we develop a novel methodology and associated framework, GSF (GreenSKU Framework), that enables a cloud provider to systematically evaluate a GreenSKU's carbon savings at scale. We implement GSF within Microsoft Azure's production constraints to evaluate our three GreenSKUs' carbon savings. Using GSF, we show that our most carbon-efficient GreenSKU reduces emissions per core by 28 % compared to currently-deployed cloud servers. When designing GreenSKUs to meet applications' performance requirements, we reduce emissions by 15 %. When incorporating overall data center overheads, our GreenSKU reduces Azure's net cloud emissions by 8 %. ¬© 2024 IEEE.</t>
  </si>
  <si>
    <t>Carbon; Cloud Computing; Data Center; Server Design; Sustainability</t>
  </si>
  <si>
    <t>Wang, Jaylen (58566181500); Berger, Daniel S. (56270528200); Kazhamiaka, Fiodar (56790102800); Irvene, Celine (57195997387); Zhang, Chaojie (57207250303); Choukse, Esha (57191255557); Frost, Kali (57203118485); Fonseca, Rodrigo (8872461200); Warrier, Brijesh (57228220000); Bansal, Chetan (55370264500); Stern, Jonathan (59258597400); Bianchini, Ricardo (7006939544); Sriraman, Akshitha (57189065986)</t>
  </si>
  <si>
    <t>58566181500; 56270528200; 56790102800; 57195997387; 57207250303; 57191255557; 57203118485; 8872461200; 57228220000; 55370264500; 59258597400; 7006939544; 57189065986</t>
  </si>
  <si>
    <t>Proceedings - International Symposium on Computer Architecture</t>
  </si>
  <si>
    <t>https://www.scopus.com/inward/record.uri?eid=2-s2.0-85200553624&amp;doi=10.1109%2fISCA59077.2024.00041&amp;partnerID=40&amp;md5=04e02bd90867d84af9b5000b6a4fc8ec</t>
  </si>
  <si>
    <t>2-s2.0-85200553624</t>
  </si>
  <si>
    <t>Carbon; Climate change; Energy efficiency; Green computing; Program processors; Windows operating system; Carbon emissions; Carbon saving; Cloud providers; Cloud servers; Cloud-computing; Datacenter; Design and build; Low carbon; Server components; Server design; Cloud computing</t>
  </si>
  <si>
    <t>Alvarez-Valera H.H.; Maurice A.; Ravat F.; Song J.; Roose P.; Valles-Parlangeau N.</t>
  </si>
  <si>
    <t>Energy Measurement System for¬†Data Lake: An Initial Approach</t>
  </si>
  <si>
    <t>10.1007/978-981-97-4982-9_2</t>
  </si>
  <si>
    <t>14795 LNAI</t>
  </si>
  <si>
    <t>Data Lakes are increasingly deployed as a solution for Big Data analytics. Recent improvements in Data Lake technology have focused on improving data access, governance, and discoverability. However, the energy consumption of data operations, a non-trivial issue for eco-conscious organizations, is currently overlooked. Furthermore, existing monitoring tools do not adequately address the complexities of Data Lake architectures. This paper presents the initial phase of developing a system for measuring energy in Data Lake pipeline operations. The novelty of our solution lies in the fact that we define four measures to assess the power usage of crucial hardware components in a Data Lake context: CPU, RAM, NIC, and storage devices. To validate our approach, we developed a monitoring tool grounded in real-world datasets from a Data Lake benchmark. ¬© The Author(s), under exclusive license to Springer Nature Singapore Pte Ltd. 2024.</t>
  </si>
  <si>
    <t>Data Lakes; data processing; energy consumption</t>
  </si>
  <si>
    <t>Alvarez-Valera, Hernan Humberto (57188965064); Maurice, Alexandre (59308851500); Ravat, Franck (6603741650); Song, Jiefu (56347104900); Roose, Philippe (55843683500); Valles-Parlangeau, Nathalie (23399129400)</t>
  </si>
  <si>
    <t>57188965064; 59308851500; 6603741650; 56347104900; 55843683500; 23399129400</t>
  </si>
  <si>
    <t>Lecture Notes in Computer Science (including subseries Lecture Notes in Artificial Intelligence and Lecture Notes in Bioinformatics)</t>
  </si>
  <si>
    <t>https://www.scopus.com/inward/record.uri?eid=2-s2.0-85202857687&amp;doi=10.1007%2f978-981-97-4982-9_2&amp;partnerID=40&amp;md5=5acee0a3b8640a78aef4a706e89c36b0</t>
  </si>
  <si>
    <t>2-s2.0-85202857687</t>
  </si>
  <si>
    <t>Data handling; Data access; Data analytics; Data lake; Data operations; Energy; Energy measurement system; Energy-consumption; Initial phasis; Monitoring tools; Non-trivial; Data Analytics</t>
  </si>
  <si>
    <t>Wasserbaur R.; Schroeder A.; Beltagui A.</t>
  </si>
  <si>
    <t>Heat-as-a-Service (HaaS): a Complex Adaptive Systems perspective on servitization</t>
  </si>
  <si>
    <t>10.1080/09537287.2023.2189639</t>
  </si>
  <si>
    <t>Servitization increases uncertainty and complexity in manufacturing firms by introducing dynamic interdependencies within and between organisations. This study proposes the conceptual lens of Complex Adaptive Systems (CAS) to frame manufacturers‚Äô service delivery systems and a hybrid simulation approach to explore the dynamic interdependencies of their servitization journeys. The case of a boiler manufacturer transforming to a provider of Heat-as-a-Service (HaaS) is used to examine the dynamic interdependencies between the growth of a service business, digitalisation efforts and operational efficiency as well as the interaction between the emerging service- and existing product business. The findings indicate that the manufacturer will experience an initial ‚Äòcost-shock‚Äô which will significantly decline as service delivery optimises and diagnostic accuracy improves. The study contributes to the servitization literature by introducing CAS as a theoretical perspective and hybrid modelling as a practical approach to explore and reconcile the strategic and operational dimensions of servitization. ¬© 2023 The Author(s). Published by Informa UK Limited, trading as Taylor &amp; Francis Group.</t>
  </si>
  <si>
    <t>); Complex Adaptive Systems (CAS; Heat-as-a-Service (HaaS); hybrid simulation; servitization</t>
  </si>
  <si>
    <t>Wasserbaur, Raphael (57204109573); Schroeder, Andreas (8902630000); Beltagui, Ahmad (24922784100)</t>
  </si>
  <si>
    <t>57204109573; 8902630000; 24922784100</t>
  </si>
  <si>
    <t>Production Planning and Control</t>
  </si>
  <si>
    <t>https://www.scopus.com/inward/record.uri?eid=2-s2.0-85150901209&amp;doi=10.1080%2f09537287.2023.2189639&amp;partnerID=40&amp;md5=9fd7208ed9445b38aef200543e2edc97</t>
  </si>
  <si>
    <t>2-s2.0-85150901209</t>
  </si>
  <si>
    <t>); Complex adaptive system (complex adaptive system; Complex adaptive systems; Heat-as-a-service; Hybrid simulation; Manufacturer services; Manufacturing firms; Servitization; Uncertainty and complexity; Adaptive systems</t>
  </si>
  <si>
    <t>Stojkovic J.; Iliakopoulou N.; Xu T.; Franke H.; Torrellas J.</t>
  </si>
  <si>
    <t>EcoFaaS: Rethinking the Design of Serverless Environments for Energy Efficiency</t>
  </si>
  <si>
    <t>10.1109/ISCA59077.2024.00042</t>
  </si>
  <si>
    <t>While serverless computing is increasingly popular, its energy and power consumption behavior is hardly explored. In this work, we perform a thorough characterization of the serverless environment and observe that it poses a set of challenges not effectively handled by existing energy-management schemes. Short serverless functions execute in opaque virtualized sandboxes, are idle for a large fraction of their invocation time, context switch frequently, and are co-located in a highly dynamic manner with many other functions of diverse properties. These features are a radical shift from more traditional application environments and require a new approach to manage energy and power. Driven by these insights, we design EcoFaaS, the first energy management framework for serverless environments. EcoFaaS takes a user-provided end-to-end application Service Level Objective (SLO). It then splits the SLO into per-function deadlines that minimize the total energy consumption. Based on the computed deadlines, EcoFaaS sets the optimal per-invocation core frequency using a prediction algorithm. The algorithm performs a fine-grained analysis of the execution time of each invocation, while taking into account the specific invocation inputs. To maximize efficiency, EcoFaaS splits the cores in a server into multiple Core Pools, where all the cores in a pool run at the same frequency and are controlled by a single scheduler. EcoFaaS dynamically changes the sizes and frequencies of the pools based on the current system state. We implement EcoFaaS on two open-source serverless platforms (OpenWhisk and KNative) and evaluate it using diverse serverless applications. Compared to state-of-the-art energy-management systems, EcoFaaS reduces the total energy consumption of serverless clusters by 42 % while simultaneously reducing the tail latency by 34.8 %. ¬© 2024 IEEE.</t>
  </si>
  <si>
    <t>cloud computing; energy efficiency; serverless computing</t>
  </si>
  <si>
    <t>Stojkovic, Jovan (57212405978); Iliakopoulou, Nikoleta (59258530700); Xu, Tianyin (24825809900); Franke, Hubertus (7202800815); Torrellas, Josep (7003395953)</t>
  </si>
  <si>
    <t>57212405978; 59258530700; 24825809900; 7202800815; 7003395953</t>
  </si>
  <si>
    <t>https://www.scopus.com/inward/record.uri?eid=2-s2.0-85201158993&amp;doi=10.1109%2fISCA59077.2024.00042&amp;partnerID=40&amp;md5=71d1ed2e5430215264889bcfeaafd5cc</t>
  </si>
  <si>
    <t>2-s2.0-85201158993</t>
  </si>
  <si>
    <t>Computing power; Energy management; Energy management systems; Energy utilization; Green computing; Lakes; Cloud-computing; Co-located; Context switch; Energy management schemes; Energy-consumption; Existing energies; Serverless computing; Service level objective; Time contexts; Total energy; Energy efficiency</t>
  </si>
  <si>
    <t>Alhusenat A.Y.; Tian J.; Zhu L.; Melesew Y.Z.; Zheng T.-X.; Lei L.</t>
  </si>
  <si>
    <t>Parallel Task Offloading and Resource Optimization for LEO Satellites Edge Computing</t>
  </si>
  <si>
    <t>10.1109/ICCC62479.2024.10681890</t>
  </si>
  <si>
    <t>This study examines the configuration of Low Earth Orbit (LEO) satellite networks that employ laser-based intersatellite links (LISLs) for satellite edge computing (SEC). High-resolution applications like synthetic aperture radar (SAR) imaging use LEO satellite systems, which face significant challenges in effectively regulating energy consumption and reducing work latency. To address these challenges, we proposed a novel approach that utilizes the lowest-cost method based on a genetic algorithm (LCMGA). This strategy focuses on allocating computing subtasks and optimizing energy consumption by parallel offloading them over multiple SEC nodes. The primary objective is to decrease energy costs while upholding task latency demands. The LCMGA algorithm utilizes the computing resource of edge satellites in the LISL range to determine the most efficient methods of offloading tasks. The simulation findings demonstrate that LCMGA significantly reduces the computational time for processing large volumes of data, achieving processing durations of only a few seconds. In addition, LCMGA surpasses existing algorithms in terms of energy usage and CPU energy efficiency. ¬© 2024 IEEE.</t>
  </si>
  <si>
    <t>energy optimization; genetic algorithm; laser-based inter-satellite links; LEO satellite networks; parallel task offloading</t>
  </si>
  <si>
    <t>Alhusenat, Ahmad Y. (57223015094); Tian, Jinjin (59223354500); Zhu, Lihong (59368552500); Melesew, Yetneberk Zenebe (57347007000); Zheng, Tong-Xing (55771505100); Lei, Lei (56426752700)</t>
  </si>
  <si>
    <t>57223015094; 59223354500; 59368552500; 57347007000; 55771505100; 56426752700</t>
  </si>
  <si>
    <t>2024 IEEE/CIC International Conference on Communications in China, ICCC 2024</t>
  </si>
  <si>
    <t>https://www.scopus.com/inward/record.uri?eid=2-s2.0-85206447937&amp;doi=10.1109%2fICCC62479.2024.10681890&amp;partnerID=40&amp;md5=fb70a46f8aecda88a5787aaffeb7c2e8</t>
  </si>
  <si>
    <t>2-s2.0-85206447937</t>
  </si>
  <si>
    <t>Communication satellites; Computation offloading; Data reduction; Energy utilization; Geodetic satellites; Gluing; Micro satellites; Network security; Satellite communication systems; Tropics; Energy optimization; Intersatellite links; Laser-based; Laser-based inter-satellite link; Low earth orbit satellite network; Low earth orbit satellites; Parallel task; Parallel task offloading; Satellite network; Task offloading; Satellite links</t>
  </si>
  <si>
    <t>Wang R.; Qiu H.; Cheng X.; Liu X.</t>
  </si>
  <si>
    <t>Anomaly detection with a container-based stream processing framework for Industrial Internet of Things</t>
  </si>
  <si>
    <t>10.1016/j.jii.2023.100507</t>
  </si>
  <si>
    <t>Online anomaly detection is a key challenge for industrial internet of things (IIoT) applications, as anomalies may occur in data streams from sensors and cause losses or damages. However, most existing methods for online anomaly detection have limitations in efficiency, effectiveness and timeliness, especially with the massive and distributed data streams from IIoT devices. Therefore, developing a data stream processing framework to discover anomalies in time and ensure the proper operation of the system is an urgent issue for IIoT. In this paper, we propose a flexible stream processing framework that enables online anomaly detection for IIoT applications. The framework exploits a distributed computing architecture based on docker containers to improve flexibility, migration capability and customization. The framework also uses a central mediator to coordinate data stream processing tasks running on different docker nodes. Moreover, we develop a prediction-based online anomaly detection model that consists of batch model training and data stream anomaly detection processes. The model uses long short-term memory (LSTM) neural networks to predict data stream values and a dynamic sliding window method to model prediction errors and detect anomalies. We implement a case study to detect abnormal heating temperatures from an industrial heating plant and evaluate the performance of the proposed framework and anomaly detection model. The results show that our framework and model can achieve high accuracy and low latency in detecting anomalies, and they outperform existing methods in terms of scalability, efficiency and adaptability for IIoT applications. ¬© 2023 The Author(s)</t>
  </si>
  <si>
    <t>Anomaly detection; Container-based; Flexible sliding window; LSTM neural network; Stream processing</t>
  </si>
  <si>
    <t>Wang, Renfang (56120073100); Qiu, Hong (55222384900); Cheng, Xu (57195983527); Liu, Xiufeng (36701583900)</t>
  </si>
  <si>
    <t>56120073100; 55222384900; 57195983527; 36701583900</t>
  </si>
  <si>
    <t>Journal of Industrial Information Integration</t>
  </si>
  <si>
    <t>https://www.scopus.com/inward/record.uri?eid=2-s2.0-85167810037&amp;doi=10.1016%2fj.jii.2023.100507&amp;partnerID=40&amp;md5=00150a870b65a05e0f26560e91a4b8cd</t>
  </si>
  <si>
    <t>2-s2.0-85167810037</t>
  </si>
  <si>
    <t>Batch data processing; Computer architecture; Containers; Distributed parameter control systems; Efficiency; Forecasting; HTTP; Internet of things; Long short-term memory; Anomaly detection; Container-based; Data stream; Data streams processing; Flexible sliding window; Long short-term memory neural network; Neural-networks; Online anomaly detection; Sliding Window; Stream processing; Anomaly detection</t>
  </si>
  <si>
    <t>Xiang Z.; Xue X.; Chen Y.; Dustdar S.; Guo M.</t>
  </si>
  <si>
    <t>Let Robots Watch Grass Grow: Optimal Task Assignment for Automatic Plant Factory</t>
  </si>
  <si>
    <t>10.1109/TSUSC.2024.3462447</t>
  </si>
  <si>
    <t>Modularized plant factories, characterized by machines executing intelligent control requests to automatically take care of crops, have emerged as a sustainable agricultural paradigm, garnering the attention of Internet-of-Things and agricultural researchers for their production stability and energy efficiency. However, the diversity and pluralism of the plant factory components make it difficult to cooperate and produce crops with better qualities. Therefore, appropriate resource allocation and task scheduling strategies become the key points to optimize the quality of production in the factories by immediately telling which component is more suitable to do what in taking care of the crops. To address this challenge, this paper investigates how the machines of the factory can use their unique services and resource to help improve the crops' quality and model the machine cooperation as an online decision-making problem. An Œ±-competitive approach called OnATS is designed based on the transformation of the original problem, and the experiments show that the proposed algorithm is superior to the baselines. Additionally, this paper explores the impact of different system configurations on the proposed method and shows that the proposed approach has broad applicability. ¬© 2016 IEEE.</t>
  </si>
  <si>
    <t>Plant Factory; Resource Allocation; Service Deployment; Task Assignment</t>
  </si>
  <si>
    <t>Xiang, Zhengzhe (57040492100); Xue, Xizi (59339008400); Chen, Yuanyi (54794797100); Dustdar, Schahram (6701473617); Guo, Minyi (7201564780)</t>
  </si>
  <si>
    <t>57040492100; 59339008400; 54794797100; 6701473617; 7201564780</t>
  </si>
  <si>
    <t>https://www.scopus.com/inward/record.uri?eid=2-s2.0-85204689961&amp;doi=10.1109%2fTSUSC.2024.3462447&amp;partnerID=40&amp;md5=31bbe398e7f4947660b234c49090acdc</t>
  </si>
  <si>
    <t>2-s2.0-85204689961</t>
  </si>
  <si>
    <t>Resource allocation; Energy; Modularized; Optimal tasks assignment; Plant factory; Resources allocation; Scheduling strategies; Service deployment; Sustainable agricultural; Tasks assignments; Tasks scheduling</t>
  </si>
  <si>
    <t>Lu L.</t>
  </si>
  <si>
    <t>Evaluation on the application mode of blockchain technology in water transportation engineering project management</t>
  </si>
  <si>
    <t>10.2166/ws.2023.255</t>
  </si>
  <si>
    <t>Due to the continuous development and application of blockchain technology, more and more industries are exploring its application in project management. In the management of water transportation engineering projects, blockchain technology also has certain application potential. This article will start with the characteristics of blockchain technology, and the current situation and needs of water transportation project management, analyze the application mode of blockchain technology in water transportation project management, and explore its advantages, limitations, and practical applications. The experimental results of this article showed that when blockchain technology was applied to the management of water transportation engineering projects, its information sharing score was 93; its data storage and management score was 96.1; its smart contract score was 97.4; its fund management score was 97.1; its Internet of Things technology score was 96.5, which was far higher than the score of applying traditional technologies. It was shown that using blockchain technology for water transportation engineering project management can improve the efficiency and quality of project management, reduce costs, and extend to a wider range of water transportation lines and project fields in the future. ¬© 2023 The Author.</t>
  </si>
  <si>
    <t>blockchain technology; consensus algorithm; project management; water transportation</t>
  </si>
  <si>
    <t>Lu, Liyu (57753995500)</t>
  </si>
  <si>
    <t>Water Supply</t>
  </si>
  <si>
    <t>https://www.scopus.com/inward/record.uri?eid=2-s2.0-85176281981&amp;doi=10.2166%2fws.2023.255&amp;partnerID=40&amp;md5=102f694cda45ec5d8621b8ef264bb555</t>
  </si>
  <si>
    <t>2-s2.0-85176281981</t>
  </si>
  <si>
    <t>Blockchain; Cost engineering; Digital storage; Information management; Water management; Application modes; Block-chain; Blockchain technology; Consensus algorithms; Continuous development; Engineering program; Engineering Project Management; Transportation engineering; Transportation projects; Water transportation; algorithm; Internet; project management; transportation system; Article; blockchain; economic aspect; energy consumption; hydrological engineering; information system; information technology; internet of things; traffic and transport; water transport; Project management</t>
  </si>
  <si>
    <t>Cherry B.; Bernard J.; Kintziger T.; Nagy C.; Cleve A.; Lanza M.</t>
  </si>
  <si>
    <t>A Multivocal Mapping Study of MongoDB Smells</t>
  </si>
  <si>
    <t>10.1109/SANER60148.2024.00086</t>
  </si>
  <si>
    <t>Code smells are symptoms of poor design or bad implementation choices. Their automatic detection is helpful for various reasons. For example, the detected smells can guide developers during code inspection to find the causes of maintenance problems. Many code smells have been proposed for several technologies, including database communication, such as ORM or SQL antipatterns. However, despite its popularity, no research has been conducted on MongoDB smells. We present a systematic multivocal literature mapping study, also covering 'grey' literature, to build a catalog of MongoDB code smells. After evaluating 1,498 artifacts (e.g., blog posts, online articles, book chapters, scientific papers, presentation slides, and videos) from 12 search engines, we manually reviewed 174 sources and devised a catalog of 76 smells organized into 11 categories. We present the catalog of MongoDB code smells through a series of examples.  ¬© 2024 IEEE.</t>
  </si>
  <si>
    <t>Code Smells; JavaScript; MongoDB; Multivocal Mapping Study; NoSQL; Static Analysis</t>
  </si>
  <si>
    <t>Cherry, Boris (57226387931); Bernard, Jehan (59237182000); Kintziger, Thomas (59236521400); Nagy, Csaba (26667913000); Cleve, Anthony (8694759600); Lanza, Michele (56760055000)</t>
  </si>
  <si>
    <t>57226387931; 59237182000; 59236521400; 26667913000; 8694759600; 56760055000</t>
  </si>
  <si>
    <t>Proceedings - 2024 IEEE International Conference on Software Analysis, Evolution and Reengineering, SANER 2024</t>
  </si>
  <si>
    <t>https://www.scopus.com/inward/record.uri?eid=2-s2.0-85199776614&amp;doi=10.1109%2fSANER60148.2024.00086&amp;partnerID=40&amp;md5=9eda2cd8dbd2f1d7231ffe1367c4c59f</t>
  </si>
  <si>
    <t>2-s2.0-85199776614</t>
  </si>
  <si>
    <t>Codes (symbols); Mapping; Odors; Static analysis; Anti-patterns; Automatic Detection; Code inspections; Code smell; Javascript; Maintenance Problem; Mapping studies; MongoDB; Multivocal mapping study; NoSQL; Search engines</t>
  </si>
  <si>
    <t>Somantri A.; Surendro K.</t>
  </si>
  <si>
    <t>Greenhouse Gas Emission Reduction Architecture in Computer Science: A Systematic Review</t>
  </si>
  <si>
    <t>10.1109/ACCESS.2024.3373786</t>
  </si>
  <si>
    <t>Computer Science Architecture (CSA), encompassing data, application, technology, and business architecture, is a vital tool for addressing climate change challenges. It aims to reduce greenhouse gas emissions from sectors such as stationary energy, transportation, industry, product use, waste, and land use. CSA principles extend to advanced technologies like artificial intelligence (AI), the Internet of Things (IoT), Machine Learning (ML), data centers, blockchain, multi-agent systems, sensors, and smart grids. This review explores CSA's role in mitigating greenhouse gas emissions for a sustainable environment. It analyzes implications, indicators, and methodologies for data, application, technology, and business architecture, highlighting their direct impact on creating an environmentally friendly technological landscape. The study also delves into emerging trends and suggestions for future research, contributing to the discourse on leveraging technology for a greener future.  ¬© 2013 IEEE.</t>
  </si>
  <si>
    <t>computer science architecture; Greenhouse gas emissions; review; sustainable environment</t>
  </si>
  <si>
    <t>Somantri, Asep (58930803600); Surendro, Kridanto (6507613469)</t>
  </si>
  <si>
    <t>58930803600; 6507613469</t>
  </si>
  <si>
    <t>https://www.scopus.com/inward/record.uri?eid=2-s2.0-85187352594&amp;doi=10.1109%2fACCESS.2024.3373786&amp;partnerID=40&amp;md5=f2b7d9780c85bdae0849d1c2f0b25fb2</t>
  </si>
  <si>
    <t>2-s2.0-85187352594</t>
  </si>
  <si>
    <t>Architecture; Carbon; Climate change; Emission control; Engineering education; Gas emissions; Greenhouse gases; Internet of things; Land use; Learning systems; Multi agent systems; Sustainable development; Carbon emissions; Computer science architecture; Data application; Data architectures; Data business; Environmental Monitoring; Greenhouse gas emissions; Greenhouses gas; Machine-learning; Sustainable environment; Computer architecture</t>
  </si>
  <si>
    <t>Lei C.F.; Ngai E.W.T.</t>
  </si>
  <si>
    <t>Blockchain from the information systems perspective: Literature review, synthesis, and directions for future research</t>
  </si>
  <si>
    <t>10.1016/j.im.2023.103856</t>
  </si>
  <si>
    <t>This paper profiled blockchain studies in information systems (IS) journals from 2016 to 2022. Drawing on the 443 selected articles from 77 IS journals, we proposed a classification scheme from the IS perspective. Current blockchain articles are highly skewed, focusing on research agendas and system design. We proposed a theoretical framework by summarizing the current status of the blockchain literature and highlighting 15 future research questions for the IS research community. We are optimistic that the proposed framework and future research questions can guide blockchain research and advance its scale and impact. ¬© 2023 Elsevier B.V.</t>
  </si>
  <si>
    <t>Blockchain literature review; Information systems; Research framework; Systematic literature review</t>
  </si>
  <si>
    <t>Lei, Chun Fong (55744889600); Ngai, Eric W.T. (7003298974)</t>
  </si>
  <si>
    <t>55744889600; 7003298974</t>
  </si>
  <si>
    <t>Information and Management</t>
  </si>
  <si>
    <t>https://www.scopus.com/inward/record.uri?eid=2-s2.0-85169067973&amp;doi=10.1016%2fj.im.2023.103856&amp;partnerID=40&amp;md5=10631b38fe316ec9e2458ec586b8b393</t>
  </si>
  <si>
    <t>2-s2.0-85169067973</t>
  </si>
  <si>
    <t>Information systems; Information use; 'current; Block-chain; Blockchain literature review; Classification scheme; Literature reviews; Research agenda; Research frameworks; Research questions; Research system; Systematic literature review; Blockchain</t>
  </si>
  <si>
    <t>Mamaril A.; Kolodziejczyk R.; Soussi W.; G√ºr G.</t>
  </si>
  <si>
    <t>Exploring Live Payload Migrations for MTD in Microservices Architecture</t>
  </si>
  <si>
    <t>10.1109/VTC2024-Spring62846.2024.10683429</t>
  </si>
  <si>
    <t>This paper explores the implementation of live migrations within microservices architecture, with a focus on Moving Target Defense (MTD) in the context of cybersecurity. MTD aims to improve system security by introducing changes across multiple dimensions, increasing uncertainty for attackers. Our work dives into container migration techniques within Kubernetes, utilizing two clusters for a redundant deployment. Two payload migration approaches, 'kill-first' and 'replicate-first,' are proposed, implemented and investigated leading to some preliminary measurement results. The paper assesses the impact of these techniques on microservice applications, specifically their downtime during migrations. Additionally, it discusses security aspects related to container migration. ¬© 2024 IEEE.</t>
  </si>
  <si>
    <t>Mamaril, Anthony (59364242800); Kolodziejczyk, Rinchen (59364015800); Soussi, Wissem (57220164241); G√ºr, G√ºrkan (9638413000)</t>
  </si>
  <si>
    <t>59364242800; 59364015800; 57220164241; 9638413000</t>
  </si>
  <si>
    <t>IEEE Vehicular Technology Conference</t>
  </si>
  <si>
    <t>https://www.scopus.com/inward/record.uri?eid=2-s2.0-85206149374&amp;doi=10.1109%2fVTC2024-Spring62846.2024.10683429&amp;partnerID=40&amp;md5=70a46f6cc77fcb3d06b4c0f0f5d5387b</t>
  </si>
  <si>
    <t>2-s2.0-85206149374</t>
  </si>
  <si>
    <t>Cyber security; Live migrations; Migration technique; Moving target defense; Multiple dimensions; Security aspects; System security; Uncertainty</t>
  </si>
  <si>
    <t>Tang Z.; Yang T.; Liu H.; Xiao Y.; Xu N.</t>
  </si>
  <si>
    <t>Construction of a micro-application for full lifecycle data management based on a new-generation electricity consumption information collection system</t>
  </si>
  <si>
    <t>10.2478/amns-2024-2738</t>
  </si>
  <si>
    <t>The power consumption information collection system encompasses multiple complex technical relationships, along the data flow chain, numerous data conversion links and processing activities, as well as a multitude of threat exposure surfaces, triggering sources, and uncontrollable factors. This paper proposes a complete lifecycle micro-application management system for the power consumption information collection system, aligning with the objectives and construction programs of the project. The life cycle link of collecting, storing, and sending data about electricity use measures the uncertainty of each piece of information in the binary grid protocol by using the Gini index and information entropy. The characteristics of information data are solved using Bayes' theorem. By analyzing the users' behavior patterns, we can prevent them from stealing access rights and other behaviors and dispose of security risks in time. In conjunction with case studies, we conduct simulation experiments to evaluate the power consumption information collection system's security, complexity, and privacy. In the model without privacy protection, the accuracy rate of member inference attacks is about 68%. This paper's designed system is more resilient to member inference attacks, with an accuracy rate of less than 50%, demonstrating a superior level of privacy protection for electricity consumption data. The system in this paper uses less time than the other three schemes when the number of users exceeds 2200, peaking at about 700 ms when the number of users reaches 4000. ¬© 2024 Zhu Tang et al., published by Sciendo.</t>
  </si>
  <si>
    <t>Bayes' theorem; Electricity consumption collection system; Full data life cycle; Gini index; Information entropy; Membership inference attack</t>
  </si>
  <si>
    <t>Tang, Zhu (57220544974); Yang, Tianyu (59368715500); Liu, Heng (59368715600); Xiao, Yuhang (57220548200); Xu, Nan (58087525900)</t>
  </si>
  <si>
    <t>57220544974; 59368715500; 59368715600; 57220548200; 58087525900</t>
  </si>
  <si>
    <t>Applied Mathematics and Nonlinear Sciences</t>
  </si>
  <si>
    <t>https://www.scopus.com/inward/record.uri?eid=2-s2.0-85206443695&amp;doi=10.2478%2famns-2024-2738&amp;partnerID=40&amp;md5=4d373ef7b78bbe06359c102a7f14412a</t>
  </si>
  <si>
    <t>2-s2.0-85206443695</t>
  </si>
  <si>
    <t>Data accuracy; Data transfer; Differential privacy; Baye's theorem; Collection systems; Data life cycle; Electricity consumption collection system; Electricity-consumption; Full data life cycle; Gini Index; Inference attacks; Information entropy; Membership inference attack; Data collection</t>
  </si>
  <si>
    <t>Choi J.</t>
  </si>
  <si>
    <t>Deriving Key Technology Development Items for Energy Management Systems through Patent Trend Analysis</t>
  </si>
  <si>
    <t>10.7840/kics.2023.48.12.1676</t>
  </si>
  <si>
    <t>Global warming has emerged as a major problem due to the increase in energy consumption in the industrial sector, and interest in energy saving is higher than ever. This paper aims to understand the technological level of Korea compared to major countries by analyzing technology patent trends in the field of energy management systems. Through this, we derived the key technology development items of the energy management systems that Korea should focus on. In order to secure the core technology of the energy management system in consideration of social demands and technological changes, it will be essential to focus on the development of intelligent composite sensors, cloud-based EMS platform technology, big data systems for large-scale data processing, energy AI technology, digital twin utilization technology for EMS, and EMS technology integrated with ESS (Energy Storage System) for net-zero buildings. ¬© 2023, Korean Institute of Communications and Information Sciences. All rights reserved.</t>
  </si>
  <si>
    <t>Artificial Intelligence (AI); Energy Management Systems (EMS); Information and Communications Technology; International Patent Classification (IPC); Patent</t>
  </si>
  <si>
    <t>Choi, Jungyul (10042660800)</t>
  </si>
  <si>
    <t>https://www.scopus.com/inward/record.uri?eid=2-s2.0-85189174794&amp;doi=10.7840%2fkics.2023.48.12.1676&amp;partnerID=40&amp;md5=bcd0a5adcdfe0fd6e727770bfee89b7b</t>
  </si>
  <si>
    <t>2-s2.0-85189174794</t>
  </si>
  <si>
    <t>Osman O.M.A.; Jian Z.</t>
  </si>
  <si>
    <t>Does service modularity enhance new service development performance in supply chains: an empirical study</t>
  </si>
  <si>
    <t>10.1108/JBIM-12-2021-0536</t>
  </si>
  <si>
    <t>Purpose: Customer firms and suppliers are valuable knowledge resources that can be used for achieving superior new service development (NSD) performance. This study aims to investigate how supply chain relationship quality (SCRQ) and knowledge sharing promote the success of NSD, and examines service modularity as an important contingency factor that enhances NSD performance in supply chains. Design/methodology/approach: Based on service-dominant logic, this study builds a conceptual model to empirically explore the impacts of SCRQ and knowledge sharing on NSD performance, and highlights the moderating effect of service modularity by means of survey methodology of 295 Chinese service firms to test the research hypotheses. Findings: Regression analysis results show that SCRQ has significant positive effects on knowledge sharing and NSD performance; knowledge sharing plays a partial intermediary role between SCRQ and NSD performance; and service modularity partially moderates the relationships between SCRQ, knowledge sharing and NSD performance. Research limitations/implications: Generalizations here are limited to Chinese service firms. Service modularity in manufacturing firms experimenting with servitization has yet to be examined and provides a good avenue for future research. Originality/value: This study contributes to service management literature by providing empirical understanding of how service modularity affects NSD performance in multiprovider contexts. Furthermore, this study offers novel insights on the impacts of inter-firm relationship quality and knowledge sharing in modular collaborative innovation. ¬© 2023, Emerald Publishing Limited.</t>
  </si>
  <si>
    <t>Knowledge sharing; NSD performance; Service modularity; Service-dominant logic; Supply chain relationship quality</t>
  </si>
  <si>
    <t>Osman, Osman Mohamed Ali (58529276300); Jian, Zhaoquan (35229742900)</t>
  </si>
  <si>
    <t>58529276300; 35229742900</t>
  </si>
  <si>
    <t>Journal of Business and Industrial Marketing</t>
  </si>
  <si>
    <t>https://www.scopus.com/inward/record.uri?eid=2-s2.0-85167396209&amp;doi=10.1108%2fJBIM-12-2021-0536&amp;partnerID=40&amp;md5=e4022fc82d5f1691cdb52bd2d7e4735d</t>
  </si>
  <si>
    <t>2-s2.0-85167396209</t>
  </si>
  <si>
    <t>Song G.; Hong S.H.; Kyzer T.; Wang Y.</t>
  </si>
  <si>
    <t>Energy consumption auditing based on a generative adversarial network for anomaly detection of robotic manipulators</t>
  </si>
  <si>
    <t>10.1016/j.future.2023.07.034</t>
  </si>
  <si>
    <t>This paper presents a generative adversarial network (GAN)-based energy auditing and anomaly detection framework for the health and security monitoring of robotic manipulators. The system features two key components: a side-channel measurement of the energy consumption and a GAN model to learn the data patterns during normal operations only. Anomalies in energy consumption during online testing are then discovered as outliers to the normal data by scrutinizing the anomaly score produced by the discriminator of the GAN model. This semi-supervised network circumvents the need for vast data labeling and exploits the overfitting during the training stage, hence magnifying the difference between the normal patterns learned in training and the unobserved abnormal energy profiles in testing. Moreover, considering the physical aspects of the robotic manipulator, a modified GAN architecture containing multiple discriminators to account for distinct contributions from individual joints/motors. A dynamic thresholding approach that continuously updates the statistical characteristics of the anomaly score is also developed to detect outliers and mitigate the effect of environmental variations during system operation. The proposed framework is tested on the custom dataset for performance evaluation. The results demonstrate the feasibility of the proposed method, especially for detecting physical attacks, which achieves an accuracy of approximately 0.93 in instant-level detection and over 0.84 in event-level detection. ¬© 2023 Elsevier B.V.</t>
  </si>
  <si>
    <t>Anomaly detection; Cyber‚Äìphysical attack; Energy auditing; Generative adversarial network; Robotic manipulator; Side-channel mechanism</t>
  </si>
  <si>
    <t>Song, Ge (57841206800); Hong, Seong Hyeon (57216413727); Kyzer, Tristan (57880705800); Wang, Yi (56662272400)</t>
  </si>
  <si>
    <t>57841206800; 57216413727; 57880705800; 56662272400</t>
  </si>
  <si>
    <t>https://www.scopus.com/inward/record.uri?eid=2-s2.0-85167804860&amp;doi=10.1016%2fj.future.2023.07.034&amp;partnerID=40&amp;md5=3cc2c0314d9726d534a050c282a53845</t>
  </si>
  <si>
    <t>2-s2.0-85167804860</t>
  </si>
  <si>
    <t>Deep learning; Energy conservation; Energy utilization; Generative adversarial networks; Robotics; Statistics; Anomaly detection; Cyber physicals; Cybe‚Äìphysical attack; Energy auditing; Energy-consumption; Network models; Physical attacks; Robotic manipulators; Side-channel; Side-channel mechanism; Anomaly detection</t>
  </si>
  <si>
    <t>DincƒÉ A.-M.; Axinte S.-D.; Bacivarov I.; PetricƒÉ G.</t>
  </si>
  <si>
    <t>Horizontal Scaling Implementation with Container Orchestrator. Reliability Analysis during Stress and Performance Testing</t>
  </si>
  <si>
    <t>10.4316/AECE.2024.03003</t>
  </si>
  <si>
    <t>Software platforms‚Äô infrastructure encompasses the collection of physical resources used concomitantly for user interactions, computational or persistence operations. Virtualization facilitates dynamic allocation of resources to a platform, while staying within the infrastructure‚Äôs limits, enabling deployments of multiple environments on a server, maximizing the computational power. This paper focuses on practical applications of virtualization principles on software platforms, and the analysis of performance indicators. Section II is centered on the Docker feature that packages the source code into images, facilitating testing in local containers, preparing them for the container orchestrator, Kubernetes that designs, creates and scales infrastructure components. The platform was scaled horizontally, because this method accommodates the application‚Äôs technical requirements, as stated in Section V. To identify the underlying causes of an inefficient auto-scaling infrastructure, a Fishbone analysis was conducted, followed by a novel proposal of triggering scaling operations, using AI tools that decide when to rescale an infrastructure, instead of traditional alert levels. The simple and advanced health check mechanisms are studied and implemented in Section VI, through separate APIs that validate the system‚Äôs status and dependencies automatically and periodically using Docker commands, proving the misleadingness of the container for the former, demonstrating the importance of such progressive mechanisms. ¬© (2024), (Universitatea "Stefan cel Mare" din Suceava). All rights reserved.</t>
  </si>
  <si>
    <t>automated virtualization; container orchestrator; horizontal scaling; infrastructure reliability; performance indicators</t>
  </si>
  <si>
    <t>DincƒÉ, Ana-Maria (58538159800); Axinte, Sabina-Daniela (57194205461); Bacivarov, Ioan (23003503700); PetricƒÉ, Gabriel (57193114295)</t>
  </si>
  <si>
    <t>58538159800; 57194205461; 23003503700; 57193114295</t>
  </si>
  <si>
    <t>Advances in Electrical and Computer Engineering</t>
  </si>
  <si>
    <t>https://www.scopus.com/inward/record.uri?eid=2-s2.0-85202992366&amp;doi=10.4316%2fAECE.2024.03003&amp;partnerID=40&amp;md5=696ca746cc3bb0e1cafd762e5a26f5b5</t>
  </si>
  <si>
    <t>2-s2.0-85202992366</t>
  </si>
  <si>
    <t>Ghandour O.; El Kafhali S.; Hanini M.</t>
  </si>
  <si>
    <t>Computing Resources Scalability Performance Analysis in Cloud Computing Data Center</t>
  </si>
  <si>
    <t>10.1007/s10723-023-09696-5</t>
  </si>
  <si>
    <t>Today, cloud computing has become an essential technology in modern times, offering a wide range of benefits to organizations of all sizes. It provides access to computing resources on-demand over the internet, reducing costs and enabling organizations to respond quickly to changing business needs. Dynamic scalability is a crucial feature of cloud computing, allowing the system to dynamically allocate resources based on user demand at runtime while providing high quality of service (QoS) and performance to clients with minimal resource usage. This paper proposes a stochastic model based on queueing theory to study and analyze the performance of cloud data centers (CDC) and meet service level agreements (SLA) established with clients. The model is used to examine various performance metrics, including the mean response time, the mean waiting time, the probability of rejection, and the utilization of the system, as the arrival rate and the service rate vary. Simulation results are provided using the CloudSim simulator. The results of the analysis and simulation show that our model accurately estimates the number of virtual machines (VMs) required to meet QoS objectives, making it a valuable tool for improving the performance and scalability of cloud data centers. The results obtained from our analytical model are validated by an experimental example conducted on the Amazon Web Services (AWS) cloud platform. ¬© 2023, The Author(s), under exclusive licence to Springer Nature B.V.</t>
  </si>
  <si>
    <t>Cloud computing; CloudSim; Quality of service; Queueing theory; Resources management; Scalability; Service level agreements</t>
  </si>
  <si>
    <t>Ghandour, Oumaima (58679053900); El Kafhali, Said (55505648000); Hanini, Mohamed (55204392000)</t>
  </si>
  <si>
    <t>58679053900; 55505648000; 55204392000</t>
  </si>
  <si>
    <t>https://www.scopus.com/inward/record.uri?eid=2-s2.0-85175637777&amp;doi=10.1007%2fs10723-023-09696-5&amp;partnerID=40&amp;md5=cf02653ecc6144df6e017ca61854fa3c</t>
  </si>
  <si>
    <t>2-s2.0-85175637777</t>
  </si>
  <si>
    <t>Cloud computing; Computation theory; Information management; Quality control; Queueing theory; Scalability; Stochastic models; Stochastic systems; Telecommunication services; Web services; Cloud data centers; Cloud-computing; Cloudsim; Computing resource; Datacenter; Performance; Performances analysis; Quality-of-service; Resource management; Servicelevel agreement (SLA); Quality of service</t>
  </si>
  <si>
    <t>Sepahvand M.; Meqdad M.N.; Abdali-Mohammadi F.</t>
  </si>
  <si>
    <t>Fault tolerance challenges in wearable computing for vital applications: a survey</t>
  </si>
  <si>
    <t>10.1080/03091902.2024.2371789</t>
  </si>
  <si>
    <t>Wearable computers can be used in different domains including healthcare. However, due to suffering from challenges such as faults their applications may be limited in real practice. So, in designing wearable devices, designer must take into account fault tolerance techniques. This study aims to investigate the challenging issues of fault tolerance in wearable computing. For this purpose, different aspects of fault tolerance in wearable computing namely hardware, software, energy, and communication are studied; and state of the art research regarding each category is analysed. In this analysis, the performed works using the fault tolerance techniques are included in the form of 25 components and referred to as ‚Äúfault tolerance plan‚Äù. Using this fault tolerance plan and the appropriate profile, the fault tolerance of any wearable system can be evaluated. In this article, fault tolerances of several of the most prominent works conducted in the field of wearable computing were evaluated. The obtained results, with the medical profile, showed that only one wearable system had a fault tolerance of 91%, with the other systems having a fault tolerance of 24% or less. Also, the results obtained from evaluating these works, with the military profile, showed that only one wearable system had a fault tolerance of 76%, with the other systems having a fault tolerance of 19% or less. These mean that few studies have been conducted on the fault tolerance of wearable computing. ¬© 2024 Informa UK Limited, trading as Taylor &amp; Francis Group.</t>
  </si>
  <si>
    <t>fault tolerance; fault tolerance plan; reliability; vital applications; Wearable computing</t>
  </si>
  <si>
    <t>Sepahvand, Majid (57192592627); Meqdad, Maytham N. (57208130646); Abdali-Mohammadi, Fardin (59198341600)</t>
  </si>
  <si>
    <t>57192592627; 57208130646; 59198341600</t>
  </si>
  <si>
    <t>Journal of Medical Engineering and Technology</t>
  </si>
  <si>
    <t>https://www.scopus.com/inward/record.uri?eid=2-s2.0-85197243203&amp;doi=10.1080%2f03091902.2024.2371789&amp;partnerID=40&amp;md5=9e906cbd0d81bf90ca1c307970e4e620</t>
  </si>
  <si>
    <t>2-s2.0-85197243203</t>
  </si>
  <si>
    <t>Equipment Design; Humans; Software; Surveys and Questionnaires; Wearable Electronic Devices; Wearable technology; Device designers; Different domains; Energy; Fault tolerance plan; Fault tolerance techniques; Hardware/software; Vital application; Wearable computing; Wearable devices; Wearable systems; algorithm; Article; computer analysis; decision making; electrocardiogram; electromagnetism; energy consumption; ergonomics; human; reliability; short survey; software; wearable computing; wireless communication; equipment design; questionnaire; wearable computer; Fault tolerance</t>
  </si>
  <si>
    <t>Madhusudhanarao G.; Usha M.; Mapari S.; Sathyamoorthy M.; Kaur S.</t>
  </si>
  <si>
    <t>Enhancing Mobile Video Streaming through AMES-Cloud: A Cloud Computing Approach to Addressing Wireless Link Challenges</t>
  </si>
  <si>
    <t>10.1109/TQCEBT59414.2024.10545207</t>
  </si>
  <si>
    <t>Despite extensive efforts by network operators to enhance wireless connectivity (such as 5G and LTE), the surging demand for mobile video content is rapidly surpassing the capacity of wireless links. As video file movement over communication systems continues to rise, the existing connection capacity struggles to retain pace, leading to poor service quality, including long buffering times and intermittent disruptions. This study offers AMES-Cloud, an adaptive communication systems video running and allocating platform, in response to this difficulty. AMES-Cloud archives videos effectively and is utilized in cloud computing to develop isolated agents for specific mobile users. By utilising Scalable Video Coding algorithms, these agents can adapt to changing link quality and provide uninterrupted video streaming. Furthermore, by employing background pushing features across several components, including VB, subVBs, and localVB AMES-Cloud hopes to offer mobile consumers smooth video streaming experiences. Through a prototype implementation and evaluation, AMES-Cloud demonstrates significant improvements in mobile streaming adaptability, leveraging cloud computing techniques. It's important to note that the cost of encoding workload in the cloud was not considered during the prototype implementation.  ¬© 2024 IEEE.</t>
  </si>
  <si>
    <t>AMES; Cloud Computing; Mobile Networks; Mobile Video; power consumption; Video Coding</t>
  </si>
  <si>
    <t>Madhusudhanarao, G. (57202968571); Usha, Matta (59336371300); Mapari, Shrikant (57200272927); Sathyamoorthy, Malathy (57204241980); Kaur, Simrandeep (59000762300)</t>
  </si>
  <si>
    <t>57202968571; 59336371300; 57200272927; 57204241980; 59000762300</t>
  </si>
  <si>
    <t>TQCEBT 2024 - 2nd IEEE International Conference on Trends in Quantum Computing and Emerging Business Technologies 2024</t>
  </si>
  <si>
    <t>https://www.scopus.com/inward/record.uri?eid=2-s2.0-85204475037&amp;doi=10.1109%2fTQCEBT59414.2024.10545207&amp;partnerID=40&amp;md5=35f020e48d01b59c07b6f5705c307542</t>
  </si>
  <si>
    <t>2-s2.0-85204475037</t>
  </si>
  <si>
    <t>5G mobile communication systems; Chatbots; Cloud platforms; Mobile cloud computing; Scalable video coding; AMES; Cloud-computing; Mobile video; Mobile Video streamings; Network operator; Power; Prototype implementations; Video-streaming; Wireless connectivities; Wireless link; Video streaming</t>
  </si>
  <si>
    <t>Chen Q.; Wang Y.; Wang W.; Nakachi T.; Zhang Z.</t>
  </si>
  <si>
    <t>Privacy-Preserving Resource Management for Distributed Collaborative Edge Caching Systems</t>
  </si>
  <si>
    <t>10.1109/JIOT.2024.3437452</t>
  </si>
  <si>
    <t>Caching sheds a light on reducing long-distance data transmissions over networks, while raising significant privacy concerns. Moving one step ahead, collaborative edge caching is proposed to facilitate preserving user privacy via reducing the external data exposure. However, it still fails to avert the risk of privacy leakage from nearby edge devices. To tackle this issue, we develop an analytical framework for privacy preserving joint communication and content allocation algorithm for distributed collaborative edge caching systems, in which edge devices collaboratively cache and share the content items based on the dummy-based privacy preservation mechanism. Specifically, we define the system request uncertainty criterion from the perspective of information entropy to measure the privacy preservation performance. Consequently, the closed-form relationship between the system request uncertainty and the resource allocation decisions on both communication resources and content items can be derived. Then, we decompose the NP-hard resource management problem into two parts, and propose 1) an optimal dummy request allocation strategy through investigating special properties of the maximal allocation reward gain and 2) an asymptotically optimal content item allocation strategy with low complexity based on the extract penalty method (EPM), which are iterated to obtain a viable solution, followed by the proof of convergence and asymptotic monotone property. Finally, the performance improvements are verified by simulations.  ¬© 2014 IEEE.</t>
  </si>
  <si>
    <t>Collaborative edge caching; dummy-based method; privacy preserving; resource allocation</t>
  </si>
  <si>
    <t>Chen, Qi (57201878631); Wang, Yitu (57191366096); Wang, Wei (56948435700); Nakachi, Takayuki (6701805868); Zhang, Zhaoyang (55701343800)</t>
  </si>
  <si>
    <t>57201878631; 57191366096; 56948435700; 6701805868; 55701343800</t>
  </si>
  <si>
    <t>https://www.scopus.com/inward/record.uri?eid=2-s2.0-85200252633&amp;doi=10.1109%2fJIOT.2024.3437452&amp;partnerID=40&amp;md5=deb1a1992172a30f21d428d4778d84dd</t>
  </si>
  <si>
    <t>2-s2.0-85200252633</t>
  </si>
  <si>
    <t>Constrained optimization; Information management; Privacy-preserving techniques; Collaboration; Collaborative edge caching; Device-to-Device communications; Dummy-based method; Edge caching; Privacy; Privacy preserving; Resource management; Resources allocation; Systems performance; Resource allocation</t>
  </si>
  <si>
    <t>Li J.; Zhao D.; Shi Z.; Meng L.; Gaaloul W.; Zhou Z.</t>
  </si>
  <si>
    <t>Energy-Efficient Online Service Migration in Edge Networks</t>
  </si>
  <si>
    <t>10.1109/JIOT.2024.3406701</t>
  </si>
  <si>
    <t>Empowered by edge computing, resources, and computation capabilities provided by edge devices can be encapsulated as containerized services, and domain applications can be achieved through service compositions. When burst requests are coming to be satisfied, there may exist edge devices which are overloaded, since requests are mostly spatially and temporally constrained, and edge devices are resource-scarceness and capacity-limited. In this setting, overloaded devices should be relieved through optimally migrating one or more activated services to contiguous edge devices. Besides, sensory data gathered by original edge devices should be periodically transmitted to migrated devices for data analysis purpose. To mitigate this issue, this article proposes an energy-efficient online service migration (EOSM) mechanism to conduct the migration of multiple services simultaneously. Specifically, a light service sharing strategy is developed to only transmit the top container layer, and a modified nondominated sorting genetic algorithm II algorithm is adopted to generate one or multiple paths for the container layer and time-series sensory data migration of each migrated service. Extensive experimental results show that our EOSM strategy outperforms the state of arts techniques in mitigating overloading devices in terms of access latency, energy consumption, and request success rate.  ¬© 2024 IEEE.</t>
  </si>
  <si>
    <t>Edge networks; layered docker container; service migration; time-series data migration</t>
  </si>
  <si>
    <t>Li, Jiangwei (59151925100); Zhao, Deng (56419113800); Shi, Zhensheng (36663085700); Meng, Lin (56038497000); Gaaloul, Walid (6506968790); Zhou, Zhangbing (24340085800)</t>
  </si>
  <si>
    <t>59151925100; 56419113800; 36663085700; 56038497000; 6506968790; 24340085800</t>
  </si>
  <si>
    <t>https://www.scopus.com/inward/record.uri?eid=2-s2.0-85194846114&amp;doi=10.1109%2fJIOT.2024.3406701&amp;partnerID=40&amp;md5=51cb07cdfc64e8e4a9adfe7e91a046d6</t>
  </si>
  <si>
    <t>2-s2.0-85194846114</t>
  </si>
  <si>
    <t>Containers; Edge computing; Edge detection; Energy efficiency; Internet of things; Time series analysis; Cloud-computing; Data-migration; EDGE Networks; Energy-consumption; Image edge detection; Layered docker container; Service migration; Task analysis; Time-series data; Time-series data migration; Energy utilization</t>
  </si>
  <si>
    <t>Vergilio T.; Kor A.-L.; Mullier D.</t>
  </si>
  <si>
    <t>A Unified Vendor-Agnostic Solution for Big Data Stream Processing in a Multi-Cloud Environment</t>
  </si>
  <si>
    <t>10.3390/app132312635</t>
  </si>
  <si>
    <t>The field of cloud computing has witnessed tremendous progress, with commercial cloud providers offering powerful distributed infrastructures to small and medium enterprises (SMEs) through their revolutionary pay-as-you-go model. Simultaneously, the rise of containers has empowered virtualisation, providing orchestration technologies for the deployment and management of large-scale distributed systems across different geolocations and providers. Big data is another research area which has developed at an extraordinary pace as industries endeavour to discover innovative and effective ways of processing large volumes of structured, semi-structured, and unstructured data. This research aims to integrate the latest advances within the fields of cloud computing, virtualisation, and big data for a systematic approach to stream processing. The novel contributions of this research are: (1) MC-BDP, a reference architecture for big data stream processing in a containerised, multi-cloud environment; (2) a case study conducted with the Estates and Sustainability departments at Leeds Beckett University to evaluate an MC-BDP prototype within the context of energy efficiency for smart buildings. The study found that MC-BDP is scalable and fault-tolerant across cloud environments, key attributes for SMEs managing resources under budgetary constraints. Additionally, our experiments on technology agnosticism and container co-location provide new insights into resource utilisation, cost implications, and optimal deployment strategies in cloud-based big data streaming, offering valuable guidelines for practitioners in the field. ¬© 2023 by the authors.</t>
  </si>
  <si>
    <t>big data; containers; multi-cloud; reference architecture; stream; vendor lock-in</t>
  </si>
  <si>
    <t>Vergilio, Thalita (57203566626); Kor, Ah-Lian (36615233200); Mullier, Duncan (57771133200)</t>
  </si>
  <si>
    <t>57203566626; 36615233200; 57771133200</t>
  </si>
  <si>
    <t>https://www.scopus.com/inward/record.uri?eid=2-s2.0-85192350446&amp;doi=10.3390%2fapp132312635&amp;partnerID=40&amp;md5=5cc3943dc33bc901fd5278b6fa21505a</t>
  </si>
  <si>
    <t>2-s2.0-85192350446</t>
  </si>
  <si>
    <t>Hollerer S.; Sauter T.; Kastner W.</t>
  </si>
  <si>
    <t>A Survey of Ontologies Considering General Safety, Security, and Operation Aspects in OT</t>
  </si>
  <si>
    <t>10.1109/OJIES.2024.3441112</t>
  </si>
  <si>
    <t>The integration of information technology (IT) and operational technology (OT) is deepening, amplifying the interconnectedness of operational, safety, and security demands within industrial automation systems. Lacking comprehensive guidance, risk managers often resort to manual solutions based on best practices or rely on domain experts, who usually offer insights limited to their specific areas of expertise. Given the intricate interplay among these domains, employing ontologies for knowledge representation could hold the key to capturing all necessary relationships and constraints for effective risk management processes. This study conducts a systematic mapping analysis of ontologies published over the past five years, focusing on at least one domain relevant to OT system risk management. Its objective is to categorize papers, offer a panoramic view of research themes and contributors, discern potential publication patterns, and identify research avenues based on a comprehensive review of these ontologies. Findings indicate a relatively stable research interest, with most publications presenting proof of concepts or initial experimental results for their ontological applications. This study establishes a foundation for classifying comprehensive OT ontologies and pinpoints unresolved issues that can steer future research efforts. It offers insights into the current state-of-the-art within this research area.  ¬© 2024 IEEE.</t>
  </si>
  <si>
    <t>Information technology/operational technology (IT/OT) convergence; OT security; risk management; safety; threat modeling</t>
  </si>
  <si>
    <t>Hollerer, Siegfried (57221101250); Sauter, Thilo (55753172700); Kastner, Wolfgang (8390971800)</t>
  </si>
  <si>
    <t>57221101250; 55753172700; 8390971800</t>
  </si>
  <si>
    <t>https://www.scopus.com/inward/record.uri?eid=2-s2.0-85200819403&amp;doi=10.1109%2fOJIES.2024.3441112&amp;partnerID=40&amp;md5=b9755278fc506d5ca259fbd10eaf4c71</t>
  </si>
  <si>
    <t>2-s2.0-85200819403</t>
  </si>
  <si>
    <t>Automation; ISO Standards; Knowledge representation; Ontology; Risk assessment; Risk management; IEC-standard; Information technology/operational technology convergence; ISO standards; Ontology's; Operational technologies; Operational technology security; Risks management; Security; Technology convergence; Threat modeling; Accident prevention</t>
  </si>
  <si>
    <t>Mahmmod B.M.; Naser M.A.; Al-Sudani A.H.S.; Alsabah M.; Mohammed H.J.; Alaskar H.; Almarshad F.; Hussain A.; Abdulhussain S.H.</t>
  </si>
  <si>
    <t>Patient Monitoring System Based on Internet of Things: A Review and Related Challenges with Open Research Issues</t>
  </si>
  <si>
    <t>10.1109/ACCESS.2024.3455900</t>
  </si>
  <si>
    <t>The unexpectedly high number of deaths caused by inadequate medical care is, to date, considered as a serious problem. Moreover, the ratio of elderly people who require continuous care is rising. Therefore, a patient monitoring system (PMS) also known as remote patient monitoring (RPM) using the latest Internet of Things (IoT) technology becomes a viable solution that can provide efficient healthcare from a remote distance. PMS monitors timely physiological signals of a patient's health and can reduce the healthcare costs of treatment significantly. In PMS, different health and vital signs issues such as body temperature, heart rate, sleep monitoring, fall detection, and blood pressure can be checked effectively in real-time. To this end, this paper provides a clear vision of electronic healthcare assistance based on PMS and explores the applications of IoT that allow efficient medical services in healthcare systems. In particular, the objective of this paper is to provide a review of PMS, current research, and the challenges associated with this area. Besides, the essential services that can be offered by PMS for monitoring human activities are also discussed. Furthermore, the communication networks and protocols that are required to endure efficient healthcare systems are explained. Finally, this paper discusses several research challenges and open issues that can be investigated for further work. Overall, this paper offers valuable insights for both industry professionals and academic researchers, exploring potential avenues for new research directions.  ¬© 2013 IEEE.</t>
  </si>
  <si>
    <t>Edge computing; healthcare; IoT; microcontrollers; patient monitoring system (PMS); remote diagnosis; remote monitoring; sensors; wearable devices</t>
  </si>
  <si>
    <t>Mahmmod, Basheera M. (57193954678); Naser, Marwah Abdulrazzaq (57220935279); Al-Sudani, Ahlam H. Shanin (57219356569); Alsabah, Muntadher (57217525813); Mohammed, Hala J. (57208260335); Alaskar, Haya (56028692500); Almarshad, Fahdah (58105046800); Hussain, Abir (56212648400); Abdulhussain, Sadiq H. (57193955075)</t>
  </si>
  <si>
    <t>57193954678; 57220935279; 57219356569; 57217525813; 57208260335; 56028692500; 58105046800; 56212648400; 57193955075</t>
  </si>
  <si>
    <t>https://www.scopus.com/inward/record.uri?eid=2-s2.0-85203503392&amp;doi=10.1109%2fACCESS.2024.3455900&amp;partnerID=40&amp;md5=4baf8791700f84822eb66f01ca6e33d1</t>
  </si>
  <si>
    <t>2-s2.0-85203503392</t>
  </si>
  <si>
    <t>Arthroplasty; Diagnosis; Electronic health record; Medical problems; mHealth; Physiological models; Remote patient monitoring; Sleep research; Wearable sensors; Edge computing; Elderly people; Healthcare; Healthcare systems; Patient monitoring system; Patient monitoring systems; Remote diagnosis; Remote monitoring; Research issues; Wearable devices; Blood pressure</t>
  </si>
  <si>
    <t>Yang Q.; Shahbaz P.</t>
  </si>
  <si>
    <t>Boosting Regional Sustainability under Digital Economy Environment: Exploring the Moderating Role of Digital Finance in China</t>
  </si>
  <si>
    <t>10.15244/pjoes/177760</t>
  </si>
  <si>
    <t>Digitalization has a profound impact on the daily lives of individuals and plays a pivotal role in promoting sustainable development. Digital economy has emerged as a prominent driver of sustainable development worldwide. It plays a crucial role in environmental sustainability, economic expansion, and social progress. This study primarily examines the role of the digital economy in facilitating sustainable regional development (SRD). Furthermore, this study examines the moderating effect of digital financial inclusion on the relationship between digitalization and SRD. Panel data from 30 Chinese provinces spanning the period 2011 to 2021 were utilized for this analysis. Digital economy (Digi-E) and SRD were measured using the panel entropy method and principal component analysis. SRD considers three main dimensions of sustainable development: the economic, environmental, and social sustainability of the provinces. The spatial Durbin dynamic model and spatial regression were used to analyze the data. The findings revealed that Digi-E significantly affected SRD, with a marginal effect of 0.297. Similarly, digital financial inclusion significantly and positively moderates the relationship between Digi-E and SRD. The spatial Durbin dynamic model also showed that Digi-E has a significant effect on SRD when both types of weights are considered, such as economic geography and geographic distance. Moreover, it was confirmed that the SRD in the previous year significantly contributed to the SRD in subsequent years, and that the SRD in the local region also significantly contributed to the SRD of the adjacent region. Spatial regression also revealed a significantly positive impact of the interaction terms Digi-E and digital financial inclusion on SRD. Thus, Digi-E can contribute significantly to sustainable regional development both individually and through digital financial inclusion. The new economic growth and development plan requires governments to drive the digital revolution and improve the infrastructure. Governments should increase digital financial services with a focus on rural monitoring. ¬© 2024, HARD Publishing Company. All rights reserved.</t>
  </si>
  <si>
    <t>digital economy; digital financial inclusion; social sustainability; spatial spillover effects; sustainable regional development</t>
  </si>
  <si>
    <t>Yang, Qun (58551973100); Shahbaz, Pomi (57196224092)</t>
  </si>
  <si>
    <t>58551973100; 57196224092</t>
  </si>
  <si>
    <t>Polish Journal of Environmental Studies</t>
  </si>
  <si>
    <t>https://www.scopus.com/inward/record.uri?eid=2-s2.0-85200152817&amp;doi=10.15244%2fpjoes%2f177760&amp;partnerID=40&amp;md5=7925e96e8060b50c38a117e2150fa095</t>
  </si>
  <si>
    <t>2-s2.0-85200152817</t>
  </si>
  <si>
    <t>Shi Z.; Li B.; Wang X.</t>
  </si>
  <si>
    <t>Container-based low-delay microservice data offloading and processing for distribution substation area gateway in smart grid</t>
  </si>
  <si>
    <t>10.1016/j.aej.2023.11.016</t>
  </si>
  <si>
    <t>A large number of source-load-storage devices are connected to the power system in the new power system, which leads to the surge of power service and puts forward new requirements for the operation efficiency of the distribution substation area. Container technology provides computing capacity for microservice of different devices by integrating computing resources of distribution substation area gateway. However, the differentiation of microservice priorities and continuous processing requirements bring new challenges to the optimization of microservice data offloading and processing. In this paper, we propose a container-based low-delay microservice data offloading and processing method for distribution substation area gateway. Firstly, we construct a container-based low-delay microservice data offloading and processing architecture for distribution substation area gateway. Then, an empirical matching-based joint gateway and container selection algorithm for low-delay microservice data offloading and processing is proposed. By introducing empirical performance and microservice priority, realizing the gateway and container selection of microservice data, reducing the microservice data offloading and processing delay. Simulation results show that the proposed algorithm is superior to the existing algorithm in total delay of microservice data offloading and processing. ¬© 2023 The Author(s)</t>
  </si>
  <si>
    <t>Container technology; Distribution substation area; Empirical matching; Gateway and container selection; Microservice data</t>
  </si>
  <si>
    <t>Shi, Zhan (55468464000); Li, Bo (57420122300); Wang, Xiuzhu (57223312238)</t>
  </si>
  <si>
    <t>55468464000; 57420122300; 57223312238</t>
  </si>
  <si>
    <t>Alexandria Engineering Journal</t>
  </si>
  <si>
    <t>https://www.scopus.com/inward/record.uri?eid=2-s2.0-85176800710&amp;doi=10.1016%2fj.aej.2023.11.016&amp;partnerID=40&amp;md5=17f6dcae1e59fb0db56ade1e72a60f8b</t>
  </si>
  <si>
    <t>2-s2.0-85176800710</t>
  </si>
  <si>
    <t>Computer architecture; Electric power distribution; Electric substations; Smart power grids; Virtual storage; Container technology; Distribution substation area; Distribution substations; Empirical matching; Gateway and container selection; Low delay; Matchings; Microservice data; Power; Smart grid; Containers</t>
  </si>
  <si>
    <t>Wu Y.-W.; Zhang Y.; Wang T.; Wang H.-M.</t>
  </si>
  <si>
    <t>Development Exploration of Container Technology Through Docker Containers: A Systematic Literature Review Perspective; [‰ªé Docker ÂÆπÂô®ÁúãÂÆπÂô®ÊäÄÊúØÁöÑÂèëÂ±ï: ‰∏ÄÁßçÁ≥ªÁªüÊñáÁåÆÁªºËø∞ÁöÑËßÜËßí]</t>
  </si>
  <si>
    <t>10.13328/j.cnki.jos.006765</t>
  </si>
  <si>
    <t>In recent years, software construction, operation, and evolution have encountered many new requirements, such as the need for efficient switching or configuration in development and testing environments, application isolation, resource consumption reduction, and higher efficiency of testing and deployment. These requirements pose great challenges to developers in developing and maintaining software. Container technology has the potential of releasing developers from the heavy workload of development and maintenance. Of particular note, Docker, as the de facto industrial standard for containers, has recently become a popular research area in the academic community. To help researchers understand the status and trends of research on Docker containers, this study conducts a systematic literature review by collecting 75 high-level papers in this field. First, quantitative methods are used to investigate the basic status of research on Docker containers, including research quantity, research quality, research areas, and research methods. Second, the first classification framework for research on Docker containers is presented in this study, and the current studies are systematically classified and reviewed from the dimensions of the core, platform, and support. Finally, the development trends of Docker container technology are discussed, and seven future research directions are summarized. ¬© 2023 Chinese Academy of Sciences. All rights reserved.</t>
  </si>
  <si>
    <t>container; Docker; systematic literature review</t>
  </si>
  <si>
    <t>Wu, Yi-Wen (57210233212); Zhang, Yang (57121190400); Wang, Tao (56925614800); Wang, Huai-Min (15838322600)</t>
  </si>
  <si>
    <t>57210233212; 57121190400; 56925614800; 15838322600</t>
  </si>
  <si>
    <t>Ruan Jian Xue Bao/Journal of Software</t>
  </si>
  <si>
    <t>https://www.scopus.com/inward/record.uri?eid=2-s2.0-85181000172&amp;doi=10.13328%2fj.cnki.jos.006765&amp;partnerID=40&amp;md5=5a509de4bc0d956b103db8afd3d90785</t>
  </si>
  <si>
    <t>2-s2.0-85181000172</t>
  </si>
  <si>
    <t>Application programs; Industrial research; Software testing; Construction operations; Development and testing; Development environment; Docker; Research areas; Resources consumption; Software construction; Software Evolution; Systematic literature review; Testing environment; Containers</t>
  </si>
  <si>
    <t>Bicici E.</t>
  </si>
  <si>
    <t>A Cloud Monitor to Reduce Energy Consumption With Constrained Optimization of Server Loads</t>
  </si>
  <si>
    <t>10.1109/ACCESS.2024.3365674</t>
  </si>
  <si>
    <t>As the energy consumption of cloud computing increases, resource optimization becomes more important in this dynamically changing computation environment. Cloud monitor is an effort for better job distribution models and cloud load optimization on cloud computing platforms to reduce energy consumption, decrease computation and waiting time in the queue, and improve the overall utilization of resources. We use linear programming to optimize the distribution of jobs whose arrival and duration times are Poisson distributed to the servers. Our simulations show 1) improvements in job distributions with better correlation with the energy consumption of servers, 2) possible increased utilization of resources in some settings, and 3) significant reductions in energy consumption that reach 42%. We present the mathematical formulation of our model as well as how to represent it as a linear programming problem. The constraints introduced allow the mathematical definition of the optimal distribution, optimal redistribution, and optimal elasticity for cloud computing. Cloud monitor has potential to contribute to more sustainable and efficient cloud computing systems.  ¬© 2013 IEEE.</t>
  </si>
  <si>
    <t>Cloud computing; cloud load optimization; energy reduction</t>
  </si>
  <si>
    <t>Bicici, Ergun (23388615700)</t>
  </si>
  <si>
    <t>https://www.scopus.com/inward/record.uri?eid=2-s2.0-85186044172&amp;doi=10.1109%2fACCESS.2024.3365674&amp;partnerID=40&amp;md5=a599a7bb77cad6d429ea800a6f3a716c</t>
  </si>
  <si>
    <t>2-s2.0-85186044172</t>
  </si>
  <si>
    <t>Cloud computing; Constrained optimization; Energy management; Green computing; Job analysis; Linear programming; Poisson distribution; Resource allocation; Cloud load optimization; Cloud-computing; Energy reduction; Energy-consumption; Load monitoring; Optimisations; Optimization method; Queueing analysis; Resource management; Task analysis; Energy utilization</t>
  </si>
  <si>
    <t>Wang X.; Li J.; Ning Z.; Song Q.; Guo L.; Guo S.; Obaidat M.S.</t>
  </si>
  <si>
    <t>Wireless Powered Mobile Edge Computing Networks: A Survey</t>
  </si>
  <si>
    <t>10.1145/3579992</t>
  </si>
  <si>
    <t>13s</t>
  </si>
  <si>
    <t>Wireless Powered Mobile Edge Computing (WPMEC) is an integration of Mobile Edge Computing (MEC) and Wireless Power Transfer (WPT) technologies, to both improve computing capabilities of mobile devices and energy compensation for their limited battery capabilities. Generally, energy transmitters, mobile devices, and edge servers form a WPMEC system that realizes a closed loop of sending and collecting energy as well as offloading and receiving task data. Due to constraints of time-varying network environments, time-coupled battery levels, and the half-duplex character of mobile devices, the joint design of computation offloading and resource allocation solutions in WPMEC systems has become extremely challenging, and a great number of studies have been devoted to it in recent years. In this article, we first introduce the basic model of the WPMEC system. Then, we present key issues and techniques related to WPMEC. In addition, we summarize solutions for computation offloading and resource allocation to solve critical issues in WPMEC networks. Finally, we discuss some research challenges and open issues. ¬© 2023 Copyright held by the owner/author(s). Publication rights licensed to ACM.</t>
  </si>
  <si>
    <t>edge computing; Energy harvesting; mobile networks; resource management; wireless power transfer</t>
  </si>
  <si>
    <t>Wang, Xiaojie (54881224300); Li, Jiameng (58549800800); Ning, Zhaolong (36069914200); Song, Qingyang (8852647200); Guo, Lei (57210435586); Guo, Song (58594251100); Obaidat, Mohammad S. (7005628795)</t>
  </si>
  <si>
    <t>54881224300; 58549800800; 36069914200; 8852647200; 57210435586; 58594251100; 7005628795</t>
  </si>
  <si>
    <t>https://www.scopus.com/inward/record.uri?eid=2-s2.0-85149978786&amp;doi=10.1145%2f3579992&amp;partnerID=40&amp;md5=e2de88812b9aa1ce1e1d4f539ed33012</t>
  </si>
  <si>
    <t>2-s2.0-85149978786</t>
  </si>
  <si>
    <t>Computation offloading; Electric batteries; Energy transfer; Inductive power transmission; Mobile edge computing; Resource allocation; Computation offloading; Computation resources; Computing capability; Computing power; Computing system; Edge computing; Energy; Resource management; Resources allocation; Transfer technologies; Energy harvesting</t>
  </si>
  <si>
    <t>Bolanowski M.; Paszkiewicz A.; ≈ªabi≈Ñski T.; Piecuch G.; Salach M.; Tomecki K.</t>
  </si>
  <si>
    <t>System Architecture for Diagnostics and Supervision of Industrial Equipment and Processes in an IoE Device Environment</t>
  </si>
  <si>
    <t>10.3390/electronics12244935</t>
  </si>
  <si>
    <t>IoE components are becoming an integral part of our lives and support the operation of systems such as smart homes, smart cities, or Industry 4.0. The large number and variety of IoE components force the creation of flexible systems for data acquisition, processing, and analysis. The work presents a proposal for a new flexible architecture model and technology stack designed for the diagnostics and monitoring of industrial components and processes in an IoE device environment. The proposed solutions allow creating custom flexible systems for managing a distributed IoT environment, including the implementation of innovative mechanisms like, for example: predictive maintenance, anomaly detection, business intelligence, optimization of energy consumption, or supervision of the manufacturing process. In the present study, two detailed system architectures are proposed, and one of them was implemented. The developed system was tested in near-production conditions using a real IoT device infrastructure including industrial systems, drones, and sensor networks. The results showed that the proposed model of a central data-acquisition and -processing system allows the flexible integration of various IoE solutions and has a very high implementation potential wherever there is a need to integrate data from different sources and systems. ¬© 2023 by the authors.</t>
  </si>
  <si>
    <t>data acquisition; distributed systems; IIoE; industrial system architecture; Industry 4.0; IoE</t>
  </si>
  <si>
    <t>Bolanowski, Marek (56029001100); Paszkiewicz, Andrzej (56028240300); ≈ªabi≈Ñski, Tomasz (23399185000); Piecuch, Grzegorz (57201253830); Salach, Mateusz (57204154367); Tomecki, Krzysztof (57907554600)</t>
  </si>
  <si>
    <t>56029001100; 56028240300; 23399185000; 57201253830; 57204154367; 57907554600</t>
  </si>
  <si>
    <t>https://www.scopus.com/inward/record.uri?eid=2-s2.0-85180714059&amp;doi=10.3390%2felectronics12244935&amp;partnerID=40&amp;md5=5dcc78aba412d5edc9d597b0a443982e</t>
  </si>
  <si>
    <t>2-s2.0-85180714059</t>
  </si>
  <si>
    <t>Alqaisi O.I.; Tosun A.S.; Korkmaz T.</t>
  </si>
  <si>
    <t>The Impact of GPU on Containerized Computer Vision Applications on Edge Nodes</t>
  </si>
  <si>
    <t>10.1109/EDGE62653.2024.00019</t>
  </si>
  <si>
    <t>Edge computing revolutionizes computer vision, but faces challenges due to computational demands and complexities in deployment and platform integration. In addressing these hurdles, container technology emerges as a crucial solution, particularly in mitigating deployment and security issues. However, the impact of GPU acceleration on containerized computer vision applications remains understudied. This paper explores containerized computer vision applications across ARM edge devices, analyzing performance on different CPUs and GPUs. Insights cover processing time, CPU usage, memory utilization, and application performance, highlighting the importance of ARM processor selection. Integrating CPU and GPU enhances execution time but leads to significant memory usage increases. Workload escalation strains the GPU, resulting in slowed processing, and its performance becomes comparable to that of the CPU. Furthermore, the performance of computer vision applications varies with different containers. These findings underscore the delicate balance between CPU and GPU utilization and the pivotal role of algorithm selection in optimizing containerized computer vision applications on edge devices.  ¬© 2024 IEEE.</t>
  </si>
  <si>
    <t>Computer Vision; Container Technology; Docker; Edge Computing; Jetson; Raspberry Pi; Rock Pi</t>
  </si>
  <si>
    <t>Alqaisi, Osamah I. (57539519400); Tosun, Ali Saman (7003584243); Korkmaz, Turgay (6701785002)</t>
  </si>
  <si>
    <t>57539519400; 7003584243; 6701785002</t>
  </si>
  <si>
    <t>Proceedings - IEEE International Conference on Edge Computing</t>
  </si>
  <si>
    <t>https://www.scopus.com/inward/record.uri?eid=2-s2.0-85203287813&amp;doi=10.1109%2fEDGE62653.2024.00019&amp;partnerID=40&amp;md5=7cfaf81ac83fa38075db59a13fa96deb</t>
  </si>
  <si>
    <t>2-s2.0-85203287813</t>
  </si>
  <si>
    <t>Computer graphics equipment; Graphics processing unit; Mobile edge computing; Plastic bottles; Computational demands; Computer vision applications; Container technology; Docker; Edge computing; Edge nodes; Jetson; Performance; Raspberry pi; Rock pi; ARM processors</t>
  </si>
  <si>
    <t>Liu J.; Qin Y.</t>
  </si>
  <si>
    <t>CSPUMS: Pioneering Integrated Monitoring in Multi-Service Provider Ecosystems</t>
  </si>
  <si>
    <t>10.1109/ICCCBDA61447.2024.10569563</t>
  </si>
  <si>
    <t>In the era of information interconnection, the evolution of enterprise digitalization necessitates the adoption of architectures that can support dynamic and complex business operations. Microservices architecture, characterized by its flexibility, scalability, and efficiency, has emerged as a pivotal solution for modern enterprises, enabling the decomposition of monolithic applications into independently deployable services. However, with the expansion of enterprises and the intricate nature of business operations, microservices architecture encounters challenges in service governance, monitoring, management, and integration in multi-vendor environments. Addressing these challenges, this paper introduces a Cross-Service Provider Unified Monitoring System (CSPUMS) tailored for microservice business platforms operating within multi-service provider ecosystems. CSPUMS, a novel three-layer system architecture, encompasses a data acquisition layer, a monitoring layer, and a data presentation layer, designed to ensure the reliability, performance, and security of service platforms across diverse cloud environments. Through the deployment of Docker container technology for data aggregation and the implementation of a multi-dimensional threshold alarm template, CSPUMS enhances operational monitoring, fault management, and service continuity in complex multi-service settings. This paper significantly enhances microservice platforms by providing integrated monitoring solutions for multi-cloud and multi-service environments, ensuring operational efficiency and agility for digitally transforming enterprises.  ¬© 2024 IEEE.</t>
  </si>
  <si>
    <t>Docker; Microservices architecture; Multi-service provider; Operation monitoring</t>
  </si>
  <si>
    <t>Liu, Jiali (59217537600); Qin, Yuqin (59217824200)</t>
  </si>
  <si>
    <t>59217537600; 59217824200</t>
  </si>
  <si>
    <t>2024 9th International Conference on Cloud Computing and Big Data Analytics, ICCCBDA 2024</t>
  </si>
  <si>
    <t>https://www.scopus.com/inward/record.uri?eid=2-s2.0-85198463623&amp;doi=10.1109%2fICCCBDA61447.2024.10569563&amp;partnerID=40&amp;md5=376008d114a011a790b9fbc556fd36b7</t>
  </si>
  <si>
    <t>2-s2.0-85198463623</t>
  </si>
  <si>
    <t>Computer architecture; Data acquisition; Ecosystems; Efficiency; Environmental management; Information management; Presentation Layer; Business operation; Docker; Integrated monitoring; Microservice architecture; Monitoring system; Monolithics; Multi service providers; Multi-services; Operation monitoring; Service provider; Architecture</t>
  </si>
  <si>
    <t>Prasad V.K.; Dansana D.; Bhavsar M.D.; Acharya B.; Gerogiannis V.C.; Kanavos A.</t>
  </si>
  <si>
    <t>Efficient Resource Utilization in IoT and Cloud Computing</t>
  </si>
  <si>
    <t>10.3390/info14110619</t>
  </si>
  <si>
    <t>With the proliferation of IoT devices, there has been exponential growth in data generation, placing substantial demands on both cloud computing (CC) and internet infrastructure. CC, renowned for its scalability and virtual resource provisioning, is of paramount importance in e-commerce applications. However, the dynamic nature of IoT and cloud services introduces unique challenges, notably in the establishment of service-level agreements (SLAs) and the continuous monitoring of compliance. This paper presents a versatile framework for the adaptation of e-commerce applications to IoT and CC environments. It introduces a comprehensive set of metrics designed to support SLAs by enabling periodic resource assessments, ensuring alignment with service-level objectives (SLOs). This policy-driven approach seeks to automate resource management in the era of CC, thereby reducing the dependency on extensive human intervention in e-commerce applications. This paper culminates with a case study that demonstrates the practical utilization of metrics and policies in the management of cloud resources. Furthermore, it provides valuable insights into the resource requisites for deploying e-commerce applications within the realms of the IoT and CC. This holistic approach holds the potential to streamline the monitoring and administration of CC services, ultimately enhancing their efficiency and reliability. ¬© 2023 by the authors.</t>
  </si>
  <si>
    <t>cloud computing; cloud service provider; compliance monitoring; e-commerce; efficient resource utilization; IaaS; Internet of Things (IoT); policy-driven approach; service-level agreements (SLAs)</t>
  </si>
  <si>
    <t>Prasad, Vivek Kumar (57196721184); Dansana, Debabrata (57218608751); Bhavsar, Madhuri D. (37010697800); Acharya, Biswaranjan (57654575800); Gerogiannis, Vassilis C. (17434231700); Kanavos, Andreas (55520653600)</t>
  </si>
  <si>
    <t>57196721184; 57218608751; 37010697800; 57654575800; 17434231700; 55520653600</t>
  </si>
  <si>
    <t>Information (Switzerland)</t>
  </si>
  <si>
    <t>https://www.scopus.com/inward/record.uri?eid=2-s2.0-85178295202&amp;doi=10.3390%2finfo14110619&amp;partnerID=40&amp;md5=9bcd3671aa8761d075caebbe94fee550</t>
  </si>
  <si>
    <t>2-s2.0-85178295202</t>
  </si>
  <si>
    <t>Cloud computing; Distributed database systems; Electronic commerce; Human resource management; Cloud service providers; Cloud-computing; Compliance monitoring; E- commerces; Efficient resource utilization; Iaa; Internet of thing; Policy driven; Policy-driven approach; Resources utilizations; Service-level agreement; Servicelevel agreement (SLA); Internet of things</t>
  </si>
  <si>
    <t>Wang G.; Yuan Q.; Jiao Y.</t>
  </si>
  <si>
    <t>Impact of the digital economy on low carbon sustainability evidence from the Yellow River Basin</t>
  </si>
  <si>
    <t>10.3389/fenrg.2024.1292904</t>
  </si>
  <si>
    <t>As the digital economy increasingly dominates a substantial portion of the national economy, comprehending its role in promoting sustainable development has become an imperative research question‚Äîparticularly in the context of the Yellow River Basin, where there exists an urgent need to shift toward more sustainable modes of economic growth. Utilizing panel data spanning from 1999 to 2020 for 114 cities in the Yellow River Basin, this study develops a comprehensive evaluation framework for sustainable development, incorporating economic, social, and ecological dimensions. The empirical findings reveal that the digital economy acts as a catalyst for sustainable development. Importantly, these results withstand both endogeneity tests and robustness checks. Further heterogeneity analysis indicates that the positive impact of the digital economy on sustainable development is more pronounced in regions directly traversed by the Yellow River and in areas with higher sustainability levels. Moreover, the enactment and implementation of the 13th Five-Year National Information Plan have emphasized the role of the digital economy in enhancing sustainable development. Mechanism tests also illustrate those elevated levels of personal digital acceptance and government intervention contribution to amplify the digital economy‚Äôs positive impact on sustainable development. In conclusion, policy recommendations are put forward, including optimizing industrial structure, strengthening data governance and environmental monitoring, promoting innovation-driven development, and fostering collaborative growth. Copyright ¬© 2024 Wang, Yuan and Jiao.</t>
  </si>
  <si>
    <t>digital economy; government intervention; moderating effect; sustainable; Yellow River Basin</t>
  </si>
  <si>
    <t>Wang, Gaofei (58865486400); Yuan, Qingwen (48862165900); Jiao, Yong (57226355078)</t>
  </si>
  <si>
    <t>58865486400; 48862165900; 57226355078</t>
  </si>
  <si>
    <t>https://www.scopus.com/inward/record.uri?eid=2-s2.0-85184146731&amp;doi=10.3389%2ffenrg.2024.1292904&amp;partnerID=40&amp;md5=efa717228e736de05443dc727cd5b403</t>
  </si>
  <si>
    <t>2-s2.0-85184146731</t>
  </si>
  <si>
    <t>Acceptance tests; Carbon; Economic and social effects; Economics; Rivers; Watersheds; Digital economy; Economic growths; Government intervention; Low carbon; Moderating effect; National economy; Panel data; Research questions; Sustainable; Yellow River basin; Sustainable development</t>
  </si>
  <si>
    <t>Joseph Chukwudi I.; Zaman N.; Abdur Rahim M.; Arafatur Rahman M.; Alenazi M.J.F.; Pillai P.</t>
  </si>
  <si>
    <t>An Ensemble Deep Learning Model for Vehicular Engine Health Prediction</t>
  </si>
  <si>
    <t>10.1109/ACCESS.2024.3395927</t>
  </si>
  <si>
    <t>Predictive maintenance has gained importance across various industries, including the automotive sector. It is very challenging to detect vehicle failures in advance due to the intricate composition of various components and sensors. The vehicle's reliability is of utmost importance for ensuring the absence of fatalities or malfunctions to foster economic development. This study introduces an innovative method for developing a predictive framework for vehicle engines with faster and higher decision accuracy. The framework is specifically designed to recognize patterns and abnormalities that may suggest prospective engine problems in real-time and allow proactive maintenance. We assessed the performance of the developed vehicular engine health monitoring systems using a deep learning model based on essential measures like root mean square error, root mean square deviation, mean absolute error, accuracy, confusion matrix, and area under the curve. In this case, the deep learning models are developed by following ensemble techniques using the most prominently used machine learning techniques. Significantly, Stacked Model 1 outperformed other stacked models (Models 2 and 3) and achieved an impressive AUC value of 0.9702 with a low root mean square error (RMSE) of 0.3355, a high accuracy rate of 0.9470, and a precision of 0.9486. It happens due to the effective incorporation of different approaches into Stacked Model 1, which signifies a significant advancement in predicting vehicular engine failures. The model can be used in real-time monitoring systems to continuously monitor the health of vehicular engines and provide early warnings of potential failures, thereby reducing maintenance costs and improving safety. ¬© 2013 IEEE.</t>
  </si>
  <si>
    <t>decision strategy; deep learning; ensemble stacking; machine learning; micro services; Vehicular engine health monitoring system; vulnerability assessment</t>
  </si>
  <si>
    <t>Joseph Chukwudi, Isinka (59131997100); Zaman, Nafees (57205099327); Abdur Rahim, Md (59131713000); Arafatur Rahman, Md (57210003740); Alenazi, Mohammed J. F. (55364446800); Pillai, Prashant (7102162572)</t>
  </si>
  <si>
    <t>59131997100; 57205099327; 59131713000; 57210003740; 55364446800; 7102162572</t>
  </si>
  <si>
    <t>https://www.scopus.com/inward/record.uri?eid=2-s2.0-85192193097&amp;doi=10.1109%2fACCESS.2024.3395927&amp;partnerID=40&amp;md5=2f5e8fd6441a30669a9027573a5581ae</t>
  </si>
  <si>
    <t>2-s2.0-85192193097</t>
  </si>
  <si>
    <t>Automotive industry; Deep learning; Errors; Forecasting; Learning algorithms; Maintenance; Mean square error; Real time systems; Vehicles; Decision strategy; Deep learning; Engine health monitoring; Ensemble stacking; Health monitoring system; Machine learning algorithms; Machine-learning; Micro services; Predictive models; Stackings; Vehicular engine health monitoring system; Vulnerability assessments; Engines</t>
  </si>
  <si>
    <t>Tian F.; Zhang D.; Yuan Y.; Fu G.; Li X.; Chen G.</t>
  </si>
  <si>
    <t>Fog Computing Task Scheduling of Smart Community Based on Hybrid Ant Lion Optimizer</t>
  </si>
  <si>
    <t>10.3390/sym15122206</t>
  </si>
  <si>
    <t>Due to the problem of large latency and energy consumption of fog computing in smart community applications, the fog computing task-scheduling method based on Hybrid Ant Lion Optimizer (HALO) is proposed in this paper. This method is based on the Ant Lion Optimizer (ALO. Firstly, chaotic mapping is adopted to initialize the population, and the quality of the initial population is improved; secondly, the Adaptive Random Wandering (ARW) method is designed to improve the solution efficiency; finally, the improved Dynamic Opposite Learning Crossover (DOLC) strategy is embedded in the generation-hopping stage of the ALO to enrich the diversity of the population and improve the optimization-seeking ability of ALO. HALO is used to optimize the scheduling scheme of fog computing tasks. The simulation experiments are conducted under different data task volumes, compared with several other task scheduling algorithms such as the original algorithm of ALO, Genetic Algorithm (GA), Whale Optimizer Algorithm (WOA) and Salp Swarm Algorithm (SSA). HALO has good initial population quality, fast convergence speed, and high optimization-seeking accuracy. The scheduling scheme obtained by the proposed method in this paper can effectively reduce the latency of the system and reduce the energy consumption of the system. ¬© 2023 by the authors.</t>
  </si>
  <si>
    <t>ant lion optimizer; energy consumption; fog computing; latency; smart community; task scheduling</t>
  </si>
  <si>
    <t>Tian, Fengqing (58782660300); Zhang, Donghua (58782881800); Yuan, Ying (57880010600); Fu, Guangchun (36602473500); Li, Xiaomin (57192490712); Chen, Guanghua (58781566000)</t>
  </si>
  <si>
    <t>58782660300; 58782881800; 57880010600; 36602473500; 57192490712; 58781566000</t>
  </si>
  <si>
    <t>Symmetry</t>
  </si>
  <si>
    <t>https://www.scopus.com/inward/record.uri?eid=2-s2.0-85180678660&amp;doi=10.3390%2fsym15122206&amp;partnerID=40&amp;md5=4081be9b37f9da6fb8e2c08251de9fba</t>
  </si>
  <si>
    <t>2-s2.0-85180678660</t>
  </si>
  <si>
    <t>Vishwakarma A.K.; Chaurasia S.; Kumar K.; Singh Y.N.; Chaurasia R.</t>
  </si>
  <si>
    <t>Internet of things technology, research, and challenges: a survey</t>
  </si>
  <si>
    <t>10.1007/s11042-024-19278-6</t>
  </si>
  <si>
    <t>The world of digitization is growing exponentially; data optimization, security of a network, and energy efficiency are becoming more prominent. The Internet of Things (IoT) is the core technology of modern society. This paper is based on a survey of recent and past technologies used for IoT optimization models, such as IoT with Blockchain, IoT with WSN, IoT with ML, and IoT with big data analysis. Suppose anyone wants to start core research on IoT technologies, research opportunities, challenges, and solutions. In that case, this paper will help me understand all the basics, such as security, interoperability, standards, scalability, complexity, data management, and quality of service (QoS). This paper also discusses some recent technologies and the challenges in implementation. Finally, this paper discusses research possibilities in basic and applied IoT Domains. ¬© The Author(s), under exclusive licence to Springer Science+Business Media, LLC, part of Springer Nature 2024.</t>
  </si>
  <si>
    <t>IoT application; IoT optimization models; IoT Platforms; IoT protocol; Research possibilities; Semantic intelligence</t>
  </si>
  <si>
    <t>Vishwakarma, Amit Kumar (59323640400); Chaurasia, Soni (37048431200); Kumar, Kamal (57210547082); Singh, Yatindra Nath (57203076614); Chaurasia, Renu (59012706200)</t>
  </si>
  <si>
    <t>59323640400; 37048431200; 57210547082; 57203076614; 59012706200</t>
  </si>
  <si>
    <t>Multimedia Tools and Applications</t>
  </si>
  <si>
    <t>https://www.scopus.com/inward/record.uri?eid=2-s2.0-85191988725&amp;doi=10.1007%2fs11042-024-19278-6&amp;partnerID=40&amp;md5=75697e163d6fd800ae09181de360f1b4</t>
  </si>
  <si>
    <t>2-s2.0-85191988725</t>
  </si>
  <si>
    <t>Energy efficiency; Information management; Optimization; Quality of service; Semantics; Internet of thing application; Internet of thing optimization model; Internet of thing platform; Internet of thing protocol; Internet of things technologies; Optimization models; Research possibility; Semantic intelligence; Technology challenges; Technology research; Internet of things</t>
  </si>
  <si>
    <t>Vera-Panez M.; Cuadros-Claro K.; Castillo-Cara M.; Orozco-Barbosa L.</t>
  </si>
  <si>
    <t>BeeGOns!: A Wireless Sensor Node for Fog Computing in Smart City Applications</t>
  </si>
  <si>
    <t>10.1109/TCAD.2023.3305575</t>
  </si>
  <si>
    <t>The widespread deployment of sensors interconnected by wireless links and the management and exploitation of the data collected have given rise to the Internet of Things (IoT) concept. In this article, we undertake the design and implementation of a wireless multisensor platform following the fog computing paradigm. Our main contributions are the integration of various off-the-shelf sensors smartly packaged into an air-flow module and the evaluation of the communications services offered implemented on top of two low-power radio communications technologies. Our study is complemented by evaluating the communications services over a wired link. Our results show the superiority of LoRaWAN over ZigBee in terms of power consumption despite its slightly higher computational requirements and an estimation of the gap between the resource usage of the wired link and the two wireless radio technologies.  ¬© 1982-2012 IEEE.</t>
  </si>
  <si>
    <t>Edge computing; embedded sensor networks; fog computing; LoRa; sensor nodes; smart city</t>
  </si>
  <si>
    <t>Vera-Panez, Michael (57203939504); Cuadros-Claro, Kewin (58540752300); Castillo-Cara, Manuel (57200871251); Orozco-Barbosa, Luis (7006046164)</t>
  </si>
  <si>
    <t>57203939504; 58540752300; 57200871251; 7006046164</t>
  </si>
  <si>
    <t>IEEE Transactions on Computer-Aided Design of Integrated Circuits and Systems</t>
  </si>
  <si>
    <t>https://www.scopus.com/inward/record.uri?eid=2-s2.0-85168280634&amp;doi=10.1109%2fTCAD.2023.3305575&amp;partnerID=40&amp;md5=78fc9e5fcd80539d7afcebbfbb3fd1b0</t>
  </si>
  <si>
    <t>2-s2.0-85168280634</t>
  </si>
  <si>
    <t>Air quality; Edge computing; Fog; Fog computing; Internet of things; Radio communication; Smart city; Zigbee; Communication service; Edge computing; Embedded sensor network; Embedded sensors; Lora; Sensors network; Wired links; Wireless communications; Wireless sensor node; Sensor nodes</t>
  </si>
  <si>
    <t>Zhang R.; Zhou L.; Mei A.; He Y.</t>
  </si>
  <si>
    <t>Sensor Monitoring Techniques in Edge Computing Using Spatio-Temporal Correlation Anomaly Detection Algorithms</t>
  </si>
  <si>
    <t>10.1109/ACCESS.2024.3444046</t>
  </si>
  <si>
    <t>Due to the rapid development of technologies such as cloud computing and the Internet of Things (IoT), wireless sensor networks are becoming increasingly popular in the field of environmental monitoring. Anomaly detection algorithm is often used as the main method of sensor data detection. The development and application of IoT technology has led to a significant increase in data traffic. However, current anomaly detection methods are difficult to effectively detect heterogeneous data sequences from multiple sources. In this study, the sensor monitoring model of an intelligent greenhouse is constructed by using the spatio-temporal correlation anomaly detection algorithm in edge computing. The data is chunked by a sliding window to reduce the error of one-sided estimation of single data on the detection results. The spatial correlation anomaly detection algorithm is formed on the basis of the temporal correlation detection algorithm, fusing the two algorithms with the edge computation to construct a multi-source multi-dimensional data anomaly detection model. The results of the time-related anomaly detection algorithm experiment showed that the F1-score of the algorithm was 91.26%. Compared with other methods, the false alarm rate of spatial correlation anomaly detection algorithm was reduced by 56.50% ~ 83.45%, and F1-score was increased by 1.37% ~ 22.25%. In the case of big data, the detection time of the sensor monitoring model was 0.47s, the required energy consumption was reduced by 36.75% ~ 79.20%, and the delay time was the least. The anomaly detection algorithm in this study is related to time and space, which effectively improves the detection rate and detection accuracy, thus reducing the computing load of the cloud platform, and is superior to the deep learning method in processing delay.  ¬© 2013 IEEE.</t>
  </si>
  <si>
    <t>anomaly detection; cloud computing; Sensor monitoring techniques; sliding window; spatio-temporal correlation</t>
  </si>
  <si>
    <t>Zhang, Rui (59269734600); Zhou, Lide (57490009200); Mei, Aoqi (57558787200); He, Yipeng (56438218600)</t>
  </si>
  <si>
    <t>59269734600; 57490009200; 57558787200; 56438218600</t>
  </si>
  <si>
    <t>https://www.scopus.com/inward/record.uri?eid=2-s2.0-85201488196&amp;doi=10.1109%2fACCESS.2024.3444046&amp;partnerID=40&amp;md5=db40820bad63236cfcab715e946ec60f</t>
  </si>
  <si>
    <t>2-s2.0-85201488196</t>
  </si>
  <si>
    <t>Anomaly detection; Anomaly-detection algorithms; Cloud-computing; Edge computing; Monitoring models; Monitoring techniques; Sensor monitoring; Sensor monitoring technique; Sliding Window; Spatiotemporal correlation; Spatio-temporal data</t>
  </si>
  <si>
    <t>Saini M.; Maan V.S.; Kumar A.; Saini D.K.</t>
  </si>
  <si>
    <t>Cloud infrastructure availability optimization using Dragonfly and Grey Wolf optimization algorithms for health systems</t>
  </si>
  <si>
    <t>10.3233/JIFS-231513</t>
  </si>
  <si>
    <t>Cloud infrastructure provides a real time computing environment to customers and had wide applicability in healthcare, medical facilities, business, and several other areas. Most of the health data recorded and saved on the cloud. But the cloud infrastructure is configured using several components and that makes it a complex structure. And the high value of availability and reliability is essential for satisfactory operation of such systems. So, the present study is conducted with the prominent objective of assessing the optimum availability of the cloud infrastructure. For this purpose, a novel stochastic model is proposed and optimized using dragonfly algorithm (DA) and Grey Wolf optimization (GWO) algorithms. The Markovian approach is employed to develop the Chapman-Kolmogorov differential difference equations associate with the system. It is considered that all failure and repair rates are exponentially distributed. The repairs are perfect. The numerical results are derived to highlight the importance of the study and identify the best algorithm. The system attains its optimum availability 0.9998649 at population size 120 with iteration 700 by GWO. It is revealed that grey wolf optimization algorithm performed better than the Dragonfly algorithm in assessing the availability, best fitted parametric values and execution time.  ¬© 2023 - IOS Press. All rights reserved.</t>
  </si>
  <si>
    <t>Availability; cloud infrastructure; dragonfly algorithm; grey wolf optimization algorithm; markov process</t>
  </si>
  <si>
    <t>Saini, Monika (56763630200); Maan, Vijay Singh (57863200500); Kumar, Ashish (57822712000); Saini, Dinesh Kumar (58101787100)</t>
  </si>
  <si>
    <t>56763630200; 57863200500; 57822712000; 58101787100</t>
  </si>
  <si>
    <t>Journal of Intelligent and Fuzzy Systems</t>
  </si>
  <si>
    <t>https://www.scopus.com/inward/record.uri?eid=2-s2.0-85173816616&amp;doi=10.3233%2fJIFS-231513&amp;partnerID=40&amp;md5=9a01eb269654502e402aa735eb9bda1e</t>
  </si>
  <si>
    <t>2-s2.0-85173816616</t>
  </si>
  <si>
    <t>Computational complexity; Difference equations; Iterative methods; Optimization; Population statistics; Stochastic models; Stochastic systems; Availability optimization; Cloud infrastructures; Dragonfly algorithm; Gray wolf optimization algorithm; Gray wolves; Health systems; Medical facility; Optimization algorithms; Optimum availability; Real-time computing environment; Markov processes</t>
  </si>
  <si>
    <t>Javadi B.; Dadashi N.; Yazdi F.; Reza Abdali M.</t>
  </si>
  <si>
    <t>Application of Internet of Things (IoT) to Food Supply Chain Under Uncertainty-Case: Traditional Dairy Products</t>
  </si>
  <si>
    <t>10.1109/ACCESS.2024.3432325</t>
  </si>
  <si>
    <t>Implementing information technology in production has triggered an increase in Industry 4.0. Owing to this technological advancement, manufacturing tools that can communicate with each other through the Internet of Things are now able to collect real-time data. Under dynamic production conditions, real-time information can enhance production control and supply chain efficiency. To optimize the production process, the food industry must utilize new technologies and the Internet of Things (IoT) to reduce costs, increase productivity, and eliminate waste. This is particularly true with the growing trend in this area. The study created and implemented a manufacturing production planning system that utilized Internet of Things technology, with specialized equipment used in dairy factory operations as the case study. This system collects information on the dairy production process, including material and product inventory, in real-time on Internet of Things devices, then analyzes it with the help of a neural network, and predicts the demand for the next 3 days. The dynamic schedule optimization, optimal timing of milk production, product quantity, and raw materials are determined using two heuristic algorithm methods. Additionally, there are multiple algorithms available for further processing. The optimization results indicate that implementing dynamic scheduling via the Internet of Things can mitigate uncertainty and boost income by 10 to 15%, profit by 13 to 18%, and job shop-level productivity by 13%. ¬© 2013 IEEE.</t>
  </si>
  <si>
    <t>dairy products; dynamic scheduling; Food supply chain; heuristic algorithms; Internet of Things; uncertainty</t>
  </si>
  <si>
    <t>Javadi, Babak (16417433500); Dadashi, Narjes (59233048800); Yazdi, Fatemeh (59233897500); Reza Abdali, Mohammad (59246890700)</t>
  </si>
  <si>
    <t>16417433500; 59233048800; 59233897500; 59246890700</t>
  </si>
  <si>
    <t>https://www.scopus.com/inward/record.uri?eid=2-s2.0-85199527160&amp;doi=10.1109%2fACCESS.2024.3432325&amp;partnerID=40&amp;md5=3dd9321b0c7d536c19346239136b1592</t>
  </si>
  <si>
    <t>2-s2.0-85199527160</t>
  </si>
  <si>
    <t>Dairies; Dairy products; Food supply; Heuristic methods; Interactive computer systems; Internet of things; Optimization; Production control; Production efficiency; Real time systems; Supply chains; Dynamic scheduling; Food supply chain; Food waste; Heuristics algorithm; Production process; Real - Time system; Scheduling; Technological advancement; Uncertainty; Heuristic algorithms</t>
  </si>
  <si>
    <t>Zeng Y.; Qu Z.; Guo S.; Ye B.; Zhang J.; Li J.; Tang B.</t>
  </si>
  <si>
    <t>SafeDRL: Dynamic Microservice Provisioning With Reliability and Latency Guarantees in Edge Environments</t>
  </si>
  <si>
    <t>10.1109/TC.2023.3329194</t>
  </si>
  <si>
    <t>‚ÄîAs a key technology of 5G, network function virtualization enables each monolithic service to be divided into microservices, facilitating their deployment and management in edge environments. One of the most critical issues in 5G is how to support dynamically arriving mission-critical services with low-latency and high-reliability requirements in distributed edge environments. However, most existing works focus on how to provide reliable services without considering latency, and their heuristics struggle to cope with high-dimensional constraints and complex environments with heterogeneous infrastructure and services. In this paper, we propose a SafeDRL algorithm to resource-efficiently support these dynamically arriving services while meeting their reliability and latency requirements. Specifically, we first formulate the problem as an integer nonlinear programming and prove its NP-hardness. To tackle this problem, our SafeDRL algorithm captures delayed rewards in dynamic environments by reinforcement learning, and corrects constraint violations with high-quality feasible solutions based on expert intervention, and prunes unnecessary backup instances for optimality. The algorithm is proved to have a bounded approximation ratio in general cases. Extensive trace-driven simulations show that, compared with the state-of-the-art solution, SafeDRL can save resource costs by up to 49.32% and improve the service acceptance ratio by up to 55% with acceptable execution time. ¬© 2023 IEEE.</t>
  </si>
  <si>
    <t>5G; deep reinforcement learning; edge computing; mission-critical services; network function virtualization</t>
  </si>
  <si>
    <t>Zeng, Yue (57203780079); Qu, Zhihao (57189048446); Guo, Song (58594251100); Ye, Baoliu (12792666700); Zhang, Jie (55682633000); Li, Jing (57211684516); Tang, Bin (55979068500)</t>
  </si>
  <si>
    <t>57203780079; 57189048446; 58594251100; 12792666700; 55682633000; 57211684516; 55979068500</t>
  </si>
  <si>
    <t>https://www.scopus.com/inward/record.uri?eid=2-s2.0-85181133043&amp;doi=10.1109%2fTC.2023.3329194&amp;partnerID=40&amp;md5=c890ee720b832dea838dfbbb843e091a</t>
  </si>
  <si>
    <t>2-s2.0-85181133043</t>
  </si>
  <si>
    <t>5G mobile communication systems; Approximation algorithms; Deep learning; Edge computing; Integer programming; Nonlinear programming; Reinforcement learning; Reliability; Transfer functions; Virtual reality; 5g; Critical issues; Critical service; Deep reinforcement learning; Edge computing; Key technologies; Mission critical; Mission-critical service; Monolithics; Reinforcement learnings; Network function virtualization</t>
  </si>
  <si>
    <t>Wen Y.-Y.; Cheng G.-J.; Deng S.-G.; Yin J.-W.</t>
  </si>
  <si>
    <t>APU: Method to Estimate Computing —Äower Consumption of Hyper-threading —Ärocessors; [APU: ‰∏ÄÁßçÁ≤æÁ°ÆËØÑ‰º∞Ë∂ÖÁ∫øÁ®ãÂ§ÑÁêÜÂô®ÁÆóÂäõÊ∂àËÄóÁ®ãÂ∫¶ÁöÑÊñπÊ≥ï]</t>
  </si>
  <si>
    <t>10.13328/j.cnki.jos.006779</t>
  </si>
  <si>
    <t>With the development of cloud computing and service architectures including software as a service (SaaS) and function as a service (FaaS), data centers, as the service provider, constantly face resource management. The quality of service (QoS) should be guaranteed, and the resource cost should be controlled. Therefore, a method to accurately measure computing power consumption becomes a key research issue for improving resource utilization and keeping the load pressure in the acceptable range. Due to mature virtualization technologies and developing parallel technologies, the traditional estimation metric CPU utilization fails to address interference caused by resource competition, thus leading to accuracy loss. However, the hyper-threading (HT) technology is employed as the main data center processor, which makes it urgent to estimate the computing power of HT processors. To address this estimation challenge, this study proposes the APU method to estimate the computing power consumption for HT processors based on the understanding of the HT running mechanism and thread behavior modeling. Considering that users with different authorities can access different system levels, two implementation schemes are put forward: one based on the hardware support and the other based on the operating system (OS). The proposed method adopts CPU utilization as the input without demands for other dimensions. Additionally, it reduces the development and deployment costs of new monitoring tools without the support of special hardware architectures, thereby making the method universal and easy to apply. Finally, SPEC benchmarks further prove the effectiveness of the method. The estimation errors of the three benchmarks are reduced from 20%, 50%, and 20% to less than 5%. For further proving the applicability, the APU method is leveraged to ByteDance clusters for showing its effects in case studies. ¬© 2023 Chinese Academy of Sciences. All rights reserved.</t>
  </si>
  <si>
    <t>computing power evaluation; CPU utilization; data centers; hyper-threading (HT); system performance analysis</t>
  </si>
  <si>
    <t>Wen, Ying-Ying (57202984266); Cheng, Guan-Jie (57221501013); Deng, Shui-Guang (36136773800); Yin, Jian-Wei (8249720800)</t>
  </si>
  <si>
    <t>57202984266; 57221501013; 36136773800; 8249720800</t>
  </si>
  <si>
    <t>https://www.scopus.com/inward/record.uri?eid=2-s2.0-85181036733&amp;doi=10.13328%2fj.cnki.jos.006779&amp;partnerID=40&amp;md5=2a64ce3f9c438d11aa1e3502e00e3e63</t>
  </si>
  <si>
    <t>2-s2.0-85181036733</t>
  </si>
  <si>
    <t>Computer architecture; Electric power utilization; Green computing; Information management; Quality control; Quality of service; Software as a service (SaaS); Cloud computing architectures; Cloud services; Computing power; Computing power evaluation; CPU utilization; Datacenter; Hyper-threading; Hyperthreading; Power evaluation; Systems performance analysis; Computing power</t>
  </si>
  <si>
    <t>Ahmed A.; Azizi S.; Zeebaree S.R.M.</t>
  </si>
  <si>
    <t>ECQ: An Energy-Efficient, Cost-Effective and Qos-Aware Method for Dynamic Service Migration in Mobile Edge Computing Systems</t>
  </si>
  <si>
    <t>10.1007/s11277-024-10883-0</t>
  </si>
  <si>
    <t>Mobile edge computing (MEC) is a transformative paradigm that enhances mobile services performance and operational efficiency. Given the frequent mobility of users, it is essential to migrate services to continuously align with user movements. However, making service migration decisions requires careful consideration of factors like latency, resource availability, and user demand to ensure optimal performance and user satisfaction. Therefore, in this paper, we first formulate the service migration in MEC systems as an optimization problem, with the objective of minimizing the system‚Äôs energy consumption and migration cost while considering delay as the model's constraint. Next, we propose an energy-efficient, cost-effective and QoS-aware heuristic-based method, called ECQ, to effectively solve the model. To reflect a comprehensive understanding of real-world MEC environments, we also consider the incorporation of heterogeneous server configurations and the non-universal presence of servers across all base stations. By accommodating these aspects, ECQ emerges as a promising solution for the dynamic service migration optimization challenges in time-sensitive and realistic MEC contexts. Finally, through various simulation scenarios, the performance of the proposed ECQ is evaluated in terms of response time, migration costs, energy consumption, and the number of migrations. The results demonstrate that the proposed algorithm outperforms other methods in terms of overall performance; specifically, it ensures high QoS for users while sustainably managing the system's energy consumption and keeping migration costs within acceptable levels. In particular, when compared to the FullMig strategy, the proposed method achieves a noteworthy reduction in migration costs and energy consumption by approximately 25% and 50%, respectively. Meanwhile, the average response time in FullMig is only about 12% less than that of our method. Additionally, in comparison to the E-ware method, our ECQ exhibits an impressive response time reduction of approximately 42%, all while maintaining migration costs and energy consumption at levels comparable to the E-ware approach. ¬© The Author(s), under exclusive licence to Springer Science+Business Media, LLC, part of Springer Nature 2024.</t>
  </si>
  <si>
    <t>Energy consumption; Heuristic algorithm; Migration cost; Mobile edge computing (MEC); Quality of service (QoS); Service migration</t>
  </si>
  <si>
    <t>Ahmed, Awder (57205745069); Azizi, Sadoon (55655695200); Zeebaree, Subhi R. M. (57202830772)</t>
  </si>
  <si>
    <t>57205745069; 55655695200; 57202830772</t>
  </si>
  <si>
    <t>Wireless Personal Communications</t>
  </si>
  <si>
    <t>https://www.scopus.com/inward/record.uri?eid=2-s2.0-85185979468&amp;doi=10.1007%2fs11277-024-10883-0&amp;partnerID=40&amp;md5=f98ac0b433c54fedebe1966778137ea6</t>
  </si>
  <si>
    <t>2-s2.0-85185979468</t>
  </si>
  <si>
    <t>Cost effectiveness; Cost reduction; Energy efficiency; Green computing; Heuristic algorithms; Heuristic methods; Mobile edge computing; Optimization; Quality of service; Cost effective; Efficient costs; Energy efficient; Energy-consumption; Heuristics algorithm; Migration costs; Mobile edge computing; Quality of service; Quality-of-service; Service migration; Energy utilization</t>
  </si>
  <si>
    <t>Gulzar B.; Ahmad Sofi S.; Sholla S.</t>
  </si>
  <si>
    <t>Cognitive Transformation in Personal IoT: Pioneering Intelligent Automation</t>
  </si>
  <si>
    <t>10.1080/23335777.2024.2411736</t>
  </si>
  <si>
    <t>In recent years, IoT has transformed personal environments by integrating diverse smart devices. This paper presents an advanced IoT architecture that optimizes network infrastructure, focusing on the adoption of MQTT protocol and introducing Cognitive Smart Objects for managing personal IoT applications. These objects use Neural Networks to predict optimal actions based on user behavior patterns. A Continuous Learning mechanism enables real-time adaptation of the network to evolving user interactions. The study highlights the role of Cognitive Transformation in Personal IoT, driving intelligent automation and enhancing user experience. ¬© 2024 Informa UK Limited, trading as Taylor &amp; Francis Group.</t>
  </si>
  <si>
    <t>Internet of Things (IoT); IoT architecture; network infrastructure; Personal Internet of Things (PIoT); Social Internet of Things (SIoT)</t>
  </si>
  <si>
    <t>Gulzar, Bisma (57666863300); Ahmad Sofi, Shabir (55170500000); Sholla, Sahil (57194552064)</t>
  </si>
  <si>
    <t>57666863300; 55170500000; 57194552064</t>
  </si>
  <si>
    <t>Cyber-Physical Systems</t>
  </si>
  <si>
    <t>https://www.scopus.com/inward/record.uri?eid=2-s2.0-85206923690&amp;doi=10.1080%2f23335777.2024.2411736&amp;partnerID=40&amp;md5=8af7ee071935acbdae58fa3539c03759</t>
  </si>
  <si>
    <t>2-s2.0-85206923690</t>
  </si>
  <si>
    <t>Intelligent automation; Internet of thing; Internet of things architectures; Network infrastructure; Neural-networks; Personal environments; Personal internet of thing; Smart devices; Smart objects; Social internet of thing</t>
  </si>
  <si>
    <t>Fang K.; Wang T.; Tong L.; Fang X.; Pan Y.; Wang W.; Li J.</t>
  </si>
  <si>
    <t>Non-Intrusive Security Assessment Methods for Future Autonomous Transportation IoV</t>
  </si>
  <si>
    <t>10.1109/TASE.2023.3316224</t>
  </si>
  <si>
    <t>The security of the Internet of Vehicles (IoV) has always been a concern. The constantly changing IoV data under varying traffic conditions made it unsuitable for the IoV to adopt traditional anti-attack techniques. In the absence of protections, attackers can use in-car communication as a target to compromise the safety of passengers, hence the instancy to detect the security state of the IoV. However, currently available solutions require modifications to the original hardware of the IoV and are therefore very limited in applicability. In this paper, we propose a security assessment method for IoV based on Microcontroller Unit (MCU) chip temperature, called SAMCT. Specifically, we first record the MCU chip temperatures of IoV device in different security states and analyze the relationship between them. Second, the fingerprint dataset is built using the temperature residuals. Third, to forecast the security standing of IoV devices, an integration regression model based on Self-Encoders is suggested. Lastly, in order to facilitate the effectiveness of the SAMCT, a Cloud-Edge-End framework is designed with the technology of model adaptive partitioning. Results from the experiments, which were carried out on the Raspberry Pi 4B and Stm32 hardware platforms, demonstrate that the Mean Squared Error (MSE) of the SAMCT is only 0.00104 and that the execution efficiency improvement under the Cloud-Edge-End framework is significant.  ¬© 2023 IEEE.</t>
  </si>
  <si>
    <t>efficiency enhancement; fingerprint; Internet of Vehicles; regression model; secutity assessment</t>
  </si>
  <si>
    <t>Fang, Kai (58930733700); Wang, Tingting (57221962591); Tong, Lianghuai (57382746300); Fang, Xiaofen (55268742300); Pan, Yuanyuan (45861516500); Wang, Wei (56948620800); Li, Jianqing (57209630145)</t>
  </si>
  <si>
    <t>58930733700; 57221962591; 57382746300; 55268742300; 45861516500; 56948620800; 57209630145</t>
  </si>
  <si>
    <t>IEEE Transactions on Automation Science and Engineering</t>
  </si>
  <si>
    <t>https://www.scopus.com/inward/record.uri?eid=2-s2.0-85173375040&amp;doi=10.1109%2fTASE.2023.3316224&amp;partnerID=40&amp;md5=49e76c93c7d9fd4548a563637a302939</t>
  </si>
  <si>
    <t>2-s2.0-85173375040</t>
  </si>
  <si>
    <t>Deep learning; Efficiency; Mean square error; Microcontrollers; Palmprint recognition; Regression analysis; Vehicles; Efficiency enhancement; Features extraction; Fingerprint; Fingerprint Recognition; Hardware; Internet of vehicle; Objects recognition; Predictive models; Regression modelling; Security; Secutity assessment; Object recognition</t>
  </si>
  <si>
    <t>Xu H.</t>
  </si>
  <si>
    <t>Traffic-Aware Fuzzy Classification Model to Perform IoT Data Traffic Sourcing with the Edge Computing</t>
  </si>
  <si>
    <t>10.32604/cmc.2024.046253</t>
  </si>
  <si>
    <t>The Internet of Things (IoT) has revolutionized how we interact with and gather data from our surrounding environment. IoT devices with various sensors and actuators generate vast amounts of data that can be harnessed to derive valuable insights. The rapid proliferation of Internet of Things (IoT) devices has ushered in an era of unprecedented data generation and connectivity. These IoT devices, equipped with many sensors and actuators, continuously produce vast volumes of data. However, the conventional approach of transmitting all this data to centralized cloud infrastructures for processing and analysis poses significant challenges. However, transmitting all this data to a centralized cloud infrastructure for processing and analysis can be inefficient and impractical due to bandwidth limitations, network latency, and scalability issues. This paper proposed a Self-Learning Internet Traffic Fuzzy Classifier (SLItFC) for traffic data analysis. The proposed techniques effectively utilize clustering and classification procedures to improve classification accuracy in analyzing network traffic data. SLItFC addresses the intricate task of efficiently managing and analyzing IoT data traffic at the edge. It employs a sophisticated combination of fuzzy clustering and self-learning techniques, allowing it to adapt and improve its classification accuracy over time. This adaptability is a crucial feature, given the dynamic nature of IoT environments where data patterns and traffic characteristics can evolve rapidly. With the implementation of the fuzzy classifier, the accuracy of the clustering process is improvised with the reduction of the computational time. SLItFC can reduce computational time while maintaining high classification accuracy. This efficiency is paramount in edge computing, where resource constraints demand streamlined data processing. Additionally, SLItFC‚Äôs performance advantages make it a compelling choice for organizations seeking to harness the potential of IoT data for real-time insights and decision-making. With the Self-Learning process, the SLItFC model monitors the network traffic data acquired from the IoT Devices. The Sugeno fuzzy model is implemented within the edge computing environment for improved classification accuracy. Simulation analysis stated that the proposed SLItFC achieves 94.5% classification accuracy with reduced classification time. ¬© 2024 Tech Science Press. All rights reserved.</t>
  </si>
  <si>
    <t>edge computing; fuzzy-learning; Internet of Things (IoT); self-learning; traffic data</t>
  </si>
  <si>
    <t>Xu, Huixiang (58970412000)</t>
  </si>
  <si>
    <t>https://www.scopus.com/inward/record.uri?eid=2-s2.0-85189494617&amp;doi=10.32604%2fcmc.2024.046253&amp;partnerID=40&amp;md5=4532de51594bad09953e5c756152ee13</t>
  </si>
  <si>
    <t>2-s2.0-85189494617</t>
  </si>
  <si>
    <t>Actuators; Classification (of information); Clustering algorithms; Decision making; Fuzzy sets; Internet of things; Learning systems; Classification accuracy; Data traffic; Edge computing; Fuzzy classifiers; Fuzzy learning; Internet of thing; Internet traffic; Self-learning; Sensors and actuators; Traffic data; Edge computing</t>
  </si>
  <si>
    <t>Gedam M.G.; Karmore S.</t>
  </si>
  <si>
    <t>DQMMBSC: design of an augmented deep Q-learning model for mining optimisation in IIoT via hybrid-bioinspired blockchain shards and contextual consensus</t>
  </si>
  <si>
    <t>10.1007/s41060-024-00600-2</t>
  </si>
  <si>
    <t>Single-chained blockchains are highly secure but cannot be scaled to larger IIoT (Internet of Industrial Things) network scenarios due to storage costs, communication costs, verification complexity, and delay needed for reading and archiving the chains. To overcome these issues, a wide variety of sharding models are proposed by researchers, but most of these models either generate a larger number of shards, compromise on quality of service (QoS), or reduce security under a larger number of attacks. These issues were minimised in this text via design of an augmented deep Q-learning model for mining optimisation via hybrid-bioinspired blockchain shards and contextual consensus. The model initially collects minimal IIoT information sets from the network-under-deployment, and uses them to select miner nodes. This is done by enforcing two novel consensus models, which are proof-of-spatial trust (PoST) and proof-of-temporal trust (PoTT), that enable the network to identify miner nodes with good spatial and temporal efficiency levels. The selected miner nodes are reconfigured via a bacterial foraging Optimisation (BFO) process, which assists in selecting communication-specific encryption and hashing techniques for security of underlying blocks. The secured blocks are then stored on a set of spatially optimised blockchain shards. Shard configurations are decided by a deep Q-learning-based genetic algorithm (DQGA), which assists in deciding optimal shard length and merging temporally unused shards. These decisions allow the proposed model to reduce mining delay by up to 8.3% when compared with existing sharding models. The proposed DQMMBSC model was also tested under Finney, Man-in-the-Middle, and 51% attacks, using differential attack patterns. It was observed that the proposed model showcased 3.5% lower delay, 4.9% lower energy consumption, 6.5% higher throughput, and 1.9% higher packet delivery ratio even under large-scale attacks, thereby making the model useful for heterogeneous network scenarios. ¬© The Author(s), under exclusive licence to Springer Nature Switzerland AG 2024.</t>
  </si>
  <si>
    <t>Attack; Bacterial; Blockchain; Genetic; Q-learning; Scenarios; Sharding; Spatial; Temporal</t>
  </si>
  <si>
    <t>Gedam, Manisha Gokuldas (58413430300); Karmore, Swapnili (55820617200)</t>
  </si>
  <si>
    <t>58413430300; 55820617200</t>
  </si>
  <si>
    <t>https://www.scopus.com/inward/record.uri?eid=2-s2.0-85198498847&amp;doi=10.1007%2fs41060-024-00600-2&amp;partnerID=40&amp;md5=9ca728bd91f4b8f25c92de69449e210c</t>
  </si>
  <si>
    <t>2-s2.0-85198498847</t>
  </si>
  <si>
    <t>Cryptography; Deep learning; Energy utilization; Genetic algorithms; Heterogeneous networks; Learning algorithms; Learning systems; Quality of service; Reinforcement learning; Attack; Bacterial; Block-chain; Genetic; Learning models; Q-learning; Scenario; Sharding; Spatial; Temporal; Blockchain</t>
  </si>
  <si>
    <t>Kasper L.; Schwarzmayr P.; Birkelbach F.; Javernik F.; Schwaiger M.; Hofmann R.</t>
  </si>
  <si>
    <t>A digital twin-based adaptive optimization approach applied to waste heat recovery in green steel production: Development and experimental investigation</t>
  </si>
  <si>
    <t>10.1016/j.apenergy.2023.122192</t>
  </si>
  <si>
    <t>Renewable-dominated power grids will require industry to run their processes in accordance with the availability of energy. At the same time, digitalization introduces new possibilities to leverage the untapped optimization potential to provide this flexibility. Mathematical optimization methods such as mixed-integer linear programming (MILP) are widely used to predict optimal operation plans for industrial systems. MILP models are difficult to adapt, but the viability of the predicted plans relies on accurate underlying models of the actual behavior. New automation paradigms, such as the digital twin (DT), can overcome these current drawbacks. In this work, we present the implementation and experimental evaluation of several micro-services on a standardized five-dimensional DT platform that automate MILP model adaption and operation optimization. These micro-services guarantee that, (1) deviations between the physical entity and its virtual entity models are detected, (2) the models are adapted accordingly, (3) subsequently linearized to suit the MILP approach and (4) used for live operational optimization. These novel services and DT workflows that orchestrate them were experimentally tested with a packed bed thermal energy storage (PBTES) test rig that acts as a physical entity. A waste heat recovery use case in steel production is used as the evaluation scenario. While the model error of a static simulation model would increase to 60% over 7 days of operation, the model error remains well below 25% as a result of successful model adaption. The prediction error of the optimization model remains in a typical magnitude of 10 to 20% during the evaluation period, despite the degradation of the PBTES power. ¬© 2023 The Author(s)</t>
  </si>
  <si>
    <t>Digital twin (DT); Iron and steel industry; Mixed integer linear programming (MILP); Operation optimization; Thermal energy storage; Waste heat recovery</t>
  </si>
  <si>
    <t>Kasper, Lukas (57217080482); Schwarzmayr, Paul (57219354141); Birkelbach, Felix (57194472014); Javernik, Florian (57188999402); Schwaiger, Michael (58539225300); Hofmann, Ren√© (55413515600)</t>
  </si>
  <si>
    <t>57217080482; 57219354141; 57194472014; 57188999402; 58539225300; 55413515600</t>
  </si>
  <si>
    <t>Applied Energy</t>
  </si>
  <si>
    <t>https://www.scopus.com/inward/record.uri?eid=2-s2.0-85175337178&amp;doi=10.1016%2fj.apenergy.2023.122192&amp;partnerID=40&amp;md5=5d9e4e1f30fd4b720c35fb722285eab5</t>
  </si>
  <si>
    <t>2-s2.0-85175337178</t>
  </si>
  <si>
    <t>Errors; Heat storage; Integer programming; Iron and steel industry; Packed beds; Steelmaking; Waste heat; Waste heat utilization; Digital twin; Integer Linear Programming; Micro services; Mixed integer linear; Mixed integer linear programming; Mixed integer linear programming model; Operations optimization; Steel production; Thermal energy storage; Waste-heat recovery; alternative energy; energy storage; iron and steel industry; linear programing; optimization; waste management; Thermal energy</t>
  </si>
  <si>
    <t>Al-Ghuwairi A.-R.; Sharrab Y.; Al-Fraihat D.; AlElaimat M.; Alsarhan A.; Algarni A.</t>
  </si>
  <si>
    <t>Intrusion detection in cloud computing based on time series anomalies utilizing machine learning</t>
  </si>
  <si>
    <t>10.1186/s13677-023-00491-x</t>
  </si>
  <si>
    <t>The growth of cloud computing is hindered by concerns about privacy and security. Despite the widespread use of network intrusion detection systems (NIDS), the issue of false positives remains prevalent. Furthermore, few studies have approached the intrusion detection problem as a time series issue, requiring time series modeling. In this study, we propose a novel technique for the early detection of intrusions in cloud computing using time series data. Our approach involves a method for Feature Selection (FS) and a prediction model based on the Facebook Prophet model to assess its efficiency. The FS method we propose is a collaborative feature selection model that integrates time series analysis techniques with anomaly detection, stationary, and causality tests. This approach specifically addresses the challenge of misleading connections between time series anomalies and attacks. Our results demonstrate a significant reduction in predictors employed in our prediction model, from 70 to 10 predictors, while improving performance metrics such as Mean Absolute Error (MAE), Mean Squared Error (MSE), Root Mean Squared Error (RMSE), Mean Absolute Percentage Error (MAPE), Median Absolute Percentage Error (MdAPE), and Dynamic Time Warping (DTW). Furthermore, our approach has resulted in reduced training, prediction, and cross-validation times of approximately 85%, 15%, and 97%, respectively. Although memory consumption remains similar, the utilization time has been significantly reduced, resulting in substantial resource usage reduction. Overall, our study presents a comprehensive methodology for effective early detection of intrusions in cloud computing based on time series anomalies, employing a collaborative feature selection model and the Facebook Prophet prediction model. Our findings highlight the efficiency and performance improvements achieved through our approach, contributing to the advancement of intrusion detection techniques in the context of cloud computing security. ¬© 2023, Springer-Verlag GmbH Germany, part of Springer Nature.</t>
  </si>
  <si>
    <t>Cloud Computing Security; Facebook Prophet; Features Selection; Granger Causality; Intrusion Detection; Machine Learning; Time Series Analysis</t>
  </si>
  <si>
    <t>Al-Ghuwairi, Abdel-Rahman (56394575100); Sharrab, Yousef (55441240300); Al-Fraihat, Dimah (57195403454); AlElaimat, Majed (58555540900); Alsarhan, Ayoub (35118743100); Algarni, Abdulmohsen (26421927200)</t>
  </si>
  <si>
    <t>56394575100; 55441240300; 57195403454; 58555540900; 35118743100; 26421927200</t>
  </si>
  <si>
    <t>https://www.scopus.com/inward/record.uri?eid=2-s2.0-85169162683&amp;doi=10.1186%2fs13677-023-00491-x&amp;partnerID=40&amp;md5=3731b67e36a2f7eef6b44cd86f98c697</t>
  </si>
  <si>
    <t>2-s2.0-85169162683</t>
  </si>
  <si>
    <t>Anomaly detection; Cloud computing; Efficiency; Errors; Feature Selection; Forecasting; Harmonic analysis; Intrusion detection; Mean square error; Network security; Social networking (online); Cloud computing securities; Cloud-computing; Facebook; Facebook prophet; Features selection; Granger Causality; Intrusion-Detection; Machine-learning; Time-series analysis; Times series; Time series analysis</t>
  </si>
  <si>
    <t>Vanus J.; Hercik R.; Bilik P.</t>
  </si>
  <si>
    <t>Using Interoperability between Mobile Robot and KNX Technology for Occupancy Monitoring in Smart Home Care</t>
  </si>
  <si>
    <t>10.3390/s23218953</t>
  </si>
  <si>
    <t>It is important for older and disabled people who live alone to be able to cope with the daily challenges of living at home. In order to support independent living, the Smart Home Care (SHC) concept offers the possibility of providing comfortable control of operational and technical functions using a mobile robot for operating and assisting activities to support independent living for elderly and disabled people. This article presents a unique proposal for the implementation of interoperability between a mobile robot and KNX technology in a home environment within SHC automation to determine the presence of people and occupancy of occupied spaces in SHC using measured operational and technical variables (to determine the quality of the indoor environment), such as temperature, relative humidity, light intensity, and CO2 concentration, and to locate occupancy in SHC spaces using magnetic contacts monitoring the opening/closing of windows and doors by indirectly monitoring occupancy without the use of cameras. In this article, a novel method using nonlinear autoregressive Neural Networks (NN) with exogenous inputs and nonlinear autoregressive is used to predict the CO2 concentration waveform to transmit the information from KNX technology to mobile robots for monitoring and determining the occupancy of people in SHC with better than 98% accuracy. ¬© 2023 by the authors.</t>
  </si>
  <si>
    <t>KNX technology; localization; mobile robot; occupancy; presence; Smart Home Care</t>
  </si>
  <si>
    <t>Vanus, Jan (36919544300); Hercik, Radim (36918555300); Bilik, Petr (24767297800)</t>
  </si>
  <si>
    <t>36919544300; 36918555300; 24767297800</t>
  </si>
  <si>
    <t>https://www.scopus.com/inward/record.uri?eid=2-s2.0-85176890093&amp;doi=10.3390%2fs23218953&amp;partnerID=40&amp;md5=c87c32611932315a5251a2e519d1c6eb</t>
  </si>
  <si>
    <t>2-s2.0-85176890093</t>
  </si>
  <si>
    <t>Aged; Carbon Dioxide; Home Care Services; Humans; Independent Living; Robotics; Technology; Carbon dioxide; Interoperability; carbon dioxide; CO 2 concentration; Disabled people; Home care; Independent living; KNX technology; Localisation; Occupancy; Presence; Smart home care; Smart homes; aged; home care; human; independent living; procedures; robotics; technology; Mobile robots</t>
  </si>
  <si>
    <t>Khan M.S.; Ud Din I.; Almogren A.; Rodrigues J.J.P.C.</t>
  </si>
  <si>
    <t>AI-Enhanced Secure Decision-Making in Ultra-Dense 6G Networks: An Optimized Context-Aware Multi-Attribute Utility Function</t>
  </si>
  <si>
    <t>10.1109/TCE.2024.3385828</t>
  </si>
  <si>
    <t>6G heterogeneous wireless networks (HWNs) mark a significant advancement in network technologies, offering unparalleled opportunities to enhance quality of service (QoS) and optimize spatial spectrum utilization. Amidst these advancements, securing these sophisticated, ultra-dense 6G-HWNs becomes paramount, especially in the realm of consumer electronics where AI-driven solutions are increasingly integral. This paper introduces an optimized, AI-enhanced context-aware multi-attribute utility function (MAUF), specifically designed for secure operations in 6G-HWNs. The primary goal is to analyze and numerically validate a simple additive weighting (SAW)-based MAUF and a multiplicative exponent weighting (MEW)-based MAUF for robust and secure network selection in 6G environments. The culmination of this analysis is the proposal of a hybrid exponential MAUF, integrating SAW and MEW methodologies, further refined into a context-aware model to better cater to individual user security needs in 6G consumer electronics. MATLAB simulations demonstrate the superior performance of our proposed context-aware SAW-based and MEW-based hybrid exponential MAUF in ensuring secure and efficient network operations in 6G contexts. In consumer electronics networks context, our research successfully tackles network elimination problem and the context-aware MAUF improves decision-making, suggesting future developments in reliable and user-centric 6G services. ¬© 2024 IEEE.</t>
  </si>
  <si>
    <t>AI-driven security in 6G networks; AI-enhanced wireless network management; context-aware systems in consumer electronics; secure consumer electronics applications; secure multi-attribute decision-making; ultra-dense 6G heterogeneous wireless networks</t>
  </si>
  <si>
    <t>Khan, Muhammad Shoaib (58982688200); Ud Din, Ikram (55428202900); Almogren, Ahmad (8970033500); Rodrigues, Joel J. P. C. (25930566300)</t>
  </si>
  <si>
    <t>58982688200; 55428202900; 8970033500; 25930566300</t>
  </si>
  <si>
    <t>https://www.scopus.com/inward/record.uri?eid=2-s2.0-85190170917&amp;doi=10.1109%2fTCE.2024.3385828&amp;partnerID=40&amp;md5=c1672c9a0eee12d1a30c5c0e651945fa</t>
  </si>
  <si>
    <t>2-s2.0-85190170917</t>
  </si>
  <si>
    <t>3G mobile communication systems; 5G mobile communication systems; Heterogeneous networks; MATLAB; Network management; Network security; Quality control; Quality of service; Queueing networks; Wireless networks; 6g mobile communication; AI-driven security in 6g network; AI-enhanced wireless network management; Consumer electronics applications; Context-aware system in consumer electronic; Context-aware systems; Decisions makings; Heterogeneous wireless network; Mobile communications; Multi attribute decision making; Networks management; Performances evaluation; Quality of experience; Secure consumer electronic application; Secure multi-attribute decision-making; Security; Ultra-dense 6g heterogeneous wireless network; Decision making</t>
  </si>
  <si>
    <t>Commey D.; Mai B.; Hounsinou S.G.; Crosby G.V.</t>
  </si>
  <si>
    <t>Securing Blockchain-Based IoT Systems: A Review</t>
  </si>
  <si>
    <t>10.1109/ACCESS.2024.3428490</t>
  </si>
  <si>
    <t>This paper reviews the role of blockchain technology in enhancing the security of Internet of Things (IoT) systems and maintaining data integrity. We address the increased vulnerabilities and broader attack surface resulting from the integration of blockchain and IoT. The review emphasizes the potential of technologies like zero-knowledge proofs (ZKP) and post-quantum cryptography (PQC) to mitigate these security challenges. Additionally, we explore how game theory, machine learning, and cyber deception strengthen the defense of blockchain-based IoT systems against various threats. The paper also identifies open research areas, emphasizing the need for continued exploration to advance these fields. An additional contribution of this study is introducing a conceptual framework incorporating these technologies, laying the groundwork for developing advanced security solutions within the blockchain-enhanced IoT ecosystem.  ¬© 2013 IEEE.</t>
  </si>
  <si>
    <t>Blockchain; blockchain-IoT (BIoT) systems; cyber deception; game theory; Internet of Things (IoT); IoT security; machine learning; post-quantum cryptography (PQC); security optimization; zero-knowledge proofs (ZKP)</t>
  </si>
  <si>
    <t>Commey, Daniel (58836104900); Mai, Bin (57191974741); Hounsinou, Sena G. (57204979896); Crosby, Garth V. (15063892500)</t>
  </si>
  <si>
    <t>58836104900; 57191974741; 57204979896; 15063892500</t>
  </si>
  <si>
    <t>https://www.scopus.com/inward/record.uri?eid=2-s2.0-85199016752&amp;doi=10.1109%2fACCESS.2024.3428490&amp;partnerID=40&amp;md5=5be2ce1ebfb6bb4ccb95678648215dea</t>
  </si>
  <si>
    <t>2-s2.0-85199016752</t>
  </si>
  <si>
    <t>Artificial intelligence; Blockchain; Computation theory; Computer games; Cybersecurity; Internet of things; Learning systems; Peer to peer networks; Quantum cryptography; Block-chain; Blockchain-internet of thing  system; Consensus algorithms; Cybe deception; Internet of thing; Internet of thing security; Machine-learning; Optimisations; Peer-to-peer computing; Post quantum cryptography; Post-quantum cryptography; Security; Security optimization; Zero-knowledge proof; Zero-knowledge proofs; Game theory</t>
  </si>
  <si>
    <t>Zhang Z.; Xu Z.; Li R.</t>
  </si>
  <si>
    <t>Research and Application of Distributed Task Scheduling for Smart Energy Services</t>
  </si>
  <si>
    <t>10.1117/12.3024334</t>
  </si>
  <si>
    <t>Smart energy services are an important support platform for the development of a comprehensive energy business. Based on CPS, they connect with energy consumption scenarios such as communities, commercial buildings, industrial enterprises, and parks, achieve massive data acquisition of energy equipment, energy conservation, and consumption reduction, and smart regulation of flexible loads. They are also built on cloud platforms and microservice architectures. Distributed task scheduling technology is widely used in massive data acquisition, data archiving, data supplementary acquisition, data quality, data calculation, energy consumption analysis, energy efficiency analysis, energy efficiency diagnosis, monitoring alarm, instruction encryption, and issuance, energy efficiency report generation and push and many other scenarios for processing. There are various shortcomings in the existing distributed task scheduling under the microservice architecture mode. In order to fully leverage the important role of distributed task scheduling in smart energy services based on microservice architecture, this article analyzes the characteristics of microservice architecture and the shortcomings of existing distributed task scheduling and applies the design concepts of distributed application coordination services, balanced sharding, and microservice architecture to study a distributed task scheduling oriented towards microservice architecture, effectively supporting the widespread application of smart energy in distributed task scheduling. ¬© 2024 SPIE.</t>
  </si>
  <si>
    <t>Comprehensive energy; Distributed application coordination services; Distributed task scheduling; Microservice architecture</t>
  </si>
  <si>
    <t>Zhang, Zhizhi (57299924300); Xu, Zhenan (57219183995); Li, Runlin (57943974600)</t>
  </si>
  <si>
    <t>57299924300; 57219183995; 57943974600</t>
  </si>
  <si>
    <t>Proceedings of SPIE - The International Society for Optical Engineering</t>
  </si>
  <si>
    <t>131591R</t>
  </si>
  <si>
    <t>https://www.scopus.com/inward/record.uri?eid=2-s2.0-85194153708&amp;doi=10.1117%2f12.3024334&amp;partnerID=40&amp;md5=875122395483511087354a9909e08634</t>
  </si>
  <si>
    <t>2-s2.0-85194153708</t>
  </si>
  <si>
    <t>Architecture; Cryptography; Data acquisition; Energy efficiency; Historic preservation; Metadata; Multitasking; Quality control; Comprehensive energy; Distributed application coordination service; Distributed applications; Distributed task scheduling; Distributed tasks; Energy services; Energy-consumption; Microservice architecture; Smart energies; Tasks scheduling; Energy utilization</t>
  </si>
  <si>
    <t>Apat H.K.; Nayak R.; Sahoo B.</t>
  </si>
  <si>
    <t>A comprehensive review on Internet of Things application placement in Fog computing environment</t>
  </si>
  <si>
    <t>10.1016/j.iot.2023.100866</t>
  </si>
  <si>
    <t>With the rise in Internet of Things (IoT) technology in recent years the amount of resource requirement of various IoT applications substantially increases. The data generated by various geo-distributed IoT devices is growing continuously. The existing IoT‚ÄìCloud paradigm limits the number of various emergent IoT applications as per the requirement. To utilize various IoT applications effectively and efficiently resource decentralization mechanism is a time of need. Fog computing is a novel computing approach for various IoT applications, specifically time-sensitive. Though, the resource-constrained nature of Fog devices in the fog computing model certainly fails to cater to multiple services for these IoT applications. The heterogeneity and dynamicity of the application request from the IoT devices need a quick decision regarding the placement of the application in the fog layer. Hence, optimal allocation of resources is quite essential for providing uninterrupted services to the end-users. This article comprehensively analyzes the different types of possible IoT application models and strategies for allocating resources to these applications. Since the resource allocation problem has already been proven to be a computationally NP-hard problem, finding a non-deterministic algorithm for allocating resources is our target. In this article, we have taken the IoT application placement problem in fog computing (APFC) as a single and multiple objective optimization problems. We have conducted a survey based on single and multiple objectives to address other possible issues in APFC. Finally, the challenges and promising directions for further research are presented. ¬© 2023 Elsevier B.V.</t>
  </si>
  <si>
    <t>Application placement; Edge computing; Fog computing; Internet of Things (IoT); Quality of Service (QoS); Single and multi objective optimization</t>
  </si>
  <si>
    <t>Apat, Hemant Kumar (57209340614); Nayak, Rashmiranjan (57191610321); Sahoo, Bibhudatta (7003533401)</t>
  </si>
  <si>
    <t>57209340614; 57191610321; 7003533401</t>
  </si>
  <si>
    <t>https://www.scopus.com/inward/record.uri?eid=2-s2.0-85166664852&amp;doi=10.1016%2fj.iot.2023.100866&amp;partnerID=40&amp;md5=6c46a90c9b1f064e292d084f1216b290</t>
  </si>
  <si>
    <t>2-s2.0-85166664852</t>
  </si>
  <si>
    <t>Brahmam M.G.; Vijay Anand R.</t>
  </si>
  <si>
    <t>ICSMPC: Design of an Iterative-Learning Contextual Side Chaining Model for Improving Security of Priority-Aware Cloud Resources</t>
  </si>
  <si>
    <t>10.1007/s10723-023-09687-6</t>
  </si>
  <si>
    <t>Purpose: A wide variety of encryption-based, key-exchange-based, privacy-based, and confidentiality-based models are proposed by researchers, which assist in enhancing security performance under real-time attacks. But most of these models are either unsalable due to their QoS (Quality of Service) performance under large loads, or showcase lower attack detection efficiency for heterogeneous attacks. Methods: To overcome these issues, this text proposes the design of a novel iterative learning contextual-sidechaining model for improving the security of priority-aware cloud resources. The proposed model initially uses a single-chained blockchain, which is split into multiple sidechains via Grey Wolf Optimization (GWO). These sidechains are reconfigured via a Bacterial Foraging Optimizer (BFO), which assists in deciding encryption and hashing techniques for individual chains. The BFO Model uses a resource-level priority metric, which assists in deciding the level of security and QoS for individual sidechains. The model is further extended by a Particle Swarm Optimizer (PSO) which assists in iteratively optimizing the GWO &amp; BFO Models for QoS &amp; Security enhancements. Results: Due to these enhancements, the proposed model is able to improve multiple QoS metrics even under heterogeneous attacks. The proposed model was tested under Sybil, distributed denial of service, masquerading, and spoofing attacks with multiple communication configurations. Conclusion: It was observed that the model was able to reduce the delay needed for communication by 8.5 %, improve the energy efficiency by 3.9 %, and increase the throughput by 4.5 %, and improve the request processing performance by 2.5 % under large-scale requests. ¬© 2023, The Author(s), under exclusive licence to Springer Nature B.V.</t>
  </si>
  <si>
    <t>Attacks; Blockchain; Cloud; Deployment; Iterative; Side chaining</t>
  </si>
  <si>
    <t>Brahmam, Madala Guru (57951362000); Vijay Anand, R. (58352013300)</t>
  </si>
  <si>
    <t>57951362000; 58352013300</t>
  </si>
  <si>
    <t>https://www.scopus.com/inward/record.uri?eid=2-s2.0-85174173612&amp;doi=10.1007%2fs10723-023-09687-6&amp;partnerID=40&amp;md5=9a34b6caf91d04af6c7e34b94e466f14</t>
  </si>
  <si>
    <t>2-s2.0-85174173612</t>
  </si>
  <si>
    <t>Cryptography; Denial-of-service attack; Energy efficiency; Iterative methods; Learning systems; Network security; Particle swarm optimization (PSO); Quality of service; Attack; Bacterial foraging; Block-chain; Deployment; Gray wolves; Iterative; Iterative learning; Optimizers; Side chaining; Side-chains; Blockchain</t>
  </si>
  <si>
    <t>Haq E.S.; Setiadevi S.; Rini E.M.; Yusuf D.; Aji A.A.</t>
  </si>
  <si>
    <t>Investigating an Enhanced Approach for Greenhouse Climate Control: Optimising Cooling and Heating Systems</t>
  </si>
  <si>
    <t>10.18517/ijaseit.13.6.19384</t>
  </si>
  <si>
    <t>This study aimed to enhance greenhouse climate regulation by optimizing the efficiency of existing cooling and heating systems while considering external temperature and humidity conditions. We introduced an automated system capable of regulating the internal greenhouse environment, which underwent testing across 30 days in September 2021, with temperatures ranging from 26¬∞C to 31¬∞C and humidity from 65% to 70%. The system consistently monitored and adjusted the microclimate, with sensors capturing temperature and humidity data at 30-second intervals, amassing over 83,000 data entries for enhanced control accuracy. The automated regulation effectively maintained desired humidity, significantly reducing nighttime levels by 80% while carefully increasing daytime humidity to counteract external heat. Temperature control was largely successful, sustaining daytime levels around 32¬∞C, but faced challenges in maintaining the target of 26¬∞C during cooler nights. Energy consumption was optimized, with the automation leading to a significant 4‚Äì33% energy saving for cooling and an 8% saving in heating compared to traditional methods. Additionally, the system was accessible via a web interface, allowing for real-time climate tracking and prompt anomaly identification. In conclusion, the developed greenhouse automation system exhibited efficiency in equipment usage and improved temperature and humidity control. Further enhancements are required for lamp-based heating. This research contributes to the efficiency and reliability of greenhouse automation systems, mitigating risks associated with external environmental factors and enhancing stability, productivity, and disease and pest prevention. ¬© 2023. IJASEIT is licensed under a Creative Commons Attribution-Share Alike 4.0 International License.</t>
  </si>
  <si>
    <t>automation system; energy efficiency; Greenhouse climate control; tropical country</t>
  </si>
  <si>
    <t>Haq, Endi Sailul (57209267948); Setiadevi, Shinta (57214721196); Rini, Eka Mistiko (57208426405); Yusuf, Dianni (57976248700); Aji, Ardito Atmaka (58866582000)</t>
  </si>
  <si>
    <t>57209267948; 57214721196; 57208426405; 57976248700; 58866582000</t>
  </si>
  <si>
    <t>International Journal on Advanced Science, Engineering and Information Technology</t>
  </si>
  <si>
    <t>https://www.scopus.com/inward/record.uri?eid=2-s2.0-85184187878&amp;doi=10.18517%2fijaseit.13.6.19384&amp;partnerID=40&amp;md5=d20d2dd5bdd762e172132ff2a46f99e4</t>
  </si>
  <si>
    <t>2-s2.0-85184187878</t>
  </si>
  <si>
    <t>Lam W.S.; Lam W.H.; Jaaman S.H.; Lee P.F.</t>
  </si>
  <si>
    <t>Bibliometric Analysis of Granger Causality Studies</t>
  </si>
  <si>
    <t>10.3390/e25040632</t>
  </si>
  <si>
    <t>Granger causality provides a framework that uses predictability to identify causation between time series variables. This is important to policymakers for effective policy management and recommendations. Granger causality is recognized as the primary advance on the causation problem. The objective of this paper is to conduct a bibliometric analysis of Granger causality publications indexed in the Web of Science database. Harzing‚Äôs Publish or Perish and VOSviewer were used for performance analysis and science mapping. The first paper indexed was published in 1981 and there has been an upward trend in the annual publication of Granger causality studies which are shifting towards the areas of environmental science, energy, and economics. Most of the publications are articles and proceeding papers under the areas of business economics, environmental science ecology, and neurosciences/neurology. China has the highest number of publications while the United States has the highest number of citations. England has the highest citation impact. This paper also constructed country co-authorship, co-analysis of cited references, cited sources, and cited authors, keyword co-occurrence, and keyword overlay visualization maps. ¬© 2023 by the authors.</t>
  </si>
  <si>
    <t>bibliometric analysis; business economics; Granger causality; subject area; VOSviewer</t>
  </si>
  <si>
    <t>Lam, Weng Siew (57987940600); Lam, Weng Hoe (56940530200); Jaaman, Saiful Hafizah (26531398900); Lee, Pei Fun (57221661234)</t>
  </si>
  <si>
    <t>57987940600; 56940530200; 26531398900; 57221661234</t>
  </si>
  <si>
    <t>Entropy</t>
  </si>
  <si>
    <t>https://www.scopus.com/inward/record.uri?eid=2-s2.0-85156217952&amp;doi=10.3390%2fe25040632&amp;partnerID=40&amp;md5=8f0169bff947bd780dd1225216eb97c4</t>
  </si>
  <si>
    <t>2-s2.0-85156217952</t>
  </si>
  <si>
    <t>Chang J.; Zhang D.; Huang H.; Jia J.</t>
  </si>
  <si>
    <t>A hybrid sensing of rotation-induced stress of segmental lining during shield tunneling via WSN and surrogate numerical modeling</t>
  </si>
  <si>
    <t>10.1016/j.tust.2023.105315</t>
  </si>
  <si>
    <t>The structural responses of segmental lining to the construction loads during shield tunneling are not well understood yet. To this end, a hybrid sensing method is proposed to understand the mechanical responses of tunnel lining to the construction loads via a wireless sensor network (WSN) and machine learning algorithms. Firstly, the displacement of tunnel lining is monitored in real-time during construction by using the WSN. The rotation of the whole segmental ring is found for the first time based on the in-situ data. A refined three-dimensional numerical model is then applied to investigate the additional stress of segmental rings under such a new deformation mode. Subsequently, a scenario-based construction database is established, including 130 numerical cases of load conditions. For the dynamic control of shield tunneling, an efficient multi-layer perception surrogate model is proposed with the help of the established database. The additional stress state of segmental rings is sensed on-site in a hybrid mode efficiently, both from real structural responses via WSN and the construction parameters via surrogate model. Meanwhile, the construction parameters can be adjusted timely if the additional stress exceeds its limit. For the case study of this paper, with the measured maximum ring rotation at 0.25¬∞ and the maximum arc length of circumferential misalignment between two adjacent rings at 7.1 mm, an additional rotation-induced stress of 19.34*103 kN/m2, i.e., 39% of the concrete compressive strength, is found for the first time at longitudinal bolt holes of segmental rings, which has not been considered but should be emphasized in the future design practice. ¬© 2023</t>
  </si>
  <si>
    <t>3D simulation; Segment deformation; Shield tunnel; Surrogate model; Wireless sensor network</t>
  </si>
  <si>
    <t>Chang, Jiaqi (57765522000); Zhang, Dongming (47962782200); Huang, Hongwei (55778544200); Jia, Jianwei (37028486500)</t>
  </si>
  <si>
    <t>57765522000; 47962782200; 55778544200; 37028486500</t>
  </si>
  <si>
    <t>Tunnelling and Underground Space Technology</t>
  </si>
  <si>
    <t>https://www.scopus.com/inward/record.uri?eid=2-s2.0-85165225885&amp;doi=10.1016%2fj.tust.2023.105315&amp;partnerID=40&amp;md5=6f43c1ecdb0d7849769c2055990f145e</t>
  </si>
  <si>
    <t>2-s2.0-85165225885</t>
  </si>
  <si>
    <t>Compressive strength; Learning algorithms; Numerical models; Rotation; Shielding; Supervised learning; Tunnel linings; 3D simulations; Additional stress; Construction loads; Construction parameter; Induced stress; Segment deformation; Shield tunnel; Shield tunnelling; Structural response; Surrogate modeling; compressive strength; computer simulation; deformation mechanism; future prospect; loading test; numerical model; stress field; structural analysis; structural response; three-dimensional modeling; tunnel design; tunnel lining; tunneling; Wireless sensor networks</t>
  </si>
  <si>
    <t>Guam√°n D.; P√©rez J.; Valdiviezo-Diaz P.</t>
  </si>
  <si>
    <t>Estimating the energy consumption of model-view-controller applications</t>
  </si>
  <si>
    <t>10.1007/s11227-023-05202-6</t>
  </si>
  <si>
    <t>For information and communication technology to reach its goal of zero emissions in 2050, power consumption must be reduced, including the energy consumed by software. To develop sustainability-aware software, green metrics have been implemented to estimate the energy consumed by the execution of an application. However, they have a rebound energy consumption effect because they require an application to be executed to estimate the energy consumed after each change. To address this problem, it is necessary to construct energy estimation models that do not require the execution of applications. This work addresses this problem by constructing a green model based on size, complexity and duplicated lines to estimate the energy consumed by model-view-controller applications without their execution. This article defines a model constructed based on 52 applications. The results were accurate in twelve applications, which showed that the joule estimation was very close to reality, avoiding the energy consumed by the execution of applications. ¬© 2023, The Author(s).</t>
  </si>
  <si>
    <t>Architectural patterns; Energy consumption estimation; Green software; Model-view controller (MVC); Software architectures</t>
  </si>
  <si>
    <t>Guam√°n, Daniel (57188566526); P√©rez, Jennifer (37043795900); Valdiviezo-Diaz, Priscila (36186316400)</t>
  </si>
  <si>
    <t>57188566526; 37043795900; 36186316400</t>
  </si>
  <si>
    <t>https://www.scopus.com/inward/record.uri?eid=2-s2.0-85151338800&amp;doi=10.1007%2fs11227-023-05202-6&amp;partnerID=40&amp;md5=647088e011dc284be3e69deeef20d643</t>
  </si>
  <si>
    <t>2-s2.0-85151338800</t>
  </si>
  <si>
    <t>Application programs; Controllers; Software architecture; Architectural pattern; Energy; Energy consumption estimation; Energy-consumption; Green metrics; Green software; Information and Communication Technologies; Model-view controller; Zero emission; Energy utilization</t>
  </si>
  <si>
    <t>Chiang R.C.</t>
  </si>
  <si>
    <t>Contention-aware container placement strategy for docker swarm with machine learning based clustering algorithms</t>
  </si>
  <si>
    <t>10.1007/s10586-020-03210-2</t>
  </si>
  <si>
    <t>Containerization technology utilizes operating system level virtualization to package applications to run with required libraries and are isolated from other processes on the same host. Lightweight and quick deployment make containers popular in many data centers. Running distributed applications in data centers usually involves multiple clusters of machines. Docker Swarm is a container orchestration tool for managing a cluster of Docker containers and their hosts. However, Docker Swarm‚Äôs scheduler does not consider resource utilization when placing containers in a cluster. This paper first investigated performance interference in container clusters. Our experimental study showed that distributed applications‚Äô performance can be degraded when co-located with other containers which aggressively consume resources. A new scheduler is proposed to improve performance while keeping high resource utilization. The experimental results demonstrated that the proposed prototype with machine learning based clustering algorithms could effectively improve distributed applications‚Äô performance by up to 14.5% with an average at around 12%. This work also provides theoretical bounds for the container placement problem. ¬© 2020, Springer Science+Business Media, LLC, part of Springer Nature.</t>
  </si>
  <si>
    <t>Cloud computing; Container; Microservices; Serverless Computing; Virtualization</t>
  </si>
  <si>
    <t>Chiang, Ron C. (36141776800)</t>
  </si>
  <si>
    <t>https://www.scopus.com/inward/record.uri?eid=2-s2.0-85096453529&amp;doi=10.1007%2fs10586-020-03210-2&amp;partnerID=40&amp;md5=fc296bf2b012a79ab8061c2e2ea95db0</t>
  </si>
  <si>
    <t>2-s2.0-85096453529</t>
  </si>
  <si>
    <t>Clustering algorithms; Learning algorithms; Machine learning; Scheduling; Swarm intelligence; Virtual reality; Virtualization; Application performance; Based clustering; Cloud-computing; Datacenter; Distributed applications; Machine-learning; Microservice; Resources utilizations; Serverless computing; Virtualizations; Containers</t>
  </si>
  <si>
    <t>Heriƒçko T.; ≈†umak B.</t>
  </si>
  <si>
    <t>Exploring Maintainability Index Variants for Software Maintainability Measurement in Object-Oriented Systems</t>
  </si>
  <si>
    <t>10.3390/app13052972</t>
  </si>
  <si>
    <t>During maintenance, software systems undergo continuous correction and enhancement activities due to emerging faults, changing environments, and evolving requirements, making this phase expensive and time-consuming, often exceeding the initial development costs. To understand and manage software under development and maintenance better, several maintainability measures have been proposed. The Maintainability Index is commonly used as a quantitative measure of the relative ease of software maintenance. There are several Index variants that differ in the factors affecting maintainability (e.g., code complexity, software size, documentation) and their given importance. To explore the variants and understand how they compare when evaluating software maintainability, an experiment was conducted with 45 Java-based object-oriented software systems. The results showed that the choice of the variant could influence the perception of maintainability. Although different variants presented different values when subjected to the same software, their values were strongly positively correlated and generally indicated similarly how maintainability evolved between releases and over the long term. Though, when focusing on fine-grained results posed by the Index, the variant selection had a larger impact. Based on their characteristics, behavior, and interrelationships, the variants were divided into two distinct clusters, i.e., variants that do not consider code comments in their calculation and those that do. ¬© 2023 by the authors.</t>
  </si>
  <si>
    <t>Java; Maintainability Index; maintainability measurement; object-oriented software; software maintenance; software metrics</t>
  </si>
  <si>
    <t>Heriƒçko, Tja≈°a (57490891500); ≈†umak, Bo≈°tjan (24483973500)</t>
  </si>
  <si>
    <t>57490891500; 24483973500</t>
  </si>
  <si>
    <t>https://www.scopus.com/inward/record.uri?eid=2-s2.0-85149982058&amp;doi=10.3390%2fapp13052972&amp;partnerID=40&amp;md5=261421e696c612547e37685065a5ed79</t>
  </si>
  <si>
    <t>2-s2.0-85149982058</t>
  </si>
  <si>
    <t>Rzazade U.; Deryabin S.; Temkin I.; Kondratev E.; Ivannikov A.</t>
  </si>
  <si>
    <t>On the Issue of the Creation and Functioning of Energy Efficiency Management Systems for Technological Processes of Mining Enterprises</t>
  </si>
  <si>
    <t>10.3390/en16134878</t>
  </si>
  <si>
    <t>This work is devoted to the construction and analysis of the functioning of energy efficiency management systems for the technological processes of mining industries. The main idea of this work is to substantiate and describe an approach to the intellectualization of data processing methods and tools used in the operation of energy efficiency management systems. This paper provides a brief overview of the problems of implementing the ISO 50001 standard and provides a justification for the need to bring the energy efficiency management systems prescribed by the standard to an automated form. Functional requirements for the construction of such automated systems for mining industries, considering the use of Industry 4.0 technologies, are formulated. A structural‚Äìfunctional model of the conceptual architecture of the proposed system is given. The problems of the direct integration of computational methods of data mining for the implementation of the required functions are shown. A statistical analysis of the technological information of 11 enterprises is presented, confirming the described problems and the validity of the stated requirements for building the system. Based on the results of the work, steps to eliminate problems and further plans for the modernization of energy efficiency management systems in the industry have been identified. ¬© 2023 by the authors.</t>
  </si>
  <si>
    <t>anomaly detection; autonomous functioning systems; DEA 1.0; energy efficiency management; Industry 4.0; ISO 50001; mining</t>
  </si>
  <si>
    <t>Rzazade, Ulvi (58055968100); Deryabin, Sergey (57200408263); Temkin, Igor (57200420459); Kondratev, Egor (57443527300); Ivannikov, Alexander (57196274131)</t>
  </si>
  <si>
    <t>58055968100; 57200408263; 57200420459; 57443527300; 57196274131</t>
  </si>
  <si>
    <t>Energies</t>
  </si>
  <si>
    <t>https://www.scopus.com/inward/record.uri?eid=2-s2.0-85164990179&amp;doi=10.3390%2fen16134878&amp;partnerID=40&amp;md5=fd9f6219e0a0b6340cf915340cfb7042</t>
  </si>
  <si>
    <t>2-s2.0-85164990179</t>
  </si>
  <si>
    <t>Automation; Data handling; Data mining; Energy efficiency; Industry 4.0; Information management; Mining; Anomaly detection; Autonomous functioning system; Data processing methods; DEA 1.0; Efficiency managements; Energy efficiency management; ISO 50001; Management systems; Mining enterprise; Technological process; Anomaly detection</t>
  </si>
  <si>
    <t>Zhou J.; Shen Y.; Li L.; Zhuo C.; Chen M.</t>
  </si>
  <si>
    <t>Swarm Intelligence-Based Task Scheduling for Enhancing Security for IoT Devices</t>
  </si>
  <si>
    <t>10.1109/TCAD.2022.3207328</t>
  </si>
  <si>
    <t>Due to the great advancement in computation, communication, and control technologies, the Internet of Things (IoT) can provide ubiquitous connectivity for anyone and anything at any time and any place, leading to a revolution in an information society. Protecting devices against various security threats is one of the most important challenges in IoT since IoT applications are generally security-critical systems while IoT devices are often poorly secured. For IoT devices, employing security services provided by smart gateways or edge/cloud servers to defend against various threats is an effective way to enhance their security. However, the finite battery energy of devices and the limited fund of device users hinder the wide application of security services in IoT. This necessitates the demand for designing new methodologies to tackle the tradeoff among security, energy, and fund of IoT devices. Therefore, this article attempts to optimize system security of IoT devices under energy and fund constraints. Specifically, to formulate the energy and fund constrained security optimization problem, we first propose a pricing model for the security services provided by the smart gateway. We then formulate the problem as a mixed-integer linear programming (MILP) problem. Since using a solver to address the MILP problem may be time consuming, we leverage the swarm intelligence technique to design a new task scheduling scheme that can efficiently solve the optimization problem. Extensive experiments are conducted to validate our proposed MILP and swarm intelligence-based task scheduling algorithms. Simulation results show that our scheme outperforms two state-of-the-art methods in improving system quality of security and guaranteeing schedule feasibility.  ¬© 1982-2012 IEEE.</t>
  </si>
  <si>
    <t>Energy efficiency; fund; Internet of Things (IoT); mixed-integer linear programming (MILP); security; swarm intelligence; task scheduling</t>
  </si>
  <si>
    <t>Zhou, Junlong (56164546300); Shen, Yufan (57485604500); Li, Liying (55730865800); Zhuo, Cheng (17436666200); Chen, Mingsong (55581519700)</t>
  </si>
  <si>
    <t>56164546300; 57485604500; 55730865800; 17436666200; 55581519700</t>
  </si>
  <si>
    <t>https://www.scopus.com/inward/record.uri?eid=2-s2.0-85139398954&amp;doi=10.1109%2fTCAD.2022.3207328&amp;partnerID=40&amp;md5=ad213bbd8f65212a552f3061f263d8a2</t>
  </si>
  <si>
    <t>2-s2.0-85139398954</t>
  </si>
  <si>
    <t>Computation theory; Constrained optimization; Economic and social effects; Gateways (computer networks); Integer programming; Internet of things; Multitasking; Particle swarm optimization (PSO); Scheduling algorithms; Swarm intelligence; Fund; Integer Linear Programming; Mixed integer linear; Mixed-integer linear programming; Optimisations; Particle swarm; Particle swarm optimization; Security; Swarm optimization; Task analysis; Tasks scheduling; Energy efficiency</t>
  </si>
  <si>
    <t>Saadian F.; Motameni H.; Golsorkhtabaramiri M.</t>
  </si>
  <si>
    <t>Deadline-aware multi-objective IoT services placement optimization in fog environment using parallel FFD-genetic algorithm</t>
  </si>
  <si>
    <t>10.1016/j.pmcj.2023.101800</t>
  </si>
  <si>
    <t>Nowadays, Internet of things has become as an inevitable aspect of humans‚Äô IT-based life. A huge number of geo-distributed IoT enabled devices such as smart phones, smart cameras, health care systems, vehicles, etc. are connected to the Internet and manage users‚Äô applications. The IoT applications are generally time sensitive, so that giving them up to Cloud and receiving the response may violate their required deadline, due to distance between user device and centralized Cloud data center and consequently increasing network latency. Fog environment, as an intermediate layer between Cloud and IoT devices, brings a smaller scales of Cloud capabilities closer to user location. Processing real time applications in Fog layer helps more deadlines to be met. Although Fog computing enhances quality of service parameters, limited resources and power of Fog nodes is a challenge in processing applications. Furthermore, the network latency is still an issue for communications between applications‚Äô services and between user device and Fog node, which seriously threatens deadline condition. Regarding to mentioned points, this paper proposes a 3-partite deadline-aware applications‚Äô services placement optimization model in Fog environment which optimizes total power consumption, total resources wastage, and total network latency, simultaneously. The proposed model prioritizes applications in 3 levels based on their associated deadline, and then the model is solved using a parallel model of first fit decreasing and genetic algorithm combination. Simulations results indicates the superiority of proposed approach against counterpart algorithms in terms of reducing power consumption, resource wastage, network latency, and service rejection rate. ¬© 2023 Elsevier B.V.</t>
  </si>
  <si>
    <t>Fog computing; Genetic algorithm; Internet of things; Real time applications; Service Placement Problem</t>
  </si>
  <si>
    <t>Saadian, Fatemeh (57194571765); Motameni, Homayun (26768080800); Golsorkhtabaramiri, Mehdi (55323205300)</t>
  </si>
  <si>
    <t>57194571765; 26768080800; 55323205300</t>
  </si>
  <si>
    <t>https://www.scopus.com/inward/record.uri?eid=2-s2.0-85159773566&amp;doi=10.1016%2fj.pmcj.2023.101800&amp;partnerID=40&amp;md5=e4c34d105027fc831669d27307c9e8eb</t>
  </si>
  <si>
    <t>2-s2.0-85159773566</t>
  </si>
  <si>
    <t>Electric power utilization; Fog; Fog computing; Internet of things; mHealth; Quality of service; Smartphones; Application services; Deadline-aware; Multi objective; Network latencies; Placement optimization; Placement problems; Real-time application; Service placement problem; Service placements; User devices; Genetic algorithms</t>
  </si>
  <si>
    <t>Liang B.; Wu D.; Wu P.</t>
  </si>
  <si>
    <t>Cloud service provisioning strategy using data center consortium clustering</t>
  </si>
  <si>
    <t>10.1016/j.eswa.2023.119744</t>
  </si>
  <si>
    <t>The rapid growth of data centers provides cloud users with better choices and services. An increasing number of companies are involved in the construction of data centers; at the same time, the original cloud service providers are constantly expanding new data centers to meet the needs of users. Therefore, the joint scheduling of multiple data centers has become a difficult problem that cloud service providers must face. Joint scheduling refers to the resource allocation among multiple data centers of a cloud service provider. That is, how can the virtual machine application of cloud users be deployed on the physical machine in multiple data centers. A single data center provisioning strategy can solve the scheduling problem within the data center. However, multiple data centers can make the previous provisioning strategy invalid due to geographical location and other differences. In this paper, the characteristics of different data centers are analyzed and clustered to form a data center consortium. Then, the virtual machine (VM) is classified according to the deadline. As cloud users purchase virtual machine resources from cloud service providers, they are billed by time in most cases. The deadline of the virtual machine refers to the time when the virtual machine ends its service. Then, we analyze the power consumption of the data center and deploy VMs based on the rule of avoiding hotspot deployment of VMs with priority energy consumption. Finally, a cloud service provisioning strategy using data center consortium clustering (PSDC3) is proposed and verified. It can be seen from the results that the algorithm can significantly reduce the number of hotspots and energy consumption of cloud data centers. ¬© 2023 Elsevier Ltd</t>
  </si>
  <si>
    <t>Data center consortium; Machine learning; Provisioning strategy; Unsupervised learning</t>
  </si>
  <si>
    <t>Liang, Bin (57209465291); Wu, Di (57223041667); Wu, Pengfei (35779387400)</t>
  </si>
  <si>
    <t>57209465291; 57223041667; 35779387400</t>
  </si>
  <si>
    <t>https://www.scopus.com/inward/record.uri?eid=2-s2.0-85149381205&amp;doi=10.1016%2fj.eswa.2023.119744&amp;partnerID=40&amp;md5=898f485a46a8714698ede74e1cd867b0</t>
  </si>
  <si>
    <t>2-s2.0-85149381205</t>
  </si>
  <si>
    <t>Distributed database systems; Energy utilization; Network security; Virtual machine; Cloud service providers; Cloud services; Clusterings; Data center consortium; Datacenter; Joint scheduling; Machine-learning; Multiple data; Provisioning strategy; Service provisioning; Machine learning</t>
  </si>
  <si>
    <t>Anees T.; Habib Q.; Al-Shamayleh A.S.; Khalil W.; Obaidat M.A.; Akhunzada A.</t>
  </si>
  <si>
    <t>The Integration of WoT and Edge Computing: Issues and Challenges</t>
  </si>
  <si>
    <t>10.3390/su15075983</t>
  </si>
  <si>
    <t>The Web of Things is an improvement on the Internet of Things (IoT) that incorporates smart objects into both the web architecture (application) and the internet (network). WoT applications are inescapable in residential homes and communities.¬†The intent behind WoT applications is to increase sustainable development for reducing resource consumption. The Web of Things (WoT) aims to create a decentralized Internet of Things. Edge computing addresses IoT computing demands by reducing the escalation in resource congestion situations. In edge computing data is placed closed to the end users which diverts computation load from the centralized data centers. Furthermore, the dispersed structure balances network traffic and minimizes traffic peaks in IoT networks. Therefore, resulting in reducing transmission delays between edge servers and end users which improves response times for real-time WoT applications. Low battery supply to nodes with enough power resources can increase the lifespan of the individual nodes by moving processing and communication overhead from the nodes. This paper integrates WoT and edge computing and compares their functionalities. In addition, it demonstrates how edge computing enhances WoT performance and concentrates on transmission, storage, and computation aspects. Furthermore, for performance evaluation it categorizes edge computing based on different architectures. Moreover, the challenges of Web of Things and edge computing have been discussed in terms of bandwidth, latency, energy, and cost. Finally, advantages of the Web of Things and edge computing have been discussed. ¬© 2023 by the authors.</t>
  </si>
  <si>
    <t>edge computing; Web of Things</t>
  </si>
  <si>
    <t>Anees, Tayyaba (50461069100); Habib, Qaiser (58187905700); Al-Shamayleh, Ahmad Sami (57201722297); Khalil, Wajeeha (15622889900); Obaidat, Muath A. (55400999200); Akhunzada, Adnan (56287591400)</t>
  </si>
  <si>
    <t>50461069100; 58187905700; 57201722297; 15622889900; 55400999200; 56287591400</t>
  </si>
  <si>
    <t>Sustainability (Switzerland)</t>
  </si>
  <si>
    <t>https://www.scopus.com/inward/record.uri?eid=2-s2.0-85152796531&amp;doi=10.3390%2fsu15075983&amp;partnerID=40&amp;md5=7c4fd07d877b15f05556107df8933770</t>
  </si>
  <si>
    <t>2-s2.0-85152796531</t>
  </si>
  <si>
    <t>computer simulation; data processing; Internet; resource use; sustainable development</t>
  </si>
  <si>
    <t>Hou X.; Li C.; Liu J.; Chen J.; Tang X.; Liang L.; Cheng K.-T.; Guo M.</t>
  </si>
  <si>
    <t>Architecting Efficient Multi-modal AIoT Systems</t>
  </si>
  <si>
    <t>10.1145/3579371.3589066</t>
  </si>
  <si>
    <t>Multi-modal computing (M2C) has recently exhibited impressive accuracy improvements in numerous autonomous artificial intelligence of things (AIoT) systems. However, this accuracy gain is often tethered to an incredible increase in energy consumption. Particularly, various highly-developed modality sensors devour most of the energy budget, which would make the deployment of M2C for real-world AIoT applications a difficult challenge. To address the above issue, we propose AMG, an innovative HW/SW co-design solution tailored to multi-modal AIoT systems. The key behind AMG is modality gating (throttling) that allows for adaptively sensing and computing modalities for different tasks. This is non-trivial since we must balance situational awareness, energy conservation, and execution latency. AMG achieves our goal with two first-of-its-kind designs. 1) It introduces a novel decoupled modality sensor architecture to support partial throttling of modality sensors. Doing so allows one to greatly save AIoT power but maintains sensor data flow. 2) AMG also features a smart power management strategy based on the new architecture, allowing the device to initialize and tune itself with the optimal configuration. It can predict whether a reasonable degree of accuracy will be satisfied during runtime, and react proactively to remediate the gating process. Extensive evaluation based on our prototype system confirms that AMG improves the AIoT lifespan by 74.5% to 133.7% with the same energy budget while meeting the performance requirements. ¬© 2023 Institute of Electrical and Electronics Engineers Inc.. All rights reserved.</t>
  </si>
  <si>
    <t>Autonomous Embedded Systems; Edge Artificial Intelligence; Energy Efficiency; Modality Gating; Multimodal Computing</t>
  </si>
  <si>
    <t>Hou, Xiaofeng (57190338889); Li, Chao (56697637700); Liu, Jiacheng (57195231115); Chen, Jia (57202131951); Tang, Xuehan (57944527900); Liang, Luhong (35113524100); Cheng, Kwang-Ting (7402997957); Guo, Minyi (7201564780)</t>
  </si>
  <si>
    <t>57190338889; 56697637700; 57195231115; 57202131951; 57944527900; 35113524100; 7402997957; 7201564780</t>
  </si>
  <si>
    <t>https://www.scopus.com/inward/record.uri?eid=2-s2.0-85168872680&amp;doi=10.1145%2f3579371.3589066&amp;partnerID=40&amp;md5=69235a194c3d3c1a387280d214364192</t>
  </si>
  <si>
    <t>2-s2.0-85168872680</t>
  </si>
  <si>
    <t>Artificial intelligence; Budget control; Embedded systems; Energy utilization; Green computing; Power management; Accuracy Improvement; Autonomous embedded system; Edge artificial intelligence; Embedded-system; Energy budgets; Energy-consumption; Modality gating; Multi-modal; Multimodal computing; Real-world; Energy efficiency</t>
  </si>
  <si>
    <t>Alonso J.; Huarte M.; Arrieta L.O.-E.</t>
  </si>
  <si>
    <t>ACSmI: a solution to address the challenges of cloud services federation and monitoring towards the cloud continuum</t>
  </si>
  <si>
    <t>10.1504/IJCSE.2023.133676</t>
  </si>
  <si>
    <t>The evolution of cloud computing has changed the way in which cloud service providers offer their services and how cloud customers consume them, moving towards the use of multiple cloud services, in what it is called multi-cloud. Multi-cloud is gaining interest by the expansion of IoT, edge and the cloud continuum where distributed cloud federation models are necessary for effective application deployment and operation. This work presents advanced cloud service meta-intermediator (ACSmI), a solution that implements a cloud federation, supporting the seamless brokerage of cloud services. Technical details addressing the discovered shortcomings are presented, including a proof of concept built on JHipster, Java, InfluxDB, Telegraf and Grafana. ACSmI contributes to relevant elements of the European Gaia-X initiative, specifically to the federated catalogue, continuous monitoring, and certification of services. The experiments show that proposed solution effectively saves up to 75% of the DevOps teams‚Äô effort to discover, contract and monitor cloud services. Copyright ¬© 2023 Inderscience Enterprises Ltd.</t>
  </si>
  <si>
    <t>cloud continuum; cloud service broker; cloud service discovery; cloud service level agreement; cloud service monitoring; cloud services brokerage; cloud services federation; cloud services intermediation; cloud services intermediation; CSB; CSLA; DevOps; hybrid cloud; multi-cloud; multi-cloud service management</t>
  </si>
  <si>
    <t>Alonso, Juncal (55961117200); Huarte, Maider (58110005000); Arrieta, Leire Orue-Echevarria (55681115900)</t>
  </si>
  <si>
    <t>55961117200; 58110005000; 55681115900</t>
  </si>
  <si>
    <t>International Journal of Computational Science and Engineering</t>
  </si>
  <si>
    <t>https://www.scopus.com/inward/record.uri?eid=2-s2.0-85174051287&amp;doi=10.1504%2fIJCSE.2023.133676&amp;partnerID=40&amp;md5=885d43158154f3538fc31c82db0ba213</t>
  </si>
  <si>
    <t>2-s2.0-85174051287</t>
  </si>
  <si>
    <t>Distributed cloud; Distributed database systems; Cloud continuum; Cloud service brokerage; Cloud service brokers; Cloud service discovery; Cloud service federation; Cloud service intermediation; Cloud service level agreement; Cloud service managements; Cloud service monitoring; Cloud services; CSB; CSLA; Hybrid clouds; Multi-cloud service management; Multi-clouds; Service discovery; Service monitoring; Servicelevel agreement (SLA); Web services</t>
  </si>
  <si>
    <t>Iosup A.; Prodan R.; Varbanescu A.-L.; Talluri S.; Magalhaes G.; Hokstam K.; Zwaan H.; Van Beek V.; Farahani R.; Kimovski D.</t>
  </si>
  <si>
    <t>Graph Greenifier: Towards Sustainable and Energy-Aware Massive Graph Processing in the Computing Continuum</t>
  </si>
  <si>
    <t>10.1145/3578245.3585329</t>
  </si>
  <si>
    <t>Our society is increasingly digital, and its processes are increasingly digitalized. As an emerging technology for the digital society, graphs provide a universal abstraction to represent concepts and objects, and the relationships between them. However, processing graphs at a massive scale raises numerous sustainability challenges; becoming energy-aware could help graph-processing infrastructure alleviate its climate impact. Graph Greenifier aims to address this challenge in the conceptual framework offered by the Graph Massivizer architecture. We present an early vision of how Graph Greenifier could provide sustainability analysis and decision-making capabilities for extreme graph-processing workloads. Graph Greenifier leverages an advanced digital twin for data center operations, based on the OpenDC open-source simulator, a novel toolchain for workload-driven simulation of graph processing at scale, and a sustainability predictor. The input to the digital twin combines monitoring of the information and communication technology infrastructure used for graph processing with data collected from the power grid. Graph Greenifier thus informs providers and consumers on operational sustainability aspects, requiring mutual information sharing, reducing energy consumption for graph analytics, and increasing the use of electricity from renewable sources. ¬© 2023 Owner/Author.</t>
  </si>
  <si>
    <t>computing continuum; digital twin; energy-awareness; graph greenifier; graph massivizer; graph processing; scalability; sustainability</t>
  </si>
  <si>
    <t>Iosup, Alexandru (23392350500); Prodan, Radu (8858675500); Varbanescu, Ana-Lucia (15020089900); Talluri, Sacheendra (57200562502); Magalhaes, Gilles (58242456400); Hokstam, Kailhan (58241546300); Zwaan, Hugo (57203148594); Van Beek, Vincent (57210789086); Farahani, Reza (57220368259); Kimovski, Dragi (55364582500)</t>
  </si>
  <si>
    <t>23392350500; 8858675500; 15020089900; 57200562502; 58242456400; 58241546300; 57203148594; 57210789086; 57220368259; 55364582500</t>
  </si>
  <si>
    <t>ICPE 2023 - Companion of the 2023 ACM/SPEC International Conference on Performance Engineering</t>
  </si>
  <si>
    <t>https://www.scopus.com/inward/record.uri?eid=2-s2.0-85158857446&amp;doi=10.1145%2f3578245.3585329&amp;partnerID=40&amp;md5=420b1b38b9101cea5502193ad0c392e0</t>
  </si>
  <si>
    <t>2-s2.0-85158857446</t>
  </si>
  <si>
    <t>Data handling; Decision making; Energy utilization; Power management; Scalability; Computing continuum; Digital society; Emerging technologies; Energy aware; Energy-awareness; Graph greenifier; Graph massivizer; Graph processing; Massive graph; Processing graphs; Sustainable development</t>
  </si>
  <si>
    <t>Ashraf M.; Shiraz M.; Abbasi A.; Alqahtani O.; Badshah G.; Lasisi A.</t>
  </si>
  <si>
    <t>Microservice Application Scheduling in Multi-Tiered Fog-Computing-Enabled IoT</t>
  </si>
  <si>
    <t>10.3390/s23167142</t>
  </si>
  <si>
    <t>Fog computing extends mobile cloud computing facilities at the network edge, yielding low-latency application execution. To supplement cloud services, computationally intensive applications can be distributed on resource-constrained mobile devices by leveraging underutilized nearby resources to meet the latency and bandwidth requirements of application execution. Building upon this premise, it is necessary to investigate idle or underutilized resources that are present at the edge of the network. The utilization of a microservice architecture in IoT application development, with its increased granularity in service breakdown, provides opportunities for improved scalability, maintainability, and extensibility. In this research, the proposed schedule tackles the latency requirements of applications by identifying suitable upward migration of microservices within a multi-tiered fog computing infrastructure. This approach enables optimal utilization of network edge resources. Experimental validation is performed using the iFogSim2 simulator and the results are compared with existing baselines. The results demonstrate that compared to the edgewards approach, our proposed technique significantly improves the latency requirements of application execution, network usage, and energy consumption by 66.92%, 69.83%, and 4.16%, respectively. ¬© 2023 by the authors.</t>
  </si>
  <si>
    <t>constrained devices; distributed application execution; fog computing; Internet of Things; microservice application scheduling; service delay</t>
  </si>
  <si>
    <t>Ashraf, Maria (57702958100); Shiraz, Muhammad (36708730400); Abbasi, Almas (36863336500); Alqahtani, Omar (58548087400); Badshah, Gran (56039177200); Lasisi, Ayodele (56031891700)</t>
  </si>
  <si>
    <t>57702958100; 36708730400; 36863336500; 58548087400; 56039177200; 56031891700</t>
  </si>
  <si>
    <t>https://www.scopus.com/inward/record.uri?eid=2-s2.0-85168718295&amp;doi=10.3390%2fs23167142&amp;partnerID=40&amp;md5=f6405c7cd0477185b8755c231e135338</t>
  </si>
  <si>
    <t>2-s2.0-85168718295</t>
  </si>
  <si>
    <t>Energy utilization; Fog; Internet of things; Mobile cloud computing; Application execution; Application scheduling; Computing facilities; Constrained devices; Distributed application executions; Low latency; Microservice application scheduling; Multi-tiered; Network edges; Service delays; Fog computing</t>
  </si>
  <si>
    <t>Peng K.; Huang H.; Zhao B.; Jolfaei A.; Xu X.; Bilal M.</t>
  </si>
  <si>
    <t>Intelligent Computation Offloading and Resource Allocation in IIoT with End-Edge-Cloud Computing Using NSGA-III</t>
  </si>
  <si>
    <t>10.1109/TNSE.2022.3155490</t>
  </si>
  <si>
    <t>Industrial Internet of Things (IIoT), which consists of massive IoT devices and industrial infrastructures such as wireless access points to acquire intelligent services, has been devoted as a critical physical information platform to realizing the fourth industrial revolution, otherwise known as Industry 4.0. Currently, a new paradigm called mobile edge computing (MEC) has brought an opportunity to accelerate the development of IIoT. It has powerful computing capabilities and can be well-used to provide low-latency services to execute some computation applications generated by IIoT devices. However, the existing methods may not be directly used for IIoT scenarios due to the large size of IIoT devices and the characteristics of the applications, as well as the limited and heterogeneous resources of edge servers. In view of this, the computation offloading and resource allocation are formulated as a multi-objective optimization problem, and an end-edge-cloud collaborative intelligent optimization method is devised in this paper. Comprehensive experiments and evaluations are carried out to prove the effectiveness and efficiency of our proposed method with regard to the energy consumption and time consumption of IIoT devices, as well as resource utilization and load balancing of edge servers. ¬© 2013 IEEE.</t>
  </si>
  <si>
    <t>computation offloading; IIoT; MEC; multi-objective optimization; resource allocation</t>
  </si>
  <si>
    <t>Peng, Kai (55366580600); Huang, Hualong (57197845909); Zhao, Bohai (57215409827); Jolfaei, Alireza (36680369700); Xu, Xiaolong (55706201200); Bilal, Muhammad (56562681700)</t>
  </si>
  <si>
    <t>55366580600; 57197845909; 57215409827; 36680369700; 55706201200; 56562681700</t>
  </si>
  <si>
    <t>IEEE Transactions on Network Science and Engineering</t>
  </si>
  <si>
    <t>https://www.scopus.com/inward/record.uri?eid=2-s2.0-85126310494&amp;doi=10.1109%2fTNSE.2022.3155490&amp;partnerID=40&amp;md5=ad90bfab101f86eda2c1e3127f703ae4</t>
  </si>
  <si>
    <t>2-s2.0-85126310494</t>
  </si>
  <si>
    <t>computation offloading; Green computing; Internet of things; Job analysis; Mobile edge computing; Multiobjective optimization; Resource allocation; Collaboration; Computation offloading; Computation resources; Energy-consumption; Industrial internet of thing; Multi-objectives optimization; Resource management; Resources allocation; Task analysis; Energy utilization</t>
  </si>
  <si>
    <t>Ezhilarasan K.; Shilpa A.N.; Sridhar N.; Lakshmi V.</t>
  </si>
  <si>
    <t>Smart Cattle Farm Infrastructure and Monitoring Cattle Health Status Using IOT</t>
  </si>
  <si>
    <t>10.1109/ICSEIET58677.2023.10303358</t>
  </si>
  <si>
    <t>Cattles are suffering numerous challenges in today's world, because humans do not care for them. They are fully reliant on technology, which is all around us, to spot the presence of illness at the premature phase and prevent it from spreading. This paper proposed a reliable, economic, energy efficient and livestock health monitoring system. The lightning sensor, which will switch ON and OFF based on the weather. Through IR sensor determining the cattle count. This allows us to keep an eye on a gadget that can sense, record, and wirelessly communicate data for the cow's precision and timekeeping. Critical metrics such as cow's health, includes body temperature, respiration, humidity, heartbeat, and rumination are continuously monitored using wireless sensors based on emergency detection of cattle health monitoring system.  ¬© 2023 IEEE.</t>
  </si>
  <si>
    <t>cow health monitoring; IoT; IR sensor; light Sensor; pic-microcontroller; wireless sensor</t>
  </si>
  <si>
    <t>Ezhilarasan, K. (57189044988); Shilpa, A.N. (57209502396); Sridhar, N. (57191242618); Lakshmi, Vijaya (57959692700)</t>
  </si>
  <si>
    <t>57189044988; 57209502396; 57191242618; 57959692700</t>
  </si>
  <si>
    <t>2023 International Conference on Sustainable Emerging Innovations in Engineering and Technology, ICSEIET 2023</t>
  </si>
  <si>
    <t>https://www.scopus.com/inward/record.uri?eid=2-s2.0-85179138480&amp;doi=10.1109%2fICSEIET58677.2023.10303358&amp;partnerID=40&amp;md5=f50d73d57b2f2e51a8b8c6a0c3d2e5d6</t>
  </si>
  <si>
    <t>2-s2.0-85179138480</t>
  </si>
  <si>
    <t>Agriculture; Energy efficiency; Infrared detectors; Internet of things; Cattles; Cow health monitoring; Health monitoring; Health monitoring system; Health status; IoT; IR sensor; Light sensor; PIC microcontrollers; Wireless sensor; Microcontrollers</t>
  </si>
  <si>
    <t>Labiadh M.; Obrecht C.; Ferreira¬†da¬†Silva C.; Ghodous P.; Benabdeslem K.</t>
  </si>
  <si>
    <t>Query-adaptive training data recommendation for cross-building predictive modeling</t>
  </si>
  <si>
    <t>10.1007/s10115-022-01771-9</t>
  </si>
  <si>
    <t>Predictive modeling in buildings is a key task for the optimal management of building energy. Relevant building operational data are a prerequisite for such task, notably when deep learning is used. However, building operational data are not always available, such is the case in newly built, newly renovated, or even not yet built buildings. To address this problem, we propose a deep similarity learning approach to recommend relevant training data to a target building solely by using a minimal contextual description on it. Contextual descriptions are modeled as user queries. We further propose to ensemble most used machine learning algorithms in the context of predictive modeling. This contributes to the genericity of the proposed methodology. Experimental evaluations show that our methodology offers a generic methodology for cross-building predictive modeling and achieves good generalization performance. ¬© 2022, The Author(s), under exclusive licence to Springer-Verlag London Ltd., part of Springer Nature.</t>
  </si>
  <si>
    <t>Building energy; Data-driven modeling; Domain generalization; Knowledge transfer; Similarity learning; Training data recommendation</t>
  </si>
  <si>
    <t>Labiadh, Mouna (57219286585); Obrecht, Christian (34971939900); Ferreira¬†da¬†Silva, Catarina (57219280995); Ghodous, Parisa (6603661157); Benabdeslem, Khalid (23974378200)</t>
  </si>
  <si>
    <t>57219286585; 34971939900; 57219280995; 6603661157; 23974378200</t>
  </si>
  <si>
    <t>Knowledge and Information Systems</t>
  </si>
  <si>
    <t>https://www.scopus.com/inward/record.uri?eid=2-s2.0-85140973896&amp;doi=10.1007%2fs10115-022-01771-9&amp;partnerID=40&amp;md5=e7f11d3084186f5505796949df2a1d9d</t>
  </si>
  <si>
    <t>2-s2.0-85140973896</t>
  </si>
  <si>
    <t>Deep learning; Knowledge management; Learning algorithms; Learning systems; Search engines; Building energy; Data-driven model; Domain generalization; Generalisation; Knowledge transfer; Operational data; Predictive models; Similarity learning; Training data; Training data recommendation; Buildings</t>
  </si>
  <si>
    <t>Shingare Bharati S.P.; Santhosh Kumar G.; Ajay V.K.; Saravanan R.; Selvaraju S.; Ramachandran G.</t>
  </si>
  <si>
    <t>Analysis of Internet of Things based Artificial Intelligence in Agriculture Fertilizer Process Management</t>
  </si>
  <si>
    <t>10.1109/ICACRS58579.2023.10404731</t>
  </si>
  <si>
    <t>The necessity of contemporary technology like the Internet of Things, the cloud, and artificial intelligence (AI) in agriculture is emphasized by smart farming systems. The digital revolution quickens traditional agricultural methods to boost crop yield while maintaining quality. Previous attempts to successfully move agricultural practitioners toward AI through sensor technology integration failed. In order to facilitate the deployment of a smart farming system with low energy consumption, we therefore suggest an architectural model consisting of four layers: sensor, network, service, and application. Furthermore, a deep learning technique is employed, concentrating on the application layer, to create a fertilizer recommendation system that is in line with the expert's judgment. For farmers' convenience, the results of the entire system are finally shown as a single mobile application. Internet of Things and Machine Learning for Predicting Pesticides and Fertilizers The Agricultural Census of India estimates that 16‚Äì17% of the nation's GDP comes from agriculture, which employs 64.5% of its workforce. Despite being the backbone of our nation, agriculture receives very little attention and either little or no development. As the world's second-largest producer of rice, our nation must adapt and concentrate on enhancing agricultural practices to enhance the quality of life for farmers. It is imperative that contemporary technologies be used in agriculture.AI gives farmers access to real-time information that helps them make informed decisions at every level of farming. This wise choice results in fewer product and chemical loss as well as cost and time savings. ¬© 2023 IEEE.</t>
  </si>
  <si>
    <t>Agriculture; Artificial intelligence; Crops; Fertilizer; IoT</t>
  </si>
  <si>
    <t>Shingare Bharati, S.P. (58723017000); Santhosh Kumar, G. (58070688200); Ajay, V.K. (58637107800); Saravanan, R. (57226822729); Selvaraju, S. (56584006600); Ramachandran, G. (57223129889)</t>
  </si>
  <si>
    <t>58723017000; 58070688200; 58637107800; 57226822729; 56584006600; 57223129889</t>
  </si>
  <si>
    <t>2nd International Conference on Automation, Computing and Renewable Systems, ICACRS 2023 - Proceedings</t>
  </si>
  <si>
    <t>https://www.scopus.com/inward/record.uri?eid=2-s2.0-85185389406&amp;doi=10.1109%2fICACRS58579.2023.10404731&amp;partnerID=40&amp;md5=730ce6efa139636aa5906f4bc9a1dfd5</t>
  </si>
  <si>
    <t>2-s2.0-85185389406</t>
  </si>
  <si>
    <t>Agricultural technology; Deep learning; Energy utilization; Farms; Fertilizers; Internet of things; Learning systems; Low power electronics; Agriculture fertilizers; Architectural modeling; Crop yield; Digital revolution; Farming system; IoT; Low energy consumption; Process management; Sensor technologies; Technology Integration; Crops</t>
  </si>
  <si>
    <t>Lymperis D.; Goumopoulos C.</t>
  </si>
  <si>
    <t>SEDIA: A Platform for Semantically Enriched IoT Data Integration and Development of Smart City Applications</t>
  </si>
  <si>
    <t>10.3390/fi15080276</t>
  </si>
  <si>
    <t>The development of smart city applications often encounters a variety of challenges. These include the need to address complex requirements such as integrating diverse data sources and incorporating geographical data that reflect the physical urban environment. Platforms designed for smart cities hold a pivotal position in materializing these applications, given that they offer a suite of high-level services, which can be repurposed by developers. Although a variety of platforms are available to aid the creation of smart city applications, most fail to couple their services with geographical data, do not offer the ability to execute semantic queries on the available data, and possess restrictions that could impede the development process. This paper introduces SEDIA, a platform for developing smart applications based on diverse data sources, including geographical information, to support a semantically enriched data model for effective data analysis and integration. It also discusses the efficacy of SEDIA in a proof-of-concept smart city application related to air quality monitoring. The platform utilizes ontology classes and properties to semantically annotate collected data, and the Neo4j graph database facilitates the recognition of patterns and relationships within the data. This research also offers empirical data demonstrating the performance evaluation of SEDIA. These contributions collectively advance our understanding of semantically enriched data integration within the realm of smart city applications. ¬© 2023 by the authors.</t>
  </si>
  <si>
    <t>air pollution; Air Quality Index (AQI); geospatial data; GraphQL; Internet of Things (IoT); Neo4j; semantic enrichment; smart cities</t>
  </si>
  <si>
    <t>Lymperis, Dimitrios (58411935300); Goumopoulos, Christos (16303618500)</t>
  </si>
  <si>
    <t>58411935300; 16303618500</t>
  </si>
  <si>
    <t>https://www.scopus.com/inward/record.uri?eid=2-s2.0-85169064868&amp;doi=10.3390%2ffi15080276&amp;partnerID=40&amp;md5=80da5361ab789003b4f831a2b5ae9671</t>
  </si>
  <si>
    <t>2-s2.0-85169064868</t>
  </si>
  <si>
    <t>Air quality; Data integration; Internet of things; Pattern recognition; Semantics; Air quality index; Air quality indices; Data-source; Geo-spatial data; Geographical data; Graphql; Internet of thing; Neo4j; Semantic enrichment; Urban environments; Smart city</t>
  </si>
  <si>
    <t>Toledo-Orozco M.; Celi C.; Guartan F.; Peralta A.; √Ålvarez-Bel C.; Morales D.</t>
  </si>
  <si>
    <t>Methodology for the disaggregation and forecast of demand flexibility in large consumers with the application of non-intrusive load monitoring techniques</t>
  </si>
  <si>
    <t>10.1016/j.egyai.2023.100240</t>
  </si>
  <si>
    <t>Technological advances, innovation and the new industry 4.0 paradigm guide Distribution System Operators towards a competitive market that requires the articulation of flexible demand response systems. The lack of measurement and standardization systems in the industry process chain in developing countries prevents the penetration of demand management models, generating inefficiency in the analysis and processing of information to validate the flexibility potential that large consumers can contribute to the network operator. In this sense, the research uses as input variables the energy and power of the load profile provided by the utility energy meter to obtain the disaggregated forecast in quarter-hour intervals in 4-time windows validated through metrics and its results evaluated by the RMS error to get the total error generated by the methodology with the application of Machine Learning and Big Data techniques in the Python computational tool through Combinatorial Disaggregation Optimization and Factorial Hidden Markov models. ¬© 2023 The Author(s)</t>
  </si>
  <si>
    <t>Big data; Combinatorial optimization; Factorial hidden Markov model; Machine learning; Non-intrusive load monitoring; Time of use tariffs</t>
  </si>
  <si>
    <t>Toledo-Orozco, Marco (57223912273); Celi, C. (57201317492); Guartan, F. (58125546800); Peralta, Arturo (56319083000); √Ålvarez-Bel, Carlos (57218645935); Morales, D. (56275876400)</t>
  </si>
  <si>
    <t>57223912273; 57201317492; 58125546800; 56319083000; 57218645935; 56275876400</t>
  </si>
  <si>
    <t>Energy and AI</t>
  </si>
  <si>
    <t>https://www.scopus.com/inward/record.uri?eid=2-s2.0-85149292435&amp;doi=10.1016%2fj.egyai.2023.100240&amp;partnerID=40&amp;md5=a959f0c08d1474374ced69ecf52bc345</t>
  </si>
  <si>
    <t>2-s2.0-85149292435</t>
  </si>
  <si>
    <t>Big data; Developing countries; Electric power distribution; Hidden Markov models; Information management; Machine learning; Disaggregation; Factorial hidden markov model; Hidden-Markov models; Large consumers; Machine-learning; New industry; Non-intrusive load-monitoring techniques; Nonintrusive load monitoring; Technological advances; Time-of-use tariffs; Combinatorial optimization</t>
  </si>
  <si>
    <t>Afrasiabi S.N.; Ebrahimzadeh A.; Mouradian C.; Malektaji S.; Glitho R.H.</t>
  </si>
  <si>
    <t>Reinforcement Learning-Based Optimization Framework for Application Component Migration in NFV Cloud-Fog Environments</t>
  </si>
  <si>
    <t>10.1109/TNSM.2022.3217723</t>
  </si>
  <si>
    <t>By decoupling network functions from the underlying hardware, Network Function Virtualization (NFV) allows application components to be implemented as sets of Virtual Network Functions (VNFs) chained in a specific order, represented by VNF-Forwarding Graphs (VNF-FG). Fog computing is instrumental to tap into the full potential of NFV by deploying VNFs in close proximity to end-users, thus decreasing the latency significantly. However, the mobility of end-users and the fog nodes, and the limited fog nodes coverage results in service discontinuity and may increase application delay. Application component migration offers great potential to address this issue. In this paper, we propose a component migration strategy in an NFV-based hybrid cloud/fog system considering the mobility of both end-users and fog nodes. We use the Gauss-Markov mobility model and a random walk mobility model for fog nodes and end-user devices, respectively. We modeled the problem mathematically, which minimizes the aggregated weighted function of application delay and cost. However, considering the mobility of both end-users and fog nodes makes the problem quite complex. Hence, we propose a Deep Reinforcement Learning (DRL) approach to decide where and when to migrate application components and to achieve rapid decision-making. Simulation results demonstrate that the proposed scheme performs well. It offers favorable convergence and outperforms existing algorithms in terms of application delay and migration costs.  ¬© 2004-2012 IEEE.</t>
  </si>
  <si>
    <t>and network functions virtualization (NFV); Component migration; deep reinforcement learning; fog computing</t>
  </si>
  <si>
    <t>Afrasiabi, Seyedeh Negar (57211255880); Ebrahimzadeh, Amin (55772496000); Mouradian, Carla (56157565300); Malektaji, Sepideh (56483199000); Glitho, Roch H. (57222519874)</t>
  </si>
  <si>
    <t>57211255880; 55772496000; 56157565300; 56483199000; 57222519874</t>
  </si>
  <si>
    <t>https://www.scopus.com/inward/record.uri?eid=2-s2.0-85141437740&amp;doi=10.1109%2fTNSM.2022.3217723&amp;partnerID=40&amp;md5=2ad10fe5fd7aa029fae54b19f06866e6</t>
  </si>
  <si>
    <t>2-s2.0-85141437740</t>
  </si>
  <si>
    <t>Decision making; Deep learning; Drones; Edge computing; Fog; Fog computing; Heuristic algorithms; Reinforcement learning; Transfer functions; Application components; Cloud-computing; Component migration; Deep reinforcement learning; Delay; Edge computing; End-users; Heuristics algorithm; Network function virtualization; Reinforcement learnings; Network function virtualization</t>
  </si>
  <si>
    <t>Tian H.-H.; Huang S.-Z.; Cheablam O.</t>
  </si>
  <si>
    <t>How green value co-creation mediates the relationship between institutional pressure and firm performance: A moderated mediation model</t>
  </si>
  <si>
    <t>10.1002/bse.3301</t>
  </si>
  <si>
    <t>It is a crucial issue for enterprises to resolve environmental protection-related institutional pressure along with the implementation of strict environmental policies and the enhancement of public environmental awareness. Thus, in this study, we surveyed 312 firms in the Yangtze River Delta of China to investigate the relationship among institutional pressure, green value co-creation, and firm performance by applying a moderated mediation model. Results indicate that institutional pressure positively affects both green value co-creation and firm performance, whereas green value co-creation also has a positive effect on firm performance. Furthermore, green value co-creation mediates the relationship between institutional pressure and firm performance. However, organizational inertia moderates the mediating effect of green value co-creation on the correlation between institutional pressure and firm performance. These findings enhance our understanding of the relationship among institutional pressure, green value co-creation, and firm performance, as well as providing implications for further research and practice. ¬© 2022 ERP Environment and John Wiley &amp; Sons Ltd.</t>
  </si>
  <si>
    <t>firm performance; green value co-creation; institutional pressure; organizational inertia</t>
  </si>
  <si>
    <t>Tian, Hong-Hong (57968156100); Huang, Shi-Zheng (57001578300); Cheablam, Onanong (55995719100)</t>
  </si>
  <si>
    <t>57968156100; 57001578300; 55995719100</t>
  </si>
  <si>
    <t>Business Strategy and the Environment</t>
  </si>
  <si>
    <t>https://www.scopus.com/inward/record.uri?eid=2-s2.0-85142034244&amp;doi=10.1002%2fbse.3301&amp;partnerID=40&amp;md5=125d85d673a66aeff644974af04f57fa</t>
  </si>
  <si>
    <t>2-s2.0-85142034244</t>
  </si>
  <si>
    <t>China; Yangtze Delta; environmental economics; environmental policy; environmental protection; green economy; institutional framework; sustainability</t>
  </si>
  <si>
    <t>Messabih H.; Kerrache C.A.; Cheriguene Y.; Calafate C.T.; Bousbaa F.Z.</t>
  </si>
  <si>
    <t>An Overview of Game Theory Approaches for Mobile Ad-Hoc Network's Security</t>
  </si>
  <si>
    <t>10.1109/ACCESS.2023.3321082</t>
  </si>
  <si>
    <t>The issue of cybersecurity has gained significant prominence in the context of safeguarding the privacy and integrity of information, especially with the increasing prevalence of interconnected devices such as Mobile Ad-hoc networks (MANETs). Due to their nature, particularly in light of the unavoidable security flaws that arise from the complexity of current and future systems and services, it is crucial to explore how to prevent cyberattacks efficiently. On the other hand, game theory is one of the most significant methods used in this field. Yet, survey articles that consider game theory for security in MANETs are less common. Therefore, in this paper, we survey the articles related to game theory for security in MANETs, presenting an overview of the basic MANETs concepts and their main vulnerabilities. Also, we will propose a taxonomy for recent works, highlighting the limits of the existing works, and outlining some potential future directions for cybersecurity in Ad-hoc networks.  ¬© 2013 IEEE.</t>
  </si>
  <si>
    <t>Cybersecurity; game theory; intrusion; malicious; mobile ad-hoc networks (MANETs)</t>
  </si>
  <si>
    <t>Messabih, Hadjer (57219553798); Kerrache, Chaker Abdelaziz (56405671800); Cheriguene, Youssra (57219701478); Calafate, Carlos T. (6505847092); Bousbaa, Fatima Zohra (56224001600)</t>
  </si>
  <si>
    <t>57219553798; 56405671800; 57219701478; 6505847092; 56224001600</t>
  </si>
  <si>
    <t>https://www.scopus.com/inward/record.uri?eid=2-s2.0-85174849555&amp;doi=10.1109%2fACCESS.2023.3321082&amp;partnerID=40&amp;md5=62754aefac53fc21136502d1a79adb8b</t>
  </si>
  <si>
    <t>2-s2.0-85174849555</t>
  </si>
  <si>
    <t>Computer games; Game theory; Mobile ad hoc networks; Mobile security; Network security; Ad-hoc networks; Cyber security; Game; Intrusion; Malicious; Mobile ad-hoc network; Mobile ad-hoc networks; Mobile-computing; Routings; Security; Cybersecurity</t>
  </si>
  <si>
    <t>Vogel A.; Henning S.; Ertl O.; Rabiser R.</t>
  </si>
  <si>
    <t>A systematic mapping of performance in distributed stream processing systems</t>
  </si>
  <si>
    <t>10.1109/SEAA60479.2023.00052</t>
  </si>
  <si>
    <t>Several software systems are built upon stream processing architectures to process large amounts of data in near real-time. Today's distributed stream processing systems (DSPSs) spread the processing among multiple machines to provide scalable performance. However, high-performance and Quality of Service (QoS) in distributed stream processing are challenging to predict, achieve, and maintain. While many studies focus on evaluating or improving the performance of stream processing, getting a comprehensive view of the current state of DSPSs and their performance in real-world deployments is challenging. In this paper, we present a systematic mapping study of the literature on DSPSs' performance. We discuss existing challenges, the most used DSPSs, achieved performance, and future trends. Our results demonstrate that performance is still one of the major concerns in stream processing, with several solutions available and different outcomes regarding the metrics, execution environments, and use cases considered. Moreover, there is a need for better benchmarks and workloads as well as for performance improvements by increasing efficiency and utilizing modern hardware. Our study intends to help software engineering practitioners and researchers to understand how to choose the most suitable DSPS to build efficient data-intensive architectures.  ¬© 2023 IEEE.</t>
  </si>
  <si>
    <t>Performance; Scalability; Software engineering; Stream processing; Systematic mapping</t>
  </si>
  <si>
    <t>Vogel, Adriano (57189308587); Henning, Soren (57202362026); Ertl, Otmar (57219494168); Rabiser, Rick (16029658700)</t>
  </si>
  <si>
    <t>57189308587; 57202362026; 57219494168; 16029658700</t>
  </si>
  <si>
    <t>Proceedings - 2023 49th Euromicro Conference on Software Engineering and Advanced Applications, SEAA 2023</t>
  </si>
  <si>
    <t>https://www.scopus.com/inward/record.uri?eid=2-s2.0-85175210645&amp;doi=10.1109%2fSEAA60479.2023.00052&amp;partnerID=40&amp;md5=21129bacae3c9f7207ccb17e6c754622</t>
  </si>
  <si>
    <t>2-s2.0-85175210645</t>
  </si>
  <si>
    <t>Benchmarking; Computer architecture; Mapping; Real time systems; Software engineering; Distributed stream processing; Large amounts of data; Multiple machine; Near-real time; Performance; Processing architectures; Software-systems; Stream processing; Stream processing systems; Systematic mapping; Quality of service</t>
  </si>
  <si>
    <t>Imani M.; Kim Y.; Khaleghi B.; Morris J.; Alimohamadi H.; Imani F.; Latapie H.</t>
  </si>
  <si>
    <t>Hierarchical, Distributed and Brain-Inspired Learning for Internet of Things Systems</t>
  </si>
  <si>
    <t>10.1109/ICDCS57875.2023.00083</t>
  </si>
  <si>
    <t>2023-July</t>
  </si>
  <si>
    <t>In this paper, we propose EdgeHD, a hierarchy-aware learning solution that performs online training and inference in a highly distributed, cost-effective way. We use brain-inspired hyperdimensional (HD) computing as the key enabler. HD computing performs the computation tasks on a high-dimensional space to emulate functionalities of the human memory, such as inter-data relationship reasoning and information aggregation. EdgeHD exploits HD computing to effectively learn the classification models on individual devices and combine the models through the hierarchical IoT nodes without high communication costs. We also propose a hardware design that accelerates EdgeHD on low-power FPGA platforms. We evaluated EdgeHD for a wide range of real-world classification applications. The evaluation shows that EdgeHD provides highly efficient computation with reduced communication. For example, EdgeHD achieves on average 3.4\times and 11.7\times (1.9\times and 7.8\times) speedup and energy efficiency improvement during the training (inference) as compared to the centralized learning approach. It reduces the communication costs by 85% for the training and 78% for the inference. ¬© 2023 IEEE.</t>
  </si>
  <si>
    <t>Imani, Mohsen (36468716900); Kim, Yeseong (57089256900); Khaleghi, Behnam (56252518000); Morris, Justin (57209250035); Alimohamadi, Haleh (56227541400); Imani, Farhad (57207536475); Latapie, Hugo (57195680433)</t>
  </si>
  <si>
    <t>36468716900; 57089256900; 56252518000; 57209250035; 56227541400; 57207536475; 57195680433</t>
  </si>
  <si>
    <t>Proceedings - International Conference on Distributed Computing Systems</t>
  </si>
  <si>
    <t>https://www.scopus.com/inward/record.uri?eid=2-s2.0-85175001490&amp;doi=10.1109%2fICDCS57875.2023.00083&amp;partnerID=40&amp;md5=9a3a46bafb1433067959bb28421112b6</t>
  </si>
  <si>
    <t>2-s2.0-85175001490</t>
  </si>
  <si>
    <t>Brain; Cost effectiveness; Energy efficiency; Hierarchical systems; Learning systems; Brain-inspired; Communication cost; Computation tasks; Cost effective; Data relationships; High dimensional spaces; Human memory; Information aggregation; Online inferences; Online training; Internet of things</t>
  </si>
  <si>
    <t>Mena M.; Criado J.; Iribarne L.; Corral A.; Chbeir R.; Manolopoulos Y.</t>
  </si>
  <si>
    <t>Towards high-availability cyber-physical systems using a microservice architecture</t>
  </si>
  <si>
    <t>10.1007/s00607-023-01165-x</t>
  </si>
  <si>
    <t>In the past few years the use of IoT devices has grown exponentially. When it comes to working with them, we find a series of problems that are not easy to solve. On the one hand, the simple fact of communicating with those devices can be problematic since they can use different types of technologies regarding that communication. On the other hand, these types of devices usually aim to perform their function using the lowest possible energy, meaning they have certain constraints in terms of performance. Trying to work with these devices in high-availability environments becomes difficult because of those restraints. This paper introduces digital dice, a virtual representation of IoT devices and cyber-physical systems based on microservices that uses the standard established by the W3C, the Web of Things, as the underlying framework to declare its possible interactions. The article puts forward the different strategies that Digital Dice uses to mitigate the problems raised. Furthermore, we contrast the performance of Digital Dice with using the devices directly, demonstrating its advantages in a process that requires High Availability. ¬© 2023, The Author(s).</t>
  </si>
  <si>
    <t>CPS; High availability; IoT; Microservices; WoT</t>
  </si>
  <si>
    <t>Mena, Manel (57210893678); Criado, Javier (36170340400); Iribarne, Luis (55908790400); Corral, Antonio (7004661146); Chbeir, Richard (14044674000); Manolopoulos, Yannis (54397260800)</t>
  </si>
  <si>
    <t>57210893678; 36170340400; 55908790400; 7004661146; 14044674000; 54397260800</t>
  </si>
  <si>
    <t>https://www.scopus.com/inward/record.uri?eid=2-s2.0-85149714100&amp;doi=10.1007%2fs00607-023-01165-x&amp;partnerID=40&amp;md5=720b945f9f49b870197afeb10e98b919</t>
  </si>
  <si>
    <t>2-s2.0-85149714100</t>
  </si>
  <si>
    <t>Digital devices; Embedded systems; Internet of things; CPS; Cybe-physical systems; Cyber-physical systems; High availability; IoT; Microservice; Performance; Simple++; Type of technology; WoT; Cyber Physical System</t>
  </si>
  <si>
    <t>Mora L.; Gerli P.; Ardito L.; Messeni Petruzzelli A.</t>
  </si>
  <si>
    <t>Smart city governance from an innovation management perspective: Theoretical framing, review of current practices, and future research agenda</t>
  </si>
  <si>
    <t>10.1016/j.technovation.2023.102717</t>
  </si>
  <si>
    <t>Smart city transitions are a fast-proliferating example of urban innovation processes, and generating the insight required to support their unfolding should be a key priority for innovation scholars. However, after decades of research, governance mechanisms remain among the most undertheorized and relatively overlooked dimensions of smart city transitions. To address this problem, we conduct a systematic literature review that connects the fragmented knowledge accumulated through the observation of smart city transition dynamics in 6 continents, 43 countries, and 146 cities and regions. Our empirical work is instrumental in achieving a threefold objective. First, we assemble an overarching governance framework that expands the theoretical foundations of smart city transitions from an innovation management perspective. Second, we elaborate on this framework by providing a thorough overview of documented governance practices. This overview highlights the strengths and weaknesses in the current approaches to the governance of smart city transitions, leading to evidence-based strategic recommendations. Third, we identify and address critical knowledge gaps in a future research agenda. In linking innovation theory and urban scholarship, this agenda suggests leveraging promising cross-disciplinary connections to support more intense research efforts probing the interaction patterns between institutional contexts, urban digital innovation, and urban innovation ecosystems. ¬© 2023</t>
  </si>
  <si>
    <t>Digital transformations; Governance framework; Governance practices; Smart city transitions; Sustainable urban development; Systematic literature review; Urban innovation</t>
  </si>
  <si>
    <t>Mora, Luca (57169939100); Gerli, Paolo (57193669521); Ardito, Lorenzo (56333873100); Messeni Petruzzelli, Antonio (21743792400)</t>
  </si>
  <si>
    <t>57169939100; 57193669521; 56333873100; 21743792400</t>
  </si>
  <si>
    <t>Technovation</t>
  </si>
  <si>
    <t>https://www.scopus.com/inward/record.uri?eid=2-s2.0-85149058134&amp;doi=10.1016%2fj.technovation.2023.102717&amp;partnerID=40&amp;md5=88d71b4c3e80d177f752a3e5435b4661</t>
  </si>
  <si>
    <t>2-s2.0-85149058134</t>
  </si>
  <si>
    <t>Urban growth; Current practices; Digital transformation; Governance framework; Governance practice; Innovation management; Research agenda; Smart city transition; Sustainable urban development; Systematic literature review; Urban innovation; Smart city</t>
  </si>
  <si>
    <t>Golmohammadi A.; Kamel Tabbakh S.R.; Ghaemi R.</t>
  </si>
  <si>
    <t>A review on workflow scheduling and resource allocation algorithms in distributed mobile clouds</t>
  </si>
  <si>
    <t>10.1002/ett.4811</t>
  </si>
  <si>
    <t>The advent of distributed computing and mobile clouds made it possible to transfer and distribute the heavy processes of complex workflows to the cloud. Managing and with the help of the mobile cloud, virtualization and shared resources managing the executing large-scale workflows is possible. Since virtual resources are used, scheduling and resource allocation are important and key research topics in public cloud environment and mobile clouds. The cloud model of mobile devices with public or virtual cloud, which consists of temporary mobile devices, is an interesting topic to be investigated. Workflow scheduling and availability of resources in mobile clouds by high mobility and Energy efficient, it is one of the challenges and problems that must be investigated one of the main challenges in this research area. The purpose of scheduling algorithms is to improve service quality criteria by observing the constraints. In this article, the main goal is to extensively review the scheduling algorithms for the complex scientific workflow in public and mobile clouds. Furthermore, a review of the use of heuristic and meta-heuristic techniques in dynamic and static states, with various constraints for task scheduling in cloud and mobile computing has been performed. This article accomplishes a review of using existing techniques for scheduling tasks in mobile clouds. We also present a comprehensive analysis and systematic comparison between these scheduling algorithms. ¬© 2023 John Wiley &amp; Sons, Ltd.</t>
  </si>
  <si>
    <t>mobile cloud; public cloud; resource allocation; scientific workflow scheduling; service quality</t>
  </si>
  <si>
    <t>Golmohammadi, Akram (58353926800); Kamel Tabbakh, Seyed Reza (57411989300); Ghaemi, Reza (57482421300)</t>
  </si>
  <si>
    <t>58353926800; 57411989300; 57482421300</t>
  </si>
  <si>
    <t>e4811</t>
  </si>
  <si>
    <t>https://www.scopus.com/inward/record.uri?eid=2-s2.0-85163027224&amp;doi=10.1002%2fett.4811&amp;partnerID=40&amp;md5=48363b9283b44c9f29b99c0f81db81d5</t>
  </si>
  <si>
    <t>2-s2.0-85163027224</t>
  </si>
  <si>
    <t>Energy efficiency; Heuristic methods; Quality of service; Resource allocation; Computing clouds; Mobile clouds; Public clouds; Resource allocation algorithms; Resources allocation; Scheduling/allocation; Scientific workflow scheduling; Scientific workflows; Service Quality; Workflow scheduling; Scheduling algorithms</t>
  </si>
  <si>
    <t>Sun F.; Zhang Z.; Chang X.; Zhu K.</t>
  </si>
  <si>
    <t>Toward Heterogeneous Environment: Lyapunov-Orientated ImpHetero Reinforcement Learning for Task Offloading</t>
  </si>
  <si>
    <t>10.1109/TNSM.2023.3266779</t>
  </si>
  <si>
    <t>Task offloading combined with reinforcement learning (RL) is a promising research direction in edge computing. However, the intractability in the training of RL and the heterogeneity of network devices have hindered the application of RL in large-scale networks. Moreover, traditional RL algorithms lack mechanisms to share information effectively in a heterogeneous environment, which makes it more difficult for RL algorithms to converge due to the lack of global information. This article focuses on the task offloading problem in a heterogeneous environment. First, we give a formalized representation of the Lyapunov function to normalize both data and virtual energy queue operations. Subsequently, we jointly consider the computing rate and energy consumption in task offloading and then derive the optimization target leveraging Lyapunov optimization. A Deep Deterministic Policy Gradient (DDPG)-based multiple continuous variable decision model is proposed to make the optimal offloading decision in edge computing. Considering the heterogeneous environment, we improve Hetero Federated Learning (HFL) by introducing Kullback-Leibler (KL) divergence to accelerate the convergence of our DDPG based model. Experiments demonstrate that our algorithm accelerates the search for the optimal task offloading decision in heterogeneous environment.  ¬© 2004-2012 IEEE.</t>
  </si>
  <si>
    <t>federated learning; Lyapunov optimization; reinforcement learning; Task offloading</t>
  </si>
  <si>
    <t>Sun, Feng (57210860333); Zhang, Zhenjiang (15040152500); Chang, Xiaolin (9732605400); Zhu, Kaige (57208598927)</t>
  </si>
  <si>
    <t>57210860333; 15040152500; 9732605400; 57208598927</t>
  </si>
  <si>
    <t>https://www.scopus.com/inward/record.uri?eid=2-s2.0-85153382759&amp;doi=10.1109%2fTNSM.2023.3266779&amp;partnerID=40&amp;md5=6cb503d96093f9b4cea39773e2eed3b7</t>
  </si>
  <si>
    <t>2-s2.0-85153382759</t>
  </si>
  <si>
    <t>Computation offloading; Job analysis; Reinforcement learning; Computational modelling; Edge computing; Federated learning; Lyapunov optimization; Optimisations; Reinforcement learnings; Resource management; Task analysis; Task offloading; Energy utilization</t>
  </si>
  <si>
    <t>Kaur A.; Kumar S.; Gupta D.; Hamid Y.; Hamdi M.; Ksibi A.; Elmannai H.; Saini S.</t>
  </si>
  <si>
    <t>Algorithmic Approach to Virtual Machine Migration in Cloud Computing with Updated SESA Algorithm</t>
  </si>
  <si>
    <t>10.3390/s23136117</t>
  </si>
  <si>
    <t>Cloud computing plays an important role in every IT sector. Many tech giants such as Google, Microsoft, and Facebook as deploying their data centres around the world to provide computation and storage services. The customers either submit their job directly or they take the help of the brokers for the submission of the jobs to the cloud centres. The preliminary aim is to reduce the overall power consumption which was ignored in the early days of cloud development. This was due to the performance expectations from cloud servers as they were supposed to provide all the services through their services layers IaaS, PaaS, and SaaS. As time passed and researchers came up with new terminologies and algorithmic architecture for the reduction of power consumption and sustainability, other algorithmic anarchies were also introduced, such as statistical oriented learning and bioinspired algorithms. In this paper, an indepth focus has been done on multiple approaches for migration among virtual machines and find out various issues among existing approaches. The proposed work utilizes elastic scheduling inspired by the smart elastic scheduling algorithm (SESA) to develop a more energy-efficient VM allocation and migration algorithm. The proposed work uses cosine similarity and bandwidth utilization as additional utilities to improve the current performance in terms of QoS. The proposed work is evaluated for overall power consumption and service level agreement violation (SLA-V) and is compared with related state of art techniques. A proposed algorithm is also presented in order to solve problems found during the survey. ¬© 2023 by the authors.</t>
  </si>
  <si>
    <t>cloud computing; migration; power consumption; SESA; virtual machine</t>
  </si>
  <si>
    <t>Kaur, Amandeep (59376711900); Kumar, Saurabh (58842921800); Gupta, Deepali (57208714508); Hamid, Yasir (57191428882); Hamdi, Monia (55763124900); Ksibi, Amel (46062194200); Elmannai, Hela (55366208300); Saini, Shilpa (58195812000)</t>
  </si>
  <si>
    <t>59376711900; 58842921800; 57208714508; 57191428882; 55763124900; 46062194200; 55366208300; 58195812000</t>
  </si>
  <si>
    <t>https://www.scopus.com/inward/record.uri?eid=2-s2.0-85164845170&amp;doi=10.3390%2fs23136117&amp;partnerID=40&amp;md5=80006687357cf38a0a417c8d22a62c52</t>
  </si>
  <si>
    <t>2-s2.0-85164845170</t>
  </si>
  <si>
    <t>Algorithms; Cloud Computing; Humans; Cloud computing; Computing power; Digital storage; Electric power utilization; Energy efficiency; Green computing; Network security; Quality of service; Scheduling algorithms; Algorithmic approach; Cloud-computing; Computation service; Datacenter; Facebook; Google+; MicroSoft; Migration; Smart elastic scheduling algorithm; Virtual machine migrations; algorithm; cloud computing; human; Virtual machine</t>
  </si>
  <si>
    <t>Takruri M.; Thulasingam K.P.; Attia H.; Omar A.; Altunaiji A.; Almaeeni S.</t>
  </si>
  <si>
    <t>Design and Implementation of a Real-Time Street Light Dimming System Based on a Hybrid Control Architecture</t>
  </si>
  <si>
    <t>10.1155/2023/6641563</t>
  </si>
  <si>
    <t>Smart street LED lighting systems have received much attention driven by the need to save energy and the dramatic advances in the Internet of Things. This work proposes a new smart street lighting system that adaptively changes the street lights' intensity based on traffic and weather conditions and provides a platform for monitoring road conditions and detecting lamp faults. The system transfers the data using the UDP protocol over NBIoT radio technology. It also maintains two-way communication between the luminaires and the central node. In order to ensure real-time response to traffic and avoid dimming delays, each light is locally controlled by a microcontroller based on the sensed traffic and weather data. The measurements of each luminaire are also sent to the central control node to locate lamp faults, detect emergency situations, and, if needed, broadcast on/off messages to the whole network's luminaires. The system was implemented in a suburban street in Ras Al Khaimah. Evaluations proved that the system can locate and detect faulty lamps and vary the light intensity in real time based on traffic. It also resulted in energy savings of up to 55% compared to a normal LED street light network.  ¬© 2023 Maen Takruri et al.</t>
  </si>
  <si>
    <t>Takruri, Maen (24723190500); Thulasingam, K.P. (58737581800); Attia, Hussain (56119040500); Omar, Amjad (7202864014); Altunaiji, Ahmed (37081155300); Almaeeni, Sara (57190341341)</t>
  </si>
  <si>
    <t>24723190500; 58737581800; 56119040500; 7202864014; 37081155300; 57190341341</t>
  </si>
  <si>
    <t>International Journal of Distributed Sensor Networks</t>
  </si>
  <si>
    <t>https://www.scopus.com/inward/record.uri?eid=2-s2.0-85178382057&amp;doi=10.1155%2f2023%2f6641563&amp;partnerID=40&amp;md5=b82bf9f5745fe6fc92aa92b680196e77</t>
  </si>
  <si>
    <t>2-s2.0-85178382057</t>
  </si>
  <si>
    <t>Energy conservation; Fault detection; Light emitting diodes; Meteorology; Roads and streets; Street lighting; Condition; Design and implementations; Dimming systems; Hybrid control architecture; LED lighting system; Light intensity; Real- time; Road condition; Save energy; Street lighting system; Lighting fixtures</t>
  </si>
  <si>
    <t>Ochoa W.; Larrinaga F.; P√©rez A.</t>
  </si>
  <si>
    <t>Context-aware workflow management for smart manufacturing: A literature review of semantic web-based approaches</t>
  </si>
  <si>
    <t>10.1016/j.future.2023.03.017</t>
  </si>
  <si>
    <t>Smart Manufacturing Systems (SMS) are software systems that identify opportunities for automating manufacturing operations by using Internet of Things (IoT) devices and services connected to machines. An active challenge of SMS is to satisfy the ever-changing conditions of industries, supply networks, and customer needs. To operate effectively, SMS should be flexible enough to perform automatic or semi-automatic adjustments to manufacturing processes in response to unexpected changes, a feature called context awareness. Recent advances in interpreting context data in the semantic web have permitted SMS to understand the active situation of manufacturing processes. This paper presents a literature analysis of context-aware workflow management approaches in the smart manufacturing domain, with a particular focus on semantic web-based approaches published from 2015 to 2022. A Systematic Literature Review (SLR) methodology was applied to analyze the state-of-the-art via the PICOC method. The contributions of this work are (1) an SLR about context-aware workflow management for smart manufacturing systems focusing on semantic web-based approaches, (2) a systematic taxonomy to break down the approaches in conformity based on content and main workflow management function area, and (3) identification of opportunities for improvement in technical features such as context awareness, use case implementation, tools employed, licensing, security, and scalability. A novel architecture and components are also proposed to address the identified active challenges. ¬© 2023 The Author(s)</t>
  </si>
  <si>
    <t>Context-awareness; Internet of Things; Semantic web; Smart manufacturing; Workflow management</t>
  </si>
  <si>
    <t>Ochoa, William (57773130700); Larrinaga, Felix (53877813400); P√©rez, Alain (55706335300)</t>
  </si>
  <si>
    <t>57773130700; 53877813400; 55706335300</t>
  </si>
  <si>
    <t>https://www.scopus.com/inward/record.uri?eid=2-s2.0-85150923160&amp;doi=10.1016%2fj.future.2023.03.017&amp;partnerID=40&amp;md5=270f25281ce54a4be99ecc3cba1bb989</t>
  </si>
  <si>
    <t>2-s2.0-85150923160</t>
  </si>
  <si>
    <t>Computer aided manufacturing; Customer satisfaction; Semantic Web; Websites; Workflow management; Context- awareness; Context-aware workflow; Literature reviews; Manufacturing process; Semantic-Web; Smart manufacturing; Software-systems; Systematic literature review; Web-based approach; Workflow managements; Internet of things</t>
  </si>
  <si>
    <t>Ali Z.H.; Ali H.A.</t>
  </si>
  <si>
    <t>Energy-efficient routing protocol on public roads using real-time traffic information</t>
  </si>
  <si>
    <t>10.1007/s11235-023-00993-8</t>
  </si>
  <si>
    <t>Wireless technology has been significantly expanding to perform automotive services related to enhancing road networks and increasing traffic safety. Internet of Vehicles (IoV), as a part of wireless sensor technology, has succeeded in making considerable progress in promoting and protecting human lives from the damage caused by traffic accidents. The road statistical reports demonstrated that utilizing data dissemination techniques in IoV to share timely information about the vehicle‚Äôs position with drivers plays a key in avoiding accidents occurrence. This type of technique enables data propagation in a collaboratively and efficient manner to boost real-time performance. However, several limitations have arisen in network bandwidth usage and power consumption, as well as communication reliability with increasing packet loss probability. The main objective of this study is to present a new vehicular architecture that supports the integration of Software-Defined networks and fog computing for enhancing VANET performance. An energy-efficient and QoS-aware routing technique allowing for control of excessive dissemination of data traffic across the networks is also proposed. The simulation results show that the proposed routing protocol introduced an accurately controlling methodology in the transmission rate of data packets and communication reliability of VANET. There is a 50‚Äì60% enhancement of the whole power consumption and network throughput, depending on the implementation of the proposed geographical routing methodology. ¬© 2023, This is a U.S. Government work and not under copyright protection in the US; foreign copyright protection may apply.</t>
  </si>
  <si>
    <t>Energy conservation; Fog computing; Quality of service; Routing methodology; Software-defined-network; Transmission reliability; Vehicular ad hoc network</t>
  </si>
  <si>
    <t>Ali, Zainab H. (57194720250); Ali, Hesham Arafat (57226601698)</t>
  </si>
  <si>
    <t>57194720250; 57226601698</t>
  </si>
  <si>
    <t>Telecommunication Systems</t>
  </si>
  <si>
    <t>https://www.scopus.com/inward/record.uri?eid=2-s2.0-85149327389&amp;doi=10.1007%2fs11235-023-00993-8&amp;partnerID=40&amp;md5=47a254b2e457051e1398fe5e55746671</t>
  </si>
  <si>
    <t>2-s2.0-85149327389</t>
  </si>
  <si>
    <t>Accidents; Data transfer; Electric power utilization; Energy efficiency; Fog; Fog computing; Packet networks; Power management (telecommunication); Quality of service; Roads and streets; Routing protocols; Software defined networking; Vehicle transmissions; Wireless sensor networks; Communication reliabilities; Energy efficient routing protocol; Public roads; Quality-of-service; Real-time traffic information; Routing methodology; Routings; Software-defined networks; Transmission reliability; Vehicular Adhoc Networks (VANETs); Vehicular ad hoc networks</t>
  </si>
  <si>
    <t>Himeur Y.; Elnour M.; Fadli F.; Meskin N.; Petri I.; Rezgui Y.; Bensaali F.; Amira A.</t>
  </si>
  <si>
    <t>AI-big data analytics for building automation and management systems: a survey, actual challenges and future perspectives</t>
  </si>
  <si>
    <t>10.1007/s10462-022-10286-2</t>
  </si>
  <si>
    <t>In theory, building automation and management systems (BAMSs) can provide all the components and functionalities required for analyzing and operating buildings. However, in reality, these systems can only ensure the control of heating ventilation and air conditioning system systems. Therefore, many other tasks are left to the operator, e.g. evaluating buildings‚Äô performance, detecting abnormal energy consumption, identifying the changes needed to improve efficiency, ensuring the security and privacy of end-users, etc. To that end, there has been a movement for developing artificial intelligence (AI) big data analytic tools as they offer various new and tailor-made solutions that are incredibly appropriate for practical buildings‚Äô management. Typically, they can help the operator in (i) analyzing the tons of connected equipment data; and; (ii) making intelligent, efficient, and on-time decisions to improve the buildings‚Äô performance. This paper presents a comprehensive systematic survey on using AI-big data analytics in BAMSs. It covers various AI-based tasks, e.g. load forecasting, water management, indoor environmental quality monitoring, occupancy detection, etc. The first part of this paper adopts a well-designed taxonomy to overview existing frameworks. A comprehensive review is conducted about different aspects, including the learning process, building environment, computing platforms, and application scenario. Moving on, a critical discussion is performed to identify current challenges. The second part aims at providing the reader with insights into the real-world application of AI-big data analytics. Thus, three case studies that demonstrate the use of AI-big data analytics in BAMSs are presented, focusing on energy anomaly detection in residential and office buildings and energy and performance optimization in sports facilities. Lastly, future directions and valuable recommendations are identified to improve the performance and reliability of BAMSs in intelligent buildings. ¬© 2022, The Author(s).</t>
  </si>
  <si>
    <t>Artificial intelligence; Big data analytics; Building automation and management system; Computing platforms; Deep learning; Evaluation metrics</t>
  </si>
  <si>
    <t>Himeur, Yassine (55636199800); Elnour, Mariam (57202050448); Fadli, Fodil (25651505100); Meskin, Nader (24172813000); Petri, Ioan (36617625400); Rezgui, Yacine (6701829347); Bensaali, Faycal (6506260453); Amira, Abbes (23003399100)</t>
  </si>
  <si>
    <t>55636199800; 57202050448; 25651505100; 24172813000; 36617625400; 6701829347; 6506260453; 23003399100</t>
  </si>
  <si>
    <t>https://www.scopus.com/inward/record.uri?eid=2-s2.0-85134835394&amp;doi=10.1007%2fs10462-022-10286-2&amp;partnerID=40&amp;md5=d2715c50b2977348284d9ced40694664</t>
  </si>
  <si>
    <t>2-s2.0-85134835394</t>
  </si>
  <si>
    <t>Air conditioning; Anomaly detection; Automation; Big data; Computation theory; Deep learning; Energy utilization; Information management; Intelligent buildings; Learning systems; Office buildings; Surveys; Water management; Big data analytic; Building automation systems; Building management system; Building performance; Computing platform; Data analytics; Deep learning; Evaluation metrics; Future perspectives; In-buildings; Data Analytics</t>
  </si>
  <si>
    <t>Yuan L.; Meng Y.; Sun J.; Zhuang S.; Liu Y.; Geng L.; Huang W.</t>
  </si>
  <si>
    <t>ATS: A Fully Automatic Troubleshooting System with¬†Efficient Anomaly Detection and¬†Localization</t>
  </si>
  <si>
    <t>10.1007/978-3-031-36030-5_38</t>
  </si>
  <si>
    <t>14077 LNCS</t>
  </si>
  <si>
    <t>As network scale expands and concurrent requests grow, unexpected network anomalies are more frequent, leading to service interruptions and degraded user experience. Real-time, accurate troubleshooting is critical for ensuring satisfactory service. Existing troubleshooting solutions adopt ensemble anomaly detection (EAD) to detect anomalies due to its robustness. However, the fixed base classifier parameters in EAD set by expert experience may reduce the efficiency of anomaly detection when faced with different data distributions. Furthermore, the binary results fed to the secondary classifier in EAD cause information loss, leading to compromised accuracy and inaccurate root cause localization. Besides, key performance indicators (KPIs) are crucial for measuring the system performance, but relying on multiple redundant KPIs to identify the root causes of anomalies is time-consuming and error-prone. To address the above issues, we propose a fully automatic troubleshooting system, ATS. A new EAD method is introduced to detect anomalies, then a module is designed to trigger the root cause localization. Specifically, the EAD method updates the parameters of base classifiers to dynamically adapt to different KPI data distributions. The ensemble of soft labels generated by base classifiers is subsequently fed into the secondary classifier to achieve information-lossless anomaly detection. Then, a heuristic module is proposed to select the most appropriate KPI data based on the metric i.e., bilayer relative difference to trigger the efficient root cause localization. Extensive experiments demonstrate that ATS is more than twice as fast as most state-of-the-art solutions while with higher troubleshooting accuracy. ¬© The Author(s), under exclusive license to Springer Nature Switzerland AG 2023.</t>
  </si>
  <si>
    <t>Bilayer Relative Difference; Ensemble Anomaly Detection; Soft Label; Troubleshooting</t>
  </si>
  <si>
    <t>Yuan, Lu (59163183600); Meng, Yuan (59252479500); Sun, Jiyan (57043730900); Zhuang, Shangyuan (57755961200); Liu, Yinlong (35189219300); Geng, Liru (57202362714); Huang, Weiqing (56419055500)</t>
  </si>
  <si>
    <t>59163183600; 59252479500; 57043730900; 57755961200; 35189219300; 57202362714; 56419055500</t>
  </si>
  <si>
    <t>https://www.scopus.com/inward/record.uri?eid=2-s2.0-85200738493&amp;doi=10.1007%2f978-3-031-36030-5_38&amp;partnerID=40&amp;md5=f9403663b362bff8d199971387ba5019</t>
  </si>
  <si>
    <t>2-s2.0-85200738493</t>
  </si>
  <si>
    <t>Benchmarking; Classification (of information); Anomaly detection; Base classifiers; Bi-layer; Bilayer relative difference; Ensemble anomaly detection; Key performance indicators; Localisation; Root cause; Soft labels; Troubleshooting systems; Anomaly detection</t>
  </si>
  <si>
    <t>Xue H.; Chen D.; Zhang N.; Dai H.-N.; Yu K.</t>
  </si>
  <si>
    <t>Integration of blockchain and edge computing in internet of things: A survey</t>
  </si>
  <si>
    <t>10.1016/j.future.2022.10.029</t>
  </si>
  <si>
    <t>As an important technology to ensure data security, consistency, traceability, etc., blockchain has been increasingly used in Internet of Things (IoT) applications. The integration of blockchain and edge computing (IBEC) can further improve the resource utilization in terms of network, computing, storage, and security. This paper aims to present a survey on the IBEC. In particular, we first give an overview of blockchain and edge computing respectively. We then present a general architecture of an IBEC system. We next study the various applications of the IBEC in IoT. We also discuss the optimizations of the IBEC system and solutions from perspectives of resource management and performance improvement. Finally, we analyze and summarize the existing challenges posed by the IBEC system and the potential solutions in the future. ¬© 2022 Elsevier B.V.</t>
  </si>
  <si>
    <t>Blockchain; Data management; Edge computing; Internet of things; Resource management; Security and privacy</t>
  </si>
  <si>
    <t>Xue, He (57731975700); Chen, Dajiang (56170747500); Zhang, Ning (56575788300); Dai, Hong-Ning (55602606800); Yu, Keping (56316023300)</t>
  </si>
  <si>
    <t>57731975700; 56170747500; 56575788300; 55602606800; 56316023300</t>
  </si>
  <si>
    <t>https://www.scopus.com/inward/record.uri?eid=2-s2.0-85142082470&amp;doi=10.1016%2fj.future.2022.10.029&amp;partnerID=40&amp;md5=3d815ec06e52646980b30e1a802f0f9a</t>
  </si>
  <si>
    <t>2-s2.0-85142082470</t>
  </si>
  <si>
    <t>Blockchain; Digital storage; Edge computing; Information management; Natural resources management; Resource allocation; Surveys; Block-chain; Computing system; Edge computing; General architectures; Network computing; Network storage; Networks security; Resource management; Resources utilizations; Security and privacy; Internet of things</t>
  </si>
  <si>
    <t>Chamari L.; Petrova E.; Pauwels P.</t>
  </si>
  <si>
    <t>EXTENSIBLE REAL-TIME DATA ACQUISITION AND MANAGEMENT FOR IOT ENABLED SMART BUILDINGS</t>
  </si>
  <si>
    <t>10.35490/EC3.2023.300</t>
  </si>
  <si>
    <t>Smart buildings utilize real-time and historical sensor data to deploy data-driven application. Unlike Building Management Systems, where the data formats are somewhat aligned with industry standards, IoT is more flexible and less standardized. When multiple IoT solutions are present, they often use different methods to format the messages and represent metadata, hindering the effective usage of IoT data in smart building applications. This study proposes a framework and its software implementation for acquiring and managing real-time data using a microservices-based system architecture. To create a standardized semantic information model, the proposed framework employs smart building ontologies. ¬© 2023, European Council on Computing in Construction (EC3). All rights reserved.</t>
  </si>
  <si>
    <t>Chamari, Lasitha (58663804100); Petrova, Ekaterina (57204127673); Pauwels, Pieter (36661189900)</t>
  </si>
  <si>
    <t>58663804100; 57204127673; 36661189900</t>
  </si>
  <si>
    <t>Proceedings of the European Conference on Computing in Construction</t>
  </si>
  <si>
    <t>https://www.scopus.com/inward/record.uri?eid=2-s2.0-85176475372&amp;doi=10.35490%2fEC3.2023.300&amp;partnerID=40&amp;md5=69f47159400699213887b46761d1403b</t>
  </si>
  <si>
    <t>2-s2.0-85176475372</t>
  </si>
  <si>
    <t>Baucas M.J.; Spachos P.</t>
  </si>
  <si>
    <t>Improving Remote Patient Monitoring Systems Using a Fog-Based IoT Platform with Speech Recognition</t>
  </si>
  <si>
    <t>10.1109/JSEN.2023.3287916</t>
  </si>
  <si>
    <t>Due to the recent shortage of resources in the healthcare industry, remote patient monitoring (RPM) systems arose to establish a convenient alternative for accessing healthcare services remotely. However, as the usage of this system grows with the increase of patients and sensing devices, data and network management becomes an issue. As a result, wireless architecture challenges in patient privacy, data flow, and service interactability surface that need addressing. We propose a fog-based Internet of Things (IoT) platform to address these issues and reinforce the existing RPM system. The introduced platform can allocate resources to alleviate server overloading and provide an interactive means of monitoring patients through speech recognition. We designed a testbed to simulate and test the platform in terms of accuracy, latency, and throughput. The results show the platform's potential as a viable RPM system for sound-based healthcare services.  ¬© 2001-2012 IEEE.</t>
  </si>
  <si>
    <t>Cloud computing; edge computing; fog computing; Internet of Things (IoT); urban sound classification</t>
  </si>
  <si>
    <t>Baucas, Marc Jayson (57210731683); Spachos, Petros (36162123500)</t>
  </si>
  <si>
    <t>57210731683; 36162123500</t>
  </si>
  <si>
    <t>https://www.scopus.com/inward/record.uri?eid=2-s2.0-85163566816&amp;doi=10.1109%2fJSEN.2023.3287916&amp;partnerID=40&amp;md5=595a1ba133d20bf6e5179c1df95ab48d</t>
  </si>
  <si>
    <t>2-s2.0-85163566816</t>
  </si>
  <si>
    <t>Edge computing; Fog; Health care; Information management; Internet of things; Patient monitoring; Speech recognition; Cloud-computing; Convenient alternatives; Edge computing; Healthcare industry; Healthcare services; Remote patient monitoring systems; Sensing devices; Sensing networks; Sound classification; Urban sound classification; Fog computing</t>
  </si>
  <si>
    <t>Kuang C.; Duan M.; Lv T.; Wu Y.; Li L.; Wang L.</t>
  </si>
  <si>
    <t>ODRL: Reinforcement Learning in Priority Scheduling for Running Cost Optimization</t>
  </si>
  <si>
    <t>10.1109/ICPADS60453.2023.00322</t>
  </si>
  <si>
    <t>Due to the heterogeneity of workloads and the randomness and complexity of hybrid scheduling environment, How to address the challenge of minimizing data center running cost while ensuring workloads SLA has emerged as a significant research problem. To address this, we propose an Optimal Deep Reinforcement Learning Model for Running Cost Optimization in Hybrid Environments (ODRL). Firstly, we propose Running Cost Model (RCM) that analyzes data center running costs from two perspectives based on different running patterns of the workload and node affinity constraints, minimizing computing node utilization and resource running costs. Subsequently, we propose a Priority-Aware Scheduling Algorithm based on Deep Reinforcement Learning(PASD) that use AHP-TOPSIS to quantify workload characterization, get real-time feedback for environment and update historical experience through prioritized experience replay. Finally, extensive experimental results validate the effectiveness of the proposed model. In comparison to Kube-Scheduler, ODRL achieves a significant 15% improvement in reducing data center running cost. Additionally, there is a 7.8% increase in CPU utilization and a 16.7% increase in memory utilization. ¬© 2023 IEEE.</t>
  </si>
  <si>
    <t>Cloud computing; Priority scheduling; Reinforcement learning; Running cost</t>
  </si>
  <si>
    <t>Kuang, Cheng (58641084900); Duan, Meng (58641995600); Lv, Tao (58642218400); Wu, Yingjun (58642218500); Li, Li (59059758800); Wang, Luping (57217315054)</t>
  </si>
  <si>
    <t>58641084900; 58641995600; 58642218400; 58642218500; 59059758800; 57217315054</t>
  </si>
  <si>
    <t>Proceedings of the International Conference on Parallel and Distributed Systems - ICPADS</t>
  </si>
  <si>
    <t>https://www.scopus.com/inward/record.uri?eid=2-s2.0-85190301420&amp;doi=10.1109%2fICPADS60453.2023.00322&amp;partnerID=40&amp;md5=ec1d502af8ce279f7479791c3a6b6096</t>
  </si>
  <si>
    <t>2-s2.0-85190301420</t>
  </si>
  <si>
    <t>Deep learning; Learning systems; Scheduling algorithms; Cloud-computing; Cost models; Costs Optimization; Datacenter; Hybrid scheduling; Priority scheduling; Reinforcement learning models; Reinforcement learnings; Research problems; Running cost; Reinforcement learning</t>
  </si>
  <si>
    <t>Wu Y.; Wang X.; Liu S.; Yu X.; Wu X.</t>
  </si>
  <si>
    <t>A weighting strategy to improve water demand forecasting performance based on spatial correlation between multiple sensors</t>
  </si>
  <si>
    <t>10.1016/j.scs.2023.104545</t>
  </si>
  <si>
    <t>Graph convolutional network (GCN) has been used to capture spatial correlation between multiple sensors for better performance of short-term water demand forecasting, which is essential for the implementation of smart water such as optimal scheduling and anomaly detection. However, the GCN assumes every sensor's importance to be the same and describes the spatial correlation purely from a data perspective. To resolve the two issues that affect prediction accuracy, this study proposes a weighting strategy and develops a spatial correlation-based GCN (SCGCN) prediction model. Self-attention mechanism is used to comprehensively analyze water demand data of every sensor and flow resistance between sensors (i.e., head loss along pipes), generating spatial correlation coefficients with the consideration of hydraulics. Then the coefficients are used as weights to aggregate neighboring sensors‚Äô data, extracting accurate input features for the SCGCN model. The study utilized real monitoring data to develop the SCGCN model and compare it with a traditional artificial neural network (ANN) model. Results show that the SCGCN model can outperform the ANN model, especially for multi-step prediction. The root mean square errors of 30, 45, and 60 min multi-step prediction cases are reduced by 4.4% to 9.2% for different sensors. ¬© 2023</t>
  </si>
  <si>
    <t>graph convolutional networks; hydraulics; neighborhood information aggregation; self-attention mechanism; spatial correlation; water demand forecasting</t>
  </si>
  <si>
    <t>Wu, Yipeng (57189096285); Wang, Xiaoting (57197824301); Liu, Shuming (23097654600); Yu, Xipeng (57218671526); Wu, Xue (55777041000)</t>
  </si>
  <si>
    <t>57189096285; 57197824301; 23097654600; 57218671526; 55777041000</t>
  </si>
  <si>
    <t>Sustainable Cities and Society</t>
  </si>
  <si>
    <t>https://www.scopus.com/inward/record.uri?eid=2-s2.0-85150846447&amp;doi=10.1016%2fj.scs.2023.104545&amp;partnerID=40&amp;md5=ed5c3daa359fbf2daf0acd64e9b67ad4</t>
  </si>
  <si>
    <t>2-s2.0-85150846447</t>
  </si>
  <si>
    <t>Convolution; Forecasting; Hydraulics; Mean square error; Neural networks; A-weighting; Attention mechanisms; Convolutional networks; Graph convolutional network; Information aggregation; Neighborhood information; Neighborhood information aggregation; Self-attention mechanism; Spatial correlations; Water demand forecasting; artificial neural network; correlation; forecasting method; hydraulics; neighborhood; performance assessment; sensor; spatial analysis; water demand; water management; Anomaly detection</t>
  </si>
  <si>
    <t>Guo Z.; Zhang H.; Zhao C.; Bai Y.; Swift M.; Liu M.</t>
  </si>
  <si>
    <t>LEED: A Low-Power, Fast Persistent Key-Value Store on SmartNIC JBOFs</t>
  </si>
  <si>
    <t>10.1145/3603269.3604880</t>
  </si>
  <si>
    <t>The recent emergence of low-power high-throughput programmable storage platforms-SmartNIC JBOF (just-a-bunch-of-flash)-motivates us to rethink the cluster architecture and system stack for energy-efficient large-scale data-intensive workloads. Unlike conventional systems that use an array of server JBOFs or embedded storage nodes, the introduction of SmartNIC JBOFs has drastically changed the cluster compute, memory, and I/O configurations. Such an extremely imbalanced architecture makes prior system design philosophies and techniques either ineffective or invalid.This paper presents LEED, a distributed, replicated, and persistent key-value store over an array of SmartNIC JBOFs. Our key ideas to tackle the unique challenges induced by a SmartNIC JBOF are: trading excessive I/O bandwidth for scarce SmartNIC core computing cycles and memory capacity; making scheduling decisions as early as possible to streamline the request execution flow. LEED systematically revamps the software stack and proposes techniques across per-SSD, intra-JBOF, and inter-JBOF levels. Our prototyped system based on Broadcom Stingray outperforms existing solutions that use beefy server JBOFs and wimpy embedded storage nodes by 4.2√ó/3.8√ó and 17.5√ó/19.1√ó in terms of requests per Joule for 256B/1KB key-value objects. ¬© 2023 ACM.</t>
  </si>
  <si>
    <t>disaggregated storage; energy efficiency; key-value store</t>
  </si>
  <si>
    <t>Guo, Zerui (57465211200); Zhang, Hua (58644867700); Zhao, Chenxingyu (58424534400); Bai, Yuebin (16506172700); Swift, Michael (57209111762); Liu, Ming (57216114113)</t>
  </si>
  <si>
    <t>57465211200; 58644867700; 58424534400; 16506172700; 57209111762; 57216114113</t>
  </si>
  <si>
    <t>SIGCOMM 2023 - Proceedings of the ACM SIGCOMM 2023 Conference</t>
  </si>
  <si>
    <t>https://www.scopus.com/inward/record.uri?eid=2-s2.0-85174046163&amp;doi=10.1145%2f3603269.3604880&amp;partnerID=40&amp;md5=8d356e1a6fabccbce845e89f3b666b67</t>
  </si>
  <si>
    <t>2-s2.0-85174046163</t>
  </si>
  <si>
    <t>Cluster computing; Embedded systems; Green computing; Memory architecture; Philosophical aspects; Cluster architecture; Clusters system; Disaggregated storage; Embedded storages; High-throughput; Key-value stores; Low Power; Programmable storage; Storage nodes; Storage platforms; Energy efficiency</t>
  </si>
  <si>
    <t>Faraji-Mehmandar M.; Jabbehdari S.; Javadi H.H.S.</t>
  </si>
  <si>
    <t>Fuzzy Q-learning approach for autonomic resource provisioning of IoT applications in fog computing environments</t>
  </si>
  <si>
    <t>10.1007/s12652-023-04527-7</t>
  </si>
  <si>
    <t>The dramatic growth of smart devices and the Internet of things (IoT) has increased the volume of exchanges and data on the web. The centralized and traditional architecture of cloud computing does not meet the demands of users and proper implementation of latency-sensitive applications due to latency and mass demands of IoT applications that have different needs compared to existing applications. As a result, edge computing has been presented for collecting and processing of data generated by these objects, which facilitates data processing with low latency and close to users at the edge of the network. Its main purpose is to bring computational resources and storage close to the end-user on the network. As far as the storage capacity of fog nodes is limited, the proper use of fog node resources significantly influences their performance. In this paper, a framework based on control MAPE-K loop has been used to obtain the optimal state in workload balance. The users‚Äô workload forecasting model is a combination of linear regression and support vector regression methods and offers better performance compared to the conventional reactive self-assessment methods. In the planning phase, a fuzzy self-learning algorithm is used to determine the automated scale of resource provisioning policy. By comparing three criteria of load delay, cost, and amount of consumed energy in the proposed method and recent works, the proposed method has been able to balance all three criteria optimally. ¬© 2023, The Author(s), under exclusive licence to Springer-Verlag GmbH Germany, part of Springer Nature.</t>
  </si>
  <si>
    <t>Fog computing; IoT applications; Machine learning; Q-learning; Resource provisioning; Self-adaptive systems; Self-learning</t>
  </si>
  <si>
    <t>Faraji-Mehmandar, Mohammad (57218124760); Jabbehdari, Sam (57194697999); Javadi, Hamid Haj Seyyed (56432549300)</t>
  </si>
  <si>
    <t>57218124760; 57194697999; 56432549300</t>
  </si>
  <si>
    <t>Journal of Ambient Intelligence and Humanized Computing</t>
  </si>
  <si>
    <t>https://www.scopus.com/inward/record.uri?eid=2-s2.0-85148341019&amp;doi=10.1007%2fs12652-023-04527-7&amp;partnerID=40&amp;md5=e0f4c5878a8f778cdd00d0edc952e752</t>
  </si>
  <si>
    <t>2-s2.0-85148341019</t>
  </si>
  <si>
    <t>Adaptive systems; Data handling; Digital storage; Fog; Fog computing; Learning algorithms; Regression analysis; Reinforcement learning; Autonomics; Fuzzy-Q-learning; Internet of thing application; Machine-learning; Performance; Q-learning; Q-learning approach; Resource provisioning; Self-adaptive system; Self-learning; Internet of things</t>
  </si>
  <si>
    <t>Alsaedi N.; Jalal A.S.A.</t>
  </si>
  <si>
    <t>Trusted surveillance system based on blockchain-internet of spatial things for smart cities</t>
  </si>
  <si>
    <t>10.19101/IJATEE.2023.1010184</t>
  </si>
  <si>
    <t>Technological advancements in smart cities are a global trend, primarily focused on enhancing the quality of life for citizens while also monitoring urban environments. Viewing smart cities as urban surveillance platforms, there arises a pressing need for efficient analysis and storage of video streams from numerous cameras scattered across the city, owned by various stakeholders. However, surveillance systems face several internet of things (IoT) challenges, including privacy concerns, scalability issues, and substantial energy consumption. To tackle these challenges, the development of a trusted video surveillance system by integrating the internet of spatial things (IoST) with fog computing and blockchain technology was introduced. Fog nodes are strategically deployed at the network's edge, enabling the extension of cloud services closer to the data source. This deployment strategy aims to reduce latency and alleviate network congestion. At these fog nodes, the system employs a proof-of-work-based consensus algorithm, encrypted using the secure hash algorithm (SHA-256), to ensure data trust and reliability within the blockchain infrastructure supporting the surveillance system. The evaluation of our proposed blockchain-IoST surveillance system involves a comparison of two case studies: one based on fog computing and the other on traditional cloud-based blockchain-IoST implementations, conducted within the iFogSim framework. Furthermore, the system's scalability is tested under various scenarios. To assess the effectiveness of our methodology in mitigating latency, optimizing network utilization, and reducing energy consumption, we conducted comprehensive simulations. The results of our experiments clearly demonstrate the advantages of the fog-based blockchain-IoST approach. This approach significantly reduces latency and network utilization when compared to the conventional cloud-based blockchain-IoST implementation in the trusted video surveillance system. Additionally, the findings indicate that adopting the fog-based blockchain-IoST approach leads to a noteworthy reduction in energy consumption compared to the cloud-based implementation, further enhancing the sustainability and efficiency of the surveillance system. ¬© 2023 Noor Alsaedi and Ali Sadeq Abdulhadi Jalal.</t>
  </si>
  <si>
    <t>Cloud based blockchain-IoST; Fog based blockchain-IoST; Internet of spatial things; Spatial blockchain; Video surveillance system</t>
  </si>
  <si>
    <t>Alsaedi, Noor (57192104486); Jalal, Ali Sadeq Abdulhadi (14019752200)</t>
  </si>
  <si>
    <t>57192104486; 14019752200</t>
  </si>
  <si>
    <t>International Journal of Advanced Technology and Engineering Exploration</t>
  </si>
  <si>
    <t>https://www.scopus.com/inward/record.uri?eid=2-s2.0-85173894086&amp;doi=10.19101%2fIJATEE.2023.1010184&amp;partnerID=40&amp;md5=bc51c6965b4bdddc458d28fa9be83209</t>
  </si>
  <si>
    <t>2-s2.0-85173894086</t>
  </si>
  <si>
    <t>Collado J.; Pinzon C.; Saez Y.; Collado E.</t>
  </si>
  <si>
    <t>Proposal of a Fog and Cloud Computing-Based Architecture for Air Quality Monitoring in Panama</t>
  </si>
  <si>
    <t>10.1109/LATINCOM59467.2023.10361890</t>
  </si>
  <si>
    <t>Air pollution continues to be a problem that affects human health, safety, and the environment worldwide. According to the World Health Organization (WHO), outdoor air pollution is a significant problem affecting everyone in low-, middle-, and high-income countries, whereas indoor air pollution is just as dangerous as outdoor pollution. This study proposes the design of an air monitoring system based on fog and cloud architecture that allows the current state of air quality to be consulted in real time. The implementation of cloud computing allows these monitoring systems to acquire incalculable computational resources for the storage and processing of large amounts of data, whereas, with the help of fog computing, it is possible to improve the use of computing resources, storage, computing, and networks. In future work, we plan to carry out experiments using tools such as Apache Jmeter and BlazerMeter to test the performance of each microservice and obtain quantitative values that allow the measurement of the overall performance of the application.  ¬© 2023 IEEE.</t>
  </si>
  <si>
    <t>air quality monitoring; cloud computing; fog computing; microservice architecture; sensing</t>
  </si>
  <si>
    <t>Collado, Jose (57987524700); Pinzon, Cristian (25932372000); Saez, Yessica (55908841300); Collado, Edwin (57196452386)</t>
  </si>
  <si>
    <t>57987524700; 25932372000; 55908841300; 57196452386</t>
  </si>
  <si>
    <t>Proceedings - 2023 IEEE Latin-American Conference on Communications, LATINCOM 2023</t>
  </si>
  <si>
    <t>https://www.scopus.com/inward/record.uri?eid=2-s2.0-85182766510&amp;doi=10.1109%2fLATINCOM59467.2023.10361890&amp;partnerID=40&amp;md5=36a09b9f88d3d1197bd5c9c84c01d6a1</t>
  </si>
  <si>
    <t>2-s2.0-85182766510</t>
  </si>
  <si>
    <t>Air quality; Computer architecture; Digital storage; Fog; Indoor air pollution; Network architecture; Air quality monitoring; Cloud-computing; Health safety; Human health; Low-high; Microservice architecture; Outdoor air pollution; Performance; Sensing; World Health Organization; Fog computing</t>
  </si>
  <si>
    <t>Huang J.; Gao H.; Wan S.; Chen Y.</t>
  </si>
  <si>
    <t>AoI-aware energy control and computation offloading for industrial IoT</t>
  </si>
  <si>
    <t>10.1016/j.future.2022.09.007</t>
  </si>
  <si>
    <t>In Industrial Internet of Things (IIoT), a large volume of data is collected periodically by IoT devices, and timely data routing and processing are important requirements. Age of Information (AoI), which is a metric to evaluate the freshness of status information in data processing, has become one of the most important objectives in IIoT. In this paper, considering limited communication, computation and energy resources on IoT devices, we jointly study the optimal AoI-aware energy control and computation offloading problem within a dynamic IIoT scenario with multiple IoT devices and multiple edge servers. Based on extensive analysis of real-life IoT dataset, Markovian queueing models are constructed to capture the dynamics of IoT devices and edge servers, and their corresponding analyses are provided. With the quantitative analytical results, we formulate a dynamic Markov decision problem with the objective of minimizing the long-term energy consumption while satisfying AoI constraints for real-time data processing. To solve the problem, we apply Deep Reinforcement Learning (DRL) techniques for adapting to large-scale dynamic IIoT environments, and design an intelligent Energy Control and Computation Offloading (ECCO) algorithm. Extensive simulation experiments are conducted based on real-world dataset, and the comparison results illustrate the superiority of our ECCO algorithm over both existing DRL and non-DRL algorithms. ¬© 2022 Elsevier B.V.</t>
  </si>
  <si>
    <t>Age of Information (AoI); Computation offloading; Deep Reinforcement Learning (DRL); Industrial Internet of Things (IIoT)</t>
  </si>
  <si>
    <t>Huang, Jiwei (55634345200); Gao, Han (57899633700); Wan, Shaohua (35190004700); Chen, Ying (57204117538)</t>
  </si>
  <si>
    <t>55634345200; 57899633700; 35190004700; 57204117538</t>
  </si>
  <si>
    <t>https://www.scopus.com/inward/record.uri?eid=2-s2.0-85138482242&amp;doi=10.1016%2fj.future.2022.09.007&amp;partnerID=40&amp;md5=296822616ae68f8c047829a741cb494b</t>
  </si>
  <si>
    <t>2-s2.0-85138482242</t>
  </si>
  <si>
    <t>computation offloading; Constraint satisfaction problems; Data handling; Deep learning; Energy resources; Energy utilization; Power control; Queueing theory; Reinforcement learning; Age of information; Computation offloading; Data routing; Deep reinforcement learning; Edge server; Industrial internet of thing; Information-aware; Large volumes; Reinforcement learnings; Status informations; Internet of things</t>
  </si>
  <si>
    <t>Tuli S.; Casale G.; Jennings N.R.</t>
  </si>
  <si>
    <t>DRAGON: Decentralized Fault Tolerance in Edge Federations</t>
  </si>
  <si>
    <t>10.1109/TNSM.2022.3199886</t>
  </si>
  <si>
    <t>Edge Federation is a new computing paradigm that seamlessly interconnects the resources of multiple edge service providers. A key challenge in such systems is the deployment of latency-critical and AI based resource-intensive applications in constrained devices. To address this challenge, we propose a novel memory-efficient deep learning based model, namely generative optimization networks (GON). Unlike GANs, GONs use a single network to both discriminate input and generate samples, significantly reducing their memory footprint. Leveraging the low memory footprint of GONs, we propose a decentralized fault-tolerance method called DRAGON that runs simulations (as per a digital modeling twin) to quickly predict and optimize the performance of the edge federation. Extensive experiments with real-world edge computing benchmarks on multiple Raspberry-Pi based federated edge configurations show that DRAGON can outperform the baseline methods in fault-detection and Quality of Service (QoS) metrics. Specifically, the proposed method gives higher F1 scores for fault-detection than the best deep learning (DL) method, while consuming lower memory than the heuristic methods. This allows for improvement in energy consumption, response time and service level agreement violations by up to 74, 63 and 82 percent, respectively.  ¬© 2004-2012 IEEE.</t>
  </si>
  <si>
    <t>decentralized management; Edge computing; fault-tolerance; federated computing; generative optimization networks</t>
  </si>
  <si>
    <t>Tuli, Shreshth (57208274339); Casale, Giuliano (21742204200); Jennings, Nicholas R. (7005888644)</t>
  </si>
  <si>
    <t>57208274339; 21742204200; 7005888644</t>
  </si>
  <si>
    <t>https://www.scopus.com/inward/record.uri?eid=2-s2.0-85136702724&amp;doi=10.1109%2fTNSM.2022.3199886&amp;partnerID=40&amp;md5=3c83778c61ce3c3b1f9edcfd1b69e28b</t>
  </si>
  <si>
    <t>2-s2.0-85136702724</t>
  </si>
  <si>
    <t>Benchmarking; Deep learning; Edge detection; Energy utilization; Failure analysis; Fault detection; Fault tolerance; Heuristic methods; Job analysis; Optimization; Quality of service; Cloud-computing; Computational modelling; Decentralized management; Deep learning; Edge computing; Fault- tolerant systems; Federated computing; Generative optimization network; Image edge detection; Optimisations; Task analysis; Edge computing</t>
  </si>
  <si>
    <t>Kumar P.; Katoch M.; Verma A.; Badotra S.</t>
  </si>
  <si>
    <t>An Analysis on Usability of Progressive Web Applications in Business Management</t>
  </si>
  <si>
    <t>10.1109/ICIIP61524.2023.10537697</t>
  </si>
  <si>
    <t>PWA is the short form of Progressive Web Application. It is application software. User can use this with the help of Web and it is made of multiple types of web technologies such as Hyper Text Mark Up Language, Cascading Style Sheets and JavaScript. One can use it on multiple platforms such as mobile devices, desktop etc. It has numerous functionalities such as it can work offline and it always sends us push notifications. It can be called as a web application because it is a type of webpage or website. At first this web application has less features and functionality because it was available only to mobile devices and it acts as a native app previously. But now it is available to desktop applications also and thus it provides more portable features. This can be accessible through different cross platform web browsers like Google chrome, Microsoft edge, Mozilla Firefox etc. ¬© 2023 IEEE.</t>
  </si>
  <si>
    <t>AI; Application Shell Architecture; AppShell; PWA</t>
  </si>
  <si>
    <t>Kumar, Pradeep (57358701700); Katoch, Munish (58890393300); Verma, Amit (57304749700); Badotra, Sumit (57207830843)</t>
  </si>
  <si>
    <t>57358701700; 58890393300; 57304749700; 57207830843</t>
  </si>
  <si>
    <t>Proceedings of the IEEE International Conference Image Information Processing</t>
  </si>
  <si>
    <t>https://www.scopus.com/inward/record.uri?eid=2-s2.0-85195239324&amp;doi=10.1109%2fICIIP61524.2023.10537697&amp;partnerID=40&amp;md5=62bb540d91fcdf51609ef184a9216624</t>
  </si>
  <si>
    <t>2-s2.0-85195239324</t>
  </si>
  <si>
    <t>Websites; Application shell architecture; Applications software; Appshell; Business management; Cascading style sheets; Mark-up languages; PWA; WEB application; Web applications; Web technologies; Application programs</t>
  </si>
  <si>
    <t>Oprea S.-V.; B√¢ra A.; Dobri»õa G.; Barbu D.-C.</t>
  </si>
  <si>
    <t>A Horizontal Tuning Framework for Machine Learning Algorithms Using a Microservice-based Architecture</t>
  </si>
  <si>
    <t>10.24846/v32i3y202303</t>
  </si>
  <si>
    <t>Usually, data collected through surveys or by means of sensors is prone to errors and inaccuracies, such as missing data and outliers. Such datasets consist of numerical and string variables, with a high variety of values. Emerging issues, for instance, missing or categorical data lead to errors in running most of the machine learning algorithms. Data analysis and pre-processing are usually more substantial and time-consuming than the implementation of the machine algorithms. Nevertheless, the obtained results are significantly influenced by the way missing data or outliers are approached. This paper presents various methods for coping with null and extreme values. Furthermore, it highlights the significance of encoding and scaling the analysed data and their impact on the performance of the machine learning algorithms. Thus, this paper proposes a methodology for a Missing, Outliers, Encoding &amp; Scaling (MOES) horizontal tuning framework using microservices as applications for data processing in order to obtain the best combination of the employed methods. For exemplification purposes, a real data set from the banking sector is used. Furthermore, the proposed methodology was tested using a second real data set from the utilities sector and the results also showed that both the AUC (Area under the Curve) and execution time were better than in the case of employing the PyCaret Python library. ¬© Copyright 2012-2023. All rights reserved</t>
  </si>
  <si>
    <t>Data pre-processing; Horizontal framework; Machine learning; Microservices</t>
  </si>
  <si>
    <t>Oprea, Simona-Vasilica (30067888400); B√¢ra, Adela (36774820600); Dobri»õa, Gabriela (57423031700); Barbu, Drago»ô-CƒÉtƒÉlin (35387570000)</t>
  </si>
  <si>
    <t>30067888400; 36774820600; 57423031700; 35387570000</t>
  </si>
  <si>
    <t>Studies in Informatics and Control</t>
  </si>
  <si>
    <t>https://www.scopus.com/inward/record.uri?eid=2-s2.0-85174311223&amp;doi=10.24846%2fv32i3y202303&amp;partnerID=40&amp;md5=f084a5c824169fe8bce181f35693b369</t>
  </si>
  <si>
    <t>2-s2.0-85174311223</t>
  </si>
  <si>
    <t>Kim Y.; Park K.</t>
  </si>
  <si>
    <t>Outlier-Aware Demand Prediction Using Recurrent Neural Network-Based Models and Statistical Approach</t>
  </si>
  <si>
    <t>10.1109/ACCESS.2023.3333030</t>
  </si>
  <si>
    <t>The paint industry comprises an elaborate supply chain involving various activities such as raw material procurement, manufacturing, and distribution. In addition, the accuracy of demand prediction significantly impacts supply chain management. A recurrent neural network (RNN) is a powerful method that learns intricate patterns through vast amounts of historical data and provides a prediction, demonstrating excellent performance in demand prediction. However, standard RNN-based demand predictions are limited by many outliers that occur due to the characteristics of the paint industry. Unexpected events such as a factory fire cause rapid fluctuations in paint demand and are difficult to pre-observe. To overcome these limitations, we propose a novel approach that employs clustering to identify demand time series data with similar characteristics and applies statistical outlier adjustment to allow the prediction model to learn the complex patterns of actual demand. The prediction target is the sum of sales for 15 days in the future, and sales data for four paint products are used to evaluate the proposed approach. Experimental results demonstrate a satisfactory prediction accuracy improvement ranging from 100.9% to 152.4%. In addition, unlike the RNN-based models used for comparison, the proposed method is more robust against actual demand fluctuations.  ¬© 2023 The Authors.</t>
  </si>
  <si>
    <t>clustering; Demand prediction; outlier; paint industry; recurrent neural network</t>
  </si>
  <si>
    <t>Kim, Yuseon (58699397300); Park, Kyongseok (56081517600)</t>
  </si>
  <si>
    <t>58699397300; 56081517600</t>
  </si>
  <si>
    <t>https://www.scopus.com/inward/record.uri?eid=2-s2.0-85177067389&amp;doi=10.1109%2fACCESS.2023.3333030&amp;partnerID=40&amp;md5=2a63fe134f8956effe986dcdac86eb7b</t>
  </si>
  <si>
    <t>2-s2.0-85177067389</t>
  </si>
  <si>
    <t>Forecasting; Paint; Recurrent neural networks; Statistics; Time series analysis; Clusterings; Demand prediction; Learn+; Modeling approach; Network-based modeling; Outlier; Paint industry; Predictive models; Statistical approach; Time-series analysis; Supply chain management</t>
  </si>
  <si>
    <t>Agnoli L.; Urquhart E.; Georgantzis N.; Schaeffer B.; Simmons R.; Hoque B.; Neely M.B.; Neil C.; Oliver J.; Tyler A.</t>
  </si>
  <si>
    <t>Perspectives on user engagement of satellite Earth observation for water quality management</t>
  </si>
  <si>
    <t>10.1016/j.techfore.2023.122357</t>
  </si>
  <si>
    <t>The management and governance of our surface waters is core to life and prosperity on our planet. However, monitoring data are not available to many potential users and the disparate nature of water bodies makes consistent monitoring across so many systems difficult. While satellite Earth observation (EO) offers solutions, there are numerous challenges that limit the use of satellite EO for water monitoring. To understand the perceptions of using satellite EO for water quality monitoring, a survey was conducted within academia and the water quality management sector. Study objectives were to assess community understanding of satellite EO water quality data, identify barriers in the adoption of satellite EO data, and analyse trust in satellite EO data. Most (40 %) participants were beginners with little understanding of satellite EO. Participants indicated problems with satellite EO data accessibility (31 %) and interpretability (26 %). Results showed a high level of trust with satellite EO data and higher trust with in-situ EO data. This study highlighted the gap between water science, applied social science, and policy. A transdisciplinary approach to managing water resources is needed to bridge water disciplines and take a key role in areas such as social issues, knowledge brokering, and translation. ¬© 2023 The Authors</t>
  </si>
  <si>
    <t>Data accessibility; Earth observation; Knowledge transfer; Satellite remote sensing; Technology transfer; Water quality</t>
  </si>
  <si>
    <t>Agnoli, Lara (55968305300); Urquhart, Erin (55216592800); Georgantzis, Nikolaos (6506118760); Schaeffer, Blake (15049848200); Simmons, Richard (8527479400); Hoque, Bilqis (7004056187); Neely, Merrie Beth (7006442182); Neil, Claire (54584145800); Oliver, Jacques (58094851500); Tyler, Andrew (7101758016)</t>
  </si>
  <si>
    <t>55968305300; 55216592800; 6506118760; 15049848200; 8527479400; 7004056187; 7006442182; 54584145800; 58094851500; 7101758016</t>
  </si>
  <si>
    <t>Technological Forecasting and Social Change</t>
  </si>
  <si>
    <t>https://www.scopus.com/inward/record.uri?eid=2-s2.0-85147607168&amp;doi=10.1016%2fj.techfore.2023.122357&amp;partnerID=40&amp;md5=c90247e28490358390829c5390be3c4f</t>
  </si>
  <si>
    <t>2-s2.0-85147607168</t>
  </si>
  <si>
    <t>Knowledge management; Observatories; Quality management; Remote sensing; Satellites; Surface waters; Technology transfer; Water conservation; Water management; Data accessibility; Earth observation data; Earth observations; Knowledge transfer; Nature of water; Potential users; Satellite remote sensing; User engagement; Water quality management; Waterbodies; governance approach; monitoring; remote sensing; resource assessment; satellite data; technology transfer; water management; water quality; water resource; Water quality</t>
  </si>
  <si>
    <t>Agrahari V.; Shanbhag S.; Chimalakonda S.; Rao A.E.</t>
  </si>
  <si>
    <t>A catalogue of game-specific anti-patterns based on GitHub and Game Development Stack Exchange</t>
  </si>
  <si>
    <t>10.1016/j.jss.2023.111789</t>
  </si>
  <si>
    <t>With the ever-increasing use of games, game developers are expected to write efficient code and support several aspects such as security, maintainability, and performance. However, the need for frequent updates in game development may lead to quick-fix solutions and bad coding practices. Though unintentional, these bad practices may lead to poor program comprehension and can cause several issues during software maintenance. The quick-fix solutions might lead to technical debts due to the presence of anti-patterns and code smells, which may affect the functional and non-functional requirements of the game. To avoid such instances, game developers may need some guidelines to refer to during the game development process. Thus, to aid developers and researchers, in our previous work, we had presented an initial catalogue of anti-patterns in the domain of game development. To broaden the scope of the catalogue and diversify the instances of anti-patterns, we analyzed additional data from a Q&amp;A platform. We present 15 game-specific anti-patterns based on thematic analysis of 189 issues, 892 commits, 104 pull requests from 100 open-source GitHub game repositories, and 971 questions from Game Development Stack Exchange. We see the catalogue as an effort towards improving the development and quality of the games. The catalogue containing a detailed description of every anti-pattern with the context, problem, solution, example(s), and their occurrences on GitHub and Game Development Stack Exchange is available at https://rishalab.github.io/Catalog-of-Game-Antipatterns/. ¬© 2023 Elsevier Inc.</t>
  </si>
  <si>
    <t>Anti-patterns; Catalogue; Games; Thematic analysis</t>
  </si>
  <si>
    <t>Agrahari, Vartika (57211187908); Shanbhag, Shriram (57755615500); Chimalakonda, Sridhar (26767549200); Rao, A. Eashaan (57219824219)</t>
  </si>
  <si>
    <t>57211187908; 57755615500; 26767549200; 57219824219</t>
  </si>
  <si>
    <t>https://www.scopus.com/inward/record.uri?eid=2-s2.0-85165086375&amp;doi=10.1016%2fj.jss.2023.111789&amp;partnerID=40&amp;md5=1fc93b773e3735a2d8a19f539110d159</t>
  </si>
  <si>
    <t>2-s2.0-85165086375</t>
  </si>
  <si>
    <t>Open source software; Anti-patterns; Anticodes; Bad practices; Catalog; Game; Game development; Performance; Program comprehension; Technical debts; Thematic analysis; Software design</t>
  </si>
  <si>
    <t>Gropengiesser U.; Brandherm F.; Muhlhauser M.</t>
  </si>
  <si>
    <t>Poster: Processing of Latency- and Deadline-Aware Big Data Approaches at the Edge</t>
  </si>
  <si>
    <t>10.1145/3583740.3626623</t>
  </si>
  <si>
    <t>Time-critical requests are becoming increasingly important for microservice service chains. For such service chains, a late response may be worthless or cause failures. Previous works proposed to prevent late responses by trading computation time for result quality, depending on the available resources. However, determining the Quality of Result (QoR) for each operation in a service chain ahead of time, as is the state of the art, cannot prevent requests that are currently processing from being late if resource availability changes, e.g., due to resource sharing at inelastic Edge sites. Therefore, we present a framework to control the QoR online by replanning QoR values whenever resource changes are detected. ¬© 2023 ACM.</t>
  </si>
  <si>
    <t>Approximate Computing; Edge Computing; Quality of Result</t>
  </si>
  <si>
    <t>Gropengiesser, Uwe (56008245500); Brandherm, Florian (57188701031); Muhlhauser, Max (7003434700)</t>
  </si>
  <si>
    <t>56008245500; 57188701031; 7003434700</t>
  </si>
  <si>
    <t>Proceedings - 2023 IEEE/ACM Symposium on Edge Computing, SEC 2023</t>
  </si>
  <si>
    <t>https://www.scopus.com/inward/record.uri?eid=2-s2.0-85186121437&amp;doi=10.1145%2f3583740.3626623&amp;partnerID=40&amp;md5=cbe7d76303b16097ab8353052601b815</t>
  </si>
  <si>
    <t>2-s2.0-85186121437</t>
  </si>
  <si>
    <t>Edge computing; Approximate computing; Computation time; Deadline-aware; Edge computing; Latency-aware; Quality of results; Resource availability; Service chain; State of the art; Time-critical; Big data</t>
  </si>
  <si>
    <t>Moallemi A.; Gaspari R.; Zonzini F.; De Marchi L.; Brunelli D.; Benini L.</t>
  </si>
  <si>
    <t>Speeding up System Identification Algorithms on a Parallel RISC-V MCU for Fast Near-Sensor Vibration Diagnostic</t>
  </si>
  <si>
    <t>10.1109/LSENS.2023.3303074</t>
  </si>
  <si>
    <t>Structural health monitoring (SHM) systems currently utilize a combination of low-cost, low-energy sensors and processing units to monitor the conditions of target facilities. However, utilizing a dense deployment of sensors generates a significant volume of data that must be transmitted to the cloud, requiring high bandwidth and consuming substantial power, particularly when using wireless protocols. To optimize the energy budget of the monitoring system, it is crucial to reduce the size of the raw data near the sensors at the edge. However, existing compression techniques at the edge suffer from a tradeoff between compression and accuracy and long latency resulting in high energy consumption. This letter addresses these limitations by introducing a parallelized version of an unconventional data reduction method suited for vibration analysis based on system identification models. Our approach leverages the unique capabilities of GAP9, a multicore RISC-V MCU based on the parallel ultra-low-power (PULP) architecture. Compared with the sequential implementation, we achieve a maximum execution time reduction of ‚âà 60 √ó and power consumption of just 48.3 mW while preserving the spectral accuracy of the models.  ¬© 2017 IEEE.</t>
  </si>
  <si>
    <t>embedded systems; RISCV architecture; Sensor systems; system identification (SysId); vibration analysis</t>
  </si>
  <si>
    <t>Moallemi, Amirhossein (57235222200); Gaspari, Riccardo (58534782700); Zonzini, Federica (57204769530); De Marchi, Luca (57210976394); Brunelli, Davide (22233293600); Benini, Luca (35556997000)</t>
  </si>
  <si>
    <t>57235222200; 58534782700; 57204769530; 57210976394; 22233293600; 35556997000</t>
  </si>
  <si>
    <t>IEEE Sensors Letters</t>
  </si>
  <si>
    <t>https://www.scopus.com/inward/record.uri?eid=2-s2.0-85167835076&amp;doi=10.1109%2fLSENS.2023.3303074&amp;partnerID=40&amp;md5=ca662834adede00442b32552a392190b</t>
  </si>
  <si>
    <t>2-s2.0-85167835076</t>
  </si>
  <si>
    <t>Budget control; Economic and social effects; Embedded systems; Energy utilization; Microcontrollers; Religious buildings; Vibration analysis; Computational modelling; Embedded-system; Matrix decomposition; RISCV architecture; System identification algorithms; System-identification; Vibration; Vibration diagnostics; Vibrations analysis; Structural health monitoring</t>
  </si>
  <si>
    <t>Liu C.; Ruan K.; Ma X.</t>
  </si>
  <si>
    <t>DMEformer: A newly designed dynamic model ensemble transformer for crude oil futures prediction</t>
  </si>
  <si>
    <t>10.1016/j.heliyon.2023.e16715</t>
  </si>
  <si>
    <t>Crude oil futures prediction plays an important role in ensuring sustainable energy development. However, the performance of existing models is not satisfactory, which limits its further application. The poor performance mainly results from the lack of data mining of economic models and the poor stability of most data analysis models. To solve the above problems, this paper proposes a new dynamic model ensemble transformer (DMEformer). The model uses three different Transformer variants as base models. It not only ensures the difference of base models but also makes the prediction results of base models not to appear disparity. In addition, NSGA-II is adopted to ensemble the results of base models, which considers both the modeling stability and accuracy in the optimization. Finally, the proposed model adopts a dynamic ensemble scheme, which could timely adjust the weight vector according to the fluctuation of energy futures. It further improves the reliability of the model. Comparative experiments from the perspective of single models and ensemble models are also designed. The following conclusions can be drawn from the experimental results: (1) The proposed dynamic ensemble method can improve the performance of the base model and traditional static ensemble method by 16% and 5% respectively. (2) DMEformer can achieve better performance than 20 other models, and its accuracy and MAPE values were 72.5% and 2.8043%, respectively. (3) The proposed model can accurately predict crude oil futures, which provides effective support for energy regulation and sustainable development. ¬© 2023 The Authors</t>
  </si>
  <si>
    <t>Crude oil futures prediction; Dynamic ensemble learning; NSGA-II; Sustainable energy development; Transformer</t>
  </si>
  <si>
    <t>Liu, Chao (58287033500); Ruan, Kaiyi (58286852900); Ma, Xinmeng (58286853000)</t>
  </si>
  <si>
    <t>58287033500; 58286852900; 58286853000</t>
  </si>
  <si>
    <t>e16715</t>
  </si>
  <si>
    <t>https://www.scopus.com/inward/record.uri?eid=2-s2.0-85160060541&amp;doi=10.1016%2fj.heliyon.2023.e16715&amp;partnerID=40&amp;md5=b868619cb17923e7eaa158cd880cb32d</t>
  </si>
  <si>
    <t>2-s2.0-85160060541</t>
  </si>
  <si>
    <t>Daraghmeh M.; Agarwal A.; Jararweh Y.</t>
  </si>
  <si>
    <t>A Multilevel Learning Model for Predicting CPU Utilization in Cloud Data Centers</t>
  </si>
  <si>
    <t>10.1109/DASC/PiCom/CBDCom/Cy59711.2023.10361305</t>
  </si>
  <si>
    <t>In the contemporary era of cloud computing, efficient and precise prediction of CPU utilization ensures optimal performance and energy efficiency in data centers. Traditional predictive models often need to be improved as these data centers grow in complexity and scale, necessitating more nuanced and integrative solutions. This paper introduces an advanced multi-layered learning framework meticulously designed to meet the demands of modern cloud data centers. Our innovative approach synergistically combines anomaly detection, data clustering, and ensemble-based regression prediction. The Isolation Forest algorithm is used during the preliminary stage to identify and address anomalies within the data. Subsequent phases harness the K-Means clustering algorithm, refine data categorization based on recurrent CPU usage patterns, and employ multilevel ensemble-based prediction models for accurate forecasting rooted in historical and real-time data trends. Through comprehensive evaluations, our model demonstrates significant improvements in prediction accuracy and robustness against the dynamism inherent in cloud environments. Our research paves the way for a more resilient, proactive, and efficient approach to CPU utilization prediction, laying the foundational stone for future innovations in cloud computing resource management.  ¬© 2023 IEEE.</t>
  </si>
  <si>
    <t>Anomaly Detection; Cloud Computing; Clustering; CPU Utilization; Multilevel Learning Model; Regression-Based Prediction</t>
  </si>
  <si>
    <t>Daraghmeh, Mustafa (57199570919); Agarwal, Anjali (7401480883); Jararweh, Yaser (25825095600)</t>
  </si>
  <si>
    <t>57199570919; 7401480883; 25825095600</t>
  </si>
  <si>
    <t>2023 IEEE International Conference on Dependable, Autonomic and Secure Computing, International Conference on Pervasive Intelligence and Computing, International Conference on Cloud and Big Data Computing, International Conference on Cyber Science and Technology Congress, DASC/PiCom/CBDCom/CyberSciTech 2023</t>
  </si>
  <si>
    <t>https://www.scopus.com/inward/record.uri?eid=2-s2.0-85182599686&amp;doi=10.1109%2fDASC%2fPiCom%2fCBDCom%2fCy59711.2023.10361305&amp;partnerID=40&amp;md5=3c633c765a4605bec9c027f13b34b44a</t>
  </si>
  <si>
    <t>2-s2.0-85182599686</t>
  </si>
  <si>
    <t>Anomaly detection; Cloud computing; Energy efficiency; K-means clustering; Learning systems; Anomaly detection; Cloud data centers; Cloud-computing; Clusterings; CPU utilization; Datacenter; Learning models; Multilevel learning model; Multilevels; Regression-based prediction; Forecasting</t>
  </si>
  <si>
    <t>Jeffrey N.; Tan Q.; Villar J.R.</t>
  </si>
  <si>
    <t>A Review of Anomaly Detection Strategies to Detect Threats to Cyber-Physical Systems</t>
  </si>
  <si>
    <t>10.3390/electronics12153283</t>
  </si>
  <si>
    <t>Cyber-Physical Systems (CPS) are integrated systems that combine software and physical components. CPS has experienced rapid growth over the past decade in fields as disparate as telemedicine, smart manufacturing, autonomous vehicles, the Internet of Things, industrial control systems, smart power grids, remote laboratory environments, and many more. With the widespread integration of Cyber-Physical Systems (CPS) in various aspects of contemporary society, the frequency of malicious assaults carried out by adversaries has experienced a substantial surge in recent times. Incidents targeting vital civilian infrastructure, such as electrical power grids and oil pipelines, have become alarmingly common due to the expanded connectivity to the public internet, which significantly expands the vulnerability of CPS. This article presents a comprehensive review of existing literature that examines the latest advancements in anomaly detection techniques for identifying security threats in Cyber-Physical Systems. The primary emphasis is placed on addressing life safety concerns within industrial control networks (ICS). A total of 296 papers are reviewed, with common themes and research gaps identified. This paper makes a novel contribution by identifying the key challenges that remain in the field, which include resource constraints, a lack of standardized communication protocols, extreme heterogeneity that hampers industry consensus, and different information security priorities between Operational Technology (OT) and Information Technology (IT) networks. Potential solutions and/or opportunities for further research are identified to address these selected challenges. ¬© 2023 by the authors.</t>
  </si>
  <si>
    <t>AI/ML in CPS; anomaly detection in {CPS, IoT, IIoT, SCADA}; machine learning in IoT security; security threats to {CPS, IoT, IIOT, SCADA}</t>
  </si>
  <si>
    <t>Jeffrey, Nicholas (57793782800); Tan, Qing (24529398000); Villar, Jos√© R. (56221630500)</t>
  </si>
  <si>
    <t>57793782800; 24529398000; 56221630500</t>
  </si>
  <si>
    <t>https://www.scopus.com/inward/record.uri?eid=2-s2.0-85167838924&amp;doi=10.3390%2felectronics12153283&amp;partnerID=40&amp;md5=95f5abed609a4b6d34f0499c562bc524</t>
  </si>
  <si>
    <t>2-s2.0-85167838924</t>
  </si>
  <si>
    <t>Calabrese A.; Costa R.; Tiburzi L.; Brem A.</t>
  </si>
  <si>
    <t>Merging two revolutions: A human-artificial intelligence method to study how sustainability and Industry 4.0 are intertwined</t>
  </si>
  <si>
    <t>10.1016/j.techfore.2022.122265</t>
  </si>
  <si>
    <t>Industry 4.0 is an important contributor to industrial innovation and sustainability. Nevertheless, few studies empirically analyse how it acts as a binding force of both business practices. This study examines 1501 sustainability reports using a mixed human-artificial intelligence method based on Python's text mining libraries. This method takes advantage of AI's capabilities to extract information from large samples of data and of human critical thinking to find patterns in those data. Specifically, the method is used to evaluate the adoption of Industry 4.0 technologies, analyse how they are deployed worldwide, and investigate their sustainability outcomes. In terms of overall frequency, robots and cybersecurity are the most often reported technologies. Broken down by the firm's region, Asian firms have the highest rate of adoption, while African firms are lagging. Regarding the themes, Industry 4.0 is mainly adopted to improve production processes and customer experience. A small percentage of firms, particularly in Europe and North America, utilize Industry 4.0 to reduce the environmental footprint of their operations. Furthermore, results indicate that Industry 4.0 and sustainability are following two routes. Some firms have massively adopted Industry 4.0 to increase operational efficiency and reaped environmental gains as an indirect consequence of improved operations. Others have chosen to balance the adoption of technologies aimed to increase productivity with innovations whose explicit aim is the reduction of their operations' environmental footprint, such as additive manufacturing. Eastern firms tend to follow the first route while western firms the second. African and South American firms are still at a very early stage in their Industry 4.0 and sustainability journey. At the global level, Industry 4.0 is still far from being utilized as a catalyst to develop sustainability-driven business models. ¬© 2023 Elsevier Inc.</t>
  </si>
  <si>
    <t>GRI; Industry 4.0; Innovation; Sustainability; Text mining</t>
  </si>
  <si>
    <t>Calabrese, Armando (7006480700); Costa, Roberta (35193634600); Tiburzi, Luigi (57208491250); Brem, Alexander (23984395500)</t>
  </si>
  <si>
    <t>7006480700; 35193634600; 57208491250; 23984395500</t>
  </si>
  <si>
    <t>https://www.scopus.com/inward/record.uri?eid=2-s2.0-85145782856&amp;doi=10.1016%2fj.techfore.2022.122265&amp;partnerID=40&amp;md5=8abea08af907322283388073edcd6b45</t>
  </si>
  <si>
    <t>2-s2.0-85145782856</t>
  </si>
  <si>
    <t>Europe; North America; Artificial intelligence; Data mining; Environmental technology; Industry 4.0; Artificial intelligence methods; Binding forces; Business practices; Environmental footprints; GRI; Industrial innovation; Industrial sustainability; Innovation; Sustainability report; Text-mining; artificial intelligence; empirical analysis; industrial development; innovation; sustainability; Sustainable development</t>
  </si>
  <si>
    <t>Hu S.; Gao J.; Zhong D.; Wu R.; Liu L.</t>
  </si>
  <si>
    <t>Real-Time Scheduling of Pumps in Water Distribution Systems Based on Exploration-Enhanced Deep Reinforcement Learning</t>
  </si>
  <si>
    <t>10.3390/systems11020056</t>
  </si>
  <si>
    <t>Effective ways to optimise real-time pump scheduling to maximise energy efficiency are being sought to meet the challenges in the energy market. However, the considerable number of evaluations of popular optimisation methods based on metaheuristics cause significant delays for real-time pump scheduling, and the simplification of traditional deterministic methods may introduce bias towards the optimal solutions. To address these limitations, an exploration-enhanced deep reinforcement learning (DRL) framework is proposed to address real-time pump scheduling problems in water distribution systems. The experimental results indicate that E-PPO can learn suboptimal scheduling policies for various demand distributions and can control the application time to 0.42 s by transferring the online computation-intensive optimisation task offline. Furthermore, a form of penalty of the tank level was found that can reduce energy costs by up to 11.14% without sacrificing the water level in the long term. Following the DRL framework, the proposed method makes it possible to schedule pumps in a more agile way as a timely response to changing water demand while still controlling the energy cost and level of tanks. ¬© 2023 by the authors.</t>
  </si>
  <si>
    <t>deep reinforcement learning; exploration enhancement; PPO; real-time pump scheduling; water distribution network</t>
  </si>
  <si>
    <t>Hu, Shiyuan (57218957320); Gao, Jinliang (8895826300); Zhong, Dan (26031866200); Wu, Rui (57932742000); Liu, Luming (57886483500)</t>
  </si>
  <si>
    <t>57218957320; 8895826300; 26031866200; 57932742000; 57886483500</t>
  </si>
  <si>
    <t>Systems</t>
  </si>
  <si>
    <t>https://www.scopus.com/inward/record.uri?eid=2-s2.0-85149261086&amp;doi=10.3390%2fsystems11020056&amp;partnerID=40&amp;md5=e96b2ea931b5d926aa960787d11be997</t>
  </si>
  <si>
    <t>2-s2.0-85149261086</t>
  </si>
  <si>
    <t>Zhang X.; Tian S.; Liu Y.; Cao Z.</t>
  </si>
  <si>
    <t>User location-aware edge services selection based on generative adversarial network and improved ant colony algorithm</t>
  </si>
  <si>
    <t>10.1007/s10489-022-04093-z</t>
  </si>
  <si>
    <t>In a mobile edge environment, a mobile user‚Äôs location may change at any time. So the service coverages of current edge servers may exceed the mobile user‚Äôs location, which prevents the user from getting the service they need. For some low latency services, such as video optimized transmission and Internet of vehicles, it is necessary to maintain business continuity by timely selecting services provided by appropriate edge servers during the rapid movement of users. Therefore, this paper proposes a user location-aware edge services selection method based on generative adversarial network (GAN) and improved ant colony algorithm. Using this method to select edge services can provide users with uninterrupted services and improve service quality and user satisfaction. Firstly, a mobile user location prediction method based on the generative adversarial network and the attention mechanism is proposed. This method adopts graph attention network (GAT) and recurrent neural network (RNN) to model user in space and time dimensions, and uses GAN to predict the user‚Äôs next moment location, according to which, the edge services meeting user‚Äôs needs can be selected in advance. Then, an edge services selection method based on the predicted user location and improved ant colony algorithm is proposed. This method adopts ant colony algorithm with improved pheromone updating rules and single-cycle optimal list to select edge services, which enhances the global search ability of ants, accelerates the convergence speed of the algorithm and avoids the algorithm falling into a local optimal solution. Experimental results show that the proposed user location prediction method is more reasonable and accurate in predicting user location. The proposed edge service selection method has obvious advantages in aspects of algorithm convergence speed, accuracy and service response time. ¬© 2022, The Author(s), under exclusive licence to Springer Science+Business Media, LLC, part of Springer Nature.</t>
  </si>
  <si>
    <t>Ant Colony algorithm; Edge service selection; Generative adversarial network; Graph attention network; User location-aware</t>
  </si>
  <si>
    <t>Zhang, Xiuguo (12646297200); Tian, Shasha (57214681091); Liu, Yufei (58748396700); Cao, Zhiying (36801242100)</t>
  </si>
  <si>
    <t>12646297200; 57214681091; 58748396700; 36801242100</t>
  </si>
  <si>
    <t>Applied Intelligence</t>
  </si>
  <si>
    <t>https://www.scopus.com/inward/record.uri?eid=2-s2.0-85140229339&amp;doi=10.1007%2fs10489-022-04093-z&amp;partnerID=40&amp;md5=da808ac2ea0fbad37e47743e7916f214</t>
  </si>
  <si>
    <t>2-s2.0-85140229339</t>
  </si>
  <si>
    <t>Ant colony optimization; Forecasting; Generative adversarial networks; Recurrent neural networks; Vehicle transmissions; Ant colonies algorithm; Edge service selection; Edge services; Graph attention network; Improved ant colony algorithm; Location-aware; Mobile users; Service selection; User location; User location-aware; Location</t>
  </si>
  <si>
    <t>Luying Z.; Xiaokai L.; Zhao L.; Fangmin X.; Chenglin Z.</t>
  </si>
  <si>
    <t>Prediction based dynamic resource allocation method for edge computing first networking</t>
  </si>
  <si>
    <t>10.19682/j.cnki.1005-8885.2022.1010</t>
  </si>
  <si>
    <t>Aiming at the factory with high-complex and multi-terminal in the industrial Internet of things (IIoT), a hierarchical edge networking collaboration (HENC) framework based on the cloud-edge collaboration and computing first networking (CFN) is proposed to improve the capability of task processing with fixed computing resources on the edge effectively. To optimize the delay and energy consumption in HENC, a multi-objective optimization (MOO) problem is formulated. Furthermore, to improve the efficiency and reliability of the system, a resource prediction model based on ridge regression (RR) is proposed to forecast the task size of the next time slot, and an emergency-aware (EA) computing resource allocation algorithm is proposed to reallocate tasks in edge CFN. Based on the simulation result, the EA algorithm is superior to the greedy resource allocation in time delay, energy consumption, quality of service (QoS) especially with limited computing resources. ¬© 2023, THE JOURNAL OF CHINA UNIVERSITIES OF POSTS AND TELECOMMUNICATIONS.</t>
  </si>
  <si>
    <t>cloud-edge collaboration; computing first networking (CFN); computing resource allocation; multi-objective optimization (MOO)</t>
  </si>
  <si>
    <t>Luying, Zhang (58654305900); Xiaokai, Liu (56440019300); Zhao, Li (58654336900); Fangmin, Xu (22636276000); Chenglin, Zhao (15021737000)</t>
  </si>
  <si>
    <t>58654305900; 56440019300; 58654336900; 22636276000; 15021737000</t>
  </si>
  <si>
    <t>Journal of China Universities of Posts and Telecommunications</t>
  </si>
  <si>
    <t>https://www.scopus.com/inward/record.uri?eid=2-s2.0-85143546832&amp;doi=10.19682%2fj.cnki.1005-8885.2022.1010&amp;partnerID=40&amp;md5=9fa88d025a32faf88a7770601a87da59</t>
  </si>
  <si>
    <t>2-s2.0-85143546832</t>
  </si>
  <si>
    <t>Edge computing; Energy utilization; Forecasting; Green computing; Multiobjective optimization; Quality of service; Regression analysis; Cloud-edge collaboration; Computing first networking; Computing resource; Computing resource allocation; Edge computing; Edge networkings; Energy-consumption; Multi-objective optimization; Multi-objectives optimization; Resources allocation; Resource allocation</t>
  </si>
  <si>
    <t>Alqaisi O.I.; Saman Tosun A.; Korkmaz T.</t>
  </si>
  <si>
    <t>Containerized Computer Vision Applications on Edge Devices</t>
  </si>
  <si>
    <t>10.1109/EDGE60047.2023.00014</t>
  </si>
  <si>
    <t>The proliferation of IoT devices has led to various computer vision applications, where addressing bandwidth and latency challenges through edge nodes presents significant benefits. However, there are still existing gaps and a need for improvements to optimize IoT applications, especially in the field of computer vision, by overcoming limited resources and enhancing device performance. Addressing these challenges is essential to unlock the full potential of IoT applications in real-world scenarios. This paper evaluates the use of lightweight container technology for computer vision applications which using different algorithms, such as Haar Cascades, HOG and CNN with YOLO algorithm, on edge devices and provides a comprehensive comparison and analysis of different versions of computer vision applications in containers in terms of processing ability, and performance. It focuses on containerizing computer vision applications using Docker to achieve safe execution of multiple applications on these devices without interference and to enable flexibility, efficiency, portability, scalability, and isolation. The study also examines the resource usage, execution time, and receiving time of containerized computer vision applications. The research findings significantly advance our understanding of computer vision processing in IoT and edge computing, thereby opening up new avenues for real-time computing scenarios. These insights have the potential to drive transformative advancements in the field, enabling more efficient and accurate computer vision applications in IoT and paving the way for enhanced real-time decision-making, automation, and intelligent systems.  ¬© 2023 IEEE.</t>
  </si>
  <si>
    <t>Container Technology; Docker; Edge Computing; Embedded Vision; IoT; OpenCV Container</t>
  </si>
  <si>
    <t>Alqaisi, Osamah I. (57539519400); Saman Tosun, Ali (58634099000); Korkmaz, Turgay (6701785002)</t>
  </si>
  <si>
    <t>57539519400; 58634099000; 6701785002</t>
  </si>
  <si>
    <t>https://www.scopus.com/inward/record.uri?eid=2-s2.0-85173528666&amp;doi=10.1109%2fEDGE60047.2023.00014&amp;partnerID=40&amp;md5=65d714ec695a50114836f1beab8879e0</t>
  </si>
  <si>
    <t>2-s2.0-85173528666</t>
  </si>
  <si>
    <t>Computer vision; Decision making; Edge computing; Intelligent systems; Internet of things; Real time systems; Computer vision applications; Container technology; Device performance; Docker; Edge computing; Edge nodes; Embedded visions; IoT; Opencv container; Real-world scenario; Containers</t>
  </si>
  <si>
    <t>Hua Q.; Yang D.; Qian S.; Hu H.; Cao J.; Xue G.</t>
  </si>
  <si>
    <t>KAE-Informer: A Knowledge Auto-Embedding Informer for Forecasting Long-Term Workloads of Microservices</t>
  </si>
  <si>
    <t>10.1145/3543507.3583288</t>
  </si>
  <si>
    <t>Accurately forecasting workloads in terms of throughput that is quantified as queries per second (QPS) is essential for microservices to elastically adjust their resource allocations. However, long-term QPS prediction is challenging in two aspects: 1) generality across various services with different temporal patterns, 2) characterization of intricate QPS sequences which are entangled by multiple components. In this paper, we propose a knowledge auto-embedding Informer network (KAE-Informer) for forecasting the long-term QPS sequences of microservices. By analyzing a large number of microservice traces, we discover that there are two main decomposable and predictable components in QPS sequences, namely global trend &amp; dominant periodicity (TP) and low-frequency residual patterns with long-range dependencies. These two components are important for accurately forecasting long-term QPS. First, KAE-Informer embeds the knowledge of TP components through mathematical modeling. Second, KAE-Informer designs a convolution ProbSparse self-attention mechanism and a multi-layer event discrimination scheme to extract and embed the knowledge of local context awareness and event regression effect implied in residual components, respectively. We conduct experiments based on three real datasets including a QPS dataset collected from 40 microservices. The experiment results show that KAE-Informer achieves a reduction of MAPE, MAE and RMSE by about 16.6%, 17.6% and 23.1% respectively, compared to the state-of-the-art models. ¬© 2023 ACM.</t>
  </si>
  <si>
    <t>forecasting; microservices; neural network; time-series analysis; workload</t>
  </si>
  <si>
    <t>Hua, Qin (57217088687); Yang, Dingyu (56138675600); Qian, Shiyou (55322690200); Hu, Hanwen (57196326817); Cao, Jian (57218980017); Xue, Guangtao (7202468123)</t>
  </si>
  <si>
    <t>57217088687; 56138675600; 55322690200; 57196326817; 57218980017; 7202468123</t>
  </si>
  <si>
    <t>ACM Web Conference 2023 - Proceedings of the World Wide Web Conference, WWW 2023</t>
  </si>
  <si>
    <t>https://www.scopus.com/inward/record.uri?eid=2-s2.0-85159265082&amp;doi=10.1145%2f3543507.3583288&amp;partnerID=40&amp;md5=25bc3c2e698c91accd7026440842aaa3</t>
  </si>
  <si>
    <t>2-s2.0-85159265082</t>
  </si>
  <si>
    <t>Embeddings; Time series analysis; Embeddings; Global trends; Lower frequencies; Microservice; Multiple components; Neural-networks; Resources allocation; Temporal pattern; Time-series analysis; Workload; Forecasting</t>
  </si>
  <si>
    <t>Hasan S.; Elkhatib Y.</t>
  </si>
  <si>
    <t>On the¬†Interplay Between Self-adaptation and¬†Energy Efficiency</t>
  </si>
  <si>
    <t>10.1007/978-3-031-43247-7_12</t>
  </si>
  <si>
    <t>Self-adaptation is an increasingly popular approach for enabling systems to make agile and data-driven decisions without human intervention. However, techniques for measuring the performance of a self-adaptive system and its effects on context are lacking. In this study, we present a mechanism that enables customizable and comprehensive evaluation of self-adaptive systems in real time. We apply our proposal to an example of resource management in a data center setting. We find that a self-adaptive approach to managing resources is multiple orders of magnitude better in terms of energy efficiency, especially as the size of the infrastructure grows, at the expense of slightly lower performance (&amp;lt; 10 % ). ¬© 2023, The Author(s), under exclusive license to Springer Nature Switzerland AG.</t>
  </si>
  <si>
    <t>Energy efficiency; Performance measurement; Self-adaptation</t>
  </si>
  <si>
    <t>Hasan, Soyaba (58620657600); Elkhatib, Yehia (55777338100)</t>
  </si>
  <si>
    <t>58620657600; 55777338100</t>
  </si>
  <si>
    <t>Lecture Notes on Data Engineering and Communications Technologies</t>
  </si>
  <si>
    <t>https://www.scopus.com/inward/record.uri?eid=2-s2.0-85172420363&amp;doi=10.1007%2f978-3-031-43247-7_12&amp;partnerID=40&amp;md5=8ba47af281fddd0bca1039a54fc6cca6</t>
  </si>
  <si>
    <t>2-s2.0-85172420363</t>
  </si>
  <si>
    <t>Adaptive systems; Information management; Real time systems; Comprehensive evaluation; Customizable; Data driven decision; Human intervention; Performance; Performance measurements; Real- time; Self energy; Self- adaptations; Self-adaptive system; Energy efficiency</t>
  </si>
  <si>
    <t>Guldner A.; Hoffmann M.; Lohr C.; MacHhamer R.; Malburg L.; Morgen M.; Rodermund S.C.; Sch√§fer F.; Schaupeter L.; Schneider J.; Theusch F.; Bergmann R.; Dartmann G.; Kuhn N.; Naumann S.; Timm I.J.; Vette-Steinkamp M.; Weyers B.</t>
  </si>
  <si>
    <t>A framework for AI-based self-adaptive cyber-physical process systems</t>
  </si>
  <si>
    <t>10.1515/itit-2023-0001</t>
  </si>
  <si>
    <t>Digital transformation is both an opportunity and a challenge. To take advantage of this opportunity for humans and the environment, the transformation process must be understood as a design process that affects almost all areas of life. In this paper, we investigate AI-Based Self-Adaptive Cyber-Physical Process Systems (AI-CPPS) as an extension of the traditional CPS view. As contribution, we present a framework that addresses challenges that arise from recent literature. The aim of the AI-CPPS framework is to enable an adaptive integration of IoT environments with higher-level process-oriented systems. In addition, the framework integrates humans as actors into the system, which is often neglected by recent related approaches. The framework consists of three layers, i.e., processes, semantic modeling, and systems and actors, and we describe for each layer challenges and solution outlines for application. We also address the requirement to enable the integration of new networked devices under the premise of a targeted process that is optimally designed for humans, while profitably integrating AI and IoT. It is expected that AI-CPPS can contribute significantly to increasing sustainability and quality of life and offer solutions to pressing problems such as environmental protection, mobility, or demographic change. Thus, it is all the more important that the systems themselves do not become a driver of resource consumption.  ¬© 2023 the author(s), published by De Gruyter, Berlin/Boston.</t>
  </si>
  <si>
    <t>artificial intelligence; business process management; cyber-physical-systems; framework; Green AI; process-aware information system</t>
  </si>
  <si>
    <t>Guldner, Achim (56768251200); Hoffmann, Maximilian (57200742564); Lohr, Christian (57223004316); MacHhamer, R√ºdiger (57205379150); Malburg, Lukas (57203922981); Morgen, Marlies (57218271660); Rodermund, Stephanie C. (57195492235); Sch√§fer, Florian (58345598000); Schaupeter, Lars (58342364500); Schneider, Jens (57215608395); Theusch, Felix (58344316300); Bergmann, Ralph (57193551665); Dartmann, Guido (24777904900); Kuhn, Norbert (36080790600); Naumann, Stefan (27067840500); Timm, Ingo J. (7801465375); Vette-Steinkamp, Matthias (35489539800); Weyers, Benjamin (27568181800)</t>
  </si>
  <si>
    <t>56768251200; 57200742564; 57223004316; 57205379150; 57203922981; 57218271660; 57195492235; 58345598000; 58342364500; 57215608395; 58344316300; 57193551665; 24777904900; 36080790600; 27067840500; 7801465375; 35489539800; 27568181800</t>
  </si>
  <si>
    <t>IT - Information Technology</t>
  </si>
  <si>
    <t>https://www.scopus.com/inward/record.uri?eid=2-s2.0-85162805612&amp;doi=10.1515%2fitit-2023-0001&amp;partnerID=40&amp;md5=4392e7d20fdc2b9bd8cb1097532d5639</t>
  </si>
  <si>
    <t>2-s2.0-85162805612</t>
  </si>
  <si>
    <t>Embedded systems; Enterprise resource management; Information management; Internet of things; Semantics; Sustainable development; Business Process; Business process management; Cybe-physical systems; Cyber physicals; Cyber-physical systems; Framework; Green AI; Physical process; Process management; Process-aware information systems; Cyber Physical System</t>
  </si>
  <si>
    <t>Pozueco L.; Gupta N.; Paneda X.G.; Corcoba V.; Melendi D.; Garcia R.; Rionda A.</t>
  </si>
  <si>
    <t>Data Analytics to Support a Smart Fleet Management Strategy</t>
  </si>
  <si>
    <t>10.1109/MITS.2022.3208316</t>
  </si>
  <si>
    <t>The correct application of efficient and safe driving techniques plays an important role for professional drivers. Monitoring and analyzing driving data can promote changes in the sector in terms of the better use of vehicles, reduction in energy consumption, and improved on-road safety. However, the results in driving performance can vary considerably among different fleets that have received the same training in efficient and safe driving. The aim of this article is to perform an in-depth analysis of the driving performance of professional drivers during their working day, taking into account the influence of fleet management decisions. For this, we have selected four urban public transport companies with clear differences in terms of the employees scheduled and rostered drivers to bus lines. The driving behavior of 745 drivers has been evaluated over a period of 10 months, considering performance in terms of efficient and safe driving through the use of driving patterns. A total of 6,517,983.995 km of real-time driving data retrieved from vehicles every 1.5 s has been analyzed. The results show significant differences in the evolution and acquisition of new driving habits. In addition, significant observations from this article provide valuable information for fleet managers and allow them take advantage of data provided by the adoption of intelligent transportation systems.  ¬© 2009-2012 IEEE.</t>
  </si>
  <si>
    <t>Pozueco, Laura (36160599900); Gupta, Nishu (55441680400); Paneda, Xabiel G. (6506137896); Corcoba, Victor (55621378000); Melendi, David (10739633200); Garcia, Roberto (35089936900); Rionda, Abel (25961035100)</t>
  </si>
  <si>
    <t>36160599900; 55441680400; 6506137896; 55621378000; 10739633200; 35089936900; 25961035100</t>
  </si>
  <si>
    <t>IEEE Intelligent Transportation Systems Magazine</t>
  </si>
  <si>
    <t>https://www.scopus.com/inward/record.uri?eid=2-s2.0-85139827122&amp;doi=10.1109%2fMITS.2022.3208316&amp;partnerID=40&amp;md5=15dcda0f53095a0bfcdc85bb4d490a65</t>
  </si>
  <si>
    <t>2-s2.0-85139827122</t>
  </si>
  <si>
    <t>Accident prevention; Automobile drivers; Behavioral research; Data Analytics; Energy utilization; Fleet operations; Information management; Intelligent systems; Intelligent vehicle highway systems; Interactive computer systems; Urban transportation; Vehicles; Behavioral science; Data analytics; Driving performance; Driving techniques; Fleet management; Management strategies; Professional drivers; Real - Time system; Reduction in energy consumption; Safe driving; Real time systems</t>
  </si>
  <si>
    <t>Fereira R.; Ranaweera C.; Lee K.; Schneider J.-G.</t>
  </si>
  <si>
    <t>Energy Efficient Node Selection in Edge-Fog-Cloud Layered IoT Architecture</t>
  </si>
  <si>
    <t>10.3390/s23136039</t>
  </si>
  <si>
    <t>Internet of Things (IoT) architectures generally focus on providing consistent performance and reliable communications. The convergence of IoT, edge, fog, and cloud aims to improve the quality of service of applications, which does not typically emphasize energy efficiency. Considering energy in IoT architectures would reduce the energy impact from billions of IoT devices. The research presented in this paper proposes an optimization framework that considers energy consumption of nodes when selecting a node for processing an IoT request in edge-fog-cloud layered architecture. The IoT use cases considered in this paper include smart grid, autonomous vehicles, and eHealth. The proposed framework is evaluated using CPLEX simulations. The results provide insights into mechanisms that can be used to select nodes energy-efficiently whilst meeting the application requirements and other network constraints in multi-layered IoT architectures. ¬© 2023 by the authors.</t>
  </si>
  <si>
    <t>cloud; edge computing; energy; fog; ILP; IoT; node selection; optimal</t>
  </si>
  <si>
    <t>Fereira, Rolden (58174507100); Ranaweera, Chathurika (54788352500); Lee, Kevin (35762723800); Schneider, Jean-Guy (7404423027)</t>
  </si>
  <si>
    <t>https://www.scopus.com/inward/record.uri?eid=2-s2.0-85164845376&amp;doi=10.3390%2fs23136039&amp;partnerID=40&amp;md5=7521727c58a074d22a88847f744ce190</t>
  </si>
  <si>
    <t>2-s2.0-85164845376</t>
  </si>
  <si>
    <t>Autonomous Vehicles; Communication; Computer Systems; Conservation of Energy Resources; Internet of Things; Edge computing; Energy efficiency; Energy utilization; Fog; Fog computing; Green computing; Network architecture; Quality of service; Smart power grids; Consistent performance; Edge computing; Energy; Energy efficient; ILP; Internet of things architectures; Node selection; Optimal; Quality-of-service; Reliable communication; autonomous vehicle; energy conservation; internet of things; interpersonal communication; Internet of things</t>
  </si>
  <si>
    <t>Li C.; Liu Y.; Zhang Y.; Xu M.; Xiao J.; Zhou J.</t>
  </si>
  <si>
    <t>A Novel Nature-Inspired Routing Scheme for Improving Routing Quality of Service in Power Grid Monitoring Systems</t>
  </si>
  <si>
    <t>10.1109/JSYST.2022.3192856</t>
  </si>
  <si>
    <t>In the process of power grid monitoring, image data are mostly transmitted in segments by wireless image sensor networks (WISNs), and the external attacks or interference on a communication link easily causes the data to be retransmitted. Therefore, high quality of service (QoS) routing is essential to the secure and robust operation of the WISNs. Specifically, the QoS routing optimization in WISN is a nondeterministic polynomial hard problem, which usually cannot be solved by ordinary algorithms. Based on this motivation, a novel heuristic trust scheme (i.e., multi-objective trust routing scheme based on cloned elite slime mould algorithm (CESMA-MTRS)) is proposed to greatly improve the security and QoS of WISN. The scheme designs a novel trust difference test mechanism to enhance the identification of malicious nodes. Furthermore, a new elite archiving strategy and clone optimization strategy are designed to improve the convergence speed of grid monitoring data transmission routing search. The simulation results show that when the network scale is 100 and the attacked node scale is 30%, CESMA-MTRS reduces the delay by 8% and 15% and the packet loss rate by 24% and 27%, respectively, compared with trust-based routing protocol called the On-demand trust-based multicast routing protocol (ODTMRP) and evolutionary selfcooperative trust approach. ¬© 2007-2012 IEEE.</t>
  </si>
  <si>
    <t>Power grid monitoring; quality of service; slime mold algorithm; trust mechanism; wireless image sensor network</t>
  </si>
  <si>
    <t>Li, Chaoqun (57222633160); Liu, Yang (57202363646); Zhang, Yao (57223015108); Xu, Mengying (57210221091); Xiao, Jing (57222637979); Zhou, Jie (57195318093)</t>
  </si>
  <si>
    <t>57222633160; 57202363646; 57223015108; 57210221091; 57222637979; 57195318093</t>
  </si>
  <si>
    <t>https://www.scopus.com/inward/record.uri?eid=2-s2.0-85135756210&amp;doi=10.1109%2fJSYST.2022.3192856&amp;partnerID=40&amp;md5=79859f185b31b092fce2fc95118fc9a2</t>
  </si>
  <si>
    <t>2-s2.0-85135756210</t>
  </si>
  <si>
    <t>Ant colony optimization; Electric power transmission networks; Grid computing; Internet protocols; Monitoring; Peer to peer networks; Routing protocols; Sensor nodes; Delay; Grid monitoring; Image sensor networks; Peer-to-peer computing; Power grid monitoring; Power grids; Quality-of-service; Routing-protocol; Routings; Slime mold algorithm; Slime moulds; Trust mechanism; Wireless image sensor network; Quality of service</t>
  </si>
  <si>
    <t>M√°rquez G.; Astudillo H.; Kazman R.</t>
  </si>
  <si>
    <t>Architectural tactics in software architecture: A systematic mapping study</t>
  </si>
  <si>
    <t>10.1016/j.jss.2022.111558</t>
  </si>
  <si>
    <t>Architectural tactics are a key abstraction of software architecture, and support the systematic design and analysis of software architectures to satisfy quality attributes. Since originally proposed in 2003, architectural tactics have been extended and adapted to address additional quality attributes and newer kinds of systems, making quite hard for researchers and practitioners to master this growing body of specialized knowledge. This paper presents the design, execution and results of a systematic mapping study of architectural tactics in software architecture literature. The study found 552 studies in well-known digital libraries, of which 79 were selected and 12 more were added with snowballing, giving a total of 91 primary studies. Key findings are: (i) little rigor has been used to characterize and define architectural tactics; (ii) most architectural tactics proposed in the literature do not conform to the original definition; and (iii) there is little industrial evidence about the use of architectural tactics. This study organizes and summarizes the scientific literature to date about architectural tactics, identifies research opportunities, and argues for the need of more systematic definition and description of tactics. Editor's note: Open Science material was validated by the Journal of Systems and Software Open Science Board. ¬© 2022 Elsevier Inc.</t>
  </si>
  <si>
    <t>Architectural tactics; Quality attributes; Software architecture; Systematic mapping study</t>
  </si>
  <si>
    <t>M√°rquez, Gast√≥n (56160547700); Astudillo, Hern√°n (6603646692); Kazman, Rick (7004264219)</t>
  </si>
  <si>
    <t>56160547700; 6603646692; 7004264219</t>
  </si>
  <si>
    <t>https://www.scopus.com/inward/record.uri?eid=2-s2.0-85143753938&amp;doi=10.1016%2fj.jss.2022.111558&amp;partnerID=40&amp;md5=c068860c55e58bf318d02df5885e201d</t>
  </si>
  <si>
    <t>2-s2.0-85143753938</t>
  </si>
  <si>
    <t>Digital libraries; Mapping; Architectural tactic; Design and analysis; Growing bodies; Open science; Quality attributes; Software support; Specialized knowledge; Systematic analysis; Systematic designs; Systematic mapping studies; Software architecture</t>
  </si>
  <si>
    <t>Denninnart C.; Chanikaphon T.; Amini Salehi M.</t>
  </si>
  <si>
    <t>Efficiency in the serverless cloud paradigm: A survey on the reusing and approximation aspects</t>
  </si>
  <si>
    <t>10.1002/spe.3233</t>
  </si>
  <si>
    <t>Serverless computing along with Function-as-a-Service (FaaS) is forming a new computing paradigm that is anticipated to found the next generation of cloud systems. The popularity of this paradigm is due to offering a highly transparent infrastructure that enables user applications to scale in the granularity of their functions. Since these often small and single-purpose functions are managed on shared computing resources behind the scene, a great potential for computational reuse and approximate computing emerges that if unleashed, can remarkably improve the efficiency of serverless cloud systems‚Äîboth from the user's QoS and system's (energy consumption and incurred cost) perspectives. Accordingly, the goal of this survey study is to, first, unfold the internal mechanics of serverless computing and, second, explore the scope for efficiency within this paradigm via studying function reuse and approximation approaches and discussing the pros and cons of each one. Next, we outline potential future research directions within this paradigm that can either unlock new use cases or make the paradigm more efficient. ¬© 2023 John Wiley &amp; Sons Ltd.</t>
  </si>
  <si>
    <t>approximate computing; computational reuse; serverless; survey</t>
  </si>
  <si>
    <t>Denninnart, Chavit (57204725093); Chanikaphon, Thanawat (58350677100); Amini Salehi, Mohsen (7006812609)</t>
  </si>
  <si>
    <t>57204725093; 58350677100; 7006812609</t>
  </si>
  <si>
    <t>https://www.scopus.com/inward/record.uri?eid=2-s2.0-85162848386&amp;doi=10.1002%2fspe.3233&amp;partnerID=40&amp;md5=fdfc5849b94c06be6e8a79b8051dabc1</t>
  </si>
  <si>
    <t>2-s2.0-85162848386</t>
  </si>
  <si>
    <t>Computational efficiency; Energy efficiency; Green computing; Approximate computing; Approximation approach; Cloud systems; Computational reuse; Computing paradigm; Computing resource; Future research directions; Reuse; Serverless; System energy consumption; Energy utilization</t>
  </si>
  <si>
    <t>Tang Y.; Deng X.; Yi L.; Xia Y.; Yang L.T.; Tang X.</t>
  </si>
  <si>
    <t>Collaborative Intelligent Confident Information Coverage Node Sleep Scheduling for 6G-Empowered Green IoT</t>
  </si>
  <si>
    <t>10.1109/TGCN.2022.3193996</t>
  </si>
  <si>
    <t>The Internet of Things (IoT) enabled by 6G increases the number of devices and users exponentially. 6G IoT will cover the overall domain of the world. Due to the limited resources in the IoT environment, greener and smarter networks are indispensable for the sustainable development of the 6G IoT. In this paper, the issue of improving resource efficiency and extending network lifetime is studied. We propose a novel Confidence Information Coverage (CIC) node sleep scheduling algorithm based on reinforcement learning (CICRL). In CICRL, collaborative intelligence is achieved through Q-learning to meet the coverage rate with the least active nodes, thus balancing the energy consumption and prolonging the network lifetime. Compared with the Coordination Algorithm based on Reinforcement Learning (COORD), Low-Energy Adaptive Clustering Hierarchy (LEACH) and Sleep Scheduling Approach based on Learning Automata (PCLA), the simulation results demonstrate that the proposed algorithm satisfies coverage with fewer active nodes and improves the network lifetime substantially. ¬© 2017 IEEE.</t>
  </si>
  <si>
    <t>6G; confident information coverage model (CIC); Green IoT; network lifetime; reinforcement learning; sleep scheduling</t>
  </si>
  <si>
    <t>Tang, Yong (57225995286); Deng, Xianjun (55822608300); Yi, Lingzhi (56562411000); Xia, Yunzhi (57476553400); Yang, Laurence T. (57203323020); Tang, Xiao (57188926442)</t>
  </si>
  <si>
    <t>57225995286; 55822608300; 56562411000; 57476553400; 57203323020; 57188926442</t>
  </si>
  <si>
    <t>https://www.scopus.com/inward/record.uri?eid=2-s2.0-85135754032&amp;doi=10.1109%2fTGCN.2022.3193996&amp;partnerID=40&amp;md5=4b019682c2044d36b5f75233ce48d3de</t>
  </si>
  <si>
    <t>2-s2.0-85135754032</t>
  </si>
  <si>
    <t>Clustering algorithms; Internet of things; Learning algorithms; Low power electronics; Reinforcement learning; Scheduling; Scheduling algorithms; Sleep research; Sustainable development; 6g; 6g mobile communication; Confident information coverage model; Coverage models; Energy-consumption; Green internet of thing; Green internets; Green products; Information coverage; Mobile communications; Network lifetime; Reinforcement learnings; Sleep scheduling; Energy utilization</t>
  </si>
  <si>
    <t>Sadad T.; Safran M.; Khan I.; Alfarhood S.; Khan R.; Ashraf I.</t>
  </si>
  <si>
    <t>Efficient Classification of ECG Images Using a Lightweight CNN with Attention Module and IoT</t>
  </si>
  <si>
    <t>10.3390/s23187697</t>
  </si>
  <si>
    <t>Cardiac disorders are a leading cause of global casualties, emphasizing the need for the initial diagnosis and prevention of cardiovascular diseases (CVDs). Electrocardiogram (ECG) procedures are highly recommended as they provide crucial cardiology information. Telemedicine offers an opportunity to provide low-cost tools and widespread availability for CVD management. In this research, we proposed an IoT-based monitoring and detection system for cardiac patients, employing a two-stage approach. In the initial stage, we used a routing protocol that combines routing by energy and link quality (REL) with dynamic source routing (DSR) to efficiently collect data on an IoT healthcare platform. The second stage involves the classification of ECG images using hybrid-based deep features. Our classification system utilizes the ‚ÄúECG Images dataset of Cardiac Patients‚Äù, comprising 12-lead ECG images with four distinct categories: abnormal heartbeat, myocardial infarction (MI), previous history of MI, and normal ECG. For feature extraction, we employed a lightweight CNN, which automatically extracts relevant ECG features. These features were further optimized through an attention module, which is the method‚Äôs main focus. The model achieved a remarkable accuracy of 98.39%. Our findings suggest that this system can effectively aid in the identification of cardiac disorders. The proposed approach combines IoT, deep learning, and efficient routing protocols, showcasing its potential for improving CVD diagnosis and management. ¬© 2023 by the authors.</t>
  </si>
  <si>
    <t>cardiovascular diseases (CVDs); CNN; deep learning; ECG; IoT</t>
  </si>
  <si>
    <t>Sadad, Tariq (57204044966); Safran, Mejdl (55317461800); Khan, Inayat (57189853778); Alfarhood, Sultan (57126431900); Khan, Razaullah (57203139884); Ashraf, Imran (57195478761)</t>
  </si>
  <si>
    <t>57204044966; 55317461800; 57189853778; 57126431900; 57203139884; 57195478761</t>
  </si>
  <si>
    <t>https://www.scopus.com/inward/record.uri?eid=2-s2.0-85172722809&amp;doi=10.3390%2fs23187697&amp;partnerID=40&amp;md5=c5056834d56c221cf0cc86c84ae2e4c8</t>
  </si>
  <si>
    <t>2-s2.0-85172722809</t>
  </si>
  <si>
    <t>Electrocardiography; Heart Diseases; Heart Rate; Humans; Myocardial Infarction; Telemedicine; Cardiology; Classification (of information); Deep learning; Diseases; Heart; Image classification; Internet of things; Cardiac disorders; Cardiac patients; Cardiovascular disease; Deep learning; Disease management; IoT; Low cost tools; Myocardial Infarction; Routing-protocol; electrocardiography; heart disease; heart infarction; heart rate; human; telemedicine; Electrocardiograms</t>
  </si>
  <si>
    <t>Yuan J.; Xiang Y.; Deng Y.; Zhou Y.; Min G.</t>
  </si>
  <si>
    <t>UPOA: A User Preference Based Latency and Energy Aware Intelligent Offloading Approach for Cloud-Edge Systems</t>
  </si>
  <si>
    <t>10.1109/TCC.2022.3193709</t>
  </si>
  <si>
    <t>Task offloading has been widely used to extend the battery life of intelligent mobile devices. Existing task offloading approaches, focusing on perfecting the balance between latency and energy consumption, completely ignore the impacts of the user preference caused by low battery anxiety. The existence of low battery anxiety - mobile users‚Äô common fear of losing battery energy, especially when the battery energy is already low - causes users to trade high latency for prolonged battery life. Taking into account the user preference impacts on task offloading, we propose a novel offloading approach called UPOA to obtain refined offloading policies between low latency and energy consumption based on user preferences. In UPOA, we start the study by defining a user preference rule that determines users‚Äô offloading preferences according to battery energy status. Then, we build a fine-grained task offloading model to delineate the task distribution characteristics of each node in its offloading link. Guided by this model, we develop a task prediction algorithm based on the long-short-term-memory neural network model to provide task predictions that facilitate offloading policies. Lastly, we implement a particle-swarm-optimization-based online offloading algorithm. The offloading algorithm provides the best long-term offloading policies by incorporating the user preference determined by our user preference rule and the task predictions generated by our task prediction algorithm. To quantitatively evaluate the performance of UPOA, we conduct extensive experiments in a real-world cloud-edge environment. We compare UPOA with three state-of-the-art offloading approaches, DRA, DRL-E2D, and MUDRL under various conditions. Experimental results demonstrate that UPOA can make effective policies based on user preferences compared with the existing approaches. UPOA reduces average latency by 12.49% when battery energy is sufficient and extends battery life by 20.14% when battery energy is low. ¬© 2022 IEEE.</t>
  </si>
  <si>
    <t>artificial intelligence; Cloud-edge system; low battery anxiety; task offloading; user preference</t>
  </si>
  <si>
    <t>Yuan, Jingling (7403401516); Xiang, Yao (57195332477); Deng, Yuhui (20734156700); Zhou, Yi (57191258697); Min, Geyong (7102053498)</t>
  </si>
  <si>
    <t>7403401516; 57195332477; 20734156700; 57191258697; 7102053498</t>
  </si>
  <si>
    <t>https://www.scopus.com/inward/record.uri?eid=2-s2.0-85135760535&amp;doi=10.1109%2fTCC.2022.3193709&amp;partnerID=40&amp;md5=78fcb0779a146174ca64f2a454e4c77d</t>
  </si>
  <si>
    <t>2-s2.0-85135760535</t>
  </si>
  <si>
    <t>computation offloading; Electric batteries; Forecasting; Job analysis; Particle swarm optimization (PSO); Power management; Anxiety disorder; Battery; Cloud-edge system; Computational modelling; Energy-consumption; Low battery anxiety; Low-latency communication; Prediction algorithms; Task analysis; Task offloading; User's preferences; Energy utilization</t>
  </si>
  <si>
    <t>Parker J.; Nagothu D.; Chen Y.</t>
  </si>
  <si>
    <t>Decentralized Vehicular Identification and Tracking on Lightweight IoT Edge Nodes</t>
  </si>
  <si>
    <t>10.1109/NAECON58068.2023.10365952</t>
  </si>
  <si>
    <t>Video Surveillance Systems (VSSs) are among the most investigated and widely adopted systems in smart cities by administrative officials for public safety and by private sector individuals to secure residents, employees, and properties. While many new technologies based on Machine Learning (ML) have enabled systems to be utilized for a diverse set of applications, such as license plate detection and car YMM (Year, Make Model) classification, one of the underlying concerns behind VSSs for both public and private sectors is the cost and resource constraints of the devices themselves. Given that optical character recognition and object detection are already computing and data-intensive activities, both in regards to the training of those ML models, as well as the real-time processing of the data, it is highly desired to create or optimize systems to operate on lightweight Internet of Things (IoT) devices. In this paper, we introduce a lightweight scheme for Decentralized Vehicular Identification (DEVID), which is affordable to inexpensive IoT devices as long as they are capable of managing their inputs and outputs (IO) in a fashion that is not costly in terms of storage or power consumption. While the performance in the experimental study is not satisfactory, the DEVID system possesses the potential to be a cost-friendly lightweight solution for smart cities.  ¬© 2023 IEEE.</t>
  </si>
  <si>
    <t>Internet of Things (IoT); Machine Learning (ML); Optical Character Recognition (OCR); Vehicle Tracking; Video Surveillance System (VSS)</t>
  </si>
  <si>
    <t>Parker, John (58813260300); Nagothu, Deeraj (57195493606); Chen, Yu (57203162576)</t>
  </si>
  <si>
    <t>58813260300; 57195493606; 57203162576</t>
  </si>
  <si>
    <t>Proceedings of the IEEE National Aerospace Electronics Conference, NAECON</t>
  </si>
  <si>
    <t>https://www.scopus.com/inward/record.uri?eid=2-s2.0-85182394374&amp;doi=10.1109%2fNAECON58068.2023.10365952&amp;partnerID=40&amp;md5=1577e88405f32085ec05e9ef6e799ff5</t>
  </si>
  <si>
    <t>2-s2.0-85182394374</t>
  </si>
  <si>
    <t>Digital storage; Internet of things; License plates (automobile); Network security; Object detection; Object recognition; Optical character recognition; Real time systems; Security systems; Smart city; Decentralised; Edge nodes; Internet of thing; Machine learning; Machine-learning; Optical character recognition; Private sectors; Public safety; Video surveillance system; Video surveillance systems; Machine learning</t>
  </si>
  <si>
    <t>Alzahrani A.; Tang M.</t>
  </si>
  <si>
    <t>A Microservice-based SaaS Deployment in a Data Center Considering Computational Server and Network Energy Consumption</t>
  </si>
  <si>
    <t>10.1109/CLOUD60044.2023.00067</t>
  </si>
  <si>
    <t>In a data center, deploying a microservice-based SaaS will result in a spike in energy usage, since the computation servers where the microservices are deployed will consume more energy as a result of an increase in computation workload. The data center's communications network will also consume more energy due to the increased communication among the microservices of the SaaS. Due to the fact that microservice-based SaaS deployment is handled by the developer of the microservice-based SaaS and can only be deployed on virtual machines rented by the developer, this issue cannot be taken into account in traditional microservice-based SaaS deployment methods. In this paper, a new microservice-based SaaS deployment method is proposed. The new approach relies on the data center determining where microservices should be deployed. The new microservice-based SaaS deployment method considers the energy increase in the computation servers and in the communication network. The microservice-based SaaS deployment problem is a combinatorial optimization problem. Thus, a genetic algorithm with repairing mechanism is proposed to solve the problem. Compared to traditional deployment approach, the proposed method is capable of reducing the energy consumption associated with microservice-based SaaS deployment by 37.55%. ¬© 2023 IEEE.</t>
  </si>
  <si>
    <t>Cloud computing; Data center; Deployment; Energy consumption; Genetic algorithm; Microservice; Optimization; Software as a Service</t>
  </si>
  <si>
    <t>Alzahrani, Amal (57219756909); Tang, Maolin (55367854400)</t>
  </si>
  <si>
    <t>57219756909; 55367854400</t>
  </si>
  <si>
    <t>IEEE International Conference on Cloud Computing, CLOUD</t>
  </si>
  <si>
    <t>https://www.scopus.com/inward/record.uri?eid=2-s2.0-85174232361&amp;doi=10.1109%2fCLOUD60044.2023.00067&amp;partnerID=40&amp;md5=d89946513257dd6a282402d48f461af4</t>
  </si>
  <si>
    <t>2-s2.0-85174232361</t>
  </si>
  <si>
    <t>Genetic algorithms; Green computing; Software as a service (SaaS); Cloud-computing; Communications networks; Datacenter; Deployment; Deployment methods; Energy; Energy-consumption; Microservice; Optimisations; Software-as-a- Service (SaaS); Energy utilization</t>
  </si>
  <si>
    <t>Gonz√°lez Ch√°vez C.A.; Unamuno G.; Despeisse M.; Johansson B.; Romero D.; Stahre J.</t>
  </si>
  <si>
    <t>Analyzing the risks of digital servitization in the machine tool industry</t>
  </si>
  <si>
    <t>10.1016/j.rcim.2022.102520</t>
  </si>
  <si>
    <t>The machine tool industry plays a major role in the execution of high-quality and efficient complex manufacturing processes. The adoption of digital technologies can transform production systems into more connected, adaptive, efficient, and potentially sustainable systems. A key enabler of this transformation is servitization, a business model that builds on digitalization and data capture to deliver value through services. Digital services for machine tools typically use data obtained through highly connected manufacturing environments, providing visibility of complex lifecycles, and enabling better decision-making. However, an understanding of digital servitization to support the machine tools industry is still emerging and for most industrial actors the potential risks are unclear. The findings of this study describe potential applications of digital servitization in the machine tool industry, synthesize the identified risks from practitioners‚Äô perspectives, and provide mitigation and contingency activities. This study contributes to bridging the gap between theory and practice by clarifying companies‚Äô needed considerations before implementing digital services in the machine tool industry. ¬© 2022</t>
  </si>
  <si>
    <t>Digital services; Digitalization; Machine tools; Manufacturing; Risk analysis; Servitization</t>
  </si>
  <si>
    <t>Gonz√°lez Ch√°vez, Clarissa A. (57210392707); Unamuno, Gorka (56166698300); Despeisse, M√©lanie (55510095500); Johansson, Bj√∂rn (58084901200); Romero, David (55828150491); Stahre, Johan (8568420500)</t>
  </si>
  <si>
    <t>57210392707; 56166698300; 55510095500; 58084901200; 55828150491; 8568420500</t>
  </si>
  <si>
    <t>Robotics and Computer-Integrated Manufacturing</t>
  </si>
  <si>
    <t>https://www.scopus.com/inward/record.uri?eid=2-s2.0-85146276652&amp;doi=10.1016%2fj.rcim.2022.102520&amp;partnerID=40&amp;md5=83e5359a7486e58188c4f6d9657aff27</t>
  </si>
  <si>
    <t>2-s2.0-85146276652</t>
  </si>
  <si>
    <t>Decision making; Life cycle; Machine tools; Metadata; Risk assessment; Complex manufacturing process; Digital services; Digital technologies; Digitalization; High efficient; High quality; Machine tool industry; Manufacturing; Production system; Servitization; Risk analysis</t>
  </si>
  <si>
    <t>Jiang J.; Guo J.; Khan M.; Cui Y.; Lin W.</t>
  </si>
  <si>
    <t>Energy-saving Service Offloading for the Internet of Medical Things Using Deep Reinforcement Learning</t>
  </si>
  <si>
    <t>10.1145/3560265</t>
  </si>
  <si>
    <t>As a critical branch of the Internet of Things (IoT) in the medicine industry, the Internet of Medical Things (IoMT) significantly improves the quality of healthcare due to its real-time monitoring and low medical cost. Benefiting from edge and cloud computing, IoMT is provided with more computing and storage resources near the terminal to meet the low-delay requirements of computation-intensive services. However, the service offloading from health monitoring units (HMUs) to edge servers generates additional energy consumption. Fortunately, artificial intelligence (AI), which has developed rapidly in recent years, has proved effective in some resource allocation applications. Taking both energy consumption and delay into account, we propose an energy-aware service offloading algorithm under an end-edge-cloud collaborative IoMT system with Asynchronous Advantage Actor-critic (A3C), named ECAC. Technically, ECAC uses the structural similarity between the natural distributed IoMT system and A3C, whose parameters are asynchronously updated. Besides, due to the typical delay-sensitivity mechanism and time-energy correction, ECAC can adjust dynamically to the diverse service types and system requirements. Finally, the effectiveness of ECAC for IoMT is proved on real data.  ¬© 2023 Association for Computing Machinery.</t>
  </si>
  <si>
    <t>asynchronous advantage actor-critic; deep reinforcement learning; internet of medical things; Service offloading</t>
  </si>
  <si>
    <t>Jiang, Jielin (56113461500); Guo, Jiajie (58515256800); Khan, Maqbool (57189249482); Cui, Yan (54782293200); Lin, Wenmin (36617834900)</t>
  </si>
  <si>
    <t>56113461500; 58515256800; 57189249482; 54782293200; 36617834900</t>
  </si>
  <si>
    <t>ACM Transactions on Sensor Networks</t>
  </si>
  <si>
    <t>https://www.scopus.com/inward/record.uri?eid=2-s2.0-85166311048&amp;doi=10.1145%2f3560265&amp;partnerID=40&amp;md5=f125f2f8c586acd7b06e696b6f109ef8</t>
  </si>
  <si>
    <t>2-s2.0-85166311048</t>
  </si>
  <si>
    <t>Computation offloading; Deep learning; Digital storage; Energy conservation; Energy utilization; Green computing; Internet of things; Power management; Web services; Actor critic; Asynchronoi advantage actor-critic; Deep reinforcement learning; Energy  savings; Energy-consumption; Energy-savings; Internet of medical thing; Quality of health care; Reinforcement learnings; Service offloading; Reinforcement learning</t>
  </si>
  <si>
    <t>Kamarudin I.E.; Ameedeen M.A.; Razak M.F.A.; Zabidi A.</t>
  </si>
  <si>
    <t>Integrating Edge Computing and Software Defined Networking in Internet of Things: A Systematic Review</t>
  </si>
  <si>
    <t>10.52866/ijcsm.2023.04.04.011</t>
  </si>
  <si>
    <t>The Internet of Things (IoT) has transformed our interaction with the world by connecting devices, sensors, and systems to the Internet, enabling real-time monitoring, control, and automation in various applications such as smart cities, healthcare, transportation, homes, and grids. However, challenges related to latency, privacy, and bandwidth have arisen due to the massive influx of data generated by IoT devices and the limitations of traditional cloud-based architectures. Moreover, network management, interoperability, security, and scalability issues have emerged due to the rapid growth and heterogeneous nature of IoT devices. To overcome such problems, researchers proposed a new architecture called Software Defined Networking for Edge Computing in the Internet of Things (SDN-EC-IoT), which combines Edge Computing for the Internet of Things (EC-IoT) and Software Defined Internet of Things (SDIoT). Although researchers have studied EC-IoT and SDIoT as individual architectures, they have not yet addressed the combination of both, creating a significant gap in our understanding of SDN-EC-IoT. This paper aims to fill this gap by presenting a comprehensive review of how the SDN-EC-IoT paradigm can solve IoT challenges. To achieve this goal, this study conducted a literature review covering 74 articles published between 2019 and 2023. Finally, this paper identifies future research directions for SDN-EC-IoT, including the development of interoperability platforms, scalable architectures, low latency and Quality of Service (QoS) guarantees, efficient handling of big data, enhanced security and privacy, optimized energy consumption, resource-aware task offloading, and incorporation of machine learning. ¬© 2023 College of Education, Al-Iraqia University. All rights reserved.</t>
  </si>
  <si>
    <t>Edge Computing (EC); Internet of Things (IoT); Software Defined Networking (SDN)</t>
  </si>
  <si>
    <t>Kamarudin, Imran Edzereiq (55841882300); Ameedeen, Mohamed Ariff (25654017200); Razak, Mohd Faizal Ab (57221970847); Zabidi, Azlee (35093630300)</t>
  </si>
  <si>
    <t>55841882300; 25654017200; 57221970847; 35093630300</t>
  </si>
  <si>
    <t>Iraqi Journal for Computer Science and Mathematics</t>
  </si>
  <si>
    <t>https://www.scopus.com/inward/record.uri?eid=2-s2.0-85183452602&amp;doi=10.52866%2fijcsm.2023.04.04.011&amp;partnerID=40&amp;md5=d022c61773cb02fcf4ac6d8481c1eea4</t>
  </si>
  <si>
    <t>2-s2.0-85183452602</t>
  </si>
  <si>
    <t>Edge computing; Energy utilization; Interoperability; Network architecture; Quality of service; Real time systems; Software defined networking; Edge computing; Internet of thing; Monitoring automation; Real time monitoring; Real-time automation; Real-time control; Software defined networking; Software-defined networkings; Systematic Review; Internet of things</t>
  </si>
  <si>
    <t>Sharma P.; Gupta P.K.</t>
  </si>
  <si>
    <t>Novel Particle Bee Optimisation based Framework for Fault Tolerance in Fog Environment</t>
  </si>
  <si>
    <t>10.1088/1742-6596/2570/1/012029</t>
  </si>
  <si>
    <t>Fog Computing characteristics have fascinated its services in many applicability areas such as Industrial IoT, health monitoring systems and high performance computing, weather forecasting, agronomy, etc. Here, data is captured using the various sensor nodes installed at different locations and further processed by a cloud-based server to obtain the desired results. Heterogeneity of fog nodes and end devices in fog computing architecture is a major feature that helps to utilize already existing computing resources, yet it complicates the managing process. Such a diversified environment must be considered when designing fog environments in terms of computing capabilities, power consumption, and connectivity. In this work An efficient Novel Particle Bee Optimization based Fault Tolerance framework has been projected that ensures the implementation of Fog computing in real time. The proposed framework handling live server faults and also diminishes latency and bandwidth usage of the network and improves Quality of Service (QoS). The achieved results for the projected technique represent the reduction of network bandwidth and reduction in overall cost. ¬© 2023 Institute of Physics Publishing. All rights reserved.</t>
  </si>
  <si>
    <t>Checkpoint; Fault tolerance; Fog Computing; Particle Bee Optimization; QoS; Replication</t>
  </si>
  <si>
    <t>Sharma, Pankaj (57204898955); Gupta, P.K. (55466536300)</t>
  </si>
  <si>
    <t>57204898955; 55466536300</t>
  </si>
  <si>
    <t>https://www.scopus.com/inward/record.uri?eid=2-s2.0-85172005714&amp;doi=10.1088%2f1742-6596%2f2570%2f1%2f012029&amp;partnerID=40&amp;md5=578bfff8d32a616889816564ef07c1b5</t>
  </si>
  <si>
    <t>2-s2.0-85172005714</t>
  </si>
  <si>
    <t>Bandwidth; Computer architecture; Energy efficiency; Fault tolerance; Fog; Green computing; Network architecture; Quality of service; Sensor nodes; Weather forecasting; Checkpoint; Cloud-based; End-devices; Health monitoring system; ITS Services; Optimisations; Particle bee optimization; Performance computing; Quality-of-service; Replication; Fog computing</t>
  </si>
  <si>
    <t>Nurwidyantoro A.; Shahin M.; Chaudron M.; Hussain W.; Perera H.; Shams R.A.; Whittle J.</t>
  </si>
  <si>
    <t>Integrating human values in software development using a human values dashboard</t>
  </si>
  <si>
    <t>10.1007/s10664-023-10305-y</t>
  </si>
  <si>
    <t>There is a growing awareness of the importance of human values in software systems. However, limited tools are available to support the integration of human values during software development. Most of these tools are focused on concepts related to specific, well-known human values (e.g., privacy, security) in software engineering. This paper aims to (partially) address this gap by developing a human values dashboard. We conducted a multi-stage study to design, implement and evaluate a human values dashboard. First, an exploratory study was conducted by interviewing 15 software practitioners to investigate the possibility of using a human values dashboard to help address human values in software development, its potential benefits, and required features. Second, we experimented with four Machine Learning approaches to detect the presence of human values in issue discussions. We used the best approach to develop a human values dashboard for software development. The dashboard displays whether any human values are present in each issue discussion. Finally, we interviewed ten different practitioners to investigate the usefulness of the dashboard in practice. This study found that the human values dashboard could help raise awareness, focus attention, and prioritise issues based on the presence of values. This study also identified two potential challenges to the adoption of the dashboard. First, the possible incorrect issues description that can mislead the automated values identification in the dashboard. Second, the lack of willingness of a company to adopt the dashboard. ¬© 2023, The Author(s).</t>
  </si>
  <si>
    <t>Dashboard; GitHub; Human values; Issue discussion</t>
  </si>
  <si>
    <t>Nurwidyantoro, Arif (55869661800); Shahin, Mojtaba (57014668800); Chaudron, Michel (6602727769); Hussain, Waqar (55513236700); Perera, Harsha (57210651422); Shams, Rifat Ara (57205022147); Whittle, Jon (23006933800)</t>
  </si>
  <si>
    <t>55869661800; 57014668800; 6602727769; 55513236700; 57210651422; 57205022147; 23006933800</t>
  </si>
  <si>
    <t>Empirical Software Engineering</t>
  </si>
  <si>
    <t>https://www.scopus.com/inward/record.uri?eid=2-s2.0-85153287877&amp;doi=10.1007%2fs10664-023-10305-y&amp;partnerID=40&amp;md5=120320ea2a79647807b8b6f09e53c22d</t>
  </si>
  <si>
    <t>2-s2.0-85153287877</t>
  </si>
  <si>
    <t>Dashboard; Exploratory studies; Github; Human values; Issue discussion; Machine learning approaches; Multi-stages; Potential benefits; Software practitioners; Software-systems; Software design</t>
  </si>
  <si>
    <t>Martins J.S.B.; Carvalho T.C.; Moreira R.; Both C.B.; Donatti A.; Correa J.H.; Suruagy J.A.; Correa S.L.; Abelem A.J.G.; Ribeiro M.R.N.; Nogueira J.-M.S.; Magalhaes L.C.S.; Wickboldt J.; Ferreto T.C.; Mello R.; Pasquini R.; Schwarz M.; Sampaio L.N.; Macedo D.F.; De Rezende J.F.; Cardoso K.V.; De Oliveira Silva F.</t>
  </si>
  <si>
    <t>Enhancing Network Slicing Architectures With Machine Learning, Security, Sustainability and Experimental Networks Integration</t>
  </si>
  <si>
    <t>10.1109/ACCESS.2023.3292788</t>
  </si>
  <si>
    <t>Network Slicing (NS) is an essential technique extensively used in 5G networks computing strategies, mobile edge computing, mobile cloud computing, and verticals like the Internet of Vehicles and industrial IoT, among others. NS is foreseen as one of the leading enablers for 6G futuristic and highly demanding applications since it allows the optimization and customization of scarce and disputed resources among dynamic, demanding clients with highly distinct application requirements. Various standardization organizations, like 3GPP's proposal for new generation networks and state-of-the-art 5G/6G research projects, are proposing new NS architectures. However, new NS architectures have to deal with an extensive range of requirements that inherently result in having NS architecture proposals typically fulfilling the needs of specific sets of domains with commonalities. The Slicing Future Internet Infrastructures (SFI2) architecture proposal explores the gap resulting from the diversity of NS architectures target domains by proposing a new NS reference architecture with a defined focus on integrating experimental networks and enhancing the NS architecture with Machine Learning (ML) native optimizations, energy-efficient slicing, and slicing-tailored security functionalities. The SFI2 architectural main contribution includes the utilization of the slice-as-a-service paradigm for end-to-end orchestration of resources across multi-domains and multi-technology experimental networks. In addition, the SFI2 reference architecture instantiations will enhance the multi-domain and multi-technology integrated experimental network deployment with native ML optimization, energy-efficient aware slicing, and slicing-tailored security functionalities for the practical domain. ¬© 2013 IEEE.</t>
  </si>
  <si>
    <t>architectural slicing enhancements; energy-efficient slicing; experimental networks integration; ML-native optimization; Network slicing; network slicing architecture; slicing-tailored security</t>
  </si>
  <si>
    <t>Martins, Joberto S. B. (9839723000); Carvalho, Tereza C. (7005958557); Moreira, Rodrigo (57201762405); Both, Cristiano Bonato (24823769500); Donatti, Adnei (57218227203); Correa, Joao H. (57215820064); Suruagy, Jose A. (57212084614); Correa, Sand L. (24823748900); Abelem, Antonio J. G. (6505971129); Ribeiro, Moises R. N. (56036259700); Nogueira, Jose-Marcos S. (35902394900); Magalhaes, Luiz C. S. (56233084000); Wickboldt, Juliano (35147061000); Ferreto, Tiago C. (8255471500); Mello, Ricardo (58481369000); Pasquini, Rafael (15042945800); Schwarz, Marcos (55845253600); Sampaio, Leobino N. (24478808800); Macedo, Daniel F. (8988932700); De Rezende, Jose F. (7006343277); Cardoso, Kleber V. (6603155158); De Oliveira Silva, Flavio (37123860700)</t>
  </si>
  <si>
    <t>9839723000; 7005958557; 57201762405; 24823769500; 57218227203; 57215820064; 57212084614; 24823748900; 6505971129; 56036259700; 35902394900; 56233084000; 35147061000; 8255471500; 58481369000; 15042945800; 55845253600; 24478808800; 8988932700; 7006343277; 6603155158; 37123860700</t>
  </si>
  <si>
    <t>https://www.scopus.com/inward/record.uri?eid=2-s2.0-85164384259&amp;doi=10.1109%2fACCESS.2023.3292788&amp;partnerID=40&amp;md5=cc316996854155266e69ee8f8d8ecd7b</t>
  </si>
  <si>
    <t>2-s2.0-85164384259</t>
  </si>
  <si>
    <t>5G mobile communication systems; Artificial intelligence; Energy efficiency; Learning systems; Mobile cloud computing; Mobile edge computing; Network architecture; Architectural slicing enhancement; Energy efficient; Energy-efficient slicing; Experimental network integration; Machine learning-native optimization; Machine-learning; Network integration; Network slicing; Network slicing architecture; Optimisations; Slicing-tailored security; Network security</t>
  </si>
  <si>
    <t>Wang A.; Yang Y.; Sun S.; Zuo Y.; Wang Z.; Sun H.</t>
  </si>
  <si>
    <t>Developing an Evaluation Model to Measure the Intelligence Level of Smart Industrial Parks</t>
  </si>
  <si>
    <t>10.3390/buildings12101533</t>
  </si>
  <si>
    <t>The intelligent development of smart industrial parks (SIPs) can not only promote the development of smart cities, but also promote the development of intelligent large-scale buildings. China is strengthening the construction of SIPs; however, the development of SIPs is limited. Due to different understandings of SIPs, the intelligence level of each SIP varies greatly. It is necessary to develop a SIP intelligence level assessment model to check these limitations. Most of the existing evaluations focus on the qualitative evaluation of the overall intelligence level of SIPs, ignoring the influence of each individual dimension. Therefore, this study used quantitative methods to measure the intelligence level of SIPs from the overall and dimensional levels. The evaluation method included five processes: (1) Classifying the intelligence level of SIPs through expert interviews; (2) Using the literature analysis method to identify various dimensions of the intelligence level; (3) Using literature analysis and expert interviews to determine the evaluation indicators (4) Weighting indicators based on correlation and induced ordered weighted average (IOWA) operator; (5) Using grey clustering analysis to calculate the overall intelligence performance of SIPs and each dimension. Finally, the developed model was verified by Z SIP. The analysis results show that the developed model can measure both overall and dimensional performance of SIPs, and demonstrated that enterprise information services, public information services, SIP security, and energy consumption monitoring platform construction make the greatest contributions to the improvement of the intelligence level. Our research results will help to improve the intelligence level of SIPs, and lay the foundation for the determination of the operating costs of SIPs and the formulation of national standards related to SIPs in the future. ¬© 2022 by the authors.</t>
  </si>
  <si>
    <t>grey clustering analysis; intelligence level; IOWA operator empowerment; smart industrial park</t>
  </si>
  <si>
    <t>Wang, Ailing (55483873800); Yang, Yixin (57223301288); Sun, Shaonan (36669491800); Zuo, Yiming (57941672900); Wang, Zhihui (57941893600); Sun, Haili (57942536700)</t>
  </si>
  <si>
    <t>55483873800; 57223301288; 36669491800; 57941672900; 57941893600; 57942536700</t>
  </si>
  <si>
    <t>https://www.scopus.com/inward/record.uri?eid=2-s2.0-85140581073&amp;doi=10.3390%2fbuildings12101533&amp;partnerID=40&amp;md5=3bb53f16c85d94df85c62cf254e82ea6</t>
  </si>
  <si>
    <t>2-s2.0-85140581073</t>
  </si>
  <si>
    <t>Lazar R.-G.; Militaru A.-V.; Caruntu C.-F.; Pascal C.; Patachia-Sultanoiu C.</t>
  </si>
  <si>
    <t>Real-Time Data Measurement Methodology to Evaluate the 5G Network Performance Indicators</t>
  </si>
  <si>
    <t>10.1109/ACCESS.2023.3271366</t>
  </si>
  <si>
    <t>The 5G technology offers a higher complexity than earlier generations, introducing a new type of network designed to connect virtually everyone and everything together, including vehicles, smart devices, and road infrastructure, while ensuring security, coverage, and increased performance. Therefore, following all these aspects introduced by 5G technology, different reliability assessments are necessary for optimal operation. This paper presents a practical method of real-time data measurement, which aims to obtain the necessary information to thoroughly evaluate the 5G network. The used hardware setup is based on the SIM8200EA-M2 platform for connecting to different mobile terminals. Moreover, different types of measurements are illustrated, as well as the validation of various 5G network parameters. To evaluate the 5G network performance, several performance indicators resulting from data measurement were analyzed, such as 5G network coverage, signal strength and quality, signal-to-noise ratio, throughput, communication channel quality, and transmission power. The obtained results deal with different aspects of cellular communication and can be used to analyze the 5G networks performance.  ¬© 2013 IEEE.</t>
  </si>
  <si>
    <t>5G technology; cellular communications; network performance indicators; real-time measurement; SIM8200EA-M2 platform</t>
  </si>
  <si>
    <t>Lazar, Razvan-Gabriel (57221006403); Militaru, Andreea-Valentina (57226591577); Caruntu, Constantin-Florin (57198890773); Pascal, Carlos (35105743600); Patachia-Sultanoiu, Cristian (57201698760)</t>
  </si>
  <si>
    <t>57221006403; 57226591577; 57198890773; 35105743600; 57201698760</t>
  </si>
  <si>
    <t>https://www.scopus.com/inward/record.uri?eid=2-s2.0-85159681985&amp;doi=10.1109%2fACCESS.2023.3271366&amp;partnerID=40&amp;md5=4f60ffde5f8b54d383e8995968fce41e</t>
  </si>
  <si>
    <t>2-s2.0-85159681985</t>
  </si>
  <si>
    <t>5G mobile communication systems; Benchmarking; Computer architecture; Interactive computer systems; Long Term Evolution (LTE); Network performance; Quality control; Queueing networks; Signal to noise ratio; 3GPP; 5g mobile communication; 5g technology; Long-term evolution; Mobile communications; Network performance indicator; Performance indicators; Performances evaluation; Real - Time system; Real time measurements; SIM8200EA-m2 platform; Real time systems</t>
  </si>
  <si>
    <t>Laso S.; Flores-Martin D.; Herrera J.L.; Gal√°n-Jim√©nez J.; Berrocal J.</t>
  </si>
  <si>
    <t>Identification and Visualization of a Patient‚Äôs Medical Record via Mobile Devices without an Internet Connection</t>
  </si>
  <si>
    <t>10.3390/electronics12010075</t>
  </si>
  <si>
    <t>Nowadays, people‚Äôs medical records are crucial when it comes to providing treatments, discovering pathologies, or keeping track of health status. Advances in technology have allowed these records to be increasingly digitized, to the point that they can be consulted by specialists from anywhere. This also allows people to report their health status, allergies, or treatments. However, knowing a person‚Äôs medical history is a delicate and complex process, and accessing these digitized data is not always possible due to problems with network connectivity or physical communication with the person. In this work, we propose a solution for medical staff to obtain a patient‚Äôs medical history through facial recognition, and without the need for an internet connection. This proposal is based on the development of an architecture that allows connecting nearby mobile devices of doctors and patients without an internet connection to obtain the desired information using facial recognition as an authentication method. The architecture has been validated with the development of a mobile application that, by focusing on the patient‚Äôs face with the camera of the doctor‚Äôs mobile device, makes it possible to obtain the patient‚Äôs medical information. With this proposal, it is possible to obtain the medical history of a person in dangerous situations or where the connectivity is limited or non-existent, in a simple and fast way. ¬© 2022 by the authors.</t>
  </si>
  <si>
    <t>facial recognition; mobile application; nearby connection; personal healthcare</t>
  </si>
  <si>
    <t>Laso, Sergio (57215899094); Flores-Martin, Daniel (57202682662); Herrera, Juan Luis (57215896262); Gal√°n-Jim√©nez, Jaime (35112903800); Berrocal, Javier (32667521200)</t>
  </si>
  <si>
    <t>57215899094; 57202682662; 57215896262; 35112903800; 32667521200</t>
  </si>
  <si>
    <t>https://www.scopus.com/inward/record.uri?eid=2-s2.0-85145942871&amp;doi=10.3390%2felectronics12010075&amp;partnerID=40&amp;md5=f86afe56f009be2f65aea5db89f916b7</t>
  </si>
  <si>
    <t>2-s2.0-85145942871</t>
  </si>
  <si>
    <t>Mawgoud A.A.; Taha M.H.N.; Abu-Talleb A.; Kotb A.</t>
  </si>
  <si>
    <t>A deep learning based steganography integration framework for ad-hoc cloud computing data security augmentation using the V-BOINC system</t>
  </si>
  <si>
    <t>10.1186/s13677-022-00339-w</t>
  </si>
  <si>
    <t>In the early days of digital transformation, the automation, scalability, and availability of cloud computing made a big difference for business. Nonetheless, significant concerns have been raised regarding the security and privacy levels that cloud systems can provide, as enterprises have accelerated their cloud migration journeys in an effort to provide a remote working environment for their employees, primarily in light of the COVID-19 outbreak. The goal of this study is to come up with a way to improve steganography in ad hoc cloud systems by using deep learning. This research implementation is separated into two sections. In Phase 1, the ‚ÄúAd-hoc Cloud System‚Äù idea and deployment plan were set up with the help of V-BOINC. In Phase 2, a modified form of steganography and deep learning were used to study the security of data transmission in ad-hoc cloud networks. In the majority of prior studies, attempts to employ deep learning models to augment or replace data-hiding systems did not achieve a high success rate. The implemented model inserts data images through colored images in the developed ad hoc cloud system. A systematic steganography model conceals from statistics lower message detection rates. Additionally, it may be necessary to incorporate small images beneath huge cover images. The implemented ad-hoc system outperformed Amazon AC2 in terms of performance, while the execution of the proposed deep steganography approach gave a high rate of evaluation for concealing both data and images when evaluated against several attacks in an ad-hoc cloud system environment. ¬© 2022, The Author(s).</t>
  </si>
  <si>
    <t>Ad-hoc system; Cloud computing; Cloud security; Deep learning; Encryption; Steganography</t>
  </si>
  <si>
    <t>Mawgoud, Ahmed A. (57210288003); Taha, Mohamed Hamed N. (57224874312); Abu-Talleb, Amr (57219292913); Kotb, Amira (36768008400)</t>
  </si>
  <si>
    <t>57210288003; 57224874312; 57219292913; 36768008400</t>
  </si>
  <si>
    <t>https://www.scopus.com/inward/record.uri?eid=2-s2.0-85144584030&amp;doi=10.1186%2fs13677-022-00339-w&amp;partnerID=40&amp;md5=3cf52bd495c90af29ee85756e80b0192</t>
  </si>
  <si>
    <t>2-s2.0-85144584030</t>
  </si>
  <si>
    <t>Cloud security; Deep learning; Learning systems; Steganography; Ad hoc systems; Cloud securities; Cloud systems; Cloud-computing; Deep learning; Digital transformation; In-phase; Integration frameworks; Security and privacy; Security level; Cryptography</t>
  </si>
  <si>
    <t>de Freitas Battisti J.; Cauchick-Miguel P.A.; Sousa-Zomer T.T.</t>
  </si>
  <si>
    <t>From servitization to deservitization: a literature review on the aspects related to a deservitization movement in manufacturing firms</t>
  </si>
  <si>
    <t>10.1590/0103-6513.20220087</t>
  </si>
  <si>
    <t>Paper aims: This study identified the main aspects related to deservitization in manufacturing firms, a process involving the dilution of services after their integration into companies‚Äô business models. Originality: The deservitization process has been identified as a movement among manufacturing companies, but so far, there is limited understanding of its characteristics. The paper contributes to the existing literature by identifying the main aspects related to the dilution of once-added services by manufacturing firms. Research method: A literature review was conducted. A content analysis of the selected papers (89 publications) was carried out to identify the main challenges discussed in the servitization literature as issues leading to deservitization. Main findings: The explanations for manufacturing firms failing in the transition to servitization and consequently taking the deservitization path discussed in the literature are related to changes in the organizational structure, new capabilities, modification of the business model and strategy, and difficulties in the interaction between supplier and customer. Implications for theory and practice: Deservitization is a complex phenomenon, and little is known about it, especially when compared to the existing body of knowledge on servitization. The paper thus extends the knowledge on the conditions leading to deservitization in manufacturing firms ¬© This is an Open Access article distributed under the terms of the Creative Commons Attribution License, which permits unrestricted use, distribution, and reproduction in any medium, provided the original work is properly cited</t>
  </si>
  <si>
    <t>Deservitization; Diffusion of services; Market strategy; Reverse servitization; Servitization</t>
  </si>
  <si>
    <t>de Freitas Battisti, Juliane (58280530100); Cauchick-Miguel, Paulo Augusto (8392535100); Sousa-Zomer, Thayla Tavares (57003586100)</t>
  </si>
  <si>
    <t>58280530100; 8392535100; 57003586100</t>
  </si>
  <si>
    <t>Production</t>
  </si>
  <si>
    <t>e20220087</t>
  </si>
  <si>
    <t>https://www.scopus.com/inward/record.uri?eid=2-s2.0-85159835215&amp;doi=10.1590%2f0103-6513.20220087&amp;partnerID=40&amp;md5=e3402fa48f84c2d948dd252c746be705</t>
  </si>
  <si>
    <t>2-s2.0-85159835215</t>
  </si>
  <si>
    <t>Sun C.-A.; Wang Z.; Zhang Z.; Xu L.; Han J.; Han Y.</t>
  </si>
  <si>
    <t>A feature-driven variability-enabled approach to adaptive service compositions</t>
  </si>
  <si>
    <t>10.1504/IJWGS.2023.129337</t>
  </si>
  <si>
    <t>Service compositions are widely used to construct complex applications. Due to the frequent changes of environment and requirements, service compositions need to be adaptable enough. In this work, we propose a feature-driven variability-enabled adaptive service composition approach to systematically treat the variability in the full life-cycle of service compositions. Specifically, the feature model is introduced to represent common and variable requirements and drive the variability design of service compositions. An abstract service composition model is used to define the variable business process. Rules and algorithms are then defined to transform the feature model to the abstract service composition model, from which different process instances are derived on demand to meet different requirements. We have developed a prototype tool to facilitate and automate our approach as much as possible. Finally, a case study is conducted to demonstrate the proposed approach and validate its effectiveness and efficiency. Copyright ¬© 2023 Inderscience Enterprises Ltd.</t>
  </si>
  <si>
    <t>abstract service composition model; adaptive service compositions; feature model; model transformation; variability management</t>
  </si>
  <si>
    <t>Sun, Chang-Ai (7404248116); Wang, Zhen (57190881313); Zhang, Zaixing (57205393184); Xu, Luo (55977900700); Han, Jun (55908284200); Han, Yanbo (21735902800)</t>
  </si>
  <si>
    <t>7404248116; 57190881313; 57205393184; 55977900700; 55908284200; 21735902800</t>
  </si>
  <si>
    <t>International Journal of Web and Grid Services</t>
  </si>
  <si>
    <t>https://www.scopus.com/inward/record.uri?eid=2-s2.0-85153862322&amp;doi=10.1504%2fIJWGS.2023.129337&amp;partnerID=40&amp;md5=aa397969cd494bb5c1a12da2c330c50a</t>
  </si>
  <si>
    <t>2-s2.0-85153862322</t>
  </si>
  <si>
    <t>Quality of service; Abstract service composition model; Adaptive service composition; Adaptive services; Change of environment; Complex applications; Feature models; Model transformation; Service composition model; Services composition; Variability management; Life cycle</t>
  </si>
  <si>
    <t>Sijing W.</t>
  </si>
  <si>
    <t>The Collaborative Governance Between Public and Private Companies to Address Climate Issues to Foster Environmental Performance: Do Environmental Innovation Resistance and Environmental Law Matter?</t>
  </si>
  <si>
    <t>10.3389/fpsyg.2022.936290</t>
  </si>
  <si>
    <t>In the recent decade, the environmental problem is increasing significantly worldwide. With the decrease in environmental health, the environmental performance is decreasing continuously having adverse consequences for the societies. Therefore, to address the environmental problem in China, the current study examined the role of collaborative governance in environmental performance. Consequently, this study examined the relationship between collaborative governance, innovative methods, performance, availability of resources, environmental innovation resistance, environmental law, and environmental performance. Both the public and private companies of environmental protection working in China are considered. To address the objective of the study, a quantitative research approach is used along with the cross-sectional research design. A questionnaire survey is carried out among the public and private companies working in China for data collection. A total of 290 valid questionnaires were returned and used in data analysis. Partial Least Square-Structural Equation Modeling (PLS-SEM) is used for data analysis. Results of this study reported important findings which have a contribution to the literature and practice. Collaborative governance has major importance to enhance environmental performance. The collaboration between public and private companies has the potential to enhance environmental performance. It is found that an increase in collaborative governance can increase the innovative methods, performance, and availability of resources which can enhance environmental performance. The improvement in innovative methods, performance, and availability of resources can foster environmental performance. Furthermore, environmental innovation resistance can decrease environmental performance. Most significantly, environmental law is crucial to enhancing environmental performance. The better implementation of environmental law can enhance the environmental performance in China. Copyright ¬© 2022 Sijing.</t>
  </si>
  <si>
    <t>availability of resources; collaborative governance; environmental innovation resistance; environmental law; environmental performance; innovative methods; performance</t>
  </si>
  <si>
    <t>Sijing, Wei (57814540800)</t>
  </si>
  <si>
    <t>Frontiers in Psychology</t>
  </si>
  <si>
    <t>https://www.scopus.com/inward/record.uri?eid=2-s2.0-85134666693&amp;doi=10.3389%2ffpsyg.2022.936290&amp;partnerID=40&amp;md5=3647f8e7c3e8de909080fffcd2bf0e68</t>
  </si>
  <si>
    <t>2-s2.0-85134666693</t>
  </si>
  <si>
    <t>Saboor A.; Hassan M.F.; Akbar R.; Shah S.N.M.; Hassan F.; Magsi S.A.; Siddiqui M.A.</t>
  </si>
  <si>
    <t>Article Containerized Microservices Orchestration and Provisioning in Cloud Computing: A Conceptual Framework and Future Perspectives</t>
  </si>
  <si>
    <t>10.3390/app12125793</t>
  </si>
  <si>
    <t>Cloud computing is a rapidly growing paradigm which has evolved from having a mono-lithic to microservices architecture. The importance of cloud data centers has expanded dramatically in the previous decade, and they are now regarded as the backbone of the modern economy. Cloud-based microservices architecture is incorporated by firms such as Netflix, Twitter, eBay, Amazon, Hailo, Groupon, and Zalando. Such cloud computing arrangements deal with the parallel deployment of data-intensive workloads in real time. Moreover, commonly utilized cloud services such as the web and email require continuous operation without interruption. For that purpose, cloud service providers must optimize resource management, efficient energy usage, and carbon footprint reduction. This study presents a conceptual framework to manage the high amount of microservice execution while reducing response time, energy consumption, and execution costs. The proposed framework suggests four key agent services: (1) intelligent partitioning: responsible for microservice classification; (2) dynamic allocation: used for pre-execution distribution of microservices among containers and then makes decisions for dynamic allocation of microservices at runtime; (3) resource optimization: in charge of shifting workloads and ensuring optimal resource use; (4) mutation ac-tions: these are based on procedures that will mutate the microservices based on cloud data center workloads. The suggested framework was partially evaluated using a custom-built simulation envi-ronment, which demonstrated its efficiency and potential for implementation in a cloud computing context. The findings show that the engrossment of suggested services can lead to a reduced number of network calls, lower energy consumption, and relatively reduced carbon dioxide emissions. ¬© 2022 by the authors. Licensee MDPI, Basel, Switzerland.</t>
  </si>
  <si>
    <t>cloud computing; containers; microservices; multicloud; virtual machine</t>
  </si>
  <si>
    <t>Saboor, Abdul (23986039400); Hassan, Mohd Fadzil (55372860500); Akbar, Rehan (36052560100); Shah, Syed Nasir Mehmood (57213233304); Hassan, Farrukh (57226179576); Magsi, Saeed Ahmed (57217071359); Siddiqui, Muhammad Aadil (57214072105)</t>
  </si>
  <si>
    <t>23986039400; 55372860500; 36052560100; 57213233304; 57226179576; 57217071359; 57214072105</t>
  </si>
  <si>
    <t>https://www.scopus.com/inward/record.uri?eid=2-s2.0-85132273566&amp;doi=10.3390%2fapp12125793&amp;partnerID=40&amp;md5=08948392df2786e48a4037d6d7f98361</t>
  </si>
  <si>
    <t>2-s2.0-85132273566</t>
  </si>
  <si>
    <t>Vairagade R.S.; Brahmananda S.H.</t>
  </si>
  <si>
    <t>Enabling machine learning-based side-chaining for improving QoS in blockchain-powered IoT networks</t>
  </si>
  <si>
    <t>10.1002/ett.4433</t>
  </si>
  <si>
    <t>Problem: The Internet of Things (IoT) makes developers for integrating various collection of device, saving, and processing a huge amount of data, allowing new services for improving several personal and professional activities. But, the privacy problems occur with a large amount of data produced and therefore the solutions on the basis of blockchain with sidechain technology have been developed to overcome these problems. Aim: Blockchain powered IoT networks have high security levels, and are resilient to most network attacks. In order to deploy blockchains, a large set of hashing, encryption, and linking algorithms are implemented in the network. One of the recent developments is the sidechains and these sidechains reduce computational complexity during block creation, and thereby reduce the effect of high delay and high-power consumption in the IoT network. But maintaining these sidechains requires an additional computational component, which adds to the computational complexity of the underlying system. To reduce the complexity of this maintenance while keeping the inherent advantages of side chaining networks, this article proposes a sidechain creation, updation, merging, and scanning processes. Methods: In this article, the sidechain creation is done by modified two-way peg protocol and updated by hybrid delegated practical byzantine fault tolerance-delegated proof of stake (DPBFT-DPOS), merging via continuous network information analysis and scanning via graph-based searching mechanism to improve the Quality of Service (QoS) network and security. Results: The proposed methodology achieves an accuracy and (Formula presented.) -score of about 98.6% and 99.5%, reduces end-to-end communication delay by 10% while increasing the energy efficiency by 15%, and improving the throughput by 15% when compared to other existing methods. Conclusion: The IoT provides the possibility of creating real time data and the combination of the IoT with blockchain moves beyond authorization and financial recording. Then the utilization of sidechain provide better communication among devices and better sophistication of the data processing. ¬© 2021 John Wiley &amp; Sons, Ltd.</t>
  </si>
  <si>
    <t>Vairagade, Rupali Sachin (57215423220); Brahmananda, S.H. (57201989849)</t>
  </si>
  <si>
    <t>57215423220; 57201989849</t>
  </si>
  <si>
    <t>e4433</t>
  </si>
  <si>
    <t>https://www.scopus.com/inward/record.uri?eid=2-s2.0-85121580866&amp;doi=10.1002%2fett.4433&amp;partnerID=40&amp;md5=0e1a07c30e52acc56ae77017c1ae5cc5</t>
  </si>
  <si>
    <t>2-s2.0-85121580866</t>
  </si>
  <si>
    <t>Blockchain; Complex networks; Computational complexity; Cryptography; Energy efficiency; Fault tolerance; Graphic methods; Machine learning; Merging; Network security; Quality of service; Block-chain; Hashing algorithms; High security levels; Large amounts of data; Network attack; New services; Privacy problems; Professional activities; Quality-of-service; Side-chains; Internet of things</t>
  </si>
  <si>
    <t>Liu D.; Wang H.; Zhong B.; Ding L.</t>
  </si>
  <si>
    <t>Servitization in Construction and its Transformation Pathway: A Value-Adding Perspective</t>
  </si>
  <si>
    <t>10.1016/j.eng.2021.09.013</t>
  </si>
  <si>
    <t>Against the current social and technological background dominated by services and technology, new opportunities are opening up for the industrial transformation and upgrading of the construction industry. Considering the successful transformation and upgrading of the manufacturing industry through servitization, scholars and practitioners have begun to explore the possibility of servitization in the construction industry. Current practices and theory show that different understandings of servitization in the construction sector exist; however, they are still in their infancy and lack a deep and systematic awareness, which does not benefit the transformation and upgrading of construction through servitization. Therefore, this paper systematically analyzes the motivation, definition, and implications of servitization in construction based on the value-adding nature of servitization and considers the problems confronting the construction industry. To facilitate this development, transformation pathways for servitization in construction are analyzed from multiple angles, including value co-creation, service innovation, and networked operation, which are in line with the new trends in digital construction. In addition, based on the supporting elements of construction, which include finance, human resources, technology, materials, and equipment, this paper examines the impact of servitization on the construction industry's ecology. In short, we expect that this systematic analysis and exposition can provide a holistic view of servitization in construction from the inside out for scholars and practitioners and can help to promote servitization in construction. ¬© 2021 THE AUTHORS</t>
  </si>
  <si>
    <t>Platform sharing; Service innovation; Servitization in construction; Value-adding</t>
  </si>
  <si>
    <t>Liu, Dian (55888552400); Wang, Hongwei (55992255600); Zhong, Botao (23975246400); Ding, Lieyun (8909046000)</t>
  </si>
  <si>
    <t>55888552400; 55992255600; 23975246400; 8909046000</t>
  </si>
  <si>
    <t>Engineering</t>
  </si>
  <si>
    <t>https://www.scopus.com/inward/record.uri?eid=2-s2.0-85132952558&amp;doi=10.1016%2fj.eng.2021.09.013&amp;partnerID=40&amp;md5=78f6cca112624eb1321a51710d622117</t>
  </si>
  <si>
    <t>2-s2.0-85132952558</t>
  </si>
  <si>
    <t>Construction equipment; 'current; Industrial transformations; Industrial upgrading; Manufacturing industries; Platform sharing; Service innovation; Servitization; Servitization in construction; Transformation pathways; Value-adding; Construction industry</t>
  </si>
  <si>
    <t>Henning S.; Hasselbring W.</t>
  </si>
  <si>
    <t>A configurable method for benchmarking scalability of cloud-native applications</t>
  </si>
  <si>
    <t>10.1007/s10664-022-10162-1</t>
  </si>
  <si>
    <t>Cloud-native applications constitute a recent trend for designing large-scale software systems. However, even though several cloud-native tools and patterns have emerged to support scalability, there is no commonly accepted method to empirically benchmark their scalability. In this study, we present a benchmarking method, allowing researchers and practitioners to conduct empirical scalability evaluations of cloud-native applications, frameworks, and deployment options. Our benchmarking method consists of scalability metrics, measurement methods, and an architecture for a scalability benchmarking tool, particularly suited for cloud-native applications. Following fundamental scalability definitions and established benchmarking best practices, we propose to quantify scalability by performing isolated experiments for different load and resource combinations, which asses whether specified service level objectives (SLOs) are achieved. To balance usability and reproducibility, our benchmarking method provides configuration options, controlling the trade-off between overall execution time and statistical grounding. We perform an extensive experimental evaluation of our method‚Äôs configuration options for the special case of event-driven microservices. For this purpose, we use benchmark implementations of the two stream processing frameworks Kafka Streams and Flink and run our experiments in two public clouds and one private cloud. We find that, independent of the cloud platform, it only takes a few repetitions (‚â§ 5) and short execution times (‚â§ 5 minutes) to assess whether SLOs are achieved. Combined with our findings from evaluating different search strategies, we conclude that our method allows to benchmark scalability in reasonable time. ¬© 2022, The Author(s).</t>
  </si>
  <si>
    <t>Benchmarking; Cloud-Native; Performance engineering; Scalability</t>
  </si>
  <si>
    <t>Henning, S√∂ren (57202362026); Hasselbring, Wilhelm (26643500000)</t>
  </si>
  <si>
    <t>57202362026; 26643500000</t>
  </si>
  <si>
    <t>https://www.scopus.com/inward/record.uri?eid=2-s2.0-85135556720&amp;doi=10.1007%2fs10664-022-10162-1&amp;partnerID=40&amp;md5=526eb23534a18ad26972f6143d7b4e6b</t>
  </si>
  <si>
    <t>2-s2.0-85135556720</t>
  </si>
  <si>
    <t>Application programs; Economic and social effects; Scalability; Application deployment; Application frameworks; Benchmarking methods; Cloud-native; Configuration options; Large-scale software systems; Performance engineering; Recent trends; Scalability evaluation; Service level objective; Benchmarking</t>
  </si>
  <si>
    <t>Deng Z.; Yu X.</t>
  </si>
  <si>
    <t>Resource Mapping Allocation Scheme in 6G Satellite Twin Network</t>
  </si>
  <si>
    <t>10.3390/s22155816</t>
  </si>
  <si>
    <t>The sixth generation (6G) satellite twin network is an important solution to achieve seamless global coverage of 6G. The deterministic geometric topology and the randomness of the communication behaviors of 6G networks limit the realism and transparency of cross-platform and cross-object communication, twin, and computing co-simulation networks. Meanwhile, the parallel-based serverless architecture has a high redundancy of computational resource allocation. Therefore, for the first time, we present a new hypergraph hierarchical nested kriging model, which provides theoretical analysis and modeling of integrated relationships for communication, twin, and computing. We explore the hierarchical unified characterization method which joins heterogeneous topologies. A basis function matrix for local flexible connectivity of the global network is designed for the connection of huge heterogeneous systems to decouple the resource mapping among heterogeneous networks. To improve the efficiency of resource allocation in communication, twin, and computing integrated network, a multi-constraint multi-objective genetic algorithm (MMGA) based on the common requirements of operations, storage, interaction, and multi-layer optimal solution conflict is proposed for the first time. The effectiveness of the algorithm and architecture is verified through simulation and testing. ¬© 2022 by the authors.</t>
  </si>
  <si>
    <t>6G; integrated network framework; multi-objective optimization; satellite communication; twin network</t>
  </si>
  <si>
    <t>Deng, Zhongliang (7402665569); Yu, Xiaoyi (57202913466)</t>
  </si>
  <si>
    <t>7402665569; 57202913466</t>
  </si>
  <si>
    <t>https://www.scopus.com/inward/record.uri?eid=2-s2.0-85136516519&amp;doi=10.3390%2fs22155816&amp;partnerID=40&amp;md5=c7739af5de8699dc03daebc22c1defda</t>
  </si>
  <si>
    <t>2-s2.0-85136516519</t>
  </si>
  <si>
    <t>Genetic algorithms; Heterogeneous networks; Mapping; Multiobjective optimization; Network architecture; Satellite communication systems; Satellites; Simulation platform; Topology; 6g; Global coverage; Integrated network framework; Integrated networks; Multi-objectives optimization; Network frameworks; Resource mapping; Resources allocation; Satellite communications; TWIN networks; adult; article; clinical article; female; genetic algorithm; kriging; male; multiobjective optimization; resource allocation; simulation; telecommunication; theoretical study; Resource allocation</t>
  </si>
  <si>
    <t>Wang Y.; Wang Q.; Qin X.; Chen X.; Xin B.; Yang R.</t>
  </si>
  <si>
    <t>DockerWatch: a two-phase hybrid detection of malware using various static features in container cloud</t>
  </si>
  <si>
    <t>10.1007/s00500-022-07546-2</t>
  </si>
  <si>
    <t>As an emerging virtualization technology, the Linux container provides a more lightweight, flexible, and high-performance operating-system-level virtual run-time environment. Its appearance has profoundly changed the development and deployment of multi-tier distributed applications. However, the imperfect system resource isolation features and the kernel-sharing mechanism will introduce significant security risks to the cloud platform. In this paper, we present DockerWatch, a real-time detection system for malware detection in the container-based cloud platform. DockerWatch uses a non-intrusive manner to extract executable files inside the containers, then uses the ensemble of various static features and behavior-based graphs as the analysis vector to learn the robust representations of malicious patterns. Consequently, a two-phase hybrid detection method based on deep learning is proposed to accelerate and enhance the detection performance, aiming to address the trade-off between fast and high-performance real-time detection. Extensive experiments are conducted and compared with extensive existing related methods using real-world datasets to validate the effectiveness of our system. The results show that DockerWatch achieves excellent detection performance with acceptable run-time performance overhead introduced into the platform. ¬© 2022, The Author(s), under exclusive licence to Springer-Verlag GmbH Germany, part of Springer Nature.</t>
  </si>
  <si>
    <t>Deep learning; Linux container; Malware detection; Static analysis</t>
  </si>
  <si>
    <t>Wang, Yulong (57221510549); Wang, Qixu (57194164835); Qin, Xue (57214126792); Chen, Xingshu (24823835800); Xin, Bangzhou (57209881310); Yang, Run (57223294863)</t>
  </si>
  <si>
    <t>57221510549; 57194164835; 57214126792; 24823835800; 57209881310; 57223294863</t>
  </si>
  <si>
    <t>Soft Computing</t>
  </si>
  <si>
    <t>https://www.scopus.com/inward/record.uri?eid=2-s2.0-85139439100&amp;doi=10.1007%2fs00500-022-07546-2&amp;partnerID=40&amp;md5=59e13fce9438ee122cb4f39d1fe719dd</t>
  </si>
  <si>
    <t>2-s2.0-85139439100</t>
  </si>
  <si>
    <t>Deep learning; Economic and social effects; Linux; Malware; Static analysis; Cloud platforms; Deep learning; Detection performance; Hybrid detection; Linux container; Malware detection; Performance; Real-time detection; Static features; Two phase; Containers</t>
  </si>
  <si>
    <t>≈Ωuperl U.; Stepien K.; Munƒëar G.; Kovaƒçiƒç M.</t>
  </si>
  <si>
    <t>A Cloud-Based System for the Optical Monitoring of Tool Conditions during Milling through the Detection of Chip Surface Size and Identification of Cutting Force Trends</t>
  </si>
  <si>
    <t>10.3390/pr10040671</t>
  </si>
  <si>
    <t>This article presents a cloud-based system for the on-line monitoring of tool conditions in end milling. The novelty of this research is the developed system that connects the IoT (Internet of Things) platform for the monitoring of tool conditions in the cloud to the machine tool and optical system for the detection of cutting chip size. The optical system takes care of the acquisition and transfer of signals regarding chip size to the IoT application, where they are used as an indicator for the determination of tool conditions. In addition, the novelty of the presented approach is in the artificial intelligence integrated into the platform, which monitors a tool‚Äôs condition through identification of the current cutting force trend and protects the tool against excessive loading by correcting process parameters. The practical significance of the research is that it is a new system for fast tool condition monitoring, which ensures savings, reduces investment costs due to the use of a more cost-effective sensor, improves machining efficiency and allows remote process monitoring on mobile devices. A machining test was performed to verify the feasibility of the monitoring system. The results show that the developed system with an ANN (artificial neural network) for the recognition of cutting force patterns successfully detects tool damage and stops the process within 35 ms. This article reports a classification accuracy of 85.3% using an ANN with no error in the identification of tool breakage, which verifies the effectiveness and practicality of the approach. ¬© 2022 by the authors. Licensee MDPI, Basel, Switzerland.</t>
  </si>
  <si>
    <t>chip size detection; cloud manufacturing technologies; cutting force trend identification; end milling; machining; tool condition monitoring; visual sensor monitoring</t>
  </si>
  <si>
    <t>≈Ωuperl, Uro≈° (6602724018); Stepien, Krzysztof (12142550300); Munƒëar, Goran (57577595600); Kovaƒçiƒç, Miha (7003486786)</t>
  </si>
  <si>
    <t>6602724018; 12142550300; 57577595600; 7003486786</t>
  </si>
  <si>
    <t>https://www.scopus.com/inward/record.uri?eid=2-s2.0-85128339400&amp;doi=10.3390%2fpr10040671&amp;partnerID=40&amp;md5=285db6a13e1418a444e11bd21cb3d5c9</t>
  </si>
  <si>
    <t>2-s2.0-85128339400</t>
  </si>
  <si>
    <t>Cabral T.W.; Lemes D.A.M.; Fraidenraich G.; Neto F.B.; De Lima E.R.; Meloni L.G.P.</t>
  </si>
  <si>
    <t>High-Reliability Load Recognition in Home Energy Management Systems</t>
  </si>
  <si>
    <t>10.1109/ACCESS.2023.3262128</t>
  </si>
  <si>
    <t>The increasing domestic demand for electricity has required the scientific community to develop new technologies focused on energy expenditure minimization. In this context, Home Energy Management System (HEMS) is an element that can incorporate applications that aid in efficient energy management, such as load recognition. Load recognition allows HEMS to map all appliances, assisting in efficient management. In this regard, methods that solve the load recognition problem are vital for HEMS. The motivation of this work is to propose a novel system that enhances load recognition in HEMS applications. For this purpose, the proposed system contains an event detector stage based on the Wavelet transform and another stage for appliance identification consisting of two processing chains, one for high reliability and one for fast model training. The main novelties of our work are: (i) very-low training time via fast training processing chain, less than 1 second with $k$ -Nearest Neighbor (k-NN); (ii) the highest values for accuracy, F1, and the kappa index, 98.90%, 98.77%, and 0.9382, respectively, for the regularized Convolutional Neural Network (CNN-r) using the 'Personalised Retrofit Decision Support Tools for UK Homes using Smart Home Technology' (REFIT) dataset; (iii) this is the first paper employing CNN-r and Vision Transformer (ViT) for load recognition problem; and (iv) the approach is applicable in households without any restrictions, as long as training the models. Regarding the tested scenarios, the results reveal a very efficient strategy yielding accuracy values greater than 98% for the REFIT dataset and the Reference Energy Disaggregation Dataset (REDD). Finally, the proposed approach provides the highest performance compared to other methods available in the literature.  ¬© 2013 IEEE.</t>
  </si>
  <si>
    <t>Artificial intelligence; convolutional neural network; HEMS; load recognition; machine learning models; REDD dataset; REFIT dataset; transfer learning; vision transformer</t>
  </si>
  <si>
    <t>Cabral, Thales Wulfert (57221942405); Lemes, Dimas Augusto Mendes (57223434569); Fraidenraich, Gustavo (6506451414); Neto, Fernando Bauer (57223437445); De Lima, Eduardo Rodrigues (55516369700); Meloni, Luis Geraldo Pedroso (16643141600)</t>
  </si>
  <si>
    <t>57221942405; 57223434569; 6506451414; 57223437445; 55516369700; 16643141600</t>
  </si>
  <si>
    <t>https://www.scopus.com/inward/record.uri?eid=2-s2.0-85151551469&amp;doi=10.1109%2fACCESS.2023.3262128&amp;partnerID=40&amp;md5=58fa5c9f8a79fde65455c72b1773249a</t>
  </si>
  <si>
    <t>2-s2.0-85151551469</t>
  </si>
  <si>
    <t>Automation; Convolution; Decision support systems; Domestic appliances; Electric loads; Energy efficiency; Energy management; Energy management systems; Intelligent buildings; Neural networks; Reliability analysis; Support vector machines; Wavelet transforms; Convolutional neural network; Disaggregation; Features extraction; Home energy management systems; Load recognition; Machine learning models; Machine-learning; Reference energy; Reference energy disaggregation dataset dataset; REFIT dataset; Support vectors machine; Transfer learning; Vision transformer; Transient analysis</t>
  </si>
  <si>
    <t>Singh P.; Kaur R.; Rashid J.; Juneja S.; Dhiman G.; Kim J.; Ouaissa M.</t>
  </si>
  <si>
    <t>A Fog-Cluster Based Load-Balancing Technique</t>
  </si>
  <si>
    <t>10.3390/su14137961</t>
  </si>
  <si>
    <t>The Internet of Things has recently been a popular topic of study for developing smart homes and smart cities. Most IoT applications are very sensitive to delays, and IoT sensors provide a constant stream of data. The cloud-based IoT services that were first employed suffer from increased latency and inefficient resource use. Fog computing is used to address these issues by moving cloud services closer to the edge in a small-scale, dispersed fashion. Fog computing is quickly gaining popularity as an effective paradigm for providing customers with real-time processing, platforms, and software services. Real-time applications may be supported at a reduced operating cost using an integrated fog-cloud environment that minimizes resources and reduces delays. Load balancing is a critical problem in fog computing because it ensures that the dynamic load is distributed evenly across all fog nodes, avoiding the situation where some nodes are overloaded while others are underloaded. Numerous algorithms have been proposed to accomplish this goal. In this paper, a framework was proposed that contains three subsystems named user subsystem, cloud subsystem, and fog subsystem. The goal of the proposed framework is to decrease bandwidth costs while providing load balancing at the same time. To optimize the use of all the resources in the fog sub-system, a Fog-Cluster-Based Load-Balancing approach along with a refresh period was proposed. The simulation results show that ‚ÄúFog-Cluster-Based Load Balancing‚Äù decreases energy consumption, the number of Virtual Machines (VMs) migrations, and the number of shutdown hosts compared with existing algorithms for the proposed framework. ¬© 2022 by the authors. Licensee MDPI, Basel, Switzerland.</t>
  </si>
  <si>
    <t>cloud computing; fog computing; load balancing</t>
  </si>
  <si>
    <t>Singh, Prabhdeep (57212591722); Kaur, Rajbir (57213732797); Rashid, Junaid (57203222981); Juneja, Sapna (57210408722); Dhiman, Gaurav (23049229800); Kim, Jungeun (56600264800); Ouaissa, Mariya (57197842186)</t>
  </si>
  <si>
    <t>57212591722; 57213732797; 57203222981; 57210408722; 23049229800; 56600264800; 57197842186</t>
  </si>
  <si>
    <t>https://www.scopus.com/inward/record.uri?eid=2-s2.0-85133604442&amp;doi=10.3390%2fsu14137961&amp;partnerID=40&amp;md5=e65472afd259d209ce3173787333ba78</t>
  </si>
  <si>
    <t>2-s2.0-85133604442</t>
  </si>
  <si>
    <t>algorithm; cluster analysis; Internet; sensor; smart city</t>
  </si>
  <si>
    <t>Reyes-Delgado P.Y.; Duran-Limon H.A.; Mora M.; Rodriguez-Martinez L.C.</t>
  </si>
  <si>
    <t>SOCAM: a service-oriented computing architecture modeling method</t>
  </si>
  <si>
    <t>10.1007/s10270-021-00946-2</t>
  </si>
  <si>
    <t>Software architecture models are considered first-class artifacts in current software engineering best practices. Thus, usable and well-understood modeling methods are required for software architects. For this aim, several specific software architecture modeling methods as well as generic design methods included in software development methodologies are available. However, we believe, there is the lack of more specific guidance in current software architecture methods. One of the principal causes of such a lack of specific guidance is the general-purpose nature of these methods. Therefore, further efforts are required to define domain-specific software architecture methods. In this paper, we present SOCAM, a software architecture modeling method for Web Service-Oriented Systems. We illustrate the use of SOCAM with a customization of the well-known SOA test application case: the Sun Adventure Builder system. A comparative analysis of SOCAM with other methods reveals a number of benefits of our method over the other approaches. Also, a survey research method evaluation confirms some of these benefits such as the fact that SOCAM is perceived as more useful than certain general-purpose methods. ¬© 2021, The Author(s), under exclusive licence to Springer-Verlag GmbH Germany, part of Springer Nature.</t>
  </si>
  <si>
    <t>SOA; SOC; Software architecture; Web-based business systems</t>
  </si>
  <si>
    <t>Reyes-Delgado, Paola Y. (57160443400); Duran-Limon, Hector A. (6507296843); Mora, Manuel (25823339800); Rodriguez-Martinez, Laura C. (55218411300)</t>
  </si>
  <si>
    <t>57160443400; 6507296843; 25823339800; 55218411300</t>
  </si>
  <si>
    <t>https://www.scopus.com/inward/record.uri?eid=2-s2.0-85120056123&amp;doi=10.1007%2fs10270-021-00946-2&amp;partnerID=40&amp;md5=1dcb2fe4f7961982c508fc0f71907291</t>
  </si>
  <si>
    <t>2-s2.0-85120056123</t>
  </si>
  <si>
    <t>Information services; Service oriented architecture (SOA); Software design; Web services; Websites; 'current; Business systems; Model method; Service oriented computing; SOA; SOC; Software architecture methods; Software architecture model; Web-based business; Web-based business system; Software architecture</t>
  </si>
  <si>
    <t>Aditya Pai B.; Hebbar A.P.; Kumar M.M.V.</t>
  </si>
  <si>
    <t>Securing Microservice-Driven Applications Based on¬†API Access Graphs Using Supervised Machine Learning Techniques</t>
  </si>
  <si>
    <t>10.1007/978-981-19-6634-7_41</t>
  </si>
  <si>
    <t>Distributed microservice-driven applications are composed of application programming interface (API), which are accessed by other microservices or apps or even developers through API endpoints. Attackers often abuse API access to exploit these endpoints‚Äô business logic and computing resources. Current intrusion detection systems for large applications deploy entry-level classification to find malicious user requests. However, there is a possibility of attackers showing intrusive behavior after moving past the entry-level checks. In microservice-driven architectures, the API access patterns of normal users are observed to be different from that of attackers. These access patterns consist of APIs called in specific orders reflecting an access graph that depicts user behavior in long-running sessions. This paper presents a mechanism where microservice-based applications are monitored holistically to extract these API call patterns and create a user behavior graph. These graphs are processed as embeddings through representational learning analyzed to classify normal and malicious behavior using machine learning algorithms. This methodology has shown significant results in its efficiency and ability to generate insights in a real-time environment by subsuming the information used by entry-level intrusion detection systems and user behavior patterns. ¬© 2023, The Author(s), under exclusive license to Springer Nature Singapore Pte Ltd.</t>
  </si>
  <si>
    <t>Access graphs; Classification; Microservice; Node2Vec; User behavior</t>
  </si>
  <si>
    <t>Aditya Pai, B. (57384374800); Hebbar, Anirudh P. (57221306147); Kumar, Manoj M. V. (57218772075)</t>
  </si>
  <si>
    <t>57384374800; 57221306147; 57218772075</t>
  </si>
  <si>
    <t>https://www.scopus.com/inward/record.uri?eid=2-s2.0-85149969801&amp;doi=10.1007%2f978-981-19-6634-7_41&amp;partnerID=40&amp;md5=e4666817824897f2f013c74c8118dcfb</t>
  </si>
  <si>
    <t>2-s2.0-85149969801</t>
  </si>
  <si>
    <t>Application programming interfaces (API); Behavioral research; Classification (of information); Computation theory; Computer crime; Graphic methods; Intrusion detection; Learning algorithms; Learning systems; Real time systems; Access graph; Access patterns; Applications programming interfaces; Business computing; Intrusion Detection Systems; Machine learning techniques; Microservice; Node2vec; Supervised machine learning; User behaviors; Supervised learning</t>
  </si>
  <si>
    <t>Yao C.; Liu W.; Liu Z.; Yan L.; Hu S.; Tang W.</t>
  </si>
  <si>
    <t>EALI: Energy-aware layer-level scheduling for convolutional neural network inference services on GPUs</t>
  </si>
  <si>
    <t>10.1016/j.neucom.2022.08.025</t>
  </si>
  <si>
    <t>The success of convolutional neural networks (CNNs) has made low-latency inference services on Graphic Processing Units (GPUs) a hot research topic. However, GPUs are hardware processors with high power consumption. To have the least energy consumption while meeting latency Service-Level-Objective (SLO), batching strategy and dynamic voltage frequency scaling (DVFS) are two important solutions. However, existing studies do not coordinate them and regard CNN as a black box, which makes inference services less energy-efficient. In this paper, we propose EALI, an energy-aware layer-level adaptive scheduling framework that is comprised of a power prediction model, a layer combination strategy, and an energy-aware layer-level scheduler. The power prediction model uses classic machine learning techniques to predict fine-grained layer-level power consumption. The layer combination strategy combines multiple layers into optimization units to lower scheduling overhead and complexity. The energy-aware layer-level scheduler adaptively coordinates batching strategy and layer-level DVFS according to workloads to minimize the energy consumption while meeting SLO. Our experimental results on NVIDIA Tesla M40 and V100 GPUs show that, compared to the state-of-the-art approaches, EALI decreases energy consumption by up to 36.24% while meeting SLO. ¬© 2022 Elsevier B.V.</t>
  </si>
  <si>
    <t>Convolutional neural networks (CNNs); Energy minimization; GPUs; Inference services; Scheduling; Service-level-objective (SLO)</t>
  </si>
  <si>
    <t>Yao, Chunrong (57215558382); Liu, Wantao (56005615200); Liu, Zhibing (57219693406); Yan, Longchuan (57205117986); Hu, Songlin (7404287527); Tang, Weiqing (55649890100)</t>
  </si>
  <si>
    <t>57215558382; 56005615200; 57219693406; 57205117986; 7404287527; 55649890100</t>
  </si>
  <si>
    <t>https://www.scopus.com/inward/record.uri?eid=2-s2.0-85136544051&amp;doi=10.1016%2fj.neucom.2022.08.025&amp;partnerID=40&amp;md5=60faaafb92b8cc16cbf94950b93fa8f0</t>
  </si>
  <si>
    <t>2-s2.0-85136544051</t>
  </si>
  <si>
    <t>Computer hardware; Convolution; Convolutional neural networks; Dynamic frequency scaling; Electric power utilization; Energy efficiency; Forecasting; Learning systems; Machine learning; Multilayer neural networks; Program processors; Scheduling; Voltage scaling; Batching strategy; Convolutional neural network; Energy aware; Energy minimization; Energy-consumption; Inference service; Scheduling; Service level objective; Service-level-objective; article; controlled study; convolutional neural network; energy consumption; machine learning; prediction; workload; Graphics processing unit</t>
  </si>
  <si>
    <t>Santos F.; Immich R.; Madeira E.R.M.</t>
  </si>
  <si>
    <t>Multimedia services placement algorithm for cloud‚Äìfog hierarchical environments</t>
  </si>
  <si>
    <t>10.1016/j.comcom.2022.04.009</t>
  </si>
  <si>
    <t>With the rapid development of mobile communication, multimedia services have experienced explosive growth in the last few years. The high quantity of mobile users, both consuming and producing these services to and from the Cloud Computing (CC), can outpace the available bandwidth capacity. Fog Computing (FG) presents itself as a solution to improve on this and other issues. With a reduction in network latency, real-time applications benefit from improved response time and greater overall user experience. Taking this into account, the main goal of this work is threefold. Firstly, it is proposed a method to build an environment based on Cloud‚ÄìFog Computing (CFC). Secondly, it is designed two models based on Autoregressive Integrated Moving Average (ARIMA) and Long Short-Term Memory (LSTM). The goal is to predict demand and reserve the nodes‚Äô storage capacity to improve the positioning of multimedia services. Later, an algorithm for the multimedia service placement problem which is aware of data traffic prediction is proposed. The goal is to select the minimum number of nodes, considering their hardware capacities for providing multimedia services in such a way that the latency for servicing all the demands is minimized. An evaluation with actual data showed that the proposed algorithm selects the nodes closer to the user to meet their demands. This improves the services delivered to end-users and enhances the deployed network to mitigate provider costs. Moreover, reduce the demand to Cloud allowing turning off servers in the data center not to waste energy. ¬© 2022 Elsevier B.V.</t>
  </si>
  <si>
    <t>Cloud-to-fog networks; Multimedia services; Placement strategies</t>
  </si>
  <si>
    <t>Santos, Fillipe (57217088649); Immich, Roger (23990618900); Madeira, Edmundo R.M. (8840081100)</t>
  </si>
  <si>
    <t>57217088649; 23990618900; 8840081100</t>
  </si>
  <si>
    <t>https://www.scopus.com/inward/record.uri?eid=2-s2.0-85129727384&amp;doi=10.1016%2fj.comcom.2022.04.009&amp;partnerID=40&amp;md5=fe6e377c22ced33698854f9c27069c4b</t>
  </si>
  <si>
    <t>2-s2.0-85129727384</t>
  </si>
  <si>
    <t>Bandwidth; Digital storage; Fog; Fog computing; Long short-term memory; Mobile telecommunication systems; Available bandwidth; Bandwidth capacity; Cloud-computing; Cloud-to-fog network; Explosive growth; Mobile communications; Mobile users; Placement algorithm; Placement strategy; Service placements; Multimedia services</t>
  </si>
  <si>
    <t>Kansal P.; Kumar M.; Verma O.P.</t>
  </si>
  <si>
    <t>Classification of resource management approaches in fog/edge paradigm and future research prospects: a systematic review</t>
  </si>
  <si>
    <t>10.1007/s11227-022-04338-1</t>
  </si>
  <si>
    <t>The fog paradigm extends the cloud capabilities at the edge of the network. Fog computing-based real-time applications (Online gaming, 5G, Healthcare 4.0, Industrial IoT, autonomous vehicles, virtual reality, augmented reality, and many more) are growing at a very fast pace. There are limited resources at the fog layer compared to the cloud, which leads to resource constraint problems. Edge resources need to be utilized efficiently to fulfill the growing demand for a large number of IoT devices. Lots of work has been done for the efficient utilization of edge resources. This paper provided a systematic review of fog resource management literature from the year 2016‚Äì2021. In this review paper, the fog resource management approaches are divided into 9 categories which include resource scheduling, application placement, load balancing, resource allocation, resource estimation, task offloading, resource provisioning, resource discovery, and resource orchestration. These resource management approaches are further subclassified based on the technology used, QoS factors, and data-driven strategies. Comparative analysis of existing articles is provided based on technology, tools, application area, and QoS factors. Further, future research prospects are discussed in the context of QoS factors, technique/algorithm, tools, applications, mobility support, heterogeneity, AI-based, distributed network, hierarchical network, and security. A systematic literature review of existing survey papers is also included. At the end of this work, key findings are highlighted in the conclusion section. ¬© 2022, The Author(s), under exclusive licence to Springer Science+Business Media, LLC, part of Springer Nature.</t>
  </si>
  <si>
    <t>Application placement; Load balancing; Resource allocation; Resource discovery; Resource estimation; Resource management in fog or edge computing; Resource orchestration; Resource provisioning; Resource scheduling; Task offloading</t>
  </si>
  <si>
    <t>Kansal, Puneet (57487880700); Kumar, Manoj (57226488915); Verma, Om Prakash (26535110300)</t>
  </si>
  <si>
    <t>57487880700; 57226488915; 26535110300</t>
  </si>
  <si>
    <t>https://www.scopus.com/inward/record.uri?eid=2-s2.0-85126341772&amp;doi=10.1007%2fs11227-022-04338-1&amp;partnerID=40&amp;md5=a03ce1828f5992f483d2530362351d4d</t>
  </si>
  <si>
    <t>2-s2.0-85126341772</t>
  </si>
  <si>
    <t>5G mobile communication systems; Augmented reality; Edge computing; Fog; Fog computing; Information management; Internet of things; Natural resources management; Scheduling; Virtual reality; Application placements; Edge computing; Load-Balancing; Resource discovery; Resource estimation; Resource management; Resource management in fog or edge computing; Resource orchestration; Resource provisioning; Resource-scheduling; Resources allocation; Task offloading; Resource allocation</t>
  </si>
  <si>
    <t>Baltuttis D.; H√§ckel B.; Jonas C.M.; Oberl√§nder A.M.; R√∂glinger M.; Seyfried J.</t>
  </si>
  <si>
    <t>Conceptualizing and Assessing the Value of Internet of Things Solutions</t>
  </si>
  <si>
    <t>10.1016/j.jbusres.2021.10.063</t>
  </si>
  <si>
    <t>The Internet of Things (IoT) is associated with enormous economic potential. To date, however, actual revenues remain below expectations. This circumstance particularly affects IoT solution providers in industrial contexts where effective value assessment is critical for market success. Since a deeper understanding of how IoT solutions create value is required to address this challenge, we develop a framework and corresponding value levers for assessing the value of IoT solutions along an archetypical yet configurable business-to-business-to-consumer (B2B2C) value chain. Taking the perspective of an IoT solution provider in the industrial context, we evaluate the framework with five such solution providers and apply the value levers for an initial value quantification. Our work extends previous research and furthers knowledge on the business value of IT and IoT. It also supports practitioners in assessing IoT value potential. ¬© 2021 Elsevier Inc.</t>
  </si>
  <si>
    <t>Business Value; Framework; Internet of Things; Value Assessment; Value Creation; Value Levers</t>
  </si>
  <si>
    <t>Baltuttis, Dennik (57218288346); H√§ckel, Bj√∂rn (36462447600); Jonas, Claudius Michael (57360385300); Oberl√§nder, Anna Maria (57192692200); R√∂glinger, Maximilian (15923698200); Seyfried, Johannes (57192694629)</t>
  </si>
  <si>
    <t>57218288346; 36462447600; 57360385300; 57192692200; 15923698200; 57192694629</t>
  </si>
  <si>
    <t>Journal of Business Research</t>
  </si>
  <si>
    <t>https://www.scopus.com/inward/record.uri?eid=2-s2.0-85120502544&amp;doi=10.1016%2fj.jbusres.2021.10.063&amp;partnerID=40&amp;md5=01b27039ac4812650d97b6795b1a5d0e</t>
  </si>
  <si>
    <t>2-s2.0-85120502544</t>
  </si>
  <si>
    <t>Plazas J.E.; Bimonte S.; Schneider M.; de Vaulx C.; Battistoni P.; Sebillo M.; Corrales J.C.</t>
  </si>
  <si>
    <t>Sense, Transform &amp; Send for the Internet of Things (STS4IoT): UML profile for data-centric IoT applications</t>
  </si>
  <si>
    <t>10.1016/j.datak.2021.101971</t>
  </si>
  <si>
    <t>The Internet of Things is currently one of the most representative sources of Big Data. It can acquire real-time data from multiple spatially distributed points, allowing for the extraction of valuable insights. However, an appropriate integration, processing, and analysis of these data depends on several factors starting from the correct definition of the information systems. This paper introduces STS4IoT, a UML profile and automatic code-generation tool for model-driven IoT, to address this issue. STS4IoT allows designing and implementing an IoT application from the required data only, bridging the gaps between the IoT and database design worlds. The IoT data design includes both different in-network transformations and the join of streams from multiple sources. Besides, it follows the Model-Driven Architecture (MDA) guidelines to provide abstraction levels oriented to the different roles participating in the application design. The STS4IoT validation shows it has an excellent structure and is highly understandable. Its instance models are well-formed, highly abstract and readable. And the automatic implementation tool can generate complete code for complex real-world applications involving multiple IoT devices. Then, STS4IoT simplifies the definition and development of IoT applications and their integration into other information systems, such as stream data warehouses. ¬© 2021 Elsevier B.V.</t>
  </si>
  <si>
    <t>Automatic code generation; Data-centric conceptual modelling; Internet of Things; Model-driven architecture</t>
  </si>
  <si>
    <t>Plazas, Julian Eduardo (57190188966); Bimonte, Sandro (15074087900); Schneider, Michel (57210550665); de Vaulx, Christophe (12752657500); Battistoni, Pietro (57210842442); Sebillo, Monica (8393057100); Corrales, Juan Carlos (15135119500)</t>
  </si>
  <si>
    <t>57190188966; 15074087900; 57210550665; 12752657500; 57210842442; 8393057100; 15135119500</t>
  </si>
  <si>
    <t>Data and Knowledge Engineering</t>
  </si>
  <si>
    <t>https://www.scopus.com/inward/record.uri?eid=2-s2.0-85124514827&amp;doi=10.1016%2fj.datak.2021.101971&amp;partnerID=40&amp;md5=2e80ca4a7dc8cdcf5e9d52b360dc7531</t>
  </si>
  <si>
    <t>2-s2.0-85124514827</t>
  </si>
  <si>
    <t>Automatic programming; Data integration; Data warehouses; Information systems; Information use; Internet of things; Network architecture; Software design; Automatic code generations; Code generation tools; Conceptual model; Data centric; Data-centric conceptual modeling; Integration analysis; Integration processing; Model driven architectures; Model-driven; Real-time data; Software architecture</t>
  </si>
  <si>
    <t>Wu Y.; Dai H.-N.; Tang H.</t>
  </si>
  <si>
    <t>Graph Neural Networks for Anomaly Detection in Industrial Internet of Things</t>
  </si>
  <si>
    <t>10.1109/JIOT.2021.3094295</t>
  </si>
  <si>
    <t>The Industrial Internet of Things (IIoT) plays an important role in digital transformation of traditional industries toward Industry 4.0. By connecting sensors, instruments, and other industry devices to the Internet, IIoT facilitates the data collection, data analysis, and automated control, thereby improving the productivity and efficiency of the business as well as the resulting economic benefits. Due to the complex IIoT infrastructure, anomaly detection becomes an important tool to ensure the success of IIoT. Due to the nature of IIoT, graph-level anomaly detection has been a promising means to detect and predict anomalies in many different domains, such as transportation, energy, and factory, as well as for dynamically evolving networks. This article provides a useful investigation on graph neural networks (GNNs) for anomaly detection in IIoT-enabled smart transportation, smart energy, and smart factory. In addition to the GNN-empowered anomaly detection solutions on point, contextual, and collective types of anomalies, useful data sets, challenges, and open issues for each type of anomalies in the three identified industry sectors (i.e., smart transportation, smart energy, and smart factory) are also provided and discussed, which will be useful for future research in this area. To demonstrate the use of GNN in concrete scenarios, we show three case studies in smart transportation, smart energy, and smart factory, respectively.  ¬© 2014 IEEE.</t>
  </si>
  <si>
    <t>Anomaly detection; graph neural networks (GNNs); Industrial Internet of Things (IIoT); industry 4.0</t>
  </si>
  <si>
    <t>Wu, Yulei (23092568400); Dai, Hong-Ning (55602606800); Tang, Haina (9840335600)</t>
  </si>
  <si>
    <t>23092568400; 55602606800; 9840335600</t>
  </si>
  <si>
    <t>https://www.scopus.com/inward/record.uri?eid=2-s2.0-85113202204&amp;doi=10.1109%2fJIOT.2021.3094295&amp;partnerID=40&amp;md5=fdc46966386081da932a0f59338d06e5</t>
  </si>
  <si>
    <t>2-s2.0-85113202204</t>
  </si>
  <si>
    <t>Anomaly detection; Concrete industry; Neural networks; Automated control; Different domains; Digital transformation; Economic benefits; Evolving networks; Graph neural networks; Industry sectors; Traditional industry; Industrial internet of things (IIoT)</t>
  </si>
  <si>
    <t>Shang J.; Liu W.; Yang Y.</t>
  </si>
  <si>
    <t>Online Task Offloading with Edge Service Providers Selection for Mobile Edge Computing</t>
  </si>
  <si>
    <t>10.1109/WCNC55385.2023.10118750</t>
  </si>
  <si>
    <t>2023-March</t>
  </si>
  <si>
    <t>Mobile Edge Computing (MEC) is a promising distributed computing paradigm, where the service providers deploy their computing power at the communication base stations close to mobile users. By providing task offloading at the network edge devices, the edge service providers can significantly reduce end-to-end latency and improve user satisfaction. However, there usually exists multiple providers in one edge, mobile users will face the choice of which edge service provider to offload their computing tasks after user allocation and offloading decision to a certain base station. In this study, from the perspective of MEC system, we investigate the online task offloading with edge service provider selection problem. We model it as a stochastic optimization problem, aiming to maximize the long-term time average user utility under limited resources, while ensuring the stability of the MEC system. We propose an online algorithm based on Lyapunov optimization to achieve a good trade-off between user satisfaction, energy consumption and system stability, then give theoretical proof of its performance bound. Experiments have been conducted based on a real-world dataset, and the results show that OEPS shows full-range performance advantages over three baseline methods.  ¬© 2023 IEEE.</t>
  </si>
  <si>
    <t>edge service provider selection; Lyapunov optimization; Mobile edge computing; task offloading</t>
  </si>
  <si>
    <t>Shang, Jianwen (58266111900); Liu, Wenbin (57189037888); Yang, Yongjian (37760908200)</t>
  </si>
  <si>
    <t>58266111900; 57189037888; 37760908200</t>
  </si>
  <si>
    <t>IEEE Wireless Communications and Networking Conference, WCNC</t>
  </si>
  <si>
    <t>https://www.scopus.com/inward/record.uri?eid=2-s2.0-85159783370&amp;doi=10.1109%2fWCNC55385.2023.10118750&amp;partnerID=40&amp;md5=d8b34d3e3dc73eff192a1967ea44ee06</t>
  </si>
  <si>
    <t>2-s2.0-85159783370</t>
  </si>
  <si>
    <t>Base stations; Computing power; Economic and social effects; Energy utilization; Mobile edge computing; Stochastic models; Stochastic systems; System stability; Computing system; Edge service provider selection; Edge services; Lyapunov optimization; Mobile users; Optimisations; Service provider; Service provider selections; Task offloading; Users' satisfactions; Optimization</t>
  </si>
  <si>
    <t>Almadhor A.; Alharbi A.; Alshamrani A.M.; Alosaimi W.; Alyami H.</t>
  </si>
  <si>
    <t>A new offloading method in the green mobile cloud computing based on a hybrid meta-heuristic algorithm</t>
  </si>
  <si>
    <t>10.1016/j.suscom.2022.100812</t>
  </si>
  <si>
    <t>Mobile Cloud Computing (MCC) results from the evolution of several Internet-based technologies that allow mobile consumers to gain cloud computing advantages and attain green computing by utilizing their cellphones. MCC's use may be restricted because of increasing energy utilization and restricted access to energy supplies. This challenge may be tackled using the green approach, which entails the development of several algorithms or approaches to attain the highest possible degree of service quality. Several techniques in this idea allow consumers to offload data processing and storage to cloud-based servers to reduce the energy utilization of mobile nodes. Offloading is an essential element that helps MCC reduce task load and optimize data storage utilizing a cloud resource pool. Regarding the advantages of the offloading procedure, issues such as reliability (node failure), energy efficiency (energy consumption, task processing), and time management (execution time and task deadline) must be handled. This work presents a unique offloading approach in green MCC depending on a hybrid meta-heuristic algorithm because of the NP-Hard nature of the issue. The African Wild Dog Algorithm (AWDA) and the cellular learning automata technique are merged to generate better responses. AWDA is based on the cooperative hunting behavior of African wild dogs. The quantity of cooperative hunters determines the efficacy of hunting. The optimization procedure is analogous to this collective hunting behavior. Furthermore, a learning automaton in the cellular learning automata technique describes each of these components. An element's learning automaton seeks to discover which action best complements its surrounding components. The simulation findings illustrated that the suggested hybrid technique outperforms the other algorithms regarding energy consumption, delay time, and cost. The proposed algorithm has improved the delay time, cost, and energy metric by 0.43%, 3.17%, and 8.37%, compared to other algorithms. ¬© 2022 Elsevier Inc.</t>
  </si>
  <si>
    <t>African wild dog algorithm; Cloud computing; Green; Hybrid algorithm; Learning automata; Mobile; Offloading</t>
  </si>
  <si>
    <t>Almadhor, Ahmad (57202875014); Alharbi, Abdullah (57217570873); Alshamrani, Ahmad M. (14061879100); Alosaimi, Wael (56009545600); Alyami, Hashem (57073795200)</t>
  </si>
  <si>
    <t>57202875014; 57217570873; 14061879100; 56009545600; 57073795200</t>
  </si>
  <si>
    <t>https://www.scopus.com/inward/record.uri?eid=2-s2.0-85141255897&amp;doi=10.1016%2fj.suscom.2022.100812&amp;partnerID=40&amp;md5=2aef506061124a1fae97a1b75378716d</t>
  </si>
  <si>
    <t>2-s2.0-85141255897</t>
  </si>
  <si>
    <t>Behavioral research; Cloud storage; Data handling; Energy efficiency; Energy utilization; Green computing; Heuristic algorithms; Heuristic methods; Learning algorithms; Learning systems; Optimization; African wild dog algorithm; Cloud-computing; Energy-consumption; Green; Hybrid algorithms; Hybrid metaheuristics; Learning Automata; Meta-heuristics algorithms; Mobile; Offloading; Mobile cloud computing</t>
  </si>
  <si>
    <t>Pervaiz A.; Yang Y.H.; Duracz A.; Bartha F.; Sai R.; Imes C.; Cartwright R.; Palem K.; Lu S.; Hoffmann H.</t>
  </si>
  <si>
    <t>GOAL: Supporting General and Dynamic Adaptation in Computing Systems</t>
  </si>
  <si>
    <t>10.1145/3563835.3567655</t>
  </si>
  <si>
    <t>Adaptive computing systems automatically monitor their behavior and dynamically adjust their own configuration parameters - or knobs - to ensure that user goals are met despite unpredictable external disturbances to the system. A major limitation of prior adaptation frameworks is that their internal adaptation logic is implemented for a specific, narrow set of goals and knobs, which impedes the development of complex adaptive systems that must meet different goals using different sets of knobs for different deployments, or even change goals during one deployment. To overcome this limitation we propose GOAL, an adaptation framework distinguished by its virtualized adaptation logic implemented independently of any specific goals or knobs. GOAL supports this logic with a programming interface allowing users to define and manipulate a wide range of goals and knobs within a running program. We demonstrate GOAL's benefits by using it re-implement seven different adaptive systems from the literature, each of which has a different set of goals and knobs. We show GOAL's general approach meets goals as well as prior approaches designed for specific goals and knobs. In dynamic scenarios where the goals and knobs are modified at runtime, GOAL achieves 93.7 ¬© 2022 ACM.</t>
  </si>
  <si>
    <t>adaptive computing; control theory; domain-specific language; energy; resource allocation</t>
  </si>
  <si>
    <t>Pervaiz, Ahsan (57219525939); Yang, Yao Hsiang (57207116381); Duracz, Adam (55924720800); Bartha, Ferenc (35809829800); Sai, Ryuichi (57207114246); Imes, Connor (56418424800); Cartwright, Robert (7101872117); Palem, Krishna (6701493422); Lu, Shan (35199803400); Hoffmann, Henry (7401864015)</t>
  </si>
  <si>
    <t>57219525939; 57207116381; 55924720800; 35809829800; 57207114246; 56418424800; 7101872117; 6701493422; 35199803400; 7401864015</t>
  </si>
  <si>
    <t>Onward! 2022 - Proceedings of the 2022 ACM SIGPLAN International Symposium on New Ideas, New Paradigms, and Reflections on Programming and Software, co-located with SPLASH 2022</t>
  </si>
  <si>
    <t>https://www.scopus.com/inward/record.uri?eid=2-s2.0-85146999075&amp;doi=10.1145%2f3563835.3567655&amp;partnerID=40&amp;md5=594c04d3a2669a817d1064c1c24e5e8c</t>
  </si>
  <si>
    <t>2-s2.0-85146999075</t>
  </si>
  <si>
    <t>Adaptive control systems; Computation theory; Control theory; Energy resources; Problem oriented languages; User interfaces; Adaptation framework; Adaptive computing; Adaptive computing systems; Computing system; Configuration parameters; Domains specific languages; Dynamic adaptations; Energy; Resources allocation; User goals; Computer circuits</t>
  </si>
  <si>
    <t>Qin J.; Guo X.; Ma X.; Li X.; Yang J.</t>
  </si>
  <si>
    <t>Application and Performance Evaluation of Resource Pool Architecture in Satellite Edge Computing</t>
  </si>
  <si>
    <t>10.3390/aerospace9080451</t>
  </si>
  <si>
    <t>Satellites will play a vital role in the future of the global Internet of Things (IoT); however, the resource shortage is the biggest limiting factor in the regional task of massiveequipment in the IoT for satellite service. Compared with the traditional isolated mode of satellite resources, the current research aims to realize resource sharing through satellite cooperation in satellite edge computing, to solve the problems of limited resources and low service quality of a single satellite. We propose a satellite resource pool architecture-oriented regional task in satellite edge computing. Different from fixed servers in ground systems, the satellite orbital motion brings challenges to the construction of the satellite resource pool. After the capacity planning of the satellite resource pool for regional tasks is given, an algorithm based on search matching is proposed to solve the dynamic satellite selection problem. A ground semi-physical simulation system is built to perform experiments and evaluate the performance of three modes of satellite resource sharing: isolated mode, cooperative mode, and pooled mode. The results show that the pooled mode, compared with the isolated mode, improves the task success rate by 19.52%, and at the same time increases network resources and energy consumption in the same scenario. Compared with the cooperation mode, the performance of task success rate and resource utilization rate is close to that of the pooled mode, but it has more advantages in response time and load balancing of satellite resources. This shows that in the IoT, the resource pool is of great benefit as it improves the task response time and improves the load balance of satellite resources without degrading the performance, which makes sense in task-demanding scenarios. ¬© 2022 by the authors.</t>
  </si>
  <si>
    <t>capacity planning; load balance; performance evaluation; resources sharing; satellite edge computing; satellite resource pool</t>
  </si>
  <si>
    <t>Qin, Junxiang (57222568928); Guo, Xiye (33567756000); Ma, Xiaotian (57877331500); Li, Xuan (57276784400); Yang, Jun (57061066100)</t>
  </si>
  <si>
    <t>57222568928; 33567756000; 57877331500; 57276784400; 57061066100</t>
  </si>
  <si>
    <t>Aerospace</t>
  </si>
  <si>
    <t>https://www.scopus.com/inward/record.uri?eid=2-s2.0-85137333049&amp;doi=10.3390%2faerospace9080451&amp;partnerID=40&amp;md5=b09fcf043dd377d9b1e389f88ecbffdb</t>
  </si>
  <si>
    <t>2-s2.0-85137333049</t>
  </si>
  <si>
    <t>Shi H.; Li Q.</t>
  </si>
  <si>
    <t>Edge computing and the internet of things on agricultural green productivity</t>
  </si>
  <si>
    <t>10.1007/s11227-022-04463-x</t>
  </si>
  <si>
    <t>The purpose is to mitigate network congestion (NC) and high energy consumption (EC) in the traditional Internet of Things (IoT)-supported crop monitoring system (CMS). Firstly, the current work summarizes the status quo of IoT and edge computing (EC) technologies. Secondly, it constructs an intelligent multi-sensor-based real-time CMS. Consequently, an EC-based agricultural IoT (AIoT) architecture is proposed. Finally, the current work optimizes the task scheduling at the IoT edges using deep reinforcement learning (DRL) and proposes the DRL-optimized EC-AIoT-based CMS. Furthermore, the performance of the proposed DRL-optimized EC-AIoT-based CMS is verified through experiments. The results show that: (1) There is little difference between the data collected by the proposed CMS and the manual measurement, so the proposed CMS has a high data accuracy. (2) The performance of the DRL-optimized real-time scheduling model is better than the traditional methods in both scheduling time and data integrity. (3) Under the proposed EC-AIoT-based CMS, the server occupancy and queueing time are significantly lower than other algorithms. The purpose is to provide important technical support (TS) for improving the efficiency and quality of crop monitoring and agricultural green productivity (GP). ¬© 2022, The Author(s), under exclusive licence to Springer Science+Business Media, LLC, part of Springer Nature.</t>
  </si>
  <si>
    <t>Edge computing; Green agricultural development; Internet of things</t>
  </si>
  <si>
    <t>Shi, Hongyu (57562120700); Li, Qiubo (57223011867)</t>
  </si>
  <si>
    <t>57562120700; 57223011867</t>
  </si>
  <si>
    <t>https://www.scopus.com/inward/record.uri?eid=2-s2.0-85127601700&amp;doi=10.1007%2fs11227-022-04463-x&amp;partnerID=40&amp;md5=e36ecb7135bde7c39b6b831da63e3ad4</t>
  </si>
  <si>
    <t>2-s2.0-85127601700</t>
  </si>
  <si>
    <t>Crops; Deep learning; Energy utilization; Internet of things; Productivity; Reinforcement learning; Scheduling; 'current; Agricultural development; Crop monitoring; Edge computing; Energy-consumption; Green agricultural development; High energy consumption; Monitoring system; Network congestions; Performance; Edge computing</t>
  </si>
  <si>
    <t>Yu Y.; Liu J.; Fang J.</t>
  </si>
  <si>
    <t>Online Microservice Orchestration for IoT via Multiobjective Deep Reinforcement Learning</t>
  </si>
  <si>
    <t>10.1109/JIOT.2022.3155598</t>
  </si>
  <si>
    <t>By providing loosely coupled, lightweight, and independent services, the microservice architecture is promising for large-scale and complex service provision requirements in the Internet of Things (IoT). However, it requires more fine-grained resource management and orchestration for service provision. Most of the existing microservice orchestration solutions are based on those designed for the traditional cloud. They can only provide coarse-grained resource allocation using possibly conflicting weighted objectives. In this article, we present a fine-grained microservice orchestration approach to provide services online for dynamic requests of IoT applications. By using a fine-grained resource model of energy cost and service end-to-end response time of orchestrated microservices, we formulate the microservice orchestration problem as a multiobjective Markov decision process. We then propose a multiobjective optimization solution based on deep reinforcement learning (DRL) to simultaneously reduce energy consumption and response time. Through extensive experiments, our proposed algorithm presents significant performance results than the state of the art. To the best of our knowledge, this is the first work that addresses microservice orchestration using DRL for multiple conflicting objectives.  ¬© 2014 IEEE.</t>
  </si>
  <si>
    <t>Deep reinforcement learning (DRL); energy consumption, Internet of Things (IoT); online microservice orchestration; Quality-of-Service (QoS) assurance</t>
  </si>
  <si>
    <t>Yu, Yinbo (57197519687); Liu, Jiajia (40461843700); Fang, Jing (57477048200)</t>
  </si>
  <si>
    <t>57197519687; 40461843700; 57477048200</t>
  </si>
  <si>
    <t>https://www.scopus.com/inward/record.uri?eid=2-s2.0-85125708766&amp;doi=10.1109%2fJIOT.2022.3155598&amp;partnerID=40&amp;md5=519bcf5c5902a8cf7f53e8c2385fa6f2</t>
  </si>
  <si>
    <t>2-s2.0-85125708766</t>
  </si>
  <si>
    <t>Deep learning; Internet of things; Markov processes; Multiobjective optimization; Natural resources management; Quality of service; Reinforcement learning; Resource allocation; Deep reinforcement learning; Energy-consumption; Fine grained; Microservice architecture; Multi objective; Online microservice orchestration; QoS assurance.; Quality-of-service; Reinforcement learnings; Resource management; Energy utilization</t>
  </si>
  <si>
    <t>Dimara A.; Vasilopoulos V.-G.; Papaioannou A.; Angelis S.; Kotis K.; Anagnostopoulos C.-N.; Krinidis S.; Ioannidis D.; Tzovaras D.</t>
  </si>
  <si>
    <t>Self-Healing of Semantically Interoperable Smart and Prescriptive Edge Devices in IoT</t>
  </si>
  <si>
    <t>10.3390/app122211650</t>
  </si>
  <si>
    <t>Smart homes enhance energy efficiency without compromising residents‚Äô comfort. To support smart home deployment and services, an IoT network must be established, while energy-management techniques must be applied to ensure energy efficiency. IoT networks must perpetually operate to ensure constant energy and indoor environmental monitoring. In this paper, an advanced sensor-agnostic plug-n-play prescriptive edge-to-edge IoT network management with micro-services is proposed, supporting also the semantic interoperability of multiple smart edge devices operating in the smart home network. Furthermore, IoT health-monitoring algorithms are applied to inspect network anomalies taking proper healing actions/prescriptions without the need to visit the residency. An autoencoder long short-term memory (AE-LSTM) is selected for detecting problematic situations, improving error prediction to 99.4%. Finally, indicative evaluation results reveal the mitigation of the IoT system breakdowns. ¬© 2022 by the authors.</t>
  </si>
  <si>
    <t>IoT network; prescriptive; self-healing; smart actuators; smart home; smart sensors</t>
  </si>
  <si>
    <t>Dimara, Asimina (57201366573); Vasilopoulos, Vasileios-Georgios (57226770132); Papaioannou, Alexios (57280507500); Angelis, Sotirios (57223105756); Kotis, Konstantinos (8951329800); Anagnostopoulos, Christos-Nikolaos (8966682200); Krinidis, Stelios (55968599400); Ioannidis, Dimosthenis (19638392200); Tzovaras, Dimitrios (13105681700)</t>
  </si>
  <si>
    <t>57201366573; 57226770132; 57280507500; 57223105756; 8951329800; 8966682200; 55968599400; 19638392200; 13105681700</t>
  </si>
  <si>
    <t>https://www.scopus.com/inward/record.uri?eid=2-s2.0-85142543242&amp;doi=10.3390%2fapp122211650&amp;partnerID=40&amp;md5=17ee93055dc7642d530e775d0137169a</t>
  </si>
  <si>
    <t>2-s2.0-85142543242</t>
  </si>
  <si>
    <t>Mahmud R.; Pallewatta S.; Goudarzi M.; Buyya R.</t>
  </si>
  <si>
    <t>iFogSim2: An extended iFogSim simulator for mobility, clustering, and microservice management in edge and fog computing environments</t>
  </si>
  <si>
    <t>10.1016/j.jss.2022.111351</t>
  </si>
  <si>
    <t>Internet of Things (IoT) has already proven to be the building block for next-generation Cyber‚ÄìPhysical Systems (CPSs). The considerable amount of data generated by the IoT devices needs latency-sensitive processing, which is not feasible by deploying the respective applications in remote Cloud datacentres. Edge/Fog computing, a promising extension of Cloud at the IoT-proximate network, can meet such requirements for smart CPSs. However, the structural and operational differences of Edge/Fog infrastructure resist employing Cloud-based service regulations directly to these environments. As a result, many research works have been recently conducted, focusing on efficient application and resource management in Edge/Fog computing environments. Scalable Edge/Fog infrastructure is a must to validate these policies, which is also challenging to accommodate in the real-world due to high cost and implementation time. Considering simulation as a key to this constraint, various software have been developed that can imitate the physical behavior of Edge/Fog computing environments. Nevertheless, the existing simulators often fail to support advanced service management features because of their monolithic architecture, lack of actual dataset, and limited scope for a periodic update. To overcome these issues, we have developed modular simulation models for service migration, dynamic distributed cluster formation, and microservice orchestration for Edge/Fog computing based on real datasets and extended the basic components of iFogSim, a widely used Edge/Fog computing simulator for their ease of adoption as iFogSim2. The performance of iFogSim2 and its built-in service management policies are evaluated using three use case scenarios and compared with the contemporary simulators and benchmark policies under different settings. Results indicate that our simulator consumes less memory and minimizes simulation time by an average of 28% when compared to other simulators. ¬© 2022 Elsevier Inc.</t>
  </si>
  <si>
    <t>Clustering; Edge/Fog computing; Internet of Things; Microservices; Mobility; Simulation</t>
  </si>
  <si>
    <t>Mahmud, Redowan (57200419245); Pallewatta, Samodha (57202956438); Goudarzi, Mohammad (57197131768); Buyya, Rajkumar (57194845546)</t>
  </si>
  <si>
    <t>57200419245; 57202956438; 57197131768; 57194845546</t>
  </si>
  <si>
    <t>https://www.scopus.com/inward/record.uri?eid=2-s2.0-85130094579&amp;doi=10.1016%2fj.jss.2022.111351&amp;partnerID=40&amp;md5=b650072584d3ec15cdfca92a7638dd74</t>
  </si>
  <si>
    <t>2-s2.0-85130094579</t>
  </si>
  <si>
    <t>Benchmarking; Cluster computing; Computer software; Environmental management; Fog computing; Simulators; Building blockes; Clusterings; Computing environments; Cybe-physical systems; Cyber-physical systems; Datacenter; Edge/fog computing; Microservice; Mobility; Simulation; Internet of things</t>
  </si>
  <si>
    <t>Manowska A.; Wycisk A.; Nowrot A.; Pielot J.</t>
  </si>
  <si>
    <t>The Use of the MQTT Protocol in Measurement, Monitoring and Control Systems as Part of the Implementation of Energy Management Systems</t>
  </si>
  <si>
    <t>10.3390/electronics12010017</t>
  </si>
  <si>
    <t>The Internet of Things (IoT) market is currently one of the most dynamically developing branches of technology. The increase in the number of devices and their capabilities make them present in every area of life‚Äîfrom construction to medicine. Due to flourishing industrial automation and wireless connectivity, all devices in buildings can be networked, which significantly improves comfort, energy efficiency, and thus significantly affects the promotion of the idea of sustainable development. This article proposes to build a system to monitor an energy management system by collecting information about temperature, humidity and pressure. The concept of the system is based on the Message Queue Telemetry Transport (MQTT) communication protocol, a wireless network, an ESP8266 microcontroller and a BME280 sensor. Sensors and actuators are connected to the ESP8266, and a Mosquitto-based MQTT broker is placed on the RPi and set up for remote monitoring and control. An innovative approach to the use of database systems dedicated to time series on the example of InfluxDB and data visualization in the Grafana environment was also presented. The proposed system was built in laboratory conditions in 2022 and used to monitor and control energy consumption in real time, depending on Polish weather conditions. ¬© 2022 by the authors.</t>
  </si>
  <si>
    <t>ESP8266; measurement system; Message Queuing Telemetry Transport (MQTT); monitoring and controlling in energy management; Mosquitto</t>
  </si>
  <si>
    <t>Manowska, Anna (57191709311); Wycisk, Artur (58041854100); Nowrot, Andrzej (36523715000); Pielot, Joachim (54974351600)</t>
  </si>
  <si>
    <t>57191709311; 58041854100; 36523715000; 54974351600</t>
  </si>
  <si>
    <t>https://www.scopus.com/inward/record.uri?eid=2-s2.0-85145614160&amp;doi=10.3390%2felectronics12010017&amp;partnerID=40&amp;md5=93ec82e35f83fd28bb9e12c5fd6006ad</t>
  </si>
  <si>
    <t>2-s2.0-85145614160</t>
  </si>
  <si>
    <t>Kubiak K.; Dec G.; Stadnicka D.</t>
  </si>
  <si>
    <t>Possible Applications of Edge Computing in the Manufacturing Industry‚ÄîSystematic Literature Review</t>
  </si>
  <si>
    <t>10.3390/s22072445</t>
  </si>
  <si>
    <t>This article presents the results of research with the main goal of identifying possible applications of edge computing (EC) in industry. This study used the methodology of systematic literature review and text mining analysis. The main findings showed that the primary goal of EC is to reduce the time required to transfer large amounts of data. With the ability to analyze data at the edge, it is possible to obtain immediate feedback and use it in the decision-making process. However, the implementation of EC requires investments not only in infrastructure, but also in the development of employee knowledge related to modern computing methods based on artificial intelligence. As the results of the analyses showed, great importance is also attached to energy consumption, both in ongoing production processes and for the purposes of data transmission and analysis. This paper also highlights problems related to quality management. Based on the analyses, we indicate further research directions for the application of edge computing and associated technologies that are required in the area of intelligent resource scheduling (for flexible production systems and autonomous systems), anomaly detection and resulting decision making, data analysis and transfer, knowledge management (for smart designing), and simulations (for autonomous systems). ¬© 2022 by the authors. Licensee MDPI, Basel, Switzerland.</t>
  </si>
  <si>
    <t>Digital factory; Edge computing; Industry 4.0; Intelligent manufacturing</t>
  </si>
  <si>
    <t>Kubiak, Kacper (57572946400); Dec, Grzegorz (57219503200); Stadnicka, Dorota (55933349000)</t>
  </si>
  <si>
    <t>57572946400; 57219503200; 55933349000</t>
  </si>
  <si>
    <t>https://www.scopus.com/inward/record.uri?eid=2-s2.0-85128015091&amp;doi=10.3390%2fs22072445&amp;partnerID=40&amp;md5=ef1f12fc602417fa2a1d330c206b272f</t>
  </si>
  <si>
    <t>2-s2.0-85128015091</t>
  </si>
  <si>
    <t>Artificial Intelligence; Feedback; Industry; Manufacturing Industry; Technology; Anomaly detection; Decision making; Energy utilization; Industry 4.0; Investments; Knowledge management; Quality management; Scheduling; Computing methods; Decision-making process; Digital factories; Edge computing; Immediate feedbacks; Intelligent Manufacturing; Large amounts of data; Manufacturing industries; Systematic literature review; Text mining analysis; artificial intelligence; feedback system; industry; manufacturing industry; technology; Edge computing</t>
  </si>
  <si>
    <t>Wang D.; Yang K.; Wang Y.; Xuan J.; Chen Y.; Xu H.</t>
  </si>
  <si>
    <t>Application Exploration of Blockchain-based Distributed Authentication wtih Alliance Trust in Power Industry; [Âü∫‰∫éÂå∫ÂùóÈìæÁöÑËÅîÁõü‰ø°‰ªªÂàÜÂ∏ÉÂºèËÆ§ËØÅÂú®ÁîµÂäõË°å‰∏öÁöÑÂ∫îÁî®Êé¢Á¥¢]</t>
  </si>
  <si>
    <t>10.7500/AEPS20210127006</t>
  </si>
  <si>
    <t>The rapid development of electric power business has led to the expansion of its network security boundary. However, while most of electric power business systems stay at the stage of centralized identity or federated identity, which is difficult to meet new demands such as massive access, heterogeneous authentication, and frequent interaction. First, this paper proposes a blockchain-based distributed authentication system with alliance trust applicable to the power industry. Then, this paper analyzes the applicability of the system from three perspectives: network architecture, user identity control, and privacy protection. Its system architecture and operation mechanism are elaborated. The alliance digital identity is designed, and the identity information is stored in the distributed identity ledger according to the consensus and privacy protection policies. The full lifecycle management of digital identity is provided, and the cross-domain secure sharing and autonomous control of identity data as well as the cross-domain identity authentication of users are realized. Finally, the solution ideas based on this system are proposed to address the identity authentication bottlenecks faced by three industry scenarios: charging ecosystem of charging piles, safety management of power grid personnel, and power supply chain finance. ¬© 2022 Automation of Electric Power Systems Press.</t>
  </si>
  <si>
    <t>Blockchain; Distributed identity authentication; Identity authentication; Power business</t>
  </si>
  <si>
    <t>Wang, Dong (59052696400); Yang, Ke (55267382600); Wang, Yu (58882617700); Xuan, Jiaxing (57218291122); Chen, Ya (58429943100); Xu, Honghua (8310444500)</t>
  </si>
  <si>
    <t>59052696400; 55267382600; 58882617700; 57218291122; 58429943100; 8310444500</t>
  </si>
  <si>
    <t>Dianli Xitong Zidonghua/Automation of Electric Power Systems</t>
  </si>
  <si>
    <t>https://www.scopus.com/inward/record.uri?eid=2-s2.0-85128178309&amp;doi=10.7500%2fAEPS20210127006&amp;partnerID=40&amp;md5=8c404a358a8ba3ae5d0c64033717d553</t>
  </si>
  <si>
    <t>2-s2.0-85128178309</t>
  </si>
  <si>
    <t>Accident prevention; Authentication; Distributed ledger; Electric power transmission networks; Electronic document identification systems; Human resource management; Life cycle; Network architecture; Network security; Supply chains; Block-chain; Distributed authentication; Distributed identity authentication; Electric power business; Identity authentication; Power; Power business; Power industry; Privacy protection; Blockchain</t>
  </si>
  <si>
    <t>Wu Q.; Zhou M.; Wen J.</t>
  </si>
  <si>
    <t>Endpoint Communication Contention-Aware Cloud Workflow Scheduling</t>
  </si>
  <si>
    <t>10.1109/TASE.2020.3046673</t>
  </si>
  <si>
    <t>Cloud platforms have recently become a popular target execution environment for numerous workflow applications. Hence, effective workflow scheduling strategies in cloud environments are in high demand. However, existing scheduling algorithms are grounded on an idealized target platform model where virtual machines are fully connected, and all communications can be performed concurrently. A significant aspect neglected by them is endpoint communication contention when executing workflows, which has a large impact on workflow makespan. This article investigates how to incorporate contention awareness into cloud workflow scheduling and proposes a new practical scheduling model. Endpoint communication contention-aware List Scheduling Heuristic (ELSH) is designed to minimize workflow makespan. It uses a novel task ranking property and schedules data communications to communication resources besides scheduling tasks to computing resources. Moreover, a rescheduling technique is employed to improve the schedule. In experiments, ELSH is evaluated against the traditional contention-oblivious list scheduling algorithm, which is adapted to address contention during execution in practice. The experimental results reveal that ELSH performs more efficaciously compared with the adapted traditional ones. Note to Practitioners - This article aims to advance the state of the art for workflow scheduling in clouds by taking into account endpoint communication contention that can occur in practice but has largely been neglected in existing investigations. A scheduling method called Endpoint communication contention-aware List Scheduling Heuristic (ELSH) is then proposed to optimize workflow makespan. Experimental results based on synthetic and realistic workflows show that ELSH performs better than traditional scheduling algorithms that fail to consider endpoint communication contention, especially for the workflow with a large communication-to-computation-cost ratio. The proposed approach can be readily put into use and help cloud service providers to offer their customers high-quality services when executing the latter's workflows.  ¬© 2004-2012 IEEE.</t>
  </si>
  <si>
    <t>Cloud computing; directed acyclic graph; endpoint communication contention; list scheduling; workflow scheduling</t>
  </si>
  <si>
    <t>Wu, Quanwang (36549872300); Zhou, MengChu (7403506743); Wen, Junhao (8950200000)</t>
  </si>
  <si>
    <t>36549872300; 7403506743; 8950200000</t>
  </si>
  <si>
    <t>https://www.scopus.com/inward/record.uri?eid=2-s2.0-85100848976&amp;doi=10.1109%2fTASE.2020.3046673&amp;partnerID=40&amp;md5=78a20a1cf84025b5d8b6dd9693979ef6</t>
  </si>
  <si>
    <t>2-s2.0-85100848976</t>
  </si>
  <si>
    <t>Automation; Electrical engineering; Communication contention; Communication resources; Contention awareness; Data-communication; Execution environments; List scheduling algorithms; Workflow applications; Workflow scheduling; Scheduling</t>
  </si>
  <si>
    <t>Alshathri S.I.; Chelloug S.A.; Hassan D.S.M.</t>
  </si>
  <si>
    <t>Parallel Meta-Heuristics for Solving Dynamic Offloading in Fog Computing</t>
  </si>
  <si>
    <t>10.3390/math10081258</t>
  </si>
  <si>
    <t>The internet of things (IoT) concept has been extremely investigated in many modern smart applications, which enable a set of sensors to either process the collected data locally or send them to the cloud for remote processing. Unfortunately, cloud datacenters are located far away from IoT devices, and consequently, the transmission of IoT data may be delayed. In this paper, we investigate fog computing, which is a new paradigm that overcomes many issues of cloud computing. More importantly, dynamic task offloading in fog computing is a challenging problem that requires an optimal decision for processing the tasks that are generated in each time slot. Thus, exact optimization methods based on Lyapunov function have been widely used for solving dynamic offloading which represents an NP hard problem. To overcome the scalability issue of exact optimization techniques, we have explored famous population based meta-heuristics for optimizing the offloading process of a set of dynamic tasks using Orthogonal Frequency Division Multiplexing (OFDM) communication. Hence, a parallel multi-threading framework is proposed for generating the optimal offloading solution while selecting the best sub-carrier for each offloaded task. More importantly, our contribution associates a thread for each IoT device and generates a population of random solutions. Next, each population is updated and evaluated according to the proposed fitness function that considers a tradeoff between the delay and energy consumption. Upon the arrival of new tasks at each time slot, an evaluation is performed for maintaining some individuals of the previous population while generating new individuals based on some criteria. Our results have been compared to the results achieved using Lyapunov optimization. They demonstrate the convergence of the fitness function, the scalability of the parallel Particle Swarm Optimization (PSO) approach, and the performance in terms of the offline error and the execution cost. ¬© 2022 by the authors. Licensee MDPI, Basel, Switzerland.</t>
  </si>
  <si>
    <t>cloud computing; dynamic offloading; fog computing; IoT; meta-heuristics; multi-threading; offline error; parallel genetic algorithm; parallel PSO</t>
  </si>
  <si>
    <t>Alshathri, Samah Ibrahim (57190885945); Chelloug, Samia Allaoua (14044519300); Hassan, Dina S. M. (36158035300)</t>
  </si>
  <si>
    <t>57190885945; 14044519300; 36158035300</t>
  </si>
  <si>
    <t>https://www.scopus.com/inward/record.uri?eid=2-s2.0-85128705711&amp;doi=10.3390%2fmath10081258&amp;partnerID=40&amp;md5=2023179f64d1d5926e16fe4012fa3878</t>
  </si>
  <si>
    <t>2-s2.0-85128705711</t>
  </si>
  <si>
    <t>Zhang W.; Chen L.; Luo J.; Liu J.</t>
  </si>
  <si>
    <t>A two-stage container management in the cloud for optimizing the load balancing and migration cost</t>
  </si>
  <si>
    <t>10.1016/j.future.2022.05.002</t>
  </si>
  <si>
    <t>Container technology is driving the transformation of Container as a Service (CaaS), which calls for an optimal solution of container management. In this paper, we present a two-stage framework of container management in the cloud, which includes container placement and container migration. Specifically, we investigate the container placement strategy of cloud servers for load balancing in a long time scale. In a short time scale, we investigate the container migration strategy among the cloud servers for minimizing the migration cost while maintaining the degree of load balance. Both of the strategies are formulated as constrained optimization problems. We propose Balance Aware Container Placement (BACP) algorithm and Adaptive Threshold Container Migration (ATCM) algorithm to solve the optimization problems in different time scales. Furthermore, workload prediction of the containers is proposed to enhance the solution. We show by experiments that we can achieve the load balance while reducing the migration cost. Moreover, the proposed algorithm outperforms the meta-heuristic algorithms, i.e., PSO (Particle Swarm Optimization) and CRO (Coral Reef Optimization). ¬© 2022 Elsevier B.V.</t>
  </si>
  <si>
    <t>Cloud computing; Container migration; Container placement; Load balance; Migration cost; Workload prediction</t>
  </si>
  <si>
    <t>Zhang, Weiwen (57216740863); Chen, Lei (57770616900); Luo, Jinzhou (57796399100); Liu, Jianqi (43261252100)</t>
  </si>
  <si>
    <t>57216740863; 57770616900; 57796399100; 43261252100</t>
  </si>
  <si>
    <t>https://www.scopus.com/inward/record.uri?eid=2-s2.0-85133958368&amp;doi=10.1016%2fj.future.2022.05.002&amp;partnerID=40&amp;md5=3220e375c9fdc0cd01b721d71b0199e1</t>
  </si>
  <si>
    <t>2-s2.0-85133958368</t>
  </si>
  <si>
    <t>Cloud computing; Constrained optimization; Heuristic algorithms; Particle swarm optimization (PSO); Time measurement; Cloud servers; Cloud-computing; Container management; Container migration; Container placement; Load migration; Load-balance; Load-Balancing; Migration costs; Workload predictions; Containers</t>
  </si>
  <si>
    <t>Minh Q.N.; Nguyen V.-H.; Quy V.K.; Ngoc L.A.; Chehri A.; Jeon G.</t>
  </si>
  <si>
    <t>Edge Computing for IoT-Enabled Smart Grid: The Future of Energy</t>
  </si>
  <si>
    <t>10.3390/en15176140</t>
  </si>
  <si>
    <t>The explosive development of electrical engineering in the early 19th century marked the birth of the 2nd industrial revolution, with the use of electrical energy in place of steam power, as well as changing the history of human development. The versatility of electricity allows people to apply it to a multitude of fields such as transportation, heat applications, lighting, telecommunications, and computers. Nowadays, with the breakout development of science and technology, electric energy sources are formed by many different technologies such as hydroelectricity, solar power, wind power, coal power, etc. These energy sources are connected to form grid systems to transmit electricity to cities, businesses and homes for life and work. Electrical energy today has become the backbone of all modern technologies. To ensure the safe, reliable and energy-efficient operation of the grid, a wide range of grid management applications have been proposed. However, a significant challenge for monitoring and controlling grids is service response time. In recent times, to solve this problem, smart grid management applications based on IoT and edge computing have been proposed. In this work, we perform a comprehensive survey of edge computing for IoT-enabled smart grid systems. In addition, recent smart grid frameworks based on IoT and edge computing are discussed, important requirements are presented, and the open issues and challenges are indicated. We believe that in the Internet of Things era, the smart grid will be the future of energy. We hope that these study results will contribute important guidelines for in-depth research in the field of smart grids and green energy in the future. ¬© 2022 by the authors.</t>
  </si>
  <si>
    <t>edge computing; energy efficient; Internet of Things; smart grid</t>
  </si>
  <si>
    <t>Minh, Quy Nguyen (58507733500); Nguyen, Van-Hau (36926041000); Quy, Vu Khanh (57201073955); Ngoc, Le Anh (24332027300); Chehri, Abdellah (55666436200); Jeon, Gwanggil (15022497800)</t>
  </si>
  <si>
    <t>58507733500; 36926041000; 57201073955; 24332027300; 55666436200; 15022497800</t>
  </si>
  <si>
    <t>https://www.scopus.com/inward/record.uri?eid=2-s2.0-85137751560&amp;doi=10.3390%2fen15176140&amp;partnerID=40&amp;md5=4cb2af0e5c5f4719ee8450ad16a05bf3</t>
  </si>
  <si>
    <t>2-s2.0-85137751560</t>
  </si>
  <si>
    <t>Edge computing; Electric power transmission networks; Energy efficiency; Green computing; Internet of things; Solar energy; Wind power; 19th century; Edge computing; Electrical energy; Energy; Energy efficient; Energy source; Grid management; Industrial revolutions; Management applications; Smart grid; Smart power grids</t>
  </si>
  <si>
    <t>Kaur U.; Malacco V.M.R.; Bai H.; Price T.P.; Datta A.; Xin L.; Sen S.; Nawrocki R.A.; Chiu G.; Sundaram S.; Min B.-C.; Daniels K.M.; White R.R.; Donkin S.S.; Brito L.F.; Voyles R.M.</t>
  </si>
  <si>
    <t>Invited review: Integration of technologies and systems for precision animal agriculture - A case study on precision dairy farming</t>
  </si>
  <si>
    <t>10.1093/jas/skad206</t>
  </si>
  <si>
    <t>Precision livestock farming (PLF) offers a strategic solution to enhance the management capacity of large animal groups, while simultaneously improving profitability, efficiency, and minimizing environmental impacts associated with livestock production systems. Additionally, PLF contributes to optimizing the ability to manage and monitor animal welfare while providing solutions to global grand challenges posed by the growing demand for animal products and ensuring global food security. By enabling a return to the "per animal"approach by harnessing technological advancements, PLF enables cost-effective, individualized care for animals through enhanced monitoring and control capabilities within complex farming systems. Meeting the nutritional requirements of a global population exponentially approaching ten billion people will likely require the density of animal proteins for decades to come. The development and application of digital technologies are critical to facilitate the responsible and sustainable intensification of livestock production over the next several decades to maximize the potential benefits of PLF. Real-time continuous monitoring of each animal is expected to enable more precise and accurate tracking and management of health and well-being. Importantly, the digitalization of agriculture is expected to provide collateral benefits of ensuring auditability in value chains while assuaging concerns associated with labor shortages. Despite notable advances in PLF technology adoption, a number of critical concerns currently limit the viability of these state-of-the-art technologies. The potential benefits of PLF for livestock management systems which are enabled by autonomous continuous monitoring and environmental control can be rapidly enhanced through an Internet of Things approach to monitoring and (where appropriate) closed-loop management. In this paper, we analyze the multilayered network of sensors, actuators, communication, networking, and analytics currently used in PLF, focusing on dairy farming as an illustrative example. We explore the current state-of-the-art, identify key shortcomings, and propose potential solutions to bridge the gap between technology and animal agriculture. Additionally, we examine the potential implications of advancements in communication, robotics, and artificial intelligence on the health, security, and welfare of animals. ¬© 2023 The Author(s). Published by Oxford University Press on behalf of the American Society of Animal Science. All rights reserved.</t>
  </si>
  <si>
    <t>artificial intelligence; Internet of Things; networking; precision livestock farming; sensors</t>
  </si>
  <si>
    <t>Kaur, Upinder (57469198400); Malacco, Victor M. R (57193995080); Bai, Huiwen (57223437252); Price, Tanner P (57366589800); Datta, Arunashish (57209785902); Xin, Lei (59623551100); Sen, Shreyas (24473847600); Nawrocki, Robert A (35956898500); Chiu, George (7004975176); Sundaram, Shreyas (15926451900); Min, Byung-Cheol (39161762500); Daniels, Kristy M (8437878100); White, Robin R (55937158000); Donkin, Shawn S (7003965966); Brito, Luiz F (36843676900); Voyles, Richard M (7003647915)</t>
  </si>
  <si>
    <t>57469198400; 57193995080; 57223437252; 57366589800; 57209785902; 59623551100; 24473847600; 35956898500; 7004975176; 15926451900; 39161762500; 8437878100; 55937158000; 7003965966; 36843676900; 7003647915</t>
  </si>
  <si>
    <t>Journal of Animal Science</t>
  </si>
  <si>
    <t>skad206</t>
  </si>
  <si>
    <t>https://www.scopus.com/inward/record.uri?eid=2-s2.0-85166362756&amp;doi=10.1093%2fjas%2fskad206&amp;partnerID=40&amp;md5=a99c10aae26027fa7deb5723f45a9930</t>
  </si>
  <si>
    <t>2-s2.0-85166362756</t>
  </si>
  <si>
    <t>Agriculture; Animal Husbandry; Animals; Artificial Intelligence; Farms; Livestock; Technology; agricultural worker; agriculture; animal; animal husbandry; artificial intelligence; livestock; technology</t>
  </si>
  <si>
    <t>Arrieta Rodriguez E.; Murillo Fernandez L.F.; Casta√±ez Orta G.A.; Rivas Horta A.M.; Baldovino Barco C.; Jimenez Barrionuevo K.; Cama-Pinto D.; Arrabal-Campos F.M.; Mart√≠nez-Lao J.A.; Cama-Pinto A.</t>
  </si>
  <si>
    <t>A Platform for Inpatient Safety Management Based on IoT Technology</t>
  </si>
  <si>
    <t>10.3390/inventions7040116</t>
  </si>
  <si>
    <t>There is a need to integrate advancements in biomedical, information, and communication technologies with care processes within the framework of the inpatient safety program to support effective risk management of adverse events occurring in the hospital environment and to improve inpatient safety. In this respect, this work presents the development of a software platform using the Scrum methodology and the integrated technology of the Internet of Things for monitoring and managing inpatient safety. A modular solution is developed under a hexagonal architecture, using PHP as the backend language through the Laravel framework. A MySQL database was used for the data layer, and Vue.js was used for the user interface. This work implemented an RFID-based nurse call system using Internet of Things (IoT) concepts. The system enables nurses to respond to each inpatient within a given time limit and without the inpatient or a family member having to approach the nursing station. The system also provides reports and indicators that help evaluate the quality of inpatient care and helps to take measures to improve inpatient safety during care. In addition, diet management is integrated to reduce the occurrence of adverse events. A LoRa and Wi-Fi-based IoT network was implemented using a LoRa transceiver and the ESP32 MCU, chosen for its low power consumption, low cost, and wide availability. Bidirectional communication between hardware and software is handled through an MQTT Broker. The system integrates temperature and humidity sensors and smoke sensors, among others. ¬© 2022 by the authors.</t>
  </si>
  <si>
    <t>adverse event; hexagonal architecture; inpatient safety; IoT</t>
  </si>
  <si>
    <t>Arrieta Rodriguez, Eugenia (57217088865); Murillo Fernandez, Luis Fernando (55909456000); Casta√±ez Orta, Gustavo Adolfo (58029692000); Rivas Horta, Ana Milena (58029692100); Baldovino Barco, Carlos (58029859900); Jimenez Barrionuevo, Kellys (58030197900); Cama-Pinto, Dora (57199508421); Arrabal-Campos, Francisco Manuel (57190022747); Mart√≠nez-Lao, Juan Antonio (57192712884); Cama-Pinto, Alejandro (57074174800)</t>
  </si>
  <si>
    <t>57217088865; 55909456000; 58029692000; 58029692100; 58029859900; 58030197900; 57199508421; 57190022747; 57192712884; 57074174800</t>
  </si>
  <si>
    <t>Inventions</t>
  </si>
  <si>
    <t>https://www.scopus.com/inward/record.uri?eid=2-s2.0-85144694824&amp;doi=10.3390%2finventions7040116&amp;partnerID=40&amp;md5=e556451cd715761ed07900f31ea1eff2</t>
  </si>
  <si>
    <t>2-s2.0-85144694824</t>
  </si>
  <si>
    <t>Imran; Iqbal N.; Kim D.H.</t>
  </si>
  <si>
    <t>IoT Task Management Mechanism Based on Predictive Optimization for Efficient Energy Consumption in Smart Residential Buildings</t>
  </si>
  <si>
    <t>10.1016/j.enbuild.2021.111762</t>
  </si>
  <si>
    <t>Energy-saving is a global challenge and one of the hot research topics of this decade. The need for sustainable technologies and solutions for energy-saving dramatically increased in residential buildings due to population growth, quality of indoor environment, and climate change. Recently, IoT based applications have been developed in smart homes, smart cities, smart hospitals, and other smart environments. The goals of sustainable technologies in residential buildings incorporate maximization of thermal comfort and minimizing energy consumption. The challenges and problems of residential buildings can be solved using consumer behavior models and integrating their inference into residential problem solutions. This paper proposes an IoT task management mechanism based on predictive optimization for energy consumption minimization in smart residential buildings. The proposed task management mechanism has a predictive optimization module based on prediction and an optimization module for solving energy consumption minimization problems. The energy data is obtained from different appliances to evaluate the proposed predictive optimization approach. The proposed approach results are compared with prediction and optimization modules. The performance is evaluated in terms of regression performance metrics. The case study results show that the predictive optimization mechanism based on task management performs better than standalone prediction and optimization-based energy consumption mechanisms in residential buildings. ¬© 2021 Elsevier B.V.</t>
  </si>
  <si>
    <t>Energy consumption; Energy saving; Optimization; Prediction; Predictive optimization; Task management</t>
  </si>
  <si>
    <t>Imran (57211507182); Iqbal, Naeem (16319179300); Kim, Do Hyeun (44361167000)</t>
  </si>
  <si>
    <t>57211507182; 16319179300; 44361167000</t>
  </si>
  <si>
    <t>Energy and Buildings</t>
  </si>
  <si>
    <t>https://www.scopus.com/inward/record.uri?eid=2-s2.0-85121963422&amp;doi=10.1016%2fj.enbuild.2021.111762&amp;partnerID=40&amp;md5=445941515f1bd38c3f3b1edea98258a8</t>
  </si>
  <si>
    <t>2-s2.0-85121963422</t>
  </si>
  <si>
    <t>Automation; Climate change; Consumer behavior; Energy conservation; Forecasting; Housing; Intelligent buildings; Internet of things; Population statistics; Energy  savings; Energy-consumption; Energy-savings; Management mechanisms; Mechanism-based; Optimisations; Predictive optimization; Residential building; Task management; Energy utilization</t>
  </si>
  <si>
    <t>Aydin S.; Nafiz Aydin M.</t>
  </si>
  <si>
    <t>Design and implementation of a smart beehive and its monitoring system using microservices in the context of IoT and open data</t>
  </si>
  <si>
    <t>10.1016/j.compag.2022.106897</t>
  </si>
  <si>
    <t>It is essential to keep honey bees healthy for providing a sustainable ecological balance. One way of keeping honey bees healthy is to be able to monitor and control the general conditions in a beehive and also outside of a beehive. Monitoring systems offer an effective way of accessing, visualizing, sharing, and managing data that is gathered from performed agricultural and livestock activities for domain stakeholders. Such systems have recently been implemented based on wireless sensor networks (WSN) and IoT to monitor the activities of honey bees in beehives as well. Scholars have shown considerable interests in proposing IoT- and WSN-based beehive monitoring systems, but much of the research up to now lacks in proposing appropriate architecture for open data driven beehive monitoring systems. Developing a robust monitoring system based on a contemporary software architecture such as microservices can be of great help to be able to control the activities of honey bees and more importantly to be able to keep them healthy in beehives. This research sets out to design and implementation of a sustainable WSN-based beehive monitoring platform using a microservice architecture. We pointed out that by adopting microservices one can deal with long-standing problems with heterogeneity, interoperability, scalability, agility, reliability, maintainability issues, and in turn achieve sustainable WSN-based beehive monitoring systems. ¬© 2022 Elsevier B.V.</t>
  </si>
  <si>
    <t>Beehive monitoring system; Microservices in agriculture and livestock; Microservices in beehive; Open data in beehive; Smart beehive</t>
  </si>
  <si>
    <t>Aydin, Sahin (57215304534); Nafiz Aydin, Mehmet (8873732700)</t>
  </si>
  <si>
    <t>57215304534; 8873732700</t>
  </si>
  <si>
    <t>Computers and Electronics in Agriculture</t>
  </si>
  <si>
    <t>https://www.scopus.com/inward/record.uri?eid=2-s2.0-85127333524&amp;doi=10.1016%2fj.compag.2022.106897&amp;partnerID=40&amp;md5=6280b94a3aee1ea99c59d81f4a987e6e</t>
  </si>
  <si>
    <t>2-s2.0-85127333524</t>
  </si>
  <si>
    <t>Food products; Internet of things; Interoperability; Monitoring; Network architecture; Open Data; Wireless sensor networks; Beehive monitoring system; Design and implementations; Honey bee; Microservice in agriculture and livestock; Microservice in beehive; Monitoring system; Network-based; Open data in beehive; Open datum; Smart beehive; agriculture; design method; Internet; livestock; monitoring system; Agriculture</t>
  </si>
  <si>
    <t>Sharma S.; Verma V.K.</t>
  </si>
  <si>
    <t>An Integrated Exploration on Internet of Things and Wireless Sensor Networks</t>
  </si>
  <si>
    <t>10.1007/s11277-022-09487-3</t>
  </si>
  <si>
    <t>The ability to access data from remote locations is meant possible with the help of computer networks. These networks may be wired or wireless. Modern improvements in wireless infrastructure brought wireless sensor networks (WSN) into existence. WSN is utilized to monitor, report, and supervise tasks or events occurring in the environment. The relaying of data in such systems takes place by utilizing different routing schemes. These routing schemes were proposed to augment the throughput of communication networks. In addition, perception regarding the Internet of Things (IoT) gained momentum via making it feasible for things to interact and act smartly. In this paper, a meticulous survey of solutions proposed in both the domains i.e. WSN and IoT is conferred. Later, comprehensive scrutiny of various solutions proposed in the WSN and IoT domain is deliberated regarding their features, pros, and cons. Moreover, this work compares various proposed solutions based on performance measures like heterogeneity, interoperability, mobility, reusability, flexibility, energy efficiency, scalability, delay, security as well as big data. This knowledge enables the network architect to pick the apt solution in support of a specific application. As the integration of WSN and IoT raised numerous open issues, this work deliberated the afore-mentioned performance measures as the key open issues of interest. Furthermore, novel exploration guidelines in the said domain have been elaborated. These guidelines are expected to act as a key component in the upcoming enhancements of communication networks. ¬© 2022, The Author(s), under exclusive licence to Springer Science+Business Media, LLC, part of Springer Nature.</t>
  </si>
  <si>
    <t>Internet of things; Mobility; Scalability; Security; Sensor networks</t>
  </si>
  <si>
    <t>Sharma, Saurabh (57219569199); Verma, Vinod Kumar (55925835900)</t>
  </si>
  <si>
    <t>57219569199; 55925835900</t>
  </si>
  <si>
    <t>https://www.scopus.com/inward/record.uri?eid=2-s2.0-85123167134&amp;doi=10.1007%2fs11277-022-09487-3&amp;partnerID=40&amp;md5=c974ce9fde31b7661c48eecf5b03682f</t>
  </si>
  <si>
    <t>2-s2.0-85123167134</t>
  </si>
  <si>
    <t>Energy efficiency; Internet of things; Power management (telecommunication); Reusability; Routing protocols; Wireless sensor networks; Communications networks; Efficiency scalability; Mobility; Network architects; Performance measure; Remote location; Routing scheme; Security; Sensors network; Wireless infrastructures; Scalability</t>
  </si>
  <si>
    <t>Widianto M.H.; Ranny</t>
  </si>
  <si>
    <t>Message querying telemetry transfer on IoT applications to enhance technology: a systematic review</t>
  </si>
  <si>
    <t>10.11591/ijres.v11.i3.pp265-274</t>
  </si>
  <si>
    <t>More things are connected to the Internet, making the internet of things (IoT) develop significantly. But IoT also has weaknesses in communication, one of which can be overcome by utilizing message querying telemetry transfer (MQTT) because there are too many benefits of MQTT. Because there have been many published studies regarding MQTT, this study aims to conduct a review utilizing preferred reporting items for systematic reviews and meta-analyses (PRISMA) on the application of MQTT in IoT applications to enhance technology. The results of using PRISMA were 57 papers selected from this process, which starts from the identification stage, screening, eligibility, and included. The last author found components that can be discussed to enhance technology. In this discussion, several topics will be used to enhance technology, such as; smart technology, security, MQTT performance for IoT, monitoring systems, MQTT comparison, enhancement or optimization. This paper is expected to help academia and industry related to MQTT research that can help IoT to enhance technology quality. ¬© 2022, Institute of Advanced Engineering and Science. All rights reserved.</t>
  </si>
  <si>
    <t>Internet of things; Monitoring system; MQTT; PRISMA; Smart technology</t>
  </si>
  <si>
    <t>Widianto, Mochammad Haldi (57193864648); Ranny (57226719961)</t>
  </si>
  <si>
    <t>57193864648; 57226719961</t>
  </si>
  <si>
    <t>International Journal of Reconfigurable and Embedded Systems</t>
  </si>
  <si>
    <t>https://www.scopus.com/inward/record.uri?eid=2-s2.0-85139979168&amp;doi=10.11591%2fijres.v11.i3.pp265-274&amp;partnerID=40&amp;md5=235fd72a6ff0422c43d490c300783302</t>
  </si>
  <si>
    <t>2-s2.0-85139979168</t>
  </si>
  <si>
    <t>Lawal K.N.; Olaniyi T.K.; Gibson R.M.</t>
  </si>
  <si>
    <t>A Fog Computing-Based Efficient Data Management Smart Home Architecture</t>
  </si>
  <si>
    <t>10.1007/978-3-031-18458-1_17</t>
  </si>
  <si>
    <t>560 LNNS</t>
  </si>
  <si>
    <t>Smart home technology comprises of multiple devices communicating with each other and human occupants to provide state of the art living conditions. The increased use of smart devices in smart homes, increases the rate of energy consumption. Among the plethora of smart devices within a smart home, one of the key smart devices that account for high data volume and rate of data transmission is the Closed-Circuit Television (CCTV) surveillance system. Furthermore, there has been multiple attempts by researchers to use Cloud computing solution to address the issue of storage and processing capabilities. However, the use of Cloud computing has challenges such as energy consumption, latency, and network bandwidth usage bottlenecks with energy cost set to increase by April 2022. The introduction of Fog computing as a solution aim to address existing Cloud computing issues such as energy consumption, latency, and network bandwidth usage, providing improvements to mobility, security and on demand requests. In this paper, Fog computing will provide a method that supports the management of data generated by CCTV camera system while reducing the energy consumption, latency, and network bandwidth usage. The work presented in this paper demonstrates efficiency and optimisation of energy consumption, latency, and network bandwidth usage using iFogSim2 network simulation toolkit. A comparison and interpretation of results from the iFogSim2 output for Cloud and Fog based scenarios is used to evaluate improvements in energy consumption, latency, and network bandwidth usage demonstrating the benefits of Fog based scenario to efficiently manage data from the CCTV camera system. ¬© 2023, The Author(s), under exclusive license to Springer Nature Switzerland AG.</t>
  </si>
  <si>
    <t>Cloud computing; Data management; Fog computing; Internet of Things; Smart home</t>
  </si>
  <si>
    <t>Lawal, Kelvin N. (57968351900); Olaniyi, Titus K. (57968041400); Gibson, Ryan M. (56816286200)</t>
  </si>
  <si>
    <t>57968351900; 57968041400; 56816286200</t>
  </si>
  <si>
    <t>https://www.scopus.com/inward/record.uri?eid=2-s2.0-85142099617&amp;doi=10.1007%2f978-3-031-18458-1_17&amp;partnerID=40&amp;md5=cff5b915c11b98d6ded187e2ac6e84d8</t>
  </si>
  <si>
    <t>2-s2.0-85142099617</t>
  </si>
  <si>
    <t>Zhang J.; Wang C.; Dong X.; Zhu W.; Yue H.; Liu S.; Zhou Q.</t>
  </si>
  <si>
    <t>Development and Application of Rapid Investigation and Analysis Platform for Agricultural and Rural Information Based on Fission Model; [Âü∫‰∫éË£ÇÂèòÊ®°ÂºèÁöÑÂÜú‰∏öÂÜúÊùë‰ø°ÊÅØÂø´ÈÄüË∞ÉÊü•ÂèäÂàÜÊûêÂπ≥Âè∞ÂºÄÂèë‰∏éÂ∫îÁî®]</t>
  </si>
  <si>
    <t>10.3864/j.issn.0578-1752.2022.21.006</t>
  </si>
  <si>
    <t>„ÄêObjective„ÄëIn order to effectively solve the problems existing in the process of collecting basic information of traditional agriculture and rural areas, such as long collection period, small sample size, inaccurate delivery, low data quality and difficulty in auditing, and to achieve rapid acquisition and visual analysis of massive data under the background of emergencies, a rapid survey platform for agricultural and rural information was designed and developed, which integrated accurate questionnaire delivery, rapid data collection and automatic analysis of results, so as to provide a convenient tool for agricultural management departments at all levels to make efficient decisions. „ÄêMethod„Äë (1) Overall design: The platform was designed based on the 5-layer architecture technology and the concept of ‚ÄúMid-Plane‚Äù, and the new media, GIS and social network analysis (SNA) were used to build a questionnaire accurate delivery model, multi-level fission model, rapid review, and automatic analysis strategies. In order to deeply mine and present the value of platform data in multiple dimensions, this research used methods such as point centrality, betweenness centrality and spatial clustering to analyze the fission relationship, diffusion capacity, and community characteristics of the questionnaire dissemination network. (2) System realization: two subsystems were developed by adopting the front-end and back-end separation mode, namely, the rapid investigation collection system for survey users, and the rapid investigation management and analysis system for the information investigators. (3) Application: VMware vSphere integrated container and cluster server were used to deploy system and Nginx load balancing to improve system response speed. „ÄêResult„Äë After six months of continuous operation, the system had strong universality. It has provided 12 large-scale agricultural and rural information survey services in 8 fields and collected a total of 76 953 questionnaires; In the agricultural and rural economic information survey cases 12 243 questionnaires have been collected within 5 hours, with a fission ratio of 88.23%, of which 20.24% formed diffusion and fission. The community effect was obvious, with high degree of fission, fast speed and wide range. The platform had strong comprehensive functions, covering the functions of questionnaire design, placement control, fission sharing, intelligent judgment of papers, reward distribution, statistical analysis, user classification, etc., which could provide one-stop service for rapid investigation of agricultural and rural information. „ÄêConclusion„ÄëThe rapid investigation and analysis platform of agricultural and rural information based on fission mode had the characteristics of fast data collection, true information acquisition, more sample collection, and strong functionality. It realized the function of obtaining basic information urgently and visualizing investigation results quickly under the background of emergencies, and formed a poll mode based on huge data and different from official investigation. It could provide strong technical support for efficient decision-making of agricultural management departments, and had reference significance for the information investigation of other industries. ¬© 2022 Editorial Department of Scientia Agricultura Sinica. All rights reserved.</t>
  </si>
  <si>
    <t>agricultural and rural information; fission mode; precise placement model; quick investigation; social network analysis; system design</t>
  </si>
  <si>
    <t>Zhang, Jie (57409513700); Wang, Chuan (59642264800); Dong, XiaoXia (35112962800); Zhu, WenQi (57777259000); Yue, HuiLi (57650867400); Liu, ShengPing (35722222300); Zhou, QingBo (22235963800)</t>
  </si>
  <si>
    <t>57409513700; 59642264800; 35112962800; 57777259000; 57650867400; 35722222300; 22235963800</t>
  </si>
  <si>
    <t>Scientia Agricultura Sinica</t>
  </si>
  <si>
    <t>https://www.scopus.com/inward/record.uri?eid=2-s2.0-85146444316&amp;doi=10.3864%2fj.issn.0578-1752.2022.21.006&amp;partnerID=40&amp;md5=638465399eb2c2b750940f8bb499ca79</t>
  </si>
  <si>
    <t>2-s2.0-85146444316</t>
  </si>
  <si>
    <t>agricultural management; information management; model; network analysis; questionnaire survey</t>
  </si>
  <si>
    <t>Onyema E.M.; Dalal S.; Romero C.A.T.; Seth B.; Young P.; Wajid M.A.</t>
  </si>
  <si>
    <t>Design of Intrusion Detection System based on Cyborg intelligence for security of Cloud Network Traffic of Smart Cities</t>
  </si>
  <si>
    <t>10.1186/s13677-022-00305-6</t>
  </si>
  <si>
    <t>The Internet of things (IoT) is an important technology that is highly beneficial in establishing smart items, connections and cities. However, there are worries regarding security and privacy vulnerabilities in IoT in which some emerge from numerous sources, including cyberattacks, unsecured networks, data, connections or communication. This paper provides an ensemble intrusion strategy based on Cyborg Intelligence (machine learning and biological intelligence) framework to boost security of IoT enabled networks utilized for network traffic of smart cities. To do this, multiple algorithms such Random Forest, Bayesian network (BN), C5.0, CART and Artificial Neural Network were investigated to determine their usefulness in identifying threats and attacks-botnets in IoT networks based on cyborg intelligence using the KDDcup99 dataset. The results reveal that the AdaBoost ensemble learning based on Cyborg Intelligence Intrusion Detection framework facilitates dissimilar network characteristics with the capacity to swiftly identify different botnet assaults efficiently. The suggested framework has obtained good accuracy, detection rate and a decreased false positive rate in comparison to other standard methodologies. The conclusion of this study would be a valuable complement to the efforts toward protecting IoT-powered networks and the accomplishment of safer smart cities. ¬© 2022, The Author(s).</t>
  </si>
  <si>
    <t>Cloud Computing; Cyborg; Ensemble learning; IoT; Network Intrusion Detection System (NIDS)</t>
  </si>
  <si>
    <t>Onyema, Edeh Michael (57226165864); Dalal, Surjeet (57190939535); Romero, Carlos Andr√©s Tavera (57222333934); Seth, Bijeta (57192431483); Young, Praise (57746220800); Wajid, Mohd Anas (57220351741)</t>
  </si>
  <si>
    <t>57226165864; 57190939535; 57222333934; 57192431483; 57746220800; 57220351741</t>
  </si>
  <si>
    <t>https://www.scopus.com/inward/record.uri?eid=2-s2.0-85135952630&amp;doi=10.1186%2fs13677-022-00305-6&amp;partnerID=40&amp;md5=cb28f569d2347027063297e8bada90dc</t>
  </si>
  <si>
    <t>2-s2.0-85135952630</t>
  </si>
  <si>
    <t>Bayesian networks; Botnet; Decision trees; Learning systems; Network security; Neural networks; Botnets; Cloud networks; Cloud-computing; Ensemble learning; Intrusion Detection Systems; Network intrusion detection system; Network intrusion detection systems; Network traffic; Security and privacy; Smart Items; Internet of things</t>
  </si>
  <si>
    <t>L√©vy L.-N.; Bosom J.; Guerard G.; Amor S.B.; Bui M.; Tran H.</t>
  </si>
  <si>
    <t>DevOps Model Appproach for Monitoring Smart Energy Systems</t>
  </si>
  <si>
    <t>10.3390/en15155516</t>
  </si>
  <si>
    <t>Energy systems are often socio-technical complex systems that are facing new challenges regarding technological and environmental changes. Because of their complex nature, they cannot be approached solely through analytical modeling, hence the inefficiency of most classical modeling approaches. In this article, a Hybrid Approach based on both systemic and analytical modeling is presented and applied to a case study. From this novel approach, a model‚Äîthe Multi-Institution Building Energy System‚Äîis presented. It allowed us to highlight and detail the need for greater governance of energy systems. The socio-technical solutions identified to answer the issues of governance (Accuracy, Reliability and Fairness) were DevOps methodology and the use of Distributed Microservices Architecture. Based on this framework, the design of a Decision Support System assuring and exploiting state-of-the-art scalable tools for data management and machine learning factories is described in this article. Moreover, we wish to set up the conceptual basis necessary for the design of a generic theoretical framework of optimization applicable to complex socio-technical systems in the context of the management of a shared resource. ¬© 2022 by the authors.</t>
  </si>
  <si>
    <t>automated machine learning; clustering; complex system; DevOps; monitoring; profiling; recommender system; smart grid</t>
  </si>
  <si>
    <t>L√©vy, Loup-No√© (57203503916); Bosom, J√©r√©mie (57202512390); Guerard, Guillaume (55746242400); Amor, Soufian Ben (16642317200); Bui, Marc (7006594623); Tran, Hai (57196641853)</t>
  </si>
  <si>
    <t>57203503916; 57202512390; 55746242400; 16642317200; 7006594623; 57196641853</t>
  </si>
  <si>
    <t>https://www.scopus.com/inward/record.uri?eid=2-s2.0-85136460397&amp;doi=10.3390%2fen15155516&amp;partnerID=40&amp;md5=6308ccd8a038ff7efa1a6d18f2229463</t>
  </si>
  <si>
    <t>2-s2.0-85136460397</t>
  </si>
  <si>
    <t>Analytical models; Decision support systems; Electric power transmission networks; Information management; Machine learning; Monitoring; Automated machine learning; Automated machines; Clusterings; Energy systems; Machine-learning; Profiling; Smart energy systems; Smart grid; Sociotechnical; Technological change; Smart power grids</t>
  </si>
  <si>
    <t>Hadjur H.; Ammar D.; Lefevre L.</t>
  </si>
  <si>
    <t>Services Orchestration at the Edge and in the Cloud for Energy-Aware Precision Beekeeping Systems</t>
  </si>
  <si>
    <t>10.1109/IPDPSW59300.2023.00129</t>
  </si>
  <si>
    <t>Precision Beekeeping systems collect data on colonies of bees using sensors to assist beekeepers and preserve bees. The collection, transfer, and processing of such data are energy-intensive processes. However, most Precision Beekeeping systems work under a limited energy budget.This article focuses on the placement of AI-based energy-aware Precision Beekeeping services at the edge and in the cloud. We deploy a set of smart beehives as edge devices in order to conduct experiments and collect real data. Then, we simulate large-scale systems with embedded services. Our results show that parameters like the number of smart beehives, the frequency of data collection, and different losses impact the placement of these services to enhance energy efficiency.  ¬© 2023 IEEE.</t>
  </si>
  <si>
    <t>Artificial Intelligence; Edge-Cloud Computing; Energy Efficiency; Internet of Things; Precision Beekeeping</t>
  </si>
  <si>
    <t>Hadjur, Hugo (57219448584); Ammar, Doreid (37080108000); Lefevre, Laurent (7004084918)</t>
  </si>
  <si>
    <t>57219448584; 37080108000; 7004084918</t>
  </si>
  <si>
    <t>2023 IEEE International Parallel and Distributed Processing Symposium Workshops, IPDPSW 2023</t>
  </si>
  <si>
    <t>https://www.scopus.com/inward/record.uri?eid=2-s2.0-85169291563&amp;doi=10.1109%2fIPDPSW59300.2023.00129&amp;partnerID=40&amp;md5=d0d01c62fe196ed702955639ee02f789</t>
  </si>
  <si>
    <t>2-s2.0-85169291563</t>
  </si>
  <si>
    <t>Budget control; Data acquisition; Data handling; Embedded systems; Green computing; Internet of things; Large scale systems; Power management; Cloud-computing; Edge clouds; Edge-cloud computing; Energy; Energy aware; Energy budgets; Large-scale systems; Limited energies; Precision beekeeping; Service orchestration; Energy efficiency</t>
  </si>
  <si>
    <t>Thiyyakat M.; Kalambur S.; Sitaram D.</t>
  </si>
  <si>
    <t>Niyama: Node scheduling for cloud workloads with resource isolation</t>
  </si>
  <si>
    <t>10.1002/cpe.7196</t>
  </si>
  <si>
    <t>Cloud providers place tasks from multiple applications on the same resource pool to improve the resource utilization of the infrastructure. The consequent resource contention has an undesirable effect on latency-sensitive tasks. In this article, we present Niyama‚Äîa resource isolation approach that uses a modified version of deadline scheduling to protect latency-sensitive tasks from CPU bandwidth contention. Conventionally, deadline scheduling has been used to schedule real-time tasks with well-defined deadlines. Therefore, it cannot be used directly when the deadlines are unspecified. In Niyama, we estimate deadlines in intervals and secure bandwidth required for the interval, thereby ensuring optimal job response times. We compare our approach with cgroups: Linux's default resource isolation mechanism used in containers today. Our experiments show that Niyama reduces the average delay in tasks by 3 (Formula presented.) ‚Äì20 (Formula presented.) when compared to cgroups. Since Linux's deadline scheduling policy is work-conserving in nature, there is a small drop in the server-level CPU utilization when Niyama is used naively. We demonstrate how the use of core reservation and oversubscription in the inter-node scheduler can be used to offset this drop; our experiments show a 1.3 (Formula presented.) ‚Äì2.24 (Formula presented.) decrease in delay in job response time over cgroups while achieving high CPU utilization. ¬© 2022 John Wiley &amp; Sons, Ltd.</t>
  </si>
  <si>
    <t>cgroups; containers; resource isolation</t>
  </si>
  <si>
    <t>Thiyyakat, Meghana (57220211520); Kalambur, Subramaniam (56943369900); Sitaram, Dinkar (6701360681)</t>
  </si>
  <si>
    <t>57220211520; 56943369900; 6701360681</t>
  </si>
  <si>
    <t>e7196</t>
  </si>
  <si>
    <t>https://www.scopus.com/inward/record.uri?eid=2-s2.0-85135393132&amp;doi=10.1002%2fcpe.7196&amp;partnerID=40&amp;md5=3efe516246ea3318dba81c7b17e6ad4e</t>
  </si>
  <si>
    <t>2-s2.0-85135393132</t>
  </si>
  <si>
    <t>Bandwidth; Drops; Linux; Scheduling; Cgroup; Cloud providers; CPU utilization; Deadline scheduling; Job response time; Multiple applications; Node scheduling; Resource contention; Resource isolation; Resources utilizations; Containers</t>
  </si>
  <si>
    <t>Schultheis A.; Zeyen C.; Bergmann R.</t>
  </si>
  <si>
    <t>An Overview and¬†Comparison of¬†Case-Based Reasoning Frameworks</t>
  </si>
  <si>
    <t>10.1007/978-3-031-40177-0_21</t>
  </si>
  <si>
    <t>14141 LNAI</t>
  </si>
  <si>
    <t>Case-Based Reasoning (CBR) is a methodology with many applications in industrial and scientific domains. Over the past decades, various frameworks have been developed to facilitate the development of CBR applications. For practitioners and researchers, it is challenging to overview the landscape of existing frameworks with their specific scope and features. This makes it difficult to choose the most suitable framework for specific requirements. To address this issue, this work provides an overview and comparison of CBR frameworks, focusing on five recent, open-source CBR frameworks: CloodCBR, eXiT*CBR, jColibri, myCBR, and ProCAKE. They are compared by supported CBR types, knowledge containers, CBR phases, interfaces, and special features. ¬© 2023, The Author(s), under exclusive license to Springer Nature Switzerland AG.</t>
  </si>
  <si>
    <t>Case-Based Reasoning; CBR Applications; CBR Framework; CloodCBR; eXiT*CBR; jColibri; myCBR; ProCAKE</t>
  </si>
  <si>
    <t>Schultheis, Alexander (57721704200); Zeyen, Christian (57192315724); Bergmann, Ralph (57193551665)</t>
  </si>
  <si>
    <t>57721704200; 57192315724; 57193551665</t>
  </si>
  <si>
    <t>https://www.scopus.com/inward/record.uri?eid=2-s2.0-85166929837&amp;doi=10.1007%2f978-3-031-40177-0_21&amp;partnerID=40&amp;md5=7bdc600341c832ea540768135c594aab</t>
  </si>
  <si>
    <t>2-s2.0-85166929837</t>
  </si>
  <si>
    <t>Case-based reasoning application; Case-based reasoning framework; Casebased reasonings (CBR); Cloodcbr; Exit*case-based reasoning; Jcolibri; MyCBR; ProCAKE; Reasoning framework; Case based reasoning</t>
  </si>
  <si>
    <t>Jin X.; Hua W.; Wang Z.; Chen Y.</t>
  </si>
  <si>
    <t>A survey of research on computation offloading in mobile cloud computing</t>
  </si>
  <si>
    <t>10.1007/s11276-022-02920-2</t>
  </si>
  <si>
    <t>Mobile devices (MDs), represented by smartphones, have been widely used in various industries. However, MDs are constrained by their limited resources and cannot execute computation-intensive applications. Mobile cloud computing (MCC), which provides MDs with a rich pool of resources that can be accessed through wireless networks, is proposed to extend MDs‚Äô capacity by computation offloading. MCC helps MDs breakthrough their resource constraints, frees them from heavy local workloads, and allows them to take more responsibility for connecting mobile users (MUs) and the information domain. MCC computation offloading has attracted wide attention because of its tremendous potential, and a lot of related research has been done. In this paper, we provide a survey of the research on computation offloading in MCC so that readers can spend less time to have a comprehensive understanding of this field, and know its key technologies and future directions. We first summarize the MCC architecture and offloading granularity, which are the most fundamental concepts of MCC. The computation offloading system is decomposed into three basic components: MUs, application service operators, and cloud operators. We then conducted a comprehensive literature review on offloading decision, admission control, resource management, and edge equipment deployment, which are four key technologies for these components. Wireless network connection and heterogeneity are the basic features of MCC, which increase the possibility of failure and privacy leakage during the computation offloading process. We also review the auxiliary technologies for computation offloading in terms of fault tolerance and privacy protection. Finally, we present the research outlook of the systematic prototype and other technologies from the perspective of ‚Äúdevice-pipe-cloud‚Äù. ¬© 2022, The Author(s), under exclusive licence to Springer Science+Business Media, LLC, part of Springer Nature.</t>
  </si>
  <si>
    <t>Computation offloading; Edge equipment deployment; Fault tolerance; Mobile cloud computing; Offloading decision; Privacy protection; Resource management</t>
  </si>
  <si>
    <t>Jin, Xiaomin (57020415600); Hua, Wenqiang (57192106375); Wang, Zhongmin (55719723200); Chen, Yanping (16023943300)</t>
  </si>
  <si>
    <t>57020415600; 57192106375; 55719723200; 16023943300</t>
  </si>
  <si>
    <t>https://www.scopus.com/inward/record.uri?eid=2-s2.0-85125649394&amp;doi=10.1007%2fs11276-022-02920-2&amp;partnerID=40&amp;md5=f90127b2053f401befc3c440c1321363</t>
  </si>
  <si>
    <t>2-s2.0-85125649394</t>
  </si>
  <si>
    <t>Decision making; Fault tolerance; Mobile cloud computing; Mobile telecommunication systems; Natural resources management; Surveys; Wireless networks; Computation intensives; Computation offloading; Edge equipment deployment; Key technologies; Mobile users; Offloading decision; Privacy protection; Resource Constraint; Resource management; Smart phones; Resource allocation</t>
  </si>
  <si>
    <t>A self-learning approach for proactive resource and service provisioning in fog environment</t>
  </si>
  <si>
    <t>10.1007/s11227-022-04521-4</t>
  </si>
  <si>
    <t>With increasing growth in IoT, the number of devices connected to the Internet is constantly growing. Moreover, the increase in the volume of data and their transmission through the Internet of Things, as well as the existence of inadequate bandwidth, limits cloud-based storage and data processing. Both fog and cloud computing provide the storage space, application, and data for users; however, fog is more proximate to the end user with wider geographical distribution. When bringing the computing resources closer to the required location in the fog environment, the efficiency of the system increases, and the distance at which data must be transmitted decreases. On the other hand, implementing IoT applications and satisfying the requests of end users in fog computing will create new challenges in resource allocation and dynamic resource provisioning. The flexible and usually automatic mechanisms require the determination of required virtual resources to minimize the resource consumption and service level agreement (SLA). In this paper, we introduce a framework for increasing resource management efficiency in the IoT ecosystem based on deep reinforcement learning (DRL). The proposed deep neural network (DNN) method for estimating value functions improves adaptability to different oscillating conditions, learns past sensible strategies, and as a self-learning adaptive system by replicating interactions with the fog environment. The DRL algorithm finds the best destination for implementing IoT services to compromise between minimizing average power consumption, minimizing average service latency, reducing costs, and balancing resource allocation. Finally, through simulations, we show that under different loading rates, the policy used compared to other comparable solutions is to increase utilization and reduce the rate of delay, while ensuring an acceptable level of service quality. ¬© 2022, The Author(s), under exclusive licence to Springer Science+Business Media, LLC, part of Springer Nature.</t>
  </si>
  <si>
    <t>Application-based services; Auto-scaling; Deep reinforcement learning; Fog computing; Internet of Things (IoT); Resource provisioning</t>
  </si>
  <si>
    <t>https://www.scopus.com/inward/record.uri?eid=2-s2.0-85129862924&amp;doi=10.1007%2fs11227-022-04521-4&amp;partnerID=40&amp;md5=506b7b6b0d05ddbed2e8f4d07bd28452</t>
  </si>
  <si>
    <t>2-s2.0-85129862924</t>
  </si>
  <si>
    <t>Data handling; Deep neural networks; Digital storage; Efficiency; Fog; Fog computing; Geographical distribution; Learning systems; Quality of service; Reinforcement learning; Resource allocation; Application-based service; Auto-scaling; Deep reinforcement learning; End-users; Internet of thing; Reinforcement learnings; Resource provisioning; Resources allocation; Scalings; Self-learning; Internet of things</t>
  </si>
  <si>
    <t>Trakadas P.; Masip-Bruin X.; Facca F.M.; Spantideas S.T.; Giannopoulos A.E.; Kapsalis N.C.; Martins R.; Bosani E.; Ramon J.; Prats R.G.; Ntroulias G.; Lyridis D.V.</t>
  </si>
  <si>
    <t>A Reference Architecture for Cloud‚ÄìEdge Meta-Operating Systems Enabling Cross-Domain, Data-Intensive, ML-Assisted Applications: Architectural Overview and Key Concepts</t>
  </si>
  <si>
    <t>10.3390/s22229003</t>
  </si>
  <si>
    <t>Future data-intensive intelligent applications are required to traverse across the cloud-to-edge-to-IoT continuum, where cloud and edge resources elegantly coordinate, alongside sensor networks and data. However, current technical solutions can only partially handle the data outburst associated with the IoT proliferation experienced in recent years, mainly due to their hierarchical architectures. In this context, this paper presents a reference architecture of a meta-operating system (RAMOS), targeted to enable a dynamic, distributed and trusted continuum which will be capable of facilitating the next-generation smart applications at the edge. RAMOS is domain-agnostic, capable of supporting heterogeneous devices in various network environments. Furthermore, the proposed architecture possesses the ability to place the data at the origin in a secure and trusted manner. Based on a layered structure, the building blocks of RAMOS are thoroughly described, and the interconnection and coordination between them is fully presented. Furthermore, illustration of how the proposed reference architecture and its characteristics could fit in potential key industrial and societal applications, which in the future will require more power at the edge, is provided in five practical scenarios, focusing on the distributed intelligence and privacy preservation principles promoted by RAMOS, as well as the concept of environmental footprint minimization. Finally, the business potential of an open edge ecosystem and the societal impacts of climate net neutrality are also illustrated. ¬© 2022 by the authors.</t>
  </si>
  <si>
    <t>decentralized intelligence; edge computing; federated learning; IoT‚Äìedge‚Äìcloud continuum; meta-operating system; reference architecture; swarm learning</t>
  </si>
  <si>
    <t>Trakadas, Panagiotis (6603036390); Masip-Bruin, Xavi (22433466100); Facca, Federico M. (8987012600); Spantideas, Sotirios T. (56549912200); Giannopoulos, Anastasios E. (57218483521); Kapsalis, Nikolaos C. (8621995600); Martins, Rui (57986790500); Bosani, Enrica (57265272000); Ramon, Joan (57986850100); Prats, Ra√ºl Gonz√°lez (57986850200); Ntroulias, George (57986887300); Lyridis, Dimitrios V. (6506983549)</t>
  </si>
  <si>
    <t>6603036390; 22433466100; 8987012600; 56549912200; 57218483521; 8621995600; 57986790500; 57265272000; 57986850100; 57986850200; 57986887300; 6506983549</t>
  </si>
  <si>
    <t>https://www.scopus.com/inward/record.uri?eid=2-s2.0-85142940005&amp;doi=10.3390%2fs22229003&amp;partnerID=40&amp;md5=76c26cfc4f50165bdc99a931c622cd91</t>
  </si>
  <si>
    <t>2-s2.0-85142940005</t>
  </si>
  <si>
    <t>Ecosystem; Software; Computer architecture; Edge computing; Internet of things; Learning systems; Network architecture; Trusted computing; Data intensive; Decentralised; Decentralized intelligence; Edge clouds; Edge computing; Federated learning; IoT‚Äìedge‚Äìcloud continuum; Meta-operating system; Reference architecture; Swarm learning; ecosystem; software; Sensor networks</t>
  </si>
  <si>
    <t>Sutikno T.; Thalmann D.</t>
  </si>
  <si>
    <t>Insights on the internet of things: past, present, and future directions</t>
  </si>
  <si>
    <t>10.12928/TELKOMNIKA.v20i6.22028</t>
  </si>
  <si>
    <t>The internet of things (IoT) is rapidly expanding and improving operations in a wide range of real-world applications, from consumer IoT and enterprise IoT to manufacturing and industrial IoT (IIoT). Consumer markets, wearable devices, healthcare, smart buildings, agriculture, and smart cities are just a few examples. This paper discusses the current state of the IoT ecosystem, its primary applications and benefits, important architectural stages, some of the problems and challenges it faces, and its future. This paper explains how an appropriate IoT architecture that saves data, analyzes it, and recommends corrective action improves the process‚Äôs ground reality. The IoT system architecture is divided into three layers: device, gateway, and platform. This then cascades into the four stages of the IoT architectural layout: sensors and actuators; gateways and data acquisition systems; edge IT data processing; and datacenter and cloud, which use high-end apps to collect data, evaluate it, process it, and provide remedial solutions. This elegant combination provides excellent value in automatic action. In the future, IoT will continue to serve as the foundation for many technologies. Machine learning will become more popular in the coming years as IoT networks take center stage in a variety of industries. ¬© This is an open access article under the CC BY-SA license.</t>
  </si>
  <si>
    <t>Consumer; Industrial; Internet of things; Iot architecture; Iot ecosystem; Machine learning</t>
  </si>
  <si>
    <t>Sutikno, Tole (35794013800); Thalmann, Daniel (7005885082)</t>
  </si>
  <si>
    <t>35794013800; 7005885082</t>
  </si>
  <si>
    <t>Telkomnika (Telecommunication Computing Electronics and Control)</t>
  </si>
  <si>
    <t>https://www.scopus.com/inward/record.uri?eid=2-s2.0-85140622873&amp;doi=10.12928%2fTELKOMNIKA.v20i6.22028&amp;partnerID=40&amp;md5=86e60da580ad1bd045a2fb21a2a8f6ff</t>
  </si>
  <si>
    <t>2-s2.0-85140622873</t>
  </si>
  <si>
    <t>Ibrahim M.A.A.; Onabajo M.</t>
  </si>
  <si>
    <t>A 0.061 nJ/b 10 Mbps Hybrid BF-PSK Receiver for Internet of Things Applications</t>
  </si>
  <si>
    <t>10.1109/TCSI.2022.3143347</t>
  </si>
  <si>
    <t>This paper describes a hybrid binary frequency-phase shift keying (BF-PSK) receiver architecture designed with a technique involving both the received signal frequency and phase for low-power operation with relatively high data rate. The method enables the demodulation of the incoming signal without synchronization requirements, which reduces the design complexity and power consumption. The architecture allows programmable data rates and channel bandwidths according to application-specific needs. A novel low-noise amplifier architecture is introduced in this paper as well. The Medical Implant Communication System (MICS) band receiver was designed and fabricated in a standard 65nm CMOS technology, and the measurement results demonstrate the feasibility of this architecture. As a proof-of-concept, it operates with a 416 MHz carrier frequency at a state-of-the-art data rate for sub-milliwatt receivers of 10 Mbps, while consuming $610~\mu \text{W}$ from a 1 V supply.  ¬© 2004-2012 IEEE.</t>
  </si>
  <si>
    <t>binary frequency shift keying (BFSK); binary phase shift keying (BPSK); low-power radio frequency circuit design; Wireless receiver</t>
  </si>
  <si>
    <t>Ibrahim, Mahmoud A.A. (57199802347); Onabajo, Marvin (22035750700)</t>
  </si>
  <si>
    <t>57199802347; 22035750700</t>
  </si>
  <si>
    <t>IEEE Transactions on Circuits and Systems I: Regular Papers</t>
  </si>
  <si>
    <t>https://www.scopus.com/inward/record.uri?eid=2-s2.0-85124823142&amp;doi=10.1109%2fTCSI.2022.3143347&amp;partnerID=40&amp;md5=d085da501bd558019846ccf56f44a49f</t>
  </si>
  <si>
    <t>2-s2.0-85124823142</t>
  </si>
  <si>
    <t>Binary phase shift keying; Electric power utilization; Low noise amplifiers; Low power electronics; Oscillators (electronic); Phase shift; Base bands; Binary frequency shift keying; Binary phase shift keying; Circuit designs; Frequency-shift-keying; Local oscillators; Low power radios; Low-power radio frequency circuit design.; Power demands; Radio frequency circuit; Radiofrequencies; Receiver; Wireless receivers; Radio waves</t>
  </si>
  <si>
    <t>Yuan Y.; Huang J.; Sun Y.; Wang T.; Nelson J.; Ports D.R.K.; Wang Y.; Wang R.; Tai C.; Kim N.S.</t>
  </si>
  <si>
    <t>Rambda: RDMA-driven Acceleration Framework for Memory-intensive Œºs-scale Datacenter Applications</t>
  </si>
  <si>
    <t>10.1109/HPCA56546.2023.10071127</t>
  </si>
  <si>
    <t>2023-February</t>
  </si>
  <si>
    <t>Responding to the "datacenter tax"and "killer microseconds"problems for memory-intensive datacenter applications, diverse solutions including Smart NIC-based ones have been proposed. Nonetheless, they often suffer from high overhead of communications over network and/or PCIe links. To tackle the limitations of the current solutions, this paper proposes RAMBDA, a holistic network and architecture co-design solution that leverages current RDMA and emerging cache-coherent off-chip interconnect technologies. Specifically, RAMBDA consists of four hardware and software components: (1) unified abstraction of inter- and intra-machine communications synergistically managed by one-sided RDMA write and cache-coherent memory write; (2) efficient notification of requests to accelerators assisted by cache coherence; (3) cache-coherent accelerator architecture directly interacting with NIC; and (4) adaptive device-to-host data transfer for modern server memory systems comprising both DRAM and NVM exploiting state-of-the-art features in CPUs and PCIe. We prototype RAMBDA with a commercial system and evaluate three popular datacenter applications: (1) in-memory key-value store, (2) chain replication-based distributed transaction system, and (3) deep learning recommendation model inference. The evaluation shows that RAMBDA provides 30.1~69.1% lower latency, 0.2~2.5√ó throughput, and ~ 3√ó higher energy efficiency than the current state-of-the-art solutions, including Smart NIC. For those cases where Rambda performs poorly, we also envision future architecture to improve it. ¬© 2023 IEEE.</t>
  </si>
  <si>
    <t>cache-coherent interconnects and accelerators; datacenters; heterogeneous and disaggregated memory; RDMA</t>
  </si>
  <si>
    <t>Yuan, Yifan (57205444014); Huang, Jinghan (57550339900); Sun, Yan (57550737100); Wang, Tianchen (57551899800); Nelson, Jacob (57118645200); Ports, Dan R. K. (13009197800); Wang, Yipeng (57195932291); Wang, Ren (56128428900); Tai, Charlie (36692385200); Kim, Nam Sung (35176068600)</t>
  </si>
  <si>
    <t>57205444014; 57550339900; 57550737100; 57551899800; 57118645200; 13009197800; 57195932291; 56128428900; 36692385200; 35176068600</t>
  </si>
  <si>
    <t>https://www.scopus.com/inward/record.uri?eid=2-s2.0-85151616209&amp;doi=10.1109%2fHPCA56546.2023.10071127&amp;partnerID=40&amp;md5=a2f13d55046f1cb5520622b40ae590be</t>
  </si>
  <si>
    <t>2-s2.0-85151616209</t>
  </si>
  <si>
    <t>Cache memory; Data transfer; Deep learning; Dynamic random access storage; Energy efficiency; Integrated circuit interconnects; Machine components; Memory architecture; Network architecture; 'current; Cache-coherent interconnect and accelerator; Co-designs; Datacenter; Design solutions; Dis-aggregated memory; Diverse solutions; Heterogeneous memory; RDMA; State of the art; Program processors</t>
  </si>
  <si>
    <t>Strielkowski W.; Zenchenko S.; Tarasova A.; Radyukova Y.</t>
  </si>
  <si>
    <t>Management of Smart and Sustainable Cities in the Post-COVID-19 Era: Lessons and Implications</t>
  </si>
  <si>
    <t>10.3390/su14127267</t>
  </si>
  <si>
    <t>Nowadays, the concept of smart sustainable governance is wrapped around basic principles such as: (i) transparency, (ii) accountability, (iii) stakeholders‚Äô involvement, and iv) citizens‚Äô participation. It is through these principles that are influenced by information and communication technologies (ICT), Internet of Things (IoT), and artificial intelligence, that the practices employed by citizens and their interaction with electronic government (e-government) are diversified. Previously, the misleading concepts of the smart city implied only the objective of the local level or public officials to utilize technology. However, the recent European experience and research studies have led to a more comprehensive notion that refers to the search for intelligent solutions which allow modern sustainable cities to enhance the quality of services provided to citizens and to improve the management of urban mobility. The smart city is based on the usage of connected sensors, data management, and analytics platforms to improve the quality and functioning of built-environment systems. The aim of this paper is to understand the effects of the pandemic on smart cities and to accentuate major exercises that can be learned for post-COVID sustainable urban management and patterns. The lessons and implications outlined in this paper can be used to enforce social distancing community measures in an effective and timely way, and to optimize the use of resources in smart and sustainable cities in critical situations. The paper offers a conceptual overview and serves as a stepping-stone to extensive research and the deployment of sustainable smart city platforms and intelligent transportation systems (a sub-area of smart city applications) after the COVID-19 pandemic using a case study from Russia. Overall, our results demonstrate that the COVID-19 crisis encompasses an excellent opportunity for urban planners and policy makers to take transformative actions towards creating cities that are more intelligent and sustainable. ¬© 2022 by the authors. Licensee MDPI, Basel, Switzerland.</t>
  </si>
  <si>
    <t>artificial intelligence; city management; intelligent transport systems; machine learning; smart city; sustainability</t>
  </si>
  <si>
    <t>Strielkowski, Wadim (36620065300); Zenchenko, Svetlana (57194398015); Tarasova, Anna (57218000033); Radyukova, Yana (56554246700)</t>
  </si>
  <si>
    <t>36620065300; 57194398015; 57218000033; 56554246700</t>
  </si>
  <si>
    <t>https://www.scopus.com/inward/record.uri?eid=2-s2.0-85132562544&amp;doi=10.3390%2fsu14127267&amp;partnerID=40&amp;md5=92357a48c151ef424eddc638e099df80</t>
  </si>
  <si>
    <t>2-s2.0-85132562544</t>
  </si>
  <si>
    <t>Russian Federation; artificial intelligence; COVID-19; Internet; machine learning; smart city; sustainability; transportation system; urban planning</t>
  </si>
  <si>
    <t>Panduman Y.Y.F.; Funabiki N.; Puspitaningayu P.; Kuribayashi M.; Sukaridhoto S.; Kao W.-C.</t>
  </si>
  <si>
    <t>Design and Implementation of SEMAR IoT Server Platform with Applications</t>
  </si>
  <si>
    <t>10.3390/s22176436</t>
  </si>
  <si>
    <t>Nowadays, rapid developments of Internet of Things (IoT) technologies have increased possibilities of realizing smart cities where collaborations and integrations of various IoT application systems are essential. However, IoT application systems have often been designed and deployed independently without considering the standards of devices, logics, and data communications. In this paper, we present the design and implementation of the IoT server platform called Smart Environmental Monitoring and Analytical in Real-Time (SEMAR) for integrating IoT application systems using standards. SEMAR offers Big Data environments with built-in functions for data aggregations, synchronizations, and classifications with machine learning. Moreover, plug-in functions can be easily implemented. Data from devices for different sensors can be accepted directly and through network connections, which will be used in real-time for user interfaces, text files, and access to other systems through Representational State Transfer Application Programming Interface (REST API) services. For evaluations of SEMAR, we implemented the platform and integrated five IoT application systems, namely, the air-conditioning guidance system, the fingerprint-based indoor localization system, the water quality monitoring system, the environment monitoring system, and the air quality monitoring system. When compared with existing research on IoT platforms, the proposed SEMAR IoT application server platform offers higher flexibility and interoperability with the functions for IoT device managements, data communications, decision making, synchronizations, and filters that can be easily integrated with external programs or IoT applications without changing the codes. The results confirm the effectiveness and efficiency of the proposal. ¬© 2022 by the authors.</t>
  </si>
  <si>
    <t>Internet of Things; IoT application system; MQTT; REST API; SEMAR; sensor; server platform</t>
  </si>
  <si>
    <t>Panduman, Yohanes Yohanie Fridelin (57196418954); Funabiki, Nobuo (7007083308); Puspitaningayu, Pradini (56516857300); Kuribayashi, Minoru (7005343250); Sukaridhoto, Sritrusta (35100882700); Kao, Wen-Chung (8899914800)</t>
  </si>
  <si>
    <t>57196418954; 7007083308; 56516857300; 7005343250; 35100882700; 8899914800</t>
  </si>
  <si>
    <t>https://www.scopus.com/inward/record.uri?eid=2-s2.0-85137548363&amp;doi=10.3390%2fs22176436&amp;partnerID=40&amp;md5=347197c804783906ef27545d6fc82fa5</t>
  </si>
  <si>
    <t>2-s2.0-85137548363</t>
  </si>
  <si>
    <t>Air conditioning; Air quality; Application programming interfaces (API); Application programs; Convolutional codes; Decision making; Interface states; Monitoring; Real time systems; User interfaces; Water quality; Application systems; Applications programming interfaces; Environmental Monitoring; Internet of thing application system; MQTT; Real- time; Representational state transfer; Representational state transfer application programming interface; Server platform; Smart environmental monitoring and analytical in real-time; Internet of things</t>
  </si>
  <si>
    <t>Xu Z.; Zhu D.; Chen J.; Yu B.</t>
  </si>
  <si>
    <t>Splitting and placement of data-intensive applications with machine learning for power system in cloud computing</t>
  </si>
  <si>
    <t>10.1016/j.dcan.2021.07.005</t>
  </si>
  <si>
    <t>Aiming to meet the growing demand for observation and analysis in power systems that based on Internet of Things (IoT), machine learning technology has been adopted to deal with the data-intensive power electronics applications in IoT. By feeding previous power electronic data into the learning model, accurate information is drawn, and the quality of IoT-based power services is improved. Generally, the data-intensive electronic applications with machine learning are split into numerous data/control constrained tasks by workflow technology. The efficient execution of this data-intensive Power Workflow (PW) needs massive computing resources, which are available in the cloud infrastructure. Nevertheless, the execution efficiency of PW decreases due to inappropriate sub-task and data placement. In addition, the power consumption explodes due to massive data acquisition. To address these challenges, a PW placement method named PWP is devised. Specifically, the Non-dominated Sorting Differential Evolution (NSDE) is used to generate placement strategies. The simulation experiments show that PWP achieves the best trade-off among data acquisition time, power consumption, load distribution and privacy preservation, confirming that PWP is effective for the placement problem. ¬© 2021 Chongqing University of Posts and Telecommunications</t>
  </si>
  <si>
    <t>Cloud; IoT-based power system; Machine learning; NSDE; Workflow</t>
  </si>
  <si>
    <t>Xu, Zhanyang (35262859500); Zhu, Dawei (57221035761); Chen, Jinhui (58371669200); Yu, Baohua (57737802600)</t>
  </si>
  <si>
    <t>35262859500; 57221035761; 58371669200; 57737802600</t>
  </si>
  <si>
    <t>https://www.scopus.com/inward/record.uri?eid=2-s2.0-85131805816&amp;doi=10.1016%2fj.dcan.2021.07.005&amp;partnerID=40&amp;md5=6da45467a78ac9f5256b05f21c57aff7</t>
  </si>
  <si>
    <t>2-s2.0-85131805816</t>
  </si>
  <si>
    <t>Computing power; Data acquisition; Economic and social effects; Electric power utilization; Green computing; Machine learning; Optimization; Power quality; Data intensive; Data-intensive application; Differential Evolution; Internet of thing-based power system; Machine-learning; Non-dominated Sorting; Non-dominated sorting differential evolution; Power; Splittings; Work-flows; Internet of things</t>
  </si>
  <si>
    <t>Liu L.; Yu Z.; Chen Z.; Wang K.; Xiao Q.; Chen J.</t>
  </si>
  <si>
    <t>Predicting the reaction efficiency of ginkgo biloba residues pyrolysis by using artificial intelligent algorithms under the background of Carbon Neutrality</t>
  </si>
  <si>
    <t>10.3389/fenrg.2022.967856</t>
  </si>
  <si>
    <t>Since the beginning of 2016, China‚Äôs annual emissions of herbal residues (HR) have exceeded 30 million tons. As a kind of solid waste, HR still contains a large amount of organic matter, which requires further industrial extraction procedure. Most of the existing studies are concerned with the feasibility of utilizing traditional Chinese medicine residues, meanwhile there are very few studies regarding the kinetics of pyrolysis in the process of resource utilization of traditional Chinese medicine residues. In this study, we comprehensively studied the kinetics characteristics of raw materials with various heating rates (10, 20, 30, and 40¬∞C/min) using a synchronous thermogravimetric analysis, and we adopted Coats-Redfern model to study the thermal kinetics and thermal analysis of GBR. A novel method combining Genetic algorithm and Adaboost algorithm (GA-Adaboost) is proposed to predict the thermogravimetric curve of the raw plant material with respect to the heating rate and temperature. The experimental result shows that the activation energy of the raw material was determined by the Kissinger-Akahira-Sunose (KAS) ((Formula presented.)), and the correlation coefficient was greater than 0.99. The optimal reaction mechanism determined by the Coats - Redfern method was random nucleation and subsequent growth. The GA-Adaboost model achieved good performance (with a fitting degree of 99.88% on training data, 99.80% on verification data, and MSE of3.4173) while predicting the pyrolysis process of ginkgo biloba residue. This study will provide theoretical basis and technical support for the efficient resource utilization of pharmaceutical residues and reduce environmental pressure. Copyright ¬© 2022 Liu, Yu, Chen, Wang, Xiao and Chen.</t>
  </si>
  <si>
    <t>adaboost algorithm; genetic algorithm; herb residue; predictive model; pyrolysis kinetics</t>
  </si>
  <si>
    <t>Liu, Li (57854814500); Yu, Zhenwei (57193696428); Chen, Zheqi (57778214000); Wang, Kai (57920361800); Xiao, Qian (57920537600); Chen, Jingjing (55613576900)</t>
  </si>
  <si>
    <t>57854814500; 57193696428; 57778214000; 57920361800; 57920537600; 55613576900</t>
  </si>
  <si>
    <t>https://www.scopus.com/inward/record.uri?eid=2-s2.0-85139487924&amp;doi=10.3389%2ffenrg.2022.967856&amp;partnerID=40&amp;md5=48cc87ee6d59798df2db532edd45b236</t>
  </si>
  <si>
    <t>2-s2.0-85139487924</t>
  </si>
  <si>
    <t>Activation energy; Adaptive boosting; Carbon; Forecasting; Genetic algorithms; Heating temperature; Kinetics; Medicine; Pyrolysis; Reaction kinetics; Thermogravimetric analysis; AdaBoost algorithm; Artificial intelligent; Chinese medicine residues; Ginkgo biloba; Herb residues; Predictive models; Pyrolysis kinetics; Reaction efficiency; Resources utilizations; Traditional Chinese Medicine; Heating rate</t>
  </si>
  <si>
    <t>Kasper L.; Birkelbach F.; Schwarzmayr P.; Steindl G.; Ramsauer D.; Hofmann R.</t>
  </si>
  <si>
    <t>Toward a Practical Digital Twin Platform Tailored to the Requirements of Industrial Energy Systems</t>
  </si>
  <si>
    <t>10.3390/app12146981</t>
  </si>
  <si>
    <t>Digitalization and concepts such as digital twins (DT) are expected to have huge potential to improve efficiency in industry, in particular, in the energy sector. Although the number and maturity of DT concepts is increasing, there is still no standardized framework available for the implementation of DTs for industrial energy systems (IES). On the one hand, most proposals focus on the conceptual side of components and leave most implementation details unaddressed. Specific implementations, on the other hand, rarely follow recognized reference architectures and standards. Furthermore, most related work on DTs is done in manufacturing, which differs from DTs in energy systems in various aspects, regarding, for example, multiple time-scales, strong nonlinearities and uncertainties. In the present work, we identify the most important requirements for DTs of IES. We propose a DT platform based on the five-dimensional DT modeling concept with a low level of abstraction that is tailored to the identified requirements. We address current technical implementation barriers and provide practical solutions for them. Our work should pave the way to standardized DT platforms and the efficient encapsulation of DT service engineering by domain experts. Thus, DTs could be easy to implement in various IES-related use cases, host any desired models and services, and help get the most out of the individual applications. This ultimately helps bridge the interdisciplinary gap between the latest research on DTs in the domain of computer science and industrial automation and the actual implementation and value creation in the traditional energy sector. ¬© 2022 by the authors.</t>
  </si>
  <si>
    <t>digital twin platform; digital twin requirements; industrial energy systems; integrated energy systems; service engineering; service-oriented architecture</t>
  </si>
  <si>
    <t>Kasper, Lukas (57217080482); Birkelbach, Felix (57194472014); Schwarzmayr, Paul (57219354141); Steindl, Gernot (57210927410); Ramsauer, Daniel (57226746998); Hofmann, Ren√© (55413515600)</t>
  </si>
  <si>
    <t>57217080482; 57194472014; 57219354141; 57210927410; 57226746998; 55413515600</t>
  </si>
  <si>
    <t>https://www.scopus.com/inward/record.uri?eid=2-s2.0-85136374725&amp;doi=10.3390%2fapp12146981&amp;partnerID=40&amp;md5=ed9a013a9e5d003277b85781169a4bd2</t>
  </si>
  <si>
    <t>2-s2.0-85136374725</t>
  </si>
  <si>
    <t>Oliveira E.; Rocha A.R.; Mattoso M.; Delicato F.C.</t>
  </si>
  <si>
    <t>Latency and Energy-Awareness in Data Stream Processing for Edge Based IoT Systems</t>
  </si>
  <si>
    <t>10.1007/s10723-022-09611-4</t>
  </si>
  <si>
    <t>LE-STREAM is a framework for IoT data stream processing. Data processing in IoT is challenging due to its dynamic and heterogeneous nature, and the massive amount of generated data. Sensor data suffers from uncertainty and inconsistency issues, that can affect its accuracy. Several IoT applications are time sensitive, requiring fast data processing. Finally, as IoT devices are often battery powered, processing tasks must be performed in an energy-efficient way. Therefore, challenges in IoT data stream processing span three dimensions: accuracy, latency and energy; and LE-STREAM jointly addresses them. It leverages edge computing to bring the data processing closer to the data sources, thus minimizing latency. Adaptive sampling combined with data prediction model reduce the energy consumption of devices without compromising data accuracy. An active node selection schema improves the workload distribution among devices, also tackling the energy dimension by promoting a graceful degradation of device resources. ¬© 2022, The Author(s), under exclusive licence to Springer Nature B.V.</t>
  </si>
  <si>
    <t>Active node selection; Adaptive sampling; Data stream processing; Edge computing; Internet of things; IoT</t>
  </si>
  <si>
    <t>Oliveira, Egberto (57211207237); Rocha, Atslands R da (34874788100); Mattoso, Marta (6602555822); Delicato, Flavia C (55887461400)</t>
  </si>
  <si>
    <t>57211207237; 34874788100; 6602555822; 55887461400</t>
  </si>
  <si>
    <t>https://www.scopus.com/inward/record.uri?eid=2-s2.0-85135321134&amp;doi=10.1007%2fs10723-022-09611-4&amp;partnerID=40&amp;md5=449abdc85cf3cbbeb485a2f5f219d285</t>
  </si>
  <si>
    <t>2-s2.0-85135321134</t>
  </si>
  <si>
    <t>Data streams; Edge computing; Energy efficiency; Energy utilization; Active node selection; Adaptive sampling; Data streams processing; Edge computing; Edge-based; Energy; Energy-awareness; IoT; Sensors data; Uncertainty; Internet of things</t>
  </si>
  <si>
    <t>Showail A.; Tahir R.; Zaffar M.F.; Noor M.H.; Al-Khatib M.</t>
  </si>
  <si>
    <t>An internet of secure and private things: A service-oriented architecture</t>
  </si>
  <si>
    <t>10.1016/j.cose.2022.102776</t>
  </si>
  <si>
    <t>Low-cost networked IoT devices are fast becoming commonplace. From implanted medical devices to motion-activated surveillance cameras and from driverless smart cars to voice-operated home management systems, IoT devices continue to permeate further and deeper into our lives. However, this widespread adoption of IoT devices has also given rise to a wide range of security, privacy and trust issues that are unique to the IoT ecosystem. Conventional solutions are ill-suited for the IoT domain due to limited resources, network dynamics, and evolving trust boundaries. Hence, novel mechanisms are needed to address the specific challenges of the IoT landscape. To this end, we propose a user-centric cloud-based service that allows device owners to have fine-grained control over what kind and how much data is shared through their IoT devices. Our scheme builds on top of Intel Software Guard Extensions (SGX) to instantiate secure virtual clones (shadows) of actual devices in the cloud, substantially reducing the attack surface for IoT networks. Furthermore, a scalable infrastructure in the cloud allows us to deploy sophisticated policy enforcement and data scrubbing mechanisms on a per application basis giving users explicit control over data sharing. The presented approach requires little effort on part of device vendors and users as the service provider handles the bulk of the work. We demonstrate the effectiveness of our approach empirically by implementing the service on SGX hardware and deploying advanced data cleansing policies on device-generated data. ¬© 2022</t>
  </si>
  <si>
    <t>Access control; Data privacy; Data scrubbing; Internet of things (IoT); Software guard extensions</t>
  </si>
  <si>
    <t>Showail, Ahmad (56015367800); Tahir, Rashid (40661990500); Zaffar, Muhammad Fareed (15770538900); Noor, Muhammad Haris (57741793500); Al-Khatib, Mohammed (57227973400)</t>
  </si>
  <si>
    <t>56015367800; 40661990500; 15770538900; 57741793500; 57227973400</t>
  </si>
  <si>
    <t>Computers and Security</t>
  </si>
  <si>
    <t>https://www.scopus.com/inward/record.uri?eid=2-s2.0-85131968676&amp;doi=10.1016%2fj.cose.2022.102776&amp;partnerID=40&amp;md5=78495d346d2636b78b2cafac78ee6b28</t>
  </si>
  <si>
    <t>2-s2.0-85131968676</t>
  </si>
  <si>
    <t>Access control; Data privacy; Information services; Network security; Service oriented architecture (SOA); Trusted computing; Data scrubbing; Driverless; Home management; Implanted medical devices; Internet of thing; Low-costs; Smart car; Soa (serviceoriented architecture); Software guard extension; Surveillance cameras; Internet of things</t>
  </si>
  <si>
    <t>Wu Z.; Deng Y.; Feng H.; Zhou Y.; Min G.; Zhang Z.</t>
  </si>
  <si>
    <t>Blender: A Container Placement Strategy by Leveraging Zipf-Like Distribution Within Containerized Data Centers</t>
  </si>
  <si>
    <t>10.1109/TNSM.2021.3135268</t>
  </si>
  <si>
    <t>Instantiated containers of an application are distributed across multiple Physical Machines (PMs) to achieve high parallel performance. Container placement plays a vital role in network traffic and the performance of containerized data centers. Existing container placement techniques are inadequate due to the ignorance of container traffic patterns. To solve this issue, we first investigate the network traffic between containers and observe that it exhibits a Zipf-like distribution. Motivated by this finding, we propose a novel container placement approach-Blender-by taking into account the Zipf-like distribution. Blender employs two algorithms called RefineAlg and SplitAlg to divide containers of applications into blocks, and place these blocks across Virtual Machines (VMs). Blender exhibits two salient features: (i) it minimizes inter-block traffic by arranging the containers that communicate frequently in the same block. (ii) it achieves good load balancing by combining complementary blocks that request different resource types (e.g., CPU-intensive and memory-intensive blocks) and distributing these blocks across multiple VMs. The experimental results show that Blender significantly reduces communication traffic and network latency. In particular, Blender reduces the traffic of SBP and CA-WFD by 22% and 32%, respectively. Blender decreases network latency by 16% and 26% compared to SBP and CA-WFD. Furthermore, with Blender in place, the physical resources of hosting PMs are well balanced and utilized.  ¬© 2004-2012 IEEE.</t>
  </si>
  <si>
    <t>cloud computing; Container placement; data centers; load balancing; traffic-aware</t>
  </si>
  <si>
    <t>Wu, Zhaorui (57226293447); Deng, Yuhui (20734156700); Feng, Hao (57203710530); Zhou, Yi (57191258697); Min, Geyong (7102053498); Zhang, Zhen (8502547900)</t>
  </si>
  <si>
    <t>57226293447; 20734156700; 57203710530; 57191258697; 7102053498; 8502547900</t>
  </si>
  <si>
    <t>https://www.scopus.com/inward/record.uri?eid=2-s2.0-85121777696&amp;doi=10.1109%2fTNSM.2021.3135268&amp;partnerID=40&amp;md5=f86ba870d537c241cb9bb444fab542ad</t>
  </si>
  <si>
    <t>2-s2.0-85121777696</t>
  </si>
  <si>
    <t>Blending; Distributed computer systems; Information management; Cloud computing.; Cloud-computing; Container placement; Datacenter; IP-network; Load-Balancing; Microservice architecture; Traffic aware; Zipf-like distribution; Containers</t>
  </si>
  <si>
    <t>Xu Z.; Zhou L.; Dai H.; Liang W.; Zhou W.; Zhou P.; Xu W.; Wu G.</t>
  </si>
  <si>
    <t>Energy-Aware Collaborative Service Caching in a 5G-Enabled MEC with Uncertain Payoffs</t>
  </si>
  <si>
    <t>10.1109/TCOMM.2021.3125034</t>
  </si>
  <si>
    <t>Mobile edge computing (MEC) is an enabling technology for low-latency AI applications, by caching AI services originally deployed in remote data centers to 5G base stations in network edge. Due to limited computing resource of 5G base stations, not all services can be cached in base stations to meet the resource demands of user requests. Also, if the workload of a 5G base station reaches to its resource capacity, the energy consumption of the base station will be pushed up exponentially. To reduce the energy consumption and overcome resource limitations on base stations, an alternative is to allow the base stations to collaborate with each other to admit user requests. In this paper, we investigate the problem of collaborative service caching and request offloading between a 5G-enabled MEC and remote data centers, while meeting the quality of service (QoS) requirements of users, and resource capacities on base stations that are operated by multiple selfish network service providers. We aim to maximize the total payoff of all base stations. To this end, we first propose a two-stage optimization framework: In the first stage, we develop a mechanism that adopts a best-reply rule for dynamically distributed coalition formation. In the second stage, we propose a near-optimal payoff allocation method by devising a randomized algorithm with a provable approximation ratio. We then evaluate the performance of the proposed optimization framework by extensive experimental simulations. Simulation results show that the proposed framework outperforms its counterparts by achieving at least 30% higher payoff and 20% lower energy consumption of base stations. ¬© 1972-2012 IEEE.</t>
  </si>
  <si>
    <t>5G networks; approximation algorithms; game theory; Mobile edge computing (MEC); request offloading; service caching</t>
  </si>
  <si>
    <t>Xu, Zichuan (7405426909); Zhou, Lizhen (57218795948); Dai, Haipeng (55601181100); Liang, Weifa (7402025996); Zhou, Wanlei (7404511655); Zhou, Pan (24469381100); Xu, Wenzheng (55487640400); Wu, Guowei (7404976135)</t>
  </si>
  <si>
    <t>7405426909; 57218795948; 55601181100; 7402025996; 7404511655; 24469381100; 55487640400; 7404976135</t>
  </si>
  <si>
    <t>https://www.scopus.com/inward/record.uri?eid=2-s2.0-85118601832&amp;doi=10.1109%2fTCOMM.2021.3125034&amp;partnerID=40&amp;md5=f126686c5f8e32b7adfe9fe4068aca0a</t>
  </si>
  <si>
    <t>2-s2.0-85118601832</t>
  </si>
  <si>
    <t>5G mobile communication systems; Approximation algorithms; Base stations; Computation theory; Computer games; Edge computing; Game theory; Green computing; Power management; Quality of service; Queueing networks; Collaboration; Collaborative services; Datacenter; Delay; Energy-consumption; Mobile edge computing; Remote data centers; Request offloading; Resource capacity; Service caching; Energy utilization</t>
  </si>
  <si>
    <t>Khriji S.; Benbelgacem Y.; Ch√©our R.; Houssaini D.E.; Kanoun O.</t>
  </si>
  <si>
    <t>Design and implementation of a cloud-based event-driven architecture for real-time data processing in wireless sensor networks</t>
  </si>
  <si>
    <t>10.1007/s11227-021-03955-6</t>
  </si>
  <si>
    <t>The growth of the Internet of Things (IoTs) and the number of connected devices is driven by emerging applications and business models. One common aim is to provide systems able to synchronize these devices, handle the big amount of daily generated data and meet business demands. This paper proposes a cost-effective cloud-based architecture using an event-driven backbone to process many applications‚Äô data in real-time, called REDA. It supports the Amazon Web Service (AWS) IoT core, and it opens the door as a free software-based implementation. Measured data from several wireless sensor nodes are transmitted to the cloud running application through the lightweight publisher/subscriber messaging transport protocol, MQTT. The real-time stream processing platform, Apache Kafka, is used as a message broker to receive data from the producer and forward it to the correspondent consumer. Micro-services design patterns, as an event consumer, are implemented with Java spring and managed with Apache Maven to avoid the monolithic applications‚Äô problem. The Apache Kafka cluster co-located with Zookeeper is deployed over three availability zones and optimized for high throughput and low latency. To guarantee no message loss and to simulate the system performances, different load tests are carried out. The proposed architecture is reliable in stress cases and can handle records goes to 8000 messages in a second with low latency in a cheap hosted and configured architecture. ¬© 2021, The Author(s).</t>
  </si>
  <si>
    <t>Amazon web service IoT; Cloud computing; Event-driven; Internet of things; Kafka; Micro-services; Wireless sensor network</t>
  </si>
  <si>
    <t>Khriji, Sabrine (56024360400); Benbelgacem, Yahia (57226369364); Ch√©our, Rym (46460978000); Houssaini, Dhouha El (57219804426); Kanoun, Olfa (6602580029)</t>
  </si>
  <si>
    <t>56024360400; 57226369364; 46460978000; 57219804426; 6602580029</t>
  </si>
  <si>
    <t>https://www.scopus.com/inward/record.uri?eid=2-s2.0-85111319302&amp;doi=10.1007%2fs11227-021-03955-6&amp;partnerID=40&amp;md5=cbe4f0c4842a57d78a7362ba61d809e0</t>
  </si>
  <si>
    <t>2-s2.0-85111319302</t>
  </si>
  <si>
    <t>Computer architecture; Cost effectiveness; Data streams; Internet of things; Sensor nodes; Web services; Cloud-based architectures; Design and implementations; Emerging applications; Event-driven architectures; Internet of thing (IoTs); Proposed architectures; Real-time data processing; Running applications; Network architecture</t>
  </si>
  <si>
    <t>Liu Y.; Li C.; Zhang Y.; Xu M.; Xiao J.; Zhou J.</t>
  </si>
  <si>
    <t>HPCP-QCWOA: High Performance Clustering Protocol based on Quantum Clone Whale Optimization Algorithm in Integrated Energy System</t>
  </si>
  <si>
    <t>10.1016/j.future.2022.05.001</t>
  </si>
  <si>
    <t>Combined with highly developed technologies such as cloud computing and the Internet of Things, the integrated energy system (IES) has realized the coordinated scheduling and utilization of various energy resources with its superiority of comprehensive control and high applicability. Meanwhile, approaches to enhance the quality of service (QoS), e.g. network lifetime, energy distribution, and data transmission delay, of an indispensable component of IES, i.e., integrated energy system wireless sensor networks (IESWSNs), have become an urgent research issue. To tackle the issue, a high-performance clustering protocol termed quantum clone whale optimization algorithm (HPCP-QCWOA) is proposed for IESWSNs. By designing a new quantum operator and a new layering clone operator, HPCP-QCWOA can find an approximate optimal clustering scheme to improve the QoS performance of IESWSNs. Unlike other population-based clustering protocols, a new objective function that embraces remaining energy, intra-cluster distance, BS distance, and data transmission delay is designed in the HPCP-QCWOA, which renders its clustering performance more desirable than some other state-of-the-art clustering protocols, i.e., O-LEACH, LDIWPSO, and ARSH-FATI-CHS. Empirically, simulation experiments under different scenarios illustrated that the lifetime of the HPCP-QCWOA-based clustering has increased by 28.78%, 25.50% and 11.22% respectively compared with O-LEACH, LDIWPSO, and ARSH-FATI-CHS. ¬© 2022 Elsevier B.V.</t>
  </si>
  <si>
    <t>Clustering; Integrated energy system; Quality of service; Quantum optimization; Whale optimization algorithm; Wireless sensor network</t>
  </si>
  <si>
    <t>Liu, Yang (57202363646); Li, Chaoqun (57222633160); Zhang, Yao (57223015108); Xu, Mengying (57210221091); Xiao, Jing (57222637979); Zhou, Jie (57195318093)</t>
  </si>
  <si>
    <t>57202363646; 57222633160; 57223015108; 57210221091; 57222637979; 57195318093</t>
  </si>
  <si>
    <t>https://www.scopus.com/inward/record.uri?eid=2-s2.0-85130609150&amp;doi=10.1016%2fj.future.2022.05.001&amp;partnerID=40&amp;md5=816992354ad9e31b65f6ca5781bd05b9</t>
  </si>
  <si>
    <t>2-s2.0-85130609150</t>
  </si>
  <si>
    <t>Cloning; Clustering algorithms; Data transfer; Energy resources; Leaching; Optimization; Population statistics; Quality of service; Based clustering; Clustering protocol; Clusterings; Data transmission delay; Integrated energy systems; Optimization algorithms; Performance; Quality-of-service; Quantum optimization; Whale optimization algorithm; Wireless sensor networks</t>
  </si>
  <si>
    <t>Quy T.L.; Khanh H.V.; Huong H.L.; Khiem H.G.; Phuc T.N.; Ngan N.T.K.; Triet M.N.; Bang L.K.; Trong D.P.N.; Hieu M.D.; Bao Q.T.; Khoa D.T.</t>
  </si>
  <si>
    <t>Decentralized Management of Medical Test Results Utilizing Blockchain, Smart Contracts, and NFTs</t>
  </si>
  <si>
    <t>10.14569/IJACSA.2023.01408104</t>
  </si>
  <si>
    <t>In today‚Äôs medical landscape, the effective management and availability of diagnostic data, including current and historical medical tests, play a critical role in informing physicians‚Äô therapeutic decisions. However, the conventional centralized storage system presents a significant impediment, particularly when patients switch healthcare providers. Given the sensitive nature of medical data, retrieving this information from a different healthcare facility can be fraught with challenges. While decentralized storage models using blockchain and smart contracts have been suggested as potential solutions, these methodologies often expose sensitive personal information due to the inherently open nature of data on the blockchain. Addressing these challenges, we present an innovative approach integrating Non-Fungible Tokens (NFTs) to facilitate the creation and sharing of medical document sets based on test results within a medical environment. This novel approach effectively balances data accessibility and security, introducing four key contributions: (a) We introduce a mechanism for sharing medical test results while preserving data privacy. (b) We offer a model for generating certified, NFT-based document sets that encapsulate these results. (c) We provide a proof-of-concept reflecting the proposed model‚Äôs functionality and (d) We deploy this proof-of-concept across four EVM-supported platforms‚ÄîBNB Smart Chain, Fantom, Polygon, and Celo‚Äîto identify the most compatible platform for our proposed model. Our work underscores the potential of blockchain, smart contracts, and NFTs to revolutionize medical data management, demonstrating a practical solution to the challenges posed by centralized storage systems. ¬© (2023), (Science and Information Organization). All Rights Reserved.</t>
  </si>
  <si>
    <t>Binance Smart Chain; blockchain; Ethereum; Fantom; Medical test result; NFT; Polygon; smart contract</t>
  </si>
  <si>
    <t>Quy, T.L. (58616847600); Khanh, H.V. (57208757731); Huong, H.L. (58604575100); Khiem, H.G. (58605020700); Phuc, T.N. (58604958000); Ngan, N.T.K. (58933436400); Triet, M.N. (59425740400); Bang, L.K. (58604835800); Trong, D.P.N. (58604958100); Hieu, M.D. (58604707700); Bao, Q.T. (58604640200); Khoa, D.T. (58604707800)</t>
  </si>
  <si>
    <t>58616847600; 57208757731; 58604575100; 58605020700; 58604958000; 58933436400; 59425740400; 58604835800; 58604958100; 58604707700; 58604640200; 58604707800</t>
  </si>
  <si>
    <t>International Journal of Advanced Computer Science and Applications</t>
  </si>
  <si>
    <t>https://www.scopus.com/inward/record.uri?eid=2-s2.0-85171611045&amp;doi=10.14569%2fIJACSA.2023.01408104&amp;partnerID=40&amp;md5=3ea1a4b36414f677038830e661752ae1</t>
  </si>
  <si>
    <t>2-s2.0-85171611045</t>
  </si>
  <si>
    <t>Blockchain; Diagnosis; Digital storage; Ethereum; Health care; Information management; Sensitive data; Binance smart chain; Block-chain; Centralised; Document sets; Fantom; Medical test result; Non-fungible token; Polygon; Proof of concept; Storage systems; Smart contract</t>
  </si>
  <si>
    <t>Natesha B.V.; Guddeti R.M.R.</t>
  </si>
  <si>
    <t>Meta-heuristic Based Hybrid Service Placement Strategies for Two-Level Fog Computing Architecture</t>
  </si>
  <si>
    <t>10.1007/s10922-022-09660-w</t>
  </si>
  <si>
    <t>The smart manufacturing industry (Industry 4.0) uses the Internet of Things (IoT) devices referred to as Industrial IoT (IIoT) to automate the industrial environment. These IIoT devices generate a massive amount of data called big data. Using fog computing architecture for processing this extensive data will reduce the service time and the service cost for the IIoT applications. The primary challenge is to design better service placement strategies to deploy the IIoT service requests on the fog nodes to minimize service costs and ensure the Quality of Service (QoS) of IIoT applications. Hence, the placement of IIoT services on the fog nodes can be considered as NP-hard problem. In this work, the meta-heuristic-based hybrid algorithms, namely: MGAPSO and EGAPSO, are developed by combining the GA &amp; PSO and Elitism-based GA (EGA) &amp; PSO, respectively. Further, carried out experiments on the two-level fog computing framework developed using docker and containers on 1.4 GHz, 64-bit quad-core processor devices. Experimental results demonstrate that the proposed hybrid EGAPSO algorithm minimizes service time, service cost, and energy consumption and ensures the IIoT applications‚Äô QoS compared to other proposed and state-of-the-art service placement strategies considered for the performance evaluation. ¬© 2022, The Author(s), under exclusive licence to Springer Science+Business Media, LLC, part of Springer Nature.</t>
  </si>
  <si>
    <t>Containers; Docker; Industry 4.0; Internet of things; Multi-objective; Quality of service; Service time</t>
  </si>
  <si>
    <t>Natesha, B.V. (57206665492); Guddeti, Ram Mohana Reddy (57196319462)</t>
  </si>
  <si>
    <t>57206665492; 57196319462</t>
  </si>
  <si>
    <t>https://www.scopus.com/inward/record.uri?eid=2-s2.0-85128765346&amp;doi=10.1007%2fs10922-022-09660-w&amp;partnerID=40&amp;md5=dfd446c904393a526c422e9d14716cf7</t>
  </si>
  <si>
    <t>2-s2.0-85128765346</t>
  </si>
  <si>
    <t>Computational complexity; Computer architecture; Containers; Data handling; Edge computing; Energy utilization; Fog; Fog computing; Genetic algorithms; Heuristic algorithms; Industry 4.0; Internet of things; Computing architecture; Docker; Hybrid services; Metaheuristic; Multi objective; Placement strategy; Quality-of-service; Service costs; Service placements; Service time; Quality of service</t>
  </si>
  <si>
    <t>Trabelsi M.; Mehdi Bendaoud N.M.; Ahmed S.B.</t>
  </si>
  <si>
    <t>A Dynamic Service Placement in Fog Infrastructure</t>
  </si>
  <si>
    <t>10.5220/0011852400003464</t>
  </si>
  <si>
    <t>2023-April</t>
  </si>
  <si>
    <t>The Internet of Things (IoT) is a key technology that improves the connectivity between applications and devices over different geographical locations. However, IoT devices, particularly those used for monitoring, have stringent timing requirements that Cloud Computing might not be able to satisfy. Fog computing, which uses fog nodes close to IoT devices, can solve this problem. In this paper, we propose a Dynamic Service Placement (DSP) algorithm for Fog infrastructures. DSP's objective is to dynamically place the services emitted by applications one at a time and in real time on Fog nodes. The algorithm chooses the fog node with the least response time over the infrastructure and dynamically places the incoming service in it. The algorithm is implemented in the iFogSim simulator, and its performances were evaluated and compared to other algorithms. DSP showed very encouraging results, as it proceeded to minimize the average response times and the application placement rate, thus lowering the infrastructure usage and energy consumption. Copyright ¬© 2023 by SCITEPRESS - Science and Technology Publications, Lda. Under CC license (CC BY-NC-ND 4.0)</t>
  </si>
  <si>
    <t>Fog Computing; iFogSim; Internet of Things (IoT); Quality-of-Service (QoS); Real-Time Application; Service Placement</t>
  </si>
  <si>
    <t>Trabelsi, Mayssa (58293911600); Mehdi Bendaoud, Nadjib Mohamed (58294304900); Ahmed, Samir Ben (56021730500)</t>
  </si>
  <si>
    <t>58293911600; 58294304900; 56021730500</t>
  </si>
  <si>
    <t>International Conference on Evaluation of Novel Approaches to Software Engineering, ENASE - Proceedings</t>
  </si>
  <si>
    <t>https://www.scopus.com/inward/record.uri?eid=2-s2.0-85160517719&amp;doi=10.5220%2f0011852400003464&amp;partnerID=40&amp;md5=f0189eeef14dab64cdad6e6632dc4d53</t>
  </si>
  <si>
    <t>2-s2.0-85160517719</t>
  </si>
  <si>
    <t>Energy utilization; Fog; Fog computing; Information systems; Information use; Internet of things; Dynamic services; Geographical locations; Ifogsim; Internet of thing; Key technologies; Quality-of-service; Real-time application; Service placements; Stringents; Quality of service</t>
  </si>
  <si>
    <t>de Munk O.; Scoccia G.L.; Malavolta I.</t>
  </si>
  <si>
    <t>The state of the art in measurement-based experiments on the mobile web</t>
  </si>
  <si>
    <t>10.1016/j.infsof.2022.106944</t>
  </si>
  <si>
    <t>Context: Nowadays the majority of all worldwide Web traffic comes from mobile devices, as we tend to primarily rely on the browsers installed on our smartphones and tablets (e.g., Chrome for Android, Safari for iOS) for accessing online services. A market of such a large scale leads to an extremely fierce competition, where it is of paramount importance that the developed mobile Web apps are of high quality, e.g., in terms of performance, energy consumption, security, usability. In order to objectively assess the quality of mobile Web apps, practitioners and researchers are conducting experiments based on the measurement of run-time metrics such as battery discharge, CPU and memory usage, number and type of network requests, etc. Objective: The objective of this work is to identify, classify, and evaluate the state of the art of conducting measurement-based experiments on the mobile Web. Specifically, we focus on (i) which metrics are employed during experimentation, how they are measured, and how they are analyzed; (ii) the platforms chosen to run the experiments; (iii) what subjects are used; (iv) the used tools and environments under which the experiments are run. Method: We apply the systematic mapping methodology. Starting from a search process that identified 786 potentially relevant studies, we selected a set of 33 primary studies following a rigorous selection procedure. We defined and applied a classification framework to them to extract data and gather relevant insights. Results: This work contributes with (i) a classification framework for measurement-based experiments on the mobile Web; (ii) a systematic map of current research on the topic; (iii) a discussion of emergent findings and challenges, and resulting implications for future research. Conclusion: This study provides a rigorous and replicable map of the state of the art of conducting measurement-based experiments on the mobile Web. Its results can benefit researchers and practitioners by presenting common techniques, empirical practices, and tools to properly conduct measurement-based experiments on the mobile Web. ¬© 2022 The Author(s)</t>
  </si>
  <si>
    <t>Measurement-based experiment; Mobile web; Systematic mapping study</t>
  </si>
  <si>
    <t>de Munk, Omar (57225008946); Scoccia, Gian Luca (57144390200); Malavolta, Ivano (25823118300)</t>
  </si>
  <si>
    <t>57225008946; 57144390200; 25823118300</t>
  </si>
  <si>
    <t>Information and Software Technology</t>
  </si>
  <si>
    <t>https://www.scopus.com/inward/record.uri?eid=2-s2.0-85131100664&amp;doi=10.1016%2fj.infsof.2022.106944&amp;partnerID=40&amp;md5=1640cc413685638fdf83e0bb1e232514</t>
  </si>
  <si>
    <t>2-s2.0-85131100664</t>
  </si>
  <si>
    <t>Mapping; Classification framework; Measurement-based; Measurement-based experiment; Mobile web; On-line service; Smart phones; State of the art; Systematic mapping studies; Web App; Web traffic; Energy utilization</t>
  </si>
  <si>
    <t>Masoumi H.; Shirowzhan S.; Eskandarpour P.; Pettit C.J.</t>
  </si>
  <si>
    <t>City Digital Twins: their maturity level and differentiation from 3D city models</t>
  </si>
  <si>
    <t>10.1080/20964471.2022.2160156</t>
  </si>
  <si>
    <t>The emerging field of City Digital Twins has advanced in recent years with the help of digital infrastructure and technologies connected to the Internet of Things (IoT). However, the evolution of this field has been so fast that a gap has opened in relation to systematic reviews of the relevant literature and the maturation of City Digital Twins on an urban scale. Our work bridges this gap by highlighting maturity in the field. We conducted a systematic literature review with bibliometric and content analysis of 41 selected papers published in Web of Science and Scopus databases, covering five areas: data types and sources, case studies, applied technologies and methods, maturity spectrum, and applications. Based on maturity indicators, the majority of the reviewed studies (90%) were at initial to medium stages of maturity (up to element 3), most of them focused on 3D modelling, monitoring and visualisation. However, digital twins cannot be limited to 3D models, monitoring and visualisation, for they can be developed to include two-directional interactions between humans and computers. Such a high level of maturity, which was not found in the reviewed studies, requires advanced technologies and methods such as cloud computing, artificial intelligence, BIM and GIS. We also found that further studies are essential if the field is to handle the complex urban challenges of multidisciplinary digital twins. While City Digital Twins extend by definition beyond mere 3D city modelling, some studies involving 3D city models still refer to their subjects as City Digital Twins. Among the research gaps we identified, we‚Äôd like to highlight the need for near-real-time data analytics algorithms, which could furnish City Digital Twins with big data insights. Other opportunities include public participation capabilities to increase social collaboration, integrating BIM and GIS technologies and improving storage and computation infrastructure. ¬© 2023 The Author(s). Published by Taylor &amp; Francis Group and Science Press on behalf of the International Society for Digital Earth, supported by the International Research Center of Big Data for Sustainable Development Goals, and CASEarth Strategic Priority Research Programme.</t>
  </si>
  <si>
    <t>artificial intelligence; big data; City Digital Twins; city information modelling; IoT</t>
  </si>
  <si>
    <t>Masoumi, Homa (58074599600); Shirowzhan, Sara (55923557900); Eskandarpour, Paria (58075387600); Pettit, Christopher James (7003759636)</t>
  </si>
  <si>
    <t>58074599600; 55923557900; 58075387600; 7003759636</t>
  </si>
  <si>
    <t>Big Earth Data</t>
  </si>
  <si>
    <t>https://www.scopus.com/inward/record.uri?eid=2-s2.0-85146697786&amp;doi=10.1080%2f20964471.2022.2160156&amp;partnerID=40&amp;md5=4affb9bd0046675c095cddd627bac65c</t>
  </si>
  <si>
    <t>2-s2.0-85146697786</t>
  </si>
  <si>
    <t>3D modeling; Architectural design; Artificial intelligence; Cloud analytics; Data Analytics; Digital storage; Internet of things; Visualization; 3D models; 3D Visualization; 3d-modeling; City digital twin; City information modeling; City model; Information Modeling; Maturity levels; Model monitoring; Model visualization; artificial intelligence; differentiation; GIS; information management; Internet; three-dimensional modeling; Big data</t>
  </si>
  <si>
    <t>Karkazis P.A.; Railis K.; Prekas S.; Trakadas P.; Leligou H.C.</t>
  </si>
  <si>
    <t>Intelligent Network Service Optimization in the Context of 5G/NFV</t>
  </si>
  <si>
    <t>10.3390/signals3030036</t>
  </si>
  <si>
    <t>Our contemporary society has never been more connected and aware of vital information in real time, through the use of innovative technologies. A considerable number of applications have transitioned into the cyber-physical domain, automating and optimizing their routines and processes via the dense network of sensing devices and the immense volumes of data they collect and instantly share. In this paper, we propose an innovative architecture based on the monitoring, analysis, planning, and execution (MAPE) paradigm for network and service performance optimization. Our study confirms distinct evidence that the utilization of learning algorithms, consuming datasets enriched with the users‚Äô empirical opinions as input during the analysis and planning phases, contributes greatly to the optimization of video streaming quality, especially by handling different packet loss rates, paving the way for the achievable provision of a resilient communications platform for calamity assessment and management. ¬© 2022 by the authors.</t>
  </si>
  <si>
    <t>5G/NFV; analysis; cloud native infrastructure; machine learning; monitoring; network services; planning and execution</t>
  </si>
  <si>
    <t>Karkazis, Panagiotis A. (35195881400); Railis, Konstantinos (57193445656); Prekas, Stelios (57222334710); Trakadas, Panagiotis (6603036390); Leligou, Helen C. (6602311122)</t>
  </si>
  <si>
    <t>35195881400; 57193445656; 57222334710; 6603036390; 6602311122</t>
  </si>
  <si>
    <t>Signals</t>
  </si>
  <si>
    <t>https://www.scopus.com/inward/record.uri?eid=2-s2.0-85159140373&amp;doi=10.3390%2fsignals3030036&amp;partnerID=40&amp;md5=98214bd018c9b24d89f87ea4e4636d99</t>
  </si>
  <si>
    <t>2-s2.0-85159140373</t>
  </si>
  <si>
    <t>Harries S.; Brunswig J.; Gatchell S.; Hauschulz S.; Schumacher A.; Thies F.; Marzi J.</t>
  </si>
  <si>
    <t>The Need for Sufficiently Accurate Geometrical Representations of Ship Hull Forms for Digital Twins for Performance Prediction</t>
  </si>
  <si>
    <t>10.5957/SOME-2023-029</t>
  </si>
  <si>
    <t>Operational performance optimization is a key element to reduce both fuel consumption and emissions and meet current and upcoming legislation, e.g., the EEXI, the CII and the European ETS. While technical innovation and improvements are important, the careful use of fuel on board plays a vital role to meet these targets. Here route and speed optimization are decisive. The basis of any approach to operational optimization is a digital twin which allows predicting the behavior of the ship and its energy consuming systems in a reliable and suitably accurate way. Here geometry plays an important role. The German R&amp;D project MariData (maridata.org) addresses (present) shortcomings of onboard energy management systems. One specific element highlighted in this paper focuses on the desired quality of geometric representations for digital twins when used as a basis for performance analysis and improved energy consumption during operation. The paper compares different approaches and necessary levels of modeling fidelity to indicate attainable accuracy, aiming at further elucidating how good hydrodynamics need to be represented. Copyright ¬© 2023 Society of Naval Architects and Marine Engineers (SNAME)</t>
  </si>
  <si>
    <t>CFD; digital twin; energy management; energy model; geometric modeling; geometric twin; operational optimization; seakeeping</t>
  </si>
  <si>
    <t>Harries, Stefan (13404262400); Brunswig, J√∂rg (55198916900); Gatchell, Scott (25929801300); Hauschulz, Simon (58171161100); Schumacher, Arndt (57190966589); Thies, Fabian (57850523300); Marzi, Jochen (25634199700)</t>
  </si>
  <si>
    <t>13404262400; 55198916900; 25929801300; 58171161100; 57190966589; 57850523300; 25634199700</t>
  </si>
  <si>
    <t>SNAME 8th International Symposium on Ship Operations, Management and Economics, SOME 2023</t>
  </si>
  <si>
    <t>https://www.scopus.com/inward/record.uri?eid=2-s2.0-85151723289&amp;doi=10.5957%2fSOME-2023-029&amp;partnerID=40&amp;md5=faf501c347ebb4d121ad5a71acc69d11</t>
  </si>
  <si>
    <t>2-s2.0-85151723289</t>
  </si>
  <si>
    <t>Consumer behavior; Energy management systems; Energy utilization; Geometry; Hulls (ship); Vehicle performance; Energy model; Geometric models; Geometric twin; Geometrical representation; Key elements; Operational optimization; Operational performance; Performance optimizations; Performance prediction; Ship hull form; Energy management</t>
  </si>
  <si>
    <t>Dilek S.; Irgan K.; Guzel M.; Ozdemir S.; Baydere S.; Charnsripinyo C.</t>
  </si>
  <si>
    <t>QoS-aware IoT networks and protocols: A comprehensive survey</t>
  </si>
  <si>
    <t>10.1002/dac.5156</t>
  </si>
  <si>
    <t>The vast number of smart cloud applications that communicate with the ‚Äúthings‚Äù over a variety of physical networks and communication protocols contribute to the rise of complexity in Internet of Things (IoT) systems. The diversity of end-user requirements related to the volume of generated data, its variety, and the velocity of its transmission makes quality of service (QoS) provisioning even more crucial and challenging in IoT. This paper provides a comprehensive and up-to-date survey of QoS support in IoT networks and communication protocols. An analysis of the QoS-aware IoT architectures, layer-dependent QoS metrics, and network resource optimization methods utilized in IoT systems are given. The limitations of the current state-of-the-art studies for efficient delivery of QoS metrics are discussed. The paper concludes with future research directions on end-to-end QoS provisioning in IoT. ¬© 2022 John Wiley &amp; Sons Ltd.</t>
  </si>
  <si>
    <t>fog computing; IoT; IoT networks; IoT protocols; service architectures</t>
  </si>
  <si>
    <t>Dilek, Selma (55568950800); Irgan, Kerem (35183069900); Guzel, Metehan (57188853013); Ozdemir, Suat (23467461900); Baydere, Sebnem (8846427800); Charnsripinyo, Chalermpol (56023675700)</t>
  </si>
  <si>
    <t>55568950800; 35183069900; 57188853013; 23467461900; 8846427800; 56023675700</t>
  </si>
  <si>
    <t>e5156</t>
  </si>
  <si>
    <t>https://www.scopus.com/inward/record.uri?eid=2-s2.0-85126896322&amp;doi=10.1002%2fdac.5156&amp;partnerID=40&amp;md5=cfc1efcd9526fa60d084047d4d6c8f41</t>
  </si>
  <si>
    <t>2-s2.0-85126896322</t>
  </si>
  <si>
    <t>Fog; Internet of things; Internet protocols; Network architecture; Quality of service; Surveys; Cloud applications; Communications protocols; Internet of thing network; Internet of thing protocol; Physical network; Quality of service metrics; Quality of service provisioning; Quality-of-service; Service-aware; Services Architectures; Fog computing</t>
  </si>
  <si>
    <t>Huo X.; Wang X.</t>
  </si>
  <si>
    <t>Optimal Scheduling using Advanced Cat Swarm Optimization Algorithm to Improve Performance in Fog Computing</t>
  </si>
  <si>
    <t>10.14569/IJACSA.2023.01407114</t>
  </si>
  <si>
    <t>Fog computing can be considered a decentralized computing approach that essentially extends the capabilities offered by cloud computing to the periphery of the network. In addition, due to its proximity to the user, fog computing proves to be highly efficient in minimizing the volume of data that needs to be transmitted, reducing overall network traffic, and shortening the distance that data must travel. But this technology, like other new technologies, has challenges, and scheduling and optimal allocation of resources is one of the most important of these challenges. Accordingly, this research aims to propose an optimal solution for efficient scheduling within the fog computing environment through the application of the advanced cat swarm optimization algorithm. In this solution, the two main behaviors of cats are implemented in the form of seek and tracking states. Accordingly, processing nodes are periodically examined and categorized based on the number of available resources; servers with highly available resources are prioritized in the scheduling process for efficient scheduling. Subsequently, the congested servers, which may be experiencing various issues, are migrated to alternative servers with ample resources using the virtual machine live migration technique. Ultimately, the effectiveness of the proposed solution is assessed using the iFogSim simulator, demonstrating notable reductions in execution time and energy consumption. So, the proposed solution has led to a 20% reduction in execution time while also improving energy efficiency by more than 15% on average. This optimization represents a trade-off between improving performance and reducing resource consumption. ¬© 2023, Science and Information Organization. All Rights Reserved.</t>
  </si>
  <si>
    <t>cat swarm optimization algorithm; fog computing; optimal balancing; Scheduling</t>
  </si>
  <si>
    <t>Huo, Xiaoyan (58158665900); Wang, Xuemei (58549962800)</t>
  </si>
  <si>
    <t>58158665900; 58549962800</t>
  </si>
  <si>
    <t>https://www.scopus.com/inward/record.uri?eid=2-s2.0-85168799434&amp;doi=10.14569%2fIJACSA.2023.01407114&amp;partnerID=40&amp;md5=73a0fa14b58c79cadd05adc666df55fe</t>
  </si>
  <si>
    <t>2-s2.0-85168799434</t>
  </si>
  <si>
    <t>Balancing; Economic and social effects; Energy efficiency; Energy utilization; Fog; Green computing; Optimization; % reductions; Cat swarm optimization algorithm; Cloud-computing; Decentralised; Efficient scheduling; Improve performance; Optimal balancing; Optimal scheduling; Scheduling; Swarm optimization algorithms; Fog computing</t>
  </si>
  <si>
    <t>Das A.; Chakraborty S.; Chakraborty S.</t>
  </si>
  <si>
    <t>Where do all my smart home data go? Context-aware data generation and forwarding for edge-based microservices over shared IoT infrastructure</t>
  </si>
  <si>
    <t>10.1016/j.future.2022.03.027</t>
  </si>
  <si>
    <t>With the explosion of the Internet of Things (IoT) devices, the advent of the edge computing paradigm, and the rise of intelligent applications for smart infrastructure surveillance, in-network data management is gaining a lot of research attention these days. The challenge lies in accommodating multiple application microservices with varying Quality of Service (QoS) requirements to share the sensing infrastructure for better resource utilization. In this work, we propose a novel data collection framework, CaDGen (Context-aware Data Generation) for such a shared IoT infrastructure that enables integrated data filtration and forwarding towards minimizing the resource consumption footprint for the IoT infrastructure. The proposed filtration mechanism utilizes the contextual information associated with the running application for determining the relevance of the data. Whereas the proposed forwarding policy aims to satisfy the diverse QoS requirements for the running applications by selecting the suitable next-hop forwarder based on the microservices distribution across different edge devices. A thorough performance evaluation of CaDGen through a testbed implementation as well as a simulation study for diverse setups reveals promising results concerning network resource utilization, scalability, energy conservation, and distribution of computation for optimal service provisioning. It is observed that the CaDGen can achieve nearly 35% reduction in the generated data for a moderately dynamic scenario without compromising on the data quality. ¬© 2022 Elsevier B.V.</t>
  </si>
  <si>
    <t>Context-aware; Data collection; Edge computing; Microservice; Sensing</t>
  </si>
  <si>
    <t>Das, Anirban (57214490495); Chakraborty, Sandip (54396851400); Chakraborty, Suchetana (46661882600)</t>
  </si>
  <si>
    <t>57214490495; 54396851400; 46661882600</t>
  </si>
  <si>
    <t>https://www.scopus.com/inward/record.uri?eid=2-s2.0-85129245821&amp;doi=10.1016%2fj.future.2022.03.027&amp;partnerID=40&amp;md5=40757b1c56aa2b1db7cb1e5d8175d878</t>
  </si>
  <si>
    <t>2-s2.0-85129245821</t>
  </si>
  <si>
    <t>Automation; Data acquisition; Edge computing; Information management; Network security; Petroleum reservoir evaluation; Quality of service; Context-Aware; Data collection; Data generation; Data-forwarding; Edge computing; Microservice; Quality-of-service; Running applications; Service requirements; Smart homes; Internet of things</t>
  </si>
  <si>
    <t>Olanrewaju R.F.; Khan B.U.I.; Kiah M.L.M.; Abdullah N.A.; Goh K.W.</t>
  </si>
  <si>
    <t>Decentralized Blockchain Network for Resisting Side-Channel Attacks in Mobility-Based IoT</t>
  </si>
  <si>
    <t>10.3390/electronics11233982</t>
  </si>
  <si>
    <t>The inclusion of mobility-based Internet-of-Things (IoT) devices accelerates the data transmission process, thereby catering to IoT users‚Äô demands; however, securing the data transmission in mobility-based IoT is one complex and challenging concern. The adoption of unified security architecture has been identified to prevent side-channel attacks in the IoT, which has been discussed extensively in developing security solutions. Despite blockchain‚Äôs apparent superiority in withstanding a wide range of security threats, a careful examination of the relevant literature reveals that some common pitfalls are associated with these methods. Therefore, the proposed scheme introduces a novel computational security framework wherein a branched and decentralized blockchain network is formulated to facilitate coverage from different variants of side-channel IoT attacks that are yet to be adequately reported. A unique blockchain-based authentication approach is designed to secure communication among mobile IoT devices using multiple stages of security implementation with Smart Agreement and physically unclonable functions. Analytical modeling with lightweight finite field encryption is used to create this framework in Python. The study‚Äôs benchmark results show that the proposed scheme offers 4% less processing time, 5% less computational overhead, 1% more throughput, 12% less latency, and 30% less energy consumption compared to existing blockchain methods. ¬© 2022 by the authors.</t>
  </si>
  <si>
    <t>blockchain; Ethereum; Internet-of-Things; mobility; physical unclonable function; secure data transmission; side-channel attack; smart agreement</t>
  </si>
  <si>
    <t>Olanrewaju, Rashidah Funke (24463222400); Khan, Burhan Ul Islam (57204241702); Kiah, Miss Laiha Mat (24833455600); Abdullah, Nor Aniza (26659416000); Goh, Khang Wen (57210704305)</t>
  </si>
  <si>
    <t>24463222400; 57204241702; 24833455600; 26659416000; 57210704305</t>
  </si>
  <si>
    <t>https://www.scopus.com/inward/record.uri?eid=2-s2.0-85143665386&amp;doi=10.3390%2felectronics11233982&amp;partnerID=40&amp;md5=06bac07f1135f3eb1a2ae41ad1f1f1c1</t>
  </si>
  <si>
    <t>2-s2.0-85143665386</t>
  </si>
  <si>
    <t>Saputra D.I.S.; Suarnatha I.P.D.; Mahardika F.; Wijanarko A.; Handani S.W.</t>
  </si>
  <si>
    <t>IoT-Based Smart Air Conditioner as a Preventive in the Post-COVID-19 Era: A Review</t>
  </si>
  <si>
    <t>10.18196/jrc.v4i1.17090</t>
  </si>
  <si>
    <t>The Internet of Things (IoT) refers to physical objects with sensors, computing power, software, and other technologies that communicate and exchange data with other devices, platforms, and systems over the Internet or other communication networks. Remarkable developments in IoT have paved the way for new possibilities, enabling the creation and automation of innovative services and advanced applications and constituting a collection of crucial enabling technologies for smart homes. In this New-Normal Era, the concept of an IoT-based Smart Air Conditioner (AC) as a Preventive Effort against COVID-19 is a proposed innovation and application. The Smart AC is designed based on the analysis of existing problems and is equipped with literature obtained in the study. The purpose of this study is to review the research literature on IoT-enabled Smart AC to emphasize the main trends and open problems of integrating IoT technology to create sustainable and efficient Smart homes. The IoT-based Smart AC was designed and equipped with air quality filter features, human sensors, temperature control, voice control, Cloud Storage, and Solar Panel services that can be controlled via smartphone devices. From the framework and study results, the IoT offers many benefits. The IoT-based Smart AC concept is one step ahead of existing AC products. ¬© 2023 Royal Botanic Gardens and Domain Trust.</t>
  </si>
  <si>
    <t>Air Conditioner; IoT; Post-COVID-19 Era; Smart AC</t>
  </si>
  <si>
    <t>Saputra, Dhanar Intan Surya (57193156799); Suarnatha, I. Putu Dody (58197619100); Mahardika, Fajar (58197411400); Wijanarko, Andik (57255376800); Handani, Sitaresmi Wahyu (57200984573)</t>
  </si>
  <si>
    <t>57193156799; 58197619100; 58197411400; 57255376800; 57200984573</t>
  </si>
  <si>
    <t>Journal of Robotics and Control (JRC)</t>
  </si>
  <si>
    <t>https://www.scopus.com/inward/record.uri?eid=2-s2.0-85153585217&amp;doi=10.18196%2fjrc.v4i1.17090&amp;partnerID=40&amp;md5=0b8d4daa70754c0c1f9a5d0d4d877c75</t>
  </si>
  <si>
    <t>2-s2.0-85153585217</t>
  </si>
  <si>
    <t>Nabavinejad S.M.; Reda S.; Ebrahimi M.</t>
  </si>
  <si>
    <t>Coordinated Batching and DVFS for DNN Inference on GPU Accelerators</t>
  </si>
  <si>
    <t>10.1109/TPDS.2022.3144614</t>
  </si>
  <si>
    <t>Employing hardware accelerators to improve the performance and energy-efficiency of DNN applications is on the rise. One challenge of using hardware accelerators, including the GPU-based ones, is that their performance is limited by internal and external factors, such as power caps. A common approach to meet the power cap constraint is using the Dynamic Voltage Frequency Scaling (DVFS) technique. However, the functionally of this technique is limited and platform-dependent. To tackle this challenge, we propose a new control knob, which is the size of input batches fed to the GPU accelerator in DNN inference applications. We first evaluate the impact of batch size on power consumption and performance of DNN inference. Then, we introduce the design and implementation of a fast and lightweight runtime system, called BatchDVFS. Dynamic batching is implemented in BatchDVFS to adaptively change the batch size, and hence, trade-off throughput with power consumption. It employs an approach based on binary search to find the proper batch size within a short period of time. Combining dynamic batching with the DVFS technique, BatchDVFS can control the power consumption in wider ranges, and hence, yield higher throughput in the presence of power caps. To find near-optimal solution for long-running jobs that can afford a relatively significant profiling overhead, compared with BatchDVFS overhead, we also design an approach, called BOBD, that employs Bayesian Optimization to wisely explore the vast state space resulted by combination of the batch size and DVFS solutions. Conducting several experiments using a modern GPU and several DNN models and input datasets, we show that our BatchDVFS can significantly surpass the techniques solely based on DVFS or batching, regarding throughput (up to 11.2x and 2.2x, respectively), while successfully meeting the power cap.  ¬© 1990-2012 IEEE.</t>
  </si>
  <si>
    <t>Batch size; Deep neural networks; Dynamic voltage frequency scaling; Gpu accelerator; Power consumption; Throughput</t>
  </si>
  <si>
    <t>Nabavinejad, Seyed Morteza (57035457900); Reda, Sherief (6701708171); Ebrahimi, Masoumeh (32867617900)</t>
  </si>
  <si>
    <t>57035457900; 6701708171; 32867617900</t>
  </si>
  <si>
    <t>https://www.scopus.com/inward/record.uri?eid=2-s2.0-85123691967&amp;doi=10.1109%2fTPDS.2022.3144614&amp;partnerID=40&amp;md5=78c4836297dba6e2b3f210ee5f078bcf</t>
  </si>
  <si>
    <t>2-s2.0-85123691967</t>
  </si>
  <si>
    <t>Acceleration; Computer graphics; Computer hardware; Deep neural networks; Dynamic frequency scaling; Economic and social effects; Electric power utilization; Energy efficiency; Graphics processing unit; Program processors; Throughput; Batch sizes; Bayes method; Dynamic voltage; Dynamic voltage frequency scaling; GPU accelerators; Graphic processing unit; Graphics processing; Optimisations; Power demands; Processing units; Resource management; Runtimes; Voltage scaling</t>
  </si>
  <si>
    <t>Imran; Jamil F.; Kim D.</t>
  </si>
  <si>
    <t>An ensemble of a prediction and learning mechanism for improving accuracy of anomaly detection in network intrusion environments</t>
  </si>
  <si>
    <t>10.3390/su131810057</t>
  </si>
  <si>
    <t>The connectivity of our surrounding objects to the internet plays a tremendous role in our daily lives. Many network applications have been developed in every domain of life, including business, healthcare, smart homes, and smart cities, to name a few. As these network applications provide a wide range of services for large user groups, the network intruders are prone to developing intrusion skills for attack and malicious compliance. Therefore, safeguarding network applications and things connected to the internet has always been a point of interest for researchers. Many studies propose solutions for intrusion detection systems and intrusion prevention systems. Network communities have produced benchmark datasets available for researchers to improve the accuracy of intrusion detection systems. The scientific community has presented data mining and machine learning-based mechanisms to detect intrusion with high classification accuracy. This paper presents an intrusion detection system based on the ensemble of prediction and learning mechanisms to improve anomaly detection accuracy in a network intrusion environment. The learning mechanism is based on automated machine learning, and the prediction model is based on the Kalman filter. Performance analysis of the proposed intrusion detection system is evaluated using publicly available intrusion datasets UNSW-NB15 and CICIDS2017. The proposed model-based intrusion detection accuracy for the UNSW-NB15 dataset is 98.801 percent, and the CICIDS2017 dataset is 97.02 percent. The performance comparison results show that the proposed ensemble model-based intrusion detection significantly improves the intrusion detection accuracy. ¬© 2021 by the authors. Licensee MDPI, Basel, Switzerland.</t>
  </si>
  <si>
    <t>Automated machine learning; CICIDS2017; Intrusion accuracy; Intrusion detection; UNSW-NB15</t>
  </si>
  <si>
    <t>Imran (57211507182); Jamil, Faisal (57205302075); Kim, Dohyeun (44361167000)</t>
  </si>
  <si>
    <t>57211507182; 57205302075; 44361167000</t>
  </si>
  <si>
    <t>https://www.scopus.com/inward/record.uri?eid=2-s2.0-85114726717&amp;doi=10.3390%2fsu131810057&amp;partnerID=40&amp;md5=ad7c2a5bbe5c1552f6dd078b9f237755</t>
  </si>
  <si>
    <t>2-s2.0-85114726717</t>
  </si>
  <si>
    <t>accuracy assessment; detection method; Kalman filter; learning; smart city</t>
  </si>
  <si>
    <t>Theodolite: Scalability Benchmarking of Distributed Stream Processing Engines in Microservice Architectures</t>
  </si>
  <si>
    <t>10.1016/j.bdr.2021.100209</t>
  </si>
  <si>
    <t>Distributed stream processing engines are designed with a focus on scalability to process big data volumes in a continuous manner. We present the Theodolite method for benchmarking the scalability of distributed stream processing engines. Core of this method is the definition of use cases that microservices implementing stream processing have to fulfill. For each use case, our method identifies relevant workload dimensions that might affect the scalability of a use case. We propose to design one benchmark per use case and relevant workload dimension. We present a general benchmarking framework, which can be applied to execute the individual benchmarks for a given use case and workload dimension. Our framework executes an implementation of the use case's dataflow architecture for different workloads of the given dimension and various numbers of processing instances. This way, it identifies how resources demand evolves with increasing workloads. Within the scope of this paper, we present 4 identified use cases, derived from processing Industrial Internet of Things data, and 7 corresponding workload dimensions. We provide implementations of 4 benchmarks with Kafka Streams and Apache Flink as well as an implementation of our benchmarking framework to execute scalability benchmarks in cloud environments. We use both for evaluating the Theodolite method and for benchmarking Kafka Streams' and Flink's scalability for different deployment options. ¬© 2021 Elsevier Inc.</t>
  </si>
  <si>
    <t>Benchmarking; Microservices; Scalability; Stream processing</t>
  </si>
  <si>
    <t>Big Data Research</t>
  </si>
  <si>
    <t>https://www.scopus.com/inward/record.uri?eid=2-s2.0-85100680665&amp;doi=10.1016%2fj.bdr.2021.100209&amp;partnerID=40&amp;md5=156e210ae966e9ae406bc3b308d82dd4</t>
  </si>
  <si>
    <t>2-s2.0-85100680665</t>
  </si>
  <si>
    <t>Computer architecture; Distributed parameter control systems; Engines; Scalability; Cloud environments; Data volume; Data-flow architectures; Distributed stream processing; IT Identify; Microservice; Resource demands; Stream processing; Stream processing engines; Benchmarking</t>
  </si>
  <si>
    <t>Agrawal N.</t>
  </si>
  <si>
    <t>Autonomic cloud computing based management and security solutions: State-of-the-art, challenges, and opportunities</t>
  </si>
  <si>
    <t>10.1002/ett.4349</t>
  </si>
  <si>
    <t>The advancements and rapid adoption of service oriented architecture, utility computing, virtualization, etc., have emerged in a new computing paradigm called cloud computing, in the last few years. Cloud computing enables on-demand delivery of data, software, and hardware in the form of services over the Internet. But the growing scale of cloud-users and type-of-services urge for an autonomous environment to automate the highly complex cloud environment in a suitable way to improve the overall management of the cloud systems. To counter these automation related issues, autonomic computing (AC) emerges as a potential solution to optimize the performance of cloud computing. The merge of these two prominent technologies gives rise to a new technological domain called autonomic cloud computing (ACC). In this survey article, the existing AC assisted solutions for cloud computing is broadly categorized into two groups, namely features based and parameters based. Features based solutions are further classified into management (of services, workload, and resources) and security aware solutions. Similarly, parameters based solutions are grouped into quality-of-service aware and performance management solutions. Finally, the comparative analysis of state-of-the-art ACC approaches with respect to the approach referred, performance metrics, outcome, and the derived inference is also presented to have an in-depth understanding of the existing literature. Overall, the work excites the research community to design the effective autonomous solutions for ACC resources and services. Additionally, several research gaps and challenges are identified and discussed in this article based on the study with a focus on the future research directions. ¬© 2021 John Wiley &amp; Sons, Ltd.</t>
  </si>
  <si>
    <t>Agrawal, Neha (27867564800)</t>
  </si>
  <si>
    <t>e4349</t>
  </si>
  <si>
    <t>https://www.scopus.com/inward/record.uri?eid=2-s2.0-85113582035&amp;doi=10.1002%2fett.4349&amp;partnerID=40&amp;md5=196f0f323a65d873e70bbfed8bff78fd</t>
  </si>
  <si>
    <t>2-s2.0-85113582035</t>
  </si>
  <si>
    <t>Cloud computing; Information services; Quality of service; Autonomic Computing; Comparative analysis; Computing paradigm; Future research directions; In-depth understanding; Performance management; Performance metrics; Research communities; Service oriented architecture (SOA)</t>
  </si>
  <si>
    <t>Arshad R.; Tareen H.K.</t>
  </si>
  <si>
    <t>Possible Role of AI and IoT in Smart Buildings</t>
  </si>
  <si>
    <t>10.1109/GUCON50781.2021.9573606</t>
  </si>
  <si>
    <t>There are an increasing number of Artificial Intelligence (AI) and Internet of Things (IoT) devices and applications which are used across the globe in different areas. One such area is IoT-enabled smart buildings. There is a growing interest among government and non-government organizations in IoT-enabled smart buildings. Despite the perceived benefits of being smart, there is also a key concern of human safety in an emergency situation. This research aims to address this important concern and will develop an initial framework, called here the Safe'Tech, for human safety in IoT enabled smart buildings. The SafeTech will be developed and evaluated using the well-known design science research method. The SafeTech will comprise of both a design and software prototype solution, which can be used to ensure the safety of humans during an emergency through the collection, processing and communication of real-time data from the IoT sensors embedded in the smart building such as smart campus and shopping centre. The SafeTech will interact with the smart building through sensors and collect the state of the physical environment and sense any emergency and then also interact with the humans in the smart building and inform and direct them about the emergency and guide them for the safe evacuation. The applicability and evaluation of the framework software prototype will be demonstrated with the help of smart building scenarios in both Australia and Qatar, involving the fire emergency exercise and automatic and directed evacuation using the SafeTech. This research has several implications, in particular, the impact of reducing human life loss or injury reduction. ¬© 2021 IEEE.</t>
  </si>
  <si>
    <t>Artificial Intelligence; Emergency Management; IOT Devices; Smart Buildings</t>
  </si>
  <si>
    <t>Arshad, Raiha (59430882900); Tareen, Habib Khan (57222871362)</t>
  </si>
  <si>
    <t>59430882900; 57222871362</t>
  </si>
  <si>
    <t>2021 IEEE 4th International Conference on Computing, Power and Communication Technologies, GUCON 2021</t>
  </si>
  <si>
    <t>https://www.scopus.com/inward/record.uri?eid=2-s2.0-85119101357&amp;doi=10.1109%2fGUCON50781.2021.9573606&amp;partnerID=40&amp;md5=b6ba2821a23e4d2946e6720061aee6cc</t>
  </si>
  <si>
    <t>2-s2.0-85119101357</t>
  </si>
  <si>
    <t>Artificial intelligence; Intelligent buildings; Internet of things; Safety engineering; Software prototyping; Design-science researches; Emergency management; Emergency situation; Human safety; IOT device; Non-government organizations; Perceived benefits; Physical environments; Real-time data; Research method; Risk management</t>
  </si>
  <si>
    <t>Zhanga Y.; Huang J.; Wu M.; Niu W.; Shu Y.; Wu J.</t>
  </si>
  <si>
    <t>Customer-side Internet of Things Service Platform Architecture Based on IoT Technology</t>
  </si>
  <si>
    <t>10.1109/IIP57348.2022.00078</t>
  </si>
  <si>
    <t>In order to improve the service quality of the Internet of Things (IoT) and promote data fusion and sharing on the customer side, this paper introduces IoT technology and studies the architecture of the IoT service plat form on the customer side. To meet the needs of building a multi-ecosystem of customer-side IoT service, the architecture of the customer-side IOT service platform is designed. In this paper, the Internet of Things technology is used to manage customer-side Internet of Things in power generation, transmission, distribution, power consumption, and transformation. This paper uses the edge computing framework to expand the client-side edge IoT proxy service. Through the example verification, the platform data sharing with the new architecture can achieve more than 90% full coverage and promote the service quality of customer-side IoT.  ¬© 2022 IEEE.</t>
  </si>
  <si>
    <t>Architecture; Internet of Things technology; IOT; Platform; Service; Side</t>
  </si>
  <si>
    <t>Zhanga, Yu (58289430100); Huang, Jitao (58478823000); Wu, Minrong (57226430130); Niu, Wenhao (58478823200); Shu, Yifei (57208340475); Wu, Jincai (58478523200)</t>
  </si>
  <si>
    <t>58289430100; 58478823000; 57226430130; 58478823200; 57208340475; 58478523200</t>
  </si>
  <si>
    <t>Proceedings - 2022 4th International Conference on Intelligent Information Processing, IIP 2022</t>
  </si>
  <si>
    <t>https://www.scopus.com/inward/record.uri?eid=2-s2.0-85164267509&amp;doi=10.1109%2fIIP57348.2022.00078&amp;partnerID=40&amp;md5=3aa4dd9a00c91ef6aebadfa591a7676b</t>
  </si>
  <si>
    <t>2-s2.0-85164267509</t>
  </si>
  <si>
    <t>Architecture; Data fusion; Electric power distribution; Electric power transmission; Quality of service; Sales; Web services; Architecture-based; Edge computing; Internet of things technologies; IOT; Platform; Platform architecture; Power- generations; Service; Service platforms; Side; Internet of things</t>
  </si>
  <si>
    <t>Barri E.; Bouras C.; Gkamas A.; Karacapilidis N.; Karadimas D.; Kournetas G.; Panaretou Y.</t>
  </si>
  <si>
    <t>A Novel Approach to Energy Management in Large Passenger and Cruise Ships: Integrating Simulation and Machine Learning Models</t>
  </si>
  <si>
    <t>10.1007/978-3-030-84811-8_10</t>
  </si>
  <si>
    <t>It is generally confessed that the energy consumption in large passenger and cruise ships cannot be predicted and that is a complex and also difficult issue. Intending to resolve it, this chapter reports on an unique technique that improves an innovative agent-based simulation model, which considers varied specifications such as the size, kind as well as behavior of the different categories of passengers onboard, the energy consuming centers as well as devices of a ship, spatial data concerning the layout of a ship‚Äôs decks, and also alternate ship procedures. Based on the suggested approach, results acquired from multiple simulation runs are then used up by appropriate Machine Learning algorithms to extract purposeful patterns in between the structure of passengers as well as the corresponding energy needs in a ship. By doing this, our approach is able to predict different energy consumption situations as well as activate significant insights concerning the total power management in a ship. On the whole, the proposed approach may handle the hidden unpredictability by blending the process-centric character of a simulation model and the data-centric character of Machine Learning algorithms. The chapter also describes the general architecture of the suggested remedy, which is based upon the microservices strategy. ¬© 2022, The Author(s), under exclusive license to Springer Nature Switzerland AG.</t>
  </si>
  <si>
    <t>Agent-based simulation; Energy consumption; Large passenger and cruise ships; Machine learning algorithms; Microservices</t>
  </si>
  <si>
    <t>Barri, Eirini (57216586843); Bouras, Christos (7102164662); Gkamas, Apostolos (6602710406); Karacapilidis, Nikos (7003900190); Karadimas, Dimitris (14632128100); Kournetas, Georgios (57212514284); Panaretou, Yiannis (57219221579)</t>
  </si>
  <si>
    <t>57216586843; 7102164662; 6602710406; 7003900190; 14632128100; 57212514284; 57219221579</t>
  </si>
  <si>
    <t>https://www.scopus.com/inward/record.uri?eid=2-s2.0-85113610426&amp;doi=10.1007%2f978-3-030-84811-8_10&amp;partnerID=40&amp;md5=9119e90b80972b279448c00e5943c41b</t>
  </si>
  <si>
    <t>2-s2.0-85113610426</t>
  </si>
  <si>
    <t>Nguyen L.T.T.; Ha S.X.; Le T.H.; Luong H.H.; Vo K.H.; Nguyen K.H.T.; Nguyen A.T.; Dao T.A.; Nguyen H.V.K.</t>
  </si>
  <si>
    <t>BMDD: A novel approach for IoT platform (broker-less and microservice architecture, decentralized identity, and dynamic transmission messages)</t>
  </si>
  <si>
    <t>10.7717/peerj-cs.950</t>
  </si>
  <si>
    <t>Undeniably, Internet of Things (IoT) devices are gradually getting better over time; and IoT-based systems play a significant role in our lives. The pervasiveness of the new essential service models is expanding, and includes self-driving cars, smart homes, smart cities, as well as promoting the development of some traditional fields such as agriculture, healthcare, and transportation; the development of IoT devices has not shown any sign of cooling down. On the one hand, several studies are coming up with many scenarios for IoT platforms, but some critical issues related to performance, speed, power consumption, availability, security, and scalability are not yet fully resolved. On the other hand, IoT devices are manufactured and developed by different organizations and individuals; hence, there is no unified standard (uniformity of IoT devices), i.e., sending and receiving messages among them and between them and the upper layer (e.g., edge devices). To address these issues, this paper proposes an IoT Platform called BMDD (Broker-less and Microservice architecture, Decentralized identity, and Dynamic transmission messages) that has a combination of two architectural models, including broker-less and microservices, with cutting-edge technologies such as decentralized identity and dynamic message transmission. The main contributions of this article are five-fold, including: (i) proposing broker-less and microservice for the IoT platform which can reduce single failure point of brokering architecture, easy to scale out and improve failover; (ii) providing a decentralized authentication mechanism which is suitable for IoT devices attribute (i.e., mobility, distributed); (iii) applying the Role-Based Access Control (RBAC) model for the authorization process; (iv) exploiting the gRPC protocol combined with the Kafka message queue enhances transmission rates, transmission reliability, and reduces power consumption in comparison with MQTT protocol; and (v) developing a dynamic message transmission mechanism that helps users communicate with any device, regardless of the manufacturer, since it provides very high homogeneity. ¬© Copyright 2022 Nguyen et al.</t>
  </si>
  <si>
    <t>Broker-less architecture; Decentralized identity; Dynamic message; gRPC protocol; Internet of Things; IoT platform; Kafka message queue; Microservice architecture; Role-based access control</t>
  </si>
  <si>
    <t>Nguyen, Lam Tran Thanh (57720254800); Ha, Son Xuan (57719961200); Le, Trieu Hai (57208802236); Luong, Huong Hoang (57191923847); Vo, Khanh Hong (57208757731); Nguyen, Khoi Huynh Tuan (57641286700); Nguyen, Anh The (57720548100); Dao, Tuan Anh (57267929300); Nguyen, Hy Vuong Khang (58272295800)</t>
  </si>
  <si>
    <t>57720254800; 57719961200; 57208802236; 57191923847; 57208757731; 57641286700; 57720548100; 57267929300; 58272295800</t>
  </si>
  <si>
    <t>PeerJ Computer Science</t>
  </si>
  <si>
    <t>e950</t>
  </si>
  <si>
    <t>https://www.scopus.com/inward/record.uri?eid=2-s2.0-85131087186&amp;doi=10.7717%2fpeerj-cs.950&amp;partnerID=40&amp;md5=7e4e2679ca574bfcd542f2acc6d7d44a</t>
  </si>
  <si>
    <t>2-s2.0-85131087186</t>
  </si>
  <si>
    <t>Authentication; Automation; Automotive industry; Electric power utilization; Intelligent buildings; Internet protocols; Memory architecture; Network architecture; Broker-less; Broker-less architecture; Decentralised; Decentralized identity; Dynamic message; GRPC protocol; Internet of thing platform; Kafkum message queue; Message queues; Microservice architecture; Role-based Access Control; Internet of things</t>
  </si>
  <si>
    <t>Zhou Y.; Yang L.; Cao Y.</t>
  </si>
  <si>
    <t>Semi-supervised False Data Injection Attacks Detection in Smart Grid</t>
  </si>
  <si>
    <t>10.1007/978-3-031-17081-2_12</t>
  </si>
  <si>
    <t>448 LNICST</t>
  </si>
  <si>
    <t>False data injection attacks (FDIAs) detection in smart grid, requires adequate labeled training samples to train a detection model. Due to the strong subjectivity, relying on expert knowledge and time-consuming nature of power system sample annotation, this task is intrinsically a small sample learning problem. In this paper, we propose a novel semi-supervised detection algorithm for FDIAs detection. The semi-supervised label propagation algorithm can dynamically propagate the label from labeled samples to unlabeled samples, automatically assign class labels to the unlabeled samples dataset, and enlarge the labeled samples dataset. Jointly use a small number of manually labeled samples dataset and a large number of auto-labeled samples dataset to construct a classifier via semi-supervised learning. Comparing the proposed algorithm with supervised learning algorithms, the results suggest that, with the scheme of semi-supervised learning from large unlabeled dataset, the proposed algorithm can significantly improve the accuracy of false data injection attacks detection. ¬© 2022, ICST Institute for Computer Sciences, Social Informatics and Telecommunications Engineering.</t>
  </si>
  <si>
    <t>False data injection attacks; Label propagation; Semi-supervised learning; Small sample learning</t>
  </si>
  <si>
    <t>Zhou, Yasheng (57368566900); Yang, Li (57192937371); Cao, Yang (57962569200)</t>
  </si>
  <si>
    <t>57368566900; 57192937371; 57962569200</t>
  </si>
  <si>
    <t>https://www.scopus.com/inward/record.uri?eid=2-s2.0-85141775842&amp;doi=10.1007%2f978-3-031-17081-2_12&amp;partnerID=40&amp;md5=8dfa82136314e4ca604d31240d7e0d07</t>
  </si>
  <si>
    <t>2-s2.0-85141775842</t>
  </si>
  <si>
    <t>Classification (of information); Electric power transmission networks; Large dataset; Semi-supervised learning; Smart power grids; Attack detection; False data injection attacks; Label propagation; Sample dataset; Sample learning; Semi-supervised; Semi-supervised learning; Small sample learning; Small samples; Smart grid; Learning algorithms</t>
  </si>
  <si>
    <t>Pi M.; Jin N.; Chen D.; Lou B.</t>
  </si>
  <si>
    <t>Short-Term Solar Irradiance Prediction Based on Multichannel LSTM Neural Networks Using Edge-Based IoT System</t>
  </si>
  <si>
    <t>10.1155/2022/2372748</t>
  </si>
  <si>
    <t>Most photovoltaic power generation methods use global level irradiance (GHI) as the main input and output. However, randomness, instability, and intermittency are the main factors that seriously degrade the solar irradiance prediction results. Traditional data-driven prediction models are difficult for accurate predictions. In this study, a multichannel deep learning model named multichannel, wavelet transform combining convolutional neural network and bidirectional long short-term memory (MC-WT-CBiLSTM) framework-based edge computing and IoT system is proposed to improve the GHI prediction accuracy. The solar irradiance data is decomposed by wavelet transform to reduce data complexity. Each decomposed component is inputted into the multichannel MC-CBiLSTM deep learning framework for forecasting and combined to produce the final results. The comparison with existing solar irradiance forecasting methods shows that the proposed MC-WT-CBiLSTM deep learning framework has obvious advantages in the prediction of various time horizons.  ¬© 2022 Maozheng Pi et al.</t>
  </si>
  <si>
    <t>Pi, Maozheng (57447784400); Jin, Ning (55413069200); Chen, Dongxiao (57210117517); Lou, Bing (57205504587)</t>
  </si>
  <si>
    <t>57447784400; 55413069200; 57210117517; 57205504587</t>
  </si>
  <si>
    <t>Wireless Communications and Mobile Computing</t>
  </si>
  <si>
    <t>https://www.scopus.com/inward/record.uri?eid=2-s2.0-85124386268&amp;doi=10.1155%2f2022%2f2372748&amp;partnerID=40&amp;md5=277370a2ca17f954df9937eb2acf25f6</t>
  </si>
  <si>
    <t>2-s2.0-85124386268</t>
  </si>
  <si>
    <t>Convolutional neural networks; Forecasting; Internet of things; Long short-term memory; Solar cells; Solar energy; Solar radiation; Convolutional neural network; Edge-based; Learning frameworks; Multi channel; Multi-channel wavelets; Neural-networks; Photovoltaic power generation; Prediction-based; Solar irradiances; Wavelets transform; Wavelet transforms</t>
  </si>
  <si>
    <t>CAROL: Confidence-Aware Resilience Model for Edge Federations</t>
  </si>
  <si>
    <t>10.1109/DSN53405.2022.00016</t>
  </si>
  <si>
    <t>In recent years, the deployment of large-scale Inter-net of Things (IoT) applications has given rise to edge federations that seamlessly interconnect and leverage resources from multiple edge service providers. The requirement of supporting both latency-sensitive and compute-intensive IoT tasks necessitates service resilience, especially for the broker nodes in typical broker-worker deployment designs. Existing fault-tolerance or resilience schemes often lack robustness and generalization capability in non-stationary workload settings. This is typically due to the expensive periodic fine-tuning of models required to adapt them in dynamic scenarios. To address this, we present a confidence aware resilience model, CAROL, that utilizes a memory-efficient generative neural network to predict the Quality of Service (QoS) for a future state and a confidence score for each prediction. Thus, whenever a broker fails, we quickly recover the system by executing a local-search over the broker-worker topology space and optimize future QoS. The confidence score enables us to keep track of the prediction performance and run parsimonious neural network fine-tuning to avoid excessive overheads, further improving the QoS of the system. Experiments on a Raspberry-Pi based edge testbed with IoT benchmark applications show that CAROL outperforms state-of-the-art resilience schemes by reducing the energy consumption, deadline violation rates and resilience overheads by up to 16, 17 and 36 percent, respectively.  ¬© 2022 IEEE.</t>
  </si>
  <si>
    <t>Confidence-Aware; Deep Learning; Edge Federations; Generative Models; Service Resilience</t>
  </si>
  <si>
    <t>Proceedings - 52nd Annual IEEE/IFIP International Conference on Dependable Systems and Networks, DSN 2022</t>
  </si>
  <si>
    <t>https://www.scopus.com/inward/record.uri?eid=2-s2.0-85130856063&amp;doi=10.1109%2fDSN53405.2022.00016&amp;partnerID=40&amp;md5=0a9334870f05f0b4e23a4d36bab0880e</t>
  </si>
  <si>
    <t>2-s2.0-85130856063</t>
  </si>
  <si>
    <t>Benchmarking; Deep learning; Energy utilization; Fault tolerance; Forecasting; Internet of things; Confidence-aware; Deep learning; Edge federation; Fine tuning; Generative model; Neural-networks; Quality-of-service; Resilience model; Service resiliences; Workers'; Quality of service</t>
  </si>
  <si>
    <t>Bhardwaj A.; Krishna C.R.</t>
  </si>
  <si>
    <t>Virtualization in Cloud Computing: Moving from Hypervisor to Containerization‚ÄîA Survey</t>
  </si>
  <si>
    <t>10.1007/s13369-021-05553-3</t>
  </si>
  <si>
    <t>Containers emerged as a lightweight alternative to virtual machines that offer better microservice architecture support. They are widely used by organizations to deploy their increasingly diverse workloads derived from modern applications such as big data, IoT, and edge/fog computing in either proprietary clusters or private, public cloud data centers. With the growing interest in container-based virtualization technologies, the requirement to explore the deployment and orchestration of clusters of containers has become a central research problem. Although progress has been made to study containerization, systematic consolidation of the existing literature with a summative evaluation is still missing. To fill this gap, in this paper, we first taxonomically classify the existing research studies on the performance comparison between hypervisor and container technology and then analyze state-of-the-art for container cluster management orchestration systems, its performance monitoring tools, and finally future research trends. This results in a better understanding of container technology with attention to provide summative analysis in terms of (i) how much performance overhead is generated by a hypervisor compared to container-based virtualization, (ii) which container technology is suited for a cloud application deployment based on the type of benchmark executing, (iii) how to provide management of containers deployed in a cluster environment, (iv) container performance monitoring tools, and (v) finally emerging concerns for future research directions. ¬© 2021, King Fahd University of Petroleum &amp; Minerals.</t>
  </si>
  <si>
    <t>Cloud computing; Containerization; Hypervisor; Virtualization</t>
  </si>
  <si>
    <t>Bhardwaj, Aditya (57188736666); Krishna, C. Rama (26657857700)</t>
  </si>
  <si>
    <t>57188736666; 26657857700</t>
  </si>
  <si>
    <t>Arabian Journal for Science and Engineering</t>
  </si>
  <si>
    <t>https://www.scopus.com/inward/record.uri?eid=2-s2.0-85104544140&amp;doi=10.1007%2fs13369-021-05553-3&amp;partnerID=40&amp;md5=826155bb661c7d28b85c62aff15913d6</t>
  </si>
  <si>
    <t>2-s2.0-85104544140</t>
  </si>
  <si>
    <t>Kaiser S.; Haq M.S.; Tosun A.S.; Korkmaz T.</t>
  </si>
  <si>
    <t>Container Technologies for ARM Architecture: A Comprehensive Survey of the State-of-the-Art</t>
  </si>
  <si>
    <t>10.1109/ACCESS.2022.3197151</t>
  </si>
  <si>
    <t>Container technology is becoming increasingly popular as an alternative to traditional virtual machines because it provides a faster, lighter, and more portable runtime environment for the applications. A container bundles the application and its binary code, libraries, and configuration files together while sharing the host operating system image. Accordingly, containers efficiently share resources and operate small micro-services, software programs, and even more extensive applications with less overhead than virtual machines. There are many container technologies available with Docker being the most popular and many technologies support multiple architectures, including the ARM architecture. Due to its energy efficiency and high-performance, which are crucial parameters in containerization, ARM architecture is becoming prevalent in container technologies. In this paper, we explore various container technologies that support ARM architecture and investigate the pros and cons of each technology. Moreover, we provide a comparative analysis of both container orchestrators and container runtimes that are most prominent competitors of Docker. We also consider security of container technologies with particular focus on the image scanning tools that supports ARM architecture. Our survey reveals that ARM technology is gaining popularity in containerization and almost all recent technologies support ARM architecture. ¬© 2013 IEEE.</t>
  </si>
  <si>
    <t>ARM architecture; cloud computing; container orchestration; container runtimes; container security; container technology; Docker; edge computing; HPC; IoT; Linux container</t>
  </si>
  <si>
    <t>Kaiser, Shahidullah (57848107300); Haq, Md. Sadun (57208016743); Tosun, Ali Saman (7003584243); Korkmaz, Turgay (6701785002)</t>
  </si>
  <si>
    <t>57848107300; 57208016743; 7003584243; 6701785002</t>
  </si>
  <si>
    <t>https://www.scopus.com/inward/record.uri?eid=2-s2.0-85136111175&amp;doi=10.1109%2fACCESS.2022.3197151&amp;partnerID=40&amp;md5=e66742fa92c2548cd30b885e6165bbfc</t>
  </si>
  <si>
    <t>2-s2.0-85136111175</t>
  </si>
  <si>
    <t>Application programs; ARM processors; Computer architecture; Edge computing; Energy efficiency; Green computing; Linux; Network security; Program processors; Virtual machine; ARM architecture; Cloud-computing; Container orchestration; Container runtime; Container security; Container technology; Docker; Edge computing; HPC; IoT; Linux container; Runtimes; Virtualizations; Containers</t>
  </si>
  <si>
    <t>Rituraj R.</t>
  </si>
  <si>
    <t>An Investigation into the Methods and Applications of Deep Learning in Smart Grid</t>
  </si>
  <si>
    <t>10.1109/ICCC202255925.2022.9922716</t>
  </si>
  <si>
    <t>The manuscript represents the state-of-the-art review of the deep learning methods for smart grid applications. This paper reviews novel applications of deep learning algorithms in smart grid. The deep learning based three algorithms i.e., Long-Short Term Memory, recurrent neural network, convolution neural network found to be most useful in smart grid application. These algorithms are found to be most useful for forecasting, cyber-attack, anomaly detection and electricity theft in smart grid. This paper briefly surveys the most usable deep learning algorithms for making the smart is resilience, accurate, and safe. The review result shows that the mentioned deep learning algorithms give an excellent results over other deep learning algorithm. Therefore, these three algorithms are widely acceptable for the evaluation of smart grids.  ¬© 2022 IEEE.</t>
  </si>
  <si>
    <t>Convolution Neural Network; Deep Learning; Long-Short Term Memory; Recurrent Neural Network; Smart Grid</t>
  </si>
  <si>
    <t>Rituraj, Rituraj (57926734800)</t>
  </si>
  <si>
    <t>ICCC 2022 - IEEE 10th Jubilee International Conference on Computational Cybernetics and Cyber-Medical Systems, Proceedings</t>
  </si>
  <si>
    <t>https://www.scopus.com/inward/record.uri?eid=2-s2.0-85141725342&amp;doi=10.1109%2fICCC202255925.2022.9922716&amp;partnerID=40&amp;md5=0902a95a8d740089e5d1009bc29cb0fc</t>
  </si>
  <si>
    <t>2-s2.0-85141725342</t>
  </si>
  <si>
    <t>Anomaly detection; Brain; Convolution; Crime; Deep neural networks; Electric power transmission networks; Learning algorithms; Learning systems; Smart power grids; Anomaly detection; Convolution neural network; Cyber-attacks; Deep learning; Electricity theft; Learning methods; Novel applications; Smart grid; Smart grid applications; State-of-the art reviews; Long short-term memory</t>
  </si>
  <si>
    <t>Lv Y.; Tan W.</t>
  </si>
  <si>
    <t>Infrastructure Smart Service System Based on Microservice Architecture from the Perspective of Informatization</t>
  </si>
  <si>
    <t>10.1155/2022/1344720</t>
  </si>
  <si>
    <t>With the rapid development of engineering information technologies such as building Information Model (BIM), geographic information system (GIS), Internet of Things, big data, and cloud computing, and the intelligent management of infrastructure will become an inevitable development trend. Microservice architecture, because of the service component and other related characteristics, using this architecture can build a high availability and low coupling application system, which effectively improves the service quality of the system, and therefore the microservice architecture has gradually become the flow software development architecture. Based on the research of infrastructure digitization and integration of construction and maintenance, this paper proposes the concept of infrastructure intelligent service system (is3) from the perspective of information flow, so as to realize the intelligent management of infrastructure. This paper is based on the system requirements analysis. The intelligent service system of infrastructure with microservice architecture is designed, and its performance is tested through experiment. The test results show that in the brain high development test, the designed service reached no error, and the average response day was stable below 27 ms; in the continuous high concurrent test, the average response time of the designed service side remained within 100 ms when the concurrency is 12000, and no request occurred during the test.  ¬© 2022 Yanyan Lv and Wenken Tan.</t>
  </si>
  <si>
    <t>Lv, Yanyan (57809564300); Tan, Wenken (57220179596)</t>
  </si>
  <si>
    <t>57809564300; 57220179596</t>
  </si>
  <si>
    <t>Mobile Information Systems</t>
  </si>
  <si>
    <t>https://www.scopus.com/inward/record.uri?eid=2-s2.0-85134427586&amp;doi=10.1155%2f2022%2f1344720&amp;partnerID=40&amp;md5=685d56947757f3904bcca765eda6c326</t>
  </si>
  <si>
    <t>2-s2.0-85134427586</t>
  </si>
  <si>
    <t>Application programs; Architectural design; Computer architecture; Informatization; Requirements engineering; Software design; Building Information Modelling; Cloud-computing; Development trends; Engineering information; Informatization; Intelligent management; Intelligent service systems; Service components; Service systems; Smart services; Information management</t>
  </si>
  <si>
    <t>Tola B.; Jiang Y.; Helvik B.E.</t>
  </si>
  <si>
    <t>Model-Driven Availability Assessment of the NFV-MANO with Software Rejuvenation</t>
  </si>
  <si>
    <t>10.1109/TNSM.2021.3090208</t>
  </si>
  <si>
    <t>Network Function Virtualization enables network operators to modernize their networks with greater elasticity, network programmability, and scalability. Exploiting these advantages requires new and specialized designs for management, automation, and orchestration systems which are capable of reliably operating and handling new elements such as virtual functions, virtualized infrastructures, and a whole new set of relationships among them. Operations such as resource allocation, instantiation, monitoring, scaling, or termination of virtual functions are key lifecycle operations that NFV management and orchestration (NFV-MANO) frameworks need to correctly perform. Failures of the NFV-MANO prevent the network ability to respond to new service requests or events related to the normal lifecycle operation of network services. Thus, it is important to ensure robustness and high availability of the MANO framework. This paper adopts a model-driven approach to predict the availability of the NFV-MANO and assess the impact that different failure modes have. We propose different models, based on Stochastic Activity Networks (SANs), which abstract various MANO deployment configurations, inspired by current containerized open-source MANO implementations. Moreover, we integrate software rejuvenation and investigate the trade-off between its associated overhead and system availability increase. An extensive experimental campaign with fault-injection techniques on a real-life MANO implementation allows to derive a number of realistic recovery parameters. The case studies are used to quantitatively evaluate the steady-state availability and identify the most important parameters influencing system availability for the different deployment configurations.  ¬© 2004-2012 IEEE.</t>
  </si>
  <si>
    <t>availability; containers; NFV-MANO; SAN models; software aging; software rejuvenation</t>
  </si>
  <si>
    <t>Tola, Besmir (56994020700); Jiang, Yuming (7404834065); Helvik, Bjarne E. (6602287380)</t>
  </si>
  <si>
    <t>56994020700; 7404834065; 6602287380</t>
  </si>
  <si>
    <t>https://www.scopus.com/inward/record.uri?eid=2-s2.0-85112213819&amp;doi=10.1109%2fTNSM.2021.3090208&amp;partnerID=40&amp;md5=30eaa1aa5892bcb353826590ce8705e6</t>
  </si>
  <si>
    <t>2-s2.0-85112213819</t>
  </si>
  <si>
    <t>Availability; Economic and social effects; Endocrinology; Life cycle; Open source software; Stochastic models; Stochastic systems; Availability assessment; Experimental campaign; Fault Injection techniques; Model driven approach; Recovery parameters; Software rejuvenation; Steady-state availability; Stochastic activity networks; Network function virtualization</t>
  </si>
  <si>
    <t>Atalay M.; Murat U.; Oksuz B.; Parlaktuna A.M.; Pisirir E.; Testik M.C.</t>
  </si>
  <si>
    <t>Digital twins in manufacturing: systematic literature review for physical‚Äìdigital layer categorization and future research directions</t>
  </si>
  <si>
    <t>10.1080/0951192X.2021.2022762</t>
  </si>
  <si>
    <t>Modern technologies and recently developed digital solutions make their way into all aspects of lives of individuals and businesses, and manufacturing industry is no exception. In the era of digital revolution of industry, manufacturing processes can benefit from digitalization technologies immensely. Digital twin (DT) is a technology concept that aims to create a digital mirror of a physical system with a constant data flow between two components. This idea can be used for monitoring and optimization of the present system as well as forecasting and estimating future states of it. There have been theoretical and practical studies conducted on DT in manufacturing area. This systematic literature review (SLR) aims to summarize the current state of literature and shine a light on open areas for future research. Using a rigorous SLR method, 247 relevant studies from 2015 to 2020 are examined to answer a set of research questions. The current state of DT in manufacturing literature is analyzed and explained with an emphasis on where the future studies may go in this area. ¬© 2022 Informa UK Limited, trading as Taylor &amp; Francis Group.</t>
  </si>
  <si>
    <t>digital transformation; Digital twin; digital-physical layer interaction; fourth industrial revolution; industrial artificial intelligence; Industry 4.0; manufacturing systems; systematic literature review</t>
  </si>
  <si>
    <t>Atalay, Murat (57211436643); Murat, Ugur (57412808100); Oksuz, Busra (57413363800); Parlaktuna, Ayse Merve (57413639600); Pisirir, Erhan (57209911091); Testik, Murat Caner (56470637800)</t>
  </si>
  <si>
    <t>57211436643; 57412808100; 57413363800; 57413639600; 57209911091; 56470637800</t>
  </si>
  <si>
    <t>International Journal of Computer Integrated Manufacturing</t>
  </si>
  <si>
    <t>https://www.scopus.com/inward/record.uri?eid=2-s2.0-85122865364&amp;doi=10.1080%2f0951192X.2021.2022762&amp;partnerID=40&amp;md5=84fafedf628604aca97a893e6573f168</t>
  </si>
  <si>
    <t>2-s2.0-85122865364</t>
  </si>
  <si>
    <t>Industrial research; Network layers; 'current; Digital physical layers; Digital solutions; Digital transformation; Digital-physical layer interaction; Future research directions; Industrial artificial intelligence; Layer interaction; Modern technologies; Systematic literature review; Industry 4.0</t>
  </si>
  <si>
    <t>Semeraro C.; Lezoche M.; Panetto H.; Dassisti M.</t>
  </si>
  <si>
    <t>Digital twin paradigm: A systematic literature review</t>
  </si>
  <si>
    <t>10.1016/j.compind.2021.103469</t>
  </si>
  <si>
    <t>Manufacturing enterprises are facing the need to align themselves to the new information technologies (IT) and respond to the new challenges of variable market demand. One of the key enablers of this IT revolution toward Smart Manufacturing is the digital twin (DT). It embeds a ‚Äúvirtual‚Äù image of the reality constantly synchronized with the real operating scenario to provide sound information (knowledge model) to reality interpretation model to draw sound decisions. The paper aims at providing an up-to date picture of the main DT components, their features and interaction problems. The paper aims at clearly tracing the ongoing research and technical challenges in conceiving and building DTs as well, according to different application domains and related technologies. To this purpose, the main questions answered here are: ‚ÄòWhat is a Digital Twin?‚Äô; ‚ÄòWhere is appropriate to use a Digital Twin?‚Äô; ‚ÄòWhen has a Digital Twin to be developed?‚Äô; ‚ÄòWhy should a Digital Twin be used?‚Äô; ‚ÄòHow to design and implement a Digital Twin?‚Äô; ‚ÄòWhat are the main challenges of implementing a Digital Twin?‚Äô. This study tries to answer to the previous questions funding on a wide systematic literature review of scientific research, tools, and technicalities in different application domains. ¬© 2021 Elsevier B.V.</t>
  </si>
  <si>
    <t>Cyber-physical systems; Digital twin; Industry 4.0; Predictive manufacturing</t>
  </si>
  <si>
    <t>Semeraro, Concetta (57189304283); Lezoche, Mario (34977078700); Panetto, Herv√© (6508186303); Dassisti, Michele (55908422600)</t>
  </si>
  <si>
    <t>57189304283; 34977078700; 6508186303; 55908422600</t>
  </si>
  <si>
    <t>Computers in Industry</t>
  </si>
  <si>
    <t>https://www.scopus.com/inward/record.uri?eid=2-s2.0-85105600759&amp;doi=10.1016%2fj.compind.2021.103469&amp;partnerID=40&amp;md5=83a610e5beb64f3f529b63975910975b</t>
  </si>
  <si>
    <t>All Open Access; Bronze Open Access; Green Open Access</t>
  </si>
  <si>
    <t>2-s2.0-85105600759</t>
  </si>
  <si>
    <t>Manufacture; Design and implements; Interaction problems; Interpretation model; Manufacturing enterprise; Scientific researches; Smart manufacturing; Systematic literature review; Technical challenges; Digital twin</t>
  </si>
  <si>
    <t>Nday B.A.; Kusuma G.P.; Fredyan R.</t>
  </si>
  <si>
    <t>Serverless utilization in microservice e-learning platform</t>
  </si>
  <si>
    <t>10.1016/j.procs.2022.12.128</t>
  </si>
  <si>
    <t>Since cloud computing becoming the trend, the way servers being implemented slowly moves to the cloud. Companies did not need to buy a physical server machine to deploy an app. Having a private server on cloud infrastructure indeed already reduce some cost for on-premise server maintenance. However, there is still a cost for usage when the server is inactive or having low to no traffic at all. Serverless deployment offer function as a service where application is deployed as a function and cost is billed per function call. This paper proposed a solution where there are two deployment that works in turn between infrastructure as a service and function as a service deployment. This dual deployment offered the system to use the virtual private server or deployed instance on active hours, and switch to serverless functions on inactive hours. Switching to serverless on low traffic hours will cut the usage and cost of the microservice app by the least 25%, while having performance slightly comparable to microservice app deployed to instances. ¬© 2022 Elsevier B.V.. All rights reserved.</t>
  </si>
  <si>
    <t>Cloud Computing; E-Learning; Function as a Service; Hybrid Deployment; REST API</t>
  </si>
  <si>
    <t>Nday, Bryan Andreas (58418316700); Kusuma, Gede Putra (24474615100); Fredyan, Renaldy (57970677400)</t>
  </si>
  <si>
    <t>58418316700; 24474615100; 57970677400</t>
  </si>
  <si>
    <t>Procedia Computer Science</t>
  </si>
  <si>
    <t>https://www.scopus.com/inward/record.uri?eid=2-s2.0-85163846528&amp;doi=10.1016%2fj.procs.2022.12.128&amp;partnerID=40&amp;md5=72013e9ceef27fbcf4faeb8c7d12e2c1</t>
  </si>
  <si>
    <t>2-s2.0-85163846528</t>
  </si>
  <si>
    <t>E-learning; Cloud infrastructures; Cloud-computing; E - learning; E-learning platforms; Function as a service; Function calls; Hybrid deployment; REST API; Server machines; Service deployment; Infrastructure as a service (IaaS)</t>
  </si>
  <si>
    <t>Kovalyov S.P.</t>
  </si>
  <si>
    <t>Distributed Energy Resources Management: From Digital Twin to Digital Platform</t>
  </si>
  <si>
    <t>10.1016/j.ifacol.2022.07.080</t>
  </si>
  <si>
    <t>The paper presents an approach to the development of a distributed energy resources management platform based on the digital twin (DT). The platform employs advanced Industry 4.0 technologies to let users improve the power supply quality, reduce costs, and gain emerging market opportunities. The DT and the platform are designed with the viewpoint-based approach established by the systems engineering standard ISO/IEC/IEEE 42010. The typical power system DT architecture is described. The distributed energy domain ontology provides the unified semantic basis for interaction between heterogeneous models that constitute the DT. The DT-based platform architecture is represented from three key viewpoints: functional, information, and software. To formalize and ultimately automate the DT composition process, we propose novel mathematical methods based on category theory. ¬© 2022 Elsevier B.V.. All rights reserved.</t>
  </si>
  <si>
    <t>Digital Platform; Digital Twin; Future Challenges To Electrical Networks; Operation of Control of Renewable Energy Systems; Smart Grid Technologies; their Solutions</t>
  </si>
  <si>
    <t>Kovalyov, Serge P. (12645111600)</t>
  </si>
  <si>
    <t>IFAC-PapersOnLine</t>
  </si>
  <si>
    <t>https://www.scopus.com/inward/record.uri?eid=2-s2.0-85137163087&amp;doi=10.1016%2fj.ifacol.2022.07.080&amp;partnerID=40&amp;md5=ea96f9f40e884058e6ba22231c3ae498</t>
  </si>
  <si>
    <t>2-s2.0-85137163087</t>
  </si>
  <si>
    <t>Electric power system control; Electric power transmission networks; ISO Standards; Network architecture; Semantics; Smart power grids; Digital platforms; Distributed Energy Resources; Electrical networks; Energy systems; Future challenge to electrical network; Future challenges; Operation of control of renewable energy system; Renewable energies; Smart Grid technologies; Their solution; Renewable energy resources</t>
  </si>
  <si>
    <t>Javaid M.; Haleem A.; Singh R.P.; Suman R.</t>
  </si>
  <si>
    <t>Enabling flexible manufacturing system (FMS) through the applications of industry 4.0 technologies</t>
  </si>
  <si>
    <t>10.1016/j.iotcps.2022.05.005</t>
  </si>
  <si>
    <t>The implementation of Industry 4.0 technologies has improved the flexibility of the entire manufacturing system. These technologies are the Internet of Things (IoT), big data, Artificial Intelligence (AI), Additive Manufacturing (AM), advanced robotics, virtual reality, cloud computing, simulation, and among others, have arisen to improve the flexibility in the entire manufacturing system. Industry 4.0 is becoming recognised as a unique industrial paradigm. It is predicated on the widespread adoption of communication and information technology, which would lead to improved organisational performance and flexibility. The incorporation of Industry 4.0 is the true game-changer in terms of flexibility and customisation. Manufacturers may utilise this technology to build digital twins of items used by consumers in the real world. The digital twin gets real-time information from sensors on the actual objects. Manufacturers benefit from digital twin and simulation technology, including predictive maintenance and making errors easier and faster to rectify. This paper discusses Industry 4.0 and its Flexible Manufacturing System (FMS) capability. Different dimensions and technologies of Industry 4.0 Practices for improving FMS performance are studied,d and then discusses several flexible approaches using Industry 4.0 technologies are. One of the most significant benefits of adopting virtual infrastructure maintained by a service provider is improved flexibility. Cloud services allow auto-scaling, which means that the underlying computer resources automatically adjust to changing utilisation rates. Industry 4.0 increases production flexibility, allowing a facility to respond to market changes quickly. A plant control system automatically varies output depending on shifting utility rates, lowering production costs. Industry 4.0 offers some incredible benefits and has gone a long way in the last several years. ¬© 2022 The Author(s)</t>
  </si>
  <si>
    <t>Flexible manufacturing system; Industries; Industry 4.0; Technologies</t>
  </si>
  <si>
    <t>Javaid, Mohd (57201798958); Haleem, Abid (25627604500); Singh, Ravi Pratap (56999395200); Suman, Rajiv (57191022246)</t>
  </si>
  <si>
    <t>57201798958; 25627604500; 56999395200; 57191022246</t>
  </si>
  <si>
    <t>Internet of Things and Cyber-Physical Systems</t>
  </si>
  <si>
    <t>https://www.scopus.com/inward/record.uri?eid=2-s2.0-85134598058&amp;doi=10.1016%2fj.iotcps.2022.05.005&amp;partnerID=40&amp;md5=701d8d062353ef5df993f55fac1c0b89</t>
  </si>
  <si>
    <t>2-s2.0-85134598058</t>
  </si>
  <si>
    <t>Costs; Flexible manufacturing systems; Internet of things; Virtual reality; Cloud-computing; Customisation; Industrial paradigm; Organizational performance; Predictive maintenance; Real-time information; Real-world; Simulation technologies; System capabilities; Technology; Industry 4.0</t>
  </si>
  <si>
    <t>Ali M.; Prakash K.; Hossain M.A.; Pota H.R.</t>
  </si>
  <si>
    <t>Intelligent energy management: Evolving developments, current challenges, and research directions for sustainable future</t>
  </si>
  <si>
    <t>10.1016/j.jclepro.2021.127904</t>
  </si>
  <si>
    <t>In the last decade, there have been significant developments in the field of intelligent energy management systems (IEMSs), with various methods and new solutions proposed for managing the energy resources intelligently. An important issue related to finding the desired outcomes remains unexplored, i.e., how to determine key insights from the sparse academic literature in the age of digital publishing. To mitigate the issue, this study proposes a novel strategy to systematically survey the relevant studies by converting the sparse literature into visual presentations. We first apply a systematic approach called a PRISMA (Preferred Reporting Items for Systematic reviews and Meta-analyses) statement to provide the insights from the published literature of the past decade (2010‚Äì2020). Then, VOSviewer experiments are conducted to transform these sparse scholarly data into visual representations. In total, eighty-one papers published in high-impact journals are identified based on their scientific soundness and relevance, and a VOSviewer analysis is applied. The analysis revealed the existence of three research clusters focused on the following main thematic areas: the energy management in smart homes and smart grids (35 journal papers); the emerging concept of context-awareness (26 journal papers); and the role of privacy preservation in IEMSs (20 journal papers). This analysis uncovers the current state of IEMSs and explores existing issues, methods, findings, and gaps. Thus, future research directions have been recommended to fill the existing gaps. This systematic literature review is to assist both researchers and industry practitioners to understand the research gaps of previous studies. ¬© 2021</t>
  </si>
  <si>
    <t>Intelligent energy management systems; Systematic literature review (SLR); VOS viewer experiments</t>
  </si>
  <si>
    <t>Ali, Muhammad (57212626605); Prakash, Krishneel (57217340466); Hossain, Md Alamgir (57201266731); Pota, Hemanshu R. (7004130643)</t>
  </si>
  <si>
    <t>57212626605; 57217340466; 57201266731; 7004130643</t>
  </si>
  <si>
    <t>Journal of Cleaner Production</t>
  </si>
  <si>
    <t>https://www.scopus.com/inward/record.uri?eid=2-s2.0-85108995250&amp;doi=10.1016%2fj.jclepro.2021.127904&amp;partnerID=40&amp;md5=c1ab04b5583d3daf532aefebe1d79025</t>
  </si>
  <si>
    <t>2-s2.0-85108995250</t>
  </si>
  <si>
    <t>Automation; Energy management systems; Energy resources; Intelligent buildings; Paper; Publishing; 'current; Academic literature; Digital publishing; Energy; Intelligent energy management; Intelligent energy management systems; Journal paper; New solutions; Systematic literature review; VOS viewer experiment; Energy management</t>
  </si>
  <si>
    <t>Manner J.; Endreb M.; Bohm S.; Wirtz G.</t>
  </si>
  <si>
    <t>Optimizing Cloud Function Configuration via Local Simulations</t>
  </si>
  <si>
    <t>10.1109/CLOUD53861.2021.00030</t>
  </si>
  <si>
    <t>2021-September</t>
  </si>
  <si>
    <t>Function as a Service (FaaS)-the reason why so many practitioners and researchers talk about Serverless Computing-claims to hide all operational concerns. The promise when using FaaS is that users only have to focus on the core business functionality in form of cloud functions. However, a few configuration options remain within the developer's responsibility. Most of the currently available cloud function offerings force the user to choose a memory or other resource setting and a timeout value. CPU is scaled based on the chosen options. At a first glance, this seems like an easy task, but the tradeoff between performance and cost has implications on the quality of service of a cloud function. Therefore, in this paper we present a local simulation approach for cloud functions and support developers in choosing a suitable configuration. The methodology we propose simulates the execution behavior of cloud functions locally, makes the cloud and local environment comparable and maps the local profiling data to a cloud platform. This reduces time during the development and enables developers to work with their familiar tools. This is especially helpful when implementing multi-Threaded cloud functions.  ¬© 2021 IEEE.</t>
  </si>
  <si>
    <t>Benchmarking; FaaS; Function as a Service; Profiling; Serverless; Simulation</t>
  </si>
  <si>
    <t>Manner, Johannes (57201375856); Endreb, Martin (57206661052); Bohm, Sebastian (59158173200); Wirtz, Guido (7005523307)</t>
  </si>
  <si>
    <t>57201375856; 57206661052; 59158173200; 7005523307</t>
  </si>
  <si>
    <t>https://www.scopus.com/inward/record.uri?eid=2-s2.0-85119334596&amp;doi=10.1109%2fCLOUD53861.2021.00030&amp;partnerID=40&amp;md5=4746728bb62de912c1bb55f984ab72e9</t>
  </si>
  <si>
    <t>2-s2.0-85119334596</t>
  </si>
  <si>
    <t>Configuration options; Core business; Function as a service; Performance; Profiling; Quality-of-service; Serverless; Simulation; Simulation approach; Quality of service</t>
  </si>
  <si>
    <t>Kotilainen P.; Autto T.; J√§rvinen V.; Das T.; Tarkkanen J.</t>
  </si>
  <si>
    <t>Proposing Isomorphic Microservices Based Architecture for¬†Heterogeneous IoT Environments</t>
  </si>
  <si>
    <t>10.1007/978-3-031-21388-5_47</t>
  </si>
  <si>
    <t>13709 LNCS</t>
  </si>
  <si>
    <t>Recent advancements in IoT and web technologies have highlighted the significance of isomorphic software architecture development, which enables easier deployment of microservices in IoT-based systems. The key advantage of such systems is that the runtime or dynamic code migration between the components across the whole system becomes more flexible, increasing compatibility and improving resource allocation in networks. Despite the apparent advantages of such an approach, there are multiple issues and challenges to overcome before a truly valid solution can be built. In this idea paper, we propose an architecture for isomorphic microservice deployment on heterogeneous hardware assets, inspired by previous ideas introduced as liquid software [12]. The architecture consists of an orchestration server and a package manager, and various devices leveraging WebAssembly outside the browser to achieve a uniform computing environment. Our proposed architecture aligns with the long-term vision that, in the future, software deployment on heterogeneous devices can be simplified using WebAssembly. ¬© 2022, The Author(s), under exclusive license to Springer Nature Switzerland AG.</t>
  </si>
  <si>
    <t>Internet of Things; Isomorphic software architecture; WebAssembly</t>
  </si>
  <si>
    <t>Kotilainen, Pyry (57210233251); Autto, Teemu (57231511600); J√§rvinen, Viljami (57982698200); Das, Teerath (56046524500); Tarkkanen, Juho (57983175600)</t>
  </si>
  <si>
    <t>57210233251; 57231511600; 57982698200; 56046524500; 57983175600</t>
  </si>
  <si>
    <t>https://www.scopus.com/inward/record.uri?eid=2-s2.0-85142674472&amp;doi=10.1007%2f978-3-031-21388-5_47&amp;partnerID=40&amp;md5=ef9687526b74a92380d2c3528da15b29</t>
  </si>
  <si>
    <t>2-s2.0-85142674472</t>
  </si>
  <si>
    <t>Network architecture; Software architecture; Code migration; Heterogeneous hardware; In networks; Isomorphic software architecture; Issues and challenges; Multiple issue; Resources allocation; Runtimes; Web technologies; Webassembly; Internet of things</t>
  </si>
  <si>
    <t>Klitgaard A.S.; Alexander Sonderby A.; Jorgensen H.S.; Walstrom Petersen K.; Dongo J.; Albano M.</t>
  </si>
  <si>
    <t>Resilience-Focused Monitoring Framework for Edge Systems</t>
  </si>
  <si>
    <t>10.1109/EDGE55608.2022.00030</t>
  </si>
  <si>
    <t>2022-July</t>
  </si>
  <si>
    <t>Developing applications on the edge is a difficult task, as issues arise when multiple nodes have to operate in unison. Common challenges comprise correctness, performance, and forensics analysis after a system crash. The challenges are aggravated when both edge and fog devices get in the picture, since the limited resources of some of them exacerbate any possible issue, and create the need for a robust mechanism to collect log data to make sense of the system's behavior. The envisioned monitoring layer should collect log data regarding performance and errors, protect the data until they are delivered to an external data processing facility, and be easy to integrate into the deployed system. This paper proposes C-Mon, a resilience-focused monitoring framework for service-oriented applications that tests timing constraints against live log data. The monitoring framework is integrated with OpenAPI Generator, the mainstream ReST code generator we used to generate client and server interfaces and monitoring mechanisms. Log data are cached locally on the disk of the fog/edge devices and transferred to the monitoring server only when enough CPU cycles and network bandwidth are available, at the same time enabling forensics analysis.  ¬© 2022 IEEE.</t>
  </si>
  <si>
    <t>API generation; caching; Fog devices; IoT; network monitoring</t>
  </si>
  <si>
    <t>Klitgaard, Alex Skov (58062840100); Alexander Sonderby, Anders (58062873500); Jorgensen, Henrik Stensgaard (58062818200); Walstrom Petersen, Kristian (58062849200); Dongo, Junior (57203142642); Albano, Michele (24490820900)</t>
  </si>
  <si>
    <t>58062840100; 58062873500; 58062818200; 58062849200; 57203142642; 24490820900</t>
  </si>
  <si>
    <t>https://www.scopus.com/inward/record.uri?eid=2-s2.0-85146197951&amp;doi=10.1109%2fEDGE55608.2022.00030&amp;partnerID=40&amp;md5=9e18ca706789aa08391d38735ba6e29c</t>
  </si>
  <si>
    <t>2-s2.0-85146197951</t>
  </si>
  <si>
    <t>Data acquisition; Data handling; Fog; Fog computing; Internet of things; API generation; Caching; Focused monitoring; Fog device; Forensic analysis; IoT; Log data; Monitoring frameworks; Multiple nodes; Network Monitoring; Monitoring</t>
  </si>
  <si>
    <t>Ullah I.; Fayaz M.; Aman M.; Kim D.H.</t>
  </si>
  <si>
    <t>An optimization scheme for IoT based smart greenhouse climate control with efficient energy consumption</t>
  </si>
  <si>
    <t>10.1007/s00607-021-00963-5</t>
  </si>
  <si>
    <t>Internet of Things (IoT) has attracted tremendous research attention in the recent past fromindustry and academia. IoT is quite helpful in uplifting living standards by transforming conventional technology into smart systems. Greenhouse production is considered as an ultimate solution for rising global food demands with the growing population. Greenhouse provides a year-round production facility for fresh vegetables with around 50% increased production rate in comparison to open-air cultivation. However, energy consumption and labor cost in greenhouses account for more than 50% of the cost of greenhouse production. In this paper, we have proposed a novel optimization scheme that aims to achieve a trade-off between energy consumption and desired climate setting in greenhouse i.e. temperature, CO 2 level, and humidity. For performance evaluation of the proposed system, we have developed an ad-hoc emulator of the greenhouse environment. For the proposed model validation and experimental analysis, we have used 15 days of external environmental data collected in Jeju, South Korea. Proposed optimization scheme results are compared with a baseline scheme. Comparative analysis of experimental results shows that our proposed model maintains desired indoor environment for maximizing crop production with 26.56% reduced energy consumption than the baseline scheme. Furthermore proposed model achieve a 27.76% cost reduction when compared to the baseline scheme. Better optimization results of the proposed scheme give us the confidence to further investigate its effectiveness in a real environment for achieving improved energy efficiency. ¬© 2021, The Author(s), under exclusive licence to Springer-Verlag GmbH Austria, part of Springer Nature.</t>
  </si>
  <si>
    <t>Energy efficiency; IoT; Optimization; Smart greenhouse</t>
  </si>
  <si>
    <t>Ullah, Israr (26666362900); Fayaz, Muhammad (57940566800); Aman, Muhammad (57195287385); Kim, DoHyeun (44361167000)</t>
  </si>
  <si>
    <t>26666362900; 57940566800; 57195287385; 44361167000</t>
  </si>
  <si>
    <t>https://www.scopus.com/inward/record.uri?eid=2-s2.0-85107726562&amp;doi=10.1007%2fs00607-021-00963-5&amp;partnerID=40&amp;md5=96d5f529e979551339f36a7dd370c029</t>
  </si>
  <si>
    <t>2-s2.0-85107726562</t>
  </si>
  <si>
    <t>Cost reduction; Cultivation; Economic and social effects; Energy efficiency; Energy utilization; Greenhouses; Wages; Comparative analysis; Environmental data; Experimental analysis; Greenhouse environment; Greenhouse production; Internet of Things (IOT); Optimization scheme; Production facility; Internet of things</t>
  </si>
  <si>
    <t>Ma Y.; Xie X.; Zhang M.</t>
  </si>
  <si>
    <t>A Review of Failure Prediction in Distributed Data Centers</t>
  </si>
  <si>
    <t>10.1007/978-981-19-9198-1_37</t>
  </si>
  <si>
    <t>1712 CCIS</t>
  </si>
  <si>
    <t>With the advent of the era of big data, distributed data centers with advantages in computing, storage, security, etc. have become the trend of future development. In the civil field, when distributed data centers are abnormal, problems such as service interruption, data leakage and capital loss will be caused. Therefore, it is necessary to predict failure for distributed data centers. In the military field, when the LVC system is applied to distributed data centers, the live assets will be lost if the simulation system fails, and the loss is very costly. Hence, failure prediction is more necessary for the simulation system. In summary, first, the failure prediction in distributed data centers is systematically reviewed from four aspects: overall architecture, data types, mainstream prediction methods, and existing difficulties and challenges, to analyze the current research status at home and abroad. Subsequently, from LVC system perspective, the importance and challenges of failure prediction for the simulation application layer in distributed data centers are analyzed. ¬© 2022, The Author(s), under exclusive license to Springer Nature Singapore Pte Ltd.</t>
  </si>
  <si>
    <t>Deep learning; Distributed data centers; Failure prediction; LVC; Machine learning; Simulation application layer; Statistical learning</t>
  </si>
  <si>
    <t>Ma, Yuqing (58075216900); Xie, Xu (57190161770); Zhang, Miao (55704478500)</t>
  </si>
  <si>
    <t>58075216900; 57190161770; 55704478500</t>
  </si>
  <si>
    <t>https://www.scopus.com/inward/record.uri?eid=2-s2.0-85146669636&amp;doi=10.1007%2f978-981-19-9198-1_37&amp;partnerID=40&amp;md5=f84ee2ac51b111282acae7bd5cd05b09</t>
  </si>
  <si>
    <t>2-s2.0-85146669636</t>
  </si>
  <si>
    <t>Deep learning; Forecasting; Learning systems; Application layers; Datacenter; Deep learning; Distributed data; Distributed data center; Failures prediction; LVC; Machine-learning; Simulation application layer; Simulation applications; Statistical learning; Digital storage</t>
  </si>
  <si>
    <t>Wu Y.; Gao M.; Wang Y.; Duan L.</t>
  </si>
  <si>
    <t>Deep Reinforcement Learning Scheduling of Container Cloud Workflow Considering Invalid Time-Consuming and Reliability</t>
  </si>
  <si>
    <t>10.1109/ICAIBD55127.2022.9820003</t>
  </si>
  <si>
    <t>Cloud computing workflow scheduling problem in now hundreds of thousands, millions of sensors are distributed in the edge cloud, information is summarized to the proximal small data center, and then converged to the edge-cloud hybrid scene of data storage on several public cloud, with broad development prospects and application market. The systematic and quantitative reliability research of workflow scheduling problems based on cloud computing is one of the key factors to ensure the efficient and high-quality completion of workflow scheduling tasks. Therefore, this paper follows from three dimensions: cloud provider, task and service type, and data transmission, Combined with energy consumption factors including resource balance, GPU / CPU energy consumption model, energy consumption model with load change with voltage, By quantireliability parameters, simulated workflow scheduling and reasonably setting time window, a hybrid big data reliability optimization model are proposed for the optimization of workflow scheduling.  ¬© 2022 IEEE.</t>
  </si>
  <si>
    <t>computer systems organization; dependable and fault-tolerant systems and networks; reliability</t>
  </si>
  <si>
    <t>Wu, Yaotong (57818749700); Gao, Ming (57199670456); Wang, Ye (59117815900); Duan, Liantan (57818749800)</t>
  </si>
  <si>
    <t>57818749700; 57199670456; 59117815900; 57818749800</t>
  </si>
  <si>
    <t>2022 IEEE 5th International Conference on Artificial Intelligence and Big Data, ICAIBD 2022</t>
  </si>
  <si>
    <t>https://www.scopus.com/inward/record.uri?eid=2-s2.0-85134879324&amp;doi=10.1109%2fICAIBD55127.2022.9820003&amp;partnerID=40&amp;md5=54eaad9f7b4d3d2c0c0389ebf5282d4d</t>
  </si>
  <si>
    <t>2-s2.0-85134879324</t>
  </si>
  <si>
    <t>Cloud computing; Deep learning; Digital storage; Energy utilization; Green computing; Reinforcement learning; Scheduling; Cloud-computing; Computer system organization; Dependable and fault-tolerant system and network; Edge clouds; Energy consumption model; Fault- tolerant systems; Fault-tolerant networks; Reinforcement learnings; Scheduling problem; Workflow scheduling; Reliability</t>
  </si>
  <si>
    <t>Malavolta I.; Lewis G.A.; Schmerl B.; Lago P.; Garlan D.</t>
  </si>
  <si>
    <t>Mining guidelines for architecting robotics software</t>
  </si>
  <si>
    <t>10.1016/j.jss.2021.110969</t>
  </si>
  <si>
    <t>Context: The Robot Operating System (ROS) is the de-facto standard for robotics software. However, ROS-based systems are getting larger and more complex and could benefit from good software architecture practices. Goal: We aim at (i) unveiling the state-of-the-practice in terms of targeted quality attributes and architecture documentation in ROS-based systems, and (ii) providing empirically-grounded guidance to roboticists about how to properly architect ROS-based systems. Methods: We designed and conducted an observational study where we (i) built a dataset of 335 GitHub repositories containing real open-source ROS-based systems, and (ii) mined the repositories to extract and synthesize quantitative and qualitative findings about how roboticists are architecting ROS-based systems. Results: First, we extracted an empirically-grounded overview of the state of the practice for architecting and documenting ROS-based systems. Second, we synthesized a catalog of 47 architecting guidelines for ROS-based systems. Third, the extracted guidelines were validated by 119 roboticists working on real-world open-source ROS-based systems. Conclusion: Roboticists can use our architecting guidelines for applying good design principles to develop robots that meet quality requirements, and researchers can use our results as evidence-based indications about how real-world ROS systems are architected today, thus inspiring future research contributions. ¬© 2021 The Author(s)</t>
  </si>
  <si>
    <t>Robotics; ROS; Software architecture</t>
  </si>
  <si>
    <t>Malavolta, Ivano (25823118300); Lewis, Grace A. (7402637003); Schmerl, Bradley (6603262333); Lago, Patricia (56187491900); Garlan, David (35582414000)</t>
  </si>
  <si>
    <t>25823118300; 7402637003; 6603262333; 56187491900; 35582414000</t>
  </si>
  <si>
    <t>https://www.scopus.com/inward/record.uri?eid=2-s2.0-85105348947&amp;doi=10.1016%2fj.jss.2021.110969&amp;partnerID=40&amp;md5=43fe9fdc6a02160d4d5219420efc94df</t>
  </si>
  <si>
    <t>2-s2.0-85105348947</t>
  </si>
  <si>
    <t>Machine design; Open source software; Robotics; Robots; Architecture practice; De facto standard; Evidence-based; Observational study; Quality attributes; Quality requirements; Robot operating systems (ROS); State of the practice; Open systems</t>
  </si>
  <si>
    <t>Jamil H.; Qayyum F.; Jamil F.; Kim D.-H.</t>
  </si>
  <si>
    <t>Enhanced pdr-ble compensation mechanism based on hmm and awcla for improving indoor localization</t>
  </si>
  <si>
    <t>10.3390/s21216972</t>
  </si>
  <si>
    <t>This paper presents an enhanced PDR-BLE compensation mechanism for improving indoor localization, which is considerably resilient against variant uncertainties. The proposed method of ePDR-BLE compensation mechanism (EPBCM) takes advantage of the non-requirement of linearization of the system around its current state in an unscented Kalman filter (UKF) and Kalman filter (KF) in smoothing of received signal strength indicator (RSSI) values. In this paper, a fusion of conflicting information and the activity detection approach of an object in an indoor environment contemplates varying magnitude of accelerometer values based on the hidden Markov model (HMM). On the estimated orientation, the proposed approach remunerates the inadvertent body acceleration and magnetic distortion sensor data. Moreover, EPBCM can precisely calculate the velocity and position by reducing the position drift, which gives rise to a fault in zero-velocity and heading error. The developed EPBCM localization algorithm using Bluetooth low energy beacons (BLE) was applied and analyzed in an indoor environment. The experiments conducted in an indoor scenario shows the results of various activities performed by the object and achieves better orientation estimation, zero velocity measurements, and high position accuracy than other methods in the literature. ¬© 2021 by the authors. Licensee MDPI, Basel, Switzerland.</t>
  </si>
  <si>
    <t>Bluetooth low energy (BLE); EPDR-BLE compensation mechanism (EPBCM); Hidden Markov model (HMM); Kalman filter (KF); Received signal strength indicator (RSSI); Unscented Kalman filter (UKF)</t>
  </si>
  <si>
    <t>Jamil, Harun (57222651920); Qayyum, Faiza (57225395084); Jamil, Faisal (57205302075); Kim, Do-Hyeun (44361167000)</t>
  </si>
  <si>
    <t>57222651920; 57225395084; 57205302075; 44361167000</t>
  </si>
  <si>
    <t>https://www.scopus.com/inward/record.uri?eid=2-s2.0-85117010805&amp;doi=10.3390%2fs21216972&amp;partnerID=40&amp;md5=239073fca872d1a76621f4b8099d9d50</t>
  </si>
  <si>
    <t>2-s2.0-85117010805</t>
  </si>
  <si>
    <t>Bluetooth; Hidden Markov models; Indoor positioning systems; Object detection; Bluetooth low energy; Compensation mechanism; Energy compensation; EPDR-bluetooth low energy compensation mechanism; Hidden markov model; Hidden-Markov models; Kalman filter; Lower energies; Received signal strength indicator; Received signal strength indicators; Unscented kalman filter; Kalman filters</t>
  </si>
  <si>
    <t>Won Y.; Kim S.; Park K.-J.; Eun Y.</t>
  </si>
  <si>
    <t>Continuous productivity improvement using ioe data for fault monitoring: An automotive parts production line case study</t>
  </si>
  <si>
    <t>10.3390/s21217366</t>
  </si>
  <si>
    <t>This paper presents a case study of continuous productivity improvement of an automotive parts production line using Internet of Everything (IoE) data for fault monitoring. Continuous productivity improvement denotes an iterative process of analyzing and updating the production line configuration for productivity improvement based on measured data. Analysis for continuous improvement of a production system requires a set of data (machine uptime, downtime, cycle-time) that are not typically monitored by a conventional fault monitoring system. Although productivity improvement is a critical aspect for a manufacturing site, not many production systems are equipped with a dedicated data recording system towards continuous improvement. In this paper, we study the problem of how to derive the dataset required for continuous improvement from the measurement by a conventional fault monitoring system. In particular, we provide a case study of an automotive parts production line. Based on the data measured by the existing fault monitoring system, we model the production system and derive the dataset required for continuous improvement. Our approach provides the expected amount of improvement to operation managers in a numerical manner to help them make a decision on whether they should modify the line configuration or not. ¬© 2021 by the authors. Licensee MDPI, Basel, Switzerland.</t>
  </si>
  <si>
    <t>Continuous productivity im-provement; Fault monitoring data; Internet of everything; Production systems engineering; Smart factory</t>
  </si>
  <si>
    <t>Won, Yuchang (57202258760); Kim, Seunghyeon (57209140419); Park, Kyung-Joon (35220500600); Eun, Yongsoon (7003690984)</t>
  </si>
  <si>
    <t>57202258760; 57209140419; 35220500600; 7003690984</t>
  </si>
  <si>
    <t>https://www.scopus.com/inward/record.uri?eid=2-s2.0-85118371379&amp;doi=10.3390%2fs21217366&amp;partnerID=40&amp;md5=7cffdf3ab943c346875857fbac525390</t>
  </si>
  <si>
    <t>2-s2.0-85118371379</t>
  </si>
  <si>
    <t>Manufacture; Monitoring; Automotive parts; Case-studies; Continuous improvements; Continuous productivity im-provement; Fault monitoring; Fault monitoring data; Internet of everything; Production line; Productivity improvements; Smart factory; Productivity</t>
  </si>
  <si>
    <t>Garcia J.</t>
  </si>
  <si>
    <t>Change Point Evaluation in Networking Logs with Periodicity Filtering and Bootstrapping</t>
  </si>
  <si>
    <t>10.1109/NOMS54207.2022.9789925</t>
  </si>
  <si>
    <t>Efficient operation of networking systems is important from resource utilization, OPEX, and energy consumption perspectives. A major factor in efficient operations is the underlying software that controls the networking hardware or virtualized network functions. Most software in hardware-based networking devices is periodically updated, which may or may not have impact on various aspects of the performance of the device. We consider the issue of change point detection in network performance indicators, aiming to detect when such software updates co-occur with changes to any subset of collected performance metrics. In particular, we study the change point detection problem that arises when the placement in time of firmware changes is known a priori, but the presence of any performance implications is unknown. We focus on evaluating change point detection in operational network equipment log data, and consider diurnal variation suppression approaches. We propose the use of periodicity filtering to remove anomalous data sources, and apply a resampling technique using bootstrapping to determine when a software update has performance implications. Our results show that this automated change point detection approach can locate performance-related changes, and that load normalization appears to be the most sensitive approach to diurnal variation suppression. ¬© 2022 IEEE.</t>
  </si>
  <si>
    <t>bootstrapping; NFV; periodogram; SDN</t>
  </si>
  <si>
    <t>Garcia, Johan (7406127415)</t>
  </si>
  <si>
    <t>Proceedings of the IEEE/IFIP Network Operations and Management Symposium 2022: Network and Service Management in the Era of Cloudification, Softwarization and Artificial Intelligence, NOMS 2022</t>
  </si>
  <si>
    <t>https://www.scopus.com/inward/record.uri?eid=2-s2.0-85133170314&amp;doi=10.1109%2fNOMS54207.2022.9789925&amp;partnerID=40&amp;md5=680877b9f1305a0b519f1102c9deecce</t>
  </si>
  <si>
    <t>2-s2.0-85133170314</t>
  </si>
  <si>
    <t>Change detection; Energy utilization; Network function virtualization; Bootstrapping; Change point detection; Change-points; Diurnal variation; Networking systems; NFV; Performance; Periodograms; SDN; Software updates; Firmware</t>
  </si>
  <si>
    <t>Kleftakis S.; Mavrogiorgou A.; Mavrogiorgos K.; Kiourtis A.; Kyriazis D.</t>
  </si>
  <si>
    <t>Digital Twin in Healthcare Through the Eyes of the Vitruvian Man</t>
  </si>
  <si>
    <t>10.1007/978-981-19-3440-7_7</t>
  </si>
  <si>
    <t>In recent years, worldwide, with the development of technology, a huge amount of data is collected in Electronic Health Records (EHRs). Although vast progress has been made with the use of artificial intelligence in various areas of health domain and for specific problems, it is a fact that to date there is no holistic approach to a patient‚Äôs state of health using these technologies. Digital Twin refers to a complete physical and functional description of an item, product, or system, which includes pretty much all the information that could be useful in all‚Äîcurrent and next‚Äîlife cycle phases. This paper presents a platform that, using state of the art technologies such as Microservice Architecture (MSA), containerization (Docker), orchestration (Kubernetes) and Machine Learning Operations (MLOps), whereas it is inspired by Leonardo DaVinci‚Äôs Vitruvian man, building the Digital Twin of Patient platform. To achieve that, the platform‚Äôs architecture is designed with multiple clusters of Docker containers and Kubernetes orchestration. Specific parts or organs of the human body, are represented by clusters called ‚Äúdigital_twin_components‚Äù‚ÄîDTCs. The set of those DTCs structure the ‚Äúpatient_digital_twin‚Äù cluster in which appropriate pipelines define and monitor in real time the ‚Äúbest‚Äù possible construction of the patient‚Äôs digital twin. ¬© 2022, The Author(s), under exclusive license to Springer Nature Singapore Pte Ltd.</t>
  </si>
  <si>
    <t>Containers; Digital twin; Electronic health records; Healthcare; Machine learning; Microservices; MLOps</t>
  </si>
  <si>
    <t>Kleftakis, Spyridon (57203851945); Mavrogiorgou, Argyro (57190857284); Mavrogiorgos, Konstantinos (57226175562); Kiourtis, Athanasios (57190855747); Kyriazis, Dimosthenis (16301182100)</t>
  </si>
  <si>
    <t>57203851945; 57190857284; 57226175562; 57190855747; 16301182100</t>
  </si>
  <si>
    <t>Smart Innovation, Systems and Technologies</t>
  </si>
  <si>
    <t>https://www.scopus.com/inward/record.uri?eid=2-s2.0-85135001872&amp;doi=10.1007%2f978-981-19-3440-7_7&amp;partnerID=40&amp;md5=38e72784f653c987c163cda9463aca7c</t>
  </si>
  <si>
    <t>2-s2.0-85135001872</t>
  </si>
  <si>
    <t>E-learning; Engineering education; Health care; Life cycle; Machine learning; Records management; Electronic health; Electronic health record; Health records; Healthcare; Holistic approach; Machine learning operation; Machine-learning; Microservice; Specific problems; Containers</t>
  </si>
  <si>
    <t>Lakhan A.; Mohammed M.A.; Rashid A.N.; Kadry S.; Abdulkareem K.H.</t>
  </si>
  <si>
    <t>Deadline aware and energy-efficient scheduling algorithm for fine-grained tasks in mobile edge computing</t>
  </si>
  <si>
    <t>10.1504/IJWGS.2022.121935</t>
  </si>
  <si>
    <t>These days, more and more web are converting into mobile devices such as the internet of things (IoT). These applications are distributed in nature and installed on mobile and servers to achieve many business goals. With this motivation, mobile edge computing (MEC) is an evolving paradigm that reduces the energy consumption of mobile devices through the offload process. However, currently all studies only concentrated on mobile energy and widely overlooked the energy usage of the computing node resources and application deadlines during offloading and scheduling in the MEC network. This research suggests a new mobile edge cloud (mob-cloud) architecture that minimises the nodes energy and meets the deadline requirements of applications. This research formulates this problem as the convex optimisation problem under linear integer programming. The mob-cloud consists of different types of virtual machines which are implementing at the edge computing. This study introduces a novel deadline and energy-efficient task scheduling (DEETS) algorithm framework consisting of task sequencing, resource searching, and mobility-aware scheduling. Furthermore, DEETS keeps tradeoff performances between resource energy usage and task deadline. Simulation results show that the proposed DEETS outperformed all contemporary methods regarding energy usage and deadlines of applications by 50%. ¬© 2022 Inderscience Enterprises Ltd.</t>
  </si>
  <si>
    <t>deadline and energy-efficient task scheduling; DEETS; MEC; mob-cloud architecture; mobile edge computing; slack time; task scheduling</t>
  </si>
  <si>
    <t>Lakhan, Abdullah (57209259574); Mohammed, Mazin Abed (57192089894); Rashid, Ahmed N. (57200386745); Kadry, Seifedine (55906598300); Abdulkareem, Karrar Hameed (57197854295)</t>
  </si>
  <si>
    <t>57209259574; 57192089894; 57200386745; 55906598300; 57197854295</t>
  </si>
  <si>
    <t>https://www.scopus.com/inward/record.uri?eid=2-s2.0-85128730456&amp;doi=10.1504%2fIJWGS.2022.121935&amp;partnerID=40&amp;md5=f12961ffe9c24170c618b9f5fb23824f</t>
  </si>
  <si>
    <t>2-s2.0-85128730456</t>
  </si>
  <si>
    <t>Computer architecture; Convex optimization; Energy utilization; Green computing; Integer programming; Internet of things; Mobile edge computing; Multitasking; Network architecture; Scheduling; Scheduling algorithms; Cloud architectures; Deadline and energy-efficient task scheduling; Deadline-aware; Edge clouds; Energy efficient; Energy usage; Mobile edge cloud architecture; Slack time; Energy efficiency</t>
  </si>
  <si>
    <t>Sharafzadeh E.; Sanaee A.; Huang P.; Antichi G.; Ghorbani S.</t>
  </si>
  <si>
    <t>Understanding Microquanta Process Scheduling for Cloud Applications</t>
  </si>
  <si>
    <t>10.1109/UCC56403.2022.00050</t>
  </si>
  <si>
    <t>Process schedulers are responsible for arbitrating CPU resources among services. Unfortunately, traditional sched-ulers, working at millisecond scale and characterized by strict priority schemes, are no longer suitable to meet increasingly stringent and diverse requirements imposed by many workloads. Recognizing this aspect, the research community has recently proposed new schedulers operating at microsecond granularity. This work studies microsecond-scale schedulers and policies for data center applications from the configuration versus perfor-mance standpoint. We demonstrate that for the best performance, workload-dependent parameter tuning is fundamental. Specifically, even a slight misconfiguration can also lead to 110% higher tail latency with respect to its best-case scenario. Our results call for a new set of process scheduling schemes that are workload-aware.  ¬© 2022 IEEE.</t>
  </si>
  <si>
    <t>data center applications; process scheduling</t>
  </si>
  <si>
    <t>Sharafzadeh, Erfan (57202467979); Sanaee, Alireza (57225929621); Huang, Peng (55955579700); Antichi, Gianni (25924766600); Ghorbani, Soudeh (55363071700)</t>
  </si>
  <si>
    <t>57202467979; 57225929621; 55955579700; 25924766600; 55363071700</t>
  </si>
  <si>
    <t>Proceedings - 2022 IEEE/ACM 15th International Conference on Utility and Cloud Computing, UCC 2022</t>
  </si>
  <si>
    <t>https://www.scopus.com/inward/record.uri?eid=2-s2.0-85150681592&amp;doi=10.1109%2fUCC56403.2022.00050&amp;partnerID=40&amp;md5=034262b13e6be4578e07f37dea3dbe2f</t>
  </si>
  <si>
    <t>2-s2.0-85150681592</t>
  </si>
  <si>
    <t>Cloud applications; CPU resources; Data center application; Datacenter; Priority schemes; Process scheduler; Process scheduling; Research communities; Stringents; Work study</t>
  </si>
  <si>
    <t>Xu M.; Fu Z.; Ma X.; Zhang L.; Li Y.; Qian F.; Wang S.; Li K.; Yang J.; Liu X.</t>
  </si>
  <si>
    <t>From cloud to edge: A first look at public edge platforms</t>
  </si>
  <si>
    <t>10.1145/3487552.3487815</t>
  </si>
  <si>
    <t>Public edge platforms have drawn increasing attention from both academia and industry. In this study, we perform a first-of-its-kind measurement study on a leading public edge platform that has been densely deployed in China. Based on this measurement, we quantitatively answer two critical yet unexplored questions. First, from end users' perspective, what is the performance of commodity edge platforms compared to cloud, in terms of the end-to-end network delay, throughput, and the application QoE. Second, from the edge service provider's perspective, how are the edge workloads different from cloud, in terms of their VM subscription, monetary cost, and resource usage. Our study quantitatively reveals the status quo of today's public edge platforms, and provides crucial insights towards developing and operating future edge services. ¬© 2021 ACM.</t>
  </si>
  <si>
    <t>edge computing; measurement study; workloads analysis</t>
  </si>
  <si>
    <t>Xu, Mengwei (57195714041); Fu, Zhe (59302449500); Ma, Xiao (56996455900); Zhang, Li (55976800500); Li, Yanan (56151339600); Qian, Feng (55214139500); Wang, Shangguang (36185971000); Li, Ke (57190584461); Yang, Jingyu (57840454100); Liu, Xuanzhe (22035687800)</t>
  </si>
  <si>
    <t>57195714041; 59302449500; 56996455900; 55976800500; 56151339600; 55214139500; 36185971000; 57190584461; 57840454100; 22035687800</t>
  </si>
  <si>
    <t>Proceedings of the ACM SIGCOMM Internet Measurement Conference, IMC</t>
  </si>
  <si>
    <t>https://www.scopus.com/inward/record.uri?eid=2-s2.0-85118996371&amp;doi=10.1145%2f3487552.3487815&amp;partnerID=40&amp;md5=51304b54151f72ac84611cd413c354fb</t>
  </si>
  <si>
    <t>2-s2.0-85118996371</t>
  </si>
  <si>
    <t>Quality of service; Edge computing; Edge services; End-to-end network; End-user perspective; First look; Measurement study; Network-delay; Performance; Service provider; Workload analysis; Edge computing</t>
  </si>
  <si>
    <t>Serradilla O.; Zugasti E.; Ramirez de Okariz J.; Rodriguez J.; Zurutuza U.</t>
  </si>
  <si>
    <t>Methodology for data-driven predictive maintenance models design, development and implementation on manufacturing guided by domain knowledge</t>
  </si>
  <si>
    <t>10.1080/0951192X.2022.2043562</t>
  </si>
  <si>
    <t>The 4th industrial revolution has connected machines and industrial plants, facilitating process monitoring and the implementation of predictive maintenance (PdM) systems that can save up to 60% of maintenance costs. Nowadays, most PdM research is carried out with expert systems and data-driven algorithms, but it is mainly focused on improving the results of reference simulation data sets. Hence, industrial requirements are not commonly addressed, and there is no guiding methodology for their implementation in real PdM use-cases. The objective of this work is to present a methodology for PdM application in industrial companies by combining data-driven techniques with domain knowledge. It defines sequentially ordered stages, steps and tasks to facilitate the design, development and implementation of PdM systems according to business and process characteristics. It also facilitates the collaboration among the required working profiles and defines deliverables. It is designed in a flexible and iterative way, combining standards, state-of-the-art methodologies and referent works of the field. Finally, the proposed methodology is validated on two use-cases: a bushing testbed and a press machine of the production line. These use-cases aim to facilitate, guide and speed up the implementation of the methodology on other PdM use-cases. ¬© 2022 Informa UK Limited, trading as Taylor &amp; Francis Group.</t>
  </si>
  <si>
    <t>data-driven; domain knowledge; manufacturing; methodology; Predictive maintenance</t>
  </si>
  <si>
    <t>Serradilla, Oscar (57208399361); Zugasti, Ekhi (55320238800); Ramirez de Okariz, Julian (57481704300); Rodriguez, Jon (57226802940); Zurutuza, Urko (24512512800)</t>
  </si>
  <si>
    <t>57208399361; 55320238800; 57481704300; 57226802940; 24512512800</t>
  </si>
  <si>
    <t>https://www.scopus.com/inward/record.uri?eid=2-s2.0-85126066439&amp;doi=10.1080%2f0951192X.2022.2043562&amp;partnerID=40&amp;md5=0382cabbd97dd3fc3e012e43534bb051</t>
  </si>
  <si>
    <t>2-s2.0-85126066439</t>
  </si>
  <si>
    <t>Domain Knowledge; Expert systems; Industrial plants; Iterative methods; Maintenance; Process monitoring; Data driven; Design development; Design implementation; Domain knowledge; Maintenance models; Maintenance systems; Methodology; Model development; Model implementation; Predictive maintenance; Manufacture</t>
  </si>
  <si>
    <t>Lakhan A.; Mastoi Q.-U.-A.; Elhoseny M.; Memon M.S.; Mohammed M.A.</t>
  </si>
  <si>
    <t>Deep neural network-based application partitioning and scheduling for hospitals and medical enterprises using IoT assisted mobile fog cloud</t>
  </si>
  <si>
    <t>10.1080/17517575.2021.1883122</t>
  </si>
  <si>
    <t>These days, fog-cloud based healthcare application partitioning techniques have been growing progressively. However, existing static fog-cloud based application partitioning methods are static and cannot adopt dynamic changes in the dynamic environment (e.g., where network and computing nodes have resource value variation) during the execution process. This study devises a Deep Neural Networks Energy Cost-Efficient Partitioning and Task Scheduling (DNNECTS) algorithm framework which consists of the following components: application partitioning, task sequencing, and scheduling. Experimental results show the suggested methods in terms of energy consumption and the applications' cost in the dynamic environment. ¬© 2021 Informa UK Limited, trading as Taylor &amp; Francis Group.</t>
  </si>
  <si>
    <t>cloud; deep neural networks; Enterprise; fog; iot; mobile; partitioning; resource management; scheduling; system; workflow</t>
  </si>
  <si>
    <t>Lakhan, Abdullah (57209259574); Mastoi, Qurat-Ul-Ain (57200855422); Elhoseny, Mohamed (57148260400); Memon, Muhammad Suleman (57204002618); Mohammed, Mazin Abed (57192089894)</t>
  </si>
  <si>
    <t>57209259574; 57200855422; 57148260400; 57204002618; 57192089894</t>
  </si>
  <si>
    <t>Enterprise Information Systems</t>
  </si>
  <si>
    <t>https://www.scopus.com/inward/record.uri?eid=2-s2.0-85100870106&amp;doi=10.1080%2f17517575.2021.1883122&amp;partnerID=40&amp;md5=76903c768ae2f4d8c2ce388578de93d6</t>
  </si>
  <si>
    <t>2-s2.0-85100870106</t>
  </si>
  <si>
    <t>Deep neural networks; Energy utilization; Fog; Internet of things; Scheduling; Algorithm framework; Application partitioning; Cloud-based applications; Computing nodes; Dynamic environments; Execution process; Health care application; Network based applications; Neural networks</t>
  </si>
  <si>
    <t>Tong Z.; Ye F.; Liu B.; Cai J.; Mei J.</t>
  </si>
  <si>
    <t>DDQN-TS: A novel bi-objective intelligent scheduling algorithm in the cloud environment</t>
  </si>
  <si>
    <t>10.1016/j.neucom.2021.05.070</t>
  </si>
  <si>
    <t>Task scheduling has always been one of the crucial problem in cloud computing. With the transition of task types from static batch processing to dynamic stream processing, the dynamic online task scheduling problem has attracted widespread attention. At this stage, explore an effective task scheduling method to implement high quality of service (QoS) requests with limited resources is a considerable challenge. This paper proposes a novel scheduling algorithm called double deep Q-network task scheduling (DDQN-TS), which uses the adaptive learning ability of double deep Q-network (DDQN) to explore the optimal task scheduling strategy. Experiments conducted using the Random, Google, and Alibaba benchmarks to compare several classic algorithms show that the proposed DDQN-TS can guarantee a high task completion rate and efficiently reduce the task average response time. ¬© 2021 Elsevier B.V.</t>
  </si>
  <si>
    <t>Cloud computing; Deep reinforcement learning; Double deep Q-network; Quality of service; Task scheduling</t>
  </si>
  <si>
    <t>Tong, Zhao (54786022600); Ye, Feng (59585944800); Liu, Bilan (57224955372); Cai, Jinhui (57224957367); Mei, Jing (55480399000)</t>
  </si>
  <si>
    <t>54786022600; 59585944800; 57224955372; 57224957367; 55480399000</t>
  </si>
  <si>
    <t>https://www.scopus.com/inward/record.uri?eid=2-s2.0-85108715679&amp;doi=10.1016%2fj.neucom.2021.05.070&amp;partnerID=40&amp;md5=659bf9027d661b21227d054b0d383e57</t>
  </si>
  <si>
    <t>2-s2.0-85108715679</t>
  </si>
  <si>
    <t>Batch data processing; Cloud computing; Deep learning; Multitasking; Quality of service; Reinforcement learning; Biobjectives; Cloud environments; Cloud-computing; Double deep Q-network; Intelligent scheduling algorithms; Quality-of-service; Reinforcement learnings; Stream processing; Task type; Tasks scheduling; algorithm; article; averaging; cloud computing; reinforcement (psychology); Scheduling algorithms</t>
  </si>
  <si>
    <t>Mendonca R.; Lins S.; Veroneze G.; Oliveira M.; Medeiros R.; Lucena V.F., Jr.</t>
  </si>
  <si>
    <t>Construction of a Digital Twin for Reliability Analysis: A Case Study of a Storage Process</t>
  </si>
  <si>
    <t>10.1109/ETFA52439.2022.9921539</t>
  </si>
  <si>
    <t>2022-September</t>
  </si>
  <si>
    <t>Concepts such as the Internet of Things, big data, cloud computing, and cyber-physical systems support new scenarios for further research and application on the Industry 4.0 initiative. One of the most promising ones is the digital twin applied to the shop floor. In this work-in-progress paper, we briefly review fundamental concepts and definitions and present a lasting solution to problems related to the reliability of industrial equipment. More precisely, our approach is based on an industrial twin model that, after proving its reliability, shall be used in more sophisticated applications. Finally, we present a case study of a storage process plant that uses the proposed architecture to perform a reliability study. The results of this work in progress may contribute to understanding the needs and gaps that may be filled before reaching a consolidated product, and we would like to discuss them with the community.  ¬© 2022 IEEE.</t>
  </si>
  <si>
    <t>and Reliability analysis; CPS; Digital Twin; Industry 4.0; Intelligent Manufacturing; IoT</t>
  </si>
  <si>
    <t>Mendonca, Rafael (57192069177); Lins, Sidney (57208106836); Veroneze, Gabriela (57203746604); Oliveira, Marcelo (58390674000); Medeiros, Renan (57191167409); Lucena, Vicente F. (15021696900)</t>
  </si>
  <si>
    <t>57192069177; 57208106836; 57203746604; 58390674000; 57191167409; 15021696900</t>
  </si>
  <si>
    <t>IEEE International Conference on Emerging Technologies and Factory Automation, ETFA</t>
  </si>
  <si>
    <t>https://www.scopus.com/inward/record.uri?eid=2-s2.0-85141380863&amp;doi=10.1109%2fETFA52439.2022.9921539&amp;partnerID=40&amp;md5=2333a3089bad39c0d48f90e2c802acad</t>
  </si>
  <si>
    <t>2-s2.0-85141380863</t>
  </si>
  <si>
    <t>Digital storage; Embedded systems; Industry 4.0; Internet of things; And reliability analyse; Case-studies; Cloud-computing; CPS; Cybe-physical systems; Cyber-physical systems; Data clouds; Intelligent Manufacturing; IoT; Systems support; Reliability analysis</t>
  </si>
  <si>
    <t>Kousalya C.G.; Boppana U.M.; Kondapalli R.; Ahammed M.T.; Gallardo C.G.S.; Balaji P.; Afroj M.</t>
  </si>
  <si>
    <t>Design of IoT Based Indoor Air Purifier</t>
  </si>
  <si>
    <t>10.1109/ICICICT54557.2022.9917953</t>
  </si>
  <si>
    <t>An IoT-based system for monitoring the quality of the air within a building, which includes a "Smart-Air"air quality sensor on a web server. IoT and cloud storage are used to evaluate the quality of the air at any time and from any place. Smart-Air is a product of the Internet of Things (IoT), a device that uses LTE to broadcast real-time data on air quality to a web server. Today, air pollution is a leading cause of preventable mortality and disease across the world. Pollution has become a major concern all around the globe. The discharge of chemicals or unfriendly compounds has a devastating impact on human, animal, and plant life. This is referred to as pollution. Many studies have been conducted on different air purification techniques because of this. Air purifiers that utilize HEPA filters, activated carbon, and UV light are discussed in this paper. The water and chemicals that an air purifier sprays into the air will spread out contaminants.  ¬© 2022 IEEE.</t>
  </si>
  <si>
    <t>Air Purifier; COVID-19 etc; HEPA filter; HVAC filter; LTE; Smart Air; UV light</t>
  </si>
  <si>
    <t>Kousalya, C. Gnana (26639386300); Boppana, Udaya Mouni (57208860309); Kondapalli, Raja (57956202800); Ahammed, Md. Tabil (57541141500); Gallardo, Carmela Gaile S. (57956428000); Balaji, Priyadharshini (57712443300); Afroj, Maharin (57638920300)</t>
  </si>
  <si>
    <t>26639386300; 57208860309; 57956202800; 57541141500; 57956428000; 57712443300; 57638920300</t>
  </si>
  <si>
    <t>Proceedings of the 2022 3rd International Conference on Intelligent Computing, Instrumentation and Control Technologies: Computational Intelligence for Smart Systems, ICICICT 2022</t>
  </si>
  <si>
    <t>https://www.scopus.com/inward/record.uri?eid=2-s2.0-85141400878&amp;doi=10.1109%2fICICICT54557.2022.9917953&amp;partnerID=40&amp;md5=da1fc275deafdf24d1a421e006c97b45</t>
  </si>
  <si>
    <t>2-s2.0-85141400878</t>
  </si>
  <si>
    <t>Activated carbon; Air cleaners; Air quality; Digital storage; Indoor air pollution; Internet of things; Web services; Cloud storages; COVID-19 etc; HEPA filter; HVAC filter; Indoor air; LTE; Real-time data; Smart air; UV-light; Web servers; COVID-19</t>
  </si>
  <si>
    <t>Sheth J.; Ramanna V.; Dezfouli B.</t>
  </si>
  <si>
    <t>FLIP: A Framework for Leveraging eBPF to Augment WiFi Access Points and Investigate Network Performance</t>
  </si>
  <si>
    <t>10.1145/3479241.3486700</t>
  </si>
  <si>
    <t>Monitoring WiFi networks is essential to gain insight into the network operation and develop methods capable of reacting to network dynamics. However, research and development in this field are hindered because there is a lack of a framework that can be easily extended to collect various types of monitoring data from the WiFi stack. In this paper, we propose FLIP, a framework for leveraging eBPF to augment WiFi access points and investigate the performance of WiFi networks. Using this framework, we focus on two important aspects of monitoring the WiFi stack. First, considering the high delay experienced by packets at access points, we show how switching packets from the wired interface to the wireless interface can be monitored and timestamped accurately at each step. We build a testbed using FLIP access points and investigate the factors affecting packet delay experienced in access points. Second, we present a novel approach that allows access points to track the duty-cycling pattern and energy consumption of their associated stations accurately and without the need for any external energy measurement tools. We validate the high energy measurement accuracy of FLIP by empirical experiments and comparisons against a commercial tool.  ¬© 2021 ACM.</t>
  </si>
  <si>
    <t>802.11; delay; duty cycle; energy; monitoring; packet switching</t>
  </si>
  <si>
    <t>Sheth, Jaykumar (57203764119); Ramanna, Vikram (56236987300); Dezfouli, Behnam (35758506000)</t>
  </si>
  <si>
    <t>57203764119; 56236987300; 35758506000</t>
  </si>
  <si>
    <t>MobiWac 2021 - Proceedings of the 19th ACM International Symposium on Mobility Management and Wireless Access</t>
  </si>
  <si>
    <t>https://www.scopus.com/inward/record.uri?eid=2-s2.0-85121435592&amp;doi=10.1145%2f3479241.3486700&amp;partnerID=40&amp;md5=60dc92354dc82791b9d00a5779bddb87</t>
  </si>
  <si>
    <t>2-s2.0-85121435592</t>
  </si>
  <si>
    <t>IEEE Standards; Packet networks; Packet switching; Wi-Fi; Wireless local area networks (WLAN); 802.11; Access points; Delay; Duty-cycle; Energy; Gain insight; Network dynamics; Network operations; Wi Fi networks; Wi-fi access points; Energy utilization</t>
  </si>
  <si>
    <t>Nigade V.; Winder R.; Bal H.; Wang L.</t>
  </si>
  <si>
    <t>Better Never Than Late: Timely Edge Video Analytics over the Air</t>
  </si>
  <si>
    <t>10.1145/3485730.3493446</t>
  </si>
  <si>
    <t>Edge video analytics based on deep learning has become an important building block for many modern intelligent applications such as mobile augmented reality and autonomous driving. Various mechanisms have been developed to handle dynamic wireless networks, compute resource availability, and achieve high analytics accuracy via filtering, DNN compression, pruning, and adaptation. So far, limited attention has been paid to timeliness - -providing strict service-level objectives (SLO) for edge video analytics pipelines, which is essential for the usability of user-interactive and mission-critical intelligent applications. In this paper, we analyze the challenges in achieving SLO for edge video analytics and present a system design for timely edge video analytics over the air leveraging a simple yet effective idea - -feedback control. Our preliminary evaluation based on a system prototype and real-world network traces shows the potential of our design. We also discuss the limitations, calling for future work. ¬© 2021 Owner/Author.</t>
  </si>
  <si>
    <t>edge computing; SLO guarantee; video analytics</t>
  </si>
  <si>
    <t>Nigade, Vinod (57194210081); Winder, Ramon (57367974400); Bal, Henri (7006758810); Wang, Lin (57188626214)</t>
  </si>
  <si>
    <t>57194210081; 57367974400; 7006758810; 57188626214</t>
  </si>
  <si>
    <t>SenSys 2021 - Proceedings of the 2021 19th ACM Conference on Embedded Networked Sensor Systems</t>
  </si>
  <si>
    <t>https://www.scopus.com/inward/record.uri?eid=2-s2.0-85120913142&amp;doi=10.1145%2f3485730.3493446&amp;partnerID=40&amp;md5=b337a95e7b6b94305c3d693ce7393be2</t>
  </si>
  <si>
    <t>2-s2.0-85120913142</t>
  </si>
  <si>
    <t>Augmented reality; Deep learning; Autonomous driving; Building blockes; Dynamic wireless networks; Edge computing; Intelligent applications; Mobile augmented reality; Over the airs; Service level objective; Service-level objective guarantee; Video analytics; Edge computing</t>
  </si>
  <si>
    <t>Jellyfish: Timely Inference Serving for Dynamic Edge Networks</t>
  </si>
  <si>
    <t>10.1109/RTSS55097.2022.00032</t>
  </si>
  <si>
    <t>2022-December</t>
  </si>
  <si>
    <t>While high accuracy is of paramount importance for deep learning (DL) inference, serving inference requests on time is equally critical but has not been carefully studied especially when the request has to be served over a dynamic wireless network at the edge. In this paper, we propose Jellyfish-a novel edge DL inference serving system that achieves soft guarantees on end-to-end inference latency often specified as a service-level objective (SLO). To handle the network variability, Jellyfish exploits both data and deep neural network (DNN) adaptation to conduct tradeoffs between accuracy and latency. Jellyfish features a new design that enables collective adaptation policies where the decisions for data and DNN adaptations are aligned and coordinated among multiple users with varying network conditions. We propose efficient algorithms to dynamically adapt DNNs and map users, so that we fulfill latency SLOs while maximizing the overall inference accuracy. Our experiments based on a prototype implementation and real-world WiFi and LTE network traces show that Jellyfish can meet latency SLOs at around the 99th percentile while maintaining high accuracy.  ¬© 2022 IEEE.</t>
  </si>
  <si>
    <t>Proceedings - Real-Time Systems Symposium</t>
  </si>
  <si>
    <t>https://www.scopus.com/inward/record.uri?eid=2-s2.0-85146110553&amp;doi=10.1109%2fRTSS55097.2022.00032&amp;partnerID=40&amp;md5=eeadc4639d4282e87a6c9d7af1f35d5d</t>
  </si>
  <si>
    <t>2-s2.0-85146110553</t>
  </si>
  <si>
    <t>Inference engines; Mobile telecommunication systems; Wi-Fi; Adaptation policies; Collective adaptation; Dynamic wireless networks; EDGE Networks; End to end; High-accuracy; Multiple user; Network condition; Neural network adaptation; Service level objective; Deep neural networks</t>
  </si>
  <si>
    <t>Rui X.; Wu J.; Zhao J.; Khamesinia M.S.</t>
  </si>
  <si>
    <t>Load balancing in the internet of things using fuzzy logic and shark smell optimization algorithm</t>
  </si>
  <si>
    <t>10.1108/CW-09-2019-0117</t>
  </si>
  <si>
    <t>Purpose: Based on the positive features of the shark smell optimization (SSO) algorithm, the purpose of this paper is to propose a method based on this algorithm, dynamic voltage and frequency scaling (DVFS) model and fuzzy logic to minimize the energy consumption of integrated circuits of internet of things (IoT) nodes and maximize the load-balancing among them. Design/methodology/approach: Load balancing is a key problem in any distributed environment such as cloud and IoT. It is useful when a few nodes are overloaded, a few are under-loaded and the remainders are idle without interrupting the functioning. As this problem is known as an NP-hard one and SSO is a powerful meta-hybrid method that inspires shark hunting behavior and their skill to detect and feel the smell of the bait even from far away, in this research, this study have provided a new method to solve this problem using the SSO algorithm. Also, the study have synthesized the fuzzy logic to counterbalance the load distribution. Furthermore, DVFS, as a powerful energy management method, is used to reduce the energy consumption of integrated circuits of IoT nodes such as processor and circuit bus by reducing the frequency. Findings: The outcomes of the simulation have indicated that the proposed method has outperformed the hybrid ant colony optimization ‚Äì particle swarm optimization and PSO regarding energy consumption. Similarly, it has enhanced the load balance better than the moth flame optimization approach and task execution node assignment algorithm. Research limitations/implications: There are many aspects and features of IoT load-balancing that are beyond the scope of this paper. Also, given that the environment was considered static, future research can be in a dynamic environment. Practical implications: The introduced method is useful for improving the performance of IoT-based applications. We can use these systems to jointly and collaboratively check, handle and control the networks in real-time. Also, the platform can be applied to monitor and control various IoT applications in manufacturing environments such as transportation systems, automated work cells, storage systems and logistics. Originality/value: This study have proposed a novel load balancing technique for decreasing energy consumption using the SSO algorithm and fuzzy logic. ¬© 2020, Emerald Publishing Limited.</t>
  </si>
  <si>
    <t>Dynamic voltage; Energy consumption; Frequency scaling; Integrated circuits; Internet of things; Load balancing; Shark smell optimization</t>
  </si>
  <si>
    <t>Rui, Xin (57530212600); Wu, Junying (57211757716); Zhao, Jianbin (57210341621); Khamesinia, Maryam Sadat (57218631706)</t>
  </si>
  <si>
    <t>57530212600; 57211757716; 57210341621; 57218631706</t>
  </si>
  <si>
    <t>Circuit World</t>
  </si>
  <si>
    <t>https://www.scopus.com/inward/record.uri?eid=2-s2.0-85092748225&amp;doi=10.1108%2fCW-09-2019-0117&amp;partnerID=40&amp;md5=b948f7001602c7ac06eedce46662b96b</t>
  </si>
  <si>
    <t>2-s2.0-85092748225</t>
  </si>
  <si>
    <t>Ant colony optimization; Computer circuits; Dynamic frequency scaling; Energy utilization; Flame hardening; Fuzzy logic; NP-hard; Particle swarm optimization (PSO); Real time systems; Voltage scaling; Design/methodology/approach; Distributed environments; Dynamic voltage and frequency scaling; Hybrid ant colony optimization; Internet of Things (IOT); Load balancing technique; Manufacturing environments; Optimization algorithms; Internet of things</t>
  </si>
  <si>
    <t>Kaur R.; Verma S.; Kavita; Jhanjhi N.Z.; Talib M.N.</t>
  </si>
  <si>
    <t>A Comprehensive Survey on Load and Resources Management Techniques in the Homogeneous and Heterogeneous Cloud Environment</t>
  </si>
  <si>
    <t>10.1088/1742-6596/1979/1/012036</t>
  </si>
  <si>
    <t>Resource scheduling is a challenging job in multi-cloud environments. The multi-cloud technology attracted much research to work on it and look forward to solving the problems of vendors lock-in, reliability, interoperability, etc. The uncertainty in the multi-cloud environments with heterogeneous user demands made it a challenging job to dispense the resources on demand of the user. Researchers still focused on predicting efficient optimized resource allocation management from the existing resource allocation policies in multi-cloud environments. The research aims to provide a broad systematic literature analysis of resource management in the area of multi-cloud environments. The numbers of optimization techniques have been discussed among the open issues and future challenges in consideration due to flexibility and reliability in present environments. To analyses the literature work, it is necessary to cover the existing homogenous/heterogeneous user demands and cloud applications, and algorithms to manage it in multi-clouds. In this paper, we present the definition and classification of resource allocation techniques in multi-clouds and generalized taxonomy for resource management in cloud environments. In the last, we explore the open challenges and future directions of resource management in a multi-cloud environment.  ¬© Published under licence by IOP Publishing Ltd.</t>
  </si>
  <si>
    <t>Cloud; Energy efficiency; Load balancing; Multi-cloud; Resources allocation</t>
  </si>
  <si>
    <t>Kaur, Ramanpreet (55877688000); Verma, Sahil (57204111524); Kavita (57223946302); Jhanjhi, N.Z. (36088700700); Talib, M.N. (57224719094)</t>
  </si>
  <si>
    <t>55877688000; 57204111524; 57223946302; 36088700700; 57224719094</t>
  </si>
  <si>
    <t>https://www.scopus.com/inward/record.uri?eid=2-s2.0-85112452969&amp;doi=10.1088%2f1742-6596%2f1979%2f1%2f012036&amp;partnerID=40&amp;md5=8962715d122fa708082dea8d9c07caf4</t>
  </si>
  <si>
    <t>2-s2.0-85112452969</t>
  </si>
  <si>
    <t>Natural resources management; Resource allocation; Heterogeneous users; Literature analysis; Optimization techniques; Resource allocation policy; Resource allocation techniques; Resource management; Resource-scheduling; Resources management; Environmental management</t>
  </si>
  <si>
    <t>Ale L.; Zhang N.; Fang X.; Chen X.; Wu S.; Li L.</t>
  </si>
  <si>
    <t>Delay-Aware and Energy-Efficient Computation Offloading in Mobile-Edge Computing Using Deep Reinforcement Learning</t>
  </si>
  <si>
    <t>10.1109/TCCN.2021.3066619</t>
  </si>
  <si>
    <t>Internet of Things (IoT) is considered as the enabling platform for a variety of promising applications, such as smart transportation and smart city, where massive devices are interconnected for data collection and processing. These IoT applications pose a high demand on storage and computing capacity, while the IoT devices are usually resource constrained. As a potential solution, mobile edge computing (MEC) deploys cloud resources in the proximity of IoT devices so that their requests can be better served locally. In this work, we investigate computation offloading in a dynamic MEC system with multiple edge servers, where computational tasks with various requirements are dynamically generated by IoT devices and offloaded to MEC servers in a time-varying operating environment (e.g., channel condition changes over time). The objective of this work is to maximize the completed tasks before their respective deadlines and minimize energy consumption. To this end, we propose an end-to-end Deep Reinforcement Learning (DRL) approach to select the best edge server for offloading and allocate the optimal computational resource such that the expected long-term utility is maximized. The simulation results are provided to demonstrate that the proposed approach outperforms the existing methods.  ¬© 2015 IEEE.</t>
  </si>
  <si>
    <t>computation offloading; deep reinforcement learning; energy efficiency; latency; Mobile edge computing</t>
  </si>
  <si>
    <t>Ale, Laha (57207572233); Zhang, Ning (56575788300); Fang, Xiaojie (55609323400); Chen, Xianfu (55822933300); Wu, Shaohua (59445150200); Li, Longzhuang (7501454365)</t>
  </si>
  <si>
    <t>57207572233; 56575788300; 55609323400; 55822933300; 59445150200; 7501454365</t>
  </si>
  <si>
    <t>https://www.scopus.com/inward/record.uri?eid=2-s2.0-85103191563&amp;doi=10.1109%2fTCCN.2021.3066619&amp;partnerID=40&amp;md5=226fe8d830676983512604919c3ca995</t>
  </si>
  <si>
    <t>2-s2.0-85103191563</t>
  </si>
  <si>
    <t>Data handling; Digital storage; Edge computing; Energy efficiency; Energy utilization; Internet of things; Reinforcement learning; Storage as a service (STaaS); Channel conditions; Computation offloading; Computational resources; Computational task; Computing capacity; Internet of Things (IOT); IOT applications; Operating environment; Deep learning</t>
  </si>
  <si>
    <t>Blanco J.M.; Rossi B.; Pitner T.</t>
  </si>
  <si>
    <t>Tools for the Confluence of Semantic Web and IoT: A Survey</t>
  </si>
  <si>
    <t>10.5220/0011064100003176</t>
  </si>
  <si>
    <t>The last decade has meant a whole revolution in the context of Internet of Things (IoT), becoming one of the most important areas of research nowadays. The Semantic Web emerged as a way to add semantics to data to enable advanced reasoning. Due to this, the integration of both areas represents a beneficial convergence for more‚Äùsemantic-aware‚Äù devices and services. In this paper we present a review to analyze the state of the art of the confluence of the Semantic Web and IoT: extracting an overview of the ad-hoc implemented tools, their categorization, and the supported sub-domains on which they exert their influence. Copyright ¬© 2022 by SCITEPRESS ‚Äì Science and Technology Publications, Lda. All rights reserved.</t>
  </si>
  <si>
    <t>IoT; Semantic Web; Survey; Tools</t>
  </si>
  <si>
    <t>Blanco, Jos√© Miguel (57646640600); Rossi, Bruno (8935277000); Pitner, Tom√°≈° (25654312500)</t>
  </si>
  <si>
    <t>57646640600; 8935277000; 25654312500</t>
  </si>
  <si>
    <t>https://www.scopus.com/inward/record.uri?eid=2-s2.0-85140961694&amp;doi=10.5220%2f0011064100003176&amp;partnerID=40&amp;md5=174827e96fd6eb3b3c141ccb8d24e510</t>
  </si>
  <si>
    <t>2-s2.0-85140961694</t>
  </si>
  <si>
    <t>Information systems; Internet of things; Surveys; Semantic-aware; Semantic-Web; State of the art; Subdomain; Semantic Web</t>
  </si>
  <si>
    <t>Larrinaga F.; P√©rez A.; Aldalur I.; Hern√°ndez J.L.; Izkara J.L.; de Viteri P.S.</t>
  </si>
  <si>
    <t>A holistic and interoperable approach towards the implementation of services for the digital transformation of smart cities: The case of Vitoria-Gasteiz (Spain)</t>
  </si>
  <si>
    <t>10.3390/s21238061</t>
  </si>
  <si>
    <t>Cities in the 21st century play a major role in the sustainability and climate impact reduction challenges set by the European agenda. As the population of cities grows and their environmental impact becomes more evident, the European strategy aims to reduce greenhouse gas emissions‚Äîthe main cause of climate change. Measures to reduce the impact of climate change include reducing energy consumption, improving mobility, harnessing resources and renewable energies, integrating nature-based solutions and efficiently managing infrastructure. The monitoring and control of all this activity is essential for its proper functioning. In this context, Information and Communication Technology (ICT) plays a key role in the digitisation, monitoring, and managing of these different verticals. Urban data platforms support cities on extracting Key Performance Indicators (KPI) in their efforts to make better decisions. Cities must be transformed by applying efficient urban planning measures and taking into account not only technological aspects, but also by applying a holistic vision in building solutions where citizens are at the centre. In addition, standardisation of platforms where applications are integrated as one is necessary. This requires interoperability between different verticals. This article presents the information platform developed for the city of Vitoria-Gasteiz in Spain. The platform is based on the UNE 178104 standard to provide a holistic architecture that integrates information from the different urban planning measures implemented in the city. The platform was constructed in the context of the SmartEnCity project following the urban transformation strategy established by the city. The article presents the value-added solutions implemented in the platform. These solutions have been developed by applying co-creation techniques in which stakeholders have been involved throughout the process. The platform proposes a step forward towards standardization, harmonises the integration of data from multiple vertical, provides interoperability between services, and simplifies scalability and replicability due to its microservice architecture. ¬© 2021 by the authors. Licensee MDPI, Basel, Switzerland.</t>
  </si>
  <si>
    <t>Added value services; Digitalisation; Interoperability; IoT and monitoring; Smart cities; Urban data platform</t>
  </si>
  <si>
    <t>Larrinaga, F√©lix (53877813400); P√©rez, Alain (55706335300); Aldalur, I√±igo (56492990100); Hern√°ndez, Jos√© L. (58731638500); Izkara, Jos√© Luis (55314667600); de Viteri, Patxi S√°ez (57217590336)</t>
  </si>
  <si>
    <t>53877813400; 55706335300; 56492990100; 58731638500; 55314667600; 57217590336</t>
  </si>
  <si>
    <t>https://www.scopus.com/inward/record.uri?eid=2-s2.0-85120318977&amp;doi=10.3390%2fs21238061&amp;partnerID=40&amp;md5=4a9ad8bf12897c8fa837cc843a82fb64</t>
  </si>
  <si>
    <t>2-s2.0-85120318977</t>
  </si>
  <si>
    <t>Cities; City Planning; Climate Change; Spain; Technology; Benchmarking; Climate change; Energy utilization; Environmental impact; Gas emissions; Greenhouse gases; Interoperability; Metadata; Smart city; Standardization; Sustainable development; Urban planning; Added-value services; Climate impacts; Data platform; Digital transformation; Digitalization; Impact reduction; IoT and monitoring; Planning measures; Sustainability impacts; Urban data platform; city; city planning; climate change; Spain; technology; Internet of things</t>
  </si>
  <si>
    <t>Moreira A.S.; Miers C.C.; Koslovski G.P.; Pillon M.A.; Gonzalez N.M.</t>
  </si>
  <si>
    <t>Energy-based cost model of containers provisioning on clouds</t>
  </si>
  <si>
    <t>10.1504/IJGUC.2022.10053313</t>
  </si>
  <si>
    <t>Cloud computing revolutionised the development and execution of distributed applications by providing on-demand access to virtual resources. Containerisation simplifies management and support of the cloud infrastructure and applications. Clouds typically are consumed in a pay-as-you-go pricing model. However, when applied to containerised environments, such traditional models do not consider resource utilisation values, leading to inaccurate estimates. Moreover, these models do not consider energy consumption, a dominant component of the data centre‚Äôs total cost of ownership. This paper proposes Energy Price Cloud Containers (EPCC), a cost model based on energy consumption that accounts for containers‚Äô effective resource utilisation. We compare EPCC with AWS Fargate to highlight the benefits of using an energy-based pricing model. Thus, by comparing the cost of an application running using AWS Fargate with the estimated cost of that application in nome, it is possible to identify the benefits of using an energy-based pricing model. The weekly costs estimated when running computational resources at nome vary between US$ 2.31 and US$ 10.59. In contrast, when estimating the same amount of resources on AWS Fargate, the costs vary between US$ 2.71 and US$ 29.94. Nome resulted in a cost reduction of up to 35%. Copyright ¬© 2022 Inderscience Enterprises Ltd.</t>
  </si>
  <si>
    <t>cloud computing; containers; energy consumption; pricing model</t>
  </si>
  <si>
    <t>Moreira, Aline S. (58097976200); Miers, Charles C. (26428861700); Koslovski, Guilherme P. (35085164800); Pillon, Maur√≠cio A. (36987174200); Gonzalez, Nelson M. (49963375200)</t>
  </si>
  <si>
    <t>58097976200; 26428861700; 35085164800; 36987174200; 49963375200</t>
  </si>
  <si>
    <t>https://www.scopus.com/inward/record.uri?eid=2-s2.0-85147793868&amp;doi=10.1504%2fIJGUC.2022.10053313&amp;partnerID=40&amp;md5=0374d400c8f0470e25827bc634b18c77</t>
  </si>
  <si>
    <t>2-s2.0-85147793868</t>
  </si>
  <si>
    <t>Cloud computing; Containers; Cost estimating; Cost reduction; Green computing; Cloud-computing; Cost models; Distributed applications; Energy prices; Energy-based; Energy-consumption; On demands; Pricing models; Resources utilizations; Virtual resource; Energy utilization</t>
  </si>
  <si>
    <t>Khakimov A.; Elgendy I.A.; Muthanna A.; Mokrov E.; Samouylov K.; Maleh Y.; El-Latif A.A.A.</t>
  </si>
  <si>
    <t>Flexible architecture for deployment of edge computing applications</t>
  </si>
  <si>
    <t>10.1016/j.simpat.2021.102402</t>
  </si>
  <si>
    <t>Recently, a great development has occurred in the communication networks, in which the trend of development is towards automation and flexible network structure. In addition, the stages of telecommunication development are conventionally divided from manual switching to flexible virtualized architecture, to which telecommunications operators have resorted. Furthermore, in the context of the 3rd generation partnership project (3GPP) standards framework, the network function virtualization (NFV) with might and main has been evaluated by telecom operators and shows that the efficiency of the topology can be significantly improved. However, it is difficult to organize ultra-reliable low-latency communication (URLLC) and massive machine type communications (mMTC) services within 5G, due to the topology centralization. Moreover, network monitoring, in particular of carrier-class equipment, reveals that there is no ideal static network topology in which the network and its elements have been uniformly loaded over a long service time. Therefore, in this study, a dynamic network topology and service placement is proposed to analyze and predict services, in which Genetic Algorithm (GA) is utilized. In addition, an efficient forecasting and live migration methods of service as an application to edge computing systems are introduced, where this approach can be used in the systems with an intelligent allocation of operator equipment resources for providing flexibility and high-quality topological organization. Finally, simulation results proved that the network equipment efficiency can significantly be increased by more than 30%. ¬© 2021 Elsevier B.V.</t>
  </si>
  <si>
    <t>5G; Distributed architecture; Edge computing; Modeling; Wireless networks</t>
  </si>
  <si>
    <t>Khakimov, Abdukodir (57194233776); Elgendy, Ibrahim A. (56545658900); Muthanna, Ammar (56121861000); Mokrov, Evgeny (56512031300); Samouylov, Konstantin (14009785000); Maleh, Yassine (56780201500); El-Latif, Ahmed A. Abd (8578949200)</t>
  </si>
  <si>
    <t>57194233776; 56545658900; 56121861000; 56512031300; 14009785000; 56780201500; 8578949200</t>
  </si>
  <si>
    <t>https://www.scopus.com/inward/record.uri?eid=2-s2.0-85114671276&amp;doi=10.1016%2fj.simpat.2021.102402&amp;partnerID=40&amp;md5=5e1a55ca18c366a85704a48e680b4b74</t>
  </si>
  <si>
    <t>2-s2.0-85114671276</t>
  </si>
  <si>
    <t>Computer architecture; Edge computing; Efficiency; Genetic algorithms; Mobile telecommunication systems; Network function virtualization; Telecommunication services; Topology; 3rd generation partnership project (3GPP); Computing applications; Dynamic network topology; Flexible architectures; Low-latency communication; Machine type communications; Network Monitoring; Telecommunications operators; 5G mobile communication systems</t>
  </si>
  <si>
    <t>Xing T.; Barbalace A.; Olivier P.; Karaoui M.L.; Wang W.; Ravindran B.</t>
  </si>
  <si>
    <t>H-Container: Enabling Heterogeneous-ISA Container Migration in Edge Computing</t>
  </si>
  <si>
    <t>10.1145/3524452</t>
  </si>
  <si>
    <t>Edge computing is a recent computing paradigm that brings cloud services closer to the client. Among other features, edge computing offers extremely low client/server latencies. To consistently provide such low latencies, services should run on edge nodes that are physically as close as possible to their clients. Thus, when the physical location of a client changes, a service should migrate between edge nodes to maintain proximity. Differently from cloud nodes, edge nodes integrate CPUs of different Instruction Set Architectures (ISAs), hence a program natively compiled for a given ISA cannot migrate to a server equipped with a CPU of a different ISA. This hinders migration to the closest node. We introduce H-Container, a system that migrates natively compiled containerized applications across compute nodes featuring CPUs of different ISAs. H-Container advances over existing heterogeneous-ISA migration systems by being (a) highly compatible - no user's source-code nor compiler toolchain modifications are needed; (b) easily deployable - fully implemented in user space, thus without any OS or hypervisor dependency, and (c) largely Linux-compliant - it can migrate most Linux software, including server applications and dynamically linked binaries. H-Container targets Linux and its already-compiled executables, adopts LLVM, extends CRIU, and integrates with Docker. Experiments demonstrate that H-Container adds no overheads during program execution, while 10-100 ms are added during migration. Furthermore, we show the benefits of H-Container in real-world scenarios, demonstrating, for example, up to 94% increase in Redis throughput when client/server proximity is maintained through heterogeneous container migration. ¬© 2022 Association for Computing Machinery.</t>
  </si>
  <si>
    <t>containers; Edge; heterogeneous ISA; migration</t>
  </si>
  <si>
    <t>Xing, Tong (57216220462); Barbalace, Antonio (23491344500); Olivier, Pierre (57194115005); Karaoui, Mohamed L. (57193061321); Wang, Wei (57793270600); Ravindran, Binoy (7005658995)</t>
  </si>
  <si>
    <t>57216220462; 23491344500; 57194115005; 57193061321; 57793270600; 7005658995</t>
  </si>
  <si>
    <t>ACM Transactions on Computer Systems</t>
  </si>
  <si>
    <t>https://www.scopus.com/inward/record.uri?eid=2-s2.0-85133870426&amp;doi=10.1145%2f3524452&amp;partnerID=40&amp;md5=58753478f40b665411addbdedb192752</t>
  </si>
  <si>
    <t>2-s2.0-85133870426</t>
  </si>
  <si>
    <t>Application programs; C (programming language); Computer architecture; Edge computing; Linux; Program compilers; Client /server; Cloud services; Computing paradigm; Edge; Edge computing; Edge nodes; Heterogeneous instruction set architecture; Instruction set architecture; Low latency; Migration; Containers</t>
  </si>
  <si>
    <t>Vashistha A.; Sharma C.M.; Mahapatra R.P.; Chariar V.M.; Sharma N.</t>
  </si>
  <si>
    <t>Sustainable Technical Debt-Aware Computing Model for Virtual Machine Migration (TD4VM) in IaaS Cloud</t>
  </si>
  <si>
    <t>10.1155/2022/6709797</t>
  </si>
  <si>
    <t>In the cloud, optimal CPU and memory utilization can lead to low energy consumption, which is an important aspect of green computing. However, constantly changing workloads may contribute to resource over- or underutilization. The former violates the service level agreement's quality of service constraints. The latter indicates that as workload decreases, virtual machine resource utilization decreases. They introduce difficult decision-making tasks when dynamically adapting (e.g., migrating) a virtual machine in order to maximize its resource utilization over time. To address these challenges, we propose a newer mathematical model called the technical debt-aware computing model for virtual machine migration (TD4VM). The model promotes a holistic approach to dynamic virtual machine adaptation for cloud service providers and addresses existing issues regarding logical aspects of virtual machine adaptation in a highly dynamic cloud environment, which includes a measurement mechanism and estimation guidelines for estimating future debt and utility. Technical debt-aware models make decisions based on VM operating costs, quality, minimizing SLA violations, and incurring technical debt. This approach connects decisions about virtual machine migration that affect overall utility over time. Our method can determine whether a virtual machine should be moved when it is over or underutilized based on its technical debt. The experimental results on a dataset obtained from the Materna-trace-1 demonstrate that the proposed approach outperforms other state-of-the-art methods on a variety of performance metrics. A numerical comparison shows that TD4VM outperforms the other approaches, with VM resource economies of 171.84%, 91.33%, 97.85%, and 93.89% for TD4VM, LRMMT, IQRMC, and IQRMMT, respectively. Additionally, we quantify the debt amassed using TD4VM and state-of-the-art techniques. When compared to LRMMT, IQRMC, and IQRMMT, which cost (in $) 0.77, 0.73, and 0.76, respectively, TD4VM accumulates the minimum debt of 0.17. ¬© 2022 Avneesh Vashistha et al.</t>
  </si>
  <si>
    <t>Vashistha, Avneesh (57203945353); Sharma, Chandra Mani (49662259700); Mahapatra, Rajendra Prasad (36710370600); Chariar, Vijayaraghavan M. (6505861668); Sharma, Navel (57210734778)</t>
  </si>
  <si>
    <t>57203945353; 49662259700; 36710370600; 6505861668; 57210734778</t>
  </si>
  <si>
    <t>https://www.scopus.com/inward/record.uri?eid=2-s2.0-85129972617&amp;doi=10.1155%2f2022%2f6709797&amp;partnerID=40&amp;md5=2e94bd62448492b23e053c378dc6806f</t>
  </si>
  <si>
    <t>2-s2.0-85129972617</t>
  </si>
  <si>
    <t>Energy utilization; Estimation; Green computing; Network security; Operating costs; Quality of service; Virtual addresses; Virtual machine; Changing workload; Computing model; CPU utilization; Iaas clouds; Low energy consumption; Memory utilization; Resources utilizations; Servicelevel agreement (SLA); Technical debts; Virtual machine migrations; Decision making</t>
  </si>
  <si>
    <t>Qayyum F.; Jamil H.; Jamil F.; Kim D.</t>
  </si>
  <si>
    <t>Predictive Optimization Based Energy Cost Minimization and Energy Sharing Mechanism for Peer-to-Peer Nanogrid Network</t>
  </si>
  <si>
    <t>10.1109/ACCESS.2022.3153837</t>
  </si>
  <si>
    <t>The scientific community believes that peer-to-peer energy trading will dominate a significant portion of forthcoming power generation systems research. Despite a plethora of optimal energy trading solutions, optimizing the trading cost and intelligent formation of energy sharing strategies are deemed exigent problems. Contemplating the excessive rise of energy demands across the globe, this study introduces a predictive optimization-based nanogrid energy trading model that minimizes energy trading cost and provides an optimal energy sharing plan between peers connected within a nanogrid network/cluster. The proposed study comprises two folds: (1) PSO-enabled objective function incorporating actual and predicted values of essential energy attributes, is implemented to reduce the trading cost, (2) an intelligent time-aware energy sharing strategy to determine the role of peers, and foster the harness of renewable energy to meet the energy requirements. The study also comprehensively analyzes essential nano-grid energy parameters and predicts energy load, consumption, and cost to grasp the time-interval-based energy trends. In addition, an optimal ESS charging and discharging operation is devised to manage excess power efficiently. The proposed model is validated on the case study containing data of 12 nanogrid houses. The outcomes yield that the proposed study holds significant potential in reducing the trading cost and optimally sharing the energy within the P2P network.  ¬© 2013 IEEE.</t>
  </si>
  <si>
    <t>energy prediction; Energy trading; machine learning; optimization; predictive analysis</t>
  </si>
  <si>
    <t>Qayyum, Faiza (57225395084); Jamil, Harun (57222651920); Jamil, Faisal (57205302075); Kim, Dohyeun (44361167000)</t>
  </si>
  <si>
    <t>57225395084; 57222651920; 57205302075; 44361167000</t>
  </si>
  <si>
    <t>https://www.scopus.com/inward/record.uri?eid=2-s2.0-85125359695&amp;doi=10.1109%2fACCESS.2022.3153837&amp;partnerID=40&amp;md5=a3dfe9eb1481d32972346ddc8fe2f5de</t>
  </si>
  <si>
    <t>2-s2.0-85125359695</t>
  </si>
  <si>
    <t>Cost benefit analysis; Cost reduction; Distributed computer systems; Electric load management; Electric power transmission networks; Energy utilization; Green computing; Long short-term memory; Particle swarm optimization (PSO); Peer to peer networks; Power markets; Smart power grids; Solar cells; Solar energy; Biological system modeling; Energy prediction; Energy sharings; Energy trading; Load modeling; Nanogrids; Optimisations; Peer-to-peer computing; Predictive models; Energy efficiency</t>
  </si>
  <si>
    <t>MetaNet: Automated Dynamic Selection of Scheduling Policies in Cloud Environments</t>
  </si>
  <si>
    <t>10.1109/CLOUD55607.2022.00056</t>
  </si>
  <si>
    <t>Task scheduling is a well-studied problem in the context of optimizing the Quality of Service (QoS) of cloud computing environments. In order to sustain the rapid growth of computational demands, one of the most important QoS metrics for cloud schedulers is the execution cost. In this regard, several data-driven deep neural networks (DNNs) based schedulers have been proposed in recent years to allow scalable and efficient resource management in dynamic workload settings. However, optimal scheduling frequently relies on sophisticated DNNs with high computational needs implying higher execution costs. Further, even in non-stationary environments, sophisticated schedulers might not always be required and we could briefly rely on low-cost schedulers in the interest of cost-efficiency. Therefore, this work aims to solve the non-trivial meta problem of online dynamic selection of a scheduling policy using a surrogate model called MetaNet. Unlike traditional solutions with a fixed scheduling policy, MetaNet on-the-fly chooses a scheduler from a large set of DNN based methods to optimize task scheduling and execution costs in tandem. Compared to state-of-the-art DNN schedulers, this allows for improvement in execution costs, energy consumption, response time and service level agreement violations by up to 11, 43, 8 and 13 percent, respectively.  ¬© 2022 IEEE.</t>
  </si>
  <si>
    <t>Cloud Computing; Deep Learning; Scheduler Selection; Task Scheduling</t>
  </si>
  <si>
    <t>https://www.scopus.com/inward/record.uri?eid=2-s2.0-85137586994&amp;doi=10.1109%2fCLOUD55607.2022.00056&amp;partnerID=40&amp;md5=a270cfe437bee5e8c7033a3841d1f3ae</t>
  </si>
  <si>
    <t>2-s2.0-85137586994</t>
  </si>
  <si>
    <t>Cloud computing; Energy utilization; Information management; Multitasking; Quality of service; Scheduling; Scheduling algorithms; Cloud environments; Cloud-computing; Deep learning; Dynamic selection; Execution costs; Network-based; Quality-of-service; Scheduler selection; Scheduling policies; Tasks scheduling; Deep neural networks</t>
  </si>
  <si>
    <t>Zhuravska I.M.</t>
  </si>
  <si>
    <t>Remote rehabilitation of the post-stroke patients with the hand and finger nerves damaged through wireless devices in individual conditions</t>
  </si>
  <si>
    <t>10.22270/JMPAS.V10I5.1594</t>
  </si>
  <si>
    <t>After the stroke, the hand nerves, the motor and/or sensory functions are impaired, especially fine motor skills of each finger individually or a group of fingers. Previous studies have shown that the combination of various methods, e.g., medication, physical therapy, as well as exercises to strengthen muscles and restore fine motor skills with personal small-sized automatized devices are effective. In the paper is proposed a method of constructing a ‚Äúgreen zone‚Äù (optimal for patient training mode), and ‚Äúred zone‚Äù (dangerous training mode), which correspond to the model of quantitative dependence the time fulfill several sequential actions patient based on the moving average. A decrease of muscle spasticity of the arm in scores following the Modified Ashworth Scale (MAS) was used as an optimality criterion. For remote rehabilitation of the post-stroke patients in individual conditions the wireless devices of the ‚ÄúReflex Txx‚Äù series were developed, which has in-built Hall sensors or touch sensors. The remote rehabilitation training data are transmitted via a wireless channel (4G or Wi-Fi network), accumulated, and analyzed on the microservices of the developed hardware and software complex. The results of each personal training are displayed on the user's gadgets (smartphone, laptop, etc.) in real-time. Implemented electronic components and architecture of the developed devices are based on a cost-effective Arduino platform hardware. Using of ‚ÄúReflex Txx‚Äù series‚Äô devices, in addition to conventional physiotherapy, gives positive shifts in treatment after only 150 minutes of the entire trial during even short-term (1 week) exercise. ¬© 2021 MEDIC SCIENTIFIC. All Rights Reserved.</t>
  </si>
  <si>
    <t>Arduino platform; Hand nerves injury; Optimal training mode; Post-stroke damage; Remote rehabilitation; Training wireless devices</t>
  </si>
  <si>
    <t>Zhuravska, Iryna M. (57203517108)</t>
  </si>
  <si>
    <t>Journal of Medical Pharmaceutical and Allied Sciences</t>
  </si>
  <si>
    <t>https://www.scopus.com/inward/record.uri?eid=2-s2.0-85124660496&amp;doi=10.22270%2fJMPAS.V10I5.1594&amp;partnerID=40&amp;md5=7bc7cd48950ecf28a623721bcfb40ae6</t>
  </si>
  <si>
    <t>2-s2.0-85124660496</t>
  </si>
  <si>
    <t>Rana B.; Singh Y.; Singh P.K.</t>
  </si>
  <si>
    <t>A systematic survey on internet of things: Energy efficiency and interoperability perspective</t>
  </si>
  <si>
    <t>10.1002/ett.4166</t>
  </si>
  <si>
    <t>With the provision of rapid advancement in smart devices used in various technological fields exponentially increases the heterogeneity and energy consumption in internet of things (IoT). The technological leap in information and communication technology instigates the heterogeneity in smart devices, frameworks, architectures, communication technologies, and various industrial and nonindustrial applications. Therefore, a detailed taxonomy of IoT is proposed covering the diverse aspect of IoT lacking interoperability and energy efficiency. Existing research lacks the root causes of heterogeneity and energy consumption at the industrial and technological level. Keeping this in view, our research identified industrial integration and technological challenges. Moreover, we explore the effect on IoT devices when different types of energy harvesters are connected with IoT devices. Our comprehensive research addresses the various issues such as resource management, fog data analytics, energy consumption, heterogeneity, scalability, and the role of quality of service, data science, machine learning to accomplish interoperability and energy efficiency in IoT. ¬© 2020 John Wiley &amp; Sons Ltd</t>
  </si>
  <si>
    <t>Rana, Bharti (59072046100); Singh, Yashwant (57210010055); Singh, Pradeep Kumar (55568517829)</t>
  </si>
  <si>
    <t>59072046100; 57210010055; 55568517829</t>
  </si>
  <si>
    <t>e4166</t>
  </si>
  <si>
    <t>https://www.scopus.com/inward/record.uri?eid=2-s2.0-85097626741&amp;doi=10.1002%2fett.4166&amp;partnerID=40&amp;md5=9fe9d5f1019f50202d1075092ab448e7</t>
  </si>
  <si>
    <t>2-s2.0-85097626741</t>
  </si>
  <si>
    <t>Data Analytics; Data Science; Energy efficiency; Energy utilization; Industrial research; Information management; Interoperability; Quality of service; Communication technologies; Comprehensive research; Industrial integration; Information and Communication Technologies; Internet of Things (IOT); Resource management; Technological challenges; Technological level; Internet of things</t>
  </si>
  <si>
    <t>Sun K.</t>
  </si>
  <si>
    <t>Analysis of production and organisational management efficiency of Chinese family intelligent manufacturing enterprises based on IoT and machine learning technology</t>
  </si>
  <si>
    <t>10.1080/17517575.2020.1712745</t>
  </si>
  <si>
    <t>This paper analyses how to improve the production efficiency and organisational management level of Chinese family intelligent manufacturing enterprises under the environment of big data and information integration, and ultimately enhance the economic benefits of enterprises. By reforming the organisational structure of intelligent manufacturing enterprises, in the environment of intelligent manufacturing, product life cycle information can be real-time¬†detected and shared through sensor networks. In addition, in the enterprise intelligent manufacturing evaluation system, the system is optimised based on the neural network model in machine learning. ¬© 2020 Informa UK Limited, trading as Taylor &amp; Francis Group.</t>
  </si>
  <si>
    <t>Intelligent Manufacturing; IoT; Machine Learning; Organisational Management Efficiency; Production Efficiency</t>
  </si>
  <si>
    <t>Sun, Kaiyang (57210969503)</t>
  </si>
  <si>
    <t>https://www.scopus.com/inward/record.uri?eid=2-s2.0-85077902431&amp;doi=10.1080%2f17517575.2020.1712745&amp;partnerID=40&amp;md5=5ec388a819ad653ae8c905a4698938eb</t>
  </si>
  <si>
    <t>2-s2.0-85077902431</t>
  </si>
  <si>
    <t>Efficiency; Engineering education; Information management; Internet of things; Learning systems; Life cycle; Machine learning; Sensor networks; Data and information; Intelligent Manufacturing; Machine learning technology; Management efficiency; Neural network model; Organisational structure; Product life cycles; Production efficiency; Manufacture</t>
  </si>
  <si>
    <t>Huang X.; Bian S.; Gao X.; Wu W.; Shao Z.; Yang Y.; Lui J.C.S.</t>
  </si>
  <si>
    <t>Online VNF Chaining and Predictive Scheduling: Optimality and Trade-Offs</t>
  </si>
  <si>
    <t>10.1109/TNET.2021.3072423</t>
  </si>
  <si>
    <t>For NFV systems, the key design space includes the function chaining for network requests and the resource scheduling for servers. The problem is challenging since NFV systems usually require multiple (often conflicting) design objectives and the computational efficiency of real-time decision making with limited information. Furthermore, the benefits of predictive scheduling to NFV systems still remain unexplored. In this article, we propose POSCARS, an efficient predictive and online service chaining and resource scheduling scheme that achieves tunable trade-offs among various system metrics with stability guarantee. Through a careful choice of granularity in system modeling, we acquire a better understanding of the trade-offs in our design space. By a non-trivial transformation, we decouple the complex optimization problem into a series of online sub-problems to achieve the optimality with only limited information. By employing randomized load balancing techniques, we propose three variants of POSCARS to reduce the overheads of decision making. Theoretical analysis and simulations show that POSCARS and its variants require only mild-value of future information to achieve near-optimal system cost with an ultra-low request response time. ¬© 1993-2012 IEEE.</t>
  </si>
  <si>
    <t>NFV; predictive scheduling; resource allocation; service chaining</t>
  </si>
  <si>
    <t>Huang, Xi (57195473363); Bian, Simeng (57195469452); Gao, Xin (57210288176); Wu, Weijie (56275607100); Shao, Ziyu (35119439200); Yang, Yang (56070360300); Lui, John C. S. (7007064465)</t>
  </si>
  <si>
    <t>57195473363; 57195469452; 57210288176; 56275607100; 35119439200; 56070360300; 7007064465</t>
  </si>
  <si>
    <t>https://www.scopus.com/inward/record.uri?eid=2-s2.0-85104592413&amp;doi=10.1109%2fTNET.2021.3072423&amp;partnerID=40&amp;md5=2dcad5b67e7dd4b64b99c76ba59455ad</t>
  </si>
  <si>
    <t>2-s2.0-85104592413</t>
  </si>
  <si>
    <t>Commerce; Computational efficiency; Economic and social effects; Electronic document exchange; Network function virtualization; Real time systems; Scheduling; Analysis and simulation; Complex optimization problems; Design objectives; Limited information; Predictive scheduling; Randomized load balancing; Real time decision-making; Resource-scheduling; Decision making</t>
  </si>
  <si>
    <t>Gao Y.; Huang C.; Zhang X.; Xiang X.; Zheng W.</t>
  </si>
  <si>
    <t>Application of Internet of things in data aggregation system of electric power construction equipment</t>
  </si>
  <si>
    <t>10.1109/AIIPCC57291.2022.00043</t>
  </si>
  <si>
    <t>The Internet of Things (IOT) is a complex application of a variety of technologies. Communicate and exchange information in a mutually agreed manner by identifying radio frequencies, global positioning, use of measurement data, and other items. In order to implement the strategic goal of 'three types of two networks and world-class', the design of the technical architecture of the intelligent IOT data aggregation Center for electrical equipment based on micro services is proposed. This article studies and applies microservices and container technologies, designs the technical architecture of the intelligent IOT data aggregation Center for electrical equipment based on microservices, and solves the problems of collaborative development and deployment of distributed and heterogeneous environments in state grid companies. Through the development and application of the intelligent IOT data aggregation Center for electrical equipment, the IOT data and business data of various categories are transmitted, aggregated, interacted and stored, and the data are mined, analyzed and applied, which strongly supports the application of material companies in bidding procurement, quality supervision, capacity evaluation and fault analysis, and achieves the effect of reducing costs and increasing efficiency, and improving quality and management level. ¬© 2022 IEEE.</t>
  </si>
  <si>
    <t>Ability assessment; Data aggregation system; Internet of things; Microservices; Power construction equipment</t>
  </si>
  <si>
    <t>Gao, Youliang (58177086000); Huang, Chaosheng (58176771900); Zhang, Xinyang (58177399400); Xiang, Xingyu (58177298100); Zheng, Weiwei (58177399500)</t>
  </si>
  <si>
    <t>58177086000; 58176771900; 58177399400; 58177298100; 58177399500</t>
  </si>
  <si>
    <t>Proceedings - 2022 International Conference on Artificial Intelligence, Information Processing and Cloud Computing, AIIPCC 2022</t>
  </si>
  <si>
    <t>https://www.scopus.com/inward/record.uri?eid=2-s2.0-85152119306&amp;doi=10.1109%2fAIIPCC57291.2022.00043&amp;partnerID=40&amp;md5=78b6d106cd1f6ca4c6e0d849b2e63915</t>
  </si>
  <si>
    <t>2-s2.0-85152119306</t>
  </si>
  <si>
    <t>Construction equipment; Network architecture; Power quality; Quality control; Ability assessment; Complex applications; Data aggregation; Data aggregation system; Electric power; Electrical equipment; Microservice; Power; Power construction equipment; Technical architecture; Internet of things</t>
  </si>
  <si>
    <t>Qiu H.; Jha S.; Banerjee S.S.; Patke A.; Wang C.; Hubertus F.; Kalbarczyk Z.T.; Iyer R.K.</t>
  </si>
  <si>
    <t>Is Function-as-a-Service a Good Fit for Latency-Critical Services?</t>
  </si>
  <si>
    <t>10.1145/3493651.3493666</t>
  </si>
  <si>
    <t>Function-as-a-Service (FaaS) is becoming an increasingly popular cloud-deployment paradigm for serverless computing that frees application developers from managing the infrastructure. At the same time, it allows cloud providers to assert control in workload consolidation, i.e., co-locating multiple containers on the same server, thereby achieving higher server utilization, often at the cost of higher end-to-end function request latency. Interestingly, a key aspect of serverless latency management has not been well studied: the trade-off between application developers' latency goals and the FaaS providers' utilization goals. This paper presents a multi-faceted, measurement-driven study of latency variation in serverless platforms that elucidates this trade-off space. We obtained production measurements by executing FaaS benchmarks on IBM Cloud and a private cloud to study the impact of workload consolidation, queuing delay, and cold starts on the end-to-end function request latency. We draw several conclusions from the characterization results. For example, increasing a container's allocated memory limit from 128 MB to 256 MB reduces the tail latency by 2√ó but has 1.75√ó higher power consumption and 59% lower CPU utilization.  ¬© 2021 ACM.</t>
  </si>
  <si>
    <t>Function-as-a-Service; Multi-tenancy; Performance Modeling; Resource Management; Serverless Computing</t>
  </si>
  <si>
    <t>Qiu, Haoran (57219785413); Jha, Saurabh (57190401636); Banerjee, Subho S. (55277073600); Patke, Archit (57216790460); Wang, Chen (57157809200); Hubertus, Franke (7202800815); Kalbarczyk, Zbigniew T. (6603680588); Iyer, Ravishankar K. (35597694000)</t>
  </si>
  <si>
    <t>57219785413; 57190401636; 55277073600; 57216790460; 57157809200; 7202800815; 6603680588; 35597694000</t>
  </si>
  <si>
    <t>Proceedings of the 7th International Workshop on Serverless Computing, WoSC 2021</t>
  </si>
  <si>
    <t>https://www.scopus.com/inward/record.uri?eid=2-s2.0-85121448756&amp;doi=10.1145%2f3493651.3493666&amp;partnerID=40&amp;md5=50bf347285fec84fc6ce77b9ed04ca3b</t>
  </si>
  <si>
    <t>2-s2.0-85121448756</t>
  </si>
  <si>
    <t>Economic and social effects; Space platforms; Application developers; Critical service; End to end; Function-as-a-service; Multi tenancies; Performance Modeling; Resource management; Serverless computing; Trade off; Workload consolidation; Containers</t>
  </si>
  <si>
    <t>Yuan R.; Zheng S.; Liu Y.; Pang F.; Yang X.</t>
  </si>
  <si>
    <t>The Intelligent Detection Method of Electric Energy Meter Overload Operating and Collaborative Edge Computing for Social Internet of Things Systems</t>
  </si>
  <si>
    <t>10.4018/IJDST.307954</t>
  </si>
  <si>
    <t>This study describes a line cloud architecture and IDM-based energy metering system to replace existing meter reading methods. They can regularly monitor meter readings without sending someone to each residence, and the bill is automatically sent to each user via IDM. If the consumer fails to pay the bill, the service provider can cut off the supply; this technology will prevent the illicit use of electricity, often known as power detection, and locate line faults rapidly and precisely without the need for human intervention. Because of the increased deployment of energy meters, much data on electric energy is used. Developing cloud architecture technologies could utilize this data better to prevent power detection. In this paper, an intelligent detection method of electric energy meter overload functioning state based on cloud architecture (IDM EEMOF-CA) is provided in detail and utilized to identify electric energy detection. There are currently no studies involving the use of IDM EEM-CA to detect power exposure to the authors‚Äô knowledge. Copyright ¬© 2022, IGI Global.</t>
  </si>
  <si>
    <t>Cloud Architecture; Collaborative Edge Computing; Electric Energy; Energy Meter; Intelligent Detection Method; SIoT</t>
  </si>
  <si>
    <t>Yuan, Ruiming (36770024700); Zheng, Sida (57222405163); Liu, Yan (57214915689); Pang, Fukuan (57208108851); Yang, Xiaokun (57216768880)</t>
  </si>
  <si>
    <t>36770024700; 57222405163; 57214915689; 57208108851; 57216768880</t>
  </si>
  <si>
    <t>International Journal of Distributed Systems and Technologies</t>
  </si>
  <si>
    <t>https://www.scopus.com/inward/record.uri?eid=2-s2.0-85150460827&amp;doi=10.4018%2fIJDST.307954&amp;partnerID=40&amp;md5=cde45a175229a627147258dbac675ba8</t>
  </si>
  <si>
    <t>2-s2.0-85150460827</t>
  </si>
  <si>
    <t>Architecture; Computer architecture; Edge computing; Electric measuring instruments; Electric power measurement; Internet of things; Cloud architectures; Collaborative edge computing; Edge computing; Electric energies; Energy; Energy meters; Intelligent detection methods; Metering systems; Power detection; SIoT; Cloud computing architecture</t>
  </si>
  <si>
    <t>Zhang Y.; Wu Z.; Chen M.; Zhang L.</t>
  </si>
  <si>
    <t>Optimization of task scheduling oriented to cross microservice chains; [Èù¢Âêë‰∫§ÂèâÂæÆÊúçÂä°ÈìæÁöÑ‰ªªÂä°Ë∞ÉÂ∫¶‰ºòÂåñ]</t>
  </si>
  <si>
    <t>10.19665/j.issn1001-2400.2021.06.005</t>
  </si>
  <si>
    <t>The microservice architecture arranges an application as a set of loosely-coupled fine-grained services, with each microservice independently deployed and updated. The cooperation of services leads to multiple intersecting microservice chains. And the intersection of microservices becomes a key position for resource competition. Therefore, rational allocation of microservices can improve resource utilization, reduce the task response time and solve the problem of resource competition caused by the intersection of microservice chains. However, existing research often ignores or simplifies the conflict problem caused by the intersection of microservice chains, resulting in poor system scheduling. Therefore, aiming at the above problem, this paper takes the resource utilization and the global response time as the measurement indicators to formally characterize the resource consumption of services and the task execution time in the microservice architecture. Combined with the advantages of parallel computing of the ant colony algorithm and local perturbations of simulated annealing algorithm, this paper proposes a chain-oriented task scheduling algorithm (COTSA). Experimental results show that compared with first come first service (FCFS) and ant colony optimization (ACO), the COTSA can effectively improve resource utilization and reduce the overall response time in the complex microservice environment. ¬© 2021, The Editorial Board of Journal of Xidian University. All right reserved.</t>
  </si>
  <si>
    <t>Microservice chains; Multiobjective optimization; Resource utilization; Scheduling algorithms</t>
  </si>
  <si>
    <t>Zhang, Yupeng (57450814300); Wu, Zili (57203205558); Chen, Ming (57450447400); Zhang, Lulu (59289832500)</t>
  </si>
  <si>
    <t>57450814300; 57203205558; 57450447400; 59289832500</t>
  </si>
  <si>
    <t>Xi'an Dianzi Keji Daxue Xuebao/Journal of Xidian University</t>
  </si>
  <si>
    <t>https://www.scopus.com/inward/record.uri?eid=2-s2.0-85124511305&amp;doi=10.19665%2fj.issn1001-2400.2021.06.005&amp;partnerID=40&amp;md5=494b5ccdbb14d8cbb0291b0b57dd3841</t>
  </si>
  <si>
    <t>2-s2.0-85124511305</t>
  </si>
  <si>
    <t>Ant colony optimization; Artificial intelligence; Response time (computer systems); Scheduling algorithms; Simulated annealing; Fine grained; Global response; Loosely coupled; Microservice chain; Multi-objectives optimization; Optimisations; Resource competitions; Resources utilizations; System scheduling; Task-scheduling algorithms; Multiobjective optimization</t>
  </si>
  <si>
    <t>Mahdi M.N.; Ahmad A.R.; Qassim Q.S.; Natiq H.; Subhi M.A.; Mahmoud M.</t>
  </si>
  <si>
    <t>From 5g to 6g technology: Meets energy, internet-of-things and machine learning: A survey</t>
  </si>
  <si>
    <t>10.3390/app11178117</t>
  </si>
  <si>
    <t>Due to the rapid development of the fifth-generation (5G) applications, and increased demand for even faster communication networks, we expected to witness the birth of a new 6G technology within the next ten years. Many references suggested that the 6G wireless network standard may arrive around 2030. Therefore, this paper presents a critical analysis of 5G wireless networks‚Äô, significant technological limitations and reviews the anticipated challenges of the 6G communication networks. In this work, we have considered the applications of three of the highly demanding domains, namely: energy, Internet-of-Things (IoT) and machine learning. To this end, we present our vision on how the 6G communication networks should look like to support the applications of these domains. This work presents a thorough review of 370 papers on the application of energy, IoT and machine learning in 5G and 6G from three major libraries: Web of Science, ACM Digital Library, and IEEE Explore. The main contribution of this work is to provide a more comprehensive perspective, challenges, requirements, and context for potential work in the 6G communication standard. ¬© 2021 by the authors. Licensee MDPI, Basel, Switzerland.</t>
  </si>
  <si>
    <t>5G; 6G; Deep learning; Energy; Internet-of-Things; IoT; Machine learning; Security</t>
  </si>
  <si>
    <t>Mahdi, Mohammed Najah (56727803900); Ahmad, Abdul Rahim (35589598800); Qassim, Qais Saif (36613541700); Natiq, Hayder (57200216084); Subhi, Mohammed Ahmed (57205154762); Mahmoud, Moamin (55247787300)</t>
  </si>
  <si>
    <t>56727803900; 35589598800; 36613541700; 57200216084; 57205154762; 55247787300</t>
  </si>
  <si>
    <t>https://www.scopus.com/inward/record.uri?eid=2-s2.0-85114237678&amp;doi=10.3390%2fapp11178117&amp;partnerID=40&amp;md5=0ee43035cfaebafde157dff2c06d0ef7</t>
  </si>
  <si>
    <t>2-s2.0-85114237678</t>
  </si>
  <si>
    <t>He D.; Huang H.; Yao Y.; Qi W.; Li H.; Mao D.</t>
  </si>
  <si>
    <t>Resource monitoring method of the expandable cloud platform based on micro-service architecture</t>
  </si>
  <si>
    <t>10.1504/IJAACS.2022.122943</t>
  </si>
  <si>
    <t>In order to improve the ability of resource monitoring and adaptive forwarding control of the scalable cloud platform, this paper proposes an esource monitoring method based on the microservice architecture. Built the optimised microservice architecture of the scalable cloud platform, and used the distributed cloud composite storage method to design the modular storage structure. Fuzzy correlation detection method was used to detect the characteristics of scalable cloud platform resources and to process information fusion. The microservice platform system was built on the scalable cloud platform for adaptive clustering. Mining association rule set of scalable cloud platform resources in cluster center, based on microservice architecture. Simulation results show that when the SNR is - 2 dB, the output bit error rate of the proposed method is 0. The results show that this method has good information scheduling ability in scalable cloud platform resource monitoring, and can provide a stable resource output balance.  Copyright ¬© 2022 Inderscience Enterprises Ltd.</t>
  </si>
  <si>
    <t>adaptive clustering; expandable cloud platform; fuzzy correlation detection; Micro-service architecture; resource monitoring; scheduling</t>
  </si>
  <si>
    <t>He, Dong (57215564753); Huang, Hongbing (57709013300); Yao, Yiyang (57709225900); Qi, Weiqiang (57709265800); Li, Hong (57708967300); Mao, Dong (57190247016)</t>
  </si>
  <si>
    <t>57215564753; 57709013300; 57709225900; 57709265800; 57708967300; 57190247016</t>
  </si>
  <si>
    <t>International Journal of Autonomous and Adaptive Communications Systems</t>
  </si>
  <si>
    <t>https://www.scopus.com/inward/record.uri?eid=2-s2.0-85130642573&amp;doi=10.1504%2fIJAACS.2022.122943&amp;partnerID=40&amp;md5=effa7710b01a24e6e4f3c665f99357c0</t>
  </si>
  <si>
    <t>2-s2.0-85130642573</t>
  </si>
  <si>
    <t>Bit error rate; Cluster computing; Distributed cloud; Monitoring; Adaptive clustering; Cloud platforms; Correlation detection; Expandable cloud platform; Fuzzy correlation detection; Fuzzy correlations; Micro services; Micro-service architecture; Resource monitoring; Services Architectures; Scheduling</t>
  </si>
  <si>
    <t>Forouzandeh S.; Rostami M.; Berahmand K.</t>
  </si>
  <si>
    <t>A Hybrid Method for Recommendation Systems based on Tourism with an Evolutionary Algorithm and Topsis Model</t>
  </si>
  <si>
    <t>10.1080/16168658.2021.2019430</t>
  </si>
  <si>
    <t>Recommender systems have been pervasively applied as a technique of suggesting travel recommendations to tourists. Actually, recommendation systems significantly contribute to the decision-making process of tourists. A new approach of recommendation systems in the tourism industry by a combination of the Artificial Bee Colony (ABC) algorithm and Fuzzy TOPSIS is proposed in the present paper. A multi-criteria decision-making method called the Techniques for Order of Preference by Similarity to Ideal Solution (TOPSIS) has been applied for the purpose of optimizing the system. Data were gathered through a 1015 online questionnaire on the Facebook social media site. In the first stage, the TOPSIS model defines a positive ideal solution in the form of a matrix with four columns, which indicates factors that get involved in this study. In the second stage, the ABC algorithm starts to search amongst destinations and recommends the best tourist spot to users. ¬© 2022 The Authors. Published by Taylor &amp; Francis Group on behalf of the Fuzzy Information and Engineering Branch of the Operations Research Society, Guangdong Province Operations Research Society of China.</t>
  </si>
  <si>
    <t>ABC algorithm; Facebook social network; Recommender systems; topsis model; tourism</t>
  </si>
  <si>
    <t>Forouzandeh, Saman (56328020700); Rostami, Mehrdad (56538047900); Berahmand, Kamal (57199714126)</t>
  </si>
  <si>
    <t>56328020700; 56538047900; 57199714126</t>
  </si>
  <si>
    <t>Fuzzy Information and Engineering</t>
  </si>
  <si>
    <t>https://www.scopus.com/inward/record.uri?eid=2-s2.0-85122897640&amp;doi=10.1080%2f16168658.2021.2019430&amp;partnerID=40&amp;md5=e22941476de2be7123a51e35a6912179</t>
  </si>
  <si>
    <t>2-s2.0-85122897640</t>
  </si>
  <si>
    <t>Tazi F.; Dykstra J.; Rajivan P.; Das S.</t>
  </si>
  <si>
    <t>SOK: Evaluating Privacy and¬†Security Vulnerabilities of¬†Patients‚Äô Data in¬†Healthcare</t>
  </si>
  <si>
    <t>10.1007/978-3-031-10183-0_8</t>
  </si>
  <si>
    <t>13176 LNCS</t>
  </si>
  <si>
    <t>Interactions in healthcare systems, by necessity, involve sharing sensitive information that must be protected. Thus, to understand the existing privacy and security research conducted in the context of healthcare organizations, we conducted a systematic literature review of N= 205 papers that examine the security and privacy of patient data. We found that current research focuses heavily on the technological solutions, which are presented to benefit large-scale medical facilities such as hospitals, but generally ignore the unique security challenges of smaller private practices which might not have the resources to protect patient data. Additionally, only 18 (&amp;lt;9%) papers have conducted user studies to understand the patient and staff‚Äôs risk perception of healthcare data. We conclude by identifying research gaps and provide potential solutions to enable robust data security for sensitive patient data. ¬© 2022, Springer Nature Switzerland AG.</t>
  </si>
  <si>
    <t>Healthcare Data Privacy and Security; Literature review</t>
  </si>
  <si>
    <t>Tazi, Faiza (57222900949); Dykstra, Josiah (55327885500); Rajivan, Prashanth (55220183600); Das, Sanchari (57206573655)</t>
  </si>
  <si>
    <t>57222900949; 55327885500; 55220183600; 57206573655</t>
  </si>
  <si>
    <t>https://www.scopus.com/inward/record.uri?eid=2-s2.0-85135038487&amp;doi=10.1007%2f978-3-031-10183-0_8&amp;partnerID=40&amp;md5=b66219db63f89dbfad2f9bf6ee0b2c30</t>
  </si>
  <si>
    <t>2-s2.0-85135038487</t>
  </si>
  <si>
    <t>Health care; Hospital data processing; Sensitive data; Data privacy and securities; Healthcare data privacy and security; Healthcare organizations; Healthcare systems; Literature reviews; Patient data; Privacy and security; Security research; Security vulnerabilities; Sensitive informations; Risk perception</t>
  </si>
  <si>
    <t>Cao K.; Wei T.; Chen M.; Li K.; Weng J.; Tan W.</t>
  </si>
  <si>
    <t>Exploring reliable edge-cloud computing for service latency optimization in sustainable cyber-physical systems</t>
  </si>
  <si>
    <t>10.1002/spe.2942</t>
  </si>
  <si>
    <t>In recent years, the advance in information technology has promoted a wide span of emerging cyber-physical systems (CPS) applications such as autonomous automobile systems, healthcare monitoring, and process control systems. For these CPS applications, service latency management is extraordinarily important for the sake of providing high quality-of-experience to terminal users. Edge-cloud computing, integrating both edge computing and cloud computing, is regarded as a promising computation paradigm to achieve low service latency for terminal users in CPS. However, existing latency-aware edge-cloud computing methods dedicated for CPS fail to jointly consider energy budgets and reliability requirements, which may greatly degrade the sustainability of CPS applications. In this article, we explore the problem of minimizing service latency of edge-cloud computing coupled CPS under the constraints of energy budgets and reliability requirements. We propose a two-stage approach composed of static and dynamic service latency optimization. At static stage, Monte-Carlo simulation with integer-linear-programming technique is adopted to find the optimal computation offloading mapping and task backup number. At dynamic stage, a backup-adaptive dynamic mechanism is developed to avoid redundant data transmissions and executions for achieving additional energy savings and service latency enhancement. Experimental results show that our solution is able to reduce system service latency by up to 18.3% compared with representative baseline solutions. ¬© 2021 John Wiley &amp; Sons, Ltd.</t>
  </si>
  <si>
    <t>cyber-physical systems; edge-cloud computing; energy; reliability; service latency minimization</t>
  </si>
  <si>
    <t>Cao, Kun (57190963665); Wei, Tongquan (24438640700); Chen, Mingsong (55581519700); Li, Keqin (7404989623); Weng, Jian (35363338200); Tan, Wuzheng (57221532425)</t>
  </si>
  <si>
    <t>57190963665; 24438640700; 55581519700; 7404989623; 35363338200; 57221532425</t>
  </si>
  <si>
    <t>https://www.scopus.com/inward/record.uri?eid=2-s2.0-85099405976&amp;doi=10.1002%2fspe.2942&amp;partnerID=40&amp;md5=e376cc15aaac540865787d8f8e80c079</t>
  </si>
  <si>
    <t>2-s2.0-85099405976</t>
  </si>
  <si>
    <t>Budget control; Cloud computing; Cyber Physical System; Dynamics; Embedded systems; Energy conservation; Monte Carlo methods; Quality of service; User experience; Automobile systems; Computation paradigms; Cyber-physical systems (CPS); Healthcare monitoring; Integer Linear Programming; Optimal computation; Reliability requirements; Two stage approach; Integer programming</t>
  </si>
  <si>
    <t>Ang K.L.-M.; Seng J.K.P.</t>
  </si>
  <si>
    <t>Embedded Intelligence: Platform Technologies, Device Analytics, and Smart City Applications</t>
  </si>
  <si>
    <t>10.1109/JIOT.2021.3088217</t>
  </si>
  <si>
    <t>This article provides a survey about the state of the art in embedded intelligence (EI) research for smart cities. Currently, a comprehensive survey for EI research for smart cities is not available. This article presents a comprehensive review and discusses representative studies of the emerging and current paradigms for EI with the focus on the enabling technologies, applications, and challenges for smart cities from four areas: 1) first, the overview and classifications of the EI research are presented to show the full spectrum in this area, which also serves as a concise summary of the scope of this article; 2) second, the review and identification of interrelated enabling technologies in the form of EI platform technologies, and EI and device analytics technologies are discussed; 3) third, the article discusses various applications of EI utilizing these technologies and techniques for smart cities; and 4) the article also includes the challenges and insights for future research directions. This comprehensive survey article aims to give useful insights for the research area and motivate researchers toward the development of useful EI solutions for practical deployment in smart cities.  ¬© 2014 IEEE.</t>
  </si>
  <si>
    <t>Applications; big data; edge computing; embedded intelligence (EI); fog computing; Internet of Things (IoT); smart cities</t>
  </si>
  <si>
    <t>Ang, Kenneth Li-Minn (9336377000); Seng, Jasmine Kah Phooi (6603612056)</t>
  </si>
  <si>
    <t>9336377000; 6603612056</t>
  </si>
  <si>
    <t>https://www.scopus.com/inward/record.uri?eid=2-s2.0-85114015481&amp;doi=10.1109%2fJIOT.2021.3088217&amp;partnerID=40&amp;md5=f37fed3f7f62e68fff936996d60a7740</t>
  </si>
  <si>
    <t>2-s2.0-85114015481</t>
  </si>
  <si>
    <t>Surveys; Embedded intelligence; Enabling technologies; Full spectrum; Future research directions; Platform technology; State of the art; Smart city</t>
  </si>
  <si>
    <t>Zhang Z.; Shao Y.; Liu X.; Han Y.</t>
  </si>
  <si>
    <t>Telematics Collaborative Resource Allocation Algorithm Based on Cloud Sidecar</t>
  </si>
  <si>
    <t>10.1155/2022/2332769</t>
  </si>
  <si>
    <t>This paper provides an in-depth study and analysis of a distributed allocation algorithm for collaborative resources for cloud-edge-vehicle-based Telematics. The approach starts from the emerging application of urban environmental monitoring based on vehicular networking, with an integrated design of data sensing detection and transmission, and collaborative monitoring of vehicle swarm intelligence based on urban air quality collection to avoid redundancy of information and communication overload. A hybrid routing method with minimal delay for reliable data transmission is proposed. The power adjustment algorithm divides the channel into 3 states. When the CBR is less than 0.5, the channel is in an idle state, and when the CBR is greater than 0.5 and less than 0.8, the channel is in an active state. The algorithm designs redundancy strategies based on coding mechanisms to improve the reliability of data transmission, combines coding mechanisms with routing design, incorporates routing switching ideas, and performs probability-based routing decisions to minimize the delay. In straight-line road sections, a fuzzy logic prediction-based vehicle adaptive connectivity clustering routing algorithm is proposed to reduce the communication overhead during vehicle collaboration and ensure high network connectivity; at intersections, a probability-based minimum delay routing decision algorithm is proposed to reduce the information transmission delay. Experiments show that the proposed method effectively improves the efficiency of data-aware collection and transmission, and increases the reliability of transmission. With the explosive growth of video services, the problem of intelligent transmission of DASH-based video streams has become another research hotspot in mobile edge networks. Based on the edge container cloud architecture of vehicular networking, the resource constraints of microservices when deployed in the edge cloud platform were analyzed, and a multi-objective optimization model for microservice resource scheduling was established with the comprehensive performance objectives of shortest microservice invocation distance, highest resource utilization of physical machine clusters, and ensuring load balancing as much as possible.  ¬© 2022 Zheng Zhang et al.</t>
  </si>
  <si>
    <t>Zhang, Zheng (57215841890); Shao, Yanling (57193406394); Liu, Xing (57898526100); Han, Yibo (57204550942)</t>
  </si>
  <si>
    <t>57215841890; 57193406394; 57898526100; 57204550942</t>
  </si>
  <si>
    <t>Security and Communication Networks</t>
  </si>
  <si>
    <t>https://www.scopus.com/inward/record.uri?eid=2-s2.0-85138444386&amp;doi=10.1155%2f2022%2f2332769&amp;partnerID=40&amp;md5=88c7c8d557c9a3a7f714f15a8ca24efb</t>
  </si>
  <si>
    <t>2-s2.0-85138444386</t>
  </si>
  <si>
    <t>Air quality; Balancing; Clustering algorithms; Data communication systems; Data transfer; Energy utilization; Fuzzy logic; Multiobjective optimization; Quality of service; Redundancy; Vehicle to vehicle communications; Vehicle transmissions; Allocation algorithm; Coding mechanism; Collaborative resources; Distributed allocation; In-depth analysis; In-depth study; Resource allocation algorithms; Routing decisions; Telematics; Vehicular networkings; Telematics</t>
  </si>
  <si>
    <t>Wang G.; Lu Y.; Liu P.; Zhou W.</t>
  </si>
  <si>
    <t>High-performance Distributed Feature Storage and Consumption Services in Power Grid Scenarios</t>
  </si>
  <si>
    <t>10.1109/BigDataSecurityHPSCIDS54978.2022.00023</t>
  </si>
  <si>
    <t>As more and more services in the power grid introduce machine learning and deep learning technologies, feature engineering has become more and more complex. In order to improve the efficiency of feature engineering, this paper proposes a high-performance distributed feature storage and consumption service based on grid scenarios, referred to as HFSA (High-performance feature storage and access). HFSA designed a feature data storage and consumption platform with the help of the idea of message middleware. HFSA services include HFSA Cluster, Producer and Consumer. This article verifies whether the HFSA service meets the design requirements from three aspects: functional testing, accuracy testing and performance testing. The experimental results show that the HFSA service has complete functions and good performance, which basically solves the problem of characteristic storage and consumption of the power grid. ¬© 2022 IEEE.</t>
  </si>
  <si>
    <t>consumer; data consumption; data storage; message queue; producer</t>
  </si>
  <si>
    <t>Wang, Guoqing (57219441187); Lu, Yiming (57195683867); Liu, Peng (55803312600); Zhou, Wang (57236740300)</t>
  </si>
  <si>
    <t>57219441187; 57195683867; 55803312600; 57236740300</t>
  </si>
  <si>
    <t>Proceedings - 2022 IEEE 8th International Conference on Big Data Security on Cloud, IEEE International Conference on High Performance and Smart Computing, and IEEE International Conference on Intelligent Data and Security, BigDataSecurity/HPSC/IDS 2022</t>
  </si>
  <si>
    <t>https://www.scopus.com/inward/record.uri?eid=2-s2.0-85134171786&amp;doi=10.1109%2fBigDataSecurityHPSCIDS54978.2022.00023&amp;partnerID=40&amp;md5=8ac8eba6f5ad7125527e1f599a17cddf</t>
  </si>
  <si>
    <t>2-s2.0-85134171786</t>
  </si>
  <si>
    <t>Deep learning; Digital storage; Electric power transmission networks; Engineering education; Learning systems; Access service; Consumer; Data consumption; Data storage; Message queues; Performance; Power grids; Producer; Storage and access; Storage services; Middleware</t>
  </si>
  <si>
    <t>Zampou E.; Mourtos I.; Pramatari K.; Seidel S.</t>
  </si>
  <si>
    <t>A Design Theory for Energy and Carbon Management Systems in the Supply Chain</t>
  </si>
  <si>
    <t>10.17705/1jais.00725</t>
  </si>
  <si>
    <t>Energy and carbon management systems (ECMS) are a class of green information systems that has the potential to increase environmental sustainability in organizations and across supply chains. Employing a design science research approach, we define the scope of ECMS in the supply chain context, identify requirements, design an expository instantiation, and develop an information systems design theory, including key constructs and design principles. We instantiate this theory in four supply chain contexts to validate and revise the proposed design in two rounds. We identify six system components‚Äîdata collection, energy monitoring, supply chain coordination, ECMS workflow engine, reporting, and carbon footprint estimator‚Äîthat integrate and coordinate four types of information flows (transactional, contextual, energy, and product-environmental), and formulate design principles. Our evaluation indicates that the ECMS design theory, if instantiated, supports energy and carbon measurement and environmentally aware decision-making and practice in supply chains. We also highlight how considering energy information flows in combination with material features that afford environmentally aware decision-making and practice are key to qualifying information systems as ‚Äúgreen.‚Äù. ¬© 2022, Association for Information Systems. All rights reserved.</t>
  </si>
  <si>
    <t>Design Science Research; Energy and Carbon Management Systems; Green Information Systems; Sustainability; Sustainable Supply Chain Management</t>
  </si>
  <si>
    <t>Zampou, Eleni (55491083100); Mourtos, Ioannis (9278223600); Pramatari, Katerina (8969763900); Seidel, Stefan (57197540004)</t>
  </si>
  <si>
    <t>55491083100; 9278223600; 8969763900; 57197540004</t>
  </si>
  <si>
    <t>Journal of the Association for Information Systems</t>
  </si>
  <si>
    <t>https://www.scopus.com/inward/record.uri?eid=2-s2.0-85128732953&amp;doi=10.17705%2f1jais.00725&amp;partnerID=40&amp;md5=fba2e1f2c9a0efd6add73fc79d29029f</t>
  </si>
  <si>
    <t>2-s2.0-85128732953</t>
  </si>
  <si>
    <t>Carbon footprint; Decision making; Decision theory; Information management; Information systems; Information use; Product design; Supply chain management; Carbon management; Design Principles; Design theory; Design-science researches; Energy; Energy and carbon management system; Green information systems; Management systems; Sustainable supply chain management; Sustainable supply chains; Sustainable development</t>
  </si>
  <si>
    <t>Filali A.E.; Lahmer E.H.B.; Filali S.E.</t>
  </si>
  <si>
    <t>Machine Learning techniques for Supply Chain Management: A Systematic Literature Review</t>
  </si>
  <si>
    <t>10.33168/JSMS.2022.0205</t>
  </si>
  <si>
    <t>This paper presents a systematic review of the development of research on Machine Learning (ML) applications in supply chain management (SCM), particularly demand forecasting. The objective is to bridge the gap between current and potential ML methods that can improve the performance of the demand forecasting operation in three SCM industries: industry, agriculture, and services, by analyzing published work in the last decade in several numerical databases. Five aspects were covered: the research trend on ML applications in SCM; the ML algorithms most used by researchers for demand forecasting; the advantages of ML algorithms over traditional forecasting approaches; the ML techniques considered most adopted at the demand forecasting operation, as well as the SCM industry sector that benefited most from these applications. We have focused on providing an overview of the applications of ML in demand forecasting and asserting its powerful role in the evolution of SCM effectiveness, in order to provide a reference for future research and applications of SCM in different economic sectors. ¬© 2022, Success Culture Press. All rights reserved.</t>
  </si>
  <si>
    <t>demand forecasting; economic sectors; Machine learning; search trend; supply chain management</t>
  </si>
  <si>
    <t>Filali, Aicha El (57262783800); Lahmer, El Habib Ben (56027165800); Filali, Sanaa El (57439109100)</t>
  </si>
  <si>
    <t>57262783800; 56027165800; 57439109100</t>
  </si>
  <si>
    <t>Journal of System and Management Sciences</t>
  </si>
  <si>
    <t>https://www.scopus.com/inward/record.uri?eid=2-s2.0-85132578870&amp;doi=10.33168%2fJSMS.2022.0205&amp;partnerID=40&amp;md5=dfaacf48b066fc318603ee019f616ca1</t>
  </si>
  <si>
    <t>2-s2.0-85132578870</t>
  </si>
  <si>
    <t>Prajapati V.K.; Sharma T.P.; Awasthi L.</t>
  </si>
  <si>
    <t>A Theoretical Aspect on Fault-Tolerant Data Dissemination in IoT Enabled Systems</t>
  </si>
  <si>
    <t>10.1007/978-3-031-07012-9_15</t>
  </si>
  <si>
    <t>1591 CCIS</t>
  </si>
  <si>
    <t>The Internet of Things (IoT) field has grown exponentially and, it is a significant emerging research field in this era. IoT consists of sensors, actuators, radio frequency identifier (RFID), and machine-to-machine communication. A failure may occur in IoT at layering architecture such as applications: sensor and actuator nodes can be lost, missed, and failed, network links can be down processing, and storage components of IoT can fail to perform appropriately. That is the reason for which data dissemination fault-tolerant (F.T.) has become a significant role for IoT-enabled systems to provide Quality of service (QoS). It can reduce the end-to-end delay, low energy consumption, and maximize throughput. The authors aim to identify and systematically review data aggregation, data dissemination, and F.T. mechanisms. Data dissemination has become effective when data aggregation, fault detection, and fault-tolerant has done at the same level of communication. The authors also discuss the theoretical aspect of efficient and fault-tolerant data dissemination using a group formation framework for IoT-enabled systems and different fault-tolerant techniques with a comparative survey. ¬© 2022, The Author(s), under exclusive license to Springer Nature Switzerland AG.</t>
  </si>
  <si>
    <t>Data aggregation; Data dissemination; Fault-tolerant; Internet of Things; Quality of Service (QoS)</t>
  </si>
  <si>
    <t>Prajapati, Vishnu Kumar (57216965864); Sharma, T.P. (55922678900); Awasthi, Lalit (35087336800)</t>
  </si>
  <si>
    <t>57216965864; 55922678900; 35087336800</t>
  </si>
  <si>
    <t>https://www.scopus.com/inward/record.uri?eid=2-s2.0-85131920560&amp;doi=10.1007%2f978-3-031-07012-9_15&amp;partnerID=40&amp;md5=30a575fc28badf1e444b0ebb0b60263b</t>
  </si>
  <si>
    <t>2-s2.0-85131920560</t>
  </si>
  <si>
    <t>Actuators; Digital storage; Energy utilization; Fault detection; Fault tolerance; Internet of things; Machine-to-machine communication; Radio frequency identification (RFID); Data aggregation; Data dissemination; Fault-tolerant; Machine to machines; Quality of service; Quality-of-service; Radio frequencies identifiers; Research fields; Sensor/actuator; Theoretical aspects; Quality of service</t>
  </si>
  <si>
    <t>Athanasopoulos D.; Liu D.</t>
  </si>
  <si>
    <t>AI Back-End as a Service for Learning Switching of Mobile Apps Between the Fog and the Cloud</t>
  </si>
  <si>
    <t>10.1109/TSC.2021.3117927</t>
  </si>
  <si>
    <t>Given that cloud servers are usually remotely located from the devices of mobile apps, the end-users of the apps can face delays. The Fog has been introduced to augment the apps with machines located at the network edge close to the end-users. However, edge machines are usually resource constrained. Thus, the execution of online data-analytics on edge machines may not be feasible if the time complexity of the data-analytics algorithm is high. To overcome this, multiple instances of the back-end should be deployed on edge and remote machines. In this case, the research question is how the switching of the app among the instances of the back-end can be dynamically decided based on the response time of the service instances. To answer this, we contribute an AI approach that trains machine-learning models of the response time of service instances. Our approach extends a back-end as a service into an AI self-back-end as a service that self-decides at runtime the right edge/remote instance that achieves the lowest response-time. We evaluate the accuracy and the efficiency of our approach by using real-word machine-learning datasets on an existing auction app. ¬© 2008-2012 IEEE.</t>
  </si>
  <si>
    <t>fog infrastructure; machine learning; Mobile back-end as a service</t>
  </si>
  <si>
    <t>Athanasopoulos, Dionysis (24177781800); Liu, Dewei (57305278900)</t>
  </si>
  <si>
    <t>24177781800; 57305278900</t>
  </si>
  <si>
    <t>https://www.scopus.com/inward/record.uri?eid=2-s2.0-85119597679&amp;doi=10.1109%2fTSC.2021.3117927&amp;partnerID=40&amp;md5=b01f532395402db3ebfacdc2c2f1c29a</t>
  </si>
  <si>
    <t>2-s2.0-85119597679</t>
  </si>
  <si>
    <t>Decision trees; Nearest neighbor search; Fog infrastructure; Machine decisions; Mobile app; Mobile applications; Neural-networks; Runtimes; Support vectors machine; Time factors; Training methods; \justifying mobile back-end as a service; Support vector machines</t>
  </si>
  <si>
    <t>Dong M.; Yu H.; Sun Z.; Wu M.; Zhang L.; Sui Y.; Yu G.; Han T.; Zhao R.</t>
  </si>
  <si>
    <t>Design of IoT Gateway for Crop Growth Environmental Monitoring Based on Edge-Computing Technology</t>
  </si>
  <si>
    <t>10.1155/2022/8327006</t>
  </si>
  <si>
    <t>With the extensive use of the Internet of Things (IoT) in agriculture, the number of terminals are also grow rapidly. This will increase the network traffic and computing pressure of the centralized server. The centralized data processing mode used in traditional agriculture cannot meet the needs of the Internet of everything era. This paper designs a gateway based on edge-computing technology for monitoring crop growth environment. It uses virtualized container technology to package long-range wide-area network (LoRaWAN) server, pest identification, and environmental information data fusion functions into images. It forms integrated operation mode of multiple function in agriculture. The gateway applies message-oriented middleware to standardize and customize the data transmission among functional modules, clouds, and edges. Through simulation and field test, the designed gateway can achieve the functions of each module at the same time, the resource utilization, and the transmission quality are stable. The edge-computing gateway has the advantages of low cost, low latency, and low power consumption which has practical significance.  ¬© 2022 Mo Dong et al.</t>
  </si>
  <si>
    <t>Dong, Mo (57682968900); Yu, Haiye (59157688600); Sun, Zhipeng (57657129700); Wu, Mingzhi (58598011400); Zhang, Lei (57213178709); Sui, Yuanyuan (36852160300); Yu, Guanghao (58356396500); Han, Ting (57819047600); Zhao, Ruohan (57658393700)</t>
  </si>
  <si>
    <t>57682968900; 59157688600; 57657129700; 58598011400; 57213178709; 36852160300; 58356396500; 57819047600; 57658393700</t>
  </si>
  <si>
    <t>Computational Intelligence and Neuroscience</t>
  </si>
  <si>
    <t>https://www.scopus.com/inward/record.uri?eid=2-s2.0-85134890833&amp;doi=10.1155%2f2022%2f8327006&amp;partnerID=40&amp;md5=84e4a72d10992afd31c9b37227e2be4f</t>
  </si>
  <si>
    <t>2-s2.0-85134890833</t>
  </si>
  <si>
    <t>Computer Simulation; Environmental Monitoring; Internet; Technology; Wireless Technology; Crops; Data fusion; Data handling; Environmental technology; Gateways (computer networks); Internet of Everything; Internet of things; Middleware; Centralised; Centralized server; Computing technology; Crop growth; Edge computing; Environmental Monitoring; Network computing; Network server; Network traffic; Wide-area networks; computer simulation; environmental monitoring; Internet; technology; wireless communication; Edge computing</t>
  </si>
  <si>
    <t>Xiao Y.; Ren G.; Deng S.; Wan F.; Kai P.</t>
  </si>
  <si>
    <t>A Production Scheduling Method for Resolving Multiple Equipment Operation Conflicts in Lithium Battery Mills</t>
  </si>
  <si>
    <t>10.1109/ACCESS.2022.3197606</t>
  </si>
  <si>
    <t>Due to the wide variety of production orders and complex processes in the lithium battery cell rolling shop, it is easy to cause conflict deadlock problems when multiple devices are operating at the same time, thus blocking the tasks and affecting productivity. In this paper, we build a task scheduling framework for the rolling shop by combining the production process of lithium battery cells, and establish a production scheduling model for the rolling shop by considering the scheduling rules of order splitting and order prioritization. An improved genetic algorithm is proposed to solve the model with the completion time and delay time as the optimization objectives. First, heuristic rules are combined with GLR initialization methods to generate initial populations to improve population quality. Secondly, a simulated annealing algorithm with an elite retention strategy is introduced to screen the new population, and a neighborhood exchange strategy based on order priority ranking is proposed to overcome the problem that the iterative process is prone to illegal solutions. Finally, the encoding method and mutation repair mechanism are improved, and adaptive crossover and mutation operations are used to improve the search capability of the algorithm. The experimental results show that the improved genetic algorithm is feasible and effective in solving the optimization problem of rolling operation shop scheduling, and the algorithm has certain application value in improving the efficiency of smart shop operation. ¬© 2013 IEEE.</t>
  </si>
  <si>
    <t>adaptive crossover-mutation; genetic algorithm; job shop scheduling; Lithium battery rolling mill; rolling shop</t>
  </si>
  <si>
    <t>Xiao, Yanjun (35174052700); Ren, Guoqing (57847657800); Deng, Shuhan (59004939100); Wan, Feng (57218338479); Kai, Peng (57203417167)</t>
  </si>
  <si>
    <t>35174052700; 57847657800; 59004939100; 57218338479; 57203417167</t>
  </si>
  <si>
    <t>https://www.scopus.com/inward/record.uri?eid=2-s2.0-85136146113&amp;doi=10.1109%2fACCESS.2022.3197606&amp;partnerID=40&amp;md5=746d613eb9c973edb9878620f0b2dbd9</t>
  </si>
  <si>
    <t>2-s2.0-85136146113</t>
  </si>
  <si>
    <t>Heuristic methods; Iterative methods; Job shop scheduling; Lithium batteries; Multitasking; Problem solving; Scheduling algorithms; Simulated annealing; Adaptive crossover mutation; Battery cells; Job-Shop scheduling; Lithium battery rolling mill; Optimisations; Production Scheduling; Production system; Rolling shop; Task analysis; Genetic algorithms</t>
  </si>
  <si>
    <t>Ali A.; Iqbal M.M.; Jamil H.; Qayyum F.; Jabbar S.; Cheikhrouhou O.; Baz M.; Jamil F.</t>
  </si>
  <si>
    <t>An efficient dynamic-decision based task scheduler for task offloading optimization and energy management in mobile cloud computing</t>
  </si>
  <si>
    <t>10.3390/s21134527</t>
  </si>
  <si>
    <t>Restricted abilities of mobile devices in terms of storage, computation, time, energy sup-ply, and transmission causes issues related to energy optimization and time management while processing tasks on mobile phones. This issue pertains to multifarious mobile device-related dimen-sions, including mobile cloud computing, fog computing, and edge computing. On the contrary, mobile devices‚Äô dearth of storage and processing power originates several issues for optimal energy and time management. These problems intensify the process of task retaining and offloading on mobile devices. This paper presents a novel task scheduling algorithm that addresses energy consumption and time execution by proposing an energy-efficient dynamic decision-based method. The proposed model quickly adapts to the cloud computing tasks and energy and time computation of mobile devices. Furthermore, we present a novel task scheduling server that performs the of-floading computation process on the cloud, enhancing the mobile device‚Äôs decision-making ability and computational performance during task offloading. The process of task scheduling harnesses the proposed empirical algorithm. The outcomes of this study enable effective task scheduling wherein energy consumption and task scheduling reduces significantly. ¬© 2021 by the authors. Licensee MDPI, Basel, Switzerland.</t>
  </si>
  <si>
    <t>Cloud virtual machines; Fault tolerance; Mobile cloud computing; Offloading; Task scheduling</t>
  </si>
  <si>
    <t>Ali, Abid (57225729471); Iqbal, Muhammad Munawar (58544925000); Jamil, Harun (57222651920); Qayyum, Faiza (57225395084); Jabbar, Sohail (35179598300); Cheikhrouhou, Omar (35112771500); Baz, Mohammed (55026186000); Jamil, Faisal (57205302075)</t>
  </si>
  <si>
    <t>57225729471; 58544925000; 57222651920; 57225395084; 35179598300; 35112771500; 55026186000; 57205302075</t>
  </si>
  <si>
    <t>https://www.scopus.com/inward/record.uri?eid=2-s2.0-85108957029&amp;doi=10.3390%2fs21134527&amp;partnerID=40&amp;md5=9a85fec99f969408575177a08bc2ab11</t>
  </si>
  <si>
    <t>2-s2.0-85108957029</t>
  </si>
  <si>
    <t>Algorithms; Cloud Computing; Computers; Computers, Handheld; Decision making; Energy efficiency; Energy utilization; Fog computing; Multitasking; Storage management; Computation process; Computational performance; Dynamic decision; Empirical algorithms; Energy efficient; Energy optimization; Processing power; Task offloading; algorithm; cloud computing; computer; personal digital assistant; Mobile cloud computing</t>
  </si>
  <si>
    <t>Seo W.; Cha S.; Kim Y.; Huh J.; Park J.</t>
  </si>
  <si>
    <t>SLO-Aware Inference Scheduler for Heterogeneous Processors in Edge Platforms</t>
  </si>
  <si>
    <t>10.1145/3460352</t>
  </si>
  <si>
    <t>With the proliferation of applications with machine learning (ML), the importance of edge platforms has been growing to process streaming sensor, data locally without resorting to remote servers. Such edge platforms are commonly equipped with heterogeneous computing processors such as GPU, DSP, and other accelerators, but their computational and energy budget are severely constrained compared to the data center servers. However, as an edge platform must perform the processing of multiple machine learning models concurrently for multimodal sensor data, its scheduling problem poses a new challenge to map heterogeneous machine learning computation to heterogeneous computing processors. Furthermore, processing of each input must provide a certain level of bounded response latency, making the scheduling decision critical for the edge platform. This article proposes a set of new heterogeneity-Aware ML inference scheduling policies for edge platforms. Based on the regularity of computation in common ML tasks, the scheduler uses the pre-profiled behavior of each ML model and routes requests to the most appropriate processors. It also aims to satisfy the service-level objective (SLO) requirement while reducing the energy consumption for each request. For such SLO supports, the challenge of ML computation on GPUs and DSP is its inflexible preemption capability. To avoid the delay caused by a long task, the proposed scheduler decomposes a large ML task to sub-Tasks by its layer in the DNN model. ¬© 2021 ACM.</t>
  </si>
  <si>
    <t>Edge computing; heterogeneous computing; inference; machine learning; task scheduling</t>
  </si>
  <si>
    <t>Seo, Wonik (57188689106); Cha, Sanghoon (55128382300); Kim, Yeonjae (57219506798); Huh, Jaehyuk (54947224700); Park, Jongse (56310813400)</t>
  </si>
  <si>
    <t>57188689106; 55128382300; 57219506798; 54947224700; 56310813400</t>
  </si>
  <si>
    <t>ACM Transactions on Architecture and Code Optimization</t>
  </si>
  <si>
    <t>https://www.scopus.com/inward/record.uri?eid=2-s2.0-85116413818&amp;doi=10.1145%2f3460352&amp;partnerID=40&amp;md5=23fb82bf9eaccc528c5bdb97f3340c31</t>
  </si>
  <si>
    <t>2-s2.0-85116413818</t>
  </si>
  <si>
    <t>Budget control; Energy utilization; Green computing; Machine learning; Program processors; Scheduling; Computational budget; Computing processors; Edge computing; Heterogeneous computing; Heterogeneous processors; Inference; Machine learning models; Remote servers; Sensors data; Service level objective; Edge computing</t>
  </si>
  <si>
    <t>Mendoza‚Äêpitt√≠ L.; Calder√≥n‚Äêg√≥mez H.; G√≥mez‚Äêpulido J.M.; Vargas‚Äêlombardo M.; Castillo‚Äêsequera J.L.; de Blas C.S.</t>
  </si>
  <si>
    <t>Developing a long short‚Äêterm memory‚Äêbased model for forecasting the daily energy consumption of heating, ventilation, and air conditioning systems in buildings</t>
  </si>
  <si>
    <t>10.3390/app11156722</t>
  </si>
  <si>
    <t>Forecasting the energy consumption of heating, ventilating, and air conditioning systems is important for the energy efficiency and sustainability of buildings. In fact, conventional models present limitations in these systems due to their complexity and unpredictability. To overcome this, the long short‚Äêterm memory‚Äêbased model is employed in this work. Our objective is to develop and evaluate a model to forecast the daily energy consumption of heating, ventilating, and air conditioning systems in buildings. For this purpose, we apply a comprehensive methodology that allows us to obtain a robust, generalizable, and reliable model by tuning different parameters. The results show that the proposed model achieves a significant improvement in the coefficient of variation of root mean square error of 9.5% compared to that proposed by international agencies. We conclude that these results provide an encouraging outlook for its implementation as an intelligent service for decision making, capable of overcoming the problems of other noise‚Äêsensitive models affected by data variations and disturbances without the need for expert knowledge in the domain. ¬© 2021 by the authors. Licensee MDPI, Basel, Switzerland.</t>
  </si>
  <si>
    <t>Daily energy consumption; Deep learning; Forecasting model; HVAC systems; Long short‚Äêterm memory; Short‚Äêterm forecast</t>
  </si>
  <si>
    <t>Mendoza‚Äêpitt√≠, Luis (57212213557); Calder√≥n‚Äêg√≥mez, Huriviades (57212213794); G√≥mez‚Äêpulido, Jos√© Manuel (36767542700); Vargas‚Äêlombardo, Miguel (36009410700); Castillo‚Äêsequera, Jos√© Luis (58644043900); de Blas, Clara Simon (57196422360)</t>
  </si>
  <si>
    <t>57212213557; 57212213794; 36767542700; 36009410700; 58644043900; 57196422360</t>
  </si>
  <si>
    <t>https://www.scopus.com/inward/record.uri?eid=2-s2.0-85111601172&amp;doi=10.3390%2fapp11156722&amp;partnerID=40&amp;md5=8bc67397901009da702546b032f2e752</t>
  </si>
  <si>
    <t>2-s2.0-85111601172</t>
  </si>
  <si>
    <t>Fernandez C.M.; Alves J.; Gaspar P.D.; Lima T.M.</t>
  </si>
  <si>
    <t>Fostering awareness on environmentally sustainable technological solutions for the post-harvest food supply chain</t>
  </si>
  <si>
    <t>10.3390/pr9091611</t>
  </si>
  <si>
    <t>This study presents a current status and future trends of innovative and environmentally sustainable technological solutions for the post-harvest food supply chain and the food industry, in terms of ecological packaging, active, and/or intelligent packaging. All these concerns are currently highlighted due to the strong increase in the purchase/sale of products on online platforms, as well as the requirements for stricter food security and safety. Thus, this study aims to increase the global awareness of agro-industrial micro, small, and medium size enterprises for the adoption of innovative food solutions though industry digitalization (Industry 4.0), associated logistics and circular economy, with a concern for cybersecurity and products information, communication and shelf-life extension. The adoption of these guidelines will certainly foster along the complete food chain (from producer to consumer, with all intermediary parties) the awareness on environmentally sustainable technological solutions for the post-harvest food supply chain, and thus, promoting the future food sustainability required by the population increase, the climate change, the exodus of rural population to urban areas, and food loss and waste. ¬© 2021 by the authors. Licensee MDPI, Basel, Switzerland.</t>
  </si>
  <si>
    <t>Agro-industry; Circular econ-omy; Food safety; Food supply chain; Industry 4.0 and cybersecurity; Packaging; Sustainability; Waste</t>
  </si>
  <si>
    <t>Fernandez, Carlos M. (57215897449); Alves, Joel (57224008789); Gaspar, Pedro Dinis (57419570900); Lima, T√¢nia M. (48661120000)</t>
  </si>
  <si>
    <t>57215897449; 57224008789; 57419570900; 48661120000</t>
  </si>
  <si>
    <t>https://www.scopus.com/inward/record.uri?eid=2-s2.0-85114800112&amp;doi=10.3390%2fpr9091611&amp;partnerID=40&amp;md5=4d739f7a59f90b159ecdd9113beb3643</t>
  </si>
  <si>
    <t>2-s2.0-85114800112</t>
  </si>
  <si>
    <t>Mostafavi S.; Hakami V.; Sanaei M.</t>
  </si>
  <si>
    <t>Quality of service provisioning in network function virtualization: a survey</t>
  </si>
  <si>
    <t>10.1007/s00607-021-00925-x</t>
  </si>
  <si>
    <t>Network function virtualization (NFV) is a promising paradigm for network service provisioning which decouples the network functions from the physical infrastructure, allowing to deploy the virtualized network functions (VNF) as modular software components over commodity servers. In this architecture, service function chaining (SFC) creates an application-specific network overlay which determines the placement and ordering of network functions in a specific service delivery chain. The diverse choices for VNF placement over physical hardware, scheduling of VNF instances to run over the servers and design of optimal chaining mechanisms for traffic steering in the network have direct consequences on the quality-of-service (QoS) perceived by the network users. Previous surveys have focused on categorizing and evaluating various aspects of SFC, NFV and SDN. Due to the tight coupling of QoS provisioning with NFV problems, our work aims primarily at complementing the existing surveys in the sense that we review and classify the state-of-art research efforts in NFV design and implementation from the perspective of QoS provisioning. Our survey provides a closer look at the design space of QoS-related NFV solutions and sheds light on the open research topics in relevance with QoS-based SFC. We also present a case study to evaluate the performance of some recent VNF placement algorithms. ¬© 2021, The Author(s), under exclusive licence to Springer-Verlag GmbH, AT part of Springer Nature.</t>
  </si>
  <si>
    <t>Network function virtualization; Quality of service; Virtual network function</t>
  </si>
  <si>
    <t>Mostafavi, Seyedakbar (36473716900); Hakami, Vesal (15753273600); Sanaei, Maryam (57210204292)</t>
  </si>
  <si>
    <t>36473716900; 15753273600; 57210204292</t>
  </si>
  <si>
    <t>https://www.scopus.com/inward/record.uri?eid=2-s2.0-85102179025&amp;doi=10.1007%2fs00607-021-00925-x&amp;partnerID=40&amp;md5=f9a484f1f30dc62ed5d6174f29184d81</t>
  </si>
  <si>
    <t>2-s2.0-85102179025</t>
  </si>
  <si>
    <t>Function evaluation; Infrastructure as a service (IaaS); Quality of service; Surveys; Telecommunication services; Transfer functions; Application-specific network; Design and implementations; Modular softwares; Network functions; Placement algorithm; Quality of service provisioning; Service delivery; Service functions; Network function virtualization</t>
  </si>
  <si>
    <t>Prasetyo Y.A.; Albarda; Suhardi; Arman A.A.; Yustianto P.; Hartanti F.T.</t>
  </si>
  <si>
    <t>Implementation of Service Platform for Smart City As A Service</t>
  </si>
  <si>
    <t>10.1109/ICITSI50517.2020.9264955</t>
  </si>
  <si>
    <t>An ecosystem of digital services requires a service platform to facilitate a dynamic service introduction. As a system of systems and a service-oriented system, Smart City has key characteristics of a service ecosystem. However, a service platform has unique characteristics to become a service platform for the implementation of Smart City. On the other hand, an implementation of a service platform for a Smart City must depart from a proven service platform concept conforming to the characteristics of a Smart City Architecture. This paper elaborates an initial process of a service platform implementation with Smart City characteristics. This initial study takes its form as a descriptive study from a systematic literature review employing a Design Research Methodology (DRM) approach. This paper provides an overview of an application of service platforms concept in the digital service ecosystem and service computing systems to fulfill the need of a Smart City Architecture characteristics.  ¬© 2020 IEEE.</t>
  </si>
  <si>
    <t>Architecture; Service Computing System; Service Platform; Smart City</t>
  </si>
  <si>
    <t>Prasetyo, Yuli Adam (57204528456); Albarda (55548334400); Suhardi (57205466215); Arman, Arry Ahmad (56039352800); Yustianto, Purnomo (56703278000); Hartanti, Fera Tri (57221613104)</t>
  </si>
  <si>
    <t>57204528456; 55548334400; 57205466215; 56039352800; 56703278000; 57221613104</t>
  </si>
  <si>
    <t>2020 International Conference on Information Technology Systems and Innovation, ICITSI 2020 - Proceedings</t>
  </si>
  <si>
    <t>https://www.scopus.com/inward/record.uri?eid=2-s2.0-85099569399&amp;doi=10.1109%2fICITSI50517.2020.9264955&amp;partnerID=40&amp;md5=614457a8c9929bb99b497ab266776423</t>
  </si>
  <si>
    <t>2-s2.0-85099569399</t>
  </si>
  <si>
    <t>Ecosystems; Information services; Smart city; System of systems; Descriptive studies; Design research methodology (DRM); Key characteristics; Service computing; Service ecosystems; Service Oriented Systems; Service platforms; Systematic literature review; Platform as a Service (PaaS)</t>
  </si>
  <si>
    <t>Meyer V.; Kirchoff D.F.; Da Silva M.L.; De Rose C.A.F.</t>
  </si>
  <si>
    <t>ML-driven classification scheme for dynamic interference-aware resource scheduling in cloud infrastructures[Formula presented]</t>
  </si>
  <si>
    <t>10.1016/j.sysarc.2021.102064</t>
  </si>
  <si>
    <t>Computing systems continue to evolve, resulting in increased performance when processing workloads in large data centers due to the virtualization benefits. This technology is the key factor that allows multiple applications to share resources, thereby enhancing the overall hardware utilization of cloud computing environments. However, multiple cloud-services contending for shared resources are susceptible to cross-application interference, which can lead to significant performance degradation and, consequently, an increase in Service Level Agreements violations. Nevertheless, state-of-the-art resource scheduling still relies mainly on resource capacity, adopting heuristics such as bin-packing and overlooking this source of overhead. But in recent years, interference-aware scheduling has gained traction, with the investigation of ways to classify applications regarding their interference levels and the proposal of static interference models and policies for scheduling co-hosted cloud applications. The preliminary results already show a considerable improvement in resource utilization and can be considered as the first steps toward a dynamic scheduling strategy. In this scenario, this paper proposes a machine learning-driven classification scheme for dynamic interference-aware resource scheduling in cloud computing environments. The main goal is to present how a classification approach, that better represents the workload variations, affects resource scheduling. In the first place, we analyze how hardware resources react to different applications with dynamic workloads. Then, we explore distinct interference classification formats and evaluate their efficiency, taking the dynamic nature of cloud workloads into account. Lastly, we present an interference-aware application classifier based on machine learning techniques and compare it with related work, adopting a variety of workload patterns. Preliminary results revealed an improvement in resource utilization efficiency by 27%, on average, when applying our classification approach in cloud infrastructures. ¬© 2021 Elsevier B.V.</t>
  </si>
  <si>
    <t>Cloud computing; Cross-application interference; Dynamic resource scheduling; Interference-aware classification; Machine learning; Resource contention; Workload analysis</t>
  </si>
  <si>
    <t>Meyer, Vin√≠cius (57209336662); Kirchoff, Dionatr√£ F. (57205188934); Da Silva, Matheus L. (57216949549); De Rose, Cesar A.F. (14021022000)</t>
  </si>
  <si>
    <t>57209336662; 57205188934; 57216949549; 14021022000</t>
  </si>
  <si>
    <t>https://www.scopus.com/inward/record.uri?eid=2-s2.0-85101848639&amp;doi=10.1016%2fj.sysarc.2021.102064&amp;partnerID=40&amp;md5=34fea5e739760b8745163f76231c61af</t>
  </si>
  <si>
    <t>2-s2.0-85101848639</t>
  </si>
  <si>
    <t>Efficiency; Machine learning; Platform as a Service (PaaS); Turing machines; Classification approach; Classification scheme; Cloud computing environments; Cloud infrastructures; Multiple applications; Performance degradation; Resource utilizations; Service Level Agreements; Scheduling</t>
  </si>
  <si>
    <t>Liu Q.; Yan Z.; Chen C.W.</t>
  </si>
  <si>
    <t>Integrating Mobile Display Energy Saving into Cloud-Based Video Streaming via Rate-Distortion-Display Energy Profiling</t>
  </si>
  <si>
    <t>10.1109/TCC.2016.2630684</t>
  </si>
  <si>
    <t>Mobile displays have been recognized as the major contributors to the energy consumption of contemporary mobile video services. Existing display energy reduction (DER) algorithms focus on local video/image processing by utilizing the computation resources on the mobile devices. As such, a per-device DER strategy is highly inefficient from the systematic perspective since the same computation is repeated among millions of individual mobile devices. In this new era of cloud-based video streaming, a natural question to ask is can ubiquitous cloud resources be exploited to overcome these drawbacks. It is based on this motivation that we design a paradigm-shifting strategy to integrate the display energy saving engine into cloud-based video streaming in order to simultaneously benefit massive mobile devices with a one-time video processing in the cloud. By taking full advantage of the computational and storage resources in the cloud, a family of Rate-Distortion-Display Energy (R-D-DE) profiles can be created for a given video source and for different types of mobile devices. The preliminary experimental results with OLED displays prove that we can achieve the desired DER performance through jointly managing the display energy and user experience by implementing the proposed R-D-DE integrated video encoding engine in the cloud. ¬© 2013 IEEE.</t>
  </si>
  <si>
    <t>big data; cloud media processing; cloud-based video streaming; Display energy reduction; OLED; rate-distortion theory</t>
  </si>
  <si>
    <t>Liu, Qian (55712261600); Yan, Zhisheng (56431785100); Chen, Chang Wen (57196286409)</t>
  </si>
  <si>
    <t>55712261600; 56431785100; 57196286409</t>
  </si>
  <si>
    <t>https://www.scopus.com/inward/record.uri?eid=2-s2.0-85097833638&amp;doi=10.1109%2fTCC.2016.2630684&amp;partnerID=40&amp;md5=d0c23c385e19b7df77b1c4cd93215948</t>
  </si>
  <si>
    <t>2-s2.0-85097833638</t>
  </si>
  <si>
    <t>Electric distortion; Energy conservation; Energy utilization; Engines; Signal distortion; User experience; Video streaming; Computation resources; Display energies; Mobile Displays; Rate distortions; Shifting strategy; Storage resources; Video encodings; Video processing; Display devices</t>
  </si>
  <si>
    <t>Li X.; Ye B.</t>
  </si>
  <si>
    <t>Latency-Aware Computation Offloading for 5G Networks in Edge Computing</t>
  </si>
  <si>
    <t>10.1155/2021/8800234</t>
  </si>
  <si>
    <t>With the development of Internet of Things, massive computation-intensive tasks are generated by mobile devices whose limited computing and storage capacity lead to poor quality of services. Edge computing, as an effective computing paradigm, was proposed for efficient and real-time data processing by providing computing resources at the edge of the network. The deployment of 5G promises to speed up data transmission but also further increases the tasks to be offloaded. However, how to transfer the data or tasks to the edge servers in 5G for processing with high response efficiency remains a challenge. In this paper, a latency-aware computation offloading method in 5G networks is proposed. Firstly, the latency and energy consumption models of edge computation offloading in 5G are defined. Then the fine-grained computation offloading method is employed to reduce the overall completion time of the tasks. The approach is further extended to solve the multiuser computation offloading problem. To verify the effectiveness of the proposed method, extensive simulation experiments are conducted. The results show that the proposed offloading method can effectively reduce the execution latency of the tasks. ¬© 2021 Xianwei Li and Baoliu Ye.</t>
  </si>
  <si>
    <t>Li, Xianwei (57288973000); Ye, Baoliu (12792666700)</t>
  </si>
  <si>
    <t>57288973000; 12792666700</t>
  </si>
  <si>
    <t>https://www.scopus.com/inward/record.uri?eid=2-s2.0-85116717984&amp;doi=10.1155%2f2021%2f8800234&amp;partnerID=40&amp;md5=0d6cc696d8fa99f8a4a66063b0d1b204</t>
  </si>
  <si>
    <t>2-s2.0-85116717984</t>
  </si>
  <si>
    <t>Data handling; Digital storage; Edge computing; Energy utilization; Queueing networks; Computation offloading; Computation-intensive task; Computing capacity; Computing paradigm; Edge computing; Efficient time; Latency-aware; Quality-of-service; Real-time data processing; Storage capacity; 5G mobile communication systems</t>
  </si>
  <si>
    <t>Shareef A.A.A.; Yannawar P.L.</t>
  </si>
  <si>
    <t>Recent Advances in IoT Based Smart Object Detection and Its Authentication by BlockChain Approaches</t>
  </si>
  <si>
    <t>10.1007/978-981-16-0507-9_4</t>
  </si>
  <si>
    <t>With the rapid improvement of the modern digital world and IoT-based systems, the accurate detection of objects moving in a dynamic scene has become an important and critical task. The object presented in videos and images is detected and recognized using various techniques, its information is extracted, transferred through the internet and displayed on the main monitoring system. The recognized object can be anything we repeatedly observe in our daily life such as human, animal, car, bicycle, etc. To detect such objects in a video or an image, the system needs to do a complex task using hardware and software components in order to complete the function as expected. This paper offers a review of the different techniques that have been used to detect an object, categorize it, localize it, extract its features, and many more, in images and videos. The comments are drawn from the studied literature that is related to IoT based object detection. Some perspectives solutions for object reorganization and tracking are also presented. This paper may significantly help researchers in this domain to start with essential knowledge for developing their own efficient schemes. ¬© 2021, Springer Nature Singapore Pte Ltd.</t>
  </si>
  <si>
    <t>Computer vision; IoT-based system; Object detection &amp; Recognition; Video surveillance</t>
  </si>
  <si>
    <t>Shareef, Ahmed A. A. (57222567789); Yannawar, Pravin L. (24451491100)</t>
  </si>
  <si>
    <t>57222567789; 24451491100</t>
  </si>
  <si>
    <t>https://www.scopus.com/inward/record.uri?eid=2-s2.0-85103305180&amp;doi=10.1007%2f978-981-16-0507-9_4&amp;partnerID=40&amp;md5=8a26b0a24a1703c0fc8643c10b34e2aa</t>
  </si>
  <si>
    <t>2-s2.0-85103305180</t>
  </si>
  <si>
    <t>Blockchain; Internet of things; Object recognition; Object tracking; Complex task; Critical tasks; Daily lives; Digital world; Dynamic scenes; Efficient schemes; Hardware and software components; Monitoring system; Object detection</t>
  </si>
  <si>
    <t>Oliveira G.F.; Gomez-Luna J.; Orosa L.; Ghose S.; Vijaykumar N.; Fernandez I.; Sadrosadati M.; Mutlu O.</t>
  </si>
  <si>
    <t>DAMOV: A New Methodology and Benchmark Suite for Evaluating Data Movement Bottlenecks</t>
  </si>
  <si>
    <t>10.1109/ACCESS.2021.3110993</t>
  </si>
  <si>
    <t>Data movement between the CPU and main memory is a first-order obstacle against improv ing performance, scalability, and energy efficiency in modern systems. Computer systems employ a range of techniques to reduce overheads tied to data movement, spanning from traditional mechanisms (e.g., deep multi-level cache hierarch ies, aggressive hardware prefetcher s) to emerging techniques such as Near-Data Processing (NDP), where some computation is moved close to memory. Prior NDP works investigate the root causes of data movement bottlenecks using different profiling methodologies and tools. However, there is still a lack of understanding about the key metrics that can identify different data movement bottlenecks and their relation to traditional and emerging data movement mitigation mechanisms. Our goal is to methodically identify potential sources of data movement over a broad set of applications and to comprehensively compare traditional compute-centric data movement mitigation techniques (e.g., cach ing and prefetch ing) to more memory-centric techniques (e.g., NDP), thereby developing a rigorous understanding of the best techniques to mitigate each source of data movement. With this goal in mind, we perform the first large-scale characterization of a wide variety of applications, across a wide range of application domains, to identify fundamental program properties that lead to data movement to/from main memory. We develop the first systematic methodology to classify applications based on the sources contributing to data movement bottlenecks. From our large-scale characterization of 77K functions across 345 applications, we select 144 functions to form the first open-source benchmark suite (DAMOV) for main memory data movement studies. We select a diverse range of functions that (1) represent different types of data movement bottlenecks, and (2) come from a wide range of application domains. Using NDP as a case study, we identify new insights about the different data movement bottlenecks and use these insights to determine the most suitable data movement mitigation mechanism for a particular application. We open-source DAMOV and the complete source code for our new characterization methodology at https://github.com/CMU-SAFARI/DAMOV.  ¬© 2013 IEEE.</t>
  </si>
  <si>
    <t>3D-stacked memory; Benchmarking; data movement; energy; memory systems; near-data processing; performance; processing-in-memory; workload characterization</t>
  </si>
  <si>
    <t>Oliveira, Geraldo F. (57193932612); Gomez-Luna, Juan (57204509523); Orosa, Lois (55062282700); Ghose, Saugata (57006238800); Vijaykumar, Nandita (57159595400); Fernandez, Ivan (57209309035); Sadrosadati, Mohammad (56938826900); Mutlu, Onur (16043006700)</t>
  </si>
  <si>
    <t>57193932612; 57204509523; 55062282700; 57006238800; 57159595400; 57209309035; 56938826900; 16043006700</t>
  </si>
  <si>
    <t>https://www.scopus.com/inward/record.uri?eid=2-s2.0-85114729305&amp;doi=10.1109%2fACCESS.2021.3110993&amp;partnerID=40&amp;md5=ccdfc2b3e019c01113b32e1941896d72</t>
  </si>
  <si>
    <t>2-s2.0-85114729305</t>
  </si>
  <si>
    <t>Application programs; Benchmarking; Cache memory; Energy efficiency; Open source software; Open systems; Caching and prefetching; Improving performance; Mitigation techniques; Multi-level cache; Potential sources; Program properties; Scale characterization; Systematic methodology; Data handling</t>
  </si>
  <si>
    <t>Li Z.; Cao J.; Liu X.; Zhang J.; Hu H.; Yao D.</t>
  </si>
  <si>
    <t>A Self-Adaptive Bluetooth Indoor Localization System using LSTM-based Distance Estimator</t>
  </si>
  <si>
    <t>10.1109/ICCCN49398.2020.9209674</t>
  </si>
  <si>
    <t>2020-August</t>
  </si>
  <si>
    <t>In recent years, there is an increasing demand for indoor localization services with the aim to locate people and objects inside buildings. However, localization accuracy is susceptible to inaccurate and high variant sensor measurements due to the unpredictable fluctuations of received wireless signals and the sensitivity of hardware devices. To address this issue, in this paper, we establish a new Bluetooth indoor localization system, whose architecture can be basically decomposed into two parts: the internet-of-things (IoT) framework and the localization module. Concretely, the IoT platform uses the state-of-the-art light weight Spring Boot microservice framework consisting of multi-layer structure. In the localization module, it follows the general process of trilateration but significantly distinguished from it. A set of measures are adopted to strengthen the system's robustness when obtained measurements cannot be fully trusted. Specifically, in the first place, rather than using conventional propagation model to predict the distance between Bluetooth transmitter and receiver, we design a bran-new LSTM-based distance estimator which can better depict the nonlinearity of attenuation characteristics of radio signal. Moreover, we also employ a series of self-adaptive mechanisms, including elastic radius intersecting, multiple weighted centroid localization and self-adaptive Kalman tracking, to make the system robust against inaccurate measurements and unpredictable sudden variation of received wireless signal. A bunch of tests are conducted in both ideal lab environment and Alibaba's large-scale warehouse, and experimental results show our indoor localization system outperforms the state-of-the-art benchmarks by a large margin in both localization accuracy and stability. ¬© 2020 IEEE.</t>
  </si>
  <si>
    <t>Bluetooth indoor localization; LSTM-based distance estimator; Self-adaptive Kalman tracking</t>
  </si>
  <si>
    <t>Li, Zhuo (57206872904); Cao, Jiannong (7403354073); Liu, Xiulong (55981047600); Zhang, Jiuwu (57211357527); Hu, Haoyuan (57212514272); Yao, Didi (57209361874)</t>
  </si>
  <si>
    <t>57206872904; 7403354073; 55981047600; 57211357527; 57212514272; 57209361874</t>
  </si>
  <si>
    <t>Proceedings - International Conference on Computer Communications and Networks, ICCCN</t>
  </si>
  <si>
    <t>https://www.scopus.com/inward/record.uri?eid=2-s2.0-85093862399&amp;doi=10.1109%2fICCCN49398.2020.9209674&amp;partnerID=40&amp;md5=dac41db0df5e3cd3679c3566374ee028</t>
  </si>
  <si>
    <t>2-s2.0-85093862399</t>
  </si>
  <si>
    <t>Bluetooth; Environmental testing; Internet of things; Long short-term memory; Radio transmission; Signal receivers; Attenuation characteristics; Bluetooth transmitters; Indoor localization systems; Internet of thing (IOT); Localization accuracy; Multilayer structures; Self-adaptive mechanisms; Weighted centroid localizations; Indoor positioning systems</t>
  </si>
  <si>
    <t>Shruthi P.; Cholli N.G.</t>
  </si>
  <si>
    <t>An analysis of software aging in cloud environment</t>
  </si>
  <si>
    <t>10.11591/ijece.v10i6.pp5985-5991</t>
  </si>
  <si>
    <t>Cloud computing is the environment in which several virtual machines (VM) run concurrently on physical machines. The cloud computing infrastructure hosts multiple cloud services that communicate with each other using the interfaces. During operation, the software systems accumulate errors or garbage that leads to system failure and other hazardous consequences. This status is called software aging. Software aging happens because of memory fragmentation, resource consumption in large scale and accumulation of numerical error. Software aging degrads the performance that may result in system failure. This happens because of premature resource exhaustion. The errors that cause software agings are of special types and target the response time and its environment. This issue is to be resolved only during run time as it occurs because of the dynamic nature of the problem. To alleviate the impact of software aging, software rejuvenation technique is being used. Rejuvenation process reboots the system or reinitiates the softwares. Software rejuvenation removes accumulated error conditions, frees up deadlocks and defragments operating system resources like memory. Software aging and rejuvenation has generated a lot of research interest recently. This work reviews some of the research works related to detection of software aging and identifies research gaps. Copyright ¬© 2020 Institute of Advanced Engineering and Science. All rights reserved.</t>
  </si>
  <si>
    <t>Cloud computing; Software aging; Software rejuvenation</t>
  </si>
  <si>
    <t>Shruthi, P. (57215743819); Cholli, Nagaraj G. (57202086135)</t>
  </si>
  <si>
    <t>57215743819; 57202086135</t>
  </si>
  <si>
    <t>https://www.scopus.com/inward/record.uri?eid=2-s2.0-85089401757&amp;doi=10.11591%2fijece.v10i6.pp5985-5991&amp;partnerID=40&amp;md5=332678ac19fc6757eb8a2b82a23cee40</t>
  </si>
  <si>
    <t>2-s2.0-85089401757</t>
  </si>
  <si>
    <t>Staegemann D.; Volk M.; Shakir A.; Lautenschl√§ger E.; Turowski K.</t>
  </si>
  <si>
    <t>Examining the Interplay Between Big Data and Microservices ‚Äì A Bibliometric Review</t>
  </si>
  <si>
    <t>10.7250/csimq.2021-27.04</t>
  </si>
  <si>
    <t>Due to the ever increasing amount of data that is produced and captured in today‚Äôs world, the concept of big data has risen to prominence. However, implementing the respective applications is still a challenging task. This holds especially true, since a high degree of flexibility is desirable. One potential approach is the utilization of novel decentralized technologies, as in the case of microservices to construct such big data analytics solutions. To obtain an overview of the current situation regarding the corresponding research, using the scientific database Scopus and its provided tools for search and analytics, this bibliometric review provides an analysis of the literature and subsequently discusses avenues for future research. ¬© 2021 Daniel Staegemann, Matthias Volk, Aamir Shakir, Erik Lautenschl√§ger, and Klaus Turowski.</t>
  </si>
  <si>
    <t>Bibliometric Review; Big Data; Big Data Engineering; Literature Review; Microservice</t>
  </si>
  <si>
    <t>Staegemann, Daniel (57209341661); Volk, Matthias (57191155740); Shakir, Aamir (57226407677); Lautenschl√§ger, Erik (57226646013); Turowski, Klaus (7004567723)</t>
  </si>
  <si>
    <t>57209341661; 57191155740; 57226407677; 57226646013; 7004567723</t>
  </si>
  <si>
    <t>Complex Systems Informatics and Modeling Quarterly</t>
  </si>
  <si>
    <t>https://www.scopus.com/inward/record.uri?eid=2-s2.0-85158086182&amp;doi=10.7250%2fcsimq.2021-27.04&amp;partnerID=40&amp;md5=6d2b76415f539454bb68a6882817b423</t>
  </si>
  <si>
    <t>2-s2.0-85158086182</t>
  </si>
  <si>
    <t>Larsson L.; Gustafsson H.; Klein C.; Elmroth E.</t>
  </si>
  <si>
    <t>Decentralized kubernetes federation control plane</t>
  </si>
  <si>
    <t>10.1109/UCC48980.2020.00056</t>
  </si>
  <si>
    <t>This position paper presents our vision for a distributed decentralized Kubernetes federation control plane. The goal is to support federations consisting of thousands of Kubernetes clusters, in order to support next generation edge cloud use-cases. Our review of the literature and experience with the current centralized state of the art Kubernetes federation controllers shows that it is unable to scale to a sufficient size, and centralization constitutes an unacceptable single point of failure. Our proposed system maintains cluster autonomy, allows clusters to collaboratively handle error conditions, and scales to support edge cloud use-cases. Our approach is based on a shared database of conflict-free replicated data types (CRDTs), shared among all clusters in the federation, and algorithms that make use of the data. ¬© 2020 IEEE.</t>
  </si>
  <si>
    <t>Cloud computing; Distributed algorithms; Distributed databases; Distributed systems; Federated cloud computing; Kubernetes</t>
  </si>
  <si>
    <t>Larsson, Lars (35226477000); Gustafsson, Harald (7102718602); Klein, Cristian (57193956111); Elmroth, Erik (6603647425)</t>
  </si>
  <si>
    <t>35226477000; 7102718602; 57193956111; 6603647425</t>
  </si>
  <si>
    <t>Proceedings - 2020 IEEE/ACM 13th International Conference on Utility and Cloud Computing, UCC 2020</t>
  </si>
  <si>
    <t>https://www.scopus.com/inward/record.uri?eid=2-s2.0-85099559901&amp;doi=10.1109%2fUCC48980.2020.00056&amp;partnerID=40&amp;md5=10eca0223df9d3459051dbfa12a55c5c</t>
  </si>
  <si>
    <t>2-s2.0-85099559901</t>
  </si>
  <si>
    <t>Computer programming; Computer science; Conflict free; Control planes; Edge clouds; Error condition; Position papers; Replicated data; Single point; State of the art; Cloud computing</t>
  </si>
  <si>
    <t>Berko A.; Chyrun L.; Dyyak I.; Andrunyk V.; Chyrun L.; Antonyuk N.</t>
  </si>
  <si>
    <t>E-Commercial Systems Designing Methods for Virtual Enterprise</t>
  </si>
  <si>
    <t>10.1109/CSIT49958.2020.9321939</t>
  </si>
  <si>
    <t>This article describes analysis of the main problems of e-commerce and suggests methods for solving these problems. ¬© 2020 IEEE.</t>
  </si>
  <si>
    <t>content; e-commerce; information; Web resource</t>
  </si>
  <si>
    <t>Berko, Andrii (24483044100); Chyrun, Liliya (57205200124); Dyyak, Ivan (6602615475); Andrunyk, Vasyl (57202441589); Chyrun, Lyubomyr (55225672300); Antonyuk, Nataliya (57204917951)</t>
  </si>
  <si>
    <t>24483044100; 57205200124; 6602615475; 57202441589; 55225672300; 57204917951</t>
  </si>
  <si>
    <t>International Scientific and Technical Conference on Computer Sciences and Information Technologies</t>
  </si>
  <si>
    <t>https://www.scopus.com/inward/record.uri?eid=2-s2.0-85100445921&amp;doi=10.1109%2fCSIT49958.2020.9321939&amp;partnerID=40&amp;md5=bf8781ddf6bc9ae0ce4745aa4858b273</t>
  </si>
  <si>
    <t>2-s2.0-85100445921</t>
  </si>
  <si>
    <t>Virtual reality; Commercial systems; Designing methods; Virtual enterprise; Virtual corporation</t>
  </si>
  <si>
    <t>Khan T.A.; Zhang D.; Sriraman A.; Devietti J.; Pokam G.; Litz H.; Kasikci B.</t>
  </si>
  <si>
    <t>Ripple: Profile-guided instruction cache replacement for data center applications</t>
  </si>
  <si>
    <t>10.1109/ISCA52012.2021.00063</t>
  </si>
  <si>
    <t>2021-June</t>
  </si>
  <si>
    <t>Modern data center applications exhibit deep software stacks, resulting in large instruction footprints that frequently cause instruction cache misses degrading performance, cost, and energy efficiency. Although numerous mechanisms have been proposed to mitigate instruction cache misses, they still fall short of ideal cache behavior, and furthermore, introduce significant hardware overheads. We first investigate why existing I-cache miss mitigation mechanisms achieve sub-optimal performance for data center applications. We find that widely-studied instruction prefetchers fall short due to wasteful prefetch-induced cache line evictions that are not handled by existing replacement policies. Existing replacement policies are unable to mitigate wasteful evictions since they lack complete knowledge of a data center application's complex program behavior.To make existing replacement policies aware of these eviction-inducing program behaviors, we propose Ripple, a novel software-only technique that profiles programs and uses program context to inform the underlying replacement policy about efficient replacement decisions. Ripple carefully identifies program con-texts that lead to I-cache misses and sparingly injects "cache line eviction"instructions in suitable program locations at link time. We evaluate Ripple using nine popular data center applications and demonstrate that Ripple enables any replacement policy to achieve speedup that is closer to that of an ideal I-cache. Specifically, Ripple achieves an average performance improvement of 1.6% (up to 2.13%) over prior work due to a mean 19% (up to 28.6%) I-cache miss reduction.  ¬© 2021 IEEE.</t>
  </si>
  <si>
    <t>Cache replacement; Frontend stalls</t>
  </si>
  <si>
    <t>Khan, Tanvir Ahmed (57188934366); Zhang, Dexin (57254085700); Sriraman, Akshitha (57189065986); Devietti, Joseph (22833997900); Pokam, Gilles (6506641935); Litz, Heiner (8395948600); Kasikci, Baris (57200611230)</t>
  </si>
  <si>
    <t>57188934366; 57254085700; 57189065986; 22833997900; 6506641935; 8395948600; 57200611230</t>
  </si>
  <si>
    <t>https://www.scopus.com/inward/record.uri?eid=2-s2.0-85113835906&amp;doi=10.1109%2fISCA52012.2021.00063&amp;partnerID=40&amp;md5=5d970e11f3585c5aef9f7b516b9098d3</t>
  </si>
  <si>
    <t>2-s2.0-85113835906</t>
  </si>
  <si>
    <t>Cache memory; Energy efficiency; Green computing; Cache miss reduction; Hardware overheads; Instruction cache miss; Instruction caches; Program behavior; Replacement policy; Software-only techniques; Sub-optimal performance; Application programs</t>
  </si>
  <si>
    <t>Garda≈°eviƒá G.; Katzis K.; Bajiƒá D.; Berbakov L.</t>
  </si>
  <si>
    <t>Emerging wireless sensor networks and internet of things technologies‚Äîfoundations of smart healthcare</t>
  </si>
  <si>
    <t>10.3390/s20133619</t>
  </si>
  <si>
    <t>Future smart healthcare systems ‚Äì often referred to as Internet of Medical Things (IoMT) ‚Äì will combine a plethora of wireless devices and applications that use wireless communication technologies to enable the exchange of healthcare data. Smart healthcare requires sufficient bandwidth, reliable and secure communication links, energy-efficient operations, and Quality of Service (QoS) support. The integration of Internet of Things (IoT) solutions into healthcare systems can significantly increase intelligence, flexibility, and interoperability. This work provides an extensive survey on emerging IoT communication standards and technologies suitable for smart healthcare applications. A particular emphasis has been given to low-power wireless technologies as a key enabler for energy-efficient IoT-based healthcare systems. Major challenges in privacy and security are also discussed. A particular attention is devoted to crowdsourcing/crowdsensing, envisaged as tools for the rapid collection of massive quantities of medical data. Finally, open research challenges and future perspectives of IoMT are presented. ¬© 2020 by the authors. Licensee MDPI, Basel, Switzerland.</t>
  </si>
  <si>
    <t>Communication technologies and protocols; Crowdsourcing/crowdsensing; Internet of Medical Things; Internet of Things; Smart healthcare; Wireless sensor networks</t>
  </si>
  <si>
    <t>Garda≈°eviƒá, Gordana (27867668700); Katzis, Konstantinos (9436690800); Bajiƒá, Dragana (56186463400); Berbakov, Lazar (48361022900)</t>
  </si>
  <si>
    <t>27867668700; 9436690800; 56186463400; 48361022900</t>
  </si>
  <si>
    <t>Sensors (Switzerland)</t>
  </si>
  <si>
    <t>https://www.scopus.com/inward/record.uri?eid=2-s2.0-85086986997&amp;doi=10.3390%2fs20133619&amp;partnerID=40&amp;md5=2740b7dc16f7988b936169a1597f5a6e</t>
  </si>
  <si>
    <t>2-s2.0-85086986997</t>
  </si>
  <si>
    <t>Communication; Delivery of Health Care; Internet of Things; Privacy; Wireless Technology; Energy efficiency; Health care; Interoperability; Quality of service; Wireless sensor networks; Communication standards; Energy efficient operations; Health care application; Internet of Things (IOT); Internet of things technologies; Privacy and security; Smart healthcare systems; Wireless communication technology; health care delivery; interpersonal communication; privacy; wireless communication; Internet of things</t>
  </si>
  <si>
    <t>Zhong Z.; He J.; Rodriguez M.A.; Erfani S.; Kotagiri R.; Buyya R.</t>
  </si>
  <si>
    <t>Heterogeneous task co-location in containerized cloud computing environments</t>
  </si>
  <si>
    <t>10.1109/ISORC49007.2020.00021</t>
  </si>
  <si>
    <t>Although cloud computing became a mainstream industrial computing paradigm, low resource utilization remains a common problem that most warehouse-scale datacenters suffer from. This leads to a significant waste of hardware resources, infrastructure investment, and energy consumption. As the diversity in application workloads grows into an essential characteristic in modern datacenters, task co-location of different workloads to the same compute cluster has gained immense popularity as a heuristic solution for resource utilization optimization. Although the existing co-location methodologies manage to improve resource efficiency to a certain degree, application QoS is usually sacrificed as a trade-off when dealing with resource interference between different applications. This paper proposes a containerized task co-location (CTCL) scheduler to improve resource utilization and minimize task eviction rate. Our CTCL scheduler (1) applies an elastic task co-location strategy to improve resource utilization; and (2) supports a dynamic task rescheduling mechanism to prevent severe QoS degradation from frequent task evictions. We evaluate our approach in terms of resource efficiency and rescheduling cost through the ContainerCloudSim simulator. Our experiments with the Alibaba 2018 workload traces demonstrate that CTCL could improve overall resource efficiency and reduce rescheduling rate by 38% and 99% respectively. ¬© 2020 IEEE.</t>
  </si>
  <si>
    <t>Cluster management; Container orchestration; Resource co-location; Resource heterogeneity; Workload characterization</t>
  </si>
  <si>
    <t>Zhong, Zhiheng (57220930402); He, Jiabo (57218176683); Rodriguez, Maria A. (57222246657); Erfani, Sarah (54791054200); Kotagiri, Ramamohanarao (57201696320); Buyya, Rajkumar (57194845546)</t>
  </si>
  <si>
    <t>57220930402; 57218176683; 57222246657; 54791054200; 57201696320; 57194845546</t>
  </si>
  <si>
    <t>Proceedings - 2020 IEEE 23rd International Symposium on Real-Time Distributed Computing, ISORC 2020</t>
  </si>
  <si>
    <t>https://www.scopus.com/inward/record.uri?eid=2-s2.0-85088162872&amp;doi=10.1109%2fISORC49007.2020.00021&amp;partnerID=40&amp;md5=c6faa30144f27583f0c73e193e0f8586</t>
  </si>
  <si>
    <t>2-s2.0-85088162872</t>
  </si>
  <si>
    <t>Cloud computing; Containers; Economic and social effects; Energy utilization; Investments; Scheduling; Cloud computing environments; Essential characteristic; Hardware resources; Heuristic solutions; Industrial computing; Infrastructure investment; Resource efficiencies; Resource utilizations; Location</t>
  </si>
  <si>
    <t>Msaad M.; Waleed M.; Kosta S.</t>
  </si>
  <si>
    <t>Enabling LoRaWAN Communication with Out-of-coverage End Nodes in DTN Scenarios Through an Optimised Duty-cycle</t>
  </si>
  <si>
    <t>10.1109/CMI53512.2021.9663774</t>
  </si>
  <si>
    <t>This paper presents the idea of using LoRaWAN based sensors in isolated areas with intermittent gateway presence. The intent is to expand the network coverage to areas with no preexisting infrastructure, and automate the data collection process in Delay Tolerant Network (DTN) scenarios. The use case considered in the paper is that of ocean monitoring, where sensor nodes can be deployed far from the shore to record ocean-related data, while gateways located on ships collect the sensors' telemetry when the ship passes close by the nodes. We discuss the LoRaWAN capabilities and limitations for such scenario, focusing in particular on the energy consumption on the end nodes' side. Finally, we present an optimized strategy that optimizes the duty cycle for these remote nodes. The experiments show that by adopting this solution, the nodes spend less energy, which leads to their lifespan to be extended significantly.  ¬© 2021 IEEE.</t>
  </si>
  <si>
    <t>IoT; LoRa; LoRaWAN; Power consumption</t>
  </si>
  <si>
    <t>Msaad, Mohamed (57221860874); Waleed, Muhammad (57191958022); Kosta, Sokol (36194781200)</t>
  </si>
  <si>
    <t>57221860874; 57191958022; 36194781200</t>
  </si>
  <si>
    <t>14th CMI International Conference - Critical ICT Infrastructures and Platforms, CMI 2021 - Proceedings</t>
  </si>
  <si>
    <t>https://www.scopus.com/inward/record.uri?eid=2-s2.0-85124688080&amp;doi=10.1109%2fCMI53512.2021.9663774&amp;partnerID=40&amp;md5=31ef052da91d4d200812ba131e82fe54</t>
  </si>
  <si>
    <t>2-s2.0-85124688080</t>
  </si>
  <si>
    <t>Delay tolerant networks; Electric power utilization; Gateways (computer networks); Internet of things; Sensor nodes; Data collection process; Delay-Tolerant Network; Duty-cycle; Energy-consumption; Lora; LoRaWAN; Network coverage; Network scenario; Ocean monitoring; Optimized strategies; Ships</t>
  </si>
  <si>
    <t>Kumar J.; Singh A.K.</t>
  </si>
  <si>
    <t>Decomposition Based Cloud Resource Demand Prediction Using Extreme Learning Machines</t>
  </si>
  <si>
    <t>10.1007/s10922-020-09557-6</t>
  </si>
  <si>
    <t>Cloud computing has drastically transformed the means of computing in past few years. Apart from numerous advantages, it suffers with a number of issues including resource under-utilization, load balancing and power consumption. The workload prediction is being widely explored to solve these issues using time series analysis regression and neural networks based models. The time series analysis based models are unable to capture the dynamics in the workload behavior whereas neural network based models offer better accuracy on the cost of high training time. This paper presents a workload prediction model based on extreme learning machines (ELM) whose learning time is very low and forecasts the workload more accurately. The performance of the model is evaluated over two real world cloud server workloads i.e. CPU and Memory demand traces of Google cluster and compared with predictive models based on state-of-art techniques including Auto Regressive Integrated Moving Average (ARIMA), Support Vector Regression (SVR), Linear Regression (LR), Differential Evolution (DE), Blackhole Algorithm (BhA), and Propagation (BP). It is observed that the proposed model outperforms the state-of-art techniques by reducing the mean prediction error up to 100% and 99% on CPU and memory request traces respectively. ¬© 2020, Springer Science+Business Media, LLC, part of Springer Nature.</t>
  </si>
  <si>
    <t>Google cluster trace; Neural network; Statistical analysis; Workload forecasting</t>
  </si>
  <si>
    <t>Kumar, Jitendra (7201862589); Singh, Ashutosh Kumar (57212846086)</t>
  </si>
  <si>
    <t>7201862589; 57212846086</t>
  </si>
  <si>
    <t>https://www.scopus.com/inward/record.uri?eid=2-s2.0-85088874664&amp;doi=10.1007%2fs10922-020-09557-6&amp;partnerID=40&amp;md5=ba1dd42ef135b26e38ebc9c6054efba6</t>
  </si>
  <si>
    <t>2-s2.0-85088874664</t>
  </si>
  <si>
    <t>Autoregressive moving average model; Backpropagation; Balancing; Cloud computing; Evolutionary algorithms; Forecasting; Harmonic analysis; Knowledge acquisition; Neural networks; Optimization; Predictive analytics; Support vector regression; Time series analysis; Auto-regressive integrated moving average; Differential Evolution; Extreme learning machine; Prediction errors; Predictive models; Resource demands; Support vector regression (SVR); Workload predictions; Learning systems</t>
  </si>
  <si>
    <t>Abdali T.-A.N.; Hassan R.; Aman A.H.M.; Nguyen Q.N.</t>
  </si>
  <si>
    <t>Fog Computing Advancement: Concept, Architecture, Applications, Advantages, and Open Issues</t>
  </si>
  <si>
    <t>10.1109/ACCESS.2021.3081770</t>
  </si>
  <si>
    <t>Internet of Things (IoT) is proliferating in our real world, and it is a promising technology that serves a very comfortable service to the users. IoT's underlying technology is to connect to central Cloud Computing (CC), which is a huge data center collecting the generated data by IoT devices, and it is located in different areas on demand. However, cloud computing lacks data transmission because of the infrastructure and limitations of networks which enormously decrease its performance. Therefore, a new paradigm has been founded to act as a middleware between the Cloud and IoT, termed Fog Computing (FC) Technology. Considering Fog as a cloud extension that provides computing service at the edge of the network, Fog Computing placement enables this technology to deal with numerous data locally. In this study, we surveyed Fog computing with in-depth analysis and covered the latest studies to address and overcome the existing challenges in FC. We reviewed fog computing technology conceptually and defined it based on the existing studies in the literature, together with its architecture, applications, advantages, and open issues with optimization methods being performed to obtain the optimal services.  ¬© 2013 IEEE.</t>
  </si>
  <si>
    <t>cloud computing; Fog computing applications; Fog computing concept; fog computing open issues; Internet of Things (IoT)</t>
  </si>
  <si>
    <t>Abdali, Taj-Aldeen Naser (57218199687); Hassan, Rosilah (7102127975); Aman, Azana Hafizah Mohd (56029598700); Nguyen, Quang Ngoc (56725044800)</t>
  </si>
  <si>
    <t>57218199687; 7102127975; 56029598700; 56725044800</t>
  </si>
  <si>
    <t>https://www.scopus.com/inward/record.uri?eid=2-s2.0-85107054304&amp;doi=10.1109%2fACCESS.2021.3081770&amp;partnerID=40&amp;md5=51acafa64ce88c0c422b71f777d80c41</t>
  </si>
  <si>
    <t>2-s2.0-85107054304</t>
  </si>
  <si>
    <t>Computer architecture; Data acquisition; Fog; Internet of things; Middleware; Network architecture; Computing services; Computing technology; Data centers; In-depth analysis; Internet of Things (IOT); ITS architecture; On demands; Optimization method; Fog computing</t>
  </si>
  <si>
    <t>Calder√≥n-G√≥mez H.; Mendoza-Pitt√≠ L.; Vargas-Lombardo M.; G√≥mez-Pulido J.M.; Rodr√≠guez-Puyol D.; Senci√≥n G.; Polo-Luque M.-L.</t>
  </si>
  <si>
    <t>Evaluating service-oriented and microservice architecture patterns to deploy ehealth applications in cloud computing environment</t>
  </si>
  <si>
    <t>10.3390/app11104350</t>
  </si>
  <si>
    <t>This article proposes a new framework for a Cloud-based eHealth platform concept focused on Cloud computing environments, since current and emerging approaches using digital clinical history increasingly demonstrate their potential in maintaining the quality of the benefits in medical care services, especially in computer-assisted clinical diagnosis within the field of infectious diseases and due to the worsening of chronic pathologies. Our objective is to evaluate and contrast the performance of the architectural patterns most commonly used for developing eHealth applications (i.e., service-oriented architecture (SOA) and microservices architecture (MSA)), using as reference the quantitative values obtained from the various performance tests and their ability to adapt to the required software attribute (i.e., versatile high-performance). Therefore, it was necessary to modify our platform to fit two architectural variants. As a follow-up to this activity, corresponding tests were performed that showed that the MSA variant functions better in terms of performance and response time compared to the SOA variant; however, it consumed significantly more bandwidth than SOA, and scalability in SOA is generally not possible or requires significant effort to be achieved. We conclude that the implementation of SOA and MSA depends on the nature and needs of organizations (e.g., performance or interoperability). ¬© 2021 by the authors. Licensee MDPI, Basel, Switzerland.</t>
  </si>
  <si>
    <t>Cloud computing; EHealth; Elderly people; Infectious diseases; MSA; SOA; Telemonitoring; Versatile high-performance</t>
  </si>
  <si>
    <t>Calder√≥n-G√≥mez, Huriviades (57212213794); Mendoza-Pitt√≠, Luis (57212213557); Vargas-Lombardo, Miguel (36009410700); G√≥mez-Pulido, Jos√© Manuel (36767542700); Rodr√≠guez-Puyol, Diego (7005518392); Senci√≥n, Gloria (56487918900); Polo-Luque, Mar√≠a-Luz (8076303600)</t>
  </si>
  <si>
    <t>57212213794; 57212213557; 36009410700; 36767542700; 7005518392; 56487918900; 8076303600</t>
  </si>
  <si>
    <t>https://www.scopus.com/inward/record.uri?eid=2-s2.0-85106660998&amp;doi=10.3390%2fapp11104350&amp;partnerID=40&amp;md5=5fb71f9aed43e333ebe2945833fcec73</t>
  </si>
  <si>
    <t>2-s2.0-85106660998</t>
  </si>
  <si>
    <t>Rossi F.; Cardellini V.; Lo Presti F.; Nardelli M.</t>
  </si>
  <si>
    <t>Geo-distributed efficient deployment of containers with Kubernetes</t>
  </si>
  <si>
    <t>10.1016/j.comcom.2020.04.061</t>
  </si>
  <si>
    <t>Software containers are changing the way applications are designed and executed. Moreover, in the last few years, we see the increasing adoption of container orchestration tools, such as Kubernetes, to simplify the management of multi-container applications. Kubernetes includes simple deployment policies that spread containers on computing resources located in the cluster and automatically scale them out or in based on some cluster-level metrics. As such, Kubernetes is not well-suited for deploying containers in a geo-distributed computing environment and dealing with the dynamism of application workload and computing resources. To tackle the problem, in this paper we present ge-kube (Geo-distributed and Elastic deployment of containers in Kubernetes), an orchestration tool that relies on Kubernetes and extends it with self-adaptation and network-aware placement capabilities. Ge-kube introduces flexible and decentralized control loops that can be easily equipped with different deployment policies. Specifically, we propose a two-step control loop, in which a model-based reinforcement learning approach dynamically controls the number of replicas of individual containers on the basis of the application response time, and a network-aware placement policy allocates containers on geo-distributed computing resources. To address the placement issue, we propose an optimization problem formulation and a network-aware heuristic, which explicitly take into account the non-negligible network delays among computing resources so to satisfy Quality of Service requirements of latency-sensitive applications. Using a surrogate CPU-intensive application and a real application (i.e., Redis), we conducted an extensive set of experiments, which show the benefits arising from the combination of elasticity and placement policies, as well as the advantages of using network-aware placement solutions. ¬© 2020 Elsevier B.V.</t>
  </si>
  <si>
    <t>Containers; Elasticity; Geographically distributed resources; Kubernetes; Placement; Self-management</t>
  </si>
  <si>
    <t>Rossi, Fabiana (57211029658); Cardellini, Valeria (6603463586); Lo Presti, Francesco (6701823377); Nardelli, Matteo (57171962700)</t>
  </si>
  <si>
    <t>57211029658; 6603463586; 6701823377; 57171962700</t>
  </si>
  <si>
    <t>https://www.scopus.com/inward/record.uri?eid=2-s2.0-85084943561&amp;doi=10.1016%2fj.comcom.2020.04.061&amp;partnerID=40&amp;md5=92df7a3da86927a4a6bae90fbdbb6076</t>
  </si>
  <si>
    <t>2-s2.0-85084943561</t>
  </si>
  <si>
    <t>Application programs; Cluster computing; Decentralized control; Quality of service; Reinforcement learning; Computing resource; Decentralized control loops; Distributed computing environment; Distributed computing resources; Elastic deployment; Model-based reinforcement learning; Optimization problems; Sensitive application; Containers</t>
  </si>
  <si>
    <t>Siavvas M.; Kehagias D.; Tzovaras D.; Gelenbe E.</t>
  </si>
  <si>
    <t>A hierarchical model for quantifying software security based on static analysis alerts and software metrics</t>
  </si>
  <si>
    <t>10.1007/s11219-021-09555-0</t>
  </si>
  <si>
    <t>Despite the acknowledged importance of quantitative security assessment in secure software development, current literature still lacks an efficient model for measuring internal software security risk. To this end, in this paper, we introduce a hierarchical security assessment model (SAM), able to assess the internal security level of software products based on low-level indicators, i.e., security-relevant static analysis alerts and software metrics. The model, following the guidelines of ISO/IEC 25010, and based on a set of thresholds and weights, systematically aggregates these low-level indicators in order to produce a high-level security score that reflects the internal security level of the analyzed software. The proposed model is practical, since it is fully automated and operationalized in the form of a standalone tool and as part of a broader Computer-Aided Software Engineering (CASE) platform. In order to enhance its reliability, the thresholds of the model were calibrated based on a repository of 100 popular software applications retrieved from Maven Repository. Furthermore, its weights were elicited in a way to chiefly reflect the knowledge expressed by the Common Weakness Enumeration (CWE), through a novel weights elicitation approach grounded on popular decision-making techniques. The proposed model was evaluated on a large repository of 150 open-source software applications retrieved from GitHub and 1200 classes retrieved from the OWASP Benchmark. The results of the experiments revealed the capacity of the proposed model to reliably assess internal security at both product level and class level of granularity, with sufficient discretion power. They also provide preliminary evidence for the ability of the model to be used as the basis for vulnerability prediction. To the best of our knowledge, this is the first fully automated, operationalized and sufficiently evaluated security assessment model in the modern literature. ¬© 2021, The Author(s), under exclusive licence to Springer Science+Business Media, LLC, part of Springer Nature.</t>
  </si>
  <si>
    <t>Security Assessment; Software Quality Evaluation; Software Security</t>
  </si>
  <si>
    <t>Siavvas, Miltiadis (57194500913); Kehagias, Dionysios (7003972544); Tzovaras, Dimitrios (13105681700); Gelenbe, Erol (7006026729)</t>
  </si>
  <si>
    <t>57194500913; 7003972544; 13105681700; 7006026729</t>
  </si>
  <si>
    <t>https://www.scopus.com/inward/record.uri?eid=2-s2.0-85106207514&amp;doi=10.1007%2fs11219-021-09555-0&amp;partnerID=40&amp;md5=b0ecf71985d4ef4c10438eabe73da349</t>
  </si>
  <si>
    <t>2-s2.0-85106207514</t>
  </si>
  <si>
    <t>Application programs; Benchmarking; Computer aided software engineering; Decision making; Gages; Hierarchical systems; Open source software; Open systems; Risk assessment; Software design; Software reliability; Hierarchical model; Internal security; Quantitative security assessments; Secure software development; Security assessment; Software applications; Software products; Software security; Static analysis</t>
  </si>
  <si>
    <t>Wu Y.; Ma Y.; Dai H.-N.; Wang H.</t>
  </si>
  <si>
    <t>Deep learning for privacy preservation in autonomous moving platforms enhanced 5G heterogeneous networks</t>
  </si>
  <si>
    <t>10.1016/j.comnet.2020.107743</t>
  </si>
  <si>
    <t>5G heterogeneous networks have become a promising platform to connect a growing number of Internet-of-Things (IoT) devices and accommodate a wide variety of vertical services. IoT has not been limited to traditional sensing systems since the introduction of 5G, but also includes a range of autonomous moving platforms, e.g., autonomous flying vehicles, autonomous underwater vehicles, autonomous surface vehicles as well as autonomous land vehicles. These platforms can be used as an effective means to connect air, space, ground, and sea mobile networks for providing a wider diversity of Internet services. Deep learning has been widely used to extract useful information from network big data for enhancing network quality-of-service and user quality-of-experience. Privacy preservation for user and network data is a burning concern in 5G heterogeneous networks due to various attacks in this environment. In this paper, we conduct an in-depth investigation on how deep learning can cope with privacy preservation issues in 5G heterogeneous networks, in terms of heterogeneous radio access networks (RANs), beyond-RAN networks, and end-to-end network slices, followed by a set of key research challenges and open issues that aim to guide future research. ¬© 2020 Elsevier B.V.</t>
  </si>
  <si>
    <t>5G; Deep learning; Heterogeneous networks; Network slicing; Privacy preservation</t>
  </si>
  <si>
    <t>Wu, Yulei (23092568400); Ma, Yuxiang (57200660386); Dai, Hong-Ning (55602606800); Wang, Hao (57202273307)</t>
  </si>
  <si>
    <t>23092568400; 57200660386; 55602606800; 57202273307</t>
  </si>
  <si>
    <t>https://www.scopus.com/inward/record.uri?eid=2-s2.0-85099231285&amp;doi=10.1016%2fj.comnet.2020.107743&amp;partnerID=40&amp;md5=3883973144b0828e52ab98b745e42cb2</t>
  </si>
  <si>
    <t>2-s2.0-85099231285</t>
  </si>
  <si>
    <t>Autonomous underwater vehicles; Autonomous vehicles; Deep learning; Heterogeneous networks; Internet of things; Mobile telecommunication systems; Quality of service; Radio access networks; Space platforms; User experience; Autonomous land vehicles; Autonomous surface vehicles; End-to-end network; Internet of Things (IOT); Network quality of services; Privacy preservation; Quality of experience (QoE); Research challenges; 5G mobile communication systems</t>
  </si>
  <si>
    <t>Saif M.A.N.; Niranjan S.K.; Al-ariki H.D.E.</t>
  </si>
  <si>
    <t>Efficient autonomic and elastic resource management techniques in cloud environment: taxonomy and analysis</t>
  </si>
  <si>
    <t>10.1007/s11276-021-02614-1</t>
  </si>
  <si>
    <t>Resource management (RM) is a challenging task in a cloud computing environment where a large number of virtualized, heterogeneous, and distributed resources are hosted in the datacentres. The uncertainty, heterogeneity, and the dynamic nature of such resources affect the efficiency of provisioning, allocation, scheduling, and monitoring tasks of RM. The most existing RM techniques and strategies have insufficiency in handling such cloud resources dynamic behaviour. To resolve these limitations, there is a need for the design and development of intelligent and efficient autonomic RM techniques to ensure the Quality-of-Service¬†(QoS) of cloud-based applications, satisfy the cloud user requirements, and avoid a Service-Level Agreement (SLA) violations. This paper presents a comprehensive review along with a taxonomy of the most recent existing autonomic and elastic RM techniques in a cloud environment. The taxonomy classifies the existing autonomic and elastic RM techniques into different categories based on their design, objective, function, and applications. Moreover, a comparison and qualitative analysis is provided to illustrate their strengths and weaknesses. Finally, the open issues and challenges are highlighted to help researchers in finding significant future research options. ¬© 2021, The Author(s), under exclusive licence to Springer Science+Business Media, LLC, part of Springer Nature.</t>
  </si>
  <si>
    <t>Auto-scaling; Autonomic resource management; Cloud computing; Elasticity; QoS; Self-management</t>
  </si>
  <si>
    <t>Saif, Mufeed Ahmed Naji (57223200183); Niranjan, S.K. (23467383500); Al-ariki, Hasib Daowd Esmail (57188562716)</t>
  </si>
  <si>
    <t>57223200183; 23467383500; 57188562716</t>
  </si>
  <si>
    <t>https://www.scopus.com/inward/record.uri?eid=2-s2.0-85105216351&amp;doi=10.1007%2fs11276-021-02614-1&amp;partnerID=40&amp;md5=3eff1fc8404bf2b4cc0535f7d6991a83</t>
  </si>
  <si>
    <t>2-s2.0-85105216351</t>
  </si>
  <si>
    <t>Cloud computing; Environmental management; Natural resources management; Resource allocation; Taxonomies; Cloud computing environments; Cloud-based applications; Design and Development; Distributed resources; Issues and challenges; Qualitative analysis; Resource management techniques; Service Level Agreements; Quality of service</t>
  </si>
  <si>
    <t>Chyrun L.; Andrunyk V.; Chyrun L.; Berko A.; Dyyak I.; Antonyuk N.</t>
  </si>
  <si>
    <t>Online Business Processes Support Methods</t>
  </si>
  <si>
    <t>10.1109/CSIT49958.2020.9321960</t>
  </si>
  <si>
    <t>In this article has been analyzed the main problems of online business processes and suggests methods for solving these problems. ¬© 2020 IEEE.</t>
  </si>
  <si>
    <t>Chyrun, Liliya (57205200124); Andrunyk, Vasyl (57202441589); Chyrun, Lyubomyr (55225672300); Berko, Andrii (24483044100); Dyyak, Ivan (6602615475); Antonyuk, Nataliya (57204917951)</t>
  </si>
  <si>
    <t>57205200124; 57202441589; 55225672300; 24483044100; 6602615475; 57204917951</t>
  </si>
  <si>
    <t>https://www.scopus.com/inward/record.uri?eid=2-s2.0-85100505772&amp;doi=10.1109%2fCSIT49958.2020.9321960&amp;partnerID=40&amp;md5=cd09d111571b86221dd1175a6aac1237</t>
  </si>
  <si>
    <t>2-s2.0-85100505772</t>
  </si>
  <si>
    <t>Computers; Online business; Support method; Computer science</t>
  </si>
  <si>
    <t>Sabir Z.; Nisar K.; Zahoor Raja M.A.; Haque M.R.; Umar M.; Ag Ibrahim A.A.; Le D.-N.</t>
  </si>
  <si>
    <t>IoT Technology Enabled Heuristic Model with Morlet Wavelet Neural Network for Numerical Treatment of Heterogeneous Mosquito Release Ecosystem</t>
  </si>
  <si>
    <t>10.1109/ACCESS.2021.3113986</t>
  </si>
  <si>
    <t>The utmost advancements of artificial neural networks (ANNs), software-defined networks (SDNs) and internet of things (IoT) technologies find beneficial in different applications of the smart healthcare sector. Aiming at modern technology's use in the future development of healthcare, this paper presents an advanced heuristic based on Morlet wavelet neural network for solving the mosquito release ecosystem in a heterogeneous atmosphere. The mosquito release ecosystem is dependent of six classes, eggs density, larvae density, pupae density, mosquitoes searching for hosts density, resting mosquito's density and mosquitoes searching for ovipositional site density. An artificial neural network with the layer structure of Morlet wavelet (MWNN) kernel is presented using the global and local search optimization schemes of genetic algorithm (GA) and active-set algorithm (ASA), i.e., MWNN-GA-ASA. The accurateness, reliability and constancy of the proposed MWNN-GA-ASA is established through comparative examinations with Adams method based numerical results to solve the proposed nonlinear system with matching of order 10-06 to 10-09. The accuracy and convergence of the proposed MWNN-GA-ASA is certified using the statistical operators based on root mean square error (RMSE), Theil's inequality coefficient (T.I.C) and mean absolute deviation (MAD) operators.  ¬© 2013 IEEE.</t>
  </si>
  <si>
    <t>Adams's method; artificial neural networks; heuristic algorithm; IoT; Mosquito release ecosystem; SDN</t>
  </si>
  <si>
    <t>Sabir, Zulqurnain (56184182600); Nisar, Kashif (25825419000); Zahoor Raja, Muhammad Asif (36739939800); Haque, Muhammad Reazul (57200169307); Umar, Muhammad (57203870179); Ag Ibrahim, Ag Asri (23392655000); Le, Dac-Nhuong (56438928900)</t>
  </si>
  <si>
    <t>56184182600; 25825419000; 36739939800; 57200169307; 57203870179; 23392655000; 56438928900</t>
  </si>
  <si>
    <t>https://www.scopus.com/inward/record.uri?eid=2-s2.0-85115730210&amp;doi=10.1109%2fACCESS.2021.3113986&amp;partnerID=40&amp;md5=66fd629a6bf14f7840188c8eff5fef15</t>
  </si>
  <si>
    <t>2-s2.0-85115730210</t>
  </si>
  <si>
    <t>Application programs; Ecosystems; Genetic algorithms; Health care; Heuristic algorithms; Heuristic methods; Mean square error; Network layers; Numerical methods; Active-Set algorithms; Adam&amp;#x2019;; Atmospheric modeling; Heuristics algorithm; Internet of things technologies; Morlet Wavelet; Mosquito release ecosystem; Neural-networks; S-method; Software-defined networks; Internet of things</t>
  </si>
  <si>
    <t>Wu Z.; Deng Y.; Feng H.; Zhou Y.; Min G.</t>
  </si>
  <si>
    <t>Blender: A Traffic-Aware Container Placement for Containerized Data Centers</t>
  </si>
  <si>
    <t>10.23919/DATE51398.2021.9474067</t>
  </si>
  <si>
    <t>2021-February</t>
  </si>
  <si>
    <t>Instantiated containers of an application are distributed across multiple Physical Machines (PMs) to achieve high parallel performance. Container placement plays a vital role in network traffic and the performance of containerized data centers. Existing container placement techniques do not consider the container traffic pattern, which is inadequate. To resolve this conflict, we investigate network traffic between containers and observe that it exhibits a Zipf-like distribution. We propose a novel container placement approach - Blender - by leveraging the Zipf-like distribution. Based on network traffic correlation, Blender employs RefineAlg and SplitAlg to divide containers of applications into blocks, and place these blocks across virtual machines. Blender exhibits two salient features: (i) it minimizes inter-block traffic by arranging the containers that communicate frequently in the same block. (ii) it achieves good load balancing by combining blocks according to the resource types they require and distributing them across multiple PMs. We compare Blender against two state-of-the-art methods SBP and CA-WFD. The experimental results show that Blender significantly reduces communication traffic. In particular, for the same number of PMs, Blender reduces the traffic of SBP and CA-WFD by 22% and 32%, respectively. Furthermore, with Blender in place, the physical resources of hosting PMs are well balanced and utilized.  ¬© 2021 EDAA.</t>
  </si>
  <si>
    <t>cloud computing; container placement; data centers; load balancing; traffic-aware</t>
  </si>
  <si>
    <t>Wu, Zhaorui (57226293447); Deng, Yuhui (20734156700); Feng, Hao (57203710530); Zhou, Yi (57191258697); Min, Geyong (7102053498)</t>
  </si>
  <si>
    <t>57226293447; 20734156700; 57203710530; 57191258697; 7102053498</t>
  </si>
  <si>
    <t>Proceedings -Design, Automation and Test in Europe, DATE</t>
  </si>
  <si>
    <t>https://www.scopus.com/inward/record.uri?eid=2-s2.0-85111055857&amp;doi=10.23919%2fDATE51398.2021.9474067&amp;partnerID=40&amp;md5=ea8d2b1a6cf12199db960eb13e36107a</t>
  </si>
  <si>
    <t>2-s2.0-85111055857</t>
  </si>
  <si>
    <t>Balancing; Blending; Container traffic; Network traffic; Parallel performance; Physical resources; Salient features; Traffic aware; Well balanced; Zipf-like distribution; Containers</t>
  </si>
  <si>
    <t>Eismann S.; Bezemer C.-P.; Shang W.; Okanoviƒá D.; Van Hoorn A.</t>
  </si>
  <si>
    <t>Microservices: A performance tester's dream or nightmare?</t>
  </si>
  <si>
    <t>10.1145/3358960.3379124</t>
  </si>
  <si>
    <t>In recent years, there has been a shift in software development towards microservice-based architectures, which consist of small services that focus on one particular functionality. Many companies are migrating their applications to such architectures to reap the benefits of microservices, such as increased flexibility, scalability and a smaller granularity of the offered functionality by a service. On the one hand, the benefits of microservices for functional testing are often praised, as the focus on one functionality and their smaller granularity allow for more targeted and more convenient testing. On the other hand, using microservices has their consequences (both positive and negative) on other types of testing, such as performance testing. Performance testing is traditionally done by establishing the baseline performance of a software version, which is then used to compare the performance testing results of later software versions. However, as we show in this paper, establishing such a baseline performance is challenging in microservice applications. In this paper, we discuss the benefits and challenges of microservices from a performance tester's point of view. Through a series of experiments on the TeaStore application, we demonstrate how microservices affect the performance testing process, and we demonstrate that it is not straightforward to achieve reliable performance testing results for a microservice application. ¬© 2020 ACM.</t>
  </si>
  <si>
    <t>DevOps; Microservices; Performance; Regression testing</t>
  </si>
  <si>
    <t>Eismann, Simon (57203095294); Bezemer, Cor-Paul (35742992600); Shang, Weiyi (35093168200); Okanoviƒá, Du≈°an (45561466200); Van Hoorn, Andr√© (26421837600)</t>
  </si>
  <si>
    <t>57203095294; 35742992600; 35093168200; 45561466200; 26421837600</t>
  </si>
  <si>
    <t>ICPE 2020 - Proceedings of the ACM/SPEC International Conference on Performance Engineering</t>
  </si>
  <si>
    <t>https://www.scopus.com/inward/record.uri?eid=2-s2.0-85085919253&amp;doi=10.1145%2f3358960.3379124&amp;partnerID=40&amp;md5=455a9f26d3dbf08578fe068636b995e1</t>
  </si>
  <si>
    <t>2-s2.0-85085919253</t>
  </si>
  <si>
    <t>Software design; Base-line performance; Functional testing; Increased flexibility; Performance testing; Reliable performance; Software versions; Software testing</t>
  </si>
  <si>
    <t>Bai H.; Zhang X.; Liu Y.; Xie Y.</t>
  </si>
  <si>
    <t>Resource scheduling based on routing tree and detection matrix for Internet of things</t>
  </si>
  <si>
    <t>10.1177/15501477211003830</t>
  </si>
  <si>
    <t>Effective scheduling of limited communication resources is one of the critical methods for data transmission in the Internet of things. However, the time slot utilization rate of many existing resource scheduling methods of Internet of things is not high. This article proposes a new efficient resource scheduling based on routing tree and detection matrix for Internet of things. In heterogeneous Internet of things, according to the different working modes and functions, the nodes are divided into Internet of things devices, routing nodes, and base station. We use time slot multiplexing to improve the time slot utilization of continuous transmission in Internet of things. First, the time slot allocation table in a round is obtained by the time slot scheduling based on the routing tree. Then, the collision matrix and the transmission matrix are established based on the time slot allocation table in a round. Finally, the minimum time slot scheduling in continuous rounds is determined based on the routing tree and the detection matrix. The experimental results show that the resource scheduling based on routing tree and detection matrix effectively improves the utilization of time slots and improves the throughput of the Internet of things. ¬© The Author(s) 2021.</t>
  </si>
  <si>
    <t>Internet of things; matrix; resources scheduling; routing; time slot</t>
  </si>
  <si>
    <t>Bai, Hongying (36862741700); Zhang, Xiaotong (41763031900); Liu, Yuxin (57908448100); Xie, Yingdong (57222632781)</t>
  </si>
  <si>
    <t>36862741700; 41763031900; 57908448100; 57222632781</t>
  </si>
  <si>
    <t>https://www.scopus.com/inward/record.uri?eid=2-s2.0-85103535623&amp;doi=10.1177%2f15501477211003830&amp;partnerID=40&amp;md5=7b60e79eda7637544473303e4770f8fa</t>
  </si>
  <si>
    <t>2-s2.0-85103535623</t>
  </si>
  <si>
    <t>Air traffic control; Forestry; Scheduling; Limited communication; Minimum time; Resource-scheduling; Routing trees; Time slot allocation; Time slot scheduling; Transmission matrix; Working mode; Internet of things</t>
  </si>
  <si>
    <t>Razian M.; Fathian M.; Wu H.; Akbari A.; Buyya R.</t>
  </si>
  <si>
    <t>SAIoT: Scalable Anomaly-Aware Services Composition in CloudIoT Environments</t>
  </si>
  <si>
    <t>10.1109/JIOT.2020.3023938</t>
  </si>
  <si>
    <t>Among the novel IT paradigms, cloud computing and the Internet of Things (CloudIoT) are two complementary areas designed to support the creation of smart cities and application services. The CloudIoT not only presents ubiquitous services through IoT nodes but it also provides virtually unlimited resources through services composition. The services composition problem aims to find a set of services among functionally equivalent services with different Quality of Service (QoS) concerning users' constraints. To this aim, previous studies calculate QoS values through service logs without considering the presence of anomalies in the existing QoS values; however, the dynamicity of distributed service environments and communication networks in CloudIoT environments causes anomalies in the QoS values. Therefore, existing approaches fail to model QoS values accurately that leads to service-level agreement (SLA) violation and penalties for service broker. To address this challenge, we propose a scalable anomaly-aware approach (SAIoT) including two main components: the first component models QoS values based on a machine learning anomaly detection technique, to remove the existing abnormal QoS records, and the second component finds a near-optimal composition by using an effective and efficient metaheuristic algorithm. The experimental results based on real-world data sets show that our approach achieves 30.64% of the average improvement in the QoS value of a composite plan with equal or even less price compared to the previous works, such as information theory-based and advertised QoS-based methods. ¬© 2014 IEEE.</t>
  </si>
  <si>
    <t>Anomaly detection; cloud computing; Internet of Things (IoT); optimization; scalability; services composition</t>
  </si>
  <si>
    <t>Razian, Mohammadreza (56483270100); Fathian, Mohammad (12765946400); Wu, Huaming (55605704300); Akbari, Ahmad (57211066847); Buyya, Rajkumar (57194845546)</t>
  </si>
  <si>
    <t>56483270100; 12765946400; 55605704300; 57211066847; 57194845546</t>
  </si>
  <si>
    <t>https://www.scopus.com/inward/record.uri?eid=2-s2.0-85101708119&amp;doi=10.1109%2fJIOT.2020.3023938&amp;partnerID=40&amp;md5=ca8a543388e4e0d7d53a6bc1cbe3b334</t>
  </si>
  <si>
    <t>2-s2.0-85101708119</t>
  </si>
  <si>
    <t>Anomaly detection; Information theory; Internet of things; Machine learning; Turing machines; Application services; Component model; Distributed service; Meta heuristic algorithm; Service Level Agreements; Services composition; Ubiquitous Service; Users' -constraints; Quality of service</t>
  </si>
  <si>
    <t>Gupta U.; Kim Y.G.; Lee S.; Tse J.; Lee H.-H.S.; Wei G.-Y.; Brooks D.; Wu C.-J.</t>
  </si>
  <si>
    <t>Chasing Carbon: The Elusive Environmental Footprint of Computing</t>
  </si>
  <si>
    <t>10.1109/HPCA51647.2021.00076</t>
  </si>
  <si>
    <t>Given recent algorithm, software, and hardware innovation, computing has enabled a plethora of new applications. As computing becomes increasingly ubiquitous, however, so does its environmental impact. This paper brings the issue to the attention of computer-systems researchers. Our analysis, built on industry-reported characterization, quantifies the environmental effects of computing in terms of carbon emissions. Broadly, carbon emissions have two sources: operational energy consumption, and hardware manufacturing and infrastructure. Although carbon emissions from the former are decreasing thanks to algorithmic, software, and hardware innovations that boost performance and power efficiency, the overall carbon footprint of computer systems continues to grow. This work quantifies the carbon output of computer systems to show that most emissions related to modern mobile and data-center equipment come from hardware manufacturing and infrastructure. We therefore outline future directions for minimizing the environmental impact of computing systems.  ¬© 2021 IEEE.</t>
  </si>
  <si>
    <t>carbon footprint; Data center; energy; mobile</t>
  </si>
  <si>
    <t>Gupta, Udit (57209195804); Kim, Young Geun (56298609100); Lee, Sylvia (57220893005); Tse, Jordan (57220890879); Lee, Hsien-Hsin S. (7501480547); Wei, Gu-Yeon (16553773700); Brooks, David (57217763910); Wu, Carole-Jean (37119493000)</t>
  </si>
  <si>
    <t>57209195804; 56298609100; 57220893005; 57220890879; 7501480547; 16553773700; 57217763910; 37119493000</t>
  </si>
  <si>
    <t>https://www.scopus.com/inward/record.uri?eid=2-s2.0-85105019204&amp;doi=10.1109%2fHPCA51647.2021.00076&amp;partnerID=40&amp;md5=fe5a05553aef33ee180136eaf52970c6</t>
  </si>
  <si>
    <t>2-s2.0-85105019204</t>
  </si>
  <si>
    <t>Application programs; Carbon footprint; Energy utilization; Environmental impact; Manufacture; Supercomputers; Ubiquitous computing; Carbon emissions; Computing system; Data centers; Environmental footprints; New applications; Operational energy; Power efficiency; Two sources; Computer hardware</t>
  </si>
  <si>
    <t>Likhouzova T.; Demianova Y.</t>
  </si>
  <si>
    <t>Robotic warehouse management system</t>
  </si>
  <si>
    <t>10.15866/ireaco.v14i1.19993</t>
  </si>
  <si>
    <t>This study presents two approaches to the prevention of inter-robot collisions. The first approach is to develop trajectory planning and motion control algorithms. The second approach is to reduce the number of auxiliary robots as much as possible. The rigidly programmed systems are less flexible and adaptive than systems capable of independent data analysis and pattern identification. Therefore, this study uses the neural network for robot training and an analytical module (AN) to make decisions regarding the quantity of robots. The AN assisted and non-assisted management systems were examined under the two scenarios, namely the steady and random increment of applications. In both scenarios, using the AN reduced the number of auxiliary robots and, consequently, robot collisions in the operating area. This can help to reduce the warehouse maintenance costs and improve manufacturing scalability. Therefore, the proposed robotic management system has the potential to enhance warehouse efficiency. ¬© 2021 Praise Worthy Prize S.r.l.-All rights reserved.</t>
  </si>
  <si>
    <t>Control System; Energy Consumption; Microservice Architecture; Neural Networks; Robotic Device; Warehouse Management System</t>
  </si>
  <si>
    <t>Likhouzova, Tetiana (57223440203); Demianova, Yuliia (57223425437)</t>
  </si>
  <si>
    <t>57223440203; 57223425437</t>
  </si>
  <si>
    <t>International Review of Automatic Control</t>
  </si>
  <si>
    <t>https://www.scopus.com/inward/record.uri?eid=2-s2.0-85106659954&amp;doi=10.15866%2fireaco.v14i1.19993&amp;partnerID=40&amp;md5=ec65e5cc69db6722e8ab6ee7f293e625</t>
  </si>
  <si>
    <t>2-s2.0-85106659954</t>
  </si>
  <si>
    <t>Jones D.; Snider C.; Nassehi A.; Yon J.; Hicks B.</t>
  </si>
  <si>
    <t>Characterising the Digital Twin: A systematic literature review</t>
  </si>
  <si>
    <t>10.1016/j.cirpj.2020.02.002</t>
  </si>
  <si>
    <t>While there has been a recent growth of interest in the Digital Twin, a variety of definitions employed across industry and academia remain. There is a need to consolidate research such to maintain a common understanding of the topic and ensure future research efforts are to be based on solid foundations. Through a systematic literature review and a thematic analysis of 92 Digital Twin publications from the last ten years, this paper provides a characterisation of the Digital Twin, identification of gaps in knowledge, and required areas of future research. In characterising the Digital Twin, the state of the concept, key terminology, and associated processes are identified, discussed, and consolidated to produce 13 characteristics (Physical Entity/Twin; Virtual Entity/Twin; Physical Environment; Virtual Environment; State; Realisation; Metrology; Twinning; Twinning Rate; Physical-to-Virtual Connection/Twinning; Virtual-to-Physical Connection/Twinning; Physical Processes; and Virtual Processes) and a complete framework of the Digital Twin and its process of operation. Following this characterisation, seven knowledge gaps and topics for future research focus are identified: Perceived Benefits; Digital Twin across the Product Life-Cycle; Use-Cases; Technical Implementations; Levels of Fidelity; Data Ownership; and Integration between Virtual Entities; each of which are required to realise the Digital Twin. ¬© 2020 University of Bristol</t>
  </si>
  <si>
    <t>Digital Twin; Virtual Twin</t>
  </si>
  <si>
    <t>Jones, David (57189043426); Snider, Chris (54891734300); Nassehi, Aydin (11140274300); Yon, Jason (36449545500); Hicks, Ben (7103008964)</t>
  </si>
  <si>
    <t>57189043426; 54891734300; 11140274300; 36449545500; 7103008964</t>
  </si>
  <si>
    <t>CIRP Journal of Manufacturing Science and Technology</t>
  </si>
  <si>
    <t>https://www.scopus.com/inward/record.uri?eid=2-s2.0-85081219520&amp;doi=10.1016%2fj.cirpj.2020.02.002&amp;partnerID=40&amp;md5=15c4de4919afc792ffa9fd0a75d72c9a</t>
  </si>
  <si>
    <t>2-s2.0-85081219520</t>
  </si>
  <si>
    <t>Life cycle; Virtual reality; Perceived benefits; Physical connections; Physical environments; Product life cycles; Systematic literature review; Technical implementation; Virtual connections; Virtual Twin; Digital twin</t>
  </si>
  <si>
    <t>Kristiani E.; Yang C.-T.; Huang C.-Y.; Wang Y.-T.; Ko P.-C.</t>
  </si>
  <si>
    <t>The Implementation of a Cloud-Edge Computing Architecture Using OpenStack and Kubernetes for Air Quality Monitoring Application</t>
  </si>
  <si>
    <t>10.1007/s11036-020-01620-5</t>
  </si>
  <si>
    <t>The combination of edge and cloud computing is going to make the Internet of Things (IoT) rapid, light, and more reliable. IoT and cloud-edge computing are distinct disciples that have evolved separately over time. However, they are increasingly becoming interdependent, and are what the future holds. A crucial aspect is how to design a compound of cloud and edge computing architectures, and implement IoT effectively. In this paper, we proposed a combination of Cloud and Edge Computing architecture and built a set of an intelligent air-quality monitoring system in Tunghai University as a case study. In this case, we implemented container-based virtualization which constructs Kubernetes Minion (Nodes) in the Docker container service independently for each service on the Edge side. Finally, to monitor the high-performance computing systems, clusters, and networks, we used Ganglia Monitoring System. Ganglia collects relevant information such as Central Processing Unit (CPU), memory, network and usage of Protocol Data Unit (PDU) to monitor the power consumption and makes a measurement and evaluation for Kubernetes Pods. ¬© 2020, Springer Science+Business Media, LLC, part of Springer Nature.</t>
  </si>
  <si>
    <t>Cloud computing; Container-based virtualization; Edge computing; Internet of things; Kubernetes; Microservices; OpenStack</t>
  </si>
  <si>
    <t>Kristiani, Endah (57201772419); Yang, Chao-Tung (57192676751); Huang, Chin-Yin (7406885222); Wang, Yuan-Ting (57200572222); Ko, Po-Cheng (57205416391)</t>
  </si>
  <si>
    <t>57201772419; 57192676751; 7406885222; 57200572222; 57205416391</t>
  </si>
  <si>
    <t>Mobile Networks and Applications</t>
  </si>
  <si>
    <t>https://www.scopus.com/inward/record.uri?eid=2-s2.0-85088006707&amp;doi=10.1007%2fs11036-020-01620-5&amp;partnerID=40&amp;md5=1b0b770d5da493e4afa9112410286c5a</t>
  </si>
  <si>
    <t>2-s2.0-85088006707</t>
  </si>
  <si>
    <t>Air quality; Containers; Edge computing; Internet of things; Monitoring; Network architecture; Program processors; Air quality monitoring; Computing architecture; High performance computing systems; Internet of thing (IOT); Monitoring system; Protocol data units; Computer architecture</t>
  </si>
  <si>
    <t>Chegini H.; Naha R.K.; Mahanti A.; Thulasiraman P.</t>
  </si>
  <si>
    <t>Process Automation in an IoT‚ÄìFog‚ÄìCloud Ecosystem: A Survey and Taxonomy</t>
  </si>
  <si>
    <t>10.3390/iot2010006</t>
  </si>
  <si>
    <t>The number of IoT sensors and physical objects accommodated on the Internet is increasing day by day, and traditional Cloud Computing would not be able to host IoT data because of its high latency. Being challenged of processing all IoT big data on Cloud facilities, there is not enough study on automating components to deal with the big data and real-time tasks in the IoT‚ÄìFog‚ÄìCloud ecosystem. For instance, designing automatic data transfer from the fog layer to cloud layer, which contains enormous distributed devices is challenging. Considering fog as the supporting processing layer, dealing with decentralized devices in the IoT and fog layer leads us to think of other automatic mechanisms to manage the existing heterogeneity. The big data and heterogeneity challenges also motivated us to design other automatic components for Fog resiliency, which we address as the third challenge in the ecosystem. Fog resiliency makes the processing of IoT tasks independent to the Cloud layer. This survey aims to review, study, and analyze the automatic functions as a taxonomy to help researchers, who are implementing methods and algorithms for different IoT applications. We demonstrated the automatic functions through our research in accordance to each challenge. The study also discusses and suggests automating the tasks, methods, and processes of the ecosystem that still process the data manually. ¬© 2021 by the authors.</t>
  </si>
  <si>
    <t>automation; cloud computing; fog computing; internet of things (IoT)</t>
  </si>
  <si>
    <t>Chegini, Hossein (58571205400); Naha, Ranesh Kumar (56841650300); Mahanti, Aniket (19640237200); Thulasiraman, Parimala (6602330042)</t>
  </si>
  <si>
    <t>58571205400; 56841650300; 19640237200; 6602330042</t>
  </si>
  <si>
    <t>IoT</t>
  </si>
  <si>
    <t>https://www.scopus.com/inward/record.uri?eid=2-s2.0-85105974672&amp;doi=10.3390%2fiot2010006&amp;partnerID=40&amp;md5=6d8355e3b9e8570a7e765bc07ab0748a</t>
  </si>
  <si>
    <t>2-s2.0-85105974672</t>
  </si>
  <si>
    <t>Dutta A.; Pani L.; Misra C.; Roy R.</t>
  </si>
  <si>
    <t>Finite Buffer Queueing System Performance Study with Multi Heterogeneous Fog Architecture</t>
  </si>
  <si>
    <t>10.1109/OCIT53463.2021.00066</t>
  </si>
  <si>
    <t>When it comes to new and developing applications that require high computation and low latency, fog computing is an attractive option to consider for implementation. The peripheral network devices are able to share idle resources and work together to complete fog computing tasks. It's up to the task publishers to decide how to distribute computer jobs that take into account transmission line quality and energy utilization. To urge these gadgets to engage in computational offloading, effective stimuli approaches are needed to stimulate them. Three heterogeneous servers with varying service rates are investigated using a finite constant buffer queue. Depending on a Poisson distribution with a mean and service times, the jobs are exponentially spread by distinct mean values There is a limit to how many jobs can be held in a queue while the servers are busy. It's assumed that Because of this, jobs are considered lost if they arrive after a buffer has reached capacity. If there is no client in queue, the next customer will be presumed to be in the first server if there is no customer in line. In the case of routers, this can be seen in their different speeds when serving packets on the network.  ¬© 2021 IEEE.</t>
  </si>
  <si>
    <t>Finite Buffer; Multiple Heterogeneous Fog; Queue; Waiting Time</t>
  </si>
  <si>
    <t>Dutta, Arijit (57217716615); Pani, Luina (57212340373); Misra, Chinmaya (57953095100); Roy, Ruben (56438707100)</t>
  </si>
  <si>
    <t>57217716615; 57212340373; 57953095100; 56438707100</t>
  </si>
  <si>
    <t>Proceedings - 2021 19th OITS International Conference on Information Technology, OCIT 2021</t>
  </si>
  <si>
    <t>https://www.scopus.com/inward/record.uri?eid=2-s2.0-85127429255&amp;doi=10.1109%2fOCIT53463.2021.00066&amp;partnerID=40&amp;md5=77122d15beeef22e70fd39edae888760</t>
  </si>
  <si>
    <t>2-s2.0-85127429255</t>
  </si>
  <si>
    <t>Energy utilization; Fog; Fog computing; Poisson distribution; Computing-task; Finite-buffer; Low latency; Multiple heterogeneous fog; Network devices; Performance study; Queueing system; Systems performance; Transmission-line; Waiting time; Queueing theory</t>
  </si>
  <si>
    <t>Han H.; Wang H.; Cao S.</t>
  </si>
  <si>
    <t>Space Edge Cloud Enabling Service Migration for On-Orbit Service</t>
  </si>
  <si>
    <t>10.1109/ICCSN49894.2020.9139102</t>
  </si>
  <si>
    <t>In recent years, with the development of fast space response systems represented by image processing and specific target detection, the higher requirements for space-based on-orbit services have been placed. The space-based on-orbit service has the advantages of performing communication and calculations at the data source side, which can reduce the delay of satellite service data return, thereby responding quickly to emergencies. However, the high dynamic topology of satellite network and the sudden change of node access traffic will affect the on-orbit quality of service significantly. In order to approach this challenge, this paper proposes a space-based service architecture. Based on the real-time traffic data of the satellite network, the service is migrated according to the change of upstream and downstream traffic. In this paper, a migration model is constructed based on the network and mission characteristics of the space-based edge cloud. This migration model can balance the time delay dynamically and optimize the energy consumption by matching the migration node with the time delay and energy consumption. The simulation results show that the proposed service migration strategy can satisfy the customized requirements of different services, while reducing the service delay and packet loss rate under the network traffic congestion, so that the overall benefit of satellite network is improved. ¬© 2020 IEEE.</t>
  </si>
  <si>
    <t>Edge computing; Service migration; Space-based information network</t>
  </si>
  <si>
    <t>Han, Hao (57206694164); Wang, Houpeng (57215131805); Cao, Suzhi (14618967000)</t>
  </si>
  <si>
    <t>57206694164; 57215131805; 14618967000</t>
  </si>
  <si>
    <t>2020 12th International Conference on Communication Software and Networks, ICCSN 2020</t>
  </si>
  <si>
    <t>https://www.scopus.com/inward/record.uri?eid=2-s2.0-85088899167&amp;doi=10.1109%2fICCSN49894.2020.9139102&amp;partnerID=40&amp;md5=6f7a03d9969ac424f5c0f16c6e7adb80</t>
  </si>
  <si>
    <t>2-s2.0-85088899167</t>
  </si>
  <si>
    <t>Energy utilization; Image processing; Quality of service; Satellites; Time delay; Traffic congestion; Different services; On-orbit services; Real-time traffic datum; Satellite network; Satellite services; Service architecture; Service migration; Specific target detection; Orbits</t>
  </si>
  <si>
    <t>Kumar A.; Bawa S.</t>
  </si>
  <si>
    <t>DAIS: dynamic access and integration services framework for cloud-oriented storage systems</t>
  </si>
  <si>
    <t>10.1007/s10586-020-03088-0</t>
  </si>
  <si>
    <t>This paper proposes a framework named Dynamic Access and Integration Services (DAIS) framework. The framework provides on-demand and large scale integrated data access in cloud computing environment. The sole motivation of this research paper is to enhance the performance of Cloud-Oriented Storage (COS) systems. DAIS framework consists of two basic modules namely (1) Adjacency COS Overlay Topology (ACOT) and (2) Cloud Storage Resource Discovery (CSRD). ACOT introduces a self-organizing well balanced m-way tree which removes the necessity of centralized approaches and adopts dynamic and scalable data access in cloud computing environment. CSRD module provides data integration mechanism and efficient resource discovery from geographically distributes COS systems. In this paper, Hadoop test-bed setup has been deployed for experiment and results analysis. All input and output data have been collected in the Hadoop Distributed File System (HDFS). In the experiments, performance, bandwidth and energy efficiency of the proposed DAIS framework have been demonstrated and compared with three different approaches like, Static DAIS, P2P and DSSM. To make it energy efficient, measurement unit and its mathematical model have been defined. Energy efficiency results have been compared with two popular approaches HBase and Hadoop-MR, and found better in most of the cases. ¬© 2020, Springer Science+Business Media, LLC, part of Springer Nature.</t>
  </si>
  <si>
    <t>Cloud computing; Cloud storage cluster; Dynamicity; Integration services; Scalability; Self-organizing; Storage services</t>
  </si>
  <si>
    <t>Kumar, Ajay (57216227984); Bawa, Seema (22978121500)</t>
  </si>
  <si>
    <t>57216227984; 22978121500</t>
  </si>
  <si>
    <t>https://www.scopus.com/inward/record.uri?eid=2-s2.0-85082749567&amp;doi=10.1007%2fs10586-020-03088-0&amp;partnerID=40&amp;md5=882f75959abf57d48e91c0c95f9afab6</t>
  </si>
  <si>
    <t>2-s2.0-85082749567</t>
  </si>
  <si>
    <t>Cloud computing; Cluster computing; Data integration; Digital storage; Energy efficiency; File organization; Scalability; Trees (mathematics); Cloud storages; Dynamicity; Integration services; Self-organizing; Storage services; Storage as a service (STaaS)</t>
  </si>
  <si>
    <t>Pang P.; Chen Q.; Zeng D.; Li C.; Leng J.; Zheng W.; Guo M.</t>
  </si>
  <si>
    <t>Sturgeon: Preference-aware Co-location for Improving Utilization of Power Constrained Computers</t>
  </si>
  <si>
    <t>10.1109/IPDPS47924.2020.00079</t>
  </si>
  <si>
    <t>Large-scale datacenters often host latency-sensitive services that have stringent Quality-of-Service requirement and experience diurnal load pattern. Co-locating best-effort applications that have no QoS requirement with latency-sensitive services has been widely used to improve the resource utilization with careful shared resource management. However, existing co-location techniques tend to result in the power overload problem on power constrained computers due to the ignorance of the power consumption. To this end, we propose Sturgeon, a runtime system proactively manages resources between colocated applications in a power constrained environment, to ensure the QoS of latency-sensitive services while maximizing the resource utilization. Our investigation shows that, at a given load, there are multiple feasible resource configurations to meet both QoS requirement and power budget, while one of them yields the maximum throughput of best-effort applications. To find such a configuration, we establish models to accurately predict the performance and power consumption of the colocated applications. Sturgeon monitors the QoS periodically in order to eliminate the potential QoS violation caused by the unpredictable interference. The experimental results show that Sturgeon improves the throughput of best-effort applications by 24.96% compared to the state-of-the-art technique, while guaranteeing the 95%-ile latency within the QoS target. ¬© 2020 IEEE.</t>
  </si>
  <si>
    <t>Improved Utilization; Power Constrained Computers; QoS</t>
  </si>
  <si>
    <t>Pang, Pu (57126824800); Chen, Quan (36623232500); Zeng, Deze (24722168400); Li, Chao (56697637700); Leng, Jingwen (55813075400); Zheng, Wenli (56258882500); Guo, Minyi (7201564780)</t>
  </si>
  <si>
    <t>57126824800; 36623232500; 24722168400; 56697637700; 55813075400; 56258882500; 7201564780</t>
  </si>
  <si>
    <t>Proceedings - 2020 IEEE 34th International Parallel and Distributed Processing Symposium, IPDPS 2020</t>
  </si>
  <si>
    <t>https://www.scopus.com/inward/record.uri?eid=2-s2.0-85088902344&amp;doi=10.1109%2fIPDPS47924.2020.00079&amp;partnerID=40&amp;md5=95671074024e954e64995a34f5198482</t>
  </si>
  <si>
    <t>2-s2.0-85088902344</t>
  </si>
  <si>
    <t>Budget control; Electric power utilization; Green computing; Location; Best-effort applications; Maximum through-put; Overload problems; QoS requirements; Resource configurations; Resource utilizations; Shared resources; State-of-the-art techniques; Quality of service</t>
  </si>
  <si>
    <t>Hu C.; Zhu J.; Yang R.; Peng H.; Wo T.; Xue S.; Yu X.; Xu J.; Ranjan R.</t>
  </si>
  <si>
    <t>TOPOSCH: Latency-aware scheduling based on critical path analysis on shared yarn clusters</t>
  </si>
  <si>
    <t>10.1109/CLOUD49709.2020.00091</t>
  </si>
  <si>
    <t>2020-October</t>
  </si>
  <si>
    <t>Balancing resource utilization and application QoS is a long-standing research topic in cluster resource management. Big data YARN clusters need to co-schedule diverse workloads on shared resources including batch processing jobs, streaming jobs, and other long-running applications such as web services, database services, etc. Current resource managers are only responsible for resource allocation among applications/jobs but completely unaware of runtime QoS requirements of interactive and latency-sensitive applications. Prior works to maximize the QoS of monolithic applications ignore inherent dependencies and temporal-spatio performance variability of components, characteristics of distributed applications primarily driven by microservices. In this paper, we present Toposch, a new resource management system to adaptively co-locate batch tasks and microservices by harvesting runtime latency. In particular, Toposch tracks full footprints of every request across microservices over time. A latency graph is periodically generated for identifying victim microservices through an end-to-end latency critical path analysis. We then exploit per-microservice and per-node risk assessment to gauge the visible resources to the capacity scheduler in YARN. Execution of batch tasks are adaptively throttled or delayed, thereby avoiding latency increase due to node over-saturation. TOPOSCH is integrated with YARN and experiments show that the latency of DLRAs can be reduced by up to 39.8% against the default capacity scheduling in YARN. ¬© 2020 IEEE.</t>
  </si>
  <si>
    <t>cluster management; latency sensitivity; microservice; workload co-location</t>
  </si>
  <si>
    <t>Hu, Chunming (36091049100); Zhu, Jianyong (57203225535); Yang, Renyu (56147403700); Peng, Hao (57190014707); Wo, Tianyu (15838274700); Xue, Shiqing (57202919370); Yu, Xiaoqiang (57221532836); Xu, Jie (57050877700); Ranjan, Rajiv (57197711780)</t>
  </si>
  <si>
    <t>36091049100; 57203225535; 56147403700; 57190014707; 15838274700; 57202919370; 57221532836; 57050877700; 57197711780</t>
  </si>
  <si>
    <t>https://www.scopus.com/inward/record.uri?eid=2-s2.0-85099339956&amp;doi=10.1109%2fCLOUD49709.2020.00091&amp;partnerID=40&amp;md5=2993eb4f2775374c902b4bcf177de118</t>
  </si>
  <si>
    <t>2-s2.0-85099339956</t>
  </si>
  <si>
    <t>Batch data processing; Cloud computing; Multitasking; Natural resources management; Quality of service; Regression analysis; Resource allocation; Risk assessment; Scheduling; Web services; Wool; Yarn; Distributed applications; End to end latencies; Long-running applications; Performance variability; Resource management; Resource management systems; Resource utilizations; Sensitive application; Critical path analysis</t>
  </si>
  <si>
    <t>Santos D.; Silva R.; Corujo D.; Aguiar R.L.; Parreira B.</t>
  </si>
  <si>
    <t>10.1109/access.2021.3051570</t>
  </si>
  <si>
    <t>This article presents a framework for improved and efficient video delivery in scenarios featuring users moving at high speed (e.g., trains), leveraging on dynamic Multi-access Edge Computing (MEC) enabled 5G network capabilities. The framework is location-aware and it allows the content to efficiently follow the users, conserving load usage on network and computational resources, by placing virtualized Content Delivery Network (vCDN) nodes at edge sites. The nodes are controlled by the framework's centralized control unit, which is able to dynamically and preemptively deploy virtulized resources, as the train moves. The framework is capable of segmenting video content and placing the specific portion of content that a user is likely to consume across a set of dynamically deployed vCDN nodes, associated to the coverage section the train is currently passing. A proof of concept was implemented and evaluated, where the benefits of using this framework are assessed. Results showed that the proposed system was able to reduce the load on the core network by 10.9 percent and maximize the cache hit ratio to a value of 99.8 percent. ¬© 2013 IEEE.</t>
  </si>
  <si>
    <t>5G; location-awareness; MEC; NFV; SDN; vCDN; video delivery optimization</t>
  </si>
  <si>
    <t>Santos, David (57205557120); Silva, Rui (57213824090); Corujo, Daniel (23008345900); Aguiar, Rui L. (7006635816); Parreira, Bruno (56353094200)</t>
  </si>
  <si>
    <t>57205557120; 57213824090; 23008345900; 7006635816; 56353094200</t>
  </si>
  <si>
    <t>https://www.scopus.com/inward/record.uri?eid=2-s2.0-85099732192&amp;doi=10.1109%2faccess.2021.3051570&amp;partnerID=40&amp;md5=5951ac364249dd7c2827338c8a40014e</t>
  </si>
  <si>
    <t>2-s2.0-85099732192</t>
  </si>
  <si>
    <t>Network function virtualization; 5g; Content delivery network; Edge computing; Location awareness; Multi-access edge computing; Multiaccess; NFV; Optimisations; SDN; Video delivery; Video delivery optimization; Virtualized content delivery network; 5G mobile communication systems</t>
  </si>
  <si>
    <t>Bermejo B.; Juiz C.</t>
  </si>
  <si>
    <t>On the classification and quantification of server consolidation overheads</t>
  </si>
  <si>
    <t>10.1007/s11227-020-03258-2</t>
  </si>
  <si>
    <t>Virtualization technology is important for servers that compose cloud data centers. The current trend is to consolidate servers to manage them easily and reduce hardware and power consumption in data centers. However, performance degradation is inherent to virtualization technology and is caused by the hypervisor and overhead due to the consolidation of several virtual servers inside a physical server. Several ways exist to virtualize a server; these methods are based mainly on virtual machines and containers. In this paper, we propose a general method to estimate the value of the consolidation overhead classes, regardless of the virtualization platform, server characteristics and workload type. We conducted several experiments in different scenarios to illustrate the usefulness of the proposed method. The results show the applicability of the proposed method and indicate that these inherent overheads are not negligible in many cases depending on, first, the type of hypervisor and, second, the hardware resources features of the physical server. ¬© 2020, Springer Science+Business Media, LLC, part of Springer Nature.</t>
  </si>
  <si>
    <t>Overhead; Performance; Server consolidation; Virtualization</t>
  </si>
  <si>
    <t>Bermejo, Belen (57189471344); Juiz, Carlos (6602910973)</t>
  </si>
  <si>
    <t>57189471344; 6602910973</t>
  </si>
  <si>
    <t>https://www.scopus.com/inward/record.uri?eid=2-s2.0-85084231420&amp;doi=10.1007%2fs11227-020-03258-2&amp;partnerID=40&amp;md5=b1b6ec1823e74c66cd6445a4182234d3</t>
  </si>
  <si>
    <t>2-s2.0-85084231420</t>
  </si>
  <si>
    <t>Computer hardware; Virtualization; Cloud data centers; Data centers; General method; Hardware resources; Performance degradation; Server consolidation; Virtual servers; Virtualization technologies; Green computing</t>
  </si>
  <si>
    <t>Chen S.; Li Q.; Zhang H.; Zhu F.; Xiong G.; Tang Y.</t>
  </si>
  <si>
    <t>An IoT Edge Computing System Architecture and its Application</t>
  </si>
  <si>
    <t>10.1109/ICNSC48988.2020.9238096</t>
  </si>
  <si>
    <t>As the number of devices connected to the Internet of things (IoT) surges, the amount of data explodes. Therefore it not only increases the bandwidth load of data transmission but also aggravates the computing and storage load of a cloud platform. At the same time, the traditional computing paradigm centered on cloud computing cannot meet the real-time requirements in many application scenarios. The emergence of edge computing can solve the problems of realtime data processing and network bandwidth occupation in the current IoT scene. In this paper, according to the characteristics of IoT, such as fragmented data, heterogeneous network, and limited energy consumption, the architecture of an IoT edge computing system is constructed to suit better an IoT scene. In addition, the application of edge computing key technologies such as virtualization, edge intelligence, computing offload, collaborative scheduling and micro-services in resource-constrained IoT scenarios is analyzed in detail. Finally, the functions and application of energy consumption monitoring and optimization to a central air-conditioning system are analyzed and summarized, which is a typical application of edge computing in the context of the IoT. ¬© 2020 IEEE.</t>
  </si>
  <si>
    <t>Edge computing; Energy monitoring and optimization Introduction; IoT</t>
  </si>
  <si>
    <t>Chen, Shichao (56723036600); Li, Qijie (57219973577); Zhang, Hua (57215209680); Zhu, Fenghua (55112010800); Xiong, Gang (55733323100); Tang, Ying (57791491500)</t>
  </si>
  <si>
    <t>56723036600; 57219973577; 57215209680; 55112010800; 55733323100; 57791491500</t>
  </si>
  <si>
    <t>2020 IEEE International Conference on Networking, Sensing and Control, ICNSC 2020</t>
  </si>
  <si>
    <t>https://www.scopus.com/inward/record.uri?eid=2-s2.0-85096351980&amp;doi=10.1109%2fICNSC48988.2020.9238096&amp;partnerID=40&amp;md5=ea375c6fa1c8d8c7aca1022598543e92</t>
  </si>
  <si>
    <t>2-s2.0-85096351980</t>
  </si>
  <si>
    <t>Air conditioning; Bandwidth; Computer architecture; Data handling; Digital storage; Edge computing; Energy utilization; Green computing; Heterogeneous networks; Network architecture; Application scenario; Central air-conditioning systems; Collaborative scheduling; Energy consumption monitoring; Internet of thing (IOT); Real time requirement; Real-time data processing; Traditional computing; Internet of things</t>
  </si>
  <si>
    <t>Barboza E.C.; Jacob S.; Ketkar M.; Kishinevsky M.; Gratz P.; Hu J.</t>
  </si>
  <si>
    <t>Automatic Microprocessor Performance Bug Detection</t>
  </si>
  <si>
    <t>10.1109/HPCA51647.2021.00053</t>
  </si>
  <si>
    <t>Processor design validation and debug is a difficult and complex task, which consumes the lion's share of the design process. Design bugs that affect processor performance rather than its functionality are especially difficult to catch, particularly in new microarchitectures. This is because, unlike functional bugs, the correct processor performance of new microarchitectures on complex, long-running benchmarks is typically not deterministically known. Thus, when performance benchmarking new microarchitectures, performance teams may assume that the design is correct when the performance of the new microarchitecture exceeds that of the previous generation, despite significant performance regressions existing in the design. In this work we present a two-stage, machine learning-based methodology that is able to detect the existence of performance bugs in microprocessors. Our results show that our best technique detects 91.5% of microprocessor core performance bugs whose average IPC impact across the studied applications is greater than 1% versus a bug-free design with zero false positives. When evaluated on memory system bugs, our technique achieves 100% detection with zero false positives. Moreover, the detection is automatic, requiring very little performance engineer time.  ¬© 2021 IEEE.</t>
  </si>
  <si>
    <t>automatic; bugs; core; debugging; Machine Learning; microprocessor; Modeling; Performance</t>
  </si>
  <si>
    <t>Barboza, Erick Carvajal (57209449981); Jacob, Sara (57221110116); Ketkar, Mahesh (7003621548); Kishinevsky, Michael (7003268374); Gratz, Paul (23007997300); Hu, Jiang (35264309300)</t>
  </si>
  <si>
    <t>57209449981; 57221110116; 7003621548; 7003268374; 23007997300; 35264309300</t>
  </si>
  <si>
    <t>https://www.scopus.com/inward/record.uri?eid=2-s2.0-85104950921&amp;doi=10.1109%2fHPCA51647.2021.00053&amp;partnerID=40&amp;md5=ae755f3b5ba3ede721ca9f3a3d85581e</t>
  </si>
  <si>
    <t>2-s2.0-85104950921</t>
  </si>
  <si>
    <t>Computer architecture; Integrated circuit design; Program debugging; Supercomputers; Design process; False positive; Micro architectures; Microprocessor core; Performance benchmarking; Performance bugs; Processor design; Processor performance; Benchmarking</t>
  </si>
  <si>
    <t>Ullah R.; Marwat S.N.K.; Ahmad A.M.; Ahmed S.; Hafeez A.; Kamal T.; Tufail M.</t>
  </si>
  <si>
    <t>A machine learning approach for 5G SINR prediction</t>
  </si>
  <si>
    <t>10.3390/electronics9101660</t>
  </si>
  <si>
    <t>Artificial Intelligence (AI) and Machine Learning (ML) are envisaged to play key roles in 5G networks. Efficient radio resource management is of paramount importance for network operators. With the advent of newer technologies, infrastructure, and plans, spending significant radio resources on estimating channel conditions in mobile networks poses a challenge. Automating the process of predicting channel conditions can efficiently utilize resources. To this point, we propose an ML-based technique, i.e., an Artificial Neural Network (ANN) for predicting SINR (Signal-to-Interference-and-Noise-Ratio) in order to mitigate the radio resource usage in mobile networks. Radio resource scheduling is generally achieved on the basis of estimated channel conditions, i.e., SINR with the help of Sounding Reference Signals (SRS). The proposed Non-Linear Auto Regressive External/Exogenous (NARX)-based ANN aims to minimize the rate of sending SRS and achieves an accuracy of R = 0.87. This can lead to vacating up to 4% of the spectrum, improving bandwidth efficiency and decreasing uplink power consumption. ¬© 2020 by the authors. Licensee MDPI, Basel, Switzerland.</t>
  </si>
  <si>
    <t>5G; Artificial intelligence; Machine learning; Signal-to-Interference-and-Noise-Ratio; Sounding reference signals</t>
  </si>
  <si>
    <t>Ullah, Ruzat (58257177600); Marwat, Safdar Nawaz Khan (55235238800); Ahmad, Arbab Masood (55329179900); Ahmed, Salman (57223755209); Hafeez, Abdul (57563888100); Kamal, Tariq (57203162465); Tufail, Muhammad (59510647600)</t>
  </si>
  <si>
    <t>58257177600; 55235238800; 55329179900; 57223755209; 57563888100; 57203162465; 59510647600</t>
  </si>
  <si>
    <t>https://www.scopus.com/inward/record.uri?eid=2-s2.0-85092565102&amp;doi=10.3390%2felectronics9101660&amp;partnerID=40&amp;md5=678c0cab1ded313630534fba1e905958</t>
  </si>
  <si>
    <t>2-s2.0-85092565102</t>
  </si>
  <si>
    <t>Thanh L.N.T.; Phien N.N.; Nguyen T.A.; Vo H.K.; Luong H.H.; Anh T.D.; Tuan K.N.H.; Son H.X.</t>
  </si>
  <si>
    <t>IoHT-MBA: An Internet of Healthcare Things (IoHT) Platform based on Microservice and Brokerless Architecture</t>
  </si>
  <si>
    <t>10.14569/IJACSA.2021.0120768</t>
  </si>
  <si>
    <t xml:space="preserve"> Internet of Thing (IoT), currently, is one of the technology trends that are most interested. IoT can be divided into five main areas including: Health-care, Environmental, Smart city, Commercial and Industrial. The IoHT-MBA Platform is considered the backbone of every IoT architecture, so the optimal design of the IoHT-MBA Platform is essential issue, which should be carefully considered in the different aspects. Although, IoT is applied in multiple domains, however, there are still three main features that are challenge to improve: i) data collection, ii) users, devices management, and iii) remote device control. Today‚Äôs medical IoT systems, often too focused on the big data or access control aspects of participants, but not focused on collecting data accurately, quickly, and efficiently; power redundancy and system expansion. This is very important for the medical sector - which always prioritizes the availability of data for therapeutic purposes over other aspects. In this paper, we introduce the IoHT Platform for Healthcare environment which is designed by microservice and brokerless architecture, focusing strongly on the three aforementioned characteristics. In addition, our IoHT Platform considers the five other issues including (1) the limited processing capacity of the devices, (2) energy saving for the device, (3) speed and accurate of the data collection, (4) security mechanisms and (5) scalability of the system. Also, in order for the IoHT Platform to be suitable for the field of health monitoring, we also add realtime alerts for the medical team. In the evaluation section, moreover, we describe the evaluation to prove the effectiveness of the proposed IoHT Platform (i.e. the proof-of-concept) in the performance, non-error, and non affected by geographical distance. Finally, a complete code solution is publicized on the authors‚Äô GitHub repository to engage further reproducibility and improvement. ¬© 2021. All Rights Reserved.</t>
  </si>
  <si>
    <t>brokerless; gRPC; Internet of Health Things (IoHT); kafka; microservice; RBAC; single sign-on</t>
  </si>
  <si>
    <t>Thanh, Lam Nguyen Tran (57225090221); Phien, Nguyen Ngoc (58179158800); Nguyen, The Anh (58199539500); Vo, Hong Khanh (57208757731); Luong, Hoang Huong (57191923847); Anh, Tuan Dao (57225099090); Tuan, Khoi Nguyen Huynh (57225109020); Son, Ha Xuan (57193341872)</t>
  </si>
  <si>
    <t>57225090221; 58179158800; 58199539500; 57208757731; 57191923847; 57225099090; 57225109020; 57193341872</t>
  </si>
  <si>
    <t>https://www.scopus.com/inward/record.uri?eid=2-s2.0-85112232025&amp;doi=10.14569%2fIJACSA.2021.0120768&amp;partnerID=40&amp;md5=9655b1a96754b2c48c8add6ba46c1c7f</t>
  </si>
  <si>
    <t>2-s2.0-85112232025</t>
  </si>
  <si>
    <t>Access control; Data acquisition; Energy conservation; Health care; Information management; Broker-less; Data collection; GRPC; Internet of health thing; Kafkum; Microservice; RBAC; Single sign on; Single signs-on; Technology trends; Internet of things</t>
  </si>
  <si>
    <t>Jamil F.; Iqbal N.; Imran; Ahmad S.; Kim D.</t>
  </si>
  <si>
    <t>Peer-to-Peer Energy Trading Mechanism Based on Blockchain and Machine Learning for Sustainable Electrical Power Supply in Smart Grid</t>
  </si>
  <si>
    <t>10.1109/ACCESS.2021.3060457</t>
  </si>
  <si>
    <t>It is expected that peer to peer energy trading will constitute a significant share of research in upcoming generation power systems due to the rising demand of energy in smart microgrids. However, the on-demand use of energy is considered a big challenge to achieve the optimal cost for households. This paper proposes a blockchain-based predictive energy trading platform to provide real-time support, day-ahead controlling, and generation scheduling of distributed energy resources. The proposed blockchain-based platform consists of two modules; blockchain-based energy trading and smart contract enabled predictive analytics modules. The blockchain module allows peers with real-time energy consumption monitoring, easy energy trading control, reward model, and unchangeable energy trading transaction logs. The smart contract enabled predictive analytics module aims to build a prediction model based on historical energy consumption data to predict short-term energy consumption. This paper uses real energy consumption data acquired from the Jeju province energy department, the Republic of Korea. This study aims to achieve optimal power flow and energy crowdsourcing, supporting energy trading among the consumer and prosumer. Energy trading is based on day-ahead, real-time control, and scheduling of distributed energy resources to meet the smart grid's load demand. Moreover, we use data mining techniques to perform time-series analysis to extract and analyze underlying patterns from the historical energy consumption data. The time-series analysis supports energy management to devise better future decisions to plan and manage energy resources effectively. To evaluate the proposed predictive model's performance, we have used several statistical measures, such as mean square error and root mean square error on various machine learning models, namely recurrent neural networks and alike. Moreover, we also evaluate the blockchain platform's effectiveness through hyperledger calliper in terms of latency, throughput, and resource utilization. Based on the experimental results, the proposed model is effectively used for energy crowdsourcing between the prosumer and consumer to attain service quality.  ¬© 2013 IEEE.</t>
  </si>
  <si>
    <t>blockchain; energy prediction; Energy trading; machine learning; predictive analysis</t>
  </si>
  <si>
    <t>Jamil, Faisal (57205302075); Iqbal, Naeem (16319179300); Imran (57211507182); Ahmad, Shabir (57209916504); Kim, Dohyeun (44361167000)</t>
  </si>
  <si>
    <t>57205302075; 16319179300; 57211507182; 57209916504; 44361167000</t>
  </si>
  <si>
    <t>https://www.scopus.com/inward/record.uri?eid=2-s2.0-85101538996&amp;doi=10.1109%2fACCESS.2021.3060457&amp;partnerID=40&amp;md5=c2f51f131fc5a2dec766b0731e4857d1</t>
  </si>
  <si>
    <t>2-s2.0-85101538996</t>
  </si>
  <si>
    <t>Blockchain; Crowdsourcing; Data mining; Electric load flow; Electric power transmission networks; Energy resources; Energy utilization; Fintech; Harmonic analysis; Learning systems; Mean square error; Microgrids; Peer to peer networks; Power markets; Predictive analytics; Real time control; Recurrent neural networks; Scheduling; Time series analysis; Distributed Energy Resources; Electrical power supply; Energy consumption datum; Generation scheduling; Machine learning models; Resource utilizations; Root mean square errors; Statistical measures; Smart power grids</t>
  </si>
  <si>
    <t>S√°nchez Ribes V.; Mora H.; Sobecki A.; Mora Gimeno F.J.</t>
  </si>
  <si>
    <t>Mobile Cloud computing architecture for massively parallelizable geometric computation</t>
  </si>
  <si>
    <t>10.1016/j.compind.2020.103336</t>
  </si>
  <si>
    <t>Cloud Computing is one of the most disruptive technologies of this century. This technology has been widely adopted in many areas of the society. In the field of manufacturing industry, it can be used to provide advantages in the execution of the complex geometric computation algorithms involved on CAD/CAM processes. The idea proposed in this research consists in outsourcing part of the load to be computed in the client machines to the cloud through the Mobile Cloud Computing paradigm. This practice gives substantial benefits to both the clients and the software-provider in terms of costs, flexibility, ubiquity and performance. In this document, an outsourcing architecture is proposed based on this paradigm. Extensive experiments have been done using highly parallelizable computational geometry operations to show the strengths and weaknesses of the proposal in combination of specialized computing platforms in the cloud. The results suggest that there are some issues that affect the overall performance and the stability of the QoS: the network communication delay, and the number of simultaneous clients and multiple requests. Some solutions have been proposed to face these challenges. ¬© 2020 Elsevier B.V.</t>
  </si>
  <si>
    <t>Cloud computing; Cloud offloading; CUDA; GPU; GPU computing</t>
  </si>
  <si>
    <t>S√°nchez Ribes, V√≠ctor (57219626124); Mora, Higinio (55664769000); Sobecki, Andrzej (57201584195); Mora Gimeno, Francisco Jos√© (23668817400)</t>
  </si>
  <si>
    <t>57219626124; 55664769000; 57201584195; 23668817400</t>
  </si>
  <si>
    <t>https://www.scopus.com/inward/record.uri?eid=2-s2.0-85094317095&amp;doi=10.1016%2fj.compind.2020.103336&amp;partnerID=40&amp;md5=7a1221ca86ca3eb2a736d50ccb0e6a3c</t>
  </si>
  <si>
    <t>2-s2.0-85094317095</t>
  </si>
  <si>
    <t>Computational geometry; Computer aided design; Computer architecture; Network architecture; Outsourcing; Cad/cams; Client machine; Computing platform; Disruptive technology; Geometric computations; Manufacturing industries; Mobile clouds; Network communications; Mobile cloud computing</t>
  </si>
  <si>
    <t>Caviglione L.; Mazurczyk W.; Repetto M.; Schaffhauser A.; Zuppelli M.</t>
  </si>
  <si>
    <t>Kernel-level tracing for detecting stegomalware and covert channels in Linux environments</t>
  </si>
  <si>
    <t>10.1016/j.comnet.2021.108010</t>
  </si>
  <si>
    <t>Modern malware is becoming hard to spot since attackers are increasingly adopting new techniques to elude signature- and rule-based detection mechanisms. Among the others, steganography and information hiding can be used to bypass security frameworks searching for suspicious communications between processes or exfiltration attempts through covert channels. Since the array of potential carriers is very large (e.g., information can be hidden in hardware resources, various multimedia files or network flows), detecting this class of threats is a scarcely generalizable process and gathering multiple behavioral information is time-consuming, lacks scalability, and could lead to performance degradation. In this paper, we leverage the extended Berkeley Packet Filter (eBPF), which is a recent code augmentation feature provided by the Linux kernel, for programmatically tracing and monitoring the behavior of software processes in a very efficient way. To prove the flexibility of the approach, we investigate two realistic use cases implementing different attack mechanisms, i.e., two processes colluding via the alteration of the file system and hidden network communication attempts nested within IPv6 traffic flows. Our results show that even simple eBPF programs can provide useful data for the detection of anomalies, with a minimal overhead. Furthermore, the flexibility to develop and run such programs allows to extract relevant features that could be used for the creation of datasets for feeding security frameworks exploiting AI. ¬© 2021</t>
  </si>
  <si>
    <t>Covert channels; Detection; eBPF; Stegomalware; Syscall and network tracing</t>
  </si>
  <si>
    <t>Caviglione, Luca (8301144200); Mazurczyk, Wojciech (15063087200); Repetto, Matteo (57194639871); Schaffhauser, Andreas (57212485118); Zuppelli, Marco (57219265208)</t>
  </si>
  <si>
    <t>8301144200; 15063087200; 57194639871; 57212485118; 57219265208</t>
  </si>
  <si>
    <t>https://www.scopus.com/inward/record.uri?eid=2-s2.0-85103087571&amp;doi=10.1016%2fj.comnet.2021.108010&amp;partnerID=40&amp;md5=ef7acb320fd1212c0bc7230c5bec2e81</t>
  </si>
  <si>
    <t>2-s2.0-85103087571</t>
  </si>
  <si>
    <t>Error detection; Malware; Multimedia systems; Berkeley packet filters; Covert channels; Detection; Extended berkeley packet filter; Linux environment; Malwares; Security frameworks; Signature based detections; Stegomalware; Syscall and network tracing; Linux</t>
  </si>
  <si>
    <t>Pontes F.A.; Curry E.</t>
  </si>
  <si>
    <t>Cloud-Edge Microservice Architecture for DNN-based Distributed Multimedia Event Processing</t>
  </si>
  <si>
    <t>10.1007/978-3-030-71906-7_6</t>
  </si>
  <si>
    <t>The rise of Big Data, Internet of Multimedia Things (IoMT), and Deep Neural Network (DNN) enabled the growth of DNN-based Computer Vision solutions to Multimedia Event Processing (MEP) applications. When these are applied to a real-world scenario we notice the importance of having a system with a satisfactory speed that can fit in the limited resources of most IoMT devices. However, most solutions for distributed MEP are dependent on a Cloud architecture, which makes these applications migration to the Edge more challenging. As a response to this, we present a microservice architecture for DNN-based distributed MEP over heterogeneous Cloud-Edge environments. We describe our solution that allows for an easier deployment both on the Edge and on the Cloud. We show that choosing the proper tools for an Edge-Friendly solution can lead to 100 times less resource utilisation. Our preliminary investigation shows promising results, with a reduction in energy consumption by 8% with a minor drawback of 15% in throughput in the Edge and a negligible increase in energy consumption on the Cloud. ¬© 2021, Springer Nature Switzerland AG.</t>
  </si>
  <si>
    <t>Cloud-Independent; Deep Neural Networks; Distributed computing; Edge-Friendly; Multimedia Event Processing</t>
  </si>
  <si>
    <t>Pontes, Felipe Arruda (57225798449); Curry, Edward (12790805000)</t>
  </si>
  <si>
    <t>57225798449; 12790805000</t>
  </si>
  <si>
    <t>https://www.scopus.com/inward/record.uri?eid=2-s2.0-85103490774&amp;doi=10.1007%2f978-3-030-71906-7_6&amp;partnerID=40&amp;md5=94342a4db133029d4285350e04a992ee</t>
  </si>
  <si>
    <t>2-s2.0-85103490774</t>
  </si>
  <si>
    <t>Cloud computing; Deep neural networks; Energy utilization; Green computing; Network architecture; Cloud architectures; Distributed multimedia; Edge-friendly; Event Processing; Real-world scenario; Reduction in energy consumption; Resource utilisation; Computer architecture</t>
  </si>
  <si>
    <t>Villegas-Ch W.; Palacios-Pacheco X.; Rom√°n-Ca√±izares M.</t>
  </si>
  <si>
    <t>An internet of things model for improving process management on university campus</t>
  </si>
  <si>
    <t>10.3390/fi12100162</t>
  </si>
  <si>
    <t>Currently, there are several emerging technologies that seek to improve quality of life. To achieve this, it is important to establish the various technologies‚Äô fields of action and to determine which technology meets the conditions established by the environment in which it is designed to operate in order to satisfy the needs of society. One type of environment is the university campus. This particular environment is conducive to the development and testing of technological innovations that might later be replicated in larger environments such as smart cities. The technology that has experienced the greatest development and introduction of applications is the Internet of Things. The wide variety of available devices and the wide reach of the Internet have become ideal parameters for the application of the Internet of Things in areas that previously required the work of people. The Internet of Things is seen as an assistant to, or a substitute for, processes that are generally routine and which require the effort of one or more people. This work focuses specifically on processes to improve administrative management in a university through the use of the Internet of Things. ¬© 2020 by the authors. Licensee MDPI, Basel, Switzerland.</t>
  </si>
  <si>
    <t>Automation; Internet of Things; Process management; University campus</t>
  </si>
  <si>
    <t>Villegas-Ch, William (57194408086); Palacios-Pacheco, Xavier (57200377705); Rom√°n-Ca√±izares, Milton (57201681243)</t>
  </si>
  <si>
    <t>57194408086; 57200377705; 57201681243</t>
  </si>
  <si>
    <t>https://www.scopus.com/inward/record.uri?eid=2-s2.0-85093841411&amp;doi=10.3390%2ffi12100162&amp;partnerID=40&amp;md5=d21aa825035e9f6c1442561e959ab3c7</t>
  </si>
  <si>
    <t>2-s2.0-85093841411</t>
  </si>
  <si>
    <t>Internet; Development and testing; Emerging technologies; Process management; Quality of life; Technological innovation; University campus; Various technologies; Internet of things</t>
  </si>
  <si>
    <t>Bikmullina I.I.; Vafin R.R.</t>
  </si>
  <si>
    <t>Method for Selecting a Set of Image Files Similar to the Object of Interest</t>
  </si>
  <si>
    <t>10.1109/UralCon52005.2021.9559535</t>
  </si>
  <si>
    <t>In this research, the scientific novelty is the development and testing of the method. This method will allow combining the high speed of the cascade classifier and the quality of the artificial neural network. As an approbation of the work in this article, we study the set of image files. The set of image files are available in the directory on the disk. Next, we select a set of files. The set of files is similar to the object of interest image files. It means, that we can't identical any objects. Then we rewrite files to the target directory. This set should later be used for training a neural network. Images of the object of interest can be in any orientation and on any background. This non-identity must be recognized by a trained neural network. For the purposes of forming such a set, we will need an identifier that has sufficient accuracy for these purposes. Here we do not need very high accuracy. The very identification error of this preliminary analyzer helps us of introducing some dissimilarity between the objects of the images. The task is complicated by the fact that objects can have different sizes (scale) and orientation in space. Our approach based on cascade classifiers and neural networks combines the high speed of the cascade classifier and the quality of the artificial neural network. And the stage of preparing training data for the network is of great importance.  ¬© 2021 IEEE.</t>
  </si>
  <si>
    <t>cascade classifier; convolutional neural networks; interest; method; neural networks</t>
  </si>
  <si>
    <t>Bikmullina, Ilsiyar I. (57213153374); Vafin, Radik R. (58062889000)</t>
  </si>
  <si>
    <t>57213153374; 58062889000</t>
  </si>
  <si>
    <t>Proceedings - International Ural Conference on Measurements, UralCon</t>
  </si>
  <si>
    <t>https://www.scopus.com/inward/record.uri?eid=2-s2.0-85146201046&amp;doi=10.1109%2fUralCon52005.2021.9559535&amp;partnerID=40&amp;md5=62b6bbfaccb3ce664cf8810b18d35a43</t>
  </si>
  <si>
    <t>2-s2.0-85146201046</t>
  </si>
  <si>
    <t>Classification (of information); Image classification; Cascade classifiers; Convolutional neural network; Development and testing; High Speed; High-accuracy; Image files; Interest; Method; Neural-networks; Trained neural networks; Convolutional neural networks</t>
  </si>
  <si>
    <t>Luftensteiner S.; Mayr M.; Chasparis G.C.; Pichler M.</t>
  </si>
  <si>
    <t>AVUBDI: A Versatile Usable Big Data Infrastructure and Its Monitoring Approaches for Process Industry</t>
  </si>
  <si>
    <t>10.3389/fceng.2021.665545</t>
  </si>
  <si>
    <t>The amount of sensors in process industry is continuously increasing as they are getting faster, better and cheaper. Due to the rising amount of available data, the processing of generated data has to be automatized in a computationally efficient manner. Such a solution should also be easily implementable and reproducible independently of the details of the application domain. This paper provides a suitable and versatile usable infrastructure that deals with Big Data in the process industry on various platforms using efficient, fast and modern technologies for data gathering, processing, storing and visualization. Contrary to prior work, we provide an easy-to-use, easily reproducible, adaptable and configurable Big Data management solution with a detailed implementation description that does not require expert or domain-specific knowledge. In addition to the infrastructure implementation, we focus on monitoring both infrastructure inputs and outputs, including incoming data of processes and model predictions and performances, thus allowing for early interventions and actions if problems occur. Copyright ¬© 2021 Luftensteiner, Mayr, Chasparis and Pichler.</t>
  </si>
  <si>
    <t>big data infrastructure; containerization; process industry; process monitoring; sensor data processing</t>
  </si>
  <si>
    <t>Luftensteiner, Sabrina (57219175518); Mayr, Michael (57219165297); Chasparis, Georgios C. (8204597900); Pichler, Mario (22433794200)</t>
  </si>
  <si>
    <t>57219175518; 57219165297; 8204597900; 22433794200</t>
  </si>
  <si>
    <t>Frontiers in Chemical Engineering</t>
  </si>
  <si>
    <t>https://www.scopus.com/inward/record.uri?eid=2-s2.0-85127767694&amp;doi=10.3389%2ffceng.2021.665545&amp;partnerID=40&amp;md5=064afda1f89761d68447df5806f660d6</t>
  </si>
  <si>
    <t>2-s2.0-85127767694</t>
  </si>
  <si>
    <t>Imran; Iqbal N.; Ahmad S.; Kim D.H.</t>
  </si>
  <si>
    <t>Health monitoring system for elderly patients using intelligent task mapping mechanism in closed loop healthcare environment</t>
  </si>
  <si>
    <t>10.3390/sym13020357</t>
  </si>
  <si>
    <t>The ageing population‚Äôs problems directly impact countries‚Äô socio-economic structure, as more resources are required to monitor the aged population‚Äôs health. The growth in human life expectancy is increasing due to medical technologies and nutritional science innovations. The Internet of Things (IoT) is the connectivity of physical objects called things to the Internet. IoT has a wide range of health monitoring applications based on biomedical sensing devices to monitor health conditions. This paper proposes elderly patients‚Äô health monitoring architecture based on an intelligent task mapping approach for a closed-loop IoT healthcare environment. As a case study, a health monitoring system was developed based on the proposed architecture for elderly patients‚Äô health monitoring in the home, ambulance, and hospital environment. The system detects and notifies deteriorating conditions to the authorities based on biomedical sensors for faster interventions. Wearable biomedical sensors are used for monitoring body temperature, heart rate, blood glucose level, and patient body position. Threshold and machine learning-based approaches were used to detect anomalies in the health sensing data. The proposed architecture‚Äôs performance analysis is evaluated in terms of round trip time, reliability, task drop rate, and latency performance metrics. Performance results show that the proposed architecture of the elderly patient health monitoring can provide reliable solutions for critical tasks in IoT environments. ¬© 2021 by the authors. Licensee MDPI, Basel, Switzerland.</t>
  </si>
  <si>
    <t>Elderly patients; Health monitoring; Intelligent task mapping; Internet of health care things; Patient activities monitoring</t>
  </si>
  <si>
    <t>Imran (57211507182); Iqbal, Naeem (16319179300); Ahmad, Shabir (57209916504); Kim, Do Hyeun (44361167000)</t>
  </si>
  <si>
    <t>57211507182; 16319179300; 57209916504; 44361167000</t>
  </si>
  <si>
    <t>https://www.scopus.com/inward/record.uri?eid=2-s2.0-85102365743&amp;doi=10.3390%2fsym13020357&amp;partnerID=40&amp;md5=c41346da479301e0341fdc6e9f57b036</t>
  </si>
  <si>
    <t>2-s2.0-85102365743</t>
  </si>
  <si>
    <t>El Kafhali S.; El Mir I.; Salah K.; Hanini M.</t>
  </si>
  <si>
    <t>Dynamic Scalability Model for Containerized Cloud Services</t>
  </si>
  <si>
    <t>10.1007/s13369-020-04847-2</t>
  </si>
  <si>
    <t>Cloud computing has become an important research area in large-scale computing systems and is being employed by many organizations in government, businesses, and industry. Schemes and appropriate models for dynamic resources provisioning in the cloud environment have been extensively studied. To date, the research literature is lacking schemes and models that offer dynamic scalability in which Quality of Service (QoS) and high performance are provided to customers with the usage of the least number of cloud resources, especially for containerized services hosted on the cloud. With dynamic scalability, cloud computing can offer on-demand, timely, and dynamically adjustable computing resources to services hosted on the cloud. This paper presents a dynamic scaling model based on queueing theory to scale containers virtual resources and satisfy the customer Service Level Agreements (SLA) while guarding costs of scaling very low. The aim is to improve the virtual computing resources utilization and satisfy SLA constraints in terms of CPU utilization, system response time, system drop rate, system number of tasks, and system throughput. Simulation results are provided using Java Modelling Tools simulation tool, which shows that our proposed model can determine under any offered workload the needed containers instances to satisfy the required QoS parameters. ¬© 2020, King Fahd University of Petroleum &amp; Minerals.</t>
  </si>
  <si>
    <t>Cloud computing; Containerized cloud services; Containers; Performance modeling; Resource efficiency</t>
  </si>
  <si>
    <t>El Kafhali, Said (55505648000); El Mir, Iman (57193495258); Salah, Khaled (35617663600); Hanini, Mohamed (55204392000)</t>
  </si>
  <si>
    <t>55505648000; 57193495258; 35617663600; 55204392000</t>
  </si>
  <si>
    <t>https://www.scopus.com/inward/record.uri?eid=2-s2.0-85089528810&amp;doi=10.1007%2fs13369-020-04847-2&amp;partnerID=40&amp;md5=f8ab5a992c28e91174b1d030472a78c8</t>
  </si>
  <si>
    <t>2-s2.0-85089528810</t>
  </si>
  <si>
    <t>Kauffman S.; Dunne M.; Gracioli G.; Khan W.; Benann N.; Fischmeister S.</t>
  </si>
  <si>
    <t>Palisade: A framework for anomaly detection in embedded systems</t>
  </si>
  <si>
    <t>10.1016/j.sysarc.2020.101876</t>
  </si>
  <si>
    <t>In this article, we propose Palisade, a distributed framework for streaming anomaly detection. Palisade is motivated by the need to apply multiple detection algorithms for distinct anomalies in the same scenario. Our solution blends low latency detection with deployment flexibility and ease-of-modification. This work includes a thorough description of the choices made in designing Palisade and the reasons for making those choices. We carefully define symptoms of anomalies that may be detected, and we use this taxonomy in characterizing our work. The article includes two case studies using a variety of anomaly detectors on streaming data to demonstrate the effectiveness of our approach in an embedded setting. ¬© 2020 Elsevier B.V.</t>
  </si>
  <si>
    <t>Anomaly detection; Real-time embedded systems; Software architecture; Streaming-based architecture</t>
  </si>
  <si>
    <t>Kauffman, Sean (57196827271); Dunne, Murray (57189970603); Gracioli, Giovani (25929134300); Khan, Waleed (57219090385); Benann, Nirmal (57196717253); Fischmeister, Sebastian (14631648300)</t>
  </si>
  <si>
    <t>57196827271; 57189970603; 25929134300; 57219090385; 57196717253; 14631648300</t>
  </si>
  <si>
    <t>https://www.scopus.com/inward/record.uri?eid=2-s2.0-85091229671&amp;doi=10.1016%2fj.sysarc.2020.101876&amp;partnerID=40&amp;md5=efbb50d941c57ff37e1c2b8dc3bde608</t>
  </si>
  <si>
    <t>2-s2.0-85091229671</t>
  </si>
  <si>
    <t>Embedded systems; Anomaly detector; Case-studies; Distributed framework; Embedded settings; Low latency; Multiple detection algorithms; Solution blends; Streaming data; Anomaly detection</t>
  </si>
  <si>
    <t>Wu L.; Xia H.</t>
  </si>
  <si>
    <t>Particle Swarm Optimization Algorithm for Container Deployment</t>
  </si>
  <si>
    <t>10.1088/1742-6596/1544/1/012020</t>
  </si>
  <si>
    <t>In recent years, with the development of cloud computing, virtualization technology has received widespread attention. As a new representative of virtualization technology, containers have been widely used in software development, operation and maintenance, testing and other aspects, such as microservices and Docker Cloud. In cloud data centers, containers have gradually replaced virtual machines (VMs) as a new carrier for cloud tasks. However, with the increasing number of cloud products, the scale of tasks requested by users in cloud data centers continues to expand. The economic cost of tasks in the process of containerized deployment has become a concern of various cloud service vendors. The container deployment cost usually includes the data exchange cost, the image pull cost and the server energy cost. In order to solve the containerized deployment of application tasks in the container cloud environment with the lowest possible container deployment cost, this paper proposes a new cost calculation model in a container cloud environment, and then presents an improved particles swarm algorithm, namely a particle swarm optimization (PSO) algorithm for container deployment (CD-PSO) to provide the best solution for application task loading. Experimental results show that the proposed algorithm has a lower deployment cost than other scheduling algorithms. ¬© 2019 Published under licence by IOP Publishing Ltd.</t>
  </si>
  <si>
    <t>Wu, Libin (57217128692); Xia, Hongbin (56242491600)</t>
  </si>
  <si>
    <t>57217128692; 56242491600</t>
  </si>
  <si>
    <t>https://www.scopus.com/inward/record.uri?eid=2-s2.0-85086374003&amp;doi=10.1088%2f1742-6596%2f1544%2f1%2f012020&amp;partnerID=40&amp;md5=e03972d471de2a63506c7e594870b3cb</t>
  </si>
  <si>
    <t>2-s2.0-85086374003</t>
  </si>
  <si>
    <t>Cloud computing; Containers; Electronic data interchange; Intelligent computing; Scheduling algorithms; Signal processing; Software design; Software testing; Virtualization; Application tasks; Cloud data centers; Cloud environments; Cost calculation; Deployment costs; Operation and maintenance; Particle swarm optimization algorithm; Virtualization technologies; Particle swarm optimization (PSO)</t>
  </si>
  <si>
    <t>Khan T.A.; Sriraman A.; Devietti J.; Pokam G.; Litz H.; Kasikci B.</t>
  </si>
  <si>
    <t>I-SPY: Context-driven conditional instruction prefetching with coalescing</t>
  </si>
  <si>
    <t>10.1109/MICRO50266.2020.00024</t>
  </si>
  <si>
    <t>Modern data center applications have rapidly expanding instruction footprints that lead to frequent instruction cache misses, increasing cost and degrading data center performance and energy efficiency. Mitigating instruction cache misses is challenging since existing techniques (1) require significant hardware modifications, (2) expect impractical on-chip storage, or (3) prefetch instructions based on inaccurate understanding of program miss behavior. To overcome these limitations, we first investigate the challenges of effective instruction prefetching. We then use insights derived from our investigation to develop I-SPY, a novel profiledriven prefetching technique. I-SPY uses dynamic miss profiles to drive an offline analysis of I-cache miss behavior, which it uses to inform prefetching decisions. Two key techniques underlie ISPY's design: (1) conditional prefetching, which only prefetches instructions if the program context is known to lead to misses, and (2) prefetch coalescing, which merges multiple prefetches of noncontiguous cache lines into a single prefetch instruction. I-SPY exposes these techniques via a family of light-weight hardware code prefetch instructions. We study I-SPY in the context of nine data center applications and show that it provides an average of 15.5% (up to 45.9%) speedup and 95.9% (and up to 98.4%) reduction in instruction cache misses, outperforming the state-of-the-art prefetching technique by 22.5%. We show that I-SPY achieves performance improvements that are on average 90.5% of the performance of an ideal cache with no misses. ¬© 2020 IEEE Computer Society. All rights reserved.</t>
  </si>
  <si>
    <t>Frontend stalls; Memory systems; Prefetching</t>
  </si>
  <si>
    <t>Khan, Tanvir Ahmed (57188934366); Sriraman, Akshitha (57189065986); Devietti, Joseph (22833997900); Pokam, Gilles (6506641935); Litz, Heiner (8395948600); Kasikci, Baris (57200611230)</t>
  </si>
  <si>
    <t>57188934366; 57189065986; 22833997900; 6506641935; 8395948600; 57200611230</t>
  </si>
  <si>
    <t>Proceedings of the Annual International Symposium on Microarchitecture, MICRO</t>
  </si>
  <si>
    <t>https://www.scopus.com/inward/record.uri?eid=2-s2.0-85097341836&amp;doi=10.1109%2fMICRO50266.2020.00024&amp;partnerID=40&amp;md5=b7e52a74033282fffbb5528ab6baf8b1</t>
  </si>
  <si>
    <t>2-s2.0-85097341836</t>
  </si>
  <si>
    <t>Energy efficiency; Flocculation; Green computing; Hardware modifications; Increasing costs; Instruction cache miss; Instruction prefetching; Off-line analysis; On-chip storage; Prefetching techniques; State of the art; Cache memory</t>
  </si>
  <si>
    <t>Tarafdar A.; Debnath M.; Khatua S.; Das R.K.</t>
  </si>
  <si>
    <t>Energy and Makespan Aware Scheduling of Deadline Sensitive Tasks in the Cloud Environment</t>
  </si>
  <si>
    <t>10.1007/s10723-021-09548-0</t>
  </si>
  <si>
    <t>Cloud computing enables the execution of various applications submitted by the users in the virtualized Cloud environment. However, the Cloud infrastructure consumes a significant amount of electrical energy to provide services to its users that have a detrimental effect on the environment. Many of these applications (tasks), like those belonging to the healthcare system, scientific research, the Internet of Things (IoT), and others, are deadline-sensitive. Hence efficient scheduling of tasks is essential to prevent deadline violation, decrease makespan, and at the same time reduce energy consumption. To address this issue, we have considered the bi-objective optimization problem of minimization of energy and makespan and have proposed two scheduling approaches for independent, deadline-sensitive tasks in a heterogeneous Cloud environment. Our first approach is a greedy heuristic based on the Linear Weighted Sum technique. The second one is based on Ant Colony Optimization and uses a combination of heuristic search and positive feedback of information to improve the solution. Both approaches use a three-tier model where tasks are scheduled by taking into account the properties of three entities- tasks, VMs, and hosts. Moreover, we have proposed a suitable strategy for scaling of Cloud resources to improve energy-efficiency and task schedulability. Extensive simulations using Google Cloud trace-logs and comparison with some state-of-art approaches validate the effectiveness of our proposed scheduling techniques in achieving a proper trade-off between the energy consumption of the virtualized Cloud infrastructure and the average makespan of the tasks. ¬© 2021, The Author(s), under exclusive licence to Springer Nature B.V.</t>
  </si>
  <si>
    <t>Ant colony optimization; Cloud computing; Deadline; Energy; Makespan; Task scheduling</t>
  </si>
  <si>
    <t>Tarafdar, Anurina (57206471279); Debnath, Mukta (57215044676); Khatua, Sunirmal (36675235100); Das, Rajib K. (7202062874)</t>
  </si>
  <si>
    <t>57206471279; 57215044676; 36675235100; 7202062874</t>
  </si>
  <si>
    <t>https://www.scopus.com/inward/record.uri?eid=2-s2.0-85104852944&amp;doi=10.1007%2fs10723-021-09548-0&amp;partnerID=40&amp;md5=db5b5dfb46f5038503926f1187817f8f</t>
  </si>
  <si>
    <t>2-s2.0-85104852944</t>
  </si>
  <si>
    <t>Ant colony optimization; Economic and social effects; Energy efficiency; Energy utilization; Heuristic algorithms; Internet of things; Scheduling; Bi-objective optimization; Cloud infrastructures; Efficient scheduling; Extensive simulations; Internet of thing (IOT); Reduce energy consumption; Scheduling techniques; Scientific researches; Green computing</t>
  </si>
  <si>
    <t>Ciancarini P.; Farina M.; Masyagin S.; Succi G.; Yermolaieva S.; Zagvozkina N.</t>
  </si>
  <si>
    <t>Root Causes of Interaction Issues in Agile Software Development Teams: Status and Perspectives</t>
  </si>
  <si>
    <t>10.1007/978-3-030-73103-8_74</t>
  </si>
  <si>
    <t>1364 AISC</t>
  </si>
  <si>
    <t>It has been more than two decades since the formulation of the values and principles for the enactment of Agile methods. Since then, the software development industry increasingly began using such methods, that are various. At the core of all Agile methods, however, lies an assumption: it is the interactions between people, not just processes and plans, that allows for successful product delivery and projects productivity. Hence, Agile methods typically focus on how groups of individuals with different but often complementary skill-sets can mutually interact or self-organise to build high-performing teams capable of developing, testing, and delivering software valuable for the users and stakeholders. The validation of such methodologies in the software development industry nevertheless requires a careful analysis of the potential challenges and impediments that agile teams may encounter during their collaboration; so, a practical investigation over the root causes of these potential issues. Our aim in this paper is twofold. Firstly, we want to gather all currently defined root causes of interaction issues and impediments in agile teams. Secondly, we intend to review and systematically analyse the most common of them in order to build appropriate mitigation strategies, which -we hope- will contribute to decreasing their potential occurrences in future works. ¬© 2021, The Author(s), under exclusive license to Springer Nature Switzerland AG.</t>
  </si>
  <si>
    <t>Agile methodologies; Interaction issues; Personal communication; Software development; Team management</t>
  </si>
  <si>
    <t>Ciancarini, Paolo (7004218817); Farina, Mirko (40661326300); Masyagin, Sergey (57205682636); Succi, Giancarlo (7004757466); Yermolaieva, Sofiia (57212244943); Zagvozkina, Nadezhda (57218227694)</t>
  </si>
  <si>
    <t>7004218817; 40661326300; 57205682636; 7004757466; 57212244943; 57218227694</t>
  </si>
  <si>
    <t>Advances in Intelligent Systems and Computing</t>
  </si>
  <si>
    <t>https://www.scopus.com/inward/record.uri?eid=2-s2.0-85105950736&amp;doi=10.1007%2f978-3-030-73103-8_74&amp;partnerID=40&amp;md5=f75f9b1598d94f3d06fc5a7c47b36613</t>
  </si>
  <si>
    <t>2-s2.0-85105950736</t>
  </si>
  <si>
    <t>Software testing; Agile methods; Agile software development; Agile teams; Mitigation strategy; Practical investigations; Product delivery; Root cause; Skill sets; Software design</t>
  </si>
  <si>
    <t>Pang P.; Chen Q.; Zeng D.; Guo M.</t>
  </si>
  <si>
    <t>Adaptive Preference-Aware Co-Location for Improving Resource Utilization of Power Constrained Datacenters</t>
  </si>
  <si>
    <t>10.1109/TPDS.2020.3023997</t>
  </si>
  <si>
    <t>Large-scale datacenters often host latency-sensitive services that have stringent Quality-of-Service requirement and experience diurnal load pattern. Co-locating best-effort applications that have no QoS requirement with the latency-sensitive services has been widely used to improve the resource utilization of datacenters with careful shared resource management. However, existing co-location techniques tend to result in the power overload problem on power constrained servers due to the ignorance of the power consumption. To this end, we propose Sturgeon, a runtime system proactively manages resources between co-located applications in a power constrained environment, to ensure the QoS of latency-sensitive services while maximizing the throughput of best-effort applications. Our investigation shows that, at a given load, there are multiple feasible resource configurations to meet both QoS requirement and power budget, while one of them yields the maximum throughput of best-effort applications. To find such a configuration, we establish models to accurately predict the performance and power consumption of the co-located applications. Sturgeon monitors the QoS of the services periodically, in order to eliminate the potential QoS violation caused by the unpredictable interference. Besides, when the datacenter hosts different types of applications to perform co-location, Sturgeon places applications with their preferable candidates to improve the overall throughput. The experimental results show that at server level Sturgeon improves the throughput of the best-effort application by 25.43 percent compared to the state-of-the-art technique, while guaranteeing the 95%-ile latency within the QoS target; at cluster level, Sturgeon improves the overall throughput of best-effort applications by 13.74 percent compared to the baseline.  ¬© 1990-2012 IEEE.</t>
  </si>
  <si>
    <t>improved utilization; power constrained datacenters; QoS</t>
  </si>
  <si>
    <t>Pang, Pu (57126824800); Chen, Quan (36623232500); Zeng, Deze (24722168400); Guo, Minyi (7201564780)</t>
  </si>
  <si>
    <t>57126824800; 36623232500; 24722168400; 7201564780</t>
  </si>
  <si>
    <t>https://www.scopus.com/inward/record.uri?eid=2-s2.0-85093985197&amp;doi=10.1109%2fTPDS.2020.3023997&amp;partnerID=40&amp;md5=c444abd90c534eaf15e1158667625b9a</t>
  </si>
  <si>
    <t>2-s2.0-85093985197</t>
  </si>
  <si>
    <t>Budget control; Electric power utilization; Green computing; Location; Adaptive preferences; Best-effort applications; Maximum through-put; Overload problems; Resource configurations; Resource utilizations; Shared resources; State-of-the-art techniques; Quality of service</t>
  </si>
  <si>
    <t>Overeem M.; Jansen S.; Mathijssen M.</t>
  </si>
  <si>
    <t>API Management Maturity of Low-Code Development Platforms</t>
  </si>
  <si>
    <t>10.1007/978-3-030-79186-5_25</t>
  </si>
  <si>
    <t>Low-code development platforms are environments that enable citizen developers without software engineering knowledge to create software products. These software products range from small business applications to large business platforms, around which software ecosystems increasingly form. In these software ecosystems, different organizations want to extend the created software products with services and software, with the goal of creating active enterprise networks that create value collaboratively. Well designed and maintained application programming interfaces are crucial for these organizations. In this paper we evaluate the application programming interface management maturity of four low-code development platforms. We show that these platform providers are not yet concerned with helping their customers build software ecosystems around the software platforms that citizen developers create. Furthermore, we identify the software engineering research challenges that these platform providers face. For instance, low-code development platforms should create abstractions that let citizen developers design, develop, and manage application programming interfaces. If low-code development platform providers follow our advice and act on it, they will become able to provide customers with complete ecosystem-enabled platforms instead of providing only simple throwaway business applications. ¬© 2021, Springer Nature Switzerland AG.</t>
  </si>
  <si>
    <t>API management; Citizen software development; Low-code; Model-driven development</t>
  </si>
  <si>
    <t>Overeem, Michiel (23392949200); Jansen, Slinger (13610847800); Mathijssen, Max (57208174776)</t>
  </si>
  <si>
    <t>23392949200; 13610847800; 57208174776</t>
  </si>
  <si>
    <t>Lecture Notes in Business Information Processing</t>
  </si>
  <si>
    <t>https://www.scopus.com/inward/record.uri?eid=2-s2.0-85111796452&amp;doi=10.1007%2f978-3-030-79186-5_25&amp;partnerID=40&amp;md5=d9a94527beb30181d740b51faa09ab8f</t>
  </si>
  <si>
    <t>2-s2.0-85111796452</t>
  </si>
  <si>
    <t>Application programming interfaces (API); Ecosystems; Systems analysis; Business applications; Code development; Engineering knowledge; Enterprise networks; Management maturities; Software ecosystems; Software platforms; Software products; Application programs</t>
  </si>
  <si>
    <t>SIP-MBA: A Secure IoT Platform with Brokerless and Micro-service Architecture</t>
  </si>
  <si>
    <t>10.14569/IJACSA.2021.0120767</t>
  </si>
  <si>
    <t xml:space="preserve"> The Internet of Things is one of the most interesting technology trends today. Devices in the IoT network are often geared towards mobility and compact in size, thus having a rather weak hardware configuration. There are many light weight protocols, tailor-made suitable for limited processing power and low energy consumption, of which MQTT is the typical one. The current MQTT protocol supports three types of quality-of-service (QoS) and the user has to trade-off the security of the packet transmission by transmission rate, bandwidth and energy consumption. The MQTT protocol, however, does not support packet storage mechanisms which means that when the receiver is interrupted, the packet cannot be retrieved. In this paper, we present a broker-less SIP-MBA Platform, designed for micro-service and using gRPC protocol to transmit and receive messages. This design optimizes the transmission rate, power consumption and transmission bandwidth, while still meeting reliability when communicating. Besides, we implement users and things management mechanisms with the aim of improving security issues. Finally, we present the test results by implementing a collect data service via gRPC protocol and comparing it with streaming data by using the MQTT protocol. ¬© 2021. All Rights Reserved.</t>
  </si>
  <si>
    <t>brokerless; gRPC; Internet of Things (IoT); message queue; micro-service; MQTT; security; Single Sign-On</t>
  </si>
  <si>
    <t>https://www.scopus.com/inward/record.uri?eid=2-s2.0-85112149257&amp;doi=10.14569%2fIJACSA.2021.0120767&amp;partnerID=40&amp;md5=67e568508d179565e131d10d83853e10</t>
  </si>
  <si>
    <t>2-s2.0-85112149257</t>
  </si>
  <si>
    <t>Bandwidth; Digital storage; Economic and social effects; Energy utilization; Internet protocols; Quality of service; Transmissions; Wave transmission; Broker-less; GRPC; Internet of thing; Message queues; Micro services; MQTT; Security; Single sign on; Single signs-on; Transmission rates; Internet of things</t>
  </si>
  <si>
    <t>Jin W.; Xu R.; Lim S.; Park D.-H.; Park C.; Kim D.</t>
  </si>
  <si>
    <t>Integrated Service Composition Approach Based on Transparent Access to Heterogeneous IoT Networks Using Multiple Service Providers</t>
  </si>
  <si>
    <t>10.1155/2021/5590605</t>
  </si>
  <si>
    <t>The Internet of Things (IoT) enables the number of connected devices to be increased rapidly based on heterogeneous technologies such as platforms, frameworks, libraries, protocols, and standard specifications. Based on the connected devices, various applications can be developed by integrating domain-specific contents using the service composition for providing improved services. The management of the information including devices, contents, and composite objects is necessary to represent the physical objects on the Internet for accessing the IoT services transparently. In this paper, we propose an integrated service composition approach based on multiple service providers to provide improved IoT services by combining various service objects in heterogeneous IoT networks. In the proposed IoT architecture, each service provider provides web services based on Representational State Transfer (REST) Application Programming Interface (API) that delivers information to the clients as well as other providers for integrating the information to provide new services. Through the REST APIs, the integration management provider combines the service result of the IoT service provider to other contents to provide improved services. Moreover, the interworking proxy is proposed to bridge heterogeneous IoT networks for enabling transparent access in the integrated services through proving protocol translating on the entry of the device networks. Therefore, the interworking proxy is deployed between the IoT service provider and device networks to enable clients to access heterogeneous IoT devices through the composited services transparently. ¬© 2021 Wenquan Jin et al.</t>
  </si>
  <si>
    <t>Jin, Wenquan (56824908400); Xu, Rongxu (57211633913); Lim, Sunhwan (55475550800); Park, Dong-Hwan (7403245696); Park, Chanwon (55670711600); Kim, Dohyeun (44361167000)</t>
  </si>
  <si>
    <t>56824908400; 57211633913; 55475550800; 7403245696; 55670711600; 44361167000</t>
  </si>
  <si>
    <t>https://www.scopus.com/inward/record.uri?eid=2-s2.0-85107796560&amp;doi=10.1155%2f2021%2f5590605&amp;partnerID=40&amp;md5=8003fb8740a83549079df2aac2ffb7bb</t>
  </si>
  <si>
    <t>2-s2.0-85107796560</t>
  </si>
  <si>
    <t>Application programming interfaces (API); Interface states; Internet protocols; Internet service providers; Quality of service; Web services; Heterogeneous technology; Integrated service; Internet of thing (IOT); Iot architectures; Representational state transfer; Service compositions; Standard specifications; Transparent access; Internet of things</t>
  </si>
  <si>
    <t>Chyrun L.; Antonyuk N.; Andrunyk V.; Dyyak I.; Berko A.; Mykich K.</t>
  </si>
  <si>
    <t>Features of Internet Auction Systems Design</t>
  </si>
  <si>
    <t>10.1109/CSIT49958.2020.9322045</t>
  </si>
  <si>
    <t>The article analyzes the main problems of ecommerce in the field of online auctions and suggests methods for solving these problems. ¬© 2020 IEEE.</t>
  </si>
  <si>
    <t>content; content analysis; content search; online auction; sysrem design</t>
  </si>
  <si>
    <t>Chyrun, Lyubomyr (55225672300); Antonyuk, Nataliya (57204917951); Andrunyk, Vasyl (57202441589); Dyyak, Ivan (6602615475); Berko, Andrii (24483044100); Mykich, Khrystyna (57191243716)</t>
  </si>
  <si>
    <t>55225672300; 57204917951; 57202441589; 6602615475; 24483044100; 57191243716</t>
  </si>
  <si>
    <t>https://www.scopus.com/inward/record.uri?eid=2-s2.0-85100451610&amp;doi=10.1109%2fCSIT49958.2020.9322045&amp;partnerID=40&amp;md5=fb5c008bd3bc1d1c9e7428d3f0384155</t>
  </si>
  <si>
    <t>2-s2.0-85100451610</t>
  </si>
  <si>
    <t>Computer science; Computers; Internet auctions; Online auctions; Electronic commerce</t>
  </si>
  <si>
    <t>YU C.; LI Q.; LIU K.; CHEN Y.; WEI H.</t>
  </si>
  <si>
    <t>Industrial Design and Development Software System Architecture Based on Model-Based Systems Engineering and Cloud Computing</t>
  </si>
  <si>
    <t>10.1016/j.arcontrol.2021.04.011</t>
  </si>
  <si>
    <t>Oriented to the new generation of cyber-physical manufacturing, this paper introduces two breakthroughs of industrial design and development software system: model-based systems engineering (MBSE) and cloud computing. Based on the classic V model for product development, an MBSE double-Vs model is refined which takes both model life-cycle and product life-cycle into consideration for design process re-engineering. Then cloud computing and its re-structuring on traditional industrial software system are discussed. Shift from classic single approach, this research proposes an industrial design and development software system architecture based on model-based systems engineering (MBSE) and cloud computing. The new architecture is shown in a stereoscopic way which amply utilizes the respective advantages of MBSE and cloud computing. At the end of the paper, as an example of actual cases, a flight management system (FMS) design and development platform is detailed to verify the effectiveness of this new architecture. The implement of new system architecture creates an efficient collaborative mechanism for FMS developing. ¬© 2021 Elsevier Ltd</t>
  </si>
  <si>
    <t>Cloud Computing; Industrial Internet-of-Things; Industrial Software System; Model-Based Systems Engineering; System Architecture</t>
  </si>
  <si>
    <t>YU, Chao (59442808800); LI, Qing (56144693600); LIU, Kui (57224809281); CHEN, Yuwen (57912986600); WEI, Hailong (57201581714)</t>
  </si>
  <si>
    <t>59442808800; 56144693600; 57224809281; 57912986600; 57201581714</t>
  </si>
  <si>
    <t>Annual Reviews in Control</t>
  </si>
  <si>
    <t>https://www.scopus.com/inward/record.uri?eid=2-s2.0-85108352526&amp;doi=10.1016%2fj.arcontrol.2021.04.011&amp;partnerID=40&amp;md5=a27e56587cb743d1768b6f2e9f0818d6</t>
  </si>
  <si>
    <t>2-s2.0-85108352526</t>
  </si>
  <si>
    <t>Cloud computing; Computer software; Industrial research; Life cycle; Product design; Software design; Stereo image processing; Systems engineering; Design and Development; Flight management systems; Industrial software; Model-based systems engineering; Model-based systems engineering (MBSE); Product life cycles; Software systems; System architectures; Computer architecture</t>
  </si>
  <si>
    <t>Xu J.; Li Y.; Wang K.; Xiao L.; Liang W.; Zhou H.</t>
  </si>
  <si>
    <t>FSVA-data: A flexible solution for the visualisation and analysis of basin-scale water quality monitoring data</t>
  </si>
  <si>
    <t>10.1504/IJES.2021.117941</t>
  </si>
  <si>
    <t>Basin-scale water quality monitoring is an important part of water environment governance. However, owing to the multiple attributes, frequencies, methods, and data volume of water quality monitoring data, the efficient access, visualisation, and analysis of monitoring data is an important research topic in monitoring work. This paper proposes a flexible data visualisation and analysis solution, FSVA-data. In this solution, various microservices-based methods are used for integrated data discovery, processing, and analysis. To monitor data series that only change gently, we propose a data-adaptive method for data scalability and a customisable chart visualisation system. Our solution is not only used for water quality monitoring in Lianjiang River, but also has great application prospects in improving the effectiveness of monitoring data systems and accelerating scientific insights in other agricultural and ecological fields. Copyright ¬© 2021 Inderscience Enterprises Ltd.</t>
  </si>
  <si>
    <t>Microservices; Visualisation; Water quality monitoring</t>
  </si>
  <si>
    <t>Xu, Jianlong (56242847200); Li, Yuhui (57222191399); Wang, Kun (57221120936); Xiao, Lianghong (57223035259); Liang, Wei (58843978600); Zhou, Hongbo (56796990700)</t>
  </si>
  <si>
    <t>56242847200; 57222191399; 57221120936; 57223035259; 58843978600; 56796990700</t>
  </si>
  <si>
    <t>International Journal of Embedded Systems</t>
  </si>
  <si>
    <t>https://www.scopus.com/inward/record.uri?eid=2-s2.0-85116928951&amp;doi=10.1504%2fIJES.2021.117941&amp;partnerID=40&amp;md5=b420699846ed39e0292335c9308a60c5</t>
  </si>
  <si>
    <t>2-s2.0-85116928951</t>
  </si>
  <si>
    <t>Data handling; Data visualization; Quality control; Visualization; Water quality; Attribute data; Attribute frequency; Basin scale; Microservice; Multiple attributes; Multiple data; Multiple frequency; Visualization and analysis; Water environments; Water quality monitoring; Monitoring</t>
  </si>
  <si>
    <t>Koulouzis S.; Martin P.; Zhou H.; Hu Y.; Wang J.; Carval T.; Grenier B.; Heikkinen J.; de Laat C.; Zhao Z.</t>
  </si>
  <si>
    <t>Time-critical data management in clouds: Challenges and a Dynamic Real-Time Infrastructure Planner (DRIP) solution</t>
  </si>
  <si>
    <t>10.1002/cpe.5269</t>
  </si>
  <si>
    <t>The increasing volume of data being produced, curated, and made available by research infrastructures in the environmental science domain require services that are able to optimize the delivery and staging of data for researchers and other users of scientific data. Specialized data services for managing data life cycle, for creating and delivering data products, and for customized data processing and analysis all play a crucial role in how these research infrastructures serve their communities, and many of these activities are time-critical‚Äîneeding to be carried out frequently within specific time windows. We describe our experiences identifying the time-critical requirements of environmental scientists making use of computational research support environments. We present a microservice-based infrastructure optimization suite, the Dynamic Real-Time Infrastructure Planner, used for constructing virtual infrastructures for research applications on demand. We provide a case study whereby our suite is used to optimize runtime service quality for a data subscription service provided by the Euro-Argo using EGI Federated Cloud and EUDAT's B2SAFE services, and to consider how such a case study relates to other application scenarios. ¬© 2019 The Authors Concurrency¬†and¬†Computation:¬†Practice¬†and¬†Experience Published by John Wiley &amp; Sons Ltd.</t>
  </si>
  <si>
    <t>Dynamic Real-Time Infrastructure Planner; e-infrastructure; research infrastructure; time-critical services; virtual research environment</t>
  </si>
  <si>
    <t>Koulouzis, Spiros (36147831800); Martin, Paul (55474866800); Zhou, Huan (57190840986); Hu, Yang (57190848303); Wang, Junchao (57170958300); Carval, Thierry (36485935800); Grenier, Baptiste (57208061686); Heikkinen, Jani (56414356400); de Laat, Cees (35585609500); Zhao, Zhiming (55726169800)</t>
  </si>
  <si>
    <t>36147831800; 55474866800; 57190840986; 57190848303; 57170958300; 36485935800; 57208061686; 56414356400; 35585609500; 55726169800</t>
  </si>
  <si>
    <t>e5269</t>
  </si>
  <si>
    <t>https://www.scopus.com/inward/record.uri?eid=2-s2.0-85063662599&amp;doi=10.1002%2fcpe.5269&amp;partnerID=40&amp;md5=1a64d795e3b24de7f6f88142a17e66fc</t>
  </si>
  <si>
    <t>2-s2.0-85063662599</t>
  </si>
  <si>
    <t>Information management; Life cycle; E-infrastructures; Real time infrastructure; Research infrastructure; Time-critical; Virtual research environment; Data handling</t>
  </si>
  <si>
    <t>Sujatha R.; Thomas S.C.; Mathews A.; Nishtha; Prabhu S.</t>
  </si>
  <si>
    <t>Secure Cloud-based Remote Monitoring of Environmental Factors using Mobile and Web Apps for Industry Automation</t>
  </si>
  <si>
    <t>10.1109/ComPE53109.2021.9752238</t>
  </si>
  <si>
    <t>Climate factors like temperature and humidity has a major role to play in the productivity in an office workspace. Similarly, products like medicine and food have to be manufactured and stored in optimum environmental conditions. Thus, monitoring the factors like temperature and humidity of different part of an office space or manufacturing unit is very important. Studying these factors over time will help in finding the optimum temperature for different parts of the office. Periodic storage of the data on secure remote location such as a SQL database on the cloud opens possibilities for future analysis. Presence of an app-based and web-based portal for monitoring the temperature and humidity data makes remote monitoring easy. Such a system can ensure the conditions are monitored at all times and alerts can be given in case of a sudden peak or drop. Security and confidentiality of the data is very important and thus limiting the access to the database and even the web and app-based portals can ensure the data is visible only to authorized personal.  ¬© 2021 IEEE.</t>
  </si>
  <si>
    <t>Android App; DHT22; Docker; Firebase; Humidity; IoT; Kubernetes; PT100; Raspberry Pi; ReactJS; Temperature; Webapp</t>
  </si>
  <si>
    <t>Sujatha, R. (58023527800); Thomas, Sharath Cherian (57222615164); Mathews, Achint (57222616517); Nishtha (58165612600); Prabhu, S. (57645612300)</t>
  </si>
  <si>
    <t>58023527800; 57222615164; 57222616517; 58165612600; 57645612300</t>
  </si>
  <si>
    <t>2021 International Conference on Computational Performance Evaluation, ComPE 2021</t>
  </si>
  <si>
    <t>https://www.scopus.com/inward/record.uri?eid=2-s2.0-85128906509&amp;doi=10.1109%2fComPE53109.2021.9752238&amp;partnerID=40&amp;md5=b339e4d341bb8239be7b9eae51122c1c</t>
  </si>
  <si>
    <t>2-s2.0-85128906509</t>
  </si>
  <si>
    <t>Android (operating system); Internet of things; Monitoring; Portals; Remote control; Android apps; DHT22; Docker; Firebase; Kubernetes; Pt100; Raspberry pi; Reactjs; Temperature and humidities; Webapp; Digital storage</t>
  </si>
  <si>
    <t>Zhang L.; Chen Y.; Huang X.; Yang C.-F.; Xue P.</t>
  </si>
  <si>
    <t>Network flow queuing delay prediction for city public services based on long short-term memory</t>
  </si>
  <si>
    <t>10.18494/SAM.2021.3173</t>
  </si>
  <si>
    <t>It is very important to accurately predict the network flow queuing delay to improve the network performance of city public services. City public services are the offspring of the paradigm "smart + connected communities" and aim to overcome the problems of isolated and fragile data collection because of administrative divisions. Quality of service is one of the important evaluation indexes in service-level agreements, in which low delay is a basic requirement for measurement. To improve city public services and predict the network flow queuing delay of city public services in advance, we propose a framework based on long short-term memory (LSTM) that will allow the government to enhance service efficiencies and offer better service experiences for every citizen. The results obtained by using the investigated framework show that the proposed algorithm has superior aggregated prediction accuracy and real-time performance to other methods. ¬© 2021 M Y U Scientific Publishing Division. All rights reserved.</t>
  </si>
  <si>
    <t>Load prediction; Long short-term memory (LSTM); Microservice architecture; Network flow queuing delay; Spring Cloud</t>
  </si>
  <si>
    <t>Zhang, Long (57191589538); Chen, Yu (57912387900); Huang, Xinyi (57223007469); Yang, Cheng-Fu (7407031078); Xue, Peng (57223008179)</t>
  </si>
  <si>
    <t>57191589538; 57912387900; 57223007469; 7407031078; 57223008179</t>
  </si>
  <si>
    <t>Sensors and Materials</t>
  </si>
  <si>
    <t>https://www.scopus.com/inward/record.uri?eid=2-s2.0-85104467345&amp;doi=10.18494%2fSAM.2021.3173&amp;partnerID=40&amp;md5=04094a710ea9aff00c45e01da27ef9cf</t>
  </si>
  <si>
    <t>2-s2.0-85104467345</t>
  </si>
  <si>
    <t>Brain; Forecasting; Quality of service; Queueing networks; Queueing theory; Data collection; Evaluation index; Prediction accuracy; Public services; Queuing delay; Real time performance; Service experience; Service Level Agreements; Long short-term memory</t>
  </si>
  <si>
    <t>Thomson C.; Wadhaj I.; Tan Z.; Al-Dubai A.</t>
  </si>
  <si>
    <t>Towards an energy balancing solution for wireless sensor network with mobile sink node</t>
  </si>
  <si>
    <t>10.1016/j.comcom.2021.01.011</t>
  </si>
  <si>
    <t>The issue of energy holes, or hotspots, in wireless sensor networks is well referenced. As is the proposed mobilisation of the sink node in order to combat this. However, as the mobile sink node may communicate with some nodes more than others, issues remain, such as energy spikes. In this study we propose a lightweight MAC layer solution ‚Äî Dynamic Mobility and Energy Aware Algorithm (DMEAAL). Building on existing solutions utilising a communication threshold between static nodes and a sink node using a predictable mobility pattern, DMEAAL takes knowledge of optimum energy consumption levels and implements a cross-layer approach, utilising current energy consumption and dynamically adjusting communication threshold size based on target energy consumption. This approach is shown to balance energy consumption across individual nodes without increasing overall energy consumption compared to previous solutions. This without detrimentally affecting frame delivery to the sink. As such, network lifetime is improved. In addition we propose Mobile Edge Computing (MEC) applications for this solution, removing certain functionality from static nodes and instead deploying this within the mobile sink at the network edge. ¬© 2021 Elsevier B.V.</t>
  </si>
  <si>
    <t>Balanced energy; Duty cycle; Energy holes; Sink mobility; Wireless sensor networks</t>
  </si>
  <si>
    <t>Thomson, Craig (57194766286); Wadhaj, Isam (57188922694); Tan, Zhiyuan (35148534800); Al-Dubai, Ahmed (6602601599)</t>
  </si>
  <si>
    <t>57194766286; 57188922694; 35148534800; 6602601599</t>
  </si>
  <si>
    <t>https://www.scopus.com/inward/record.uri?eid=2-s2.0-85100376328&amp;doi=10.1016%2fj.comcom.2021.01.011&amp;partnerID=40&amp;md5=410f86a3423285935629263afe9cf754</t>
  </si>
  <si>
    <t>2-s2.0-85100376328</t>
  </si>
  <si>
    <t>Energy utilization; Power management (telecommunication); Balance energies; Communication thresholds; Cross-layer approach; Dynamic mobility; Energy aware algorithms; Energy-balancing; Network lifetime; Predictable mobility; Sensor nodes</t>
  </si>
  <si>
    <t>Casalicchio E.; Iannucci S.</t>
  </si>
  <si>
    <t>The state-of-the-art in container technologies: Application, orchestration and security</t>
  </si>
  <si>
    <t>10.1002/cpe.5668</t>
  </si>
  <si>
    <t>Containerization is a lightweight virtualization technology enabling the deployment and execution of distributed applications on cloud, edge/fog, and Internet-of-Things platforms. Container technologies are evolving at the speed of light, and there are many open research challenges. In this paper, an extensive literature review is presented that identifies the challenges related to the adoption of container technologies in High Performance Computing, Big Data analytics, and geo-distributed (Edge, Fog, Internet-of-Things) applications. From our study, it emerges that performance, orchestration, and cyber-security are the main issues. For each challenge, the state-of-the-art solutions are then analyzed. Performance is related to the assessment of the performance footprint of containers and comparison with the footprint of virtual machines and bare metal deployments, the monitoring, the performance prediction, the I/O throughput improvement. Orchestration is related to the selection, the deployment, and the dynamic control of the configuration of multi-container packaged applications on distributed platforms. The focus of this work is on run-time adaptation. Cyber-security is about container isolation, confidentiality of containerized data, and network security. From the analysis of 97 papers, it came out that the state-of-the-art is more mature in the area of performance evaluation and run-time adaptation rather than in security solutions. However, the main unsolved challenges are I/O throughput optimization, performance prediction, multilayer monitoring, isolation, and data confidentiality (at rest and in transit). ¬© 2020 John Wiley &amp; Sons, Ltd.</t>
  </si>
  <si>
    <t>Big Data; cloud computing; cyber-security; docker; orchestration; run-time adaptation</t>
  </si>
  <si>
    <t>Casalicchio, Emiliano (6508285650); Iannucci, Stefano (36518726700)</t>
  </si>
  <si>
    <t>6508285650; 36518726700</t>
  </si>
  <si>
    <t>e5668</t>
  </si>
  <si>
    <t>https://www.scopus.com/inward/record.uri?eid=2-s2.0-85078679571&amp;doi=10.1002%2fcpe.5668&amp;partnerID=40&amp;md5=0eec55de111ac1c3dd8107b751e2547c</t>
  </si>
  <si>
    <t>2-s2.0-85078679571</t>
  </si>
  <si>
    <t>Advanced Analytics; Big data; Cloud computing; Containers; Data Analytics; Internet of things; Cyber security; Distributed applications; docker; High performance computing; orchestration; Runtime adaptation; Throughput optimization; Virtualization technologies; Network security</t>
  </si>
  <si>
    <t>Ton L.-P.; Le L.-S.; Nguyen M.-S.</t>
  </si>
  <si>
    <t>Micraspis: A Computer-Aided Proposal Toward Programming and Architecting Smart IoT Wearables</t>
  </si>
  <si>
    <t>10.1109/ACCESS.2021.3096749</t>
  </si>
  <si>
    <t>A wearable is a lightweight body-worn device that relies on data-driven communications to keep people connected purposefully, for instance, for fire-fighting, prompting fast-food clients, and medical treatment. With rise of wearable computing in the era of IoT-driven smart applications, programmers now expect the time to market for these devices to be shortened. While support for IoT programming in general has gathered traction, tool proposals that automate the development of smart solutions based on the Internet of Wearable Things, though of paramount importance, still stay on the sidelines. We propose a code generation tool called Micraspis that allows a wearable to be described both functionally and architecturally - as if they are two sides of the same coin. The tool has an underlying model-to-code transformation mechanism to generates source code that is executable on a specific IoT programming platform such as Arduino. Our experiments demonstrate that programming code generated by Micraspis amounts to at least 60% of the source code needed to fulfill the business logic of ordinary wearable devices. We conduct an interview to meticulously collect programmers' assessment on how Micraspis assists them in programming and architecting smart IoT wearables. A total of 161 programmers responded to a Likert scale questionnaire, with which at least 65% of them either agree or strongly agree. Overall, the results show that Micraspis has promising applicability in supporting IoWT-enabled smart solutions. ¬© 2013 IEEE.</t>
  </si>
  <si>
    <t>code generation; Internet of Wearable Things; state machine; Wearable computing</t>
  </si>
  <si>
    <t>Ton, Long-Phuoc (57188999199); Le, Lam-Son (14834086500); Nguyen, Minh-Son (59437986100)</t>
  </si>
  <si>
    <t>57188999199; 14834086500; 59437986100</t>
  </si>
  <si>
    <t>https://www.scopus.com/inward/record.uri?eid=2-s2.0-85110850204&amp;doi=10.1109%2fACCESS.2021.3096749&amp;partnerID=40&amp;md5=f774490f8264505b6c9c4966758205ae</t>
  </si>
  <si>
    <t>2-s2.0-85110850204</t>
  </si>
  <si>
    <t>Computation theory; Computer programming; Cosine transforms; Fire extinguishers; Wearable technology; Code generation tools; Code transformation; Medical treatment; Programming codes; Smart applications; Smart solutions; Wearable computing; Wearable devices; Internet of things</t>
  </si>
  <si>
    <t>Xu R.; Jin W.; Hong Y.; Kim D.-H.</t>
  </si>
  <si>
    <t>Intelligent optimization mechanism based on an objective function for efficient home appliances control in an embedded edge platform</t>
  </si>
  <si>
    <t>10.3390/electronics10121460</t>
  </si>
  <si>
    <t>In recent years the ever-expanding internet of things (IoT) is becoming more empowered to revolutionize our world with the advent of cutting-edge features and intelligence in an IoT ecosystem. Thanks to the development of the IoT, researchers have devoted themselves to technologies that convert a conventional home into an intelligent occupants-aware place to manage electric resources with autonomous devices to deal with excess energy consumption and providing a comfortable living environment. There are studies to supplement the innate shortcomings of the IoT and improve intelligence by using cloud computing and machine learning. However, the machine learning-based autonomous control devices lack flexibility, and cloud computing is challenging with latency and security. In this paper, we propose a rule-based optimization mechanism on an embedded edge platform to provide dynamic home appliance control and advanced intelligence in a smart home. To provide actional control ability, we design and developed a rule-based objective function in the EdgeX edge computing platform to control the temperature states of the smart home. Compared to cloud computing, edge computing can provide faster response and higher quality of services. The edge computing paradigm provides better analysis, processing, and storage abilities to the data generated from the IoT sensors to enhance the capability of IoT devices concerning computing, storage, and network resources. In order to satisfy the paradigm of distributed edge computing, all the services are implemented as microservices. The microservices are connected to each other through REST APIs based on the constrained IoT devices to provide all the functionalities that accomplish a trade-off between energy consumption and occupant-desired environment setting for the smart home appliances. We simulated our proposed system to control the temperature of a smart home; through experimental findings, we investigated the application against the delay time and overall memory consumption by the embedded edge system of EdgeX. The result of this research work suggests that the implemented services operated efficiently in the raspberry pi 3 hardware of IoT devices. ¬© 2021 by the authors. Licensee MDPI, Basel, Switzerland. This article is an open access article distributed under the terms and conditions of the Creative Commons Attribution (CC BY) license (https:// creativecommons.org/licenses/by/ 4.0/).</t>
  </si>
  <si>
    <t>EdgeX; Embedded edge system; Microservice; Objective function; Optimization; Smart home</t>
  </si>
  <si>
    <t>Xu, Rongxu (57211633913); Jin, Wenquan (56824908400); Hong, Yonggeun (36195389700); Kim, Do-Hyeun (44361167000)</t>
  </si>
  <si>
    <t>57211633913; 56824908400; 36195389700; 44361167000</t>
  </si>
  <si>
    <t>https://www.scopus.com/inward/record.uri?eid=2-s2.0-85108122823&amp;doi=10.3390%2felectronics10121460&amp;partnerID=40&amp;md5=3b8cc0565367055565968a82972bca49</t>
  </si>
  <si>
    <t>2-s2.0-85108122823</t>
  </si>
  <si>
    <t>Liu J.; Li Y.; Lu Y.; Fu X.; Yan S.</t>
  </si>
  <si>
    <t>Research on the influence factors of ubiquitous power Internet of things for promoting consumption of wind power based on fuzzy G1-ISM in China</t>
  </si>
  <si>
    <t>10.1016/j.ijepes.2020.106124</t>
  </si>
  <si>
    <t>In the last decade, the scale and speed of development for wind power in China presented an explosive growth and has been maintaining a leading position worldwide. However, rapid development, with addition of the nature of clean energy itself, is followed by the problem of energy consumption such as wind curtailment. To improve the energy efficiency, a new pattern of wind power generation, namely the non-grid-connected wind power, is gradually accessible to the public. At the same time, proposes a novel concept of ubiquitous power Internet of things (UPIoTs) to improve the energy-using environment and quality. In the context of above proposal, to research how UPIoTs promotes the consumption of wind power especially has become a crucial task. The purpose of this paper is to identify influence factors through literature review and expert interview on the basis of relationship between the referenced two. During the process of exploring effects among factors, the improved interpretative structural modeling (ISM) coupled with fuzzy order relation analysis method (fuzzy G1 method) is constructed and adopted to make up for the shortcomings of traditional method. According to the results, three factors are considered as the most influential and some suggestions are given from these three aspects, aiming at making a contribution to the solutions in theory and in practice. ¬© 2020 Elsevier Ltd</t>
  </si>
  <si>
    <t>Energy consumption; Fuzzy G1-ISM; Non-grid-connected; Ubiquitous power Internet of things; Wind power</t>
  </si>
  <si>
    <t>Liu, Jicheng (55705861100); Li, Yinghuan (57214762826); Lu, Yunyuan (57214753037); Fu, Xiaoxu (57211877016); Yan, Suli (55631574400)</t>
  </si>
  <si>
    <t>55705861100; 57214762826; 57214753037; 57211877016; 55631574400</t>
  </si>
  <si>
    <t>International Journal of Electrical Power and Energy Systems</t>
  </si>
  <si>
    <t>https://www.scopus.com/inward/record.uri?eid=2-s2.0-85083817486&amp;doi=10.1016%2fj.ijepes.2020.106124&amp;partnerID=40&amp;md5=e737e1b26af5b227036c816064c99786</t>
  </si>
  <si>
    <t>2-s2.0-85083817486</t>
  </si>
  <si>
    <t>Electric power generation; Energy utilization; Internet of things; Wind power; Clean energy; Explosive growth; Fuzzy order relations; Interpretative structural modeling; Literature reviews; Non-grid-connected wind power; Novel concept; Wind power in chinas; Energy efficiency</t>
  </si>
  <si>
    <t>Mansouri Y.; Babar M.A.</t>
  </si>
  <si>
    <t>A review of edge computing: Features and resource virtualization</t>
  </si>
  <si>
    <t>10.1016/j.jpdc.2020.12.015</t>
  </si>
  <si>
    <t>With the advent of Internet of Things (IoT) connecting billions of mobile and stationary devices to serve real-time applications, cloud computing paradigms face some significant challenges such as high latency and jitter, non-supportive location-awareness and mobility, and non-adaptive communication types. To address these challenges, edge computing paradigms, namely Fog Computing (FC), Mobile Edge Computing (MEC) and Cloudlet, have emerged to shift the digital services from centralized cloud computing to computing at edges. In this article, we analyze cloud and edge computing paradigms from features and pillars perspectives to identify the key motivators of the transitions from one type of virtualized computing paradigm to another one. We then focus on computing and network virtualization techniques as the essence of all these paradigms, and delineate why virtualization features, resource richness and application requirements are the primary factors for the selection of virtualization types in IoT frameworks. Based on these features, we compare the state-of-the-art research studies in the IoT domain. We finally investigate the deployment of virtualized computing and networking resources from performance perspective in an edge-cloud environment, followed by mapping of the existing work to the provided taxonomy for this research domain. The lessons from the reviewed are that the selection of virtualization technique, placement and migration of virtualized resources rely on the requirements of IoT services (i.e., latency, scalability, mobility, multi-tenancy, privacy, and security). As a result, there is a need for prioritizing the requirements, integrating different virtualization techniques, and exploiting a hierarchical edge-cloud architecture. ¬© 2020 Elsevier Inc.</t>
  </si>
  <si>
    <t>Classical virtualization; Fog Computing; Mobile Edge Computing; Network function Virtualization (NFV)</t>
  </si>
  <si>
    <t>Mansouri, Yaser (56041523700); Babar, M. Ali (6602842620)</t>
  </si>
  <si>
    <t>56041523700; 6602842620</t>
  </si>
  <si>
    <t>Journal of Parallel and Distributed Computing</t>
  </si>
  <si>
    <t>https://www.scopus.com/inward/record.uri?eid=2-s2.0-85099789900&amp;doi=10.1016%2fj.jpdc.2020.12.015&amp;partnerID=40&amp;md5=adfdf71f665d7308187922dcad311752</t>
  </si>
  <si>
    <t>2-s2.0-85099789900</t>
  </si>
  <si>
    <t>Edge computing; Fog computing; Internet of things; Privacy by design; Virtualization; Adaptive communications; Application requirements; Internet of Things (IOT); Network virtualization; Real-time application; Resource Virtualization; Virtualization Techniques; Virtualized resources; Mobile cloud computing</t>
  </si>
  <si>
    <t>Salhab N.; Rahim R.; Langar R.</t>
  </si>
  <si>
    <t>Optimization of Virtualization Cost, Processing Power and Network Load of 5G Software-Defined Data Centers</t>
  </si>
  <si>
    <t>10.1109/TNSM.2020.2990664</t>
  </si>
  <si>
    <t>Virtualization is getting unprecedented attention from Mobile Network Operators (MNOs) as it provides agility in deployment, especially when coupled with the Cloud that offers inherent elasticity and load-balancing of resources. MNOs have to ensure operational excellence by meeting several objectives. In this context, we propose in this paper, a framework for optimizing the mapping of next Generation Node-Bs (gNBs) to Software-Defined 5G Core (5GC) delay tolerant Network Functions (NFs). These NFs are considered to be deployed as a Virtual Machine (VM) pool, or containers, in order to minimize cloud computing cost, processing power and at the same time maximize network load. First, we formulate this problem as an integer linear program, while taking into account multiple constraints including Virtual Central Processing Unit (vCPU) capacity, central processing load limits and integrality of mapping relations between gNBs and 5GC NFs. Then, we propose an algorithm to solve large problem instances based on Branch, Cut and Price (BCP) combining all of 'Branch and Price', 'Branch and Cut' and 'Branch and Bound' frameworks. We present several schemes reflecting different optimization goals that the MNO can foster: virtualization cost, power minimization, network load or all. Simulation results demonstrate the good performance of our proposed algorithm to solve the gNBs-VM pool mapping for all evaluated schemes, while also emphasizing the advantages of a particular one (EWoS-333 for Equal Weight optimization Scheme) that can decrease virtualization cost by almost one order of magnitude compared to a static selection scheme, while considering the other two objectives.  ¬© 2004-2012 IEEE.</t>
  </si>
  <si>
    <t>5G; branch; cut and price (BCP); mobile network operator (MNO); Multi-objective optimization; virtualized network functions</t>
  </si>
  <si>
    <t>Salhab, Nazih (57202747511); Rahim, Rana (15042888200); Langar, Rami (8842018000)</t>
  </si>
  <si>
    <t>57202747511; 15042888200; 8842018000</t>
  </si>
  <si>
    <t>https://www.scopus.com/inward/record.uri?eid=2-s2.0-85085129294&amp;doi=10.1109%2fTNSM.2020.2990664&amp;partnerID=40&amp;md5=146993b049ffa8217325b4cab73744ba</t>
  </si>
  <si>
    <t>2-s2.0-85085129294</t>
  </si>
  <si>
    <t>Balancing; Delay tolerant networks; Integer programming; Mapping; Program processors; Virtual machine; Virtualization; Wireless networks; Cloud computing costs; Integer linear programs; Mobile network operators; Multiple constraint; Operational excellence; Optimization goals; Power minimization; Weight optimization; 5G mobile communication systems</t>
  </si>
  <si>
    <t>Cicconetti C.; Conti M.; Passarella A.</t>
  </si>
  <si>
    <t>Architecture and performance evaluation of distributed computation offloading in edge computing</t>
  </si>
  <si>
    <t>10.1016/j.simpat.2019.102007</t>
  </si>
  <si>
    <t>Edge computing is an emerging paradigm to enable low-latency applications, like mobile augmented reality, because it takes the computation on processing devices that are closer to the users. On the other hand, the need for highly scalable execution of stateless tasks for cloud systems is driving the definition of new technologies based on serverless computing. In this paper, we propose a novel architecture where the two converge to enable low-latency applications: This is achieved by offloading short-lived stateless tasks from the user terminals to edge nodes. Furthermore, we design a distributed algorithm that tackles the research challenge of selecting the best executor, based on real-time measurements and simple, yet effective, prediction algorithms. Finally, we describe a new performance evaluation framework specifically designed for an accurate assessment of algorithms and protocols in edge computing environments, where the nodes may have very heterogeneous networking and processing capabilities. The proposed framework relies on the use of real components on lightweight virtualization mixed with simulated computation and is well-suited to the analysis of several applications and network environments. Using our framework, we evaluate our proposed architecture and algorithms in small- and large-scale edge computing scenarios, showing that our solution achieves similar or better delay performance than a centralized solution, with far less network utilization. ¬© 2019 Elsevier B.V.</t>
  </si>
  <si>
    <t>Computation offloading; Edge computing; Online job dispatching; Performance evaluation; Serverless computing</t>
  </si>
  <si>
    <t>Cicconetti, Claudio (22033885800); Conti, Marco (35301557300); Passarella, Andrea (16040663300)</t>
  </si>
  <si>
    <t>22033885800; 35301557300; 16040663300</t>
  </si>
  <si>
    <t>https://www.scopus.com/inward/record.uri?eid=2-s2.0-85073825877&amp;doi=10.1016%2fj.simpat.2019.102007&amp;partnerID=40&amp;md5=1c6f0692284ead6e290761877a9046d1</t>
  </si>
  <si>
    <t>2-s2.0-85073825877</t>
  </si>
  <si>
    <t>Augmented reality; Edge computing; Network architecture; Algorithms and protocols; Architecture and performance; Computation offloading; Heterogeneous networking; Job-dispatching; Performance evaluation; Performance evaluation frameworks; Serverless computing; Computer architecture</t>
  </si>
  <si>
    <t>Labiadh M.; Obrecht C.; Ferreira da Silva C.; Ghodous P.</t>
  </si>
  <si>
    <t>A microservice-based framework for exploring data selection in cross-building knowledge transfer</t>
  </si>
  <si>
    <t>10.1007/s11761-020-00306-w</t>
  </si>
  <si>
    <t>Supervised deep learning has achieved remarkable success in various applications. Successful machine learning application however depends on the availability of sufficiently large amount of data. In the absence of data from the target domain, representative data collection from multiple sources is often needed. However, a model trained on existing multi-source data might generalize poorly on the unseen target domain. This problem is referred to as domain shift. In this paper, we explore the suitability of multi-source training data selection to tackle the domain shift challenge in the context of domain generalization. We also propose a microservice-oriented methodology for supporting this solution. We perform our experimental study on the use case of building energy consumption prediction. Experimental results suggest that minimal building description is capable of improving cross-building generalization performances when used to select energy consumption data. ¬© 2020, Springer-Verlag London Ltd., part of Springer Nature.</t>
  </si>
  <si>
    <t>Data selection; Data-driven modeling; Domain generalization; Energy consumption modeling; Knowledge transfer</t>
  </si>
  <si>
    <t>Labiadh, Mouna (57219286585); Obrecht, Christian (34971939900); Ferreira da Silva, Catarina (57219280995); Ghodous, Parisa (6603661157)</t>
  </si>
  <si>
    <t>57219286585; 34971939900; 57219280995; 6603661157</t>
  </si>
  <si>
    <t>https://www.scopus.com/inward/record.uri?eid=2-s2.0-85095749343&amp;doi=10.1007%2fs11761-020-00306-w&amp;partnerID=40&amp;md5=e1dc9e283d8e5e9cf6cd8d7e9e16d998</t>
  </si>
  <si>
    <t>2-s2.0-85095749343</t>
  </si>
  <si>
    <t>Computer aided instruction; Data reduction; Deep learning; Energy utilization; Knowledge management; Building energy consumption prediction; Data collection; Energy consumption datum; Generalization performance; Knowledge transfer; Machine learning applications; Multiple source; Multisource data; Energy conservation</t>
  </si>
  <si>
    <t>Grundy J.</t>
  </si>
  <si>
    <t>Human-centric Software Engineering for Next Generation Cloud-and Edge-based Smart Living Applications</t>
  </si>
  <si>
    <t>10.1109/CCGrid49817.2020.00-93</t>
  </si>
  <si>
    <t>Humans are a key part of software development, including customers, designers, coders, testers and end users. In this keynote talk I explain why incorporating human-centric issues into software engineering for next-generation applications is critical. I use several examples from our recent and current work on handling human-centric issues when engineering various 'smart living' cloud-and edge-based software systems. This includes using human-centric, domain-specific visual models for non-technical experts to specify and generate data analysis applications; personality impact on aspects of software activites; incorporating end user emotions into software requirements engineering for smart homes; incorporating human usage patterns into emerging edge computing applications; visualising smart city-related data; reporting diverse software usability defects; and human-centric security and privacy requirements for smart living systems. I assess the usefulness of these approaches, highlight some outstanding research challenges, and briefly discuss our current work on new human-centric approaches to software engineering for smart living applications. ¬© 2020 IEEE.</t>
  </si>
  <si>
    <t>diversity and inclusion; edge computing; human factors; internet of things; smart cities; smart homes; software development</t>
  </si>
  <si>
    <t>Grundy, John (7102156137)</t>
  </si>
  <si>
    <t>Proceedings - 20th IEEE/ACM International Symposium on Cluster, Cloud and Internet Computing, CCGRID 2020</t>
  </si>
  <si>
    <t>https://www.scopus.com/inward/record.uri?eid=2-s2.0-85089100713&amp;doi=10.1109%2fCCGrid49817.2020.00-93&amp;partnerID=40&amp;md5=409f7f78b73b4b7c26fff2fb34156f0b</t>
  </si>
  <si>
    <t>2-s2.0-85089100713</t>
  </si>
  <si>
    <t>Application programs; Automation; Cluster computing; Engineering research; Intelligent buildings; Requirements engineering; Software design; Computing applications; Human-centric software engineerings; Next-Generation Applications; Research challenges; Security and privacy; Software systems; Software usabilities; Technical experts; Privacy by design</t>
  </si>
  <si>
    <t>Khan A.A.; Zakarya M.; Rahman I.U.; Khan R.; Buyya R.</t>
  </si>
  <si>
    <t>HeporCloud: An energy and performance efficient resource orchestrator for hybrid heterogeneous cloud computing environments</t>
  </si>
  <si>
    <t>10.1016/j.jnca.2020.102869</t>
  </si>
  <si>
    <t>In major Information Technology (IT) companies such as Google, Rackspace and Amazon Web Services (AWS), virtualisation and containerisation technologies are usually used to execute customers' workloads and applications. The computational resources are provided through large-scale datacenters, which consume substantial amount of energy and have, therefore, ecological impacts. Since long, Google runs users' applications in containers, Rackspace offers bare-metal hardware, whereas AWS runs them either in VMs (EC2), containers (ECS) and/or containers inside VMs (Lambda); therefore, making resource management a tedious activity. The role of a resource management system is of the greatest importance, principally, if IT companies practice various kinds of sand-boxing technologies, for instance, bare-metal, VMs, containers, and/or nested containers in their datacenters (hybrid platforms). The absence of centralised, workload-aware resource managers and consolidation policies produces questions on datacenters energy efficiency, workloads performance, and users' costs. In this paper, we demonstrate, through several experiments, using the Google workload data for 12,583 hosts and approximately one million tasks that belong to four different kinds of workload, the likelihood of: (i) using workload-aware resource managers in hybrid clouds; (ii) achieving energy and cost savings, in heterogeneous hybrid datacenters such that the workload performance is not affected, negatively; and (iii) how various allocation policies, combined with different migration approaches, will impact on datacenter's energy and performance efficiencies. Using plausible assumptions for hybrid datacenters set-up, our empirical evaluation suggests that, for no migration, a single scheduler is at most 16.86% more energy efficient than distributed schedulers. Moreover, when migrations are considered, our resource manager can save up to 45.61% energy and can improve up to 17.9% workload performance. ¬© 2020 Elsevier Ltd</t>
  </si>
  <si>
    <t>Containerisation; Datacenters; Energy efficiency; Performance; Resource management; Server consolidation; Virtualisation; Workload migration</t>
  </si>
  <si>
    <t>Khan, Ayaz Ali (57199716140); Zakarya, Muhammad (55546416300); Rahman, Izaz Ur (55546532600); Khan, Rahim (55856797400); Buyya, Rajkumar (57194845546)</t>
  </si>
  <si>
    <t>57199716140; 55546416300; 55546532600; 55856797400; 57194845546</t>
  </si>
  <si>
    <t>https://www.scopus.com/inward/record.uri?eid=2-s2.0-85095771891&amp;doi=10.1016%2fj.jnca.2020.102869&amp;partnerID=40&amp;md5=29a749bf5ee61e28506d37df766f3d72</t>
  </si>
  <si>
    <t>2-s2.0-85095771891</t>
  </si>
  <si>
    <t>Containers; Energy efficiency; Managers; Natural resources management; Resource allocation; Scheduling; Web services; Cloud computing environments; Computational resources; Distributed schedulers; Empirical evaluations; Energy and cost savings; Performance efficiency; Plausible assumptions; Resource management systems; Green computing</t>
  </si>
  <si>
    <t>Puliafito A.; Tricomi G.; Zafeiropoulos A.; Papavassiliou S.</t>
  </si>
  <si>
    <t>Smart cities of the future as cyber physical systems: Challenges and enabling technologies</t>
  </si>
  <si>
    <t>10.3390/s21103349</t>
  </si>
  <si>
    <t>A smart city represents an improvement of today‚Äôs cities, both functionally and structurally, that strategically utilizes several smart factors, capitalizing on Information and Communications Technology (ICT) to increase the city‚Äôs sustainable growth and strengthen the city‚Äôs functions, while ensuring the citizens‚Äô enhanced quality of life and health. Cities can be viewed as a microcosm of interconnected ‚Äúobjects‚Äù with which citizens interact daily, which represents an extremely interesting example of a cyber physical system (CPS), where the continuous monitoring of a city‚Äôs status occurs through sensors and processors applied within the real-world infrastructure. Each object in a city can be both the collector and distributor of information regarding mobility, energy consumption, air pollution as well as potentially offering cultural and tourist information. As a consequence, the cyber and real worlds are strongly linked and interdependent in a smart city. New services can be deployed when needed, and evaluation mechanisms can be set up to assess the health and success of a smart city. In particular, the objectives of creating ICT-enabled smart city environments target (but are not limited to) improved city services; optimized decision-making; the creation of smart urban infrastructures; the orchestration of cyber and physical resources; addressing challenging urban issues, such as environmental pollution, transportation management, energy usage and public health; the optimization of the use and benefits of next generation (5G and beyond) communication; the capitalization of social networks and their analysis; support for tactile internet applications; and the inspiration of urban citizens to improve their quality of life. However, the large scale deployment of cyber-physical-social systems faces a series of challenges and issues (e.g., energy efficiency requirements, architecture, protocol stack design, implementation, and security), which requires more smart sensing and computing methods as well as advanced networking and communications technologies to provide more pervasive cyber-physical-social services. In this paper, we discuss the challenges, the state-of-the-art, and the solutions to a set of currently unresolved key questions related to CPSs and smart cities. ¬© 2021 by the authors. Licensee MDPI, Basel, Switzerland.</t>
  </si>
  <si>
    <t>Cloud; Cyber physical systems; Embedded systems; IoT; Online social networks; Smart cities; Software-defined networks; Wireless systems</t>
  </si>
  <si>
    <t>Puliafito, Antonio (35618875300); Tricomi, Giuseppe (57194834315); Zafeiropoulos, Anastasios (24333644200); Papavassiliou, Symeon (23567140500)</t>
  </si>
  <si>
    <t>35618875300; 57194834315; 24333644200; 23567140500</t>
  </si>
  <si>
    <t>https://www.scopus.com/inward/record.uri?eid=2-s2.0-85105479171&amp;doi=10.3390%2fs21103349&amp;partnerID=40&amp;md5=f071021b9a40035db59ade6c78a833b1</t>
  </si>
  <si>
    <t>2-s2.0-85105479171</t>
  </si>
  <si>
    <t>5G mobile communication systems; Cyber Physical System; Decision making; Embedded systems; Energy efficiency; Energy utilization; Green computing; Health; Large scale systems; Network architecture; Network protocols; Network security; Pollution; Quality control; Smart city; Sustainable development; Urban transportation; Continuous monitoring; Cyber-physical systems (CPS); Efficiency requirements; Environmental pollutions; Information and communications technology; Large-scale deployment; Networking and communication; Transportation management; article; city; decision making; human; Internet; online social network; public health; quality of life; security; social work; software; Infrastructure as a service (IaaS)</t>
  </si>
  <si>
    <t>Ferikoglou A.; Masouros D.; Tzenetopoulos A.; Xydis S.; Soudris D.</t>
  </si>
  <si>
    <t>Resource aware GPU scheduling in kubernetes infrastructure</t>
  </si>
  <si>
    <t>10.4230/OASIcs.PARMA-DITAM.2021.4</t>
  </si>
  <si>
    <t>Nowadays, there is an ever-increasing number of artificial intelligence inference workloads pushed and executed on the cloud. To effectively serve and manage the computational demands, data center operators have provisioned their infrastructures with accelerators. Specifically for GPUs, support for efficient management lacks, as state-of-the-art schedulers and orchestrators, threat GPUs only as typical compute resources ignoring their unique characteristics and application properties. This phenomenon combined with the GPU over-provisioning problem leads to severe resource under-utilization. Even though prior work has addressed this problem by colocating applications into a single accelerator device, its resource agnostic nature does not manage to face the resource under-utilization and quality of service violations especially for latency critical applications. In this paper, we design a resource aware GPU scheduling framework, able to efficiently colocate applications on the same GPU accelerator card. We integrate our solution with Kubernetes, one of the most widely used cloud orchestration frameworks. We show that our scheduler can achieve 58.8% lower end-to-end job execution time 99%-ile, while delivering 52.5% higher GPU memory usage, 105.9% higher GPU utilization percentage on average and 44.4% lower energy consumption on average, compared to the state-of-the-art schedulers, for a variety of ML representative workloads. ¬© Aggelos Ferikoglou, Dimosthenis Masouros, Achilleas Tzenetopoulos, Sotirios Xydis, and Dimitrios Soudris; licensed under Creative Commons License CC-BY 4.0</t>
  </si>
  <si>
    <t>Cloud computing; GPU scheduling; Heterogeneity; Kubernetes</t>
  </si>
  <si>
    <t>Ferikoglou, Aggelos (57275193600); Masouros, Dimosthenis (57195332049); Tzenetopoulos, Achilleas (57219988872); Xydis, Sotirios (24475649600); Soudris, Dimitrios (7003680549)</t>
  </si>
  <si>
    <t>57275193600; 57195332049; 57219988872; 24475649600; 7003680549</t>
  </si>
  <si>
    <t>OpenAccess Series in Informatics</t>
  </si>
  <si>
    <t>https://www.scopus.com/inward/record.uri?eid=2-s2.0-85115850082&amp;doi=10.4230%2fOASIcs.PARMA-DITAM.2021.4&amp;partnerID=40&amp;md5=43c4cf59533669abf86a8185bd87c782</t>
  </si>
  <si>
    <t>2-s2.0-85115850082</t>
  </si>
  <si>
    <t>Cloud computing; Energy utilization; Graphics processing unit; Information management; Program processors; Quality of service; Cloud-computing; Computational demands; Datacenter; Demand data; Efficient managements; GPU scheduling; Heterogeneity; Kubernetes; Resource aware; State of the art; Scheduling</t>
  </si>
  <si>
    <t>Li C.; Song M.; Zhang M.; Luo Y.</t>
  </si>
  <si>
    <t>Effective replica management for improving reliability and availability in edge-cloud computing environment</t>
  </si>
  <si>
    <t>10.1016/j.jpdc.2020.04.012</t>
  </si>
  <si>
    <t>The multi-replica strategy can create multiple data replicas for the edge cloud system and store them in different DataNodes, which improves data availability and data service quality. However, the storage resources of DataNodes are limited and the user demand for data is time-varying, the unreasonable number of data replicas will cause a high storage burden on the file system or low data service quality. Therefore, the number of data replicas needs to be dynamically adjusted according to the actual situation. Based on this, a dynamic replica creation strategy based on the gray Markov chain is proposed. If the number of replicas needs to be increased, the newly added replicas need to be placed on the DataNodes. Considering the problem of load balancing of the DataNode during replica placement, this paper proposes a replica placement strategy based on the Fast Non-dominated Sorting Genetic algorithm. In addition, considering the problem of data replica synchronization and the data recovery of failed DataNodes in the edge cloud system, this paper proposes a delay-adaptive replica synchronization strategy and a load-balancing based replica recovery strategy. Finally, the experiments prove the effectiveness of the proposed strategies. ¬© 2020 Elsevier Inc.</t>
  </si>
  <si>
    <t>Edge-cloud; Replica placement; Replica synchronization</t>
  </si>
  <si>
    <t>Li, Chunlin (35315777900); Song, Mingyang (57195555996); Zhang, Min (57216908923); Luo, Youlong (47361266600)</t>
  </si>
  <si>
    <t>35315777900; 57195555996; 57216908923; 47361266600</t>
  </si>
  <si>
    <t>https://www.scopus.com/inward/record.uri?eid=2-s2.0-85085274390&amp;doi=10.1016%2fj.jpdc.2020.04.012&amp;partnerID=40&amp;md5=cc07711f8ede5e2ece1961a21bed86d9</t>
  </si>
  <si>
    <t>2-s2.0-85085274390</t>
  </si>
  <si>
    <t>Availability; Genetic algorithms; Markov chains; Quality of service; Data availability; Non- dominated sorting genetic algorithms; Recovery strategies; Reliability and availability; Replica management; Replica placement; Replica placement strategies; Synchronization strategies; Digital storage</t>
  </si>
  <si>
    <t>Dou Z.; Sun Y.; Wang T.; Wan H.; Fan S.</t>
  </si>
  <si>
    <t>Exploring regional advanced manufacturing and its driving factors: A case study of the guangdong‚Äìhong kong‚Äìmacao greater bay area</t>
  </si>
  <si>
    <t>10.3390/ijerph18115800</t>
  </si>
  <si>
    <t>This study aims to analyze the development trend of the manufacturing industry of the Guangdong‚ÄìHong Kong‚ÄìMacao Greater Bay Area (from 2008 to 2018) by constructing an evaluation system. On the basis of push‚Äìpull‚Äìmooring theory, we analyze these factors by using an entropy and cluster model. The results show the following: (1) Technological development had an obvious spatial distribution pattern of core regional radiation, while others did not. (2) Economic development was based on the city‚Äôs existing industrial development system, while environmental development depended on governmental policies. (3) Compared with the environmental factor, the development trends of the economic and technological factors were more similar. Lastly, we provide four strategies for the development of the manufacturing industry in different cities. ¬© 2021 by the authors. Licensee MDPI, Basel, Switzerland.</t>
  </si>
  <si>
    <t>Economic factor; Environmental factor; Manufacturing industry; PPM theory; Technological factor</t>
  </si>
  <si>
    <t>Dou, Zixin (57206491113); Sun, Yanming (57205085337); Wang, Tao (57221679555); Wan, Huiyin (57211115583); Fan, Shiqi (57223965933)</t>
  </si>
  <si>
    <t>57206491113; 57205085337; 57221679555; 57211115583; 57223965933</t>
  </si>
  <si>
    <t>International Journal of Environmental Research and Public Health</t>
  </si>
  <si>
    <t>https://www.scopus.com/inward/record.uri?eid=2-s2.0-85106594986&amp;doi=10.3390%2fijerph18115800&amp;partnerID=40&amp;md5=649b794fa7c02f2da6564ddac7c06368</t>
  </si>
  <si>
    <t>2-s2.0-85106594986</t>
  </si>
  <si>
    <t>China; Cities; Hong Kong; Macau; China; Guangdong; Hong Kong; Macau; coastal zone; economic development; industrial development; manufacturing; spatial distribution; technological development; theoretical study; trend analysis; article; city; economic development; entropy; environmental factor; Hong Kong; industrialization; Macao; manufacturing industry; public policy; theoretical study; China; Hong Kong; Macao</t>
  </si>
  <si>
    <t>Jin W.; Liu T.; Cai Y.; Kazman R.; Mo R.; Zheng Q.</t>
  </si>
  <si>
    <t>Service Candidate Identification from Monolithic Systems Based on Execution Traces</t>
  </si>
  <si>
    <t>10.1109/TSE.2019.2910531</t>
  </si>
  <si>
    <t>Monolithic systems increasingly suffer from maintainability and scalability issues as they grow in functionality, size, and complexity. It is widely believed that (micro)service-based architectures can alleviate these problems as each service is supposed to have the following characteristics: clearly defined functionality, sufficient modularity, and the ability to evolve independently. Industrial practices show that service extraction from a legacy monolithic system is labor-intensive and complex. Existing work on service candidate identification aims to group entities of a monolithic system into potential service candidates, but this process has two major challenges: first, it is difficult to extract service candidates with consistent quality; second, it is hard to evaluate the identified service candidates regarding the above three characteristics. To address these challenges, this paper proposes the Functionality-oriented Service Candidate Identification (FoSCI) framework to identify service candidates from a monolithic system. Our approach is to record the monolith's execution traces, and extract services candidates using a search-based functional atom grouping algorithm. We also contribute a comprehensive service candidate evaluation suite that uses interface information, structural/conceptual dependency, and commit history. This evaluation system consists of 8 metrics, measuring functionality, modularity, and evolvability respectively of identified service candidates. We compare FoSCI with three existing methods, using 6 widely-used open-source projects as our evaluation subjects. Our results show that FoSCI outperforms existing methods in most measures.  ¬© 1976-2012 IEEE.</t>
  </si>
  <si>
    <t>evolvability; execution trace; functionality; Microservice; modularity; monolith decomposition; service candidate</t>
  </si>
  <si>
    <t>Jin, Wuxia (57194442597); Liu, Ting (55835301800); Cai, Yuanfang (23003221700); Kazman, Rick (7004264219); Mo, Ran (55892902900); Zheng, Qinghua (56113889000)</t>
  </si>
  <si>
    <t>57194442597; 55835301800; 23003221700; 7004264219; 55892902900; 56113889000</t>
  </si>
  <si>
    <t>https://www.scopus.com/inward/record.uri?eid=2-s2.0-85106015844&amp;doi=10.1109%2fTSE.2019.2910531&amp;partnerID=40&amp;md5=554479b109fbe692e7aadebc9b0fea77</t>
  </si>
  <si>
    <t>2-s2.0-85106015844</t>
  </si>
  <si>
    <t>Computer software; Software engineering; Candidate identifications; Comprehensive services; Consistent quality; Evaluation subject; Grouping algorithm; Industrial practices; Interface information; Open source projects; Quality control</t>
  </si>
  <si>
    <t>Etemadi M.; Ghobaei-Arani M.; Shahidinejad A.</t>
  </si>
  <si>
    <t>A learning-based resource provisioning approach in the fog computing environment</t>
  </si>
  <si>
    <t>10.1080/0952813X.2020.1818294</t>
  </si>
  <si>
    <t>With the recent advancements in distributed computing technologies, the fog computing model has emerged to provide resource capabilities at the edge of the network for executing IoT applications. However, due to the rapid growth of IoT applications and variability their workload over time, achieving an efficient resource provisioning solution to deal with time-varying workloads as one of the challenging tasks in resource management scope to be considered. In this work, we propose a learning-based resource provisioning approach for managing time-varying workloads of IoT applications in the fog network. Our proposed approach utilises the nonlinear autoregressive (NAR) neural network as prediction method and hidden Markov model (HMM) as a decision-maker to identify scaling decisions to provision the fog resources for serving of workloads of IoT applications. The effectiveness of our proposed solution is evaluated using extension experiments under real-world datasets, and the obtained results from iFogSim toolkit demonstrated that it yields a reduction of the delay and cost and improves resource energy consumption compared with existing baseline mechanisms. ¬© 2020 Informa UK Limited, trading as Taylor &amp; Francis Group.</t>
  </si>
  <si>
    <t>fog Computing; hidden Markov Model; iot Applications; neural Network; Resource Provisioning</t>
  </si>
  <si>
    <t>Etemadi, Masoumeh (57218290277); Ghobaei-Arani, Mostafa (57189577393); Shahidinejad, Ali (54586030700)</t>
  </si>
  <si>
    <t>57218290277; 57189577393; 54586030700</t>
  </si>
  <si>
    <t>Journal of Experimental and Theoretical Artificial Intelligence</t>
  </si>
  <si>
    <t>https://www.scopus.com/inward/record.uri?eid=2-s2.0-85093072544&amp;doi=10.1080%2f0952813X.2020.1818294&amp;partnerID=40&amp;md5=57d427997c8cb1a778dccd85b22b785e</t>
  </si>
  <si>
    <t>2-s2.0-85093072544</t>
  </si>
  <si>
    <t>Decision making; Energy utilization; Fog; Hidden Markov models; Internet of things; Auto-regressive; Computing environments; Distributed computing technology; IOT applications; Prediction methods; Real-world datasets; Resource capabilities; Resource management; Fog computing</t>
  </si>
  <si>
    <t>Vaucher S.; Pires R.; Felber P.; Pasin M.; Schiavoni V.; Fetzer C.</t>
  </si>
  <si>
    <t>SGX-Aware container orchestration for heterogeneous clusters</t>
  </si>
  <si>
    <t>10.1109/ICDCS.2018.00076</t>
  </si>
  <si>
    <t>2018-July</t>
  </si>
  <si>
    <t>Containers are becoming the de facto standard to package and deploy applications and micro-services in the cloud. Several cloud providers (e.g., Amazon, Google, Microsoft) begin to offer native support on their infrastructure by integrating container orchestration tools within their cloud offering. At the same time, the security guarantees that containers offer to applications remain questionable. Customers still need to trust their cloud provider with respect to data and code integrity. The recent introduction by Intel of Software Guard Extensions (SGX) into the mass market offers an alternative to developers, who can now execute their code in a hardware-secured environment without trusting the cloud provider. This paper provides insights regarding the support of SGX inside Kubernetes, an industry-standard container orchestrator. We present our contributions across the whole stack supporting execution of SGX-enabled containers. We provide details regarding the architecture of the scheduler and its monitoring framework, the underlying operating system support and the required kernel driver extensions. We evaluate our complete implementation on a private cluster using the real-world Google Borg traces. Our experiments highlight the performance trade-offs that will be encountered when deploying SGX-enabled micro-services in the cloud. ¬© 2018 IEEE.</t>
  </si>
  <si>
    <t>Docker; Intel SGX; Kubernetes; Scheduling</t>
  </si>
  <si>
    <t>Vaucher, S√©bastien (57191874660); Pires, Rafael (57194456425); Felber, Pascal (6701409064); Pasin, Marcelo (15926001500); Schiavoni, Valerio (15064802800); Fetzer, Christof (7006284519)</t>
  </si>
  <si>
    <t>57191874660; 57194456425; 6701409064; 15926001500; 15064802800; 7006284519</t>
  </si>
  <si>
    <t>https://www.scopus.com/inward/record.uri?eid=2-s2.0-85050967176&amp;doi=10.1109%2fICDCS.2018.00076&amp;partnerID=40&amp;md5=8c379efa469c8e5d1977dffd357ace5e</t>
  </si>
  <si>
    <t>2-s2.0-85050967176</t>
  </si>
  <si>
    <t>Commerce; Containers; Economic and social effects; Scheduling; Trusted computing; Docker; Heterogeneous clusters; Industry standards; Intel SGX; Kubernetes; Monitoring frameworks; Operating system support; Performance trade-off; Distributed computer systems</t>
  </si>
  <si>
    <t>Barbalace A.; Karaoui M.L.; Wang W.; Xing T.; Olivier P.; Ravindran B.</t>
  </si>
  <si>
    <t>Edge computing: The case for heterogeneous-ISA container migration</t>
  </si>
  <si>
    <t>10.1145/3381052.3381321</t>
  </si>
  <si>
    <t>Edge computing is a recent computing paradigm that brings cloud services closer to the client. Among other features, edge computing offers extremely low client/server latencies. To consistently provide such low latencies, services need to run on edge nodes that are physically as close as possible to their clients. Thus, when a client changes its physical location, a service should migrate between edge nodes to maintain proximity. Differently from cloud nodes, edge nodes are built with CPUs of different Instruction Set Architectures (ISAs), hence a server program natively compiled for one ISA cannot migrate to another. This hinders migration to the closest node. We introduce H-Container, which migrates natively-compiled containerized applications across compute nodes featuring CPUs of different ISAs. H-Container advances over existing heterogeneous-ISA migration systems by being a) highly compatible-no source code nor compiler toolchain modifications are needed; b) easily deployable-fully implemented in user space, thus without any OS or hypervisor dependency, and c) largely Linux compliant-can migrate most Linux software, including server applications and dynamically linked binaries. H-Container targets Linux, adopts LLVM, extends CRIU, and integrates with Docker. Experiments demonstrate that H-Container adds no overhead on average during program execution, while between 10ms and 100ms are added during migration. Furthermore, we show the benefits of H-Container in real scenarios, proving for example up to 94% increase in Redis throughput when unlocking heterogeneity. ¬© 2020 ACM.</t>
  </si>
  <si>
    <t>containers; edge; heterogeneous ISA; migration</t>
  </si>
  <si>
    <t>Barbalace, Antonio (23491344500); Karaoui, Mohamed L. (57193061321); Wang, Wei (57793270600); Xing, Tong (57216220462); Olivier, Pierre (57194115005); Ravindran, Binoy (7005658995)</t>
  </si>
  <si>
    <t>23491344500; 57193061321; 57793270600; 57216220462; 57194115005; 7005658995</t>
  </si>
  <si>
    <t>VEE 2020 - Proceedings of the 16th ACM SIGPLAN/SIGOPS International Conference on Virtual Execution Environments</t>
  </si>
  <si>
    <t>https://www.scopus.com/inward/record.uri?eid=2-s2.0-85082874168&amp;doi=10.1145%2f3381052.3381321&amp;partnerID=40&amp;md5=2d6ed793aeb30ecf874b4cdbd4b15a50</t>
  </si>
  <si>
    <t>2-s2.0-85082874168</t>
  </si>
  <si>
    <t>Application programs; C (programming language); Containers; Edge computing; Linux; Program processors; Computing paradigm; edge; heterogeneous ISA; Instruction set architecture; migration; Migration systems; Physical locations; Server applications; Computer architecture</t>
  </si>
  <si>
    <t>Han S.-H.; Lee H.-K.; Gim G.-Y.; Kim S.-J.</t>
  </si>
  <si>
    <t>Empirical Study on Anti-Virus Architecture for Container Platforms</t>
  </si>
  <si>
    <t>10.1109/ACCESS.2020.3005591</t>
  </si>
  <si>
    <t>Container platforms provide many functions for diverse applications and are used to build and operate various information services. They have been extended not only to Linux and Unix-based servers but also to Windows and macOS-based desktops and laptops. Many systems use anti-virus software to minimize damage caused by malware. Most anti-virus software provide real-time malware detection functions and block the execution of malware by enforcing access denial functions for malware that cannot be deleted or for original files that cannot be restored. However, current anti-virus technologies are not designed for container platforms. Therefore, they cannot detect malware in containers in real time; nor can they block malware execution or user access to malware owing to the isolation feature provided by container platforms. To resolve these issues, we propose a functionally-isolated anti-virus architecture for container platforms. The proposed anti-virus architecture separates the functions of a legacy anti-virus engine to ensure compatibility with the isolation features of a container platform. By implementation, it was confirmed that the proposed anti-virus architecture can detect in real-time the entry of malware in a container platform and block the execution of, and user access to unrecoverable malware-infected files. The performance of the proposed functionally-isolated anti-virus architecture is similar to that of legacy anti-virus technology and was verified to be sufficiently effective. ¬© 2013 IEEE.</t>
  </si>
  <si>
    <t>Anti-virus; container; LXC; malware; real-time detection</t>
  </si>
  <si>
    <t>Han, Sung-Hwa (57221062650); Lee, Hoo-Ki (57008426900); Gim, Gwang-Yong (6603233265); Kim, Sung-Jin (57221031969)</t>
  </si>
  <si>
    <t>57221062650; 57008426900; 6603233265; 57221031969</t>
  </si>
  <si>
    <t>https://www.scopus.com/inward/record.uri?eid=2-s2.0-85089303011&amp;doi=10.1109%2fACCESS.2020.3005591&amp;partnerID=40&amp;md5=2c55e4427a4b917c83907e3de68166c7</t>
  </si>
  <si>
    <t>2-s2.0-85089303011</t>
  </si>
  <si>
    <t>Computer system firewalls; Containers; Information services; Windows operating system; Anti virus; Anti-virus engines; Antivirus softwares; Diverse applications; Empirical studies; Malware detection; Real time; User access; Computer viruses</t>
  </si>
  <si>
    <t>Yanez W.; Mahmud R.; Bahsoon R.; Zhang Y.; Buyya R.</t>
  </si>
  <si>
    <t>Data Allocation Mechanism for Internet-of-Things Systems With Blockchain</t>
  </si>
  <si>
    <t>10.1109/JIOT.2020.2972776</t>
  </si>
  <si>
    <t>The use of Internet of Things (IoT) has introduced genuine concerns regarding data security and its privacy when data are in collection, exchange, and use. Meanwhile, blockchain offers a distributed and encrypted ledger designed to allow the creation of immutable and tamper-proof records of data at different locations. While blockchain may enhance IoT with innate security, data integrity, and autonomous governance, IoT data management and its allocation in blockchain still remain an architectural concern. In this article, we propose a novel context-aware mechanism for on-chain data allocation in IoT-blockchain systems. Specifically, we design a data controller based on fuzzy logic to calculate the Rating of Allocation (RoA) value of each data request considering multiple context parameters, i.e., data, network, and quality and decide its on-chain allocation. Furthermore, we illustrate how the design and realization of the mechanism lead to refinements of two commonly used IoT-blockchain architectural styles (i.e., blockchain-based cloud and fog). To demonstrate the effectiveness of our approach, we instantiate the data allocation mechanism in the blockchain-based cloud and fog architectures and evaluate their performance using FogBus. We also compare the efficacy of our approach to the existing decision-making mechanisms through the deployment of a real-world healthcare application. The experimental results suggest that the realization of the data allocation mechanism improves network usage, latency, and blockchain storage and reduces energy consumption. ¬© 2014 IEEE.</t>
  </si>
  <si>
    <t>Blockchain; data management; fuzzy logic; Internet of Things (IoT); software architecture styles</t>
  </si>
  <si>
    <t>Yanez, Wendy (59158482600); Mahmud, Redowan (57200419245); Bahsoon, Rami (6508251119); Zhang, Yuqun (36931783900); Buyya, Rajkumar (57194845546)</t>
  </si>
  <si>
    <t>59158482600; 57200419245; 6508251119; 36931783900; 57194845546</t>
  </si>
  <si>
    <t>https://www.scopus.com/inward/record.uri?eid=2-s2.0-85083712966&amp;doi=10.1109%2fJIOT.2020.2972776&amp;partnerID=40&amp;md5=22ea0afcbef749465b8b0e426928189e</t>
  </si>
  <si>
    <t>2-s2.0-85083712966</t>
  </si>
  <si>
    <t>Blockchain; Decision making; Digital storage; Energy utilization; Fuzzy logic; Information management; Architectural style; Data allocation; Data controllers; Data integrity; Decision-making mechanisms; Health care application; Internet of Things (IOT); Multiple contexts; Internet of things</t>
  </si>
  <si>
    <t>Grohmann J.; Nicholson P.K.; Iglesias J.O.; Kounev S.; Lugones D.</t>
  </si>
  <si>
    <t>Monitorless: Predicting performance degradation in cloud applications with machine learning</t>
  </si>
  <si>
    <t>10.1145/3361525.3361543</t>
  </si>
  <si>
    <t>Today, software operation engineers rely on application key performance indicators (KPIs) for sizing and orchestrating cloud resources dynamically. KPIs are monitored to assess the achievable performance and to configure various cloud-specific parameters such as flavors of instances and autoscaling rules, among others. Usually, keeping KPIs within acceptable levels requires application expertise which is expensive and can slow down the continuous delivery of software. Expertise is required because KPIs are normally based on application-specific quality-of-service metrics, like service response time and processing rate, instead of generic platform metrics, like those typical across various environments (e.g., CPU and memory utilization, I/O rate, etc.) In this paper, we investigate the feasibility of outsourcing the management of application performance from developers to cloud operators. In the same way that the serverless paradigm allows the execution environment to be fully managed by a third party, we discuss a monitorless model to streamline application deployment by delegating performance management. We show that training a machine learning model with platform-level data, collected from the execution of representative containerized services, allows inferring application KPI degradation. This is an opportunity to simplify operations as engineers can rely solely on platform metrics ‚Äì while still fulfilling application KPIs ‚Äì to configure portable and application agnostic rules and other cloud-specific parameters to automatically trigger actions such as autoscaling, instance migration, network slicing, etc. Results show that monitorless infers KPI degradation with an accuracy of 97% and, notably, it performs similarly to typical autoscaling solutions, even when autoscaling rules are optimally tuned with knowledge of the expected workload. ¬© 2019 Association for Computing Machinery.</t>
  </si>
  <si>
    <t>Cloud computing; DevOps; Machine learning; Monitoring</t>
  </si>
  <si>
    <t>Grohmann, Johannes (57197744369); Nicholson, Patrick K. (35362255100); Iglesias, Jesus Omana (55001199100); Kounev, Samuel (23397538000); Lugones, Diego (35085333900)</t>
  </si>
  <si>
    <t>57197744369; 35362255100; 55001199100; 23397538000; 35085333900</t>
  </si>
  <si>
    <t>Middleware 2019 - Proceedings of the 2019 20th International Middleware Conference</t>
  </si>
  <si>
    <t>https://www.scopus.com/inward/record.uri?eid=2-s2.0-85078008396&amp;doi=10.1145%2f3361525.3361543&amp;partnerID=40&amp;md5=d5119ce10e29ec1dc590628a105417cb</t>
  </si>
  <si>
    <t>2-s2.0-85078008396</t>
  </si>
  <si>
    <t>Benchmarking; Cloud computing; Environmental management; Learning systems; Machine learning; Middleware; Monitoring; Outsourcing; Quality of service; Achievable performance; Application deployment; Application performance; DevOps; Key performance indicators; Machine learning models; Performance degradation; Quality of service metrics; Application programs</t>
  </si>
  <si>
    <t>Peng X.</t>
  </si>
  <si>
    <t>New multiparametric similarity measure and distance measure for interval neutrosophic set with IoT industry evaluation</t>
  </si>
  <si>
    <t>10.1109/ACCESS.2019.2902148</t>
  </si>
  <si>
    <t>In the epoch of the Internet of Things (IoT), we have confronted five challenges (Connectivity, Value, Security, Telepresence, and Intelligence) with complex structures. The IoT industry decision making is critically important for countries or societies to enhance the effectiveness and validity of leadership, which can greatly accelerate the industrialized and large-scale development. In the case of IoT industry decision evaluation, the essential problem arises serious incompleteness, impreciseness, subjectivity, and incertitude. Interval neutrosophic set, disposing of the indeterminacy portrayed by truth membership T, indeterminacy membership I, and falsity membership F with interval form, is a more viable and effective means to seize indeterminacy. The main purpose of this paper is to investigate the multiparametric distance measure and similarity measure. Meanwhile, some interesting properties of distance measure and similarity measure are proved. Then, the objective weights of diverse attributes are ascertained by the deviation-based method. Moreover, we explore the combination weight, which reveals both the objective preference and subjective preference. The validity of the algorithm is illustrated by an IoT industry decision-making issue, along with the effect of diverse parameters on the ranking. Finally, a comparison of the developed with the existing interval neutrosophic decision-making methods have been executed in the light of the counter-intuitive phenomena and unauthentic issue for displaying their effectiveness. ¬© 2019 IEEE.</t>
  </si>
  <si>
    <t>combination weight; decision making; Interval neutrosophic set; similarity measure</t>
  </si>
  <si>
    <t>Peng, Xindong (56379395300)</t>
  </si>
  <si>
    <t>https://www.scopus.com/inward/record.uri?eid=2-s2.0-85063186662&amp;doi=10.1109%2fACCESS.2019.2902148&amp;partnerID=40&amp;md5=d60f8fff35d9f99ba8b4d7db4a87f14d</t>
  </si>
  <si>
    <t>2-s2.0-85063186662</t>
  </si>
  <si>
    <t>Decision making; Visual communication; Combination weights; Decision evaluations; Decision-making method; Essential problems; Internet of thing (IOT); Large-scale development; Neutrosophic sets; Similarity measure; Internet of things</t>
  </si>
  <si>
    <t>Hein A.; Schreieck M.; Wiesche M.; B√∂hm M.; Krcmar H.</t>
  </si>
  <si>
    <t>The emergence of native multi-sided platforms and their influence on incumbents</t>
  </si>
  <si>
    <t>10.1007/s12525-019-00350-1</t>
  </si>
  <si>
    <t>Multi-sided platforms (MSPs) are one of the dominant designs of the digital age. However, prior research focuses mainly on established MSPs, leaving little insight into their emergence. We use the literature on technological trajectories and technology diffusion to derive four propositions that increase our understanding on the emergence of MSPs. The propositions include the emergence of native MSPs based on the assimilation of technologies in technological trajectories; how uncertainty influences incumbents to not follow those trajectories; how native MSPs create new demand; and how this demand eventually triggers the transformation process of incumbents to transform toward an MSP provider. We conduct a multiple-case study in the context of mobility services with three native MSP companies along with an incumbent that is transforming toward an MSP provider. The resulting process model shows that MSPs follow a process of sense-making and bricolage to assemble a service-oriented architecture, contrary to the incumbent who adopts technologies according to its institutional logic to improve existing products and processes. ¬© 2019, The Author(s).</t>
  </si>
  <si>
    <t>Mobility platform; Mobility services; Multi-sided platforms; Platform evolution; Servitization; Technological trajectories</t>
  </si>
  <si>
    <t>Hein, Andreas (57189636786); Schreieck, Maximilian (57189630979); Wiesche, Manuel (42962873700); B√∂hm, Markus (7202480967); Krcmar, Helmut (6603243872)</t>
  </si>
  <si>
    <t>57189636786; 57189630979; 42962873700; 7202480967; 6603243872</t>
  </si>
  <si>
    <t>Electronic Markets</t>
  </si>
  <si>
    <t>https://www.scopus.com/inward/record.uri?eid=2-s2.0-85065723086&amp;doi=10.1007%2fs12525-019-00350-1&amp;partnerID=40&amp;md5=cb29b85acdfde8107f22e471dd7c629a</t>
  </si>
  <si>
    <t>2-s2.0-85065723086</t>
  </si>
  <si>
    <t>Mazzara M.; Afanasyev I.; Sarangi S.R.; Distefano S.; Kumar V.; Ahmad M.</t>
  </si>
  <si>
    <t>A reference architecture for smart and software-defined buildings</t>
  </si>
  <si>
    <t>10.1109/SMARTCOMP.2019.00048</t>
  </si>
  <si>
    <t>The vision encompassing Smart and Software-defined Buildings (SSDB) is becoming more popular and its implementation is now more accessible due to the widespread adoption of the Internet of Things (IoT) infrastructure. Some of the most important applications sustaining this vision are energy management, environmental comfort, safety and surveillance. This paper surveys IoT and SSB technologies and their cooperation towards the realization of smart spaces. We propose a fourlayer reference architecture and we organize related concepts around it. This conceptual frame is useful to identify the current literature on the topic and to connect the dots into a coherent vision of the future of residential and commercial buildings. ¬© 2019 IEEE.</t>
  </si>
  <si>
    <t>Building-Operating-Systems; IoT; Smart-Cities; Software-Defined-Systems</t>
  </si>
  <si>
    <t>Mazzara, Manuel (8557895400); Afanasyev, Ilya (57202156203); Sarangi, Smruti R. (12344573600); Distefano, Salvatore (17433851100); Kumar, Vivek (57203288774); Ahmad, Muhammad (55232255600)</t>
  </si>
  <si>
    <t>8557895400; 57202156203; 12344573600; 17433851100; 57203288774; 55232255600</t>
  </si>
  <si>
    <t>Proceedings - 2019 IEEE International Conference on Smart Computing, SMARTCOMP 2019</t>
  </si>
  <si>
    <t>https://www.scopus.com/inward/record.uri?eid=2-s2.0-85070910045&amp;doi=10.1109%2fSMARTCOMP.2019.00048&amp;partnerID=40&amp;md5=cf761dc4981a102991c7f86e49deccc1</t>
  </si>
  <si>
    <t>2-s2.0-85070910045</t>
  </si>
  <si>
    <t>Network security; Office buildings; Smart city; Commercial building; Environmental comfort; Internet of thing (IOT); Paper surveys; Reference architecture; Smart space; Internet of things</t>
  </si>
  <si>
    <t>Pulpito M.; Fornarelli P.; Pomo C.; Boccadoro P.; Grieco L.A.</t>
  </si>
  <si>
    <t>On fast prototyping LoRaWAN: A cheap and open platform for daily experiments</t>
  </si>
  <si>
    <t>10.1049/iet-wss.2018.5046</t>
  </si>
  <si>
    <t>Low-power wide area networks (LPWANs) are gaining momentum within Internet of Things circles, thanks to their inherent capabilities to simplify network topologies and increase coverage in low-rate and low-power communications. This study focuses on a specific LPWAN technology, namely Long Range Wireless Area Network (LoRaWAN), which is being widely investigated by the research community worldwide. LoRaWAN offers many noticeable features, including wide coverage areas, security by design, power consumption and bandwidth optimisation, and a high degree of flexibility and reconfigurability. Unfortunately, in spite of these valuable characteristics, LoRaWAN appliances are often closed source and proprietary. To bridge the gap, this study proposes a prototype, which has been designed and set up using open low-cost experimental boards and programming tools, only. Moreover, an experimental campaign has been carried out in order to demonstrate the effectiveness of the developed platform. ¬© The Institution of Engineering and Technology 2018.</t>
  </si>
  <si>
    <t>Pulpito, Mariano (57203917931); Fornarelli, Paolo (57203919143); Pomo, Claudio (57200991524); Boccadoro, Pietro (57192371035); Grieco, Luigi Alfredo (57191230771)</t>
  </si>
  <si>
    <t>57203917931; 57203919143; 57200991524; 57192371035; 57191230771</t>
  </si>
  <si>
    <t>IET Wireless Sensor Systems</t>
  </si>
  <si>
    <t>https://www.scopus.com/inward/record.uri?eid=2-s2.0-85053559369&amp;doi=10.1049%2fiet-wss.2018.5046&amp;partnerID=40&amp;md5=a301c1d116f654e024814f9c930ba65d</t>
  </si>
  <si>
    <t>2-s2.0-85053559369</t>
  </si>
  <si>
    <t>Low power electronics; Degree of flexibility; Experimental campaign; Low-power communication; Programming tools; Re-configurability; Research communities; Security by designs; Wireless area networks; Wide area networks</t>
  </si>
  <si>
    <t>Sicari S.; Rizzardi A.; Coen-Porisini A.</t>
  </si>
  <si>
    <t>How to evaluate an Internet of Things system: Models, case studies, and real developments</t>
  </si>
  <si>
    <t>10.1002/spe.2740</t>
  </si>
  <si>
    <t>The paper proposes the use of Node-RED, a flow-based programming tool targeted to Internet of Things (IoT), along with a series of case studies related to different IoT contexts, which demonstrate Node-RED's potentialities and outcomings toward the realization of well-structured IoT environments. The analyzed applications potentially include a wide range of domains, ranging from smart cities, smart buildings, smart homes/offices, smart retailing, to smart transportation, smart logistics, smart agriculture, smart health, military scenarios, and so on. The motivations behind the presented work are related to the fact that IoT application fields usually involve the same technologies and communication protocols, which are frequently adopted for totally different purposes. Issues such as systems' interoperabiliy, scalability, security and privacy naturally emerge, due to the huge amount of heterogeneous devices acting in the IoT environment itself and to the wireless nature of information transmissions. As a consequence, it is fundamental to dispose of adequate tools for supporting developers in design the network architecture and messages' exchange, in order to realize efficient and effective IoT network infrastructures. ¬© 2019 John Wiley &amp; Sons, Ltd.</t>
  </si>
  <si>
    <t>application case study; flow-based programming; Internet of Things; Node-RED</t>
  </si>
  <si>
    <t>Sicari, Sabrina (6503894293); Rizzardi, Alessandra (55988471100); Coen-Porisini, Alberto (6602290735)</t>
  </si>
  <si>
    <t>6503894293; 55988471100; 6602290735</t>
  </si>
  <si>
    <t>https://www.scopus.com/inward/record.uri?eid=2-s2.0-85071340275&amp;doi=10.1002%2fspe.2740&amp;partnerID=40&amp;md5=75112932186b35188e098f502cc390c3</t>
  </si>
  <si>
    <t>2-s2.0-85071340275</t>
  </si>
  <si>
    <t>Automation; Intelligent buildings; Military applications; Network architecture; Flow based; Heterogeneous devices; Information transmission; Internet of Things (IOT); Military scenarios; Node-RED; Security and privacy; Smart agricultures; Internet of things</t>
  </si>
  <si>
    <t>Hanafy W.A.; Mohamed A.E.; Salem S.A.</t>
  </si>
  <si>
    <t>A New Infrastructure Elasticity Control Algorithm for Containerized Cloud</t>
  </si>
  <si>
    <t>10.1109/ACCESS.2019.2907171</t>
  </si>
  <si>
    <t>In the last decade, containers have become a superior alternative to hypervisor-based virtualization. Containerization has revolutionized data centers from being an infrastructure-oriented to be application oriented. Modern cloud consumption patterns such as flash crowds require a certain amount of elasticity that is realized with controlling the amount of provisioned resources autonomously. Cloud elasticity is significant as it influences the performance of utilized resources, service level commitment, and power consumption. In this paper, an infrastructure elasticity control algorithm for a containerized cloud is proposed. The proposed algorithm augments the load balancing criterion with elasticity control. Several experiments with various metrics are carried out to examine the performance of the proposed algorithm. The results demonstrate the superiority of the proposed algorithm and the effects of elasticity across various measures. ¬© 2013 IEEE.</t>
  </si>
  <si>
    <t>cloud computing; Containers; containers migration; elasticity control; load balancing</t>
  </si>
  <si>
    <t>Hanafy, Walid A. (57201994745); Mohamed, Amr E. (57207837387); Salem, Sameh A. (57205844832)</t>
  </si>
  <si>
    <t>57201994745; 57207837387; 57205844832</t>
  </si>
  <si>
    <t>https://www.scopus.com/inward/record.uri?eid=2-s2.0-85065242593&amp;doi=10.1109%2fACCESS.2019.2907171&amp;partnerID=40&amp;md5=853e363aab449afe18a2e7ae53f4ae5e</t>
  </si>
  <si>
    <t>2-s2.0-85065242593</t>
  </si>
  <si>
    <t>Cloud computing; Containers; Elasticity; Resource allocation; Application-oriented; Cloud elasticities; Consumption patterns; Data centers; Flash crowd; Hypervisor; Service levels; Utilized resources; Green computing</t>
  </si>
  <si>
    <t>Gunasekaran J.R.; Thinakaran P.; Kandemir M.T.; Urgaonkar B.; Kesidis G.; Das C.</t>
  </si>
  <si>
    <t>Spock: Exploiting serverless functions for SLO and cost aware resource procurement in public cloud</t>
  </si>
  <si>
    <t>10.1109/CLOUD.2019.00043</t>
  </si>
  <si>
    <t>2019-July</t>
  </si>
  <si>
    <t>We are witnessing the emergence of elastic web services which are hosted in public cloud infrastructures. For reasons of cost-effectiveness, it is crucial for the elasticity of these web services to match the dynamically-evolving user demand. Traditional approaches employ clusters of virtual machines (VMs) to dynamically scale resources based on application demand. However, they still face challenges such as higher cost due to over-provisioning or incur service level objective (SLO) violations due to under-provisioning. Motivated by this observation, we propose Spock, a new scalable and elastic control system that exploits both VMs and serverless functions to reduce cost and ensure SLO for elastic web services. We show that under two different scaling policies, Spock reduces SLO violations of queries by up to 74\% when compared to VM-based resource procurement schemes. Further, Spock yields significant cost savings, by up to 33\% compared to traditional approaches which use only VMs. ¬© 2019 IEEE.</t>
  </si>
  <si>
    <t>Autoscaling; Cost-aware; FaaS; Lambda; Serverless; SLO</t>
  </si>
  <si>
    <t>Gunasekaran, Jashwant Raj (55440506600); Thinakaran, Prashanth (55428420900); Kandemir, Mahmut Taylan (35549787100); Urgaonkar, Bhuvan (14020908300); Kesidis, George (7003540724); Das, Chita (7201851990)</t>
  </si>
  <si>
    <t>55440506600; 55428420900; 35549787100; 14020908300; 7003540724; 7201851990</t>
  </si>
  <si>
    <t>https://www.scopus.com/inward/record.uri?eid=2-s2.0-85069531622&amp;doi=10.1109%2fCLOUD.2019.00043&amp;partnerID=40&amp;md5=db3951b69899a434967f97105d5a7d07</t>
  </si>
  <si>
    <t>2-s2.0-85069531622</t>
  </si>
  <si>
    <t>Cloud computing; Cost effectiveness; Costs; Websites; Autoscaling; Cost-aware; FaaS; Lambda; Serverless; Web services</t>
  </si>
  <si>
    <t>Flauzino M.; Ver√≠ssimo J.; Terra R.; Cirilo E.; Durelli V.H.S.; Durelli R.S.</t>
  </si>
  <si>
    <t>Are you still smelling it? A comparative study between Java and Kotlin language</t>
  </si>
  <si>
    <t>10.1145/3267183.3267186</t>
  </si>
  <si>
    <t>Java is one of the most widely used programming languages. However, Java is a verbose language, thus one of the main drawbacks of the language is that even simple tasks often entail writing a significant amount of code. In some cases, writing too much code might lead to certain code smells, which are violations of fundamental design that can negatively impact the overall quality of programs. To allow programmers to write concise code, JetBrains created a new language named Kotlin. Nevertheless, few studies have evaluated whether Kotlin leads to concise and clearer code in comparison to Java. We conjecture that due to Java's verbosity, programs written in Java are likely to have more code smells than Kotlin programs. Therefore, we set out to evaluate whether some types of code smells are more common in Java programs. To this end, we carried out a large-scale empirical study involving more than 6 million lines of code from programs available in 100 repositories.We found that on average Kotlin programs have less code smells than Java programs. ¬© 2018 Association for Computing Machinery.</t>
  </si>
  <si>
    <t>Bad Smell; Code Smell; Kotlin Language; Refactoring</t>
  </si>
  <si>
    <t>Flauzino, Matheus (57204467158); Ver√≠ssimo, J√∫lio (57204472284); Terra, Ricardo (36865399300); Cirilo, Elder (23476361200); Durelli, Vinicius H.S. (37022886400); Durelli, Rafael S. (36184908100)</t>
  </si>
  <si>
    <t>57204467158; 57204472284; 36865399300; 23476361200; 37022886400; 36184908100</t>
  </si>
  <si>
    <t>https://www.scopus.com/inward/record.uri?eid=2-s2.0-85055703520&amp;doi=10.1145%2f3267183.3267186&amp;partnerID=40&amp;md5=0c215b73a41fe0076929039e8541df60</t>
  </si>
  <si>
    <t>2-s2.0-85055703520</t>
  </si>
  <si>
    <t>Codes (symbols); Computer software reusability; Odors; Bad smells; Code smell; Comparative studies; Empirical studies; Fundamental design; Kotlin Language; Overall quality; Refactorings; Java programming language</t>
  </si>
  <si>
    <t>Lovas R.; Farkas A.; Marosi A.C.; √Åcs S.; Kov√°cs J.; Szal√≥ki √Å.; K√°d√°r B.</t>
  </si>
  <si>
    <t>Orchestrated platform for cyber-physical systems</t>
  </si>
  <si>
    <t>10.1155/2018/8281079</t>
  </si>
  <si>
    <t>One of the main driving forces in the era of cyber-physical systems (CPSs) is the introduction of massive sensor networks (or nowadays various Internet of things solutions as well) into manufacturing processes, connected cars, precision agriculture, and so on. Therefore, large amounts of sensor data have to be ingested at the server side in order to generate and make the ‚Äútwin digital model‚Äù or virtual factory of the existing physical processes for (among others) predictive simulation and scheduling purposes usable. In this paper, we focus on our ultimate goal, a novel software container-based approach with cloud agnostic orchestration facilities that enable the system operators in the industry to create and manage scalable, virtual IT platforms on-demand for these two typical major pillars of CPS: (1) server-side (i.e., back-end) framework for sensor networks and (2) configurable simulation tool for predicting the behavior of manufacturing systems. The paper discusses the scalability of the applied discrete-event simulation tool and the layered back-end framework starting from simple virtual machine-level to sophisticated multilevel autoscaling use case scenario. The presented achievements and evaluations leverage on (among others) the synergy of the existing EasySim simulator, our new CQueue software container manager, the continuously developed Occopus cloud orchestrator tool, and the latest version of the evolving MiCADO framework for integrating such tools into a unified platform. ¬© 2018 R√≥bert Lovas et al.</t>
  </si>
  <si>
    <t>Lovas, R√≥bert (22433533300); Farkas, Attila (57195997679); Marosi, Attila Csaba (55664653500); √Åcs, S√°ndor (36661971400); Kov√°cs, J√≥zsef (12795015200); Szal√≥ki, √Åd√°m (57207846077); K√°d√°r, Botond (6602927618)</t>
  </si>
  <si>
    <t>22433533300; 57195997679; 55664653500; 36661971400; 12795015200; 57207846077; 6602927618</t>
  </si>
  <si>
    <t>Complexity</t>
  </si>
  <si>
    <t>https://www.scopus.com/inward/record.uri?eid=2-s2.0-85062370697&amp;doi=10.1155%2f2018%2f8281079&amp;partnerID=40&amp;md5=7a0b1f039fa9b3602f6d96054762c1b9</t>
  </si>
  <si>
    <t>2-s2.0-85062370697</t>
  </si>
  <si>
    <t>Computer software; Containers; Cyber Physical System; Discrete event simulation; Embedded systems; Manufacture; Sensor networks; Cyber physical systems (CPSs); Driving forces; Manufacturing process; Physical process; Predictive simulations; System operator; Use case scenario; Virtual factory; Simulation platform</t>
  </si>
  <si>
    <t>Taherkordi A.; Zahid F.; Verginadis Y.; Horn G.</t>
  </si>
  <si>
    <t>Future Cloud Systems Design: Challenges and Research Directions</t>
  </si>
  <si>
    <t>10.1109/ACCESS.2018.2883149</t>
  </si>
  <si>
    <t>Cloud computing has been recognized as the de facto utility computing standard for hosting and delivering services over the Internet. Cloud platforms are being rapidly adopted by business owners and end-users thanks to its many benefits to traditional computing models such as cost saving, scalability, unlimited storage, anytime anywhere access, better security, and high fault-tolerance capability. However, despite the fact that clouds offer huge opportunities and services to the industry, the landscape of cloud computing research is evolving for several reasons, such as emerging data-intensive applications, multicloud deployment models, and more strict non-functional requirements on cloud-based services. In this paper, we develop a comprehensive taxonomy of main cloud computing research areas, discuss state-of-the-art approaches for each area and the associated sub-areas, and highlight the challenges and future directions per research area. The survey framework, presented in this paper, provides useful insights and outlook for the cloud computing research and development, allows broader understanding of the design challenges of cloud computing, and sheds light on the future of this fast-growing utility computing paradigm. ¬© 2013 IEEE.</t>
  </si>
  <si>
    <t>Cloud computing; future directions; research challenges</t>
  </si>
  <si>
    <t>Taherkordi, Amir (14054944100); Zahid, Feroz (56829198400); Verginadis, Yiannis (24077379900); Horn, Geir (17434416500)</t>
  </si>
  <si>
    <t>14054944100; 56829198400; 24077379900; 17434416500</t>
  </si>
  <si>
    <t>https://www.scopus.com/inward/record.uri?eid=2-s2.0-85057393590&amp;doi=10.1109%2fACCESS.2018.2883149&amp;partnerID=40&amp;md5=76abd7431ce37d44e049ce30c5d9b250</t>
  </si>
  <si>
    <t>2-s2.0-85057393590</t>
  </si>
  <si>
    <t>Cloud computing; Data structures; Digital storage; Fault tolerance; Servers; Topology; Computational model; Data centers; Data-intensive application; Future Directions; Non-functional requirements; Research challenges; State-of-the-art approach; Traditional computing; Computer architecture</t>
  </si>
  <si>
    <t>Valera H.H.L.; Dalmau M.; Roose P.; Herzog C.</t>
  </si>
  <si>
    <t>The Architecture of Kaligreen V2: A Middleware Aware of Hardware Opportunities to Save Energy</t>
  </si>
  <si>
    <t>10.1109/IOTSMS48152.2019.8939237</t>
  </si>
  <si>
    <t>Nowadays, energy saving in the use of information technologies is a very important issue both from the economic and sustainability point of view. Many scientists investigate methods to save energy at different application levels (cloud: i.e., architectures, grid: i.e., middlewares and frameworks and hardware management: i.e., operating systems) and many of them agree on the strategy of executing programs, processes or virtual machines only using the time and resources that are strictly necessary. For this, it is necessary to plan strategies for deployment and relocation of processes; but always taking into account hardware repercussions and the knowledge of the architecture and applications behavior. On the other hand, it has already been demonstrated that the use of microservices brings numerous advantages in availability and efficiency; but we do not find many jobs that exploit this technique on the energy level. In this article, we present the architecture of a middleware for distributed microservices-based applications, which allows any negotiation-based scheduling algorithm to duplicate or move microservices from one device to another in a non-centralized way for energy savings, taking into account the consumption characteristics of the microservices and the capabilities that the hardware components offer. ¬© 2019 IEEE.</t>
  </si>
  <si>
    <t>consumption; CPU; energy; hard disk; microservices; middleware; network</t>
  </si>
  <si>
    <t>Valera, Hernn H. Lvarez (57211498938); Dalmau, Marc (6701309994); Roose, Philippe (55843683500); Herzog, Christina (55520060500)</t>
  </si>
  <si>
    <t>57211498938; 6701309994; 55843683500; 55520060500</t>
  </si>
  <si>
    <t>2019 6th International Conference on Internet of Things: Systems, Management and Security, IOTSMS 2019</t>
  </si>
  <si>
    <t>https://www.scopus.com/inward/record.uri?eid=2-s2.0-85077969153&amp;doi=10.1109%2fIOTSMS48152.2019.8939237&amp;partnerID=40&amp;md5=7b937f6435a19d89b288227377d059e7</t>
  </si>
  <si>
    <t>2-s2.0-85077969153</t>
  </si>
  <si>
    <t>Application programs; Energy conservation; Hard disk storage; Information use; Internet of things; Middleware; Networks (circuits); Program processors; Scheduling algorithms; Application level; consumption; energy; Hardware components; Hardware management; microservices; Save energy; Network architecture</t>
  </si>
  <si>
    <t>Gyamfi K.S.; Brusey J.; Gaura E.; Wilkins R.</t>
  </si>
  <si>
    <t>Heartbeat design for energy-aware IoT: Are your sensors alive?</t>
  </si>
  <si>
    <t>10.1016/j.eswa.2019.03.022</t>
  </si>
  <si>
    <t>A number of algorithms now exist for using model-based prediction at the sensor node of a wireless sensor network (WSN) to enable a dramatic reduction in transmission rates, and thus save energy at the sensor node. These approaches, however, sometimes reduce the rate so substantially as to make the health state of the network opaque. One solution is to include a regular heartbeat transmission whose receipt or otherwise informs the sink about the health state of the node. However, given that a large period increases the probability that dead nodes go unnoticed at the sink, while a small period likely increases the energy cost of communication, what should be the period of the heartbeat transmission? In this paper, we examine the use of heartbeats in WSN design. We derive a general protocol for optimal and dynamic heartbeat transmission by minimising the Bayes risk, which is the expected cost of missing data from dead nodes plus the energy cost of heartbeat transmissions. Our proposed algorithm is dynamic in the sense that the heartbeat period is updated as time goes on and node failures become more probable. We validate our design experimentally using three real-world datasets, and show a 36% reduction in the total heartbeat operational cost over a heartbeat transmission with a fixed period; the results also highlight the superiority of our algorithm over arbitrarily chosen heartbeat periods in different WSN settings, thus promising significant cost savings in WSN applications. ¬© 2019</t>
  </si>
  <si>
    <t>Edge mining; Failure detection; Heartbeat transmission; Internet of things; Wireless sensor networks</t>
  </si>
  <si>
    <t>Gyamfi, Kojo Sarfo (56979356500); Brusey, James (23007320300); Gaura, Elena (6701333883); Wilkins, Ross (54977173000)</t>
  </si>
  <si>
    <t>56979356500; 23007320300; 6701333883; 54977173000</t>
  </si>
  <si>
    <t>https://www.scopus.com/inward/record.uri?eid=2-s2.0-85063476363&amp;doi=10.1016%2fj.eswa.2019.03.022&amp;partnerID=40&amp;md5=9c20b18463d2f63db8c71f2d86055a81</t>
  </si>
  <si>
    <t>2-s2.0-85063476363</t>
  </si>
  <si>
    <t>Internet of things; Power management (telecommunication); Wireless sensor networks; Energy aware; Expected costs; Failure detection; Fixed period; Model-based prediction; Real-world datasets; Transmission rates; Wsn applications; Sensor nodes</t>
  </si>
  <si>
    <t>Jarwar M.A.; Ali S.; Chong I.</t>
  </si>
  <si>
    <t>Microservices model to enhance the availability of data for buildings energy efficiency management services</t>
  </si>
  <si>
    <t>10.3390/en12030360</t>
  </si>
  <si>
    <t>In the Internet of Things (IoT)-supported energy data management infrastructure, objects from various energy generation and consumption terminals in buildings produce a tremendous amount of data. However, this data is not useful unless it is available on-time for services that discover meaningful information in order to provide intelligent decisions. The microservices-based data caching, data virtualization, data processing, data analysis, and data ingestion methods can be applied to enhance the data availability for energy efficiency management services provision across buildings. To foster building energy efficiency management services (BEEMS), Web of Objects (WoO) provides data abstraction, aggregation, and ingestion mechanism with virtual objects (VOs) and composite virtual objects (CVOs) by using ontologies and availability and scalability of services with microservices. This article proposes the use of data processing microservices modeling to enhance data availability and expose services capabilities with microservices for BEEMS. We present a semantic web agent based on an ontology for linking, enhancement, reusability, and availability of data-objects, services, and microservices. For the evaluation, we present a use case, which includes heterogeneous data collection and processing and provision of various BEEMS. A prototype for the use case scenario has been built and the results have been evaluated in the laboratory to mimic the enhanced data availability for BEEMS. ¬© 2019 by the authors.</t>
  </si>
  <si>
    <t>Data and service availability; Data processing microservices; Energy data; Energy management services; Internet of things (IoT)</t>
  </si>
  <si>
    <t>Jarwar, Muhammad Aslam (57193264890); Ali, Sajjad (57193677805); Chong, Ilyoung (56284262500)</t>
  </si>
  <si>
    <t>57193264890; 57193677805; 56284262500</t>
  </si>
  <si>
    <t>https://www.scopus.com/inward/record.uri?eid=2-s2.0-85060914476&amp;doi=10.3390%2fen12030360&amp;partnerID=40&amp;md5=b8d4f3ba862252b7262f00c2d070bd55</t>
  </si>
  <si>
    <t>2-s2.0-85060914476</t>
  </si>
  <si>
    <t>Data handling; Energy efficiency; Information management; Ontology; Reusability; Building energy efficiency; Efficiency managements; Energy data; Energy data managements; Internet of thing (IOT); Internet of Things (IOT); Management service; Service availability; Internet of things</t>
  </si>
  <si>
    <t>Suhardi; Kurniawan N.B.; Pramana M.I.W.; Sembiring J.</t>
  </si>
  <si>
    <t>Developing a framework for services computing systems engineering</t>
  </si>
  <si>
    <t>10.1109/JCSSE.2017.8025927</t>
  </si>
  <si>
    <t>The use of services computing technology provides support to the development of modern services industries. Services computing utilizes and implements computing technology to develop IT services systems that are capable of supporting and developing services innovation. This condition motivates the organization to be able to present the services computing systems in the form of IT services systems. It needs a strong understanding of identifying, designing, building, implementing, and running the systems. This paper outlines the development of services computing systems engineering framework that can be used as the foundation for building services computing systems. The contribution of this paper is to enhance the knowledge of services computing from the engineering perspective. ¬© 2017 IEEE.</t>
  </si>
  <si>
    <t>IT Services; Services Computing; Services Computing Systems; Services Computing Systems Engineering; SOA</t>
  </si>
  <si>
    <t>Suhardi (57205466215); Kurniawan, Novianto Budi (56180539100); Pramana, Made Indra Wira (57170711800); Sembiring, Jaka (23096075700)</t>
  </si>
  <si>
    <t>57205466215; 56180539100; 57170711800; 23096075700</t>
  </si>
  <si>
    <t>Proceedings of the 2017 14th International Joint Conference on Computer Science and Software Engineering, JCSSE 2017</t>
  </si>
  <si>
    <t>https://www.scopus.com/inward/record.uri?eid=2-s2.0-85031728293&amp;doi=10.1109%2fJCSSE.2017.8025927&amp;partnerID=40&amp;md5=bd945e317c41a6856636edcd59e9020f</t>
  </si>
  <si>
    <t>2-s2.0-85031728293</t>
  </si>
  <si>
    <t>Systems engineering; Building services; Computing technology; Engineering frameworks; Engineering perspective; IT services; Modern service; Services computing; Software engineering</t>
  </si>
  <si>
    <t>Crecana C.-C.; Pop F.</t>
  </si>
  <si>
    <t>Monitoring-based auto-scalability across hybrid clouds</t>
  </si>
  <si>
    <t>10.1145/3167132.3167248</t>
  </si>
  <si>
    <t>Cloud computing is a relatively new type of Internet-based computing that becomes more and more popular. Using methods like virtualization, adopting architectures based on microservices, automation of building and deployment processes, Cloud could provide on-demand resources and scale them accordingly to a Service Level Agreement (SLA). Even if there are a lot of Cloud computing providers (like Amazon AWS, Microsoft Azure, IBM, Google etc.), many of them providing advanced services, already deployed technologies, auto-scaling and monitoring tools, on the long run a private Cloud could cost less than a public Cloud. On the other hand, a private Cloud has the disadvantage of lacking hardware resources for scaling an unexpected spike of usage or periodical growths in the number of requests. This problem could be solved using a public Cloud provider API for extending the hardware by buying and selling resources, using a pay-per-use or a pay-as-you-go model. This paper describes and evaluates a private Cloud architecture capable of on demand deployment of microservices based applications, monitoring every instance using CPU, memory, networking and disk data collectors' software, monitoring every task queue and horizontally auto-scaling the number of instances per service. Using Cloud monitoring data, SLA and budget constraints we decide if a new instance should be spawned or terminated in the private Cloud or in a public Cloud. From the customer point of view the process of auto-scaling across the hybrid Cloud is transparent, but requires a horizontally scalable service. We will illustrate our work running an application packaged as microservices in containers in a Kubernetes private Cloud that will be extended using public resources from AWS. The results of the paper offers an architectural model that can be used to build an in-house, scalable Cloud. ¬© 2018 ACM.</t>
  </si>
  <si>
    <t>Auto-scalability; Cloud computing; Microservices; Queuing theory; Task scheduling</t>
  </si>
  <si>
    <t>Crecana, Constantin-Cosmin (57203116720); Pop, Florin (22836395600)</t>
  </si>
  <si>
    <t>57203116720; 22836395600</t>
  </si>
  <si>
    <t>Proceedings of the ACM Symposium on Applied Computing</t>
  </si>
  <si>
    <t>https://www.scopus.com/inward/record.uri?eid=2-s2.0-85050572319&amp;doi=10.1145%2f3167132.3167248&amp;partnerID=40&amp;md5=8f20be62ebdce45a3f3e545e84c8aeaa</t>
  </si>
  <si>
    <t>2-s2.0-85050572319</t>
  </si>
  <si>
    <t>Application programs; Budget control; Cloud computing; Computation theory; Hardware; Queueing theory; Scalability; Windows operating system; Architectural modeling; Deployment process; Hardware resources; Internet based computing; Microservices; Queuing theory; Service Level Agreement (SLA); Task-scheduling; Computer architecture</t>
  </si>
  <si>
    <t>Nagendra V.; Bhattacharya A.; Gandhi A.; Das S.R.</t>
  </si>
  <si>
    <t>MMLite: A Scalable and Resource Efficient Control Plane for Next Generation Cellular Packet Core</t>
  </si>
  <si>
    <t>10.1145/3314148.3314345</t>
  </si>
  <si>
    <t>With increase in cellular-enabled IoT devices having diverse traffic characteristics and service level objectives (SLOs), handling the control traffic in a scalable and resource-efficient manner in the cellular packet core network is critical. The traditional monolithic design of the cellular core adopted by service-providers is inflexible with respect to the diverse requirements and bursty loads of IoT devices, specifically for properties such as elasticity, customizability, and scalability. To address this key challenge, we focus on the most critical control plane component of the cellular packet core network, the Mobility Management Entity (MME).We present MMLite, a functionally decomposed and stateless MME design wherein individual control procedures are implemented as microservices and states are decoupled from their processing, thus enabling elasticity and fault tolerance. For SLO compliance, we develop a multi-level load balancing approach based on skewed consistent hashing to efficiently distribute incoming connections. We evaluate the performance benefits of MMLite over existing approaches with respect to scaling, fault tolerance, SLO compliance and resource efficiency. ¬© 2019 Association for Computing Machinery.</t>
  </si>
  <si>
    <t>Cellular Networks; EPC; Functional Customization; Load Balancing.; Microservices; MME; NFV</t>
  </si>
  <si>
    <t>Nagendra, Vasudevan (57195640214); Bhattacharya, Arani (56041143000); Gandhi, Anshul (56744293000); Das, Samir R. (55813697400)</t>
  </si>
  <si>
    <t>57195640214; 56041143000; 56744293000; 55813697400</t>
  </si>
  <si>
    <t>SOSR 2019 - Proceedings of the 2019 ACM Symposium on SDN Research</t>
  </si>
  <si>
    <t>https://www.scopus.com/inward/record.uri?eid=2-s2.0-85066051138&amp;doi=10.1145%2f3314148.3314345&amp;partnerID=40&amp;md5=74774e4be1689ed9c1827bea1b88da27</t>
  </si>
  <si>
    <t>2-s2.0-85066051138</t>
  </si>
  <si>
    <t>Elasticity; Internet of things; Network function virtualization; Resource allocation; Cellular network; Functional Customization; Incoming connections; Microservices; Performance benefits; Resource efficiencies; Service level objective; Traffic characteristics; Fault tolerance</t>
  </si>
  <si>
    <t>Wang Y.; Yang J.; Guo X.; Qu Z.</t>
  </si>
  <si>
    <t>Satellite edge computing for the internet of things in aerospace</t>
  </si>
  <si>
    <t>10.3390/s19204375</t>
  </si>
  <si>
    <t>As one of the information industry‚Äôs future development directions, the Internet of Things (IoT) has been widely used. In order to reduce the pressure on the network caused by the long distance between the processing platform and the terminal, edge computing provides a new paradigm for IoT applications. In many scenarios, the IoT devices are distributed in remote areas or extreme terrain and cannot be accessed directly through the terrestrial network, and data transmission can only be achieved via satellite. However, traditional satellites are highly customized, and on-board resources are designed for specific applications rather than universal computing. Therefore, we propose to transform the traditional satellite into a space edge computing node. It can dynamically load software in orbit, flexibly share on-board resources, and provide services coordinated with the cloud. The corresponding hardware structure and software architecture of the satellite is presented. Through the modeling analysis and simulation experiments of the application scenarios, the results show that the space edge computing system takes less time and consumes less energy than the traditional satellite constellation. The quality of service is mainly related to the number of satellites, satellite performance, and task offloading strategy. ¬© 2019 by the authors. Licensee MDPI, Basel, Switzerland.</t>
  </si>
  <si>
    <t>Edge computing; Intelligent satellite; Internet of things</t>
  </si>
  <si>
    <t>Wang, Yuxuan (57209263846); Yang, Jun (57061066100); Guo, Xiye (33567756000); Qu, Zhi (56452274300)</t>
  </si>
  <si>
    <t>57209263846; 57061066100; 33567756000; 56452274300</t>
  </si>
  <si>
    <t>https://www.scopus.com/inward/record.uri?eid=2-s2.0-85073507335&amp;doi=10.3390%2fs19204375&amp;partnerID=40&amp;md5=8361ad19b994d261403bd79e6d2895d4</t>
  </si>
  <si>
    <t>2-s2.0-85073507335</t>
  </si>
  <si>
    <t>Dynamic loads; Edge computing; Orbits; Quality of service; Satellites; Application scenario; Development directions; Hardware structures; Information industry; Internet of thing (IOT); Processing platform; Satellite constellations; Terrestrial networks; article; internet of things; simulation; software; space; Internet of things</t>
  </si>
  <si>
    <t>Fosso Wamba S.; Ang√©la M.N.C.; Bosco E.E.J.</t>
  </si>
  <si>
    <t>Big Data, the Internet of Things, and Smart City Research: A Literature Review and Research Agenda</t>
  </si>
  <si>
    <t>10.1007/978-3-030-02242-6_20</t>
  </si>
  <si>
    <t>This study aims at providing a literature review of big data, the Internet of Things, and Smart cities research using SCOPUS, which is considered as the largest abstract and citation database of peer-reviewed literature. The research identified 143 relevant papers. The analyses of distribution of papers by year of publication, subject area, country, type, top 10 authors, and source are presented and discussed. A research agenda for future research is provided. ¬© 2019, Springer Nature Switzerland AG.</t>
  </si>
  <si>
    <t>Big data; Internet of things; Literature review; Smart cities</t>
  </si>
  <si>
    <t>Fosso Wamba, Samuel (14833520200); Ang√©la, Messina Ntede C√©cile (57208177537); Bosco, Etoa Etoa Jean (57208177573)</t>
  </si>
  <si>
    <t>14833520200; 57208177537; 57208177573</t>
  </si>
  <si>
    <t>Lecture Notes in Electrical Engineering</t>
  </si>
  <si>
    <t>https://www.scopus.com/inward/record.uri?eid=2-s2.0-85064043401&amp;doi=10.1007%2f978-3-030-02242-6_20&amp;partnerID=40&amp;md5=9eccec276a5a66977c6e9d686ef90f0e</t>
  </si>
  <si>
    <t>2-s2.0-85064043401</t>
  </si>
  <si>
    <t>Big data; Internet of things; Smart city; Literature reviews; Research agenda; Engineering research</t>
  </si>
  <si>
    <t>Diaz R.A.C.; Ghita M.; Copot D.; Birs I.R.; Muresan C.; Ionescu C.</t>
  </si>
  <si>
    <t>Context Aware Control Systems: An Engineering Applications Perspective</t>
  </si>
  <si>
    <t>10.1109/ACCESS.2020.3041357</t>
  </si>
  <si>
    <t>Cyber-physical systems revolve around context awareness, empowering objective-oriented services, products and operations based on real data. Self-aware and self-control systems are core elements in the Industry 4.0 framework towards self-sustainable adaptive manufacturing and personalized services. This development is witnessed by the context-aware pervasive assistance to users and machines in decisions making process for optimizing product performance and economic yield. While integration of the virtual and the physical world entails smart sensors communication and complex data analytics, it relies on artificial intelligence tools to manage process operations. The objective of the article is to create awareness that systems control community must address theoretical and practical aspects from a larger perspective. Context aware control is emerging as a natural solution to maximize the use of available sensing instrumentation and the relatively low cost data logging, i.e. an important source for extracting information, interpreting and using context information and adapt its functionality to the current context of use. This article presents a concise overview of applications where context aware systems and control methodologies are relevant in the seven societal challenges acknowledged by European policy-makers: Digital Society; Food; Health and Well-Being; Smart Resource Management; Urban Planning, Mobility Dynamics and Logistics; New Energy Demand and Delivery; and Society.  ¬© 2013 IEEE.</t>
  </si>
  <si>
    <t>adaptive control; context aware control; context estimation; cyber physical systems; deep learning; digital twin; event-based control; global economy; intelligent manufacturing systems; iterative learning control; random forest; self-optimization; Self-sustainability; societal challenges</t>
  </si>
  <si>
    <t>Diaz, Ricardo Alfredo Cajo (57148422200); Ghita, Mihaela (56763894600); Copot, Dana (55220035300); Birs, Isabela Roxana (57190377762); Muresan, Cristina (56848162700); Ionescu, Clara (7102287005)</t>
  </si>
  <si>
    <t>57148422200; 56763894600; 55220035300; 57190377762; 56848162700; 7102287005</t>
  </si>
  <si>
    <t>https://www.scopus.com/inward/record.uri?eid=2-s2.0-85097377958&amp;doi=10.1109%2fACCESS.2020.3041357&amp;partnerID=40&amp;md5=5b93f3217d463162486289cf11fa358a</t>
  </si>
  <si>
    <t>2-s2.0-85097377958</t>
  </si>
  <si>
    <t>Adaptive control systems; Artificial intelligence; Data Analytics; Embedded systems; Service industry; Adaptive manufacturing; Artificial intelligence tools; Context-aware systems; Engineering applications; Extracting information; Personalized service; Resource management; Self control systems; Information management</t>
  </si>
  <si>
    <t>Meurisch C.; Bayrak B.; Muhlhauser M.</t>
  </si>
  <si>
    <t>AssistantGraph: An approach for reusable and composable data-driven assistant components</t>
  </si>
  <si>
    <t>10.1109/COMPSAC.2019.00079</t>
  </si>
  <si>
    <t>Steady progress in ubiquitous technologies and machine learning facilitates ever-new and better digital assistants. However, most of these emerging assistants rely on-partly similar-data-driven analyses that are independent of each other, leading to redundancy issues. In this paper, we propose a novel concept (termed AssistantGraph) for an efficient design and runtime support of digital assistants. More specifically, assistants need to represent their data-driven processing pipelines as a directed acyclic graph of assistant components (modularity) to benefit from serverless computing with data access. Facilitated component sharing across assistants (reusability) leads to a more connected and efficient overall graph: a shared component instance requires to run only once; versioned components are enabled by the proposed backward chains of converters (versioning). We further develop data and control flow mechanisms through recursive filtering on demand to trigger the data-driven components as required. Within a novel proposed and prototypically implemented open assistant infrastructure, we evaluate our concept in terms of feasibility and performance. The results show reduced redundancy with simultaneous significant performance gains (through component sharing) despite minimal additional overhead (due to modularization and backward compatibility). We believe that our approach gives a new perspective on data-driven assistants and complements an open assistant ecosystem. ¬© 2019 IEEE.</t>
  </si>
  <si>
    <t>Data-driven analytics; FaaS; Operation graph; Serverless computing; Ubiquitous personal assistant; Versioning</t>
  </si>
  <si>
    <t>Meurisch, Christian (55510921200); Bayrak, Bekir (57211115402); Muhlhauser, Max (7003434700)</t>
  </si>
  <si>
    <t>55510921200; 57211115402; 7003434700</t>
  </si>
  <si>
    <t>Proceedings - International Computer Software and Applications Conference</t>
  </si>
  <si>
    <t>https://www.scopus.com/inward/record.uri?eid=2-s2.0-85072702778&amp;doi=10.1109%2fCOMPSAC.2019.00079&amp;partnerID=40&amp;md5=59e04359a360fd06d11386fbbbdc0326</t>
  </si>
  <si>
    <t>2-s2.0-85072702778</t>
  </si>
  <si>
    <t>Application programs; Directed graphs; Modular construction; Redundancy; Reusability; Ubiquitous computing; Data driven; FaaS; Operation graph; Personal assistants; Serverless computing; Versioning; Data handling</t>
  </si>
  <si>
    <t>Ortiz G.; Caravaca J.A.; Garcia-De-Prado A.; Chavez De La O F.; Boubeta-Puig J.</t>
  </si>
  <si>
    <t>Real-time context-aware microservice architecture for predictive analytics and smart decision-making</t>
  </si>
  <si>
    <t>10.1109/ACCESS.2019.2960516</t>
  </si>
  <si>
    <t>The impressive evolution of the Internet of Things and the great amount of data flowing through the systems provide us with an inspiring scenario for Big Data analytics and advantageous real-time context-aware predictions and smart decision-making. However, this requires a scalable system for constant streaming processing, also provided with the ability of decision-making and action taking based on the performed predictions. This paper aims at proposing a scalable architecture to provide real-time context-aware actions based on predictive streaming processing of data as an evolution of a previously provided event-driven service-oriented architecture which already permitted the context-aware detection and notification of relevant data. For this purpose, we have defined and implemented a microservice-based architecture which provides real-time context-aware actions based on predictive streaming processing of data. As a result, our architecture has been enhanced twofold: on the one hand, the architecture has been supplied with reliable predictions through the use of predictive analytics and complex event processing techniques, which permit the notification of relevant context-aware information ahead of time. On the other, it has been refactored towards a microservice architecture pattern, highly improving its maintenance and evolution. The architecture performance has been evaluated with an air quality case study. ¬© 2013 IEEE.</t>
  </si>
  <si>
    <t>Context awareness; context-aware services; decision making; microservice architecture; service-oriented architecture</t>
  </si>
  <si>
    <t>Ortiz, Guadalupe (8886085000); Caravaca, Jose Antonio (57213686514); Garcia-De-Prado, Alfonso (35084923300); Chavez De La O, Francisco (57203358884); Boubeta-Puig, Juan (47061180200)</t>
  </si>
  <si>
    <t>8886085000; 57213686514; 35084923300; 57203358884; 47061180200</t>
  </si>
  <si>
    <t>https://www.scopus.com/inward/record.uri?eid=2-s2.0-85077964451&amp;doi=10.1109%2fACCESS.2019.2960516&amp;partnerID=40&amp;md5=751333d4d5b739bdd1fbdf008e0bdb6b</t>
  </si>
  <si>
    <t>2-s2.0-85077964451</t>
  </si>
  <si>
    <t>Air quality; Architecture; Computer architecture; Data Analytics; Decision making; Forecasting; Information services; Predictive analytics; Real time systems; Architecture patterns; Complex event processing; Context aware services; Context- awareness; Context-aware informations; Scalable architectures; Scalable systems; Streaming processing; Service oriented architecture (SOA)</t>
  </si>
  <si>
    <t>Patel T.; Tiwari D.</t>
  </si>
  <si>
    <t>CLITE: Efficient and QoS-aware co-location of multiple latency-critical jobs for warehouse scale computers</t>
  </si>
  <si>
    <t>10.1109/HPCA47549.2020.00025</t>
  </si>
  <si>
    <t>Large-scale data centers run latency-critical jobs with quality-of-service (QoS) requirements, and throughput-oriented background jobs, which need to achieve high perfor-mance. Previous works have proposed methods which cannot co-locate multiple latency-critical jobs with multiple back-grounds jobs while: (1) meeting the QoS requirements of all latency-critical jobs, and (2) maximizing the performance of the background jobs. This paper proposes CLITE, a Bayesian Optimization-based, multi-resource partitioning technique which achieves these goals. CLITE is publicly available at https://github.com/GoodwillComputingLab/CLITE. ¬© 2020 IEEE.</t>
  </si>
  <si>
    <t>Latency Critical Jobs; Multi Tenancy; QoS Delivery; Warehouse Scale Computing</t>
  </si>
  <si>
    <t>Patel, Tirthak (57200205359); Tiwari, Devesh (23467777300)</t>
  </si>
  <si>
    <t>57200205359; 23467777300</t>
  </si>
  <si>
    <t>Proceedings - 2020 IEEE International Symposium on High Performance Computer Architecture, HPCA 2020</t>
  </si>
  <si>
    <t>https://www.scopus.com/inward/record.uri?eid=2-s2.0-85084174150&amp;doi=10.1109%2fHPCA47549.2020.00025&amp;partnerID=40&amp;md5=ab02282f4f28e65c6c9d8de71664f490</t>
  </si>
  <si>
    <t>2-s2.0-85084174150</t>
  </si>
  <si>
    <t>Computer architecture; Supercomputers; Bayesian optimization; Colocations; Large scale data; Multi-resource; QoS requirements; QoS-aware; Qualityof-service requirement (QoS); Quality of service</t>
  </si>
  <si>
    <t>Kratzke N.; Quint P.-C.</t>
  </si>
  <si>
    <t>Understanding cloud-native applications after 10 years of cloud computing - A systematic mapping study</t>
  </si>
  <si>
    <t>10.1016/j.jss.2017.01.001</t>
  </si>
  <si>
    <t>It is common sense that cloud-native applications (CNA) are intentionally designed for the cloud. Although this understanding can be broadly used it does not guide and explain what a cloud-native application exactly is. The term ‚Äúcloud-native‚Äù was used quite frequently in birthday times of cloud computing (2006) which seems somehow obvious nowadays. But the term disappeared almost completely. Suddenly and in the last years the term is used again more and more frequently and shows increasing momentum. This paper summarizes the outcomes of a systematic mapping study analyzing research papers covering ‚Äúcloud-native‚Äù topics, research questions and engineering methodologies. We summarize research focuses and trends dealing with cloud-native application engineering approaches. Furthermore, we provide a definition for the term ‚Äúcloud-native application‚Äù which takes all findings, insights of analyzed publications and already existing and well-defined terminology into account. ¬© 2017 Elsevier Inc.</t>
  </si>
  <si>
    <t>Cloud-native application; CNA; Elastic platform; Microservice; Pattern; Self service; Softwareization; Systematic mapping study</t>
  </si>
  <si>
    <t>Kratzke, Nane (14017906000); Quint, Peter-Christian (57190381729)</t>
  </si>
  <si>
    <t>14017906000; 57190381729</t>
  </si>
  <si>
    <t>https://www.scopus.com/inward/record.uri?eid=2-s2.0-85009186306&amp;doi=10.1016%2fj.jss.2017.01.001&amp;partnerID=40&amp;md5=00833465689b49e90c3ae3861f0862ab</t>
  </si>
  <si>
    <t>2-s2.0-85009186306</t>
  </si>
  <si>
    <t>Cloud computing; Elastic platform; Microservice; Pattern; Self service; Softwareization; Systematic mapping studies; Mapping</t>
  </si>
  <si>
    <t>Salah T.; Zemerly M.J.; Yeun C.Y.; Al-Qutayri M.; Al-Hammadi Y.</t>
  </si>
  <si>
    <t>The evolution of distributed systems towards microservices architecture</t>
  </si>
  <si>
    <t>10.1109/ICITST.2016.7856721</t>
  </si>
  <si>
    <t>Applications developed to fulfil distributed systems needs have been growing rapidly. Major evolutions have happened beginning with basic architecture relying on initiated request by a client to a processing side referred to as the server. Such architectures were not enough to cope up with the fast ever-increasing number of requests and need to utilize network bandwidth. Mobile agents attempted to overcome such drawbacks but did cope up for so long with the growing technology platforms. Service Oriented Architecture (SOA) then evolved to be one of the most successful representations of the client-server architecture with an added business value that provides reusable and loosely coupled services. SOA did not meet customers and business expectations as it was still relying on monolithic systems. Resilience, scalability, fast software delivery and the use of fewer resources are highly desirable features. Microservices architecture came to fulfil those expectations of system development, yet it comes with many challenges. This paper illustrates how distributed systems evolved from the traditional client-server model to the recently proposed microservices architecture. All architectures are reviewed containing brief definitions, some related work and reasoning of why they had to evolve. A feature comparison of all architectures is also provided. ¬© 2016 Infonomics Society.</t>
  </si>
  <si>
    <t>Distributed Systems; Microservices; Mobile Agents; Service Oriented Architecture</t>
  </si>
  <si>
    <t>Salah, Tasneem (57193716515); Zemerly, M. Jamal (6506874830); Yeun, Chan Yeob (6508380997); Al-Qutayri, Mahmoud (6602401716); Al-Hammadi, Yousof (57785534900)</t>
  </si>
  <si>
    <t>57193716515; 6506874830; 6508380997; 6602401716; 57785534900</t>
  </si>
  <si>
    <t>2016 11th International Conference for Internet Technology and Secured Transactions, ICITST 2016</t>
  </si>
  <si>
    <t>https://www.scopus.com/inward/record.uri?eid=2-s2.0-85016055420&amp;doi=10.1109%2fICITST.2016.7856721&amp;partnerID=40&amp;md5=7df1f28fe52191a53c2df6e382791cc4</t>
  </si>
  <si>
    <t>2-s2.0-85016055420</t>
  </si>
  <si>
    <t>Client server computer systems; Computer architecture; Information services; Mobile agents; Network architecture; Client-server architectures; Client-server models; Desirable features; Distributed systems; Microservices; Monolithic systems; System development; Technology platforms; Service oriented architecture (SOA)</t>
  </si>
  <si>
    <t>Lohan E.-S.; Kauppinen T.; Debnath S.B.C.</t>
  </si>
  <si>
    <t>A survey of people movement analytics studies in the context of smart cities</t>
  </si>
  <si>
    <t>10.23919/FRUCT.2016.7892195</t>
  </si>
  <si>
    <t>With the advent of the newest emergency call mandates in US and Europe, with the advances in cellular-based and WiFi-based localization solutions, and with the developments of cloud computing and web-based social networks, the location information and movement-related data is becoming easier and easier to collect from the user mobile devices and from the user cloud data and it is more and more used in a variety of Location Based Services and for various network planning and management tasks. The last decade has seen significant research efforts dedicated to analyze the user location and movement data, to extract mobility patterns and features and to use the predicted patterns for a more efficient resource allocation and for better location-based services. In the context of what is called today 'the smart city', user mobility and location data are becoming key components of the smart city architecture and applications. The goal of this paper is to give a compact and comprehensive overview of the challenges and solutions related to collecting, storing, analyzing, visualizing, using or distributing people's movement data and to summarize the purposes of such data in the context of the smart cities and the Internet of Things. ¬© 2016 FRUCT.</t>
  </si>
  <si>
    <t>Lohan, Elena-Simona (6602677794); Kauppinen, Tomi (15739593000); Debnath, Sree Bash Chandra (57193825297)</t>
  </si>
  <si>
    <t>6602677794; 15739593000; 57193825297</t>
  </si>
  <si>
    <t>Conference of Open Innovation Association, FRUCT</t>
  </si>
  <si>
    <t>https://www.scopus.com/inward/record.uri?eid=2-s2.0-85018621534&amp;doi=10.23919%2fFRUCT.2016.7892195&amp;partnerID=40&amp;md5=31a0a63a8322a6400e2f5b321fb6d599</t>
  </si>
  <si>
    <t>2-s2.0-85018621534</t>
  </si>
  <si>
    <t>Distributed computer systems; Information management; Innovation; Location; Mobile devices; Mobile telecommunication systems; Smart city; Social sciences computing; Telecommunication services; Wi-Fi; Efficient resource allocation; Emergency calls; Location information; Management tasks; Mobility pattern; Network planning; Research efforts; Web-based social networks; Location based services</t>
  </si>
  <si>
    <t>Suhardi; Kurniawan N.B.; Sembiring J.</t>
  </si>
  <si>
    <t>Service computing system engineering life cycle</t>
  </si>
  <si>
    <t>10.11591/eecsi.4.993</t>
  </si>
  <si>
    <t>The development of service computing technology has triggered the need for organizations to build a service computing system. This system is able to deliver IT services that can meet the challenges and needs of business services. An understanding of the service computing systems engineering life cycle is necessary to model and build the systems. This paper conducts the study of the service computing systems concepts and proposes the life cycle of service computing system engineering. First, some publications relevant to the service computing systems are reviewed systematically in order to develop fundamental concepts and elements of the systems. Second, a metamodel of service computing systems is built based on those concepts. Third, the life cycle model of service computing systems engineering is proposed based on the metamodel. Finally, the verification of the life cycle is conducted by comparing the proposed life cycle to the life cycle of software engineering, service engineering, and service system engineering. The contribution of this paper is to provide a coincise understanding of the components that are needed to build such systems and show the interaction and collaboration between the components in the service computing systems. ¬© 2018, Institute of Advanced Engineering and Science. All rights reserved.</t>
  </si>
  <si>
    <t>IT Services; Service Computing; Service computing systems; Service Oriented Architecture; Services computing system Engineering</t>
  </si>
  <si>
    <t>Suhardi (57205466215); Kurniawan, Novianto Budi (56180539100); Sembiring, Jaka (23096075700)</t>
  </si>
  <si>
    <t>57205466215; 56180539100; 23096075700</t>
  </si>
  <si>
    <t>International Conference on Electrical Engineering, Computer Science and Informatics (EECSI)</t>
  </si>
  <si>
    <t>https://www.scopus.com/inward/record.uri?eid=2-s2.0-85031716650&amp;doi=10.11591%2feecsi.4.993&amp;partnerID=40&amp;md5=6d3c7f75d3332e71e5ec6c03033a2e28</t>
  </si>
  <si>
    <t>2-s2.0-85031716650</t>
  </si>
  <si>
    <t>Vakilinia S.; Elbizae H.; Heidarpour B.</t>
  </si>
  <si>
    <t>Keep pets and elephants away: Dynamic process location management in 5G zoo</t>
  </si>
  <si>
    <t>10.1109/VTCFall.2017.8288104</t>
  </si>
  <si>
    <t>2017-September</t>
  </si>
  <si>
    <t>5G, as the next generation of wireless networks, promises very high throughput and very low latency to mobile users. Thus, a substantial innovation in computing platforms is needed to attend quality of service metrics. In this paper, a dynamic processing location management platform is proposed to minimize latency and avoid bottlenecks. The proposed platform uses the features available in the 5G design such as MEC, caching and CRAN. An optimization problem with the objective of minimization of average latency is defined and resolved. Also, a centralized algorithm for dynamic orchestration of processing functionalities locations is proposed. Our simulations corroborate our analytical results and illustrate the superior performance of the proposed algorithm with acceptable optimality gap. ¬© 2017 IEEE.</t>
  </si>
  <si>
    <t>Vakilinia, Shahin (44861873500); Elbizae, Halima (57201551668); Heidarpour, Behdad (48161237800)</t>
  </si>
  <si>
    <t>44861873500; 57201551668; 48161237800</t>
  </si>
  <si>
    <t>https://www.scopus.com/inward/record.uri?eid=2-s2.0-85045261845&amp;doi=10.1109%2fVTCFall.2017.8288104&amp;partnerID=40&amp;md5=15293b88cf2ed4f65c7b347964b0e774</t>
  </si>
  <si>
    <t>2-s2.0-85045261845</t>
  </si>
  <si>
    <t>5G mobile communication systems; Quality of service; Computing platform; Dynamic process; High-throughput; Location management; Low latency; Management platforms; Mobile users; Optimization problems; Process location; Quality of service metrics; Location</t>
  </si>
  <si>
    <t>Trilles S.; Gonz√°lez-P√©rez A.; Huerta J.</t>
  </si>
  <si>
    <t>An IoT platform based on microservices and serverless paradigms for smart farming purposes</t>
  </si>
  <si>
    <t>10.3390/s20082418</t>
  </si>
  <si>
    <t>Nowadays, the concept of ‚ÄúEverything is connected to Everything‚Äù has spread to reach increasingly diverse scenarios, due to the benefits of constantly being able to know, in real-time, the status of your factory, your city, your health or your smallholding. This wide variety of scenarios creates different challenges such as the heterogeneity of IoT devices, support for large numbers of connected devices, reliable and safe systems, energy efficiency and the possibility of using this system by third-parties in other scenarios. A transversal middleware in all IoT solutions is called an IoT platform. the IoT platform is a piece of software that works like a kind of ‚Äúglue‚Äù to combine platforms and orchestrate capabilities that connect devices, users and applications/services in a ‚Äúcyber-physical‚Äù world. In this way, the IoT platform can help solve the challenges listed above. This paper proposes an IoT agnostic architecture, highlighting the role of the IoT platform, within a broader ecosystem of interconnected tools, aiming at increasing scalability, stability, interoperability and reusability. For that purpose, different paradigms of computing will be used, such as microservices architecture and serverless computing. Additionally, a technological proposal of the architecture, called SEnviro Connect, is presented. This proposal is validated in the IoT scenario of smart farming, where five IoT devices (SEnviro nodes) have been deployed to improve wine production. A comprehensive performance evaluation is carried out to guarantee a scalable and stable platform. ¬© 2020 by the authors. Licensee MDPI, Basel, Switzerland.</t>
  </si>
  <si>
    <t>Internet of things; Iot platform; Microservices; Serverless; Smart farming; Vineyar diseases</t>
  </si>
  <si>
    <t>Trilles, Sergio (55557104000); Gonz√°lez-P√©rez, Alberto (57194053428); Huerta, Joaqu√≠n (56260161000)</t>
  </si>
  <si>
    <t>55557104000; 57194053428; 56260161000</t>
  </si>
  <si>
    <t>https://www.scopus.com/inward/record.uri?eid=2-s2.0-85084170463&amp;doi=10.3390%2fs20082418&amp;partnerID=40&amp;md5=ce4f72616124e49db1ca6d4346d3ec61</t>
  </si>
  <si>
    <t>2-s2.0-85084170463</t>
  </si>
  <si>
    <t>Application programs; Breweries; Energy efficiency; Middleware; Reusability; Comprehensive performance evaluation; Cyber physicals; Real time; Stable platform; Third parties; Wine production; Agnostic; agricultural worker; article; ecosystem; human; internet of things; wine; Internet of things</t>
  </si>
  <si>
    <t>Von Leon D.; Miori L.; Sanin J.; El Ioini N.; Helmer S.; Pahl C.</t>
  </si>
  <si>
    <t>A performance exploration of architectural options for a middleware for decentralised lightweight edge cloud architectures</t>
  </si>
  <si>
    <t>10.5220/0006677400730084</t>
  </si>
  <si>
    <t>2018-March</t>
  </si>
  <si>
    <t>The integration of Cloud and IoT (Internet-of-Things) resulting in so-called edge clouds has started. This requires the combination of data centre management technologies with much more constrained devices. Lightweight virtualisation solutions such as containerisation can be used to distribute, deploy and manage edge cloud applications on clusters. Leightweightness also applies to the devices, where we focus here on small-board devices such as Raspberry Pis in our concrete case. These small-board devices are particularly useful in situations where a mix of robustness due to environmental conditions and low costs is required. We discuss different architectural solutions for the distribution of computation to edge cloud devices based on containers and other management approaches and evaluate these in terms of cost, power consumption and performance. Copyright ¬© 2018 by SCITEPRESS ‚Äì Science and Technology Publications, Lda. All rights reserved</t>
  </si>
  <si>
    <t>Container; Edge Cloud; Internet-of-Things; Middleware; Orchestration; Single-board Computer</t>
  </si>
  <si>
    <t>Von Leon, David (57203498933); Miori, Lorenzo (56147182100); Sanin, Julian (57192992545); El Ioini, Nabil (57201575784); Helmer, Sven (7003723552); Pahl, Claus (55049859200)</t>
  </si>
  <si>
    <t>57203498933; 56147182100; 57192992545; 57201575784; 7003723552; 55049859200</t>
  </si>
  <si>
    <t>IoTBDS 2018 - Proceedings of the 3rd International Conference on Internet of Things, Big Data and Security</t>
  </si>
  <si>
    <t>https://www.scopus.com/inward/record.uri?eid=2-s2.0-85048802401&amp;doi=10.5220%2f0006677400730084&amp;partnerID=40&amp;md5=2ab1bb933f0404efeabd64062d5c47d5</t>
  </si>
  <si>
    <t>2-s2.0-85048802401</t>
  </si>
  <si>
    <t>Architecture; Big data; Containers; Internet of things; Middleware; Architectural solutions; Constrained devices; Data centres; Decentralised; Edge clouds; Environmental conditions; Management technologies; Virtualisation; Green computing</t>
  </si>
  <si>
    <t>Mei S.; Guan H.; Wang Q.</t>
  </si>
  <si>
    <t>An Overview on the Convergence of High Performance Computing and Big Data Processing</t>
  </si>
  <si>
    <t>10.1109/PADSW.2018.8644997</t>
  </si>
  <si>
    <t>2018-December</t>
  </si>
  <si>
    <t>At present, with the rapid development of big data processing technology, streaming data processing and real-time data analysis have gradually become new research hotspots. Both the industry and the academia have invested a lot of research into the efficient processing methods of massive data generated in the environment such as the Internet and e-commerce. Meanwhile, high-performance computing technology and supercomputers are also looking for new business growth points. The convergence of big data processing and high performance computing technology is the general trend of big data analysis in the future. This paper will give a brief overview of typical technologies in the fusion process of big data processing and high-performance computing. ¬© 2018 IEEE.</t>
  </si>
  <si>
    <t>big data; convergence; high performance computing; high performance data analysis</t>
  </si>
  <si>
    <t>Mei, Songzhu (36975898700); Guan, Hongtao (57211338839); Wang, Qinglin (56048572900)</t>
  </si>
  <si>
    <t>36975898700; 57211338839; 56048572900</t>
  </si>
  <si>
    <t>https://www.scopus.com/inward/record.uri?eid=2-s2.0-85063314694&amp;doi=10.1109%2fPADSW.2018.8644997&amp;partnerID=40&amp;md5=4abe701ec900b7049139fc361e5e16ae</t>
  </si>
  <si>
    <t>2-s2.0-85063314694</t>
  </si>
  <si>
    <t>Data handling; Information analysis; Supercomputers; Convergence; Data processing technologies; High performance computing; High performance data analyse; High-performance computing technology; Performance computing; Performance data; Processing time; Real time data analysis; Streaming data processing; Big data</t>
  </si>
  <si>
    <t>Verbowski C.; Thayer E.; Costa P.; Leather H.; Franke B.</t>
  </si>
  <si>
    <t>Right-sizing server capacity headroom for global online services</t>
  </si>
  <si>
    <t>10.1109/ICDCS.2018.00069</t>
  </si>
  <si>
    <t>We present a capacity planning case study showing a significant opportunity for improving the utilization of a large, low-latency, highly available online service containing 100K+ servers spanning 9 geographic regions. Analyzing 30 PB of traces over 90 days we devised a new iterative black-box capacity planning model using the discovered relationships between workload, utilization, and quality. We verified the model on 1,000s of servers showing capacity reductions between 20% and 40% with effectively no impact on workload latency, availability, or the capacity required for disaster recovery. These results are confirmed experimentally by shrinking production server pools to cause the remaining servers to run at higher utilization, and using data from real-world large scale unplanned failures. Finally, we show examples of using our model for offline regression analysis to detect critical issues before their deployment. ¬© 2018 IEEE.</t>
  </si>
  <si>
    <t>Capacity Management; Capacity Planning; Cloud Computing; Data Center; Distributed Systems; Micro Service; Online Service; Optimization; Resource Usage; Server Pool</t>
  </si>
  <si>
    <t>Verbowski, Chad (6508351042); Thayer, Ed (57203409305); Costa, Paolo (57190770908); Leather, Hugh (27567897300); Franke, Bjorn (22834453300)</t>
  </si>
  <si>
    <t>6508351042; 57203409305; 57190770908; 27567897300; 22834453300</t>
  </si>
  <si>
    <t>https://www.scopus.com/inward/record.uri?eid=2-s2.0-85050956874&amp;doi=10.1109%2fICDCS.2018.00069&amp;partnerID=40&amp;md5=1ef73e58f16db5ef8fb8a8277c67bfc6</t>
  </si>
  <si>
    <t>2-s2.0-85050956874</t>
  </si>
  <si>
    <t>Cloud computing; Information management; Online systems; Optimization; Regression analysis; Capacity management; Capacity planning; Data centers; Distributed systems; Micro services; On-line service; Resource usage; Distributed computer systems</t>
  </si>
  <si>
    <t>Carrega A.; Repetto M.</t>
  </si>
  <si>
    <t>Green and heuristics-based consolidation scheme for data center cloud applications</t>
  </si>
  <si>
    <t>10.1007/978-3-319-67639-5_17</t>
  </si>
  <si>
    <t>The consolidation of resources is one of the most efficient strategies to reduce the power consumption in data centers. Various algorithms have been proposed in order to reduce the total number of required servers and network devices. The practice developed in response to the problem of server sprawl, a situation in which multiple, under-utilized servers (and/or network devices) take up more space and consume more resources than can be justified by their workload; with the effect to power off unused equipment. Generally, consolidation mechanisms consider different parameters related to the services neglecting the specific function of the Virtual Machines (VMs) in the application framework (e.g., core component, backup replica, member of a set of workers for load balancing). In this work, we developed a new consolidation algorithm that takes into account the particular function of each VM with the aim to apply power saving mechanisms without compromising the desired service level. The results of the simulations show that it is possible to obtain significant values of energy saving. In particular, we show, with different heuristics, the optimal trade-off between service level and power efficiency achieved by the proposed model. ¬© Springer International Publishing AG 2017.</t>
  </si>
  <si>
    <t>Cloud applications; Consolidation; Energy-aware; Green; Heuristics; Optimization; Virtual machines</t>
  </si>
  <si>
    <t>Carrega, Alessandro (36633941300); Repetto, Matteo (57194639871)</t>
  </si>
  <si>
    <t>36633941300; 57194639871</t>
  </si>
  <si>
    <t>https://www.scopus.com/inward/record.uri?eid=2-s2.0-85030153378&amp;doi=10.1007%2f978-3-319-67639-5_17&amp;partnerID=40&amp;md5=07c6e2decd8494327c6f9a69973444a1</t>
  </si>
  <si>
    <t>2-s2.0-85030153378</t>
  </si>
  <si>
    <t>Consolidation; Digital communication systems; Economic and social effects; Energy conservation; Energy efficiency; Network security; Optimization; Power management; Virtual machine; Application frameworks; Cloud applications; Consolidation mechanisms; Efficient strategy; Energy aware; Green; Heuristics; Power saving mechanism; Green computing</t>
  </si>
  <si>
    <t>10.1109/EECSI.2017.8239136</t>
  </si>
  <si>
    <t>2017-December</t>
  </si>
  <si>
    <t>The development of service computing technology has triggered the need for organizations to build a service computing system. This system is able to deliver IT services that can meet the challenges and needs of business services. An understanding of the service computing systems engineering life cycle is necessary to model and build the systems. This paper conducts the study of the service computing systems concepts and proposes the life cycle of service computing system engineering. First, some publications relevant to the service computing systems are reviewed systematically in order to develop fundamental concepts and elements of the systems. Second, a metamodel of service computing systems is built based on those concepts. Third, the life cycle model of service computing systems engineering is proposed based on the metamodel. Finally, the verification of the life cycle is conducted by comparing the proposed life cycle to the life cycle of software engineering, service engineering, and service system engineering. The contribution of this paper is to provide a coincise understanding of the components that are needed to build such systems and show the interaction and collaboration between the components in the service computing systems. ¬© 2017 IEEE.</t>
  </si>
  <si>
    <t>https://www.scopus.com/inward/record.uri?eid=2-s2.0-85046433674&amp;doi=10.1109%2fEECSI.2017.8239136&amp;partnerID=40&amp;md5=842dc7a44a28bf5d4c93b68de2908cda</t>
  </si>
  <si>
    <t>2-s2.0-85046433674</t>
  </si>
  <si>
    <t>Lin C.</t>
  </si>
  <si>
    <t>Thirty-Six Stratagems of Schemes and Thirty-Six Stratagems of Algorithms; [Á≠ñÁï•‰∏âÂçÅÂÖ≠ËÆ°ÂíåÁÆóÊ≥ï‰∏âÂçÅÂÖ≠ËÆ°]</t>
  </si>
  <si>
    <t>10.3969/j.issn.0372-2112.2020.02.001</t>
  </si>
  <si>
    <t>In the spirit of cultural confidence, this paper presents thirty-six stratagems of schemes and thirty-six stratagems of algorithms for computer system design after learning I Ching in depth and digging out the abstract and inferential concepts of the image thinking of I Ching. which combines the development of modern computer science and the author's own professional experience. It proposes four basic relations of unity of opposites in computer science (i.e., four basic scientific problems), which include: the positioning of centralization and decentralization, the interaction of hardness and softness, supply-demand correspondence and serial-to-parallel conversion. From the perspective of the positioning of centralization and decentralization, eighteen stratagems of architecture design are proposed in the thirty-six stratagems of algorithms, which include the stratagems of time-space transformation and various computing modes. From the perspective of the interaction of hardness and softness, eighteen stratagems of system features are proposed in the thirty-six stratagems of schemes, which include the stratagems of designing eight kinds of features, such as controllability, efficiency, security and variability. The scientific problems involved in supply-demand correspondence and serial-to-parallel conversion are mainly embodied in the thirty-six stratagems of algorithms for resource management and task scheduling. These algorithms and schemes include classic and hot issues in computer science, such as computability, multi-objective optimization, cloud computing, software defined system, big data thinking and artificial intelligence. The thirty-six stratagems of schemes and thirty-six stratagems of algorithms can provide computer professionals with thinking framework, dialectical thinking and necessary stratagems and instances in learning and developing computer systems. More importantly, they can help the computer professionals further understand the philosophical principles of things. ¬© 2020, Chinese Institute of Electronics. All right reserved.</t>
  </si>
  <si>
    <t>Computer system design; I Ching; Thirty-six stratagems of algorithms; Thirty-six stratagems of schemes; Unity of opposites</t>
  </si>
  <si>
    <t>Lin, Chuang (26643559700)</t>
  </si>
  <si>
    <t>Tien Tzu Hsueh Pao/Acta Electronica Sinica</t>
  </si>
  <si>
    <t>https://www.scopus.com/inward/record.uri?eid=2-s2.0-85084937097&amp;doi=10.3969%2fj.issn.0372-2112.2020.02.001&amp;partnerID=40&amp;md5=c3a0ce20a4c7c22a7bcc62cc302f74ac</t>
  </si>
  <si>
    <t>2-s2.0-85084937097</t>
  </si>
  <si>
    <t>Hardness; Learning systems; Multiobjective optimization; Network security; Philosophical aspects; Scheduling; Scheduling algorithms; Architecture designs; Centralization and decentralizations; Computer professionals; Professional experiences; Resource management; Serial-to-parallel conversion; System features; Task-scheduling; Learning algorithms</t>
  </si>
  <si>
    <t>She R.; Liu S.; Wan S.; Xiong K.; Fan P.</t>
  </si>
  <si>
    <t>Importance of Small Probability Events in Big Data: Information Measures, Applications, and Challenges</t>
  </si>
  <si>
    <t>10.1109/ACCESS.2019.2926518</t>
  </si>
  <si>
    <t>In many applications (e.g., anomaly detection and security systems) of smart cities, rare events dominate the importance of the total information on big data collected by the Internet of Things (IoT). That is, it is pretty crucial to explore the valuable information associated with the rare events involved in minority subsets of the voluminous amounts of data. To do so, how to effectively measure the information with the importance of the small probability events from the perspective of information theory is a fundamental question. This paper first makes a survey of some theories and models with respect to importance measures and investigates the relationship between subjective or semantic importance and rare events in big data. Moreover, some applications for message processing and data analysis are discussed in the viewpoint of information measures. In addition, based on rare events detection, some open challenges related to information measures, such as smart cities, autonomous driving, and anomaly detection in the IoT, are introduced which can be considered as future research directions. ¬© 2013 IEEE.</t>
  </si>
  <si>
    <t>autonomous driving; big data analytics; Information measure; information theory; IoT; rare events; smart cities</t>
  </si>
  <si>
    <t>She, Rui (57195474906); Liu, Shanyun (56645216500); Wan, Shuo (57199752998); Xiong, Ke (25224174200); Fan, Pingyi (7201669202)</t>
  </si>
  <si>
    <t>57195474906; 56645216500; 57199752998; 25224174200; 7201669202</t>
  </si>
  <si>
    <t>https://www.scopus.com/inward/record.uri?eid=2-s2.0-85086600806&amp;doi=10.1109%2fACCESS.2019.2926518&amp;partnerID=40&amp;md5=ebcc26862513b2a27bc703a362d5cd25</t>
  </si>
  <si>
    <t>2-s2.0-85086600806</t>
  </si>
  <si>
    <t>Anomaly detection; Big data; Data handling; Information theory; Semantics; Smart city; Autonomous driving; Future research directions; Importance measure; Information measures; Internet of thing (IOT); Message processing; Semantic importance; Small probability events; Internet of things</t>
  </si>
  <si>
    <t>Yang H.; Chen Q.; Riaz M.; Luan Z.; Tang L.; Mars J.</t>
  </si>
  <si>
    <t>PowerChief: Intelligent power allocation for multi-stage applications to improve responsiveness on power constrained CMP</t>
  </si>
  <si>
    <t>10.1145/3079856.3080224</t>
  </si>
  <si>
    <t>Part F128643</t>
  </si>
  <si>
    <t>Modern user facing applications consist of multiple processing stages with a number of service instances in each stage. The latency profle of these multi-stage applications is intrinsically variable, making it challenging to provide satisfactory responsiveness. Given a limited power budget, improving the end-to-end latency requires intelligently boosting the bottleneck service across stages using multiple boosting techniques. However, prior work fail to acknowledge the multi-stage nature of user-facing applications and perform poorly in improving responsiveness on power constrained CMP, as they are unable to accurately identify bottleneck service and apply the boosting techniques adaptively. In this paper, we present PowerChief, a runtime framework that 1) provides joint design of service and query to monitor the latency statistics across service stages and accurately identifes the bottleneck service during runtime; 2) adaptively chooses the boosting technique to accelerate the bottleneck service with improved responsiveness; 3) dynamically reallocates the constrained power budget across service stages to accommodate the chosen boosting technique. Evaluated with real world multi-stage applications, PowerChief improves the average latency by 20.3√ó and 32.4√ó (99% tail latency by 13.3√ó and 19.4√ó) for Sirius and Natural Language Processing applications respectively compared to stage-agnostic power allocation. In addition, for the given QoS target, PowerChief reduces the power consumption of Sirius and Web Search applications by 23% and 33% respectively over prior work. ¬© 2017 Association for Computing Machinery.</t>
  </si>
  <si>
    <t>Intelligent Service Boosting; Multi-Stage Application; Power Constrained CMP</t>
  </si>
  <si>
    <t>Yang, Hailong (37762426600); Chen, Quan (36623232500); Riaz, Moeiz (57195137589); Luan, Zhongzhi (7004392634); Tang, Lingjia (22235463100); Mars, Jason (18434598000)</t>
  </si>
  <si>
    <t>37762426600; 36623232500; 57195137589; 7004392634; 22235463100; 18434598000</t>
  </si>
  <si>
    <t>https://www.scopus.com/inward/record.uri?eid=2-s2.0-85025619452&amp;doi=10.1145%2f3079856.3080224&amp;partnerID=40&amp;md5=1b3762d3742b803bb5b2ea594b587a90</t>
  </si>
  <si>
    <t>2-s2.0-85025619452</t>
  </si>
  <si>
    <t>Budget control; Facings; Natural language processing systems; Quality of service; End to end latencies; Intelligent Services; Multi stage; Multiple processing; Number of services; Power allocations; Power Constrained CMP; Runtime frameworks; Computer architecture</t>
  </si>
  <si>
    <t>Acquaviva A.; Apiletti D.; Attanasio A.; Baralis E.; Bottaccioli L.; Cerquitelli T.; Chiusano S.; Macii E.; Patti E.</t>
  </si>
  <si>
    <t>Forecasting heating consumption in buildings: A scalable full-stack distributed engine</t>
  </si>
  <si>
    <t>10.3390/electronics8050491</t>
  </si>
  <si>
    <t>Predicting power demand of building heating systems is a challenging task due to the high variability of their energy profiles. Power demand is characterized by different heating cycles including sequences of various transient and steady-state phases. To effectively perform the predictive task by exploiting the huge amount of fine-grained energy-related data collected through Internet of Things (IoT) devices, innovative and scalable solutions should be devised. This paper presents PHI-CIB, a scalable full-stack distributed engine, addressing all tasks from energy-related data collection, to their integration, storage, analysis, and modeling. Heterogeneous data measurements (e.g., power consumption in buildings, meteorological conditions) are collected through multiple hardware (e.g., IoT devices) and software (e.g., web services) entities. Such data are integrated and analyzed to predict the average power demand of each building for different time horizons. First, the transient and steady-state phases characterizing the heating cycle of each building are automatically identified; then the power-level forecasting is performed for each phase. To this aim, PHI-CIB relies on a pipeline of three algorithms: the ExponentiallyWeighted Moving Average, the Multivariate Adaptive Regression Spline, and the Linear Regression with Stochastic Gradient Descent. PHI-CIB‚Äôs current implementation exploits Apache Spark and MongoDB and supports parallel and scalable processing and analytical tasks. Experimental results, performed on energy-related data collected in a real-world system show the effectiveness of PHI-CIB in predicting heating power consumption of buildings with a limited prediction error and an optimal horizontal scalability. ¬© 2019 by the authors. Licensee MDPI, Basel, Switzerland.</t>
  </si>
  <si>
    <t>Big data framework; Cyber-physical system; District heating; Energy efficiency; Energy forecasting; Peak shaving; Prediction models</t>
  </si>
  <si>
    <t>Acquaviva, Andrea (7003693404); Apiletti, Daniele (22033825500); Attanasio, Antonio (55776710900); Baralis, Elena (6604031630); Bottaccioli, Lorenzo (57035415200); Cerquitelli, Tania (9738674400); Chiusano, Silvia (6604000309); Macii, Enrico (56056204100); Patti, Edoardo (56090685400)</t>
  </si>
  <si>
    <t>7003693404; 22033825500; 55776710900; 6604031630; 57035415200; 9738674400; 6604000309; 56056204100; 56090685400</t>
  </si>
  <si>
    <t>https://www.scopus.com/inward/record.uri?eid=2-s2.0-85067014657&amp;doi=10.3390%2felectronics8050491&amp;partnerID=40&amp;md5=78aae385130870bf84b366b897250dcb</t>
  </si>
  <si>
    <t>2-s2.0-85067014657</t>
  </si>
  <si>
    <t>Koskinen M.; Mikkonen T.; Abrahamsson P.</t>
  </si>
  <si>
    <t>Containers in Software Development: A Systematic Mapping Study</t>
  </si>
  <si>
    <t>10.1007/978-3-030-35333-9_13</t>
  </si>
  <si>
    <t>11915 LNCS</t>
  </si>
  <si>
    <t>Over the past decade, continuous software development has become a common place in the field of software engineering. Containers like Docker are a lightweight solution that developers can use to deploy and manage applications. Containers are used to build both component-based architectures and microservice architectures. Still, practitioners often view containers only as way to lower resource requirements compared to virtual machines. In this paper, we conducted a systematic mapping study to find information on what is known of how containers are used in software development. 56 primary studies were selected into this paper and they were categorized and mapped to identify the gaps in the current research. Based on the results containers are most often discussed in the context of cloud computing, performance and DevOps. We find that what is currently missing is more deeply focused research. ¬© Springer Nature Switzerland AG 2019.</t>
  </si>
  <si>
    <t>Containers; Software engineering; Systematic mapping studies</t>
  </si>
  <si>
    <t>Koskinen, Mikael (57212377536); Mikkonen, Tommi (57220096141); Abrahamsson, Pekka (7006011356)</t>
  </si>
  <si>
    <t>57212377536; 57220096141; 7006011356</t>
  </si>
  <si>
    <t>https://www.scopus.com/inward/record.uri?eid=2-s2.0-85076511649&amp;doi=10.1007%2f978-3-030-35333-9_13&amp;partnerID=40&amp;md5=472b4e8c73856567550da90f0e9f2406</t>
  </si>
  <si>
    <t>2-s2.0-85076511649</t>
  </si>
  <si>
    <t>Containers; Mapping; Process engineering; Software engineering; Component-based architecture; Resource requirements; Systematic mapping studies; Software design</t>
  </si>
  <si>
    <t>Jo J.H.; Sharma P.K.; Sicato J.C.S.; Park J.H.</t>
  </si>
  <si>
    <t>Emerging technologies for sustainable smart city network security: Issues, challenges, and countermeasures</t>
  </si>
  <si>
    <t>10.3745/JIPS.03.0124</t>
  </si>
  <si>
    <t>The smart city is one of the most promising, prominent, and challenging applications of the Internet of Things (IoT). Smart cities rely on everything connected to each other. This in turn depends heavily on technology. Technology literacy is essential to transform a city into a smart, connected, sustainable, and resilient city where information is not only available but can also be found. The smart city vision combines emerging technologies such as edge computing, blockchain, artificial intelligence, etc. to create a sustainable ecosystem by dramatically reducing latency, bandwidth usage, and power consumption of smart devices running various applications. In this research, we present a comprehensive survey of emerging technologies for a sustainable smart city network. We discuss the requirements and challenges for a sustainable network and the role of heterogeneous integrated technologies in providing smart city solutions. We also discuss different network architectures from a security perspective to create an ecosystem. Finally, we discuss the open issues and challenges of the smart city network and provide suitable recommendations to resolve them. ¬© 2019 KIPS.</t>
  </si>
  <si>
    <t>Blockchain; Edge Computing; Internet of Things; Network Security; Smart City</t>
  </si>
  <si>
    <t>Jo, Jeong Hoon (57206475024); Sharma, Pradip Kumar (57191076911); Sicato, Jose Costa Sapalo (57210232215); Park, Jong Hyuk (55665406600)</t>
  </si>
  <si>
    <t>57206475024; 57191076911; 57210232215; 55665406600</t>
  </si>
  <si>
    <t>Journal of Information Processing Systems</t>
  </si>
  <si>
    <t>https://www.scopus.com/inward/record.uri?eid=2-s2.0-85074951546&amp;doi=10.3745%2fJIPS.03.0124&amp;partnerID=40&amp;md5=779a0748ed0e943d7087ae9d28c15f76</t>
  </si>
  <si>
    <t>2-s2.0-85074951546</t>
  </si>
  <si>
    <t>Blockchain; Ecosystems; Edge computing; Green computing; Internet of things; Network architecture; Smart city; Bandwidth usage; Emerging technologies; Integrated technologies; Internet of thing (IOT); Issues and challenges; Smart devices; Sustainable ecosystems; Network security</t>
  </si>
  <si>
    <t>Jarwar M.A.; Chong I.</t>
  </si>
  <si>
    <t>Web objects based contextual data quality assessment model for semantic data application</t>
  </si>
  <si>
    <t>10.3390/app10062181</t>
  </si>
  <si>
    <t>Due to the convergence of advanced technologies such as the Internet of Things, Artificial Intelligence, and Big Data, a healthcare platform accumulates data in a huge quantity from several heterogeneous sources. The adequate usage of this data may increase the impact of and improve the healthcare service quality; however, the quality of the data may be questionable. Assessing the quality of the data for the task in hand may reduce the associated risks, and increase the confidence of the data usability. To overcome the aforementioned challenges, this paper presents the web objects based contextual data quality assessment model with enhanced classification metric parameters. A semantic ontology of virtual objects, composite virtual objects, and services is also proposed for the parameterization of contextual data quality assessment of web objects data. The novelty of this article is the provision of contextual data quality assessment mechanisms at the data acquisition, assessment, and service level for the web objects enabled semantic data applications. To evaluate the proposed data quality assessment mechanism, web objects enabled affective stress and teens' mood care semantic data applications are designed, and a deep data quality learning model is developed. The findings of the proposed approach reveal that, once a data quality assessment model is trained on web objects enabled healthcare semantic data, it could be used to classify the incoming data quality in various contextual data quality metric parameters. Moreover, the data quality assessment mechanism presented in this paper can be used to other application domains by incorporating data quality analysis requirements ontology. ¬© 2020 by authors.</t>
  </si>
  <si>
    <t>Data quality assessment; Healthcare applications; Semantic data; Web of objects</t>
  </si>
  <si>
    <t>Jarwar, Muhammad Aslam (57193264890); Chong, Ilyoung (56284262500)</t>
  </si>
  <si>
    <t>57193264890; 56284262500</t>
  </si>
  <si>
    <t>https://www.scopus.com/inward/record.uri?eid=2-s2.0-85082715795&amp;doi=10.3390%2fapp10062181&amp;partnerID=40&amp;md5=9d3cc22b2bddd4c68b987fe24b7f8dfb</t>
  </si>
  <si>
    <t>2-s2.0-85082715795</t>
  </si>
  <si>
    <t>Sul√≠r M.; Baƒç√≠kov√° M.; Chodarev S.; Porub√§n J.</t>
  </si>
  <si>
    <t>Visual augmentation of source code editors: A systematic mapping study</t>
  </si>
  <si>
    <t>10.1016/j.jvlc.2018.10.001</t>
  </si>
  <si>
    <t>Source code written in textual programming languages is typically edited in integrated development environments (IDEs) or specialized code editors. These tools often display various visual items, such as icons, color highlights or more advanced graphical overlays directly in the main editable source code view. We call such visualizations source code editor augmentation. In this paper, we present a first systematic mapping study of source code editor augmentation tools and approaches. We manually reviewed the metadata of 5553 articles published during the last twenty years in two phases ‚Äì keyword search and references search. The result is a list of 103 relevant articles and a taxonomy of source code editor augmentation tools with seven dimensions, which we used to categorize the resulting list of the surveyed articles. We also provide the definition of the term source code editor augmentation, along with a brief overview of historical development and augmentations available in current industrial IDEs. ¬© 2018</t>
  </si>
  <si>
    <t>In situ visualization; Integrated development environment (IDE); Source code editor augmentation; Survey; Systematic review</t>
  </si>
  <si>
    <t>Sul√≠r, Mat√∫≈° (56891618600); Baƒç√≠kov√°, Michaela (55848558800); Chodarev, Sergej (54583293100); Porub√§n, Jaroslav (12760268000)</t>
  </si>
  <si>
    <t>56891618600; 55848558800; 54583293100; 12760268000</t>
  </si>
  <si>
    <t>Journal of Visual Languages and Computing</t>
  </si>
  <si>
    <t>https://www.scopus.com/inward/record.uri?eid=2-s2.0-85056170967&amp;doi=10.1016%2fj.jvlc.2018.10.001&amp;partnerID=40&amp;md5=6cbcb49d2b97ed1cafa976ed64a353ad</t>
  </si>
  <si>
    <t>2-s2.0-85056170967</t>
  </si>
  <si>
    <t>Lau B.P.L.; Marakkalage S.H.; Zhou Y.; Hassan N.U.; Yuen C.; Zhang M.; Tan U.-X.</t>
  </si>
  <si>
    <t>A survey of data fusion in smart city applications</t>
  </si>
  <si>
    <t>10.1016/j.inffus.2019.05.004</t>
  </si>
  <si>
    <t>The advancement of various research sectors such as Internet of Things (IoT), Machine Learning, Data Mining, Big Data, and Communication Technology has shed some light in transforming an urban city integrating the aforementioned techniques to a commonly known term - Smart City. With the emergence of smart city, plethora of data sources have been made available for wide variety of applications. The common technique for handling multiple data sources is data fusion, where it improves data output quality or extracts knowledge from the raw data. In order to cater evergrowing highly complicated applications, studies in smart city have to utilize data from various sources and evaluate their performance based on multiple aspects. To this end, we introduce a multi-perspectives classification of the data fusion to evaluate the smart city applications. Moreover, we applied the proposed multi-perspectives classification to evaluate selected applications in each domain of the smart city. We conclude the paper by discussing potential future direction and challenges of data fusion integration. ¬© 2019 Elsevier B.V.</t>
  </si>
  <si>
    <t>Big data; Data fusion; Internet of things; Multi-perspectives classification; Sensor fusion; Smart city</t>
  </si>
  <si>
    <t>Lau, Billy Pik Lik (57193350530); Marakkalage, Sumudu Hasala (57203873471); Zhou, Yuren (57113791600); Hassan, Naveed Ul (57217618641); Yuen, Chau (24473792300); Zhang, Meng (55903835600); Tan, U-Xuan (22235331000)</t>
  </si>
  <si>
    <t>57193350530; 57203873471; 57113791600; 57217618641; 24473792300; 55903835600; 22235331000</t>
  </si>
  <si>
    <t>Information Fusion</t>
  </si>
  <si>
    <t>https://www.scopus.com/inward/record.uri?eid=2-s2.0-85066074486&amp;doi=10.1016%2fj.inffus.2019.05.004&amp;partnerID=40&amp;md5=38d4bd3f76f9bfdd456998359f5ab57b</t>
  </si>
  <si>
    <t>2-s2.0-85066074486</t>
  </si>
  <si>
    <t>Big data; Data fusion; Data integration; Internet of things; Learning systems; Metadata; Sensor data fusion; Smart city; Communication technologies; Data-sources; Internet of Things (IOT); Multi-perspective; Multiple data sources; Performance based; Sensor fusion; Urban cities; Data mining</t>
  </si>
  <si>
    <t>Salleh M.A.; Bahari M.; Zakaria N.H.</t>
  </si>
  <si>
    <t>An Overview of Software Functionality Service: A Systematic Literature Review</t>
  </si>
  <si>
    <t>10.1016/j.procs.2017.12.163</t>
  </si>
  <si>
    <t>This study focuses in contributing a literature on software functionality service area. We aim to provide an overview of software functionality service related to its research activity, investigated the major themes and identified the focus on its sub-characteristics addressed. In doing this, we employed a Systematic Literature Review (SLR) approach by reviewing all relevant articles from four online databases (i.e., IEEE, Springer, ScienceDirect and EmaraldInsight) and finally identified only 79 relevant articles to our research questions. We categorized the articles into its major themes discussed and its sub-characteristics addressed. It is found that there are increased of researched related to software functionality service for the last five years mainly in functionality service development while there is still lack of research coverage on functional compliance sub-characteristics. Future work should be included of reviewing a greater number of articles from more various types of journal and workshop. ¬© 2018 The Authors.</t>
  </si>
  <si>
    <t>Functionality Service; Okoli Guideline; Software Functionality Quality; Systematic Literature Review</t>
  </si>
  <si>
    <t>Salleh, Masrina A. (57200524703); Bahari, Mahadi (55508314200); Zakaria, Nor Hidayati (54890106000)</t>
  </si>
  <si>
    <t>57200524703; 55508314200; 54890106000</t>
  </si>
  <si>
    <t>https://www.scopus.com/inward/record.uri?eid=2-s2.0-85041522815&amp;doi=10.1016%2fj.procs.2017.12.163&amp;partnerID=40&amp;md5=9a935e77e2d0d3cfa1ffcd014121ff77</t>
  </si>
  <si>
    <t>2-s2.0-85041522815</t>
  </si>
  <si>
    <t>Computer science; Computers; Functionality Service; Okoli Guideline; Research activities; Research questions; Service development; Software functionality; Systematic literature review; Systematic literature review (SLR); Information systems</t>
  </si>
  <si>
    <t>Lvarez-Valera H.H.; Roose P.; Dalmau M.; Herzog C.; Respicio K.</t>
  </si>
  <si>
    <t>Kali green: A distributed scheduler for energy saving</t>
  </si>
  <si>
    <t>10.1016/j.procs.2018.10.172</t>
  </si>
  <si>
    <t>A commonplace issue with portable technology is battery efficiency. While many industries are trying their best to improve battery life without sacrificing a products quality and efficiency, we believe that further can be done to improve battery consumption on ones mobile devicefrom tablets to smartphones to laptops to everything else. Many applications on these devices are based on a microservice architecture. In this article, we introduce a new algorithm KaliGreen that can maneuver the microservices within a network of devices in order to maximize the run-time of a microservice-based application; moreover, KaliGreen allows a 54% increase in the average run-time of an application by shifting microservices from 6 devices (as example) with low battery or inefficient processing ratios to devices in better conditions. To achieve this, KaliGreen utilizes KaliMucho middleware, which is able manipulate microservices in run-time. This algorithm provides a plausible solution to maximizing energy consumption within a network of devices. ¬© 2018 The Authors. Published by Elsevier Ltd.</t>
  </si>
  <si>
    <t>Distributed applicatioggns; Green Computing; Microservices; Smartphones</t>
  </si>
  <si>
    <t>Lvarez-Valera, Hernn H. (57205026453); Roose, Philippe (55843683500); Dalmau, Marc (6701309994); Herzog, Christina (55520060500); Respicio, Kyle (57205022716)</t>
  </si>
  <si>
    <t>57205026453; 55843683500; 6701309994; 55520060500; 57205022716</t>
  </si>
  <si>
    <t>https://www.scopus.com/inward/record.uri?eid=2-s2.0-85058349351&amp;doi=10.1016%2fj.procs.2018.10.172&amp;partnerID=40&amp;md5=762a84024c90ed200594143af3fc90ed</t>
  </si>
  <si>
    <t>2-s2.0-85058349351</t>
  </si>
  <si>
    <t>Electric batteries; Energy conservation; Energy utilization; mHealth; Middleware; Smartphones; Battery consumption; Battery efficiencies; Battery life; Distributed applicatioggns; Distributed schedulers; Microservices; Portable technologies; Products quality; Green computing</t>
  </si>
  <si>
    <t>Trubiani C.; Bran A.; van Hoorn A.; Avritzer A.; Knoche H.</t>
  </si>
  <si>
    <t>Exploiting load testing and profiling for Performance Antipattern Detection</t>
  </si>
  <si>
    <t>10.1016/j.infsof.2017.11.016</t>
  </si>
  <si>
    <t>Context: The performance assessment of complex software systems is not a trivial task since it depends on the design, code, and execution environment. All these factors may affect the system quality and generate negative consequences, such as delays and system failures. The identification of bad practices leading to performance flaws is of key relevance to avoid expensive rework in redesign, reimplementation, and redeployment. Objective: The goal of this manuscript is to provide a systematic process, based on load testing and profiling data, to identify performance issues with runtime data. These performance issues represent an important source of knowledge as they are used to trigger the software refactoring process. Software characteristics and performance measurements are matched with well-known performance antipatterns to document common performance issues and their solutions. Method: We execute load testing based on the characteristics of collected operational profile, thus to produce representative workloads. Performance data from the system under test is collected using a profiler tool to create profiler snapshots and get performance hotspot reports. From such data, performance issues are identified and matched with the specification of antipatterns. Software refactorings are then applied to solve these performance antipatterns. Results: The approach has been applied to a real-world industrial case study and to a representative laboratory study. Experimental results demonstrate the effectiveness of our tool-supported approach that is able to automatically detect two performance antipatterns by exploiting the knowledge of domain experts. In addition, the software refactoring process achieves a significant performance gain at the operational stage in both case studies. Conclusion: Performance antipatterns can be used to effectively support the identification of performance issues from load testing and profiling data. The detection process triggers an antipattern-based software refactoring that in our two case studies results in a substantial performance improvement. ¬© 2017 Elsevier B.V.</t>
  </si>
  <si>
    <t>Empirical data; Load testing and profiling; Software performance antipatterns; Software performance engineering</t>
  </si>
  <si>
    <t>Trubiani, Catia (24781277400); Bran, Alexander (57200072189); van Hoorn, Andr√© (26421837600); Avritzer, Alberto (7003345567); Knoche, Holger (55994547700)</t>
  </si>
  <si>
    <t>24781277400; 57200072189; 26421837600; 7003345567; 55994547700</t>
  </si>
  <si>
    <t>https://www.scopus.com/inward/record.uri?eid=2-s2.0-85039063985&amp;doi=10.1016%2fj.infsof.2017.11.016&amp;partnerID=40&amp;md5=adffdf6b70bd2368dcf33eb12ab3e468</t>
  </si>
  <si>
    <t>2-s2.0-85039063985</t>
  </si>
  <si>
    <t>Load testing; Systems engineering; Anti-patterns; Complex software systems; Empirical data; Execution environments; Performance assessment; Performance measurements; Software characteristic; Software performance engineerings; Software testing</t>
  </si>
  <si>
    <t>Sultan S.; Ahmad I.; Dimitriou T.</t>
  </si>
  <si>
    <t>Container security: Issues, challenges, and the road ahead</t>
  </si>
  <si>
    <t>10.1109/ACCESS.2019.2911732</t>
  </si>
  <si>
    <t>Containers emerged as a lightweight alternative to virtual machines (VMs) that offer better microservice architecture support. The value of the container market is expected to reach $2.7 billion in 2020 as compared to $762 million in 2016. Although they are considered the standardized method for microservices deployment, playing an important role in cloud computing emerging fields such as service meshes, market surveys show that container security is the main concern and adoption barrier for many companies. In this paper, we survey the literature on container security and solutions. We have derived four generalized use cases that should cover security requirements within the host-container threat landscape. The use cases include: (I) protecting a container from applications inside it, (II) inter-container protection, (III) protecting the host from containers, and (IV) protecting containers from a malicious or semi-honest host. We found that the first three use cases utilize a software-based solutions that mainly rely on Linux kernel features (e.g., namespaces, CGroups, capabilities, and seccomp) and Linux security modules (e.g., AppArmor). The last use case relies on hardware-based solutions such as trusted platform modules (TPMs) and trusted platform support (e.g., Intel SGX). We hope that our analysis will help researchers understand container security requirements and obtain a clearer picture of possible vulnerabilities and attacks. Finally, we highlight open research problems and future research directions that may spawn further research in this area. ¬© 2013 IEEE.</t>
  </si>
  <si>
    <t>Containers; Docker; lightweight virtualization; Linux containers; OS level virtualization; security; survey</t>
  </si>
  <si>
    <t>Sultan, Sari (56959956000); Ahmad, Imtiaz (24074061100); Dimitriou, Tassos (14021358400)</t>
  </si>
  <si>
    <t>56959956000; 24074061100; 14021358400</t>
  </si>
  <si>
    <t>https://www.scopus.com/inward/record.uri?eid=2-s2.0-85067090032&amp;doi=10.1109%2fACCESS.2019.2911732&amp;partnerID=40&amp;md5=6125befd9c24abfdc6f0b671442d1c2d</t>
  </si>
  <si>
    <t>2-s2.0-85067090032</t>
  </si>
  <si>
    <t>Commerce; Cryptography; Linux; Network security; Surveying; Surveys; Trusted computing; Virtual reality; Virtualization; Docker; Future research directions; Linux security modules; security; Security requirements; Software-based solutions; Standardized methods; Trusted platforms; Containers</t>
  </si>
  <si>
    <t>Kamthania S.</t>
  </si>
  <si>
    <t>A novel deep learning rbm based algorithm for securing containers</t>
  </si>
  <si>
    <t>10.1109/WIECON-ECE48653.2019.9019985</t>
  </si>
  <si>
    <t>In the era of digital transformation, new business opportunities are generated with the pervasive use of cloudnative technologies. These perplexing advancements in technologies help to quicken business developments, bring in agility and assemble better client relations. IT industries are utilizing new methodologies like microservices models, containers, Docker, Kubenetes, and ceaseless conveyance approaches to react to business needs by rapidly creating and pushing out new abilities. With these advancements in cloudnative technologies, the security threat landscape widens and this raises the need for protecting customer's critical workloads and services. In their ongoing exploration note, 'Top 10 Security Projects for 2019'2019 ¬© 2019 IEEE.</t>
  </si>
  <si>
    <t>Containers; Cyber security; Deep learning; Docker</t>
  </si>
  <si>
    <t>Kamthania, Supriya (54585241100)</t>
  </si>
  <si>
    <t>2019 5th IEEE International WIE Conference on Electrical and Computer Engineering, WIECON-ECE 2019 - Proceedings</t>
  </si>
  <si>
    <t>https://www.scopus.com/inward/record.uri?eid=2-s2.0-85082130912&amp;doi=10.1109%2fWIECON-ECE48653.2019.9019985&amp;partnerID=40&amp;md5=68c9910e34793b5a301b78323fd40155</t>
  </si>
  <si>
    <t>2-s2.0-85082130912</t>
  </si>
  <si>
    <t>Containers; Business development; Business needs; Business opportunities; Client relations; Cyber security; Digital transformation; Docker; Security threats; Deep learning</t>
  </si>
  <si>
    <t>Tien P.W.; Wei S.; Darkwa J.; Wood C.; Calautit J.K.</t>
  </si>
  <si>
    <t>A NEW DEEP LEARNING APPROACH FOR ENERGY MANAGEMENT AND OPTIMISATION OF HVAC SYSTEMS FOR THE BUILT ENVIRONMENT</t>
  </si>
  <si>
    <t>10.46855/energy-proceedings-1105</t>
  </si>
  <si>
    <t>Conventional heating, ventilation and airconditioning (HVAC) features such as use of static occupancy schedule profile to control HVAC operation or traditional controls may not be enough to cope with requirements of the next generation-built environment. This work introduces a demand-driven deep learningbased framework which can be integrated with building energy management systems (BEMS) to accurately predict occupancy‚Äôs activity for HVAC systems which can minimize unnecessary loads and produce satisfactory thermal comfort conditions for occupants. The developed framework utilises a trained deep learning algorithm and an artificial intelligence (AI)-powered camera. Tests are performed with new data fed into the framework which enables predictions of typical activities in buildings such as walking, standing, sitting and napping. To initially test and validate the framework, building energy simulation was used with various occupancy profile schedules under a modelled UK office building with 4 occupants. Initial results present occupancy heat gains were 23.5% lower when Deep Learning Influenced Profile (DLIP) was used as compared to static office occupancy profile. Further developments include; framework enhancement to increase detection accuracy and to provide automated set point adjustment for HVAC system. Initial data indicates the method could resolve occupancy related problems within buildings and enhance building performances through accurate occupancy activity prediction. ¬© 2019 ICAE.</t>
  </si>
  <si>
    <t>activity detection; Artificial intelligence; building energy management; deep learning; HVAC systems; occupancy detection</t>
  </si>
  <si>
    <t>Tien, Paige Wenbin (57207847056); Wei, Shuangyu (57209367453); Darkwa, Jo (55805429300); Wood, Christopher (56962756600); Calautit, John Kaiser (54787297700)</t>
  </si>
  <si>
    <t>57207847056; 57209367453; 55805429300; 56962756600; 54787297700</t>
  </si>
  <si>
    <t>Energy Proceedings</t>
  </si>
  <si>
    <t>https://www.scopus.com/inward/record.uri?eid=2-s2.0-85202594091&amp;doi=10.46855%2fenergy-proceedings-1105&amp;partnerID=40&amp;md5=7e6160aff9772e0b3d99e4251544d4a1</t>
  </si>
  <si>
    <t>2-s2.0-85202594091</t>
  </si>
  <si>
    <t>Li Z.; Seco D.; Rodr√≠guez A.E.S.</t>
  </si>
  <si>
    <t>Microservice-oriented platform for internet of big data analytics: A proof of concept</t>
  </si>
  <si>
    <t>10.3390/s19051134</t>
  </si>
  <si>
    <t>The ubiquitous Internet of Things (IoT) devices nowadays are generating various and numerous data from everywhere at any time. Since it is not always necessary to centralize and analyze IoT data cumulatively (e.g., the Monte Carlo analytics and Convergence analytics demonstrated in this article), the traditional implementations of big data analytics (BDA) will suffer from unnecessary and expensive data transmissions as a result of the tight coupling between computing resource management and data processing logics. Inspired by software-defined infrastructure (SDI), we propose the ‚Äúmicroservice-oriented platform‚Äù to break the environmental monolith and further decouple data processing logics from their underlying resource management in order to facilitate BDA implementations in the IoT environment (which we name ‚ÄúIoBDA‚Äù). Given predesigned standard microservices with respect to specific data processing logics, the proposed platform is expected to largely reduce the complexity in and relieve inexperienced practices of IoBDA implementations. The potential contributions to the relevant communities include (1) new theories of a microservice-oriented platform on top of SDI and (2) a functional microservice-oriented platform for IoBDA with a group of predesigned microservices. ¬© 2019 by the authors. Licensee MDPI, Basel, Switzerland.</t>
  </si>
  <si>
    <t>Big data analytics; Internet of Things; Microservice-oriented platform; Microservices architecture; Software defined infrastructure</t>
  </si>
  <si>
    <t>Li, Zheng (56967916100); Seco, Diego (23478508600); Rodr√≠guez, Alexis Eloy S√°nchez (57212372529)</t>
  </si>
  <si>
    <t>56967916100; 23478508600; 57212372529</t>
  </si>
  <si>
    <t>https://www.scopus.com/inward/record.uri?eid=2-s2.0-85062617254&amp;doi=10.3390%2fs19051134&amp;partnerID=40&amp;md5=b654390f502d12befd6ec862ddac70e3</t>
  </si>
  <si>
    <t>2-s2.0-85062617254</t>
  </si>
  <si>
    <t>Advanced Analytics; Big data; Data Analytics; Data handling; Information management; Natural resources management; Resource allocation; Computing resource management; Internet of Things (IOT); Microservice-oriented platform; New theory; Proof of concept; Resource management; Tight coupling; Internet of things</t>
  </si>
  <si>
    <t>Wen Z.; Lin T.; Yang R.; Ji S.; Ranjan R.; Romanovsky A.; Lin C.; Xu J.</t>
  </si>
  <si>
    <t>GA-Par: Dependable Microservice Orchestration Framework for Geo-Distributed Clouds</t>
  </si>
  <si>
    <t>10.1109/TPDS.2019.2929389</t>
  </si>
  <si>
    <t>Recent advances in composing Cloud applications have been driven by deployments of inter-networking heterogeneous microservices across multiple Cloud datacenters. System dependability has been of the upmost importance and criticality to both service vendors and customers. Security, a measurable attribute, is increasingly regarded as the representative example of dependability. Literally, with the increment of microservice types and dynamicity, applications are exposed to aggravated internal security threats and externally environmental uncertainties. Existing work mainly focuses on the QoS-aware composition of native VM-based Cloud application components, while ignoring uncertainties and security risks among interactive and interdependent container-based microservices. Still, orchestrating a set of microservices across datacenters under those constraints remains computationally intractable. This paper describes a new dependable microservice orchestration framework GA-Par to effectively select and deploy microservices whilst reducing the discrepancy between user security requirements and actual service provision. We adopt a hybrid (both whitebox and blackbox based) approach to measure the satisfaction of security requirement and the environmental impact of network QoS on system dependability. Due to the exponential grow of solution space, we develop a parallel Genetic Algorithm framework based on Spark to accelerate the operations for calculating the optimal or near-optimal solution. Large-scale real world datasets are utilized to validate models and orchestration approach. Experiments show that our solution outperforms the greedy-based security aware method with 42.34 percent improvement. GA-Par is roughly 4x faster than a Hadoop-based genetic algorithm solver and the effectiveness can be constantly guaranteed under different application scales. ¬© 1990-2012 IEEE.</t>
  </si>
  <si>
    <t>dependability; microservice; Service orchestration</t>
  </si>
  <si>
    <t>Wen, Zhenyu (56146379100); Lin, Tao (57193603023); Yang, Renyu (56147403700); Ji, Shouling (36918358000); Ranjan, Rajiv (57197711780); Romanovsky, Alexander (7007118808); Lin, Changting (57204788906); Xu, Jie (57050877700)</t>
  </si>
  <si>
    <t>56146379100; 57193603023; 56147403700; 36918358000; 57197711780; 7007118808; 57204788906; 57050877700</t>
  </si>
  <si>
    <t>https://www.scopus.com/inward/record.uri?eid=2-s2.0-85077089009&amp;doi=10.1109%2fTPDS.2019.2929389&amp;partnerID=40&amp;md5=79383bc854066cbcb1850be77d2887db</t>
  </si>
  <si>
    <t>2-s2.0-85077089009</t>
  </si>
  <si>
    <t>Environmental impact; Large dataset; Quality of service; dependability; Environmental uncertainty; microservice; Near-optimal solutions; Parallel genetic algorithms; Security requirements; Service orchestration; System dependability; Genetic algorithms</t>
  </si>
  <si>
    <t>Sampaio A.R., Jr.; Rubin J.; Beschastnikh I.; Rosa N.S.</t>
  </si>
  <si>
    <t>Improving microservice-based applications with runtime placement adaptation</t>
  </si>
  <si>
    <t>10.1186/s13174-019-0104-0</t>
  </si>
  <si>
    <t>Microservices are a popular method to design scalable cloud-based applications. Microservice-based applications (ŒºApps) rely on message passing for communication and to decouple each microservice, allowing the logic in each service to scale independently. Complex ŒºApps can contain hundreds of microservices, complicating the ability of DevOps engineers to reason about and automatically optimize the deployment. In particular, the performance and resource utilization of a ŒºApp depends on the placement of the microservices that compose it. However, existing tools for ŒºApps, like Kubernetes, provide minimal ability to influence the placement and utilization of a ŒºApp deployment. In this paper, we first identify the runtime aspects of microservice execution that impact the placement of microservices in a ŒºApp. We then review the challenges of reconfiguring a ŒºApp based on these aspects. Our main contribution is an adaptation mechanism, named REMaP, to manage the placement of microservices in an ŒºApp automatically. To achieve this, REMaP uses microservice affinities and resource usage history. We evaluate our REMaP prototype and demonstrate that our solution is autonomic, lowers resource utilization, and can substantially improve ŒºApp performance. ¬© 2019, The Author(s).</t>
  </si>
  <si>
    <t>Microservices; Optimization; Runtime adaptation</t>
  </si>
  <si>
    <t>Sampaio, Adalberto R. (57200285884); Rubin, Julia (12545361700); Beschastnikh, Ivan (23011662600); Rosa, Nelson S. (7006463922)</t>
  </si>
  <si>
    <t>57200285884; 12545361700; 23011662600; 7006463922</t>
  </si>
  <si>
    <t>Journal of Internet Services and Applications</t>
  </si>
  <si>
    <t>https://www.scopus.com/inward/record.uri?eid=2-s2.0-85062150526&amp;doi=10.1186%2fs13174-019-0104-0&amp;partnerID=40&amp;md5=ea24c1945921a985ac99b15c47f77e61</t>
  </si>
  <si>
    <t>2-s2.0-85062150526</t>
  </si>
  <si>
    <t>Internet; Optimization; Adaptation mechanism; Cloud-based applications; Microservices; Resource usage; Resource utilizations; Runtime adaptation; Runtimes; Message passing</t>
  </si>
  <si>
    <t>Dang K.; Trotskii I.</t>
  </si>
  <si>
    <t>Architecture for Automation System Metrics Collection, Visualization and Data Engineering - HAMK Sheet Metal Center Building Automation Case Study</t>
  </si>
  <si>
    <t>10.1515/eng-2019-0065</t>
  </si>
  <si>
    <t>Ever growing building energy consumption requires advanced automation and monitoring solutions in order to improve building energy efficiency. Furthermore, aggregation of building automation data, similarly to industrial scenarios allows for condition monitoring and fault diagnostics of the Heating, Ventilations and Air Conditioning (HVAC) system. For existing buildings, the commissioned SCADA solutions provide historical trends, alarms management and setpoint curve adjustments, which are essential features for facility management personnel. The development in Internet of Things (IoT) and Industry 4.0, as well as software microservices enables higher system integration, data analytics and rich visualization to be integrated into the existing infrastructure. This paper presents the implementation of a technology stack, which can be used as a framework for improving existing and new building automation systems by increasing interconnection and integrating data analytics solutions. The implementation solution is realized and evaluated for a nearly zero energy building, as a case study. ¬© 2019 K. Dang and I. Trotskii, published by De Gruyter 2019.</t>
  </si>
  <si>
    <t>analytics; anomaly detection; Building automation; IoT</t>
  </si>
  <si>
    <t>Dang, Khoa (57212246042); Trotskii, Igor (57212247899)</t>
  </si>
  <si>
    <t>57212246042; 57212247899</t>
  </si>
  <si>
    <t>Open Engineering</t>
  </si>
  <si>
    <t>https://www.scopus.com/inward/record.uri?eid=2-s2.0-85076318178&amp;doi=10.1515%2feng-2019-0065&amp;partnerID=40&amp;md5=936abfff4c1b52f79be70f29c0a603e4</t>
  </si>
  <si>
    <t>2-s2.0-85076318178</t>
  </si>
  <si>
    <t>Santos E.A.; McLean C.; Solinas C.; Hindle A.</t>
  </si>
  <si>
    <t>How does docker affect energy consumption? Evaluating workloads in and out of Docker containers</t>
  </si>
  <si>
    <t>10.1016/j.jss.2018.07.077</t>
  </si>
  <si>
    <t>Context: Virtual machines provide isolation of services at the cost of hypervisors and more resource usage. This spurred the growth of systems like Docker that enable single hosts to isolate several applications, similar to VMs, within a low-overhead abstraction called containers. Motivation: Although containers tout low overhead performance, how much do they increase energy use? Methodology: This work statistically compares the energy consumption of three application workloads in Docker and on bare-metal Linux. Results: In all cases, there was a statistically significant (t-test and Wilcoxon p &lt;.05) increase in energy consumption when running tests in Docker, mostly due to the performance of I/O system calls. Developers worried about I/O overhead could consider baremetal deployments over Docker container deployments. ¬© 2018</t>
  </si>
  <si>
    <t>Cloud computing; Containerization; Docker; Energy consumption; Microservice; Virtualization</t>
  </si>
  <si>
    <t>Santos, Eddie Antonio (57189685936); McLean, Carson (57225759266); Solinas, Christopher (57203877284); Hindle, Abram (21742620300)</t>
  </si>
  <si>
    <t>57189685936; 57225759266; 57203877284; 21742620300</t>
  </si>
  <si>
    <t>https://www.scopus.com/inward/record.uri?eid=2-s2.0-85053352568&amp;doi=10.1016%2fj.jss.2018.07.077&amp;partnerID=40&amp;md5=a866674254e6fe1a8729a6ef3fd1a1fc</t>
  </si>
  <si>
    <t>2-s2.0-85053352568</t>
  </si>
  <si>
    <t>Cloud computing; Computer operating systems; Containers; Energy utilization; Virtualization; Bare metal linux; Containerization; Docker; Docker containers; Microservice; Resource usage; Running tests; System calls; Green computing</t>
  </si>
  <si>
    <t>Lakhan A.; Li X.</t>
  </si>
  <si>
    <t>Transient fault aware application partitioning computational offloading algorithm in microservices based mobile cloudlet networks</t>
  </si>
  <si>
    <t>10.1007/s00607-019-00733-4</t>
  </si>
  <si>
    <t>Mobile Cloudlet Computing paradigm (MCC) allows execution of resource-intensive mobile applications using computation cloud resources by exploiting computational offloading method for resource-constrained mobile devices. Whereas, computational offloading needs the mobile application to be partitioned during the execution in the MCC so that total execution cost is minimized. In the MCC, at the run-time network contexts (i.e., network bandwidth, signal strength, latency, etc.) are intermittently changed, and transient failures (due to temporary network connection failure, services busy, database disk out of storage) often occur for a short period of time. Therefore, transient failure aware partitioning of the mobile application at run-time is a challenging task. Since, existing MCC offers computational monolithic services by exploiting heavyweight virtual machines, which incurs with long VM startup time and high overhead, and these cannot meet the requirements of fine-grained microservices applications (e.g., E-healthcare, E-business, 3D-Game, and Augmented Reality). To cope up with prior issues, we propose microservices based mobile cloud platform by exploiting containerization which replaces heavyweight virtual machines, and we propose the application partitioning task assignment (APTA) algorithm which determines application partitioning at run-time and adopts the fault aware (FA) policy to execute microservices applications robustly without interruption in the MCC. Simulation results validate that the proposed microservices mobile cloud platform not only shrinks the setup time of run-time platform but also reduce the energy consumption of nodes and improve the application response time by exploiting APTA and FA to the existing VM based MCC and application partitioning strategies. ¬© 2019, Springer-Verlag GmbH Austria, part of Springer Nature.</t>
  </si>
  <si>
    <t>Application partitioning; Application programming interface (API); APTA; FA; Microservices; Min-cut; Mobile cloudlet computing; Offloadi ng; Representational state transfer (REST)</t>
  </si>
  <si>
    <t>Lakhan, Abdullah (57209259574); Li, Xiaoping (55900922400)</t>
  </si>
  <si>
    <t>57209259574; 55900922400</t>
  </si>
  <si>
    <t>https://www.scopus.com/inward/record.uri?eid=2-s2.0-85067040812&amp;doi=10.1007%2fs00607-019-00733-4&amp;partnerID=40&amp;md5=d962d0ae3742a573ac5b2abe6895172e</t>
  </si>
  <si>
    <t>2-s2.0-85067040812</t>
  </si>
  <si>
    <t>Application programming interfaces (API); Augmented reality; Energy utilization; Green computing; Interface states; mHealth; Mobile computing; Network security; Simulation platform; Virtual machine; Application partitioning; APTA; Microservices; Min-cut; Mobile cloudlet computing; Offloadi ng; Representational state transfer; Mobile cloud computing</t>
  </si>
  <si>
    <t>Energy-Aware Consolidation Scheme for Data Center Cloud Applications</t>
  </si>
  <si>
    <t>10.23919/ITC.2017.8065706</t>
  </si>
  <si>
    <t>The consolidation of resources is one of the most efficient strategies to reduce the power consumption in data centers. Various algorithms have been proposed in order to reduce the total number of required servers and network devices. The practice developed in response to the problem of server sprawl, a situation in which multiple, under-utilized servers (and/or network devices) take up more space and consume more resources than the ones justified by their workload; with the effect to power off unused equipment. Generally, consolidation mechanisms consider different parameters related to the services neglecting the specific function of the Virtual Machines (VMs) in the application framework (e.g., core component, backup replica, member of a set of workers for load balancing). In this work, we develop a new consolidation algorithm that takes into account the particular function of each VM with the aim to apply power saving mechanisms without compromising the desired service level. The results of the simulations show that it is possible to obtain significant energy savings. In particular, we show, with different heuristics, the optimal trade-off between service level and power efficiency achieved by the proposed model. ¬© 2017 ITC Press.</t>
  </si>
  <si>
    <t>Proceedings of the 29th International Teletraffic Congress, ITC 2017</t>
  </si>
  <si>
    <t>https://www.scopus.com/inward/record.uri?eid=2-s2.0-85040237525&amp;doi=10.23919%2fITC.2017.8065706&amp;partnerID=40&amp;md5=c8494f78800f2081eac4dbf0130af96d</t>
  </si>
  <si>
    <t>2-s2.0-85040237525</t>
  </si>
  <si>
    <t>Economic and social effects; Energy conservation; Energy efficiency; Power management; Application frameworks; Cloud applications; Consolidation mechanisms; Core components; Efficient strategy; Network devices; Power efficiency; Power saving mechanism; Green computing</t>
  </si>
  <si>
    <t>Lou P.; Shi L.; Zhang X.; Xiao Z.; Yan J.</t>
  </si>
  <si>
    <t>A data-driven adaptive sampling method based on edge computing</t>
  </si>
  <si>
    <t>10.3390/s20082174</t>
  </si>
  <si>
    <t>The rise of edge computing has promoted the development of the industrial internet of things (IIoT). Supported by edge computing technology, data acquisition can also support more complex and perfect application requirements in industrial field. Most of traditional sampling methods use constant sampling frequency and ignore the impact of changes of sampling objects during the data acquisition. For the problem of sampling distortion, edge data redundancy and energy consumption caused by constant sampling frequency of sensors in the IIoT, a data-driven adaptive sampling method based on edge computing is proposed in this paper. The method uses the latest data collected by the sensors at the edge node for linear fitting and adjusts the next sampling frequency according to the linear median jitter sum and adaptive sampling strategy. An edge data acquisition platform is established to verify the validity of the method. According to the experimental results, the proposed method is more effective than other adaptive sampling methods. Compared with constant sampling frequency, the proposed method can reduce the edge data redundancy and energy consumption by more than 13.92% and 12.86%, respectively. ¬© 2020 by the authors. Licensee MDPI, Basel, Switzerland.</t>
  </si>
  <si>
    <t>Adaptive sampling; Data acquisition; Edge computing; Industrial internet of things; Linear median jitter sum</t>
  </si>
  <si>
    <t>Lou, Ping (36899486300); Shi, Liang (57216396934); Zhang, Xiaomei (55715410700); Xiao, Zheng (57198716773); Yan, Junwei (58383865300)</t>
  </si>
  <si>
    <t>36899486300; 57216396934; 55715410700; 57198716773; 58383865300</t>
  </si>
  <si>
    <t>https://www.scopus.com/inward/record.uri?eid=2-s2.0-85083399779&amp;doi=10.3390%2fs20082174&amp;partnerID=40&amp;md5=ffef6ea32fd8587bbe9a98af1f0b95c1</t>
  </si>
  <si>
    <t>2-s2.0-85083399779</t>
  </si>
  <si>
    <t>Data acquisition; Edge computing; Energy utilization; Green computing; Redundancy; Technology transfer; Adaptive sampling methods; Adaptive sampling strategies; Computing technology; Constant sampling frequency; Impact of changes; Industrial fields; Perfect applications; Sampling frequencies; Industrial internet of things (IIoT)</t>
  </si>
  <si>
    <t>Larrucea X.; Santamaria I.; Fernandez-Gauna B.</t>
  </si>
  <si>
    <t>Managing security debt across PLC phases in a VSE context</t>
  </si>
  <si>
    <t>10.1002/smr.2214</t>
  </si>
  <si>
    <t>Nowadays, security and safety aspects are two of the major concerns for any software system development, especially while developing safety critical systems. This is especially relevant for very small entities because they have a limited amount of resources for dealing with all these aspects at the same time. In addition, these systems are highly regulated domains, and they involve a huge set of standards focused on safety and security-related issues. Therefore, these small entities are not only facing hurdles related to technical aspects but also from the so-called technical debt when overarching a critical development. This paper extends the assurance cases approach by integrating security aspects within the life cycle, and it proposes a framework for managing the associated security technical debt for very small entities. A tool chain is outlined, and the approach is illustrated with an industrial use case. ¬© 2019 John Wiley &amp; Sons, Ltd.</t>
  </si>
  <si>
    <t>assurance case; ISO/IEC 29110; safety; security; technical debt</t>
  </si>
  <si>
    <t>Larrucea, Xabier (17434519600); Santamaria, Izaskun (55321163600); Fernandez-Gauna, Borja (36192765900)</t>
  </si>
  <si>
    <t>17434519600; 55321163600; 36192765900</t>
  </si>
  <si>
    <t>Journal of Software: Evolution and Process</t>
  </si>
  <si>
    <t>e2214</t>
  </si>
  <si>
    <t>https://www.scopus.com/inward/record.uri?eid=2-s2.0-85080983685&amp;doi=10.1002%2fsmr.2214&amp;partnerID=40&amp;md5=287cd6c66da03e42fdd768524c25f8b4</t>
  </si>
  <si>
    <t>2-s2.0-85080983685</t>
  </si>
  <si>
    <t>Accident prevention; Life cycle; Assurance case; Industrial use case; Integrating security; ISO/IEC; Safety and securities; Safety critical systems; security; Technical debts; Safety engineering</t>
  </si>
  <si>
    <t>Paul S.; Suresh K.; Kumar C.S.</t>
  </si>
  <si>
    <t>Conceptual design, material, and structural optimization of a naval fighter nose landing gear for the estimated static loads</t>
  </si>
  <si>
    <t>10.4271/01-12-02-0009</t>
  </si>
  <si>
    <t>[No abstract available]</t>
  </si>
  <si>
    <t>Paul, Swagata (57219163937); Suresh, K. (57219157211); Kumar, C. Senthil (53875938500)</t>
  </si>
  <si>
    <t>57219163937; 57219157211; 53875938500</t>
  </si>
  <si>
    <t>SAE International Journal of Aerospace</t>
  </si>
  <si>
    <t>https://www.scopus.com/inward/record.uri?eid=2-s2.0-85092027540&amp;doi=10.4271%2f01-12-02-0009&amp;partnerID=40&amp;md5=d6bda1a1acc6297263c62f5e308a53e8</t>
  </si>
  <si>
    <t>2-s2.0-85092027540</t>
  </si>
  <si>
    <t>Stan O.; Zayani M.-H.; Sirdey R.; Ben Hamida A.; Mziou-Sallami M.; Ferreira Leite A.</t>
  </si>
  <si>
    <t>A SaaS implementation of a new generic crypto-classifier service for secure energy efficiency in smart cities</t>
  </si>
  <si>
    <t>10.1007/978-3-030-26633-2_5</t>
  </si>
  <si>
    <t>More and more, accessing data remotely in a secure manner appears like the backbone for providing new advanced and customized functionalities. The proliferation of social media and domotics urges a new kind of ubiquity where different kinds of features are deployed everywhere atop of the everyday life small devices and even embedded in our surroundings. While we measure the opportunities offered by such advancements in improving people lifestyles and obtaining immediate and useful services, it is necessary to consider the real impact on our privacy. Recently, a newly adopted European standard, the General Data Protection Regulation aims at codifying the rules of personal data use. We strongly believe in the necessity for a Smart City of adopting such privacy regulation while benefiting at the same time from new services, in a generic and easy way. In that sense, we build an approach that is at the frontier of the cryptoscience domain for a better privacy and the Micro Service-Oriented Architectures for an increased use by tiers. Indeed, our service is accessible in a Software-as-a-Service (SaaS) manner and uses encryption to ensure data privacy. The particularity of our system lies in the fact that the server performs a classification algorithm without any information about the sensitive data and without the capability to decrypt it. The underlying cryptographic technology used is homomorphic encryption, allowing to perform calculations directly on encrypted data. Our service is generic by design and could be applied over several metrics. We adopt an energy efficiency use case and propose a service for buildings energy diagnosis and classification towards renovations and/or reductions of the electric consumption. We showcase our prototype of crypto-classification service by involving different actors of a Smart City community. Finally, we assess our proposal thanks to a set of real data collected from an Irish residential district. Our SaaS crypto-classifier achieves acceptable performances in terms of security, execution times and memory requirements. ¬© Springer Nature Switzerland AG 2019.</t>
  </si>
  <si>
    <t>Data privacy; Homomorphic encryption; Secure classification; Smart city</t>
  </si>
  <si>
    <t>Stan, Oana (55554682500); Zayani, Mohamed-Haykel (55322962000); Sirdey, Renaud (16480839400); Ben Hamida, Amira (15755215300); Mziou-Sallami, Mallek (57203505421); Ferreira Leite, Alessandro (57210433002)</t>
  </si>
  <si>
    <t>55554682500; 55322962000; 16480839400; 15755215300; 57203505421; 57210433002</t>
  </si>
  <si>
    <t>https://www.scopus.com/inward/record.uri?eid=2-s2.0-85070725063&amp;doi=10.1007%2f978-3-030-26633-2_5&amp;partnerID=40&amp;md5=e927b4fd36b928c2501d5226b71653e6</t>
  </si>
  <si>
    <t>2-s2.0-85070725063</t>
  </si>
  <si>
    <t>Classification (of information); Computer aided diagnosis; Cryptography; Data privacy; Energy efficiency; Green computing; Information services; Intelligent systems; Intelligent vehicle highway systems; Service oriented architecture (SOA); Smart city; Traffic control; Acceptable performance; Classification algorithm; Electric consumption; European Standards; General data protection regulations; Ho-momorphic encryptions; Memory requirements; Residential districts; Software as a service (SaaS)</t>
  </si>
  <si>
    <t>Yu Y.; Yang J.; Guo C.; Zheng H.; He J.</t>
  </si>
  <si>
    <t>Joint optimization of service request routing and instance placement in the microservice system</t>
  </si>
  <si>
    <t>10.1016/j.jnca.2019.102441</t>
  </si>
  <si>
    <t>Microservice architecture is a promising architectural style. It decomposes monolithic software into a set of loosely coupled containerized microservices and associates them into multiple microservice chains to serve service requests. The new architecture creates flexibility for service provisioning but also introduces increased energy consumption and low service performance. Efficient resource allocation is critical. Unfortunately, existing solutions are designed at a coarse level for virtual machine (VM)-based clouds and not optimized for such chain-oriented service provisioning. In this paper, we study the resource allocation optimization problem for service request routing and microservice instance placement, so as to jointly reduce both resource usage and chains‚Äô end-to-end response time for saving energy and guaranteeing Quality of Service (QoS). We design detailed workload models for microservices and chains and formulate the optimization problem as a bi-criteria optimization problem. To address it, a three-stage scheme is proposed to search and optimize the trade-off decisions, route service requests into instances and deploy instances to servers in a balanced manner. Through numerical evaluations, we show that while assuring the same QoS, our scheme performs significantly better than and faster than benchmarking algorithms on reducing energy consumption and balancing load. ¬© 2019</t>
  </si>
  <si>
    <t>Bi-criteria optimization; Energy consumption; Load balance; Microservice; Microservice chain; QoS</t>
  </si>
  <si>
    <t>Yu, Yinbo (57197519687); Yang, Jianfeng (57190583661); Guo, Chengcheng (7402497011); Zheng, Hong (55286539700); He, Jiancheng (57211061228)</t>
  </si>
  <si>
    <t>57197519687; 57190583661; 7402497011; 55286539700; 57211061228</t>
  </si>
  <si>
    <t>https://www.scopus.com/inward/record.uri?eid=2-s2.0-85072519087&amp;doi=10.1016%2fj.jnca.2019.102441&amp;partnerID=40&amp;md5=12d28f55304bc761583ba7edea990eb5</t>
  </si>
  <si>
    <t>2-s2.0-85072519087</t>
  </si>
  <si>
    <t>Balancing; Economic and social effects; Energy utilization; Optimization; Resource allocation; Benchmarking algorithm; Bicriteria optimization; Efficient resource allocation; End-to-end response time; Load balance; Microservice; Reducing energy consumption; Resource allocation optimization; Quality of service</t>
  </si>
  <si>
    <t>De Carvalho Junior A.D.; Hariki V.S.; Goldman A.</t>
  </si>
  <si>
    <t>Sensing trees in smart cities with open-design hardware</t>
  </si>
  <si>
    <t>10.1109/NCA.2018.8548274</t>
  </si>
  <si>
    <t>Tree fall is a major issue in large cities as it may obstruct roads and lead to traffic jams, and even injure people. Following these kind of incidents, monitoring the environment through sensors and Internet of Things technologies emerges as an important preventive approach. Another point is that the net primary productivity has a sensitive relation with trees characteristics including plant respiration and net photosynthesis which are highly sensitive to temperature. The health of the tree can then be monitored through leaf transpiration, sap flow measurement, environment evaluation as these methods offer indicators on any chance of a fall. The solution proposed in this paper includes an open-design hardware setup for monitoring trees in Smart Cities with Internet of Things. The setup is connected to a Smart City platform aiming to facilitate the use by other researchers and botanics, specially. Therefore, we noticed that the daily sensing data results in a huge amount of information that requires a balance between Big Data and Edge Computing approaches to process the whole collected data. The evaluation of the sensing data is presented together with the proposed architecture. ¬© 2018 IEEE.</t>
  </si>
  <si>
    <t>Big Data; Edge Computing; evapotranspiration; Internet of Things; open-design hardware; Smart City</t>
  </si>
  <si>
    <t>De Carvalho Junior, Antonio Deusany (56407085200); Hariki, Victor Seiji (57205427830); Goldman, Alfredo (35606743600)</t>
  </si>
  <si>
    <t>56407085200; 57205427830; 35606743600</t>
  </si>
  <si>
    <t>NCA 2018 - 2018 IEEE 17th International Symposium on Network Computing and Applications</t>
  </si>
  <si>
    <t>https://www.scopus.com/inward/record.uri?eid=2-s2.0-85059982866&amp;doi=10.1109%2fNCA.2018.8548274&amp;partnerID=40&amp;md5=c0e75889064e860b0f99dc2ef9858b8f</t>
  </si>
  <si>
    <t>2-s2.0-85059982866</t>
  </si>
  <si>
    <t>Big data; Ecosystems; Edge computing; Evapotranspiration; Forestry; Internet of things; Photosynthesis; Traffic congestion; Amount of information; Internet of things technologies; Large cities; Leaf transpiration; Net primary productivity; Plant respiration; Proposed architectures; Sap flow measurements; Smart city</t>
  </si>
  <si>
    <t>Shahrad M.; Balkind J.; Wentzlaff D.</t>
  </si>
  <si>
    <t>Architectural implications of function-as-a-service computing</t>
  </si>
  <si>
    <t>10.1145/3352460.3358296</t>
  </si>
  <si>
    <t>Serverless computing is a rapidly growing cloud application model, popularized by Amazon's Lambda platform. Serverless cloud services provide fine-grained provisioning of resources, which scale automatically with user demand. Function-as-a-Service (FaaS) applications follow this serverless model, with the developer providing their application as a set of functions which are executed in response to a user- or system-generated event. Functions are designed to be short-lived and execute inside containers or virtual machines, introducing a range of system-level overheads. This paper studies the architectural implications of this emerging paradigm. Using the commercial-grade Apache OpenWhisk FaaS platform on real servers, this work investigates and identifies the architectural implications of FaaS serverless computing. The workloads, along with the way that FaaS inherently interleaves short functions from many tenants frustrates many of the locality-preserving architectural structures common in modern processors. In particular, we find that: FaaS containerization brings up to 20x slowdown compared to native execution, cold-start can be over 10x a short function's execution time, branch mispredictions per kilo-instruction are 20x higher for short functions, memory bandwidth increases by 6x due to the invocation pattern, and IPC decreases by as much as 35% due to inter-function interference. We open-source FaaSProfiler, the FaaS testing and profiling platform that we developed for this work. ¬© 2019 Association for Computing Machinery.</t>
  </si>
  <si>
    <t>Architecture; Cloud; Faas; Function-as-a-service; Open whisk; Serverless</t>
  </si>
  <si>
    <t>Shahrad, Mohammad (56943394900); Balkind, Jonathan (56732970600); Wentzlaff, David (6507836103)</t>
  </si>
  <si>
    <t>56943394900; 56732970600; 6507836103</t>
  </si>
  <si>
    <t>https://www.scopus.com/inward/record.uri?eid=2-s2.0-85074454583&amp;doi=10.1145%2f3352460.3358296&amp;partnerID=40&amp;md5=a1c5e1ae40346c4b02458962a3f50a50</t>
  </si>
  <si>
    <t>2-s2.0-85074454583</t>
  </si>
  <si>
    <t>Architecture; Clouds; Containers; Architectural structure; Branch mispredictions; Cloud applications; Faas; Locality-preserving; Modern processors; Open whisk; Serverless; Computer architecture</t>
  </si>
  <si>
    <t>Ravina M.; Patti E.; Bottaccioli L.; Panepinto D.; Acquaviva A.; Zanetti M.C.</t>
  </si>
  <si>
    <t>Implementing air-pollution and health-damage costs in urban multi-energy systems modelling</t>
  </si>
  <si>
    <t>10.2495/AIR180091</t>
  </si>
  <si>
    <t>The growing global urbanization rate implies that the sustainability challenges are increasingly concentrated in cities. At today, around 75% of global energy is consumed in urban areas, so efforts must be addressed to transform existing urban energy systems into more sustainable systems. In this perspective, a key aspect to evolve toward a cleaner and affordable energy system is the development of Multi-Energy Systems (MES) modelling, whereby heat, electricity, fuels, transport, and other energy carriers closely interact with each other at various scales. MES can optimize technical, economic and environmental performance with respect to ‚Äútraditional‚Äù independent energy systems, at both the operational and the planning stage. This paper presents a development of the existing MESsi modelling platform, consisting in the implementation of a model estimating the impacts on air quality and human health. MESsi is a novel distributed infrastructure for modelling and co-simulating Multi-Energy-Systems. It exploits modern software design patterns (i.e. microservices) to guarantee scalability, extendibility and easy maintenance of the system. Thus, MESsi is flexible in modelling and co-simulating different energy flows in a single solution made of different interoperable modules that can be deployed in a plug-and-play fashion. The module to be implemented in MESsi infrastructure is the DIATI integrated dispersion and externalities model (DIDEM). The DIDEM model is based on the impact pathway approach, linking the simulation of pollutants dispersion to the concentration-exposure-response functions provided by latest WHO recommendations. An overview of the potential integration steps in the modelling infrastructure is described in this paper. A discussion on possible application scenarios that have different spatio-temporal resolutions is also reported. The integration of DIDEM model in MESsi platform allows the inter-connection of a detailed impact assessment to a high-level energy system simulation. ¬© 2018 WIT Press.</t>
  </si>
  <si>
    <t>Air pollution; Health effects; Impact pathway approach; Modelling; Multi-energy systems</t>
  </si>
  <si>
    <t>Ravina, Marco (56622864600); Patti, Edoardo (56090685400); Bottaccioli, Lorenzo (57035415200); Panepinto, Deborah (35368852200); Acquaviva, Andrea (7003693404); Zanetti, Maria Chiara (57220337752)</t>
  </si>
  <si>
    <t>56622864600; 56090685400; 57035415200; 35368852200; 7003693404; 57220337752</t>
  </si>
  <si>
    <t>WIT Transactions on Ecology and the Environment</t>
  </si>
  <si>
    <t>https://www.scopus.com/inward/record.uri?eid=2-s2.0-85057173917&amp;doi=10.2495%2fAIR180091&amp;partnerID=40&amp;md5=440effc86f7ecbe53c060bc7a25bd6c7</t>
  </si>
  <si>
    <t>2-s2.0-85057173917</t>
  </si>
  <si>
    <t>Bottaccioli L.; Patti E.; Macii E.; Acquaviva A.</t>
  </si>
  <si>
    <t>GIS-based software infrastructure to model PV generation in fine-grained spatio-temporal domain</t>
  </si>
  <si>
    <t>10.1109/JSYST.2017.2726350</t>
  </si>
  <si>
    <t>Nowadays, we are moving forward to more sustainable societies, where a crucial issue consists in reducing footprint and greenhouse emissions. This transition can be achieved by increasing the penetration of distributed renewable energy sources together with a smarter use of energy. To achieve it, new tools are needed to plan the deployment of such renewable systems by modeling variability and uncertainty of their generation profiles. In this paper, we present a distributed software infrastructure for modeling and simulating energy production of photovoltaic (PV) systems in urban context. In its core, it performs simulations in a spatio-temporal domain exploiting geographic information systems together with meteorological data to estimate PV generation profiles in real operating conditions. This solution provides results in real-sky conditions with different time intervals: yearly, monthly, and subhourly. To evaluate the accuracy of our simulations, we tested the proposed software infrastructure in a real-world case study. Finally, experimental results are presented and compared with real energy production data collected from PV systems deployed in the case study area. ¬© 2018 IEEE.</t>
  </si>
  <si>
    <t>Distributed software architecture; Geographic information system (GIS); Photovoltaic (PV); Renewable energy sources (RESs); Smart city; Solar energy</t>
  </si>
  <si>
    <t>Bottaccioli, Lorenzo (57035415200); Patti, Edoardo (56090685400); Macii, Enrico (56056204100); Acquaviva, Andrea (7003693404)</t>
  </si>
  <si>
    <t>57035415200; 56090685400; 56056204100; 7003693404</t>
  </si>
  <si>
    <t>https://www.scopus.com/inward/record.uri?eid=2-s2.0-85029008821&amp;doi=10.1109%2fJSYST.2017.2726350&amp;partnerID=40&amp;md5=fb56573ffb1122db6bb440c69101665e</t>
  </si>
  <si>
    <t>2-s2.0-85029008821</t>
  </si>
  <si>
    <t>Computer software; Distributed computer systems; Information systems; Information use; Meteorology; Natural resources; Photovoltaic cells; Production; Smart city; Software testing; Solar energy; Solar power generation; Tools; Uncertainty analysis; Computational model; Distributed software architecture; Energy resolutions; Photovoltaic; Renewable energy source; Urban areas; Geographic information systems</t>
  </si>
  <si>
    <t>Ciuffoletti A.</t>
  </si>
  <si>
    <t>Design of an open remote electrocardiogram (ECG) service</t>
  </si>
  <si>
    <t>10.3390/fi11040101</t>
  </si>
  <si>
    <t>Currently, the deployment of services for real-time delivery of an electrocardiogram to a remote site has a cost that prevents its widespread diffusion, which would contribute to saving lives with prevention, assistance and rescue efficiency. To fill this gap, we introduce the design of a remote electrocardiogram service that privileges open, low-cost options. The architecture is based on the HyperText Transfer Protocol (HTTP) and uses commercial off-the-shelf devices to implement the sensor on the patient's side. The doctor uses a laptop browser to display the tracing, and a cloud computing instance connects the two usingWebSockets. A prototype is built to evaluate overall performance, the power consumption of the patient's side device, and the quality of rendering on doctor's browser. The patient's sensor prototype device is portable, and its power consumption is below 1 Watt, thus allowing a daylong autonomy when operated on batteries. Its cost is below 50$, and the required hardware is commercially available. The whole design is ready for on-field evaluation, and it is available in a public repository. ¬© 2019 by the authors.</t>
  </si>
  <si>
    <t>Arduino; Cloud PaaS; ECG acquisition; ESP8266; Non-diagnostic ECG; WebSocket</t>
  </si>
  <si>
    <t>Ciuffoletti, Augusto (6603025677)</t>
  </si>
  <si>
    <t>https://www.scopus.com/inward/record.uri?eid=2-s2.0-85065895150&amp;doi=10.3390%2ffi11040101&amp;partnerID=40&amp;md5=0cf2d9e956d8cec699e6f807d42cc84d</t>
  </si>
  <si>
    <t>2-s2.0-85065895150</t>
  </si>
  <si>
    <t>Costs; Electric power utilization; Hypertext systems; Network architecture; Quality control; Arduino; Commercial off the shelf devices; Diagnostic ECG; ESP8266; Field evaluation; Prototype devices; Public repositories; Websocket; Electrocardiography</t>
  </si>
  <si>
    <t>Xu M.; Buyya R.</t>
  </si>
  <si>
    <t>Energy efficient scheduling of application components via brownout and approximate markov decision process</t>
  </si>
  <si>
    <t>10.1007/978-3-319-69035-3_14</t>
  </si>
  <si>
    <t>10601 LNCS</t>
  </si>
  <si>
    <t>Unexpected loads in Cloud data centers may trigger overloaded situation and performance degradation. To guarantee system performance, cloud computing environment is required to have the ability to handle overloads. The existing approaches, like Dynamic Voltage Frequency Scaling and VM consolidation, are effective in handling partial overloads, however, they cannot function when the whole data center is overloaded. Brownout has been proved to be a promising approach to relieve the overloads through deactivating application non-mandatory components or microservices temporarily. Moreover, brownout has been applied to reduce data center energy consumption. It shows that there are trade-offs between energy saving and discount offered to users (revenue loss) when one or more services are not provided temporarily. In this paper, we propose a brownout-based approximate Markov Decision Process approach to improve the aforementioned trade-offs. The results based on real trace demonstrate that our approach saves 20% energy consumption than VM consolidation approach. Compared with existing energy-efficient brownout approach, our approach reduces the discount amount given to users while saving similar energy consumption. ¬© Springer International Publishing AG 2017.</t>
  </si>
  <si>
    <t>Application component; Brownout; Cloud energy efficiency; Markov decision process; Microservices</t>
  </si>
  <si>
    <t>Xu, Minxian (54394627800); Buyya, Rajkumar (57194845546)</t>
  </si>
  <si>
    <t>54394627800; 57194845546</t>
  </si>
  <si>
    <t>https://www.scopus.com/inward/record.uri?eid=2-s2.0-85034095398&amp;doi=10.1007%2f978-3-319-69035-3_14&amp;partnerID=40&amp;md5=9bb690276a53bfcfee72db0e06c927ac</t>
  </si>
  <si>
    <t>2-s2.0-85034095398</t>
  </si>
  <si>
    <t>Commerce; Decision making; Distributed computer systems; Dynamic frequency scaling; Economic and social effects; Energy conservation; Energy utilization; Green computing; Markov processes; Voltage scaling; Application components; Brownout; Cloud computing environments; Dynamic voltage frequency scaling; Energy-Efficient Scheduling; Markov Decision Processes; Microservices; Performance degradation; Energy efficiency</t>
  </si>
  <si>
    <t>Xu M.; Dastjerdi A.V.; Buyya R.</t>
  </si>
  <si>
    <t>Energy Efficient Scheduling of Cloud Application Components with Brownout</t>
  </si>
  <si>
    <t>10.1109/TSUSC.2017.2661339</t>
  </si>
  <si>
    <t>It is common for cloud data centers meeting unexpected loads like request bursts, which may lead to overloaded situation and performance degradation. Dynamic Voltage Frequency Scaling and VM consolidation have been proved effective to manage overloads. However, they cannot function when the whole data center is overloaded. Brownout provides a promising direction to avoid overloads through configuring applications to temporarily degrade user experience. Additionally, brownout can also be applied to reduce data center energy consumption. As a complementary option for Dynamic Voltage Frequency Scaling and VM consolidation, our combined brownout approach reduces energy consumption through selectively and dynamically deactivating application optional components, which can also be applied to self-contained microservices. The results show that our approach can save more than 20 percent energy consumption and there are trade-offs between energy saving and discount offered to users. ¬© 2016 IEEE.</t>
  </si>
  <si>
    <t>application component; brownout; Cloud data centers; energy efficient; microservices</t>
  </si>
  <si>
    <t>Xu, Minxian (54394627800); Dastjerdi, Amir Vahid (35753172200); Buyya, Rajkumar (57194845546)</t>
  </si>
  <si>
    <t>54394627800; 35753172200; 57194845546</t>
  </si>
  <si>
    <t>https://www.scopus.com/inward/record.uri?eid=2-s2.0-85081713746&amp;doi=10.1109%2fTSUSC.2017.2661339&amp;partnerID=40&amp;md5=e00446747da4f43b0f291cc8f5ee0154</t>
  </si>
  <si>
    <t>2-s2.0-85081713746</t>
  </si>
  <si>
    <t>Dynamic frequency scaling; Economic and social effects; Energy efficiency; Energy utilization; Voltage scaling; Application components; brownout; Cloud data centers; Energy efficient; microservices; Green computing</t>
  </si>
  <si>
    <t>Rawat P.; Singh K.D.; Bonnin J.M.</t>
  </si>
  <si>
    <t>Cognitive radio for M2M and Internet of Things: A survey</t>
  </si>
  <si>
    <t>10.1016/j.comcom.2016.07.012</t>
  </si>
  <si>
    <t>Internet of things (IoT) paradigm poses new challenges to the communication technology as numerous heterogeneous objects will need to be connected. To address these issues new radio technologies and network architectures need to be designed to cater to several future devices having connectivity demands. For radio communications, the frequency spectrum allocation will have to be adapted for efficient spectrum utilization considering new bandwidth and application requirements. Novel research directions based on the use of opportunistic radio resource utilization such as those based on cognitive radio (CR) technology will have to be pursued for efficiency as well as reliability. Cognitive Radio is a promising enabler communication technology for IoT. Its opportunistic communication paradigm is suited to communicating objects having event driven nature, that generate bursty traffic. Cognitive Radio can help overcome the problems of collision and excessive contention in the wireless access network that will arise due to the deployment of several objects connected to infrastructure through radio links. However, there are several issues that need to be addressed before cognitive radio technology can be used for Internet of things. This paper surveys novel approaches and discusses research challenges related to the use of cognitive radio technology for Internet of things. In addition, the paper presents a general background on cognitive radio and Internet of Things with some potential applications. Our survey is different from existing surveys in that we focus on recent advances and ongoing research directions in cognitive radio in the context of Machine to Machine and Internet of Things. We review CR solutions that address generic problems of IoT including emerging challenges of autonomicity, scalability, energy efficiency, heterogeneity in terms of user equipment capabilities, complexity and environments, etc. The solutions are supported by our taxonomy of different CR approaches that are classified into two categories, flexible and efficient networking, and tackling heterogeneity. This paper intends to help new researchers entering the domain of CR and IoT by providing a comprehensive survey on recent advances. ¬© 2016 Elsevier B.V.</t>
  </si>
  <si>
    <t>Cognitive radio; Internet of Things; M2M; Smart grid; Spectrum management</t>
  </si>
  <si>
    <t>Rawat, Priyanka (24722938600); Singh, Kamal Deep (55450545400); Bonnin, Jean Marie (7004899658)</t>
  </si>
  <si>
    <t>24722938600; 55450545400; 7004899658</t>
  </si>
  <si>
    <t>https://www.scopus.com/inward/record.uri?eid=2-s2.0-84998910234&amp;doi=10.1016%2fj.comcom.2016.07.012&amp;partnerID=40&amp;md5=366bfe4c1c768ebc931ba3c6986a3c24</t>
  </si>
  <si>
    <t>2-s2.0-84998910234</t>
  </si>
  <si>
    <t>Complex networks; Energy efficiency; Internet of things; Network architecture; Radio communication; Radio links; Radio systems; Surveys; Application requirements; Cognitive radio technologies; Communication technologies; Internet of Things (IOT); Opportunistic communications; Smart grid; Spectrum management; User equipment capabilities; Cognitive radio</t>
  </si>
  <si>
    <t>Decision</t>
  </si>
  <si>
    <t>Sum</t>
  </si>
  <si>
    <t>round_5</t>
  </si>
  <si>
    <t>round_4</t>
  </si>
  <si>
    <t>round_3</t>
  </si>
  <si>
    <t>round_2</t>
  </si>
  <si>
    <t>round_1</t>
  </si>
  <si>
    <t>record_id</t>
  </si>
  <si>
    <t>asreview_prior</t>
  </si>
  <si>
    <t>exported_notes_1</t>
  </si>
  <si>
    <t>asreview_ranking</t>
  </si>
  <si>
    <t>The need to provide services closer to the end-user proximity leads to the exchange of a large volume of data generated from the smart devices deployed at different geo-distributed sites. The massive amount of data generated from the smart devices need to be transmitted, analyzed, and processed. This requires seamless data exchanges among geo-separated nodes, which results in a considerable burden on the underlying network infrastructure and can degrade the performance of any implemented solution. Therefore, a dynamic, agile, and programmable network management paradigm is required. To handle the challenges mentioned above, software-defined networking (SDN) gained much attention from academia, researchers, and industrial sectors. Shifting the computational load from forwarding devices to a logically centralized controller is a dream of every network operator who wants to have complete control and global visibility of the network. Also, the concept of network functions virtualization (NFV) in SDN controller is required to increase resource utilization efficiency. Thus, in this paper, a comprehensive survey on SDN for various smart applications is presented. This survey covers the infrastructural details of SDN hardware and OpenFlow switches, controllers, simulation tools, programming languages, open issues, and challenges in SDN implementation with advanced technologies such as 5G and microservices. In addition, the challenges on the control plane and data plane are highlighted in detail, such as fault tolerance, routing, scheduling of flows, and energy consumption on OpenFlow switches. Finally, various open issues and challenges future scope of SDN are discussed and analyzed in the proposal. © 2022 The Authors. International Journal of Communication Systems published by John Wiley &amp; Sons Ltd.</t>
  </si>
  <si>
    <t>As a new paradigm of distributed computing, mobile edge computing (MEC) has gained increasing attention due to its ability to expand the capabilities of centralized cloud computing. In MEC environments, a software application typically consists of multiple micro-services, which can be composed together in a flexible manner to achieve various user requests. However, the composition of micro-services in MEC is still a challenging research issue arising from three aspects. Firstly, composite micro-services constructed by ignoring the processing capabilities of different micro-services may cause waste of edge resources. Secondly, edge servers' limitations in terms of computational power can easily cause service occupancy between composite micro-services, severely affecting the user experience. Thirdly, in dynamic and unstable mobile environments, different edge users have different sensitivities to request latency, which increases the complexity of micro-service composition. In order to improve edge resource utilization and user experience on micro-service invocations, in this paper, we comprehensively consider the above three factors, and we first model the micro-services composition problem in MEC as a constrained multi-objective optimization problem. Then, a micro-service composition optimization method M3C combining graph search and branch-and-bound strategy is proposed to find a composition solution set with low energy consumption and high success rate for multiple edge users. Finally, we perform a series of experiments on two widely used datasets. Experimental results show that our proposed approach significantly outperforms the four competing baseline approaches, and that it is sufficiently efficient for practical deployment. © 2023 John Wiley &amp; Sons Ltd.</t>
  </si>
  <si>
    <t>More and more, accessing data remotely in a secure manner appears like the backbone for providing new advanced and customized functionalities. The proliferation of social media and domotics urges a new kind of ubiquity where different kinds of features are deployed everywhere atop of the everyday life small devices and even embedded in our surroundings. While we measure the opportunities offered by such advancements in improving people lifestyles and obtaining immediate and useful services, it is necessary to consider the real impact on our privacy. Recently, a newly adopted European standard, the General Data Protection Regulation aims at codifying the rules of personal data use. We strongly believe in the necessity for a Smart City of adopting such privacy regulation while benefiting at the same time from new services, in a generic and easy way. In that sense, we build an approach that is at the frontier of the cryptoscience domain for a better privacy and the Micro Service-Oriented Architectures for an increased use by tiers. Indeed, our service is accessible in a Software-as-a-Service (SaaS) manner and uses encryption to ensure data privacy. The particularity of our system lies in the fact that the server performs a classification algorithm without any information about the sensitive data and without the capability to decrypt it. The underlying cryptographic technology used is homomorphic encryption, allowing to perform calculations directly on encrypted data. Our service is generic by design and could be applied over several metrics. We adopt an energy efficiency use case and propose a service for buildings energy diagnosis and classification towards renovations and/or reductions of the electric consumption. We showcase our prototype of crypto-classification service by involving different actors of a Smart City community. Finally, we assess our proposal thanks to a set of real data collected from an Irish residential district. Our SaaS crypto-classifier achieves acceptable performances in terms of security, execution times and memory requirements. © Springer Nature Switzerland AG 2019.</t>
  </si>
  <si>
    <t>Edge Computing – EDGE 2020: 4th International Conference, Held as Part of the Services Conference Federation, SCF 2020, Honolulu, HI, USA, September 18-20, 2020, Proceedings</t>
  </si>
  <si>
    <t>The rise of Big Data, Internet of Multimedia Things (IoMT), and Deep Neural Network (DNN) enabled the growth of DNN-based Computer Vision solutions to Multimedia Event Processing (MEP) applications. When these are applied to a real-world scenario we notice the importance of having a system with a satisfactory speed that can fit in the limited resources of most IoMT devices. However, most solutions for distributed MEP are dependent on a Cloud architecture, which makes these applications migration to the Edge more challenging. As a response to this, we present a microservice architecture for DNN-based distributed MEP over heterogeneous Cloud-Edge environments. We describe our solution that allows for an easier deployment both on the Edge and on the Cloud. We show that choosing the proper tools for an Edge-Friendly solution can lead to 100 times less resource utilisation. Our preliminary investigation shows promising results, with a reduction in energy consumption by 8% with a minor drawback of 15% in throughput in the Edge and a negligible increase in energy consumption on the Cloud. © 2021, Springer Nature Switzerland AG.</t>
  </si>
  <si>
    <t>It is generally confessed that the energy consumption in large passenger and cruise ships cannot be predicted and that is a complex and also difficult issue. Intending to resolve it, this chapter reports on an unique technique that improves an innovative agent-based simulation model, which considers varied specifications such as the size, kind as well as behavior of the different categories of passengers onboard, the energy consuming centers as well as devices of a ship, spatial data concerning the layout of a ship’s decks, and also alternate ship procedures. Based on the suggested approach, results acquired from multiple simulation runs are then used up by appropriate Machine Learning algorithms to extract purposeful patterns in between the structure of passengers as well as the corresponding energy needs in a ship. By doing this, our approach is able to predict different energy consumption situations as well as activate significant insights concerning the total power management in a ship. On the whole, the proposed approach may handle the hidden unpredictability by blending the process-centric character of a simulation model and the data-centric character of Machine Learning algorithms. The chapter also describes the general architecture of the suggested remedy, which is based upon the microservices strategy. © 2022, The Author(s), under exclusive license to Springer Nature Switzerland AG.</t>
  </si>
  <si>
    <t>Advanced Information Systems Engineering: 34th International Conference, CAiSE 2022, Leuven, Belgium, June 6–10, 2022, Proceedings</t>
  </si>
  <si>
    <t>EC3 but maybe interesting</t>
  </si>
  <si>
    <t>Advances in Practical Applications of Agents, Multi-Agent Systems, and Complex Systems Simulation. The PAAMS Collection: 20th International Conference, PAAMS 2022, L'Aquila, Italy, July 13–15, 2022, Proceedings</t>
  </si>
  <si>
    <t>Service-Oriented Computing: 20th International Conference, ICSOC 2022, Seville, Spain, November 29 – December 2, 2022, Proceedings</t>
  </si>
  <si>
    <t>Web Services – ICWS 2023: 30th International Conference, Held as Part of the Services Conference Federation, SCF 2023, Honolulu, HI, USA, September 23–26, 2023, Proceedings</t>
  </si>
  <si>
    <t>Service-Oriented Computing: 21st International Conference, ICSOC 2023, Rome, Italy, November 28 – December 1, 2023, Proceedings, Part I</t>
  </si>
  <si>
    <t>Improve IT Sustainability with IT Technology – Comparison of an Explore vs. Exploit Strategy (with a Case Study on Containerized Workloads)</t>
  </si>
  <si>
    <t>The size and complexity of IT systems is growing over time. Therefore, the resource unit footprint of an IT system grows, too. But what impact has an exploration strategy of new technologies to reduce the footprint? Based on a case study of a cloud service from the Volkswagen Group IT an exploration approach is compared with an exploitation approach. It presents the methodical approach and its effects on the resource unit footprint of a micro-service architecture of the IT service. The approach enables the DevOps team to beat Wirth’s law by keeping the footprint at least constant by offering more capabilities and features to their users. © The Author(s), under exclusive license to Springer Nature Switzerland AG 2024.</t>
  </si>
  <si>
    <t>Containerization; Green IT; Micro-Service; Native Image; Sustainability; Wirth’s law</t>
  </si>
  <si>
    <t>Case-studies; Containerization; Exploration strategies; Green-IT; IT system; Micro services; Native image; Resource units; Technology comparison; Wirth’s law</t>
  </si>
  <si>
    <t>The consolidation of resources is one of the most efficient strategies to reduce the power consumption in data centers. Various algorithms have been proposed in order to reduce the total number of required servers and network devices. The practice developed in response to the problem of server sprawl, a situation in which multiple, under-utilized servers (and/or network devices) take up more space and consume more resources than can be justified by their workload; with the effect to power off unused equipment. Generally, consolidation mechanisms consider different parameters related to the services neglecting the specific function of the Virtual Machines (VMs) in the application framework (e.g., core component, backup replica, member of a set of workers for load balancing). In this work, we developed a new consolidation algorithm that takes into account the particular function of each VM with the aim to apply power saving mechanisms without compromising the desired service level. The results of the simulations show that it is possible to obtain significant values of energy saving. In particular, we show, with different heuristics, the optimal trade-off between service level and power efficiency achieved by the proposed model. © Springer International Publishing AG 2017.</t>
  </si>
  <si>
    <t>Unexpected loads in Cloud data centers may trigger overloaded situation and performance degradation. To guarantee system performance, cloud computing environment is required to have the ability to handle overloads. The existing approaches, like Dynamic Voltage Frequency Scaling and VM consolidation, are effective in handling partial overloads, however, they cannot function when the whole data center is overloaded. Brownout has been proved to be a promising approach to relieve the overloads through deactivating application non-mandatory components or microservices temporarily. Moreover, brownout has been applied to reduce data center energy consumption. It shows that there are trade-offs between energy saving and discount offered to users (revenue loss) when one or more services are not provided temporarily. In this paper, we propose a brownout-based approximate Markov Decision Process approach to improve the aforementioned trade-offs. The results based on real trace demonstrate that our approach saves 20% energy consumption than VM consolidation approach. Compared with existing energy-efficient brownout approach, our approach reduces the discount amount given to users while saving similar energy consumption. © Springer International Publishing AG 2017.</t>
  </si>
  <si>
    <t>Mobile Cloudlet Computing paradigm (MCC) allows execution of resource-intensive mobile applications using computation cloud resources by exploiting computational offloading method for resource-constrained mobile devices. Whereas, computational offloading needs the mobile application to be partitioned during the execution in the MCC so that total execution cost is minimized. In the MCC, at the run-time network contexts (i.e., network bandwidth, signal strength, latency, etc.) are intermittently changed, and transient failures (due to temporary network connection failure, services busy, database disk out of storage) often occur for a short period of time. Therefore, transient failure aware partitioning of the mobile application at run-time is a challenging task. Since, existing MCC offers computational monolithic services by exploiting heavyweight virtual machines, which incurs with long VM startup time and high overhead, and these cannot meet the requirements of fine-grained microservices applications (e.g., E-healthcare, E-business, 3D-Game, and Augmented Reality). To cope up with prior issues, we propose microservices based mobile cloud platform by exploiting containerization which replaces heavyweight virtual machines, and we propose the application partitioning task assignment (APTA) algorithm which determines application partitioning at run-time and adopts the fault aware (FA) policy to execute microservices applications robustly without interruption in the MCC. Simulation results validate that the proposed microservices mobile cloud platform not only shrinks the setup time of run-time platform but also reduce the energy consumption of nodes and improve the application response time by exploiting APTA and FA to the existing VM based MCC and application partitioning strategies. © 2019, Springer-Verlag GmbH Austria, part of Springer Nature.</t>
  </si>
  <si>
    <t>In the past few years the use of IoT devices has grown exponentially. When it comes to working with them, we find a series of problems that are not easy to solve. On the one hand, the simple fact of communicating with those devices can be problematic since they can use different types of technologies regarding that communication. On the other hand, these types of devices usually aim to perform their function using the lowest possible energy, meaning they have certain constraints in terms of performance. Trying to work with these devices in high-availability environments becomes difficult because of those restraints. This paper introduces digital dice, a virtual representation of IoT devices and cyber-physical systems based on microservices that uses the standard established by the W3C, the Web of Things, as the underlying framework to declare its possible interactions. The article puts forward the different strategies that Digital Dice uses to mitigate the problems raised. Furthermore, we contrast the performance of Digital Dice with using the devices directly, demonstrating its advantages in a process that requires High Availability. © 2023, The Author(s).</t>
  </si>
  <si>
    <t>Fé I.; Nguyen T.A.; Mauro M.D.; Postiglione F.; Ramos A.; Soares A.; Choi E.; Min D.; Lee J.W.; Silva F.A.</t>
  </si>
  <si>
    <t>Computer system resilience refers to the ability of a computer system to continue functioning even in the face of unexpected events or disruptions. These disruptions can be caused by a variety of factors, such as hardware failures, software glitches, cyber attacks, or even natural disasters. Modern computational environments need applications that can recover quickly from major disruptions while also being environmentally sustainable. Balancing system resilience with energy efficiency is challenging, as efforts to improve one can harm the other. This paper presents a method to enhance disaster survivability in microservice architectures, particularly those using Kubernetes in cloud-based environments, focusing on optimizing electrical energy use. Aiming to save energy, our work adopt the consolidation strategy that means grouping multiple microservices on a single host. Our aproach uses a widely adopted analytical model, the Generalized Stochastic Petri Net (GSPN). GSPN are a powerful modeling technique that is widely used in various fields, including engineering, computer science, and operations research. One of the primary advantages of GSPN is its ability to model complex systems with a high degree of accuracy. Additionally, GSPN allows for the modeling of both logical and stochastic behavior, making it ideal for systems that involve a combination of both. Our GSPN models compute a number of metrics such as: recovery time, system availability, reliability, Mean Time to Failure, and the configuration of cloud-based microservices. We compared our approach against others focusing on survivability or efficiency. Our approach aligns with Recovery Time Objectives during sudden disasters and offers the fastest recovery, requiring 9% less warning time to fully recover in cases of disaster with alert when compared to strategies with similar electrical consumption. It also saves about 27% energy compared to low consolidation strategies and 5% against high consolidation under static conditions. © The Author(s), under exclusive licence to Springer-Verlag GmbH Austria, part of Springer Nature 2024.</t>
  </si>
  <si>
    <t>Fé, Iure (57194271358); Nguyen, Tuan Anh (56433780500); Mauro, Mario Di (54396864500); Postiglione, Fabio (35238137800); Ramos, Alex (59175549600); Soares, André (57217263565); Choi, Eunmi (8969714200); Min, Dugki (7201670327); Lee, Jae Woo (57203409283); Silva, Francisco Airton (55817259800)</t>
  </si>
  <si>
    <t>Microservices are widely used to enable agility and scalability in modern software systems, while cloud computing offers cost-effective ways to provision computing resources on demand. However, ensuring the correctness of scaling decisions and their impact on energy consumption is a challenging problem that has not been sufficiently addressed in previous research. Thus, in this paper, we present an innovative approach for analyzing host energy consumption and energy violations influenced by microservice autoscaling policies using probabilistic model checking (PMC). We propose four variations of the Markov Decision Process (MDP) models that incorporate various scaling constraints inspired by Kubernetes-based Horizontal Pod Autoscaler, and we encode these models using two different approaches, namely, bounded-by-action (BBA) and bounded-by-state (BBS). We use PMC to verify the scaling policies in terms of host energy consumption and energy violations, and we conduct sensitivity analysis to demonstrate the effectiveness of our models in generating energy-efficient scaling policies. Our results show that the latency and energy-based MDP model offers the most suitable policies for ensuring energy efficiency in microservice systems. Additionally, the number of pods and the scale-out action significantly affect energy consumption and violations. Sensitivity analysis also reveals that incorporating latency into scaling decisions is key to energy efficiency, while variations in the maximum pod threshold significantly influence energy consumption and violation. Our approach provides a formal method for ensuring the correctness of microservice autoscaling decisions in cloud environments at design time and can help reduce energy consumption and violations while ensuring service-level objectives are met. © The Author(s), under exclusive licence to Springer Nature B.V. 2024.</t>
  </si>
  <si>
    <t>Ramos-Ramos D.; González-Vegas A.; Berrocal J.; Galán-Jiménez J.</t>
  </si>
  <si>
    <t>Yearly, the rates of Internet penetration are on the rise, surpassing 80% in developed nations. Despite this progress, over two billion individuals in rural and low-income regions face a complete absence of Internet access. This lack of connectivity hinders the implementation of vital services like remote healthcare, emergency assistance, distance learning, and personal communications. To bridge this gap and bring essential services to rural populations, this paper leverages Unmanned Aerial Vehicles (UAVs). The proposal introduces a UAV-based network architecture and an energy-efficient algorithm to deploy Internet of Things (IoT) applications. These applications are broken down into microservices, strategically distributed among a subset of UAVs. This approach addresses the limitations associated with running an entire IoT application on a single UAV, which could lead to suboptimal outcomes due to battery and computational constraints. Simulation results conducted in a realistic scenario underscore the effectiveness of the proposed solution. The evaluation includes assessing the percentage of IoT requests successfully served to users in the designated area and reducing the energy consumption required by UAVs during the handling of such requests. © The Author(s) 2024.</t>
  </si>
  <si>
    <t>Ramos-Ramos, Diego (59246875200); González-Vegas, Alejandro (59155363400); Berrocal, Javier (32667521200); Galán-Jiménez, Jaime (35112903800)</t>
  </si>
  <si>
    <t>Guamán D.; Pérez J.; Valdiviezo-Diaz P.</t>
  </si>
  <si>
    <t>For information and communication technology to reach its goal of zero emissions in 2050, power consumption must be reduced, including the energy consumed by software. To develop sustainability-aware software, green metrics have been implemented to estimate the energy consumed by the execution of an application. However, they have a rebound energy consumption effect because they require an application to be executed to estimate the energy consumed after each change. To address this problem, it is necessary to construct energy estimation models that do not require the execution of applications. This work addresses this problem by constructing a green model based on size, complexity and duplicated lines to estimate the energy consumed by model-view-controller applications without their execution. This article defines a model constructed based on 52 applications. The results were accurate in twelve applications, which showed that the joule estimation was very close to reality, avoiding the energy consumed by the execution of applications. © 2023, The Author(s).</t>
  </si>
  <si>
    <t>Guamán, Daniel (57188566526); Pérez, Jennifer (37043795900); Valdiviezo-Diaz, Priscila (36186316400)</t>
  </si>
  <si>
    <t>Supervised deep learning has achieved remarkable success in various applications. Successful machine learning application however depends on the availability of sufficiently large amount of data. In the absence of data from the target domain, representative data collection from multiple sources is often needed. However, a model trained on existing multi-source data might generalize poorly on the unseen target domain. This problem is referred to as domain shift. In this paper, we explore the suitability of multi-source training data selection to tackle the domain shift challenge in the context of domain generalization. We also propose a microservice-oriented methodology for supporting this solution. We perform our experimental study on the use case of building energy consumption prediction. Experimental results suggest that minimal building description is capable of improving cross-building generalization performances when used to select energy consumption data. © 2020, Springer-Verlag London Ltd., part of Springer Nature.</t>
  </si>
  <si>
    <t>Renewable-dominated power grids will require industry to run their processes in accordance with the availability of energy. At the same time, digitalization introduces new possibilities to leverage the untapped optimization potential to provide this flexibility. Mathematical optimization methods such as mixed-integer linear programming (MILP) are widely used to predict optimal operation plans for industrial systems. MILP models are difficult to adapt, but the viability of the predicted plans relies on accurate underlying models of the actual behavior. New automation paradigms, such as the digital twin (DT), can overcome these current drawbacks. In this work, we present the implementation and experimental evaluation of several micro-services on a standardized five-dimensional DT platform that automate MILP model adaption and operation optimization. These micro-services guarantee that, (1) deviations between the physical entity and its virtual entity models are detected, (2) the models are adapted accordingly, (3) subsequently linearized to suit the MILP approach and (4) used for live operational optimization. These novel services and DT workflows that orchestrate them were experimentally tested with a packed bed thermal energy storage (PBTES) test rig that acts as a physical entity. A waste heat recovery use case in steel production is used as the evaluation scenario. While the model error of a static simulation model would increase to 60% over 7 days of operation, the model error remains well below 25% as a result of successful model adaption. The prediction error of the optimization model remains in a typical magnitude of 10 to 20% during the evaluation period, despite the degradation of the PBTES power. © 2023 The Author(s)</t>
  </si>
  <si>
    <t>Kasper, Lukas (57217080482); Schwarzmayr, Paul (57219354141); Birkelbach, Felix (57194472014); Javernik, Florian (57188999402); Schwaiger, Michael (58539225300); Hofmann, René (55413515600)</t>
  </si>
  <si>
    <t>Microservices (MSs)-based architectures have become the de facto standard for designing and implementing edge computing applications. In particular, by leveraging Network Performance Metrics (NPMs) coming from the Radio Access Network (RAN) and sharing context-related information, AI-driven MSs have demonstrated to be highly effective in optimizing RAN performance. In this context, this work addresses the critical challenge of ensuring efficient data sharing and consistency by proposing a holistic platform that regulates the collection and usage of NPMs. We first introduce two reference platform architectures and detail their implementation using popular, off-the-shelf database solutions. Then, to evaluate and compare such architectures and their implementation, we develop PACE, a highly configurable, scalable, MS-based emulation framework of producers and consumers of NPMs, capable of realistically reproducing a broad range of interaction patterns and load dynamics. Using PACE on our cloud computing testbed, we conduct a thorough characterization of various NPM platform architectures and implementations under a spectrum of realistic edge traffic scenarios, from loosely coupled control loops to latency- and mission- critical use cases. Our results reveal fundamental trade-offs in stability, availability, scalability, resource usage, and energy footprint, demonstrating how PACE effectively enables the identification of suitable platform solutions depending on the reference edge scenario and the required levels of reliability and data consistency. © 2025 The Authors</t>
  </si>
  <si>
    <t>It is essential to keep honey bees healthy for providing a sustainable ecological balance. One way of keeping honey bees healthy is to be able to monitor and control the general conditions in a beehive and also outside of a beehive. Monitoring systems offer an effective way of accessing, visualizing, sharing, and managing data that is gathered from performed agricultural and livestock activities for domain stakeholders. Such systems have recently been implemented based on wireless sensor networks (WSN) and IoT to monitor the activities of honey bees in beehives as well. Scholars have shown considerable interests in proposing IoT- and WSN-based beehive monitoring systems, but much of the research up to now lacks in proposing appropriate architecture for open data driven beehive monitoring systems. Developing a robust monitoring system based on a contemporary software architecture such as microservices can be of great help to be able to control the activities of honey bees and more importantly to be able to keep them healthy in beehives. This research sets out to design and implementation of a sustainable WSN-based beehive monitoring platform using a microservice architecture. We pointed out that by adopting microservices one can deal with long-standing problems with heterogeneity, interoperability, scalability, agility, reliability, maintainability issues, and in turn achieve sustainable WSN-based beehive monitoring systems. © 2022 Elsevier B.V.</t>
  </si>
  <si>
    <t>This study investigates the economic viability of extracting bioproducts from discarded cactus pear (Opuntia ficus-indica) waste in Sicily, where the cactus pear industry is well-established. The focus is on employing green extraction technologies, such as microwave-assisted methods, to produce valuable compounds like seed oil, pectin, and bioactive substances for use in the cosmetic, nutraceutical, and pharmaceutical industries. The results demonstrate that increasing the scale of production from 200 to 400 tons significantly enhances the financial performance of the operation, reducing the payback period from 6.5 to 4 years and yielding positive Net Present Value (NPV) and Internal Rate of Return (IRR) values, reaching up to 35.7 %. However, challenges such as the seasonality of raw material availability and the high energy requirements of green technologies are noted. These findings suggest that while the project is economically feasible, managing supply chain variability and optimising energy consumption are critical for long-term sustainability. Additionally, the increasing consumer demand for sustainable and functional products provides a strong market opportunity for these bioproducts, though competition from international players leveraging economies of scale could pose a threat. This study highlights the importance of integrating green technologies in bioeconomy projects and offers insights for policymakers and industry leaders. Policymakers can support these initiatives through incentives and regulations, while businesses in the cosmetic and nutraceutical sectors may find competitive advantages in the quality and sustainability of these bioproducts. Further research should explore alternative biomass sources and innovations in extraction efficiency to ensure continuous production and cost reductions. © 2025</t>
  </si>
  <si>
    <t>In their quest to enhance energy efficiency and carbon footprint management, many enterprises are turning their attention towards optimizing their facilities through amplified data monitoring and innovative control methods. In this context, this research highlights a practical solution in a commercial building located in the United States. It explains the creation, implementation, and costs of a universally applicable model predictive control (MPC) framework for the building's heating, ventilation, and air conditioning (HVAC) system. The paper elaborates on both the hardware and software used to accumulate pertinent data and the formulation of the MPC system. This approach leverages cloud-based microservices and can be seamlessly integrated into current building management systems. In this regard, this paper presents three innovative strategies: Proportional–integral (PI)+Preheating, MPC, and occupancy-based control. These scenarios were designed to improve energy efficiency and thermal comfort significantly by reducing temperature fluctuations and adhering more closely to the setpoint temperature. The implementation of these strategies resulted in substantial energy savings, with reductions in energy consumption of 12.83%, 19.21%, and 14.98%, respectively. © 2024 Elsevier Ltd</t>
  </si>
  <si>
    <t>With the explosion of the Internet of Things (IoT) devices, the advent of the edge computing paradigm, and the rise of intelligent applications for smart infrastructure surveillance, in-network data management is gaining a lot of research attention these days. The challenge lies in accommodating multiple application microservices with varying Quality of Service (QoS) requirements to share the sensing infrastructure for better resource utilization. In this work, we propose a novel data collection framework, CaDGen (Context-aware Data Generation) for such a shared IoT infrastructure that enables integrated data filtration and forwarding towards minimizing the resource consumption footprint for the IoT infrastructure. The proposed filtration mechanism utilizes the contextual information associated with the running application for determining the relevance of the data. Whereas the proposed forwarding policy aims to satisfy the diverse QoS requirements for the running applications by selecting the suitable next-hop forwarder based on the microservices distribution across different edge devices. A thorough performance evaluation of CaDGen through a testbed implementation as well as a simulation study for diverse setups reveals promising results concerning network resource utilization, scalability, energy conservation, and distribution of computation for optimal service provisioning. It is observed that the CaDGen can achieve nearly 35% reduction in the generated data for a moderately dynamic scenario without compromising on the data quality. © 2022 Elsevier B.V.</t>
  </si>
  <si>
    <t>García-Gil S.; Ramos-Ramos D.; Berrocal J.; Murillo J.M.; Galán-Jiménez J.</t>
  </si>
  <si>
    <t>The access to Internet and digital services play a key role in all aspects of development, from the economic to the socio-cultural dimensions, yet a substantial part of the world's population is deprived of this source of opportunities. Rural regions, characterized by having low population densities, suffer this lack of provision the most. On top of that, the remoteness and complicated orography of rural localities render traditional network infrastructure close to useless. To ensure that these localities benefit from access to digital services and to the Internet, we envision the use of swarms of Unmanned Aerial Vehicles (UAVs). Through computing enabled UAVs, the deployment of IoT applications decomposed into microservices that have an impact in the main socio-economic activities becomes a possibility. However, UAVs consume a lot of battery power, which complicates the feasibility of their use in real-world environments. To overcome this limitation, in this paper the energy optimal deployment and migration of microservices is studied, resulting in an Mix Integer Linear Programming (MILP) problem formulation. As a result, an optimal battery drain aware deployer and migrator of microservices in UAV-based networks is proposed. Our method has proved effective during the simulation, perfectly balancing the work load between UAVs, thus balancing also battery drain and maximizing fly time. © 2024 Elsevier B.V.</t>
  </si>
  <si>
    <t>García-Gil, Santiago (58915641800); Ramos-Ramos, Diego (59246875200); Berrocal, Javier (32667521200); Murillo, Juan Manuel (8687210000); Galán-Jiménez, Jaime (35112903800)</t>
  </si>
  <si>
    <t>The Internet of Things (IoT) has a large and rapidly expanding number of deployed devices, which leads to a significant global energy consumption footprint. Diverse IoT use cases, including smart cities, smart grids, Industry 5.0, eHealth, and autonomous vehicles, are contributing to this increase in energy consumption. Optimising energy utilisation is crucial to sustaining the exponential growth of IoT applications, which demand stringent delays and latencies measured in milliseconds and microseconds. There are additional complexities with the emergence of edge, fog, and cloud computing and the need to manage the energy consumption at all the layers. In this paper, mechanisms that can be used to minimise energy consumption within an edge–fog–cloud IoT architecture for real-time IoT applications are being proposed. We investigate mechanisms for optimal node selection, primarily focusing on minimising energy usage while adhering to the Quality of Service (QoS) requirements of various IoT requests. The mechanisms include genetic, modified genetic, and delay-aware algorithms tailored explicitly for real-time IoT applications. We evaluated the proposed mechanisms using a simulation of diverse network scenarios. The results presented in the paper provide insight into balancing processing time and energy efficiency, which are critical considerations in sustainably developing IoT applications in an edge–fog–cloud IoT architecture. © 2025 The Author(s)</t>
  </si>
  <si>
    <t>Microservice architecture is a promising architectural style. It decomposes monolithic software into a set of loosely coupled containerized microservices and associates them into multiple microservice chains to serve service requests. The new architecture creates flexibility for service provisioning but also introduces increased energy consumption and low service performance. Efficient resource allocation is critical. Unfortunately, existing solutions are designed at a coarse level for virtual machine (VM)-based clouds and not optimized for such chain-oriented service provisioning. In this paper, we study the resource allocation optimization problem for service request routing and microservice instance placement, so as to jointly reduce both resource usage and chains’ end-to-end response time for saving energy and guaranteeing Quality of Service (QoS). We design detailed workload models for microservices and chains and formulate the optimization problem as a bi-criteria optimization problem. To address it, a three-stage scheme is proposed to search and optimize the trade-off decisions, route service requests into instances and deploy instances to servers in a balanced manner. Through numerical evaluations, we show that while assuring the same QoS, our scheme performs significantly better than and faster than benchmarking algorithms on reducing energy consumption and balancing load. © 2019</t>
  </si>
  <si>
    <t>Blockchain technology combined with Federated Learning (FL) offers a promising solution for enhancing privacy, security, and efficiency in medical IoT applications across edge, fog, and cloud computing environments. This approach enables multiple medical IoT devices at the network edge to collaboratively train a global machine learning model without sharing raw data, addressing privacy concerns associated with centralized data storage. This paper presents a blockchain and FL-based Smart Decision Making framework for ECG data in microservice-based IoT medical applications. Leveraging edge/fog computing for real-time critical applications, the framework implements a FL model across edge, fog, and cloud layers. Evaluation criteria including energy consumption, latency, execution time, cost, and network usage show that edge-based deployment outperforms fog and cloud, with significant advantages in energy consumption (0.1% vs. Fog, 0.9% vs. Cloud), network usage (1.1% vs. Fog, 31% vs. Cloud), cost (3% vs. Fog, 20% vs. Cloud), execution time (16% vs. Fog, 28% vs. Cloud), and latency (1% vs. Fog, 79% vs. Cloud). © 2024</t>
  </si>
  <si>
    <t>Microservice architectures and design patterns enhance the development of large-scale applications by promoting flexibility. Industrial practitioners perceive the importance of applying architectural patterns but they struggle to quantify their impact on system quality requirements. Our research aims to quantify the effect of design patterns on system performance metrics, e.g., service latency and resource utilization, even more so when the patterns operate in real-world environments subject to heterogeneous workloads. We built a cloud infrastructure to host a well-established benchmark system that represents our test bed, complemented by the implementation of three design patterns: Gateway Aggregation, Gateway Offloading, Pipe and Filters. Real performance measurements are collected and compared with model-based predictions that we derived as part of our previous research, thus further consolidating the actual impact of these patterns. Our results demonstrate that, despite the difficulty to parameterize our benchmark system, model-based predictions are in line with real experimentation, since the performance behaviors of patterns, e.g., bottleneck switches, are mostly preserved. In summary, this is the first work that experimentally demonstrates the performance behavior of microservices-based architectural patterns. Results highlight the complexity of evaluating the performance of design patterns and emphasize the need for complementing theoretical models with empirical data. © 2024 The Authors</t>
  </si>
  <si>
    <t>EC3 but maybe useful</t>
  </si>
  <si>
    <t>A commonplace issue with portable technology is battery efficiency. While many industries are trying their best to improve battery life without sacrificing a products quality and efficiency, we believe that further can be done to improve battery consumption on ones mobile devicefrom tablets to smartphones to laptops to everything else. Many applications on these devices are based on a microservice architecture. In this article, we introduce a new algorithm KaliGreen that can maneuver the microservices within a network of devices in order to maximize the run-time of a microservice-based application; moreover, KaliGreen allows a 54% increase in the average run-time of an application by shifting microservices from 6 devices (as example) with low battery or inefficient processing ratios to devices in better conditions. To achieve this, KaliGreen utilizes KaliMucho middleware, which is able manipulate microservices in run-time. This algorithm provides a plausible solution to maximizing energy consumption within a network of devices. © 2018 The Authors. Published by Elsevier Ltd.</t>
  </si>
  <si>
    <t>Laso S.; Rodríguez P.; Herrera J.L.; Berrocal J.; Murillo J.M.</t>
  </si>
  <si>
    <t>The Computing Continuum paradigm provides developers with a distributed infrastructure for deploying applications through the network, improving performance and energy consumption. However, to maintain applications’ efficiency, their deployment in the Computing Continuum has to be continuously adapted to the varying load of different nodes of the network. In practice, existing support frameworks allow developers to automatically identify how to deploy applications based on the infrastructure status. However, as the application takes time to be deployed, the chosen deployment is outdated once it is applied through the network, as workloads change over time. To address this practical engineering challenge and plan deployments that foresee changes in energy consumption and workload, predictive solutions are needed. To fulfill this need, this work presents the Microservice Energy consumption and Workload Forecaster (MEWF), a prediction system that leverages artificial intelligence techniques to precisely predict CPU usage and energy consumption in varying circumstances. Our practical evaluation over multiple real microservices shows that MEWF improves prediction precision by up to 55% w.r.t. state-of-the-art benchmarks, enabling efficient resource management and demonstrating significant value for real-world deployments. © 2025</t>
  </si>
  <si>
    <t>Laso, Sergio (57215899094); Rodríguez, Pablo (59510541000); Herrera, Juan Luis (57215896262); Berrocal, Javier (32667521200); Murillo, Juan M. (8687210000)</t>
  </si>
  <si>
    <t>In recent years, with the development of cloud computing, virtualization technology has received widespread attention. As a new representative of virtualization technology, containers have been widely used in software development, operation and maintenance, testing and other aspects, such as microservices and Docker Cloud. In cloud data centers, containers have gradually replaced virtual machines (VMs) as a new carrier for cloud tasks. However, with the increasing number of cloud products, the scale of tasks requested by users in cloud data centers continues to expand. The economic cost of tasks in the process of containerized deployment has become a concern of various cloud service vendors. The container deployment cost usually includes the data exchange cost, the image pull cost and the server energy cost. In order to solve the containerized deployment of application tasks in the container cloud environment with the lowest possible container deployment cost, this paper proposes a new cost calculation model in a container cloud environment, and then presents an improved particles swarm algorithm, namely a particle swarm optimization (PSO) algorithm for container deployment (CD-PSO) to provide the best solution for application task loading. Experimental results show that the proposed algorithm has a lower deployment cost than other scheduling algorithms. © 2019 Published under licence by IOP Publishing Ltd.</t>
  </si>
  <si>
    <t>IoT-DDL–Device Description Language for the “T” in IoT</t>
  </si>
  <si>
    <t>We argue that the success of the Internet of Things (IoT) vision will greatly depend on how its main ingredient-the “thing”-is architected and prepared to engage. The IoT's fragmented and widevarying nature introduces the need for additional effort to homogenize these things so they may blend together with the surrounding space to create opportunities for powerful and unprecedented IoT applications. We introduce the IoT Device Description Language (IoT-DDL), a machineand human-readable descriptive language for things, seeking to achieve such integration and homogenization. IoT-DDL explicitly tools things to self-discover and securely share their own capabilities, entities, and services, including the various cloudbased accessories that may be attached to them. We also present the Atlas thing architecture-a lightweight architecture for things that fully exploits IoT-DDL and its specifications. Our architecture provides new OS layers, services, and capabilities we believe a thing must have in order to be prepared to engage in IoT scenarios and applications. The architecture and IoT-DDL enable things to generate their offered services and self-formulate APIs for such services, on the fly, at power-on or whenever a thing description changes. The architecture takes advantage of widely used device management, micro-services, security, and communication standards and protocols. We present details of IoT-DDL and corresponding parts of the thing architecture. We demonstrate some features of IoT-DDL and the architecture through proof-of-concept implementations. Finally, we present a benchmarking study to measure and assess time performance and energy consumption characteristics of our architecture and IoT-DDL on real hardware platforms.</t>
  </si>
  <si>
    <t>Philips; Basic Science Research Program through the National Research Foundation of Korea; Ministry of Science; ICT(grant numbers:2017R1A2B4010395);</t>
  </si>
  <si>
    <t>It is expected that peer to peer energy trading will constitute a significant share of research in upcoming generation power systems due to the rising demand of energy in smart microgrids. However, the on-demand use of energy is considered a big challenge to achieve the optimal cost for households. This paper proposes a blockchain-based predictive energy trading platform to provide real-time support, day-ahead controlling, and generation scheduling of distributed energy resources. The proposed blockchain-based platform consists of two modules; blockchain-based energy trading and smart contract enabled predictive analytics modules. The blockchain module allows peers with real-time energy consumption monitoring, easy energy trading control, reward model, and unchangeable energy trading transaction logs. The smart contract enabled predictive analytics module aims to build a prediction model based on historical energy consumption data to predict short-term energy consumption. This paper uses real energy consumption data acquired from the Jeju province energy department, the Republic of Korea. This study aims to achieve optimal power flow and energy crowdsourcing, supporting energy trading among the consumer and prosumer. Energy trading is based on day-ahead, real-time control, and scheduling of distributed energy resources to meet the smart grid's load demand. Moreover, we use data mining techniques to perform time-series analysis to extract and analyze underlying patterns from the historical energy consumption data. The time-series analysis supports energy management to devise better future decisions to plan and manage energy resources effectively. To evaluate the proposed predictive model's performance, we have used several statistical measures, such as mean square error and root mean square error on various machine learning models, namely recurrent neural networks and alike. Moreover, we also evaluate the blockchain platform's effectiveness through hyperledger calliper in terms of latency, throughput, and resource utilization. Based on the experimental results, the proposed model is effectively used for energy crowdsourcing between the prosumer and consumer to attain service quality.  © 2013 IEEE.</t>
  </si>
  <si>
    <t>E. Ahvar; S. Ahvar; Z. Á. Mann; N. Crespi; R. Glitho; J. Garcia-Alfaro</t>
  </si>
  <si>
    <t>European Union’s Horizon 2020 Research and Innovation Programme (FogProtect)(grant numbers:871525);</t>
  </si>
  <si>
    <t>Container technology is becoming increasingly popular as an alternative to traditional virtual machines because it provides a faster, lighter, and more portable runtime environment for the applications. A container bundles the application and its binary code, libraries, and configuration files together while sharing the host operating system image. Accordingly, containers efficiently share resources and operate small micro-services, software programs, and even more extensive applications with less overhead than virtual machines. There are many container technologies available with Docker being the most popular and many technologies support multiple architectures, including the ARM architecture. Due to its energy efficiency and high-performance, which are crucial parameters in containerization, ARM architecture is becoming prevalent in container technologies. In this paper, we explore various container technologies that support ARM architecture and investigate the pros and cons of each technology. Moreover, we provide a comparative analysis of both container orchestrators and container runtimes that are most prominent competitors of Docker. We also consider security of container technologies with particular focus on the image scanning tools that supports ARM architecture. Our survey reveals that ARM technology is gaining popularity in containerization and almost all recent technologies support ARM architecture. © 2013 IEEE.</t>
  </si>
  <si>
    <t>A middleware software can be seem as an abstraction layer between hardware and user applications, that facilitates the development and deployment of services in various scenarios, such as those found in Home Energy Management Systems (HEMS). There are several middleware proposals for HEMS, with most of them taking the cloud computing approach. This approach is unconcerned about computing resources but raises a dependency on external connections. This paper presents a middleware for energy management systems, based on the concept of edge computing for smart homes. The paper presents a reference model for the proposed architecture, considering specific requirements for this type of application. The proposed architecture employs the concept of microservices for data access and system configuration. The proposed middleware is designed to work with embedded systems under computational constraints, such as processing capability and storage, to reduce costs and allow its application closer to the user. The middleware is open and customizable to meet the developer’s needs. The proposed solution was implemented and tested in a university laboratory, as well as at the Eldorado Research Institute to confirm the effectiveness of the middleware. The proposal stands out from others found in the literature as it can be implemented using low cost hardware. In addition to using microservices concepts, the proposed middleware is a valuable option for applications that need an edge computing approach. A performance analysis was carried out, using low cost hardware with limited resources. The results show that the proposal can handle a significant number of devices, offering low latency and low error rate, and consuming few processing resources and memory.</t>
  </si>
  <si>
    <t>Companhia Paranaense de Energia (COPEL) through the Research and Development Project ANEEL PD-02866-0508/2019;</t>
  </si>
  <si>
    <t>The fog and edge computing paradigm provide a distributed architecture of nodes with processing capability for smart healthcare systems driven by Internet of Thing (IoT) applications. It also provides a method to reduce big data transmissions that cause latency and enhance the system’s efficiency. Resource provisioning and scheduling in edge and fog systems is a significant problem due to heterogeneity and dispersion of edge/fog/cloud resources. The goal of scheduling is to map tasks to appropriate resources, which belong to NP-hard problems, and it takes much time to find an optimal solution. Meta-heuristic methods achieve near-optimal solutions within a reasonable time. Current edge/fog resource allocation research does not sufficiently address resource allocation problems in mobility-aware microservice-based IoT applications. This paper proposes a meta-heuristic-based micro-service resource provisioning model with mobility management for smart healthcare systems. The proposed approach has been tested on an experimental set-up with a simulation of a critical real-time smart healthcare application with and without considering the mobility of the devices. It applies meta-heuristic methods such as modified genetic and flower pollination algorithms for resource management. The proposed method outperforms the existing solutions in energy consumption, network usage, cost, execution time, and latency by 17%, 20%, 22%, 17%, and 63%, respectively.</t>
  </si>
  <si>
    <t>Dutch Ministry of Economic Affairs and Climate Policy and the Ministry of the Interior and Kingdom Relations;</t>
  </si>
  <si>
    <t>I. Fé; T. A. Nguyen; A. B. Soares; S. Son; E. Choi; D. Min; J. -W. Lee; F. A. Silva</t>
  </si>
  <si>
    <t>System dependability is pivotal for the reliable execution of designated computing functions. With the emergence of cloud-fog computing and microservices architectures, new challenges and opportunities arise in evaluating system dependability. Enhancing dependability in microservices often involves component replication, potentially increasing energy costs. Thus, discerning optimal redundancy strategies and understanding their energy implications is crucial for both cost efficiency and ecological sustainability. This paper presents a model-driven approach to evaluate the dependability and energy consumption of cloud-fog systems, utilizing Kubernetes, a container application orchestration platform. The developed model considers various determinants affecting system dependability, including hardware and software reliability, resource accessibility, and support personnel availability. Empirical studies validate the model’s effectiveness, demonstrating a 22.33% increase in system availability with only a 1.33% rise in energy consumption. Moreover, this methodology provides a structured framework for understanding cloud-fog system dependability, serves as a reference for comparing dependability across different systems, and aids in resource allocation optimization. This research significantly contributes to the efforts to enhance cloud-fog system dependability.</t>
  </si>
  <si>
    <t>G. Araújo; V. Barbosa; L. N. Lima; A. Sabino; C. Brito; I. Fé; P. Rego; E. Choi; D. Min; T. A. Nguyen; F. A. Silva</t>
  </si>
  <si>
    <t>The rise of user-centric design demands ubiquitous access to infrastructure and applications, facilitated by the Edge-Cloud network and microservices. However, efficiently managing resource allocation while orchestrating microservice placement in such dynamic environments presents a significant challenge. These challenges stem from the limited resources of edge devices, the need for low latency responses, and the potential for performance degradation due to service failures or inefficient deployments. This paper addresses the challenge of microservice placement in Edge-Cloud environments by proposing a novel Reinforcement Learning algorithm called Bi-Generic Advantage Actor-Critic for Microservice Placement Policy. This algorithm’s ability to learn and adapt to the dynamic environment makes it well-suited for optimizing resource allocation and service placement decisions within the Edge-Cloud. We compare this algorithm against three baseline algorithms through simulations on a real-world dataset, evaluating performance metrics such as execution time, network usage, average migration delay, and energy consumption. The results demonstrate the superiority of the proposed method, with an 8% reduction in execution time, translating to faster response times for users. Additionally, it achieves a 4% decrease in network usage and a 2% decrease in energy consumption compared to the best-performing baseline. This research contributes by reproducing the Edge-Cloud environment, applying the novel Bi-Generic Advantage Actor-Critic technique, and demonstrating significant improvements over the state-of-the-art baseline algorithms in microservice placement and resource management within Edge-Cloud environments.</t>
  </si>
  <si>
    <t>W. Villegas-Ch; R. Gutierrez; I. Sánchez-Salazar; A. Mera-Navarrete</t>
  </si>
  <si>
    <t>The increasing use of Internet of Things (IoT) devices in critical sectors has increased exposure to security threats, making protecting these systems a priority challenge. Based on static configurations, traditional security approaches have proven ineffective in the face of the dynamic nature of emerging threats, as they cannot adapt in real time to changes in the environment or new attack vectors. This work proposes an adaptive security framework for Internet of Things (IoT) systems capable of autonomously detecting, mitigating, and adapting to various threats, improving precision and response times, and optimizing energy consumption. The framework was implemented in a distributed Internet of Things environment, using adaptive architectures based on the Robot Operating System (ROS) and microservices orchestration with Kubernetes. The results showed a significant improvement in response time, with a reduction of 44%, reaching an average of 250 milliseconds, compared to 450 milliseconds for static approaches. Furthermore, a 92% precision in threat detection was achieved, reducing false positives to 4% and false negatives to 6%. Power consumption was controlled, reaching a maximum of 160 milliamp-hours after facing multiple threats, confirming the system’s efficiency in resource-limited environments. These results demonstrate that the proposed adaptive framework is a robust and efficient solution for security in Internet of Things environments, overcoming the limitations of traditional approaches and ensuring adequate protection without compromising energy efficiency.</t>
  </si>
  <si>
    <t>An Internet of Things (IoT) platform is a software architecture that enables the connection, management, and analysis of IoT devices, sensors, and data. It provides a centralized system for IoT devices to interact with each other and with the cloud, facilitating the collection, processing, and analysis of data from these devices. However, in the automotive manufacturing industry, traditional Internet of Things (IoT) platforms are facing challenges such as bottleneck issues due to business volume growth and system challenges. To address these challenges, we propose a design methodology for an IoT platform based on microservices. The platform’s modules are divided into front end, database, security, and operation maintenance architecture, all effectively designed. Through practical applications, the platform enables interconnections between different information systems, production status monitoring, efficiency management, performance evaluation, energy consumption analysis, quality detection, and equipment asset evaluation. Finally, a data-driven deep learning algorithm, named Long Short-Term Memory Neural Network (LSTM) is developed for the state recognition of the industrial robot based on the Intelligent data services platform, which validate the effectiveness of the constructed IoT platforms. This platform offers advantages in extendibility, reusability, and provides methods for upgrading, expanding functions, and maintaining industrial IoT platforms in the discrete manufacturing industry.</t>
  </si>
  <si>
    <t>Piano Nazionale di Ripresa e Resilienza Ministero dell’Università e della Ricerca(grant numbers:PE0000013-FAIR);</t>
  </si>
  <si>
    <t>DμDT: the Deakin University Microgrid Digital Twin</t>
  </si>
  <si>
    <t>Horizon Europe;</t>
  </si>
  <si>
    <t>IC4 but doesn't seem relevant</t>
  </si>
  <si>
    <t>ORF; NSERC;</t>
  </si>
  <si>
    <t>In a data center, deploying a microservice-based SaaS will result in a spike in energy usage, since the computation servers where the microservices are deployed will consume more energy as a result of an increase in computation workload. The data center's communications network will also consume more energy due to the increased communication among the microservices of the SaaS. Due to the fact that microservice-based SaaS deployment is handled by the developer of the microservice-based SaaS and can only be deployed on virtual machines rented by the developer, this issue cannot be taken into account in traditional microservice-based SaaS deployment methods. In this paper, a new microservice-based SaaS deployment method is proposed. The new approach relies on the data center determining where microservices should be deployed. The new microservice-based SaaS deployment method considers the energy increase in the computation servers and in the communication network. The microservice-based SaaS deployment problem is a combinatorial optimization problem. Thus, a genetic algorithm with repairing mechanism is proposed to solve the problem. Compared to traditional deployment approach, the proposed method is capable of reducing the energy consumption associated with microservice-based SaaS deployment by 37.55%. © 2023 IEEE.</t>
  </si>
  <si>
    <t>J. A. Valdivia; X. Limón; K. Cortes-Verdin</t>
  </si>
  <si>
    <t>EC3 but probably useful</t>
  </si>
  <si>
    <t>Empowering the Internet of Things devices with Artificial Intelligence capabilities can transform all vertical applications domains within the next few years. Current approaches favor hosting Machine Learning (ML) models on Linux-based single-board computers. Nevertheless, these devices’ cost and energy requirements limit the possible application scenarios. Conversely, today’s available 32-bit microcontrollers have much lower costs and only need a few milliwatts to operate, making them an energy-efficient and cost-effective alternative. However, the latter devices, usually referred to as far edge devices, have stringent resource constraints and host non-Linux-based embedded real-time operating systems. Therefore, orchestrating such devices executing portions of ML applications represents a major challenge with current tools and frameworks. This paper formally introduces the Tiny-MLOps framework as the specialization of standard ML orchestration practices, including far edge devices in the loop. To this aim, we will tailor each phase of the classical ML orchestration loop to the reduced resources available onboard typical IoT devices. We will rely on the proposed framework to deliver adaptation and evolving capabilities to resource-constrained IoT sensors mounted on an industrial rotary machine to detect anomalies. As a feasibility study, We will show how to programmatically re-deploy ML-based anomaly detection models to far edge devices. Our preliminary experiments measuring the system performance in terms of deployment, loading, and inference latency of the ML models will corroborate the usefulness of our proposal.</t>
  </si>
  <si>
    <t>Provincia Autonoma di Trento;</t>
  </si>
  <si>
    <t>P. Townend; A. P. Martí; I. De La Iglesia; N. Matskanis; T. O. Timoudas; T. Hallmann; A. Lalaguna; K. Swat; F. Renzi; D. Bocheński; M. Mancini; M. Bhuyan; M. González-Hierro; S. Dupont; J. Kristiansson; R. S. Montero; E. Elmroth; I. Valdés; P. Massonet; D. Olsson; I. M. Llorente; P. -O. Östberg; M. Abdou</t>
  </si>
  <si>
    <t>Ł. Jasiński; J. Rezmer; Z. Leonowicz; L. Martirano; M. Jasiński</t>
  </si>
  <si>
    <t>This third edition (2023) continues to reflect the Edge service roadmap and journey with evolving key drivers and developments. It replaces the two earlier versions. 5G deployments have reached critical markets and are fast evolving towards 6G promising higher performance and near sub-millisecond latency. Higher automation in use cases fueled by AI (e.g. like ChatGPT) is expected to be the core of future applications and services. The service providers have started re-focusing on use cases that can leverage the new and improved capabilities for better average revenue per unit (ARPU) for both consumers and enterprises. Some of the edge relevant Service oriented use cases are based on key constraints (low latency, high throughput, low jitter) ▪Industrial Internet of Things (IIoT) Industry 4.0 ▪Vehicle to anything - V2X (autonomous vehicle / intelligent transportation / traveling edge) ▪Telehealth / telemedicine / remote diagnostics ▪Content delivery (with caching, real time, rich media internet applications) ▪Ad hoc, temporary or on as needed mission specific edge services (emergency, ad hoc major events, DoD combat mission, and more) ▪Enabling sustainable development edge applications. Key elements of the edge-inspired infrastructure to support such services may be noted as follows: ▪Enabling edge with AIML, e.g., OpenAI / *ChatGPT ▪Radio-based Multi-Access Edge (MEC) to provide different services ▪Real-time / near real time enabled radio control, management, and xApps based on O-RAN ▪Constraint-based edge infrastructure to optimize power, form factor, and updates to NFV-SDN with the IoT middleware standards OneM2M from ETSI to cover IoT applications ▪The focus on data privacy, security, data “localization and analytics” ▪Intelligent edge microservices and applications deployed using newer infrastructure components from Semiconductor innovations e.g. DPU, IPU, etc. ▪MEC and 5G integration to support location-based edge platform API adaption ▪Small cells and private B5G networks We classify platform aspects with Edge Platform Framework (EPF) and Services with Edge Service Framework (ESF) updates and overall aspects as Edge Service and Platform Framework (ES&amp;PF) for an integrated view.</t>
  </si>
  <si>
    <t>μDPM: Dynamic Power Management for the Microsecond Era</t>
  </si>
  <si>
    <t>The complex, distributed nature of data centers have spawned the adoption of distributed, multi-tiered software architectures, consisting of many inter-connected microservices. These microservices exhibit extremely short request service times, often less than 250μs. We show that these “killer microsecond” service times can cause state-of-the-art dynamic power management techniques to break down, due to short idle period length and low power state transition overheads. In this paper, we propose μDPM, a dynamic power management scheme for the microsecond era that coordinates request delaying, per-core sleep states, and voltage frequency scaling. The idea is to postpone the wake up of a CPU as long as possible and then adjust the frequency so that the tail latency constraint of requests are satisfied just-in-time. μDPM reduces processor energy consumption by up to 32% and consistently outperforms state-of-the-art techniques by 2×.</t>
  </si>
  <si>
    <t>Rambda: RDMA-driven Acceleration Framework for Memory-intensive μs-scale Datacenter Applications</t>
  </si>
  <si>
    <t>Responding to the "datacenter tax"and "killer microseconds"problems for memory-intensive datacenter applications, diverse solutions including Smart NIC-based ones have been proposed. Nonetheless, they often suffer from high overhead of communications over network and/or PCIe links. To tackle the limitations of the current solutions, this paper proposes RAMBDA, a holistic network and architecture co-design solution that leverages current RDMA and emerging cache-coherent off-chip interconnect technologies. Specifically, RAMBDA consists of four hardware and software components: (1) unified abstraction of inter- and intra-machine communications synergistically managed by one-sided RDMA write and cache-coherent memory write; (2) efficient notification of requests to accelerators assisted by cache coherence; (3) cache-coherent accelerator architecture directly interacting with NIC; and (4) adaptive device-to-host data transfer for modern server memory systems comprising both DRAM and NVM exploiting state-of-the-art features in CPUs and PCIe. We prototype RAMBDA with a commercial system and evaluate three popular datacenter applications: (1) in-memory key-value store, (2) chain replication-based distributed transaction system, and (3) deep learning recommendation model inference. The evaluation shows that RAMBDA provides 30.1~69.1% lower latency, 0.2~2.5× throughput, and ~ 3× higher energy efficiency than the current state-of-the-art solutions, including Smart NIC. For those cases where Rambda performs poorly, we also envision future architecture to improve it. © 2023 IEEE.</t>
  </si>
  <si>
    <t>EC3 but might be useful</t>
  </si>
  <si>
    <t>Due to the rapid growth of Cloud services, data centers have become major energy consumers, resulting in significant CO2 emissions. Several infrastructure-focused strategies, such as resource consolidation, have been used to reduce the carbon footprint of Cloud infrastructure. However, end-users are often left out of the picture. Since they are the primary target of Cloud applications, it would be beneficial to actively involve them in reducing the carbon footprint of Cloud applications. In this paper, we offer end-users a way to influence the carbon footprint of Cloud applications they use. To this end, we ask end-users to select a high-level mode to control the carbon footprint of a Cloud application. We then design a dynamic adaptation algorithm that determines an appropriate configuration for the application for each request, based on the end-user mode and on the carbon intensity of the infrastructure energy sources. We implement and evaluate our system on a simple image-resizing application. We run experiments on SeDuCe, a Cloud infrastructure testbed partially powered by solar panels. Our results show that we save energy consumption by up to $84 \%$ when all end-users agree to degrade the quality of the application’s output, and we provide a good quality-energy trade-off when end-users make heterogeneous choices. In addition, we are able to improve quality by leveraging the available green energy budget.</t>
  </si>
  <si>
    <t>N. Schmitt; L. Iffländer; A. Bauer; S. Kounev</t>
  </si>
  <si>
    <t>Karlstad University;</t>
  </si>
  <si>
    <t>As the number of devices connected to the Internet of things (IoT) surges, the amount of data explodes. Therefore it not only increases the bandwidth load of data transmission but also aggravates the computing and storage load of a cloud platform. At the same time, the traditional computing paradigm centered on cloud computing cannot meet the real-time requirements in many application scenarios. The emergence of edge computing can solve the problems of realtime data processing and network bandwidth occupation in the current IoT scene. In this paper, according to the characteristics of IoT, such as fragmented data, heterogeneous network, and limited energy consumption, the architecture of an IoT edge computing system is constructed to suit better an IoT scene. In addition, the application of edge computing key technologies such as virtualization, edge intelligence, computing offload, collaborative scheduling and micro-services in resource-constrained IoT scenarios is analyzed in detail. Finally, the functions and application of energy consumption monitoring and optimization to a central air-conditioning system are analyzed and summarized, which is a typical application of edge computing in the context of the IoT. © 2020 IEEE.</t>
  </si>
  <si>
    <t>F. Sandin; U. Bodin; A. Lindgren; O. Schelén</t>
  </si>
  <si>
    <t>Cloud applications are transforming to microservice based deployment. Microservice comes with many advantages-scalability, agility, availability – and it suits the complicated cloud applications. For microservice deployment, service quality metrics play important role to ensure reliable user experiences for those applications built upon many small services, and the service level objective (SLO) is adopted to govern resource provision for optimal operation cost. Amid growing awareness on data center carbon emission, more organizations are paying attention to energy-efficient practices in cloud deployment to reduce energy consumption and operational carbon footprint. Modern processors provide fine-grained power scaling capabilities, e.g., Intel Xeon PCPS (PerCore P-States), this paper presented a dynamic energy efficiency management framework to adaptively scale processor core frequency as well as implicated energy consumption in accordance with service quality requirements. In this paper, we discussed hurdles and solutions for applying platform energy intelligence to microservices that are often with intrinsic platform-agnostic. The experiments proved the proposed method can effectively reduce energy consumption with competitive cost benefits without compromising service quality goals.</t>
  </si>
  <si>
    <t>R. Matar; J. Jahić</t>
  </si>
  <si>
    <t>As organizations increasingly migrate their applications to the cloud, the optimization of microservices architectures becomes imperative for achieving sustainability goals. Nonetheless, sustainable deployments may increase costs and deteriorate performance, thus the identification of optimal trade-offs among these conflicting requirements is a key objective not easy to achieve. This paper introduces a novel approach to support cloud deployment of microservices architectures by targeting optimal combinations of application performance, deployment costs, and power consumption. By leveraging genetic algorithms, specifically NSGA-II, we automate the generation of alternative architectural deployments. The results demonstrate the potential of our approach through a comprehensive assessment of the Train Ticket case study.  © 2024 IEEE.</t>
  </si>
  <si>
    <t>S. -V. Oprea; A. Bâra; V. Diaconita; D. Preotescu; O. B. Tör</t>
  </si>
  <si>
    <t>With the expansion of cloud computing and data centers, the need has arisen to tackle their environmental impact. The increasing adoption of microservice architectures, while offering scalability and flexibility, poses new challenges in the effective management of systems’ energy consumption.This study analyzes experimentally the effectiveness, with respect to energy consumption, of algorithms for Anomaly Detection (AD) and Root Cause Analysis (RCA) for (containerized) microservices systems. The study analyzes five AD and three RCA algorithms. Metrics to assess the effectiveness of AD algorithms are Precision, Recall, and F-Score. For RCA algorithms, the chose metric is Precision at level k. Two subjects of different complexity are used: Sock Shop and UNI-Cloud. Experiments use a cross-over paired comparison design, involving multiple randomized runs for robust measures.The experiments show that AD algorithms exhibit a relatively moderate performance. The mean adjusted Precision for Sock Shop is 61.5%, while it is 75% for the best-performing algorithms (BIRCH, KNN, and SVM) on UNI-Cloud. The Recall and F-Score for UNI-Cloud, for the same algorithms, are 75%, while for Sock Shop KNN yields the best outcome at roughly 45%. MicroRCA and RCD emerge as the top-performing algorithms for RCA.We found that the effectiveness of AD algorithms is strongly influenced by anomaly thresholds, emphasizing the importance of careful tuning such algorithms. RCA algorithms reveal promising results, particularly RCD and MicroRCA, which showed robust performance. However, challenges remain, as seen with the ϵ-diagnosis algorithm, suggesting the need for further refinement.For DevOps engineers, the findings highlight the need to carefully select and tune AD and RCA algorithms for energy, and to take into account system topology and monitoring configurations.</t>
  </si>
  <si>
    <t>Nowadays, many researchers work to identify microservices-based application deployments and scheduling solutions to save energy without decreasing functional QoS. In this work, we present PISCO: A simulator that allows facing this challenge in a simple and efficient way, enabling its users to focus uniquely on microservices deployment/scheduling algorithms and its hardware/software repercussions (load vs. energy consumption) without worrying about low-level network configurations or operating system issues. PISCO is able to deploy and schedule (move, duplicate, start/stop) microservices and their dependencies on various devices with software and hardware heterogeneity (CPU, bandwidth, RAM, Battery, etc.), taking into account various scheduling heuristics algorithms: centralized vs non-centralized. To do this, PISCO allows deploying custom network topologies based on client-server schemes or p2p distributions, where devices can (dis)appear, turn on/off obeying random circumstances or user strategies.Finally, the simulator performs relevant operations such as QoS definition, resource monitoring, calculation of energy saved and consumption tracking (at device and network level). We tested some ideas based on our previous work “Kaligreen” to demonstrate the effectiveness of PISCO.</t>
  </si>
  <si>
    <t>European Commission(grant numbers:101069658);</t>
  </si>
  <si>
    <t>J. Gómez-DelaHiz; A. Fakhreddine; J. M. Murillo; J. Galán-Jiménez</t>
  </si>
  <si>
    <t>Nowadays, energy saving in the use of information technologies is a very important issue both from the economic and sustainability point of view. Many scientists investigate methods to save energy at different application levels (cloud: i.e., architectures, grid: i.e., middlewares and frameworks and hardware management: i.e., operating systems) and many of them agree on the strategy of executing programs, processes or virtual machines only using the time and resources that are strictly necessary. For this, it is necessary to plan strategies for deployment and relocation of processes; but always taking into account hardware repercussions and the knowledge of the architecture and applications behavior. On the other hand, it has already been demonstrated that the use of microservices brings numerous advantages in availability and efficiency; but we do not find many jobs that exploit this technique on the energy level. In this article, we present the architecture of a middleware for distributed microservices-based applications, which allows any negotiation-based scheduling algorithm to duplicate or move microservices from one device to another in a non-centralized way for energy savings, taking into account the consumption characteristics of the microservices and the capabilities that the hardware components offer. © 2019 IEEE.</t>
  </si>
  <si>
    <t>T. Menouer; C. Cérin; P. Darmon</t>
  </si>
  <si>
    <t>J. Stojkovic; P. A. Misra; Í. Goiri; S. Whitlock; E. Choukse; M. Das; C. Bansal; J. Lee; Z. Sun; H. Qiu; R. Zimmermann; S. Samal; B. Warrier; A. Raniwala; R. Bianchini</t>
  </si>
  <si>
    <t>To mitigate climate change, we must reduce carbon emissions from hyperscale cloud computing. We find that cloud compute servers cause the majority of emissions in a general-purpose cloud. Thus, we motivate designing carbon-efficient compute server SKUs, or GreenSKUs, using recently-available low-carbon server components. To this end, we design and build three GreenSKUs using low-carbon components, such as energy-efficient CPUs, reused old DRAM via CXL, and reused old SSDs.We detail several challenges that limit GreenSKUs, carbon savings at scale and may prevent their adoption by cloud providers. To address these challenges, we develop a novel methodology and associated framework, GSF (GreenSKU Framework), that enables a cloud provider to systematically evaluate a GreenSKU's carbon savings at scale. We implement GSF within Microsoft Azure's production constraints to evaluate our three GreenSKUs' carbon savings. Using GSF, we show that our most carbon-efficient GreenSKU reduces emissions per core by 28 % compared to currently-deployed cloud servers. When designing GreenSKUs to meet applications' performance requirements, we reduce emissions by 15 %. When incorporating overall data center overheads, our GreenSKU reduces Azure's net cloud emissions by 8 %. © 2024 IEEE.</t>
  </si>
  <si>
    <t>J. Gómez-delaHiz; A. García-López; S. García-Gil; D. Ramos-Ramos; A. Fakhreddine; J. M. Murillo; J. Galán-Jiménez</t>
  </si>
  <si>
    <t>Ministry of Economy; Austrian Science Fund;</t>
  </si>
  <si>
    <t>M. Corn; N. Rožman; P. Podržaj; T. Berlec; T. Požrl; R. Vrabič</t>
  </si>
  <si>
    <t>This paper proposes a concept of a blockchain-based micro-service control strategy for a domestic water heater. The novelty of the proposed concept is in the employment of blockchain technology, which enables decentralized access to service providers, thereby improving the security of the system. The concept aims to increase security while preserving energy consumption and costs reductions benefits associated with water heating by utilizing advanced control strategies and algorithms. The proposed system consists of a smart device, a service provider, data storage, and a smart contract. The smart device collects and stores data on hot water consumption, which is used to generate accurate predictions of hot water draw profiles. The service provider provides advanced control strategies designed to enhance the performance of the smart device. The data storage is decentralized to ensure data privacy and security. Payments between providers and consumers of the services are executed by employing smart contract deployed on a blockchain network. Testing of the proposed concept was conducted in a hybrid simulation environment. The results of the tests showed that even in decentralized system an improvement in energy consumption efficiency and a reduction in operating costs due to the advance control algorithms is possible without a decrease in users’ comfort.</t>
  </si>
  <si>
    <t>Ministry of Higher Education;</t>
  </si>
  <si>
    <t>Science Foundation Ireland (SFI)(grant numbers:16/SP/3804); Enable Research Programme;</t>
  </si>
  <si>
    <t xml:space="preserve">NATO Science for Peace and Security (SPS) Programme in the Framework of the Project “Dynamic Architecture based on UAVs Monitoring for Border Security and Safety”(grant numbers:SPS G5428); German Research Foundation (DFG, Deutsche Forschungsgemeinschaft) as part of Germany’s Excellence Strategy—EXC 2050/1—Project ID 390696704—Cluster of Excellence “Centre for Tactile Internet with Human-in-the-Loop” (CeTI) of Technische Universität Dresden; </t>
  </si>
  <si>
    <t>The Internet of Things (IoT) is a rapidly growing system of physical sensors and connected devices, enabling advanced information gathering, interpretation, and monitoring. The realization of a versatile IoT edge computing framework will accelerate seamless integration of the cyber-world with new physical IoT devices, and will fundamentally change and empower the way humans interact with the world. While there are many cloud-based IoT computing frameworks, they cannot support the needs of IoT applications that require local processing and guarantee of consumer’s privacy. This article presents experimentation with the opensource plug-and-play IoT middleware, called Cordova Accesor Host. We demonstrated that Cordova Accessor Host supports the essential ingredients of the composition and reusability of IoT services using the accessor as the basic building block and adopting an accessor-module-plugin design pattern. The portability is demonstrated by using the same accessor for collecting sensor data from radically different IoT devices such as, wearables (e.g., smartwatches) and microcontrollers (e.g., Arduino). Our energy profiling experiments show that IoT services deployed using the Cordova Accessor Host consume around 35% less battery power than the same IoT services deployed in the native Android operating system.</t>
  </si>
  <si>
    <t>By providing loosely coupled, lightweight, and independent services, the microservice architecture is promising for large-scale and complex service provision requirements in the Internet of Things (IoT). However, it requires more fine-grained resource management and orchestration for service provision. Most of the existing microservice orchestration solutions are based on those designed for the traditional cloud. They can only provide coarse-grained resource allocation using possibly conflicting weighted objectives. In this article, we present a fine-grained microservice orchestration approach to provide services online for dynamic requests of IoT applications. By using a fine-grained resource model of energy cost and service end-to-end response time of orchestrated microservices, we formulate the microservice orchestration problem as a multiobjective Markov decision process. We then propose a multiobjective optimization solution based on deep reinforcement learning (DRL) to simultaneously reduce energy consumption and response time. Through extensive experiments, our proposed algorithm presents significant performance results than the state of the art. To the best of our knowledge, this is the first work that addresses microservice orchestration using DRL for multiple conflicting objectives.  © 2014 IEEE.</t>
  </si>
  <si>
    <t>The massive amounts of data generated by the Industrial Internet of Things (IIoT) require considerable processing power, which increases carbon emissions and energy usage, and we need sustainable solutions to enable flexible manufacturing. Serverless computing shows potential for meeting this requirement by scaling idle containers to zero energy-efficiency and cost, but this will lead to a cold start delay. Most solutions rely on idle containers, which necessitates dynamic request time forecasting and container execution monitoring. Furthermore, Artificial Intelligence of Things (AIoT) can provide autonomous and sustainable solutions by combining IIoT with Artificial Intelligence (AI) to solve this problem. Therefore, we develop a new testbed, CAPTAIN, to facilitate AI-based co-simulation of scalable and flexible serverless computing in IIoT environments. The AI module in the CAPTAIN framework employs Random Forest (RF) and Light Gradient-Boosting Machine (LightGBM) models to optimize cold start frequency and prevent cold starts based on their prediction results. The proxy module additionally monitors the client-server network and constantly updates the AI module training dataset via a message queue. Finally, we evaluated the proxy module's performance using a predictive maintenance-based real-world IIoT application and the AI module's performance in a realistic serverless environment using a Microsoft Azure dataset. The AI module of the CAPTAIN outperforms baselines in terms of cold start frequency, computational time with 0.5 milliseconds, energy consumption with 1161.0 joules, and CO2 emissions with 32.25e-05 gCO2. The CAPTAIN testbed provides a co-simulation of sustainable and scalable serverless computing environments for AIoT-enabled predictive maintenance in Industry 4.0. © 2014 IEEE.</t>
  </si>
  <si>
    <t>Engineering and Physical Sciences Research Council; INTelligent Energy aware NETworks(grant numbers:EP/H040536/1); SwiTching And tRansmission(grant numbers:EP/K016873/1); Terabit Bidirectional Multi-user Optical Wireless System(grant numbers:EP/S016570/1); Petroleum Technology Trust Fund;</t>
  </si>
  <si>
    <t>EC3 but might be interesting</t>
  </si>
  <si>
    <t>I/O software stacks have evolved rapidly due to the growing speed of I/O devices-including network adapters, storage devices, and accelerators-and the emergence of microservice-based programming models. Datacenters rely on fast, efficient Software Data Planes (SDPs), which orchestrate data transfer between applications and I/O devices. Modern data planes are user-level software stacks, wherein cores spin-poll a large number of queues to avoid the attendant overheads of kernel-based I/O. Cores often poll empty queues before finding work in non-empty ones. Interrogating empty queues hurts peak throughput, tail latency, and energy efficiency as it often entails fruitless cache misses. In this work, we propose HyperPlane, an efficient accelerator for the notification mechanism of SDPs. The key features of HyperPlane are (1) avoiding iteration over empty I/O queues, unlike software-only designs, resulting in queue scalability, (2) halting execution when I/O queues are idle, leading to work proportionality and energy efficiency, and (3) efficiently sharing queues across cores to enjoy strong theoretical properties of scale-up queuing. HyperPlane is realized through a hardware subsystem associated with a familiar programming model. HyperPlane's microarchitecture consists of a monitoring set that watches for work arrival from I/O, and a ready set, which tracks ready queues and distributes work to cores based on various service policies and priority levels. We show that HyperPlane improves peak throughput by 4.1× and tail latency by 16.4× compared to a state-of-the-art SDP.</t>
  </si>
  <si>
    <t>Contemporary data center servers process thousands of similar, independent requests per minute. In the interest of programmer productivity and ease of scaling, workloads in data centers have shifted from single monolithic processes toward a micro and nanoservice software architecture. As a result, single servers are now packed with many threads executing the same, relatively small task on different data.State-of-the-art data centers run these microservices on multi-core CPUs. However, the flexibility offered by traditional CPUs comes at an energy-efficiency cost. The Multiple Instruction Multiple Data execution model misses opportunities to aggregate the similarity in contemporary microservices. We observe that the Single Instruction Multiple Thread execution model, employed by GPUs, provides better thread scaling and has the potential to reduce frontend and memory system energy consumption. However, contemporary GPUs are ill-suited for the latency-sensitive microservice space.To exploit the similarity in contemporary microservices, while maintaining acceptable latency, we propose the Request Processing Unit (RPU). The RPU combines elements of out-of-order CPUs with lockstep thread aggregation mechanisms found in GPUs to execute microservices in a Single Instruction Multiple Request (SIMR) fashion. To complement the RPU, we also propose a SIMR-aware software stack that uses novel mechanisms to batch requests based on their predicted control-flow, split batches based on predicted latency divergence and map per-request memory allocations to maximize coalescing opportunities. Our resulting RPU system processes 5.7× more requests/joule than multi-core CPUs, while increasing single thread latency by only 1.44×.</t>
  </si>
  <si>
    <t>User-facing applications running in modern datacenters exhibit irregular request patterns and are implemented using a multitude of services with tight latency requirements (30–250μs). These characteristics render existing energy-conserving techniques ineffective when processors are idle due to the long transition time (order of 100μs) from a deep CPU core idle power state (C-state). While prior works propose management techniques to mitigate this inefficiency, we tackle it at its root with AgileWatts (AW): a new deep CPU core C-state architecture optimized for datacenter server processors targeting latency-sensitive applications.AW drastically reduces the transition latency from deep CPU core idle power states while retaining most of their power savings based on three key ideas. First, AW eliminates the latency (several microseconds) of saving/restoring the core context when powering-off/-on the core in a deep idle state by i) implementing medium-grained power-gates, carefully distributed across the CPU core, and ii) retaining context in the power-ungated domain. Second, AW eliminates the flush latency (several tens of microseconds) of the L1/L2 caches when entering a deep idle state by keeping L1/L2 content power-ungated. A small control logic also remains ungated to serve cache coherence traffic. AW implements cache sleep-mode and leakage reduction for the power-ungated domain by lowering a core's voltage to the minimum operational level. Third, using a state-of-the-art power efficient all-digital phase-locked loop (ADPLL) clock generator, AW keeps the PLL active and locked during the idle state, cutting microseconds of wake-up latency at negligible power cost.Our evaluation with an accurate industrial-grade simulator calibrated against an Intel Skylake server shows that AW reduces the energy consumption of Memcached by up to 71% (35% on average) with &amp;lt;1% end-to-end performance degradation. We observe similar trends for other evaluated services (MySQL and Kafka). AW's new deep C-states C6A and C6AE reduce transition-time by up to 900× as compared to the deepest existing idle state C6, while consuming only 7% and 5% of the active state (C0) power, respectively.</t>
  </si>
  <si>
    <t>Modern user-facing applications deployed in data-centers use a distributed system architecture that exacerbates the latency requirements of their constituent microservices (30–250μs). Existing CPU power-saving techniques degrade the performance of these applications due to the long transition latency (order of 100μs) to wake up from a deep CPU idle state (C-state). For this reason, server vendors recommend only enabling shallow core C-states (e.g., CC1) for idle CPU cores, thus preventing the system from entering deep package C-states (e.g., PC6) when all CPU cores are idle. This choice, however, impairs server energy proportionality since power-hungry resources (e.g., IOs, uncore, DRAM) remain active even when there is no active core to use them. As we show, it is common for all cores to be idle due to the low average utilization (e.g., 5 – 20%) of datacenter servers running user-facing applications.We propose to reap this opportunity with AgilePkgC (APC), a new package C-state architecture that improves the energy proportionality of server processors running latency-critical applications. APC implements PC1A (package C1 agile), a new deep package C-state that a system can enter once all cores are in a shallow C-state (i.e., CC1) and has a nanosecond-scale transition latency. PC1A is based on four key techniques. First, a hardware-based agile power management unit (APMU) rapidly detects when all cores enter a shallow core C-state (CC1) and triggers the system-level power savings control flow. Second, an IO Standby Mode (IOSM) places IO interfaces (e.g., PCIe, DMI, UPI, DRAM) in shallow (nanosecond-scale transition latency) low-power modes. Third, a CLM Retention (CLMR) mode rapidly reduces the CLM (Cache-and-home-agent, Last-level-cache, and Mesh network-on-chip) domain's voltage to its retention level, drastically reducing its power consumption. Fourth, APC keeps all system PLLs active in PC1A to allow nanosecond-scale exit latency by avoiding PLL re-locking overhead.Combining these techniques enables significant power savings while requiring less than 200ns transition latency, &amp;gt;250× faster than existing deep package C-states (e.g., PC6), making PC1A practical for datacenter servers. Our evaluation based on an Intel Skylake-based server shows that APC reduces the energy consumption of Memcached by up to 41% (25% on average) with &amp;lt;0.1% performance degradation. APC provides similar benefits for other representative workloads.</t>
  </si>
  <si>
    <t>J. Stojkovic; E. Choukse; E. Saurez; Í. Goiri; J. Torrellas</t>
  </si>
  <si>
    <t>In the recent past, we have witnessed steep growth in mobile data consumption. To address the capacity requirements resulting from the huge growth in mobile data traffic, the mobile network operators (MNOs) are adding more base stations and allocating more spectrum layers including outdoor and indoor small cells. Since the capacity requirement of the network varies over time, the scaling up of the network may increase the energy consumption of the Radio Access Network (RAN). Hence, we need to optimize the network to reduce the overall power consumption through Cloud based models, and deployment of power-efficient radio nodes. In this paper, we analyze the network evolution towards Cloud based Radio Access Network (CRAN) for a heterogeneous set of base stations such as those with Macro RRUs, Micro RRUs and Pico radio units. We derive the computational complexity using a flexible and ‘future-proof’ power model and apply it for the network. We also compare the computation complexity for various cases of User Equipment (UE) channel conditions, different sub-components within the given base station type and provide the results. We further use the Bin-Packing algorithm to analyze the number of base station cloud servers needed for this network and the power consumption of the base station cloud. We further evaluate whether the newer cloud servers with higher CPU cores are power efficient for a given load. We observe from the simulations, that the currently available base station cloud servers have more capacity and still are more power efficient than the baseline Compute Node servers used with the earlier power model.</t>
  </si>
  <si>
    <t>AC3;</t>
  </si>
  <si>
    <t>EC3 but may be relevant</t>
  </si>
  <si>
    <t>The emerging microservice architecture offers opportunities for accommodating delay-sensitive applications in edge. However, such applications are computation-intensive and energy-consuming, imposing great difficulties to edge servers with limited computing resources, energy supply, and cooling capabilities. To reduce delay and energy consumption in edge, efficient microservice orchestration is necessary, but significantly challenging. Due to frequent communications among multiple microservices, service deployment and request routing are tightly-coupled, which motivates a complex joint optimization problem. When considering multi-instance modeling and fine-grained orchestration for massive microservices, the difficulty is extremely enlarged. Nevertheless, previous work failed to address the above difficulties. Also, they neglected to balance delay and energy, especially lacking dynamic energy-saving abilities. Therefore, this paper minimizes energy and delay by jointly optimizing microservice deployment and request routing via multi-instance modeling, fine-grained orchestration, and dynamic adaptation. Our queuing network model enables accurate end-to-end time analysis covering queuing, computing, and communicating delays. We then propose a delay-aware reinforcement learning algorithm, which derives the static service deployment and routing decisions. Moreover, we design an energy-aware dynamic frequency scaling algorithm, which saves energy with fluctuating request patterns. Experiment results demonstrate that our approaches significantly outperform baseline algorithms in both delay and energy consumption.  © 1968-2012 IEEE.</t>
  </si>
  <si>
    <t>Highly-Distributed Systems;Agile Process Models;Quality of Experience;Service-Oriented Architectures;Micro-Services;DevOps;Scrum;Conway’s Law;Blockchain</t>
  </si>
  <si>
    <t>IC4 che pale</t>
  </si>
  <si>
    <t>Edge computing-based microservices (ECM) are pivotal infrastructure components for latency-critical applications such as Virtual Reality/Augmented Reality (VR/AR) and the Internet of Things (IoT). ECM involves strategically deploying microservices at the network’s edge to fulfill the low latency needs of modern applications. However, achieving efficient resource and energy consumption while meeting the latency requirement in the ECM environment remains challenging. Dynamic Voltage and Frequency Scaling (DVFS) is a common technique to address this issue. It adjusts the CPU frequency and voltage to balance energy cost and performance. However, selecting the optimal CPU frequency depends on the nature of the microservice workload (e.g., CPU-bound, memory-bound, or mixed). Moreover, various microservices with different latency requirement can be deployed on the same edge node. This makes the DVFS application extremely challenging, particularly for a chip-wide DVFS implementation for which CPU cores operate at the same frequency and voltage. To this end, we propose GAS, enerGy Aware microServices edge computing framework, which enables CPU frequency scaling to meet diverse microservice latency requirement with the minimum energy cost. Our evaluation indicates that our CPU scaling policy decreases energy consumption by 5% to 23% compared to Linux governors while maintaining latency requirement and significantly contributing to sustainable edge computing.</t>
  </si>
  <si>
    <t>Natural Sciences and Engineering Research Council and Ericsson Canada(grant numbers:561771);</t>
  </si>
  <si>
    <t>In this paper, we propose a microservices and deep learning-based scheme, termed as Micro-Safe, for provisioning Safety-as-a-Service (Safe-aaS) in a 6G environment. A Safe-aaS infrastructure provides customized safety-related decisions dynamically to the registered end-users. As the decisions are time-sensitive in nature, the generation of these decisions should incur minimum latency and high accuracy. Further, scalability and extension of the coverage of the entire Safe-aaS platform are also necessary. Considering road transportation as the application scenario, we propose Safe-aaS, which is a microservices- and deep learning-based platform for provisioning ultra-low latency safety services to the end-users in a 6G scenario. We design the proposed solution in two stages. In the first stage, we develop the microservices-enabled application layer to improve the scalability and adaptability of the traditional Safe-aaS platform. Moreover, we apply the state space model to represent the decision parameters requested and the decision delivered to the end-users. During the second stage, we use deep learning models to improve the accuracy in the decisions delivered to the end-users. Additionally, we apply an assortment of activation functions to analyze and compare the accuracy of the decisions generated in the proposed scheme. Extensive simulation of our proposed scheme, Micro-Safe, demonstrates that latency is improved by 26.1 – 31.2%, energy consumption is reduced by 22.1 – 29.9%, throughput is increased by 26.1 – 31.7%, compared to the existing schemes.</t>
  </si>
  <si>
    <t>The integration of Mobile Edge Computing (MEC) and microservice architecture drives the implementation of the sustainable Internet of Vehicles (IoV). The microservice architecture enables the decomposition of a service into multiple independent, fine-grained microservices working independently. With MEC, microservices can be placed on Edge Service Providers (ESPs) dynamically, responding quickly and reducing service latency and resource consumption. However, the burgeoning of IoV leads to high computation and resource overheads, making service resource requirements an imminent issue. What’s more, due to the limited computation power of ESPs, they can only host a few services. Therefore, ESPs should judiciously decide which services to host. In this paper, we propose a Microservice-oriented Service Placement (MOSP) mechanism for MEC-enabled IoV to shorten service latency, reduce high resource consumption levels and guarantee long-term sustainability. Specifically, we formulate the service placement as an integer linear programming program, where service placement decisions are collaboratively optimized among ESPs, aiming to address spatial demand coupling, service heterogeneity, and decentralized coordination in MEC systems. MOSP comprises an upper layer to map the service requests to ESPs and a lower layer to adjust the service placement of ESPs. Evaluation results show that the microservice-oriented service deployment mechanism offers dramatic improvements in terms of resource savings, latency reduction, and service speed.</t>
  </si>
  <si>
    <t>Z. Xiang; M. Höweler; D. You; M. Reisslein; F. H. P. Fitzek</t>
  </si>
  <si>
    <t xml:space="preserve">German Research Foundation (DFG, Deutsche Forschungsgemeinschaft) as part of Germany’s Excellence Strategy – EXC 2050/1 – Cluster of Excellence “Centre for Tactile Internet with Human-in-the-Loop” (CeTI) of Technische Universität Dresden(grant numbers:390696704); </t>
  </si>
  <si>
    <t>With the growing demand for openness, scalability, and granularity, mobile network function virtualization (NFV) has emerged as a key enabler for the most of mobile network operators. NFV decouples network functions from hardware devices. This decoupling allows network services, called Virtualized Network Functions (VNFs), to be hosted on commodity hardware which simplifies and enhances service deployment and management for providers, improves flexibility, and leads to efficient and scalable resource usage, and lower costs. The proper placement of VNFs in the hosting infrastructures is one of the main technical challenges. This placement significantly influences the network’s performance, reliability, and operating costs. The VNF placement is NP-Hard. Therefore, there is a need for placement methods that can cope with the complexity of the problem and find appropriate solutions in a reasonable duration. The primary purpose of this study is to provide a taxonomy of optimization techniques used to tackle the VNF placement problems. We classify the studied papers based on performance metrics, methods, algorithms, and environment. Virtualization is not limited to simply replacing physical machines with virtual machines or VNFs, but may also include micro-services, containers, and cloud-native systems. In this context, the second part of our article focuses on the placement of Containers Network Functions (CNFs) in edge/fog computing. Many issues have been considered as traffic congestion, resource utilization, energy consumption, performance degradation, etc. For each matter, various solutions are proposed through different surveys and research papers in which each one addresses the placement problem in a specific manner by suggesting single objective or multi-objective methods based on different types of algorithms such as heuristic, meta-heuristic, and machine learning algorithms.</t>
  </si>
  <si>
    <t>In resource-constrained cloud systems, e.g., at the network edge or in private clouds, serverless computing is increasingly adopted to deploy microservices-based applications, leveraging its promised high resource efficiency. Provisioning resources to serverless services, however, poses several challenges, due to the high cold-start latency of containers and stringent Service Level Agreement (SLA) requirements of the microservices. In response, we investigate the behavior of containers in different states (i.e., running, warm, or cold) and exploit our experimental observations to formulate an optimization problem that minimizes the energy consumption of the active servers while reducing SLA violations. In light of the problem complexity, we propose a low-complexity algorithm, named AiW, which utilizes a multi-queueing approach to balance energy consumption and system performance by reusing containers effectively and invoking cold-starts only when necessary. To further minimize the energy consumption of data centers, we introduce the two-timescale COmputing resource Management at the Edge (COME) framework, comprising an orchestrator running our proposed AiW algorithm for container provisioning and Dynamic Server Provisioner (DSP) for dynamically activating/deactivating servers in response to AiW's decisions on request scheduling. COME addresses the mismatch in timescales for resource provisioning decisions at the container and server levels. Extensive performance evaluation through simulation shows AiW's close match to the optimum and COME's significant reduction in power consumption by 22-64% compared state-of-the-art alternatives. © 2004-2012 IEEE.</t>
  </si>
  <si>
    <t>It is common for cloud data centers meeting unexpected loads like request bursts, which may lead to overloaded situation and performance degradation. Dynamic Voltage Frequency Scaling and VM consolidation have been proved effective to manage overloads. However, they cannot function when the whole data center is overloaded. Brownout provides a promising direction to avoid overloads through configuring applications to temporarily degrade user experience. Additionally, brownout can also be applied to reduce data center energy consumption. As a complementary option for Dynamic Voltage Frequency Scaling and VM consolidation, our combined brownout approach reduces energy consumption through selectively and dynamically deactivating application optional components, which can also be applied to self-contained microservices. The results show that our approach can save more than 20 percent energy consumption and there are trade-offs between energy saving and discount offered to users. © 2016 IEEE.</t>
  </si>
  <si>
    <t>China Scholarship Council; Australia Research Council Future Fellowship;</t>
  </si>
  <si>
    <t>Saudi Arabian Cultural Mission; King Abdul Aziz University; TagItSmart!; European Horizon 2020 programme(grant numbers:688061); EPSRC PETRAS 2(grant numbers:EP/S035362/1);</t>
  </si>
  <si>
    <t>Nowadays, many researchers work to identify microservices-based application deployments and scheduling solutions to save energy without decreasing functional QoS. In this work, we present DRACeo: A simulator that allows facing this challenge in a simple and efficient way, enabling its users to focus uniquely on microservices deployment/scheduling algorithms and its hardware/software repercussions (load vs. energy consumption) without worrying about low-level network configurations or operating system issues. DRACeo is able to deploy and schedule (move, duplicate, start/stop) microservices and their dependencies on various devices with software and hardware heterogeneity (CPU, bandwidth, RAM, Battery, etc.), taking into account various scheduling heuristics algorithms: centralized vs non-centralized. To do this, DRACeo allows deploying custom network topologies based on client-server schemes or p2p distributions, where devices can (dis)appear, turn on/off obeying random circumstances or user strategies. Finally, the simulator performs relevant operations such as QoS definition, resource monitoring, calculation of energy saved and consumption tracking (at device and network level). We tested some ideas based on our previous work “Kaligreen” to demonstrate the effectiveness of DRACeo.</t>
  </si>
  <si>
    <t>Gobierno de Aragón;</t>
  </si>
  <si>
    <t>EC3 buyt maybe useful</t>
  </si>
  <si>
    <t>NSF(grant numbers:13012641);</t>
  </si>
  <si>
    <t>The landscape of residential energy modeling is changing rapidly. With increase in the availability of data, ‘Modeling &amp; Simulation’ systems are becoming ubiquitous. However, reusing or extending these simulations is complicated due to sparse commonality in design and interoperability. One solution to this conundrum is developing modular and extensible pipelines. In this paper, we define a set of five pipelines inspired by microservices-oriented architecture. Four modular pipeline templates are defined, Data Processing Pipeline, Modeling and Simulation Pipeline, Validation Pipeline, Visual Analytics Pipeline; each encapsulating details of important tasks in modern-day complex systems. In addition, one custom pipeline is developed, for composing tasks that can be executed concurrently, called Parallelizable Pipeline. We instantiate this pipeline architecture for designing a synthetic energy demand modeling system. The value of the pipeline is demonstrated via three case studies – two of these studies provide new insights into issues related to equity and climate change impact.</t>
  </si>
  <si>
    <t>NSF(grant numbers:OAC-1916805);</t>
  </si>
  <si>
    <t>Smart energy services are an important support platform for the development of a comprehensive energy business. Based on CPS, they connect with energy consumption scenarios such as communities, commercial buildings, industrial enterprises, and parks, achieve massive data acquisition of energy equipment, energy conservation, and consumption reduction, and smart regulation of flexible loads. They are also built on cloud platforms and microservice architectures. Distributed task scheduling technology is widely used in massive data acquisition, data archiving, data supplementary acquisition, data quality, data calculation, energy consumption analysis, energy efficiency analysis, energy efficiency diagnosis, monitoring alarm, instruction encryption, and issuance, energy efficiency report generation and push and many other scenarios for processing. There are various shortcomings in the existing distributed task scheduling under the microservice architecture mode. In order to fully leverage the important role of distributed task scheduling in smart energy services based on microservice architecture, this article analyzes the characteristics of microservice architecture and the shortcomings of existing distributed task scheduling and applies the design concepts of distributed application coordination services, balanced sharding, and microservice architecture to study a distributed task scheduling oriented towards microservice architecture, effectively supporting the widespread application of smart energy in distributed task scheduling. © 2024 SPIE.</t>
  </si>
  <si>
    <t>IC4 but not relevant</t>
  </si>
  <si>
    <t>Munoz, Daniel-Jesus; Pinto, Mónica; Fuentes, Lidia</t>
  </si>
  <si>
    <t>The variety and complexity of microservices in warehouse-scale data centers has grown precipitously over the last few years to support a growing user base and an evolving product portfolio. Despite accelerating microservice diversity, there is a strong requirement to limit diversity in underlying server hardware to maintain hardware resource fungibility, preserve procurement economies of scale, and curb qualification/test overheads. As such, there is an urgent need for strategies that enable limited server CPU architectures (a.k.a "SKUs") to provide performance and energy efficiency over diverse microservices. To this end, we first undertake a comprehensive characterization of the top seven microservices that run on the compute-optimized data center fleet at Facebook.Our characterization reveals profound diversity in OS and I/O interaction, cache misses, memory bandwidth utilization, instruction mix, and CPU stall behavior. Whereas customizing a CPU SKU for each microservice might be beneficial, it is prohibitive. Instead, we argue for "soft SKUs", wherein we exploit coarse-grain (e.g., boot time) configuration knobs to tune the platform for a particular microservice. We develop a tool, μSKU, that automates search over a soft-SKU design space using A/B testing in production and demonstrate how it can obtain statistically significant gains (up to 7.2% and 4.5% performance improvement over stock and production servers, respectively) with no additional hardware requirements.</t>
  </si>
  <si>
    <t>Due to the increasing demand of cloud resources, the ever-increasing number and scale of cloud data centers make their massive power consumption a prominent issue today. Evidence reveals that the behaviors of cloud servers make the major impact on data centers’ power consumption. Although extensive research can be found in this context, a systematic review of the models and modeling methods for the entire hierarchy (from underlying hardware components to the upper-layer applications) of the cloud server is still missing, which is supposed to cover the relevant studies on physical and virtual cloud server instances, server components, and cloud applications. In this article, we summarize a broad range of relevant studies from three perspectives: power data acquisition, power models, and power modeling methods for cloud servers (including bare-metal, virtual machine (VM), and container instances). We present a comprehensive taxonomy on the collection methods of server-level power data, the existing mainstream power models at multiple levels from hardware to software and application, and commonly used methods for modeling power consumption including classical regression analysis and emerging methods like reinforcement learning. Throughout the work, we introduce a variety of models and methods, illustrating their implementation, usability, and applicability while discussing the limitations of existing approaches and possible ways of improvement. Apart from reviewing existing studies on server power models and modeling methods, we further figure out several open challenges and possible research directions, such as the study on modeling the power consumption of lightweight virtual units like unikernel and the necessity of further explorations toward empowering server power estimation/prediction with machine learning. As power monitoring is drawing increasing attention from cloud service providers (CSPs), this survey provides useful guidelines on server power modeling and can be inspiring for further research on energy-efficient data centers.</t>
  </si>
  <si>
    <t>Microservices changed cloud computing by moving the applications’ complexity from one monolithic executable to thousands of network interactions between small components. Given the increasing deployment sizes, the architectural exploitation challenges, and the impact on data-centers’ power consumption, we need to efficiently track this complexity. Within this article, we propose a black-box monitoring approach to track microservices at scale, focusing on architectural metrics, power consumption, application performance, and network performance. The proposed approach is transparent w.r.t. the monitored applications, generates less overhead w.r.t. black-box approaches available in the state-of-the-art, and provides fine-grain accurate metrics.</t>
  </si>
  <si>
    <t>IC4 but might be useful</t>
  </si>
  <si>
    <t>Datacenters are witnessing a rapid surge in the adoption of serverless functions for microservices-based applications. A vast majority of these microservices typically span less than a second, have strict SLO requirements, and are chained together as per the requirements of an application. The aforementioned characteristics introduce a new set of challenges, especially in terms of container provisioning and management, as the state-of-the-art resource management frameworks, employed in serverless platforms, tend to look at microservice-based applications similar to conventional monolithic applications. Hence, these frameworks suffer from microservice agnostic scheduling and colossal container over-provisioning, especially during workload fluctuations, thereby resulting in poor resource utilization.In this work, we quantify the above shortcomings using a variety of workloads on a multi-node cluster managed by the Kubernetes and Brigade serverless framework. To address them, we propose Fifer — an adaptive resource management framework to efficiently manage function-chains on serverless platforms. The key idea is to make Fifer (i) utilization conscious by efficiently bin packing jobs to fewer containers using function-aware container scaling and intelligent request batching, and (ii) at the same time, SLO-compliant by proactively spawning containers to avoid cold-starts, thus minimizing the overall response latency. Combining these benefits, Fifer improves container utilization and cluster-wide energy consumption by 4× and 31%, respectively, without compromising on SLO's, when compared to the state-of-the-art schedulers employed by serverless platforms.</t>
  </si>
  <si>
    <t>Computing systems have undergone a tremendous change in the last few decades with several inflexion points. While Moore’s law guided the semiconductor industry to cram more and more transistors and logic into the same volume, the limits of instruction-level parallelism (ILP) and the end of Dennard’s scaling drove the industry towards multi-core chips. More recently, we have entered the era of domain-specific architectures (DSA) and chips for new workloads like artificial intelligence (AI) and machine learning (ML). These trends continue, arguably with other limits, along with challenges imposed by tighter integration, extreme form factors and increasingly diverse workloads, making systems more complex to architect, design, implement and optimize from an energy efficiency perspective. Energy efficiency has now become a first order design parameter and constraint across the entire spectrum of computing devices.Many research surveys have gone into different aspects of energy efficiency techniques implemented in hardware and microarchitecture across devices, servers, HPC/cloud, data center systems along with improved software, algorithms, frameworks, and modeling energy/thermals. Somewhat in parallel, the semiconductor industry has developed techniques and standards around specification, modeling/simulation, benchmarking and verification of complex chips; these areas have not been addressed in detail by previous research surveys. This survey aims to bring these domains holistically together, present the latest in each of these areas, highlight potential gaps and challenges, and discuss opportunities for the next generation of energy efficient systems. The survey is composed of a systematic categorization of key aspects of building energy efficient systems - (1) specification - the ability to precisely specify the power intent, attributes or properties at different layers (2) modeling and simulation of the entire system or subsystem (hardware or software or both) so as to be able to experiment with possible options and perform what-if analysis, (3) techniques used for implementing energy efficiency at different levels of the stack, (4) verification techniques used to provide guarantees that the functionality of complex designs are preserved, and (5) energy efficiency benchmarks, standards and consortiums that aim to standardize different aspects of energy efficiency, including cross-layer optimizations.</t>
  </si>
  <si>
    <t>Zandberg, Koen; Baccelli, Emmanuel; Yuan, Shenghao; Besson, Frédéric; Talpin, Jean-Pierre</t>
  </si>
  <si>
    <t>Carrión, Carmen</t>
  </si>
  <si>
    <t>1.5 billion smartphones are sold annually, and most are decommissioned less than two years later. Most of these unwanted smartphones are neither discarded nor recycled but languish in junk drawers and storage units. This computational stockpile represents a substantial wasted potential: modern smartphones have increasingly high-performance and energy-efficient processors, extensive networking capabilities, and a reliable built-in power supply. This project studies the ability to reuse smartphones as "junkyard computers." Junkyard computers grow global computing capacity by extending device lifetimes, which supplants the manufacture of new devices. We show that the capabilities of even decade-old smartphones are within those demanded by modern cloud microservices and discuss how to combine phones to perform increasingly complex tasks. We describe how current operation-focused metrics do not capture the actual carbon costs of compute. We propose Computational Carbon Intensity—a performance metric that balances the continued service of older devices with the superlinear runtime improvements of newer machines. We use this metric to redefine device service lifetime in terms of carbon efficiency. We develop a cloudlet of reused Pixel 3A phones. We analyze the carbon benefits of deploying large, end-to-end microservice-based applications on these smartphones. Finally, we describe system architectures and associated challenges to scale to cloudlets with hundreds and thousands of smartphones.</t>
  </si>
  <si>
    <t>While (I) serverless computing is emerging as a popular form of cloud execution, datacenters are going through major changes: (II) storage dissaggregation in the system infrastructure level and (III) integration of domain-specific accelerators in the hardware level. Each of these three trends individually provide significant benefits; however, when combined the benefits diminish. On the convergence of these trends, the paper makes the observation that for serverless functions, the overhead of accessing dissaggregated storage overshadows the gains from accelerators. Therefore, to benefit from all these trends in conjunction, we propose In-Storage Domain-Specific Acceleration for Serverless Computing (dubbed DSCS-Serverless1). The idea contributes a server-less model that utilizes a programmable accelerator embedded within computational storage to unlock the potential of acceleration in disaggregated datacenters. Our results with eight applications show that integrating a comparatively small accelerator within the storage (DSCS-Serverless) that fits within the storage's power constraints (25 Watts), significantly outperforms a traditional disaggregated system that utilizes NVIDIA RTX 2080 Ti GPU (250 Watts). Further, the work highlights that disaggregation, serverless model, and the limited power budget for computation in storage device require a different design than the conventional practices of integrating microprocessors and FPGAs. This insight is in contrast with current practices of designing computational storage devices that are yet to address the challenges associated with the shifts in datacenters. In comparison with two such conventional designs that use ARM cores or a Xilinx FPGA, DSCS-Serverless provides 3.7× and 1.7× end-to-end application speedup, 4.3× and 1.9× energy reduction, and 3.2× and 2.3× better cost efficiency, respectively.</t>
  </si>
  <si>
    <t>Chochliouros, Ioannis P.; Pages-Montanera, Enric; Alcázar-Fernández, Aitor; Zahariadis, Theodore; Velivassaki, Terpsichori-Helen; Skianis, Charalabos; Rossini, Rosaria; Belesioti, Maria; Drosos, Nikolaos; Bakiris, Emmanouil; Pedholla, Prashanth Kumar; Karkazis, Panagiotis; Samal, Astik Kumar; Contreras Murillo, Luis Miguel; Del Río, Alberto; Serrano, Javier; Skias, Dimitrios; Segou, Olga E.; Waechter, Sonja</t>
  </si>
  <si>
    <t>Artificial Intelligence of Things (AIoT) is one of the next big concepts to support societal changes and economic growth, being one of the fastest growing ICT segments. A specific challenge is to leverage existing technology strengths to develop solutions that sustain the European industry and values. The ongoing ΝΕΜΟ (“Next Generation Meta-Operating System”) EU-funded project intends to establish itself as the “game changer” of the AIoT-Edge-Cloud continuum by introducing an open source, modular and cybersecure meta-operating system, leveraging on existing technologies and introducing novel concepts, methods, tools, testing and engagement campaigns.NEMO will bring intelligence closer to the data and make AI-as-a-Service an integral part of network self-organisation and micro-services execution orchestration. Its widespread penetration and massive acceptance will be achieved via new technology, pre-commercial exploitation components and liaison with open-source communities.By defining a modular and adaptable mOS (meta-OS) architecture together with building blocks and plugins the project will “address” current and future technological and business needs.</t>
  </si>
  <si>
    <t>Digital Twins (DT) constitute complex software systems that need to be continuously modified/updated to meet evolving user requirements and priorities, and support continual improvement. Because they aim at monitoring and improving different system aspects, their development requires the collaboration of people from different domains of expertise, e.g. the development of a DT for built assets may involve the collaboration of experts in software engineering, thermal comfort, air quality, and energy consumption, etc. Consequently, DTs need to be engineered to enable the fast and secure integration and deployment of new code, the systematic and iterative evolution of their components, and the independent development of different system aspects by those experts.In this paper, we present JuNo-OPS, a DevOps framework for the engineering of DTs for built assets. The framework is being developed, tested and validated in the the context of a multi-function room at École de Technologie Supérieure (ETS). We focus on two main facets of the DT software: the microservices architecture; and the DevOps infrastructure used to support the development, continuous integration, continuous delivery and the automation thereof. We also discuss challenges and next steps related to the development and evolution of the framework.</t>
  </si>
  <si>
    <t>Latency-critical applications running in modern datacenters exhibit irregular request arrival patterns and are implemented using multiple services with strict latency requirements (30–250μs). These characteristics render existing energy-saving idle CPU sleep states ineffective due to the performance overhead caused by the state’s transition latency. Besides the state transition latency, another important contributor to the performance overhead of sleep states is the cold-start latency, or in other words, the time required to warm up the microarchitectural state (e.g., cache contents, branch predictor metadata) that is flushed or discarded when transitioning to a lower-power state. Both the transition latency and cold-start latency can be particularly detrimental to the performance of latency critical applications with short execution times. While prior work focuses on mitigating the effects of transition and cold-start latency by optimizing request scheduling, in this work we propose a redesign of the core C-state architecture for latency-critical applications. In particular, we introduce C6Awarm, a new Agile core C-state that drastically reduces the performance overhead caused by idle sleep state transition latency and cold-start latency while maintaining significant energy savings. C6Awarm achieves its goals by (1) implementing medium-grained power gating, (2) preserving the microarchitectural state of the core, and (3) keeping the clock generator and PLL active and locked. Our analysis for a set of microservices based on an Intel Skylake server shows that C6Awarm manages to reduce the energy consumption by up to 70% with limited performance degradation (at most 2%).</t>
  </si>
  <si>
    <t>Smart street LED lighting systems have received much attention driven by the need to save energy and the dramatic advances in the Internet of Things. This work proposes a new smart street lighting system that adaptively changes the street lights' intensity based on traffic and weather conditions and provides a platform for monitoring road conditions and detecting lamp faults. The system transfers the data using the UDP protocol over NBIoT radio technology. It also maintains two-way communication between the luminaires and the central node. In order to ensure real-time response to traffic and avoid dimming delays, each light is locally controlled by a microcontroller based on the sensed traffic and weather data. The measurements of each luminaire are also sent to the central control node to locate lamp faults, detect emergency situations, and, if needed, broadcast on/off messages to the whole network's luminaires. The system was implemented in a suburban street in Ras Al Khaimah. Evaluations proved that the system can locate and detect faulty lamps and vary the light intensity in real time based on traffic. It also resulted in energy savings of up to 55% compared to a normal LED street light network.  © 2023 Maen Takruri et al.</t>
  </si>
  <si>
    <t>Key Technologies and Perspectives of Specialized Sensing and Edge Intelligence for New Power Systems; [新型电力系统专用传感与边缘智能关键技术及其展望]</t>
  </si>
  <si>
    <t>The internet of things plays a significant role in real-time sensing, transparent perception and global regulation of power systems. With the continuous development of new power systems, the traditional device sensing and static independent intelligent systems are difficult to cope with problems such as the proliferation of varied business requirements, explosive growth of diversified data, poor communication reliability and low energy efficiency of sensors, and high cost of iteration algorithmic modelling. Therefore, it is anticipated that the new power systems, which is characterized by its specialized sensing and edge intelligence, will become the new paradigm, and the system is highly multifaceted and integrated, environmentally friendly and continuously reliable, with deep cloud-edge-end synergy. We constructed the system architecture of fusion and coherence of specialized sensing and edge intelligence on the basis of the fundamental connotation of these two elements in a new power system. Then, we emphatically discussed the key technologies, such as localized high-frequency new sensing technology, high-performance embedded chip technology with green energy supply, high-reliability flexible networking technology, lightweight model inference technology, cloud-edge collaborative resource sharing technology, and online learning continuous iteration technology. Finally, to provide a reference for the construction of new power systems, we put forward the future development directions of specialized sensing and edge intelligence in terms of data governance, privacy protection, software-defined hardware, business arithmetic microservices, multi-layer distributed ubiquitous intelligence, and power grand modelling. © 2024 Science Press. All rights reserved.</t>
  </si>
  <si>
    <t xml:space="preserve"> The Internet of Things is one of the most interesting technology trends today. Devices in the IoT network are often geared towards mobility and compact in size, thus having a rather weak hardware configuration. There are many light weight protocols, tailor-made suitable for limited processing power and low energy consumption, of which MQTT is the typical one. The current MQTT protocol supports three types of quality-of-service (QoS) and the user has to trade-off the security of the packet transmission by transmission rate, bandwidth and energy consumption. The MQTT protocol, however, does not support packet storage mechanisms which means that when the receiver is interrupted, the packet cannot be retrieved. In this paper, we present a broker-less SIP-MBA Platform, designed for micro-service and using gRPC protocol to transmit and receive messages. This design optimizes the transmission rate, power consumption and transmission bandwidth, while still meeting reliability when communicating. Besides, we implement users and things management mechanisms with the aim of improving security issues. Finally, we present the test results by implementing a collect data service via gRPC protocol and comparing it with streaming data by using the MQTT protocol. © 2021. All Rights Reserved.</t>
  </si>
  <si>
    <t xml:space="preserve"> Internet of Thing (IoT), currently, is one of the technology trends that are most interested. IoT can be divided into five main areas including: Health-care, Environmental, Smart city, Commercial and Industrial. The IoHT-MBA Platform is considered the backbone of every IoT architecture, so the optimal design of the IoHT-MBA Platform is essential issue, which should be carefully considered in the different aspects. Although, IoT is applied in multiple domains, however, there are still three main features that are challenge to improve: i) data collection, ii) users, devices management, and iii) remote device control. Today’s medical IoT systems, often too focused on the big data or access control aspects of participants, but not focused on collecting data accurately, quickly, and efficiently; power redundancy and system expansion. This is very important for the medical sector - which always prioritizes the availability of data for therapeutic purposes over other aspects. In this paper, we introduce the IoHT Platform for Healthcare environment which is designed by microservice and brokerless architecture, focusing strongly on the three aforementioned characteristics. In addition, our IoHT Platform considers the five other issues including (1) the limited processing capacity of the devices, (2) energy saving for the device, (3) speed and accurate of the data collection, (4) security mechanisms and (5) scalability of the system. Also, in order for the IoHT Platform to be suitable for the field of health monitoring, we also add realtime alerts for the medical team. In the evaluation section, moreover, we describe the evaluation to prove the effectiveness of the proposed IoHT Platform (i.e. the proof-of-concept) in the performance, non-error, and non affected by geographical distance. Finally, a complete code solution is publicized on the authors’ GitHub repository to engage further reproducibility and improvement. © 2021. All Rights Reserved.</t>
  </si>
  <si>
    <t>Ever growing building energy consumption requires advanced automation and monitoring solutions in order to improve building energy efficiency. Furthermore, aggregation of building automation data, similarly to industrial scenarios allows for condition monitoring and fault diagnostics of the Heating, Ventilations and Air Conditioning (HVAC) system. For existing buildings, the commissioned SCADA solutions provide historical trends, alarms management and setpoint curve adjustments, which are essential features for facility management personnel. The development in Internet of Things (IoT) and Industry 4.0, as well as software microservices enables higher system integration, data analytics and rich visualization to be integrated into the existing infrastructure. This paper presents the implementation of a technology stack, which can be used as a framework for improving existing and new building automation systems by increasing interconnection and integrating data analytics solutions. The implementation solution is realized and evaluated for a nearly zero energy building, as a case study. © 2019 K. Dang and I. Trotskii, published by De Gruyter 2019.</t>
  </si>
  <si>
    <t>This study aimed to enhance greenhouse climate regulation by optimizing the efficiency of existing cooling and heating systems while considering external temperature and humidity conditions. We introduced an automated system capable of regulating the internal greenhouse environment, which underwent testing across 30 days in September 2021, with temperatures ranging from 26°C to 31°C and humidity from 65% to 70%. The system consistently monitored and adjusted the microclimate, with sensors capturing temperature and humidity data at 30-second intervals, amassing over 83,000 data entries for enhanced control accuracy. The automated regulation effectively maintained desired humidity, significantly reducing nighttime levels by 80% while carefully increasing daytime humidity to counteract external heat. Temperature control was largely successful, sustaining daytime levels around 32°C, but faced challenges in maintaining the target of 26°C during cooler nights. Energy consumption was optimized, with the automation leading to a significant 4–33% energy saving for cooling and an 8% saving in heating compared to traditional methods. Additionally, the system was accessible via a web interface, allowing for real-time climate tracking and prompt anomaly identification. In conclusion, the developed greenhouse automation system exhibited efficiency in equipment usage and improved temperature and humidity control. Further enhancements are required for lamp-based heating. This research contributes to the efficiency and reliability of greenhouse automation systems, mitigating risks associated with external environmental factors and enhancing stability, productivity, and disease and pest prevention. © 2023. IJASEIT is licensed under a Creative Commons Attribution-Share Alike 4.0 International License.</t>
  </si>
  <si>
    <t>After the stroke, the hand nerves, the motor and/or sensory functions are impaired, especially fine motor skills of each finger individually or a group of fingers. Previous studies have shown that the combination of various methods, e.g., medication, physical therapy, as well as exercises to strengthen muscles and restore fine motor skills with personal small-sized automatized devices are effective. In the paper is proposed a method of constructing a “green zone” (optimal for patient training mode), and “red zone” (dangerous training mode), which correspond to the model of quantitative dependence the time fulfill several sequential actions patient based on the moving average. A decrease of muscle spasticity of the arm in scores following the Modified Ashworth Scale (MAS) was used as an optimality criterion. For remote rehabilitation of the post-stroke patients in individual conditions the wireless devices of the “Reflex Txx” series were developed, which has in-built Hall sensors or touch sensors. The remote rehabilitation training data are transmitted via a wireless channel (4G or Wi-Fi network), accumulated, and analyzed on the microservices of the developed hardware and software complex. The results of each personal training are displayed on the user's gadgets (smartphone, laptop, etc.) in real-time. Implemented electronic components and architecture of the developed devices are based on a cost-effective Arduino platform hardware. Using of “Reflex Txx” series’ devices, in addition to conventional physiotherapy, gives positive shifts in treatment after only 150 minutes of the entire trial during even short-term (1 week) exercise. © 2021 MEDIC SCIENTIFIC. All Rights Reserved.</t>
  </si>
  <si>
    <t>The consolidation of resources is one of the most efficient strategies to reduce the power consumption in data centers. Various algorithms have been proposed in order to reduce the total number of required servers and network devices. The practice developed in response to the problem of server sprawl, a situation in which multiple, under-utilized servers (and/or network devices) take up more space and consume more resources than the ones justified by their workload; with the effect to power off unused equipment. Generally, consolidation mechanisms consider different parameters related to the services neglecting the specific function of the Virtual Machines (VMs) in the application framework (e.g., core component, backup replica, member of a set of workers for load balancing). In this work, we develop a new consolidation algorithm that takes into account the particular function of each VM with the aim to apply power saving mechanisms without compromising the desired service level. The results of the simulations show that it is possible to obtain significant energy savings. In particular, we show, with different heuristics, the optimal trade-off between service level and power efficiency achieved by the proposed model. © 2017 ITC Press.</t>
  </si>
  <si>
    <t>I. Čavrak; I. Žagar; A. Dražić</t>
  </si>
  <si>
    <t>J. Galán-Jiménez; A. G. Vegas; J. Berrocal</t>
  </si>
  <si>
    <t>European Regional Development Fund;</t>
  </si>
  <si>
    <t>Nuñez I.; Rovetto C.; Cruz E.; Smolarz A.; Concepcion D.; Cano E.E.</t>
  </si>
  <si>
    <t>With the significant advancement of electrical infrastructure in the context of smart buildings and smart homes, the need arises to overcome the limitations of the traditional energy efficiency control system based on service-oriented architecture (SOA). To address these challenges, this study proposes a distributed architecture based on microservices, with the main objective of improving the performance and stability of these systems. This proposal seeks to enable end users to effectively monitor and control their electrical devices while effectively integrating them into a wide network of power systems. The proposed architecture relies on a series of cloud services that enable better performance and control in energy efficiency management, highlighting key features of microservices such as fault tolerance, performance, and scalability. Using a structural methodology centered on preexisting components and an iterative approach, a versatile and scalable architecture was designed that addresses current challenges in energy efficiency management. The results show a significant impact on key performance indicators such as demand response, energy savings, and power quality, highlighting the resilience and scalability of the proposed architecture. The conclusions highlight the importance of energy efficiency in reducing the environmental impact and costs associated with electric power, suggesting future improvements in data access and the implementation of advanced machine learning algorithms. © The Author(s).</t>
  </si>
  <si>
    <t>Nuñez, Ivonne (57988307500); Rovetto, Carlos (36700409000); Cruz, Edmanuel (57196730404); Smolarz, Andrzej (56249263000); Concepcion, Dimas (58745340600); Cano, Elia Esther (36699322600)</t>
  </si>
  <si>
    <t>The growing global urbanization rate implies that the sustainability challenges are increasingly concentrated in cities. At today, around 75% of global energy is consumed in urban areas, so efforts must be addressed to transform existing urban energy systems into more sustainable systems. In this perspective, a key aspect to evolve toward a cleaner and affordable energy system is the development of Multi-Energy Systems (MES) modelling, whereby heat, electricity, fuels, transport, and other energy carriers closely interact with each other at various scales. MES can optimize technical, economic and environmental performance with respect to “traditional” independent energy systems, at both the operational and the planning stage. This paper presents a development of the existing MESsi modelling platform, consisting in the implementation of a model estimating the impacts on air quality and human health. MESsi is a novel distributed infrastructure for modelling and co-simulating Multi-Energy-Systems. It exploits modern software design patterns (i.e. microservices) to guarantee scalability, extendibility and easy maintenance of the system. Thus, MESsi is flexible in modelling and co-simulating different energy flows in a single solution made of different interoperable modules that can be deployed in a plug-and-play fashion. The module to be implemented in MESsi infrastructure is the DIATI integrated dispersion and externalities model (DIDEM). The DIDEM model is based on the impact pathway approach, linking the simulation of pollutants dispersion to the concentration-exposure-response functions provided by latest WHO recommendations. An overview of the potential integration steps in the modelling infrastructure is described in this paper. A discussion on possible application scenarios that have different spatio-temporal resolutions is also reported. The integration of DIDEM model in MESsi platform allows the inter-connection of a detailed impact assessment to a high-level energy system simulation. © 2018 WIT Press.</t>
  </si>
  <si>
    <t>National Natural Science Foundation of China(grant numbers:62372330);</t>
  </si>
  <si>
    <t>Cloud computing is a rapidly growing paradigm which has evolved from having a mono-lithic to microservices architecture. The importance of cloud data centers has expanded dramatically in the previous decade, and they are now regarded as the backbone of the modern economy. Cloud-based microservices architecture is incorporated by firms such as Netflix, Twitter, eBay, Amazon, Hailo, Groupon, and Zalando. Such cloud computing arrangements deal with the parallel deployment of data-intensive workloads in real time. Moreover, commonly utilized cloud services such as the web and email require continuous operation without interruption. For that purpose, cloud service providers must optimize resource management, efficient energy usage, and carbon footprint reduction. This study presents a conceptual framework to manage the high amount of microservice execution while reducing response time, energy consumption, and execution costs. The proposed framework suggests four key agent services: (1) intelligent partitioning: responsible for microservice classification; (2) dynamic allocation: used for pre-execution distribution of microservices among containers and then makes decisions for dynamic allocation of microservices at runtime; (3) resource optimization: in charge of shifting workloads and ensuring optimal resource use; (4) mutation ac-tions: these are based on procedures that will mutate the microservices based on cloud data center workloads. The suggested framework was partially evaluated using a custom-built simulation envi-ronment, which demonstrated its efficiency and potential for implementation in a cloud computing context. The findings show that the engrossment of suggested services can lead to a reduced number of network calls, lower energy consumption, and relatively reduced carbon dioxide emissions. © 2022 by the authors. Licensee MDPI, Basel, Switzerland.</t>
  </si>
  <si>
    <t>Smart homes enhance energy efficiency without compromising residents’ comfort. To support smart home deployment and services, an IoT network must be established, while energy-management techniques must be applied to ensure energy efficiency. IoT networks must perpetually operate to ensure constant energy and indoor environmental monitoring. In this paper, an advanced sensor-agnostic plug-n-play prescriptive edge-to-edge IoT network management with micro-services is proposed, supporting also the semantic interoperability of multiple smart edge devices operating in the smart home network. Furthermore, IoT health-monitoring algorithms are applied to inspect network anomalies taking proper healing actions/prescriptions without the need to visit the residency. An autoencoder long short-term memory (AE-LSTM) is selected for detecting problematic situations, improving error prediction to 99.4%. Finally, indicative evaluation results reveal the mitigation of the IoT system breakdowns. © 2022 by the authors.</t>
  </si>
  <si>
    <t>Despite the increase in the efficiency of energy consumption in information and communication technology, software execution and its constraints are responsible for how energy is consumed in hardware hosts. Consequently, researchers have promoted the development of sustainable software with new development methods and tools to lessen its hardware demands. However, the approaches developed so far lack cohesiveness along the stages of the software development life cycle (SDLC) and exist outside of a holistic method for green software development (GSD). In addition, there is a severe lack of approaches that target the analysis and design stages of the SDLC, leaving software architects and designers unsupported. In this article, we introduce our behavior-based consumption profile (BBCP) external Domain-Specific Language (DSL), aimed at assisting software architects and designers in modeling the behavior of software. The models generated with our external DSL contain multiple sets of properties that characterize features of the software’s behavior. In contrast to other modeling languages, our BBCP emphasizes how time and probability are involved in software execution and its evolution over time, helping its users to gather an expectation of software usage and hardware consumption from the initial stages of software development. To illustrate the feasibility and benefits of our proposal, we conclude with an analysis of the model of a software service created using the BBCP, which is simulated using Insight Maker to obtain an estimation of hardware consumption and later translated to energy consumption. © 2024 by the authors.</t>
  </si>
  <si>
    <t>Larracoechea, Jorge Andrés (57221960959); Ilarri, Sergio (7801631434); Roose, Philippe (55843683500)</t>
  </si>
  <si>
    <t>EC3 but may be useful</t>
  </si>
  <si>
    <t>In recent years the ever-expanding internet of things (IoT) is becoming more empowered to revolutionize our world with the advent of cutting-edge features and intelligence in an IoT ecosystem. Thanks to the development of the IoT, researchers have devoted themselves to technologies that convert a conventional home into an intelligent occupants-aware place to manage electric resources with autonomous devices to deal with excess energy consumption and providing a comfortable living environment. There are studies to supplement the innate shortcomings of the IoT and improve intelligence by using cloud computing and machine learning. However, the machine learning-based autonomous control devices lack flexibility, and cloud computing is challenging with latency and security. In this paper, we propose a rule-based optimization mechanism on an embedded edge platform to provide dynamic home appliance control and advanced intelligence in a smart home. To provide actional control ability, we design and developed a rule-based objective function in the EdgeX edge computing platform to control the temperature states of the smart home. Compared to cloud computing, edge computing can provide faster response and higher quality of services. The edge computing paradigm provides better analysis, processing, and storage abilities to the data generated from the IoT sensors to enhance the capability of IoT devices concerning computing, storage, and network resources. In order to satisfy the paradigm of distributed edge computing, all the services are implemented as microservices. The microservices are connected to each other through REST APIs based on the constrained IoT devices to provide all the functionalities that accomplish a trade-off between energy consumption and occupant-desired environment setting for the smart home appliances. We simulated our proposed system to control the temperature of a smart home; through experimental findings, we investigated the application against the delay time and overall memory consumption by the embedded edge system of EdgeX. The result of this research work suggests that the implemented services operated efficiently in the raspberry pi 3 hardware of IoT devices. © 2021 by the authors. Licensee MDPI, Basel, Switzerland. This article is an open access article distributed under the terms and conditions of the Creative Commons Attribution (CC BY) license (https:// creativecommons.org/licenses/by/ 4.0/).</t>
  </si>
  <si>
    <t>The Internet of Things (IoT) market is currently one of the most dynamically developing branches of technology. The increase in the number of devices and their capabilities make them present in every area of life—from construction to medicine. Due to flourishing industrial automation and wireless connectivity, all devices in buildings can be networked, which significantly improves comfort, energy efficiency, and thus significantly affects the promotion of the idea of sustainable development. This article proposes to build a system to monitor an energy management system by collecting information about temperature, humidity and pressure. The concept of the system is based on the Message Queue Telemetry Transport (MQTT) communication protocol, a wireless network, an ESP8266 microcontroller and a BME280 sensor. Sensors and actuators are connected to the ESP8266, and a Mosquitto-based MQTT broker is placed on the RPi and set up for remote monitoring and control. An innovative approach to the use of database systems dedicated to time series on the example of InfluxDB and data visualization in the Grafana environment was also presented. The proposed system was built in laboratory conditions in 2022 and used to monitor and control energy consumption in real time, depending on Polish weather conditions. © 2022 by the authors.</t>
  </si>
  <si>
    <t>In the Internet of Things (IoT)-supported energy data management infrastructure, objects from various energy generation and consumption terminals in buildings produce a tremendous amount of data. However, this data is not useful unless it is available on-time for services that discover meaningful information in order to provide intelligent decisions. The microservices-based data caching, data virtualization, data processing, data analysis, and data ingestion methods can be applied to enhance the data availability for energy efficiency management services provision across buildings. To foster building energy efficiency management services (BEEMS), Web of Objects (WoO) provides data abstraction, aggregation, and ingestion mechanism with virtual objects (VOs) and composite virtual objects (CVOs) by using ontologies and availability and scalability of services with microservices. This article proposes the use of data processing microservices modeling to enhance data availability and expose services capabilities with microservices for BEEMS. We present a semantic web agent based on an ontology for linking, enhancement, reusability, and availability of data-objects, services, and microservices. For the evaluation, we present a use case, which includes heterogeneous data collection and processing and provision of various BEEMS. A prototype for the use case scenario has been built and the results have been evaluated in the laboratory to mimic the enhanced data availability for BEEMS. © 2019 by the authors.</t>
  </si>
  <si>
    <t>Lévy L.-N.; Bosom J.; Guerard G.; Amor S.B.; Bui M.; Tran H.</t>
  </si>
  <si>
    <t>Energy systems are often socio-technical complex systems that are facing new challenges regarding technological and environmental changes. Because of their complex nature, they cannot be approached solely through analytical modeling, hence the inefficiency of most classical modeling approaches. In this article, a Hybrid Approach based on both systemic and analytical modeling is presented and applied to a case study. From this novel approach, a model—the Multi-Institution Building Energy System—is presented. It allowed us to highlight and detail the need for greater governance of energy systems. The socio-technical solutions identified to answer the issues of governance (Accuracy, Reliability and Fairness) were DevOps methodology and the use of Distributed Microservices Architecture. Based on this framework, the design of a Decision Support System assuring and exploiting state-of-the-art scalable tools for data management and machine learning factories is described in this article. Moreover, we wish to set up the conceptual basis necessary for the design of a generic theoretical framework of optimization applicable to complex socio-technical systems in the context of the management of a shared resource. © 2022 by the authors.</t>
  </si>
  <si>
    <t>Lévy, Loup-Noé (57203503916); Bosom, Jérémie (57202512390); Guerard, Guillaume (55746242400); Amor, Soufian Ben (16642317200); Bui, Marc (7006594623); Tran, Hai (57196641853)</t>
  </si>
  <si>
    <t>Smart agriculture stands as a promising domain for IoT-enabled technologies, with the potential to elevate crop quality, quantity, and operational efficiency. However, implementing a smart agriculture system encounters challenges such as the high latency and bandwidth consumption linked to cloud computing, Internet disconnections in rural locales, and the imperative of cost efficiency for farmers. Addressing these hurdles, this paper advocates a fog-based smart agriculture infrastructure integrating edge computing and LoRa communication. We tackle farmers’ prime concern of animal intrusion by presenting a solution leveraging low-cost PIR sensors, cameras, and computer vision to detect intrusions and predict animal locations using an innovative algorithm. Our system detects intrusions pre-emptively, identifies intruders, forecasts their movements, and promptly alerts farmers. Additionally, we compare our proposed strategy with other approaches and measure their power consumptions, demonstrating significant energy savings afforded by our strategy. Experimental results highlight the effectiveness, energy efficiency, and cost-effectiveness of our system compared to state-of-the-art systems. © 2024 by the authors.</t>
  </si>
  <si>
    <t>This study presents a current status and future trends of innovative and environmentally sustainable technological solutions for the post-harvest food supply chain and the food industry, in terms of ecological packaging, active, and/or intelligent packaging. All these concerns are currently highlighted due to the strong increase in the purchase/sale of products on online platforms, as well as the requirements for stricter food security and safety. Thus, this study aims to increase the global awareness of agro-industrial micro, small, and medium size enterprises for the adoption of innovative food solutions though industry digitalization (Industry 4.0), associated logistics and circular economy, with a concern for cybersecurity and products information, communication and shelf-life extension. The adoption of these guidelines will certainly foster along the complete food chain (from producer to consumer, with all intermediary parties) the awareness on environmentally sustainable technological solutions for the post-harvest food supply chain, and thus, promoting the future food sustainability required by the population increase, the climate change, the exodus of rural population to urban areas, and food loss and waste. © 2021 by the authors. Licensee MDPI, Basel, Switzerland.</t>
  </si>
  <si>
    <t>Fernandez, Carlos M. (57215897449); Alves, Joel (57224008789); Gaspar, Pedro Dinis (57419570900); Lima, Tânia M. (48661120000)</t>
  </si>
  <si>
    <t>Trilles S.; González-Pérez A.; Huerta J.</t>
  </si>
  <si>
    <t>Nowadays, the concept of “Everything is connected to Everything” has spread to reach increasingly diverse scenarios, due to the benefits of constantly being able to know, in real-time, the status of your factory, your city, your health or your smallholding. This wide variety of scenarios creates different challenges such as the heterogeneity of IoT devices, support for large numbers of connected devices, reliable and safe systems, energy efficiency and the possibility of using this system by third-parties in other scenarios. A transversal middleware in all IoT solutions is called an IoT platform. the IoT platform is a piece of software that works like a kind of “glue” to combine platforms and orchestrate capabilities that connect devices, users and applications/services in a “cyber-physical” world. In this way, the IoT platform can help solve the challenges listed above. This paper proposes an IoT agnostic architecture, highlighting the role of the IoT platform, within a broader ecosystem of interconnected tools, aiming at increasing scalability, stability, interoperability and reusability. For that purpose, different paradigms of computing will be used, such as microservices architecture and serverless computing. Additionally, a technological proposal of the architecture, called SEnviro Connect, is presented. This proposal is validated in the IoT scenario of smart farming, where five IoT devices (SEnviro nodes) have been deployed to improve wine production. A comprehensive performance evaluation is carried out to guarantee a scalable and stable platform. © 2020 by the authors. Licensee MDPI, Basel, Switzerland.</t>
  </si>
  <si>
    <t>Trilles, Sergio (55557104000); González-Pérez, Alberto (57194053428); Huerta, Joaquín (56260161000)</t>
  </si>
  <si>
    <t>A smart city represents an improvement of today’s cities, both functionally and structurally, that strategically utilizes several smart factors, capitalizing on Information and Communications Technology (ICT) to increase the city’s sustainable growth and strengthen the city’s functions, while ensuring the citizens’ enhanced quality of life and health. Cities can be viewed as a microcosm of interconnected “objects” with which citizens interact daily, which represents an extremely interesting example of a cyber physical system (CPS), where the continuous monitoring of a city’s status occurs through sensors and processors applied within the real-world infrastructure. Each object in a city can be both the collector and distributor of information regarding mobility, energy consumption, air pollution as well as potentially offering cultural and tourist information. As a consequence, the cyber and real worlds are strongly linked and interdependent in a smart city. New services can be deployed when needed, and evaluation mechanisms can be set up to assess the health and success of a smart city. In particular, the objectives of creating ICT-enabled smart city environments target (but are not limited to) improved city services; optimized decision-making; the creation of smart urban infrastructures; the orchestration of cyber and physical resources; addressing challenging urban issues, such as environmental pollution, transportation management, energy usage and public health; the optimization of the use and benefits of next generation (5G and beyond) communication; the capitalization of social networks and their analysis; support for tactile internet applications; and the inspiration of urban citizens to improve their quality of life. However, the large scale deployment of cyber-physical-social systems faces a series of challenges and issues (e.g., energy efficiency requirements, architecture, protocol stack design, implementation, and security), which requires more smart sensing and computing methods as well as advanced networking and communications technologies to provide more pervasive cyber-physical-social services. In this paper, we discuss the challenges, the state-of-the-art, and the solutions to a set of currently unresolved key questions related to CPSs and smart cities. © 2021 by the authors. Licensee MDPI, Basel, Switzerland.</t>
  </si>
  <si>
    <t>Larrinaga F.; Pérez A.; Aldalur I.; Hernández J.L.; Izkara J.L.; de Viteri P.S.</t>
  </si>
  <si>
    <t>Cities in the 21st century play a major role in the sustainability and climate impact reduction challenges set by the European agenda. As the population of cities grows and their environmental impact becomes more evident, the European strategy aims to reduce greenhouse gas emissions—the main cause of climate change. Measures to reduce the impact of climate change include reducing energy consumption, improving mobility, harnessing resources and renewable energies, integrating nature-based solutions and efficiently managing infrastructure. The monitoring and control of all this activity is essential for its proper functioning. In this context, Information and Communication Technology (ICT) plays a key role in the digitisation, monitoring, and managing of these different verticals. Urban data platforms support cities on extracting Key Performance Indicators (KPI) in their efforts to make better decisions. Cities must be transformed by applying efficient urban planning measures and taking into account not only technological aspects, but also by applying a holistic vision in building solutions where citizens are at the centre. In addition, standardisation of platforms where applications are integrated as one is necessary. This requires interoperability between different verticals. This article presents the information platform developed for the city of Vitoria-Gasteiz in Spain. The platform is based on the UNE 178104 standard to provide a holistic architecture that integrates information from the different urban planning measures implemented in the city. The platform was constructed in the context of the SmartEnCity project following the urban transformation strategy established by the city. The article presents the value-added solutions implemented in the platform. These solutions have been developed by applying co-creation techniques in which stakeholders have been involved throughout the process. The platform proposes a step forward towards standardization, harmonises the integration of data from multiple vertical, provides interoperability between services, and simplifies scalability and replicability due to its microservice architecture. © 2021 by the authors. Licensee MDPI, Basel, Switzerland.</t>
  </si>
  <si>
    <t>Larrinaga, Félix (53877813400); Pérez, Alain (55706335300); Aldalur, Iñigo (56492990100); Hernández, José L. (58731638500); Izkara, José Luis (55314667600); de Viteri, Patxi Sáez (57217590336)</t>
  </si>
  <si>
    <t>Cloud computing plays an important role in every IT sector. Many tech giants such as Google, Microsoft, and Facebook as deploying their data centres around the world to provide computation and storage services. The customers either submit their job directly or they take the help of the brokers for the submission of the jobs to the cloud centres. The preliminary aim is to reduce the overall power consumption which was ignored in the early days of cloud development. This was due to the performance expectations from cloud servers as they were supposed to provide all the services through their services layers IaaS, PaaS, and SaaS. As time passed and researchers came up with new terminologies and algorithmic architecture for the reduction of power consumption and sustainability, other algorithmic anarchies were also introduced, such as statistical oriented learning and bioinspired algorithms. In this paper, an indepth focus has been done on multiple approaches for migration among virtual machines and find out various issues among existing approaches. The proposed work utilizes elastic scheduling inspired by the smart elastic scheduling algorithm (SESA) to develop a more energy-efficient VM allocation and migration algorithm. The proposed work uses cosine similarity and bandwidth utilization as additional utilities to improve the current performance in terms of QoS. The proposed work is evaluated for overall power consumption and service level agreement violation (SLA-V) and is compared with related state of art techniques. A proposed algorithm is also presented in order to solve problems found during the survey. © 2023 by the authors.</t>
  </si>
  <si>
    <t>Fog computing extends mobile cloud computing facilities at the network edge, yielding low-latency application execution. To supplement cloud services, computationally intensive applications can be distributed on resource-constrained mobile devices by leveraging underutilized nearby resources to meet the latency and bandwidth requirements of application execution. Building upon this premise, it is necessary to investigate idle or underutilized resources that are present at the edge of the network. The utilization of a microservice architecture in IoT application development, with its increased granularity in service breakdown, provides opportunities for improved scalability, maintainability, and extensibility. In this research, the proposed schedule tackles the latency requirements of applications by identifying suitable upward migration of microservices within a multi-tiered fog computing infrastructure. This approach enables optimal utilization of network edge resources. Experimental validation is performed using the iFogSim2 simulator and the results are compared with existing baselines. The results demonstrate that compared to the edgewards approach, our proposed technique significantly improves the latency requirements of application execution, network usage, and energy consumption by 66.92%, 69.83%, and 4.16%, respectively. © 2023 by the authors.</t>
  </si>
  <si>
    <t>Recently, there has been increased interest in adopting novel sensing technologies for continuously monitoring structural systems. In this respect, micro-electrical mechanical system (MEMS) sensors are widely used in several applications, including structural health monitoring (SHM), in which accelerometric samples are acquired to perform modal analysis. Thanks to their significantly lower cost, ease of installation in the structure, and lower power consumption, they enable extensive, pervasive, and battery-less monitoring systems. This paper presents an innovative high-performance device for SHM applications, based on a low-noise triaxial MEMS accelerometer, providing a guideline and insightful results about the opportunities and capabilities of these devices. Sensor nodes have been designed, developed, and calibrated to meet structural vibration monitoring and modal identification requirements. These components include a protocol for reliable command dissemination through network and data collection, and improvements to software components for data pipelining, jitter control, and high-frequency sampling. Devices were tested in the lab using shaker excitation. Results demonstrate that MEMS-based accelerometers are a feasible solution to replace expensive piezo-based accelerometers. Deploying MEMS is promising to minimize sensor node energy consumption. Time and frequency domain analyses show that MEMS can correctly detect modal frequencies, which are useful parameters for damage detection. The acquired data from the test bed were used to examine the functioning of the network, data transmission, and data quality. The proposed architecture has been successfully deployed in a real case study to monitor the structural health of the Marcus Aurelius Exedra Hall within the Capitoline Museum of Rome. The performance robustness was demonstrated, and the results showed that the wired sensor network provides dense and accurate vibration data for structural continuous monitoring. © 2024 by the authors.</t>
  </si>
  <si>
    <t>Many regular business operations are transforming into digital services, increasing advanced multi-platforms, rapid operational alignment, flexibility, and environmental impact through energy consumption, hardware waste, and technology investments. Flexible and sustainable system development models emphasizing energy efficiency can help innovate software development as digital servicing applications shift. This research is motivated by the need to improve energy consumption in early software design and development due to rising technological efficiency and sustainability demands. Although effective in iterative development and stakeholder engagement, traditional Agile methodologies often struggle with long-term sustainability and energy efficiency. Extended Agile, combining Agile, layered architecture, and aspect-oriented frameworks (ALAI), promises to improve system modularity, flexibility, maintainability, and sustainability. This study’s findings are not just theoretical, but also practically relevant, as they explore the energy efficiency of ALAI software development methodologies, using graduate admission information system services (GAISS) as an example. GAISS is a complex system that handles the entire process of graduate admissions, from application submission to final decision. The study quantifies the energy usage of a student-list webpage by analyzing Microsoft IIS server logs from February 2022 to May 2024. Directly applicable findings show that the GAISS based on the ALAI framework reduces energy consumption by 10.7914% compared to traditional Agile software developments. ALAI used 892.80 kWh versus Agile’s 1000.80 kWh during operations, saving energy. These findings demonstrate the benefits of integrating aspect-oriented frameworks and layering approaches into Agile methodologies, contributing to sustainable software development discourse. The study emphasizes the importance of energy-efficient frameworks such as ALAI to reduce software systems’ environmental impact and promote software development sustainability. The findings of this study, with their practical relevance, assist software developers and organizations in choosing software design and development methods that maximize operational efficiency and environmental sustainability. © 2024 by the authors.</t>
  </si>
  <si>
    <t>It is a crucial issue for enterprises to resolve environmental protection-related institutional pressure along with the implementation of strict environmental policies and the enhancement of public environmental awareness. Thus, in this study, we surveyed 312 firms in the Yangtze River Delta of China to investigate the relationship among institutional pressure, green value co-creation, and firm performance by applying a moderated mediation model. Results indicate that institutional pressure positively affects both green value co-creation and firm performance, whereas green value co-creation also has a positive effect on firm performance. Furthermore, green value co-creation mediates the relationship between institutional pressure and firm performance. However, organizational inertia moderates the mediating effect of green value co-creation on the correlation between institutional pressure and firm performance. These findings enhance our understanding of the relationship among institutional pressure, green value co-creation, and firm performance, as well as providing implications for further research and practice. © 2022 ERP Environment and John Wiley &amp; Sons Ltd.</t>
  </si>
  <si>
    <t>The increasing volume of data being produced, curated, and made available by research infrastructures in the environmental science domain require services that are able to optimize the delivery and staging of data for researchers and other users of scientific data. Specialized data services for managing data life cycle, for creating and delivering data products, and for customized data processing and analysis all play a crucial role in how these research infrastructures serve their communities, and many of these activities are time-critical—needing to be carried out frequently within specific time windows. We describe our experiences identifying the time-critical requirements of environmental scientists making use of computational research support environments. We present a microservice-based infrastructure optimization suite, the Dynamic Real-Time Infrastructure Planner, used for constructing virtual infrastructures for research applications on demand. We provide a case study whereby our suite is used to optimize runtime service quality for a data subscription service provided by the Euro-Argo using EGI Federated Cloud and EUDAT's B2SAFE services, and to consider how such a case study relates to other application scenarios. © 2019 The Authors Concurrency and Computation: Practice and Experience Published by John Wiley &amp; Sons Ltd.</t>
  </si>
  <si>
    <t>Containerization is a lightweight virtualization technology enabling the deployment and execution of distributed applications on cloud, edge/fog, and Internet-of-Things platforms. Container technologies are evolving at the speed of light, and there are many open research challenges. In this paper, an extensive literature review is presented that identifies the challenges related to the adoption of container technologies in High Performance Computing, Big Data analytics, and geo-distributed (Edge, Fog, Internet-of-Things) applications. From our study, it emerges that performance, orchestration, and cyber-security are the main issues. For each challenge, the state-of-the-art solutions are then analyzed. Performance is related to the assessment of the performance footprint of containers and comparison with the footprint of virtual machines and bare metal deployments, the monitoring, the performance prediction, the I/O throughput improvement. Orchestration is related to the selection, the deployment, and the dynamic control of the configuration of multi-container packaged applications on distributed platforms. The focus of this work is on run-time adaptation. Cyber-security is about container isolation, confidentiality of containerized data, and network security. From the analysis of 97 papers, it came out that the state-of-the-art is more mature in the area of performance evaluation and run-time adaptation rather than in security solutions. However, the main unsolved challenges are I/O throughput optimization, performance prediction, multilayer monitoring, isolation, and data confidentiality (at rest and in transit). © 2020 John Wiley &amp; Sons, Ltd.</t>
  </si>
  <si>
    <t>Cloud providers place tasks from multiple applications on the same resource pool to improve the resource utilization of the infrastructure. The consequent resource contention has an undesirable effect on latency-sensitive tasks. In this article, we present Niyama—a resource isolation approach that uses a modified version of deadline scheduling to protect latency-sensitive tasks from CPU bandwidth contention. Conventionally, deadline scheduling has been used to schedule real-time tasks with well-defined deadlines. Therefore, it cannot be used directly when the deadlines are unspecified. In Niyama, we estimate deadlines in intervals and secure bandwidth required for the interval, thereby ensuring optimal job response times. We compare our approach with cgroups: Linux's default resource isolation mechanism used in containers today. Our experiments show that Niyama reduces the average delay in tasks by 3 (Formula presented.) –20 (Formula presented.) when compared to cgroups. Since Linux's deadline scheduling policy is work-conserving in nature, there is a small drop in the server-level CPU utilization when Niyama is used naively. We demonstrate how the use of core reservation and oversubscription in the inter-node scheduler can be used to offset this drop; our experiments show a 1.3 (Formula presented.) –2.24 (Formula presented.) decrease in delay in job response time over cgroups while achieving high CPU utilization. © 2022 John Wiley &amp; Sons, Ltd.</t>
  </si>
  <si>
    <t>Information and communication technologies (ICTs) can play a crucial role in facilitating access to comprehensive information on the quality standards of Turkish hazelnut cultivars. In this regard, this study introduces a Hazelnut Databank System (HDS) that utilizes the microservices architecture, an integrated software system supported by the Internet of Things (IoT) and semantic web, to categorize Turkish hazelnut cultivars. The study focuses on developing microservices using various programming languages and frameworks. Specifically, C# on the.NET Core Framework was used for both microservices and the web-based application implemented through the ASP.NET Core MVC Framework. Mobile-based software applications were created using Xamarin. Forms, and the IoT application was developed using the Python programming language. The data storage is facilitated through the MS SQL Server database. Additionally, the study incorporates the implementation of a hazelnut species classification system using the DNN + ResNet50 machine learning model, achieving an impressive accuracy rate of 95.77%. The overall usability of the system was evaluated, resulting in a score of 42 out of 50. By providing detailed information on Turkish hazelnut cultivars, the HDS has the potential to greatly improve hazelnut production quality in Turkey and increase awareness of hazelnut agriculture among relevant stakeholders. © 2024 John Wiley &amp; Sons Ltd.</t>
  </si>
  <si>
    <t>The vast number of smart cloud applications that communicate with the “things” over a variety of physical networks and communication protocols contribute to the rise of complexity in Internet of Things (IoT) systems. The diversity of end-user requirements related to the volume of generated data, its variety, and the velocity of its transmission makes quality of service (QoS) provisioning even more crucial and challenging in IoT. This paper provides a comprehensive and up-to-date survey of QoS support in IoT networks and communication protocols. An analysis of the QoS-aware IoT architectures, layer-dependent QoS metrics, and network resource optimization methods utilized in IoT systems are given. The limitations of the current state-of-the-art studies for efficient delivery of QoS metrics are discussed. The paper concludes with future research directions on end-to-end QoS provisioning in IoT. © 2022 John Wiley &amp; Sons Ltd.</t>
  </si>
  <si>
    <t>With the provision of rapid advancement in smart devices used in various technological fields exponentially increases the heterogeneity and energy consumption in internet of things (IoT). The technological leap in information and communication technology instigates the heterogeneity in smart devices, frameworks, architectures, communication technologies, and various industrial and nonindustrial applications. Therefore, a detailed taxonomy of IoT is proposed covering the diverse aspect of IoT lacking interoperability and energy efficiency. Existing research lacks the root causes of heterogeneity and energy consumption at the industrial and technological level. Keeping this in view, our research identified industrial integration and technological challenges. Moreover, we explore the effect on IoT devices when different types of energy harvesters are connected with IoT devices. Our comprehensive research addresses the various issues such as resource management, fog data analytics, energy consumption, heterogeneity, scalability, and the role of quality of service, data science, machine learning to accomplish interoperability and energy efficiency in IoT. © 2020 John Wiley &amp; Sons Ltd</t>
  </si>
  <si>
    <t>The advancements and rapid adoption of service oriented architecture, utility computing, virtualization, etc., have emerged in a new computing paradigm called cloud computing, in the last few years. Cloud computing enables on-demand delivery of data, software, and hardware in the form of services over the Internet. But the growing scale of cloud-users and type-of-services urge for an autonomous environment to automate the highly complex cloud environment in a suitable way to improve the overall management of the cloud systems. To counter these automation related issues, autonomic computing (AC) emerges as a potential solution to optimize the performance of cloud computing. The merge of these two prominent technologies gives rise to a new technological domain called autonomic cloud computing (ACC). In this survey article, the existing AC assisted solutions for cloud computing is broadly categorized into two groups, namely features based and parameters based. Features based solutions are further classified into management (of services, workload, and resources) and security aware solutions. Similarly, parameters based solutions are grouped into quality-of-service aware and performance management solutions. Finally, the comparative analysis of state-of-the-art ACC approaches with respect to the approach referred, performance metrics, outcome, and the derived inference is also presented to have an in-depth understanding of the existing literature. Overall, the work excites the research community to design the effective autonomous solutions for ACC resources and services. Additionally, several research gaps and challenges are identified and discussed in this article based on the study with a focus on the future research directions. © 2021 John Wiley &amp; Sons, Ltd.</t>
  </si>
  <si>
    <t>Problem: The Internet of Things (IoT) makes developers for integrating various collection of device, saving, and processing a huge amount of data, allowing new services for improving several personal and professional activities. But, the privacy problems occur with a large amount of data produced and therefore the solutions on the basis of blockchain with sidechain technology have been developed to overcome these problems. Aim: Blockchain powered IoT networks have high security levels, and are resilient to most network attacks. In order to deploy blockchains, a large set of hashing, encryption, and linking algorithms are implemented in the network. One of the recent developments is the sidechains and these sidechains reduce computational complexity during block creation, and thereby reduce the effect of high delay and high-power consumption in the IoT network. But maintaining these sidechains requires an additional computational component, which adds to the computational complexity of the underlying system. To reduce the complexity of this maintenance while keeping the inherent advantages of side chaining networks, this article proposes a sidechain creation, updation, merging, and scanning processes. Methods: In this article, the sidechain creation is done by modified two-way peg protocol and updated by hybrid delegated practical byzantine fault tolerance-delegated proof of stake (DPBFT-DPOS), merging via continuous network information analysis and scanning via graph-based searching mechanism to improve the Quality of Service (QoS) network and security. Results: The proposed methodology achieves an accuracy and (Formula presented.) -score of about 98.6% and 99.5%, reduces end-to-end communication delay by 10% while increasing the energy efficiency by 15%, and improving the throughput by 15% when compared to other existing methods. Conclusion: The IoT provides the possibility of creating real time data and the combination of the IoT with blockchain moves beyond authorization and financial recording. Then the utilization of sidechain provide better communication among devices and better sophistication of the data processing. © 2021 John Wiley &amp; Sons, Ltd.</t>
  </si>
  <si>
    <t>The advent of distributed computing and mobile clouds made it possible to transfer and distribute the heavy processes of complex workflows to the cloud. Managing and with the help of the mobile cloud, virtualization and shared resources managing the executing large-scale workflows is possible. Since virtual resources are used, scheduling and resource allocation are important and key research topics in public cloud environment and mobile clouds. The cloud model of mobile devices with public or virtual cloud, which consists of temporary mobile devices, is an interesting topic to be investigated. Workflow scheduling and availability of resources in mobile clouds by high mobility and Energy efficient, it is one of the challenges and problems that must be investigated one of the main challenges in this research area. The purpose of scheduling algorithms is to improve service quality criteria by observing the constraints. In this article, the main goal is to extensively review the scheduling algorithms for the complex scientific workflow in public and mobile clouds. Furthermore, a review of the use of heuristic and meta-heuristic techniques in dynamic and static states, with various constraints for task scheduling in cloud and mobile computing has been performed. This article accomplishes a review of using existing techniques for scheduling tasks in mobile clouds. We also present a comprehensive analysis and systematic comparison between these scheduling algorithms. © 2023 John Wiley &amp; Sons, Ltd.</t>
  </si>
  <si>
    <t>With the commercial deployment of 5G mobile communication systems, 6G is proposed to meet the needs of new use cases including connected and autonomous vehicles (CAVs). In this article, we surveyed different 6G embracing technologies such as mobile edge computing, unmanned aerial vehicles, network function virtualization, software defined networking, and artificial intelligence that can enhance the Internet of Autonomous Vehicles (IoAV) network performance comparing to existing 5G enabled solutions. Then, we highlight the convergence path of 6G and IoAV to satisfy the next generation of CAV applications. Further, we propose 6G cellular communication to support the quality of next IoAV applications. Furthermore, the article attempts to study the serious challenges in the 6G-IoAV research field and propose potential future directions. © 2023 John Wiley &amp; Sons, Ltd.</t>
  </si>
  <si>
    <t>Nowadays, security and safety aspects are two of the major concerns for any software system development, especially while developing safety critical systems. This is especially relevant for very small entities because they have a limited amount of resources for dealing with all these aspects at the same time. In addition, these systems are highly regulated domains, and they involve a huge set of standards focused on safety and security-related issues. Therefore, these small entities are not only facing hurdles related to technical aspects but also from the so-called technical debt when overarching a critical development. This paper extends the assurance cases approach by integrating security aspects within the life cycle, and it proposes a framework for managing the associated security technical debt for very small entities. A tool chain is outlined, and the approach is illustrated with an industrial use case. © 2019 John Wiley &amp; Sons, Ltd.</t>
  </si>
  <si>
    <t>The paper proposes the use of Node-RED, a flow-based programming tool targeted to Internet of Things (IoT), along with a series of case studies related to different IoT contexts, which demonstrate Node-RED's potentialities and outcomings toward the realization of well-structured IoT environments. The analyzed applications potentially include a wide range of domains, ranging from smart cities, smart buildings, smart homes/offices, smart retailing, to smart transportation, smart logistics, smart agriculture, smart health, military scenarios, and so on. The motivations behind the presented work are related to the fact that IoT application fields usually involve the same technologies and communication protocols, which are frequently adopted for totally different purposes. Issues such as systems' interoperabiliy, scalability, security and privacy naturally emerge, due to the huge amount of heterogeneous devices acting in the IoT environment itself and to the wireless nature of information transmissions. As a consequence, it is fundamental to dispose of adequate tools for supporting developers in design the network architecture and messages' exchange, in order to realize efficient and effective IoT network infrastructures. © 2019 John Wiley &amp; Sons, Ltd.</t>
  </si>
  <si>
    <t>In recent years, the advance in information technology has promoted a wide span of emerging cyber-physical systems (CPS) applications such as autonomous automobile systems, healthcare monitoring, and process control systems. For these CPS applications, service latency management is extraordinarily important for the sake of providing high quality-of-experience to terminal users. Edge-cloud computing, integrating both edge computing and cloud computing, is regarded as a promising computation paradigm to achieve low service latency for terminal users in CPS. However, existing latency-aware edge-cloud computing methods dedicated for CPS fail to jointly consider energy budgets and reliability requirements, which may greatly degrade the sustainability of CPS applications. In this article, we explore the problem of minimizing service latency of edge-cloud computing coupled CPS under the constraints of energy budgets and reliability requirements. We propose a two-stage approach composed of static and dynamic service latency optimization. At static stage, Monte-Carlo simulation with integer-linear-programming technique is adopted to find the optimal computation offloading mapping and task backup number. At dynamic stage, a backup-adaptive dynamic mechanism is developed to avoid redundant data transmissions and executions for achieving additional energy savings and service latency enhancement. Experimental results show that our solution is able to reduce system service latency by up to 18.3% compared with representative baseline solutions. © 2021 John Wiley &amp; Sons, Ltd.</t>
  </si>
  <si>
    <t>Serverless computing along with Function-as-a-Service (FaaS) is forming a new computing paradigm that is anticipated to found the next generation of cloud systems. The popularity of this paradigm is due to offering a highly transparent infrastructure that enables user applications to scale in the granularity of their functions. Since these often small and single-purpose functions are managed on shared computing resources behind the scene, a great potential for computational reuse and approximate computing emerges that if unleashed, can remarkably improve the efficiency of serverless cloud systems—both from the user's QoS and system's (energy consumption and incurred cost) perspectives. Accordingly, the goal of this survey study is to, first, unfold the internal mechanics of serverless computing and, second, explore the scope for efficiency within this paradigm via studying function reuse and approximation approaches and discussing the pros and cons of each one. Next, we outline potential future research directions within this paradigm that can either unlock new use cases or make the paradigm more efficient. © 2023 John Wiley &amp; Sons Ltd.</t>
  </si>
  <si>
    <t>Recent developments in the Internet of Things (IoT) and real-time applications, have led to the unprecedented growth in the connected devices and their generated data. Traditionally, this sensor data is transferred and processed at the cloud, and the control signals are sent back to the relevant actuators, as part of the IoT applications. This cloud-centric IoT model, resulted in increased latencies and network load, and compromised privacy. To address these problems, Fog Computing was coined by Cisco in 2012, a decade ago, which utilizes proximal computational resources for processing the sensor data. Ever since its proposal, fog computing has attracted significant attention and the research fraternity focused at addressing different challenges such as fog frameworks, simulators, resource management, placement strategies, quality of service aspects, fog economics and so forth. However, after a decade of research, we still do not see large-scale deployments of public/private fog networks, which can be utilized in realizing interesting IoT applications. In the literature, we only see pilot case studies and small-scale testbeds, and utilization of simulators for demonstrating scale of the specified models addressing the respective technical challenges. There are several reasons for this, and most importantly, fog computing did not present a clear business case for the companies and participating individuals yet. This article summarizes the technical, non-functional, and economic challenges, which have been posing hurdles in adopting fog computing, by consolidating them across different clusters. The article also summarizes the relevant academic and industrial contributions in addressing these challenges and provides future research directions in realizing real-time fog computing applications, also considering the emerging trends such as federated learning and quantum computing. © 2023 John Wiley &amp; Sons Ltd.</t>
  </si>
  <si>
    <t>Introduction: Modern software developers strive to develop applications that are robust, easy to maintain, and possess high levels of quality. However, code smells can hinder this goal as they are visible signs of underlying issues. Numerous techniques and tools have been proposed for detecting code smells in various contexts and programming languages. Despite this, research on Android-specific code smells and their impact on external quality attributes is still in its early stages. Objective: This study aims to provide a comprehensive summary of state-of-the-art techniques, tools, and approaches used for detecting and refactoring code smells in Android applications. Methodology: A systematic literature review was conducted between November 2007 and December 2023, adhering to standard guidelines. In total, 79 primary studies were identified, analyzed, and synthesized. Results: A total of 237 code smells were identified using 51 techniques and tools, based on seven distinct approaches. Efficiency was found to be the most affected external quality attribute. The code smell Durable Wakelock was the most studied. Challenges: Despite the extensive research, the software engineering community faces numerous challenges. These include a lack of in-depth investigation into Android-specific code smells, a limited number of studied quality attributes, insufficient involvement of industry experts in the research process, scarcity of Android-oriented metrics, and dependence on industry-exclusive datasets. Future Directions: This review suggests potential research directions that are valuable for researchers and practitioners seeking to gain insights into current open research problems in this domain. © 2024 John Wiley &amp; Sons Ltd.</t>
  </si>
  <si>
    <t>Fosso Wamba S.; Angéla M.N.C.; Bosco E.E.J.</t>
  </si>
  <si>
    <t>This study aims at providing a literature review of big data, the Internet of Things, and Smart cities research using SCOPUS, which is considered as the largest abstract and citation database of peer-reviewed literature. The research identified 143 relevant papers. The analyses of distribution of papers by year of publication, subject area, country, type, top 10 authors, and source are presented and discussed. A research agenda for future research is provided. © 2019, Springer Nature Switzerland AG.</t>
  </si>
  <si>
    <t>Fosso Wamba, Samuel (14833520200); Angéla, Messina Ntede Cécile (57208177537); Bosco, Etoa Etoa Jean (57208177573)</t>
  </si>
  <si>
    <t>Kozhevnikov, Sergey; Skobelev, Petr; Pribyl, Ondrej; Svítek, Miroslav</t>
  </si>
  <si>
    <t>Industrial Applications of Holonic and Multi-Agent Systems: 9th International Conference, HoloMAS 2019, Linz, Austria, August 26–29, 2019, Proceedings</t>
  </si>
  <si>
    <t>In the paper, the new vision of “Smart City 5.0” is presented. It is based on a previously developed model of Smart City 4.0 and implementing the concept of the complex adaptive system for balancing conflict interests of different city actors. These actors can include business, transport, energy and water supply providers, entertainment and other services and can be unified based on resource and demand model.The paper describes the general principals, functionality and the architecture of the digital multi-agent platform for creating eco-system of “Smart City 5.0”. It is designed as holonic p2p network of smart services and technological components for supporting demand-resource relations.It is shown that in proposed eco-system smart services can interact both vertically and horizontally supporting competition and cooperation behavior on the basis of specialized protocols of p2p network. In the future, each smart service is considered as an autonomous cyber-physical multi-agent system which can be decomposed on a lower level of smaller services recursively.The first prototypes of smart services and their interaction are presented, the next steps for future research work are outlined.</t>
  </si>
  <si>
    <t>Over the past decade, continuous software development has become a common place in the field of software engineering. Containers like Docker are a lightweight solution that developers can use to deploy and manage applications. Containers are used to build both component-based architectures and microservice architectures. Still, practitioners often view containers only as way to lower resource requirements compared to virtual machines. In this paper, we conducted a systematic mapping study to find information on what is known of how containers are used in software development. 56 primary studies were selected into this paper and they were categorized and mapped to identify the gaps in the current research. Based on the results containers are most often discussed in the context of cloud computing, performance and DevOps. We find that what is currently missing is more deeply focused research. © Springer Nature Switzerland AG 2019.</t>
  </si>
  <si>
    <t>Software Engineering Aspects of Continuous Development and New Paradigms of Software Production and Deployment: Second International Workshop, DEVOPS 2019, Château de Villebrumier, France, May 6–8, 2019, Revised Selected Papers</t>
  </si>
  <si>
    <t>Computer Security: ESORICS 2019 International Workshops, IOSec, MSTEC, and FINSEC, Luxembourg City, Luxembourg, September 26–27, 2019, Revised Selected Papers</t>
  </si>
  <si>
    <t>Carrusca, André; Gomes, Maria Cecília; Leitão, João</t>
  </si>
  <si>
    <t>Service-Oriented Computing – ICSOC 2019 Workshops: WESOACS, ASOCA, ISYCC, TBCE, and STRAPS, Toulouse, France, October 28–31, 2019, Revised Selected Papers</t>
  </si>
  <si>
    <t>The microservices architecture is a promising approach for application development, deployment, and evolution, both on cloud and emerging fog/edge platforms. Microservices’ single functionality, small size, and independent development/deployment support faster and cheaper scaling of pressing functionalities on cloud systems. They support applications’ evolution via service reuse and smooth service modification/inclusion. Individual or sets of inter-related services may also be dynamically deployed onto resource-restricted nodes closer to end devices and data sources, which are typical of fog/edge computational platforms. The resulting system is very complex and impossible to be adequately managed manually. This work presents an automatic solution for microservices’ deployment/replication in the fog/edge, adapting the system according to the runtime evaluation of client accesses and resource usage. The evaluation validates the adaptability and performance gains.</t>
  </si>
  <si>
    <t>Computer Information Systems and Industrial Management: 19th International Conference, CISIM 2020, Bialystok, Poland, October 16–18, 2020, Proceedings</t>
  </si>
  <si>
    <t>Euro-Par 2019: Parallel Processing Workshops: Euro-Par 2019 International Workshops, Göttingen, Germany, August 26–30, 2019, Revised Selected Papers</t>
  </si>
  <si>
    <t>Advanced Information Systems Engineering: 32nd International Conference, CAiSE 2020, Grenoble, France, June 8–12, 2020, Proceedings</t>
  </si>
  <si>
    <t>The production sector has faced many difficulties in taking full advantage of opportunities found in other web application domains. Production research has focused on sophisticated mathematical models ranging from molecular materials modeling to efficient production control to inter-company supply network logistics. Often, these models have no closed-form solutions; this led to intense simulation research for individual modeling viewpoints, often labeled “Digital Twins”.However, the complexity of the overall system precludes Digital Twins covering more than just a few system perspectives, especially if near-realtime performance is required. Moreover, the wide variety of individual situations and behaviors is usually captured only as statistical uncertainty. In order to achieve better performance and more context adaptation, the interdisciplinary research cluster “Internet of Production” at RWTH Aachen University is exploring the concept of “Digital Shadows”. Digital Shadows can be understood as compact views on dynamic processes, usually combining condensed measurement data with highly efficient simplified mathematical models. In this exploratory paper, we argue based on a couple of initial case studies that Digital Shadows are not just valuable carriers of deep engineering knowledge but due to their small size also help in reducing network congestion and enabling edge computing. These properties could make Digital Shadows an interesting solution to address resilience in other information-intensive dynamic systems.</t>
  </si>
  <si>
    <t>The Semantic Web: 17th International Conference, ESWC 2020, Heraklion, Crete, Greece, May 31–June 4, 2020, Proceedings</t>
  </si>
  <si>
    <t>Matz, Alexandra; Götz, Clarissa</t>
  </si>
  <si>
    <t>Designing Human-Centered Interactions for Smart Environments Based on Heterogeneous, Interrelated Systems: A User Research Method for the “Age of Services” (URSERVe)</t>
  </si>
  <si>
    <t>Design, User Experience, and Usability. Design for Contemporary Interactive Environments: 9th International Conference, DUXU 2020, Held as Part of the 22nd HCI International Conference, HCII 2020, Copenhagen, Denmark, July 19–24, 2020, Proceedings, Part II</t>
  </si>
  <si>
    <t>Heterogeneous, interrelated systems leveraging the Internet of Things (IoT) in smart environments such as a smart factory or smart city, pose many challenges for software design and development. Capturing and addressing the human needs is one of them and designing the interactions within smart applications is another. There are several reasons for this, for example diverse personas for both human as well as digital actors, a large variety of usage scenarios, a vast number of data exchange protocols, as well as data privacy and ethical concerns.On top of this, the service-based architecture of smart environments has widened the gap between software development teams and their end users. Services are highly modular, decoupled units of application logic, developed for specific task units and as such they are one or even several hierarchy layers removed from the business logic of main applications, and, in consequence, from the applications’ users. Therefore, in our experience, service development groups often refrain from identifying their users and doing any kind of user research at all. The reasoning being that, because their services will only be used by applications or other services, and not directly by human or non-human users, these users cannot be identified at all or are of no importance. This paper proposes a bidirectional, complementary method to approach user research for smart environments, such as smart cities. It describes how service development teams can reach beyond the applications which consume their service to the users of these consuming apps and how, at the same time, the smart city projects can reap the benefits of the technological expertise that resides in the service development groups. Ultimately, the method helps to create a shared knowledge base which arguably fosters innovation within an organization responsible for the design, development and operation of smart environments.</t>
  </si>
  <si>
    <t>Computational Science and Its Applications – ICCSA 2020: 20th International Conference, Cagliari, Italy, July 1–4, 2020, Proceedings, Part IV</t>
  </si>
  <si>
    <t>Caporuscio, Mauro; D’Angelo, Mirko; Grassi, Vincenzo; Mirandola, Raffaela</t>
  </si>
  <si>
    <t>Software Architecture: 14th European Conference, ECSA 2020, L'Aquila, Italy, September 14–18, 2020, Proceedings</t>
  </si>
  <si>
    <t>Conceptual Modeling: 39th International Conference, ER 2020, Vienna, Austria, November 3–6, 2020, Proceedings</t>
  </si>
  <si>
    <t>It has been more than two decades since the formulation of the values and principles for the enactment of Agile methods. Since then, the software development industry increasingly began using such methods, that are various. At the core of all Agile methods, however, lies an assumption: it is the interactions between people, not just processes and plans, that allows for successful product delivery and projects productivity. Hence, Agile methods typically focus on how groups of individuals with different but often complementary skill-sets can mutually interact or self-organise to build high-performing teams capable of developing, testing, and delivering software valuable for the users and stakeholders. The validation of such methodologies in the software development industry nevertheless requires a careful analysis of the potential challenges and impediments that agile teams may encounter during their collaboration; so, a practical investigation over the root causes of these potential issues. Our aim in this paper is twofold. Firstly, we want to gather all currently defined root causes of interaction issues and impediments in agile teams. Secondly, we intend to review and systematically analyse the most common of them in order to build appropriate mitigation strategies, which -we hope- will contribute to decreasing their potential occurrences in future works. © 2021, The Author(s), under exclusive license to Springer Nature Switzerland AG.</t>
  </si>
  <si>
    <t>Low-code development platforms are environments that enable citizen developers without software engineering knowledge to create software products. These software products range from small business applications to large business platforms, around which software ecosystems increasingly form. In these software ecosystems, different organizations want to extend the created software products with services and software, with the goal of creating active enterprise networks that create value collaboratively. Well designed and maintained application programming interfaces are crucial for these organizations. In this paper we evaluate the application programming interface management maturity of four low-code development platforms. We show that these platform providers are not yet concerned with helping their customers build software ecosystems around the software platforms that citizen developers create. Furthermore, we identify the software engineering research challenges that these platform providers face. For instance, low-code development platforms should create abstractions that let citizen developers design, develop, and manage application programming interfaces. If low-code development platform providers follow our advice and act on it, they will become able to provide customers with complete ecosystem-enabled platforms instead of providing only simple throwaway business applications. © 2021, Springer Nature Switzerland AG.</t>
  </si>
  <si>
    <t>Computational Science and Its Applications – ICCSA 2021: 21st International Conference, Cagliari, Italy, September 13–16, 2021, Proceedings, Part II</t>
  </si>
  <si>
    <t>Computational Science and Its Applications – ICCSA 2021: 21st International Conference, Cagliari, Italy, September 13–16, 2021, Proceedings, Part VII</t>
  </si>
  <si>
    <t>Service-Oriented Computing: 19th International Conference, ICSOC 2021, Virtual Event, November 22–25, 2021, Proceedings</t>
  </si>
  <si>
    <t>Algorithms and Architectures for Parallel Processing: 21st International Conference, ICA3PP 2021, Virtual Event, December 3–5, 2021, Proceedings, Part II</t>
  </si>
  <si>
    <t>Embedded Computer Systems: Architectures, Modeling, and Simulation: 21st International Conference, SAMOS 2021, Virtual Event, July 4–8, 2021, Proceedings</t>
  </si>
  <si>
    <t>Software projects must adhere to a variety of non-functional requirements, also known as software qualities. Automated evaluation with respect to such requirements can be conducted thanks to a wide array of available tools. Each tool usually focuses on a specific quality, since heterogeneous analyses are needed for each non-functional requirement. Apart from an overall index expressing the project’s performance in terms of the software quality they specialize on, many tools recommend code changes that are expected to improve the aforementioned index. Thus, a development team that cares for more than one non-functional requirement is facing the problem of unknown trade-offs; besides improving the quality on which the tool that generated each suggestion focuses, how would this code change, if implemented, affect the rest of the non-functional requirements? We present a framework for dealing with this problem. We pick energy efficiency, technical debt and software security as our qualities of interest, and use three respective tools for the analysis of several open-source projects with regard to these qualities. We develop an extensible empirical model, based on fuzzy sets, for the characterization of each suggestion’s trade-offs. Finally, we present an intuitive visualization of said trade-offs, and suggest a method of utilizing them towards reliable decision-making.</t>
  </si>
  <si>
    <t>Service-Oriented and Cloud Computing: 9th IFIP WG 6.12 European Conference, ESOCC 2022, Wittenberg, Germany, March 22–24, 2022, Proceedings</t>
  </si>
  <si>
    <t>Serverless computing has emerged over the last couple of years as a flexible paradigm for deploying cloud-based applications and allowing developers to focus on their applications and reduce application maintenance costs over the lifetime of an application. However, there has not been an examination of whether a complex application can be built and operated with high performance and low operating cost relying entirely on the serverless paradigm. This paper presents the design, implementation, performance, and cost evaluation of what we believe to be a representative kind of IoT application, a cloud-based energy data management system named Upilio. Upilio is a versatile data collection and analysis platform for IoT sensor data. Upilio’s functionality is implemented entirely using AWS Lambda serverless functions and managed services to store data, and even the graphical user interface does not need a dedicated web server. Our empirical evaluation shows that the system, including its serverless online analytics (OLAP) functionality, is cost-effective, requiring only a fraction of the server cost necessary for operating such a system using on-premise hardware. Thus, Upilio demonstrates that complex IoT system scenarios can be implemented successfully with good performance and cost characteristics leveraging the serverless paradigm.</t>
  </si>
  <si>
    <t>The Internet of Things (IoT) field has grown exponentially and, it is a significant emerging research field in this era. IoT consists of sensors, actuators, radio frequency identifier (RFID), and machine-to-machine communication. A failure may occur in IoT at layering architecture such as applications: sensor and actuator nodes can be lost, missed, and failed, network links can be down processing, and storage components of IoT can fail to perform appropriately. That is the reason for which data dissemination fault-tolerant (F.T.) has become a significant role for IoT-enabled systems to provide Quality of service (QoS). It can reduce the end-to-end delay, low energy consumption, and maximize throughput. The authors aim to identify and systematically review data aggregation, data dissemination, and F.T. mechanisms. Data dissemination has become effective when data aggregation, fault detection, and fault-tolerant has done at the same level of communication. The authors also discuss the theoretical aspect of efficient and fault-tolerant data dissemination using a group formation framework for IoT-enabled systems and different fault-tolerant techniques with a comparative survey. © 2022, The Author(s), under exclusive license to Springer Nature Switzerland AG.</t>
  </si>
  <si>
    <t>SOK: Evaluating Privacy and Security Vulnerabilities of Patients’ Data in Healthcare</t>
  </si>
  <si>
    <t>Interactions in healthcare systems, by necessity, involve sharing sensitive information that must be protected. Thus, to understand the existing privacy and security research conducted in the context of healthcare organizations, we conducted a systematic literature review of N= 205 papers that examine the security and privacy of patient data. We found that current research focuses heavily on the technological solutions, which are presented to benefit large-scale medical facilities such as hospitals, but generally ignore the unique security challenges of smaller private practices which might not have the resources to protect patient data. Additionally, only 18 (&amp;lt;9%) papers have conducted user studies to understand the patient and staff’s risk perception of healthcare data. We conclude by identifying research gaps and provide potential solutions to enable robust data security for sensitive patient data. © 2022, Springer Nature Switzerland AG.</t>
  </si>
  <si>
    <t>Intelligent Computing Methodologies: 18th International Conference, ICIC 2022, Xi'an, China, August 7–11, 2022, Proceedings, Part III</t>
  </si>
  <si>
    <t>In recent years, due to the continuous expansion of the government, enterprises, and social users for power data sharing applications, as well as the rapid expansion of data service product scope and data service access business volume, along with the continuous advancement of power data sharing interactive services, it is necessary to improve data sharing operation management and control mechanism. At the same time, on the one hand, in order to support the efficient development of the daily operation and maintenance management of data products, standardize the product operation and maintenance, including data catalog management, data product management, product drop-off, etc.; on the other hand, in order to strengthen the operation of the data sharing and interaction process, etc. This paper proposes the design of the data sharing service platform, which meets the following requirements: First, establish access service security guarantee, unified access to government, enterprise and other customers’ access requests in different ways The second is to establish a standardized data service demand management, to provide data catalog query services for customers such as governments and enterprises, and to accept the data needs of these customers, forward the business department for processing, and give feedback to customers on data demand processing opinions; The third is to provide unified data Product access services, including data product query, data product application, and data product online access services; Fourth, provide unified data interface services, including data interface query services. The platform guarantees the normal operation of external power data sharing services, establishes an internal data sharing management and control mechanism, and supports the company’s data service operation management personnel to carry out data product operation management, data service upload and removal, data service authority control, data service operation monitoring and analysis, etc. Data sharing operation management and control.</t>
  </si>
  <si>
    <t>Malhi, Avleen; Apopei, Vlad; Madhikermi, Manik; Mandeep; Främling, Kary</t>
  </si>
  <si>
    <t>Explainable and Transparent AI and Multi-Agent Systems: 4th International Workshop, EXTRAAMAS 2022, Virtual Event, May 9–10, 2022, Revised Selected Papers</t>
  </si>
  <si>
    <t>False data injection attacks (FDIAs) detection in smart grid, requires adequate labeled training samples to train a detection model. Due to the strong subjectivity, relying on expert knowledge and time-consuming nature of power system sample annotation, this task is intrinsically a small sample learning problem. In this paper, we propose a novel semi-supervised detection algorithm for FDIAs detection. The semi-supervised label propagation algorithm can dynamically propagate the label from labeled samples to unlabeled samples, automatically assign class labels to the unlabeled samples dataset, and enlarge the labeled samples dataset. Jointly use a small number of manually labeled samples dataset and a large number of auto-labeled samples dataset to construct a classifier via semi-supervised learning. Comparing the proposed algorithm with supervised learning algorithms, the results suggest that, with the scheme of semi-supervised learning from large unlabeled dataset, the proposed algorithm can significantly improve the accuracy of false data injection attacks detection. © 2022, ICST Institute for Computer Sciences, Social Informatics and Telecommunications Engineering.</t>
  </si>
  <si>
    <t>Smart home technology comprises of multiple devices communicating with each other and human occupants to provide state of the art living conditions. The increased use of smart devices in smart homes, increases the rate of energy consumption. Among the plethora of smart devices within a smart home, one of the key smart devices that account for high data volume and rate of data transmission is the Closed-Circuit Television (CCTV) surveillance system. Furthermore, there has been multiple attempts by researchers to use Cloud computing solution to address the issue of storage and processing capabilities. However, the use of Cloud computing has challenges such as energy consumption, latency, and network bandwidth usage bottlenecks with energy cost set to increase by April 2022. The introduction of Fog computing as a solution aim to address existing Cloud computing issues such as energy consumption, latency, and network bandwidth usage, providing improvements to mobility, security and on demand requests. In this paper, Fog computing will provide a method that supports the management of data generated by CCTV camera system while reducing the energy consumption, latency, and network bandwidth usage. The work presented in this paper demonstrates efficiency and optimisation of energy consumption, latency, and network bandwidth usage using iFogSim2 network simulation toolkit. A comparison and interpretation of results from the iFogSim2 output for Cloud and Fog based scenarios is used to evaluate improvements in energy consumption, latency, and network bandwidth usage demonstrating the benefits of Fog based scenario to efficiently manage data from the CCTV camera system. © 2023, The Author(s), under exclusive license to Springer Nature Switzerland AG.</t>
  </si>
  <si>
    <t>The Semantic Web – ISWC 2022: 21st International Semantic Web Conference, Virtual Event, October 23–27, 2022, Proceedings</t>
  </si>
  <si>
    <t>Kotilainen P.; Autto T.; Järvinen V.; Das T.; Tarkkanen J.</t>
  </si>
  <si>
    <t>Proposing Isomorphic Microservices Based Architecture for Heterogeneous IoT Environments</t>
  </si>
  <si>
    <t>Recent advancements in IoT and web technologies have highlighted the significance of isomorphic software architecture development, which enables easier deployment of microservices in IoT-based systems. The key advantage of such systems is that the runtime or dynamic code migration between the components across the whole system becomes more flexible, increasing compatibility and improving resource allocation in networks. Despite the apparent advantages of such an approach, there are multiple issues and challenges to overcome before a truly valid solution can be built. In this idea paper, we propose an architecture for isomorphic microservice deployment on heterogeneous hardware assets, inspired by previous ideas introduced as liquid software [12]. The architecture consists of an orchestration server and a package manager, and various devices leveraging WebAssembly outside the browser to achieve a uniform computing environment. Our proposed architecture aligns with the long-term vision that, in the future, software deployment on heterogeneous devices can be simplified using WebAssembly. © 2022, The Author(s), under exclusive license to Springer Nature Switzerland AG.</t>
  </si>
  <si>
    <t>Kotilainen, Pyry (57210233251); Autto, Teemu (57231511600); Järvinen, Viljami (57982698200); Das, Teerath (56046524500); Tarkkanen, Juho (57983175600)</t>
  </si>
  <si>
    <t>Spišaková, Viktória; Klusáček, Dalibor; Hejtmánek, Lukáš</t>
  </si>
  <si>
    <t>In this work, we discuss our experience when utilizing the Kubernetes orchestrator (K8s) to efficiently allocate resources in a heterogeneous and dynamic academic environment. In the commercial world, the “pay per use” model is a strong regulating factor for efficient resource usage. In the academic environment, resources are usually provided “for free” to the end-users, thus they often lack a clear motivation to plan their use efficiently. In this paper, we show three major sources of inefficiencies. One is the users’ requirement to have interactive computing environments, where the users need resources for their application as soon as possible. Users do not appreciate waiting for interactive environments, but constantly keeping some resources available for interactive tasks is inefficient. The second phenomenon is observable in both interactive and batch workloads; users tend to overestimate necessary limits for their computations, thus wasting resources. Finally, Kubernetes does not support fair-sharing functionality (dynamic user priorities) which hampers the efforts when developing a fair scheme for Pod/job scheduling and/or eviction. We discuss various approaches to deal with these problems such as scavenger jobs, placeholder jobs, Kubernetes-specific resource allocation policies, separate clusters, priority classes, and novel hybrid cloud approach. We also show that all these proposals open interesting scheduling-related questions that are hard to answer with existing Kubernetes tools and policies. Last but not least, we provide a real workload trace from our installation to the scheduling community which captures these phenomena.</t>
  </si>
  <si>
    <t>Edge Computing – EDGE 2022: 6th International Conference, Held as Part of the Services Conference Federation, SCF 2022, Honolulu, HI, USA, December 10–14, 2022, Proceedings</t>
  </si>
  <si>
    <t>Müller, Benedikt Tobias; Ender, Marvin; Swiadek, Jan Erik; Jin, Mengcheng; Winkel, Simon; Niedziela, Dominik; Li, Bin; Hüntelmann, Jelle; Müller, Emmanuel</t>
  </si>
  <si>
    <t>Machine Learning and Knowledge Discovery in Databases: European Conference, ECML PKDD 2022, Grenoble, France, September 19–23, 2022, Proceedings, Part VI</t>
  </si>
  <si>
    <t>Cañete, Angel; Rodríguez, Alberto; Amor, Mercedes; Fuentes, Lidia</t>
  </si>
  <si>
    <t>Service-Oriented Computing – ICSOC 2022 Workshops: ASOCA, AI-PA, FMCIoT, WESOACS 2022, Sevilla, Spain, November 29 – December 2, 2022 Proceedings</t>
  </si>
  <si>
    <t>The virtualization of network functions aims to replace traditional network functions running on proprietary middleboxes with software instances running on general-purpose virtualization solutions, looking for more flexible, scalable and sustainable networks. However, despite the availability of platforms and technologies that enable its realisation, there are still technical challenges that have to be addressed to obtain those benefits. One of the challenges is the efficient placement of network functions, considering, for instance, the energy footprint among other constraints and available resources. This paper proposes an energy-aware virtual network function placement and resource-allocation solution for heterogeneous edge infrastructures that considers the computation and communication delays according to the virtual network functions’ location in the infrastructure. The solution has been integrated with the ETSI-sponsored project Open Source Management and Orchestration (OSM) as an extension that allows the configuration of virtual network functions and their subsequent resource allocation and deployment at the edge, minimizing energy consumption and ensuring the quality of service. Applied to the deployment of augmented reality services in different scenarios, the results show up to a 51% reduction in energy consumption compared to the default OSM placement and quality of service compliance in all scenarios considered.</t>
  </si>
  <si>
    <t>Function as a Service (FaaS) development has numerous benefits for application deployment, management, and maintenance. However, the lack of control over the infrastructure and, often, over the FaaS platform itself, makes it necessary to look for external solutions that allow the operation of the application to be adapted to different requirements or changing execution conditions. In a FaaS application, the quality of service (QoS) is determined by the characteristics of the functions executed to perform each workflow operation. Deciding the most suitable functions providing a QoS is a complex process due to the high variability of possible function implementations, each giving different qualities. Leaving this task in the hands of the developer is not a good solution and makes it difficult to program the application. We present FUSPAQ, a framework for working with serverless architectures, which can automatically select the best functions executed at runtime to satisfy specific QoS requirements. With this objective, a Software Product Line approach is used, modeling the application’s tasks and operations using Feature Models that specify the variability of functions that can perform the same operation as a family of functions. We use Z3, a cross-platform satisfiability modulo theories (SMT) solver, to generate optimal configurations. As requirements can change over time, the system automatically adapts to these changes to continue maintaining the desired QoS. We test our approach with different QoS parameters, and analyse the value added to serverless frameworks.</t>
  </si>
  <si>
    <t>Poleggi, Marco Emilio; Abdennadher, Nabil; Dupuis, Raoul; Mendonça, Francisco</t>
  </si>
  <si>
    <t>Economics of Grids, Clouds, Systems, and Services: 19th International Conference, GECON 2022, Izola, Slovenia, September 13–15, 2022, Proceedings</t>
  </si>
  <si>
    <t>ATS: A Fully Automatic Troubleshooting System with Efficient Anomaly Detection and Localization</t>
  </si>
  <si>
    <t>As network scale expands and concurrent requests grow, unexpected network anomalies are more frequent, leading to service interruptions and degraded user experience. Real-time, accurate troubleshooting is critical for ensuring satisfactory service. Existing troubleshooting solutions adopt ensemble anomaly detection (EAD) to detect anomalies due to its robustness. However, the fixed base classifier parameters in EAD set by expert experience may reduce the efficiency of anomaly detection when faced with different data distributions. Furthermore, the binary results fed to the secondary classifier in EAD cause information loss, leading to compromised accuracy and inaccurate root cause localization. Besides, key performance indicators (KPIs) are crucial for measuring the system performance, but relying on multiple redundant KPIs to identify the root causes of anomalies is time-consuming and error-prone. To address the above issues, we propose a fully automatic troubleshooting system, ATS. A new EAD method is introduced to detect anomalies, then a module is designed to trigger the root cause localization. Specifically, the EAD method updates the parameters of base classifiers to dynamically adapt to different KPI data distributions. The ensemble of soft labels generated by base classifiers is subsequently fed into the secondary classifier to achieve information-lossless anomaly detection. Then, a heuristic module is proposed to select the most appropriate KPI data based on the metric i.e., bilayer relative difference to trigger the efficient root cause localization. Extensive experiments demonstrate that ATS is more than twice as fast as most state-of-the-art solutions while with higher troubleshooting accuracy. © The Author(s), under exclusive license to Springer Nature Switzerland AG 2023.</t>
  </si>
  <si>
    <t>Software Architecture. ECSA 2022 Tracks and Workshops: Prague, Czech Republic, September 19–23, 2022, Revised Selected Papers</t>
  </si>
  <si>
    <t>As an essential part of the Industry 4.0 strategy, the Internet of Things is developing to “Internet of Everything”. The number of interconnected devices and the amount of data produced increases constantly. Various devices are communicating using various protocols, exchanging data using various data formats and connecting to various software applications. In an IoT-Architecture, a gateway is a fundamental component needed for enabling device interoperability. While a great deal of research has already been done on IoT in cloud computing, fog computing, and edge computing, there is still no intensive activity in the field of gateways in particular. Even the basic gateways can act as a proxy between low-end IoT devices and data centres, automated gateways can provide significantly higher functionality to solve the problems of diversity of protocols, data formats and the custom needs of various devices including used applications. This paper presents a concept of an automated gateway dealing with the problems of protocol conversion, device management, middleware abstraction, resource management and traffic optimisation. The gateway is designed as a modular plug-and-play architecture and was evaluated for MQTT, ZigBee, WebSocket and Amazon WebServices. The architecture can be extended by including additional modules to support further protocols and services. Finally, the gateway defines its protocol and translates incoming messages into an optional uniform format, which can be used by the client to enable more complex message flows. Thus, it provides a solid foundation for further development towards standardization of communication interfaces and interoperability of IoT devices.</t>
  </si>
  <si>
    <t>Kotilainen, Pyry; Heikkilä, Ville; Systä, Kari; Mikkonen, Tommi</t>
  </si>
  <si>
    <t>Mobile Web and Intelligent Information Systems: 19th International Conference, MobiWIS 2023, Marrakech, Morocco, August 14–16, 2023, Proceedings</t>
  </si>
  <si>
    <t>An Overview and Comparison of Case-Based Reasoning Frameworks</t>
  </si>
  <si>
    <t>Case-Based Reasoning (CBR) is a methodology with many applications in industrial and scientific domains. Over the past decades, various frameworks have been developed to facilitate the development of CBR applications. For practitioners and researchers, it is challenging to overview the landscape of existing frameworks with their specific scope and features. This makes it difficult to choose the most suitable framework for specific requirements. To address this issue, this work provides an overview and comparison of CBR frameworks, focusing on five recent, open-source CBR frameworks: CloodCBR, eXiT*CBR, jColibri, myCBR, and ProCAKE. They are compared by supported CBR types, knowledge containers, CBR phases, interfaces, and special features. © 2023, The Author(s), under exclusive license to Springer Nature Switzerland AG.</t>
  </si>
  <si>
    <t>Software Architecture: 17th European Conference, ECSA 2023, Istanbul, Turkey, September 18–22, 2023, Proceedings</t>
  </si>
  <si>
    <t>Computer Performance Engineering and Stochastic Modelling: 19th European Workshop, EPEW 2023, and 27th International Conference, ASMTA 2023, Florence, Italy, June 20–23, 2023, Proceedings</t>
  </si>
  <si>
    <t>On the Interplay Between Self-adaptation and Energy Efficiency</t>
  </si>
  <si>
    <t>Self-adaptation is an increasingly popular approach for enabling systems to make agile and data-driven decisions without human intervention. However, techniques for measuring the performance of a self-adaptive system and its effects on context are lacking. In this study, we present a mechanism that enables customizable and comprehensive evaluation of self-adaptive systems in real time. We apply our proposal to an example of resource management in a data center setting. We find that a self-adaptive approach to managing resources is multiple orders of magnitude better in terms of energy efficiency, especially as the size of the infrastructure grows, at the expense of slightly lower performance (&amp;lt; 10 % ). © 2023, The Author(s), under exclusive license to Springer Nature Switzerland AG.</t>
  </si>
  <si>
    <t>Embedded Computer Systems: Architectures, Modeling, and Simulation: 23rd International Conference, SAMOS 2023, Samos, Greece, July 2–6, 2023, Proceedings</t>
  </si>
  <si>
    <t>Nowadays, hardware acceleration can be used as a service for maximizing the applications’ performance and achieve significant speedup in time-critical scenarios. FPGA devices inherently consume less power than GPUs and HPC systems and are candidate solutions for performing low-energy yet high-performance computations. However, hardware acceleration services require a private, isolated and flexible execution of the accelerators in multi-tenant environments without compromising the platform’s energy and performance efficiency. In this paper we aim to address this issue by proving an end-to-end methodology for the generation, virtualization and deployment of High-Level Synthesis accelerators in multi-tenant environments. We leverage approximate computing techniques and utilize the vAccel framework. Our proposed methodology was evaluated on the Xilinx Alveo U50 acceleration card, achieving energy savings up to 5.2× compared to the initial non energy optimized and non virtualized designs.</t>
  </si>
  <si>
    <t>Moussa, Mohamad; Glass, Philippe; Abdennahder, Nabil; Di Marzo Serugendo, Giovanna; Couturier, Raphaël</t>
  </si>
  <si>
    <t>Service-Oriented and Cloud Computing: 10th IFIP WG 6.12 European Conference, ESOCC 2023, Larnaca, Cyprus, October 24–25, 2023, Proceedings</t>
  </si>
  <si>
    <t>The proliferation of sensing device technologies, and the growing demand for data intensive IoT applications calls for a seamless interconnection of IoT, edge and cloud resources in one computing system, to form a Compute Continuum, also referred to as edge-to-cloud.This paper targets self-adaptive Machine Learning applications that rely on data coming from IoT sensors. These applications are often “context-aware”, with high context sensitivity, different physical settings and complex usage patterns. Their intelligence, deployed on the edge, is updated on the fly.We present two Compute Continuum strategies for the deployment of such applications: (1) a centralised approach, which involves training a model on a centralised server, and (2) a decentralised approach using Federated Learning. The former approach involves centralising data from multiple sources onto a single server, while the latter locally decentralises both the training process and the aggregation and communication tasks across edge devices. In both cases the inference model is deployed on edge devices close to the collected data. The decentralised architecture relies on a coordination platform favouring self-adaptation and decentralised Federated Learning. Results show that the decentralised Federated Learning approach offers networking performances and privacy-preserving advantages compared to non-private centralised models, with a slight trade-off in prediction accuracy. According to our simulations, the deployment cost of the decentralised architecture is much lower than that of deployment on the centralised architecture.</t>
  </si>
  <si>
    <t>Chondrogiannis, Efthymios; Karanastasis, Efstathios; Andronikou, Vassiliki; Spătaru, Adrian; Nanos, Anastassios; Kretsis, Aristotelis; Kokkinos, Panagiotis</t>
  </si>
  <si>
    <t>Advances in Visual Computing: 18th International Symposium, ISVC 2023, Lake Tahoe, NV, USA, October 16–18, 2023, Proceedings, Part I</t>
  </si>
  <si>
    <t>Next-generation smart environments, an integral part of our modern lives, integrate computing and networking technologies to enrich our experiences. Harnessing cutting-edge technologies like the Internet of Things, Artificial Intelligence, and Edge Computing, they function under the control of critical infrastructures often processing complex computer vision tasks such as object recognition and image segmentation in real-time. These infrastructures manage vast volumes of data with intensive computational demands. In response to these challenges, infrastructures have evolved to distributed that consists of resources of different capabilities and different operators. Within these environments, the security and communication among different domains are fundamental. Each domain potentially has different levels of security requirements and may use various protocols for communication. As data travels across these domains, it is exposed to a variety of threats, including data breaches, cyberattacks, and unauthorized access. In such a environment, where multiple domains co-exist, each with its own unique resources and security specifications, communication constraints across them further complicate the resource allocation process. This complexity is further increased by the diverse computing and networking constraints imposed by applications. In this work, we propose a multi-Agent Deep Reinforcement Learning mechanism that operates based on multi-Agent Rollout and deep Q-learning in order to serve the different applications’ requirements. The proposed optimization mechanism considers multiple objectives during the resource allocation process and tries to fulfill the specific constraints set by the demands and the broader objectives set by the infrastructure operator. Through rigorous evaluations, we showcase the effectiveness and efficiency of our proposed mechanisms in accommodating the heterogeneous and stringent workload requirements, whilst optimizing the use of infrastructure resources. Our simulation experiments confirm that the proposed mechanism can substantially enhance the efficiency of resource allocation in critical infrastructures.</t>
  </si>
  <si>
    <t>Grafenhorst, Simon; Förderer, Kevin; Hagenmeyer, Veit</t>
  </si>
  <si>
    <t>Energy Informatics: Third Energy Informatics Academy Conference, EI.A 2023, Campinas, Brazil, December 6–8, 2023, Proceedings, Part II</t>
  </si>
  <si>
    <t>Euro-Par 2023: Parallel Processing Workshops: Euro-Par 2023 International Workshops, Limassol, Cyprus, August 28 – September 1, 2023, Revised Selected Papers, Part II</t>
  </si>
  <si>
    <t>This work presents LEAKSTREAM, a novel approach for detecting leakages in water distribution networks by leveraging the power of clustering and stream processing techniques, combined with advanced machine learning approaches. Given the critical importance of efficient water management and the significant economic and environmental consequences of undetected leaks, it is crucial to develop innovative strategies that can accurately and promptly identify anomalies within distribution networks.Our proposed method focuses on an algorithm that creates clusters of nodes in the water distribution network, taking into account their spatial proximity and hydraulic characteristics. We employ stream processing to efficiently handle large-scale real-time data generated from meters installed at consumer locations throughout the network.The results of our study indicate that the proposed leakage detection algorithm effectively employs a generalization technique to detect events not included in the training data. We show performance in terms of precision and loss in the case of 75 different leakages positions in a water distribution network which extends in an area of 7×3.5sqkm. Furthermore, its capacity to process data at the edge and in real-time enables prompt responses and mitigation measures, thereby reducing the overall impact of leaks on both the environment and infrastructure.Our results attain an average accuracy of detecting and localizing the zone of the leakages of about 98.6% when leakages are not present during the training of the ML models.</t>
  </si>
  <si>
    <t>Supercomputing: 9th Russian Supercomputing Days, RuSCDays 2023, Moscow, Russia, September 25–26, 2023, Revised Selected Papers, Part II</t>
  </si>
  <si>
    <t>Digital Human Modeling and Applications in Health, Safety, Ergonomics and Risk Management: 15th International Conference, DHM 2024, Held as Part of the 26th HCI International Conference, HCII 2024, Washington, DC, USA, June 29–July 4, 2024, Proceedings, Part II</t>
  </si>
  <si>
    <t>Myocardial Infarction (MI), commonly known as a heart attack, is a prevalent acute cardiovascular disease and one of the deadliest types of cardiovascular diseases in China. Electrocardiogram (ECG) serves as the primary tool for analysis and diagnosis, recording the heart’s electrical activity to detect abnormal patterns. ECG exhibits nonlinear and unstable characteristics, with its noise being random. Therefore, the extraction and identification of ECG features related to MI are crucial for intelligent assisted diagnosis of heart attacks. In this paper, a MI assisted pre-hospital diagnosis system based on CNN (Convolution Neural Network, CNN) is designed, to assist healthcare professionals in improving the accuracy and efficiency of MI diagnosis. The MI assisted diagnosis system, based on the CNN MI intelligent diagnostic model, is established with the goal of intelligent identification of MI in the context of computer-aided diagnosis systems. It aims to address key issues such as automatic feature extraction and analysis diagnosis, focusing on ECG research and exploring MI intelligent identification methods based on CNN. This system is dedicated to providing assistance and support for clinical diagnosis by healthcare professionals, enhancing diagnostic accuracy and efficiency to ensure early diagnosis and timely treatment of MI. Additionally, in cases of sudden cardiac emergencies among ECG users, the system is capable of providing timely assistance and treatment plans, offering critical support to ECG users in need.</t>
  </si>
  <si>
    <t>Web Engineering: 24th International Conference, ICWE 2024, Tampere, Finland, June 17–20, 2024, Proceedings</t>
  </si>
  <si>
    <t>In this paper, we present an open-source web-based system, called Open V2X Management Platform (O-V2X-MP), which facilitates the management of charging points for electric vehicles with the goal of realizing Vehicle-to-Everything (V2X) scenarios. We describe its backend, which is composed of numerous components through a microservices architecture leveraging Docker containers. Using the C4 model methodology, we present the system context diagram with the main actors that interact with O-V2X-MP, the container diagram with the main communication flows between its components and the component diagram with the modules comprising the core of the platform. We also delve into the value-added services of O-V2X-MP, namely the billing engine, the REST APIs that enable interconnections and integration with external systems, the data analytics capabilities and the cyber-security module. We conclude with our future plans for the platform’s frontend.</t>
  </si>
  <si>
    <t>Formal Techniques for Distributed Objects, Components, and Systems: 44th IFIP WG 6.1 International Conference, FORTE 2024, Held as Part of the 19th International Federated Conference on Distributed Computing Techniques, DisCoTec 2024, Groningen, The Netherlands, June 17–21, 2024, Proceedings</t>
  </si>
  <si>
    <t>This article introduces a novel methodology, Network Simulator-centric Compositional Testing (NSCT), to enhance the verification of network protocols with a particular focus on time-varying network properties. NSCT follows a Model-Based Testing (MBT) approach. These approaches usually struggle to test and represent time-varying network properties. NSCT also aims to achieve more accurate and reproducible protocol testing. It is implemented using the Ivy tool and the Shadow network simulator. This enables online debugging of real protocol implementations. A case study on an implementation of QUIC (picoquic) is presented, revealing an error in its compliance with a time-varying specification. This error has subsequently been rectified, highlighting NSCT’s effectiveness in uncovering and addressing real-world protocol implementation issues. The article underscores NSCT’s potential in advancing protocol testing methodologies, offering a notable contribution to the field of network protocol verification.</t>
  </si>
  <si>
    <t>μChaos: Moving Chaos Engineering to IoT Devices</t>
  </si>
  <si>
    <t>Computational Science – ICCS 2024: 24th International Conference, Malaga, Spain, July 2–4, 2024, Proceedings, Part VII</t>
  </si>
  <si>
    <t>The concept of the Internet of Things (IoT) has been widely used in many applications. IoT devices can be exposed to various external factors, such as network congestion, signal interference, and limited network bandwidth. This paper proposes an open-source μChaos software tool for the ZephyrOS real-time operating system for embedded devices. The proposed tool intends to inject failures into device’s applications in a controlled manner to improve their error-handling algorithms. The proposed novel framework fills the gap in the chaos engineering tools for edge devices in the cloud-edge continuum. In the paper, we also discuss the typical failures of IoT devices and the potential use cases of the solution.</t>
  </si>
  <si>
    <t>Computational Science and Its Applications – ICCSA 2024 Workshops: Hanoi, Vietnam, July 1–4, 2024, Proceedings, Part I</t>
  </si>
  <si>
    <t>Computational Science and Its Applications – ICCSA 2024 Workshops: Hanoi, Vietnam, July 1–4, 2024, Proceedings, Part IX</t>
  </si>
  <si>
    <t>Boost in the global supply chain in the post-industry 4.0 revolution has amplified the demand for maritime ports, triggering their operational capacities, competitiveness, and sustainability concerns. Maritime ports are undergoing a paradigm shift, an evolution from goods loading and unloading terminals to highly intelligent hubs in the logistic supply chain.Existing literature on smart ports focuses on different aspects such as evolution stages, bibliometrics analysis, feasible technologies, and Key Performance Indicators (KPI).This review complements the existing ones by investigating the term “smart port” definition, the technology use, the Key Performance Indicators (KPIs), and providing bibliometric analysis across major databases, sourcing from journals, conferences, official websites, and books in various disciplines.Results show that the definition of “smart port” is still under development. Moreover, the major driver of transformation is the technology use, some technologies are mature enough for implementation and the rest are in the early stages. Importantly, along with innovative technologies, management skills play a crucial role in successful implementation. The Smartness of the port is difficult to answer but an accurate quantification of Key Performance Indicators (KPIs) can assist the ports in gauging their level of “smartness”.From the bibliometric perspective, there is a growing trend of smart port research, particularly in recent years. This trend is interestingly almost uniformly distributed in different geographic locations.The findings underscore the kernel role of technology in shaping smart port evolution, and performance indicators for quantifying the smartness. The investigation of the challenges for ports to implement technologies is a key area for future research.</t>
  </si>
  <si>
    <t>Reuse and Software Quality: 21st International Conference on Software and Systems Reuse, ICSR 2024, Limassol, Cyprus, June 19–20, 2024, Proceedings</t>
  </si>
  <si>
    <t>Modularity is used to manage the complexity of monolithic software systems and is a de facto practice in software engineering. Similar modularity concepts might also translate beneficially to machine learning, uncovering equivalent benefits, such as reuse opportunities. We address the research problem of modular neural networks’ (MNNs) applicability, operations, and comparability to monolithic solutions. A systematic literature review is used to identify 86 studies that provide information regarding modularity compared to monolithic solutions. The selected studies address many tasks and domains, evidencing broad applicability, although applied modularity operations are limited mainly to splitting. Nearly two-thirds of studies show improvements in task accuracy compared to monolithic solutions. Only 16% of studies report performance values in their comparisons, but 82% report MNN performance benefits in training and inference time, memory, and energy consumption compared to monolithic solutions. However, publication bias can favor MNNs, and most studies were conducted in laboratory environments on focused tasks and static requirements. Nevertheless, we conclude that MNNs perform at least satisfactorily compared to monolithic solutions. Modularity can bring forth benefits for managing complexity and has the potential for development and operations performance efficiency. Therefore, modularity in neural networks opens research avenues for extending software reuse, especially regarding broadening the applicability of advanced solutions and experiences from long-term or industrial applications and use.</t>
  </si>
  <si>
    <t>One of the programming models that has been developing the most in recent years is Function as a Service (FaaS). The growing concern over data centre energy footprints has driven sustainable software development. In serverless applications, energy consumption depends on the energy consumption of the application’s functions. However, measuring energy proves challenging, and the results’ variability complicates optimisation efforts at runtime. This article addresses this issue by measuring serverless function energy consumption and exploring integration into an optimisation system that selects implementations based on their current energy footprint. For this, we have integrated an energy measurement software into a FaaS system. We have analysed how to properly process the data and how to use them to perform self-adaptation. We present a series of methods and policies that make our system not only capable of detecting variations in the energy consumption of the functions, but it does so taking into account the variability in the measurements that each function may present. Our experiments showcase proper integration in a self-adaptive system, showing a reduction up to 5% in energy consumption due to functions in a test application.</t>
  </si>
  <si>
    <t>Recent advances in AI/ML technologies have accelerated the development of various ML applications. One of the major trends in AI/ML application development is the increasing use of multiple ML models to support high-accuracy inference in a complex end-to-end ML serving. However, testing the right configuration of multiple ML models is expensive, and the application requirements for ML inferences are highly dependent on various factors like the quality of ML models, computing resource performance, and data quality. In this context, techniques and methods that help to emulate and analyze ML inference characteristics using queueing theory can reduce the development effort and cost for ML services encapsulating ML models but also the entire ML system. In this paper, we modeled and analyzed a queueing model for an ML system that uses ensemble learning as an inference method with a new rule and clarified the impacts of model design in ensemble learning on the system’s performance. As a result, we demonstrate the usefulness of the analysis for understanding possible configurations and their efficiency in the ML system through queueing analysis and simulation.</t>
  </si>
  <si>
    <t>Software Architecture: 18th European Conference, ECSA 2024, Luxembourg City, Luxembourg, September 3–6, 2024, Proceedings</t>
  </si>
  <si>
    <t>The industry of electric vehicle charging stations is rapidly evolving. As more people purchase electric vehicles, the need for an efficient and reliable charging service value chain becomes paramount. In this paper we perform a literature review and topic modeling in the field to identify the most relevant topics and challenges therein as well as any standard or reference software architectures proposed to date. Subsequently, by means of ethnomethodological research and interview study with industry practitioners from an emerging Charging Point Operator (CPO) we identify major practical architectural concerns. We conclude that typical -Ops issues related to monitoring and autonomous runtime management of fast-charging software architectures are not addressed in the literature so far, and yet are the most critical for practitioners; this inspired a revised augment of state-of-the-art reference architecture frameworks—offered as the first key original contribution of this paper—for practitioners and researchers to use in the future. Finally, evaluating such framework with practitioners’ insights, we elaborated a second key contribution of this work, namely, six architectural considerations to be taken into account towards trustworthy electric vehicle fast-charging software architectures of the future.</t>
  </si>
  <si>
    <t>Extended Reality: International Conference, XR Salento 2024, Lecce, Italy, September 4–7, 2024, Proceedings, Part I</t>
  </si>
  <si>
    <t>In this research and innovation work, we propose an open and interoperable approach for exploiting the various building data collected across the different phases of a building’s life cycle via a BIM-based Mixed Reality (MR) platform. Building information modelling (BIM) has gradually gained attention in recent decades and is widely considered a key to digitising and optimising the building life cycle. Yet, there are significant challenges in the standardization of methodologies, interoperability of solutions, and data exchange, as well as the usability of BIM-related solutions. Moreover, modern or renovated buildings produce extensive real-time data on top of the static data organised in BIM, and it is commonly accepted that most professionals in the field do not have access to the critical static or dynamic data that accompany a building project. Here, we exploit MR as an advanced user interface for enhanced interaction with building static and dynamic data instantiated by a BIM model, while we address a seamless conversion of BIM data to an online visual digital twin that supports the MR mobile application.</t>
  </si>
  <si>
    <t>It is anticipated that global IoT devices are set to rise from 10 billion in 2020 to 30 billion by 2030, with the highest number of devices, about 5 billion, expected in China. The increase in users within smart homes directly increases demand for IoT devices, leading to global energy consumption, latency and network usage issues in a Cloud network infrastructure. This study demonstrates the impact of increased users in smart homes through user scalability impact on energy consumption, latency and network bandwidth usage. Positioning data obtained from Phyphox is used as dummy data for this research. The ifogSim2 network simulation toolkit conducts user scalability simulations in a Cloud and Fog-based scenario. The results from the evaluation simulation of user scalability in a Cloud and Fog-based scenario demonstrate an average percentage difference of 3.10%, 90.33% and 33.03% for energy consumption, latency and network usage, respectively. The results indicate that the benefits of Fog computing address the challenges of Cloud computing through optimisation and provide a solution to the global issue of the increased number of IoT devices and users. The percentage difference for energy consumption was the lowest, followed by network usage, and latency was the highest. This variance shows that using and adopting Fog computing in a smart home network architecture is more efficient than traditional Cloud computing. The user scalability further demonstrates that as the number of users increases, the level of energy consumption, latency and network usage increase. Therefore, as the user demand for smart IoT devices increases, adopting Fog computing addresses the challenges associated with Cloud computing and optimises the energy consumption, latency and network usage in a smart home environment. © The Author(s), under exclusive license to Springer Nature Switzerland AG 2024.</t>
  </si>
  <si>
    <t>Bridging the Gap Between AI and Reality: First International Conference, AISoLA 2023, Crete, Greece, October 23–28, 2023, Selected Papers</t>
  </si>
  <si>
    <t>The Application of Innovative Design Concept of Color and Light and Shadow in Underground Space Lighting</t>
  </si>
  <si>
    <t>This study presents a user-centered approach to enhancing indoor lighting in underground spaces, focusing on the well-being and productivity of occupants while emphasizing energy efficiency and compliance with lighting standards. By integrating design thinking and color theory, the research formulates hypotheses concerning the psychological impacts of lighting, the utility of smart devices for light measurement, and the role of technology in achieving regulatory compliance. Through semi-structured interviews, design strategy proposals, and lighting tests, the study gathers qualitative and quantitative data. The analysis reveals the importance of light distribution, color temperature, and shadow quality in creating functional and engaging environments. The study concludes that an optimized lighting design can significantly improve spatial perception and emotional responses, offering valuable insights for future lighting design in residential and educational spaces. © The Author(s), under exclusive license to Springer Nature Switzerland AG 2025.</t>
  </si>
  <si>
    <t>Clausen, Christian Skafte Beck; Lehnhoff, Sebastian; Schwarz, Jan Sören; Jørgensen, Bo Nørregaard; Ma, Zheng Grace</t>
  </si>
  <si>
    <t>Energy Informatics: 4th Energy Informatics Academy Conference, EI.A 2024, Kuta, Bali, Indonesia, October 23–25, 2024, Proceedings, Part I</t>
  </si>
  <si>
    <t>Meisenbacher S.; Galenzowski J.; Förderer K.; Suess W.; Waczowicz S.; Mikut R.; Hagenmeyer V.</t>
  </si>
  <si>
    <t>Automation Level Taxonomy for Time Series Forecasting Services: Guideline for Real-World Smart Grid Applications</t>
  </si>
  <si>
    <t>Achieving net-zero carbon emissions necessitates the major transformation of electrical grids into smart grids. In this context, urban districts play a crucial role in the flexible balancing of electricity demand and supply, which involves solving decentralized optimization problems. Such optimization problems rely on forecasts of local demand and supply, and require the systematic orchestration of data streams using cloud services. At the same time, it is necessary to automate both the design and operation of forecasting models in such services to keep pace with the increasing need for such locally adapted forecasts. Therefore, this paper proposes an automation level taxonomy to communicate the scope of automation in time series forecasting. Furthermore, we demonstrate a forecasting service that is used in a downstream demand-side management application and realized in the real-world project Smart East in Karlsruhe, Germany. Finally, we analyze existing forecasting services in the literature, categorize them according to the proposed automation level taxonomy, and compare them with our implementation. © The Author(s), under exclusive license to Springer Nature Switzerland AG 2025.</t>
  </si>
  <si>
    <t>Meisenbacher, Stefan (57221151251); Galenzowski, Johannes (57225149802); Förderer, Kevin (57195424168); Suess, Wolfgang (7005539921); Waczowicz, Simon (56566776700); Mikut, Ralf (6603574925); Hagenmeyer, Veit (15837418700)</t>
  </si>
  <si>
    <t>Product-Focused Software Process Improvement: 25th International Conference, PROFES 2024, Tartu, Estonia, December 2–4, 2024, Proceedings</t>
  </si>
  <si>
    <t>Microservices reliability is critical, but runtime anomalies are increasingly common due to system complexity. Rule-based and AI-based anomaly detection methods assist practitioners in analyzing runtime monitoring data (logs, traces, metrics) to identify anomalies. However, these methods rely&amp;nbsp;on high-quality datasets and deep domain knowledge to deliver accurate results. Thus, a significant challenge lies in the lack of consensus on which runtime monitoring parameters effectively represent&amp;nbsp;the system and microservices, reliably indicate anomalies,&amp;nbsp;or distinguish deviations that genuinely signal anomalies. A thorough understanding of the dataset, key monitoring parameters,&amp;nbsp;and microservice dependencies is crucial to minimize bias and&amp;nbsp;false positives, ultimately improving the effectiveness of anomaly detection methods.Thus, we investigate whether structural equation modeling&amp;nbsp;can describe the system’s or microservices’ behavior via indicators extracted from runtime monitoring data and identify their causal relationships. We used EvoMaster to simulate user behavior&amp;nbsp;in TrainTicket and extract runtime monitoring data to test our model. Our results show that the identified indicators effectively describe microservices’ behavior, but network indicators alone&amp;nbsp;are insufficient for describing the whole system’s behavior. The&amp;nbsp;model can also identify microservices that significantly influence&amp;nbsp;the whole system’s behavior.</t>
  </si>
  <si>
    <t>Faria, Bruno; Abreu, David Perez; Velasquez, Karima; Curado, Marília</t>
  </si>
  <si>
    <t>Cooperative Information Systems: 30th International Conference, CoopIS 2024, Porto, Portugal, November 19–21, 2024, Proceedings</t>
  </si>
  <si>
    <t>The cloud-to-edge continuum paradigm has permeated various application domains, including critical urban-city safety systems. In these contexts, anomalies can compromise public safety, for example, by disrupting the communication between smart city infrastructure and vehicles, which aims to prevent accidents at pedestrian crossings. Given these environments’ heterogeneous and large-scale nature, manual recovery from anomalies is not feasible. Machine Learning techniques have emerged as an alternative, supporting a zero-touch approach that enables self-organising and self-healing solutions for anomaly prediction, detection, and mitigation. This paper proposes an Artificial Intelligence-driven, self-organising approach for anomaly management in the cloud-to-edge continuum, integrating both reactive and proactive mechanisms. We evaluate different Machine Learning models, including Random Forest Classifiers, Neural Networks, and Convolutional Neural Networks, to predict node performance anomalies. The simulation results obtained using the COSCO framework showcase the effectiveness of our method. It achieves an F1 score of 73% for multiclass classification, predicting different levels of anomaly severity, and 87% for binary classification, distinguishing between normal and abnormal states.</t>
  </si>
  <si>
    <t>Artificial Intelligence: Methodology, Systems, and Applications: 19th International Conference, AIMSA 2024, Varna, Bulgaria, September 18–20, 2024, Proceedings</t>
  </si>
  <si>
    <t>Most artificial intelligence (AI) applications are designed under the model-centric AI (MCAI) approach, where data scientists aim to optimize the machine learning (ML) models starting with fixed, preprocessed data. However, businesses often struggle with limited datasets, changes in data over time, and limited ML knowledge, making it difficult to maintain data quality. One potential approach is data-centric AI (DCAI), which systematically improves the data quality used to build AI systems. However, rapid growth in data volume leads to challenges in selecting the most suitable operations for enhancing data quality thereby maintaining data accuracy, completeness, consistency, and reliability in real-world applications. To address this gap, we propose a novel framework, namely Layered Data-Centric AI (LDCAI) by expanding upon the existing DCAI Pipeline. LDCAI employs a three-layered approach, starting with the DCAI layer which generates the initial training data. This data is then analyzed and refined in the Data Analysis (DA) layer by a team of data scientists and domain experts. The refined data is later sent to the Data Quality Control (DQC) layer for additional quality checks and improvements by data scientists. The entire process can be iterated as needed to continuously improve data quality, which can be fed back into the DCAI layer’s model to achieve better predictions and outcomes. The implementation is illustrated through a scalable and customizable architecture designed for optimizing data quality within AI systems.</t>
  </si>
  <si>
    <t>Design of energy resources, transmission, distribution, and consumption in network architecture is becoming a challenging energy optimization issue. The demand for power analysis becomes a key pillar in sustainable renewable energy and adaptation to climate change. State-of-the-art technologies can play a vital role in realizing the new architectural design for smart grids and cities. The 4th generation mobile network is considered a critical technology and enabler. The 3GPP standard body is set to a target of 35% of the deployment of the 4G to be Low Power Wide Area (LPWA) network by 2020. LPWA is an Internet of Energy (IoE) structure that can provide a comprehensive stream of energy sector applications. The IoE with intelligent computing tools can dramatically enhance energy efficiency, improve and sustain renewable energy, and diminish energy contamination’s ecological effects. This paper reviews the literature on the IoE design principles and architecture models comprehensively. it also explains IoE enabling technologies, including fog computing and various interoperability and data analysis standards. © ICST Institute for Computer Sciences, Social Informatics and Telecommunications Engineering 2025.</t>
  </si>
  <si>
    <t>ML-Based Performance Modeling in Edge FaaS Systems</t>
  </si>
  <si>
    <t>The Function as a Service (FaaS) model is becoming increasingly attractive for both cloud and edge computing scenarios, offering a solution where self-contained functions are executed in response to specific events. In this model, the complexities of load balancing and scaling are handled by the service providers. However, accurate resource consumption estimates are crucial in FaaS-enabled clusters, especially at the edge, to optimize resource efficiency, minimize latency, prevent overloads, and ensure scalability. This work focuses on performance modeling within FaaS-enabled distributed and decentralized edge environments, at both the node and function levels. Using a Machine Learning (ML)-based approach, we propose a framework to predict key performance metrics, such as CPU usage, memory, and energy consumption. Additionally, we forecast potential system overloads based on the incoming load. By introducing a profiling tool that characterizes functions by their resource usage patterns, prediction of node-level resource consumption without needing detailed function-level knowledge is made possible. Experimental results show that our models achieve 97% accuracy in predicting node overloads. © IFIP International Federation for Information Processing 2025.</t>
  </si>
  <si>
    <t>Service-Oriented Computing: 15th International Conference, ICSOC 2017, Malaga, Spain, November 13–16, 2017, Proceedings</t>
  </si>
  <si>
    <t>The Internet of Things (IoT) is offering unprecedented observational data that are used for managing Smart City utilities. Edge and Fog gateway devices are an integral part of IoT deployments to acquire real-time data and enact controls. Recently, Edge-computing is emerging as first-class paradigm to complement Cloud-centric analytics. But a key limitation is the lack of a platform-as-a-service for applications spanning Edge and Cloud. Here, we propose , an orchestration platform for dataflows across distributed resources. ’s hybrid dataflow composition can operate on diverse data models – streams, micro-batches and files, and interface with native runtime engines like TensorFlow and Storm to execute them. It manages the application’s lifecycle, including container-based deployment and a registry for state management. can schedule the dataflow on different Edge, Fog&amp;nbsp;and&amp;nbsp;Cloud resources, and also perform dynamic task migration between resources. We validate the platform for executing video analytics and sensor streams for Smart Traffic and Smart Utility applications on Raspberry Pi, NVidia TX1, ARM64 and Azure Cloud VM resources, and present our results.</t>
  </si>
  <si>
    <t>With the rapid improvement of the modern digital world and IoT-based systems, the accurate detection of objects moving in a dynamic scene has become an important and critical task. The object presented in videos and images is detected and recognized using various techniques, its information is extracted, transferred through the internet and displayed on the main monitoring system. The recognized object can be anything we repeatedly observe in our daily life such as human, animal, car, bicycle, etc. To detect such objects in a video or an image, the system needs to do a complex task using hardware and software components in order to complete the function as expected. This paper offers a review of the different techniques that have been used to detect an object, categorize it, localize it, extract its features, and many more, in images and videos. The comments are drawn from the studied literature that is related to IoT based object detection. Some perspectives solutions for object reorganization and tracking are also presented. This paper may significantly help researchers in this domain to start with essential knowledge for developing their own efficient schemes. © 2021, Springer Nature Singapore Pte Ltd.</t>
  </si>
  <si>
    <t>In recent years, worldwide, with the development of technology, a huge amount of data is collected in Electronic Health Records (EHRs). Although vast progress has been made with the use of artificial intelligence in various areas of health domain and for specific problems, it is a fact that to date there is no holistic approach to a patient’s state of health using these technologies. Digital Twin refers to a complete physical and functional description of an item, product, or system, which includes pretty much all the information that could be useful in all—current and next—life cycle phases. This paper presents a platform that, using state of the art technologies such as Microservice Architecture (MSA), containerization (Docker), orchestration (Kubernetes) and Machine Learning Operations (MLOps), whereas it is inspired by Leonardo DaVinci’s Vitruvian man, building the Digital Twin of Patient platform. To achieve that, the platform’s architecture is designed with multiple clusters of Docker containers and Kubernetes orchestration. Specific parts or organs of the human body, are represented by clusters called “digital_twin_components”—DTCs. The set of those DTCs structure the “patient_digital_twin” cluster in which appropriate pipelines define and monitor in real time the “best” possible construction of the patient’s digital twin. © 2022, The Author(s), under exclusive license to Springer Nature Singapore Pte Ltd.</t>
  </si>
  <si>
    <t>Securing Microservice-Driven Applications Based on API Access Graphs Using Supervised Machine Learning Techniques</t>
  </si>
  <si>
    <t>Distributed microservice-driven applications are composed of application programming interface (API), which are accessed by other microservices or apps or even developers through API endpoints. Attackers often abuse API access to exploit these endpoints’ business logic and computing resources. Current intrusion detection systems for large applications deploy entry-level classification to find malicious user requests. However, there is a possibility of attackers showing intrusive behavior after moving past the entry-level checks. In microservice-driven architectures, the API access patterns of normal users are observed to be different from that of attackers. These access patterns consist of APIs called in specific orders reflecting an access graph that depicts user behavior in long-running sessions. This paper presents a mechanism where microservice-based applications are monitored holistically to extract these API call patterns and create a user behavior graph. These graphs are processed as embeddings through representational learning analyzed to classify normal and malicious behavior using machine learning algorithms. This methodology has shown significant results in its efficiency and ability to generate insights in a real-time environment by subsuming the information used by entry-level intrusion detection systems and user behavior patterns. © 2023, The Author(s), under exclusive license to Springer Nature Singapore Pte Ltd.</t>
  </si>
  <si>
    <t>With the advent of the era of big data, distributed data centers with advantages in computing, storage, security, etc. have become the trend of future development. In the civil field, when distributed data centers are abnormal, problems such as service interruption, data leakage and capital loss will be caused. Therefore, it is necessary to predict failure for distributed data centers. In the military field, when the LVC system is applied to distributed data centers, the live assets will be lost if the simulation system fails, and the loss is very costly. Hence, failure prediction is more necessary for the simulation system. In summary, first, the failure prediction in distributed data centers is systematically reviewed from four aspects: overall architecture, data types, mainstream prediction methods, and existing difficulties and challenges, to analyze the current research status at home and abroad. Subsequently, from LVC system perspective, the importance and challenges of failure prediction for the simulation application layer in distributed data centers are analyzed. © 2022, The Author(s), under exclusive license to Springer Nature Singapore Pte Ltd.</t>
  </si>
  <si>
    <t>Service-Oriented Computing: 22nd International Conference, ICSOC 2024, Tunis, Tunisia, December 3–6, 2024, Proceedings, Part II</t>
  </si>
  <si>
    <t>Energy Measurement System for Data Lake: An Initial Approach</t>
  </si>
  <si>
    <t>Data Lakes are increasingly deployed as a solution for Big Data analytics. Recent improvements in Data Lake technology have focused on improving data access, governance, and discoverability. However, the energy consumption of data operations, a non-trivial issue for eco-conscious organizations, is currently overlooked. Furthermore, existing monitoring tools do not adequately address the complexities of Data Lake architectures. This paper presents the initial phase of developing a system for measuring energy in Data Lake pipeline operations. The novelty of our solution lies in the fact that we define four measures to assess the power usage of crucial hardware components in a Data Lake context: CPU, RAM, NIC, and storage devices. To validate our approach, we developed a monitoring tool grounded in real-world datasets from a Data Lake benchmark. © The Author(s), under exclusive license to Springer Nature Singapore Pte Ltd. 2024.</t>
  </si>
  <si>
    <t>Electricity plays a significant role in the everyday lives of people. Researchers have long been interested in the classification problem of electric power anomaly detection. Anomaly detection can stop little issues from snowballing into unmanageable issues. In addition, it helps cut down on energy waste. Existing anomaly detection models mostly ignore the spatial attribute of electricity consumption data. They would primarily emphasize the time series information contained within the energy consumption data. Furthermore, the trace has the ability to precisely reconstruct consumer pathways; the smart grid can thus use it to detect anomalies. To fill this research gap, we propose a trace-based graph deep learning model to detect anomalous consumers in the smart grid. An unsupervised encoder–decoder is used in the proposed model. First, our model combines traces using an efficient unified graph representation and provides quality scores. Then, the long short-term memory network extracts the temporal attributes, while the graph neural network extracts the spatial attributes. Finally, it computes the anomaly score by adding two hyper-parameters with two-part loss values. We conducted experiments on power consumption data that was gathered from an open-source dataset. The proposed model performs better than a range of standard anomaly detection models. The F1-score of our model is 94.60%, and the AUC is 98.90%. Experiments show that our model is stable even in extreme data imbalance. © The Author(s), under exclusive licence to Springer-Verlag GmbH Germany, part of Springer Nature 2024.</t>
  </si>
  <si>
    <t>As an emerging virtualization technology, the Linux container provides a more lightweight, flexible, and high-performance operating-system-level virtual run-time environment. Its appearance has profoundly changed the development and deployment of multi-tier distributed applications. However, the imperfect system resource isolation features and the kernel-sharing mechanism will introduce significant security risks to the cloud platform. In this paper, we present DockerWatch, a real-time detection system for malware detection in the container-based cloud platform. DockerWatch uses a non-intrusive manner to extract executable files inside the containers, then uses the ensemble of various static features and behavior-based graphs as the analysis vector to learn the robust representations of malicious patterns. Consequently, a two-phase hybrid detection method based on deep learning is proposed to accelerate and enhance the detection performance, aiming to address the trade-off between fast and high-performance real-time detection. Extensive experiments are conducted and compared with extensive existing related methods using real-world datasets to validate the effectiveness of our system. The results show that DockerWatch achieves excellent detection performance with acceptable run-time performance overhead introduced into the platform. © 2022, The Author(s), under exclusive licence to Springer-Verlag GmbH Germany, part of Springer Nature.</t>
  </si>
  <si>
    <t>Network function virtualization (NFV) is a promising paradigm for network service provisioning which decouples the network functions from the physical infrastructure, allowing to deploy the virtualized network functions (VNF) as modular software components over commodity servers. In this architecture, service function chaining (SFC) creates an application-specific network overlay which determines the placement and ordering of network functions in a specific service delivery chain. The diverse choices for VNF placement over physical hardware, scheduling of VNF instances to run over the servers and design of optimal chaining mechanisms for traffic steering in the network have direct consequences on the quality-of-service (QoS) perceived by the network users. Previous surveys have focused on categorizing and evaluating various aspects of SFC, NFV and SDN. Due to the tight coupling of QoS provisioning with NFV problems, our work aims primarily at complementing the existing surveys in the sense that we review and classify the state-of-art research efforts in NFV design and implementation from the perspective of QoS provisioning. Our survey provides a closer look at the design space of QoS-related NFV solutions and sheds light on the open research topics in relevance with QoS-based SFC. We also present a case study to evaluate the performance of some recent VNF placement algorithms. © 2021, The Author(s), under exclusive licence to Springer-Verlag GmbH, AT part of Springer Nature.</t>
  </si>
  <si>
    <t>Internet of Things (IoT) has attracted tremendous research attention in the recent past fromindustry and academia. IoT is quite helpful in uplifting living standards by transforming conventional technology into smart systems. Greenhouse production is considered as an ultimate solution for rising global food demands with the growing population. Greenhouse provides a year-round production facility for fresh vegetables with around 50% increased production rate in comparison to open-air cultivation. However, energy consumption and labor cost in greenhouses account for more than 50% of the cost of greenhouse production. In this paper, we have proposed a novel optimization scheme that aims to achieve a trade-off between energy consumption and desired climate setting in greenhouse i.e. temperature, CO 2 level, and humidity. For performance evaluation of the proposed system, we have developed an ad-hoc emulator of the greenhouse environment. For the proposed model validation and experimental analysis, we have used 15 days of external environmental data collected in Jeju, South Korea. Proposed optimization scheme results are compared with a baseline scheme. Comparative analysis of experimental results shows that our proposed model maintains desired indoor environment for maximizing crop production with 26.56% reduced energy consumption than the baseline scheme. Furthermore proposed model achieve a 27.76% cost reduction when compared to the baseline scheme. Better optimization results of the proposed scheme give us the confidence to further investigate its effectiveness in a real environment for achieving improved energy efficiency. © 2021, The Author(s), under exclusive licence to Springer-Verlag GmbH Austria, part of Springer Nature.</t>
  </si>
  <si>
    <t>Ali T.E.; Ali F.I.; Dakić P.; Zoltan A.D.</t>
  </si>
  <si>
    <t>The Healthcare Internet of Things (H-IoT) is a rapidly developing problem solving model with significant potential to improve patient care and healthcare outcomes. This study focuses on integrating cryptographic platforms into H-IoT systems to enable secure data access. We present insights on how to manage challenges such as cyber risks, resource constraints, latency, and energy consumption by exploring cryptographic approaches in diverse H-IoT applications. We explore important topics including big data management, blockchain, machine learning, edge computing, and software-defined networks. Additionally, we examine real-time operational challenges and emerging trends, such as remote patient monitoring and predictive analytics. Our research underscores the need for strong encryption mechanisms, access controls, device authentication, and proactive threat detection to improve the safety and efficiency of healthcare services. By combining cryptographic approaches with the architecture of the H-IoT system, this work provides the foundation for resilient healthcare infrastructures. Addressing current challenges and anticipating future opportunities contribute to strategic healthcare planning that prioritizes patient privacy and data security while anticipating future strategic healthcare planning opportunities. This article aims to provide valuable information to researchers by covering energy-efficient and resource-optimized healthcare system approaches that are integrated into the development of H-IoT systems. © The Author(s) 2024.</t>
  </si>
  <si>
    <t>Ali, Tariq Emad (57192645867); Ali, Faten Imad (57221046152); Dakić, Pavle (57224193975); Zoltan, Alwahab Dhulfiqar (59470290800)</t>
  </si>
  <si>
    <t>Labiadh M.; Obrecht C.; Ferreira da Silva C.; Ghodous P.; Benabdeslem K.</t>
  </si>
  <si>
    <t>Predictive modeling in buildings is a key task for the optimal management of building energy. Relevant building operational data are a prerequisite for such task, notably when deep learning is used. However, building operational data are not always available, such is the case in newly built, newly renovated, or even not yet built buildings. To address this problem, we propose a deep similarity learning approach to recommend relevant training data to a target building solely by using a minimal contextual description on it. Contextual descriptions are modeled as user queries. We further propose to ensemble most used machine learning algorithms in the context of predictive modeling. This contributes to the genericity of the proposed methodology. Experimental evaluations show that our methodology offers a generic methodology for cross-building predictive modeling and achieves good generalization performance. © 2022, The Author(s), under exclusive licence to Springer-Verlag London Ltd., part of Springer Nature.</t>
  </si>
  <si>
    <t>Labiadh, Mouna (57219286585); Obrecht, Christian (34971939900); Ferreira da Silva, Catarina (57219280995); Ghodous, Parisa (6603661157); Benabdeslem, Khalid (23974378200)</t>
  </si>
  <si>
    <t>Software architecture models are considered first-class artifacts in current software engineering best practices. Thus, usable and well-understood modeling methods are required for software architects. For this aim, several specific software architecture modeling methods as well as generic design methods included in software development methodologies are available. However, we believe, there is the lack of more specific guidance in current software architecture methods. One of the principal causes of such a lack of specific guidance is the general-purpose nature of these methods. Therefore, further efforts are required to define domain-specific software architecture methods. In this paper, we present SOCAM, a software architecture modeling method for Web Service-Oriented Systems. We illustrate the use of SOCAM with a customization of the well-known SOA test application case: the Sun Adventure Builder system. A comparative analysis of SOCAM with other methods reveals a number of benefits of our method over the other approaches. Also, a survey research method evaluation confirms some of these benefits such as the fact that SOCAM is perceived as more useful than certain general-purpose methods. © 2021, The Author(s), under exclusive licence to Springer-Verlag GmbH Germany, part of Springer Nature.</t>
  </si>
  <si>
    <t>Lago P.; Condori Fernandez N.; Fatima I.; Funke M.; Malavolta I.</t>
  </si>
  <si>
    <t>Software intensive systems play a crucial role in most, if not all, aspects of modern society. As such, both their sustainability and their role in supporting sustainable processes must be realized by design. To this aim, the architecture of software intensive systems should be designed to support sustainability goals; and measured to understand how effectively they do so. In this paper, we present the sustainability assessment framework (SAF) Toolkit—a set of instruments we developed to support software architects and design decision makers in modeling sustainability as a software quality property. The SAF Toolkit is the result of our experience gained in more than a decade of case studies in collaboration with industrial partners. We illustrate the toolkit with examples that come from some of such studies. We extract our lessons learned, our current research, and future plans to extend the SAF Toolkit for further architecture modeling and measurement. © The Author(s), under exclusive licence to Springer-Verlag GmbH Germany, part of Springer Nature 2024.</t>
  </si>
  <si>
    <t>Lago, Patricia (56187491900); Condori Fernandez, Nelly (6507361130); Fatima, Iffat (58245782000); Funke, Markus (57849383200); Malavolta, Ivano (25823118300)</t>
  </si>
  <si>
    <t>In theory, building automation and management systems (BAMSs) can provide all the components and functionalities required for analyzing and operating buildings. However, in reality, these systems can only ensure the control of heating ventilation and air conditioning system systems. Therefore, many other tasks are left to the operator, e.g. evaluating buildings’ performance, detecting abnormal energy consumption, identifying the changes needed to improve efficiency, ensuring the security and privacy of end-users, etc. To that end, there has been a movement for developing artificial intelligence (AI) big data analytic tools as they offer various new and tailor-made solutions that are incredibly appropriate for practical buildings’ management. Typically, they can help the operator in (i) analyzing the tons of connected equipment data; and; (ii) making intelligent, efficient, and on-time decisions to improve the buildings’ performance. This paper presents a comprehensive systematic survey on using AI-big data analytics in BAMSs. It covers various AI-based tasks, e.g. load forecasting, water management, indoor environmental quality monitoring, occupancy detection, etc. The first part of this paper adopts a well-designed taxonomy to overview existing frameworks. A comprehensive review is conducted about different aspects, including the learning process, building environment, computing platforms, and application scenario. Moving on, a critical discussion is performed to identify current challenges. The second part aims at providing the reader with insights into the real-world application of AI-big data analytics. Thus, three case studies that demonstrate the use of AI-big data analytics in BAMSs are presented, focusing on energy anomaly detection in residential and office buildings and energy and performance optimization in sports facilities. Lastly, future directions and valuable recommendations are identified to improve the performance and reliability of BAMSs in intelligent buildings. © 2022, The Author(s).</t>
  </si>
  <si>
    <t>With the growth of real-time and latency-sensitive applications in the Internet of Everything (IoE), service placement cannot rely on cloud computing alone. In response to this need, several computing paradigms, such as Mobile Edge Computing (MEC), Ultra-dense Edge Computing (UDEC), and Fog Computing (FC), have emerged. These paradigms aim to bring computing resources closer to the end user, reducing delay and wasted backhaul bandwidth. One of the major challenges of these new paradigms is the limitation of edge resources and the dependencies between different service parts. Some solutions, such as microservice architecture, allow different parts of an application to be processed simultaneously. However, due to the ever-increasing number of devices and incoming tasks, the problem of service placement cannot be solved today by relying on rule-based deterministic solutions. In such a dynamic and complex environment, many factors can influence the solution. Optimization and Machine Learning (ML) are two well-known tools that have been used most for service placement. Both methods typically use a cost function. Optimization is usually a way to define the difference between the predicted and actual value, while ML aims to minimize the cost function. In simpler terms, ML aims to minimize the gap between prediction and reality based on historical data. Instead of relying on explicit rules, ML uses prediction based on historical data. Due to the NP-hard nature of the service placement problem, classical optimization methods are not sufficient. Instead, metaheuristic and heuristic methods are widely used. In addition, the ever-changing big data in IoE environments requires the use of specific ML methods. In this systematic review, we present a taxonomy of ML methods for the service placement problem. Our findings show that 96% of applications use a distributed microservice architecture. Also, 51% of the studies are based on on-demand resource estimation methods and 81% are multi-objective. This article also outlines open questions and future research trends. Our literature review shows that one of the most important trends in ML is reinforcement learning, with a 56% share of research. © The Author(s) 2024.</t>
  </si>
  <si>
    <t>Telecommunication networks are becoming increasingly dynamic and complex due to the massive amounts of data they process. As a result, detecting abnormal events within these networks is essential for maintaining security and ensuring seamless operation. Traditional methods of anomaly detection, which rely on rule-based systems, are no longer effective in today’s fast-evolving telecom landscape. Thus, making AI useful in addressing these shortcomings. This review critically examines the role of Artificial Intelligence (AI), particularly deep learning, in modern anomaly detection systems for telecom networks. It explores the evolution from early strategies to current AI-driven approaches, discussing the challenges, the implementation of machine learning algorithms, and practical case studies. Additionally, emerging AI technologies such as Generative Adversarial Networks (GANs) and Reinforcement Learning (RL) are highlighted for their potential to enhance anomaly detection. This review provides AI’s transformative impact on telecom anomaly detection, addressing challenges while leveraging 5G/6G, edge computing, and the Internet of Things (IoT). It recommends hybrid models, advanced data preprocessing, and self-adaptive systems to enhance robustness and reliability, enabling telecom operators to proactively manage anomalies and optimize performance in a data driven environment. © The Author(s) 2025.</t>
  </si>
  <si>
    <t>current; Anomaly detection; Anomaly detection systems; Deep learning; Machine-learning; Networks security; Rules based systems; Telecom; Telecom networks; Telecommunications networks</t>
  </si>
  <si>
    <t>In a mobile edge environment, a mobile user’s location may change at any time. So the service coverages of current edge servers may exceed the mobile user’s location, which prevents the user from getting the service they need. For some low latency services, such as video optimized transmission and Internet of vehicles, it is necessary to maintain business continuity by timely selecting services provided by appropriate edge servers during the rapid movement of users. Therefore, this paper proposes a user location-aware edge services selection method based on generative adversarial network (GAN) and improved ant colony algorithm. Using this method to select edge services can provide users with uninterrupted services and improve service quality and user satisfaction. Firstly, a mobile user location prediction method based on the generative adversarial network and the attention mechanism is proposed. This method adopts graph attention network (GAT) and recurrent neural network (RNN) to model user in space and time dimensions, and uses GAN to predict the user’s next moment location, according to which, the edge services meeting user’s needs can be selected in advance. Then, an edge services selection method based on the predicted user location and improved ant colony algorithm is proposed. This method adopts ant colony algorithm with improved pheromone updating rules and single-cycle optimal list to select edge services, which enhances the global search ability of ants, accelerates the convergence speed of the algorithm and avoids the algorithm falling into a local optimal solution. Experimental results show that the proposed user location prediction method is more reasonable and accurate in predicting user location. The proposed edge service selection method has obvious advantages in aspects of algorithm convergence speed, accuracy and service response time. © 2022, The Author(s), under exclusive licence to Springer Science+Business Media, LLC, part of Springer Nature.</t>
  </si>
  <si>
    <t>This paper proposes a framework named Dynamic Access and Integration Services (DAIS) framework. The framework provides on-demand and large scale integrated data access in cloud computing environment. The sole motivation of this research paper is to enhance the performance of Cloud-Oriented Storage (COS) systems. DAIS framework consists of two basic modules namely (1) Adjacency COS Overlay Topology (ACOT) and (2) Cloud Storage Resource Discovery (CSRD). ACOT introduces a self-organizing well balanced m-way tree which removes the necessity of centralized approaches and adopts dynamic and scalable data access in cloud computing environment. CSRD module provides data integration mechanism and efficient resource discovery from geographically distributes COS systems. In this paper, Hadoop test-bed setup has been deployed for experiment and results analysis. All input and output data have been collected in the Hadoop Distributed File System (HDFS). In the experiments, performance, bandwidth and energy efficiency of the proposed DAIS framework have been demonstrated and compared with three different approaches like, Static DAIS, P2P and DSSM. To make it energy efficient, measurement unit and its mathematical model have been defined. Energy efficiency results have been compared with two popular approaches HBase and Hadoop-MR, and found better in most of the cases. © 2020, Springer Science+Business Media, LLC, part of Springer Nature.</t>
  </si>
  <si>
    <t>Containerization technology utilizes operating system level virtualization to package applications to run with required libraries and are isolated from other processes on the same host. Lightweight and quick deployment make containers popular in many data centers. Running distributed applications in data centers usually involves multiple clusters of machines. Docker Swarm is a container orchestration tool for managing a cluster of Docker containers and their hosts. However, Docker Swarm’s scheduler does not consider resource utilization when placing containers in a cluster. This paper first investigated performance interference in container clusters. Our experimental study showed that distributed applications’ performance can be degraded when co-located with other containers which aggressively consume resources. A new scheduler is proposed to improve performance while keeping high resource utilization. The experimental results demonstrated that the proposed prototype with machine learning based clustering algorithms could effectively improve distributed applications’ performance by up to 14.5% with an average at around 12%. This work also provides theoretical bounds for the container placement problem. © 2020, Springer Science+Business Media, LLC, part of Springer Nature.</t>
  </si>
  <si>
    <t>Job scheduling plays a prominent part in cloud computing, and the production schedule of jobs can increase the cloud system’s effectiveness. When serving millions of users at once, cloud computing must provide all user requests with excellent performance and ensure Quality of Service (QoS). A suitable task scheduling algorithm is needed to appropriately and effectively fulfil these requests. Several methods were proposed for job scheduling in cloud computing, but the existing techniques do not provide better efficiency. The Dual Interactive Wasserstein Generative Adversarial Network Optimized with Arithmetic Optimization Algorithm Based Job Scheduling in Cloud-Based Internet of Things is proposed to overcome this issue. Primarily, the data from the Alibaba dataset is preprocessed using the Kernel Co-Relation (KC) method. The preprocessed data is given to the Dual Interactive Wasserstein Generative Adversarial Network (DIWGAN) for task forecasting in the dynamic cloud environment, and it generates scheduled tasks as output. Then the Arithmetic Optimization Algorithm (AOA) is utilized to optimize the weight parameters of the Dual Interactive Wasserstein Generative Adversarial Network. The proposed method precisely predicts the future workload and diminishes extravagant power consumption at cloud data centres. The proposed method is implemented in MATLAB. The proposed method attains lower MSE (Mean Square Error), RMSE (Root Mean Square Error), MAPE (Mean Squared Prediction Error), MAE (Mean Absolute Error), and higher results without optimization algorithm before and after normalization compared to the current approaches. © The Author(s), under exclusive licence to Springer Science+Business Media, LLC, part of Springer Nature 2023.</t>
  </si>
  <si>
    <t>The utilization of cloud computing in Internet of Things (IoT) applications has become widespread. However, it presents challenges for latency-sensitive scenarios due to data transmission to the centralized cloud structure, which leads to increased network traffic and service delays. To address this, fog computing has emerged as an intermediary layer between the cloud and IoT, ensuring low-latency interactions. A pivotal challenge within the fog computing paradigm is the service placement problem, involving assigning services to appropriate nodes, which is recognized as NP-hard. Recognizing the intricate nature of service placement, this study introduces a multi-objective optimization approach tailored for dynamic service placement within container-based fog computing environments. Considering multiple objectives is imperative due to the complex interplay of performance metrics in fog computing scenarios. A two-tier resource management framework based on Kubernetes is proposed to manage these diverse yet interrelated objectives effectively. The framework harnesses the power of the multi-objective, non-dominated sorting genetic algorithm II (NSGA-II) to reconcile conflicting objectives and facilitate optimal service placement decisions. Incorporating multi-objective optimization enables a comprehensive evaluation of service placement solutions, ensuring a balanced trade-off between latency, cost-efficiency, and energy consumption. Empirical evaluations demonstrate that the proposed method improves cost, average latency time, and energy consumption by 8% to 36% compared to state-of-the-art methods. © The Author(s), under exclusive licence to Springer Science+Business Media, LLC, part of Springer Nature 2023.</t>
  </si>
  <si>
    <t>Considering the expansion of the Internet of Things (IoT) and the volume of data and user requests, Mobile Edge Computing (MEC) is considered a novel and efficient solution that puts decentralized servers at the network’s edge. This has the effect of lowering bandwidth demand and transmission latency. Optimal edge server placement and allocation, as the first stage of MEC, can improve end-user service quality, edge computing system utility, and cost and energy consumption. The majority of previous edge server placement studies have employed only one objective or developed a fitness function by the weighted sum method for optimization. Usually, using a single optimization objective without considering other objectives cannot yield the desired results for a problem with a multi-objective design. On the other hand, assigning weights to objectives can lead to losing optimal points in non-convex problems and selecting improper weights. Therefore, in this paper, we propose a multi-objective solution for the positioning and allocation of edge servers for MEC services based on the NSGA-II algorithm. In this regard, we identify two workload variance and latency reduction objectives with extensive evaluations. The experimental evaluation of the results using real-world data reveals that solutions based on the NSGA-II yield superior convergence and diversity of Pareto front points compared to Multi-Objective Particle Swarm Optimization (MOPSO), Multi-Objective Biogeography Based Optimization (MOBBO), and Adaptive Weighted Sum Method (AWSM). Additionally, it effectively mitigates workload variance on servers and exhibits an average latency reduction of 8.79% in comparison to the adaptive weighted-sum approach, 9.19% in comparison to MOPSO, and 0.28% in comparison to MOBBO. © The Author(s), under exclusive licence to Springer Science+Business Media, LLC, part of Springer Nature 2024. corrected publication, 2024.</t>
  </si>
  <si>
    <t>Patel Y.S.; Townend P.; Singh A.; Östberg P.-O.</t>
  </si>
  <si>
    <t>Modeling the Green Cloud Continuum: integrating energy considerations into Cloud–Edge models</t>
  </si>
  <si>
    <t>The energy consumption of Cloud–Edge systems is becoming a critical concern economically, environmentally, and societally; some studies suggest data centers and networks will collectively consume 18% of global electrical power by 2030. New methods are needed to mitigate this consumption, e.g. energy-aware workload scheduling, improved usage of renewable energy sources, etc. These schemes need to understand the interaction between energy considerations and Cloud–Edge components. Model-based approaches are an effective way to do this; however, current theoretical Cloud–Edge models are limited, and few consider energy factors. This paper analyses all relevant models proposed between 2016 and 2023, discovers key omissions, and identifies the major energy considerations that need to be addressed for Green Cloud–Edge systems (including interaction with energy providers). We investigate how these can be integrated into existing and aggregated models, and conclude with the high-level architecture of our proposed solution to integrate energy and Cloud–Edge models together. © The Author(s) 2024.</t>
  </si>
  <si>
    <t>Cloud–Edge; Continuum; Green; Models; Renewable energy; Resource management</t>
  </si>
  <si>
    <t>Patel, Yashwant Singh (56425380600); Townend, Paul (12139594700); Singh, Anil (57219277932); Östberg, Per-Olov (24385207800)</t>
  </si>
  <si>
    <t>Energy utilization; Green computing; Power management; Cloud–edge; Continuum; Edge modeling; Energy; Energy considerations; Energy-consumption; Green; Green Clouds; Renewable energies; Resource management; Renewable energy</t>
  </si>
  <si>
    <t>With the increasing advancements in the Internet of Things (IoT) and the growing production of tasks by IoT devices, the demand for cloud computing centers has become more critical than ever. The energy consumption in cloud computing servers has a significant impact on the overall costs and environmental pollution. This article addresses the task allocation problem to cloud computing servers with the aim of reducing energy consumption in those servers while maintaining Quality of Service (QoS). Evolutionary algorithms have been employed to solve this NP-hard problem. In this paper, a novel version of Equilibrium Optimization algorithm is defined and used for finding good solutions for this problem. In the proposed algorithm, a tournament operator is introduced to control selection pressure and enhance the algorithm’s exploration capability during local optima convergence, added to the EO algorithm. The utilization of this operator in the proposed algorithm eliminates the need for sorting all search agents at each iteration, resulting in reduced execution time. The simulation results indicate that the proposed algorithm has demonstrated a 24% improvement in performance compared to existing algorithms in solving the task allocation problem to servers in cloud computing environments. © The Author(s), under exclusive licence to Springer Science+Business Media, LLC, part of Springer Nature 2024.</t>
  </si>
  <si>
    <t>Edge Artificial Intelligence (AI) incorporates a network of interconnected systems and devices that receive, cache, process, and analyse data in close communication with the location where the data is captured with AI technology. Recent advancements in AI efficiency, the widespread use of Internet of Things (IoT) devices, and the emergence of edge computing have unlocked the enormous scope of Edge AI. The goal of Edge AI is to optimize data processing efficiency and velocity while ensuring data confidentiality and integrity. Despite being a relatively new field of research, spanning from 2014 to the present, it has shown significant and rapid development over the last five years. In this article, we present a systematic literature review for Edge AI to discuss the existing research, recent advancements, and future research directions. We created a collaborative edge AI learning system for cloud and edge computing analysis, including an in-depth study of the architectures that facilitate this mechanism. The taxonomy for Edge AI facilitates the classification and configuration of Edge AI systems while also examining its potential influence across many fields through compassing infrastructure, cloud computing, fog computing, services, use cases, ML and deep learning, and resource management. This study highlights the significance of Edge AI in processing real-time data at the edge of the network. Additionally, it emphasizes the research challenges encountered by Edge AI systems, including constraints on resources, vulnerabilities to security threats, and problems with scalability. Finally, this study highlights the potential future research directions that aim to address the current limitations of Edge AI by providing innovative solutions. © The Author(s), under exclusive licence to Springer Science+Business Media, LLC, part of Springer Nature 2024.</t>
  </si>
  <si>
    <t>Recently, multi-label categorization learning has emerged as a new area of study in machine learning since it offers a multi-dimensional perspective of the multi-dimensional object. To build a multi-label classification (MLC) system that is both quick and efficient, one must consider the large data environment. This paper introduces a new MLC model, RR-IPLST (Ridge Regression-Principal Label Space Transformation), which uses a combination of ridge regression and original label space transformation (IPLST). The model includes Advanced Orthogonal Projection to Latent Structures (AOPLS) for optimal dimensionality reduction, increasing data set relevance. IPLST uses Singular Value Decomposition (SVD) to identify label correlations, while RR mitigates multicollinearity problems. Unsupervised learning, especially the value learning method, refines label predictions. The proposed model is rigorously evaluated on ten diverse multi-label datasets and demonstrates its effectiveness. Support vector machine, simple Bayes polynomial, k nearest neighbor, decision trees, linear and discriminant analysis are five regularly used data set classification techniques whose outputs are compared. The simulation results showed that the application of the proposed solution is of higher quality compared to similar methods in terms of accuracy, precision, convergence, error measurement, stability and other tested parameters in different data sets. So that the evaluation and test results of the proposed method show a 92.21% improvement compared to other existing algorithms. © The Author(s), under exclusive licence to Springer Science+Business Media, LLC, part of Springer Nature 2024.</t>
  </si>
  <si>
    <t>Efficient processing of workflow applications (WAs) is crucial in edge computing environments to enhance efficiency, flexibility, collaboration, and cost savings. Workflow scheduling involves finding an optimal schedule for a group of sub-tasks while maintaining dependency constraints. It is also a non-deterministic polynomial (NP)-complete problem. One of the most challenging aspects of scheduling workflow applications is generating a valid sequence of execution while adhering to dependency constraints among all sub-tasks. In this paper, we propose a novel energy-effective workflow scheduling algorithm based on Quantum-Inspired Particle Swarm Optimization (QIPSO), termed QIPSO-WSA. This algorithm addresses the challenges of efficiently scheduling workflows while optimizing energy consumption. It leverages concepts from QIPSO to enhance the scheduling process and achieve energy efficiency in edge computing environments. QIPSO-WSA considers several critical factors, including makespan, energy consumption, and resource utilization. Quantum particles (QPs) are generated using quantum bits and are updated using a quantum angle. The QPs are decoded using novel hashing techniques, and the fitness function is designed by incorporating various objectives. Extensive simulations are performed and compared with evolutionary techniques. Statistical analyses, including analysis of variance and the Friedman test, are conducted, and the Taguchi parametric statistical technique is applied to assess performance. The simulation results demonstrate that QIPSO-WSA outperforms existing approaches, achieving improvements in makespan by 11.11%, resource utilization by 5.79%, and energy consumption by 9.52%. © The Author(s), under exclusive licence to Springer Science+Business Media, LLC, part of Springer Nature 2024.</t>
  </si>
  <si>
    <t>Cloud-native applications constitute a recent trend for designing large-scale software systems. However, even though several cloud-native tools and patterns have emerged to support scalability, there is no commonly accepted method to empirically benchmark their scalability. In this study, we present a benchmarking method, allowing researchers and practitioners to conduct empirical scalability evaluations of cloud-native applications, frameworks, and deployment options. Our benchmarking method consists of scalability metrics, measurement methods, and an architecture for a scalability benchmarking tool, particularly suited for cloud-native applications. Following fundamental scalability definitions and established benchmarking best practices, we propose to quantify scalability by performing isolated experiments for different load and resource combinations, which asses whether specified service level objectives (SLOs) are achieved. To balance usability and reproducibility, our benchmarking method provides configuration options, controlling the trade-off between overall execution time and statistical grounding. We perform an extensive experimental evaluation of our method’s configuration options for the special case of event-driven microservices. For this purpose, we use benchmark implementations of the two stream processing frameworks Kafka Streams and Flink and run our experiments in two public clouds and one private cloud. We find that, independent of the cloud platform, it only takes a few repetitions (≤ 5) and short execution times (≤ 5 minutes) to assess whether SLOs are achieved. Combined with our findings from evaluating different search strategies, we conclude that our method allows to benchmark scalability in reasonable time. © 2022, The Author(s).</t>
  </si>
  <si>
    <t>Henning, Sören (57202362026); Hasselbring, Wilhelm (26643500000)</t>
  </si>
  <si>
    <t>There is a growing awareness of the importance of human values in software systems. However, limited tools are available to support the integration of human values during software development. Most of these tools are focused on concepts related to specific, well-known human values (e.g., privacy, security) in software engineering. This paper aims to (partially) address this gap by developing a human values dashboard. We conducted a multi-stage study to design, implement and evaluate a human values dashboard. First, an exploratory study was conducted by interviewing 15 software practitioners to investigate the possibility of using a human values dashboard to help address human values in software development, its potential benefits, and required features. Second, we experimented with four Machine Learning approaches to detect the presence of human values in issue discussions. We used the best approach to develop a human values dashboard for software development. The dashboard displays whether any human values are present in each issue discussion. Finally, we interviewed ten different practitioners to investigate the usefulness of the dashboard in practice. This study found that the human values dashboard could help raise awareness, focus attention, and prioritise issues based on the presence of values. This study also identified two potential challenges to the adoption of the dashboard. First, the possible incorrect issues description that can mislead the automated values identification in the dashboard. Second, the lack of willingness of a company to adopt the dashboard. © 2023, The Author(s).</t>
  </si>
  <si>
    <t>Cloud computing enables the execution of various applications submitted by the users in the virtualized Cloud environment. However, the Cloud infrastructure consumes a significant amount of electrical energy to provide services to its users that have a detrimental effect on the environment. Many of these applications (tasks), like those belonging to the healthcare system, scientific research, the Internet of Things (IoT), and others, are deadline-sensitive. Hence efficient scheduling of tasks is essential to prevent deadline violation, decrease makespan, and at the same time reduce energy consumption. To address this issue, we have considered the bi-objective optimization problem of minimization of energy and makespan and have proposed two scheduling approaches for independent, deadline-sensitive tasks in a heterogeneous Cloud environment. Our first approach is a greedy heuristic based on the Linear Weighted Sum technique. The second one is based on Ant Colony Optimization and uses a combination of heuristic search and positive feedback of information to improve the solution. Both approaches use a three-tier model where tasks are scheduled by taking into account the properties of three entities- tasks, VMs, and hosts. Moreover, we have proposed a suitable strategy for scaling of Cloud resources to improve energy-efficiency and task schedulability. Extensive simulations using Google Cloud trace-logs and comparison with some state-of-art approaches validate the effectiveness of our proposed scheduling techniques in achieving a proper trade-off between the energy consumption of the virtualized Cloud infrastructure and the average makespan of the tasks. © 2021, The Author(s), under exclusive licence to Springer Nature B.V.</t>
  </si>
  <si>
    <t>LE-STREAM is a framework for IoT data stream processing. Data processing in IoT is challenging due to its dynamic and heterogeneous nature, and the massive amount of generated data. Sensor data suffers from uncertainty and inconsistency issues, that can affect its accuracy. Several IoT applications are time sensitive, requiring fast data processing. Finally, as IoT devices are often battery powered, processing tasks must be performed in an energy-efficient way. Therefore, challenges in IoT data stream processing span three dimensions: accuracy, latency and energy; and LE-STREAM jointly addresses them. It leverages edge computing to bring the data processing closer to the data sources, thus minimizing latency. Adaptive sampling combined with data prediction model reduce the energy consumption of devices without compromising data accuracy. An active node selection schema improves the workload distribution among devices, also tackling the energy dimension by promoting a graceful degradation of device resources. © 2022, The Author(s), under exclusive licence to Springer Nature B.V.</t>
  </si>
  <si>
    <t>Purpose: A wide variety of encryption-based, key-exchange-based, privacy-based, and confidentiality-based models are proposed by researchers, which assist in enhancing security performance under real-time attacks. But most of these models are either unsalable due to their QoS (Quality of Service) performance under large loads, or showcase lower attack detection efficiency for heterogeneous attacks. Methods: To overcome these issues, this text proposes the design of a novel iterative learning contextual-sidechaining model for improving the security of priority-aware cloud resources. The proposed model initially uses a single-chained blockchain, which is split into multiple sidechains via Grey Wolf Optimization (GWO). These sidechains are reconfigured via a Bacterial Foraging Optimizer (BFO), which assists in deciding encryption and hashing techniques for individual chains. The BFO Model uses a resource-level priority metric, which assists in deciding the level of security and QoS for individual sidechains. The model is further extended by a Particle Swarm Optimizer (PSO) which assists in iteratively optimizing the GWO &amp; BFO Models for QoS &amp; Security enhancements. Results: Due to these enhancements, the proposed model is able to improve multiple QoS metrics even under heterogeneous attacks. The proposed model was tested under Sybil, distributed denial of service, masquerading, and spoofing attacks with multiple communication configurations. Conclusion: It was observed that the model was able to reduce the delay needed for communication by 8.5 %, improve the energy efficiency by 3.9 %, and increase the throughput by 4.5 %, and improve the request processing performance by 2.5 % under large-scale requests. © 2023, The Author(s), under exclusive licence to Springer Nature B.V.</t>
  </si>
  <si>
    <t>Today, cloud computing has become an essential technology in modern times, offering a wide range of benefits to organizations of all sizes. It provides access to computing resources on-demand over the internet, reducing costs and enabling organizations to respond quickly to changing business needs. Dynamic scalability is a crucial feature of cloud computing, allowing the system to dynamically allocate resources based on user demand at runtime while providing high quality of service (QoS) and performance to clients with minimal resource usage. This paper proposes a stochastic model based on queueing theory to study and analyze the performance of cloud data centers (CDC) and meet service level agreements (SLA) established with clients. The model is used to examine various performance metrics, including the mean response time, the mean waiting time, the probability of rejection, and the utilization of the system, as the arrival rate and the service rate vary. Simulation results are provided using the CloudSim simulator. The results of the analysis and simulation show that our model accurately estimates the number of virtual machines (VMs) required to meet QoS objectives, making it a valuable tool for improving the performance and scalability of cloud data centers. The results obtained from our analytical model are validated by an experimental example conducted on the Amazon Web Services (AWS) cloud platform. © 2023, The Author(s), under exclusive licence to Springer Nature B.V.</t>
  </si>
  <si>
    <t>Virtualization and server consolidation are the technologies that govern today’s data centers, allowing both efficient management at the functionality level as well as at the energy and performance levels. There are two main ways to virtualize either using virtual machines or containers. Both have a series of characteristics and applications, sometimes being not compatible with each other. Not to lose the advantages of each of them, there is a trend to load data centers by nesting containers in virtual machines. Although there are good experiences at a functional level, the performance and energy consumption trade-off of these solutions is not completely clear. Therefore, it is necessary to study how this new trend affects both energy consumption and performance. In this work, we present an experimental study aimed to investigate the behavior of nesting containers in virtual machines while executing CPU-intensive workloads. Our objective is to understand what performance and energy nesting configurations are equivalent or not. In this way, administrators will be able to manage their data centers more efficiently. © The Author(s) 2024.</t>
  </si>
  <si>
    <t>A mobile ad hoc network (MANET) is a cluster of wireless mobile devices that can create a temporary network without seeking the support of any central management or infrastructure. Due to such issues, wireless communications require energy consumption, frequent data transmission, and nodes' mobility. Secondly, loss of data packets occurs because of various reasons such as traffic congestion, node mobility, or unexpected losses. An efficient vehicular ad hoc network (VANET) routing protocol is proposed in this study using a genetic algorithm (GA) and evolution-based techniques while considering all the parameters. A new fitness function (F.F) to obtain the optimum route is proposed in this study by using the routes provided by the Ad hoc on-demand multipath distance vector AOMDV routing protocol. This study uses a new type of routing mechanism based on cryptography to demonstrate how to secure V2V and V2I communications from various network threats in a VANET environment. For VANET communications, the transmission message must meet the requirements for integrity, confidentiality, and non-repudiation to ensure that a trustworthy third party can identify users with a pattern of misbehavior. While ensuring optimized route selection and secured communications, a hybrid approach AOMDV-RGA and ABC is proposed. AOMDV-RGA (AOMDV Routing using Genetic Algorithm) is used for selecting optimal routes among the routes, and ABSC (Authentication Based Secured Communication) is proposed for performing secured communication between V2V and V2I. The experimental results demonstrate the proposed technique's effectiveness compared with other previously developed techniques to address the routing and security problems of VANETs. © The Author(s), under exclusive licence to Springer Science+Business Media, LLC, part of Springer Nature 2024.</t>
  </si>
  <si>
    <t>Digital transformation is driving the current technological trends in manufacturing. An integral constituent is a communication between machines, between machines and humans, or between machines and products. This extensive communication involves large volumes of data. Many manufacturers apply data analytics (e.g., for quality management or improvement purposes) to translate the data into a business value. However, isolated, rigid, and area-specific IT solutions often carry this out. Today’s complex manufacturing requires quality management approaches that constitute a holistic view of and understanding of process–product interactions along the process chain instead of focusing solely on single processes. A novel platform approach to support quality management in manufacturing systems is proposed in this paper to overcome this deficit. It integrates state-of-the-art concepts of IT with modeling approaches for planning and operation of quality management. A conceptual framework and the technical architecture for implementing a digitalization platform are presented in this regard. Moreover, the approach is validated and implemented within a web application based on a use case of data-driven quality management in electronics production. © The Author(s) 2023.</t>
  </si>
  <si>
    <t>Filz, Marc-André (57202846964); Bosse, Jan Philipp (57383766400); Herrmann, Christoph (35764295500)</t>
  </si>
  <si>
    <t>This paper presents the development of an optimized planning and control method for flexible manufacturing and assembly systems. While the significant potential of flexible manufacturing concepts to help producers adapt to market developments is recognized, the complexity of the flexible systems and the need to optimally plan and control them is a major obstacle in their practical implementation. Thus, this paper aims to develop a comprehensive digital planning method, based on a digital twin and to demonstrate the feasibility of the approach for practical application scenarios. The approach consists of four modules: (1) a simulation-based optimization module that applies reinforcement learning and genetic algorithms to optimize the module configuration and job routing in cellular reconfigurable manufacturing systems; (2) a synchronization module that links the physical and virtual systems via sensors and event handling; (3) a sensor module that enables a continuous status update for the digital twin; and (4) a visualization module that communicates the optimized plans and control measures to the shop floor staff. The demonstrator implementation and evaluation are implemented in a learning factory. The results include solutions for the method components and demonstrate their successful interaction in a digital twin, while also pointing towards the current technology readiness and future work required to transfer this demonstrator implementation to a full-scale industrial implementation. © The Author(s) 2024.</t>
  </si>
  <si>
    <t>Cloud computing has drastically transformed the means of computing in past few years. Apart from numerous advantages, it suffers with a number of issues including resource under-utilization, load balancing and power consumption. The workload prediction is being widely explored to solve these issues using time series analysis regression and neural networks based models. The time series analysis based models are unable to capture the dynamics in the workload behavior whereas neural network based models offer better accuracy on the cost of high training time. This paper presents a workload prediction model based on extreme learning machines (ELM) whose learning time is very low and forecasts the workload more accurately. The performance of the model is evaluated over two real world cloud server workloads i.e. CPU and Memory demand traces of Google cluster and compared with predictive models based on state-of-art techniques including Auto Regressive Integrated Moving Average (ARIMA), Support Vector Regression (SVR), Linear Regression (LR), Differential Evolution (DE), Blackhole Algorithm (BhA), and Propagation (BP). It is observed that the proposed model outperforms the state-of-art techniques by reducing the mean prediction error up to 100% and 99% on CPU and memory request traces respectively. © 2020, Springer Science+Business Media, LLC, part of Springer Nature.</t>
  </si>
  <si>
    <t>The smart manufacturing industry (Industry 4.0) uses the Internet of Things (IoT) devices referred to as Industrial IoT (IIoT) to automate the industrial environment. These IIoT devices generate a massive amount of data called big data. Using fog computing architecture for processing this extensive data will reduce the service time and the service cost for the IIoT applications. The primary challenge is to design better service placement strategies to deploy the IIoT service requests on the fog nodes to minimize service costs and ensure the Quality of Service (QoS) of IIoT applications. Hence, the placement of IIoT services on the fog nodes can be considered as NP-hard problem. In this work, the meta-heuristic-based hybrid algorithms, namely: MGAPSO and EGAPSO, are developed by combining the GA &amp; PSO and Elitism-based GA (EGA) &amp; PSO, respectively. Further, carried out experiments on the two-level fog computing framework developed using docker and containers on 1.4 GHz, 64-bit quad-core processor devices. Experimental results demonstrate that the proposed hybrid EGAPSO algorithm minimizes service time, service cost, and energy consumption and ensures the IIoT applications’ QoS compared to other proposed and state-of-the-art service placement strategies considered for the performance evaluation. © 2022, The Author(s), under exclusive licence to Springer Science+Business Media, LLC, part of Springer Nature.</t>
  </si>
  <si>
    <t>The combination of edge and cloud computing is going to make the Internet of Things (IoT) rapid, light, and more reliable. IoT and cloud-edge computing are distinct disciples that have evolved separately over time. However, they are increasingly becoming interdependent, and are what the future holds. A crucial aspect is how to design a compound of cloud and edge computing architectures, and implement IoT effectively. In this paper, we proposed a combination of Cloud and Edge Computing architecture and built a set of an intelligent air-quality monitoring system in Tunghai University as a case study. In this case, we implemented container-based virtualization which constructs Kubernetes Minion (Nodes) in the Docker container service independently for each service on the Edge side. Finally, to monitor the high-performance computing systems, clusters, and networks, we used Ganglia Monitoring System. Ganglia collects relevant information such as Central Processing Unit (CPU), memory, network and usage of Protocol Data Unit (PDU) to monitor the power consumption and makes a measurement and evaluation for Kubernetes Pods. © 2020, Springer Science+Business Media, LLC, part of Springer Nature.</t>
  </si>
  <si>
    <t>The world of digitization is growing exponentially; data optimization, security of a network, and energy efficiency are becoming more prominent. The Internet of Things (IoT) is the core technology of modern society. This paper is based on a survey of recent and past technologies used for IoT optimization models, such as IoT with Blockchain, IoT with WSN, IoT with ML, and IoT with big data analysis. Suppose anyone wants to start core research on IoT technologies, research opportunities, challenges, and solutions. In that case, this paper will help me understand all the basics, such as security, interoperability, standards, scalability, complexity, data management, and quality of service (QoS). This paper also discusses some recent technologies and the challenges in implementation. Finally, this paper discusses research possibilities in basic and applied IoT Domains. © The Author(s), under exclusive licence to Springer Science+Business Media, LLC, part of Springer Nature 2024.</t>
  </si>
  <si>
    <t>Despite the acknowledged importance of quantitative security assessment in secure software development, current literature still lacks an efficient model for measuring internal software security risk. To this end, in this paper, we introduce a hierarchical security assessment model (SAM), able to assess the internal security level of software products based on low-level indicators, i.e., security-relevant static analysis alerts and software metrics. The model, following the guidelines of ISO/IEC 25010, and based on a set of thresholds and weights, systematically aggregates these low-level indicators in order to produce a high-level security score that reflects the internal security level of the analyzed software. The proposed model is practical, since it is fully automated and operationalized in the form of a standalone tool and as part of a broader Computer-Aided Software Engineering (CASE) platform. In order to enhance its reliability, the thresholds of the model were calibrated based on a repository of 100 popular software applications retrieved from Maven Repository. Furthermore, its weights were elicited in a way to chiefly reflect the knowledge expressed by the Common Weakness Enumeration (CWE), through a novel weights elicitation approach grounded on popular decision-making techniques. The proposed model was evaluated on a large repository of 150 open-source software applications retrieved from GitHub and 1200 classes retrieved from the OWASP Benchmark. The results of the experiments revealed the capacity of the proposed model to reliably assess internal security at both product level and class level of granularity, with sufficient discretion power. They also provide preliminary evidence for the ability of the model to be used as the basis for vulnerability prediction. To the best of our knowledge, this is the first fully automated, operationalized and sufficiently evaluated security assessment model in the modern literature. © 2021, The Author(s), under exclusive licence to Springer Science+Business Media, LLC, part of Springer Nature.</t>
  </si>
  <si>
    <t>Collecting and analyzing data about developers working on their development tasks can help improve development practices, finally increasing the productivity of teams. Indeed, monitoring and analysis tools have already been used to collect data from productivity tools. Monitoring inevitably consumes resources and, depending on their extensiveness, may significantly slow down software systems, interfering with developers’ activity. There is thus a challenging trade-off between monitoring and validating applications in their operational environment and preventing the degradation of the user experience. The lack of studies about when developers perceive an overhead introduced in an application makes it extremely difficult to fine-tune techniques working in the field. In this paper, we address this challenge by presenting an empirical study that quantifies how developers perceive overhead. The study consists of three replications of an experiment that involved 99 computer science students in total, followed by a small-scale experimental assessment of the key findings with 12 professional developers. Results show that non-negligible overhead can be introduced for a short period into applications without developers perceiving it and that the sequence in which complex operations are executed influences the perception of the system response time. This information can be exploited to design better monitoring techniques. © The Author(s) 2024.</t>
  </si>
  <si>
    <t>Cornejo, Oscar (56454317100); Briola, Daniela (25930792600); Micucci, Daniela (55913239600); Ginelli, Davide (57203263709); Mariani, Leonardo (8965048200); Santos Parrilla, Adrián (58914742500); Juristo, Natalia (6701344777)</t>
  </si>
  <si>
    <t>Virtualization technology is important for servers that compose cloud data centers. The current trend is to consolidate servers to manage them easily and reduce hardware and power consumption in data centers. However, performance degradation is inherent to virtualization technology and is caused by the hypervisor and overhead due to the consolidation of several virtual servers inside a physical server. Several ways exist to virtualize a server; these methods are based mainly on virtual machines and containers. In this paper, we propose a general method to estimate the value of the consolidation overhead classes, regardless of the virtualization platform, server characteristics and workload type. We conducted several experiments in different scenarios to illustrate the usefulness of the proposed method. The results show the applicability of the proposed method and indicate that these inherent overheads are not negligible in many cases depending on, first, the type of hypervisor and, second, the hardware resources features of the physical server. © 2020, Springer Science+Business Media, LLC, part of Springer Nature.</t>
  </si>
  <si>
    <t>Khriji S.; Benbelgacem Y.; Chéour R.; Houssaini D.E.; Kanoun O.</t>
  </si>
  <si>
    <t>The growth of the Internet of Things (IoTs) and the number of connected devices is driven by emerging applications and business models. One common aim is to provide systems able to synchronize these devices, handle the big amount of daily generated data and meet business demands. This paper proposes a cost-effective cloud-based architecture using an event-driven backbone to process many applications’ data in real-time, called REDA. It supports the Amazon Web Service (AWS) IoT core, and it opens the door as a free software-based implementation. Measured data from several wireless sensor nodes are transmitted to the cloud running application through the lightweight publisher/subscriber messaging transport protocol, MQTT. The real-time stream processing platform, Apache Kafka, is used as a message broker to receive data from the producer and forward it to the correspondent consumer. Micro-services design patterns, as an event consumer, are implemented with Java spring and managed with Apache Maven to avoid the monolithic applications’ problem. The Apache Kafka cluster co-located with Zookeeper is deployed over three availability zones and optimized for high throughput and low latency. To guarantee no message loss and to simulate the system performances, different load tests are carried out. The proposed architecture is reliable in stress cases and can handle records goes to 8000 messages in a second with low latency in a cheap hosted and configured architecture. © 2021, The Author(s).</t>
  </si>
  <si>
    <t>Khriji, Sabrine (56024360400); Benbelgacem, Yahia (57226369364); Chéour, Rym (46460978000); Houssaini, Dhouha El (57219804426); Kanoun, Olfa (6602580029)</t>
  </si>
  <si>
    <t>The fog paradigm extends the cloud capabilities at the edge of the network. Fog computing-based real-time applications (Online gaming, 5G, Healthcare 4.0, Industrial IoT, autonomous vehicles, virtual reality, augmented reality, and many more) are growing at a very fast pace. There are limited resources at the fog layer compared to the cloud, which leads to resource constraint problems. Edge resources need to be utilized efficiently to fulfill the growing demand for a large number of IoT devices. Lots of work has been done for the efficient utilization of edge resources. This paper provided a systematic review of fog resource management literature from the year 2016–2021. In this review paper, the fog resource management approaches are divided into 9 categories which include resource scheduling, application placement, load balancing, resource allocation, resource estimation, task offloading, resource provisioning, resource discovery, and resource orchestration. These resource management approaches are further subclassified based on the technology used, QoS factors, and data-driven strategies. Comparative analysis of existing articles is provided based on technology, tools, application area, and QoS factors. Further, future research prospects are discussed in the context of QoS factors, technique/algorithm, tools, applications, mobility support, heterogeneity, AI-based, distributed network, hierarchical network, and security. A systematic literature review of existing survey papers is also included. At the end of this work, key findings are highlighted in the conclusion section. © 2022, The Author(s), under exclusive licence to Springer Science+Business Media, LLC, part of Springer Nature.</t>
  </si>
  <si>
    <t>The purpose is to mitigate network congestion (NC) and high energy consumption (EC) in the traditional Internet of Things (IoT)-supported crop monitoring system (CMS). Firstly, the current work summarizes the status quo of IoT and edge computing (EC) technologies. Secondly, it constructs an intelligent multi-sensor-based real-time CMS. Consequently, an EC-based agricultural IoT (AIoT) architecture is proposed. Finally, the current work optimizes the task scheduling at the IoT edges using deep reinforcement learning (DRL) and proposes the DRL-optimized EC-AIoT-based CMS. Furthermore, the performance of the proposed DRL-optimized EC-AIoT-based CMS is verified through experiments. The results show that: (1) There is little difference between the data collected by the proposed CMS and the manual measurement, so the proposed CMS has a high data accuracy. (2) The performance of the DRL-optimized real-time scheduling model is better than the traditional methods in both scheduling time and data integrity. (3) Under the proposed EC-AIoT-based CMS, the server occupancy and queueing time are significantly lower than other algorithms. The purpose is to provide important technical support (TS) for improving the efficiency and quality of crop monitoring and agricultural green productivity (GP). © 2022, The Author(s), under exclusive licence to Springer Science+Business Media, LLC, part of Springer Nature.</t>
  </si>
  <si>
    <t>With increasing growth in IoT, the number of devices connected to the Internet is constantly growing. Moreover, the increase in the volume of data and their transmission through the Internet of Things, as well as the existence of inadequate bandwidth, limits cloud-based storage and data processing. Both fog and cloud computing provide the storage space, application, and data for users; however, fog is more proximate to the end user with wider geographical distribution. When bringing the computing resources closer to the required location in the fog environment, the efficiency of the system increases, and the distance at which data must be transmitted decreases. On the other hand, implementing IoT applications and satisfying the requests of end users in fog computing will create new challenges in resource allocation and dynamic resource provisioning. The flexible and usually automatic mechanisms require the determination of required virtual resources to minimize the resource consumption and service level agreement (SLA). In this paper, we introduce a framework for increasing resource management efficiency in the IoT ecosystem based on deep reinforcement learning (DRL). The proposed deep neural network (DNN) method for estimating value functions improves adaptability to different oscillating conditions, learns past sensible strategies, and as a self-learning adaptive system by replicating interactions with the fog environment. The DRL algorithm finds the best destination for implementing IoT services to compromise between minimizing average power consumption, minimizing average service latency, reducing costs, and balancing resource allocation. Finally, through simulations, we show that under different loading rates, the policy used compared to other comparable solutions is to increase utilization and reduce the rate of delay, while ensuring an acceptable level of service quality. © 2022, The Author(s), under exclusive licence to Springer Science+Business Media, LLC, part of Springer Nature.</t>
  </si>
  <si>
    <t>Pons L.; Petit S.; Pons J.; Gómez M.E.; Sahuquillo J.</t>
  </si>
  <si>
    <t>Research on resource management focuses on optimizing system performance and energy efficiency by distributing shared resources like processor cores, caches, and main memory among competing applications. This research spans a wide range of applications, including those from high-performance computing, machine learning, and mobile computing. Existing research frameworks often simplify research by concentrating on specific characteristics, such as the architecture of the computing nodes, resource monitoring, and representative workloads. For instance, this is typically the case with cloud systems, which introduce additional complexity regarding hardware and software requirements. To avoid this complexity during research, experimental frameworks are being developed. Nevertheless, proposed frameworks often fail regarding the types of nodes included, virtualization support, and management of critical shared resources. This paper presents Stratus, an experimental framework that overcomes these limitations. Stratus includes different types of nodes, a comprehensive virtualization stack, and the ability to partition the major shared resources of the system. Even though Stratus was originally conceived to perform cloud research, its modular design allows Stratus to be extended, broadening its research use on different computing domains and platforms, matching the complexity of modern cloud environments, as shown in the case studies presented in this paper. © The Author(s), under exclusive licence to Springer Science+Business Media, LLC, part of Springer Nature 2023.</t>
  </si>
  <si>
    <t>Pons, Lucia (57203783290); Petit, Salvador (8634755300); Pons, Julio (56937864300); Gómez, María E. (13806251100); Sahuquillo, Julio (7007162116)</t>
  </si>
  <si>
    <t>Cloud computing has several benefits over traditional systems, such as scalability and high availability. However, these benefits, to be eventuated, require efforts in the area of resource provisioning and scaling, to match resources to current and future demand, and this is not always trivial to achieve. Since workload may fluctuate substantially in cloud environments, over-provisioning is a common practice to avoid abrupt quality of service (QoS) drops that may result in service level agreement (SLA) violations, but at the price of increased provisioning costs and energy consumption. Workload prediction is one of the strategies by which efficiency and operational cost of a clouds can be improved. Therefore, in this paper, we show the potential benefits of a proactive resource provisioning scheme augmented by three of the most promising machine learning prediction techniques in this context, namely ARIMA, MLP, and GRU, that are known to be able to cope with the dynamic behavior of our target applications. We analyze the trade-off between resource consumption and quality of service using SLA violations in web workloads, considering real case provisioning requirements and constraints, extensively simulating and analyzing the impact of prediction and scaling intervals, and publishing all used tools and datasets to allow reproducibility. Simulation experiments with a proactive approach are executed using real traces from NASA and Wikipedia workloads and achieved a reduction of 40% in SLA violations on average when compared to a reactive approach, while reducing the provisioned resources by almost 3%. © The Author(s), under exclusive licence to Springer Science+Business Media, LLC, part of Springer Nature 2024.</t>
  </si>
  <si>
    <t>Kirchoff, Dionatrã F. (57205188934); Meyer, Vinícius (57209336662); Calheiros, Rodrigo N. (15769041200); De Rose, Cesar A. F. (14021022000)</t>
  </si>
  <si>
    <t>Edge computing has emerged as a transformative data processing method by decentralizing computations and bringing them toward the data source, significantly reducing latency and enhancing response times. However, this shift introduces unique security challenges, especially within the detection and prevention of cyberattacks. This paper gives a comprehensive evaluation of the edge security landscape in peripheral computing, with specialized expertise in identifying and mitigating various types of attacks. We explore the challenges associated with detecting and preventing attacks in edge computing environments, acknowledging the limitations of existing approaches. One of the very interesting novelties that we include in this survey article is, that we designed a Web application that runs on an edge network and simulates SQL injection attacks-a common threat in edge computing. Through this simulation, we examined every one of the cleanup strategies used to discover and prevent such attacks using input sanitization techniques, ensuring that the malicious SQL code turned neutralized. Our studies contribute to deeper know-how of the security landscape in edge computing by providing meaningful insights into the effectiveness of multiple prevention strategies. © The Author(s), under exclusive licence to Springer Science+Business Media, LLC, part of Springer Nature 2024.</t>
  </si>
  <si>
    <t>Wireless technology has been significantly expanding to perform automotive services related to enhancing road networks and increasing traffic safety. Internet of Vehicles (IoV), as a part of wireless sensor technology, has succeeded in making considerable progress in promoting and protecting human lives from the damage caused by traffic accidents. The road statistical reports demonstrated that utilizing data dissemination techniques in IoV to share timely information about the vehicle’s position with drivers plays a key in avoiding accidents occurrence. This type of technique enables data propagation in a collaboratively and efficient manner to boost real-time performance. However, several limitations have arisen in network bandwidth usage and power consumption, as well as communication reliability with increasing packet loss probability. The main objective of this study is to present a new vehicular architecture that supports the integration of Software-Defined networks and fog computing for enhancing VANET performance. An energy-efficient and QoS-aware routing technique allowing for control of excessive dissemination of data traffic across the networks is also proposed. The simulation results show that the proposed routing protocol introduced an accurately controlling methodology in the transmission rate of data packets and communication reliability of VANET. There is a 50–60% enhancement of the whole power consumption and network throughput, depending on the implementation of the proposed geographical routing methodology. © 2023, This is a U.S. Government work and not under copyright protection in the US; foreign copyright protection may apply.</t>
  </si>
  <si>
    <t>While high accuracy is of paramount importance for deep learning (DL) inference, serving inference requests on time is equally critical but has not been carefully studied especially when the request has to be served over a dynamic wireless network at the edge. In this paper, we propose Jellyfish—a novel edge DL inference serving system that achieves soft guarantees for end-to-end inference latency service-level objectives (SLO). Jellyfish handles the network variability by utilizing both data and deep neural network (DNN) adaptation to conduct tradeoffs between accuracy and latency. Jellyfish features a new design that enables collective adaptation policies where the decisions for data and DNN adaptations are aligned and coordinated among multiple users with varying network conditions. We propose efficient algorithms to continuously map users and adapt DNNs at runtime, so that we fulfill latency SLOs while maximizing the overall inference accuracy. We further investigate dynamic DNNs, i.e., DNNs that encompass multiple architecture variants, and demonstrate their potential benefit through preliminary experiments. Our experiments based on a prototype implementation and real-world WiFi and LTE network traces show that Jellyfish can meet latency SLOs at around the 99th percentile while maintaining high accuracy. © The Author(s) 2024.</t>
  </si>
  <si>
    <t>Resource management (RM) is a challenging task in a cloud computing environment where a large number of virtualized, heterogeneous, and distributed resources are hosted in the datacentres. The uncertainty, heterogeneity, and the dynamic nature of such resources affect the efficiency of provisioning, allocation, scheduling, and monitoring tasks of RM. The most existing RM techniques and strategies have insufficiency in handling such cloud resources dynamic behaviour. To resolve these limitations, there is a need for the design and development of intelligent and efficient autonomic RM techniques to ensure the Quality-of-Service (QoS) of cloud-based applications, satisfy the cloud user requirements, and avoid a Service-Level Agreement (SLA) violations. This paper presents a comprehensive review along with a taxonomy of the most recent existing autonomic and elastic RM techniques in a cloud environment. The taxonomy classifies the existing autonomic and elastic RM techniques into different categories based on their design, objective, function, and applications. Moreover, a comparison and qualitative analysis is provided to illustrate their strengths and weaknesses. Finally, the open issues and challenges are highlighted to help researchers in finding significant future research options. © 2021, The Author(s), under exclusive licence to Springer Science+Business Media, LLC, part of Springer Nature.</t>
  </si>
  <si>
    <t>Mobile devices (MDs), represented by smartphones, have been widely used in various industries. However, MDs are constrained by their limited resources and cannot execute computation-intensive applications. Mobile cloud computing (MCC), which provides MDs with a rich pool of resources that can be accessed through wireless networks, is proposed to extend MDs’ capacity by computation offloading. MCC helps MDs breakthrough their resource constraints, frees them from heavy local workloads, and allows them to take more responsibility for connecting mobile users (MUs) and the information domain. MCC computation offloading has attracted wide attention because of its tremendous potential, and a lot of related research has been done. In this paper, we provide a survey of the research on computation offloading in MCC so that readers can spend less time to have a comprehensive understanding of this field, and know its key technologies and future directions. We first summarize the MCC architecture and offloading granularity, which are the most fundamental concepts of MCC. The computation offloading system is decomposed into three basic components: MUs, application service operators, and cloud operators. We then conducted a comprehensive literature review on offloading decision, admission control, resource management, and edge equipment deployment, which are four key technologies for these components. Wireless network connection and heterogeneity are the basic features of MCC, which increase the possibility of failure and privacy leakage during the computation offloading process. We also review the auxiliary technologies for computation offloading in terms of fault tolerance and privacy protection. Finally, we present the research outlook of the systematic prototype and other technologies from the perspective of “device-pipe-cloud”. © 2022, The Author(s), under exclusive licence to Springer Science+Business Media, LLC, part of Springer Nature.</t>
  </si>
  <si>
    <t>The Industrial Internet of Things (IIoT) envisions enhanced surveillance and control for industrial applications through diverse IoT devices. However, the increasing heterogeneity of deployed end devices poses challenges to current practices, hampering overall performance as device numbers escalate. To tackle this issue, we introduce an innovative distributed power control algorithm leveraging the wireless channel's nature to approximate the centralized maximum-weight scheduling algorithm. Employing ubiquitous multi-protocol mobile devices as intermediaries, we propose a concurrent dual-hop/multi-hop backhauling strategy, improving interoperability and facilitating data relay, translation, and forwarding from end IoT devices. Our focus is directed towards addressing large-scale network stability and queue management challenges. We formulate a long-term time-averaged optimization problem, incorporating considerations of end-to-end rate control, routing, link scheduling, and resource allocation to guarantee essential network-wide throughput. Furthermore, we present a real-time decomposition-based approximation algorithm that ensures adaptive resource allocation, queue stability, and meeting Quality of Service (QoS) constraints with the highest energy efficiency. Comprehensive numerical results verify significant energy efficiency improvements across diverse traffic models, maintaining throughput requirements for both uniform and hotspot User Equipment (UE) distribution patterns. This work offers a comprehensive solution to enhance IIoT performance and address evolving challenges in industrial applications. © The Author(s), under exclusive licence to Springer Science+Business Media, LLC, part of Springer Nature 2024.</t>
  </si>
  <si>
    <t>The ability to access data from remote locations is meant possible with the help of computer networks. These networks may be wired or wireless. Modern improvements in wireless infrastructure brought wireless sensor networks (WSN) into existence. WSN is utilized to monitor, report, and supervise tasks or events occurring in the environment. The relaying of data in such systems takes place by utilizing different routing schemes. These routing schemes were proposed to augment the throughput of communication networks. In addition, perception regarding the Internet of Things (IoT) gained momentum via making it feasible for things to interact and act smartly. In this paper, a meticulous survey of solutions proposed in both the domains i.e. WSN and IoT is conferred. Later, comprehensive scrutiny of various solutions proposed in the WSN and IoT domain is deliberated regarding their features, pros, and cons. Moreover, this work compares various proposed solutions based on performance measures like heterogeneity, interoperability, mobility, reusability, flexibility, energy efficiency, scalability, delay, security as well as big data. This knowledge enables the network architect to pick the apt solution in support of a specific application. As the integration of WSN and IoT raised numerous open issues, this work deliberated the afore-mentioned performance measures as the key open issues of interest. Furthermore, novel exploration guidelines in the said domain have been elaborated. These guidelines are expected to act as a key component in the upcoming enhancements of communication networks. © 2022, The Author(s), under exclusive licence to Springer Science+Business Media, LLC, part of Springer Nature.</t>
  </si>
  <si>
    <t>Mobile edge computing (MEC) is a transformative paradigm that enhances mobile services performance and operational efficiency. Given the frequent mobility of users, it is essential to migrate services to continuously align with user movements. However, making service migration decisions requires careful consideration of factors like latency, resource availability, and user demand to ensure optimal performance and user satisfaction. Therefore, in this paper, we first formulate the service migration in MEC systems as an optimization problem, with the objective of minimizing the system’s energy consumption and migration cost while considering delay as the model's constraint. Next, we propose an energy-efficient, cost-effective and QoS-aware heuristic-based method, called ECQ, to effectively solve the model. To reflect a comprehensive understanding of real-world MEC environments, we also consider the incorporation of heterogeneous server configurations and the non-universal presence of servers across all base stations. By accommodating these aspects, ECQ emerges as a promising solution for the dynamic service migration optimization challenges in time-sensitive and realistic MEC contexts. Finally, through various simulation scenarios, the performance of the proposed ECQ is evaluated in terms of response time, migration costs, energy consumption, and the number of migrations. The results demonstrate that the proposed algorithm outperforms other methods in terms of overall performance; specifically, it ensures high QoS for users while sustainably managing the system's energy consumption and keeping migration costs within acceptable levels. In particular, when compared to the FullMig strategy, the proposed method achieves a noteworthy reduction in migration costs and energy consumption by approximately 25% and 50%, respectively. Meanwhile, the average response time in FullMig is only about 12% less than that of our method. Additionally, in comparison to the E-ware method, our ECQ exhibits an impressive response time reduction of approximately 42%, all while maintaining migration costs and energy consumption at levels comparable to the E-ware approach. © The Author(s), under exclusive licence to Springer Science+Business Media, LLC, part of Springer Nature 2024.</t>
  </si>
  <si>
    <t>Carbon neutrality has become an important design objective worldwide. However, the on-going shift to cloud-naive era does not necessarily mean energy efficiency. From the perspective of power management, co-hosted serverless functions are difficult to tame. They are lightweight, short-lived applications sensitive to power capping activities. In addition, they exhibit great individual and temporal variability, presenting idiosyncratic performance/power scaling goals that are often at odds with one another. To date, very few proposals exist in terms of tailored power management for serverless platforms. In this work, we introduce power synchronization, a novel yet generic mechanism for managing serverless functions in a power-efficient way. Our insight with power synchronization is that uniform application power behavior enables consistent and uncompromised function operation on shared host machines. We also propose PowerSync, a synchronization-based power management framework that ensures optimal efficiency based on a clear understanding of functions. Our evaluation shows that PowerSync can improve the energy efficiency of functions by up to 16% without performance loss compared to conventional power management strategies. © Science China Press 2024.</t>
  </si>
  <si>
    <t>As the application of Industrial Robots (IRs) scales and related participants increase, the demands for intelligent Operation and Maintenance (O&amp;M) and multi-tenant collaboration rise. Traditional methods could no longer cover the requirements, while the Industrial Internet of Things (IIoT) has been considered a promising solution. However, there’s a lack of IIoT platforms dedicated to IR O&amp;M, including IR maintenance, process optimization, and knowledge sharing. In this context, this paper puts forward the multi-tenant-oriented ACbot platform, which attempts to provide the first holistic IIoT-based solution for O&amp;M of IRs. Based on an information model designed for the IR field, ACbot has implemented an application architecture with resource and microservice management across the cloud and multiple edges. On this basis, we develop four vital applications including real-time monitoring, health management, process optimization, and knowledge graph. We have deployed the ACbot platform in real-world scenarios that contain various participants, types of IRs, and processes. To date, ACbot has been accessed by 10 organizations and managed 60 industrial robots, demonstrating that the platform fulfills our expectations. Furthermore, the application results also showcase its robustness, versatility, and adaptability for developing and hosting intelligent robot applications. © Higher Education Press 2025.</t>
  </si>
  <si>
    <t>Product Service Systems (PSSs) introduce new business models for enterprises to promote tangible products along with intangible functions or services, thereby incentivising product sustainability with profitability, economic stability and customer satisfaction. However, the unique characteristics of a PSS challenge obsolete product development processes and demand a dynamic change in the complex building blocks of the underlying design and in the development infrastructure to attain high quality services. This implies a need for radical change in the team structure and the team collaboration model, in the organizational structure, technical infrastructure and in the complex process models by taking the complete product life cycle into consideration. This paper, firstly, identifies PSS unique features that challenge the capabilities of existing frameworks to design a standard PSS. In response, new business models are proposed to address the challenges relating to actors’ involvement, technology provision, organizational needs and process workflow modelling. Secondly, these proposed business models are combined into one comprehensive collaborative PSS design and development methodology by modifying existing modelling techniques. An assessment framework based on Goal-Question-Metrics approach and McCall Quality Model is successfully used to evaluate the PSS development methodology and subsequently, the developed framework through a use-case study analysis. © The Author(s) 2024.</t>
  </si>
  <si>
    <t>Hein A.; Schreieck M.; Wiesche M.; Böhm M.; Krcmar H.</t>
  </si>
  <si>
    <t>Multi-sided platforms (MSPs) are one of the dominant designs of the digital age. However, prior research focuses mainly on established MSPs, leaving little insight into their emergence. We use the literature on technological trajectories and technology diffusion to derive four propositions that increase our understanding on the emergence of MSPs. The propositions include the emergence of native MSPs based on the assimilation of technologies in technological trajectories; how uncertainty influences incumbents to not follow those trajectories; how native MSPs create new demand; and how this demand eventually triggers the transformation process of incumbents to transform toward an MSP provider. We conduct a multiple-case study in the context of mobility services with three native MSP companies along with an incumbent that is transforming toward an MSP provider. The resulting process model shows that MSPs follow a process of sense-making and bricolage to assemble a service-oriented architecture, contrary to the incumbent who adopts technologies according to its institutional logic to improve existing products and processes. © 2019, The Author(s).</t>
  </si>
  <si>
    <t>Hein, Andreas (57189636786); Schreieck, Maximilian (57189630979); Wiesche, Manuel (42962873700); Böhm, Markus (7202480967); Krcmar, Helmut (6603243872)</t>
  </si>
  <si>
    <t>The dramatic growth of smart devices and the Internet of things (IoT) has increased the volume of exchanges and data on the web. The centralized and traditional architecture of cloud computing does not meet the demands of users and proper implementation of latency-sensitive applications due to latency and mass demands of IoT applications that have different needs compared to existing applications. As a result, edge computing has been presented for collecting and processing of data generated by these objects, which facilitates data processing with low latency and close to users at the edge of the network. Its main purpose is to bring computational resources and storage close to the end-user on the network. As far as the storage capacity of fog nodes is limited, the proper use of fog node resources significantly influences their performance. In this paper, a framework based on control MAPE-K loop has been used to obtain the optimal state in workload balance. The users’ workload forecasting model is a combination of linear regression and support vector regression methods and offers better performance compared to the conventional reactive self-assessment methods. In the planning phase, a fuzzy self-learning algorithm is used to determine the automated scale of resource provisioning policy. By comparing three criteria of load delay, cost, and amount of consumed energy in the proposed method and recent works, the proposed method has been able to balance all three criteria optimally. © 2023, The Author(s), under exclusive licence to Springer-Verlag GmbH Germany, part of Springer Nature.</t>
  </si>
  <si>
    <t>A multi-objective priority aware task scheduling in fog–cloud environment using improved meta-heuristic algorithm</t>
  </si>
  <si>
    <t>Internet of Things (IoT) tasks have a variety of quality of service (QoS) needs, wherein the fog-cloud computing has emerged as a promising platform for handling the tasks. As a result of its proximity to IoT devices, the fog environment offers minimal latency, but it also faces resource limitations, which is not present in cloud environment. So a basic problem of the fog-cloud environment is the execute tasks that are offloaded from IoT devices by effectively using the fog-cloud resources. Hence, this research introduces a novel task scheduling approach based on the improved meta-heuristic algorithm. An improved zebra algorithm (ImZP) is proposed for performing the priority aware task scheduling. The zebra algorithm is hybridized with the mutation operation of the differential evolution algorithm (DE) for enhancing the exploration criteria to accomplish the global best solution. Besides, the acquisition of non-dominant solutions while considering the multi-objective fitness function, pareto optimal front is considered. Here, the multi-objective function based on priority, cost and execution time are considered in scheduling the task optimally. The analysis of ImZP show superior performance over the existing algorithims in terms of the metrics like priority, availability, makespan, energy consumption, cost and success rate. The values obtained are respectively 0.9702%, 0.7436%, 0.00567 ms, 0.03066 J, 0.04171G$ and 0.7438. © The Author(s) under exclusive licence to The Society for Reliability Engineering, Quality and Operations Management (SREQOM), India and The Division of Operation and Maintenance, Lulea University of Technology, Sweden 2024.</t>
  </si>
  <si>
    <t>Cloud computing has become an important research area in large-scale computing systems and is being employed by many organizations in government, businesses, and industry. Schemes and appropriate models for dynamic resources provisioning in the cloud environment have been extensively studied. To date, the research literature is lacking schemes and models that offer dynamic scalability in which Quality of Service (QoS) and high performance are provided to customers with the usage of the least number of cloud resources, especially for containerized services hosted on the cloud. With dynamic scalability, cloud computing can offer on-demand, timely, and dynamically adjustable computing resources to services hosted on the cloud. This paper presents a dynamic scaling model based on queueing theory to scale containers virtual resources and satisfy the customer Service Level Agreements (SLA) while guarding costs of scaling very low. The aim is to improve the virtual computing resources utilization and satisfy SLA constraints in terms of CPU utilization, system response time, system drop rate, system number of tasks, and system throughput. Simulation results are provided using Java Modelling Tools simulation tool, which shows that our proposed model can determine under any offered workload the needed containers instances to satisfy the required QoS parameters. © 2020, King Fahd University of Petroleum &amp; Minerals.</t>
  </si>
  <si>
    <t>Virtualization in Cloud Computing: Moving from Hypervisor to Containerization—A Survey</t>
  </si>
  <si>
    <t>Containers emerged as a lightweight alternative to virtual machines that offer better microservice architecture support. They are widely used by organizations to deploy their increasingly diverse workloads derived from modern applications such as big data, IoT, and edge/fog computing in either proprietary clusters or private, public cloud data centers. With the growing interest in container-based virtualization technologies, the requirement to explore the deployment and orchestration of clusters of containers has become a central research problem. Although progress has been made to study containerization, systematic consolidation of the existing literature with a summative evaluation is still missing. To fill this gap, in this paper, we first taxonomically classify the existing research studies on the performance comparison between hypervisor and container technology and then analyze state-of-the-art for container cluster management orchestration systems, its performance monitoring tools, and finally future research trends. This results in a better understanding of container technology with attention to provide summative analysis in terms of (i) how much performance overhead is generated by a hypervisor compared to container-based virtualization, (ii) which container technology is suited for a cloud application deployment based on the type of benchmark executing, (iii) how to provide management of containers deployed in a cluster environment, (iv) container performance monitoring tools, and (v) finally emerging concerns for future research directions. © 2021, King Fahd University of Petroleum &amp; Minerals.</t>
  </si>
  <si>
    <t>Single-chained blockchains are highly secure but cannot be scaled to larger IIoT (Internet of Industrial Things) network scenarios due to storage costs, communication costs, verification complexity, and delay needed for reading and archiving the chains. To overcome these issues, a wide variety of sharding models are proposed by researchers, but most of these models either generate a larger number of shards, compromise on quality of service (QoS), or reduce security under a larger number of attacks. These issues were minimised in this text via design of an augmented deep Q-learning model for mining optimisation via hybrid-bioinspired blockchain shards and contextual consensus. The model initially collects minimal IIoT information sets from the network-under-deployment, and uses them to select miner nodes. This is done by enforcing two novel consensus models, which are proof-of-spatial trust (PoST) and proof-of-temporal trust (PoTT), that enable the network to identify miner nodes with good spatial and temporal efficiency levels. The selected miner nodes are reconfigured via a bacterial foraging Optimisation (BFO) process, which assists in selecting communication-specific encryption and hashing techniques for security of underlying blocks. The secured blocks are then stored on a set of spatially optimised blockchain shards. Shard configurations are decided by a deep Q-learning-based genetic algorithm (DQGA), which assists in deciding optimal shard length and merging temporally unused shards. These decisions allow the proposed model to reduce mining delay by up to 8.3% when compared with existing sharding models. The proposed DQMMBSC model was also tested under Finney, Man-in-the-Middle, and 51% attacks, using differential attack patterns. It was observed that the proposed model showcased 3.5% lower delay, 4.9% lower energy consumption, 6.5% higher throughput, and 1.9% higher packet delivery ratio even under large-scale attacks, thereby making the model useful for heterogeneous network scenarios. © The Author(s), under exclusive licence to Springer Nature Switzerland AG 2024.</t>
  </si>
  <si>
    <t>Load balancing in cloud computing plays a vital role in optimizing resource utilization, enhancing performance, and managing task allocation within dynamic and highly virtualized environments. This review paper comprehensively explores the diverse spectrum of load balancing methods employed in cloud computing, shedding light on their characteristics, advantages, and limitations. More advanced load balancing techniques leverage intelligent algorithms and real-time data to make dynamic decisions. Both machine and deep learning-based approaches, including reinforcement learning and neural networks, have gained prominence for their ability to adapt to changing workloads and traffic patterns. These methods exhibit great promise in optimizing resource allocation and improving overall system performance. Additionally, this review delves into emerging trends such as edge computing, hybrid cloud deployments, and container orchestration, exploring the evolution of load balancing strategies to meet the demands of these evolving paradigms. This review paper offers a thorough overview of load balancing techniques in cloud computing, equipping researchers, practitioners, and cloud architects with essential insights for choosing the most appropriate load balancing strategies tailored to their specific needs and use cases. It also highlights key challenges and outlines future research directions in this evolving field. © The Author(s), under exclusive licence to Springer Nature Switzerland AG 2025.</t>
  </si>
  <si>
    <t>In the present era of seamless connectivity which demands enormous smart devices to be allied and send data to the cloud, it seems imperative to organize and process cloud-based smart Internet of Things (IoT) applications in real time. Hence, to support the continuous demand for the scheduling of real-time latency-sensitive tasks; the adaptability of fog computing is necessary which provide close adjacency to the tasks generating sources. Fog computing ensures optimal scheduling of latency-sensitive tasks by appropriate resource allocation considering dynamic user requirements. But the process of scheduling is an open challenge due to limited availability and processing capacity of fog resources. Further, provisioning of an appropriate fog resource is also necessary for timely execution of tasks. Hence, the papers present a novel task-scheduling heuristic algorithm; Matrix-based Task-Fog Pairing (MTFP) that aim to provide a feasible solution for fog resource provisioning to latency sensitive tasks. The algorithm worked on two different matrixes called compatibility and execution time matrix for scheduling priority tasks in order to achieve the desired Quality of Experience (QoE) to the end-user. Finally, the proposed algorithm MTFP is compared with the present state-of-the-art and shown improvement in term of reducing tasks execution time by 18%, delay by 16% and energy consumption by 14.5%. © Bharati Vidyapeeth's Institute of Computer Applications and Management 2024.</t>
  </si>
  <si>
    <t>The dairy industry is crucial for meeting global milk demands, making the health and well-being of dairy cows paramount. This research paper introduces an innovative approach to monitor the vital health parameters and overall health status of dairy cows through the development of an Internet of Things (IoT)-based neck collar device. This smart collar system incorporates a range of sensors for measuring temperature, pulse rate, and activity level. These sensors continuously collect data, which is wirelessly transmitted to a central database for real-time monitoring. Machine learning algorithms analyse these data to detect anomalies and patterns indicative of various health conditions. By enabling early disease detection, the IoT-based collar facilitates timely intervention, reducing the risk of cow morbidity and mortality, ultimately leading to enhanced milk production and overall herd health. In this paper, the design and architecture of the neck collar has been presented. The smart neck collar is characterized by low power consumption, miniaturization, intelligence, ease of operation, cost-effective new materials, portability, and high performance. By providing continuous and comprehensive monitoring, this technology significantly contributes to dairy cow welfare and farm operational efficiency. A comprehensive dataset containing vital health parameters of 150 dairy cows was collected over a period of two-months from seven districts in Punjab, India, including Fatehgarh Sahib, Ludhiana, Nawan Shahr, Patiala, Sangrur, Ropar, and Hoshiarpur, using smart neck collars. This dataset was analyzed using various machine learning algorithms, including Random Forest, Support Vector Machines, K-Nearest Neighbor, Naïve Bayes, and Decision Trees. The analysis revealed that Random Forest and Decision Trees were the most effective algorithms for predicting the health status of cows, achieving accuracies of 92% and 91%, respectively. © The Author(s) 2025.</t>
  </si>
  <si>
    <t>Software-Defined Networking (SDN) and fog computing are pivotal in supporting computationally intensive tasks within Internet of Things (IoT) applications, enhancing efficiency and reliability. However, many IoT applications are constrained by communication paths prone to link failures, necessitating robust fault tolerance techniques to ensure reliable traffic flow. In particular, real-time IoT applications demand stringent reliability and bandwidth requirements (constraints), which are challenging to meet simultaneously. Although previous research has investigated SDN-based routing to improve reliability, developing a routing algorithm that satisfies both reliability and bandwidth constraints remains an NP-hard problem. In this paper, we propose two novel routing algorithms: Reliability Aware Bandwidth constrained Routing (RABR) and Reliability and Bandwidth Constrained Routing (RBCR), specifically designed for SDN-enabled environments. Our approach prioritizes service reliability while meeting strict reliability and bandwidth criteria. The proposed solution integrates several phases, including reliability aware and bandwidth constrained path routing and flow duplication through parallel/hybrid and sequential routing methods. Furthermore, we introduce a greedy heuristic algorithm, implemented by the SDN controller with an efficient time complexity. Simulation results demonstrate that our algorithm surpasses state-of-the-art approaches in critical metrics such as reliability, reliability-bandwidth success rate, and Runtime. As such, our solution emerges as a robust choice for SDN-enabled IoT environments. © 2025 Elsevier B.V.</t>
  </si>
  <si>
    <t>A large number of source-load-storage devices are connected to the power system in the new power system, which leads to the surge of power service and puts forward new requirements for the operation efficiency of the distribution substation area. Container technology provides computing capacity for microservice of different devices by integrating computing resources of distribution substation area gateway. However, the differentiation of microservice priorities and continuous processing requirements bring new challenges to the optimization of microservice data offloading and processing. In this paper, we propose a container-based low-delay microservice data offloading and processing method for distribution substation area gateway. Firstly, we construct a container-based low-delay microservice data offloading and processing architecture for distribution substation area gateway. Then, an empirical matching-based joint gateway and container selection algorithm for low-delay microservice data offloading and processing is proposed. By introducing empirical performance and microservice priority, realizing the gateway and container selection of microservice data, reducing the microservice data offloading and processing delay. Simulation results show that the proposed algorithm is superior to the existing algorithm in total delay of microservice data offloading and processing. © 2023 The Author(s)</t>
  </si>
  <si>
    <t>Factory recirculating aquaculture system (RAS) is facing in a stage of continuous research and technological innovation. Intelligent aquaculture is an important direction for the future development of aquaculture. However, the RAS nowdays still has poor self-learning and optimal decision-making capabilities, which leads to high aquaculture cost and low running efficiency. In this paper, a precise aeration strategy based on deep learning is designed for improving the healthy growth of breeding objects. Firstly, the situation perception driven by computer vision is used to detect the hypoxia behavior. Then combined with the biological energy model, it is constructed to calculate the breeding objects oxygen consumption. Finally, the optimal adaptive aeration strategy is generated according to hypoxia behavior judgement and biological energy model. Experimental results show that the energy consumption of proposed precise aeration strategy decreased by 26.3% compared with the manual control and 12.8% compared with the threshold control. Meanwhile, stable water quality conditions accelerated breeding objects growth, and the breeding cycle with the average weight of 400 g was shortened from 5 to 6 months to 3–4 months. © 2024 The Authors</t>
  </si>
  <si>
    <t>Oriented to the new generation of cyber-physical manufacturing, this paper introduces two breakthroughs of industrial design and development software system: model-based systems engineering (MBSE) and cloud computing. Based on the classic V model for product development, an MBSE double-Vs model is refined which takes both model life-cycle and product life-cycle into consideration for design process re-engineering. Then cloud computing and its re-structuring on traditional industrial software system are discussed. Shift from classic single approach, this research proposes an industrial design and development software system architecture based on model-based systems engineering (MBSE) and cloud computing. The new architecture is shown in a stereoscopic way which amply utilizes the respective advantages of MBSE and cloud computing. At the end of the paper, as an example of actual cases, a flight management system (FMS) design and development platform is detailed to verify the effectiveness of this new architecture. The implement of new system architecture creates an efficient collaborative mechanism for FMS developing. © 2021 Elsevier Ltd</t>
  </si>
  <si>
    <t>The article provides a comprehensive review of the use of the Internet of Things (IoT) in agriculture, along with its advantages and disadvantages. However, it's important to recognize that IoT holds immense potential for generating new ideas that could drive innovations in modern agriculture and address several challenges faced by farmers today. Applications such as smart irrigation, precision farming, crop and soil tracking, smart greenhouses, supply chain management, livestock monitoring, agricultural drones, pest and disease prevention, and farm machinery are among the areas considered for IoT implementation in agriculture by this paper. These innovative solutions have the potential to revolutionize farming practices, improve efficiency, reduce resource wastage, and ultimately enhance agricultural productivity and sustainability. The analysis examines each application in terms of its utility and outlines measures necessary to enhance its effectiveness. Key considerations include addressing connectivity issues, managing costs, ensuring data security and privacy, scaling solutions appropriately, effectively managing data, and promoting awareness and adoption of IoT tools. Despite these challenges, IoT offers numerous benefits to the agricultural sector. The paper underscores the importance of collaboration among farmers, IoT technology companies, academia, and policymakers to address these issues and fully harness the potential of IoT. To achieve this goal, ongoing research, development, and acceptance of IoT-driven solutions are essential to sustain agriculture as a viable option amidst emerging challenges such as climate change and resource scarcity. © 2024</t>
  </si>
  <si>
    <t>Distributed stream processing engines are designed with a focus on scalability to process big data volumes in a continuous manner. We present the Theodolite method for benchmarking the scalability of distributed stream processing engines. Core of this method is the definition of use cases that microservices implementing stream processing have to fulfill. For each use case, our method identifies relevant workload dimensions that might affect the scalability of a use case. We propose to design one benchmark per use case and relevant workload dimension. We present a general benchmarking framework, which can be applied to execute the individual benchmarks for a given use case and workload dimension. Our framework executes an implementation of the use case's dataflow architecture for different workloads of the given dimension and various numbers of processing instances. This way, it identifies how resources demand evolves with increasing workloads. Within the scope of this paper, we present 4 identified use cases, derived from processing Industrial Internet of Things data, and 7 corresponding workload dimensions. We provide implementations of 4 benchmarks with Kafka Streams and Apache Flink as well as an implementation of our benchmarking framework to execute scalability benchmarks in cloud environments. We use both for evaluating the Theodolite method and for benchmarking Kafka Streams' and Flink's scalability for different deployment options. © 2021 Elsevier Inc.</t>
  </si>
  <si>
    <t>While there has been a recent growth of interest in the Digital Twin, a variety of definitions employed across industry and academia remain. There is a need to consolidate research such to maintain a common understanding of the topic and ensure future research efforts are to be based on solid foundations. Through a systematic literature review and a thematic analysis of 92 Digital Twin publications from the last ten years, this paper provides a characterisation of the Digital Twin, identification of gaps in knowledge, and required areas of future research. In characterising the Digital Twin, the state of the concept, key terminology, and associated processes are identified, discussed, and consolidated to produce 13 characteristics (Physical Entity/Twin; Virtual Entity/Twin; Physical Environment; Virtual Environment; State; Realisation; Metrology; Twinning; Twinning Rate; Physical-to-Virtual Connection/Twinning; Virtual-to-Physical Connection/Twinning; Physical Processes; and Virtual Processes) and a complete framework of the Digital Twin and its process of operation. Following this characterisation, seven knowledge gaps and topics for future research focus are identified: Perceived Benefits; Digital Twin across the Product Life-Cycle; Use-Cases; Technical Implementations; Levels of Fidelity; Data Ownership; and Integration between Virtual Entities; each of which are required to realise the Digital Twin. © 2020 University of Bristol</t>
  </si>
  <si>
    <t>Background and Objective: Time series data plays a crucial role in the realm of the Internet of Things Medical (IoMT). Through machine learning (ML) algorithms, online time series classification in IoMT systems enables reliable real-time disease detection. Deploying ML algorithms on edge health devices can reduce latency and safeguard patients’ privacy. However, the limited computational resources of these devices underscore the need for more energy-efficient algorithms. Furthermore, online time series classification inevitably faces the challenges of concept drift (CD) and catastrophic forgetting (CF). To address these challenges, this study proposes an energy-efficient Online Time series classification algorithm that can solve CF and CD for health devices, called OTCD. Methods: OTCD first detects the appearance of concept drift and performs prototype updates to mitigate its impact. Afterward, it standardizes the potential space distribution and selectively preserves key training parameters to address CF. This approach reduces the required memory and enhances energy efficiency. To evaluate the performance of the proposed model in real-time health monitoring tasks, we utilize electrocardiogram (ECG) and photoplethysmogram (PPG) data. By adopting various feature extractors, three arrhythmia classification models are compared. To assess the energy efficiency of OTCD, we conduct runtime tests on each dataset. Additionally, the OTCD is compared with state-of-the-art (SOTA) dynamic time series classification models for performance evaluation. Results: The OTCD algorithm outperforms existing SOTA time series classification algorithms in IoMT. In particular, OTCD is on average 2.77% to 14.74% more accurate than other models on the MIT-BIH arrhythmia dataset. Additionally, it consumes low memory (1 KB) and performs computations at a rate of 0.004 GFLOPs per second, leading to energy savings and high time efficiency. Conclusion: Our proposed algorithm, OTCD, enables efficient real-time classification of medical time series on edge health devices. Experimental results demonstrate its significant competitiveness, offering promising prospects for safe and reliable healthcare. © 2024 Elsevier B.V.</t>
  </si>
  <si>
    <t>Internet of things (IoT) paradigm poses new challenges to the communication technology as numerous heterogeneous objects will need to be connected. To address these issues new radio technologies and network architectures need to be designed to cater to several future devices having connectivity demands. For radio communications, the frequency spectrum allocation will have to be adapted for efficient spectrum utilization considering new bandwidth and application requirements. Novel research directions based on the use of opportunistic radio resource utilization such as those based on cognitive radio (CR) technology will have to be pursued for efficiency as well as reliability. Cognitive Radio is a promising enabler communication technology for IoT. Its opportunistic communication paradigm is suited to communicating objects having event driven nature, that generate bursty traffic. Cognitive Radio can help overcome the problems of collision and excessive contention in the wireless access network that will arise due to the deployment of several objects connected to infrastructure through radio links. However, there are several issues that need to be addressed before cognitive radio technology can be used for Internet of things. This paper surveys novel approaches and discusses research challenges related to the use of cognitive radio technology for Internet of things. In addition, the paper presents a general background on cognitive radio and Internet of Things with some potential applications. Our survey is different from existing surveys in that we focus on recent advances and ongoing research directions in cognitive radio in the context of Machine to Machine and Internet of Things. We review CR solutions that address generic problems of IoT including emerging challenges of autonomicity, scalability, energy efficiency, heterogeneity in terms of user equipment capabilities, complexity and environments, etc. The solutions are supported by our taxonomy of different CR approaches that are classified into two categories, flexible and efficient networking, and tackling heterogeneity. This paper intends to help new researchers entering the domain of CR and IoT by providing a comprehensive survey on recent advances. © 2016 Elsevier B.V.</t>
  </si>
  <si>
    <t>Software containers are changing the way applications are designed and executed. Moreover, in the last few years, we see the increasing adoption of container orchestration tools, such as Kubernetes, to simplify the management of multi-container applications. Kubernetes includes simple deployment policies that spread containers on computing resources located in the cluster and automatically scale them out or in based on some cluster-level metrics. As such, Kubernetes is not well-suited for deploying containers in a geo-distributed computing environment and dealing with the dynamism of application workload and computing resources. To tackle the problem, in this paper we present ge-kube (Geo-distributed and Elastic deployment of containers in Kubernetes), an orchestration tool that relies on Kubernetes and extends it with self-adaptation and network-aware placement capabilities. Ge-kube introduces flexible and decentralized control loops that can be easily equipped with different deployment policies. Specifically, we propose a two-step control loop, in which a model-based reinforcement learning approach dynamically controls the number of replicas of individual containers on the basis of the application response time, and a network-aware placement policy allocates containers on geo-distributed computing resources. To address the placement issue, we propose an optimization problem formulation and a network-aware heuristic, which explicitly take into account the non-negligible network delays among computing resources so to satisfy Quality of Service requirements of latency-sensitive applications. Using a surrogate CPU-intensive application and a real application (i.e., Redis), we conducted an extensive set of experiments, which show the benefits arising from the combination of elasticity and placement policies, as well as the advantages of using network-aware placement solutions. © 2020 Elsevier B.V.</t>
  </si>
  <si>
    <t>The issue of energy holes, or hotspots, in wireless sensor networks is well referenced. As is the proposed mobilisation of the sink node in order to combat this. However, as the mobile sink node may communicate with some nodes more than others, issues remain, such as energy spikes. In this study we propose a lightweight MAC layer solution — Dynamic Mobility and Energy Aware Algorithm (DMEAAL). Building on existing solutions utilising a communication threshold between static nodes and a sink node using a predictable mobility pattern, DMEAAL takes knowledge of optimum energy consumption levels and implements a cross-layer approach, utilising current energy consumption and dynamically adjusting communication threshold size based on target energy consumption. This approach is shown to balance energy consumption across individual nodes without increasing overall energy consumption compared to previous solutions. This without detrimentally affecting frame delivery to the sink. As such, network lifetime is improved. In addition we propose Mobile Edge Computing (MEC) applications for this solution, removing certain functionality from static nodes and instead deploying this within the mobile sink at the network edge. © 2021 Elsevier B.V.</t>
  </si>
  <si>
    <t>Multimedia services placement algorithm for cloud–fog hierarchical environments</t>
  </si>
  <si>
    <t>With the rapid development of mobile communication, multimedia services have experienced explosive growth in the last few years. The high quantity of mobile users, both consuming and producing these services to and from the Cloud Computing (CC), can outpace the available bandwidth capacity. Fog Computing (FG) presents itself as a solution to improve on this and other issues. With a reduction in network latency, real-time applications benefit from improved response time and greater overall user experience. Taking this into account, the main goal of this work is threefold. Firstly, it is proposed a method to build an environment based on Cloud–Fog Computing (CFC). Secondly, it is designed two models based on Autoregressive Integrated Moving Average (ARIMA) and Long Short-Term Memory (LSTM). The goal is to predict demand and reserve the nodes’ storage capacity to improve the positioning of multimedia services. Later, an algorithm for the multimedia service placement problem which is aware of data traffic prediction is proposed. The goal is to select the minimum number of nodes, considering their hardware capacities for providing multimedia services in such a way that the latency for servicing all the demands is minimized. An evaluation with actual data showed that the proposed algorithm selects the nodes closer to the user to meet their demands. This improves the services delivered to end-users and enhances the deployed network to mitigate provider costs. Moreover, reduce the demand to Cloud allowing turning off servers in the data center not to waste energy. © 2022 Elsevier B.V.</t>
  </si>
  <si>
    <t>The scientific community has recently focused on intelligent models for predicting and optimizing EV energy management. Despite numerous studies in energy management optimization, there is a critical need to address the trade-off between energy consumption and occupant comfort. Existing IoT systems face challenges in data analytics security and authenticity, highlighting the need for contemporary models to overcome data privacy and cost-related issues. This study introduces a smart contract model based on optimization and control modules, aiming to manage energy consumption while satisfying user comfort requirements intelligently. Introducing a smart contract model with hierarchical layers—prediction, optimization, control, and Blockchain—the proposed approach intelligently manages energy consumption while meeting user comfort requirements. Utilizing a Kalman filter for prediction and the BAT algorithm for optimization, the model integrates modules to tailor user preferences and enhance comfort. The synergy between the optimization module and a convolutional FLC enhances system performance, ensuring minimized energy usage and elevated user comfort levels. The study also evaluates the model's implementation of the Hyperledger Fabric network, assessing outcomes regarding caliper, latency, throughput, and resource utilization. © 2024 The Author(s)</t>
  </si>
  <si>
    <t>5G heterogeneous networks have become a promising platform to connect a growing number of Internet-of-Things (IoT) devices and accommodate a wide variety of vertical services. IoT has not been limited to traditional sensing systems since the introduction of 5G, but also includes a range of autonomous moving platforms, e.g., autonomous flying vehicles, autonomous underwater vehicles, autonomous surface vehicles as well as autonomous land vehicles. These platforms can be used as an effective means to connect air, space, ground, and sea mobile networks for providing a wider diversity of Internet services. Deep learning has been widely used to extract useful information from network big data for enhancing network quality-of-service and user quality-of-experience. Privacy preservation for user and network data is a burning concern in 5G heterogeneous networks due to various attacks in this environment. In this paper, we conduct an in-depth investigation on how deep learning can cope with privacy preservation issues in 5G heterogeneous networks, in terms of heterogeneous radio access networks (RANs), beyond-RAN networks, and end-to-end network slices, followed by a set of key research challenges and open issues that aim to guide future research. © 2020 Elsevier B.V.</t>
  </si>
  <si>
    <t>Modern malware is becoming hard to spot since attackers are increasingly adopting new techniques to elude signature- and rule-based detection mechanisms. Among the others, steganography and information hiding can be used to bypass security frameworks searching for suspicious communications between processes or exfiltration attempts through covert channels. Since the array of potential carriers is very large (e.g., information can be hidden in hardware resources, various multimedia files or network flows), detecting this class of threats is a scarcely generalizable process and gathering multiple behavioral information is time-consuming, lacks scalability, and could lead to performance degradation. In this paper, we leverage the extended Berkeley Packet Filter (eBPF), which is a recent code augmentation feature provided by the Linux kernel, for programmatically tracing and monitoring the behavior of software processes in a very efficient way. To prove the flexibility of the approach, we investigate two realistic use cases implementing different attack mechanisms, i.e., two processes colluding via the alteration of the file system and hidden network communication attempts nested within IPv6 traffic flows. Our results show that even simple eBPF programs can provide useful data for the detection of anomalies, with a minimal overhead. Furthermore, the flexibility to develop and run such programs allows to extract relevant features that could be used for the creation of datasets for feeding security frameworks exploiting AI. © 2021</t>
  </si>
  <si>
    <t>Due to technology development in the recent past, it is observed that an exponential growth in the usage of high speed intelligent devices which includes smart objects, smart home, smart vehicles etc. Therefore, for the efficient transmission between different smart objects/devices situated across different regions, an effective communication is required and the corresponding technology is called as ‘Internet of Things (IoT)’. This leads to an issues in various aspects like, increase in complexity, low data rate &amp; latency and security may reduce the performance of the existing technologies. Therefore, there is a huge requirement of advanced technology which may support ultra-low latency transmission for the task received from the devices. Fog computing (FC) is one of an emerging technology that can improve network performance and provide resource-constrained applications for the IoT devices. In this paper, the Optimal Energy-efficient Resource Allocation (OEeRA) algorithm is proposed based on Minimal Cost Resource Allocation (MCRA) and Fault Identification and Rectification (FIR) algorithms for effective task offloading of IoT-FoG computing networks. The MCRA algorithm is proposed to assign at least one FN and Resource Block (RB) for each device, and also it ensures that each FN is connected with one or more RBs and devices. The leftover RBs are collected and stored in the buffer to replace the faulty RBs, as proposed in the FIR algorithm, which achieves better processing and response time with higher fault detection accuracy. The energy efficiency (EE) of the proposed OEeRA algorithm is computed through MCRA and FIR algorithms by varying FN, RB, and IoT devices. The performance analysis shows that the proposed algorithm achieved the maximum EE of 6.12 × 109 bit/J, 5.69 × 1010 bit/J, and 3.019 × 1010 (bit/J) for varying RBs, IoTs, and FNs, respectively. © 2023 Elsevier B.V.</t>
  </si>
  <si>
    <t>Torres-Pérez C.; Coronado E.; Cervelló-Pastor C.; Palomares J.; Carmona-Cejudo E.; Siddiqui M.S.</t>
  </si>
  <si>
    <t>Application placement in Multi-Access Edge Computing (MEC) must adhere to service level agreements (SLAs), minimize energy consumption, and optimize metrics based on specific service requirements. In distributed MEC system environments, the placement problem also requires consideration of various types of applications with different entry distribution rates and requirements, and the incorporation of varying numbers of hosts to enable the development of a scalable system. One possible way to achieve these objectives is to minimize the number of active nodes in order to avoid resource fragmentation and unnecessary energy consumption. This paper presents a Distributed Deep Reinforcement Learning-based Capacity-Aware Application Placement (DDRL-CAAP) approach aimed at reducing the number of active nodes in a multi-MEC system scenario that is managed by several orchestrators. Internet of Things (IoT) and Extended Reality (XR) applications are considered in order to evaluate close-to-real-world environments via simulation and on a real testbed. The proposed design is scalable for different numbers of nodes, MEC systems, and vertical applications. The performance results show that DDRL-CAAP achieves an average improvement of 98.3% in inference time compared with the benchmark Integer Linear Programming (ILP) algorithm, and a mean reduction of 4.35% in power consumption compared with a Random Selection (RS) algorithm. © 2024 Elsevier B.V.</t>
  </si>
  <si>
    <t>Torres-Pérez, Claudia (58543031700); Coronado, Estefanía (56996889100); Cervelló-Pastor, Cristina (15847660800); Palomares, Javier (58519467800); Carmona-Cejudo, Estela (57710712300); Siddiqui, Muhammad Shuaib (37051441800)</t>
  </si>
  <si>
    <t>Robust solutions are essential for protecting complex network systems in the constantly changing cybersecurity scenario. This investigation examines the role of machine learning (ML) in improving the safety of digital infrastructure by examining network anomaly detection and security defense. We evaluate the effectiveness of key ML techniques, including deep learning (DL), ensemble methods, and supervised and unsupervised learning, in recognizing abnormalities and reducing dangers. Real-time monitoring and adaptive reactions are emphasized in the analysis of ML-based systems integration into comprehensive security frameworks. This section also addresses challenges like interpretability, harmful assaults, and model resilience. Real-world case examples emphasize the importance of ML in the advancement of network security. The paper continues with a discussion of ML's future role in the optimization of security measures and the mitigation of emergent threats. © 2024 Elsevier Ltd</t>
  </si>
  <si>
    <t>With the rapid development of the Internet of Things (IoT), terminal-edge-cloud collaborative computing (TECC), a hierarchical distributed computing model, has become an effective solution to meet the various application requirements in terms of high computing power, high storage capacity, and low-latency services. However, the TECC still faces many challenges in terms of data security and privacy protection. Integrating blockchain into TECC frameworks can enable trustful data exchange between nodes while ensuring the integrity and availability of data. This paper presents an in-depth survey of blockchain-based TECC technology. In particular, we first introduce the key of the TECC paradigm and blockchain briefly. Then we focus on the integration of blockchain into the TECC paradigm. Specifically, the paper divides the TECC frameworks into three categories: one-layer, two-layers and multiple layers. Moreover, this paper summarizes core technologies in blockchain-based TECC architectures, TECC based on lightweight blockchains, and summarizes the application scenarios from different perspectives. Finally, the paper outlines the future direction of blockchain-based TECC. © 2024</t>
  </si>
  <si>
    <t>Due to the rapid growth of heterogeneous nature and demand requests over cloud resources, resource scheduling has become the most prominent issue in cloud computing. Thus, the cloud has offered elasticity, uncertainty, and dynamism depending on the services to the users on the internet. Here, the inefficient scheduling approaches have faced difficulty over resources that are being underutilized and over-utilized and it led to the degradation of service performance. The major intention of scheduling is to distribute the tasks between the cloud, where the scheduling algorithm has neglected the issues of imbalance. The scheduling algorithm has optimized the key performance indicators parameters such as resource utilization, cost, energy consumption, availability, reliability, makespan time, response time, and so on. Concerning this, many conventional scheduling algorithms are proposed. This research has depicted a broad literature analysis of resource scheduling in a cloud environment to help researchers detect adequate scheduling algorithms. The current status of the cloud resource allocation strategies is split into several categories. The methodological analysis of resource scheduling is presented in this research work. The optimization and meta-heuristic algorithms used in this work are also discussed. The parameters utilized for estimating the performance of the system are also analyzed. In addition, the benefits and challenges of the resource scheduling algorithms are also discussed. Finally, the research gap analysis is given, which is helpful for researchers in the field of cloud computing to make further improvements in scheduling techniques. © 2025</t>
  </si>
  <si>
    <t>Complex scientific workflows represented as directed acyclic graphs (DAG) have more task interdependencies and are typically handled on heterogeneous cloud-based systems. Nevertheless, the workflow resource requirements, such as lowering makespan and energy meeting delay constraints, were not met by the current cloud-based resource provisioning model. Although multi-cloud platforms have shown to be an effective means of cutting costs and enhancing performance efficiency, they are unable to satisfy the demands of complex workflows that are sensitive to delays. Although edge-cloud platforms have been utilized to reduce delay, overall performance is affected by the dynamic changes in workflow quality of service (QoS). Server scaling has been accomplished to meet application dynamic requirements by using efficient virtual network function (VNF) placement that ensures reliability; however, current work has not reduced energy consumption while optimizing VNF based on a simple workflow devoid of task interdependencies. In overcoming the research shortcoming, this paper introduces an energy and performance-aware workflow scheduler (EPAWS) for edge-cloud platforms; the EPAWS introduces an efficient VNF placement and service function chain (SFC) optimization for execution of scientific workflow in edge-cloud platforms. Simulation outcome shows the EPAWS is very efficient in reducing makespan by 97.7%, 97.4%, and 87.29% for Inspiral workflow, 87.46%, 65.86%, and 49.83% for CyberShake workflow and energy consumption by 91.5%, 71.62%, and 52.2% for Inspiral workflow, 96.63%, 94.6%, and 90.39% for CyberShake workflow in comparison with baseline models such as energy-aware adaptive-scaling (EAAS), reliability- enhancement strategy for workflow scheduler (RESWS), and multi-objective resource optimized workflow scheduler (MOROWS), respectively. © 2025</t>
  </si>
  <si>
    <t>Sánchez Ribes V.; Mora H.; Sobecki A.; Mora Gimeno F.J.</t>
  </si>
  <si>
    <t>Cloud Computing is one of the most disruptive technologies of this century. This technology has been widely adopted in many areas of the society. In the field of manufacturing industry, it can be used to provide advantages in the execution of the complex geometric computation algorithms involved on CAD/CAM processes. The idea proposed in this research consists in outsourcing part of the load to be computed in the client machines to the cloud through the Mobile Cloud Computing paradigm. This practice gives substantial benefits to both the clients and the software-provider in terms of costs, flexibility, ubiquity and performance. In this document, an outsourcing architecture is proposed based on this paradigm. Extensive experiments have been done using highly parallelizable computational geometry operations to show the strengths and weaknesses of the proposal in combination of specialized computing platforms in the cloud. The results suggest that there are some issues that affect the overall performance and the stability of the QoS: the network communication delay, and the number of simultaneous clients and multiple requests. Some solutions have been proposed to face these challenges. © 2020 Elsevier B.V.</t>
  </si>
  <si>
    <t>Sánchez Ribes, Víctor (57219626124); Mora, Higinio (55664769000); Sobecki, Andrzej (57201584195); Mora Gimeno, Francisco José (23668817400)</t>
  </si>
  <si>
    <t>Manufacturing enterprises are facing the need to align themselves to the new information technologies (IT) and respond to the new challenges of variable market demand. One of the key enablers of this IT revolution toward Smart Manufacturing is the digital twin (DT). It embeds a “virtual” image of the reality constantly synchronized with the real operating scenario to provide sound information (knowledge model) to reality interpretation model to draw sound decisions. The paper aims at providing an up-to date picture of the main DT components, their features and interaction problems. The paper aims at clearly tracing the ongoing research and technical challenges in conceiving and building DTs as well, according to different application domains and related technologies. To this purpose, the main questions answered here are: ‘What is a Digital Twin?’; ‘Where is appropriate to use a Digital Twin?’; ‘When has a Digital Twin to be developed?’; ‘Why should a Digital Twin be used?’; ‘How to design and implement a Digital Twin?’; ‘What are the main challenges of implementing a Digital Twin?’. This study tries to answer to the previous questions funding on a wide systematic literature review of scientific research, tools, and technicalities in different application domains. © 2021 Elsevier B.V.</t>
  </si>
  <si>
    <t>Semeraro, Concetta (57189304283); Lezoche, Mario (34977078700); Panetto, Hervé (6508186303); Dassisti, Michele (55908422600)</t>
  </si>
  <si>
    <t>Low-cost networked IoT devices are fast becoming commonplace. From implanted medical devices to motion-activated surveillance cameras and from driverless smart cars to voice-operated home management systems, IoT devices continue to permeate further and deeper into our lives. However, this widespread adoption of IoT devices has also given rise to a wide range of security, privacy and trust issues that are unique to the IoT ecosystem. Conventional solutions are ill-suited for the IoT domain due to limited resources, network dynamics, and evolving trust boundaries. Hence, novel mechanisms are needed to address the specific challenges of the IoT landscape. To this end, we propose a user-centric cloud-based service that allows device owners to have fine-grained control over what kind and how much data is shared through their IoT devices. Our scheme builds on top of Intel Software Guard Extensions (SGX) to instantiate secure virtual clones (shadows) of actual devices in the cloud, substantially reducing the attack surface for IoT networks. Furthermore, a scalable infrastructure in the cloud allows us to deploy sophisticated policy enforcement and data scrubbing mechanisms on a per application basis giving users explicit control over data sharing. The presented approach requires little effort on part of device vendors and users as the service provider handles the bulk of the work. We demonstrate the effectiveness of our approach empirically by implementing the service on SGX hardware and deploying advanced data cleansing policies on device-generated data. © 2022</t>
  </si>
  <si>
    <t>The Internet of Things is currently one of the most representative sources of Big Data. It can acquire real-time data from multiple spatially distributed points, allowing for the extraction of valuable insights. However, an appropriate integration, processing, and analysis of these data depends on several factors starting from the correct definition of the information systems. This paper introduces STS4IoT, a UML profile and automatic code-generation tool for model-driven IoT, to address this issue. STS4IoT allows designing and implementing an IoT application from the required data only, bridging the gaps between the IoT and database design worlds. The IoT data design includes both different in-network transformations and the join of streams from multiple sources. Besides, it follows the Model-Driven Architecture (MDA) guidelines to provide abstraction levels oriented to the different roles participating in the application design. The STS4IoT validation shows it has an excellent structure and is highly understandable. Its instance models are well-formed, highly abstract and readable. And the automatic implementation tool can generate complete code for complex real-world applications involving multiple IoT devices. Then, STS4IoT simplifies the definition and development of IoT applications and their integration into other information systems, such as stream data warehouses. © 2021 Elsevier B.V.</t>
  </si>
  <si>
    <t>Aiming to meet the growing demand for observation and analysis in power systems that based on Internet of Things (IoT), machine learning technology has been adopted to deal with the data-intensive power electronics applications in IoT. By feeding previous power electronic data into the learning model, accurate information is drawn, and the quality of IoT-based power services is improved. Generally, the data-intensive electronic applications with machine learning are split into numerous data/control constrained tasks by workflow technology. The efficient execution of this data-intensive Power Workflow (PW) needs massive computing resources, which are available in the cloud infrastructure. Nevertheless, the execution efficiency of PW decreases due to inappropriate sub-task and data placement. In addition, the power consumption explodes due to massive data acquisition. To address these challenges, a PW placement method named PWP is devised. Specifically, the Non-dominated Sorting Differential Evolution (NSDE) is used to generate placement strategies. The simulation experiments show that PWP achieves the best trade-off among data acquisition time, power consumption, load distribution and privacy preservation, confirming that PWP is effective for the placement problem. © 2021 Chongqing University of Posts and Telecommunications</t>
  </si>
  <si>
    <t>As autonomous vehicles and the other supporting infrastructures (e.g., smart cities and intelligent transportation systems) become more commonplace, the Internet of Vehicles (IoV) is getting increasingly prevalent. There have been attempts to utilize Digital Twins (DTs) to facilitate the design, evaluation, and deployment of IoV-based systems, for example by supporting high-fidelity modeling, real-time monitoring, and advanced predictive capabilities. However, the literature review undertaken in this paper suggests that integrating DTs into IoV-based system design and deployment remains an understudied topic. In addition, this paper explains how DTs can benefit IoV system designers and implementers, as well as describes several challenges and opportunities for future researchers. © 2022 Chongqing University of Posts and Telecommunications</t>
  </si>
  <si>
    <t>Toledo-Orozco M.; Celi C.; Guartan F.; Peralta A.; Álvarez-Bel C.; Morales D.</t>
  </si>
  <si>
    <t>Technological advances, innovation and the new industry 4.0 paradigm guide Distribution System Operators towards a competitive market that requires the articulation of flexible demand response systems. The lack of measurement and standardization systems in the industry process chain in developing countries prevents the penetration of demand management models, generating inefficiency in the analysis and processing of information to validate the flexibility potential that large consumers can contribute to the network operator. In this sense, the research uses as input variables the energy and power of the load profile provided by the utility energy meter to obtain the disaggregated forecast in quarter-hour intervals in 4-time windows validated through metrics and its results evaluated by the RMS error to get the total error generated by the methodology with the application of Machine Learning and Big Data techniques in the Python computational tool through Combinatorial Disaggregation Optimization and Factorial Hidden Markov models. © 2023 The Author(s)</t>
  </si>
  <si>
    <t>Toledo-Orozco, Marco (57223912273); Celi, C. (57201317492); Guartan, F. (58125546800); Peralta, Arturo (56319083000); Álvarez-Bel, Carlos (57218645935); Morales, D. (56275876400)</t>
  </si>
  <si>
    <t>This study proposes the design and development of public light systems integrated with Internet of Things (IoT) applications for smart cities. Smart public lighting systems are designed using LED light sources in combination with a controller based on light intensity and motion sensors to control the brightness in working areas as per standard requirements. The control of smart public lighting systems is designed to operate in three modes: manual, scheduled, and auto modes, which are tested and compared in terms of lighting and power quality. Other functions of IoT, such as air pollution detection, security system-based video surveillance, and warning systems for flood disasters, are integrated into smart public lighting systems. A prototype of the designed smart public lighting system is presented in this paper. The parameters of average illuminance, overall uniformity, and threshold increment were implemented using DIALux software to optimise the luminaire spacing. The results showed that the goal of energy saving could be achieved using the auto mode. Although the automatic mode caused current harmonic distortion to the electrical grid, the harmonic value was less than the specified standard. Furthermore, the precision of IoT system operation was dependent on environmental variations and the reliability of wireless network technology. © 2023 The Authors</t>
  </si>
  <si>
    <t>Energy-saving is a global challenge and one of the hot research topics of this decade. The need for sustainable technologies and solutions for energy-saving dramatically increased in residential buildings due to population growth, quality of indoor environment, and climate change. Recently, IoT based applications have been developed in smart homes, smart cities, smart hospitals, and other smart environments. The goals of sustainable technologies in residential buildings incorporate maximization of thermal comfort and minimizing energy consumption. The challenges and problems of residential buildings can be solved using consumer behavior models and integrating their inference into residential problem solutions. This paper proposes an IoT task management mechanism based on predictive optimization for energy consumption minimization in smart residential buildings. The proposed task management mechanism has a predictive optimization module based on prediction and an optimization module for solving energy consumption minimization problems. The energy data is obtained from different appliances to evaluate the proposed predictive optimization approach. The proposed approach results are compared with prediction and optimization modules. The performance is evaluated in terms of regression performance metrics. The case study results show that the predictive optimization mechanism based on task management performs better than standalone prediction and optimization-based energy consumption mechanisms in residential buildings. © 2021 Elsevier B.V.</t>
  </si>
  <si>
    <t>Studying the interrelationship among artificial intelligence, supply chain and energy market is crucial to achieving sustainable development. The research uses the TVP-SV-VAR methodology to recognise the ever-changing correlation among the artificial intelligence index (AII), global supply chain pressure indicator (GSCPI) and global energy-related uncertainty index (GEUI). In light of quantitative discussions, it is presented that AII exerts negative influences on GSCPI and GEUI, highlighting that the development of artificial intelligence would facilitate global supply chain stability and energy sustainability; in turn, GSCPI and GEUI have positive and adverse influences on AII. Through comparing, the correlation between AII and GEUI is only reflected in the short term, whereas the interrelationship between AII and GSCPI could be observed in the short-, medium- and long-run situations. In addition, GSCPI exerts positive and negative influences on GEUI in the short, medium and long runs, whereas the positive effects of GEUI on GSCPI means the uncertainty in the energy market might destroy the supply chain across the globe. In the context of a new round of scientific and technological revolution and industrial transformation, this study will provide significant recommendations to maintain global supply chain stability and energy sustainability by applying artificial intelligence technology. © 2024 Elsevier B.V.</t>
  </si>
  <si>
    <t>Against the current social and technological background dominated by services and technology, new opportunities are opening up for the industrial transformation and upgrading of the construction industry. Considering the successful transformation and upgrading of the manufacturing industry through servitization, scholars and practitioners have begun to explore the possibility of servitization in the construction industry. Current practices and theory show that different understandings of servitization in the construction sector exist; however, they are still in their infancy and lack a deep and systematic awareness, which does not benefit the transformation and upgrading of construction through servitization. Therefore, this paper systematically analyzes the motivation, definition, and implications of servitization in construction based on the value-adding nature of servitization and considers the problems confronting the construction industry. To facilitate this development, transformation pathways for servitization in construction are analyzed from multiple angles, including value co-creation, service innovation, and networked operation, which are in line with the new trends in digital construction. In addition, based on the supporting elements of construction, which include finance, human resources, technology, materials, and equipment, this paper examines the impact of servitization on the construction industry's ecology. In short, we expect that this systematic analysis and exposition can provide a holistic view of servitization in construction from the inside out for scholars and practitioners and can help to promote servitization in construction. © 2021 THE AUTHORS</t>
  </si>
  <si>
    <t>Since there is a growing interest in driving the digital transformation of the construction industry, the goal of this paper is to provide a full picture and understanding of the emerging research front on intelligent construction. Through the quantitative and qualitative analysis, relevant pieces of literature are thoroughly reviewed to extract useful knowledge to raise awareness of intelligent construction, resulting in the summary of research status and the determination of future needs. In light of the research findings, the rapid development of intelligent construction follows the strategies of standardization, digitization, intellectualization, collaboration, greenization, and customization, which mainly support “4S” technologies. The popular research topics covering intelligent engineering services for the project's full lifecycle (i.e., design, construction, operation, and maintenance) and even the city level have been deeply explored, which are proven to dramatically improve project efficiency, safety, and automation. Moreover, challenges exist in three potential paths for future research, including the digital twin-enabled engineering cloud platform, man-machine-environment interaction, great sustainability under carbon peaking and carbon neutrality goals. As for the practical value, a synthesized point of up-to-date reference is created to guide managers to promote intelligent construction in real-world engineering. © 2024 Elsevier Ltd</t>
  </si>
  <si>
    <t>A number of algorithms now exist for using model-based prediction at the sensor node of a wireless sensor network (WSN) to enable a dramatic reduction in transmission rates, and thus save energy at the sensor node. These approaches, however, sometimes reduce the rate so substantially as to make the health state of the network opaque. One solution is to include a regular heartbeat transmission whose receipt or otherwise informs the sink about the health state of the node. However, given that a large period increases the probability that dead nodes go unnoticed at the sink, while a small period likely increases the energy cost of communication, what should be the period of the heartbeat transmission? In this paper, we examine the use of heartbeats in WSN design. We derive a general protocol for optimal and dynamic heartbeat transmission by minimising the Bayes risk, which is the expected cost of missing data from dead nodes plus the energy cost of heartbeat transmissions. Our proposed algorithm is dynamic in the sense that the heartbeat period is updated as time goes on and node failures become more probable. We validate our design experimentally using three real-world datasets, and show a 36% reduction in the total heartbeat operational cost over a heartbeat transmission with a fixed period; the results also highlight the superiority of our algorithm over arbitrarily chosen heartbeat periods in different WSN settings, thus promising significant cost savings in WSN applications. © 2019</t>
  </si>
  <si>
    <t>The rapid growth of data centers provides cloud users with better choices and services. An increasing number of companies are involved in the construction of data centers; at the same time, the original cloud service providers are constantly expanding new data centers to meet the needs of users. Therefore, the joint scheduling of multiple data centers has become a difficult problem that cloud service providers must face. Joint scheduling refers to the resource allocation among multiple data centers of a cloud service provider. That is, how can the virtual machine application of cloud users be deployed on the physical machine in multiple data centers. A single data center provisioning strategy can solve the scheduling problem within the data center. However, multiple data centers can make the previous provisioning strategy invalid due to geographical location and other differences. In this paper, the characteristics of different data centers are analyzed and clustered to form a data center consortium. Then, the virtual machine (VM) is classified according to the deadline. As cloud users purchase virtual machine resources from cloud service providers, they are billed by time in most cases. The deadline of the virtual machine refers to the time when the virtual machine ends its service. Then, we analyze the power consumption of the data center and deploy VMs based on the rule of avoiding hotspot deployment of VMs with priority energy consumption. Finally, a cloud service provisioning strategy using data center consortium clustering (PSDC3) is proposed and verified. It can be seen from the results that the algorithm can significantly reduce the number of hotspots and energy consumption of cloud data centers. © 2023 Elsevier Ltd</t>
  </si>
  <si>
    <t>This paper focuses on the micro-service migration problem with affinity, stemming from the cloud computing industry. Because of periodically creating and deleting micro-services to satisfy users’ demands, the deployment of micro-services in the cloud needs to be regularly adjusted, which is referred to as a micro-service migration. An optimal migration schedule should minimize the number of activated physical machines as well as maximize total internal invoking traffic (affinity). A cooperative multi-agent reinforcement learning (MARL) is proposed, which is enhanced by integrating Hindsight Reward Shaping and by fine-tuning the state encoder using a pre-trained ResNet model. The proposed MARL is validated on both synthetic datasets and real cloud traces of ByteDance and Alibaba, compared with four baseline algorithms: Migration Ant Colony Optimization, Migration Neighborhood Search, Single-Agent Reinforcement Learning, and the optimization solver CPLEX. Finally, an evaluation mechanism called Matching Score is proposed to explain the superior performance of MARL. © 2025 Elsevier Ltd</t>
  </si>
  <si>
    <t>Combined with highly developed technologies such as cloud computing and the Internet of Things, the integrated energy system (IES) has realized the coordinated scheduling and utilization of various energy resources with its superiority of comprehensive control and high applicability. Meanwhile, approaches to enhance the quality of service (QoS), e.g. network lifetime, energy distribution, and data transmission delay, of an indispensable component of IES, i.e., integrated energy system wireless sensor networks (IESWSNs), have become an urgent research issue. To tackle the issue, a high-performance clustering protocol termed quantum clone whale optimization algorithm (HPCP-QCWOA) is proposed for IESWSNs. By designing a new quantum operator and a new layering clone operator, HPCP-QCWOA can find an approximate optimal clustering scheme to improve the QoS performance of IESWSNs. Unlike other population-based clustering protocols, a new objective function that embraces remaining energy, intra-cluster distance, BS distance, and data transmission delay is designed in the HPCP-QCWOA, which renders its clustering performance more desirable than some other state-of-the-art clustering protocols, i.e., O-LEACH, LDIWPSO, and ARSH-FATI-CHS. Empirically, simulation experiments under different scenarios illustrated that the lifetime of the HPCP-QCWOA-based clustering has increased by 28.78%, 25.50% and 11.22% respectively compared with O-LEACH, LDIWPSO, and ARSH-FATI-CHS. © 2022 Elsevier B.V.</t>
  </si>
  <si>
    <t>Container technology is driving the transformation of Container as a Service (CaaS), which calls for an optimal solution of container management. In this paper, we present a two-stage framework of container management in the cloud, which includes container placement and container migration. Specifically, we investigate the container placement strategy of cloud servers for load balancing in a long time scale. In a short time scale, we investigate the container migration strategy among the cloud servers for minimizing the migration cost while maintaining the degree of load balance. Both of the strategies are formulated as constrained optimization problems. We propose Balance Aware Container Placement (BACP) algorithm and Adaptive Threshold Container Migration (ATCM) algorithm to solve the optimization problems in different time scales. Furthermore, workload prediction of the containers is proposed to enhance the solution. We show by experiments that we can achieve the load balance while reducing the migration cost. Moreover, the proposed algorithm outperforms the meta-heuristic algorithms, i.e., PSO (Particle Swarm Optimization) and CRO (Coral Reef Optimization). © 2022 Elsevier B.V.</t>
  </si>
  <si>
    <t>In Industrial Internet of Things (IIoT), a large volume of data is collected periodically by IoT devices, and timely data routing and processing are important requirements. Age of Information (AoI), which is a metric to evaluate the freshness of status information in data processing, has become one of the most important objectives in IIoT. In this paper, considering limited communication, computation and energy resources on IoT devices, we jointly study the optimal AoI-aware energy control and computation offloading problem within a dynamic IIoT scenario with multiple IoT devices and multiple edge servers. Based on extensive analysis of real-life IoT dataset, Markovian queueing models are constructed to capture the dynamics of IoT devices and edge servers, and their corresponding analyses are provided. With the quantitative analytical results, we formulate a dynamic Markov decision problem with the objective of minimizing the long-term energy consumption while satisfying AoI constraints for real-time data processing. To solve the problem, we apply Deep Reinforcement Learning (DRL) techniques for adapting to large-scale dynamic IIoT environments, and design an intelligent Energy Control and Computation Offloading (ECCO) algorithm. Extensive simulation experiments are conducted based on real-world dataset, and the comparison results illustrate the superiority of our ECCO algorithm over both existing DRL and non-DRL algorithms. © 2022 Elsevier B.V.</t>
  </si>
  <si>
    <t>As an important technology to ensure data security, consistency, traceability, etc., blockchain has been increasingly used in Internet of Things (IoT) applications. The integration of blockchain and edge computing (IBEC) can further improve the resource utilization in terms of network, computing, storage, and security. This paper aims to present a survey on the IBEC. In particular, we first give an overview of blockchain and edge computing respectively. We then present a general architecture of an IBEC system. We next study the various applications of the IBEC in IoT. We also discuss the optimizations of the IBEC system and solutions from perspectives of resource management and performance improvement. Finally, we analyze and summarize the existing challenges posed by the IBEC system and the potential solutions in the future. © 2022 Elsevier B.V.</t>
  </si>
  <si>
    <t>Ochoa W.; Larrinaga F.; Pérez A.</t>
  </si>
  <si>
    <t>Smart Manufacturing Systems (SMS) are software systems that identify opportunities for automating manufacturing operations by using Internet of Things (IoT) devices and services connected to machines. An active challenge of SMS is to satisfy the ever-changing conditions of industries, supply networks, and customer needs. To operate effectively, SMS should be flexible enough to perform automatic or semi-automatic adjustments to manufacturing processes in response to unexpected changes, a feature called context awareness. Recent advances in interpreting context data in the semantic web have permitted SMS to understand the active situation of manufacturing processes. This paper presents a literature analysis of context-aware workflow management approaches in the smart manufacturing domain, with a particular focus on semantic web-based approaches published from 2015 to 2022. A Systematic Literature Review (SLR) methodology was applied to analyze the state-of-the-art via the PICOC method. The contributions of this work are (1) an SLR about context-aware workflow management for smart manufacturing systems focusing on semantic web-based approaches, (2) a systematic taxonomy to break down the approaches in conformity based on content and main workflow management function area, and (3) identification of opportunities for improvement in technical features such as context awareness, use case implementation, tools employed, licensing, security, and scalability. A novel architecture and components are also proposed to address the identified active challenges. © 2023 The Author(s)</t>
  </si>
  <si>
    <t>Ochoa, William (57773130700); Larrinaga, Felix (53877813400); Pérez, Alain (55706335300)</t>
  </si>
  <si>
    <t>This paper presents a generative adversarial network (GAN)-based energy auditing and anomaly detection framework for the health and security monitoring of robotic manipulators. The system features two key components: a side-channel measurement of the energy consumption and a GAN model to learn the data patterns during normal operations only. Anomalies in energy consumption during online testing are then discovered as outliers to the normal data by scrutinizing the anomaly score produced by the discriminator of the GAN model. This semi-supervised network circumvents the need for vast data labeling and exploits the overfitting during the training stage, hence magnifying the difference between the normal patterns learned in training and the unobserved abnormal energy profiles in testing. Moreover, considering the physical aspects of the robotic manipulator, a modified GAN architecture containing multiple discriminators to account for distinct contributions from individual joints/motors. A dynamic thresholding approach that continuously updates the statistical characteristics of the anomaly score is also developed to detect outliers and mitigate the effect of environmental variations during system operation. The proposed framework is tested on the custom dataset for performance evaluation. The results demonstrate the feasibility of the proposed method, especially for detecting physical attacks, which achieves an accuracy of approximately 0.93 in instant-level detection and over 0.84 in event-level detection. © 2023 Elsevier B.V.</t>
  </si>
  <si>
    <t>Anomaly detection; Cyber–physical attack; Energy auditing; Generative adversarial network; Robotic manipulator; Side-channel mechanism</t>
  </si>
  <si>
    <t>Deep learning; Energy conservation; Energy utilization; Generative adversarial networks; Robotics; Statistics; Anomaly detection; Cyber physicals; Cybe–physical attack; Energy auditing; Energy-consumption; Network models; Physical attacks; Robotic manipulators; Side-channel; Side-channel mechanism; Anomaly detection</t>
  </si>
  <si>
    <t>Microservices and serverless functions—lifecycle, performance, and resource utilisation of edge based real-time IoT analytics</t>
  </si>
  <si>
    <t>Edge Computing harnesses resources close to the data sources to reduce end-to-end latency and allow real-time process automation for verticals such as Smart City, Healthcare and Industry 4.0. Edge resources are limited when compared to traditional Cloud data centres; hence the choice of proper resource management strategies in this context becomes paramount. Microservice and Function as a Service architectures support modular and agile patterns, compared to a monolithic design, through lightweight containerisation, continuous integration / deployment and scaling. The advantages brought about by these technologies may initially seem obvious, but we argue that their usage at the Edge deserves a more in-depth evaluation. By analysing both the software development and deployment lifecycle, along with performance and resource utilisation, this paper explores microservices and two alternative types of serverless functions to build edge real-time IoT analytics. In the experiments comparing these technologies, microservices generally exhibit slightly better end-to-end processing latency and resource utilisation than serverless functions. One of the serverless functions and the microservices excel at handling larger data streams with auto-scaling. Whilst serverless functions natively offer this feature, the choice of container orchestration framework may determine its availability for microservices. The other serverless function, while supporting a simpler lifecycle, is more suitable for low-invocation scenarios and faces challenges with parallel requests and inherent overhead, making it less suitable for real-time processing in demanding IoT settings. © 2024 The Author(s)</t>
  </si>
  <si>
    <t>The development of cloud, fog, and edge computing has led to great advances in reducing latency and saving bandwidth, and these methods have therefore been broadly applied in various domains, including healthcare, transportation, and the Internet of Things (IoT). Traditional edge computing solutions have proven to be insufficient in fulfilling the demanding prerequisites of low latency and high data rates. Additionally, publicly available edge cloud solutions fail to meet the required standards for ensuring privacy protection. Consequently, Private Edge Cloud Systems (PECSs) have garnered attention as a prospective solution owing to their capacity to mitigate privacy risks and their significant computing capacity. PECS research has seen significant growth, but there is a lack of detailed review of its issues, approaches, and applications in the literature. To explore the potential application value of PECS, this paper provides a systematic review of intelligent platforms and architecture for PECSs. Specifically, an overview of the fundamental characteristics of PECSs is provided. Second, we classify intelligent platforms and architectures and analyze their implementation techniques and realization methods. Third, we discuss four specific application scenarios. Finally, promising future research directions are discussed. The findings of this research show that PECSs can effectively meet the requirements for low latency and privacy protection and are a fertile domain for further research. © 2024 The Author(s)</t>
  </si>
  <si>
    <t>Crude oil futures prediction plays an important role in ensuring sustainable energy development. However, the performance of existing models is not satisfactory, which limits its further application. The poor performance mainly results from the lack of data mining of economic models and the poor stability of most data analysis models. To solve the above problems, this paper proposes a new dynamic model ensemble transformer (DMEformer). The model uses three different Transformer variants as base models. It not only ensures the difference of base models but also makes the prediction results of base models not to appear disparity. In addition, NSGA-II is adopted to ensemble the results of base models, which considers both the modeling stability and accuracy in the optimization. Finally, the proposed model adopts a dynamic ensemble scheme, which could timely adjust the weight vector according to the fluctuation of energy futures. It further improves the reliability of the model. Comparative experiments from the perspective of single models and ensemble models are also designed. The following conclusions can be drawn from the experimental results: (1) The proposed dynamic ensemble method can improve the performance of the base model and traditional static ensemble method by 16% and 5% respectively. (2) DMEformer can achieve better performance than 20 other models, and its accuracy and MAPE values were 72.5% and 2.8043%, respectively. (3) The proposed model can accurately predict crude oil futures, which provides effective support for energy regulation and sustainable development. © 2023 The Authors</t>
  </si>
  <si>
    <t>Internet of Things (IoT) devices are much closer to users than personal computers used in traditional computing environments. Due to prevalence of IoT devices, even if they are compromised and used in attacks, it is difficult to detect and respond to them. Currently, there has been extensive research on threat modeling for cyberattacks. However, there remains a significant gap in research concerning threat modeling for attacks specially targeting IoT devices within the fifth-generation communication environment. In this paper, we present IoT Targeting-Threat Modeling(I3TM) framework established by analyzing botnets that are appeared before 2021 such as Mirai, Pink etc. Through this framework, we identify tactics and techniques to respond to the attacks. Using the identified tactics and techniques from our proposed framework, we can promptly respond to the newly detected attacks. We constructed a Threat Modeling Framework Keyword-Based Metrics to show extracted keywords from reports, academic papers, and white paper that identifies the features of botnet. We also provide an objective way to apply those keywords to the framework. Our framework is organized to analyze the attack process of botnets that may occur against IoT. The framework derives execution for each tactic for objective analysis based on keywords. In the validation for the framework, I3TM identified eight Tactics from Medusa botnet. If the application of the I3TM framework is continuously accumulated, a baseline of similar attack methods and data will be formed. In future research, we are planning to append mitigations for the attacks targeting IoT to the I3TM framework. © 2024</t>
  </si>
  <si>
    <t>The paper presents an approach to the development of a distributed energy resources management platform based on the digital twin (DT). The platform employs advanced Industry 4.0 technologies to let users improve the power supply quality, reduce costs, and gain emerging market opportunities. The DT and the platform are designed with the viewpoint-based approach established by the systems engineering standard ISO/IEC/IEEE 42010. The typical power system DT architecture is described. The distributed energy domain ontology provides the unified semantic basis for interaction between heterogeneous models that constitute the DT. The DT-based platform architecture is represented from three key viewpoints: functional, information, and software. To formalize and ultimately automate the DT composition process, we propose novel mathematical methods based on category theory. © 2022 Elsevier B.V.. All rights reserved.</t>
  </si>
  <si>
    <t>In the last decade, the scale and speed of development for wind power in China presented an explosive growth and has been maintaining a leading position worldwide. However, rapid development, with addition of the nature of clean energy itself, is followed by the problem of energy consumption such as wind curtailment. To improve the energy efficiency, a new pattern of wind power generation, namely the non-grid-connected wind power, is gradually accessible to the public. At the same time, proposes a novel concept of ubiquitous power Internet of things (UPIoTs) to improve the energy-using environment and quality. In the context of above proposal, to research how UPIoTs promotes the consumption of wind power especially has become a crucial task. The purpose of this paper is to identify influence factors through literature review and expert interview on the basis of relationship between the referenced two. During the process of exploring effects among factors, the improved interpretative structural modeling (ISM) coupled with fuzzy order relation analysis method (fuzzy G1 method) is constructed and adopted to make up for the shortcomings of traditional method. According to the results, three factors are considered as the most influential and some suggestions are given from these three aspects, aiming at making a contribution to the solutions in theory and in practice. © 2020 Elsevier Ltd</t>
  </si>
  <si>
    <t>The increasing heterogeneity and scalability of the Internet of everything, especially, the Energy Internet (EI), is a prompt for novel engineering paradigms. The current infrastructure of hardware technologies besides the available software stack is becoming obsolete for handling the advanced requirements of the smart energy ecosystem. Accordingly, software definitions of the Internet of Things (IoT) stack functions are gaining interest to provide more flexible and scalable implementations. This paper investigates a sophisticated softwarization explicit hybrid model predictive control strategy for energy storage facility systems through the accessor design pattern. This strategy is presumed to support and facilitate the integration of higher-level analytic and control functionalities within the IoT stack at edges and nodes. Simulation is conducted with the Ptolemy II software to evaluate the execution semantics of the proposed strategy. In addition, real-time experiments on a lab-scale hydraulic tank process with both abrupt and gradual commands test scenarios showed the efficiency and reliability of the accessor-based controllers for achieving the control objectives for the benchmark storage facility with an abstract implementation. The analysis shows that this process can serve as a benchmark to mimic the charge and discharge cycles of storage elements in EI ecosystems. © 2023 The Author(s)</t>
  </si>
  <si>
    <t>This paper profiled blockchain studies in information systems (IS) journals from 2016 to 2022. Drawing on the 443 selected articles from 77 IS journals, we proposed a classification scheme from the IS perspective. Current blockchain articles are highly skewed, focusing on research agendas and system design. We proposed a theoretical framework by summarizing the current status of the blockchain literature and highlighting 15 future research questions for the IS research community. We are optimistic that the proposed framework and future research questions can guide blockchain research and advance its scale and impact. © 2023 Elsevier B.V.</t>
  </si>
  <si>
    <t>The advancement of various research sectors such as Internet of Things (IoT), Machine Learning, Data Mining, Big Data, and Communication Technology has shed some light in transforming an urban city integrating the aforementioned techniques to a commonly known term - Smart City. With the emergence of smart city, plethora of data sources have been made available for wide variety of applications. The common technique for handling multiple data sources is data fusion, where it improves data output quality or extracts knowledge from the raw data. In order to cater evergrowing highly complicated applications, studies in smart city have to utilize data from various sources and evaluate their performance based on multiple aspects. To this end, we introduce a multi-perspectives classification of the data fusion to evaluate the smart city applications. Moreover, we applied the proposed multi-perspectives classification to evaluate selected applications in each domain of the smart city. We conclude the paper by discussing potential future direction and challenges of data fusion integration. © 2019 Elsevier B.V.</t>
  </si>
  <si>
    <t>Context: The performance assessment of complex software systems is not a trivial task since it depends on the design, code, and execution environment. All these factors may affect the system quality and generate negative consequences, such as delays and system failures. The identification of bad practices leading to performance flaws is of key relevance to avoid expensive rework in redesign, reimplementation, and redeployment. Objective: The goal of this manuscript is to provide a systematic process, based on load testing and profiling data, to identify performance issues with runtime data. These performance issues represent an important source of knowledge as they are used to trigger the software refactoring process. Software characteristics and performance measurements are matched with well-known performance antipatterns to document common performance issues and their solutions. Method: We execute load testing based on the characteristics of collected operational profile, thus to produce representative workloads. Performance data from the system under test is collected using a profiler tool to create profiler snapshots and get performance hotspot reports. From such data, performance issues are identified and matched with the specification of antipatterns. Software refactorings are then applied to solve these performance antipatterns. Results: The approach has been applied to a real-world industrial case study and to a representative laboratory study. Experimental results demonstrate the effectiveness of our tool-supported approach that is able to automatically detect two performance antipatterns by exploiting the knowledge of domain experts. In addition, the software refactoring process achieves a significant performance gain at the operational stage in both case studies. Conclusion: Performance antipatterns can be used to effectively support the identification of performance issues from load testing and profiling data. The detection process triggers an antipattern-based software refactoring that in our two case studies results in a substantial performance improvement. © 2017 Elsevier B.V.</t>
  </si>
  <si>
    <t>Trubiani, Catia (24781277400); Bran, Alexander (57200072189); van Hoorn, André (26421837600); Avritzer, Alberto (7003345567); Knoche, Holger (55994547700)</t>
  </si>
  <si>
    <t>Context: Nowadays the majority of all worldwide Web traffic comes from mobile devices, as we tend to primarily rely on the browsers installed on our smartphones and tablets (e.g., Chrome for Android, Safari for iOS) for accessing online services. A market of such a large scale leads to an extremely fierce competition, where it is of paramount importance that the developed mobile Web apps are of high quality, e.g., in terms of performance, energy consumption, security, usability. In order to objectively assess the quality of mobile Web apps, practitioners and researchers are conducting experiments based on the measurement of run-time metrics such as battery discharge, CPU and memory usage, number and type of network requests, etc. Objective: The objective of this work is to identify, classify, and evaluate the state of the art of conducting measurement-based experiments on the mobile Web. Specifically, we focus on (i) which metrics are employed during experimentation, how they are measured, and how they are analyzed; (ii) the platforms chosen to run the experiments; (iii) what subjects are used; (iv) the used tools and environments under which the experiments are run. Method: We apply the systematic mapping methodology. Starting from a search process that identified 786 potentially relevant studies, we selected a set of 33 primary studies following a rigorous selection procedure. We defined and applied a classification framework to them to extract data and gather relevant insights. Results: This work contributes with (i) a classification framework for measurement-based experiments on the mobile Web; (ii) a systematic map of current research on the topic; (iii) a discussion of emergent findings and challenges, and resulting implications for future research. Conclusion: This study provides a rigorous and replicable map of the state of the art of conducting measurement-based experiments on the mobile Web. Its results can benefit researchers and practitioners by presenting common techniques, empirical practices, and tools to properly conduct measurement-based experiments on the mobile Web. © 2022 The Author(s)</t>
  </si>
  <si>
    <t>With the rise in Internet of Things (IoT) technology in recent years the amount of resource requirement of various IoT applications substantially increases. The data generated by various geo-distributed IoT devices is growing continuously. The existing IoT–Cloud paradigm limits the number of various emergent IoT applications as per the requirement. To utilize various IoT applications effectively and efficiently resource decentralization mechanism is a time of need. Fog computing is a novel computing approach for various IoT applications, specifically time-sensitive. Though, the resource-constrained nature of Fog devices in the fog computing model certainly fails to cater to multiple services for these IoT applications. The heterogeneity and dynamicity of the application request from the IoT devices need a quick decision regarding the placement of the application in the fog layer. Hence, optimal allocation of resources is quite essential for providing uninterrupted services to the end-users. This article comprehensively analyzes the different types of possible IoT application models and strategies for allocating resources to these applications. Since the resource allocation problem has already been proven to be a computationally NP-hard problem, finding a non-deterministic algorithm for allocating resources is our target. In this article, we have taken the IoT application placement problem in fog computing (APFC) as a single and multiple objective optimization problems. We have conducted a survey based on single and multiple objectives to address other possible issues in APFC. Finally, the challenges and promising directions for further research are presented. © 2023 Elsevier B.V.</t>
  </si>
  <si>
    <t>The digital landscape of the Internet of Energy (IoE) is on the brink of a revolutionary transformation with the integration of edge Artificial Intelligence (AI). This comprehensive review elucidates the promise and potential that edge AI holds for reshaping the IoE ecosystem. Commencing with a meticulously curated research methodology, the article delves into the myriad of edge AI techniques specifically tailored for IoE. The myriad benefits, spanning from reduced latency and real-time analytics to the pivotal aspects of information security, scalability, and cost-efficiency, underscore the indispensability of edge AI in modern IoE frameworks. As the narrative progresses, readers are acquainted with pragmatic applications and techniques, highlighting on-device computation, secure private inference methods, and the avant-garde paradigms of AI training on the edge. A critical analysis follows, offering a deep dive into the present challenges including security concerns, computational hurdles, and standardization issues. However, as the horizon of technology ever expands, the review culminates in a forward-looking perspective, envisaging the future symbiosis of 5G networks, federated edge AI, deep reinforcement learning, and more, painting a vibrant panorama of what the future beholds. For anyone vested in the domains of IoE and AI, this review offers both a foundation and a visionary lens, bridging the present realities with future possibilities. © 2023</t>
  </si>
  <si>
    <t>The widespread use of Internet of Things-based applications has led to the development of the fog computing paradigm, enabling seamless utilization of edge and cloud resources. The placement of IoT service requests at the appropriate fog nodes is one of the key problems in a fog-cloud environment, which affects the overall system performance and user experience. The challenges associated with service placement are the stochastic nature of service demand, heterogeneous and distributed characteristics of fog nodes. The objective of this work is to develop an effective service placement method to meet the varying resource requirements of services while optimizing two important performance parameters: service execution time and fog nodes’ energy consumption. Existing solutions are slow to adapt and neglecting the temporal patterns of service resource demand. This paper proposes a novel service placement algorithm based on double deep Q-Network and prioritized experience replay (DDQN-PER), which explores the optimal service placement strategy using the adaptive learning ability of deep reinforcement learning (DRL). The DRL agent learns the dynamic nature of the resource requirements of services to find an appropriate fog node for service placement. To evaluate the performance of the proposed algorithm, experiments are carried out using Measurement and Analysis on the WIDE Internet (MAWI) traffic traces. The proposed DDQN-PER algorithm, compared with other state-of-the-art methods and experimental results, show that the proposed method can minimize the service latency time and fog node's energy consumption from 2.5% to 8% and 6% to 17%, respectively. © 2024 Elsevier B.V.</t>
  </si>
  <si>
    <t>In recent years, Internet of Things (IoT) is closely integrated with smart agriculture, providing better technical guarantee for the growth management and yield estimation of agricultural products. In this paper, targeted at the distributed jujube orchards, we develop a federated learning-based framework for secure multi-regional yield estimation on IoT edge devices. In specific, we propose the UAVEC-FLchain framework for secure and efficient jujube yield estimation, consisting of the UAVEC module, data joint processing module, and data tracking module. Different UAV devices are used at edge terminals to collect distributed images of different jujube orchards, and the model is trained securely with federation learning and blockchain. Furthermore, we propose a method to avoid malicious node attacks by calculating the contribution of computing nodes. Experimental results indicate that as the number of participating nodes increases, the average detection accuracy improves. The results of training with 60 nodes show an 8.06 % improvement over training with 6 nodes. When facing malicious node attacks, the relative error of the proposed framework is 10.24 % lower than that with traditional federated learning. © 2024 Elsevier B.V.</t>
  </si>
  <si>
    <t>MQTT-SN a pub/sub application layer protocol is a well-established protocol in the Internet of Things (IoT) paradigm. MQTT-SN gateway application is available as an open-source contribution. Since the gateway receives unencrypted UDP traffic from sensor nodes and translates it to MQTT packets to be forwarded to the MQTT Broker, the first hop always remains vulnerable to potential cyber–physical attacks. This paper identifies potential threats to the current MQTT-SN gateway and provides security while remaining concurrent. We propose a secure gateway application, SecGW, that achieves concurrency while remaining as robust to vulnerabilities as a single BIOS. The performance of SecGW is evaluated by measuring system scalability, resilience, processing delay, and consumed power through the analysis of payload transactions and their types. The evaluation has been carried out on a low-powered IoT testbed. The results of the experimental setup show satisfactorily linear scalability of memory, fairly consistent delays, and an insignificant increase in security-attributable power consumption for an increasing number of connected clients. The packet-level analysis of traffic in an experimental setup demonstrates the resilience of SecGW through stage-wise identification and isolation of misbehaving clients. © 2024 Elsevier B.V.</t>
  </si>
  <si>
    <t>As far as home appliances are concerned, a major issue arises as malfunctions frequently go unnoticed by homeowners, consuming a significant amount of energy. Identifying this problem highlights the need for an error detection technique, which is vital to minimize energy waste while enhancing household appliance efficiency. This paper introduces an innovative method for advanced proactive anomaly detection in multi-pattern home appliances using variational autoencoders (VAE). Specifically, a CNN-LSTM based VAE integrating a novel dynamic threshold method is exploited for identifying abnormal consumption usage. The overall suggested framework is a complete integrated approach comprising a training and testing phase. Both phases are initiated from robust feature engineering to enhance the multipattern operation program classification. Additionally, a smoothing and decomposition process is applied to optimize the performance of the CNN-LSTM VAE. The efficacy of the method is evaluated on data from 26 different front-load washing machines, demonstrating its effectiveness in identifying anomaly points across various washing programs. Furthermore, compared to the same approach with a static threshold, the proposed method showed improvements of up to 11. 4% on the F1 score. Finally, simulated use case scenarios indicate a reduction of nearly 30% of energy consumption, due to error prevention. As a result, the suggested approach is a robust and applicable tool for energy and demand side management. © 2024 Elsevier B.V.</t>
  </si>
  <si>
    <t>The implementation of Industry 4.0 technologies has improved the flexibility of the entire manufacturing system. These technologies are the Internet of Things (IoT), big data, Artificial Intelligence (AI), Additive Manufacturing (AM), advanced robotics, virtual reality, cloud computing, simulation, and among others, have arisen to improve the flexibility in the entire manufacturing system. Industry 4.0 is becoming recognised as a unique industrial paradigm. It is predicated on the widespread adoption of communication and information technology, which would lead to improved organisational performance and flexibility. The incorporation of Industry 4.0 is the true game-changer in terms of flexibility and customisation. Manufacturers may utilise this technology to build digital twins of items used by consumers in the real world. The digital twin gets real-time information from sensors on the actual objects. Manufacturers benefit from digital twin and simulation technology, including predictive maintenance and making errors easier and faster to rectify. This paper discusses Industry 4.0 and its Flexible Manufacturing System (FMS) capability. Different dimensions and technologies of Industry 4.0 Practices for improving FMS performance are studied,d and then discusses several flexible approaches using Industry 4.0 technologies are. One of the most significant benefits of adopting virtual infrastructure maintained by a service provider is improved flexibility. Cloud services allow auto-scaling, which means that the underlying computer resources automatically adjust to changing utilisation rates. Industry 4.0 increases production flexibility, allowing a facility to respond to market changes quickly. A plant control system automatically varies output depending on shifting utility rates, lowering production costs. Industry 4.0 offers some incredible benefits and has gone a long way in the last several years. © 2022 The Author(s)</t>
  </si>
  <si>
    <t>Baltuttis D.; Häckel B.; Jonas C.M.; Oberländer A.M.; Röglinger M.; Seyfried J.</t>
  </si>
  <si>
    <t>The Internet of Things (IoT) is associated with enormous economic potential. To date, however, actual revenues remain below expectations. This circumstance particularly affects IoT solution providers in industrial contexts where effective value assessment is critical for market success. Since a deeper understanding of how IoT solutions create value is required to address this challenge, we develop a framework and corresponding value levers for assessing the value of IoT solutions along an archetypical yet configurable business-to-business-to-consumer (B2B2C) value chain. Taking the perspective of an IoT solution provider in the industrial context, we evaluate the framework with five such solution providers and apply the value levers for an initial value quantification. Our work extends previous research and furthers knowledge on the business value of IT and IoT. It also supports practitioners in assessing IoT value potential. © 2021 Elsevier Inc.</t>
  </si>
  <si>
    <t>Baltuttis, Dennik (57218288346); Häckel, Björn (36462447600); Jonas, Claudius Michael (57360385300); Oberländer, Anna Maria (57192692200); Röglinger, Maximilian (15923698200); Seyfried, Johannes (57192694629)</t>
  </si>
  <si>
    <t>In the last decade, there have been significant developments in the field of intelligent energy management systems (IEMSs), with various methods and new solutions proposed for managing the energy resources intelligently. An important issue related to finding the desired outcomes remains unexplored, i.e., how to determine key insights from the sparse academic literature in the age of digital publishing. To mitigate the issue, this study proposes a novel strategy to systematically survey the relevant studies by converting the sparse literature into visual presentations. We first apply a systematic approach called a PRISMA (Preferred Reporting Items for Systematic reviews and Meta-analyses) statement to provide the insights from the published literature of the past decade (2010–2020). Then, VOSviewer experiments are conducted to transform these sparse scholarly data into visual representations. In total, eighty-one papers published in high-impact journals are identified based on their scientific soundness and relevance, and a VOSviewer analysis is applied. The analysis revealed the existence of three research clusters focused on the following main thematic areas: the energy management in smart homes and smart grids (35 journal papers); the emerging concept of context-awareness (26 journal papers); and the role of privacy preservation in IEMSs (20 journal papers). This analysis uncovers the current state of IEMSs and explores existing issues, methods, findings, and gaps. Thus, future research directions have been recommended to fill the existing gaps. This systematic literature review is to assist both researchers and industry practitioners to understand the research gaps of previous studies. © 2021</t>
  </si>
  <si>
    <t>Özçevik Y.</t>
  </si>
  <si>
    <t>There has been a great effort to evaluate software quality using proper tools and methods against different development environments changing over time. Quality Model for Object Oriented Design (QMOOD) is a verified model used for quality assessment of object-oriented software. The model associates quality metrics gathered from the source code and quality attributes in use to present a quality measurement. However, the model should be revised for recent multi-client software including native client applications, because there is a deficiency of metric gathering tools in such environments. More specifically, it is sometimes not possible to gather all quality properties required by QMOOD in all native development platforms of client applications. Hence, even though different client applications have the same design, the implementation quality cannot be monitored for the quality assurance. Analyzing and simplifying the metric set may alleviate this challenge, and a convenient quality assessment might be achieved. Thus, we propose to change the operational aspect of QMOOD by inserting an additional layer, Data Analytic, to the hierarchical structure of the conventional model. Accordingly, we provide a discussion on a case study including five native client applications. For this purpose, a design quality of one of the client applications is achieved to validate the appropriateness of the design, the data analytic on the metric set are implemented and the proposed data-oriented simplified QMOOD is applied to the other client applications. Finally, it is stated that the proposed approach successfully alleviated the problems in metric gathering for multi-client applications while applying QMOOD. © 2024</t>
  </si>
  <si>
    <t>Özçevik, Yusuf (55848336100)</t>
  </si>
  <si>
    <t>Online anomaly detection is a key challenge for industrial internet of things (IIoT) applications, as anomalies may occur in data streams from sensors and cause losses or damages. However, most existing methods for online anomaly detection have limitations in efficiency, effectiveness and timeliness, especially with the massive and distributed data streams from IIoT devices. Therefore, developing a data stream processing framework to discover anomalies in time and ensure the proper operation of the system is an urgent issue for IIoT. In this paper, we propose a flexible stream processing framework that enables online anomaly detection for IIoT applications. The framework exploits a distributed computing architecture based on docker containers to improve flexibility, migration capability and customization. The framework also uses a central mediator to coordinate data stream processing tasks running on different docker nodes. Moreover, we develop a prediction-based online anomaly detection model that consists of batch model training and data stream anomaly detection processes. The model uses long short-term memory (LSTM) neural networks to predict data stream values and a dynamic sliding window method to model prediction errors and detect anomalies. We implement a case study to detect abnormal heating temperatures from an industrial heating plant and evaluate the performance of the proposed framework and anomaly detection model. The results show that our framework and model can achieve high accuracy and low latency in detecting anomalies, and they outperform existing methods in terms of scalability, efficiency and adaptability for IIoT applications. © 2023 The Author(s)</t>
  </si>
  <si>
    <t>In major Information Technology (IT) companies such as Google, Rackspace and Amazon Web Services (AWS), virtualisation and containerisation technologies are usually used to execute customers' workloads and applications. The computational resources are provided through large-scale datacenters, which consume substantial amount of energy and have, therefore, ecological impacts. Since long, Google runs users' applications in containers, Rackspace offers bare-metal hardware, whereas AWS runs them either in VMs (EC2), containers (ECS) and/or containers inside VMs (Lambda); therefore, making resource management a tedious activity. The role of a resource management system is of the greatest importance, principally, if IT companies practice various kinds of sand-boxing technologies, for instance, bare-metal, VMs, containers, and/or nested containers in their datacenters (hybrid platforms). The absence of centralised, workload-aware resource managers and consolidation policies produces questions on datacenters energy efficiency, workloads performance, and users' costs. In this paper, we demonstrate, through several experiments, using the Google workload data for 12,583 hosts and approximately one million tasks that belong to four different kinds of workload, the likelihood of: (i) using workload-aware resource managers in hybrid clouds; (ii) achieving energy and cost savings, in heterogeneous hybrid datacenters such that the workload performance is not affected, negatively; and (iii) how various allocation policies, combined with different migration approaches, will impact on datacenter's energy and performance efficiencies. Using plausible assumptions for hybrid datacenters set-up, our empirical evaluation suggests that, for no migration, a single scheduler is at most 16.86% more energy efficient than distributed schedulers. Moreover, when migrations are considered, our resource manager can save up to 45.61% energy and can improve up to 17.9% workload performance. © 2020 Elsevier Ltd</t>
  </si>
  <si>
    <t>Computational services are progressively migrating to container-based solutions due to their faster provision time and lower resource allocation overhead. Service providers rely on container multi-tenancy to share their computing infrastructure and pave their way to profit. Yet, the Quality of Service (QoS) impact due to container multi-tenancy on deployed services is still widely overlooked in the literature. This paper proposes a new service provider monitoring model for detecting container multi-tenancy that can lead to QoS degradation, split into two phases. First, we monitor the container resource usage through the container engine and the associated process namespace, thus, keeping container isolation. The main assumption is that the assessment of resource utilization, as measured by the container engine, should be complemented by the concurrent reporting of resource utilization from the container processes. Second, we detect QoS degradation of distributed containerized services through a time-series classification approach coped with a feature reduction technique. The feature reduction selects the prominent performance features from the deployed distributed service, whereas the time-series classifier ensures the evaluation of the deployed service over time, improving the system detection accuracy. Thanks to an extensive experimental assessment considering a containerized distributed Big Data processing platform, we show that container multi-tenancy can affect the processing performance and the QoS of deployed services. In addition, we show that the proposed model can detect QoS degradation at the service provider domain with a true-positive rate up to 90%, a false-positive rate of 8%, and an average F1-Score up to 0.94. © 2024</t>
  </si>
  <si>
    <t>This study addresses the growing challenges of energy consumption and the depletion of energy resources, particularly in the context of smart buildings. As the demand for energy increases alongside the need for efficient building maintenance, it becomes imperative to explore innovative energy management solutions. We present a review of Internet of Things (IoT)-based frameworks aimed at managing smart city energy consumption, the pivotal role of IoT devices in addressing these issues due to their compactness, sensing, measurement, and computing capabilities. Our review methodology involves a thorough analysis of existing literature on IoT architectures and frameworks for intelligent energy management applications. We focus on systems that not only collect and store data but also support intelligent analysis for monitoring, controlling, and enhancing system efficiency. Additionally, we examine the potential for these frameworks to serve as platforms for the development of third-party applications, thereby extending their utility and adaptability. The findings from our review indicate that IoT-based frameworks offer potential to reduce energy consumption and environmental impact in smart buildings. By adopting intelligent mechanisms and solutions, these frameworks facilitate effective energy management, leading to improved system efficiency and sustainability. Considering these findings, we recommend further exploration and adoption of IoT-based wireless sensing systems in smart buildings as a strategic approach to energy management. Our review highlights the importance of incorporating intelligent analysis and enabling the development of third-party applications within the IoT framework to efficiently meet evolving energy demands and maintenance challenges. © 2024 Elsevier Ltd</t>
  </si>
  <si>
    <t>Although research on Occupant Behavior (OB) and Occupant-Centric Control (OCC) is extensive, the actual application of OCC remains limited. This study addresses this gap by introducing a comprehensive OCC workflow and conducting a case study in an office building in Changsha, China. Firstly, three months of meteorological, indoor environmental, and energy interaction behavior data were collected by multiple IoT sensors from November 2023 to January 2024. In the second step, indoor comfort levels were analyzed according to ASHRAE standards, revealing that 15.3 % of the time during this period fell within uncomfortable intervals. Based on these findings, an OCC experiment was proposed to improve indoor comfort. A data-driven air-conditioning usage behavior model was developed. Subsequently, a two-week pre-heating experiment was conducted following the recommendations of the proposed model. For comparison, non-heating and pre-heating days were alternated. Finally, the experiment was evaluated using occupants' thermal comfort voting and energy consumption analysis. Participants' thermal comfort was recorded using five metrics and one behavioral metric via surveys. Five metrics include thermal sensation, comfort, preference and acceptance. The results indicated a significant improvement in occupant comfort levels, with acceptance ratings increasing from an average of 3.78–4.38. With pre-heating, the air conditioning energy consumption increased by 1.35 kWh per person per day, representing an increase of approximately 0.98 % overall energy usage. Additionally, a web-based platform named OBIoT was developed to integrate this workflow. These findings provide meaningful insights for improving indoor comfort and optimizing energy consumption. © 2025 Elsevier Ltd</t>
  </si>
  <si>
    <t>Ubiquitous hospitality has stimulated a rise in expeditions to inspiring getaways and extraordinary destinations. It is imperative for hotels to create a distinct and immersive experience leveraging disruptive technologies like Artificial Intelligence, Machine Learning, Internet of Things, and Blockchain, while ensuring economic affordability for patrons. This study introduces an autonomous and agile smart hotel system, DASH-Decentralized Autonomous and Smart Hotel system, operating on a pay-per-use model, meticulously tracking the usage of amenities and utilities for patrons. The proposed system is an amalgamation of Internet of Things, Robots, Artificial Intelligence, and Blockchain, each enhancing trust, transparency, and underlying operations while reducing workforce and operational costs. This work distinguishes itself by focusing on the complete automation of hotels rather than merely complementing current activities with these technologies. Method: This research hinges on an extensive literature review, deepening the understanding of contemporary hospitality systems, technological advances, and emerging trends. Building on these insights, this work employed conceptual modelling to create a robust framework for the DASH system, strategically integrating decentralization, autonomy, and intelligence. This method bridges visionary ideals with practical implementation, shaping the future of hospitality through cutting-edge technology integration. Main Findings: DASH, as a Decentralized Autonomous and Smart Hotel System, successfully integrates disruptive technologies to create an innovative and automated hospitality experience. The pay-per-use model proves effective in tracking amenity and utility usage, ensuring a cost-efficient and tailored service for patrons. The amalgamation of Internet of Things, Robots, Artificial Intelligence, and Blockchain enhances trust, transparency, and operational efficiency within the hospitality institution. The study's approach of steering towards complete hotel automation distinguishes it from existing literature, showcasing a unique and forward-thinking perspective on the implementation of disruptive technologies in the hospitality sector. © 2024 The Authors</t>
  </si>
  <si>
    <t>The multi-replica strategy can create multiple data replicas for the edge cloud system and store them in different DataNodes, which improves data availability and data service quality. However, the storage resources of DataNodes are limited and the user demand for data is time-varying, the unreasonable number of data replicas will cause a high storage burden on the file system or low data service quality. Therefore, the number of data replicas needs to be dynamically adjusted according to the actual situation. Based on this, a dynamic replica creation strategy based on the gray Markov chain is proposed. If the number of replicas needs to be increased, the newly added replicas need to be placed on the DataNodes. Considering the problem of load balancing of the DataNode during replica placement, this paper proposes a replica placement strategy based on the Fast Non-dominated Sorting Genetic algorithm. In addition, considering the problem of data replica synchronization and the data recovery of failed DataNodes in the edge cloud system, this paper proposes a delay-adaptive replica synchronization strategy and a load-balancing based replica recovery strategy. Finally, the experiments prove the effectiveness of the proposed strategies. © 2020 Elsevier Inc.</t>
  </si>
  <si>
    <t>With the advent of Internet of Things (IoT) connecting billions of mobile and stationary devices to serve real-time applications, cloud computing paradigms face some significant challenges such as high latency and jitter, non-supportive location-awareness and mobility, and non-adaptive communication types. To address these challenges, edge computing paradigms, namely Fog Computing (FC), Mobile Edge Computing (MEC) and Cloudlet, have emerged to shift the digital services from centralized cloud computing to computing at edges. In this article, we analyze cloud and edge computing paradigms from features and pillars perspectives to identify the key motivators of the transitions from one type of virtualized computing paradigm to another one. We then focus on computing and network virtualization techniques as the essence of all these paradigms, and delineate why virtualization features, resource richness and application requirements are the primary factors for the selection of virtualization types in IoT frameworks. Based on these features, we compare the state-of-the-art research studies in the IoT domain. We finally investigate the deployment of virtualized computing and networking resources from performance perspective in an edge-cloud environment, followed by mapping of the existing work to the provided taxonomy for this research domain. The lessons from the reviewed are that the selection of virtualization technique, placement and migration of virtualized resources rely on the requirements of IoT services (i.e., latency, scalability, mobility, multi-tenancy, privacy, and security). As a result, there is a need for prioritizing the requirements, integrating different virtualization techniques, and exploiting a hierarchical edge-cloud architecture. © 2020 Elsevier Inc.</t>
  </si>
  <si>
    <t>It is common sense that cloud-native applications (CNA) are intentionally designed for the cloud. Although this understanding can be broadly used it does not guide and explain what a cloud-native application exactly is. The term “cloud-native” was used quite frequently in birthday times of cloud computing (2006) which seems somehow obvious nowadays. But the term disappeared almost completely. Suddenly and in the last years the term is used again more and more frequently and shows increasing momentum. This paper summarizes the outcomes of a systematic mapping study analyzing research papers covering “cloud-native” topics, research questions and engineering methodologies. We summarize research focuses and trends dealing with cloud-native application engineering approaches. Furthermore, we provide a definition for the term “cloud-native application” which takes all findings, insights of analyzed publications and already existing and well-defined terminology into account. © 2017 Elsevier Inc.</t>
  </si>
  <si>
    <t>Context: Virtual machines provide isolation of services at the cost of hypervisors and more resource usage. This spurred the growth of systems like Docker that enable single hosts to isolate several applications, similar to VMs, within a low-overhead abstraction called containers. Motivation: Although containers tout low overhead performance, how much do they increase energy use? Methodology: This work statistically compares the energy consumption of three application workloads in Docker and on bare-metal Linux. Results: In all cases, there was a statistically significant (t-test and Wilcoxon p &lt;.05) increase in energy consumption when running tests in Docker, mostly due to the performance of I/O system calls. Developers worried about I/O overhead could consider baremetal deployments over Docker container deployments. © 2018</t>
  </si>
  <si>
    <t>Context: The Robot Operating System (ROS) is the de-facto standard for robotics software. However, ROS-based systems are getting larger and more complex and could benefit from good software architecture practices. Goal: We aim at (i) unveiling the state-of-the-practice in terms of targeted quality attributes and architecture documentation in ROS-based systems, and (ii) providing empirically-grounded guidance to roboticists about how to properly architect ROS-based systems. Methods: We designed and conducted an observational study where we (i) built a dataset of 335 GitHub repositories containing real open-source ROS-based systems, and (ii) mined the repositories to extract and synthesize quantitative and qualitative findings about how roboticists are architecting ROS-based systems. Results: First, we extracted an empirically-grounded overview of the state of the practice for architecting and documenting ROS-based systems. Second, we synthesized a catalog of 47 architecting guidelines for ROS-based systems. Third, the extracted guidelines were validated by 119 roboticists working on real-world open-source ROS-based systems. Conclusion: Roboticists can use our architecting guidelines for applying good design principles to develop robots that meet quality requirements, and researchers can use our results as evidence-based indications about how real-world ROS systems are architected today, thus inspiring future research contributions. © 2021 The Author(s)</t>
  </si>
  <si>
    <t>Internet of Things (IoT) has already proven to be the building block for next-generation Cyber–Physical Systems (CPSs). The considerable amount of data generated by the IoT devices needs latency-sensitive processing, which is not feasible by deploying the respective applications in remote Cloud datacentres. Edge/Fog computing, a promising extension of Cloud at the IoT-proximate network, can meet such requirements for smart CPSs. However, the structural and operational differences of Edge/Fog infrastructure resist employing Cloud-based service regulations directly to these environments. As a result, many research works have been recently conducted, focusing on efficient application and resource management in Edge/Fog computing environments. Scalable Edge/Fog infrastructure is a must to validate these policies, which is also challenging to accommodate in the real-world due to high cost and implementation time. Considering simulation as a key to this constraint, various software have been developed that can imitate the physical behavior of Edge/Fog computing environments. Nevertheless, the existing simulators often fail to support advanced service management features because of their monolithic architecture, lack of actual dataset, and limited scope for a periodic update. To overcome these issues, we have developed modular simulation models for service migration, dynamic distributed cluster formation, and microservice orchestration for Edge/Fog computing based on real datasets and extended the basic components of iFogSim, a widely used Edge/Fog computing simulator for their ease of adoption as iFogSim2. The performance of iFogSim2 and its built-in service management policies are evaluated using three use case scenarios and compared with the contemporary simulators and benchmark policies under different settings. Results indicate that our simulator consumes less memory and minimizes simulation time by an average of 28% when compared to other simulators. © 2022 Elsevier Inc.</t>
  </si>
  <si>
    <t>Márquez G.; Astudillo H.; Kazman R.</t>
  </si>
  <si>
    <t>Architectural tactics are a key abstraction of software architecture, and support the systematic design and analysis of software architectures to satisfy quality attributes. Since originally proposed in 2003, architectural tactics have been extended and adapted to address additional quality attributes and newer kinds of systems, making quite hard for researchers and practitioners to master this growing body of specialized knowledge. This paper presents the design, execution and results of a systematic mapping study of architectural tactics in software architecture literature. The study found 552 studies in well-known digital libraries, of which 79 were selected and 12 more were added with snowballing, giving a total of 91 primary studies. Key findings are: (i) little rigor has been used to characterize and define architectural tactics; (ii) most architectural tactics proposed in the literature do not conform to the original definition; and (iii) there is little industrial evidence about the use of architectural tactics. This study organizes and summarizes the scientific literature to date about architectural tactics, identifies research opportunities, and argues for the need of more systematic definition and description of tactics. Editor's note: Open Science material was validated by the Journal of Systems and Software Open Science Board. © 2022 Elsevier Inc.</t>
  </si>
  <si>
    <t>Márquez, Gastón (56160547700); Astudillo, Hernán (6603646692); Kazman, Rick (7004264219)</t>
  </si>
  <si>
    <t>With the ever-increasing use of games, game developers are expected to write efficient code and support several aspects such as security, maintainability, and performance. However, the need for frequent updates in game development may lead to quick-fix solutions and bad coding practices. Though unintentional, these bad practices may lead to poor program comprehension and can cause several issues during software maintenance. The quick-fix solutions might lead to technical debts due to the presence of anti-patterns and code smells, which may affect the functional and non-functional requirements of the game. To avoid such instances, game developers may need some guidelines to refer to during the game development process. Thus, to aid developers and researchers, in our previous work, we had presented an initial catalogue of anti-patterns in the domain of game development. To broaden the scope of the catalogue and diversify the instances of anti-patterns, we analyzed additional data from a Q&amp;A platform. We present 15 game-specific anti-patterns based on thematic analysis of 189 issues, 892 commits, 104 pull requests from 100 open-source GitHub game repositories, and 971 questions from Game Development Stack Exchange. We see the catalogue as an effort towards improving the development and quality of the games. The catalogue containing a detailed description of every anti-pattern with the context, problem, solution, example(s), and their occurrences on GitHub and Game Development Stack Exchange is available at https://rishalab.github.io/Catalog-of-Game-Antipatterns/. © 2023 Elsevier Inc.</t>
  </si>
  <si>
    <t>Sulír M.; Bačíková M.; Chodarev S.; Porubän J.</t>
  </si>
  <si>
    <t>Source code written in textual programming languages is typically edited in integrated development environments (IDEs) or specialized code editors. These tools often display various visual items, such as icons, color highlights or more advanced graphical overlays directly in the main editable source code view. We call such visualizations source code editor augmentation. In this paper, we present a first systematic mapping study of source code editor augmentation tools and approaches. We manually reviewed the metadata of 5553 articles published during the last twenty years in two phases – keyword search and references search. The result is a list of 103 relevant articles and a taxonomy of source code editor augmentation tools with seven dimensions, which we used to categorize the resulting list of the surveyed articles. We also provide the definition of the term source code editor augmentation, along with a brief overview of historical development and augmentations available in current industrial IDEs. © 2018</t>
  </si>
  <si>
    <t>Sulír, Matúš (56891618600); Bačíková, Michaela (55848558800); Chodarev, Sergej (54583293100); Porubän, Jaroslav (12760268000)</t>
  </si>
  <si>
    <t>Task scheduling has always been one of the crucial problem in cloud computing. With the transition of task types from static batch processing to dynamic stream processing, the dynamic online task scheduling problem has attracted widespread attention. At this stage, explore an effective task scheduling method to implement high quality of service (QoS) requests with limited resources is a considerable challenge. This paper proposes a novel scheduling algorithm called double deep Q-network task scheduling (DDQN-TS), which uses the adaptive learning ability of double deep Q-network (DDQN) to explore the optimal task scheduling strategy. Experiments conducted using the Random, Google, and Alibaba benchmarks to compare several classic algorithms show that the proposed DDQN-TS can guarantee a high task completion rate and efficiently reduce the task average response time. © 2021 Elsevier B.V.</t>
  </si>
  <si>
    <t>The success of convolutional neural networks (CNNs) has made low-latency inference services on Graphic Processing Units (GPUs) a hot research topic. However, GPUs are hardware processors with high power consumption. To have the least energy consumption while meeting latency Service-Level-Objective (SLO), batching strategy and dynamic voltage frequency scaling (DVFS) are two important solutions. However, existing studies do not coordinate them and regard CNN as a black box, which makes inference services less energy-efficient. In this paper, we propose EALI, an energy-aware layer-level adaptive scheduling framework that is comprised of a power prediction model, a layer combination strategy, and an energy-aware layer-level scheduler. The power prediction model uses classic machine learning techniques to predict fine-grained layer-level power consumption. The layer combination strategy combines multiple layers into optimization units to lower scheduling overhead and complexity. The energy-aware layer-level scheduler adaptively coordinates batching strategy and layer-level DVFS according to workloads to minimize the energy consumption while meeting SLO. Our experimental results on NVIDIA Tesla M40 and V100 GPUs show that, compared to the state-of-the-art approaches, EALI decreases energy consumption by up to 36.24% while meeting SLO. © 2022 Elsevier B.V.</t>
  </si>
  <si>
    <t>Li C.; Wang J.; Wang‎ S.; Zhang Y.</t>
  </si>
  <si>
    <t>Integrating Internet of Things (IoT) technologies in the healthcare industry represents a transformative shift with tangible benefits. This paper provides a detailed examination of IoT adoption in healthcare, focusing on specific sensor types and communication methods. It underscores successful real-world applications, including remote patient monitoring, individualized treatment strategies, and streamlined healthcare delivery. Furthermore, it delves into the intricate challenges to realizing the full potential of IoT in healthcare. This includes addressing data security concerns, ensuring seamless interoperability, and optimizing the use of IoT-generated data. The paper seeks to inspire practitioners and researchers by highlighting the practical implications of IoT in healthcare, emphasizing the ways IoT can enhance patient care, resource allocation, and overall healthcare efficiency. © 2023 The Authors</t>
  </si>
  <si>
    <t>Li, Chunyan (56347006800); Wang, Jiaji (57315667600); Wang‎, Shuihua (36544650700); Zhang, Yudong (35786830100)</t>
  </si>
  <si>
    <t>Uzun S.; Yildiz E.; Arslantaş H.</t>
  </si>
  <si>
    <t>This study emphasizes how important accurate prediction of channel temperatures in nuclear reactors is for safety and operational efficiency. While traditional methods require long and complex processes such as kernel modeling and mathematical simulations, artificial neural networks (ANN) provide more efficient predictions by accelerating this process. The superior ability of ANNs to process large data sets is intended to demonstrate that this study will provide a valuable alternative compared to conventional methods and increase the accuracy of reactor temperature predictions. In this study, the training performances of Artificial Neural Network (ANN) developed to determine the nuclear reactor channel temperature with different hyperparameter combinations were analysed. It was conducted several experimental studies to assess the influence of hyperparameters on our model for nuclear reactor parameter data prediction. The training and validation results indicates that learning rate, hidden layer sizes and number have critical effects for the more precisive prediction. It was observed that models with a learning rate of 0.05 and 0.5 achieved successful learning with less fluctuation in training and validation errors. When looking at hidden layer sizes, networks with 32 and 64 neurons performed better than networks with 16 neurons. For the test phase our model can successfully predict data with slight error margin. As a result, we demonstrated that neural networks are a powerful tool in nuclear reactor channel temperature prediction through our proposed model. © 2024 Elsevier B.V.</t>
  </si>
  <si>
    <t>Uzun, Sinem (57223227807); Yildiz, Eyyüp (57205617316); Arslantaş, Hatice (57200284164)</t>
  </si>
  <si>
    <t>Edge computing brings computing and storage resources close to end-users to support new applications and services that require low network latency. It is currently used in a wide range of industries, from industrial automation and augmented reality, to smart cities and connected vehicles, where low latency, data privacy, and real-time processing are critical requirements. The latency of accessing applications in edge computing must be consistently below a threshold of a few tens of milliseconds to maintain an acceptable experience for end-users. However, the latency between users and applications can vary considerably depending on the network load and mode of wireless access. An application provider must be able to guarantee that requests are served in a timely manner by their application instances hosted in the edge despite such latency variations. This article focuses on the placement and traffic allocation problem faced by application providers in determining where to place application instances on edge nodes such that requests are served within a certain deadline. It proposes novel formulations based on robust optimization to provide optimal plans that protect against latency variations in a configurable number of network links. The robust formulations are based on two different types of polyhedral uncertainty sets that offer different levels of protection against variations in latency. Extensive simulations show that our robust models are able to keep the number of chosen edge nodes low while reducing the number of latency violations as compared to a deterministic optimization model that only considers the average latency of network links. © 2024 The Authors</t>
  </si>
  <si>
    <t>Nowadays, Internet of things has become as an inevitable aspect of humans’ IT-based life. A huge number of geo-distributed IoT enabled devices such as smart phones, smart cameras, health care systems, vehicles, etc. are connected to the Internet and manage users’ applications. The IoT applications are generally time sensitive, so that giving them up to Cloud and receiving the response may violate their required deadline, due to distance between user device and centralized Cloud data center and consequently increasing network latency. Fog environment, as an intermediate layer between Cloud and IoT devices, brings a smaller scales of Cloud capabilities closer to user location. Processing real time applications in Fog layer helps more deadlines to be met. Although Fog computing enhances quality of service parameters, limited resources and power of Fog nodes is a challenge in processing applications. Furthermore, the network latency is still an issue for communications between applications’ services and between user device and Fog node, which seriously threatens deadline condition. Regarding to mentioned points, this paper proposes a 3-partite deadline-aware applications’ services placement optimization model in Fog environment which optimizes total power consumption, total resources wastage, and total network latency, simultaneously. The proposed model prioritizes applications in 3 levels based on their associated deadline, and then the model is solved using a parallel model of first fit decreasing and genetic algorithm combination. Simulations results indicates the superiority of proposed approach against counterpart algorithms in terms of reducing power consumption, resource wastage, network latency, and service rejection rate. © 2023 Elsevier B.V.</t>
  </si>
  <si>
    <t>In mobile edge computing (MEC), quality of service (QoS) is closely related to optimizing service placement strategies, which is crucial to providing efficient services that meet user needs. However, due to the mobility of users and the energy consumption limit of edge servers, the existing policies make it difficult to ensure the QoS level of users. In this paper, a novel genetic algorithm based on a simulated annealing algorithm is proposed to balance the QoS of users and the energy consumption of edge servers. Finally, the effectiveness of the algorithm is verified by experiments. The results show that the QoS value obtained by the proposed algorithm is closer to the maximum value, which has significant advantages in improving QoS value and resource utilization. In addition, in software development related to mobile edge computing, our algorithm helps improve the program's running speed. © 2024 Elsevier B.V.</t>
  </si>
  <si>
    <t>Real-world applications requiring real-time responsiveness frequently rely on energy-intensive and compute-heavy neural network algorithms. Strategies include deploying distributed and optimized Deep Neural Networks on mobile devices, which can lead to considerable energy consumption and degraded performance, or offloading larger models to edge servers, which requires low-latency wireless channels. Here we present Furcifer, a novel middleware that autonomously adjusts the computing strategy (i.e., local computing, edge computing, or split computing) based on context conditions. Utilizing container-based services and low-complexity predictors that generalize across environments, Furcifer supports supervised compression as a viable alternative to pure local or remote processing in real-time environments. An extensive set of experiments coversdiverse scenarios, including both stable and highly dynamic channel environments with unpredictable changes in connection quality and load. In moderate-varying scenarios, Furcifer demonstrates significant benefits: achieving a 2x reduction in energy consumption, a 30% higher mean Average Precision score compared to local computing, and a three-fold FPS increase over static offloading. In highly dynamic environments with unreliable connectivity and rapid increases in concurrent clients, Furcifer's predictive capabilities preserves up to 30% energy, achieving a 16% higher accuracy rate, and completing 80% more frame inferences compared to pure local computing and approaches without trend forecasting, respectively. © 2025 The Authors</t>
  </si>
  <si>
    <t>This study focuses in contributing a literature on software functionality service area. We aim to provide an overview of software functionality service related to its research activity, investigated the major themes and identified the focus on its sub-characteristics addressed. In doing this, we employed a Systematic Literature Review (SLR) approach by reviewing all relevant articles from four online databases (i.e., IEEE, Springer, ScienceDirect and EmaraldInsight) and finally identified only 79 relevant articles to our research questions. We categorized the articles into its major themes discussed and its sub-characteristics addressed. It is found that there are increased of researched related to software functionality service for the last five years mainly in functionality service development while there is still lack of research coverage on functional compliance sub-characteristics. Future work should be included of reviewing a greater number of articles from more various types of journal and workshop. © 2018 The Authors.</t>
  </si>
  <si>
    <t>Since cloud computing becoming the trend, the way servers being implemented slowly moves to the cloud. Companies did not need to buy a physical server machine to deploy an app. Having a private server on cloud infrastructure indeed already reduce some cost for on-premise server maintenance. However, there is still a cost for usage when the server is inactive or having low to no traffic at all. Serverless deployment offer function as a service where application is deployed as a function and cost is billed per function call. This paper proposed a solution where there are two deployment that works in turn between infrastructure as a service and function as a service deployment. This dual deployment offered the system to use the virtual private server or deployed instance on active hours, and switch to serverless functions on inactive hours. Switching to serverless on low traffic hours will cut the usage and cost of the microservice app by the least 25%, while having performance slightly comparable to microservice app deployed to instances. © 2022 Elsevier B.V.. All rights reserved.</t>
  </si>
  <si>
    <t>González Chávez C.A.; Unamuno G.; Despeisse M.; Johansson B.; Romero D.; Stahre J.</t>
  </si>
  <si>
    <t>The machine tool industry plays a major role in the execution of high-quality and efficient complex manufacturing processes. The adoption of digital technologies can transform production systems into more connected, adaptive, efficient, and potentially sustainable systems. A key enabler of this transformation is servitization, a business model that builds on digitalization and data capture to deliver value through services. Digital services for machine tools typically use data obtained through highly connected manufacturing environments, providing visibility of complex lifecycles, and enabling better decision-making. However, an understanding of digital servitization to support the machine tools industry is still emerging and for most industrial actors the potential risks are unclear. The findings of this study describe potential applications of digital servitization in the machine tool industry, synthesize the identified risks from practitioners’ perspectives, and provide mitigation and contingency activities. This study contributes to bridging the gap between theory and practice by clarifying companies’ needed considerations before implementing digital services in the machine tool industry. © 2022</t>
  </si>
  <si>
    <t>González Chávez, Clarissa A. (57210392707); Unamuno, Gorka (56166698300); Despeisse, Mélanie (55510095500); Johansson, Björn (58084901200); Romero, David (55828150491); Stahre, Johan (8568420500)</t>
  </si>
  <si>
    <t>Wireless Mesh Networks (WMNs) are vital to modern infrastructure, and attacks on WMNs can lead to paralysis of interdependent systems, causing significant social and economic consequences. However, existing studies often assume all attacks coincide, focusing on cascading failures from a single perspective while neglecting specific attack strategies. This study is the first to apply sequential attack strategies to WMNs and conduct a comparative analysis with synchronous strategies. First, we propose a system model for WMNs that incorporates path loss and link capacity, representing real-world scenarios. Secondly, we introduce two novel reliability metrics, transmission reliability and reliability degradation rate, to quantify the impact of attacks. In the final case study, we analyze the effects of synchronous and sequential attack strategies under four node attack rules. Results reveal that sequential attack strategies dynamically identify and exploit critical nodes, causing prolonged degradation of transmission reliability and amplifying cascading failures. Compared to synchronous attack strategies, sequential attack strategies increase the global reliability degradation rate and reliability degradation rate during the attack phase by 28.62 % and 55.36 %, respectively. Therefore, sequential attack strategies should combine these two node attack rules to achieve maximum impact. These findings confirm that the proposed sequential attack strategy effectively disrupts network performance and provides meaningful insights for developing WMN defense strategies. © 2025</t>
  </si>
  <si>
    <t>Graph convolutional network (GCN) has been used to capture spatial correlation between multiple sensors for better performance of short-term water demand forecasting, which is essential for the implementation of smart water such as optimal scheduling and anomaly detection. However, the GCN assumes every sensor's importance to be the same and describes the spatial correlation purely from a data perspective. To resolve the two issues that affect prediction accuracy, this study proposes a weighting strategy and develops a spatial correlation-based GCN (SCGCN) prediction model. Self-attention mechanism is used to comprehensively analyze water demand data of every sensor and flow resistance between sensors (i.e., head loss along pipes), generating spatial correlation coefficients with the consideration of hydraulics. Then the coefficients are used as weights to aggregate neighboring sensors’ data, extracting accurate input features for the SCGCN model. The study utilized real monitoring data to develop the SCGCN model and compare it with a traditional artificial neural network (ANN) model. Results show that the SCGCN model can outperform the ANN model, especially for multi-step prediction. The root mean square errors of 30, 45, and 60 min multi-step prediction cases are reduced by 4.4% to 9.2% for different sensors. © 2023</t>
  </si>
  <si>
    <t>Edge computing is an emerging paradigm to enable low-latency applications, like mobile augmented reality, because it takes the computation on processing devices that are closer to the users. On the other hand, the need for highly scalable execution of stateless tasks for cloud systems is driving the definition of new technologies based on serverless computing. In this paper, we propose a novel architecture where the two converge to enable low-latency applications: This is achieved by offloading short-lived stateless tasks from the user terminals to edge nodes. Furthermore, we design a distributed algorithm that tackles the research challenge of selecting the best executor, based on real-time measurements and simple, yet effective, prediction algorithms. Finally, we describe a new performance evaluation framework specifically designed for an accurate assessment of algorithms and protocols in edge computing environments, where the nodes may have very heterogeneous networking and processing capabilities. The proposed framework relies on the use of real components on lightweight virtualization mixed with simulated computation and is well-suited to the analysis of several applications and network environments. Using our framework, we evaluate our proposed architecture and algorithms in small- and large-scale edge computing scenarios, showing that our solution achieves similar or better delay performance than a centralized solution, with far less network utilization. © 2019 Elsevier B.V.</t>
  </si>
  <si>
    <t>Recently, a great development has occurred in the communication networks, in which the trend of development is towards automation and flexible network structure. In addition, the stages of telecommunication development are conventionally divided from manual switching to flexible virtualized architecture, to which telecommunications operators have resorted. Furthermore, in the context of the 3rd generation partnership project (3GPP) standards framework, the network function virtualization (NFV) with might and main has been evaluated by telecom operators and shows that the efficiency of the topology can be significantly improved. However, it is difficult to organize ultra-reliable low-latency communication (URLLC) and massive machine type communications (mMTC) services within 5G, due to the topology centralization. Moreover, network monitoring, in particular of carrier-class equipment, reveals that there is no ideal static network topology in which the network and its elements have been uniformly loaded over a long service time. Therefore, in this study, a dynamic network topology and service placement is proposed to analyze and predict services, in which Genetic Algorithm (GA) is utilized. In addition, an efficient forecasting and live migration methods of service as an application to edge computing systems are introduced, where this approach can be used in the systems with an intelligent allocation of operator equipment resources for providing flexibility and high-quality topological organization. Finally, simulation results proved that the network equipment efficiency can significantly be increased by more than 30%. © 2021 Elsevier B.V.</t>
  </si>
  <si>
    <t>Several scenarios that use the Internet of Drones (IoD) networks require a Fog paradigm, where the Fog devices, provide time-sensitive functionality such as task allocation, scheduling, and resource optimization. The problem of efficient task allocation/scheduling is critical for optimizing Fog-enabled Internet of Drones performance. In recent years, many articles have employed meta-heuristic approaches for task scheduling/allocation in Fog-enabled IoT-based scenarios, focusing on network usage and delay, but neglecting execution time. While promising in the academic area, metaheuristic have many limitations in real-time environments due to their high execution time, resource-intensive nature, increased time complexity, and inherent uncertainty in achieving optimal solutions, as supported by empirical studies, case studies, and benchmarking data. We propose a task allocation method named F-DTA that is used as the fitness function of two metaheuristic approaches: Particle Swarm Optimization (PSO) and The Krill Herd Algorithm (KHA). We compare our proposed method by simulation using the iFogSim2 simulator, keeping all the settings the same for a fair evaluation and only focus on the execution time. The results confirm its superior performance in execution time, compared to the metaheuristics. © 2024 The Authors</t>
  </si>
  <si>
    <t>Edge computing, by pushing resources closer to the network's edge, is revolutionizing data processing, enabling real-time analysis and localized decision-making on resource-constrained devices. However, designing and validating innovative solutions within this dynamic environment presents significant challenges. While numerous edge simulators exist, their shortcomings often restrict researchers’ ability to address their research questions. Many of them serve specific use cases (e.g., small scale scenarios, static application placement, etc.), lacking the breadth and flexibility needed for diverse research requirements. Furthermore, the lack of benchmarking studies complicates the process of selecting the right simulators for a specific need. This study addresses these limitations by presenting a comprehensive evaluation of 24 edge computing simulators, filling a critical gap in the literature. We propose a robust methodology that assesses the simulators based on functionality, maintenance, scalability, reliability, efficiency, and usability. Our study provides clear classifications and comparisons of the simulators to assist researchers in selecting the most suitable one for their edge computing scenarios. Additionally, we identify and discuss opportunities and challenges for advancing the current state of the art in edge simulation, highlighting potential areas for future research. © 2024 Elsevier B.V.</t>
  </si>
  <si>
    <t>Mobile Cloud Computing (MCC) results from the evolution of several Internet-based technologies that allow mobile consumers to gain cloud computing advantages and attain green computing by utilizing their cellphones. MCC's use may be restricted because of increasing energy utilization and restricted access to energy supplies. This challenge may be tackled using the green approach, which entails the development of several algorithms or approaches to attain the highest possible degree of service quality. Several techniques in this idea allow consumers to offload data processing and storage to cloud-based servers to reduce the energy utilization of mobile nodes. Offloading is an essential element that helps MCC reduce task load and optimize data storage utilizing a cloud resource pool. Regarding the advantages of the offloading procedure, issues such as reliability (node failure), energy efficiency (energy consumption, task processing), and time management (execution time and task deadline) must be handled. This work presents a unique offloading approach in green MCC depending on a hybrid meta-heuristic algorithm because of the NP-Hard nature of the issue. The African Wild Dog Algorithm (AWDA) and the cellular learning automata technique are merged to generate better responses. AWDA is based on the cooperative hunting behavior of African wild dogs. The quantity of cooperative hunters determines the efficacy of hunting. The optimization procedure is analogous to this collective hunting behavior. Furthermore, a learning automaton in the cellular learning automata technique describes each of these components. An element's learning automaton seeks to discover which action best complements its surrounding components. The simulation findings illustrated that the suggested hybrid technique outperforms the other algorithms regarding energy consumption, delay time, and cost. The proposed algorithm has improved the delay time, cost, and energy metric by 0.43%, 3.17%, and 8.37%, compared to other algorithms. © 2022 Elsevier Inc.</t>
  </si>
  <si>
    <t>In this article, we propose Palisade, a distributed framework for streaming anomaly detection. Palisade is motivated by the need to apply multiple detection algorithms for distinct anomalies in the same scenario. Our solution blends low latency detection with deployment flexibility and ease-of-modification. This work includes a thorough description of the choices made in designing Palisade and the reasons for making those choices. We carefully define symptoms of anomalies that may be detected, and we use this taxonomy in characterizing our work. The article includes two case studies using a variety of anomaly detectors on streaming data to demonstrate the effectiveness of our approach in an embedded setting. © 2020 Elsevier B.V.</t>
  </si>
  <si>
    <t>Computing systems continue to evolve, resulting in increased performance when processing workloads in large data centers due to the virtualization benefits. This technology is the key factor that allows multiple applications to share resources, thereby enhancing the overall hardware utilization of cloud computing environments. However, multiple cloud-services contending for shared resources are susceptible to cross-application interference, which can lead to significant performance degradation and, consequently, an increase in Service Level Agreements violations. Nevertheless, state-of-the-art resource scheduling still relies mainly on resource capacity, adopting heuristics such as bin-packing and overlooking this source of overhead. But in recent years, interference-aware scheduling has gained traction, with the investigation of ways to classify applications regarding their interference levels and the proposal of static interference models and policies for scheduling co-hosted cloud applications. The preliminary results already show a considerable improvement in resource utilization and can be considered as the first steps toward a dynamic scheduling strategy. In this scenario, this paper proposes a machine learning-driven classification scheme for dynamic interference-aware resource scheduling in cloud computing environments. The main goal is to present how a classification approach, that better represents the workload variations, affects resource scheduling. In the first place, we analyze how hardware resources react to different applications with dynamic workloads. Then, we explore distinct interference classification formats and evaluate their efficiency, taking the dynamic nature of cloud workloads into account. Lastly, we present an interference-aware application classifier based on machine learning techniques and compare it with related work, adopting a variety of workload patterns. Preliminary results revealed an improvement in resource utilization efficiency by 27%, on average, when applying our classification approach in cloud infrastructures. © 2021 Elsevier B.V.</t>
  </si>
  <si>
    <t>Meyer, Vinícius (57209336662); Kirchoff, Dionatrã F. (57205188934); Da Silva, Matheus L. (57216949549); De Rose, Cesar A.F. (14021022000)</t>
  </si>
  <si>
    <t>Energy efficiency has become a major focus in optimizing hardware resource usage for Cloud servers. One approach widely employed to enhance the execution of parallel applications is thread-level parallelism (TLP) exploitation. This technique leverages multiple threads to improve computational efficiency and performance. However, the increasing heterogeneity of resources in cloud environments and the complexity of selecting the optimal configuration for each application pose a significant challenge to cloud users due to the massive number of possible configurations and the need to effectively harness TLP in diverse hardware setups to achieve optimal energy efficiency and performance. To address this challenge, we propose TLP-Allocator, an artificial neural network (ANN) optimization strategy that uses hardware and software metrics to build and train an ANN model. It predicts worker node and thread count combinations that provide optimal energy-delay product (EDP) results. In experiments using ten well-known applications on a private cloud with heterogeneous resources, we show that TLP-Allocator predicts combinations that yield EDP values close to the best achieved by an exhaustive search. It also improves the overall EDP by 38.2% compared to state-of-the-art workloads scheduling on cloud environments. © 2024 Elsevier B.V.</t>
  </si>
  <si>
    <t>de Lima, Everton C. (57247934300); Rossi, Fábio D. (55482352100); Luizelli, Marcelo C. (56516976700); Calheiros, Rodrigo N. (15769041200); Lorenzon, Arthur F. (55561944100)</t>
  </si>
  <si>
    <t>Industry 4.0 is an important contributor to industrial innovation and sustainability. Nevertheless, few studies empirically analyse how it acts as a binding force of both business practices. This study examines 1501 sustainability reports using a mixed human-artificial intelligence method based on Python's text mining libraries. This method takes advantage of AI's capabilities to extract information from large samples of data and of human critical thinking to find patterns in those data. Specifically, the method is used to evaluate the adoption of Industry 4.0 technologies, analyse how they are deployed worldwide, and investigate their sustainability outcomes. In terms of overall frequency, robots and cybersecurity are the most often reported technologies. Broken down by the firm's region, Asian firms have the highest rate of adoption, while African firms are lagging. Regarding the themes, Industry 4.0 is mainly adopted to improve production processes and customer experience. A small percentage of firms, particularly in Europe and North America, utilize Industry 4.0 to reduce the environmental footprint of their operations. Furthermore, results indicate that Industry 4.0 and sustainability are following two routes. Some firms have massively adopted Industry 4.0 to increase operational efficiency and reaped environmental gains as an indirect consequence of improved operations. Others have chosen to balance the adoption of technologies aimed to increase productivity with innovations whose explicit aim is the reduction of their operations' environmental footprint, such as additive manufacturing. Eastern firms tend to follow the first route while western firms the second. African and South American firms are still at a very early stage in their Industry 4.0 and sustainability journey. At the global level, Industry 4.0 is still far from being utilized as a catalyst to develop sustainability-driven business models. © 2023 Elsevier Inc.</t>
  </si>
  <si>
    <t>The management and governance of our surface waters is core to life and prosperity on our planet. However, monitoring data are not available to many potential users and the disparate nature of water bodies makes consistent monitoring across so many systems difficult. While satellite Earth observation (EO) offers solutions, there are numerous challenges that limit the use of satellite EO for water monitoring. To understand the perceptions of using satellite EO for water quality monitoring, a survey was conducted within academia and the water quality management sector. Study objectives were to assess community understanding of satellite EO water quality data, identify barriers in the adoption of satellite EO data, and analyse trust in satellite EO data. Most (40 %) participants were beginners with little understanding of satellite EO. Participants indicated problems with satellite EO data accessibility (31 %) and interpretability (26 %). Results showed a high level of trust with satellite EO data and higher trust with in-situ EO data. This study highlighted the gap between water science, applied social science, and policy. A transdisciplinary approach to managing water resources is needed to bridge water disciplines and take a key role in areas such as social issues, knowledge brokering, and translation. © 2023 The Authors</t>
  </si>
  <si>
    <t>Smart city transitions are a fast-proliferating example of urban innovation processes, and generating the insight required to support their unfolding should be a key priority for innovation scholars. However, after decades of research, governance mechanisms remain among the most undertheorized and relatively overlooked dimensions of smart city transitions. To address this problem, we conduct a systematic literature review that connects the fragmented knowledge accumulated through the observation of smart city transition dynamics in 6 continents, 43 countries, and 146 cities and regions. Our empirical work is instrumental in achieving a threefold objective. First, we assemble an overarching governance framework that expands the theoretical foundations of smart city transitions from an innovation management perspective. Second, we elaborate on this framework by providing a thorough overview of documented governance practices. This overview highlights the strengths and weaknesses in the current approaches to the governance of smart city transitions, leading to evidence-based strategic recommendations. Third, we identify and address critical knowledge gaps in a future research agenda. In linking innovation theory and urban scholarship, this agenda suggests leveraging promising cross-disciplinary connections to support more intense research efforts probing the interaction patterns between institutional contexts, urban digital innovation, and urban innovation ecosystems. © 2023</t>
  </si>
  <si>
    <t>The structural responses of segmental lining to the construction loads during shield tunneling are not well understood yet. To this end, a hybrid sensing method is proposed to understand the mechanical responses of tunnel lining to the construction loads via a wireless sensor network (WSN) and machine learning algorithms. Firstly, the displacement of tunnel lining is monitored in real-time during construction by using the WSN. The rotation of the whole segmental ring is found for the first time based on the in-situ data. A refined three-dimensional numerical model is then applied to investigate the additional stress of segmental rings under such a new deformation mode. Subsequently, a scenario-based construction database is established, including 130 numerical cases of load conditions. For the dynamic control of shield tunneling, an efficient multi-layer perception surrogate model is proposed with the help of the established database. The additional stress state of segmental rings is sensed on-site in a hybrid mode efficiently, both from real structural responses via WSN and the construction parameters via surrogate model. Meanwhile, the construction parameters can be adjusted timely if the additional stress exceeds its limit. For the case study of this paper, with the measured maximum ring rotation at 0.25° and the maximum arc length of circumferential misalignment between two adjacent rings at 7.1 mm, an additional rotation-induced stress of 19.34*103 kN/m2, i.e., 39% of the concrete compressive strength, is found for the first time at longitudinal bolt holes of segmental rings, which has not been considered but should be emphasized in the future design practice. © 2023</t>
  </si>
  <si>
    <t>Time-efficient route planning is a significant research area of Internet of Vehicular Things. Optimal route selection is important to reach the destination in minimal time. Further, energy efficiency is vital for route planning in a sustainable environment. To address these issues, this paper proposes a federated learning and genetic algorithm-based green edge computing framework for optimal route planning in Internet of Vehicular Things. The vehicles are connected to the road side unit. The road side unit processes the image and video of the road, and predicts the number of vehicles on the road. For video processing Region-based Convolutional Neural Network is used. The road side units send the result and the local model parameters to the regional server. The regional server determines the optimal route using modified genetic algorithm, and sends it to the vehicles and the cloud. Also, the regional server updates its model and sends the updated model parameters to the road side units. The road side units update their local models accordingly. The regional server also sends the model parameters to the cloud, and the cloud updates the global model. The cloud sends the updated model parameters to the regional servers. The regional servers update their models accordingly. The results present that above 90% accuracy is achieved by the proposed model. The results also present that using modified GA the proposed approach reduces time and power consumption to find the optimal route by ∼62% and ∼66% than the cloud-only model. © 2024 Elsevier Inc.</t>
  </si>
  <si>
    <t>Contrary to popular belief, agriculture is becoming more data-driven with artificial intelligence and Internet-of-Things (IoT) playing crucial roles. In this paper, the integrated processing executed by various sensors combined as an IoT pack and driving an intelligent agriculture management system designed for rainfall prediction and fruit health monitoring have been included. The proposed system based on an AI aided model makes use of a Convolutional Neural Network (CNN) with long short-term memory (LSTM) layer for rainfall prediction and a CNN with SoftMax layer along with a few deep learning pre-trained models for fruit health monitoring. Another model that works as a combined rainfall predictor and fruit health recognizer is designed using a CNN + LSTM and a multi-head self-attention mechanism which proves to be effective. The entire system is cloud resident and available for use through an application. © 2024, The Author(s).</t>
  </si>
  <si>
    <t>In the rapidly growing Internet of Things (IoT) landscape, federated learning (FL) plays a crucial role in enhancing the performance of heterogeneous edge computing environments due to its scalability, robustness, and low energy consumption. However, one of the major challenges in such environments is the efficient selection of edge nodes and the optimization of resource allocation, especially in dynamic and resource-constrained settings. To address this, we propose a novel architecture called Multi-Edge Clustered and Edge AI Heterogeneous Federated Learning (MEC-AI HetFL), which leverages multi-edge clustering and AI-driven node communication. This architecture enables edge AI nodes to collaborate, dynamically selecting significant nodes and optimizing global learning tasks with low complexity. Compared to existing solutions like EdgeFed, FedSA, FedMP, and H-DDPG, MEC-AI HetFL improves resource allocation, quality score, and learning accuracy, offering up to 5 times better performance in heterogeneous and distributed environments. The solution is validated through simulations and network traffic tests, demonstrating its ability to address the key challenges in IoT edge computing deployments. © The Author(s) 2024.</t>
  </si>
  <si>
    <t>S. Čaušević; S. Sharma; S. Ben Aziza; A. van der Veen; E. Lazovik</t>
  </si>
  <si>
    <t>This paper introduces an innovative conceptual framework for an Energy Internet of Things (eIoT) platform designed to address challenges related to grid congestion, voltage limit violations, and the growing demands on low-voltage grids due to increased electrification in the energy and heating sectors. The proposed platform seamlessly integrates cutting-edge technologies including advanced data collection, state estimation algorithms, AI-driven decision-making processes, and grid control functionalities. Its primary objective is to facilitate proactive measures aimed at enhancing energy distribution efficiency and effectively managing consumption devices while ensuring compliance with regulatory standards such as §14a of the Energy Industry Act (EnWG) in Germany.</t>
  </si>
  <si>
    <t>L. Fiedler; M. Schmidt; P. Schegner; S. Reichardt; M. Weisenstein; U. Schmidt; T. Wagner; H. Hänchen; L. Braun; L. Menke</t>
  </si>
  <si>
    <t>Digitechnetz – a smart grid platform enabling an active operation of low voltage distribution grids</t>
  </si>
  <si>
    <t>Low-power wide area networks (LPWANs) are gaining momentum within Internet of Things circles, thanks to their inherent capabilities to simplify network topologies and increase coverage in low-rate and low-power communications. This study focuses on a specific LPWAN technology, namely Long Range Wireless Area Network (LoRaWAN), which is being widely investigated by the research community worldwide. LoRaWAN offers many noticeable features, including wide coverage areas, security by design, power consumption and bandwidth optimisation, and a high degree of flexibility and reconfigurability. Unfortunately, in spite of these valuable characteristics, LoRaWAN appliances are often closed source and proprietary. To bridge the gap, this study proposes a prototype, which has been designed and set up using open low-cost experimental boards and programming tools, only. Moreover, an experimental campaign has been carried out in order to demonstrate the effectiveness of the developed platform. © The Institution of Engineering and Technology 2018.</t>
  </si>
  <si>
    <t>The Smart Grid is being improved daily for greater efficiency and is developing as the world's smartest technology. One method to improve the efficacy or efficiency of smart grid (SG) technology is to integrate alternative renewable energy sources into it. This research has looked at the possibility of integrating alternative energy sources with Smart Grid technology. One of these alternate energy sources is wind power. This study gives an overview of various factors that are considered while integrating wind energy into the smart grid. The efficiency and performance will increase if alternative energy sources can be linked to the Smart Grid based on certain parameters like continuous forecasting and how that is impacting the smart grid, controlling and managing strategies, etc. Several challenges will occur after successful integration of wind energy. The challenges, economic aspects and environmental benefits are addressed in this research. For further improvement of smart grids in the future, the excess energy that is generated needs to be stored in energy storage systems. In this research study, all of these subjects have been covered. © 2024 Author(s).</t>
  </si>
  <si>
    <t>Wearable computers can be used in different domains including healthcare. However, due to suffering from challenges such as faults their applications may be limited in real practice. So, in designing wearable devices, designer must take into account fault tolerance techniques. This study aims to investigate the challenging issues of fault tolerance in wearable computing. For this purpose, different aspects of fault tolerance in wearable computing namely hardware, software, energy, and communication are studied; and state of the art research regarding each category is analysed. In this analysis, the performed works using the fault tolerance techniques are included in the form of 25 components and referred to as “fault tolerance plan”. Using this fault tolerance plan and the appropriate profile, the fault tolerance of any wearable system can be evaluated. In this article, fault tolerances of several of the most prominent works conducted in the field of wearable computing were evaluated. The obtained results, with the medical profile, showed that only one wearable system had a fault tolerance of 91%, with the other systems having a fault tolerance of 24% or less. Also, the results obtained from evaluating these works, with the military profile, showed that only one wearable system had a fault tolerance of 76%, with the other systems having a fault tolerance of 19% or less. These mean that few studies have been conducted on the fault tolerance of wearable computing. © 2024 Informa UK Limited, trading as Taylor &amp; Francis Group.</t>
  </si>
  <si>
    <t>Digital twins in manufacturing: systematic literature review for physical–digital layer categorization and future research directions</t>
  </si>
  <si>
    <t>Modern technologies and recently developed digital solutions make their way into all aspects of lives of individuals and businesses, and manufacturing industry is no exception. In the era of digital revolution of industry, manufacturing processes can benefit from digitalization technologies immensely. Digital twin (DT) is a technology concept that aims to create a digital mirror of a physical system with a constant data flow between two components. This idea can be used for monitoring and optimization of the present system as well as forecasting and estimating future states of it. There have been theoretical and practical studies conducted on DT in manufacturing area. This systematic literature review (SLR) aims to summarize the current state of literature and shine a light on open areas for future research. Using a rigorous SLR method, 247 relevant studies from 2015 to 2020 are examined to answer a set of research questions. The current state of DT in manufacturing literature is analyzed and explained with an emphasis on where the future studies may go in this area. © 2022 Informa UK Limited, trading as Taylor &amp; Francis Group.</t>
  </si>
  <si>
    <t>The 4th industrial revolution has connected machines and industrial plants, facilitating process monitoring and the implementation of predictive maintenance (PdM) systems that can save up to 60% of maintenance costs. Nowadays, most PdM research is carried out with expert systems and data-driven algorithms, but it is mainly focused on improving the results of reference simulation data sets. Hence, industrial requirements are not commonly addressed, and there is no guiding methodology for their implementation in real PdM use-cases. The objective of this work is to present a methodology for PdM application in industrial companies by combining data-driven techniques with domain knowledge. It defines sequentially ordered stages, steps and tasks to facilitate the design, development and implementation of PdM systems according to business and process characteristics. It also facilitates the collaboration among the required working profiles and defines deliverables. It is designed in a flexible and iterative way, combining standards, state-of-the-art methodologies and referent works of the field. Finally, the proposed methodology is validated on two use-cases: a bushing testbed and a press machine of the production line. These use-cases aim to facilitate, guide and speed up the implementation of the methodology on other PdM use-cases. © 2022 Informa UK Limited, trading as Taylor &amp; Francis Group.</t>
  </si>
  <si>
    <t>With the recent advancements in distributed computing technologies, the fog computing model has emerged to provide resource capabilities at the edge of the network for executing IoT applications. However, due to the rapid growth of IoT applications and variability their workload over time, achieving an efficient resource provisioning solution to deal with time-varying workloads as one of the challenging tasks in resource management scope to be considered. In this work, we propose a learning-based resource provisioning approach for managing time-varying workloads of IoT applications in the fog network. Our proposed approach utilises the nonlinear autoregressive (NAR) neural network as prediction method and hidden Markov model (HMM) as a decision-maker to identify scaling decisions to provision the fog resources for serving of workloads of IoT applications. The effectiveness of our proposed solution is evaluated using extension experiments under real-world datasets, and the obtained results from iFogSim toolkit demonstrated that it yields a reduction of the delay and cost and improves resource energy consumption compared with existing baseline mechanisms. © 2020 Informa UK Limited, trading as Taylor &amp; Francis Group.</t>
  </si>
  <si>
    <t>Servitization increases uncertainty and complexity in manufacturing firms by introducing dynamic interdependencies within and between organisations. This study proposes the conceptual lens of Complex Adaptive Systems (CAS) to frame manufacturers’ service delivery systems and a hybrid simulation approach to explore the dynamic interdependencies of their servitization journeys. The case of a boiler manufacturer transforming to a provider of Heat-as-a-Service (HaaS) is used to examine the dynamic interdependencies between the growth of a service business, digitalisation efforts and operational efficiency as well as the interaction between the emerging service- and existing product business. The findings indicate that the manufacturer will experience an initial ‘cost-shock’ which will significantly decline as service delivery optimises and diagnostic accuracy improves. The study contributes to the servitization literature by introducing CAS as a theoretical perspective and hybrid modelling as a practical approach to explore and reconcile the strategic and operational dimensions of servitization. © 2023 The Author(s). Published by Informa UK Limited, trading as Taylor &amp; Francis Group.</t>
  </si>
  <si>
    <t>By considering the importance of culinary and technology adoption, this study investigates the impacts of perceived benefits (marketing, management, and competitive advantages) on web 2.0 adoption intention in the culinary industry. The study also examines the role of Web 2.0 adoption intention on the company’s financial performance. This research used Smart-PLS version 3 and SPSS 24 software for data analysis. An online survey was conducted using Google Docs forms, and data obtained from 1082 usable responses were used for analysis. The study found that perceived benefits (marketing, management, and competitive advantages) significantly impact W’s intention to adopt Web 2.0 and its financial performance. In this era, technology adoption can change the direction of any company. Technological adoption occurs fast in global companies, and the culinary industry is no exception. Like other sectors, the culinary industry must adopt technological advancements to maintain this competitive market. The culinary industry contributes significantly to its growth, especially in Malaysia. © 2024 Taylor &amp; Francis.</t>
  </si>
  <si>
    <t>Recommender systems have been pervasively applied as a technique of suggesting travel recommendations to tourists. Actually, recommendation systems significantly contribute to the decision-making process of tourists. A new approach of recommendation systems in the tourism industry by a combination of the Artificial Bee Colony (ABC) algorithm and Fuzzy TOPSIS is proposed in the present paper. A multi-criteria decision-making method called the Techniques for Order of Preference by Similarity to Ideal Solution (TOPSIS) has been applied for the purpose of optimizing the system. Data were gathered through a 1015 online questionnaire on the Facebook social media site. In the first stage, the TOPSIS model defines a positive ideal solution in the form of a matrix with four columns, which indicates factors that get involved in this study. In the second stage, the ABC algorithm starts to search amongst destinations and recommends the best tourist spot to users. © 2022 The Authors. Published by Taylor &amp; Francis Group on behalf of the Fuzzy Information and Engineering Branch of the Operations Research Society, Guangdong Province Operations Research Society of China.</t>
  </si>
  <si>
    <t>This paper analyses how to improve the production efficiency and organisational management level of Chinese family intelligent manufacturing enterprises under the environment of big data and information integration, and ultimately enhance the economic benefits of enterprises. By reforming the organisational structure of intelligent manufacturing enterprises, in the environment of intelligent manufacturing, product life cycle information can be real-time detected and shared through sensor networks. In addition, in the enterprise intelligent manufacturing evaluation system, the system is optimised based on the neural network model in machine learning. © 2020 Informa UK Limited, trading as Taylor &amp; Francis Group.</t>
  </si>
  <si>
    <t>These days, fog-cloud based healthcare application partitioning techniques have been growing progressively. However, existing static fog-cloud based application partitioning methods are static and cannot adopt dynamic changes in the dynamic environment (e.g., where network and computing nodes have resource value variation) during the execution process. This study devises a Deep Neural Networks Energy Cost-Efficient Partitioning and Task Scheduling (DNNECTS) algorithm framework which consists of the following components: application partitioning, task sequencing, and scheduling. Experimental results show the suggested methods in terms of energy consumption and the applications' cost in the dynamic environment. © 2021 Informa UK Limited, trading as Taylor &amp; Francis Group.</t>
  </si>
  <si>
    <t>The emerging field of City Digital Twins has advanced in recent years with the help of digital infrastructure and technologies connected to the Internet of Things (IoT). However, the evolution of this field has been so fast that a gap has opened in relation to systematic reviews of the relevant literature and the maturation of City Digital Twins on an urban scale. Our work bridges this gap by highlighting maturity in the field. We conducted a systematic literature review with bibliometric and content analysis of 41 selected papers published in Web of Science and Scopus databases, covering five areas: data types and sources, case studies, applied technologies and methods, maturity spectrum, and applications. Based on maturity indicators, the majority of the reviewed studies (90%) were at initial to medium stages of maturity (up to element 3), most of them focused on 3D modelling, monitoring and visualisation. However, digital twins cannot be limited to 3D models, monitoring and visualisation, for they can be developed to include two-directional interactions between humans and computers. Such a high level of maturity, which was not found in the reviewed studies, requires advanced technologies and methods such as cloud computing, artificial intelligence, BIM and GIS. We also found that further studies are essential if the field is to handle the complex urban challenges of multidisciplinary digital twins. While City Digital Twins extend by definition beyond mere 3D city modelling, some studies involving 3D city models still refer to their subjects as City Digital Twins. Among the research gaps we identified, we’d like to highlight the need for near-real-time data analytics algorithms, which could furnish City Digital Twins with big data insights. Other opportunities include public participation capabilities to increase social collaboration, integrating BIM and GIS technologies and improving storage and computation infrastructure. © 2023 The Author(s). Published by Taylor &amp; Francis Group and Science Press on behalf of the International Society for Digital Earth, supported by the International Research Center of Big Data for Sustainable Development Goals, and CASEarth Strategic Priority Research Programme.</t>
  </si>
  <si>
    <t>In recent years, IoT has transformed personal environments by integrating diverse smart devices. This paper presents an advanced IoT architecture that optimizes network infrastructure, focusing on the adoption of MQTT protocol and introducing Cognitive Smart Objects for managing personal IoT applications. These objects use Neural Networks to predict optimal actions based on user behavior patterns. A Continuous Learning mechanism enables real-time adaptation of the network to evolving user interactions. The study highlights the role of Cognitive Transformation in Personal IoT, driving intelligent automation and enhancing user experience. © 2024 Informa UK Limited, trading as Taylor &amp; Francis Group.</t>
  </si>
  <si>
    <t>Resource scheduling is a challenging job in multi-cloud environments. The multi-cloud technology attracted much research to work on it and look forward to solving the problems of vendors lock-in, reliability, interoperability, etc. The uncertainty in the multi-cloud environments with heterogeneous user demands made it a challenging job to dispense the resources on demand of the user. Researchers still focused on predicting efficient optimized resource allocation management from the existing resource allocation policies in multi-cloud environments. The research aims to provide a broad systematic literature analysis of resource management in the area of multi-cloud environments. The numbers of optimization techniques have been discussed among the open issues and future challenges in consideration due to flexibility and reliability in present environments. To analyses the literature work, it is necessary to cover the existing homogenous/heterogeneous user demands and cloud applications, and algorithms to manage it in multi-clouds. In this paper, we present the definition and classification of resource allocation techniques in multi-clouds and generalized taxonomy for resource management in cloud environments. In the last, we explore the open challenges and future directions of resource management in a multi-cloud environment.  © Published under licence by IOP Publishing Ltd.</t>
  </si>
  <si>
    <t>Fog Computing characteristics have fascinated its services in many applicability areas such as Industrial IoT, health monitoring systems and high performance computing, weather forecasting, agronomy, etc. Here, data is captured using the various sensor nodes installed at different locations and further processed by a cloud-based server to obtain the desired results. Heterogeneity of fog nodes and end devices in fog computing architecture is a major feature that helps to utilize already existing computing resources, yet it complicates the managing process. Such a diversified environment must be considered when designing fog environments in terms of computing capabilities, power consumption, and connectivity. In this work An efficient Novel Particle Bee Optimization based Fault Tolerance framework has been projected that ensures the implementation of Fog computing in real time. The proposed framework handling live server faults and also diminishes latency and bandwidth usage of the network and improves Quality of Service (QoS). The achieved results for the projected technique represent the reduction of network bandwidth and reduction in overall cost. © 2023 Institute of Physics Publishing. All rights reserved.</t>
  </si>
  <si>
    <t>This paper presents a comprehensive review of the XVI International Conference on Mathematics, Science and Technology Education (ICon-MaSTEd 2024), held from May 15-17, 2024, at Kryvyi Rih State Pedagogical University, Ukraine. The conference, organized in a hybrid format, brought together over 100 attendees from 9 countries, showcasing cutting-edge research and innovations in educational practices amid global challenges. The review synthesizes key themes and findings from 37 selected papers across various domains, including Mathematics Education, Science Education, Computer Science Education, and Educational Technology. Notable trends include the increased integration of artificial intelligence and digital technologies in education, the development of 21st-century skills, and adaptive strategies for education in crises. Particular attention is given to studies addressing the unique educational challenges faced in Ukraine, demonstrating the resilience and innovation of educators and researchers in conflict-affected regions. The paper highlights significant contributions in areas such as online learning environments, visual thinking in mathematics, AI applications in mental health education, and the design of university digital ecosystems.  © Published under licence by IOP Publishing Ltd.</t>
  </si>
  <si>
    <t>Sustainable Futures in a Changing World – Reflections from the 5th International Conference on Sustainable Futures: Environmental, Technological, Social and Economic Matters (ICSF 2024)</t>
  </si>
  <si>
    <t>This paper presents an overview of the 5th International Conference on Sustainable Futures: Environmental, Technological, Social, and Economic Matters (ICSF 2024), held in May 2024. The conference brought together over 250 researchers, practitioners, and educators from 19 countries to share cutting-edge research and innovative solutions across a wide range of sustainability-related disciplines. The proceedings cover diverse topics, including climate change, disaster risk reduction, sustainable infrastructure, education for sustainability, environmental engineering, and sustainable business practices. Key themes that emerged include the integration of digital technologies in sustainability efforts, the impacts of global crises on sustainable development, and the importance of interdisciplinary approaches. The conference showcased both theoretical advancements and practical applications, with a particular focus on addressing the United Nations Sustainable Development Goals. This overview highlights the conference’s role in fostering global dialogue and collaboration to address pressing sustainability challenges and shape a more sustainable future. © 2024 Institute of Physics Publishing. All rights reserved.</t>
  </si>
  <si>
    <t>Precision livestock farming (PLF) offers a strategic solution to enhance the management capacity of large animal groups, while simultaneously improving profitability, efficiency, and minimizing environmental impacts associated with livestock production systems. Additionally, PLF contributes to optimizing the ability to manage and monitor animal welfare while providing solutions to global grand challenges posed by the growing demand for animal products and ensuring global food security. By enabling a return to the "per animal"approach by harnessing technological advancements, PLF enables cost-effective, individualized care for animals through enhanced monitoring and control capabilities within complex farming systems. Meeting the nutritional requirements of a global population exponentially approaching ten billion people will likely require the density of animal proteins for decades to come. The development and application of digital technologies are critical to facilitate the responsible and sustainable intensification of livestock production over the next several decades to maximize the potential benefits of PLF. Real-time continuous monitoring of each animal is expected to enable more precise and accurate tracking and management of health and well-being. Importantly, the digitalization of agriculture is expected to provide collateral benefits of ensuring auditability in value chains while assuaging concerns associated with labor shortages. Despite notable advances in PLF technology adoption, a number of critical concerns currently limit the viability of these state-of-the-art technologies. The potential benefits of PLF for livestock management systems which are enabled by autonomous continuous monitoring and environmental control can be rapidly enhanced through an Internet of Things approach to monitoring and (where appropriate) closed-loop management. In this paper, we analyze the multilayered network of sensors, actuators, communication, networking, and analytics currently used in PLF, focusing on dairy farming as an illustrative example. We explore the current state-of-the-art, identify key shortcomings, and propose potential solutions to bridge the gap between technology and animal agriculture. Additionally, we examine the potential implications of advancements in communication, robotics, and artificial intelligence on the health, security, and welfare of animals. © 2023 The Author(s). Published by Oxford University Press on behalf of the American Society of Animal Science. All rights reserved.</t>
  </si>
  <si>
    <t>Purpose: Based on the positive features of the shark smell optimization (SSO) algorithm, the purpose of this paper is to propose a method based on this algorithm, dynamic voltage and frequency scaling (DVFS) model and fuzzy logic to minimize the energy consumption of integrated circuits of internet of things (IoT) nodes and maximize the load-balancing among them. Design/methodology/approach: Load balancing is a key problem in any distributed environment such as cloud and IoT. It is useful when a few nodes are overloaded, a few are under-loaded and the remainders are idle without interrupting the functioning. As this problem is known as an NP-hard one and SSO is a powerful meta-hybrid method that inspires shark hunting behavior and their skill to detect and feel the smell of the bait even from far away, in this research, this study have provided a new method to solve this problem using the SSO algorithm. Also, the study have synthesized the fuzzy logic to counterbalance the load distribution. Furthermore, DVFS, as a powerful energy management method, is used to reduce the energy consumption of integrated circuits of IoT nodes such as processor and circuit bus by reducing the frequency. Findings: The outcomes of the simulation have indicated that the proposed method has outperformed the hybrid ant colony optimization – particle swarm optimization and PSO regarding energy consumption. Similarly, it has enhanced the load balance better than the moth flame optimization approach and task execution node assignment algorithm. Research limitations/implications: There are many aspects and features of IoT load-balancing that are beyond the scope of this paper. Also, given that the environment was considered static, future research can be in a dynamic environment. Practical implications: The introduced method is useful for improving the performance of IoT-based applications. We can use these systems to jointly and collaboratively check, handle and control the networks in real-time. Also, the platform can be applied to monitor and control various IoT applications in manufacturing environments such as transportation systems, automated work cells, storage systems and logistics. Originality/value: This study have proposed a novel load balancing technique for decreasing energy consumption using the SSO algorithm and fuzzy logic. © 2020, Emerald Publishing Limited.</t>
  </si>
  <si>
    <t>Purpose: Customer firms and suppliers are valuable knowledge resources that can be used for achieving superior new service development (NSD) performance. This study aims to investigate how supply chain relationship quality (SCRQ) and knowledge sharing promote the success of NSD, and examines service modularity as an important contingency factor that enhances NSD performance in supply chains. Design/methodology/approach: Based on service-dominant logic, this study builds a conceptual model to empirically explore the impacts of SCRQ and knowledge sharing on NSD performance, and highlights the moderating effect of service modularity by means of survey methodology of 295 Chinese service firms to test the research hypotheses. Findings: Regression analysis results show that SCRQ has significant positive effects on knowledge sharing and NSD performance; knowledge sharing plays a partial intermediary role between SCRQ and NSD performance; and service modularity partially moderates the relationships between SCRQ, knowledge sharing and NSD performance. Research limitations/implications: Generalizations here are limited to Chinese service firms. Service modularity in manufacturing firms experimenting with servitization has yet to be examined and provides a good avenue for future research. Originality/value: This study contributes to service management literature by providing empirical understanding of how service modularity affects NSD performance in multiprovider contexts. Furthermore, this study offers novel insights on the impacts of inter-firm relationship quality and knowledge sharing in modular collaborative innovation. © 2023, Emerald Publishing Limited.</t>
  </si>
  <si>
    <t>Purpose: This paper aims to explore the underlying mechanisms and boundary conditions through which equipment manufacturing enterprises can capture market value from digital transformation, with a specific focus on the roles of knowledge search and knowledge recombination. Design/methodology/approach: This study uses a double fixed-effects model to test the hypotheses, using a unique data set of “firm-year” observations from 739 publicly listed equipment manufacturing companies in China, spanning the period from 2018 to 2022. Findings: Digital transformation drives market value creation in equipment manufacturing enterprises through both breakthrough knowledge recombination (BKR) and progressive knowledge recombination (PKR). In addition, the analysis of marginal conditions reveals that diversified knowledge search serves as a substitute for digital transformation in promoting BKR, while also positively moderating the relationship between digital transformation and PKR. Originality/value: Grounded in the knowledge-based view theoretical framework, this study introduces the novel concepts of BKR and PKR and systematically examines how digital transformation impacts market value in equipment manufacturing enterprises. © 2025, Emerald Publishing Limited.</t>
  </si>
  <si>
    <t>V. Ziegler; T. Wild; M. Uusitalo; H. Flinck; V. Räisänen; K. Hätönen</t>
  </si>
  <si>
    <t>Moving applications from the local Internet of Things (IoT) device to the neighboring infrastructures has been the highlight of the current distributed computing era. Due to high latency and network bottlenecks, Cloud Computing has become rather problematic for real-time applications. Accordingly, Fog Computing, well supported by 5G, has been presented as the missing piece to provide along with cloud computing for virtually all applications. Application virtualization through containers has become more and more popular in the context of Cloud Computing as it simplifies live migration of the application or it’s selected tasks. The concept has been adapted to Fog computing too, However, time-critical task migration and in particular task offloading have not been sufficiently investigated. This work proposes a novel approach to offload time-critical application tasks from the application initiator to surrounding Fog nodes based on Docker containers and Checkpointing. The result is a flexible layer-oriented framework that effectively restricts the offloading to only necessary steps in only two message rounds. Performance evaluations show that through careful easy arrangements the framework performs remarkably well concerning offloading latency.</t>
  </si>
  <si>
    <t>Synthesis of Cloud Technologies and Telco NFV Transformation – A Perspective</t>
  </si>
  <si>
    <t>With the commercialization and deployment of 5G, efforts are beginning to explore the design of the next generation of cellular networks, called 6G. New and constantly evolving use cases continue to place performance demands, especially for low latency communications, as these are still challenges for the 3GPP-specified 5G design, and will have to be met by the 6G design. Therefore, it is helpful to re-examine several aspects of the current cellular network’s design and implementation.Based on our understanding of the 5G cellular network specifications, we explore different implementation options for a dis-aggregated 5G core and their performance implications. To improve the data plane performance, we consider advanced packet classification mechanisms to support fast packet processing in the User Plane Function (UPF), to improve the poor performance and scalability of the current design based on linked lists. Importantly, we implement the UPF function on a SmartNIC for forwarding and tunneling. The SmartNIC provides the fastpath for device traffic, while more complex functions of buffering and processing flows that suffer a miss on the SmartNIC P4 tables are processed by the host-based UPF. Compared to an efficient DPDK-based host UPF, the SmartNIC UPF increases the throughput for 64 Byte packets by almost 2×. Furthermore, we lower the packet forwarding latency by 3.75× by using the SmartNIC. In addition, we propose a novel context-level QoS mechanism that dynamically updates the Packet Detection Rule priority and resource allocation of a flow based on the user context. By combining our innovations, we can achieve low latency and high throughput that will help us evolve to the next generation 6G cellular networks.</t>
  </si>
  <si>
    <t>National Science Foundation;</t>
  </si>
  <si>
    <t>Fog computing (FC) and Internet of Everything (IoE) are two emerging technological paradigms that, to date, have been considered standing-alone. However, because of their complementary features, we expect that their integration can foster a number of computing and network-intensive pervasive applications under the incoming realm of the future Internet. Motivated by this consideration, the goal of this position paper is fivefold. First, we review the technological attributes and platforms proposed in the current literature for the standing-alone FC and IoE paradigms. Second, by leveraging some use cases as illustrative examples, we point out that the integration of the FC and IoE paradigms may give rise to opportunities for new applications in the realms of the IoE, Smart City, Industry 4.0, and Big Data Streaming, while introducing new open issues. Third, we propose a novel technological paradigm, the Fog of Everything (FoE) paradigm, that integrates FC and IoE and then we detail the main building blocks and services of the corresponding technological platform and protocol stack. Fourth, as a proof-of-concept, we present the simulated energy-delay performance of a small-scale FoE prototype, namely, the V-FoE prototype. Afterward, we compare the obtained performance with the corresponding one of a benchmark technological platform, e.g., the V-D2D one. It exploits only device-to-device links to establish inter-thing “ad hoc” communication. Last, we point out the position of the proposed FoE paradigm over a spectrum of seemingly related recent research projects.</t>
  </si>
  <si>
    <t>GAUChO-A Green Adaptive Fog Computing and Networking Architectures Project through the MIUR Progetti di Ricerca di Rilevante Interesse Nazionale (PRIN) Bando 2015(grant numbers:2015YPXH4W 004); Vehicular Fog Energy-Efficient QoS Mining and Dissemination of Multimedia Big Data Streams Project (V-FOG) through Sapienza University of Rome Bando 2016;</t>
  </si>
  <si>
    <t>RGC General Research Fund(grant numbers:PolyU 152244/15E); NSFC Key Project(grant numbers:61332004); National Natural Science Foundation of China(grant numbers:61502312);</t>
  </si>
  <si>
    <t>R. Mulero; A. Almeida; G. Azkune; P. Abril-Jiménez; M. T. Arredondo Waldmeyer; M. Páramo Castrillo; L. Patrono; P. Rametta; I. Sergi</t>
  </si>
  <si>
    <t>City4Age Project through the European Union’s Horizon 2020 Research and Innovation Programme(grant numbers:689731);</t>
  </si>
  <si>
    <t>T. M. Fernández-Caramés; P. Fraga-Lamas</t>
  </si>
  <si>
    <t xml:space="preserve">Xunta de Galicia(grant numbers:ED431C 2016-045,ED341D R2016/012,ED431G/01); Agencia Estatal de Investigación of Spain(grant numbers:TEC2015-69648-REDC,TEC2016-75067-C4-1-R); ERDF funds of EU, UE(grant numbers:AEI/FEDER); BBVA; BritishSpanish Society Grant; </t>
  </si>
  <si>
    <t>D. C. Yacchirema; D. Sarabia-JáCome; C. E. Palau; M. Esteve</t>
  </si>
  <si>
    <t xml:space="preserve">European Union’s Horizon 2020 Research and Innovation Programme through the Interoperability of Heterogeneous IoT Platforms Project (INTER-IoT)(grant numbers:687283); Escuela Politécnica Nacional, Ecuador; Secretaría de Educación Superior, Ciencia, Tecnología e Innovación; </t>
  </si>
  <si>
    <t>W. Villota; M. Gironza; A. Ordoñez; O. M. Caicedo Rendon</t>
  </si>
  <si>
    <t>Universidad del Cauca;</t>
  </si>
  <si>
    <t>University of Tasmania;</t>
  </si>
  <si>
    <t>Bogazici University Research Fund(grant numbers:12663); State Planning Organization of Turkey through the TAM Project(grant numbers:2007K120610);</t>
  </si>
  <si>
    <t>Horizon 2020 Framework Programme(grant numbers:688088);</t>
  </si>
  <si>
    <t>Cloud computing has been recognized as the de facto utility computing standard for hosting and delivering services over the Internet. Cloud platforms are being rapidly adopted by business owners and end-users thanks to its many benefits to traditional computing models such as cost saving, scalability, unlimited storage, anytime anywhere access, better security, and high fault-tolerance capability. However, despite the fact that clouds offer huge opportunities and services to the industry, the landscape of cloud computing research is evolving for several reasons, such as emerging data-intensive applications, multicloud deployment models, and more strict non-functional requirements on cloud-based services. In this paper, we develop a comprehensive taxonomy of main cloud computing research areas, discuss state-of-the-art approaches for each area and the associated sub-areas, and highlight the challenges and future directions per research area. The survey framework, presented in this paper, provides useful insights and outlook for the cloud computing research and development, allows broader understanding of the design challenges of cloud computing, and sheds light on the future of this fast-growing utility computing paradigm. © 2013 IEEE.</t>
  </si>
  <si>
    <t>The Internet of Things (IoT) is a ubiquitous system connecting many different devices - the things - which can be accessed from the distance. The cyber-physical systems (CPSs) monitor and control the things from the distance. As a result, the concepts of dependability and security get deeply intertwined. The increasing level of dynamicity, heterogeneity, and complexity adds to the system's vulnerability, and challenges its ability to react to faults. This paper summarizes the state of the art of existing work on anomaly detection, fault-tolerance, and self-healing, and adds a number of other methods applicable to achieve resilience in an IoT. We particularly focus on non-intrusive methods ensuring data integrity in the network. Furthermore, this paper presents the main challenges in building a resilient IoT for the CPS, which is crucial in the era of smart CPS with enhanced connectivity (an excellent example of such a system is connected autonomous vehicles). It further summarizes our solutions, work-in-progress and future work to this topic to enable “Trustworthy IoT for CPS”. Finally, this framework is illustrated on a selected use case: a smart sensor infrastructure in the transport domain.</t>
  </si>
  <si>
    <t>IoT4CPS; Österreichische Forschungsförderungsgesellschaft;</t>
  </si>
  <si>
    <t>K. Valtanen; J. Backman; S. Yrjölä</t>
  </si>
  <si>
    <t>In the epoch of the Internet of Things (IoT), we have confronted five challenges (Connectivity, Value, Security, Telepresence, and Intelligence) with complex structures. The IoT industry decision making is critically important for countries or societies to enhance the effectiveness and validity of leadership, which can greatly accelerate the industrialized and large-scale development. In the case of IoT industry decision evaluation, the essential problem arises serious incompleteness, impreciseness, subjectivity, and incertitude. Interval neutrosophic set, disposing of the indeterminacy portrayed by truth membership T, indeterminacy membership I, and falsity membership F with interval form, is a more viable and effective means to seize indeterminacy. The main purpose of this paper is to investigate the multiparametric distance measure and similarity measure. Meanwhile, some interesting properties of distance measure and similarity measure are proved. Then, the objective weights of diverse attributes are ascertained by the deviation-based method. Moreover, we explore the combination weight, which reveals both the objective preference and subjective preference. The validity of the algorithm is illustrated by an IoT industry decision-making issue, along with the effect of diverse parameters on the ranking. Finally, a comparison of the developed with the existing interval neutrosophic decision-making methods have been executed in the light of the counter-intuitive phenomena and unauthentic issue for displaying their effectiveness. © 2019 IEEE.</t>
  </si>
  <si>
    <t>In the last decade, containers have become a superior alternative to hypervisor-based virtualization. Containerization has revolutionized data centers from being an infrastructure-oriented to be application oriented. Modern cloud consumption patterns such as flash crowds require a certain amount of elasticity that is realized with controlling the amount of provisioned resources autonomously. Cloud elasticity is significant as it influences the performance of utilized resources, service level commitment, and power consumption. In this paper, an infrastructure elasticity control algorithm for a containerized cloud is proposed. The proposed algorithm augments the load balancing criterion with elasticity control. Several experiments with various metrics are carried out to examine the performance of the proposed algorithm. The results demonstrate the superiority of the proposed algorithm and the effects of elasticity across various measures. © 2013 IEEE.</t>
  </si>
  <si>
    <t>Containers emerged as a lightweight alternative to virtual machines (VMs) that offer better microservice architecture support. The value of the container market is expected to reach $2.7 billion in 2020 as compared to $762 million in 2016. Although they are considered the standardized method for microservices deployment, playing an important role in cloud computing emerging fields such as service meshes, market surveys show that container security is the main concern and adoption barrier for many companies. In this paper, we survey the literature on container security and solutions. We have derived four generalized use cases that should cover security requirements within the host-container threat landscape. The use cases include: (I) protecting a container from applications inside it, (II) inter-container protection, (III) protecting the host from containers, and (IV) protecting containers from a malicious or semi-honest host. We found that the first three use cases utilize a software-based solutions that mainly rely on Linux kernel features (e.g., namespaces, CGroups, capabilities, and seccomp) and Linux security modules (e.g., AppArmor). The last use case relies on hardware-based solutions such as trusted platform modules (TPMs) and trusted platform support (e.g., Intel SGX). We hope that our analysis will help researchers understand container security requirements and obtain a clearer picture of possible vulnerabilities and attacks. Finally, we highlight open research problems and future research directions that may spawn further research in this area. © 2013 IEEE.</t>
  </si>
  <si>
    <t xml:space="preserve">Environmental Protection Agency; Norrköping Fund for Research and Development, Sweden; </t>
  </si>
  <si>
    <t>Network operators are under pressure to offer efficient network-based services while keeping service deployment costs to a minimum. Network functions virtualization (NFV) can potentially revolutionize network-based services bringing low-deployment costs for network operators. The NFV has been introduced to ultimately extend the non-proprietary and open-standard-based model to network and service deployments, significant improvements to today’s proprietary locked implementations. Notwithstanding the continuous efforts of both academia and industry to support the NFV paradigm, the current NFV solutions offered are still in its infancy. In this survey, we provide a detailed background of NFV to establish a comprehensive understanding of the subject, ranging from the basics to more advanced topics. Moreover, we offer a comprehensive overview of the NFV main concepts, standardization efforts, the benefits of NFV, and discussions of the NFV architecture as defined by the European telecommunications standardization institute (ETSI). Furthermore, we discuss the NFV applicability and current open source projects. We then highlight NFV requirements, design considerations, and developmental architectural impairments and barriers to commercial NFV deployments. Finally, we conclude enumerating future directions for NFV development.</t>
  </si>
  <si>
    <t>FCT/MEC through national funds; FEDER - PT2020 partnership agreement(grant numbers:UID/EEA/50008/2019); Fundação para a Ciência e a Tecnologia(grant numbers:PD/BD/113822/2015);</t>
  </si>
  <si>
    <t>In many applications (e.g., anomaly detection and security systems) of smart cities, rare events dominate the importance of the total information on big data collected by the Internet of Things (IoT). That is, it is pretty crucial to explore the valuable information associated with the rare events involved in minority subsets of the voluminous amounts of data. To do so, how to effectively measure the information with the importance of the small probability events from the perspective of information theory is a fundamental question. This paper first makes a survey of some theories and models with respect to importance measures and investigates the relationship between subjective or semantic importance and rare events in big data. Moreover, some applications for message processing and data analysis are discussed in the viewpoint of information measures. In addition, based on rare events detection, some open challenges related to information measures, such as smart cities, autonomous driving, and anomaly detection in the IoT, are introduced which can be considered as future research directions. © 2013 IEEE.</t>
  </si>
  <si>
    <t>As a concept to enhance and extend cloud-computing capabilities, edge computing aims to provide Internet-based services in the close proximity to users by placing IT infrastructures at the network edge in forms of tiny datacenters. Taking advantage of the close distance to end user and access networks, edge datacenters can provide low-latency and context-aware services and further improve users’ quality of experience. As the network edge is a geographically spread concept, the edge datacenters are usually highly distributed so that they can provide nearby storage and processing capabilities to most of the end users. Furthermore, edge datacenters also co-work with centralized cloud datacenters for service orchestration. Such decentralization and collaboration are expected to introduce significant transformations to both infrastructures and applications. To provide an overview of how edge can be integrated with cloud-computing and how edge computing can benefit applications, this paper studies the infrastructure and application issues of edge computing and networking in several sub-aspects, including related concepts, infrastructures, resource management and virtualization, performance, and applications.</t>
  </si>
  <si>
    <t>National Science and Technology Major Project(grant numbers:2017ZX03001016); State Key Laboratory of Advanced Optical Communication Systems and Networks.;</t>
  </si>
  <si>
    <t>National Natural Science Foundation of China(grant numbers:61671089);</t>
  </si>
  <si>
    <t>M. Masoudi; M. G. Khafagy; A. Conte; A. El-Amine; B. Françoise; C. Nadjahi; F. E. Salem; W. Labidi; A. Süral; A. Gati; D. Bodéré; E. Arikan; F. Aklamanu; H. Louahlia-Gualous; J. Lallet; K. Pareek; L. Nuaymi; L. Meunier; P. Silva; N. T. Almeida; T. Chahed; T. Sjölund; C. Cavdar</t>
  </si>
  <si>
    <t>E. Harjula; P. Karhula; J. Islam; T. Leppänen; A. Manzoor; M. Liyanage; J. Chauhan; T. Kumar; I. Ahmad; M. Ylianttila</t>
  </si>
  <si>
    <t>Academy of Finland; Technology Industries of Finland Centennial Foundation; Jane and Aatos Erkko Foundation;</t>
  </si>
  <si>
    <t>King Khalid University(grant numbers:R.G.P-319-2019);</t>
  </si>
  <si>
    <t>J. M. Alves; L. M. Honório; M. A. M. Capretz</t>
  </si>
  <si>
    <t>Natural Sciences and Engineering Research Council of Canada(grant numbers:STPGP 506840-17);</t>
  </si>
  <si>
    <t>J. Gedeon; F. Brandherm; R. Egert; T. Grube; M. Mühlhäuser</t>
  </si>
  <si>
    <t xml:space="preserve">National Natural Science Foundation of China(grant numbers:392046569 (DFG),61761136014 (NSFC)); Collaborative Research Center 1053–MAKI (DFG) and as part of the project D.4 within the RTG 2050 “Privacy and Trust for Mobile Users” (DFG); Technische Universität Darmstadt; </t>
  </si>
  <si>
    <t>The impressive evolution of the Internet of Things and the great amount of data flowing through the systems provide us with an inspiring scenario for Big Data analytics and advantageous real-time context-aware predictions and smart decision-making. However, this requires a scalable system for constant streaming processing, also provided with the ability of decision-making and action taking based on the performed predictions. This paper aims at proposing a scalable architecture to provide real-time context-aware actions based on predictive streaming processing of data as an evolution of a previously provided event-driven service-oriented architecture which already permitted the context-aware detection and notification of relevant data. For this purpose, we have defined and implemented a microservice-based architecture which provides real-time context-aware actions based on predictive streaming processing of data. As a result, our architecture has been enhanced twofold: on the one hand, the architecture has been supplied with reliable predictions through the use of predictive analytics and complex event processing techniques, which permit the notification of relevant context-aware information ahead of time. On the other, it has been refactored towards a microservice architecture pattern, highly improving its maintenance and evolution. The architecture performance has been evaluated with an air quality case study. © 2013 IEEE.</t>
  </si>
  <si>
    <t>F. Pereira; H. Sampaio; R. Chaves; R. Correia; M. Luís; S. Sargento; M. Jordão; L. Almeida; C. Senna; A. S. R. Oliveira; N. Borges Carvalho</t>
  </si>
  <si>
    <t>The research of safety applications in vehicular networks has been a popular research topic in an effort to reduce the number of road victims. Advances on vehicular communications are facilitating information sharing through real time communications, critical for the development of driving assistance systems. However, the communication by itself is not enough to reach the most desired target as we need to know which safety-related information should be disseminated. In this work, we bring passive sensors and backscatter communication to the vehicular network world. The idea is to increase the driver (or vehicle) awareness regarding the presence of pedestrians in a crosswalk. Passive sensors and backscatter communication technologies are used for the pedestrians’ detection phase, while the vehicular network is used during the dissemination of the detection information to surrounding vehicles. The proposed solution was validated through end-to-end experimentation, with real hardware and in a real crosswalk with real pedestrians and vehicles, demonstrating its applicability.</t>
  </si>
  <si>
    <t>European Regional Development Fund; National Public (FCT) (OE) through Project MobiWise(grant numbers:POCI-01-0145-FEDER-016426); Urban Innovative Actions(grant numbers:UIA03-084); Fundação para a Ciência e a Tecnologia(grant numbers:SFRH/BD/143204/2019);</t>
  </si>
  <si>
    <t>In the practice of cloud manufacturing, there still exist some major challenges, including: 1) cloud based big data analytics and decision-making cannot meet the requirements of many latency-sensitive applications on shop floors; 2) existing manufacturing systems lack enough reconfigurability, openness and evolvability to deal with shop-floor disturbances and market changes; and 3) big data from shop-floors and the Internet has not been effectively utilized to guide the optimization and upgrade of manufacturing systems. This paper proposes an open evolutionary architecture of the intelligent cloud manufacturing system with collaborative edge and cloud processing. Hierarchical gateways connecting and managing shop-floor things at the “edge” side are introduced to support latency-sensitive applications for real-time responses. Big data processed both at the gateways and in the cloud will be used to guide continuous improvement and evolution of edge-cloud systems for better performance. As software tools are becoming dominant as the “brain” of manufacturing control and decision-making, this paper also proposes a new mode - “AI-Mfg-Ops” (AI enabled Manufacturing Operations) with a supporting software defined framework, which can promote fast operation and upgrading of cloud manufacturing systems with smart monitoring-analysis-planning-execution in a closed loop. This research can contribute to the rapid response and efficient operation of cloud manufacturing systems.</t>
  </si>
  <si>
    <t>Beijing Institute of Technology Research Fund Program for Young Scholars;</t>
  </si>
  <si>
    <t>Fundamental Research Funds for the Central Universities(grant numbers:JB161004);</t>
  </si>
  <si>
    <t>Nokia;</t>
  </si>
  <si>
    <t>Fog computing is an emerging technology to address computing and networking bottlenecks in large scale deployment of IoT applications. It is a promising complementary computing paradigm to cloud computing where computational, networking, storage and acceleration elements are deployed at the edge and network layers in a multi-tier, distributed and possibly cooperative manner. These elements may be virtualized computing functions placed at edge devices or network elements on demand, realizing the “computing everywhere” concept. To put the current research in perspective, this paper provides an inclusive taxonomy for architectural, algorithmic and technologic aspects of fog computing. The computing paradigms and their architectural distinctions, including cloud, edge, mobile edge and fog computing are subsequently reviewed. Practical deployment of fog computing includes a number of different aspects such as system design, application design, software implementation, security, computing resource management and networking. A comprehensive survey of all these aspects from the architectural point of view is covered. Current reference architectures and major application-specific architectures describing their salient features and distinctions in the context of fog computing are explored. Base architectures for application, software, security, computing resource management and networking are presented and are evaluated using a proposed maturity model.</t>
  </si>
  <si>
    <t>D. Fernandes; D. Clemente; G. Soares; P. Sebastião; F. Cercas; R. Dinis; L. S. Ferreira</t>
  </si>
  <si>
    <t xml:space="preserve">OptiNET-5G project and co-funded by the Centro2020, Portugal2020; European Union(grant numbers:023304); Instituto de Telecomunicações, FCT/MCTES through national funds and co-funded by the EU funds(grant numbers:UIDB/EEA/50008/2020); </t>
  </si>
  <si>
    <t>National Basic Research Program of China (973 Program)(grant numbers:2017YFB1010004);</t>
  </si>
  <si>
    <t>EPSRC(grant numbers:EP/R033439/1); Project title: “PACE: Privacy-aware Cloud Ecosystems.”; extend appreciation to the Deanship of Scientific Research at Princess Nourah bint Abdualrahman University for supporting his work through the visiting scholar program;</t>
  </si>
  <si>
    <t>Container platforms provide many functions for diverse applications and are used to build and operate various information services. They have been extended not only to Linux and Unix-based servers but also to Windows and macOS-based desktops and laptops. Many systems use anti-virus software to minimize damage caused by malware. Most anti-virus software provide real-time malware detection functions and block the execution of malware by enforcing access denial functions for malware that cannot be deleted or for original files that cannot be restored. However, current anti-virus technologies are not designed for container platforms. Therefore, they cannot detect malware in containers in real time; nor can they block malware execution or user access to malware owing to the isolation feature provided by container platforms. To resolve these issues, we propose a functionally-isolated anti-virus architecture for container platforms. The proposed anti-virus architecture separates the functions of a legacy anti-virus engine to ensure compatibility with the isolation features of a container platform. By implementation, it was confirmed that the proposed anti-virus architecture can detect in real-time the entry of malware in a container platform and block the execution of, and user access to unrecoverable malware-infected files. The performance of the proposed functionally-isolated anti-virus architecture is similar to that of legacy anti-virus technology and was verified to be sufficiently effective. © 2013 IEEE.</t>
  </si>
  <si>
    <t>X. Guerron; S. Abrahão; E. Insfran; M. Fernández-Diego; F. González-Ladrón-De-Guevara</t>
  </si>
  <si>
    <t>J. Berrocal; J. García-Alonso; P. Fernandez; A. Pérez-vereda; J. Hernandez; C. Canal; J. M. Murillo; A. Ruiz-Cortes</t>
  </si>
  <si>
    <t>Early Evaluation of Mobile Applications’ Resource Consumption and Operating Costs</t>
  </si>
  <si>
    <t>The explosive growth of the mobile application market in recent years has led to a large concomitant mobile software industry whose components are, in many cases, startups and small-size software providers. The success of these applications and the firms behind them depends on a subtle balance between different dimensions mainly affected by their architectural design, such as user satisfaction, resource consumption, operating costs, and timing. The present communication describes a framework with a specific set of practices for identifying the boundaries of different architectural designs —in this article we apply it to estimate both the smartphone’s resource consumption and the operating costs in the cloud— and thus help in the architectural decision-making process. This will enable mobile software developers to predict at early stages which architectural design best suits their business model in accordance with the number of users and the expected use of the application and even provide an advance alert of when architectural choices will need to be reviewed, obviating the need for costly architectural re-design in further phases.</t>
  </si>
  <si>
    <t xml:space="preserve">MCI/AEI/FEDER,UE, through Projects(grant numbers:RTI2018-094591-B-I00,PGC2018-094905-B-I00); APOLO(grant numbers:U.S.–1264651); HORATIO(grant numbers:RTI2018-101204–B–C21); RCIS Research Network(grant numbers:RED2018-102654-T); 4IE+ Project; Interreg V-A España-Portugal (POCTEP) 2014–2020 Program(grant numbers:0499-4IE-PLUS-4-E); FEDER/Junta de Andalucia(grant numbers:UMA18-FEDERJA-180); Department of Economy, Science, and Digital Agenda of the Government of Extremadura(grant numbers:GR18112,IB18030); European Regional Development Fund; </t>
  </si>
  <si>
    <t>In recent years, scarce water resources became one of the main problems that endanger human species existence and the advancement of any nation. In this research, smart water meters were implemented, distributed, and installed in a regional area in Cairo while data were collected at uniform intervals then sent to the cloud instantly. The solution paradigm uses an Internet of Things (IoT) based on micro-services and containers. The design incorporates real-time streaming and infrastructure performance optimization to store data. A second layer to analyze the acquired data was used to model water consumption using Long Short-Term Memory (LSTM). The designed LSTM is validated and tested to be utilized in the forecast of future water demand. Moreover, two alternative machine learning methods, namely Support Vector Regression and Random Forest commonly utilized in time series forecasting applications, were used for a comparative analysis of which LSTM has proven to be superior. The proper integration of the system elements is the key to the proposed system success. Based on the success of the designed system, it can be applicable on a national scale. That can enable the optimal management of consumers’ demand and improve water infrastructure utilization. The proposed paradigm presents a testbed for various scenarios that can be used in water resources management.</t>
  </si>
  <si>
    <t xml:space="preserve">Academy of Finland through the projects Industrial Edge, SecureConnet, WiFiUS: Massive IoT, 6G Flagship Project(grant numbers:318927); European Union through the Resilient and Secure Multi-controller Communication Platform for 5G Networks (RESPONSE 5G)(grant numbers:789658); Technology Industries of Finland Centennial Foundation through the Edge Computing Enhanced by Artificial Intelligence (MEC-AI) project; Jane ja Aatos Erkon Säätiö; </t>
  </si>
  <si>
    <t>National Natural Science Foundation of China(grant numbers:61771281); National Social Science Foundation of China(grant numbers:15ZDB151); National Basic Research Program of China (973 Program)(grant numbers:2018YFF0213700); 2018 Industrial Internet Platform Innovation and Development Project of China;</t>
  </si>
  <si>
    <t>The computing capabilities of client devices are continuously increasing; at the same time, demands for ultra-low latency (ULL) services are increasing. These ULL services can be provided by migrating some micro-service container computations from the cloud and multi-access edge computing (MEC) to the client devices. The migration of a container image requires compression and decompression, which are computationally demanding. We quantitatively examine the hardware acceleration of container image compression and decompression on a client device. Specifically, we compare the Intel® Quick Assist Technology (QAT) hardware acceleration with software compression/decompression. For scenarios with a local container image registry (i.e., without network bandwidth constraints), we find that Intel QAT speeds up compression by a factor of over 7 compared to the single-core GZIP software and reduces the CPU core utilization by over 15% for large container images. These Intel QAT benefits come at the expense of Input/Output (IO) memory access bitrates of up to 900 Mbyte/s (while the software compression/decompression does not require IO memory access). For scenarios with a remote container image registry, we find that the container push (compression) time savings increase with the network bandwidth, while the container pull (decompression) time savings level out for moderately high network bandwidths and slightly decrease for a very high network bandwidth. Furthermore, Intel QAT acceleration achieves substantial power consumption reductions for container push compression for low to moderately high network bandwidths. Our evaluation results give reference performance benchmarks of the achievable latencies for container image instantiation and migration with and without hardware acceleration of the compression and decompression of container images.</t>
  </si>
  <si>
    <t>National Science Foundation(grant numbers:1716121);</t>
  </si>
  <si>
    <t>V. Ziegler; H. Viswanathan; H. Flinck; M. Hoffmann; V. Räisänen; K. Hätönen</t>
  </si>
  <si>
    <t>L. F. F. De Almeida; j. R. D. Santos; L. A. M. Pereira; A. C. Sodré; L. L. Mendes; J. J. P. C. Rodrigues; R. A. L. Rabelo; A. M. Alberti</t>
  </si>
  <si>
    <t xml:space="preserve">Modelo de Referência para a Rede Operativa de Dados da Companhia Energética de Minas Gerais (CEMIG) funded by the Fundação de Amparo à Pesquisa do Estado de Minas Gerais/Companhia Energética de Minas Gerais/Agência Nacional de Energia Elétrica (FAPEMIG/CEMIG/ANEEL)(grant numbers:D0640); Rede Nacional de Ensino e Pesquisa (RNP), with resources from Ministério da Ciência, Tecnologia e Inovações (MCTIC), through the Radiocommunication Reference Center (Centro de Referência em Radiocomunicações—CRR) Project of the National Institute of Telecommunications (Instituto Nacional de Telecomunicações—Inatel), Brazil(grant numbers:01250.075413/2018-04); Coordenação de Aperfeiçoamento de Pessoal de Nível Superior (CAPES), Brazil(grant numbers:Finance Code 001); Fundação para a Ciência e a Tecnologia/Ministério da Ciência, Tecnologia e Ensino Superior (FCT/MCTES) through national funds and when applicable co-funded EU(grant numbers:UIDB/EEA/50008/2020); Brazilian National Council for Scientific and Technological Development (CNPq)(grant numbers:309335/2017-5); </t>
  </si>
  <si>
    <t>National Natural Science Foundation of China(grant numbers:61933015);</t>
  </si>
  <si>
    <t>European Union’s H2020 Research and Innovation Program(grant numbers:H2020-MCSA-ITN-2016-SECRET 722424);</t>
  </si>
  <si>
    <t xml:space="preserve">European Union’s Horizon 2020 through the 5G for Connected and Automated Road Mobility in the European unioN (5 G-CARMEN) Project(grant numbers:825012); Federated Union of Telecommunications Research Facilities for an EU-Brazil Open Laboratory (FUTEBOL) Project(grant numbers:688941); Brazilian Ministry of Science, Technology, Innovation, and Communication (MCTIC) through Rede Nacional de Ensino e Pesquisa (RNP), Centro de Tecnologia da Informação e Comunicação (CTIC), and Conselho Nacional de Desenvolvimento Científico e Tecnológico (CNPq); </t>
  </si>
  <si>
    <t>Nowadays Cloud computing permeates almost every domain in Information and Communications Technology (ICT) and, increasingly, most of the action is shifting from large, dominant players toward independent, heterogeneous, private/hybrid deployments, in line with an ever wider range of business models and stakeholders. The rapid growth in the numbers and diversity of small and medium Cloud providers is bringing new challenges in the as-a-Services space. Indeed, significant hurdles for smaller Cloud service providers in being competitive with the incumbent market leaders induce some innovative players to “federate” deployments in order to pool a larger, virtually limitless, set of resources across the federation, and stand to gain in terms of economies of scale and resource usage efficiency. Several are the challenges that need to be addressed in building and managing a federated environment, that may go under the “Security”, “Interoperability”, “Versatility”, “Automatic Selection” and “Scalability” labels. The aim of this paper is to present a survey about the approaches and challenges belonging to the “Automatic Selection” category. This work provides a literature review of different approaches adopted in the “Automatic and Optimal Cloud Service Provider Selection”, also covering “Federated and Multi-Cloud” environments.</t>
  </si>
  <si>
    <t>Italian Project TOOLSMART financed by Open Community(grant numbers:PA 2020); Pon Governance(grant numbers:2014–2020);</t>
  </si>
  <si>
    <t>In recent years, both the scientific community and the industry have focused on moving computational resources with remote data centres from the centralized cloud to decentralised computing, making them closer to the source or the so called “edge” of the network. This is due to the fact that the cloud system alone cannot sufficiently support the huge demands of future networks with the massive growth of new, time-critical applications such as self-driving vehicles, Augmented Reality/Virtual Reality techniques, advanced robotics and critical remote control of smart Internet-of-Things applications. While decentralised edge computing will form the backbone of future heterogeneous networks, it still remains at its infancy stage. Currently, there is no comprehensive platform. In this article, we propose a novel decentralised edge architecture, a solution called OMNIBUS, which enables a continuous distribution of computational capacity for end-devices in different localities by exploiting moving vehicles as storage and computation resources. Scalability and adaptability are the main features that differentiate the proposed solution from existing edge computing models. The proposed solution has the potential to scale infinitely, which will lead to a significant increase in network speed. The OMNIBUS solution rests on developing two predictive models: (i) to learn timing and direction of vehicular movements to ascertain computational capacity for a given locale, and (ii) to introduce a theoretical framework for sequential to parallel conversion in learning, optimisation and caching under contingent circumstances due to vehicles in motion.</t>
  </si>
  <si>
    <t>A. Javed; A. Malhi; T. Kinnunen; K. Främling</t>
  </si>
  <si>
    <t>The Internet of Things (IoT) is envisioned as a ubiquitous computing infrastructure in which everything becomes connected, enabling gigantic information exchange among Things and people. These connected smart Things generate an enormous amount of data which need to be efficiently managed to form a unified global IoT. Unfortunately, due to the lack of acceptable open standards, communication protocols, and support for device/service discovery, the recent IoT deployments in smart environments (e.g., smart home, smart building, smart city) are posing imperative challenges related to interoperability, discovery, and the configuration of deployed objects, since the number of objects is expected to grow over time. Therefore, it is of utmost importance to provide open and scalable solutions for the discovery of devices (i.e., Things), their configuration, and data management. This paper introduces an open and scalable IoT platform by adopting the modular characteristics of edge computing for smart environments. This paper: (i) performs a systematic literature review of IoT-based infrastructures and analyzes the scalability requirements; (ii) proposes a layered IoT platform for smart environments that fosters heterogeneity, interoperability, discovery, and scalability; and (iii) demonstrates the applicability of the proposed solution by relying on a comprehensive study of a Väre smart building use case at Aalto University.</t>
  </si>
  <si>
    <t>European Union’s (EU’s) Horizon 2020 Research and Innovation Program(grant numbers:bIoTope: 688203); Horizon 2020 Project FINEST TWINS(grant numbers:856602); Academy of Finland (Open Messaging Interface)(grant numbers:296096);</t>
  </si>
  <si>
    <t>Cyber-physical systems revolve around context awareness, empowering objective-oriented services, products and operations based on real data. Self-aware and self-control systems are core elements in the Industry 4.0 framework towards self-sustainable adaptive manufacturing and personalized services. This development is witnessed by the context-aware pervasive assistance to users and machines in decisions making process for optimizing product performance and economic yield. While integration of the virtual and the physical world entails smart sensors communication and complex data analytics, it relies on artificial intelligence tools to manage process operations. The objective of the article is to create awareness that systems control community must address theoretical and practical aspects from a larger perspective. Context aware control is emerging as a natural solution to maximize the use of available sensing instrumentation and the relatively low cost data logging, i.e. an important source for extracting information, interpreting and using context information and adapt its functionality to the current context of use. This article presents a concise overview of applications where context aware systems and control methodologies are relevant in the seven societal challenges acknowledged by European policy-makers: Digital Society; Food; Health and Well-Being; Smart Resource Management; Urban Planning, Mobility Dynamics and Logistics; New Energy Demand and Delivery; and Society.  © 2013 IEEE.</t>
  </si>
  <si>
    <t>IEEE Access Special Section Editorial: Cloud-Fog-Edge Computing in Cyber–Physical–Social Systems (CPSS)</t>
  </si>
  <si>
    <t>Cyber–Physical–Social Systems (CPSS) integrate the cyber, physical, and social spaces together. One of the ultimate goals of cyber–physical–social systems is to make our lives more convenient and intelligent by providing prospective and personalized services for users. To achieve this goal, a wide range of data in CPSS are employed as the starting point for research, since the data contain the users’ historical behavior trajectory and the users’ demand preference. Generated and collected from social and physical spaces and integrated into the cyberspace, CPSS data are complex and heterogeneous, recording all aspects of users’ lives in the forms of image, audio, video, and text. Generally, the collected or generated data in CPSS satisfy the 4Vs (volume, variety, velocity, and veracity) of big data. Thus, knowing how to deal with CPSS big data efficiently is the key to providing services for users. From another perspective, CPSS big data are specified as the global historical data and the local real-time data. Cloud computing, as a powerful paradigm for implementing the data-intensive applications, has an irreplaceable role in processing global historical data. On the other hand, with the increasing computing capacity and communication capabilities of mobile terminal devices, fog-edge computing, as an important and effective supplement of cloud computing, has been widely used to process local real-time data. Therefore, the question of how to systematically and efficiently process CPSS big data (including both the global historical data and the local real-time data) in CPSS has become the key for providing services. The goal of this Special Section is therefore to provide insights and views into the area of Cloud-Fog-Edge Computing in CPSS, as well as to provide directions for research in the field.</t>
  </si>
  <si>
    <t>FCT/MCTES (UNINOVA-CTS)(grant numbers:UIDB/00066/2020);</t>
  </si>
  <si>
    <t>Academy of Finland 6Genesis Flagship(grant numbers:318927); AI Enhanced Mobile Edge Computing project; Future Makers program of Jane and Aatos Erkko Foundation and Technology Industries of Finland Centennial Foundation; Jorma Ollila Grant;</t>
  </si>
  <si>
    <t>National Natural Science Foundation of China Grants (NSFC)(grant numbers:61772112); Innovation Foundation of Science and Technology of Dalian(grant numbers:2018J11CY010);</t>
  </si>
  <si>
    <t>Royal Melbourne Institute of Technology (RMIT) University Research Stipend Scholarship (RRSS);</t>
  </si>
  <si>
    <t>Fundação para a Ciência e Tecnologia (FCT) / Ministério para a Educação e Ciência through the National Funds(grant numbers:PTDC/EEI-TEL/30685/2017);</t>
  </si>
  <si>
    <t>L. Mendoza-Pitti; H. Calderón-Gómez; M. Vargas-Lombardo; J. M. Gómez-Pulido; J. L. Castillo-Sequera</t>
  </si>
  <si>
    <t xml:space="preserve">National Secretariat for Science, Technology and Innovation (SENACYT, Panama) and the Institute for the Training and Use of Human Resources (IFARHU); SENACYT through the National Research System (SNI-SENACYT) National Research System; ‘‘Smart Energy’’ Campus of International Excellence; Universidad de Alcalá and the Universidad Rey Juan Carlos (Spain); </t>
  </si>
  <si>
    <t>D. Guamán; S. Delgado; J. Pérez</t>
  </si>
  <si>
    <t xml:space="preserve">Computer Science Department, Universidad Técnica Particular de Loja; Spanish Ministry of Economy and Competitiveness (MINECO) through the Project CROWDSAVING(grant numbers:TIN2016-79726-C2-1-R); </t>
  </si>
  <si>
    <t>C. M. Coman; G. D’amico; A. V. Coman; A. Florescu</t>
  </si>
  <si>
    <t>Strategic Priority Research Program of the Chinese Academy of Sciences(grant numbers:XDA19080201);</t>
  </si>
  <si>
    <t>Internet of Things (IoT) is proliferating in our real world, and it is a promising technology that serves a very comfortable service to the users. IoT's underlying technology is to connect to central Cloud Computing (CC), which is a huge data center collecting the generated data by IoT devices, and it is located in different areas on demand. However, cloud computing lacks data transmission because of the infrastructure and limitations of networks which enormously decrease its performance. Therefore, a new paradigm has been founded to act as a middleware between the Cloud and IoT, termed Fog Computing (FC) Technology. Considering Fog as a cloud extension that provides computing service at the edge of the network, Fog Computing placement enables this technology to deal with numerous data locally. In this study, we surveyed Fog computing with in-depth analysis and covered the latest studies to address and overcome the existing challenges in FC. We reviewed fog computing technology conceptually and defined it based on the existing studies in the literature, together with its architecture, applications, advantages, and open issues with optimization methods being performed to obtain the optimal services.  © 2013 IEEE.</t>
  </si>
  <si>
    <t>The use of e-learning technologies is growing even faster due to the existing conditions where virtual setups temporarily replace traditional classroom environments. Service infrastructure support for e-learning has moved to the cloud. For this reason, the efficient provisioning of resources for such platforms, which is achieved through prediction, is very relevant. The existing techniques for predicting the use of resources in the cloud are not designed with e-learning’s specific requirements. This paper presents a neural network-based model for predicting the usage of computational resources for e-learning platforms. This model consists of a series of interconnected neural networks used to predict values for variables of interest, such as Random Access Memory (RAM) usage and Central Processing Unit (CPU) usage. Using data collected from a high school real scenario, we analyzed and used it to train and validate our neural network-based model. This scenario consisted of a Moodle server deployed in a Google Virtual Machine with a configured course and its contents. Each student performed a series of activities while connected to it. Our proposed model achieves high accuracy. The obtained results are promising, paving the way towards constructing software tools for provisioning computational resources on demand for e-learning platforms.</t>
  </si>
  <si>
    <t>J. A. Barriga; P. J. Clemente; E. Sosa-Sánchez; Á. E. Prieto</t>
  </si>
  <si>
    <t xml:space="preserve">Ministry of Science and Innovation (MCI), for the State Research Agency (AEI)(grant numbers:RTI2018-098652-B-I00); Government of Extremadura, Council for Economy, Science and Digital Agenda(grant numbers:GR18112); European Regional Development Fund (ERDF)(grant numbers:IB20058); Cátedra Telefónica de la Universidad de Extremadura (Red de Cátedras Telefónica); </t>
  </si>
  <si>
    <t>S. V. Sudarsan; O. Schelén; U. Bodin</t>
  </si>
  <si>
    <t>Electronic Components and Systems for European Leadership (ECSEL) Joint Undertaking (JU) through the Arrowhead Tools Project(grant numbers:826452);</t>
  </si>
  <si>
    <t>A wearable is a lightweight body-worn device that relies on data-driven communications to keep people connected purposefully, for instance, for fire-fighting, prompting fast-food clients, and medical treatment. With rise of wearable computing in the era of IoT-driven smart applications, programmers now expect the time to market for these devices to be shortened. While support for IoT programming in general has gathered traction, tool proposals that automate the development of smart solutions based on the Internet of Wearable Things, though of paramount importance, still stay on the sidelines. We propose a code generation tool called Micraspis that allows a wearable to be described both functionally and architecturally - as if they are two sides of the same coin. The tool has an underlying model-to-code transformation mechanism to generates source code that is executable on a specific IoT programming platform such as Arduino. Our experiments demonstrate that programming code generated by Micraspis amounts to at least 60% of the source code needed to fulfill the business logic of ordinary wearable devices. We conduct an interview to meticulously collect programmers' assessment on how Micraspis assists them in programming and architecting smart IoT wearables. A total of 161 programmers responded to a Likert scale questionnaire, with which at least 65% of them either agree or strongly agree. Overall, the results show that Micraspis has promising applicability in supporting IoWT-enabled smart solutions. © 2013 IEEE.</t>
  </si>
  <si>
    <t>Cardiovascular diseases are considered the number one cause of death across the globe which can be primarily identified by the abnormal heart rhythms of the patients. By generating electrocardiogram (ECG) signals, wearable Internet of Things (IoT) devices can consistently track the patient's heart rhythms. Although Cloud-based approaches for ECG analysis can achieve some levels of accuracy, they still have some limitations, such as high latency. Conversely, the Fog computing infrastructure is more powerful than edge devices but less capable than Cloud computing for executing compositionally intensive data analytic software. The Fog infrastructure can consist of Fog-based gateways directly connected with the wearable devices to offer many advanced benefits, including low latency and high quality of services. To address these issues, a modular one-dimensional convolution neural network (1D-CNN) approach is proposed in this work. The inference module of the proposed approach is deployable over the Fog infrastructure for analysing the ECG signals and initiating the emergency countermeasures within a minimum delay, whereas its training module is executable on the computationally enriched Cloud data centers. The proposed approach achieves the F1-measure score ≈1 on the MIT-BIH Arrhythmia database when applying GridSearch algorithm with the cross-validation method. This approach has also been implemented on a single-board computer and Google Colab-based hybrid Fog-Cloud infrastructure and embodied to a remote patient monitoring system that shows 25% improvement in the overall response time.</t>
  </si>
  <si>
    <t>National Natural Science Foundation of China(grant numbers:61771281); National Social Science Fund of China(grant numbers:15ZDB151); National Key Research and Development Program of China(grant numbers:2018YFF0213700); 2018 Industrial Internet Platform Innovation and Development Project of China; 2018 Integrated Standardization of Intelligent Manufacturing and Application of New Models;</t>
  </si>
  <si>
    <t>T. Górski; A. P. WOźniak</t>
  </si>
  <si>
    <t>Edge Computing is a novel computing paradigm moving server resources closer to end-devices. In the context of IoT, Edge Computing is a centric technology for enabling reliable, context-aware and low-latency services for several application areas such as smart healthcare, smart industry and smart cities. In our previous work, we have proposed a three-tier IoT Edge architecture and a virtual decentralized service platform based on lightweight microservices, called nanoservices, running on it. Together, these proposals form a basis for virtualizing the available local computational capacity and utilizing it to provide localized resource-efficient IoT services based on the applications’ need. Furthermore, locally-deployed functions are resilient to access network problems and can limit the propagation of sensitive user data for improved privacy. In this paper, we propose an automatic service and resource discovery mechanism for efficient on-the-fly deployment of nanoservices on local IoT nodes. As use case, we have selected a healthcare remote monitoring scenario, which requires high service reliability and availability in a highly dynamic environment. Based on the selected use case, we propose a real-world prototype implementation of the proposed mechanism on Raspberry Pi platform. We evaluate the performance and resource-efficiency of the proposed resource matching function with two alternative deployment approaches: containerized and non-containerized deployment. The results show that the containerized deployment is more resource-efficient, while the resource discovery and matching process takes approximately 6–17 seconds, where containerization adds only 1–1.5 seconds. This can be considered a feasible price for streamlined service management, scalability, resource-efficiency and fault-tolerance.</t>
  </si>
  <si>
    <t>M. Simić; I. Prokić; J. Dedeić; G. Sladić; B. Milosavljević</t>
  </si>
  <si>
    <t>Iran National Science Foundation (INSF); University of Tabriz(grant numbers:97013453);</t>
  </si>
  <si>
    <t>Data movement between the CPU and main memory is a first-order obstacle against improv ing performance, scalability, and energy efficiency in modern systems. Computer systems employ a range of techniques to reduce overheads tied to data movement, spanning from traditional mechanisms (e.g., deep multi-level cache hierarch ies, aggressive hardware prefetcher s) to emerging techniques such as Near-Data Processing (NDP), where some computation is moved close to memory. Prior NDP works investigate the root causes of data movement bottlenecks using different profiling methodologies and tools. However, there is still a lack of understanding about the key metrics that can identify different data movement bottlenecks and their relation to traditional and emerging data movement mitigation mechanisms. Our goal is to methodically identify potential sources of data movement over a broad set of applications and to comprehensively compare traditional compute-centric data movement mitigation techniques (e.g., cach ing and prefetch ing) to more memory-centric techniques (e.g., NDP), thereby developing a rigorous understanding of the best techniques to mitigate each source of data movement. With this goal in mind, we perform the first large-scale characterization of a wide variety of applications, across a wide range of application domains, to identify fundamental program properties that lead to data movement to/from main memory. We develop the first systematic methodology to classify applications based on the sources contributing to data movement bottlenecks. From our large-scale characterization of 77K functions across 345 applications, we select 144 functions to form the first open-source benchmark suite (DAMOV) for main memory data movement studies. We select a diverse range of functions that (1) represent different types of data movement bottlenecks, and (2) come from a wide range of application domains. Using NDP as a case study, we identify new insights about the different data movement bottlenecks and use these insights to determine the most suitable data movement mitigation mechanism for a particular application. We open-source DAMOV and the complete source code for our new characterization methodology at https://github.com/CMU-SAFARI/DAMOV.  © 2013 IEEE.</t>
  </si>
  <si>
    <t>The utmost advancements of artificial neural networks (ANNs), software-defined networks (SDNs) and internet of things (IoT) technologies find beneficial in different applications of the smart healthcare sector. Aiming at modern technology's use in the future development of healthcare, this paper presents an advanced heuristic based on Morlet wavelet neural network for solving the mosquito release ecosystem in a heterogeneous atmosphere. The mosquito release ecosystem is dependent of six classes, eggs density, larvae density, pupae density, mosquitoes searching for hosts density, resting mosquito's density and mosquitoes searching for ovipositional site density. An artificial neural network with the layer structure of Morlet wavelet (MWNN) kernel is presented using the global and local search optimization schemes of genetic algorithm (GA) and active-set algorithm (ASA), i.e., MWNN-GA-ASA. The accurateness, reliability and constancy of the proposed MWNN-GA-ASA is established through comparative examinations with Adams method based numerical results to solve the proposed nonlinear system with matching of order 10-06 to 10-09. The accuracy and convergence of the proposed MWNN-GA-ASA is certified using the statistical operators based on root mean square error (RMSE), Theil's inequality coefficient (T.I.C) and mean absolute deviation (MAD) operators.  © 2013 IEEE.</t>
  </si>
  <si>
    <t>Today’s a large number of blood donation management systems fall short in providing traceability, immutability, transparency, audit, privacy, and security features. Also, they are vulnerable to the single point of failure problem due to centralization. In this paper, we propose a private Ethereum blockchain-based solution to automate blood donation management in a manner that is decentralized, transparent, traceable, auditable, private, secure, and trustworthy. The proposed solution stores non-critical and large data off-chain using the decentralized storage of the InterPlanetary File System (IPFS). We present the system architecture, sequence diagrams, entity-relationship diagram, and algorithms to briefly explain the working principles of our blood donation management solution. We evaluate the performance of our solution in terms of efficiency and effectiveness through performing security analysis. We make our smart contract code publicly available on Github.</t>
  </si>
  <si>
    <t>Khalifa University of Science and Technology(grant numbers:CIRA-2019-001);</t>
  </si>
  <si>
    <t>It has been proven that Internet of Things (IoT) platforms can improve the performance and efficiency of a wide range of processes. With the acceptance of IoT as a major part of the technology of Industry 4.0, the notion of leveraging the Internet in industries to enable automation and reconfigure existing industrial processes has greatly evolved. By introducing smart technology and intelligent processes, the Industrial Internet of Things (IIoT) is committed to bringing high operational efficiency, enhanced productivity, and effective management to industrial assets. Despite this, the reliance of IIoT on central architecture presents numerous challenges, including the security and maintenance of smart devices, privacy issues owing to third-party participation, and massive computations conducted by a central entity, all of which prevent its widespread adoption in businesses. Emerging blockchain technologies have the potential to transform IIoT platforms and applications. A distributed and decentralized approach followed by blockchain might offer interesting solutions to the challenges raised by IIoT. Furthermore, 5G networks are expected to deliver excellent solutions to meet the demands of decentralized systems, with a focus on application-specific vulnerabilities. Blockchain and IIoT, enabled by 5G, is a viable option to fully explore the potential of contemporary industry. In this context, this article analyzes and examines recent achievements to highlight the major obstacles in blockchain–IIoT convergence and presents a framework for potential solutions. A well-organized literature review by analyzing the existing work in three primary areas: blockchain consensus algorithms used in existing IoT and IIoT applications, blockchain for 5G-enabled IoT networks, and blockchain in industry have been performed, with major findings summarized in each area. Directions for the future are also provided and intend to assist researchers in understanding the full potential of these innovations.</t>
  </si>
  <si>
    <t>J. A. Barriga; P. J. Clemente; J. Hernández; M. A. Pérez-Toledano</t>
  </si>
  <si>
    <t>Systems based on the Internet of Things (IoT) are continuously growing in many areas such as smart cities, home environments, buildings, agriculture, industry, etc. This system integrates heterogeneous technologies into a complex architecture of interconnected devices capable of communicating, processing, analysing or storing data. There are several IoT platforms that offer several capabilities for the development of these systems. Some of these platforms are Google Cloud’s IoT Platform, Microsoft Azure IoT suite, ThingSpeak IoT Platform, Thingworx 8 IoT Platform or FIWARE. However, they are complex IoT platforms where each IoT solution has to be developed ad-hoc and implemented by developers by hand. Consequently, developing IoT solutions is a hard, error-prone and tedious task. Thus, increase the abstraction level from which the IoT systems are designed helps to tackle the underlying technology complexity. In this sense, model-driven development approaches can help to both reduce the IoT application time to market and tackle the technological complexity to develop IoT applications. In this paper, we propose a Domain-Specific Language based on SimulateIoT for the design, code generation and simulation of IoT systems which could be deployed on FIWARE infrastructure (an open-source IoT platform). This implies not only designing the IoT system for a high abstraction level and later on code generation, but also designing and deploying an additional simulation layer to simulate the system on the FIWARE infrastructure before final deployment. The FIWARE IoT environment generated includes the sensors, actuators, fog nodes, cloud nodes and analytical characteristics, which are deployed as microservices on Docker containers and composed suitability to obtain a service-oriented architecture. Finally, two case studies focused on a smart building and an agricultural IoT environment are presented to show the IoT solutions deployed using FIWARE.</t>
  </si>
  <si>
    <t xml:space="preserve">Ministerio de Ciencia e Innovación (MCI) through the Agencia Estatal de Investigación (AEI)(grant numbers:RTI2018-098652-B-I00); Government of Extremadura, Council for Economy, Science and Digital Agenda(grant numbers:GR18112,IB20058); European Regional Development Fund (ERDF); Cátedra Telefónica de la Universidad de Extremadura (Red de Cátedras Telefónica); </t>
  </si>
  <si>
    <t>European Union (EU) H2020 5GROWTH Project(grant numbers:856709); Generalitat de Catalunya(grant numbers:2017 SGR 1195); National Program on Equipment and Scientific and Technical Infrastructure under the European Regional Development Fund (FEDER)(grant numbers:EQC2018-005257-P);</t>
  </si>
  <si>
    <t>Touch-enabled sensation and actuation are expected to be the most promising, straightforward, and important uses of the B5G/6G communication networks. In light of the next generation (6G) systems’ prerequisite for low latency, the infrastructure should be reconfigurable, intelligent, and interoperable in the real-time existing wireless network. It has a drastic impact on society due to its high precision, accuracy, reliability, and efficiency, combined with the ability to connect a user from remote areas. Hence, the touch-enabled interaction is primarily concerned with the real-time transmission of tactile-based haptic information over the internet, in addition to the usual audio, visual, and data traffic, thus enabling a paradigm shift towards a real-time control and steering communication system. The existing system latency and overhead often have delays and limitations on the application’s usability. In light of the aforementioned concerns, the study proposes an intelligent touch-enabled system for B5G/6G and an IoT-based wireless communication network, incorporating AR/VR technologies. The tactile internet and network-slicing serve as the backbone of touch technology and incorporates intelligence from techniques such as artificial intelligence and machine/deep learning. The survey also introduces a layered and interfacing architecture with its E2E solution for the intelligent touch-based wireless communication system. It is anticipated for the upcoming 6G system to provide numerous opportunities for various sectors to utilize AR/VR technology in robotics and healthcare facilities to help in addressing several problems faced by society. Conclusively the article presents a few use cases concerning the deployment of touch infrastructure in automation, robotics, and intelligent healthcare systems, assisting in the diagnosis and treatment of the prevailing Covid-19 cases. The paper concludes with some considerable future research aspects of the proposed system with a few ongoing projects concerning the development and incorporation of the 6G wireless communication system.</t>
  </si>
  <si>
    <t>In this study, a new blockchain protocol and a novel architecture that integrate the advantages offered by edge computing, artificial intelligence (AI), IoT end-devices, and blockchain were designed, developed, and validated. This new architecture has the ability to monitor the environment, collect data, analyze it, process it using an AI-expert engine, provide predictions and actionable outcomes, and finally share it on a public blockchain platform. For the use-case implementation, the pandemic caused by the wide and rapid spread of the novel coronavirus COVID-19 was used to test and evaluate the proposed system. Recently, various authors traced the spread of viruses in sewage water and studied how it can be used as a tracking system. Early warning notifications can allow governments and organizations to take appropriate actions at the earliest stages possible. The system was validated experimentally using 14 Raspberry Pis, and the results and analyses proved that the system is able to utilize low-cost and low-power flexible IoT hardware at the processing layer to detect COVID-19 and predict its spread using the AI engine, with an accuracy of 95%, and share the outcome over the blockchain platform. This is accomplished when the platform is secured by the honesty-based distributed proof of authority (HDPoA) and without any substantial impact on the devices’ power sources, as there was only a power consumption increase of 7% when the Raspberry Pi was used for blockchain mining and 14% when used to produce an AI prediction.</t>
  </si>
  <si>
    <t>The scientific community believes that peer-to-peer energy trading will dominate a significant portion of forthcoming power generation systems research. Despite a plethora of optimal energy trading solutions, optimizing the trading cost and intelligent formation of energy sharing strategies are deemed exigent problems. Contemplating the excessive rise of energy demands across the globe, this study introduces a predictive optimization-based nanogrid energy trading model that minimizes energy trading cost and provides an optimal energy sharing plan between peers connected within a nanogrid network/cluster. The proposed study comprises two folds: (1) PSO-enabled objective function incorporating actual and predicted values of essential energy attributes, is implemented to reduce the trading cost, (2) an intelligent time-aware energy sharing strategy to determine the role of peers, and foster the harness of renewable energy to meet the energy requirements. The study also comprehensively analyzes essential nano-grid energy parameters and predicts energy load, consumption, and cost to grasp the time-interval-based energy trends. In addition, an optimal ESS charging and discharging operation is devised to manage excess power efficiently. The proposed model is validated on the case study containing data of 12 nanogrid houses. The outcomes yield that the proposed study holds significant potential in reducing the trading cost and optimally sharing the energy within the P2P network.  © 2013 IEEE.</t>
  </si>
  <si>
    <t>Network-Aware 5G Edge Computing for Object Detection: Augmenting Wearables to “See” More, Farther and Faster</t>
  </si>
  <si>
    <t>L. M. Ruíz; P. P. Pueyo; J. Mateo-Fornés; J. V. Mayoral; F. S. Tehàs</t>
  </si>
  <si>
    <t>Intelligent Energy Europe (IEE) program and the Ministerio de Economía y Competitividad(grant numbers:PID2020-113614RB-C22); MCIN/AEI/10.1H6 network TIN2016-81840-REDT;</t>
  </si>
  <si>
    <t>Z. Sičanica; S. Sučić; B. Milašinović</t>
  </si>
  <si>
    <t>Advanced Tools Towards Cost-efficient Decarbonisation of Future Reliable Energy Systems (ATTEST) Project through the European Union’s Horizon 2020 Research and Innovation Program(grant numbers:864298);</t>
  </si>
  <si>
    <t xml:space="preserve">Service Oriented Grid for the Network of the Future (SOGNO) and Platform for Operation of Distribution Networks (PLATONE), which are European Projects; European Union’s Horizon 2020 Research and Innovation Program(grant numbers:774613,864300); </t>
  </si>
  <si>
    <t>Software code is present on multiple levels within current Internet of Things (IoT) systems. The quality of this code impacts system reliability, safety, maintainability, and other quality aspects. In this paper, we provide a comprehensive overview of code quality-related metrics, specifically revised for the context of IoT systems. These metrics are divided into main code quality categories: Size, redundancy, complexity, coupling, unit test coverage and effectiveness, cohesion, code readability, security, and code heterogeneity. The metrics are then linked to selected general quality characteristics from the ISO/IEC 25010:2011 standard by their possible impact on the quality and reliability of an IoT system, the principal layer of the system, the code levels and the main phases of the project to which they are relevant. This analysis is followed by a discussion of code smells and their relation to the presented metrics. The overview presented in the paper is the result of a thorough analysis and discussion of the author’s team with the involvement of external subject-matter experts in which a defined decision algorithm was followed. The primary result of the paper is an overview of the metrics accompanied by applicability notes related to the quality characteristics, the system layer, the level of the code, and the phase of the IoT project.</t>
  </si>
  <si>
    <t xml:space="preserve">Operational Programme (OP) Výzkum, vývoj a vzdělávání (VVV) Funded Project “Research Center for Informatics”(grant numbers:CZ.02.1.01/0.0/0.0/16_019/0000765); Knowledge Foundation of Sweden (KKS) through the Synergi Project AIDA-A Holistic Artificial Intelligence (AI)-Driven Networking and Processing Framework for Industrial Internet of Things (IoT)(grant numbers:Rek: 20200067); </t>
  </si>
  <si>
    <t>Swedish Knowledge Foundation [Stiftelsen för kunskaps- och kompetensutveckling (KKS)] through the Assured Cloud Platforms for Industrial Cyber-physical Systems (ACICS) and Model-Based DevOps for Cyber-Physical System Product Lines (Modev) projects; Sweden’s Innovation Agency [Verket för innovationssystem (VINNOVA)] through the PANORAMA Project; Excellence in Production Research [Excellence in Production Research (XPRES)] Framework;</t>
  </si>
  <si>
    <t>Australian Department of Defence; Defence Science and Technology Group’s Operations Research Network;</t>
  </si>
  <si>
    <t>M. A. AĞCA; S. Faye; D. Khadraoui</t>
  </si>
  <si>
    <t>Emerging Artificial Intelligence (AI) systems are revolutionizing computing and data processing approaches with their strong impact on society. Data is processed with automated labelling pipelines rather than providing it as input to the system. The innovative nature increases the overall performance of monitoring/detection/reaction mechanisms for efficient system resource management. However, due to hardware-driven design limitations, networking and trust mechanisms are not flexible and adaptive enough to be able to interact and control the resources dynamically. Novel adaptive software-driven design approaches can enable us to build growing intelligent mechanisms with software-defined networking (SDN) features by virtualizing network functionalities with maximized features. These challenges and critical feature sets have been identified and introduced into this survey with their scientific background for AI systems and growing intelligent mechanisms. Furthermore, obstacles and research challenges between 1950–2021 are explored and discussed with a focus on recent years. The challenges are categorized according to three defined architectural perspectives (central, decentral/autonomous, distributed/hybrid) for emerging trusted distributed AI mechanisms. Therefore, resiliency and robustness can be assured in a dynamic context with an end-to-end Trusted Execution Environment (TEE) for growing intelligent mechanisms and systems. Furthermore, as presented in the paper, the trust measurement, quantification, and justification methodologies on top of Trusted Distributed AI (TDAI) can be applied in emerging distributed systems and their underlying diverse application domains, which will be explored and experimented in our future related works.</t>
  </si>
  <si>
    <t>Luxembourg Institute of Science and Technology (LIST) Ph.D. Grant;</t>
  </si>
  <si>
    <t>Business Finland through the Project “Service Business from Physics-Based Digital Twins—DigiBuzz;</t>
  </si>
  <si>
    <t>German Federal Ministry of Education and Research through the German Federal Ministry of Education and Research (BMBF) in the Project Step-Up!CPS (Förderkennzeichen)(grant numbers:01IS18080D);</t>
  </si>
  <si>
    <t>I. Ahmad; Z. Asghar; T. Kumar; G. Li; A. Manzoor; K. Mikhaylov; S. A. Shah; M. Höyhtyä; J. Reponen; J. Huusko; E. Harjula</t>
  </si>
  <si>
    <t>A. C. Marosi; M. Emődi; A. Farkas; R. Lovas; R. Beregi; G. Pedone; B. Németh; P. Gáspár</t>
  </si>
  <si>
    <t xml:space="preserve">National Research, Development and Innovation (NRDI) Office—NKFIH, Hungary(grant numbers:ED_18-2-2018-0006,SNN 129178); Ministry of Innovation and Technology NRDI Office within the framework of the Autonomous Systems National Laboratory Program; Janos Bolyai Research Scholarship of the Hungarian Academy of Sciences; </t>
  </si>
  <si>
    <t>With the increasing stringent QoS constraints (e.g., latency, bandwidth, jitter) imposed by novel applications (e.g., e-Health, autonomous vehicles, smart cities, etc.), as well as the rapidly increasing number of connected IoT (Internet of Things) devices, the core network is becoming increasingly congested. To cope with those constraints, Edge Computing (EC) is emerging as an innovative computing paradigm that leverages Cloud computing and brings it closer to the customer. “EC” refers to transferring computing power and intelligence from the central Cloud to the network’s Edge. With that, EC promotes the idea of processing and caching data at the Edge, thus reducing network congestion and latency. This paper presents a detailed, thorough, and well-structured assessment of Edge Computing and its enabling technologies. Initially, we start by defining EC from the ground up, outlining its architectures and evolution from Cloudlets to Multi-Access Edge Computing. Next, we survey recent studies on the main cornerstones of an EC system, including resource management, computation offloading, data management, network management, etc. Besides, we emphasized EC technology enablers, starting with Edge Intelligence, the branch of Artificial Intelligence (AI) that integrates AI models at resource-constrained edge nodes with significant heterogeneity and mobility. Then, moving on to 5G and its empowering technologies, we explored how EC and 5G complement each other. After that, we studied virtualization and containerization as promising hosting runtime for edge applications. Further to that, we delineated a variety of EC use-case scenarios, e.g., smart cities, e-Health, military applications, etc. Finally, we concluded our survey by highlighting the role of EC integration with future concerns regarding green energy and standardization.</t>
  </si>
  <si>
    <t>National Academy of Sciences (NAS)/United States AID (USAID) under the PEER Cycle 5 Project(grant numbers:5-398); Towards Smart Microgrid: Renewable Energy Integration Into Smart Buildings;</t>
  </si>
  <si>
    <t xml:space="preserve">National Key Research and Development Program of China(grant numbers:2020YFA0711301); National Natural Science Foundation of China(grant numbers:61941104,61901298,61922049,61801248,61771264); Natural Science Foundation of Tianjin(grant numbers:20JCQNJC00300); Science and Technology Development Fund of Tianjin Education Commission for Higher Education(grant numbers:2018KJ211); Shanghai Municipal Science and Technology Major Project(grant numbers:2018SHZDZX04); Tsinghua University–China Mobile Communications Group Company Ltd. Joint Institute; Natural Science Foundation of Jiangsu Province(grant numbers:BK20180943); </t>
  </si>
  <si>
    <t>European Union’s Horizon 2020 Research and Innovation Program (FogProtect)(grant numbers:871525);</t>
  </si>
  <si>
    <t>J. -F. Uhlenkamp; J. B. Hauge; E. Broda; M. Lütjen; M. Freitag; K. -D. Thoben</t>
  </si>
  <si>
    <t xml:space="preserve">University Blockchain Research Initiative (UBRI) Project; Ripple’s Impact Fund, a fund of the Silicon Valley Community Foundation(grant numbers:2021-244121); </t>
  </si>
  <si>
    <t>Internet of Things (IoT) is characterized as one of the leading actors for the next evolutionary stage in the computing world. IoT-based applications have already produced a plethora of novel services and are improving the living standard by enabling innovative and smart solutions. However, along with its rapid adoption, IoT technology also creates complex challenges regarding the management of IoT networks due to its resource limitations (computational power, energy, and security). Hence, it is urgently needed to refine the IoT-based application’s architectures to robustly manage the overall IoT infrastructure. Software-defined networking (SDN) has emerged as a paradigm that offers software-based controllers to manage hardware infrastructure and traffic flow on a network effectively. SDN architecture has the potential to provide efficient and reliable IoT network management. This research provides a comprehensive survey investigating the published studies on SDN-based frameworks to address IoT management issues in the dimensions of fault tolerance, energy management, scalability, load balancing, and security service provisioning within the IoT networks. We conducted a Systematic Literature Review (SLR) on the research studies (published from 2010 to 2022) focusing on SDN-based IoT management frameworks. We provide an extensive discussion on various aspects of SDN-based IoT solutions and architectures. We elaborate a taxonomy of the existing SDN-based IoT frameworks and solutions by classifying them into categories such as network function virtualization, middleware, OpenFlow adaptation, and blockchain-based management. We present the research gaps by identifying and analyzing the key architectural requirements and management issues in IoT infrastructures. Finally, we highlight various challenges and a range of promising opportunities for future research to provide a roadmap for addressing the weaknesses and identifying the benefits from the potentials offered by SDN-based IoT solutions.</t>
  </si>
  <si>
    <t>Edge computing is proposed as a technical enabler for meeting emerging network technologies (such as 5G and Industrial Internet of Things), stringent application requirements and key performance indicators (KPIs). It aims to alleviate the problems associated with centralized cloud computing systems by placing computational resources to the network’s edge, closer to the users. However, the complexity of distributed edge infrastructures grows when hosting containerized workloads as microservices, resulting in hard to detect and troubleshoot outages on critical use cases such as industrial automation processes. Observability aims to support operators in managing and operating complex distributed infrastructures and microservices architectures by instrumenting end-to-end runtime performance. To the best of our knowledge, no survey article has been recently proposed for distributed edge and containerized microservices observability. Thus, this article surveys and classifies state-of-the-art solutions from various communities. Besides surveying state-of-the-art, this article also discusses the observability concept, requirements, and design considerations. Finally, we discuss open research issues as well as future research directions that will inspire additional research in this area.</t>
  </si>
  <si>
    <t>Knowledge Foundation of Sweden (KKS) through the Synergy Project AIDA—A Holistic AI-Driven Networking and Processing Framework for Industrial IoT(grant numbers:Rek:20200067);</t>
  </si>
  <si>
    <t>D. Escuín; L. Polo; D. Ciprés; C. Millán; J. Carcas</t>
  </si>
  <si>
    <t>B. Saovapakhiran; W. Naruephiphat; C. Charnsripinyo; S. Baydere; S. Özdemir</t>
  </si>
  <si>
    <t>Due to the wide variety of production orders and complex processes in the lithium battery cell rolling shop, it is easy to cause conflict deadlock problems when multiple devices are operating at the same time, thus blocking the tasks and affecting productivity. In this paper, we build a task scheduling framework for the rolling shop by combining the production process of lithium battery cells, and establish a production scheduling model for the rolling shop by considering the scheduling rules of order splitting and order prioritization. An improved genetic algorithm is proposed to solve the model with the completion time and delay time as the optimization objectives. First, heuristic rules are combined with GLR initialization methods to generate initial populations to improve population quality. Secondly, a simulated annealing algorithm with an elite retention strategy is introduced to screen the new population, and a neighborhood exchange strategy based on order priority ranking is proposed to overcome the problem that the iterative process is prone to illegal solutions. Finally, the encoding method and mutation repair mechanism are improved, and adaptive crossover and mutation operations are used to improve the search capability of the algorithm. The experimental results show that the improved genetic algorithm is feasible and effective in solving the optimization problem of rolling operation shop scheduling, and the algorithm has certain application value in improving the efficiency of smart shop operation. © 2013 IEEE.</t>
  </si>
  <si>
    <t>With the increasing adoption of the edge computing paradigm, including multi-access edge computing (MEC) in telecommunication scenarios, many works have explored the benefits of adopting it. Since MEC, in general, presents a reduction in latency and energy consumption compared to cloud computing, it has been applied to deploy artificial intelligence services. This kind of service can have distinct requirements, which involve different computational resource capabilities as well different data formats or communication protocols to collect data. In this sense, we propose the VEF Edge Framework, which aims at helping the development and deployment of artificial intelligence services for MEC scenarios considering requirements as low-latency and CPU/memory consumption. We explain the VEF architecture and present experimental results obtained with a base case’s implementation: an object detection inference service deployed with VEF. The experiments measured CPU and memory usage for the VEF’s main components and the processing time for two procedures (inference and video stream handling).</t>
  </si>
  <si>
    <t>Throughout the various containment phases of a pandemic, such as Covid-19, digital tools and services have proven to be essential measures to counteract the ensuing disrupting effects in social and working interactions. In such scenarios, Nausica@DApp, the comprehensive solution proposed in this paper, eases compatibility of the in-presence activities of a campus-based corporation with the organizational constraints posed by the virus during the pandemic, or at a later endemic stage. This is accomplished throughout several intervention areas, such as personnel contact tracing, crowd gathering surveillance, and epidemiological monitoring. These operational requirements, in particular indirect contact tracing and overcrowd monitoring, call for the adoption of an absolute device localization paradigm, which, in the proposed solution, has been devised on top of the campus WiFi infrastructure, proving to be encouragingly accurate in most cases. Absolute localization, on the other hand, entails a certain amount of server-based centralized operations, which might affect the preservation of user data privacy. The novelty of the proposed solution consists in maximizing confidentiality and integrity in the handling of sensitive personal information, in spite of the centralized aspects of the localization system. This is accomplished by decentralizing contact tracing matching operations, which are entirely carried out locally, by apps running on the users’ mobile devices. Contact data are pseudonymized and their authenticity is guaranteed by a blockchain. Furthermore, the proposed novel solution improves privacy preservation by eschewing recourse to the Bluetooth app-to-app channel for user data exchange, in fact a typical choice of most current contract tracing solutions. Thanks to a sensible use of the blockchain features, integrated into Nausica@DApp’s microservice-based back-end, a higher degree of operation transparency can be relied upon, thus boosting the user’s level of trust and enhancing the availability and reliability of data about people gathering within the campus premises. Moreover, contact tracing only requires the mobile device WiFi interface to be on, so that users are neither forced to adopt new habits, nor to grant additional device access permissions to contact tracing apps (potentially undermining their own privacy). The overall system has been analysed in terms of performance and costs, and the experiments have shown that its adoption is viable and effective.</t>
  </si>
  <si>
    <t xml:space="preserve">Project TEAMS—TEchniques to Support the Analysis of Big Data in Medicine, Energy and Structures—Piano di incentivi per la ricerca di Ateneo 2020/2022; </t>
  </si>
  <si>
    <t>M. E. Tabacchi; D. Tegolo; D. Cascio; C. Valenti; S. Sorce; V. Gentile; V. Taormina; I. Brusca; G. Magazzù; A. Giuliano; G. Raso</t>
  </si>
  <si>
    <t>ITAMA Project under the International Cooperation Program Interreg V-A 1(grant numbers:JS-Code C1-1.1-18);</t>
  </si>
  <si>
    <t>E. Peltonen; I. Ahmad; A. Aral; M. Capobianco; A. Y. Ding; F. Gil-Castiñeira; E. Gilman; E. Harjula; M. Jurmu; T. Karvonen; M. Kelanti; T. Leppänen; L. Lovén; T. Mikkonen; N. Mohan; P. Nurmi; S. Pirttikangas; P. Sroka; S. Tarkoma; T. Yang</t>
  </si>
  <si>
    <t xml:space="preserve">an international expert group, led by the 6G Flagship at the University of Oulu, Finland(grant numbers:318927,326291,323630); European Union’s Horizon 2020 research and innovation programme(grant numbers:101021808); Marie Skłodowska-Curie(grant numbers:956090); National Science Centre in Poland(grant numbers:2018/29/B/ST7/01241); Austrian Science Fund(grant numbers:Y 904-N31,I 5201-N); CHIST-ERA(grant numbers:CHIST-ERA-19-CES-005); City of Vienna (5G Use Case Challenge InTraSafEd 5G); </t>
  </si>
  <si>
    <t>Croatian Science Foundation(grant numbers:HRZZ-IP-2019-04-4216);</t>
  </si>
  <si>
    <t>Innovate UK/CELTIC-NEXT European collaborative project on AI-enabled Massive MIMO (AIMM); Next-Generation Converged Digital Infrastructure (NG-CDI) Project; BT and Engineering and Physical Sciences Research Council (EPSRC)(grant numbers:EP/R004935/1);</t>
  </si>
  <si>
    <t>D. F. Blanco; F. le Mouël; T. Lin</t>
  </si>
  <si>
    <t>From a software evolution perspective, more actors are integrating the in-vehicle software development cycle. In this process, software deployment mechanisms must include more complex techniques to meet the software verification and traceability levels required by industry safety and security constraints. In this context, we propose Fenrir, a public inter-automaker blockchain-based application store framework in which each automaker retains software installability control. This application store also aims to ensure traceability and security, while also keeping the solution light in terms of both energy consumption and computing requirements, to be used in constrained environments.We implemented Fenrir in a heterogeneous architecture composed by both on-board (bearing an ARM Cortex-A53 chipset, already deployed in cars) and off-board (Amazon EC2) nodes for a realistic automotive use-case scenario, in which we evaluated the performance and energy consumption. We demonstrate that the overheads added by our solution for an entire software deployment pipeline—comprising both deployment and usage of already deployed software packages—depends mainly on the verification mechanism, whose impact is not significant, i.e., 3.8% for the worst-case scenario and 0.3% for a typical scenario.</t>
  </si>
  <si>
    <t>N. Li; X. Xu; Q. Sun; J. Wu; Q. Zhang; G. Chi; C. -L. Ⅰ; N. Sprecher</t>
  </si>
  <si>
    <t>Remote health monitoring-based Internet of Things (IoT) network security is a multi-domain task, that involves identification of network attack, evaluation of mitigation strategies, design of performance aware data security models, integration of privacy models, and modeling of device-level security methods. Internal designs for each of these models is highly complex, and varies in terms of quantitative &amp; qualitative performance measures. This is due to their variation in terms of design nuances, functional advantages, context-based limitations, and possible deployment-specific future scopes. Due to this variation, it is highly ambiguous to select these models for performance-specific IoT deployments. Moreover, these models also vary in terms of security level, Quality of Service (QoS) parameters, scalability performance, computational complexity, deployment costs, and other performance metrics. Thus, to identify optimum models, researchers &amp; network designers are required to test &amp; validate multiple security models for their deployments. Due to which, the cost &amp; time to market for IoT devices is increased, thereby affecting viability of IoT products. To overcome these selection issues, an empirical survey of different IoT security models including block-chains, encryption techniques, hashing models, privacy preservation techniques, machine learning based security methods, etc. are discussed in this text. This text also discusses various attack mitigation models that provide node-level security, network-level security, physical security, &amp; route-level security. This discussion will assist in initially evaluating different operating characteristics of these models, which will allow readers to identify most suited models for their application-specific use cases. This article also assesses the models’ performance in terms of computational latency, energy consumption, security levels, deployment complexity, and scalability measures. These metrics are compared between different security models, which will further assist readers to identify optimum models for their performance-specific use cases. To further assist in model selection, this text proposes evaluation of a novel IoT Security Performance Rank (ISRP), that combines various performance metrics to form a singular rank which can be used to describe overall performance of these models. Readers will be able to consider optimal security approaches for new and current IoT installations based on this ranking.</t>
  </si>
  <si>
    <t>ADVANCE CRT Ph.D. Cohort(grant numbers:18/CRT/6222); ADAPT SFI Research Centre at Munster Technological University; Science Foundation Ireland through the SFI Research Centres Programme; European Regional Development Fund (ERDF)(grant numbers:13/RC/2106\_P2); Horizon 2020 projects STOP Obesity Platform(grant numbers:823978); ITFLOWS(grant numbers:882986);</t>
  </si>
  <si>
    <t>Condition Monitoring (CM) is an extremely critical application of the Internet of Things (IoT) within Industry 4.0 and Smart City scenarios, especially following the recent energy crisis. CM aims to monitor the status of a physical appliance over time and in real time in order to react promptly when anomalies are detected, as well as perform predictive maintenance tasks. Current deployments suffer from both interoperability and management issues within their engineering process at all phases– from their design to their deployment, to their management–, often requiring human intervention. Furthermore, the fragmentation of the IoT landscape and the heterogeneity of IoT solutions hinder a seamless onboarding process of legacy devices and systems. In this paper, we tackle these problems by first proposing an architecture for CM based on both abstraction layers and toolchains, i.e., automated pipelines of engineering tools aimed at supporting the engineering process. In particular, we introduce four different toolchains, each of them dedicated to a well-defined task (e.g., energy monitoring). This orthogonal separation of concerns aims to simplify both the understanding of a complex ecosystem and the accomplishment of independent tasks. We then illustrate our implementation of a complete CM system that follows said architecture as a real Structural Health Monitoring (SHM) pilot of the Arrowhead Tools project, by describing in detail every single tool that we developed. We finally show how our pilot achieves the main objectives of the project: the reduction of engineering costs, the integration of legacy systems, and the interoperability with IoT frameworks.</t>
  </si>
  <si>
    <t>E. J. Khatib; C. S. Álvarez-Merino; H. Q. Luo-Chen; R. B. Moreno</t>
  </si>
  <si>
    <t>Modern society needs bathrooms. Poor sanitation is caused by worn-out appliances and expensive cleaning. The technique also requires an inexpensive, dependable sensor. This study had three goals. Creating an IoT administration platform is the main goal. Literature evaluations assess the merits and downsides of existing systems. Second, we suggest predictive maintenance to assist predict bathroom equipment breakdowns. Finally, a scheduling algorithm was used to determine how many janitors to hire. We’ll measure the model’s effectiveness and make future recommendations. Infrared, temperature and humidity sensors create an IoT bathroom. Sensors have been studied to understand how to adapt them to the hygienic and private toilet environment. Sensor accuracy and cost-effectiveness could be enhanced with more development and testing. The Auto-Regressive Integrated Moving Average (ARIMA) model accurately predicts time series lags, making it a good candidate for predictive maintenance. Long Short-Term Memory (LSTM) is good in time series predictions, therefore it’s fair to compare the two. We use the ARIMA model to handle Remaining Useful Life (RUL) prediction techniques by altering Moving Average (MA) and Auto-Regressive (AR). A genetic algorithm is used to create a janitorial cleaning schedule. The genetic algorithm was proposed to schedule cleaning workers. This approach improves the genetic algorithm by studying soft and hard scheduling restrictions. The Greedy algorithm is used to compare. Experimental evaluations reveal that the suggested model ARIGA meets both goals.</t>
  </si>
  <si>
    <t>Recent developments in IoT-enabled cloud computing and interactive applications have made researchers rethink how healthcare services are currently provided. The IoT-cloud-based systems facilitate remote monitoring and support for patients. However, in the existing area, much emphasis has not been given to making the healthcare systems green. So, in this paper, we present an integrated framework for green healthcare and use cutting-edge technology to make an interactive user interface. We have also ensured the system’s scalability and performance ratio. This system interface has been designed and developed for patients and doctors, where patients can send their healthcare data using wearable sensors, and doctors can receive those data in real-time. For data identification and analysis, we have adopted Hierarchical Clustering Algorithms. Finally, we have come up with a solution for how to make the interactive healthcare experience better for everyone.</t>
  </si>
  <si>
    <t>The resource usage behaviors of application workloads are currently the primary concern of cloud providers offering hosting services. These services should be able to adapt to workload changes by automatically provisioning and de-provisioning resources so that, at all times, the existing resources in a system match the current service demand. Such behavior can be achieved manually by hiring a DevOps team to manage the application’s resources. Another option would be automating the resource provisioning processing using automated rules. Once such rules are met, the hosting environment will scale the resources accordingly. However, managing a DevOps team or creating flaky rules can lead to over-scaling application resources. This work proposes a new approach: a proactive auto-scaling framework built on an ensemble model. Such a model utilizes several machine learning techniques to scale application resources to match resource demand before the need arises. We evaluated our solution against three real production applications hosted on Cegedim Cloud Hosting Environment, an industrial environment serving several cloud applications from various domains, and against other machine learning models used in similar proactive auto-scaling experiments mentioned in past work. The experimentation results show that predicting application resources like CPU or RAM is feasible. Moreover, even in production environments, our ensemble model performs optimally in the CPU case and is near the optimal model when predicting RAM resources.</t>
  </si>
  <si>
    <t>The whole process of tobacco production is composed of many components, in which their operation and administration are currently independent. It is required to deploy smart manufacturing workflow for the whole production process, in order to realize centralized effective global scheduling. This requires an advanced administration control platform that has strong abilities of multisource data integration and automatic decision support. To bridge such research gap, this paper designs an optimal scheduling control system for smart manufacturing processes of tobacco industry. First of all, this work discusses major characteristics of future-generation production control patterns in intelligent tobacco factories (ITF). Then, a five-layer architecture for optimal scheduling control of ITF is proposed, which contains Internet-of-Things layer, centralized control layer, model layer, platform layer and operation layer. In addition, a production scheduling optimization strategy is also developed for the proposed system to serve as the software algorithm that drives the running of whole smart manufacturing processes. Finally, this paper presents a comparative analysis of the proposed system’s transformation in a cigarette factory. Naturally, the effectiveness of the proposed production optimization scheduling strategy is verified through simulation.</t>
  </si>
  <si>
    <t>The increasing domestic demand for electricity has required the scientific community to develop new technologies focused on energy expenditure minimization. In this context, Home Energy Management System (HEMS) is an element that can incorporate applications that aid in efficient energy management, such as load recognition. Load recognition allows HEMS to map all appliances, assisting in efficient management. In this regard, methods that solve the load recognition problem are vital for HEMS. The motivation of this work is to propose a novel system that enhances load recognition in HEMS applications. For this purpose, the proposed system contains an event detector stage based on the Wavelet transform and another stage for appliance identification consisting of two processing chains, one for high reliability and one for fast model training. The main novelties of our work are: (i) very-low training time via fast training processing chain, less than 1 second with $k$ -Nearest Neighbor (k-NN); (ii) the highest values for accuracy, F1, and the kappa index, 98.90%, 98.77%, and 0.9382, respectively, for the regularized Convolutional Neural Network (CNN-r) using the 'Personalised Retrofit Decision Support Tools for UK Homes using Smart Home Technology' (REFIT) dataset; (iii) this is the first paper employing CNN-r and Vision Transformer (ViT) for load recognition problem; and (iv) the approach is applicable in households without any restrictions, as long as training the models. Regarding the tested scenarios, the results reveal a very efficient strategy yielding accuracy values greater than 98% for the REFIT dataset and the Reference Energy Disaggregation Dataset (REDD). Finally, the proposed approach provides the highest performance compared to other methods available in the literature.  © 2013 IEEE.</t>
  </si>
  <si>
    <t>Information-centric networking (ICN) and its fruition, the named data networking (NDN) is a paradigm shift from host-centric address-based communication architecture to the content-centric name-based one. ICN intends to resolve various major issues faced by today’s internet architecture such as privacy, security, consistent routing, and mobility, to name a few. With the massive increase of mobile data traffic in today’s era, mobility is one of the major concerns in networking. On the one hand, ICN realization i.e., the NDN follows a pull-based communication model and natively supports the consumer (end-user) mobility in wired networks by maintaining the forwarding states on intermediate nodes. Nevertheless, the mobile consumer nodes confront issues in wireless networking environments such as excessive energy consumption as a result of request flooding, content retrieval delays due to intermittent connectivity, and bandwidth consumption due to the broadcasting nature of the wireless medium, among others. The producer (content-generator) mobility, on the other hand, was not initially supported in the original architectural design of NDN for both wired and wireless networks. Therefore, to efficiently address the degradation issues incurred by mobile consumer/producer nodes, a plethora of mobility management schemes have been proposed over the recent few years. In this paper, we provided a detailed survey on the existing research efforts—in the context of producer, consumer, and hybrid mobility, that have been proposed in the literature. Moreover, we outlined various research directions considering the role of mobility in futuristic technologies such as artificial intelligence-enabled smart networks, software-defined networking, edge computing, vehicular-fog computing, autonomous driving, semantic communication, and resource-constrained Internet of Things.</t>
  </si>
  <si>
    <t>National Research Foundation of Korea (NRF); Korean Government (MSIT)(grant numbers:2022R1A2C1003549);</t>
  </si>
  <si>
    <t>The 5G technology offers a higher complexity than earlier generations, introducing a new type of network designed to connect virtually everyone and everything together, including vehicles, smart devices, and road infrastructure, while ensuring security, coverage, and increased performance. Therefore, following all these aspects introduced by 5G technology, different reliability assessments are necessary for optimal operation. This paper presents a practical method of real-time data measurement, which aims to obtain the necessary information to thoroughly evaluate the 5G network. The used hardware setup is based on the SIM8200EA-M2 platform for connecting to different mobile terminals. Moreover, different types of measurements are illustrated, as well as the validation of various 5G network parameters. To evaluate the 5G network performance, several performance indicators resulting from data measurement were analyzed, such as 5G network coverage, signal strength and quality, signal-to-noise ratio, throughput, communication channel quality, and transmission power. The obtained results deal with different aspects of cellular communication and can be used to analyze the 5G networks performance.  © 2013 IEEE.</t>
  </si>
  <si>
    <t>Software Defined Networking (SDN) is one of the most significant innovations in telecommunication systems in the past two decades. From the very beginning, the scientific community understood the importance of investigating the possible usages of SDN as a means to increase network security, but also their potential to be exploited as an attack device. For this reason, there has been a massive production of research works, which, however, do not form a well-defined corpus. The literature is spread over many venues and composed of contributions with very different flavors. Though some review works already exist, in this work we conduct a systematic literature review of the field, gathering 466 relevant publications— the largest curated dataset on the topic to the best of our knowledge. In our work, the dataset undergoes a twofold analysis: (a) quantitative, through publication metadata, which allows us to chart publication outlets, approaches, and tackled issues; (b) qualitative, through 14 research questions that provide an aggregated overview of the literature contributions to the key issues, also to spot gaps left open. From these analyses, we derive a call for action to address the main open challenges.</t>
  </si>
  <si>
    <t>Modern mobile communication networks and new service applications are deployed on cloud-native platforms. Kubernetes (K8s) is the de facto distributed operating system for container orchestration, and the extended version of the Berkeley Packet Filter (eBPF)– in the Linux (and MS Windows) kernel– is fundamentally changing the approach to cloud-native networking, security, and observability. In this paper, we introduce what eBPF is, its potential for Telco cloud, and review some of the most promising pricing and billing models applied to this revolutionary operating system (OS) technology. These models include schemes based on a data source usage model or the number of eBPF agents deployed on the network, linked to specific eBPF modules. These modules encompass network observability, runtime security, and power dissipation monitoring. Next, we present our eBPF platform, named Sauron in this work, and demonstrate how eBPF allows us to write custom code and dynamically load eBPF programs into the kernel. These programs enable us to estimate the energy consumption of cloud-native functions, derive performance counters and gauges for transport networks, 5G applications, and non-access stratum protocols. Additionally, we can detect and respond to unauthorized access to cloud-native resources in real-time using eBPF. Our experimental results demonstrate the technical feasibility of eBPF in achieving highly performant monitoring, observability, and security tooling for current mobile networks (5G, 5G Advanced) as well as future networks (6G and beyond).</t>
  </si>
  <si>
    <t>J. Kosińska; B. Baliś; M. Konieczny; M. Malawski; S. Zieliński</t>
  </si>
  <si>
    <t xml:space="preserve">European Union’s Horizon 2020 Research and Innovation Program through Sano(grant numbers:857533); Sano Project carried out within the International Research Agendas Program of the Foundation for Polish Science, co-financed by the European Union under the European Regional Development Fund; </t>
  </si>
  <si>
    <t>The Fifth Generation (5G) of mobile networks offers new and advanced services with stricter requirements. Multi-access Edge Computing (MEC) is a key technology that enables these new services by deploying multiple devices with computing and storage capabilities at the edge of the network, close to end-users. MEC enhances network efficiency by reducing latency, enabling real-time awareness of the local environment, allowing cloud offloading, and reducing traffic congestion. New mission-critical applications require high security and dependability, which are rarely addressed alongside performance. This survey paper fills this gap by presenting 5G MEC’s three aspects: security, dependability, and performance. The paper provides an overview of MEC, introduces taxonomy, state-of-the-art, and challenges related to each aspect. Finally, the paper presents the challenges of jointly addressing these three aspects.</t>
  </si>
  <si>
    <t>Norwegian Research Council through the Management and Orchestration for Data and Network Integration (5G-MODaNeI) Project(grant numbers:308909); Italian Ministry of Education and Research (MIUR) in the framework of the Future-Oriented Research Laboratory (FoReLab) Project (Departments of Excellence);</t>
  </si>
  <si>
    <t>S. Borenius; P. Kekolahti; H. Hämmäinen; M. Lehtonen; P. Mähönen</t>
  </si>
  <si>
    <t xml:space="preserve">Finnish Public Funding Agency for Research, Business Finland through the Project “IFORGE,”(grant numbers:7127/31/2021); </t>
  </si>
  <si>
    <t>Network Slicing (NS) is an essential technique extensively used in 5G networks computing strategies, mobile edge computing, mobile cloud computing, and verticals like the Internet of Vehicles and industrial IoT, among others. NS is foreseen as one of the leading enablers for 6G futuristic and highly demanding applications since it allows the optimization and customization of scarce and disputed resources among dynamic, demanding clients with highly distinct application requirements. Various standardization organizations, like 3GPP's proposal for new generation networks and state-of-the-art 5G/6G research projects, are proposing new NS architectures. However, new NS architectures have to deal with an extensive range of requirements that inherently result in having NS architecture proposals typically fulfilling the needs of specific sets of domains with commonalities. The Slicing Future Internet Infrastructures (SFI2) architecture proposal explores the gap resulting from the diversity of NS architectures target domains by proposing a new NS reference architecture with a defined focus on integrating experimental networks and enhancing the NS architecture with Machine Learning (ML) native optimizations, energy-efficient slicing, and slicing-tailored security functionalities. The SFI2 architectural main contribution includes the utilization of the slice-as-a-service paradigm for end-to-end orchestration of resources across multi-domains and multi-technology experimental networks. In addition, the SFI2 reference architecture instantiations will enhance the multi-domain and multi-technology integrated experimental network deployment with native ML optimization, energy-efficient aware slicing, and slicing-tailored security functionalities for the practical domain. © 2013 IEEE.</t>
  </si>
  <si>
    <t>Building upon the significant number of already published 6G position papers, we are concentrating on the immediate next steps toward turning the research vision of software-centric networks into reality. This is accomplished, by summarizing and assessing the various requirements documents and providing a significant number of specific research directions and approaches in order to fulfill them. This article complements the existing body of work, by focusing on future core networks and their infrastructures, yet maintaining a system-level perspective and progressing in the direction of scoping key technology elements and providing high-potential research approaches for them. Additionally, we rigorously discuss the impact that different technological advancements have on the other parts of the system, to provide a coherent, end-to-end network understanding. This is in strong contrast to current approaches, where from the challenges, each research direction becomes independent and, thus, its advances are potentially cancelled out by the next technology in the chain. By maintaining this system perspective, the adoption of the different technologies becomes easier, as they are developed in unison. To address the requirements in a coherent, holistic, and unified way, we extend our high-level architecture concept named “Organic 6G Networks” towards a comprehensive end-to-end system. A holistic software-centric system, adapting the latest software development advancements from the IT industry. The Organic 6G network provides support for building a streamlined software network architecture and offers the next step on the path towards the development and specification of future mobile networks.</t>
  </si>
  <si>
    <t>D. F. Blanco; F. Le Mouël; T. Lin; M. -P. Escudié</t>
  </si>
  <si>
    <t>Over the last few decades, automotive embedded Information and Communication Technology (ICT) systems have been used to enhance vehicle performance and enrich peopleâ’s driving experience, increasing the panel of software features within them. However, even though until now automakers have kept up with the innovation pace in terms of the functionalities that have been offered to passengers, the majority of automakers’ efforts have concentrated on bringing in these new functionalities by adding an unceasingly larger set of ECUs. All of this has been done without evolving any of the embedded software architecture consequently, due to budgetary constraints, legislative limitations, retro-compatibility problems, and a lack of awareness of the trending IT innovation. This unbalanced progress has then led to a substantial increase in in-vehicle architectural complexity, which has become a major concern for automakers nowadays as it makes the vehicle repairing process more complex, decreases software traceability and clashes with the objective of having higher business flexibility, modularity, and dynamicity within the vehicles. In this paper, we are going to go through literature, both academic and industrial, and propose a comprehensive study into automotive system transformation. We begin by giving a detailed analysis of the causes of evolution under five axes - i.e., society, business, industry, application, and technical. Then, we discuss the convergence of cars and software life cycles and propose a three-layered analysis of automotive ICT systems consisting of architecture design, software pipelines, and run-time management. Finally, we are going to propose certain detailed guidelines on the evolution perspectives for automotive systems through deriving from the convergence of advances in IT, as well as current and future automotive environmental constraints.</t>
  </si>
  <si>
    <t xml:space="preserve">Stellantis under the collaborative framework OpenLab VAT@Lyon, involving STELLANTIS and CITI Laboratory (Association Nationale Recherche Technologie (ANRT)(grant numbers:n°2020/1415); </t>
  </si>
  <si>
    <t>King Fahd University of Petroleum and Minerals;</t>
  </si>
  <si>
    <t xml:space="preserve">Rede Nacional de Ensino e Pesquisa (RNP), with resources from Ministério da Ciência, Tecnologia e Inovações e Comunicações (MCTIC); Brazil 6G Project of the Radiocommunication Reference Center (Centro de Referência em Radiocomunicações—CRR) of the National Institute of Telecommunications (Instituto Nacional de Telecomunicações, Inatel), Brazil(grant numbers:01245.010604/2020-14); Coordenação de Aperfeiçoamento de Pessoal de Nível Superior (CAPES)—Finance(grant numbers:001); </t>
  </si>
  <si>
    <t>Horizon Europe Cognitive Decentralised Edge Cloud Orchestration (CODECO)(grant numbers:101092696); fortiss-IBM Center for Artificial Intelligence (C4AI) EDGE;</t>
  </si>
  <si>
    <t>Fondazione Bruno Kessler (FBK) AI@TN Project;</t>
  </si>
  <si>
    <t>German Research Foundation [Deutsche Forschungsgemeinschaft (DFG)](grant numbers:316878574 (DFG SDN-App 2));</t>
  </si>
  <si>
    <t>The degradation of water quality has become a critical concern worldwide, necessitating innovative approaches for monitoring and predicting water quality. This paper proposes an integrated framework that combines the Internet of Things (IoT) and machine learning paradigms for comprehensive water quality analysis and prediction. The IoT-enabled framework comprises four modules: sensing, coordinator, data processing, and decision. The IoT framework is equipped with temperature, pH, turbidity, and Total Dissolved Solids (TDS) sensors to collect the data from Rohri Canal, SBA, Pakistan. The acquired data is preprocessed and then analyzed using machine learning models to predict the Water Quality Index (WQI) and Water Quality Class (WQC). With this aim, we designed a machine learning-enabled framework for water quality analysis and prediction. Preprocessing steps such as data cleaning, normalization using the Z-score technique, correlation, and splitting are performed before applying machine learning models. Regression models: LSTM (Long Short-Term Memory), SVR (Support Vector Regression), MLP (Multilayer Perceptron) and NARNet (Nonlinear Autoregressive Network) are employed to predict the WQI, and classification models: SVM (Support Vector Machine), XGBoost (eXtreme Gradient Boosting), Decision Trees, and Random Forest are employed to predict the WQC. Before that, the Dataset used for evaluating machine learning models is split into two subsets: Dataset 1 and Dataset 2. Dataset 1 comprises 600 values for each parameter, while Dataset 2 includes the complete set of 6000 values for each parameter. This division enables comparison and evaluation of the models’ performance. The results indicate that the MLP regression model has strong predictive performance with the lowest Mean Absolute Error (MAE), Mean Squared Error (MSE), and Root Mean Squared Error (RMSE) values, along with the highest R-squared (0.93), indicating accurate and precise predictions. In contrast, the SVR model demonstrates weaker performance, evidenced by higher errors and a lower R-squared (0.73). Among classification algorithms, the Random Forest achieves the highest metrics: accuracy (0.91), precision (0.93), recall (0.92), and F1-score (0.91). It is also conceived that the machine learning models perform better when applied to datasets with smaller numbers of values compared to datasets with larger numbers of values. Moreover, comparisons with existing studies reveal this study’s improved regression performance, with consistently lower errors and higher R-squared values. For classification, the Random Forest model outperforms others, with exceptional accuracy, precision, recall, and F1-score metrics.</t>
  </si>
  <si>
    <t>The issue of cybersecurity has gained significant prominence in the context of safeguarding the privacy and integrity of information, especially with the increasing prevalence of interconnected devices such as Mobile Ad-hoc networks (MANETs). Due to their nature, particularly in light of the unavoidable security flaws that arise from the complexity of current and future systems and services, it is crucial to explore how to prevent cyberattacks efficiently. On the other hand, game theory is one of the most significant methods used in this field. Yet, survey articles that consider game theory for security in MANETs are less common. Therefore, in this paper, we survey the articles related to game theory for security in MANETs, presenting an overview of the basic MANETs concepts and their main vulnerabilities. Also, we will propose a taxonomy for recent works, highlighting the limits of the existing works, and outlining some potential future directions for cybersecurity in Ad-hoc networks.  © 2013 IEEE.</t>
  </si>
  <si>
    <t>In this paper, we address the challenge of limited resources in Internet of Things (IoT) devices by proposing a solution based on digital twin in distributed edge computing networks. Edge computing is a promising approach that moves computing resources closer to the network’s edge to reduce response times in IoT applications. However, simply offloading tasks from IoT devices to edge computing does not accelerate user control. To enhance task performance and improve user management experience, we introduce optimized task scheduling and virtual object management based on a digital twin concept. Our system incorporates virtualization, synchronization, visualization, and simulation functionalities to provide digital twin capabilities. Additionally, we develop a user-friendly web application with a graphical user interface (GUI) for intuitive management of edge computing services. To support our approach, we implement an edge computing supervisor that generates virtualized objects such as edge gateways, IoT devices, and services. These virtual objects serve as resources for creating tasks. Using our proposed digital twin platform, users can dynamically create new tasks based on demand, easily deploy and execute tasks in specific locations, and dynamically allocate edge network resources according to task requirements. An optimized task scheduling mathematical model is presented to compare task scheduling done with and without optimization. Further, the edge computing and digital twin based optimized task scheduling method is integrated with Federated Learning for collaborative learning and privacy preserved computation of sensors sensitive data. We demonstrate the effectiveness of our system by generating tasks for data collection related to indoor environment for prediction of Predicted Mean Vote (PMV) for thermal comfort index of smart homes occupants using HTTP and IoTivity-based devices in distributed edge computing networks. These tasks are properly delivered and executed on the expected edge gateways, showcasing the successful integration of our digital twin platform with edge computing networks. Further, the optimized task scheduling has improved the overall performance of the proposed system, keeping in view latency and processing time.</t>
  </si>
  <si>
    <t>Institute of Information &amp; communications Technology Planning &amp; Evaluation (IITP) grant funded by the Korea government (MSIT)(grant numbers:2022-0-00438);</t>
  </si>
  <si>
    <t>Smart Energy (SE) has emerged as a critical technology in tackling global challenges like climate change while addressing the rising energy demands driven by today’s data-intensive industrial revolution. SE integrates information and communication technologies into energy systems, optimizing them to meet these challenges effectively. At the core of SE operations are smart meters, playing a fundamental role in ensuring efficient functionality. These devices collect data, which is then leveraged to derive Business Intelligence (BI) for operations across the entire spectrum, from the sensing infrastructure to the cloud, primarily utilizing the Internet of Things (IoT) technology framework. With the increasing complexity of operations and the growing demand for optimization and enhanced functionality, the SE technology stack is evolving to integrate across all layers and domains. This integration has led to the stratification of computational load across IoT layers, intensifying the dependence on smart meter data for BI. Consequently, smart meters themselves have evolved to become more functional and complex. This paper’s novelty lies in its comprehensive exploration of the integration of BI with smart meter data. It delves into various aspects, including the different layers of intelligent operations within SE systems, the current state of the art, and diverse implementations of smart meters and their applications across operational locations, ranging from consumers to fog computing. The paper concludes by identifying research gaps and future directions, offering insights into the evolving requirements for the next generation of SE systems and the necessary adaptations in smart metering infrastructure to support these roles. This work contributes to a better understanding of the evolving landscape of data and computation in the context of SE, facilitating more efficient and effective energy management solutions.</t>
  </si>
  <si>
    <t>Nowadays, mobile devices can run a wide range of programs, and they all require more and more processing power. Due to their limited resources, mobile devices often make use of cloud computing $'\text{s}$  offloading features to do more complex tasks. The offloading problem in Mobile Cloud Computing (MCC) is the task scheduling problem, which entails deciding where to dump work to maximize its value. The task scheduling problem in MCC is an NP-hard problem because of the difficulty in moving resources and the size of the search space required to find the ideal scheduler, making the use of extensive search techniques impractical. For this reason, metaheuristic search strategies are provided, to yield a best-case or near-best-case scenario in terms of job completion time and energy savings. This work provides a non-dominated multi-objective strategy based on the Harris Hawks Optimization (HHO) technique called Hybrid Multi-objective Harris Hawks Optimization (HMHHO) to handle the described issue in MCC. The objectives of this research were allocating jobs from mobile source nodes to processors in the public cloud, cloud patches, and processors in mobile resources. In comparison to the other four algorithms—the Genetic Algorithm (GA), the Ant Colony Optimization (ACO), the Particle Swarm Optimization (PSO), and the Cuckoo Search Algorithm (CSA) the proposed method completes jobs faster and uses less energy on average.</t>
  </si>
  <si>
    <t>The paint industry comprises an elaborate supply chain involving various activities such as raw material procurement, manufacturing, and distribution. In addition, the accuracy of demand prediction significantly impacts supply chain management. A recurrent neural network (RNN) is a powerful method that learns intricate patterns through vast amounts of historical data and provides a prediction, demonstrating excellent performance in demand prediction. However, standard RNN-based demand predictions are limited by many outliers that occur due to the characteristics of the paint industry. Unexpected events such as a factory fire cause rapid fluctuations in paint demand and are difficult to pre-observe. To overcome these limitations, we propose a novel approach that employs clustering to identify demand time series data with similar characteristics and applies statistical outlier adjustment to allow the prediction model to learn the complex patterns of actual demand. The prediction target is the sum of sales for 15 days in the future, and sales data for four paint products are used to evaluate the proposed approach. Experimental results demonstrate a satisfactory prediction accuracy improvement ranging from 100.9% to 152.4%. In addition, unlike the RNN-based models used for comparison, the proposed method is more robust against actual demand fluctuations.  © 2023 The Authors.</t>
  </si>
  <si>
    <t>Context: A code smell indicates a flaw in the design, implementation, or maintenance process that could degrade the software’s quality and potentially cause future disruptions. Since being introduced by Beck and Fowler, the term code smell has attracted several studies from researchers and practitioners. However, over time, studies are needed to discuss whether this issue is still interesting and relevant. Objective: Conduct a thorough systematic literature review to learn the most recent state of the art for studying code smells, including detection methods, practices, and challenges. Also, an overview of trends and future relevance of the topic of code smell, whether it is still developing, or if there has been a shift in the discussion. Method: The search methodology was employed to identify pertinent scholarly articles from reputable databases such as ScienceDirect, IEEE Xplore, ACM Digital Library, SpringerLink, ProQuest, and CiteSeerX. The application of inclusion and exclusion criteria serves to filter the search results. In addition, forward and backward snowballing techniques are employed to enhance the comprehensiveness of the results. Results: The inquiry yielded 354 scholarly articles published over the timeframe spanning from January 2013 to July 2022. After inclusion, exclusion, and snowballing techniques were applied, 69 main studies regarding code smells were identified. Many researchers focus on detecting code smells, primarily via machine learning techniques and, to a lesser extent, deep learning methods. Additional subjects encompass the ramifications of code smells; code smells within specific contexts, the correlation between code smells and software metrics, and facets about security, refactoring, and development habits. Contexts and types of code smells vary in the focus of the study. Some tools used are Jspirit, aDoctor, CAME, and SonarQube. The study also explores the concept of design smells and anti-pattern detection. While a singular dominating technique to code smell detection has yet to be thoroughly investigated, other aspects of code smell detection remain that still need to be examined. Conclusion: The findings underscore scholarly attention’s evolution towards code smells over the years. This study identified significant journals and conferences and influential researchers in this field. The detection methods used include empirical, machine learning, and deep learning. However, challenges include subjective interpretation and limited contextual applicability.</t>
  </si>
  <si>
    <t>Politeknik Negeri Indramayu on the 2022–2023 Inter-Higher Education Cooperation Research (PKPT) Scheme in Collaboration with Institut Teknologi Sepuluh Nopember (ITS) Surabaya;</t>
  </si>
  <si>
    <t>A. Aziz; S. S. Chouhan; O. Schelén; U. Bodin</t>
  </si>
  <si>
    <t>projects Arrowhead flexible Production Value Network (fPVN) [EU Key Digital Technologies Joint Undertaking (KDT JU)](grant numbers:101111977); Mine.io (Horizon Europe)(grant numbers:101091885); AIMS5.0 (EU KDT JU)(grant numbers:10111208);</t>
  </si>
  <si>
    <t>Natural Sciences and Engineering Research Council of Canada and Bell Canada;</t>
  </si>
  <si>
    <t>Y. R. Julio; I. G. Garcia; J. M. Díaz; R. Agüero</t>
  </si>
  <si>
    <t>We formalize and evaluate an adaptation of the Middleware Fulcrum coding scheme, developed under a Fog computing architecture, for 5G-IoT mobile devices. This adaptation includes a D2D extension with distributed coding, specifically designed to address the challenges posed by a dynamic topology involving heterogeneous devices in processing capabilities. The proposed method is established at the application layer level to allow for the mapping of packet segments to a finite field scheme (Galois field), which allows for exploiting the algebraic properties of the system to exercise data retrieval with encoded information. In addition, it will enable dynamic adjustment of the coding parameters according to the processing capacity of the communication devices, wireless channel conditions, network topology, and type of stream in the system. In this sense, high-performance coding is distributed to nodes that can offer higher coding complexity in the design, effectively improving the wireless network’s performance in many aspects, such as delay, energy consumption, and goodput. By characterizing the system as an algebraic system, it is possible to exploit the advantages of FEC through decoding to reduce the signaling in the system.</t>
  </si>
  <si>
    <t>Universidad del Norte within the research “Design of Next-Generation Distributed Codes and a Balance in the Performance of Multicast Networks”;</t>
  </si>
  <si>
    <t xml:space="preserve">Italian Ministry of Education and Research (MIUR) in the framework of the FoReLab project (Departments of Excellence); Italian Ministry of Education and Research (MIUR) in the framework of the CrossLab project (Departments of Excellence); European Union through the Next Generation EU(grant numbers:ECS00000017); ‘Ecosistema dell’Innovazione’ Tuscany Health Ecosystem (THE), Piano Nazionale di Ripresa e Resilienza (PNRR), Spoke 3: Advanced technologies, methods and materials for human health and well-being; </t>
  </si>
  <si>
    <t>Smart city middleware serves as a foundational tool in the evolution of urban digitalization, acting as an intermediary software layer that simplifies the development, deployment, and management of applications tailored for smart urban environments. However, the development of effective middleware for smart cities is challenging. The present research embarks on a comprehensive exploration of the smart city middleware landscape, unraveling the intricacies of its development and the challenges faced therein. Rooted in the assessment of 20 distinct middleware solutions, our study highlights the pivotal technologies, features and functionalities that are imperative for a middleware to effectively support a city’s digital transformation. The functional and non-functional requirements form the nucleus of our evaluation. We also explore the architectural styles pivotal to middleware development and the programming paradigms shaping smart city application development. Our study highlights challenges in using middleware for smart city applications, such as interoperability, scalability, security amidst big data, context management, reliability, quality of service, energy efficiency, and compliance with technological standards and regulations. Based on the detailed analysis, we propose a conceptual framework for smart city middleware, shaped by the challenges and requirements identified in existing literature and middleware solutions. This framework is designed to reflect the diverse demands and complexities of urban digital transformation, and guide smart city middleware development accordingly. As a result, this research stands as a reference study for software developers, urban planners, and researchers, outlining the current state and future directions in the domain of smart city middleware.</t>
  </si>
  <si>
    <t>University of the Aegean Research Unit through the “Internet of Things-Intelligent Environments in Next-Generation Networks” Project(grant numbers:70477);</t>
  </si>
  <si>
    <t>Fog computing has emerged as a promising augmentation of cloud computing, positioned at the network’s edge, and it is poised to enhance a wide range of Internet of Things (IoT) driven applications. Although fog computing promises to reduce the response time of applications, its omnipresence is subject to the availability and capabilities of the resources in the fog infrastructure. Hence, there is a need of efficiently harness fog infrastructure to execute different IoT applications while meeting their quality of service (QoS) requirements. However, this objective becomes challenging when the applications are decomposed into multiple modules with diverse latency sensitivities. The scatter placement of application modules over distributed fog nodes further intensifies the problem by increasing the overall energy consumption of the fog environment. Therefore, this study proposes a deadline and energy-aware modular application placement policy for fog computing environments. The proposed policy simultaneously prioritizes the placement of critical applications in the fog infrastructure and consolidates the number of active fog nodes for energy management. The performance of the proposed policy was evaluated using iFogSim and compared with several contemporary solutions. The experimental results demonstrate that the proposed policy outperforms others in increasing the percentage of QoS-satisfied applications and reducing energy usage in fog computing.</t>
  </si>
  <si>
    <t>Prince Sattam bin Abdulaziz University(grant numbers:2023/01/26767);</t>
  </si>
  <si>
    <t>European Union’s Horizon 2020 Research and Innovation Program under the Agile and Cognitive Cloud edge Continuum management (AC3) Project(grant numbers:101093129);</t>
  </si>
  <si>
    <t>Fog computing has been introduced to extend the cloud services by bringing the services near to the user’s proximity. However, the distributed location of the fog servers requires a proper management to ensure the network to provide a service resilience during disruption while preserving the energy consumption of the networking and processing equipment. In this paper, a 1+1 server protection scheme where a primary and a secondary processing server are used to serve Electrocardiogram (ECG) monitoring IoT applications concurrently has been considered at the fog networking infrastructure. The infrastructure is designed to be resilient against server failures related to the geographic location of primary and secondary servers and against both server and network failures. A Mixed Integer Linear Programming (MILP) model is developed to optimize the number and locations of the processing servers for energy-efficient resilient fog infrastructure. The results reveal that considering server protection without geographical constraints resulted in network and processing energy penalties as the traffic is doubled compared to the non-resilient scenario. Meanwhile, considering geographical constraints for server protection at low demands resulted in high network energy penalty as more nodes are used to host the processing servers. Interestingly, increasing the resilience level to consider network protection with link and node disjoints selection at high demand resulted in low network energy penalty due to the activation of a large part of the network in any case to serve the demands. The results also reveal that the network energy penalty was reduced when more processing servers are allowed at each fog node while the same processing energy is consumed regardless of the increased resilience level. A heuristic was developed for each resilience scenario for verification and to enable real-time operation of the network, servers and IoT devices, and the results of the heuristic approach those of the MILP.</t>
  </si>
  <si>
    <t xml:space="preserve">CINI Grant(grant numbers:PNRM-AMINSEP); Italian MUR PRIN Project “Multicriteria data structures and algorithms: from compressed to learned indexes, and beyond”(grant numbers:2017WR7SHH); Project INdAM—GNCS “Analysis and Processing of Big Data Based on Graph Models.”; Italian MUR PRIN Project “Multicriteria data structures and algorithms: from compressed to learned indexes, and beyond”(grant numbers:2017WR7SHH); </t>
  </si>
  <si>
    <t>In the evolving domain of blockchain, a critical challenge lies in the performance analysis of blockchains under controlled test conditions. This paper focuses on validating the Blockchain Benchmarking Framework (BBF), developed for the evaluation of blockchain protocols in a controlled environment. The BBF’s robustness and versatility are demonstrated through its application to the official Docker clients of Ripple’s XRP Ledger (XRPL) and Ethereum, deployed in private, local and controlled environments. These deployments are utilized to simulate network dynamics, transaction throughput, and resilience in a variety of scenarios. Our methodology encompasses tests ranging from standard operational conditions to adverse scenarios, including node failures and simulated double-spend attacks. These controlled environments are essential for evaluating the BBF’s efficacy in stress testing blockchain protocols and assessing their stability and robustness. The BBF’s ability to accurately capture and analyze performance characteristics is highlighted, providing insights into the operational mechanics, scalability, and resilience of these blockchain clients. The findings emphasize the BBF’s adaptability and effectiveness in managing different blockchain protocols, reaffirming its potential for broader application in pre-launch testing and analysis of blockchain performance. This study contributes to the understanding of how blockchain clients can be preliminarily assessed before mainnet deployment as well as to validate all the design decisions made by the protocol under different settings and synthetic scenarios.</t>
  </si>
  <si>
    <t>As the energy consumption of cloud computing increases, resource optimization becomes more important in this dynamically changing computation environment. Cloud monitor is an effort for better job distribution models and cloud load optimization on cloud computing platforms to reduce energy consumption, decrease computation and waiting time in the queue, and improve the overall utilization of resources. We use linear programming to optimize the distribution of jobs whose arrival and duration times are Poisson distributed to the servers. Our simulations show 1) improvements in job distributions with better correlation with the energy consumption of servers, 2) possible increased utilization of resources in some settings, and 3) significant reductions in energy consumption that reach 42%. We present the mathematical formulation of our model as well as how to represent it as a linear programming problem. The constraints introduced allow the mathematical definition of the optimal distribution, optimal redistribution, and optimal elasticity for cloud computing. Cloud monitor has potential to contribute to more sustainable and efficient cloud computing systems.  © 2013 IEEE.</t>
  </si>
  <si>
    <t>Internet of Things (IoT) plays an essential contribution in connecting devices and enabling seamless data exchange, leading to increased efficiency and convenience. However, security concerns in IoT systems are significant, as compromised devices can lead to data breaches and privacy violations. Blockchain technology can enhance IoT security by providing decentralized consensus, immutability, and transparent transaction records, ensuring secure and trustworthy communication and data integrity. This review article gives a succinct but thorough understanding of blockchain technology, covering architecture of blockchain, working principles, types, applications, platforms, and its role in the IoT environment. The study highlights potential benefits of blockchain like enhanced security and privacy, and explores its integration with IoT. Additionally, the study discusses various real-world applications, examines blockchain platforms, and addresses the limitations and challenges associated with blockchain technology. This review serves as a valuable resource for researchers and practitioners seeking a deeper understanding of blockchain’s potential and its implications in the IoT landscape.</t>
  </si>
  <si>
    <t>University of Western Australia;</t>
  </si>
  <si>
    <t>Computer Science Architecture (CSA), encompassing data, application, technology, and business architecture, is a vital tool for addressing climate change challenges. It aims to reduce greenhouse gas emissions from sectors such as stationary energy, transportation, industry, product use, waste, and land use. CSA principles extend to advanced technologies like artificial intelligence (AI), the Internet of Things (IoT), Machine Learning (ML), data centers, blockchain, multi-agent systems, sensors, and smart grids. This review explores CSA's role in mitigating greenhouse gas emissions for a sustainable environment. It analyzes implications, indicators, and methodologies for data, application, technology, and business architecture, highlighting their direct impact on creating an environmentally friendly technological landscape. The study also delves into emerging trends and suggestions for future research, contributing to the discourse on leveraging technology for a greener future.  © 2013 IEEE.</t>
  </si>
  <si>
    <t>UMBRELLA (A Living Laboratory: https://www.umbrellaiot.com/) is an open, large-scale IoT ecosystem deployed across South Gloucestershire, UK. It is intended to accelerate innovation across multiple technology domains. UMBRELLA is built to bridge the gap between existing specialised testbeds and address holistically real-world technological challenges in a System-of-Systems (SoS) fashion. UMBRELLA provides open access to real-world devices and infrastructure, enabling researchers and the industry to evaluate solutions for Smart Cities, Robotics, Wireless Communications, Edge Intelligence, and more. Key features include over 200 multi-sensor nodes installed on public infrastructure, a robotics arena with 20 mobile robots, a 5G network-in-a-box solution, and a unified backend platform for management, control and secure user access. The heterogeneity of hardware components, including diverse sensors, communication interfaces, and GPU-enabled edge devices, coupled with tools like digital twins, allows for comprehensive experimentation and benchmarking of innovative solutions unviable in lab environments. This paper provides a comprehensive overview of UMBRELLA’s multi-domain architecture and capabilities, making it an ideal playground for Internet of Things (IoT) and Industrial IoT (IIoT) innovation. It discusses the challenges in designing, developing and operating UMBRELLA as an open, sustainable testbed and shares lessons learned to guide similar future initiatives. With its unique openness, heterogeneity, realism and tools, UMBRELLA aims to continue accelerating cutting-edge technology research, development and translation into real-world progress.</t>
  </si>
  <si>
    <t>Deanship of Scientific Research (DSR) at the King Fahd University of Petroleum and Minerals;</t>
  </si>
  <si>
    <t xml:space="preserve">European Union’s Horizon 2020 Research and Innovation Program through the Marie Skłodowska-Curie(grant numbers:894237); European Union Next-GenerationEU (Piano Nazionale di Ripresa e Resilienza (PNRR)—Missione 4, Componente 2, and Investimento 1.5—D.D. 1058 23/06/2022) through the PNRR Research Activities of the Consortium Interconnected North-Est Innovation Ecosystem (iNEST)(grant numbers:ECS_00000043); </t>
  </si>
  <si>
    <t>Containers are recognized for their lightweight and virtualization efficiency, making them a vital element in modern application orchestration. In this context, the scheduler is crucial in strategically distributing containers across diverse computing nodes. This paper presents a novel two-stage container scheduling solution that addresses node imbalances and efficiently deploys containers. The proposed solution formulates the scheduling process as an optimization problem, integrating various objective functions and constraints to enhance server consolidation and minimize energy consumption. The confidentiality of migrated containers is ensured through encryption, and the associated costs are incorporated into the optimization constraints. This approach ensures security in container scheduling, considering container attributes as input features in our proposed attributes-based encryption model. By carefully selecting containers and destination nodes, this work seeks to establish balance within cloud-based clusters. This contributes to the improvement of container orchestration systems and their effectiveness in real-world scenarios. The proposed solution’s efficacy is demonstrated in its ability to efficiently deploy containers in multi-data center cloud environments and seamlessly migrate them between hosts within the same data center or across different data centers. Our results show optimal consolidation with a reduction in the number of running hosts, ranging from 4% to over 18%. Additionally, the solution promotes minimal total power consumption with savings ranging from 3.5 to 16.25 megawatts, while also ensuring balanced server loads.</t>
  </si>
  <si>
    <t xml:space="preserve">Natural Sciences and Engineering Research Council (NSERC)’s Discovery Grant, Canada; </t>
  </si>
  <si>
    <t>University of Tokyo;</t>
  </si>
  <si>
    <t>Predictive maintenance has gained importance across various industries, including the automotive sector. It is very challenging to detect vehicle failures in advance due to the intricate composition of various components and sensors. The vehicle's reliability is of utmost importance for ensuring the absence of fatalities or malfunctions to foster economic development. This study introduces an innovative method for developing a predictive framework for vehicle engines with faster and higher decision accuracy. The framework is specifically designed to recognize patterns and abnormalities that may suggest prospective engine problems in real-time and allow proactive maintenance. We assessed the performance of the developed vehicular engine health monitoring systems using a deep learning model based on essential measures like root mean square error, root mean square deviation, mean absolute error, accuracy, confusion matrix, and area under the curve. In this case, the deep learning models are developed by following ensemble techniques using the most prominently used machine learning techniques. Significantly, Stacked Model 1 outperformed other stacked models (Models 2 and 3) and achieved an impressive AUC value of 0.9702 with a low root mean square error (RMSE) of 0.3355, a high accuracy rate of 0.9470, and a precision of 0.9486. It happens due to the effective incorporation of different approaches into Stacked Model 1, which signifies a significant advancement in predicting vehicular engine failures. The model can be used in real-time monitoring systems to continuously monitor the health of vehicular engines and provide early warnings of potential failures, thereby reducing maintenance costs and improving safety. © 2013 IEEE.</t>
  </si>
  <si>
    <t>The telecommunications systems are in continuous evolution. After voice, video, mobile internet, and Internet of Things, what services will be supported in the near future? In the paper, three envisioned services are highlighted, which will be provided in the coming years by new telecommunication systems: immersive communications, everything connected, and high-positioning. The author provides a comprehensive description of their characteristics and investigates the developments that will be implemented in 3GPP Releases 17, Release 18, and Release 19, including technologies that could be integrated for supporting the three new services. In order to evaluate the performance of the new technologies and services, it is important to define appropriate Key Performance Indicators (KPIs). The paper reports and proposes new KPIs for network evaluation to support specific new services such as virtual/mixed reality, smart sensors, and gesture recognition, then facilitating the effective design of the next-generation network and its performance assessment optimally. Requirements of the major application fields that will see widespread adoption in the next 3–8 years due to these developments are also investigated. Finally, the paper further outlines the most promising enabling technologies, supporting the three bearer services.</t>
  </si>
  <si>
    <t>Guglielmo Marconi University;</t>
  </si>
  <si>
    <t>Institute of Information &amp; communications Technology Planning &amp; Evaluation (IITP) grant funded by the Korea government (MSIT)(grant numbers:2022-0-00047); Development of microservices development/operation platform technology that supports application service operation intelligence;</t>
  </si>
  <si>
    <t xml:space="preserve">European Union’s Horizon 2020 Research and Innovation Program through the Project Monetizing car &amp; mobility data for new Entrants, Technologies and Actors (5GMETA)(grant numbers:957360); </t>
  </si>
  <si>
    <t>National Institute of Information and Communications Technology(grant numbers:JPJ012368C00101);</t>
  </si>
  <si>
    <t>Cybersecurity challenges pose a significant threat to Healthcare Cyber Physical Systems (CPS) because they heavily rely on wireless communication. Particularly, jamming attacks can severely disrupt the integrity of these CPS networks. This research introduces a decentralized system to address this issue. Therefore, this paper suggested a system that leverages trust and blockchain technology to detect jamming attacks in healthcare CPS effectively. It proposes a layered model to improve CPS networks’ lifetime and performance. In smart healthcare environments, it ensures secure and reliable communication between sensor nodes, wearable sensors, medical devices, and monitoring systems. Results show that the suggested approach outperforms the baseline model in identifying and minimizing jamming assaults, with an average percentage difference of 15.71% more detection rate, 20.21% less packet loss rates, 16.65% less node-level energy consumption, reduced network latency of 8.29%, and 9.63% more network throughput.</t>
  </si>
  <si>
    <t>Deutsche Forschungsgemeinschaft (DFG) through Open Access Publikationskosten;</t>
  </si>
  <si>
    <t>Digital Twins are becoming fundamental tools to monitor the status of entities, predict their future evolution and simulate alternative scenarios to understand the impact of possible changes for planning and design. More recently, Digital Twin solutions have been applied in the context of Smart Cities. Thanks to the large deployment of sensors, together with the increasing amount of information available for municipalities and governmental organizations, it is possible to build wide virtual reproductions of urban environments including structural data and real-time information that can undoubtfully help decision makers to face future challenges in urban development and improve the citizens' quality of life. In this paper, the Snap4City Smart City Digital Twin framework is presented, which can respond to the requirements identified in recent literature and by international forums. The proposed architecture provides an integrated solution for data gathering, indexing, computing, and information distribution, thus realizing a continuously updated digital twin of the urban environment at global and local scales for monitoring operation and planning. It addresses 3D building models, road networks, Internet of Things entities, points of interest, paths, as well as results from analytical processes for traffic density reconstruction, pollutant dispersion, predictions, and what-if analysis for assessing impact of changes, all integrated into a freely accessible interactive 3D web interface, enabling stakeholder and citizen participation to city decision processes. As case study, the digital twin of the city of Florence (Italy) is presented, including what-if analysis. The solution is released on top of the Snap4City platform as open-source and made available through our GitHub repository (https://github.com/disit) and as Docker compose.  © 2013 IEEE.</t>
  </si>
  <si>
    <t>R. C. Sofia; J. Salomon; S. Ferlin-Reiter; L. Garcés-Erice; P. Urbanetz; H. Mueller; R. Touma; A. Espinosa; L. M. Contreras; V. Theodorou; N. Psaromanolakis; L. Mamatas; V. Tsaoussidis; X. Fu; T. Yuan; A. del Rio; D. Jiménez; A. Stam; E. Paraskevoulakou; P. Karamolegkos; V. Vieira; J. Martrat; I. M. Prusiel; D. Matzakou; J. Soldatos; D. Remon; M. Jahn</t>
  </si>
  <si>
    <t>This perspective paper introduces a novel framework for container orchestration called CODECO. The CODECO orchestration framework relies on a data-network-computing approach to define the best infrastructure that can support the operation of next-generation Internet applications across a mobile, heterogeneous Edge-Cloud continuum. The selection of such an infrastructure is aligned with target performance profiles defined by the user, such as resilience or greenness. CODECO proposes to rely on decentralized Artificial Intelligence approaches to provide the most suitable infrastructure to an application deployment, considering infrastructural challenges, such as intermittent connectivity and node failure. This paper explains the current CODECO framework and gives insight into operational use-cases where CODECO is being deployed, as relevant examples of application for such a framework. Recent developments in the creation of the open-source CODECO framework are described and explained, allowing the use of the framework by the research community. The paper then provides a thorough analysis of CODECO’s features in comparison with existing orchestration frameworks, explaining the benefits introduced with this dynamic orchestration approach.</t>
  </si>
  <si>
    <t>Empowering Healthcare With Cyber-Physical System—A Systematic Literature Review</t>
  </si>
  <si>
    <t>Cyber-physical systems (CPS) are recognized for their intelligence as they seamlessly interact with humans, enhancing the physical world through computation, communication, and control. Over the last few years, the evolution of CPS, including IoT components, has significantly impacted many facets of people’s lifestyles. It has been immersed in a wide range of services and applications in various areas, including manufacturing, healthcare, and energy. However, the interrelationship between the cyber and physical worlds gives rise to a multitude of research problems and challenges. In the healthcare field, for instance, CPS introduces complexities related to interoperability, privacy, data security, and real-time data processing with critical implications for the reliability and safety of medical processes. To address these challenges and harness the full potential of CPS in healthcare, this paper, through a comprehensive literature review, aims to discuss cutting-edge CPS technologies and solutions that hold promise for healthcare applications. To this end, we propose a comprehensive architectural model that can serve as a benchmark for implementing CPS in healthcare applications. This model thoroughly details how services, components, and technologies can be integrated to transform massive raw data collected from the physical world into valuable information for an enhanced decision-making process. Finally, a use case on healthcare CPS is presented, outlining its characteristics, the role that different technologies have played in its development, and the major challenges in implementing such systems successfully. This study provides a cohesive understanding of the role CPS can play in empowering healthcare while offering insights into the challenges, and future research trends.</t>
  </si>
  <si>
    <t>United Arab Emirates University(grant numbers:31R227);</t>
  </si>
  <si>
    <t>Department of Education of Liaoning Province 2023 Basic Scientific Research Projects of Universities: “Research on Key Technologies for Coordinated Regulation of Multi Load and Clean Energy Based on Deep Learning”(grant numbers:JYTMS20230313);</t>
  </si>
  <si>
    <t>This study introduces DigiWind, an extensible digital twin platform specifically designed for the wind energy domain. The research aims to identify the fundamental requirements and architectural design for such a platform. Functional requirements are identified through a requirements engineering process using the use-case methodology. Existing digital twin and co-simulation platforms are reviewed, and the proposed DigiWind architecture is presented in detail. Three use cases are presented to highlight the integration of workflows and simulation models in the digital twin process. The DigiWind platform features a layered architecture with core implementations such as the template service, model assembly service, co-simulation service, and measurement data service. These components enable the automation of simulations, incorporation of historic measurement data, and data feedback and exchange. The platform supports various use cases including retrospective evaluation, performance monitoring, and scenario simulations. Additionally, a knowledge base and a versioning system ensure automation, documentation, and reproducibility of simulation results. The platform’s openness promotes collaboration among wind energy stakeholders and supports standardized models for co-simulation using the Functional Mock-up Interface. Overall, DigiWind offers a solution for developing, managing, and integrating digital twins in the wind energy sector, enhancing wind farm performance and operational efficiency.</t>
  </si>
  <si>
    <t>vgbe energy e.V.;</t>
  </si>
  <si>
    <t xml:space="preserve">Fundação para a Ciência e a Tecnologia (FCT), I.P.(grant numbers:UIDB/00326/2020,UIDP/00326/2020,UIDB/00308/2020,DOI 10.54499/UIDB/00308/2020); European Social Fund through the Regional Operational Program Centro 2020; FCT through the Ph.D.(grant numbers:SFRH/BD/147371/2019); Secretaría de Educación Superior, Ciencia, Tecnología e Innovación del Ecuador (SENESCYT) under Ph.D.(grant numbers:CZ02-000903-2018); </t>
  </si>
  <si>
    <t>Quality inspection and defect detection remain critical challenges across diverse industrial applications. Driven by advancements in Deep Learning, Convolutional Neural Networks (CNNs) have revolutionized Computer Vision, enabling breakthroughs in image analysis tasks like classification and object detection. CNNs’ feature learning and classification capabilities have made industrial defect detection through Machine Vision one of their most impactful applications. This article aims to showcase practical applications of CNN models for surface defect detection across various industrial scenarios, from pallet racks to display screens. The review explores object detection methodologies and suitable hardware platforms for deploying CNN-based architectures. The growing Industry 4.0 adoption necessitates enhancing quality inspection processes. The main results demonstrate CNNs’ efficacy in automating defect detection, achieving high accuracy and real-time performance across different surfaces. However, challenges like limited datasets, computational complexity, and domain-specific nuances require further research. Overall, this review acknowledges CNNs’ potential as a transformative technology for industrial vision applications, with practical implications ranging from quality control enhancement to cost reductions and process optimization.</t>
  </si>
  <si>
    <t>Natural Sciences and Engineering Research Council of Canada(grant numbers:RGPIN-2022-04754);</t>
  </si>
  <si>
    <t xml:space="preserve">European union’s Horizon Europe, under the project HORSE(grant numbers:101096342); Ministerio de Ciencia e Innovación(grant numbers:MCIN/AEI/10.13039/501100011033); ERDF: A way of making Europe(grant numbers:PID2021-124463OB-I00); Catalan Government(grant numbers:2021 SGR 00326); </t>
  </si>
  <si>
    <t>A. Cratere; L. Gagliardi; G. A. Sanca; F. Golmar; F. Dell’Olio</t>
  </si>
  <si>
    <t>This paper reviews the role of blockchain technology in enhancing the security of Internet of Things (IoT) systems and maintaining data integrity. We address the increased vulnerabilities and broader attack surface resulting from the integration of blockchain and IoT. The review emphasizes the potential of technologies like zero-knowledge proofs (ZKP) and post-quantum cryptography (PQC) to mitigate these security challenges. Additionally, we explore how game theory, machine learning, and cyber deception strengthen the defense of blockchain-based IoT systems against various threats. The paper also identifies open research areas, emphasizing the need for continued exploration to advance these fields. An additional contribution of this study is introducing a conceptual framework incorporating these technologies, laying the groundwork for developing advanced security solutions within the blockchain-enhanced IoT ecosystem.  © 2013 IEEE.</t>
  </si>
  <si>
    <t>Implementing information technology in production has triggered an increase in Industry 4.0. Owing to this technological advancement, manufacturing tools that can communicate with each other through the Internet of Things are now able to collect real-time data. Under dynamic production conditions, real-time information can enhance production control and supply chain efficiency. To optimize the production process, the food industry must utilize new technologies and the Internet of Things (IoT) to reduce costs, increase productivity, and eliminate waste. This is particularly true with the growing trend in this area. The study created and implemented a manufacturing production planning system that utilized Internet of Things technology, with specialized equipment used in dairy factory operations as the case study. This system collects information on the dairy production process, including material and product inventory, in real-time on Internet of Things devices, then analyzes it with the help of a neural network, and predicts the demand for the next 3 days. The dynamic schedule optimization, optimal timing of milk production, product quantity, and raw materials are determined using two heuristic algorithm methods. Additionally, there are multiple algorithms available for further processing. The optimization results indicate that implementing dynamic scheduling via the Internet of Things can mitigate uncertainty and boost income by 10 to 15%, profit by 13 to 18%, and job shop-level productivity by 13%. © 2013 IEEE.</t>
  </si>
  <si>
    <t>The smart home’s functional requirements should include the capability to differentiate between various user categories, such as gender and voice recognition. The data-driven Internet of Things (IoT) can present challenges for the elderly and people with disabilities, but voice recognition technology could offer an effective solution. In addition, developing an accurate gender prediction model for voice recognition is still challenging due to the large time variation and randomness. Therefore, we propose gender classification and detection models based on voice frequency using Convolutional Neural Networks (CNN) with ResNet50 and ResNet101 architectures to enhance smart home functionality. We also introduce an algorithm for converting voice frequencies into images to speed up the recognition and detection processes. The research method involves converting voice frequencies into images to expedite the recognition and detection processes. The CNN models were trained and tested with various learning rates using audio datasets. Performance was evaluated through simulations that measured training accuracy, validation accuracy, recall, precision, and F1 scores. The simulation results show high training accuracy: ResNet50 achieved 99.67% and ResNet101 achieved 99.82%. The validation accuracy of the models also exceeded the accuracy of traditional CNN models in previous studies. The simulation results based on recall, precision, and F1 score for each proposed model are 99.3%, 100%, and 99.65%, respectively. Finally, we successfully used the ResNet50 model to create a low-latency smart home prototype. Thus, this paper significantly contributes to the practical applications of voice-based gender recognition in smart home environments with high accuracy and efficiency in detection.</t>
  </si>
  <si>
    <t>This paper aims to establish a virtual object management system, as well as optimal task scheduling using the foundation of Digital Twins (DT), to improve the user’s experience with management and to accomplish the task efficiently. On the other hand, offloading tasks using IoT gadgets to edge computing, fails to speed up control by users. The capabilities of the DT are provided by executing processes such as visualization, virtualization, synchronization, and simulation. The optimal selection of the virtual objects for the DT is done by utilizing the implemented Hybrid Energy Valley with Lévy Flight Distribution Optimization (HEV-LFDO) in order to optimally offload the task by the edge devices. The optimal selection of the virtual objects is done with the aid of the HEV-LFDO in the DT by considering the total cost of executing all tasks using the selected virtual objects and the decision variables to determine whether a virtual object is taken for executing a task or not as the constraint. The data for performing resource management is secured using the blockchain or distributed ledger technology. This accounts for the minimization of the local loss function. Finally, the secured data is considered for optimal resource management tasks. The optimal resource management is done using the same HEV-LFDO. This optimal resource management is carried out by considering the constraints like the cost of assigning a virtual object for the task to the edge device, and the cost of assigning the task to the edge device. These two costs are analyzed by taking the network’s bandwidth, energy consumption, and computational resources into consideration. Experimental verifications are conducted on the executed optimal resource management scheme to prove the ability of the implemented model to be integrated with the edge computing network. The overall processing time as well as the latency are also minimized by executing the optimal resource management scheme.</t>
  </si>
  <si>
    <t>Secure and efficient blockchain;distributed ledger technology;optimal resource management;digital twin beyond 5G networks;hybrid energy valley with lévy flight distribution optimization</t>
  </si>
  <si>
    <t>The end of Moore’s Law and Dennard Scaling has slowed processor improvements in the past decade. While multi-core processors have improved performance, they are limited by the application’s level of parallelism, as prescribed by Amdahl’s Law. This has led to the emergence of domain-specific processors that specialize in a narrow range of functions. Smart Network Interface Cards (SmartNICs) can be seen as a revolutionary technology that combines heterogeneous domain-specific processors and general-purpose cores to offload infrastructure tasks. Despite the impressive advantages of SmartNICs and their importance in modern networks, the literature has been missing a comprehensive survey. To this end, this paper provides a background encompassing an overview of the evolution of NICs from basic to SmartNICs, describing their architectures, development environments, and advantages over legacy NICs. The paper then presents a comprehensive taxonomy of applications offloaded to SmartNICs, covering network, security, storage, and compute functions. Challenges associated with SmartNIC development and deployment are discussed, along with current initiatives and open research issues.</t>
  </si>
  <si>
    <t>SmartNIC;data processing unit (DPU);infrastructure processing unit (IPU);Moore’s law;application offloading;P4;application specific integrated circuit (ASIC);field programmable gate array (FPGA)</t>
  </si>
  <si>
    <t>The transition of Control Plane (CP) block functions into software entities, as proposed by 3GPP, necessitates periodic downtime for maintenance activities such as software upgrades or failures. This downtime requires the disconnection of all User Equipment (UE) connections to the CP, triggering the UE reattach procedure and resulting in increased UE power consumption and spectrum wastage. To mitigate these challenges, optimal CP upgrade timings should align with periods of low traffic. In this paper, we propose an AI/ML-based procedure to autonomously determine the optimal time to upgrade CP block functions, eliminating the need for manual intervention by operators. Our approach involves analyzing traffic conditions using statistical data from several CP blocks managing base stations across various areas, including residential and non-residential zones like subways, shopping complex and hospitals. Leveraging Seasonal Auto-Regressive Integrated Moving Average (SARIMA) forecasting, we predict bearer statistical data to calculate the optimal CP software upgrade time, validated using Z-Score analysis at the same time. In addition to address the suboptimal upgrade timings, we also proposed CP Outage Handling Procedure (COHP) v2 by preserving UE contexts during CP upgrades. Our results demonstrate SARIMA’s high accuracy in predicting lean traffic conditions, with an R-Squared score of 0.99. Furthermore, upgrading CP software during predicted lean periods leads to substantial UE power savings ranging from 80% to 97% compared to manual upgrades.</t>
  </si>
  <si>
    <t>Due to the rapid development of technologies such as cloud computing and the Internet of Things (IoT), wireless sensor networks are becoming increasingly popular in the field of environmental monitoring. Anomaly detection algorithm is often used as the main method of sensor data detection. The development and application of IoT technology has led to a significant increase in data traffic. However, current anomaly detection methods are difficult to effectively detect heterogeneous data sequences from multiple sources. In this study, the sensor monitoring model of an intelligent greenhouse is constructed by using the spatio-temporal correlation anomaly detection algorithm in edge computing. The data is chunked by a sliding window to reduce the error of one-sided estimation of single data on the detection results. The spatial correlation anomaly detection algorithm is formed on the basis of the temporal correlation detection algorithm, fusing the two algorithms with the edge computation to construct a multi-source multi-dimensional data anomaly detection model. The results of the time-related anomaly detection algorithm experiment showed that the F1-score of the algorithm was 91.26%. Compared with other methods, the false alarm rate of spatial correlation anomaly detection algorithm was reduced by 56.50% ~ 83.45%, and F1-score was increased by 1.37% ~ 22.25%. In the case of big data, the detection time of the sensor monitoring model was 0.47s, the required energy consumption was reduced by 36.75% ~ 79.20%, and the delay time was the least. The anomaly detection algorithm in this study is related to time and space, which effectively improves the detection rate and detection accuracy, thus reducing the computing load of the cloud platform, and is superior to the deep learning method in processing delay.  © 2013 IEEE.</t>
  </si>
  <si>
    <t>Project “Mobility and Training foR beyond 5G ecosystems (MOTOR5G)”; European Union’s Horizon 2020 Program under the Marie Skłodowska Curie Actions (MSCA) Innovative Training Network (ITN)(grant numbers:861219);</t>
  </si>
  <si>
    <t>Horizon Europe Project SmartEdge(grant numbers:101092908);</t>
  </si>
  <si>
    <t xml:space="preserve">European Union under Italian National Recovery and Resilience Plan (NRRP) of NextGenerationEU, Partnership on “Telecommunications of the Future” (Program “RESTART”)(grant numbers:PE0000001); </t>
  </si>
  <si>
    <t xml:space="preserve">Next-GenerationEU (Italian Piano Nazionale di Ripresa e Resilienza (PNRR)—M4 C2, Invest 1.3—D.D. 1551.11-10-2022)(grant numbers:PE00000004); </t>
  </si>
  <si>
    <t>M. N. Jamil; O. Schelén; A. Afif Monrat; K. Andersson</t>
  </si>
  <si>
    <t>Green Transition North project co-funded by European Union(grant numbers:20359796);</t>
  </si>
  <si>
    <t>Razi University of Kermanshah; Al-Ahliyya Amman University;</t>
  </si>
  <si>
    <t>The unexpectedly high number of deaths caused by inadequate medical care is, to date, considered as a serious problem. Moreover, the ratio of elderly people who require continuous care is rising. Therefore, a patient monitoring system (PMS) also known as remote patient monitoring (RPM) using the latest Internet of Things (IoT) technology becomes a viable solution that can provide efficient healthcare from a remote distance. PMS monitors timely physiological signals of a patient's health and can reduce the healthcare costs of treatment significantly. In PMS, different health and vital signs issues such as body temperature, heart rate, sleep monitoring, fall detection, and blood pressure can be checked effectively in real-time. To this end, this paper provides a clear vision of electronic healthcare assistance based on PMS and explores the applications of IoT that allow efficient medical services in healthcare systems. In particular, the objective of this paper is to provide a review of PMS, current research, and the challenges associated with this area. Besides, the essential services that can be offered by PMS for monitoring human activities are also discussed. Furthermore, the communication networks and protocols that are required to endure efficient healthcare systems are explained. Finally, this paper discusses several research challenges and open issues that can be investigated for further work. Overall, this paper offers valuable insights for both industry professionals and academic researchers, exploring potential avenues for new research directions.  © 2013 IEEE.</t>
  </si>
  <si>
    <t>R. Rakholia; A. L. Suárez-Cetrulo; M. Singh; R. Simón Carbajo</t>
  </si>
  <si>
    <t>Financiadora de Estudos e Projetos (FINEP)(grant numbers:01.22.0615.00);</t>
  </si>
  <si>
    <t xml:space="preserve">Siksha ‘O’ Anusandhan, Bhubaneswar, Odisha, India; </t>
  </si>
  <si>
    <t>Blockchain technology is rapidly transforming how businesses and individuals interact. Its inherent security features, including immutability, tamper-proofing, and verifiable data provenance, are driving its adoption across numerous sectors. The financial sector heavily influences blockchain for its tamper-proof nature, leading to the rise of cryptocurrencies, the technology offers much more. Beyond security, it streamlines processes, reduces costs, and improves customer experience. Smart contracts are one of the predominant key components that automate predetermined operations, further enhancing blockchain’s capabilities. Understanding the importance of blockchain in non-financial applications is crucial for fully exploiting its potential. This analysis explores the fundamentals of blockchain technology and its applications beyond finance. To meet the growing demand across various sectors, blockchain must integrate with other trending technologies such as the Internet of Things (IoT), Artificial Intelligence (AI), and the edge-cloud paradigm. The analysis examines the role of these technologies in facilitating blockchain-enabled applications. Furthermore, the paper researches the specific use cases such as insurance, energy, healthcare, digital voting, supply chain management and government. Concentrating on these sectors elucidates how organisations harness blockchain to tackle intricate challenges, thereby fostering the advancement of sophisticated digital processes and contributing to societal progression.</t>
  </si>
  <si>
    <t>A. Araújo; R. Soares; W. Santos</t>
  </si>
  <si>
    <t>Support tools that monitor software application processes are required to identify, measure, and assess their performance and resolve any anomalies that impede their full functionality. Similarly, applications that use blockchain technology require analysis and monitoring tools for the resources and functionality provided by their smart contracts. This paper presents a computational tool that monitors hardware resources and evaluates transaction processing requests in blockchain networks. The solution presented here is called MonitorChain, and it has software components that allow the connection with different blockchain networks, the configuration of the workload, the monitoring of consumed hardware resources, and the evaluation of requests processed over blockchain networks. The effectiveness and adaptability of MonitorChain were validated through extensive evaluations across various blockchain environments, including public networks like Ethereum, Avalanche, and Fantom, as well as a private network using Hyperledger Fabric, with a consistent data load of 10,000 transactions. Additionally, through interviews with experienced software developers, we gathered feedback that led to further refinements and identified opportunities for future enhancements. The results demonstrated MonitorChain’s capability to provide critical insights into blockchain applications’ performance, scalability, and efficiency. MonitorChain advances the field compared to existing solutions by offering enhanced support for diverse networks, customizable workloads, and real-time data visualization, contributing significantly to the blockchain monitoring landscape.</t>
  </si>
  <si>
    <t>Alagoas Research Foundation (FAPEAL)(grant numbers:E:60030.0000002551/2022);</t>
  </si>
  <si>
    <t>A domain is commonly defined as a set of system resources, e.g., computers, to which certain users have prescribed access rights as governed by some security policies. The access (viewing) and transfer of data between distinct domains facilitates a wide range of information technology applications. A Cross-Domain Solution (CDS) can provide the security mechanisms that are required to properly restrict the access and exchange of sensitive information between different domains. This article provides a comprehensive up-to-date survey of CDS. This survey is organized according to a CDS taxonomy with access, transfer, and Multi-Level Security (MLS) as the main CDS categories. An access solution helps a client to view the data present in a server (which is in a different domain, other than the client’s domain); thus an access solution effectively provides isolation between domains by allowing data access (without data transfer capabilities) between these domains. A transfer solution secures the transfer of data between domains to avoid leaks of data to unauthorized entities. Thereby, a transfer solution effectively connects domains in either a unidirectional or bidirectional manner. An MLS solution handles data with multiple levels of security (sensitivity of the data), such as top-secret, secret, or unclassified data. Aside from the fundamental conceptual approaches from the existing CDS research, this survey gives a comprehensive overview of the existing commercial CDS products. We identify the limitations of the existing CDS concepts and products and outline directions for future research and development to address these limitations and advance the overall CDS research area.</t>
  </si>
  <si>
    <t>Defense Advanced Research Projects Agency (DARPA) to Intel Corp; Department of Defense or the US Government;</t>
  </si>
  <si>
    <t>Australian Research Council (ARC) Discovery Project(grant numbers:DP200102299);</t>
  </si>
  <si>
    <t>This study proposes a two-stage strategy to ensure the successful execution of critical tasks. In the first stage, an Enhanced Task Offloading (ETO) algorithm is introduced to determine the appropriate computing layer—edge, fog, or cloud—for offloading incomplete tasks. The algorithm makes this decision by assessing the availability of idle computing resources relative to the task’s computational requirements. Additionally, it verifies the status of the server (on/off) before offloading; if the server is unavailable, the algorithm proceeds to check the next layer. In the second stage, the strategy employs a Multi-objective Firefly (MFA) algorithm to assign the optimal computational device within the selected layer. Experimental simulations compare the proposed strategy with a benchmark task offloading algorithm. The results demonstrate the superiority of the proposed strategy, achieving reductions in energy consumption and delay and maximizing resource utilization compared to the baseline algorithms.</t>
  </si>
  <si>
    <t>Universiti Putra Malaysia; Ministry of Education Malaysia;</t>
  </si>
  <si>
    <t xml:space="preserve">Research Laboratory on Computer Science’s Complex Systems (ReLa(CS)2), University of Oum El Bouaghi, Oum El Bouaghi, Algeria; </t>
  </si>
  <si>
    <t>King Salman Center for Disability Research through Research Group(grant numbers:KSRG-2023-449);</t>
  </si>
  <si>
    <t>Hassan H.B.; Sarhan Q.I.; Beszédes Á.</t>
  </si>
  <si>
    <t>The quality of modern software relies heavily on the effective use of static code analysis tools. To improve their usefulness, these tools should be evaluated using a framework that prioritizes collaboration, user-friendliness, and long-term sustainability. In this paper, we suggest applying the FAIR principles—Findability, Accessibility, Interoperability, and Reusability—as a foundation for assessing static code analysis tools. We specifically focus on Python-based tools, analyzing their features and how well they align with FAIR guidelines. Our findings indicate that it is important to expand the FAIR principles to include thorough documentation, performance assessments, and robust testing frameworks for a more complete evaluation. As Internet of Things (IoT) applications and technologies become increasingly common, these tools must adapt to meet the unique challenges posed by complex and interconnected systems. Addressing these issues is vital for ensuring security and scalability within IoT environments. By implementing this FAIR-based approach, we aim to support the development of static code analysis tools that cater to the evolving needs of the software engineering community while ensuring they remain sustainable and reliable. © 2013 IEEE.</t>
  </si>
  <si>
    <t>Hassan, Hassan Bapeer (57219255445); Sarhan, Qusay Idrees (54584292000); Beszédes, Árpád (6506259777)</t>
  </si>
  <si>
    <t>Though viticulture, wine production and distribution, involves processes mainly revolving around a single component/ingredient - grapes, it still faces the challenges of supply chain management. Supply chains require significant trust among stakeholders, and whilst for the most parts modern day supply chains 'work', it is when failures/mistakes occur that risks are high. Blockchain technology has emerged as a potential solution to confront supply chain-related traceability, transparency, and trust issues - of which extensive work has been done in applying it to wine sector. In this paper, we provide an overview of the technology and its capacity to bring about transformative changes to the viticulture supply chain. The current state of blockchain assimilation in the wine supply chain is presented, whilst highlighting the benefits and challenges associated with utilising blockchain within the wine industry-related supply chains. We pinpoint technological, legal, and adoption obstacles that must be overcome to ensure the successful integration of blockchain within the viticulture supply chain. Drawing on the state-of-the-art and industry practices, we propose directions to overcome hurdles - which may better support enhanced supply chain traceability, amplified transparency, and consumer trust, improved quality assurance and safeguarding against counterfeiting and fraud within the viticulture industry.  © 2013 IEEE.</t>
  </si>
  <si>
    <t>R. L. P. Urtecho; J. Rodríguez-Molina; M. Martínez-Núñez; J. Garbajosa</t>
  </si>
  <si>
    <t>Agencia Estatal de Investigación/Ministerio de Ciencia e Innovación through the project “Sustainability-Aware Internet of Things Systems Driven by Social Communities”(grant numbers:PID2020-118969RB-I00);</t>
  </si>
  <si>
    <t>AI-Native Multi-Access Future Networks—The REASON Architecture</t>
  </si>
  <si>
    <t>The development of the sixth generation of communication networks (6G) has been gaining momentum over the past years, with a target of being introduced by 2030. Several initiatives worldwide are developing innovative solutions and setting the direction for the key features of these networks. Some common emerging themes are the tight integration of AI, the convergence of multiple access technologies and sustainable operation, aiming to meet stringent performance and societal requirements. To that end, we are introducing REASON - Realising Enabling Architectures and Solutions for Open Networks. The REASON project aims to address technical challenges in future network deployments, such as E2E service orchestration, sustainability, security and trust management, and policy management, utilising AI-native principles, considering multiple access technologies and cloud-native solutions. This paper presents REASON’s architecture and the identified requirements for future networks. The architecture is meticulously designed for modularity, interoperability, scalability, simplified troubleshooting, flexibility, and enhanced security, taking into consideration current and future standardisation efforts, and the ease of implementation and training. It is structured into four horizontal layers: Physical Infrastructure, Network Service, Knowledge, and End-User Application, complemented by two vertical layers: Management and Orchestration, and E2E Security. This layered approach ensures a robust, adaptable framework to support the diverse and evolving requirements of 6G networks, fostering innovation and facilitating seamless integration of advanced technologies.</t>
  </si>
  <si>
    <t>European Union Projects 5G Trusted and Secure Network Services(grant numbers:101127973); Seamless Integration of Efficient 6G Wireless Technologies for Communication and Sensing(grant numbers:101139282); ECO-eNET(grant numbers:101139133);</t>
  </si>
  <si>
    <t>S. Barrachina-Muñoz; F. Rezazadeh; L. Blanco; S. Kukliński; E. Zeydan; A. Chawla; L. Zanzi; F. Devoti; V. Vlahodimitropoulou; I. Chochliouros; A. -M. Bosneag; S. Cherrared; L. Vettori; J. Mangues-Bafalluy</t>
  </si>
  <si>
    <t xml:space="preserve">H2020 Distributed management of Network Slices in beyond 5G (MonB5G) Project(grant numbers:871780); Spanish Ministry of Economy and Competitiveness (MINECO)–Program Programa de Universalización de Infraestructuras Digitales para la Cohesión I+D (UNICO I+D)(grant numbers:TSI-063000-2021-54,TSI-063000-2021-55); ‘‘ERDF—A way of making Europe’’ project; Ministerio de Ciencia e Innovación/Agencia Estatal de Investigación (MCIN/AEI)/10.13039/501100011033(grant numbers:PID2021-126431OB-I00,MINECO TSI-064100-2022-16,TSI-064100-2023-26); Generalitat de Catalunya(grant numbers:2021 SGR 00770); </t>
  </si>
  <si>
    <t>Khalifa University of Science and Technology(grant numbers:RIG-2023-049);</t>
  </si>
  <si>
    <t>Holographic communication represents a transformative technology for reshaping the digital interaction landscape by enabling the creation of realistic, immersive, and interactive 3D experiences. This survey overviews holographic communication and its integration with the Metaverse technologies’ concepts, advantages, uses, and many applications. Furthermore, we examine a new paradigm for integrating holographic communication with the Metaverse, emphasizing how holography enhances immersive quality of virtual environments within the Metaverse, making interactions more lifelike and engaging. Extending the integration of holographic communication and Metaverse, we examine this combination’s numerous uses in various applications across various industries, such as education where virtual classrooms and 3D simulations redefine remote learning, a business where virtual meetings and product demonstrations create more impactful customer engagements, entertainment where immersive gaming and 3D broadcasting transform user experiences, healthcare where remote consultations and surgical simulations enhance medical training and accessibility, and remote assistance where real-time holographic support improves technical troubleshooting. In addition, we discuss the challenges and prospects of integration of holographic communication into Metaverse ecosystems, emphasizing key approaches and technical developments emerging technologies such as AI-driven content optimization, advanced coding and compression techniques, and new paradigms like terahertz communication and quantum holography. This survey highlights the revolutionary potential of holographic communication and offers insightful information on how it will influence digital engagement and connectivity in the future, eventually opening up new avenues in the quickly changing Metaverse landscape.</t>
  </si>
  <si>
    <t>Taighde Éireann - Research Ireland(grant numbers:13/RC/2077_P2); Research Ireland Centre for Future Networks; VMware by Broadcom;</t>
  </si>
  <si>
    <t>In today’s fast-evolving tech landscape, small and medium-sized businesses often struggle to keep pace with innovation due to financial constraints and the complexity of integrating new solutions. As the industrial world transitions from Industry 4.0 to Industry 5.0, both manufacturers and software providers are embracing a modular approach to software procurement and deployment. This strategy not only boosts flexibility and affordability but also prioritizes sustainability and the value of collaborative efforts. The Industry Modular Operating System (IMOS) is presented as a platform supporting software accessibility, execution, and integration, while encouraging partnerships between software developers and industrial site managers. IMOS is designed to address recent industry challenges, with a focus on building a solid framework that highlights modularity, facilitates distribution, and promotes cooperation. This system facilitates the distribution of industry-oriented tools by offering containerized software solutions through a unified marketplace. The platform enables industry professionals to efficiently manage diverse applications and services, both on-site and in the cloud, granting access to tailored data and resources. IMOS uniquely extends the concept of Industrial Symbiosis to digital assets, proposing the development of a collaborative forum that values co-creation, facilitates resource sharing, and fosters symbiotic relations. By creating this flexible ecosystem, IMOS closes the gap between development and production, fostering collaboration, innovation, and shared expertise within an active community of industry leaders.</t>
  </si>
  <si>
    <t>Fundação para a Ciência e Tecnologia through the program CTS/00066 and Center of Technology and Systems (CTS);</t>
  </si>
  <si>
    <t>The rapid expansion of cloud data centers, driven by the increasing demand for diverse user services, has escalated energy consumption and greenhouse gas emissions, posed severe environmental risks, and increased operational costs. Addressing these challenges requires innovative solutions for optimizing resource allocation without compromising service quality. This paper presents the Enhanced Multi-Objective Optimization Algorithm for Task Scheduling (EMO-TS). This novel approach integrates Deep Reinforcement Learning (DRL) and Enhanced Electric Fish Optimization (EEFO) to create an adaptive, dynamic, and energy-efficient scheduling framework. The primary objective of EMO-TS is to significantly reduce the energy consumption of cloud data centers while maintaining high levels of resource utilization, time efficiency, and service quality. Through the hybrid methodology of DRL and EEFO, EMO-TS dynamically adjusts task scheduling based on real-time workloads and operational conditions, effectively minimizing power consumption without sacrificing system performance. Additionally, EMO-TS introduces improvements in makespan and task execution, ensuring timely completion and optimal resource use. A comprehensive set of experiments and simulations demonstrates the practical implications of EMO-TS’s results. EMO-TS outperforms traditional scheduling approaches, reducing energy consumption by up to 25% and decreasing makespan by 15%. These results underscore the algorithm’s potential to address cloud service providers’ economic and environmental concerns, offering a practical solution for green cloud computing initiatives. Furthermore, the integration of renewable energy sources within the EMO-TS framework shows potential for further reducing the carbon footprint of cloud operations, aligning with global sustainability goals.</t>
  </si>
  <si>
    <t>B. Akdemir; H. Faheem Shahid; M. A. K. Brix; J. Lääkkölä; J. Islam; T. Kumar; J. Reponen; M. T. Nieminen; E. Harjula</t>
  </si>
  <si>
    <t>Recent years have seen a surge in AI-driven medical image processing, leading to significant improvements in diagnostic performance. However, medical imaging technologies tend to create staggering volumes of medical data, necessitating high-performance computing. Cloud systems with robust GPUs and resource capacity are optimal choices for DL-based medical image processing. However, transferring data to the cloud for processing strains communication links, introduces high communication latency, and raises privacy and security concerns. Consequently, despite the undisputed benefits of cloud computing, dedicated standalone local computers are still used for image reconstruction in today’s systems. This localized strategy uses expensive hardware inefficiently and falls short of scalability and maintainability. Edge computing emerges as an innovative concept by bringing cloud processing capabilities closer to data sources. A continuum of computing including local, edge, and cloud tiers would offer a promising solution for medical image processing. According to literature survey, there are no significant works on utilizing edge cloud continuum for CBCT imaging. To fill this gap, we introduce novel 3-TECC architectural concept, specifically designed for CBCT data reconstruction in medical imaging. This article explores the evolving synergy among medical imaging, distributed AI, containerized solutions, and edge-cloud continuum technologies, highlighting their clinical implications and illuminating the potential for transformative patient care. We uncover challenges and opportunities this convergence provides with the CBCT image reconstruction use case, while aligning with regulatory compliance. The proposed 3-TECC architecture advocates a decentralized data processing paradigm, reducing reliance on the centralized approach and emphasizing the role of local-edge computing.</t>
  </si>
  <si>
    <t>Healthcare systems are advancing at a rapid pace as a result of new technologies to address several issues in the sector such as shortage of skilled health workers and to deal with new diseases like COVID-19. Incorporating technologies like blockchain, federated learning, swarm learning, and Directed Acyclic Graphs is transforming healthcare. This article thoroughly examines recent progress and uses at the intersection of these technologies within the healthcare field. Blockchain’s innovative consensus mechanisms and secure data flow systems offer encouraging solutions to crucial issues in healthcare data management and security. Also, federated learning has been deployed in various ways to tackle healthcare challenges enabling collaborative data analysis while upholding patient confidentiality. Swarm learning algorithms have been notably effective in healthcare, enriching medical diagnostics, disease prognosis, and precision medicine. Solutions based on Directed Acyclic Graphs present scalable and effective alternative to traditional blockchain frameworks, providing improved consensus speed and decreased bottlenecks in transaction processing. These advancements signify a shift in direction towards fully decentralised and secure healthcare systems. This paper highlights the transformative impact of these technologies on medical diagnostics, disease prediction, and precision medicine.</t>
  </si>
  <si>
    <t xml:space="preserve">Ministry of Science, Research, and the Arts Baden-Württemberg (MWK)(grant numbers:bwNET2.0); </t>
  </si>
  <si>
    <t>The development of wireless communication technology has led to an exponential growth in the Healthcare Internet of Things (H-IoT). Sensors and actuators are used in smart medical devices to collect data about the human body, which is then sent to the fog layer for analysis. However, H-IoT devices present security and Quality of Service (QoS) concerns because of their critical nature, complexity, and dynamic features, which make them incompatible with conventional network topologies. Furthermore, reducing superfluous data and identifying effective fog nodes are difficult tasks. We provide a novel Software-Defined Networking (SDN)- driven Deep Learning (DL) approach to develop a secure, intelligent, and efficient framework for smart H-CIoT networks in order to address the aforementioned challenges. In this method, we have first considered SDN architecture as a promising solution since it allows for reconfiguration over static network infrastructure and manages the distributed architecture of intelligent H-CIoT networks by keeping the data and control planes apart. Secondly, a security module based on Bidirectional Long Short-Term Memory (BiLSTM) is implemented to recognize various forms of attacks within the H-CIoT network. Third, the past medical records of the patients are used to train the DL model. It then makes an informed decision about whether to send the data to the fog layer. The CNN approach is also included in the suggested framework to choose the best fog node. The simulation results indicate that the proposed framework achieved an accuracy of 99.59%, an F1-score of 99.53%, a latency of 3 ms, energy consumption of 55 W, and a probability of 0.92%. It outperforms the baseline and current methods with improvements of 5% in accuracy, 4% in F1-score, 10 ms in latency, 25 W in energy consumption, and 0.66% in probability, respectively. © 2025 The Authors.</t>
  </si>
  <si>
    <t>M. Penica; M. Bhattacharya; W. O’Brien; S. McGrath; M. Hayes; E. O’Connell</t>
  </si>
  <si>
    <t>Science Foundation Ireland through the CONFIRM Platform(grant numbers:16/RC/3918);</t>
  </si>
  <si>
    <t>The article explores a novel framework that combines Ceiling-Mounted Systems (CMS) and Internet of Medical Things (IoMT) devices to address critical challenges in healthcare data management. By leveraging the capabilities of IoMT devices for real-time data collection, the proposed CMS's robust sensing, storage, and processing features support efficient resource allocation in hospital environments. The proposed approach achieves approximately 35% reduction in latency, a 25% improvement in energy efficiency, and a 40% decrease in Age of Information (AoI) compared to traditional frameworks. The multi-objective optimization problem minimizes energy consumption and latency while ensuring fairness and timely data collection, which is particularly critical in patient monitoring and time-sensitive diagnostics scenarios. Deep Reinforcement Learning (DRL) methods solve the resource allocation challenge under realistic constraints. Specifically, Twin-Delayed Deep Deterministic Policy Gradients (TD3) and Soft Actor-Critic (SAC) algorithms are adopted to optimize task scheduling and system decisions in dynamic, resource-constrained settings. Simulation results demonstrate that SAC achieves approximately 20% faster convergence and 15% better adaptability in dynamic hospital environments compared to TD3, making it more suitable for real-time healthcare applications. These findings underscore the benefits of integrating IoMT devices with the proposed CMS infrastructures to meet healthcare requirements, such as robust security, high reliability, and real-time responsiveness. © 2013 IEEE.</t>
  </si>
  <si>
    <t>Over the past few years, the demand for personalized and accurate healthcare solutions has significantly increased, aiming to enhance medical effectiveness. Digital Twins (DTs), a transformative technology in the evolution of Industry 4.0, have expanded their applications from traditional fields like manufacturing and automotive industries to revolutionizing healthcare. DTs offer a more advanced and precise method of healthcare delivery, enabling better patient-specific care by creating real-time digital replicas of patients’ health conditions. Despite these advancements, healthcare professionals still heavily rely on their expertise to make critical decisions, highlighting the importance of continuous refinement of knowledge and skills to navigate complex healthcare challenges. Personalized treatments and comprehensive healthcare support remain essential for optimizing patient outcomes, though they are still in the early phases of development. This paper introduces a reference architecture specifically designed for Digital Twins in cyber-physical healthcare systems, outlining the key requirements and challenges in developing digital frameworks for such systems. It explores the fundamental principles of Digital Twins in healthcare, focusing on their applications in product design, production processes, and system performance. It also provides a detailed review of current research on healthcare data management, personalized healthcare, and operational efficiency, along with the associated requirements, challenges, and application scenarios. Furthermore, the paper discusses major obstacles and outlines potential future research directions, offering a roadmap to advance healthcare data management, personalized medicine, and operational control within Digital Twin frameworks.</t>
  </si>
  <si>
    <t>Universidad de Alcalá;</t>
  </si>
  <si>
    <t>Fifth generation technology(5G) is available in several countries with more than 1.5 million users. It’s wireless communication through which many applications are integrated. With the rapid growth of more and more of the 5G network, many limitations have been found. Certain limitations regarding security and privacy were familiarized due to which 6G networks of next generation provide the solutions to overcome 5G. Whenever communications take place, human possibilities will depend on a set of security technology enablers. The recent 6G effort is presented in relation to privacy as well as security limitations of 5G. Knowledge extraction was not reliable in 5G, so will work on AI/ML implementation through federated learning. The 6G cyber security threats will be defined. 6G architecture breaks up how it will work when it will have multiple stakeholders. This paper also defines how the various domains of privacy, trust, cyber-resilience are decomposed. In short, here we will explore various 6G security Technologies which are revolutionizing..</t>
  </si>
  <si>
    <t>S. Rückerl; M. Ukkola; S. Würl; M. Faehling</t>
  </si>
  <si>
    <t>Deutsche Forschungsgemeinschaft(grant numbers:EXC-2094-390783311);</t>
  </si>
  <si>
    <t>Electric Power Research Institute;</t>
  </si>
  <si>
    <t>The Internet of Things (IOT) is a complex application of a variety of technologies. Communicate and exchange information in a mutually agreed manner by identifying radio frequencies, global positioning, use of measurement data, and other items. In order to implement the strategic goal of 'three types of two networks and world-class', the design of the technical architecture of the intelligent IOT data aggregation Center for electrical equipment based on micro services is proposed. This article studies and applies microservices and container technologies, designs the technical architecture of the intelligent IOT data aggregation Center for electrical equipment based on microservices, and solves the problems of collaborative development and deployment of distributed and heterogeneous environments in state grid companies. Through the development and application of the intelligent IOT data aggregation Center for electrical equipment, the IOT data and business data of various categories are transmitted, aggregated, interacted and stored, and the data are mined, analyzed and applied, which strongly supports the application of material companies in bidding procurement, quality supervision, capacity evaluation and fault analysis, and achieves the effect of reducing costs and increasing efficiency, and improving quality and management level. © 2022 IEEE.</t>
  </si>
  <si>
    <t>R. Vázquez-López; E. V. Vázquez-Carmona; J. Carlos Herrera-Lozada; K. Miranda; J. Sandoval-Gutierrez</t>
  </si>
  <si>
    <t>Reichelt, David Georg; Kühne, Stefan; Hasselbring, Wilhelm</t>
  </si>
  <si>
    <t>O. Çiftci; E. N. Pektaş; Z. E. Baiat; T. Serif</t>
  </si>
  <si>
    <t>With the diversification and complexity of power marketing, the information construction of power marketing services lacks a unified technical system standard. In order to build a digital public service product with customer aggregation, business accommodation and data sharing, a new generation architecture model of State Grid Corporation of China(SGCC) ONLINE based on middle-platform technology is proposed. This paper expounds the overall architecture and technical architecture of the SGCC ONLINE, studies the key innovation technology model of the SGCC ONLINE, and realizes the “one network” of power business services. The SGCC ONLINE has achieved remarkable application results, comprehensively promoted the construction of power marketing service system in the new era, and has good application and promotion value.</t>
  </si>
  <si>
    <t>National Natural Science Foundation of China;</t>
  </si>
  <si>
    <t>Research and Development;</t>
  </si>
  <si>
    <t>C. C. González; E. F. Pupo; J. Montalban; E. Iradier; P. Angueira; M. Murroni</t>
  </si>
  <si>
    <t>National Institutes of Health;</t>
  </si>
  <si>
    <t>In the era of big data, research has become increasingly data-driven, with vast amounts of information being generated and analyzed to produce new insights and discoveries. This data deluge requires a combination of methods and technologies to store, process, share and preserve research data. With many of the world’s most valuable data being stored in relational databases where it evolves over time as new knowledge is gained and old knowledge invalidated, current repository systems fail to provide researchers with interfaces to conveniently work with this kind of data within their research environments. For this reason, we have developed DBRepo, an institutional data repository for research data in databases (DBRepo) supporting guidelines of the Working Group on Data Citation of the Research Data Alliance. The system has been in use at TU Wien for almost three years now and provides a variety of data science-related interfaces and can be integrated into many workflows and tools. Further, it assists researchers in depositing their datasets by suggesting the table schema (column names, data types, primary key constraints) and it addresses data interoperability issues by suggesting semantic concepts for dataset columns and units of measurements, where applicable. DBRepo is currently in use by six universities globally who use it as data store for hot and cold research data sets. In the paper, we describe their use-cases and provide lessons learned from the various deployments and workflows. Finally, we show how depositing research data into DBRepo increases the data’s visibility.</t>
  </si>
  <si>
    <t>ASEAN-European Academic University Network;</t>
  </si>
  <si>
    <t>Urbanization over the next decade will present many complex challenges to cities. Transportation plays an important role in a city’s ability to address urbanization and create resilient, sustainable, inclusive, and safer cities for all. However, challenges introduced by urbanization will decrease the effectiveness of current transportation methodologies. By utilizing innovations in sensing, computing, and communication along with machine learning and real-time data, intelligent transportation systems (ITS) can advance transportation efficiency and effectiveness. Integrating these technologies into intelligent transportation systems can potentially reduce congestion, pollution, energy consumption, and traffic incidents. This integration is at the forefront of academic and industry research. Although testbeds have been developed for the development, testing, and validation of ITS solutions, existing testbeds focus on narrow aspects of the ITS domain and are unable to support large-scale experimentation and integrations. Additionally, access to resources and data is limited and not remotely accessible to potential researchers. In this paper, we propose a smart city and ITS Testbed-As-A-Service. The testbed is located in downtown Chattanooga, TN, and offers a unified platform for a wide range of ITS applications including connected and autonomous vehicles, wireless communication, cooperative transportation, internet-of-things (IoT), and edge-based AI.</t>
  </si>
  <si>
    <t>As more and more services in the power grid introduce machine learning and deep learning technologies, feature engineering has become more and more complex. In order to improve the efficiency of feature engineering, this paper proposes a high-performance distributed feature storage and consumption service based on grid scenarios, referred to as HFSA (High-performance feature storage and access). HFSA designed a feature data storage and consumption platform with the help of the idea of message middleware. HFSA services include HFSA Cluster, Producer and Consumer. This article verifies whether the HFSA service meets the design requirements from three aspects: functional testing, accuracy testing and performance testing. The experimental results show that the HFSA service has complete functions and good performance, which basically solves the problem of characteristic storage and consumption of the power grid. © 2022 IEEE.</t>
  </si>
  <si>
    <t>Route optimization has been a research topic for many years in the maritime industry and it constitutes one of the key components to improving energy efficiency and sustainability in ship operations. This paper deals with the challenge of estimating Fuel Oil Consumption (FOC) in the context of Weather Routing (WR). Given a plethora of features collected from the vessel’s Automatic Identification System (AIS) or on-board sensor installations, we examine how a predictive FOC scheme can be coupled with WR optimization algorithms in order to reduce the vessel’s FOC, emissions, and the overall cost of a voyage. In order to handle the amount of data required for FOC prediction, we employ a streaming pipeline that harvests data in real-time from different sources and processes them appropriately for visualization, causal analysis, and forecasting purposes. In this direction, we first conduct an exploratory analysis to examine and unveil the importance and inter-association between the various variables related to sea-keeping and weather features, in order to utilize them effectively in the context of a FOC predictive scheme. Furthermore, we introduce a novel recurrent neural network architecture that approximates ideally the underlying function describing the features and the vessel’s FOC by taking into account historical data, and we showcase the results. Finally, we demonstrate how the FOC prediction model can be coupled with a WR algorithm to propose the optimal route for a vessel in terms of FOC efficiency.</t>
  </si>
  <si>
    <t>Stavros Niarchos Foundation;</t>
  </si>
  <si>
    <t>J. P. de Brito Gonçalves; R. Lima Gomes; R. da Silva Villaca; E. Municio; J. Marquez-Barja</t>
  </si>
  <si>
    <t>Natural Science Foundation of Jiangsu Province;</t>
  </si>
  <si>
    <t>E. Kartsakli; J. Perez-Romero; N. Bartzoudis; O. Sallent; O. Kolawole; X. Tao; S. K. Mohalik; T. Mach; S. Liu; Y. Deng; G. Mandò; A. Antonopoulos; V. Frascolla; S. Kosu; G. Kalem; F. Buining; E. Quiñones</t>
  </si>
  <si>
    <t>Beyond 5G (B5G) communication networks face the challenge of meeting the demanding requirements of various service types, including uRLLC, mIoT, eMBB, and emerging technologies like Extended Reality (XR). Edge computing can address these demands effectively because of the ability to bring computational power and resources closer to the source of data. Nevertheless, the realization of this potential necessitates an open, flexible, and automated architectural framework capable of supporting disaggregated applications and network designs. In this context, this paper introduces a novel architecture designed to advance the evolution of edge computing in B5G, developed within the EU-funded project VERGE. The proposed architecture is modular and scalable, guided by artificial intelligence (AI), and founded on three essential pillars: “edge for AI,“ “AI for edge,“ and “security, privacy, and trustworthiness for AI.“ After presenting this architecture, the paper showcases its applicability through the examination of two vertical use cases within the industrial and transportation domains.</t>
  </si>
  <si>
    <t>Horizon Europe; Samsung;</t>
  </si>
  <si>
    <t>Natural Sciences and Engineering Research Council of Canada (NSERC)(grant numbers:501197–16); New Brunswick Innovation Foundation;</t>
  </si>
  <si>
    <t>T. Sepanosian; X. Küpers; P. Joza; F. Massah; R. Bemthuis</t>
  </si>
  <si>
    <t>The construction industry is under increasing pressure to reduce its environmental impact while preserving operational efficiency. The widespread adoption of wireless sensing, processing, and communication technologies at construction sites marks a significant advancement, yet the use of real-time sensor data to decrease environmental footprints is still limited. This gap highlights the need to explore how site stakeholders and compliance regulators can effectively integrate emergent services, such as those enabled by Internet of Things (IoT) technologies, into their dynamic planning processes. In this paper, we present an IoT-based architecture designed for real-time emission monitoring at construction sites to enhance environmental sustainability and operational effectiveness. We demonstrate the use of this architecture with an illustrative scenario, named “EcoWatch”, which employs a single-board computer connected to a variety of IoT-enabled sensors to monitor key pollutants, including CO2, particulate matter, temperature, and humidity. EcoWatch is both customizable and scalable, offering potential benefits for regulatory compliance and operational efficiency within the construction sector. The capability to deliver real-time data insights enables stakeholders to implement proactive environmental management strategies, potentially contributing to advancing sustainable practices in the construction industry.</t>
  </si>
  <si>
    <t>Ministry of Infrastructure and Water Management;</t>
  </si>
  <si>
    <t>Humans are a key part of software development, including customers, designers, coders, testers and end users. In this keynote talk I explain why incorporating human-centric issues into software engineering for next-generation applications is critical. I use several examples from our recent and current work on handling human-centric issues when engineering various 'smart living' cloud-and edge-based software systems. This includes using human-centric, domain-specific visual models for non-technical experts to specify and generate data analysis applications; personality impact on aspects of software activites; incorporating end user emotions into software requirements engineering for smart homes; incorporating human usage patterns into emerging edge computing applications; visualising smart city-related data; reporting diverse software usability defects; and human-centric security and privacy requirements for smart living systems. I assess the usefulness of these approaches, highlight some outstanding research challenges, and briefly discuss our current work on new human-centric approaches to software engineering for smart living applications. © 2020 IEEE.</t>
  </si>
  <si>
    <t>In this paper, we present energy-aware scheduling for Serverless edge computing. Energy awareness is critical since edge nodes, in many Internet of Things (IoT) domains, are meant to be powered by renewable energy sources that are variable, making low-powered and/or overloaded (bottleneck) nodes unavailable and not operating their services. This awareness is also required since energy challenges have not been previously addressed by Serverless, largely due to its origin in cloud computing. To achieve this, we formally model an energy-aware resource scheduling problem in Serverless edge computing, given a cluster of battery-operated and renewable-energy powered nodes. Then, we devise zone-oriented and priority-based algorithms to improve the operational availability of bottleneck nodes. As assets, our algorithm coins terms “sticky offloading” and “warm scheduling” in the interest of the Quality of Service (QoS). We evaluate our proposal against well-known benchmarks using real-world implementations on a cluster of Raspberry Pis enabled with container orchestration, Kubernetes, and Serverless computing, OpenFaaS, where edge nodes are powered by real-world solar irradiation. Experimental results achieve significant improvements, up to 33%, in helping bottleneck node's operational availability while preserving the QoS. With energy awareness, now Serverless can unconditionally offer its resource efficiency and portability at the edge.</t>
  </si>
  <si>
    <t>D. Ayed; P. -A. Dragan; E. Félix; Z. A. Mann; E. Salant; R. Seidl; A. Sidiropoulos; S. Taylor; R. Vitorino</t>
  </si>
  <si>
    <t>Horizon 2020(grant numbers:871525);</t>
  </si>
  <si>
    <t>IBM(grant numbers:CNS-2000681);</t>
  </si>
  <si>
    <t>V. Mygdalis; L. Carnevale; J. R. Martínez-De-Dios; D. Shutin; G. Aiello; M. Villari; I. Pitas</t>
  </si>
  <si>
    <t>L. Angelelli; A. A. da Silva; Y. Georgiou; M. Mercier; G. Mounié; D. Trystram</t>
  </si>
  <si>
    <t>European Union(grant numbers:GA101017047);</t>
  </si>
  <si>
    <t>Serverless computing has recently become a significant application paradigm in data centers. However, existing power management methods focus on optimizations at the coarse-grained server level, making them unable to handle the characteristics of these short-lived, dynamic serverless functions. In this context, the unawareness of function-level characteristics by the existing power management systems can severely degrade the energy efficiency of the data centers. To address this challenge, we design a function-level power management system. Instead of relying on server-level schedulers, we propose a novel core-level scheduling policy for serverless functions that can efficiently allocate functions to the most suitable CPU core. Additionally, we propose a power management mechanism for serverless computing that can reduce system power consumption with functions’ QoS guaranteed. Our evaluation shows that our system achieves a maximum power saving of 8.5% and an average power saving of 8% across the majority of loads without incurring any loss in tail latency, as compared to the conventional server-level scheduling system.</t>
  </si>
  <si>
    <t>The adoption of computing resources oversubscription in cloud environments is conventionally limited to a restricted subset of Virtual Machines (VMs) within the providers’ offerings, primarily driven by performance considerations. So far, VMs schedulers mostly implement all-or-nothing oversubscription strategies, wherein all VM resources are either oversubscribed or remain unaltered. While the former strategy offers higher consolidation rates, the latter delivers better performance guarantees.In this paper, we conducted an empirical study of the individual usage of virtual CPUs (vCPUs) in the OVHCloud production environment and we demonstrate that, as they are not uniformly utilized, the current holistic approach may not be appropriate. Based on these observations, we introduce a novel approach, named SweetspotVM, where oversubscription ratios are applied at the granularity of individual vCPU, instead of the whole VMs. This novel paradigm unlocks a more flexible oversubscription management strategy, pinning oversubscription ratios per vCPU within VMs. We present a prototype of SweetspotVM to illustrate the feasibility of accommodating multiple oversubscription levels within a single host and assigning them to individual vCPU.We assess the viability of our approach on a physical platform, demonstrating the possibility of dividing the cost of hosting VMs by 3, while maintaining the VMs performance at the level of non-oversubscribed platforms. We, therefore, believe that SweetspotVM opens new avenues to boost the consolidation of VMs on a reduced number of servers, with positive impacts on the environmental footprint of cloud computing.</t>
  </si>
  <si>
    <t>Agence Nationale de la Recherche;</t>
  </si>
  <si>
    <t>M. Camelo; L. Cominardi; M. Gramaglia; M. Fiore; A. Garcia-Saavedra; L. Fuentes; D. De Vleeschauwer; P. Soto-Arenas; N. Slamnik-Krijestorac; J. Ballesteros; C. -Y. Chang; G. Baldoni; J. M. Marquez-Barja; P. Hellinckx; S. Latré</t>
  </si>
  <si>
    <t>Great advances in technology have paved the way for the computerization and interconnectedness of the world around us. The Internet of Things (IoT) describes a network comprised of physical objects or “things” embedded with electronics, software, sensors and connectivity to achieve greater value and service by exchanging data with manufacturers, users, and/or other connected devices. However, it is often the case that some of these devices are constrained by limited processing power, memory, and power consumption. These limitations may enable adverse effects as the IoT becomes pervasive, reaching into infrastructure, vehicles, and homes. As history has shown, the architects of the Internet were focused primarily on the efficiency and scaling aspects of data transfer protocols; at the dawn of the Internet, network and computer security were vacant research areas. The current trend shows the IoT market growing at an accelerated rate - will security again become an afterthought? The goal of this paper is to provide to not only a better understanding of the various IoT domains, but to survey the shortcomings and challenges to securing IoT devices and their interactions with cloud and enterprise applications.</t>
  </si>
  <si>
    <t>In the imminent era of 6G dominance and the expanding realm of interconnected IoT devices, ensuring seamless connectivity is vital. This paper introduces the Scalable and Efficient DevOps (SE-DO) methodology—a scalable multi-agent system designed for next-gen networks. SE-DO’s avant-garde architecture dynamically integrates new agents, mirroring evolving IoT ecosystems. Two sets of agents manage vast IoT data in urban matrices: extraction agents collect, and preprocessing agents refine for computational tasks. Anticipating 6G’s prowess, training agents optimize machine learning models for real-time traffic analytics. Augmented by predictor agents, SE-DO prioritizes accuracy, efficiency, and security, validated empirically. SE-DO’s adaptability ensures scalable proficiency amid IoT integrations, facilitating a smooth transition to the 6G era. Addressing IoT challenges, SE-DO, rooted in a robust multi-agent system, optimizes agent performance in resource-constrained environments. Real-world experiments highlight SE-DO’s high accuracy and efficiency, making it pivotal for future network optimization. Access SE-DO’s future on GitHub—where innovation meets accessibility. As next-gen networks demand reliable solutions, SE-DO emerges as an indispensable tool for navigating emergent network paradigms.</t>
  </si>
  <si>
    <t>State Grid Corporation of China;</t>
  </si>
  <si>
    <t>The Internet of Things (IoT) represents the next significant step in the evolution of the Internet. It will allow “things” to be connected anytime, anywhere, with anything and anyone, providing a myriad of novel applications and augmented services to citizens, governments, and enterprises. We believe that for the IoT to reach its full potential, it will be necessary to advance the investigation of techniques and technologies to build systems in such a brand-new scenario. In the IoT, the collaborating entities encompass both physical and virtual resources, interactions occur both in an active and programmed way as well as by chance, and therefore it is necessary to deal with expected but also emerging behaviors of the collaborating parties. In this paper, we first discuss the main features that make IoT a unique ecosystem, and as such, calls for new software development solutions. We claim that there is a need to rethinking the techniques and methodologies for developing IoT systems and applications. Novel models, architectural approaches and techniques should be proposed, or existing ones should be adapted to deal with the high heterogeneity, dynamism, serendipity and interdependencies that are typical of the IoT ecosystem. We then analyze and discuss potential key design solutions that deserve a deeper understanding in order to pave the way for the building of this new generation of systems. Our discussion is presented from a bottom-up perspective: from the modeling of devices that make up the IoT to the representation of requirements that must be addressed when engineering IoT systems.</t>
  </si>
  <si>
    <t>FAPESP(grant numbers:2015/24144-7);</t>
  </si>
  <si>
    <t>Science and Technology Project of State Grid;</t>
  </si>
  <si>
    <t>Science and Technology Project of State Grid Co..Ltd(grant numbers:52022324000D);</t>
  </si>
  <si>
    <t>Natural Science Foundation of Hainan Province;</t>
  </si>
  <si>
    <t>High Performance Computing infrastructures are getting increasingly heterogeneous, which offers opportunities to the applications in terms of performance improvement. However, the “hardware-concise” heterogeneous resource allocation requires a deep knowledge of the scheduled applications' characteristics. The challenge is getting more difficult if the scheduler has to balance the optimization policies between the application- and the infrastructure-specific policies, e.g. the overall energy consumption, resource utilization, etc. We introduce a heuristic-based approach to adaptive scheduling, enabled by in-depths monitoring technologies. Our solution is complementary to the native schedulers like Torque or Maui and is open per design and thus can be seamlessly integrated into the core scheduling algorithms.</t>
  </si>
  <si>
    <t>We are witnessing the emergence of elastic web services which are hosted in public cloud infrastructures. For reasons of cost-effectiveness, it is crucial for the elasticity of these web services to match the dynamically-evolving user demand. Traditional approaches employ clusters of virtual machines (VMs) to dynamically scale resources based on application demand. However, they still face challenges such as higher cost due to over-provisioning or incur service level objective (SLO) violations due to under-provisioning. Motivated by this observation, we propose Spock, a new scalable and elastic control system that exploits both VMs and serverless functions to reduce cost and ensure SLO for elastic web services. We show that under two different scaling policies, Spock reduces SLO violations of queries by up to 74\% when compared to VM-based resource procurement schemes. Further, Spock yields significant cost savings, by up to 33\% compared to traditional approaches which use only VMs. © 2019 IEEE.</t>
  </si>
  <si>
    <t>Balancing resource utilization and application QoS is a long-standing research topic in cluster resource management. Big data YARN clusters need to co-schedule diverse workloads on shared resources including batch processing jobs, streaming jobs, and other long-running applications such as web services, database services, etc. Current resource managers are only responsible for resource allocation among applications/jobs but completely unaware of runtime QoS requirements of interactive and latency-sensitive applications. Prior works to maximize the QoS of monolithic applications ignore inherent dependencies and temporal-spatio performance variability of components, characteristics of distributed applications primarily driven by microservices. In this paper, we present Toposch, a new resource management system to adaptively co-locate batch tasks and microservices by harvesting runtime latency. In particular, Toposch tracks full footprints of every request across microservices over time. A latency graph is periodically generated for identifying victim microservices through an end-to-end latency critical path analysis. We then exploit per-microservice and per-node risk assessment to gauge the visible resources to the capacity scheduler in YARN. Execution of batch tasks are adaptively throttled or delayed, thereby avoiding latency increase due to node over-saturation. TOPOSCH is integrated with YARN and experiments show that the latency of DLRAs can be reduced by up to 39.8% against the default capacity scheduling in YARN. © 2020 IEEE.</t>
  </si>
  <si>
    <t>Function as a Service (FaaS)-the reason why so many practitioners and researchers talk about Serverless Computing-claims to hide all operational concerns. The promise when using FaaS is that users only have to focus on the core business functionality in form of cloud functions. However, a few configuration options remain within the developer's responsibility. Most of the currently available cloud function offerings force the user to choose a memory or other resource setting and a timeout value. CPU is scaled based on the chosen options. At a first glance, this seems like an easy task, but the tradeoff between performance and cost has implications on the quality of service of a cloud function. Therefore, in this paper we present a local simulation approach for cloud functions and support developers in choosing a suitable configuration. The methodology we propose simulates the execution behavior of cloud functions locally, makes the cloud and local environment comparable and maps the local profiling data to a cloud platform. This reduces time during the development and enables developers to work with their familiar tools. This is especially helpful when implementing multi-Threaded cloud functions.  © 2021 IEEE.</t>
  </si>
  <si>
    <t>Task scheduling is a well-studied problem in the context of optimizing the Quality of Service (QoS) of cloud computing environments. In order to sustain the rapid growth of computational demands, one of the most important QoS metrics for cloud schedulers is the execution cost. In this regard, several data-driven deep neural networks (DNNs) based schedulers have been proposed in recent years to allow scalable and efficient resource management in dynamic workload settings. However, optimal scheduling frequently relies on sophisticated DNNs with high computational needs implying higher execution costs. Further, even in non-stationary environments, sophisticated schedulers might not always be required and we could briefly rely on low-cost schedulers in the interest of cost-efficiency. Therefore, this work aims to solve the non-trivial meta problem of online dynamic selection of a scheduling policy using a surrogate model called MetaNet. Unlike traditional solutions with a fixed scheduling policy, MetaNet on-the-fly chooses a scheduler from a large set of DNN based methods to optimize task scheduling and execution costs in tandem. Compared to state-of-the-art DNN schedulers, this allows for improvement in execution costs, energy consumption, response time and service level agreement violations by up to 11, 43, 8 and 13 percent, respectively.  © 2022 IEEE.</t>
  </si>
  <si>
    <t>The Internet of Things (IoT) has led to a surge in smart devices, generating vast volumes of data. Cloud computing offers scalability but does not suffice for many real-time and privacy-sensitive IoT applications. This limitation has prompted a blend of both edge and cloud resources, creating the need for seamless integration, known as the “compute continuum“. Testing applications and resource management techniques within this continuum is vital but can be very complex. Simulation and emulation are preferred methods, with emulation providing more accurate representations of real-world environments. In this paper, we introduce iContinuum, a novel emulation toolkit facilitating an intent-based platform for edge-to-cloud testing and experimentation. Leveraging Software-Defined Networking (SDN) and containerization, iContinuum enables experimentation and performance evaluation while aligning application requirements with actual performance. We present our detailed architecture, implementation, and evaluation of iContinuum, showcasing how our proposed toolkit bridges the gap between simulation and real-world deployment within compute continuum environments, and further demonstrate the effectiveness of Intent-Based Scheduling through a specific use case.</t>
  </si>
  <si>
    <t>M. Zasadziński; M. Solé; A. Brandon; V. Muntés-Mulero; D. Carrera</t>
  </si>
  <si>
    <t>European Commission's Horizon 2020 program(grant numbers:101016835); Austrian Research Promotion Agency (FFG)(grant numbers:888098);</t>
  </si>
  <si>
    <t>This paper presents the idea of using LoRaWAN based sensors in isolated areas with intermittent gateway presence. The intent is to expand the network coverage to areas with no preexisting infrastructure, and automate the data collection process in Delay Tolerant Network (DTN) scenarios. The use case considered in the paper is that of ocean monitoring, where sensor nodes can be deployed far from the shore to record ocean-related data, while gateways located on ships collect the sensors' telemetry when the ship passes close by the nodes. We discuss the LoRaWAN capabilities and limitations for such scenario, focusing in particular on the energy consumption on the end nodes' side. Finally, we present an optimized strategy that optimizes the duty cycle for these remote nodes. The experiments show that by adopting this solution, the nodes spend less energy, which leads to their lifespan to be extended significantly.  © 2021 IEEE.</t>
  </si>
  <si>
    <t>Steady progress in ubiquitous technologies and machine learning facilitates ever-new and better digital assistants. However, most of these emerging assistants rely on-partly similar-data-driven analyses that are independent of each other, leading to redundancy issues. In this paper, we propose a novel concept (termed AssistantGraph) for an efficient design and runtime support of digital assistants. More specifically, assistants need to represent their data-driven processing pipelines as a directed acyclic graph of assistant components (modularity) to benefit from serverless computing with data access. Facilitated component sharing across assistants (reusability) leads to a more connected and efficient overall graph: a shared component instance requires to run only once; versioned components are enabled by the proposed backward chains of converters (versioning). We further develop data and control flow mechanisms through recursive filtering on demand to trigger the data-driven components as required. Within a novel proposed and prototypically implemented open assistant infrastructure, we evaluate our concept in terms of feasibility and performance. The results show reduced redundancy with simultaneous significant performance gains (through component sharing) despite minimal additional overhead (due to modularization and backward compatibility). We believe that our approach gives a new perspective on data-driven assistants and complements an open assistant ecosystem. © 2019 IEEE.</t>
  </si>
  <si>
    <t>Today’s problems require a plethora of analytics tasks to be conducted to tackle state-of-the-art computational challenges posed in society impacting many areas including health care, automotive, banking, natural language processing, image detection, and many more data analytics-related tasks. Sharing existing analytics functions allows reuse and reduces overall effort. However, integrating deployment frameworks in the age of cloud computing are often out of reach for domain experts. Simple frameworks are needed that allow even non-experts to deploy and host services in the cloud. To avoid vendor lock-in, we require a generalized composable analytics service framework that allows users to integrate their services and those offered in clouds, not only by one, but by many cloud compute and service providers.We report on work that we conducted to provide a service integration framework for composing generalized analytics frame-works on multi-cloud providers that we call our Generalized AI Service (GAS) Generator. We demonstrate the framework’s usability by showcasing useful analytics workflows on various cloud providers, including AWS, Azure, and Google, and edge computing IoT devices. The examples are based on Scikit learn so they can be used in educational settings, replicated, and expanded upon. Benchmarks are used to compare the different services and showcase general replicability.</t>
  </si>
  <si>
    <t>TAKE 5 Project; Finnish Funding Agency for Technology and Innovation; Finnish Ministry of Employment and the Economy; European Union’s Horizon 2020 Research and Innovation Programme through the EU/JP 5G!Pagoda Project(grant numbers:723172);</t>
  </si>
  <si>
    <t>Academy of Finland(grant numbers:311654); European Union’s Horizon 2020 Research and Innovation Program through the 5G!Pagoda Project(grant numbers:723172); Global5G.org Project(grant numbers:761816);</t>
  </si>
  <si>
    <t>A. Roozbeh; J. Soares; G. Q. Maguire; F. Wuhib; C. Padala; M. Mahloo; D. Turull; V. Yadhav; D. Kostić</t>
  </si>
  <si>
    <t>Software-Defined “Hardware” Infrastructures: A Survey on Enabling Technologies and Open Research Directions</t>
  </si>
  <si>
    <t>This paper provides an overview of software-defined “hardware” infrastructures (SDHI). SDHI builds upon the concept of hardware (HW) resource disaggregation. HW resource disaggregation breaks today's physical server-oriented model where the use of a physical resource (e.g., processor or memory) is constrained to a physical server's chassis. SDHI extends the definition of of software-defined infrastructures (SDI) and brings greater modularity, flexibility, and extensibility to cloud infrastructures, thus allowing cloud operators to employ resources more efficiently and allowing applications not to be bounded by the physical infrastructure's layout. This paper aims to be an initial introduction to SDHI and its associated technological advancements. This paper starts with an overview of the cloud domain and puts into perspective some of the most prominent efforts in the area. Then, it presents a set of differentiating use-cases that SDHI enables. Next, we state the fundamentals behind SDI and SDHI, and elaborate why SDHI is of great interest today. Moreover, it provides an overview of the functional architecture of a cloud built on SDHI, exploring how the impact of this transformation goes far beyond the cloud infrastructure level in its impact on platforms, execution environments, and applications. Finally, an in-depth assessment is made of the technologies behind SDHI, the impact of these technologies, and the associated challenges and potential future directions of SDHI.</t>
  </si>
  <si>
    <t>Knut och Alice Wallenbergs Stiftelse;</t>
  </si>
  <si>
    <t>Ubiquitous sensors and smart devices from factories and communities are generating massive amounts of data, and ever-increasing computing power is driving the core of computation and services from the cloud to the edge of the network. As an important enabler broadly changing people's lives, from face recognition to ambitious smart factories and cities, developments of artificial intelligence (especially deep learning, DL) based applications and services are thriving. However, due to efficiency and latency issues, the current cloud computing service architecture hinders the vision of “providing artificial intelligence for every person and every organization at everywhere”. Thus, unleashing DL services using resources at the network edge near the data sources has emerged as a desirable solution. Therefore, edge intelligence, aiming to facilitate the deployment of DL services by edge computing, has received significant attention. In addition, DL, as the representative technique of artificial intelligence, can be integrated into edge computing frameworks to build intelligent edge for dynamic, adaptive edge maintenance and management. With regard to mutually beneficial edge intelligence and intelligent edge, this paper introduces and discusses: 1) the application scenarios of both; 2) the practical implementation methods and enabling technologies, namely DL training and inference in the customized edge computing framework; 3) challenges and future trends of more pervasive and fine-grained intelligence. We believe that by consolidating information scattered across the communication, networking, and DL areas, this survey can help readers to understand the connections between enabling technologies while promoting further discussions on the fusion of edge intelligence and intelligent edge, i.e., Edge DL.</t>
  </si>
  <si>
    <t>Canadian Natural Sciences and Engineering Research Council and by Ericsson through a CRD Grant; Canada Research Chair Program and Zayed University (United Arab Emirates) through the Research Incentive Fund Program;</t>
  </si>
  <si>
    <t>European Union under RESPONSE 5G(grant numbers:789658); Academy of Finland under 6Genesis Flagship Projects(grant numbers:318927);</t>
  </si>
  <si>
    <t>National Research Foundation of Korea (NRF) grant funded by the Korea Government (MSIT)(grant numbers:2020R1A4A1018607);</t>
  </si>
  <si>
    <t>Scientific Research-Flanders (FWO-V) through the Project “Intelligent Dense and Longe Range IoT Networks (IDEAL-IoT)”(grant numbers:S004017N);</t>
  </si>
  <si>
    <t>B. Sonkoly; J. Czentye; M. Szalay; B. Németh; L. Toka</t>
  </si>
  <si>
    <t xml:space="preserve">Ministry of Innovation and Technology of Hungary from the National Research, Development and Innovation Fund through 2018-2.1.17-TÉT-KR, FK_20; 2019-2.1.13-TÉT-IN Funding Schemes(grant numbers:2018-2.1.17-TÉT-KR-2018-00012,135074,2019-2.1.13-TÉT-IN-2020-00021); </t>
  </si>
  <si>
    <t>E. Coronado; R. Behravesh; T. Subramanya; A. Fernàndez-Fernàndez; M. S. Siddiqui; X. Costa-Pérez; R. Riggio</t>
  </si>
  <si>
    <t xml:space="preserve">European Union’s Horizon 2020 through the Project AI@EDGE; EU(grant numbers:101015922,5GZORRO); EU(grant numbers:871533); CERCA Programme/Generalitat de Catalunya; EU “NextGenerationEU/PRTR,” MCIN and AEI (Spain)(grant numbers:IJC2020-043058-I); ONOFRE-3 through the Project MCIN/AEI/10.13039/501100011033(grant numbers:PID2020-112675RB-C43); </t>
  </si>
  <si>
    <t>Dubbed “the successor to the mobile Internet,” the concept of the Metaverse has grown in popularity. While there exist lite versions of the Metaverse today, they are still far from realizing the full vision of an immersive, embodied, and interoperable Metaverse. Without addressing the issues of implementation from the communication and networking, as well as computation perspectives, the Metaverse is difficult to succeed the Internet, especially in terms of its accessibility to billions of users today. In this survey, we focus on the edge-enabled Metaverse to realize its ultimate vision. We first provide readers with a succinct tutorial of the Metaverse, an introduction to the architecture, as well as current developments. To enable ubiquitous, seamless, and embodied access to the Metaverse, we discuss the communication and networking challenges and survey cutting-edge solutions and concepts that leverage next-generation communication systems for users to immerse as and interact with embodied avatars in the Metaverse. Moreover, given the high computation costs required, e.g., to render 3D virtual worlds and run data-hungry artificial intelligence-driven avatars, we discuss the computation challenges and cloud-edge-end computation framework-driven solutions to realize the Metaverse on resource-constrained edge devices. Next, we explore how blockchain technologies can aid in the interoperable development of the Metaverse, not just in terms of empowering the economic circulation of virtual user-generated content but also to manage physical edge resources in a decentralized, transparent, and immutable manner. Finally, we discuss the future research directions towards realizing the true vision of the edge-enabled Metaverse.</t>
  </si>
  <si>
    <t>M. Polese; L. Bonati; S. D’Oro; S. Basagni; T. Melodia</t>
  </si>
  <si>
    <t>Offloading Using Traditional Optimization and Machine Learning in Federated Cloud–Edge–Fog Systems: A Survey</t>
  </si>
  <si>
    <t xml:space="preserve">National Key Research and Development Program of China(grant numbers:2018YFB1801101); National Natural Science Foundation of China(grant numbers:61960206006,62122020); Key Technologies Research and Development Program of Jiangsu (Prospective and Key Technologies for Industry)(grant numbers:BE2022067,BE2022067-1,BE2022067-5); EU H2020 RISE TESTBED2 Project(grant numbers:872172); EU H2020 ARIADNE Project(grant numbers:871464); EU H2020 RISE-6G Project(grant numbers:101017011); U.S. National Science Foundation(grant numbers:CCF-1908308,CNS-2128448); Engineering and Physical Sciences Research Council Project(grant numbers:EP/W016605/1,EP/X01228X/1); European Research Council’s Advanced Fellow Grant QuantCom(grant numbers:789028); </t>
  </si>
  <si>
    <t>European Union’s H2020 5G!Drones Project(grant numbers:857031);</t>
  </si>
  <si>
    <t>Every attempt to access to the Internet through a Web browser, email sent, VPN connection, VoIP call, instant message or other use of telecommunications systems involves cryptographic techniques. The most commonly applied technique is asymmetric cryptography, which is generally executed in the background without the user even being aware. It establishes a cryptographic code based on the computational complexity of mathematical problems. However, this type of cryptography, which is widely used in today’s telecommunications systems, is under threat as electronics and computing rapidly develop. The development of fifth-generation cellular networks (5G) is gaining momentum, and given its wide field of application, security requires special attention. This is especially true faced with the development of quantum computers. One solution to this security challenge is to use more advanced techniques to establish cryptographic keys that are not susceptible to attack. An essential part of quantum cryptography, Quantum Key Distribution (QKD) uses the principles of quantum physics to establish and distribute symmetric cryptographic keys between two geographically distant users. QKD establishes information-theoretically secure cryptographic keys that are resistant to eavesdropping when they are created. In this paper, we survey the security challenges and approaches in 5G networks concerning network protocols, interfaces and management organizations. We begin by examining the fundamentals of QKD and discuss the creation of QKD networks and their applications. We then outline QKD network architecture and its components and standards, following with a summary of QKD and post-quantum key distribution techniques and approaches for its integration into existing security frameworks such as VPNs (IPsec and MACsec). We also discuss the requirements, architecture and methods for implementing the FPGA-based encryptors needed to execute cryptographic algorithms with security keys. We discuss the performance and technologies of post-quantum cryptography, and finally, examine reported 5G demonstrations which have used quantum technologies, highlighting future research directions.</t>
  </si>
  <si>
    <t xml:space="preserve">Ministry of the Interior of the Czech Republic Project “Network Cybersecurity in the Post-Quantum Era”(grant numbers:VJ01010008); NATO SPS G5894 Project “Quantum Cybersecurity in 5G Networks (QUANTUM5)”; H2020 Project OPENQKD(grant numbers:857156); Ministry of Civil Affairs of Bosnia and Herzegovina(grant numbers:10-33-11-7111/22); Ministry of Science, Higher Education and Youth of Canton Sarajevo, Bosnia and Herzegovina(grant numbers:27-02-35-35137-29/22,27-02-35-35143-6/22); Project DQKDNM 2023; </t>
  </si>
  <si>
    <t>Full leverage of the huge volume of data generated on a large number of user devices for providing intelligent services in the 6G network calls for Ubiquitous Intelligence (UI). A key to developing UI lies in the involvement of the large number of network devices, which contribute their data to collaborative Machine Learning (ML) and provide their computational resources to support the learning process. Federated Learning (FL) is a new ML method that enables data owners to collaborate in model training without exposing private data, which allows user devices to contribute their data to developing UI. Edge computing deploys cloud-like capabilities at the network edge, which enables network devices to offer their computational resources for supporting FL. Therefore, a combination of FL and edge computing may greatly facilitate the development of ubiquitous intelligence in the 6G network. In this article, we present a comprehensive survey of the recent developments in technologies for combining FL and edge computing with a holistic vision across the fields of FL and edge computing. We conduct our survey from both the perspective of an FL framework deployed in an edge computing environment (FL in Edge) and the perspective of an edge computing system providing a platform for FL (Edge for FL). From the FL in Edge perspective, we first identify the main challenges to FL in edge computing and then survey the representative technical strategies for addressing the challenges. From the Edge for FL perspective, we first analyze the key requirements for edge computing to support FL and then review the recent advances in edge computing technologies that may be exploited to meet the requirements. Then we discuss open problems and identify some possible directions for future research on combining FL and edge computing, with the hope of arousing the research community’s interest in this emerging and exciting interdisciplinary field.</t>
  </si>
  <si>
    <t>The deployment of the fifth-generation (5G) wireless networks in Internet of Everything (IoE) applications and future networks (e.g., sixth-generation (6G) networks) has raised a number of operational challenges and limitations, for example in terms of security and privacy. Edge learning is an emerging approach to training models across distributed clients while ensuring data privacy. Such an approach when integrated in future network infrastructures (e.g., 6G) can potentially solve challenging problems such as resource management and behavior prediction. However, edge learning (including distributed deep learning) are known to be susceptible to tampering and manipulation. This survey article provides a holistic review of the extant literature focusing on edge learning-related vulnerabilities and defenses for 6G-enabled Internet of Things (IoT) systems. Existing machine learning approaches for 6G–IoT security and machine learning-associated threats are broadly categorized based on learning modes, namely: centralized, federated, and distributed. Then, we provide an overview of enabling emerging technologies for 6G–IoT intelligence. We also provide a holistic survey of existing research on attacks against machine learning and classify threat models into eight categories, namely: backdoor attacks, adversarial examples, combined attacks, poisoning attacks, Sybil attacks, byzantine attacks, inference attacks, and dropping attacks. In addition, we provide a comprehensive and detailed taxonomy and a comparative summary of the state-of-the-art defense methods against edge learning-related vulnerabilities. Finally, as new attacks and defense technologies are realized, new research and future overall prospects for 6G-enabled IoT are discussed.</t>
  </si>
  <si>
    <t>China Scholarship Council(grant numbers:202108320092); NSERC Discovery Grants; Canada Research Chair Program; McMaster Faculty of Engineering’s Multidisciplinary Ph.D. Research Support;</t>
  </si>
  <si>
    <t>This century has been a major avenue for revolutionary changes in technology and industry. Industries have transitioned towards intelligent automation, relying less on human intervention, resulting in the fourth industrial revolution, Industry 4.0. That is why IoT has been the researcher’s arena for quite some time. With Industry 4.0 still in motion, the world is on the verge of the  $5^{\textit {th}}$  industrial revolution, a relatively new concept with many unclear opinions regarding its potential benefits, challenges, opportunities, trends, and impact on society. There is a dire need for a broader and more critical perspective. This research paints a bigger picture of “What is happening?” and “What to expect?” during the transition phase of Industry 5.0. In this comprehensive review, we have addressed the state-of-the-art practices in Industry 4.0 and the transitional phase of Industry 5.0. We have highlighted the most promising key enabling technologies, trends, research topics, rising challenges, and unfolding opportunities that can help prepare society for this paradigm shift. The paper then surveys the work toward the outstanding key enablers, challenges, trends, and opportunities in the IoT evolution for Industry 5.0. To spur further avenues for researchers and industrialists, the paper offers conclusive insights at the end. In addition, the article has a precise set of research questions answered in consequent sections and subsections for the reader’s clarity.</t>
  </si>
  <si>
    <t>Innovation Team and Talents Cultivation Program of the National Administration of Traditional Chinese Medicine(grant numbers:ZYYCXTD-D-202208); National Natural Science Foundation of China(grant numbers:62372310); Liaoning Province Applied Basic Research Program(grant numbers:2023JH2/101300194); Science Foundation Ireland(grant numbers:SFI/12/RC/2289_P2);</t>
  </si>
  <si>
    <t>The effects of transport development on people’s lives are diverse, ranging from economy to tourism, health care, etc. Great progress has been made in this area, which has led to the emergence of the Internet of Vehicles (IoV) concept. The main objective of this concept is to offer a safer and more comfortable travel experience through making available a vast array of applications, by relying on a range of communication technologies including the fifth-generation mobile networks. The proposed applications have personalized Quality of Service (QoS) requirements, which raise new challenging issues for the management and allocation of resources. Currently, this interest has been doubled with the start of the discussion of the sixth-generation mobile networks. In this context, Network Slicing (NS) was presented as one of the key technologies in the 5G architecture to address these challenges. In this article, we try to bring together the effects of NS implications in the Internet of Vehicles field and show the impact on transport development. We begin by reviewing the state of the art of NS in IoV in terms of architecture, types, life cycle, enabling technologies, network parts, and evolution within cellular networks. Then, we discuss the benefits brought by the use of NS in such a dynamic environment, along with the technical challenges. Moreover, we provide a comprehensive review of NS deploying various aspects of Learning Techniques for the Internet of Vehicles. Afterwards, we present Network Slicing utilization in different IoV application scenarios through different domains; terrestrial, aerial, and marine. In addition, we review Vehicle-to-Everything (V2X) datasets as well as existing implementation tools; besides presenting a concise summary of the Network Slicing-related projects that have an impact on IoV. Finally, in order to promote the deployment of Network Slicing in IoV, we provide some directions for future research work. We believe that the survey will be useful for researchers from academia and industry. First, to acquire a holistic vision regarding IoV-based NS realization and identify the challenges hindering it. Second, to understand the progression of IoV powered NS applications in the different fields (terrestrial, aerial, and marine). Finally, to determine the opportunities for using Machine Learning Techniques (MLT), in order to propose their own solutions to foster NS-IoV integration.</t>
  </si>
  <si>
    <t xml:space="preserve">French National Agency for Research under the Future Investments Program(grant numbers:ANR-20-IDES-0001); Industrial Research Chair “Mobility and Intelligent Transports” (Foundation of Bordeaux University, 2019-2023); European Union’s Horizon 2020 Research and Innovation Programme(grant numbers:951947 (5GMED)); </t>
  </si>
  <si>
    <t xml:space="preserve">European Union under the Italian National Recovery and Resilience Plan (NRRP) of NextGenerationEU, partnership on “Telecommunications of the Future”(grant numbers:PE00000001 (Program “RESTART”)); </t>
  </si>
  <si>
    <t xml:space="preserve">CHISTERA Sustainable and Adaptive Ultra-High-Capacity Micro Base Stations (SAMBAS) Grant funded by Research Foundation–Flanders (FWO), Agence nationale de la Recherche (ANR), National Research, Development and Innovation Office (NKFIH), and U.K. Research and Innovation (UKRI)(grant numbers:CHIST-ERA-20-SICT-003); Passau International Centre for Advanced Interdisciplinary Studies (PICAIS) of the University of Passau, Germany; </t>
  </si>
  <si>
    <t>Satellite communications (Satcoms) systems have become an integral part of modern society, providing critical infrastructure for a wide range of applications. However, as the reliance on Satcoms has increased, cyberattacks on Satcoms systems have emerged as a severe concern, with the potential to cause significant disruption, economic losses, and even loss of life. We first give a tutorial-style overview of the architecture of a Satcoms system, which typically consists of a space segment, a ground segment (encompassing the terrestrial ground stations and users), and a links segment. Following the taxonomy provided by this segment structure, we provide—to the best of our knowledge—the first comprehensive survey of the state-of-the-art cyberattacks (cyberthreats) on all three segments of Satcoms systems. For each Satcoms system segment, we organize the cyberattacks according to categories of Satcoms-specific cyberattacks, which we relate to the threat classifications in the general STRIDE cyberthreat model. Also, for all three segments of Satcoms systems, we comprehensively survey the general cybersecurity strategies and the specific cybersecurity mechanisms (techniques) that defend Satcoms systems against cyberattacks. We distill the critical learned lessons associated with Satcoms cybersecurity strategies, such as the need to balance security with cost-effectiveness. Finally, we outline the open challenges and future research directions in Satcoms systems cybersecurity.</t>
  </si>
  <si>
    <t>SmartSat CRC(grant numbers:RG214317); Australian Government’s CRC Program; Australian Research Council/Discovery Early Career Researcher Award(grant numbers:DE23010011);</t>
  </si>
  <si>
    <t>Amidst the robust impetus from artificial intelligence (AI) and big data, edge intelligence (EI) has emerged as a nascent computing paradigm, synthesizing AI with edge computing (EC) to become an exemplary solution for unleashing the full potential of AI services. Nonetheless, challenges in communication costs, resource allocation, privacy, and security continue to constrain its proficiency in supporting services with diverse requirements. In response to these issues, this paper introduces socialized learning (SL) as a promising solution, further propelling the advancement of EI. SL is a learning paradigm predicated on social principles and behaviors, aimed at amplifying the collaborative capacity and collective intelligence of agents within the EI system. SL not only enhances the system's adaptability but also optimizes communication, and networking processes, essential for distributed intelligence across diverse devices and platforms. Therefore, a combination of SL and EI may greatly facilitate the development of collaborative intelligence in the future network. This paper presents the findings of a literature review on the integration of EI and SL, summarizing the latest achievements in existing research on EI and SL. Subsequently, we delve comprehensively into the limitations of EI and how it could benefit from SL. Special emphasis is placed on the communication challenges and networking strategies and other aspects within these systems, underlining the role of optimized network solutions in improving system efficiency. Based on these discussions, we elaborate in detail on three integrated components: socialized architecture, socialized training, and socialized inference, analyzing their strengths and weaknesses. Finally, we identify some possible future applications of combining SL and EI, discuss open problems and suggest some future research, with the hope of arousing the research community's interest in this emerging and exciting interdisciplinary field.  © 1998-2012 IEEE.</t>
  </si>
  <si>
    <t>Owing to its outstanding parallel computing capabilities, quantum computing (QC) has been a subject of continuous attention. With the gradual maturation of QC platforms, it has increasingly played a significant role in various fields such as transportation, pharmaceuticals, and industrial manufacturing, achieving unprecedented milestones. In modern society, wireless communication stands as an indispensable infrastructure, with its essence lying in optimization. Although artificial intelligence (AI) algorithms such as reinforcement learning (RL) and mathematical optimization have greatly enhanced the performance of wireless communication, the rapid attainment of optimal solutions for wireless communication problems remains an unresolved challenge. QC, however, presents a new alternative. This paper aims to elucidate the fundamentals of QC and explore its applications in wireless communications and networking. First, we provide a tutorial on QC, covering its basics, characteristics, and popular QC algorithms. Next, we introduce the applications of QC in communications and networking, followed by its applications in miscellaneous areas such as security and privacy, localization and tracking, and video streaming. Finally, we discuss remaining open issues before concluding.  © 1998-2012 IEEE.</t>
  </si>
  <si>
    <t>The forthcoming generation of wireless technology, 6G, promises a revolutionary leap beyond traditional data-centric services. It aims to usher in an era of ubiquitous intelligent services, where everything is interconnected and intelligent. This vision requires the seamless integration of three fundamental modules: Sensing for information acquisition, communication for information sharing, and computation for information processing and decision-making. These modules are intricately linked, especially in complex tasks such as edge learning and inference. However, the performance of these modules is interdependent, creating a resource competition for time, energy, and bandwidth. Existing techniques like integrated communication and computation (ICC), integrated sensing and computation (ISC), and integrated sensing and communication (ISAC) have made partial strides in addressing this challenge, but they fall short of meeting the extreme performance requirements. To overcome these limitations, it is essential to develop new techniques that comprehensively integrate sensing, communication, and computation. This integrated approach, known as Integrated Sensing, Communication, and Computation (ISCC), offers a systematic perspective for enhancing task performance. This paper begins with a comprehensive survey of historic and related techniques such as ICC, ISC, and ISAC, highlighting their strengths and limitations. It then discusses the benefits, functions, and challenges of ISCC. Subsequently, the state-of-the-art signal designs for ISCC, along with network resource management strategies specifically tailored for ISCC are explored. Furthermore, this paper discusses the exciting research opportunities that lie ahead for implementing ISCC in future advanced networks, and the unresolved issues requiring further investigation. ISCC is expected to unlock the full potential of intelligent connectivity, paving the way for groundbreaking applications and services. © 2024 IEEE.</t>
  </si>
  <si>
    <t>The Internet of Things (IoT) devices generate a large amount of data that get processed in the cloud. Typically, different IoT devices will be allocated to the same Fifth Generation (5G) mobile network slice, on which the IoT services will be using different containers. While cloud containers can offer many benefits, they also introduce new security risks from co-resident containers that can be particularly problematic for IoT devices. The need for long-lasting batteries is essential for the success of wireless-connected IoT devices, particularly in applications where regular battery replacement is impractical or impossible. Energy Depletion Attacks (EDA) can drastically reduce the lifespan of IoT sensor device batteries, whereas Synergistic Power Attacks (SPA) can cause power outages in data centers and disrupt critical services. Although EDA and SPA have been studied in the literature, the IoT cloud information leakages with the advent of network slicing concepts in 5G and 6G leading to these attacks have not been addressed yet. This paper presents comprehensive studies of 5G-Advanced IoT cloud framework and related attacks. It reveals novel systematic methods through which powerful stealth Cloud Container-Based EDA (CC-EDA) and Cloud Container-Based SPA (CC-SPA) can be launched. These attacks are difficult to detect as the attacker impersonates a valid IoT management system and manipulates the system’s behavior. With a quantitative assessment of the performance of a battery under attack, this paper additionally shows that an aggressive CC-EDA will be deeply damaging and can bring down the entire IoT network within a day. Possible mitigation strategies to address the security concerns associated with IoT cloud-based attacks are proposed.</t>
  </si>
  <si>
    <t>The 6G network is a new generation of wireless technology that builds on the $\mathbf{5 G}$ network’s advancements. It aims to improve speed, connectivity, and performance, with high data rates and broad frequency bands. It offers higher capacity and lower latency. Dynamic resource allocation in 6G networks will likely heavily leverage machine learning (ML) techniques due to the complexity and scale of these networks. The resource requirements of devices in 6G network are variable in nature. Dynamic resource allocation is crucial in 6G networks, and machine learning algorithms help to manage resource allocation efficiently. By leveraging machine learning techniques in dynamic resource allocation, $\mathbf{6 G}$ networks can achieve higher efficiency, flexibility, and adaptability to meet the diverse requirements of emerging applications and services. A machine learning algorithm used in this paper showed higher resource utilization and success rate than existing methods.</t>
  </si>
  <si>
    <t>New Energy and Industrial Technology Development Organization;</t>
  </si>
  <si>
    <t>Reducing latency in the Internet of Things (IoT) remains a critical concern. While cloud computing facilitates communication, it falls short of meeting real-time requirements reliably. Edge and fog computing have emerged as viable solutions by positioning computing nodes closer to end users, offering lower latency and increased processing power. An edge-fog framework comprises various components, including edge and fog nodes, whose strategic placement is crucial as it directly impacts latency and system cost. This paper presents an effective and tunable node placement strategy based on a genetic algorithm to address the optimization problem of deploying edge and fog nodes. The task assignment for this algorithm involves two key components: first, it identifies the nearest node to a given user; second, it assesses the node’s capacity to ensure it has sufficient frequency resources to handle the assigned tasks. The ultimate objective is to minimize latency and cost through optimal node placement. Simulation results demonstrate the proposed framework achieves up to 8.4% latency and 65.2% cost reduction.</t>
  </si>
  <si>
    <t>S. Gec; D. Lavbič; V. Stankovski; P. Kochovski</t>
  </si>
  <si>
    <t>I. Kilanioti; G. Rizzo; B. M. Masini; A. Bazzi; D. P. M. Osorio; F. Linsalata; M. Magarini; D. Löschenbrand; T. Zemen; A. Kliks</t>
  </si>
  <si>
    <t>FROST: Towards Energy-efficient AI-on-5G Platforms – A GPU Power Capping Evaluation</t>
  </si>
  <si>
    <t>The Open Radio Access Network (O-RAN) is a burgeoning market with projected growth in the upcoming years. RAN has the highest CAPEX impact on the network and, most importantly, consumes 73% of its total energy. That makes it an ideal target for optimisation through the integration of Machine Learning (ML). However, the energy consumption of ML is frequently overlooked in such ecosystems. Our work addresses this critical aspect by presenting FROST – Flexible Reconfiguration method with Online System Tuning – a solution for energy-aware ML pipelines that adhere to O-RAN’s specifications and principles. FROST is capable of profiling the energy consumption of an ML pipeline and optimising the hardware accordingly, thereby limiting the power draw. Our findings indicate that FROST can achieve energy savings of up to 26.4% without compromising the model’s accuracy or introducing significant time delays.</t>
  </si>
  <si>
    <t>S. Birtane; M. Al-Naday; F. Paolucci; R. A. Bakar; V. Lefebvre; V. Passas; S. Kalafatidis; A. Lalas; A. Drosou; E. M. de Oca; A. R. Cavalli; P. Vörös; M. Alshawki; B. Stiller; W. Soussi; G. Cantali; G. Gür</t>
  </si>
  <si>
    <t>In the Internet of Things (IoT) era, technologies have become even more immersive and ubiquitous in people’s lives. Therefore, developing collaborative systems becomes a more complex task involving different factors and actors. The nature of these applications encompasses different stakeholders and interests. The software development process encompasses large-scale sensors and actuators to characterize appropriated the Internet of Things (IoT). The introduction of this technology in the scenario of collaborative systems and IoT increased the complexity of software development. This work presents a computational architecture based on middleware to deal with the challenges of developing collaborative systems in the context of IoT. As a contribution, results acquired from the case study demonstrate how the architecture supports IoT application development in the context of collaborative systems.</t>
  </si>
  <si>
    <t>EMI;</t>
  </si>
  <si>
    <t>One of the most crucial infrastructure requirements of integrated systems is designing and providing a comprehensive architecture for implementation, support and improvement of their smart services or platforms. And without exception, smart University would also require a responsive architecture for the integration and consolidation of its current and future systems and services. Providing higher level of academic services, integration and consolidation support, and cost accounting (including “cloud storage”, “computing”, “network communication and bandwidth” and energy consumption) can be placed as pivotal issues among smart university services. In this article, a basic definition of a smart university and its integrated services will be presented at first. Then, strengths, weaknesses and covering range of conventional smart systems architectures are examined and compared. In the following, a novel perspective of smarter universities and regarding consolidated services are introduced and a comprehensive architecture for the establishment of smart university services and systems is presented. afterward, layers of this architecture, their efficiency and connections are examined. Finally, the covering and responsiveness of the comprehensive architecture are examined from different perspectives; And in an actual example, its optimization is compared to a previously proposed architecture that was implemented in Shahid Beheshti University of Tehran-Iran. In addition, as well, the other results are thoroughly discussed.</t>
  </si>
  <si>
    <t>This article describes analysis of the main problems of e-commerce and suggests methods for solving these problems. © 2020 IEEE.</t>
  </si>
  <si>
    <t>In this article has been analyzed the main problems of online business processes and suggests methods for solving these problems. © 2020 IEEE.</t>
  </si>
  <si>
    <t>The article analyzes the main problems of ecommerce in the field of online auctions and suggests methods for solving these problems. © 2020 IEEE.</t>
  </si>
  <si>
    <t>J. Backman; S. Yrjölä; K. Valtanen; O. Mämmelä</t>
  </si>
  <si>
    <t>National Science Foundation(grant numbers:2135439);</t>
  </si>
  <si>
    <t>Microservice architecture is increasingly replacing monolithic architectures due to its numerous advantages, including ease of deployment, flexibility, and availability. The advent of containerization has further amplified the importance of microservices, making them scalable and portable… Orchestration tools rely on schedulers to control and manage containers running microservices, driving extensive research in search of suitable and optimal scheduling algorithms that minimize costs, reduce overhead, and ensure cluster performance. This paper provides an overview of several popular scheduling algorithms applied by researchers, offering insights into their methodologies through a comparative analysis. We explore the different parameters used and their impact on algorithm performance. Additionally, we delve into the advantages and drawbacks associated with each algorithm, illuminating their strengths and weaknesses. In conclusion, we discuss potential future directions, aiming to identify areas for improvement and innovation in the selection and optimization of scheduling algorithms.</t>
  </si>
  <si>
    <t>A. Hilt; J. Zemán; G. Járó</t>
  </si>
  <si>
    <t>The excursion on the long road of telecommunications is continuously evolving. Newer mobile generations, optimizations, modernizations, technology changes, and various mergers have been experienced in the past decades. Different drivers continuously shift physical network elements towards software (SW) only deployments in all IP telecommunication networks. The decoupling of application SW from hardware (HW) is accelerated by virtualization. The ‘cloudification’ of legacy telecommunication equipment made communication networks not only more flexible, but also opened new doors. Brand new services became available thanks to the ongoing fusion of two domains: telecommunications and IT (Information Technology). A new era called ‘Telco-Cloud’ was born. One original goal was to use commercial IT computing servers as HW platform hoping cost efficiency. Another expected benefit was the prompt use of existing experience in the operation and maintenance of IT HW in Data Centers. More and more network functions are virtualized on top of IT HW nowadays. However, the strict requirements of the legacy-Physical Network Function (PNF) based-telecommunications mandate special configurations and practices on cloud. The rapidly increasing amount of Virtual Network Functions (VNFs) and Cloud-native Network Functions (CNFs) introduces new concepts for dimensioning, deployment, operation, management, and monitoring. Some availability and operability requirements and expectations are inherited from the legacy PNF domain, meanwhile the telecommunication world itself undergoes a continuous change towards Telco-Cloud and 5G/6G. This paper overviews the evolution steps to Telco-Cloud. The challenges in the dimensioning and availability design are discussed, and some concepts and examples are presented on NF and network levels.</t>
  </si>
  <si>
    <t>Nokia CNS;</t>
  </si>
  <si>
    <t>With the increasing number of Internet of Things-based systems, some communication protocols have gained prominence in standardizing certain applications. In this work, an approach focused on automating the data flow from a microcontroller with embedded IoT in the VITA emergency respiratory support automator (AMBU) was developed. The proposed solution captures data from the microcontroller’s sensors and sends them to a server using the MQTT protocol, afterwards the data are stored in a database. Additionally, the server is executed in a Docker. We analyse and evaluate the network performance based on monitored CPU and memory usage data.</t>
  </si>
  <si>
    <t>There is potential great value in turning physiological and behavioral data into actionable information in tactical environments. However, the design of an appropriate system in terms of measurement accuracy, wearing comfort and technical feasibility, for instance for forces training in realistic conditions, therefore requires addressing multiple scientific and technical challenges. The current paper focuses on work realized to address four challenges identified in recent efforts in the development of an integrated wearable system. These four challenges pertain to: 1) Data management; 2) Wearable sensors; 3) Algorithms and models; and 4) Human factors considerations. Components were developed and integrated to tackle each of the four challenges and the integrated system was tested on participants during field trials. The system referred to “Readiness Evaluation: QUantified INdividuals” (REQUIN), offers a dashboard to visualize in real time the various metrics collected and calculated by the system, including metrics derived from wearable sensors and models. Results of the field trials are discussed in regard with the four challenges addressed in the paper and recommendations for further research are presented, including using alternative sensing technologies for blood oxygenation measures and improving the models’ specificity. This study represents a critical step in the integration of real-time sensing technologies for applications involving collective situation management and control.</t>
  </si>
  <si>
    <t>Climate factors like temperature and humidity has a major role to play in the productivity in an office workspace. Similarly, products like medicine and food have to be manufactured and stored in optimum environmental conditions. Thus, monitoring the factors like temperature and humidity of different part of an office space or manufacturing unit is very important. Studying these factors over time will help in finding the optimum temperature for different parts of the office. Periodic storage of the data on secure remote location such as a SQL database on the cloud opens possibilities for future analysis. Presence of an app-based and web-based portal for monitoring the temperature and humidity data makes remote monitoring easy. Such a system can ensure the conditions are monitored at all times and alerts can be given in case of a sudden peak or drop. Security and confidentiality of the data is very important and thus limiting the access to the database and even the web and app-based portals can ensure the data is visible only to authorized personal.  © 2021 IEEE.</t>
  </si>
  <si>
    <t>This paper presents optimal planning of multiservice and multi-tier edge-cloud environments. The goal is to evaluate the whole deployment of compute continuum, i.e. the type and number of processing devices and their pairing with specific tier and task based on processing and latency requirements. Especially, this pairing of each task with specific processing device and processing tier is extracted under cost and power minimization objectives. The proposed planning approach is generic therefore applicable to any type of services. In the current work it is applied and validated in the AI inference service tasks. Results show the trade-off among the performance and execution time, i.e. the proposed optimal mechanism outperforms a heuristic scheme (providing a feasible solution of the studied problem), while the latter is less time consuming. Finally, further analysis of trade-offs subject to the execution of these two approaches is presented considering the needs of system’s service provider and users.</t>
  </si>
  <si>
    <t>A. Sattari; R. Ehsani; T. Leppänen; S. Pirttikangas; J. Riekki</t>
  </si>
  <si>
    <t>Academy of Finland;</t>
  </si>
  <si>
    <t>In the contemporary era of cloud computing, efficient and precise prediction of CPU utilization ensures optimal performance and energy efficiency in data centers. Traditional predictive models often need to be improved as these data centers grow in complexity and scale, necessitating more nuanced and integrative solutions. This paper introduces an advanced multi-layered learning framework meticulously designed to meet the demands of modern cloud data centers. Our innovative approach synergistically combines anomaly detection, data clustering, and ensemble-based regression prediction. The Isolation Forest algorithm is used during the preliminary stage to identify and address anomalies within the data. Subsequent phases harness the K-Means clustering algorithm, refine data categorization based on recurrent CPU usage patterns, and employ multilevel ensemble-based prediction models for accurate forecasting rooted in historical and real-time data trends. Through comprehensive evaluations, our model demonstrates significant improvements in prediction accuracy and robustness against the dynamism inherent in cloud environments. Our research paves the way for a more resilient, proactive, and efficient approach to CPU utilization prediction, laying the foundational stone for future innovations in cloud computing resource management.  © 2023 IEEE.</t>
  </si>
  <si>
    <t>T. Malich; V. Socha; R. Matyáš; L. Hanáková; S. Kušmírek; V. Kráčmar</t>
  </si>
  <si>
    <t>S. Ayhan; Í. R. De Oliveira; G. Balvedi; P. Costas; A. Leite; F. C. F. De Azevedo</t>
  </si>
  <si>
    <t>Air Navigation Service Providers (ANSP) worldwide have been making a considerable effort for the development of a better method to measure and predict aircraft counts within a particular airspace, also referred to as airspace density. An accurate measurement and prediction of airspace density is crucial for a better managed airspace, both strategically and tactically, yielding a higher level of automation and thereby reducing the air traffic controller’s workload. Although the prior approaches have been able to address the problem to some extent, data management and query processing of ever-increasing vast volume of air traffic data at high rates, for various analytics purposes such as predicting aircraft counts, still remains a challenge especially when only linear prediction models are used.In this paper, we present a novel data management and prediction system that accurately predicts aircraft counts for a particular airspace sector within the National Airspace System (NAS). The incoming Traffic Flow Management (TFM) data is streaming, big, uncorrelated and noisy. In the preprocessing step, the system continuously processes the incoming raw data, reduces it to a compact size, and stores it in a NoSQL database, where it makes the data available for efficient query processing. In the prediction step, the system learns from historical trajectories and uses their segments to collect key features such as sector boundary crossings, weather parameters, and other air traffic data. The features are fed into various regression models, including linear, non-linear and ensemble models, and the best performing model is used for prediction. Evaluation on an extensive set of real track, weather, and air traffic data including boundary crossings in the U.S. verify that our system efficiently and accurately predicts aircraft counts in each airspace sector.</t>
  </si>
  <si>
    <t>European Union(grant numbers:101092912);</t>
  </si>
  <si>
    <t>European Union's Horizon Europe research and innovation projects NEPHELE(grant numbers:101070487);</t>
  </si>
  <si>
    <t>The paper is devoted to the problem of simplifying the process of developing CubeSat student projects in terms of creating embedded software for onboard computers for missions. Along with the advantages of the CubeSats standard, such as low cost of project development and a wide range of COTS (Commercial-off-the-shelf) solutions, its implementation for educational purposes should not be too complex and lengthy, shall be distributed, and independent. This study describes and experimentally researches the software microservice architecture design approach combined with software containerization for the abovementioned purposes. The idea of comparative measurements was elaborated to check the feasibility of the proposed method. The easiest and most common comparative index for different platforms is the computational cost assessment – it was chosen for the practical experiment. Two hardware platforms and four typical algorithms for embedded software were selected to perform computational cost analysis. These four were implemented using native C without any operation system (so-called “bare metal” implementation), compared to the WASM3 containers executed under the Amazon FreeRTOS, and translated from the regular C to the platform-independent WASM container binary.</t>
  </si>
  <si>
    <t>A. Lojo; L. Rubio; J. M. Ruano; T. Di Mascio; L. Pomante; E. Ferrari; I. G. Vega; F. K. Gürkaynak; M. L. Esnaola; V. Orani; J. Abella</t>
  </si>
  <si>
    <t>R. Canal; C. Chenet; A. Arelakis; J. -M. Arnau; J. L. Berral; A. Call; S. Di Carlo; J. J. Costa; D. Gizopoulos; V. Karakostas; F. Lubrano; K. Nikas; Y. Nikolakopoulos; B. Otero; G. Papadimitriou; I. Papaefstathiou; D. Pnevmatikatos; D. Raho; A. Rigo; E. Rodríguez; A. Savino; A. Scionti; N. Tampouratzis; A. Torregrosa</t>
  </si>
  <si>
    <t>VITAMIN-V is a 2023–2025 Horizon Europe project that aims to develop a complete RISC-V open-source software stack for cloud services with comparable performance to the cloud-dominant x86 counterpart and a powerful virtual execution environment for software development, validation, verification, and testing that considers the relevant RISC-VISA extensions for cloud deployment. VITAMIN-V will specifically support the RISC-V extensions for virtualization, cryptography, and vec-torization in three virtual environments: QEMU, gem5, and cloud FPGA prototype platforms. The project will focus on European Processor Initiative (EPI) based RISC-V designs and accelerators. VITAMIN-V will also support the ISA extensions by adding the compiler and toolchain support. Furthermore, it will develop novel software validation, verification, and testing approaches to ensure software trustworthiness. To enable the execution of complete cloud stacks, VITAMIN-V will port all necessary machine-dependent modules in relevant open-source cloud software distributions, focusing on three cloud setups. Finally, VITAMIN-V will demonstrate and benchmark these three cloud setups using relevant AI, big-data, and serverless applications. VITAMIN-V aims to match the software performance of its x86 equivalent while contributing to RISC-V open-source virtual environments, software validation, and cloud software suites.</t>
  </si>
  <si>
    <t>H. Qiu; W. Mao; C. Wang; S. Jha; H. Franke; C. Narayanaswami; Z. Kalbarczyk; T. Başar; R. Iyer</t>
  </si>
  <si>
    <t>This paper addresses the urgent need to transition to global net-zero carbon emissions by 2050 while retaining the ability to meet joint performance and resilience objectives. The focus is on the computing infrastructures, such as hyper-scale cloud datacenters, that consume significant power, thus producing increasing amounts of carbon emissions. Our goal is to (1) optimize the usage of green energy sources (e.g., solar energy), which is desirable but expensive and relatively unstable, and (2) continuously reduce the use of fossil fuels, which have a lower cost but a significant negative societal impact. Meanwhile, cloud datacenters strive to meet their customers’ requirements, e.g., service-level objectives (SLOs) in application latency or throughput, which are impacted by infrastructure resilience and availability. We propose a scalable formulation that combines sustainability, cloud resilience, and performance as a joint optimization problem with multiple interdependent objectives to address these issues holistically. Given the complexity and dynamicity of the problem, machine learning (ML) approaches, such as reinforcement learning, are essential for achieving continuous optimization. Our study highlights the challenges of green energy instability which necessitates innovative ML-centric solutions across heterogeneous infrastructures to manage the transition towards green computing. Underlying the ML-centric solutions must be methods to combine classic system resilience techniques with innovations in real-time ML resilience (not addressed heretofore). We believe that this approach will not only set a new direction in the resilient, SLO-driven adoption of green energy but also enable us to manage future sustainable systems in ways that were not possible before.</t>
  </si>
  <si>
    <t>In recent years, the deployment of large-scale Inter-net of Things (IoT) applications has given rise to edge federations that seamlessly interconnect and leverage resources from multiple edge service providers. The requirement of supporting both latency-sensitive and compute-intensive IoT tasks necessitates service resilience, especially for the broker nodes in typical broker-worker deployment designs. Existing fault-tolerance or resilience schemes often lack robustness and generalization capability in non-stationary workload settings. This is typically due to the expensive periodic fine-tuning of models required to adapt them in dynamic scenarios. To address this, we present a confidence aware resilience model, CAROL, that utilizes a memory-efficient generative neural network to predict the Quality of Service (QoS) for a future state and a confidence score for each prediction. Thus, whenever a broker fails, we quickly recover the system by executing a local-search over the broker-worker topology space and optimize future QoS. The confidence score enables us to keep track of the prediction performance and run parsimonious neural network fine-tuning to avoid excessive overheads, further improving the QoS of the system. Experiments on a Raspberry-Pi based edge testbed with IoT benchmark applications show that CAROL outperforms state-of-the-art resilience schemes by reducing the energy consumption, deadline violation rates and resilience overheads by up to 16, 17 and 36 percent, respectively.  © 2022 IEEE.</t>
  </si>
  <si>
    <t>With the transformation of the global energy structure and the rapid development of information technology, Intelligent power plants have become a key way to upgrade the intelligence of traditional power plants. The construction of Intelligent power plants has problems such as diverse technical architectures, difficulties in data sharing, insufficient industry chain synergy, and mismatch between some technologies and production demands, which seriously slows down the process of power plant intelligentization. This paper proposes an Industry-Academia-Research-Application Collaborative Innovation Platform for Intelligent Power Plants (ICPP), which breaks down the barriers between universities, enterprises, and power plants and builds an open, shared, collaborative innovation ecosystem. In addition, integrating heterogeneous hardware infrastructure, data sharing, Intelligent Operation Center, and cross-team collaboration and sharing provides solid support for developing intelligent power plant technology. It accelerates the transformation of technology from innovation to application. Finally, the platform’s significant role and potential value in technology development and application are verified through case studies, providing new ideas and methods for constructing Intelligent power plants.</t>
  </si>
  <si>
    <t>Key Research and Development Projects of Shaanxi Province;</t>
  </si>
  <si>
    <t>A. Stanciu; A. M. Titu; D. V. Deac-Şuteu</t>
  </si>
  <si>
    <t>A recent shift in the way people live, work and develop knowledge demands unlocking insights from personal, organizational, and market data. Starting with ingestion, processing, visualization, interactions through insights, cross-team efforts, and decision-making processes, artificial intelligence-based IT support systems are no longer an option in day-to-day activities but an imperative for reaching today’s organizations’ innovation, efficiency, and effectiveness goals. A consistent automation framework for the needed infrastructure, data, IT assets, and life cycle management is highly related to sustainability, security, compatibility, compliance, and legal regulations. The biggest challenge remains the continuous progress in both infrastructure and software advancements. This paper addresses the challenges of modern businesses’ digitalization, states, and demonstrates the solution through flexible, consumption-based information technology services. The purpose is to accelerate the transition from capital expenditures to operating expenses, thereby accelerating innovation and enhancing agility, security, compliance, flexibility, and cost control. The ultimate goal is to use IT as a platform, shifting from an operations realm to an innovation driver, thus creating new revenue streams.</t>
  </si>
  <si>
    <t>J. . -M. Estarán; E. Dutisseuil; H. Mardoyan; G. de Valicourt; A. Dupas; Q. P. Van; D. Verchere; B. Uscumlic; P. Dong; Y. -K. Chen; S. Bigo; Y. Pointurier</t>
  </si>
  <si>
    <t>Cloud-BOSS Intra-Data Center Network: On-Demand QoS Guarantees via μβ Optical Slot Switching</t>
  </si>
  <si>
    <t>Freezing of gait (FOG) is one of the most common disabling symptoms in Parkinson disease (PD), causing a high risk of falling and lost life quality. There is no curative treatment due to a lack of understanding of the pathophysiology. Early detection with a proper customized rehabilitation program can slow the disease’s progression and extend their independent living. Furthermore, the objective and real-time monitoring of gait patterns is also important as it can be used to adjust treatment programs and follow up the clinical progress effectively. However, the assessment nowadays is typically depending on a subjective FOQ questionnaire. This paper proposes a low-cost wearable IMU sensor that integrates cloud computing technology to monitor and assess PD patients’ gait. The device uses a single IMU sensor, which combines a 3-axis gyroscope and a 3-axis accelerometer, to record dynamic acceleration and perform gravity compensation. The preliminary results from 14 patients show that the proposed device can display freezing episodes and variability or decreased acceleration correlated with falling risk. Moreover, the proposed cloud platform can be applied to other telehealth services.</t>
  </si>
  <si>
    <t>Developing applications on the edge is a difficult task, as issues arise when multiple nodes have to operate in unison. Common challenges comprise correctness, performance, and forensics analysis after a system crash. The challenges are aggravated when both edge and fog devices get in the picture, since the limited resources of some of them exacerbate any possible issue, and create the need for a robust mechanism to collect log data to make sense of the system's behavior. The envisioned monitoring layer should collect log data regarding performance and errors, protect the data until they are delivered to an external data processing facility, and be easy to integrate into the deployed system. This paper proposes C-Mon, a resilience-focused monitoring framework for service-oriented applications that tests timing constraints against live log data. The monitoring framework is integrated with OpenAPI Generator, the mainstream ReST code generator we used to generate client and server interfaces and monitoring mechanisms. Log data are cached locally on the disk of the fog/edge devices and transferred to the monitoring server only when enough CPU cycles and network bandwidth are available, at the same time enabling forensics analysis.  © 2022 IEEE.</t>
  </si>
  <si>
    <t>The proliferation of IoT devices has led to various computer vision applications, where addressing bandwidth and latency challenges through edge nodes presents significant benefits. However, there are still existing gaps and a need for improvements to optimize IoT applications, especially in the field of computer vision, by overcoming limited resources and enhancing device performance. Addressing these challenges is essential to unlock the full potential of IoT applications in real-world scenarios. This paper evaluates the use of lightweight container technology for computer vision applications which using different algorithms, such as Haar Cascades, HOG and CNN with YOLO algorithm, on edge devices and provides a comprehensive comparison and analysis of different versions of computer vision applications in containers in terms of processing ability, and performance. It focuses on containerizing computer vision applications using Docker to achieve safe execution of multiple applications on these devices without interference and to enable flexibility, efficiency, portability, scalability, and isolation. The study also examines the resource usage, execution time, and receiving time of containerized computer vision applications. The research findings significantly advance our understanding of computer vision processing in IoT and edge computing, thereby opening up new avenues for real-time computing scenarios. These insights have the potential to drive transformative advancements in the field, enabling more efficient and accurate computer vision applications in IoT and paving the way for enhanced real-time decision-making, automation, and intelligent systems.  © 2023 IEEE.</t>
  </si>
  <si>
    <t>China Postdoctoral Science Foundation;</t>
  </si>
  <si>
    <t>Today’s machine learning pipelines are primarily executed in the cloud, from data storage to data processing, model training, and deployment. However, machine learning is moving to edge devices, creating the demand for AI applications at the edge, known as Edge-AI. Traditional data management practices applied in the cloud are proving to be inefficient for Edge-AI, due to resource and energy constraints of edge devices and real-time requirements of applications. This paper identifies the challenges associated with data processing for Edge-AI. We then discuss methods for efficient data processing at the edge, leading to data-centric Edge-AI. As a use case scenario, we discuss the symbolic representation of time series data and explain how it could help save the cost of data storage and processing in developing Edge-AI applications.</t>
  </si>
  <si>
    <t>CHIST-ERA;</t>
  </si>
  <si>
    <t>Modern systems and applications generate and consume an enormous amount of data from different sources, including mobile edge computing and IoT systems. Our ability to locate and analyze these massive amounts of data will shape the future, building next-generation Big Data Analytics (BDA) and artificial intelligence systems in critical domains. Traditionally, big data materialize in a centralized repository (e.g., the cloud) for running sophisticated analytics using decent computation. Nevertheless, many modern applications and critical domains require low-latency data analysis with the right decision at the right time standard for building trust. With the advent of edge computing, that traditional deployment model shifted closer to the data sources at the network’s edge. Such a shift was motivated by minimized latency, increased uptime, and enhanced efficiencies. This paper studies the BDA building blocks, analyzes the deployment requirements for edge-based BDA QoS, and drafts future trends. It also discusses critical open issues and further research directions for the next step of edge-based BDA.</t>
  </si>
  <si>
    <t>European Social Fund;</t>
  </si>
  <si>
    <t>Edge computing revolutionizes computer vision, but faces challenges due to computational demands and complexities in deployment and platform integration. In addressing these hurdles, container technology emerges as a crucial solution, particularly in mitigating deployment and security issues. However, the impact of GPU acceleration on containerized computer vision applications remains understudied. This paper explores containerized computer vision applications across ARM edge devices, analyzing performance on different CPUs and GPUs. Insights cover processing time, CPU usage, memory utilization, and application performance, highlighting the importance of ARM processor selection. Integrating CPU and GPU enhances execution time but leads to significant memory usage increases. Workload escalation strains the GPU, resulting in slowed processing, and its performance becomes comparable to that of the CPU. Furthermore, the performance of computer vision applications varies with different containers. These findings underscore the delicate balance between CPU and GPU utilization and the pivotal role of algorithm selection in optimizing containerized computer vision applications on edge devices.  © 2024 IEEE.</t>
  </si>
  <si>
    <t>The current Chinese medical and health information system has developed into the “people-oriented” regional medical information field. The traditional medical industry is facing increasing pressure. The existing medical environment inevitably produces many health needs that cannot meet the health needs of the Chinese people. Mobile health system refers to the provision of health service information through the use of mobile communication technologies, such as mobile phones, PDAs or satellite communications. In the field of mobile Internet, medical and health applications based on mobile terminal systems such as Android, iOS and Windows Phone are the mainstay. This paper designs a smart outpatient nursing service platform based on Java Web technology, and verifies the feasibility of the system through system construction and actual testing.</t>
  </si>
  <si>
    <t>The development of service computing technology has triggered the need for organizations to build a service computing system. This system is able to deliver IT services that can meet the challenges and needs of business services. An understanding of the service computing systems engineering life cycle is necessary to model and build the systems. This paper conducts the study of the service computing systems concepts and proposes the life cycle of service computing system engineering. First, some publications relevant to the service computing systems are reviewed systematically in order to develop fundamental concepts and elements of the systems. Second, a metamodel of service computing systems is built based on those concepts. Third, the life cycle model of service computing systems engineering is proposed based on the metamodel. Finally, the verification of the life cycle is conducted by comparing the proposed life cycle to the life cycle of software engineering, service engineering, and service system engineering. The contribution of this paper is to provide a coincise understanding of the components that are needed to build such systems and show the interaction and collaboration between the components in the service computing systems. © 2017 IEEE.</t>
  </si>
  <si>
    <t>M. Lazzaro; G. Paternò; J. Valiño; D. G. Fernández; J. Landeck; A. Pérez-Ortiz; Ò. Càmara; P. A. Gkaidatzis; A. Tryferidis; D. Tzovaras</t>
  </si>
  <si>
    <t>S. Johanning; N. Retzlaff; P. Lämmel; B. Dittwald; T. Bruckner</t>
  </si>
  <si>
    <t>A. Feijoo-Arostegui; A. Orive; J. Imaz; H. Gaztañaga; M. Gonzalez-Hierro; A. Goikoetxea</t>
  </si>
  <si>
    <t>Based on the summary of the architecture of power automation systems and Internet of Things systems at home and abroad, further analyze the access requirements and functional requirements for the construction of power Internet of Things. In combination with the top-level architecture design of “cloud-pipe-edge-terminal”, the system architecture design of the power IoT access platform is proposed. The system architecture includes multiple sets of modules that support the platform, compatible with the underlying hardware on the bottom and supporting micro services and micro-applications on the top. In terms of key technologies for the implementation of the new power IoT back-end system, a design method for an access platform integrating multiple IOT access modules has been proposed in response to the coexistence of traditional power terminals and new IoT terminals; Drawing on existing risk prevention methods for power systems, a multilevel and multidimensional security protection scheme for IoT access platforms is proposed. Based on the above system architecture design and key technology research, the system has been demonstrated and applied in Nanjing, and the application has proved the feasibility and correctness of the design technology ideas.</t>
  </si>
  <si>
    <t>In order to reduce network congestion and improve the edge layer network access capability and edge gateway data transmission capability, the problem of insufficient communication access network bandwidth resources and unbalanced container communication load caused by massive data edge convergence transmission is solved. Considering the high concurrency of service timing logic and real-time data transmission in service distribution platform area, this paper proposes a communication resource scheduling algorithm based on container architecture under multi-mode transmission. While reducing the real-time data transmission delay, the load capacity of the edge layer communication access network is improved, and the load balancing of the northbound interface multi-module data link is realized. In this paper, the topology structure and data transmission mode of the distributed device monitoring network based on the “end-edge-cloud” architecture are firstly explained, and the related channel parameters are given. Then, in the process of simulation and modeling of communication system, a double-tank equivalent model based on queuing theory is used, and the feedback control method is used to control the transmission system. The experimental simulation results show that the adaptive tracking optimization algorithm as the edge container communication load balancing algorithm can effectively reduce the transmission delay, adapt to the distribution service timing and logic constraints, and have a good load balancing effect.</t>
  </si>
  <si>
    <t>S. C. Jepsen; T. Worm; A. Johansen; S. Lazarova-Molnar; M. B. Kjærgaard; E. -Y. Kang; J. Friederich; J. E. Heredia Mena; R. Soltani; S. L. Sørensen; J. Hjort Schwee</t>
  </si>
  <si>
    <t>The recent Industry 4.0 (I4.0) initiative has a heavy focus on enabling flexible production, such that production systems can react dynamically and cost-effectively to respond to market needs. For this reason, we need demonstration facilities to advance research within the I4.0 production and promote advanced production processes for industries. This paper aims to introduce a setup that we have developed for our University’s I4.0 Laboratory (I4.0 lab) that enables advanced and flexible experiments in terms of use-cases for advanced production processes and experiments with both robotics and automated production solutions and software. The presented work is part of a more extensive constructive research process and our experience with setting up an advanced cell-based production line. The contribution of the paper is 1) the analysis of requirements for an I4.0 research platform, 2) a model for an I4.0 laboratory, 3) the application of the constructive research method to the I4.0 laboratory, 4) a proposal for a concrete research setup, and 5) outlining further research questions, experiments, and projects that can be based on the setup.</t>
  </si>
  <si>
    <t>FIWARE-Based Telemedicine Apps Modeling for Patients’ Data Management</t>
  </si>
  <si>
    <t>The increasing growth in cloud service has also increased the power usage required to have excellent functionality and stable cloud services. Globally, there has been a massive growth in Internet activity and Internet users, which significantly impacts the cloud network’s power consumption rate. Therefore, having fundamental expertise in balancing the trade-off between cloud system performance and energy efficiency is the key to leveraging the cloud network’s alarming high power consumption rate. In this work, a mobile agent will be used to regulate the activities in data centre networks to minimise the energy usage rate at each runtime. Mobile agent technology is a powerful tool compatible with the distributive and adaptive cloud architectural design platform with a novel solution to its power usage excesses. Agents are empowered to switch-off switches/links that are inactive. Java agent was used to schedule and consolidate the servers and network activities. Our approach enhanced cloud resource utilisation and drastically increased power efficiency by reducing servers’ idle time.</t>
  </si>
  <si>
    <t>M. Ayala-Chauvin; F. Avilés-Castillo; D. Yánez-Arcos; J. Buele</t>
  </si>
  <si>
    <t>Concepts such as the Internet of Things, big data, cloud computing, and cyber-physical systems support new scenarios for further research and application on the Industry 4.0 initiative. One of the most promising ones is the digital twin applied to the shop floor. In this work-in-progress paper, we briefly review fundamental concepts and definitions and present a lasting solution to problems related to the reliability of industrial equipment. More precisely, our approach is based on an industrial twin model that, after proving its reliability, shall be used in more sophisticated applications. Finally, we present a case study of a storage process plant that uses the proposed architecture to perform a reliability study. The results of this work in progress may contribute to understanding the needs and gaps that may be filled before reaching a consolidated product, and we would like to discuss them with the community.  © 2022 IEEE.</t>
  </si>
  <si>
    <t>QuaSim — Cloud service for digital circuits simulation</t>
  </si>
  <si>
    <t>National Key Research and Development Program of China;</t>
  </si>
  <si>
    <t>J. Haavisto; M. Arif; L. Lovén; T. Leppänen; J. Riekki</t>
  </si>
  <si>
    <t>V. Ziegler; S. Yrjölä</t>
  </si>
  <si>
    <t>M. Ericson; S. Wänstedt; M. Saimler; H. Flinck; G. Kunzmann; P. Vlacheas; P. Demestichas; D. Rapone; A. De La Oliva; C. J. Bernardos; R. Bassoli; F. H. P. Fitzek; G. Nardini; M. Filippou; M. Mueck</t>
  </si>
  <si>
    <t>Setting 6G Architecture in Motion – the Hexa-X approach</t>
  </si>
  <si>
    <t>European Commission;</t>
  </si>
  <si>
    <t>Today’s wired and wireless networks offer data transportation and service delivery over a wide range of locations, devices types, and usage scenarios. While they do adapt to changing situations, they are, at their core, essentially still static. In this paper, we attempt to collect challenges and opportunities to substantially broaden the adaptation options for networks with respect to both data transport and service delivery. We discuss options ranging from device technology to network architectures.</t>
  </si>
  <si>
    <t>D. Giannopoulos; G. Katsikas; K. Trantzas; D. Klonidis; C. Tranoris; S. Denazis; L. Gifre; R. Vilalta; P. Alemany; R. Muñoz; A. -M. Bosneag; A. Mozo; A. Karamchandani; L. De La Cal; D. R. López; A. Pastor; Á. Burgaleta</t>
  </si>
  <si>
    <t>E. Kartsakli; J. Perez-Romero; O. Sallent; N. Bartzoudis; V. Frascolla; S. K. Mohalik; T. Metsch; A. Antonopoulos; Ö. F. Tuna; Y. Deng; X. Tao; M. A. Serrano; E. Quiñones</t>
  </si>
  <si>
    <t>European Union's Horizon Europe research and innovation programme(grant numbers:101096034);</t>
  </si>
  <si>
    <t>B. M. Khorsandi; M. Asif Habibi; G. Avino; S. Barmpounakis; G. Bernini; M. Ericson; B. Han; I. L. Pavón; J. María Jorquera Valero; D. R. Lopez; B. Richerzhagen; R. B. Rouphael; M. Saimler; L. Scheuvens; C. K. Schindhelm; P. Schneider; T. Svensson; S. Wunderer</t>
  </si>
  <si>
    <t>The cloud computing landscape has evolved sig-nificantly in recent years, embracing various sandboxes to meet the diverse demands of modern cloud applications. These sandboxes encompass container-based technologies like Docker and gVisor, microVM-based solutions like Fire-cracker, and security-centric sandboxes relying on Trusted Execution Environments (TEEs) such as Intel SGX and AMD SEV. However, the practice of placing multiple tenants on shared physical hardware raises security and privacy concerns, most notably side-channel attacks. In this paper, we investigate the possibility of fingerprinting containers through CPU frequency reporting sensors in Intel and AMD CPUs. One key enabler of our attack is that the current CPU frequency information can be accessed by user-space attackers. We demonstrate that Docker images exhibit a unique frequency signature, enabling the distinction of different containers with up to 84.5 % accuracy even when multiple containers are running simultaneously in different cores. Additionally, we assess the effectiveness of our attack when performed against several sandboxes deployed in cloud environments, including Google's gVisor, AWS’ Firecracker, and TEE-based platforms like Gramine (utilizing Intel SGX) and AMD SEV. Our empirical results show that these attacks can also be carried out successfully against all of these sandboxes in less than 40 seconds, with an accuracy of over 70 % in all cases. Finally, we propose a noise injection-based countermeasure to mitigate the proposed attack on cloud environments.</t>
  </si>
  <si>
    <t>USA NSF(grant numbers:1931962);</t>
  </si>
  <si>
    <t>P. D’Agostino; M. Violante; G. Macario</t>
  </si>
  <si>
    <t>D. M. Casas; A. R. Presas; J. M. C. Yáñez; J. A. T. González</t>
  </si>
  <si>
    <t>Agencia Estatal de Investigación; Ministerio de Ciencia e Innovación;</t>
  </si>
  <si>
    <t>Science Foundation Ireland;</t>
  </si>
  <si>
    <t>M. A. Habibi; A. G. Sánchez; I. L. Pavón; B. Han; G. Landi; B. Sayadi; C. Ntogkas; I. -P. Belikaidis; H. D. Schotten; P. Serrano; J. Pérez-Valero; A. Virdis</t>
  </si>
  <si>
    <t>The digital transformation brought on by 5G is redefining current models of end-to-end (E2E) connectivity and service reliability to include security-by-design principles necessary to enable 5G to achieve its promise. 5G trustworthiness highlights the importance of embedding security capabilities from the very beginning while the 5G architecture is being defined and standardized. Security requirements need to overlay and permeate through the different layers of 5G systems (physical, network, and application) as well as different parts of an E2E 5G architecture within a risk-management framework that takes into account the evolving security-threats landscape. 5G presents a typical use-case of wireless communication and computer networking convergence, where 5G fundamental building blocks include components such as Software Defined Networks (SDN), Network Functions Virtualization (NFV) and the edge cloud. This convergence extends many of the security challenges and opportunities applicable to SDN/NFV and cloud to 5G networks. Thus, 5G security needs to consider additional security requirements (compared to previous generations) such as SDN controller security, hypervisor security, orchestrator security, cloud security, edge security, etc. At the same time, 5G networks offer security improvement opportunities that should be considered. Here, 5G architectural flexibility, programmability and complexity can be harnessed to improve resilience and reliability. The working group scope fundamentally addresses the following: •5G security considerations need to overlay and permeate through the different layers of the 5G systems (physical, network, and application) as well as different parts of an E2E 5G architecture including a risk management framework that takes into account the evolving security threats landscape. •5G exemplifies a use-case of heterogeneous access and computer networking convergence, which extends a unique set of security challenges and opportunities (e.g., related to SDN/NFV and edge cloud, etc.) to 5G networks. Similarly, 5G networks by design offer potential security benefits and opportunities through harnessing the architecture flexibility, programmability and complexity to improve its resilience and reliability. •The IEEE FNI security WG's roadmap framework follows a taxonomic structure, differentiating the 5G functional pillars and corresponding cybersecurity risks. As part of cross collaboration, the security working group will also look into the security issues associated with other roadmap working groups within the IEEE Future Network Initiative.</t>
  </si>
  <si>
    <t>The Key drivers have certainly changed, and the 5G-hype has reached the cycle of disillusionment globally in 2021–2022. Communication Service Providers have started re-focusing on few use cases that can leverage the markets for better average revenue per unit (ARPU) for both consumers &amp; Enterprises. The list is short includes 1. Service based use cases based on Service constraints (low latency, high throughput, low jitter) a. HOT (Industry 4.0) b. V2X (Autonomous Vehicle/ Intelligent Transportation Traveling Edge) c. Telehealth / Telemedicine Remote diagnostics d. Content delivery (with Caching. Realtime. Reach Media Internet Applications) e. Ad hoc. Temporary or as needed basis Specfic mission Edge sendees (Emergency, ad hoc major events. DoD combat mission, and more) 2. Radio Based Multi-Access Edge (MEC) with different flavors a. Real Time / Near Real Time enabled Radio Control. Management and XApps based on O-RAN b. Constrained based Edge Infrastructure to optimize Power, Form Factor and Updates to NFV-SDN with OneM2M from ETSI to cover IoT Applications c. The focus on Data Privacy. Security. Data Localization &amp; Analytics Big or Small d. Smart Edge with Containers and Compute &amp; Network acceleration are emerging from Infra structure and Semiconductor players. We name item 1 in above as Edge Service Platform Framework (ESPF-2021) supplementary updates and item 2 in above as Edge Automation Platform Framework (EAPF-2021) updates for INGR.2021 efforts released here in 2022.</t>
  </si>
  <si>
    <t>R. Chaparadza; A. Chaoub; B. Chng; N. Davis; A. Dutta; M. Elkotob; D. Krishnaswamy; K. Mahdi; A. Mämmelä; P. Martinez-Julia; N. K. Narang; L. Ong; M. Patwary; M. Simsek; J. Voigt; B. Kloza; M. Borst</t>
  </si>
  <si>
    <t>Fifth generation (5G) networks represent the first step from evolutionary to revolutionary networks. Use cases driving this transition for 5G networks focus on the need to support heterogeneous traffic such as enhanced Mobile Broad Band (eMBB), massive Machine-Type Communications (mMTC), and Ultra-Reliable Low-Latency Communications (URLLC). On the software and control side, 5G and beyond networks are expected to support Software-Defined Networking (SDN) and Network Function virtualization (NFV) technologies and will leverage the merging of communication and computing through the “wireless edge”. With the deployment of novel applications and the expected increase in their usage and demand, the scope of innovation within future networks will be governed by: (a) limitations and boundaries of available resources; (b) limitations of the adaptability of legacy solutions (scalability and flexibility); (c) limitations of available decision making entities (network slice orchestrators and SDN controllers will not be enough); and (d) lack of intelligent management and control solutions for multi-variate optimization. Technologies are available for efficient use and self-adaptive optimization of resources using enablers such as AI-powered autonomic control loops. With ever increasing complexity expected for beyond-5G networks, there is a necessity for novel design, planning and operations paradigms. There is a need for assessment of legacy tools versus new Artificial Intelligence solutions for applicability to systems optimization, and a need for introduction of novel methods to model and study the behavior of highly complex systems developed for the realization of 5G and beyond networks. The goal of this working group (WG) is to assess complexity challenges for the 5G era and beyond, explore novel design, planning and operations techniques for networks and services, and explore intelligence sciences to create the roadmap of the IEEE Future Networks Initiative (FNI) Systems Optimization WG.</t>
  </si>
  <si>
    <t>R. Chaparadza; A. Chaoub; B. Chng; N. Davis; A. Dutta; M. Elkotob; D. Krishnaswamy; K. Mahdi; A. Mämmelä; P. Martinez-Julia; N. K. Narang; L. Ong; M. Patwary; M. Simsek; J. Voigt; C. Polk; K. McDonnell; J. Niemöller; D. Milham; J. Cadman</t>
  </si>
  <si>
    <t>Fifth generation (5G) networks are now in the early deployment stages in networks around the world. Use cases driving this transition for 5G networks focus on the need to support heterogeneous traffic such as enhanced Mobile Broadband (eMBB), massive Machine-Type Communications (mMTC), and Ultra-Reliable Low-Latency Communications (URLLC). On the software and control side, 5G and beyond networks are enabled through Software-Defined Networking (SDN) and Network Function Virtualization (NFV) technologies and leverage the merging of communication and computing. Although not yet in the standardization stage, early thinking on 6G networks focuses on the convergence of physical, human, and digital worlds, including support for: ■ digital twinning (tight synchronization between the physical world and the twin), ■ immersive communication (support of pervasive haptics), ■ cognition (awareness of human intentions, desires, and mood), and ■ connected intelligence (trusted AI everywhere with interaction between virtual representations). All this also needs to be realized in sustainable fashion [1]. With the deployment of novel applications and the expected increase in their usage and demand, the scope of innovation within future networks will be governed by: (a) limitations and boundaries of available resources; (b) limitations of the adaptability of legacy solutions (scalability and flexibility); (c) limitations of available decision making entities (network slice orchestrators and SDN controllers will not be enough); and (d) lack of intelligent management and control solutions for multi-variate optimization. Technologies are available for efficient use and self-adaptive optimization of resources using enablers such as AI-powered autonomic control loops. With ever-increasing complexity expected for beyond-5G networks, there is a necessity for novel design, planning and operations paradigms. There is a need for assessment of legacy tools versus new Artificial Intelligence solutions for applicability to systems optimization, and a need for introduction of novel methods to model and study the behavior of highly complex systems developed for the realization of 5G and beyond networks. The goal of this working group (WG) is to assess complexity challenges for the 5G era and beyond, explore novel design, planning and operations techniques for networks and services, and to create the Systems Optimization roadmap of the IEEE Future Networks Initiative (FNI) Systems Optimization WG.</t>
  </si>
  <si>
    <t>Fog computing paradigm has introduced the concept of processing data near the data source. Unlike the cloud, fog computing includes devices with highly varying resources such as heterogeneous computing power, battery, bandwidth, delay, and mobility. The existing distributed computing frameworks, however, have mainly focused on the cloud environment where resources are highly consolidated and stable. This paper presents Crystal, a distributed computing framework for fog. An application consisting of one or multiple Crystal instances offers distributed processing and computing while taking advantage of location transparency, self-healing, auto-scaling and mobility support. Our prototype implementation of MapReduce on Crystal shows benefits of fog computing — fault-tolerant distributed processing over heterogeneous, unreliable, fog nodes while reducing overall latency, thanks to the framework enabling processing close to the data source.</t>
  </si>
  <si>
    <t>Electrocardiography (ECG) serves as a noninvasive method of monitoring the electrical activity of the heart by employing electrodes attached to the skin. These electrodes detect the minuscule electrical signals generated by the heart’s activity. A conventional ECG, known as a 12-lead ECG, necessitates the positioning of 12 electrodes across the body to yield a detailed perspective of the heart’s electrical function. Our study introduces an innovative approach to real-time ECG signal classification, using a maximum of six leads, with the aim of reducing the time and resources dedicated to data acquisition and signal processing without compromising accuracy. We introduce a technique for grouping leads and assess the performance of the classification of ECG signals on various leads. Our findings indicate that implementing lead-wise grouping with up to six leads results in a 93.67% reduction in sampling time, a 50% decrease in data size on the acquisition device, and an 84.72% cut in signal processing time, all while experiencing a minimal accuracy decrease of 0.08%. The efficacy of the proposed lead grouping has been assessed through the Kafka real-time platform.</t>
  </si>
  <si>
    <t>The Carleton-Cisco Internet of Things (IoT) testbed is being built at Carleton University’s IoT Lab. Hosting diverse applications, the testbed adopts a layered approach composed of four layers: Sensing, Edge, Fog, and Cloud layers. The IoT testbed is distributed over multiple sites at Carleton University’s Campus and the City of Ottawa. In this paper, we first present the architecture and the features of the testbed. Then, we give an overview of the applications running on the testbed and their underlying techniques and protocols. In particular, we highlight the use of Edge computing and data analytics in selected applications. We also present the testbed’s deployment challenges and the proposed solutions.</t>
  </si>
  <si>
    <t>The 6G vision is envisaged to enable agile network expansion and rapid deployment of new on-demand microservices (e.g., visibility services for data traffic management, mobile edge computing services) closer to the network’s edge IoT devices. However, providing one of the critical features of network visibility services, i.e., data flow prediction in the network, is challenging at the edge devices within a dynamic cloud-native environment as the traffic flow characteristics are random and sporadic. To provide the AI-native services for the 6G vision, we propose a novel edge-native framework to provide an intelligent prognosis technique for data traffic management in this paper. The prognosis model uses long short-term memory (LSTM)-based encoder-decoder deep learning, which we train on real time-series multivariate data records collected from the edge µ-boxes of a selected testbed network. Our result accurately predicts the statistical characteristics of data traffic and verifies the trained model against the ground truth observations. Moreover, we validate our novel framework with two performance metrics for each feature of the multivariate data.</t>
  </si>
  <si>
    <t>Vinnova;</t>
  </si>
  <si>
    <t>B. M. Khorsandi; R. Bassoli; G. Bernini; M. Ericson; H. P. Frank Fitzek; A. Gati; H. Harkous; M. Hoffmann; I. L. Pavon; G. Landi; D. Lopez; D. Rapone; B. Richerzhagen; P. Rugeland; P. Schneider; E. Selva; T. Svensson; E. U. Soykan; S. Wänstedt; S. Wunderer</t>
  </si>
  <si>
    <t>The management of ultra-dense, high-capacity beyond-5G networks becomes increasingly complex due to the network complexity, density and heterogeneity of the various, distributed and dis-aggregated network elements. Traditional, monolithic, policy-based network management systems are incapable of meeting many requirements of beyond 5G networks, slow, error-prone and complex to administrate. AI-enabled, distributed, autonomous network management systems overcome many limitations of current management systems and reduce the complexity from an administrative perspective. This work introduces a novel autonomous network management system for beyond 5G networks “NEMI”. It presents its application in dis-aggregated, beyond 5G network architectures for low latency QoS and mobility management and provides a preliminary validation of its functions for reliability and resilience in fixed, satellite and 5G networks, highlighting the benefits of distributed, AI-enabled autonomous network management.</t>
  </si>
  <si>
    <t>Oak Ridge National Laboratory;</t>
  </si>
  <si>
    <t>K. Ramantas; A. N. Bikos; W. Nitzold; S. Pollin; A. Ksentini; S. Mayrargue; V. Theodorou; L. Christofi; G. Gardikis; M. A. Rahman; A. Chawla; F. Ibañez; I. Chochliouros; D. Nicholson; Mario; Montagudand; A. Shojaeifard; A. Pagkotzidis; C. Verikoukis</t>
  </si>
  <si>
    <t>Sixth generation (6G)-enabled massive network MANO orchestration, alongside distributed supervision and fully reconfigurable control logic that manages dynamic arrangement of network components, such as cell-free, Open-Air Interface (OAI) and RIS, is a potent enabler for the upcoming pervasive digitalization of the vertical use cases. In such a disruptive domain, artificial intelligence (AI)-driven zero-touch “Network of Networks” intent-based automation shall be able to guarantee a high degree of security, efficiency, scalability, and sustainability, especially in cross-domain and interoperable deployment environments (i.e., where points of presence (PoPs) are non-independent and identically distributed (non-IID)). To this extent, this paper presents a novel breakthrough, open, and fully reconfigurable networking architecture for 6G cellular paradigms, named 6G-BRICKS. To this end, 6G-BRICKS will deliver the first open and programmable O-RAN Radio Unit (RU) for 6G networks, termed as the OpenRU, based on an NI USRP-based platform. Moreover, 6G-BRICKS will integrate the RIS concept into the OAI alongside Testing as a Service (TaaS) capabilities, multi-tenancy, disaggregated Operations Support Systems (OSS) and Deep Edge adaptation at the forefront. The overall ambition of 6G-BRICKS is to offer evolvability, granularity, while, at the same time, tackling big challenges such as interdisciplinary efforts and big investments in 6G integration.</t>
  </si>
  <si>
    <t>Ministry of Higher Education and Scientific Research;</t>
  </si>
  <si>
    <t>A. Zafeiropoulos; E. Fotopoulou; A. González-Vidal; A. Skarmeta</t>
  </si>
  <si>
    <t>S. Forsström; U. Jennehag; P. Österberg; V. Kardeby; J. Lindqvist</t>
  </si>
  <si>
    <t>National Science Foundation(grant numbers:CNS 2112562); Office of Naval Research(grant numbers:N00014-19-1-2566);</t>
  </si>
  <si>
    <t>US National Science Foundation;</t>
  </si>
  <si>
    <t>There are an increasing number of Artificial Intelligence (AI) and Internet of Things (IoT) devices and applications which are used across the globe in different areas. One such area is IoT-enabled smart buildings. There is a growing interest among government and non-government organizations in IoT-enabled smart buildings. Despite the perceived benefits of being smart, there is also a key concern of human safety in an emergency situation. This research aims to address this important concern and will develop an initial framework, called here the Safe'Tech, for human safety in IoT enabled smart buildings. The SafeTech will be developed and evaluated using the well-known design science research method. The SafeTech will comprise of both a design and software prototype solution, which can be used to ensure the safety of humans during an emergency through the collection, processing and communication of real-time data from the IoT sensors embedded in the smart building such as smart campus and shopping centre. The SafeTech will interact with the smart building through sensors and collect the state of the physical environment and sense any emergency and then also interact with the humans in the smart building and inform and direct them about the emergency and guide them for the safe evacuation. The applicability and evaluation of the framework software prototype will be demonstrated with the help of smart building scenarios in both Australia and Qatar, involving the fire emergency exercise and automatic and directed evacuation using the SafeTech. This research has several implications, in particular, the impact of reducing human life loss or injury reduction. © 2021 IEEE.</t>
  </si>
  <si>
    <t>U.S. Department of Energy's; Office of Energy Efficiency and Renewable Energy; Solar Energy Technologies Office(grant numbers:DE-EE0009632);</t>
  </si>
  <si>
    <t>To enable the Internet of Things (IoT) to scale at the level of next generation smart cities and grids, there is a need for cost-effective infrastructure for hosting IoT analytics applications. Offload and acceleration via SmartNICs have been shown to provide benefits to these workloads. However, even with offload, long-term analysis on IoT data still needs to operate on massive number of device updates, often in the form of small messages. Despite offloading, the ingestion of these updates continues to present server bottlenecks. In this paper, we present domain-specific compression and batching engines, that leverage the unique properties of IoT messages to reduce the load on analytics servers and improve their scalability. Using a prototype system based on the InnovaFlex programmable SmartNICs, and several representative IoT benchmarks, we demonstrate that the combination of these techniques achieves up to 14.5× improvement in sustained throughput rates compared to a system without SmartNIC offload, and up to 7× improvement over existing offload approaches.</t>
  </si>
  <si>
    <t>Large-scale data centers run latency-critical jobs with quality-of-service (QoS) requirements, and throughput-oriented background jobs, which need to achieve high perfor-mance. Previous works have proposed methods which cannot co-locate multiple latency-critical jobs with multiple back-grounds jobs while: (1) meeting the QoS requirements of all latency-critical jobs, and (2) maximizing the performance of the background jobs. This paper proposes CLITE, a Bayesian Optimization-based, multi-resource partitioning technique which achieves these goals. CLITE is publicly available at https://github.com/GoodwillComputingLab/CLITE. © 2020 IEEE.</t>
  </si>
  <si>
    <t>Processor design validation and debug is a difficult and complex task, which consumes the lion's share of the design process. Design bugs that affect processor performance rather than its functionality are especially difficult to catch, particularly in new microarchitectures. This is because, unlike functional bugs, the correct processor performance of new microarchitectures on complex, long-running benchmarks is typically not deterministically known. Thus, when performance benchmarking new microarchitectures, performance teams may assume that the design is correct when the performance of the new microarchitecture exceeds that of the previous generation, despite significant performance regressions existing in the design. In this work we present a two-stage, machine learning-based methodology that is able to detect the existence of performance bugs in microprocessors. Our results show that our best technique detects 91.5% of microprocessor core performance bugs whose average IPC impact across the studied applications is greater than 1% versus a bug-free design with zero false positives. When evaluated on memory system bugs, our technique achieves 100% detection with zero false positives. Moreover, the detection is automatic, requiring very little performance engineer time.  © 2021 IEEE.</t>
  </si>
  <si>
    <t>Given recent algorithm, software, and hardware innovation, computing has enabled a plethora of new applications. As computing becomes increasingly ubiquitous, however, so does its environmental impact. This paper brings the issue to the attention of computer-systems researchers. Our analysis, built on industry-reported characterization, quantifies the environmental effects of computing in terms of carbon emissions. Broadly, carbon emissions have two sources: operational energy consumption, and hardware manufacturing and infrastructure. Although carbon emissions from the former are decreasing thanks to algorithmic, software, and hardware innovations that boost performance and power efficiency, the overall carbon footprint of computer systems continues to grow. This work quantifies the carbon output of computer systems to show that most emissions related to modern mobile and data-center equipment come from hardware manufacturing and infrastructure. We therefore outline future directions for minimizing the environmental impact of computing systems.  © 2021 IEEE.</t>
  </si>
  <si>
    <t>S. Chen; Y. Jiang; C. Delimitrou; J. F. Martínez</t>
  </si>
  <si>
    <t>The slowdown of Moore’s Law, combined with advances in 3D stacking of logic and memory, have pushed architects to revisit the concept of processing-in-memory (PIM) to overcome the memory wall bottleneck. This PIM renaissance finds itself in a very different computing landscape from the one twenty years ago, as more and more computation shifts to the cloud. Most PIM architecture papers still focus on best-effort applications, while PIM’s impact on latency-critical cloud applications is not well understood.This paper explores how datacenters can exploit PIM architectures in the context of latency-critical applications. We adopt a general-purpose cloud server with HBM-based, 3D-stacked logic+memory modules, and study the impact of PIM on six diverse interactive cloud applications. We reveal the previously neglected opportunity that PIM presents to these services, and show the importance of properly managing PIM-related resources to meet the QoS targets of interactive services and maximize resource efficiency. Then, we present PIMCloud, a QoS-aware resource manager designed for cloud systems with PIM allowing colocation of multiple latency-critical and best-effort applications. We show that PIMCloud efficiently manages PIM resources: it (1) improves effective machine utilization by up to 70% and 85% (average 24% and 33%) under 2-app and 3-app mixes, compared to the best state-of-the-art manager; (2) helps latency-critical applications meet QoS; and (3) adapts to varying load patterns.</t>
  </si>
  <si>
    <t>Conventional radix-tree page tables have scalability challenges, as address translation following a TLB miss potentially requires multiple memory accesses in sequence. An alternative is hashed page tables (HPTs) where, conceptually, address translation needs only one memory access. Traditionally, HPTs have been shunned due to high costs of handling conflicts and other limitations. However, recent advances have made HPTs compelling. Still, a major issue in HPT designs is their requirement for substantial contiguous physical memory.This paper addresses this problem. To minimize HPTs’ contiguous memory needs, it introduces the Logical to Physical (L2P) Table and the use of Dynamically-Changing Chunk Sizes. These techniques break down the HPT into discontiguous physical-memory chunks. In addition, the paper also introduces two techniques that minimize HPTs’ total memory needs and, indirectly, reduce the memory contiguity requirements. These techniques are In-place Page Table Resizing and Per-way Resizing. We call our complete design Memory-Efficient HPTs (ME-HPTs). Compared to state-of-the-art HPTs, ME-HPTs: (i) reduce the contiguous memory allocation needs by 92% on average, and (ii) improve the performance by 8.9% on average. For the two most demanding workloads, the contiguous memory requirements decrease from 64MB to 1MB. In addition, compared to state-of-the-art radix-tree page tables, ME-HPTs achieve an average speedup of 1.23× (without huge pages) and 1.28× (with huge pages).</t>
  </si>
  <si>
    <t>There has been significant focus on offloading upperlayer network protocols (ULPs) to accelerators located on CPUs and SmartNICs. However, restricting accelerator placement to these locations limits both the variety of ULPs that can be accelerated and the overall performance. In particular, it overlooks the opportunity to accelerate ULPs running atop a stateful transport protocol in the face of high cache contention. That is, at high network rates, the frequent DRAM accesses and SmartNIC-CPU synchronizations outweigh the benefits of hardware acceleration. This work introduces SmartDIMM, which unlocks the opportunity for accelerating ULPs running atop stateful transport protocols that primarily operate on data stored in DRAM. We prototyped SmartDIMM using Samsung's AxDIMM and implemented endto-end offloading of (de/en)cryption and (de)compression– two ULPs widely employed in datacenters. We then compared the performance of SmartDIMM with accelerator placements on the CPU, SmartNIC, and PCIe cards. Our results demonstrate that ULP offloading on SmartDIMM outperforms CPU, SmartNIC and PCIe-based offload configurations. In comparison to a server executing (de/en)cryption and (de)compression on the CPU, SmartDIMM achieves 21.0% to 10.28 × higher requests per second and 36.3% to 88.9% lower memory bandwidth utilization.</t>
  </si>
  <si>
    <t>There has been an arms race for devising accelerators for deep learning in recent years. However, real-world applications are not only neural networks but often span across multiple domains, e.g., database queries, compression, encryption, video coding, signal processing, and traditional machine learning, which may or may not contain deep learning. The sole focus on this single domain is sub-optimal as it misses the potential to proliferate and promote cross-domain multi-acceleration as there is an opportunity to harness the power of chaining heterogeneous Domain-Specific Architectures (DSAs) in modern datacenter applications. However, there is a catch as the data motion overhead can outweigh the benefits from all these chained heterogeneous accelerators. We dub the data restructuring and communication overhead of executing a single application using a chain of accelerators [1] as the data motion overhead. In a stark contrast with most works on DSAs that deal with accelerating compute kernels, this work focuses on accelerating data motion within a chain of heterogeneous DSAs in a multi-accelerator datacenter. To that end, this paper introduces Data Motion Acceleration (DMX) for (1) reducing data movement, (2) accelerating data restructuring, and (3) enabling interoperability between heterogeneous accelerators from different domains through a cross-stack hardware-software solution. The results with five end-to-end applications show that utilizing DMX offers up to 8.2 ×, 13.6 ×, and 5.2 × improvement in latency, throughput, and energy efficiency in a multi-accelerator system, respectively.  © 2024 IEEE.</t>
  </si>
  <si>
    <t>Science and Technology Project of State Grid Corporation of China(grant numbers:5700-202018194A-0-0-00);</t>
  </si>
  <si>
    <t>Louisiana Board of Regents;</t>
  </si>
  <si>
    <t>Wearables that continuously acquire vital and other medically relevant parameters facilitate treatment optimizations for individual patients and reduce the duration of hospitalizations — thus improving the patients' quality of life. To accomplish this, we demonstrate a scalable architecture that connects wearables through a hub to the cloud, combines edge and cloud computing to provide optimal user interaction, and allows analytics on multi-stream data from those connected devices.</t>
  </si>
  <si>
    <t>In the 2021 Tobacco Industry Cybersecurity and Informatization Work Conference, it was proposed to take “digital transformation as the main line and promote digital development” in order to improve the automation of batch management in the production process. Based on cyber-physical system technology, the batch circulation system for the whole silk making process was researched and applied to realize automatic batch circulation and save manpower. Microservice architecture is adopted to collect data inside the underlying PLC for upper-level use. The upper-level computer engineer station was used for human-computer interaction functions such as production monitoring, program maintenance, and application development. After using this system, the production was observed and data collected for a period of time. Compared with the manual mode, the average batch change time in the automatic mode was shortened by 10.89 minutes, and the standard deviation was reduced by 5.32; the moisture deviation was reduced by 0.152 in the automatic mode. The results showed that the time of each batch is more stable, and the batch change time has been significantly improved compared to manual operation after application of this system. The fluctuation of the batch moisture value in automatic mode was also smaller. At the level of material homogenization also had an improvement.</t>
  </si>
  <si>
    <t>The widespread use of Large Language Models (LLMs) in natural language processing tasks has become increasingly common. LLMs have the ability to produce content that is both coherent and contextually relevant. Notwithstanding, there exist notable obstacles in effectively implementing and overseeing these models within operational settings, especially in infrastructures that are cloud native. A cloud-native system for optimizing and delivering live learning modules on Kubernetes clusters is presented in this study. There are many obstacles in the way of effectively deploying inference services on the cloud. After obtaining a trained model, cloud operators need to specify hardware configurations for every model-serving container. These settings cover a wide range of topics, including CPU core counts, GPU specs, GPU RAM, possible setups for GPU sharing, and runtime parameters like batch size. When combined, these factors provide a vast and intricate configuration space. By utilizing the declarative resource management that Kubernetes provides, the suggested approach leverages declarative resource management capabilities of Kubernetes and allows users to easily train and serve LLMs on those clusters. Kubernetes clusters from a variety of cloud providers, including KIND (provisioned on bare metal), Google Kubernetes Engine (GKE), and Amazon Elastic Kubernetes Service (EKS), are specifically supported by the framework. This Kubernetes custom resource enables users to maximize the performance and cost-effectiveness of LLM deployments by utilizing Kubernetes’ scalability, flexibility, and resource allocation properties and allows to maintain the stable state with use of operators and watch pattern.</t>
  </si>
  <si>
    <t>J. Krzywda; A. Ali-Eldin; E. Wadbro; P. -O. Östberg; E. Elmroth</t>
  </si>
  <si>
    <t>The necessity of contemporary technology like the Internet of Things, the cloud, and artificial intelligence (AI) in agriculture is emphasized by smart farming systems. The digital revolution quickens traditional agricultural methods to boost crop yield while maintaining quality. Previous attempts to successfully move agricultural practitioners toward AI through sensor technology integration failed. In order to facilitate the deployment of a smart farming system with low energy consumption, we therefore suggest an architectural model consisting of four layers: sensor, network, service, and application. Furthermore, a deep learning technique is employed, concentrating on the application layer, to create a fertilizer recommendation system that is in line with the expert's judgment. For farmers' convenience, the results of the entire system are finally shown as a single mobile application. Internet of Things and Machine Learning for Predicting Pesticides and Fertilizers The Agricultural Census of India estimates that 16–17% of the nation's GDP comes from agriculture, which employs 64.5% of its workforce. Despite being the backbone of our nation, agriculture receives very little attention and either little or no development. As the world's second-largest producer of rice, our nation must adapt and concentrate on enhancing agricultural practices to enhance the quality of life for farmers. It is imperative that contemporary technologies be used in agriculture.AI gives farmers access to real-time information that helps them make informed decisions at every level of farming. This wise choice results in fewer product and chemical loss as well as cost and time savings. © 2023 IEEE.</t>
  </si>
  <si>
    <t>Cloud computing workflow scheduling problem in now hundreds of thousands, millions of sensors are distributed in the edge cloud, information is summarized to the proximal small data center, and then converged to the edge-cloud hybrid scene of data storage on several public cloud, with broad development prospects and application market. The systematic and quantitative reliability research of workflow scheduling problems based on cloud computing is one of the key factors to ensure the efficient and high-quality completion of workflow scheduling tasks. Therefore, this paper follows from three dimensions: cloud provider, task and service type, and data transmission, Combined with energy consumption factors including resource balance, GPU / CPU energy consumption model, energy consumption model with load change with voltage, By quantireliability parameters, simulated workflow scheduling and reasonably setting time window, a hybrid big data reliability optimization model are proposed for the optimization of workflow scheduling.  © 2022 IEEE.</t>
  </si>
  <si>
    <t>Cardiovascular disease is one of the most significant causes of mortality worldwide, considering the lives of millions of humans each year. The chance of getting cardiovascular disease rises as people’s life style and their physical health declines. Prediction of this risk can now be achieved by early identification and treatment with the use of ML and AI-based predictive models. With regard to the prediction of cardiovascular disease events in conjunction with IoT devices along with ensemble models combined with federated learning model is suggested to get more performance. This paper explores various methodologies to predict cardiovascular events, emphasizing federated learning (FL) and its application in CVD detection. This paper also reviews the advantages and challenges of federated learning in healthcare along with IoT wearables features &amp; applications.</t>
  </si>
  <si>
    <t>The world is becoming more and more dangerous, and information security is becoming more and more important. In order to protect information, we need to use various methods, such as encryption, authentication, authorization, etc. However, these traditional methods are not suitable for the current cloud computing environment because they are too complex to meet the requirements of real-time operations. Therefore, some researchers in this field have proposed a new method called “cloud edge computing”. Cloud computing is a new IT service that provides shared resources on the Internet. It can be used to store, share and process data in a flexible and cost-effective manner. Cloud computing can be divided into three types: public cloud, private cloud and hybrid cloud.</t>
  </si>
  <si>
    <t>This study compares the performance of relational databases and unstructured databases, specifically Elasticsearch, in optimizing REST API response times. As dataset sizes increase, relational databases face prolonged data retrieval times, a common challenge for many companies relying on them for general-purpose use. Using a replica of an online coffee shop's product catalogue dataset, this research analyzes data retrieval scenarios presented in JSON format. The primary goal is to enhance REST API response times by implementing Elasticsearch, leveraging the inherent speed advantage of unstructured databases in data retrieval. The process involves replicating the catalogue data, converting it to relational JSON, setting up a Node.js server with Elasticsearch runtime, and migrating the data. The results show that Elasticsearch significantly outperforms the relational database, with an average response time of 282.6 ms compared to 754.8 ms—a 62.5596% improvement. Load testing with 200 concurrent customers accessing the REST API demonstrates a throughput of 60 requests per minute and an average response time of 930 ms, ensuring a smooth user experience under heavy demand. In conclusion, replacing relational databases with Elasticsearch optimizes data retrieval speed, emphasizing its practicality in enhancing data retrieval processes.</t>
  </si>
  <si>
    <t>Scientific and Technological Research Council of Turkey (TUB ITAK)(grant numbers:1515);</t>
  </si>
  <si>
    <t>Packet processing on Linux can be slow due to its complex network stack. To solve this problem, there are two main solutions: eXpress Data Path (XDP) and Data Plane Development Kit (DPDK). XDP and the AF _XDP socket offer full interoperability with the legacy system and is being adopted by major internet players like Open vSwitch or Facebook. While the performance evaluation of AF _XDP against the legacy protocol stack in the kernel or against DPDK has been studied in the literature, the impact of the multiple socket parameters and the system configuration on its latency has been left aside. To address this, we conduct an experimental study to understand the XDP/AF _XDP ecosystem and detect microseconds delays to better architect future latency-sensitive applications. Since the performance of AF _XDP depends on multiple parameters found in different layers, finding the configuration minimizing its latency is a challenging task. We rely on a classification algorithm to group the performance results, allowing us to easily identify parameters with the biggest impact on performance at different loads. Last, but not least, we show that some configurations can significantly decrease the benefits of AF _XDP, leading to undesirable behaviors, while other configurations are able to reduce such round trip delays to an impressive value of 6.5 μS in the best case, including the tracing overhead. In summary, AF _XDP is a promising solution, and careful selection of both application and socket parameters can significantly improve performance.</t>
  </si>
  <si>
    <t>The industrial Internet is the key support for the fourth industrial revolution. High-quality development of industrial APP has great significance to promote the construction and application of industrial Internet and Industrie 4.0. Guided by the new development concept of “innovation, coordination, green, openness and sharing”, this paper selects Jiangsu Province as the main research object. It analyzes the current development of industrial APP in Jiangsu on the basis of the connotation of industrial APP and a large amount of data. Then, the suggestions to promote the high-quality development of industrial APP in Jiangsu were proposed after analyzing the problems and challenges what are faced.</t>
  </si>
  <si>
    <t>The manuscript represents the state-of-the-art review of the deep learning methods for smart grid applications. This paper reviews novel applications of deep learning algorithms in smart grid. The deep learning based three algorithms i.e., Long-Short Term Memory, recurrent neural network, convolution neural network found to be most useful in smart grid application. These algorithms are found to be most useful for forecasting, cyber-attack, anomaly detection and electricity theft in smart grid. This paper briefly surveys the most usable deep learning algorithms for making the smart is resilience, accurate, and safe. The review result shows that the mentioned deep learning algorithms give an excellent results over other deep learning algorithm. Therefore, these three algorithms are widely acceptable for the evaluation of smart grids.  © 2022 IEEE.</t>
  </si>
  <si>
    <t>This study examines the configuration of Low Earth Orbit (LEO) satellite networks that employ laser-based intersatellite links (LISLs) for satellite edge computing (SEC). High-resolution applications like synthetic aperture radar (SAR) imaging use LEO satellite systems, which face significant challenges in effectively regulating energy consumption and reducing work latency. To address these challenges, we proposed a novel approach that utilizes the lowest-cost method based on a genetic algorithm (LCMGA). This strategy focuses on allocating computing subtasks and optimizing energy consumption by parallel offloading them over multiple SEC nodes. The primary objective is to decrease energy costs while upholding task latency demands. The LCMGA algorithm utilizes the computing resource of edge satellites in the LISL range to determine the most efficient methods of offloading tasks. The simulation findings demonstrate that LCMGA significantly reduces the computational time for processing large volumes of data, achieving processing durations of only a few seconds. In addition, LCMGA surpasses existing algorithms in terms of energy usage and CPU energy efficiency. © 2024 IEEE.</t>
  </si>
  <si>
    <t>In the era of information interconnection, the evolution of enterprise digitalization necessitates the adoption of architectures that can support dynamic and complex business operations. Microservices architecture, characterized by its flexibility, scalability, and efficiency, has emerged as a pivotal solution for modern enterprises, enabling the decomposition of monolithic applications into independently deployable services. However, with the expansion of enterprises and the intricate nature of business operations, microservices architecture encounters challenges in service governance, monitoring, management, and integration in multi-vendor environments. Addressing these challenges, this paper introduces a Cross-Service Provider Unified Monitoring System (CSPUMS) tailored for microservice business platforms operating within multi-service provider ecosystems. CSPUMS, a novel three-layer system architecture, encompasses a data acquisition layer, a monitoring layer, and a data presentation layer, designed to ensure the reliability, performance, and security of service platforms across diverse cloud environments. Through the deployment of Docker container technology for data aggregation and the implementation of a multi-dimensional threshold alarm template, CSPUMS enhances operational monitoring, fault management, and service continuity in complex multi-service settings. This paper significantly enhances microservice platforms by providing integrated monitoring solutions for multi-cloud and multi-service environments, ensuring operational efficiency and agility for digitally transforming enterprises.  © 2024 IEEE.</t>
  </si>
  <si>
    <t>In recent years, there is an increasing demand for indoor localization services with the aim to locate people and objects inside buildings. However, localization accuracy is susceptible to inaccurate and high variant sensor measurements due to the unpredictable fluctuations of received wireless signals and the sensitivity of hardware devices. To address this issue, in this paper, we establish a new Bluetooth indoor localization system, whose architecture can be basically decomposed into two parts: the internet-of-things (IoT) framework and the localization module. Concretely, the IoT platform uses the state-of-the-art light weight Spring Boot microservice framework consisting of multi-layer structure. In the localization module, it follows the general process of trilateration but significantly distinguished from it. A set of measures are adopted to strengthen the system's robustness when obtained measurements cannot be fully trusted. Specifically, in the first place, rather than using conventional propagation model to predict the distance between Bluetooth transmitter and receiver, we design a bran-new LSTM-based distance estimator which can better depict the nonlinearity of attenuation characteristics of radio signal. Moreover, we also employ a series of self-adaptive mechanisms, including elastic radius intersecting, multiple weighted centroid localization and self-adaptive Kalman tracking, to make the system robust against inaccurate measurements and unpredictable sudden variation of received wireless signal. A bunch of tests are conducted in both ideal lab environment and Alibaba's large-scale warehouse, and experimental results show our indoor localization system outperforms the state-of-the-art benchmarks by a large margin in both localization accuracy and stability. © 2020 IEEE.</t>
  </si>
  <si>
    <t>R. R. Filho; R. S. Dias; J. Seródio; B. Porter; F. M. Costa; E. Borin; L. F. Bittencourt</t>
  </si>
  <si>
    <t>São Paulo Research Foundation (FAPESP); CNPq proc.(grant numbers:465446/2014-0); CAPES;</t>
  </si>
  <si>
    <t>Microservice architecture boosts scalability and flexibility by dividing applications into independent, loosely coupled services that can be developed, deployed, and scaled separately. This structure enables teams to work on various services concurrently, speeding up development and deployment processes. Microservices also enhance fault isolation, ensuring that a failure in one service doesn’t affect the entire application. Furthermore, they support the use of diverse technologies and frameworks, allowing developers to select the most suitable tools for each service.The cloud-based architecture comprising three distinct microservices: Product, Basket, and Ordering. Each microservice is seamlessly exposed to users via AWS API Gateway, facilitating efficient interactions with their respective resources. AWS Lambda functions underpin the business logic for each microservice, enabling serverless execution and scalability, while interfacing with DynamoDB tables to ensure fast and reliable data storage. Notably, the Basket microservice triggers a checkout event, which is processed by the AWS EventBridge event bus. This eventdriven approach leverages multiple EventBridge rules to manage complex workflows and ensure timely responses to various application events. The Ordering microservice further enhances the system’s efficiency by employing an AWS SQS queue for asynchronous order processing, thereby decoupling the order submission and processing stages for improved reliability and performance. The entire infrastructure is meticulously orchestrated with AWS CDK CloudFormation, providing a framework for scalable, consistent, and automated deployments. Comprehensive monitoring and logging are facilitated by Amazon CloudWatch, offering real-time insights and operational oversight to maintain the health and performance of the application. This architecture not only supports scalability and flexibility but also ensures a seamless and responsive user experience.</t>
  </si>
  <si>
    <t>Most available frameworks to develop machine learning applications target software deployment on general-purpose processors or GPUs. We propose Wolt, an end-to-end efficient solution to run TFLite application workloads on lightweight system-on-chip (SoC) architectures that feature many fixed-function hardware accelerators. WOltenables the execution of TFLite operations on pre-designed accelerators without requiring any modification of the application source code. As it establishes an interface between the high-level framework and the device drivers of the accelerators, WOLtincludes a resource manager that allows multi-tenant and conflict-free hardware acceleration of many TFLite applications running in parallel on the SoC. We evaluated WOltwith a comprehensive set of FPGA-based experiments by profiling and running 13 different TFLite workloads on a variety of complete SoC prototypes. We designed these prototypes by combining many CVA6 RISC-V processors with multiple accelerators for vector-matrix multiplication and two-dimensional convolution. For these workloads, Woltdelivers up to 23.2 x performance speedup and up to 14.6 x energy-efficiency gains compared to a purely software execution. When running multiple TFLite workloads in parallel, Wolt achieves up to 4 x of additional performance gain compared to basic hardware acceleration, thanks to efficient resource management. © 2024 IEEE.</t>
  </si>
  <si>
    <t>M. Matić; E. Nan; M. Antić; S. Ivanović; R. Pavlović</t>
  </si>
  <si>
    <t>This paper analyzes the deep causes of laboratory safety accidents and the new needs of essential safety management through the cases of laboratory safety accidents in recent years. Based on Niagara ecology and microservice architecture, the design scheme of laboratory security situation awareness system is proposed. The sensing layer deploys a variety of sensors such as temperature sensing, light sensing and inductance in the laboratory, and integrates smart sockets, smart door locks and other devices to carry out systematic and comprehensive online monitoring of the laboratory working environment. Wireless communication technologies such as NB-IOT and Wi-Fi are used for data transmission. The edge layer uses Honeywell’s JACE8000 as the data aggregation access point. After pre-processing the original data, the multi-modal sensing data of the laboratory is gathered into Huawei OceanConnect iot platform for information management and data mining, so as to realize the perception, monitoring and prediction of the laboratory security situation. Thus forming a complete laboratory security situation monitoring system.</t>
  </si>
  <si>
    <t>Several works have intensive on modeling telemedicine smart by merging the Internet of Things (IoT) with cloud computing technology to produce what is called the Cloud of Things (CoT). Cloud of Things (CoT) has grown as the greatest promising technology in academics and industry for novelty. Cat assists numerous developing sectors such as health, energy, smart home, and vehicle. IoT devices are playing an important role in patient health monitoring. Some connected devices are assisting in the creation of smart hospitals, improving patients’ lives, and improving the conditions of care for the elderly in areas where patient care mechanisms can be improved. This study discusses the concept of integrated health care with CoT and its current position in this direction. In addition, it supplements the literature with a systematic review covering the location of the technology in a home or hospital. It also presents the most important classification of challenges and issues that impede the advancement of this technology.</t>
  </si>
  <si>
    <t>TAMU Capstone program;</t>
  </si>
  <si>
    <t>In recent years, with the development of fast space response systems represented by image processing and specific target detection, the higher requirements for space-based on-orbit services have been placed. The space-based on-orbit service has the advantages of performing communication and calculations at the data source side, which can reduce the delay of satellite service data return, thereby responding quickly to emergencies. However, the high dynamic topology of satellite network and the sudden change of node access traffic will affect the on-orbit quality of service significantly. In order to approach this challenge, this paper proposes a space-based service architecture. Based on the real-time traffic data of the satellite network, the service is migrated according to the change of upstream and downstream traffic. In this paper, a migration model is constructed based on the network and mission characteristics of the space-based edge cloud. This migration model can balance the time delay dynamically and optimize the energy consumption by matching the migration node with the time delay and energy consumption. The simulation results show that the proposed service migration strategy can satisfy the customized requirements of different services, while reducing the service delay and packet loss rate under the network traffic congestion, so that the overall benefit of satellite network is improved. © 2020 IEEE.</t>
  </si>
  <si>
    <t>This study tackles the challenge of enhancing Ecommerce performance on the Shopping platform through a dynamic approach to optimizing cloud resource allocation. The problem at hand involves the need for scalable infrastructure to accommodate fluctuating demand, ensuring seamless user experiences during peak periods. Our proposed method employs a sophisticated dynamic allocation algorithm that adapts in real-time to varying workloads. The system’s flow begins with continuous monitoring of platform activity, swiftly identifying resource demands. Leveraging machine learning, the algorithm predicts resource needs, enabling proactive scaling. Results demonstrate a significant improvement in platform responsiveness, reducing latency during traffic spikes and ensuring optimal performance. This dynamic approach not only addresses the resource allocation challenge but also provides a solution for E-commerce platforms, fostering enhanced user satisfaction and scalability.</t>
  </si>
  <si>
    <t>U.S. Army;</t>
  </si>
  <si>
    <t>Mitacs;</t>
  </si>
  <si>
    <t>O. T. Başaran; M. Başaran; D. Turan; H. G. Bayrak; Y. S. Sandal</t>
  </si>
  <si>
    <t>National Key RD Program of China(grant numbers:2022YFB2902100);</t>
  </si>
  <si>
    <t>K. Nguyen; F. Loh; T. Nguyen; D. Doan; N. H. Thanh; T. Hoßfeld</t>
  </si>
  <si>
    <t>We present a capacity planning case study showing a significant opportunity for improving the utilization of a large, low-latency, highly available online service containing 100K+ servers spanning 9 geographic regions. Analyzing 30 PB of traces over 90 days we devised a new iterative black-box capacity planning model using the discovered relationships between workload, utilization, and quality. We verified the model on 1,000s of servers showing capacity reductions between 20% and 40% with effectively no impact on workload latency, availability, or the capacity required for disaster recovery. These results are confirmed experimentally by shrinking production server pools to cause the remaining servers to run at higher utilization, and using data from real-world large scale unplanned failures. Finally, we show examples of using our model for offline regression analysis to detect critical issues before their deployment. © 2018 IEEE.</t>
  </si>
  <si>
    <t>Containers are becoming the de facto standard to package and deploy applications and micro-services in the cloud. Several cloud providers (e.g., Amazon, Google, Microsoft) begin to offer native support on their infrastructure by integrating container orchestration tools within their cloud offering. At the same time, the security guarantees that containers offer to applications remain questionable. Customers still need to trust their cloud provider with respect to data and code integrity. The recent introduction by Intel of Software Guard Extensions (SGX) into the mass market offers an alternative to developers, who can now execute their code in a hardware-secured environment without trusting the cloud provider. This paper provides insights regarding the support of SGX inside Kubernetes, an industry-standard container orchestrator. We present our contributions across the whole stack supporting execution of SGX-enabled containers. We provide details regarding the architecture of the scheduler and its monitoring framework, the underlying operating system support and the required kernel driver extensions. We evaluate our complete implementation on a private cluster using the real-world Google Borg traces. Our experiments highlight the performance trade-offs that will be encountered when deploying SGX-enabled micro-services in the cloud. © 2018 IEEE.</t>
  </si>
  <si>
    <t>Vaucher, Sébastien (57191874660); Pires, Rafael (57194456425); Felber, Pascal (6701409064); Pasin, Marcelo (15926001500); Schiavoni, Valerio (15064802800); Fetzer, Christof (7006284519)</t>
  </si>
  <si>
    <t>R. M. Badia; J. Ejarque; F. Lordan; D. Lezzi; J. Conejero; J. Álvarez Cid-Fuentes; Y. Becerra; A. Queralt</t>
  </si>
  <si>
    <t>In this paper, we propose EdgeHD, a hierarchy-aware learning solution that performs online training and inference in a highly distributed, cost-effective way. We use brain-inspired hyperdimensional (HD) computing as the key enabler. HD computing performs the computation tasks on a high-dimensional space to emulate functionalities of the human memory, such as inter-data relationship reasoning and information aggregation. EdgeHD exploits HD computing to effectively learn the classification models on individual devices and combine the models through the hierarchical IoT nodes without high communication costs. We also propose a hardware design that accelerates EdgeHD on low-power FPGA platforms. We evaluated EdgeHD for a wide range of real-world classification applications. The evaluation shows that EdgeHD provides highly efficient computation with reduced communication. For example, EdgeHD achieves on average 3.4\times and 11.7\times (1.9\times and 7.8\times) speedup and energy efficiency improvement during the training (inference) as compared to the centralized learning approach. It reduces the communication costs by 85% for the training and 78% for the inference. © 2023 IEEE.</t>
  </si>
  <si>
    <t>Digital health initiatives are increasingly reliant on Internet of Things (IoT) applications to provide timely and efficient care, with pre-hospital emergency services being a critical component. These services are inherently delay-sensitive, necessitating robust resource management to ensure rapid response times and high-quality care. However, IoT devices in edge networks, such as emergency response units, are often resource-constrained, posing challenges in meeting the dynamic demands of emergency medical services. The imperative of pre-hospital emergency response demands an urgent reevaluation of current resource allocation strategies in edge networks. Traditional static dispatch protocols often fall short in dynamically optimizing ambulance deployment, leading to life-threatening delays and suboptimal patient outcomes. This paper introduces an innovative service reconfiguration mechanism that proactively addresses the pressing need for real-time, intelligent service allocation in emergency health services. This mechanism aims to re-schedule the configuration of resources provided by IoT devices through service migration technique. Extensive experiments are conducted upon datasets of pre-hospital emergency in Shenhzen, and experimental results show that our mechanism is more efficient than baseline techniques in satisfying delay constraints of IoT applications, decreasing energy consumption of IoT devices, and improving the service efficiency of pre-hospital emergency.  © 2024 IEEE.</t>
  </si>
  <si>
    <t>A. Nizamis; J. Neises; D. Ospina; U. Wajid; C. I. V. López; P. Trakadas; K. Votis; O. Lazaro; S. Nechifor; C. Palau</t>
  </si>
  <si>
    <t>European Commission(grant numbers:952071);</t>
  </si>
  <si>
    <t>Electricity theft constitutes one of the main reasons of non-technical electricity losses, which is able to cause significant economic losses and harmfulness to power grid suppliers. During the last decade, the data analysis on smart meter and sensor data has revolutionized electricity theft monitoring. In this work, we propose a new complete framework for the online detection of electricity theft in Cyprus, which is based on the predictions of a deep learning model. A significant advantage of the proposed model is that it does not require any prior knowledge of any electricity theft consumer during the training phase; to mitigate the lack of labels in our data. The reported numerical experiments on a labeled dataset from another demo site, demonstrate empirical evidence about the robustness of the developed model. Finally, we provide a detailed presentation of the model’s integration and deployment through state-of-the-art model serving tools.</t>
  </si>
  <si>
    <t>Open source software (OSS) implementations of 5G campus networks are essential for facilitating researchers to evaluate and validate use cases and applications using customized 5G network configurations. These configurations provide specific performance, such as guaranteed bandwidth, low latency, high reliability, and increased flexibility. To realize a campus network that is both adaptable and cost-effective, it is imperative to overcome the limitations imposed by vendor lock-ins. This objective can be accomplished through the adoption of open network architectures and software-defined networking concepts, which enable the realization of 5G networks using non-proprietary and programmable hardware. Furthermore, the utilization of accessible OSS helps reduce licensing costs while expanding the possibilities for customization. Thus, this research paper presents a modular, cost-efficient, future-proof, and flexible 5G standalone campus network deployed at the Technische Universität Berlin, designed for research and validation of candidate use cases in the drive towards Open Campus Networks. The paper presents a qualitative evaluation of the different OSS RAN implementations, as well as a comparative analysis of performance achieved by different combinations and interworking of radio access and core network software frameworks.</t>
  </si>
  <si>
    <t>P. Cedillo; A. García; J. D. Cárdenas; A. Bermeo</t>
  </si>
  <si>
    <t>State Grid Corporation of China (SGCC);</t>
  </si>
  <si>
    <t>Intelligent Computing、Computational Power、 Computational Power Networks and Technology Ecosystems</t>
  </si>
  <si>
    <t>The increasing demand for large-scale deployment of extensive data, driven by technologies like the internet of Things, digital twins, and LLMs, alongside the development of data centers, challenges the conventional “best effort” network model, necessitating a more sophisticated approach. This article explores the impediments encountered in scientific computing scenarios, including computing and storage transmission barriers, uncertain resource status, and coordination and scheduling complexities. It delves into pivotal technologies such as integrated converged networks, resource prediction and scheduling, and multi-cloud unified management to enhance the computing network architecture, offering insights into the applications of computing power networks.</t>
  </si>
  <si>
    <t>I. Brídová; M. Janovec; J. Papán</t>
  </si>
  <si>
    <t>S. Henning; W. Hasselbring; A. Möbius</t>
  </si>
  <si>
    <t>Deutsche Forschungsgemeinschaft;</t>
  </si>
  <si>
    <t>The ever-growing number of connected User Equipment (UE), e.g., Internet of Things (IoT) devices, Connected Autonomous Vehicles (CAVs), has driven the evolution of Software-Defined Networks (SDN) and Fifth-Generation (5G) Networks to push the computing resources closer to the UE. Towards that end, Multi-access Edge Computing (MEC) and Network Function Virtualization (NFV) are promising solutions to facilitate the deployment of the required user’s service instances within an approximately one-hop communication range. However, discovering and assigning such service instances to the UE to maintain a high service availability is still an open challenge in the 3rd Generation Partnership Project (3GPP) standards due to the UE mobility and Telco network heterogeneity. This paper proposes an SDN-based dynamic service discovery and assignment framework for a distributed MEC infrastructure. The proposed framework considers various decision parameters such as UE’s location, the service instance’s demand (i.e., resource utilization), the network link status, and the service instance performance requirements (i.e., service profile) to offer a generic solution for discovering and assigning the service instances to the UE. The framework implementation results show an enhancement of the packet delivery ratio and a lower users’ perceived latency.</t>
  </si>
  <si>
    <t>“Cloud data migration” describes the method of transferring digital data to new cloud services or garage structures. Data have to be transferred in a way that guarantees it remains available, secure, and uncompromised. Businesses might also easily adjust to new needs and trends in era by way of transferring their statistics, apps, or workloads to the cloud. Scalability, adaptability, and optimising charges are all made feasible by this. Generative AI can help us evaluate existing applications and provide insights into how they can be optimized for the target cloud environments. In the ever-evolving world of technology, Generative AI (GenAI) has emerged as a transformative force, poised to revolutionize various industries and domains, including cloud migration. As the global landscape of migration continues to shift, GenAI is prepared to play an essential role in streamlining processes, enhancing accuracy, and improving overall migration outcomes. The review present paper investigates the utilisation of generative AI in order to facilitate the transfer of data from on-premises to the cloud. While highlighting the potential of generative AI to automate transfer operations, it tackles obstacles such as economic implications and security concerns. Migration techniques, the benefits of cloud migration, and pertinent literature are examined in this study, which also provides a summary of key findings and recommendations for future research.</t>
  </si>
  <si>
    <t>An innovative infrastructure called the Smart Charging Slot Reservation and Utilization System for Electric Vehicles was created to maximize resource management and user convenience while streamlining the charging process for electric vehicles (EVs). This cutting-edge solution combines IoT technologies and a strong software ecosystem with hardware and software components. Fundamentally, the system offers EV charging stations with Internet of Things (IoT) capabilities, enabling remote control and monitoring. Through an easy-to- use webpage, users may find charging outlets in their immediate vicinity. Users may easily schedule and pay for charging services using the webpage. The system’s capability to deliver real-time information on available charging slots at different stations is one of its primary advantages. Flexible slots can be reserved by users according to variables like peak hour timing, vehicle type, and charging station capacity. Furthermore, the system utilizes an algorithm to determine the anticipated charging duration, guaranteeing effective resource management. Additionally, the system uses peak-hour power reduction technology, which aids in controlling energy use during times of high demand. This lessens the load on the electrical grid, which helps with ecological initiatives while also increasing charging efficiency. Moreover, the system has built-in GPS mapping capabilities, which make it simple for users to find the closest charging station. All things considered, this innovative approach is a major step forward for the infrastructure of EV charging, improving accessibility and fostering sustainability by managing peak hours and using renewable energy sources.</t>
  </si>
  <si>
    <t>An IoT-based system for monitoring the quality of the air within a building, which includes a "Smart-Air"air quality sensor on a web server. IoT and cloud storage are used to evaluate the quality of the air at any time and from any place. Smart-Air is a product of the Internet of Things (IoT), a device that uses LTE to broadcast real-time data on air quality to a web server. Today, air pollution is a leading cause of preventable mortality and disease across the world. Pollution has become a major concern all around the globe. The discharge of chemicals or unfriendly compounds has a devastating impact on human, animal, and plant life. This is referred to as pollution. Many studies have been conducted on different air purification techniques because of this. Air purifiers that utilize HEPA filters, activated carbon, and UV light are discussed in this paper. The water and chemicals that an air purifier sprays into the air will spread out contaminants.  © 2022 IEEE.</t>
  </si>
  <si>
    <t>P. Pico-Valencia; J. A. Holgado-Terriza; X. Quiñónez-Ku</t>
  </si>
  <si>
    <t>Today’$s$ era is of intelligent devices connected to serve various real-time applications. These numerous IoT devices collect enormous amounts of data, which are then transferred to the cloud for further processing and analysis. Most of these tasks are delay-sensitive and require processing within their deadline. These tasks require high-speed computing and storage resources for their processing. Although the cloud layer provides enormous processing and storage capability, we can not ignore the amount of delay in response generation. Thus, other two lower layers, i.e., the Edge layer and the fog layer, should also be considered to develop an efficient algorithm for task scheduling and load balancing. These three layers vary in terms of resource availability and communication latency. Currently, the increased focus of many new researchers on improving the performance metrics in the cloud architecture, such as energy efficiency, resource utilization, and latency, leads to the requirement of a detailed review of previous work done in this area. Although many review articles are on the web, most focus only on a single layer. Thus, The current study considers all three layers, edge, fog, and cloud, to present a detailed systematic review of algorithms based on load balancing and scheduling at task and VM levels. This study aims to compare and analyze the available papers based on the focused layers, the methodology used, performance matrices, advantages, and future scopes.</t>
  </si>
  <si>
    <t>PWA is the short form of Progressive Web Application. It is application software. User can use this with the help of Web and it is made of multiple types of web technologies such as Hyper Text Mark Up Language, Cascading Style Sheets and JavaScript. One can use it on multiple platforms such as mobile devices, desktop etc. It has numerous functionalities such as it can work offline and it always sends us push notifications. It can be called as a web application because it is a type of webpage or website. At first this web application has less features and functionality because it was available only to mobile devices and it acts as a native app previously. But now it is available to desktop applications also and thus it provides more portable features. This can be accessible through different cross platform web browsers like Google chrome, Microsoft edge, Mozilla Firefox etc. © 2023 IEEE.</t>
  </si>
  <si>
    <t>The utilisation of virtualization technologies in conjunction with cloud computing has emerged as a significant and influential trend within the Information Technology (IT) sector. Cloud computing has significantly transformed the development landscape of mobile ubiquitous services by introducing notable attributes such as reliability and cost-effectiveness. Consequently, it has successfully penetrated the market, bringing about substantial changes in the industry. While it is possible to easily convert numerous types of best-effort mobile ubiquitous applications to cloud infrastructures, it is crucial to thoroughly analyse essential elements in order to enhance the effectiveness of cloud computing infrastructures for real-time healthcare applications. When programme clients observe an anomaly, there is a substantial increase in the data transfer rate. Nevertheless, there are inherent issues in the current allocation of computational resources by server-side processes to effectively manage the fluctuating and time-varying data quantities. This article introduces a novel auto-scaling technique for servers, which aims to dynamically allocate virtual resources. The suggested method’s efficacy in scaling virtual resources up and down in response to the number of real-time tasks is evaluated through testing conducted on an Amazon EC2 platform. The obtained findings demonstrate the efficient performance of the mechanism.</t>
  </si>
  <si>
    <t>INFINIMIND AI – Supercharging User Expediency using AI And RPA</t>
  </si>
  <si>
    <t>This paper introduces INFINIMIND AI, an innovative system seamlessly integrating advanced AI technologies, especially Natural Language Processing (NLP) and ensemble learning, to reshape user interactions. INFINIMIND AI boasts a user-friendly website interface, powered by FastAPI and Spring Boot for efficient API calls. The backend relies on the robust MongoDB and MySQL for precise database management. A standout feature is INFINIMIND AI’s high level of proficiency in NLP-driven input classification, coupled with sentiment analysis to gauge emotional context. SMTP communication facilitates data exchange, while UiPath automation consolidates and refines results into various user-friendly formats. INFINIMIND AI represents a novel and expedient approach to AI interactions, enhancing user experiences through simplified input processing and sentiment analysis. This paper details the innovative design and methodologies that underpin this AI-driven system, promising a user-centric future in AI interactions.</t>
  </si>
  <si>
    <t>J. J. L. Escobar; F. Gil-Castiñeira; R. P. Díaz Redondo</t>
  </si>
  <si>
    <t>NSF of China(grant numbers:62272389); Shenzhen Fundamental Research Program(grant numbers:20210317191843003);</t>
  </si>
  <si>
    <t>Smart Grid 2.0 represents a significant advancement in energy systems, propelled by innovations such as the Internet of Things (IoT), Blockchain technology, and 5G telecommunications. These technologies enable dynamic and intelligent energy management while introducing new challenges in data processing and cybersecurity. This paper examines the role of various computing models—Cloud, Fog, Edge, and Distributed computing—within the framework of Smart Grids 2.0, emphasizing their impact on system efficiency and security. We first define each computing paradigm and its specific applications in smart grids. Next, we assess the security risks and computational challenges associated with these models, offering a comparative analysis of their performance in addressing concerns such as latency, scalability, and susceptibility to cyber-attacks. Proposed solutions, including encryption techniques and real-time threat detection, are discussed to strengthen the resilience of smart grids. The paper concludes with recommendations for future research, particularly in advancing cybersecurity measures and optimizing data processing in an increasingly interconnected energy infrastructure.</t>
  </si>
  <si>
    <t>Distribution network emergency repair is the most important daily work of the electric power company’s dispatch management. It has high requirements on timeliness and accuracy. At present, distribution network emergency repairs mainly rely on customer repairs. And the fault information from a certain single system makes the research and judgment logic limited. This traditional passive repair mode initiated by customer repairs no longer meet the requirements of modern distribution network repairs, so Effective fault analysis and identification strategies play an important role in improving the efficiency of emergency repair. This paper proposes an active repair method based on comprehensive intelligent research and identification. And a technical support system based on microservices architecture technology that is more flexible and lower in coupling than a single architecture is established. This system based on containerized deployment is widely used in the emergency repair business of Shanxi Power Supply Service System, and good application results are achieved.</t>
  </si>
  <si>
    <t>Based on the analysis of the application scheme of the edge gateway in the ubiquitous power Internet of Things (IoT)-aware layer-end devices and edge IoT agents, a substation global IoT system of the edge gateway is built, including the overall architecture, application framework and cloud collaborative design of the system, and key technologies such as new edge gateway technology, coordinated operation strategy and coordinated operation scenario examples are studied. The designed edge gateway can meet the unified access of multi-disciplinary and multi-type terminals. The edge gateway is the carrier and key link of “terminal data self-organization, terminal cloud business self-coordination”. Through case analysis, it is verified that the edge gateway runs reliably, and the design goal and operation requirements of substation global IOT are met.</t>
  </si>
  <si>
    <t>An ecosystem of digital services requires a service platform to facilitate a dynamic service introduction. As a system of systems and a service-oriented system, Smart City has key characteristics of a service ecosystem. However, a service platform has unique characteristics to become a service platform for the implementation of Smart City. On the other hand, an implementation of a service platform for a Smart City must depart from a proven service platform concept conforming to the characteristics of a Smart City Architecture. This paper elaborates an initial process of a service platform implementation with Smart City characteristics. This initial study takes its form as a descriptive study from a systematic literature review employing a Design Research Methodology (DRM) approach. This paper provides an overview of an application of service platforms concept in the digital service ecosystem and service computing systems to fulfill the need of a Smart City Architecture characteristics.  © 2020 IEEE.</t>
  </si>
  <si>
    <t>Applications developed to fulfil distributed systems needs have been growing rapidly. Major evolutions have happened beginning with basic architecture relying on initiated request by a client to a processing side referred to as the server. Such architectures were not enough to cope up with the fast ever-increasing number of requests and need to utilize network bandwidth. Mobile agents attempted to overcome such drawbacks but did cope up for so long with the growing technology platforms. Service Oriented Architecture (SOA) then evolved to be one of the most successful representations of the client-server architecture with an added business value that provides reusable and loosely coupled services. SOA did not meet customers and business expectations as it was still relying on monolithic systems. Resilience, scalability, fast software delivery and the use of fewer resources are highly desirable features. Microservices architecture came to fulfil those expectations of system development, yet it comes with many challenges. This paper illustrates how distributed systems evolved from the traditional client-server model to the recently proposed microservices architecture. All architectures are reviewed containing brief definitions, some related work and reasoning of why they had to evolve. A feature comparison of all architectures is also provided. © 2016 Infonomics Society.</t>
  </si>
  <si>
    <t>J. M. Batalla; K. Wrona; D. Brown; F. Wiącek; U. Ruuto; T. Wichary</t>
  </si>
  <si>
    <t>With the continuous construction of Power Internet of Things, the data collected by the traditional electricity information collection system showed explosive growth, lead to the original data operation mode couldn’t meet the needs of users and the system. This paper proposes to design a power consumption information collection system based on edge computing, took communication access, task sinking, resource scheduling, and network security as key links under the new architecture, to build a new generation of electricity information collection system network architecture, use mathematical modeling to form the resource scheduling set of the cloud management layer and the network security set of the main station application layer, and use multiple parameters to evaluate the quality of the modeling under the constraint conditions and as the basis for decision-making by the power grid personnel. Through the integration of advanced communication technology, artificial intelligence technology, big data analysis technology, etc. with the new generation of electricity information collection system network, the efficiency of data transmission in the link could be improved, the cost of network channel construction could be reduced, and scientific and reasonable decision-making will realize calculation efficient use of resources to ensure the safety of system operation.</t>
  </si>
  <si>
    <t>The Internet of Things (IoT) is a network of connected things including sensors, processing capabilities, software, and other technologies. The internet or other communication networks are used to communicate and share data among different devices and systems. S mart embedded systems have emerged as the most popular area of study. In particular, IoT-based systems plays a crucial role in establishing a device connectivity. The proposed project employs Machine Learning (ML) algorithms such as Haar Cascade and MobileNet V2 along with the Convolution Neural Networks (CNN) to build a smart stove with a face and age identification function. The device user’s age will be determined from a live video footage. The main concept of the proposed research work is to restrict the users based on their age factor; provide safety measures whenever a liquid petroleum gas leakage is detected. Preventive measures initiated from the proposed module include shutting OFF lights or other electric items that have been switched ON, activating the exhaust fan, and sending an emergency message to the owner of the gas if it is identified. The proposed smart stove module is IoT-based and offers safety measures without requiring any human intervention.</t>
  </si>
  <si>
    <t>This paper presents the concept and characteristics of cloud computing, and it addresses how cloud computing delivers quality of service (QoS) to the end-user. Next, it discusses how to schedule one’s workload in the infrastructure using technologies that have recently emerged such as Machine Learning (ML). That is followed by an overview of how ML can be used for resource management. Then, this paper aims to outline the benefits of using ML to schedule upcoming demands to achieve QoS and conserve energy. In addition, we reviewed the research related to ML methods for predicting workloads in cloud computing. It also provides information on the approaches to elasticity, while another section discusses the methods of prediction used in previous studies.</t>
  </si>
  <si>
    <t>The article presents the results of the study of Industrial Internet of Things (IIoT) technologies for the agricultural sector, taking into account international experience for the period 2004 - 2021, and proposes a methodology for applying IIoT architecture to design IIOT systems in the agricultural sector of Russia. A two-factor classification of IIoT systems in agriculture has been made. A typical conceptual scheme of intelligent IIoT system for viticulture and winemaking has been developed. The architecture of a typical IIoT system is analyzed, taking into account the observance of information security in data processing and transmission. An analysis of the current state and prospects for the implementation of IoT in the Russian wine industry has been carried out. A business process model is presented in the concept of BPME (BPM Everywhere) for the production of a certain brand of wine. The model in a non-decomposed form shows sub-processes with and without IoT, using traditional “manual” methods, as well as taking into account the impact of various business processes on production efficiency and product quality. The reasons for the lag and growth drivers for the use of IIoT in agrosector are identified.</t>
  </si>
  <si>
    <t>Service Mesh has become one of the most popular microservices governance frameworks. In the service governance function of traffic management, how to design an efficient strategy for request distribution to minimize response time has attracted wide research interest. Generally, a traffic policy can be pre-set manually. However, such a static policy always performs terribly when the load changes dynamically. That is, Service Mesh cannot adaptively select the optimal policy when setting service version diversion and selecting instances on the service subset. To address this issue, in this paper, we designed an adaptive strategy based on split-flow to achieve global load balancing. Furthermore, we implement such a strategy by developing a plug-in named DTMA for Istio, a typical representative of Service Mesh. By obtaining the Service Mesh node’s topology and global instance load distribution in real-time, Istio updates the optimal split-flow weight and selects the suitable load balancing strategy. Extensive experimental results show that our algorithm can reduce the response time by nearly half and keep a load of nodes and instances stable compared with Istio’s native configuration. The optimization effect of minimizing the response time is achieved through real-time load balancing.</t>
  </si>
  <si>
    <t>Due to the heterogeneity of workloads and the randomness and complexity of hybrid scheduling environment, How to address the challenge of minimizing data center running cost while ensuring workloads SLA has emerged as a significant research problem. To address this, we propose an Optimal Deep Reinforcement Learning Model for Running Cost Optimization in Hybrid Environments (ODRL). Firstly, we propose Running Cost Model (RCM) that analyzes data center running costs from two perspectives based on different running patterns of the workload and node affinity constraints, minimizing computing node utilization and resource running costs. Subsequently, we propose a Priority-Aware Scheduling Algorithm based on Deep Reinforcement Learning(PASD) that use AHP-TOPSIS to quantify workload characterization, get real-time feedback for environment and update historical experience through prioritized experience replay. Finally, extensive experimental results validate the effectiveness of the proposed model. In comparison to Kube-Scheduler, ODRL achieves a significant 15% improvement in reducing data center running cost. Additionally, there is a 7.8% increase in CPU utilization and a 16.7% increase in memory utilization. © 2023 IEEE.</t>
  </si>
  <si>
    <t>Smart agriculture is one of the most promising areas where IoT-enabled technologies have the potential to substantially improve the quality and quantity of the crops and reduce the operational cost. However, building a smart agriculture system presents several challenges, including high latency and bandwidth consumption associated with cloud computing, Internet disconnections in rural areas, and the need to keep costs low for farmers. To address these issues, this paper proposes a fog-based smart agriculture infrastructure with edge computing and LoRa communication. We address the top concern of farmers - animals intruding - by proposing a solution that detects animal intrusion using low-cost PIR sensors, cameras, and computer vision and predicts animal locations using a novel algorithm. Our system can detect animals before the intrusion, identify them, predict their future locations, and alert farmers promptly. The paper proposes three sensor layouts, and experiments confirm the system’s effectiveness and lower cost compared to state-of-the-art systems.</t>
  </si>
  <si>
    <t>In order to closely implement the headquarters strategy of constructing excellent service engineering and continuously improving service efficiency proposed by State Grid, and comprehensively improve the time efficiency of users’ electricity consumption after payment of bills, based on intelligent electricity meters, and based on the active power restoration (automatic restoration after tripping) function of remote fee-control electricity meters, and through the optimization and upgrading of the digitized business processes of the two sets of systems of electric power marketing and power consumption collection, the Company explored and constructed a new mode of power restoration management based on the distributed architecture and carried out a pilot application. By optimizing and upgrading the digital business processes of the two systems of power marketing and power consumption collection, we explore the construction of a new model of power restoration management based on distributed architecture and carry out pilot applications to realize the restoration of power delivery within 2 hours after the user pays the fee. This paper firstly analyzes the working principle of traditional power outage and restoration, and then introduces the new mode of management based on distributed architecture and the realization of business process transformation in the two systems. Finally, the application effectiveness potential of the new model is described and further research directions are proposed.</t>
  </si>
  <si>
    <t>Shandong Provincial Natural Science Foundation(grant numbers:ZR2020MF014);</t>
  </si>
  <si>
    <t>In the context of promoting the realization of the “double carbon” goal, the scale of new energy development is gradually expanding and the proportion of grid connection is becoming higher and higher. Industrial parks dominated by traditional thermal power supply urgently need to optimize the energy structure and layout of the park, increase the proportion of clean energy, improve the terminal electrification level and utilization efficiency, and build a clean, low-carbon, safe and efficient new power system, Meet the diversified energy demand in the park. Focusing on “smart energy drives smart Park”, this paper makes full use of advanced technologies such as “big cloud moving smart”, focuses on basic sharing, digital interconnection, power substitution, coordination and interaction, carries out smart energy planning and design of Industrial Park, strengthens in-depth perception of terminal equipment, deepens big data interconnection, widely promotes comprehensive energy and smart energy use, and improves automatic data collection Support various intelligent business applications and promote the intelligent construction of industrial parks.</t>
  </si>
  <si>
    <t>The Internet of vehicles industry is a new industry deeply integrated with automobile, electronics, information communication, road transportation and other industries. As the most extensive charging network construction project in the world, the Smart Internet of Vehicles has built a lightweight MQTT(Message Queuing Telemetry Transport) Internet of things platform and realized the cloud platforms + micro-services Architecture. It won the 2018 international Edison Award, which is recognition of State Grid’s years of deep research in electric vehicle service platform and related technologies. In view of the development and future application of the Smart Internet of Vehicles platform, this paper puts forward some constructive ideas and suggestions from six aspects, combined with the continuous development of V2X (vehicle to everything).</t>
  </si>
  <si>
    <t>With the goal of “Peak Emission and Carbon Neutrality”, energy technology and digital technology are further integrated, and the power grid is accelerating to evolve towards the energy internet. The establishment of energy internet is a milestone on energy consumption management. This paper proposes a new energy internet cloud platform architecture, which adopts the key technologies such as big data, artificial intelligence, SDN and blockchain, in order to manage multiple data centers, flexibly deal with access pressure and remote resource failures, and to meet the requirement of continuous support of energy internet business.</t>
  </si>
  <si>
    <t>Science and Technology Project of China Southern Power Grid Co. Ltd(grant numbers:035900KK52222003);</t>
  </si>
  <si>
    <t>M. Gotin; F. Lösch; R. Reussner</t>
  </si>
  <si>
    <t>P. Zech; P. Pobitzer; G. Fröch; R. Breu</t>
  </si>
  <si>
    <t>Observability is important to ensure the reliability of microservice applications. These applications are often prone to failures, since they have many independent services deployed on heterogeneous environments. When employed “correctly”, observability can help developers identify and troubleshoot faults quickly. However, instrumenting and configuring the observability of a microservice application is not trivial but tool-dependent and tied to costs. Practitioners need to understand observability-related tradeoffs in order to weigh between different observability design alternatives. Still, these architectural design decisions are not supported by systematic methods and typically just rely on”professional intuition”. To assess observability design tradeoffs with concrete evidence, we advocate for conducting experiments that compare var-ious design alternatives. Achieving a systematic and repeatable experiment process necessitates automation. We present a proof-of-concept implementation of an experiment tool - Observability eXperiment eNgine (OXN). Oxn is able to inject arbitrary faults into an application, similar to Chaos Engineering, but also possesses the unique capability to modify the observability configuration, allowing for the straightforward assessment of design decisions that were previously left unexplored.</t>
  </si>
  <si>
    <t>Observability is important to ensure the reliability of microservice applications. These applications are often prone to failures, since they have many independent services deployed on heterogeneous environments. When employed “correctly”, observability can help developers identify and troubleshoot faults quickly. However, instrumenting and configuring the observability of a microservice application is not trivial but tool-dependent and tied to costs. Architects need to understand observability-related trade-offs in order to weigh between different observability design alternatives. Still, these architectural design decisions are not supported by systematic methods and typically just rely on “professional intuition”. In this paper, we argue for a systematic method to arrive at informed and continuously assessable observability design decisions. Specifically, we focus on fault observability of cloud-native microservice applications, and turn this into a testable and quantifiable property. Towards our goal, we first model the scale and scope of observability design decisions across the cloud-native stack. Then, we propose observability metrics which can be determined for any microservice application through so-called observability experiments. We present a proof-of-concept implementation of our experiment tool Oxn. Oxn is able to inject arbitrary faults into an application, similar to Chaos Engineering, but also possesses the unique capability to modify the observability configuration, allowing for the assessment of design decisions that were previously left unexplored. We demonstrate our approach using a popular open source microservice application and show the trade-offs involved in different observability design decisions.</t>
  </si>
  <si>
    <t>European Union(grant numbers:101070186);</t>
  </si>
  <si>
    <t>In recent years, the new Internet of Things (IoT) paradigm has gained widespread adoption, and as a result, smart cities have evolved. “Smart cities” deploy their solutions in real time to enhance the convenience and happiness of urban dwellers. The network traffic of a smart city via IoT systems is rising dramatically, generating new cyber security issues, because these IoT devices are being connected to sensors that are directly connected to massive cloud servers. Researchers need to improve techniques for detecting compromised Internet of Things (IoT) devices in order to defend against these incursions. The proposed method employs the steps of preprocessing the data, selecting the features to use, and training the model. Data preprocessing in machine learning and statistics typically involves the use of normalization and standardization feature scaling techniques to convert the numerical values included in the dataset into the desired scales and ranges. Chi-square, Pearson's Correlation Coefficient, and mutual information are the three main metrics used in the feature selection process. A-BiLSTM-CRF is then used to train the models with the input features. When compared to the two most common alternatives, CRF and Bi-LSTM, the proposed method performs better. The proposed method was successful with a success rate of 97.32%.</t>
  </si>
  <si>
    <t>Lanubile, Filippo; Martínez-Fernández, Silverio; Quaranta, Luigi</t>
  </si>
  <si>
    <t>Cattles are suffering numerous challenges in today's world, because humans do not care for them. They are fully reliant on technology, which is all around us, to spot the presence of illness at the premature phase and prevent it from spreading. This paper proposed a reliable, economic, energy efficient and livestock health monitoring system. The lightning sensor, which will switch ON and OFF based on the weather. Through IR sensor determining the cattle count. This allows us to keep an eye on a gadget that can sense, record, and wirelessly communicate data for the cow's precision and timekeeping. Critical metrics such as cow's health, includes body temperature, respiration, humidity, heartbeat, and rumination are continuously monitored using wireless sensors based on emergency detection of cattle health monitoring system.  © 2023 IEEE.</t>
  </si>
  <si>
    <t>Ł. Falas; P. Schauer; P. Świątek; R. Trzaska</t>
  </si>
  <si>
    <t>M. Mäntylä; M. Varela; S. Hashemi</t>
  </si>
  <si>
    <t>Pinpointing Anomaly Events in Logs from Stability Testing – N-Grams vs. Deep-Learning</t>
  </si>
  <si>
    <t>The rapid evolution of 5G technology is transforming the landscape of the "Internet of Things (IoT), enabling the deployment of high-speed, low-latency, and massive device communication" networks [1]. This paper studies the design, development, and integration of 5G IoT modules, focusing on their architecture, functionality, and performance in real-world military applications. By leveraging 5G’s "enhanced mobile broadband (eMBB), ultra-reliable low-latency communication (URLLC), and massive machine-type communication (mMTC)". 5G IoT modules also facilitate a range of military solutions, including battlefield communication, autonomous systems, Internet of Military Things (IoMT), and situational awareness [1]. The paper investigates the role of network slicing in optimizing specific mission-critical applications, ensuring isolated and secure communication in contested environments. Paper concludes by addressing challenges such as security, interoperability, and energy consumption while providing insights into the future of 5G IoT in military strategy.</t>
  </si>
  <si>
    <t>Institute for Information &amp; communications Technology Planning &amp; Evaluation(grant numbers:2018R1A6A1A03024003);</t>
  </si>
  <si>
    <t>G. Ouffoué; F. Zaïdi; A. R. Cavalli; M. Lallali</t>
  </si>
  <si>
    <t>Self-awareness is a crucial capability of autonomous service-based systems that enables them to self-adapt. There are different types of self-awareness whereby certain types of knowledge are captured at various levels. We argue that effective management of the trade-offs of dependability requirements can be achieved through “seamless” switching between different levels of awareness. However, the assessment of the quality of knowledge to enable dynamic switching between self-awareness levels has not been tackled yet. We propose a general architecture that exploits symbiotic simulation in order to tackle the complexity of assessing the quality of knowledge and attaining the meta-self-awareness property, wherein the system can reflect on its different levels of awareness. We conduct a thorough real-world study in the context of volunteer services. We conclude that a system made meta-self-aware using our approach achieves optimal performance by activating the most suitable awareness level. This comes at the cost of a modest computational overhead.</t>
  </si>
  <si>
    <t>Based on many years of experience in the development and implementation of systems of continuous monitoring of transport infrastructure facilities, the authors have designed an architecture that allows the most efficient and rational arrangement of such systems. The paper notes the need for and importance of universalizing the development, design and implementation of technical diagnostics and monitoring systems of transport infrastructure facilities. It also gives detailed description of universal monitoring system architecture, as well as a roadmap for the development of universal hardware and software platform for this system. Main components of monitoring systems are de-fined. Recommendations are given to be followed when developing the monitoring systems. It is emphasized that a monitoring system can and should be built to make “energy management” possible through minimization of both energy consumption for implementation of operating procedures and reduction of the carbon footprint from the transport infrastructure facilities. Monitoring systems should be a means that help to build highly immune and energy efficient “green” transport infrastructure facilities.</t>
  </si>
  <si>
    <t>G. di Orio; P. Maló; J. Barata</t>
  </si>
  <si>
    <t>The fundamental role played by “new technologies” to enhance the manufacturing infrastructure, products and services is confirmed by the strategies, roadmaps and initiatives established by the developed countries such as EU-28, US, China and Japan. Putting the light on Europe, the key priorities for manufacturing are aligned with the Industry 4.0 strategy/program where the proliferation of cyber-physical systems (CPSs) and technologies like predictive data analytics, cloud and edge computing are creating the foundation for smart factory, i.e. the efficient and effective connection between products, processes and their related services. However, even if the smart factory vision is quite clear, in practice, it is still unclear how it can be implemented in a way to allow the transparent data exchange between all the layers of a manufacturing company, as well as, between the manufacturing company and the value chain partners. Within the German Industrie4.0 program, the Asset Administration Shell concept is defined to create a standardized digital representation of the asset while ensuring interoperability between all the applications within the manufacturing ecosystem. In this paper, an implementation of the asset administration shell is provided - also called NOVAAS - based on the deep usage of internet technologies, languages and software engineering techniques and methods (such as DevOps, microservices, continuous integration, etc.). The main goal is to contribute towards a generic and extensible reference implementation of the concept.</t>
  </si>
  <si>
    <t>R. Langmann; B. Böhrer; M. Böhrer; S. Negomireanu</t>
  </si>
  <si>
    <t>IECON 2022 – 48th Annual Conference of the IEEE Industrial Electronics Society</t>
  </si>
  <si>
    <t>Local Flexibility Markets (LFMs) play a crucial role in modern electrical grids as they can address grid congestion by efficiently exploiting demand-side flexibility through market-clearing algorithms and incentive signals. However, demo projects worldwide offer limited access to detailed information that enables a good understanding of market design, estimating computational requirements, and exploring different algorithms at multiple levels. Accordingly, This paper introduces ORFLEX, an open-source platform for rapid testing and deploying local flexibility markets. ORFLEX exhibits salient features, including scalability, agile deployment, and secure interactions by leveraging cloud and edge infrastructure and Functions as a Service (FaaS). The platform aims to provide a go-to guide for LFM implementation. The proposal was validated using a straightforward market with a hierarchical configuration involving a market operator, a spot market aggregator, and many flexumers. Experimental results revealed the systems’s ability to assist in large-scale deployments while increasing the number of participants on the demand side. The methodical simulation insights will help market designers and regulators to properly develop LFMs and analyze the impacts of different clearing and demand-side flexibility estimations.</t>
  </si>
  <si>
    <t>Science and Engineering Research Council;</t>
  </si>
  <si>
    <t>Cloud computing;microservices;determinism;Resource Director Technology;RDT;Intel® Xeon®</t>
  </si>
  <si>
    <t>Science and Technology Project of SGCC(grant numbers:SGFJXT00WLJS1900278);</t>
  </si>
  <si>
    <t>In order to improve the service quality of the Internet of Things (IoT) and promote data fusion and sharing on the customer side, this paper introduces IoT technology and studies the architecture of the IoT service plat form on the customer side. To meet the needs of building a multi-ecosystem of customer-side IoT service, the architecture of the customer-side IOT service platform is designed. In this paper, the Internet of Things technology is used to manage customer-side Internet of Things in power generation, transmission, distribution, power consumption, and transformation. This paper uses the edge computing framework to expand the client-side edge IoT proxy service. Through the example verification, the platform data sharing with the new architecture can achieve more than 90% full coverage and promote the service quality of customer-side IoT.  © 2022 IEEE.</t>
  </si>
  <si>
    <t>One of the main challenges of today’s societies is the avoidance of the climate change since the climate crisis in now more evident than ever. Buildings have a large share of total energy consumption and, thus, it is obvious that actions should be taken to reduce their needs. Taking into consideration that nowadays data related to building’s metrics are available in significantly higher rate than in the past, due to the advance of the related technologies, it is necessary to find ways to exploit them in order to draw useful inferences regarding their consumptions and how they can be reduced. For that reason, in this paper we present a Visualisation Engine, which offers a variety of visualisations over stored data. With the usage of the proposed Visualisation Engine, we envision to be able to conduct sufficient research over the data, to generate insightful information regarding their behaviour, and to assist the development of useful solutions towards the direction of more energy efficient buildings.</t>
  </si>
  <si>
    <t>During the Buildings’ lifecycle, massive amounts of data, that contain information related to their energy consumption, are generated. Towards the creation of smart building networks, this produced information must be intercepted and harmonized according to building ontologies and schemas. The pattern recognition from building metadata is based on inferencing and intelligent querying, that can be achieved with the utilization of graph and property databases that deploy and host building information. This paper presents a Reasoning Engine Architecture implemented in the context of the H2020 project called MATRYCS that persists building semantic information. It will be leveraged to support real life applications by improving the inference operations.</t>
  </si>
  <si>
    <t>Performance evaluation studies often produce unreliable or irreproducible results because: (a) measurements have high variability due to multiple system variables and diverse operational conditions, (b) reported results are often focused on point-summary statistics, such as average values. Despite recent efforts, there does not exist a general framework to assess and compare the performance of high-performance systems in a principled and reproducible way.This paper addresses this critical gap by introducing Sharp, an open-source framework designed to redefine performance evaluation following a reproducibility-first approach. Sharp enables and facilitates a comprehensive characterization of the performance distribution of an application, while orchestrating experiments efficiently. Sharp addresses these key challenges using (a) robust performance analysis and comparison with Similarity Metrics; (b) the automatic determination of a reliable sample size through a diverse set of Stopping Rules; and (c) comprehensive recording of experimental conditions and results.We showcase the need for and advantages of Sharp by evaluating the performance of 20 Rodinia benchmarks on 3 HPC servers with different CPU and GPU configurations. We empirically evaluate Sharp to expose the need for distribution-based statistics, and demonstrate how the stopping rules of Sharp attain reliable performance results while minimizing resource usage up to ∼90% relative to a large fixed number of experiments sufficient enough to establish ground-truth. We see the Sharp framework as a fundamental step towards providing customers and engineers with a reproducible and reliable way to reason and compare the performance of HPC applications and infrastructure.</t>
  </si>
  <si>
    <t>In this research, we look at the challenge of scheduling jobs in a software-defined fog-IoT network while keeping latency and energy consumption in mind. We suggest the potent Deep Q-Learning process as a first step toward resolving the online job allocation and scheduler problem. The other guarantees economical energy use by preserving battery life within the limitations imposed by app reliance to reduce network latency. Next, we propose a deep reinforcement learning (DRL) method for adaptive scheduling tasks as well as allocation in SDN-enabled edge networks, and we factor in the task arrival process as part of this approach. Through thorough testing, we compared the proposed approach to three cutting-edge deep learning techniques (namely, deterministic, random, and A3C agents). Our method was shown to be better to other methods via several simulations. We also emphasise our design’s energy efficiency, which may result in savings of up to 87% compared to more traditional methods. We have proved that the offloading system can do up to 50 percent more work in the same amount of time. The results demonstrate that the proposed method may be utilised to proactively optimise scheduling as well as allocation of complicated activities with dependencies in decentralised Fog IoT networks.</t>
  </si>
  <si>
    <t>The Industrial Control System is experiencing a massive redesign because of the digital transition and the promises of Industry 4.0 and Industry 5.0. The convergence of Information Technology and Operational Technology has reinforced the Process Industry as a cyber-physical ecosystem. In today’s industrial automation environment, the Internet of Things and Industrial Internet of Things have become intrinsically tied. SCADA systems are crucial for monitoring and managing control parameters and notifying system failures to reduce downtime in the process industry. The SCADA operations, such as data collection, control operations, and visualization, have undergone substantial changes because of technological advancements. These transformations have motivated us to design and implement a novel SCADA engine using the latest technologies. The SCADA WebView is an innovative Enterprise Transmission SCADA engine developed under the COPS framework for the power sector. It can also be tailored to different process industries. This product has been extensively deployed across the Indian Power Grid. In the future, an AI-based cognitive decision-making system will be incorporated for optimal control.</t>
  </si>
  <si>
    <t>M. Filppula; P. Kannisto; D. Hästbacka</t>
  </si>
  <si>
    <t>We study the optimal control of multiple video streams over a wireless downlink from a base-transceiver-station (BTS)/access point to N end-devices (EDs). The BTS sends video packets to each ED under a joint transmission energy constraint, the EDs choose when to play out the received packets, and the collective goal is to provide a high Quality-of-Experience (QoE) to the clients/end-users. All EDs send feedback about their states and actions to the BTS which reaches it after a fixed deterministic delay. We analyze this team problem with delayed feedback as a cooperative Multi-Agent Constrained Partially Observable Markov Decision Process (MA-C-POMDP).First, using a recently established strong duality result for MAC-POMDPs, the original problem is decomposed into N independent unconstrained transmitter-receiver (two-agent) problems— all sharing a Lagrange multiplier (that also needs to be optimized for optimal control). Thereafter, the common information (CI) approach and the formalism of approximate information states (AISs) are used to guide the design of a neural-network based architecture for learning-based multi-agent control in a single unconstrained transmitter-receiver problem. Finally, simulations on a single transmitter-receiver pair with a stylized QoE model are performed to highlight the advantage of delay-aware two-agent coordination over the transmitter choosing both transmission and play-out actions (perceiving the delayed state of the receiver as its current state).</t>
  </si>
  <si>
    <t>National Science Foundation; Arm;</t>
  </si>
  <si>
    <t>P. F. Pérez; C. Fiandrino; M. Fiore; J. Widmer</t>
  </si>
  <si>
    <t>M. Maksimović</t>
  </si>
  <si>
    <t>J. J. García; I. L. Úbeda; P. Szmeja; K. Wasielewska-Michniewska; M. Ganzha; C. E. P. Salvador; C. Bădică; S. Fidanova; M. Paprzycki</t>
  </si>
  <si>
    <t>Horizon Europe; Bulgarian Academy of Sciences;</t>
  </si>
  <si>
    <t>V. Karagiannis; B. Nagy; A. Jodkowski; M. Kranner; D. Ignjatović</t>
  </si>
  <si>
    <t>Chinese Academy of Sciences; National Science Foundation; Program for New Century Excellent Talents in University;</t>
  </si>
  <si>
    <t>Large-scale datacenters often host latency-sensitive services that have stringent Quality-of-Service requirement and experience diurnal load pattern. Co-locating best-effort applications that have no QoS requirement with latency-sensitive services has been widely used to improve the resource utilization with careful shared resource management. However, existing co-location techniques tend to result in the power overload problem on power constrained computers due to the ignorance of the power consumption. To this end, we propose Sturgeon, a runtime system proactively manages resources between colocated applications in a power constrained environment, to ensure the QoS of latency-sensitive services while maximizing the resource utilization. Our investigation shows that, at a given load, there are multiple feasible resource configurations to meet both QoS requirement and power budget, while one of them yields the maximum throughput of best-effort applications. To find such a configuration, we establish models to accurately predict the performance and power consumption of the colocated applications. Sturgeon monitors the QoS periodically in order to eliminate the potential QoS violation caused by the unpredictable interference. The experimental results show that Sturgeon improves the throughput of best-effort applications by 24.96% compared to the state-of-the-art technique, while guaranteeing the 95%-ile latency within the QoS target. © 2020 IEEE.</t>
  </si>
  <si>
    <t>Precision Beekeeping systems collect data on colonies of bees using sensors to assist beekeepers and preserve bees. The collection, transfer, and processing of such data are energy-intensive processes. However, most Precision Beekeeping systems work under a limited energy budget.This article focuses on the placement of AI-based energy-aware Precision Beekeeping services at the edge and in the cloud. We deploy a set of smart beehives as edge devices in order to conduct experiments and collect real data. Then, we simulate large-scale systems with embedded services. Our results show that parameters like the number of smart beehives, the frequency of data collection, and different losses impact the placement of these services to enhance energy efficiency.  © 2023 IEEE.</t>
  </si>
  <si>
    <t>Smart cities will depend on reliable Internet of things to effectively provide residential and commercial services. Smart city applications generate vast amount of data and will need the infrastructure to support high transaction throughput. The data associated with smart cities can include sensitive information and there is a need to guarantee the security and privacy through a blockchain-based decentralized infrastructure. Current blockchain environments face several challenges, such as, lack of high transaction throughput, high scalability, real-time transaction processing, and back-end stress operations, etc. In this paper, we propose “Bassa”, a blockchain platform that will meet the aforementioned challenges. Bassa employs a Apache Kafka based consensus and `validate-execute-group” blockchain architecture to realize real-time transaction. Bassa's smart contract platform realizes concurrent transaction by leveraging actor-based concurrency.</t>
  </si>
  <si>
    <t>Office of Fossil Energy;</t>
  </si>
  <si>
    <t>Interactive AI-powered services require low-latency evaluation of deep neural network (DNN) models—aka "realtime AI". The growing demand for computationally expensive, state-of-the-art DNNs, coupled with diminishing performance gains of general-purpose architectures, has fueled an explosion of specialized Neural Processing Units (NPUs). NPUs for interactive services should satisfy two requirements: (1) execution of DNN models with low latency, high throughput, and high efficiency, and (2) flexibility to accommodate evolving state-of-the-art models (e.g., RNNs, CNNs, MLPs) without costly silicon updates.This paper describes the NPU architecture for Project Brainwave, a production-scale system for real-time AI. The Brainwave NPU achieves more than an order of magnitude improvement in latency and throughput over state-of-the-art GPUs on large RNNs at a batch size of 1. The NPU attains this performance using a single-threaded SIMD ISA paired with a distributed microarchitecture capable of dispatching over 7M operations from a single instruction. The spatially distributed microarchitecture, scaled up to 96,000 multiply-accumulate units, is supported by hierarchical instruction decoders and schedulers coupled with thousands of independently addressable high-bandwidth on-chip memories, and can transparently exploit many levels of fine-grain SIMD parallelism. When targeting an FPGA, microarchitectural parameters such as native datapaths and numerical precision can be "synthesis specialized" to models at compile time, enabling high FPGA performance competitive with hardened NPUs. When running on an Intel Stratix 10 280 FPGA, the Brainwave NPU achieves performance ranging from ten to over thirty-five teraflops, with no batching, on large, memory-intensive RNNs.</t>
  </si>
  <si>
    <t>Modern data center applications exhibit deep software stacks, resulting in large instruction footprints that frequently cause instruction cache misses degrading performance, cost, and energy efficiency. Although numerous mechanisms have been proposed to mitigate instruction cache misses, they still fall short of ideal cache behavior, and furthermore, introduce significant hardware overheads. We first investigate why existing I-cache miss mitigation mechanisms achieve sub-optimal performance for data center applications. We find that widely-studied instruction prefetchers fall short due to wasteful prefetch-induced cache line evictions that are not handled by existing replacement policies. Existing replacement policies are unable to mitigate wasteful evictions since they lack complete knowledge of a data center application's complex program behavior.To make existing replacement policies aware of these eviction-inducing program behaviors, we propose Ripple, a novel software-only technique that profiles programs and uses program context to inform the underlying replacement policy about efficient replacement decisions. Ripple carefully identifies program con-texts that lead to I-cache misses and sparingly injects "cache line eviction"instructions in suitable program locations at link time. We evaluate Ripple using nine popular data center applications and demonstrate that Ripple enables any replacement policy to achieve speedup that is closer to that of an ideal I-cache. Specifically, Ripple achieves an average performance improvement of 1.6% (up to 2.13%) over prior work due to a mean 19% (up to 28.6%) I-cache miss reduction.  © 2021 IEEE.</t>
  </si>
  <si>
    <t>While serverless computing is increasingly popular, its energy and power consumption behavior is hardly explored. In this work, we perform a thorough characterization of the serverless environment and observe that it poses a set of challenges not effectively handled by existing energy-management schemes. Short serverless functions execute in opaque virtualized sandboxes, are idle for a large fraction of their invocation time, context switch frequently, and are co-located in a highly dynamic manner with many other functions of diverse properties. These features are a radical shift from more traditional application environments and require a new approach to manage energy and power. Driven by these insights, we design EcoFaaS, the first energy management framework for serverless environments. EcoFaaS takes a user-provided end-to-end application Service Level Objective (SLO). It then splits the SLO into per-function deadlines that minimize the total energy consumption. Based on the computed deadlines, EcoFaaS sets the optimal per-invocation core frequency using a prediction algorithm. The algorithm performs a fine-grained analysis of the execution time of each invocation, while taking into account the specific invocation inputs. To maximize efficiency, EcoFaaS splits the cores in a server into multiple Core Pools, where all the cores in a pool run at the same frequency and are controlled by a single scheduler. EcoFaaS dynamically changes the sizes and frequencies of the pools based on the current system state. We implement EcoFaaS on two open-source serverless platforms (OpenWhisk and KNative) and evaluate it using diverse serverless applications. Compared to state-of-the-art energy-management systems, EcoFaaS reduces the total energy consumption of serverless clusters by 42 % while simultaneously reducing the tail latency by 34.8 %. © 2024 IEEE.</t>
  </si>
  <si>
    <t>A typical SmartNIC (SNIC) integrates a processor comprising Arm CPU and accelerators with a conventional NIC. The processor is designed to energy-efficiently execute network functions frequently used by datacenter applications. With such a processor, the SNIC has promised to notably improve the system-wide energy efficiency of datacenter servers. Nevertheless, the latest trend of integrating accelerators into server CPUs for these functions sparks a question on the SNIC processor’s superiority over a host processor (i.e., server CPU with accelerators) in system-wide energy efficiency, especially under given tail latency constraints. Answering this question, we first take an Intel Xeon processor, integrated with various accelerators (e.g., QuickAssist Technology), as a host processor, and then compare it to an NVIDIA BlueField-2 SNIC processor. This uncovers that (1) the host accelerator, coupled with a more powerful memory subsystem, can outperform the SNIC accelerator, and (2) the SNIC processor can improve system-wide energy efficiency only at low packet rates for most functions under tail latency constraints. To provide high system-wide energy efficiency without compromising tail latency at any packet rates, we propose HAL, consisting of a hardware-based load balancer and an intelligent load balancing policy implemented inside the SNIC. When HAL determines that the SNIC processor cannot efficiently process a given function beyond a specific packet rate, it limits the rate of packets to the SNIC processor and lets the host processor handle the excess. We implement a HAL-enabled SNIC with a commodity FPGA and a BlueField-2 SNIC, plug it into a commodity server, and run 10 popular network functions. Our evaluation shows that HAL can improve the system-wide energy efficiency and throughput of the server running these functions by 31% and 10%, respectively, without notably increasing the tail latency.</t>
  </si>
  <si>
    <t>A growing demand for hyperscale services has compelled hyperscalers to deploy more compute resources at an unprecedented pace, further accelerated by the demise of Dennard scaling. Meanwhile, a considerable portion of the compute resources are consumed to execute common functions present across the hyperscale services, i.e., datacenter taxes. These challenges motivated many to explore specialized accelerators for these functions. Leading such a technology trend, Intel has integrated diverse on-chip accelerators into its recent flagship datacenter CPU products. Furthermore, to support the easy and efficient use of these accelerators for successful deployment in production hyperscale services, Intel has developed a hardware/software ecosystem. In this paper, we first focus on Intel’s holistic efforts to build the hardware/software ecosystem, presenting key SoC-level features that facilitate efficient CPU-accelerator interaction, effortless programming and use, and scalable accelerator sharing and virtualization. Next, we delve into the functions, microarchitectures, and software stacks of three new on-chip accelerators: Data Streaming Accelerator (DSA), In-memory Analytics Accelerator (IAA), and Dynamic Load Balancer (DLB). Lastly, we demonstrate that Intel’s on-chip accelerators can not only significantly reduce the datacenter taxes but also accelerate data-intensive applications essential for hyperscale services, with little effort to use the accelerators.</t>
  </si>
  <si>
    <t>Semiconductor Research Corporation;</t>
  </si>
  <si>
    <t>The paper titled “On Private Server Implementations and Data Visualization for LoRaWAN” explores the implementation of private LoRaWAN servers for secure and scalable data transmission in Internet of Things (IoT) applications. The authors present a detailed analysis of the existing server implementations and propose a novel architecture for private server deployment. The paper also addresses the challenges associated with data visualization in LoRaWAN networks and presents a comprehensive solution for efficient data representation using advanced visualization techniques. The proposed implementation is evaluated through experiments and simulations, and the results demonstrate the feasibility and effectiveness of the proposed architecture for secure and scalable IoT applications. The paper concludes with a discussion on the future directions for research in this area, highlighting the need for further investigation on the scalability and security of LoRaWAN networks.</t>
  </si>
  <si>
    <t>IoT;Fog Computing;Multi-access Edge Computing;Middleware;IBM Watson IoT™;MQTT</t>
  </si>
  <si>
    <t>B. Perk; C. Bayraktaroğlu; E. D. Doğu; F. Safdar Ali; Ö. Ökasap</t>
  </si>
  <si>
    <t>S. García-Gil; D. Ramos-Ramos; J. Gómez-delaHiz; A. García-López; S. López-López; J. M. Murillo; J. Galán-Jiménez</t>
  </si>
  <si>
    <t>The integration of 3D innovation, Mixed Reality (MR), and blockchain in smart buildings has revolutionized the IoT sector. Visualization using 3D technology and immersive interfaces allows users to control and interact with devices within smart building environments. Users can use hand gestures or controllers in a 3D environment to adjust lighting, monitor energy consumption, or manage other smart devices. When combined with MR, the capabilities of 3D technology are enhanced with virtual elements overlaying onto the real-world environment. Within smart buildings, MR can visualize real-time sensor data, display device statuses, and provide intuitive visual feedback. The integration of blockchain in this ecosystem adds layers of security, transparency, and trust by securely recording and verifying device data, control commands, and user interactions. Blockchain technology enables secure peer-to-peer communication and smart contracts for automated device interactions and control. User testing results for controlling smart buildings with Mixed Reality (MR) technology showed high user satisfaction with an average score of 4.48. Users appreciated the performance and functionality of the system, as well as the new experience provided by the natural and immersive MR interface for interacting with smart building controls. © 2024 IEEE.</t>
  </si>
  <si>
    <t>Horizon Europe; European Commission;</t>
  </si>
  <si>
    <t>Although cloud computing became a mainstream industrial computing paradigm, low resource utilization remains a common problem that most warehouse-scale datacenters suffer from. This leads to a significant waste of hardware resources, infrastructure investment, and energy consumption. As the diversity in application workloads grows into an essential characteristic in modern datacenters, task co-location of different workloads to the same compute cluster has gained immense popularity as a heuristic solution for resource utilization optimization. Although the existing co-location methodologies manage to improve resource efficiency to a certain degree, application QoS is usually sacrificed as a trade-off when dealing with resource interference between different applications. This paper proposes a containerized task co-location (CTCL) scheduler to improve resource utilization and minimize task eviction rate. Our CTCL scheduler (1) applies an elastic task co-location strategy to improve resource utilization; and (2) supports a dynamic task rescheduling mechanism to prevent severe QoS degradation from frequent task evictions. We evaluate our approach in terms of resource efficiency and rescheduling cost through the ContainerCloudSim simulator. Our experiments with the Alibaba 2018 workload traces demonstrate that CTCL could improve overall resource efficiency and reduce rescheduling rate by 38% and 99% respectively. © 2020 IEEE.</t>
  </si>
  <si>
    <t>H. Valera; L. I. G. Giraldo; C. A. S. Mu˜Noz; A. A. R. Marroquin; L. A. Damas; M. Dalmau; P. Roose; Y. Cardinale</t>
  </si>
  <si>
    <t>Distributed systems, spanning pervasive, cloud, and edge computing, require robust scheduling for tasks and data management, facing challenges like hardware diversity, QoS, localization, and energy efficiency. Current solutions often lack a comprehensive approach, failing to achieve balanced load management, QoS, and notably in minimizing application energy use, a key modern concern. We propose a distributed scheduler using multidimensional spaces and data structures aimed at comprehensive load balancing, energy efficiency, and QoS. The scheduler indexes devices within the structure based on diverse criteria such as hardware availability, GPS, and energy features. It then organizes applications into abstract graphs, where nodes are containers and their data items (units of data accessed by the containers), and edges are the transfer rates among them. To migrate containers, the scheduler performs range queries within the structure for optimal devices. To organize data items, it finds the barycenter of the devices executing the containers linked to them. We evaluated our scheduler’s effectiveness using the PISCO simulator, comparing it against other energy-efficient schedulers.</t>
  </si>
  <si>
    <t>M. Konieczny; S. Musiał; S. Zieliński</t>
  </si>
  <si>
    <t>Research and Development; Horizon Europe;</t>
  </si>
  <si>
    <t>J. Palomares; E. Coronado; D. Rincón; M. S. Siddiqui</t>
  </si>
  <si>
    <t>P. Purucker; C. Reil; A. Höß; B. W. Schuller</t>
  </si>
  <si>
    <t>The article considers the basic principles of the solar-diesel complex operation mode control system. The methodology that allows to determine the most effective combination of operating equipment is proposed. The suggested solutions are evaluated for the conditions of the solar-diesel complex located in the city of Verkhoyansk, and it is carried out using the author’s software package.</t>
  </si>
  <si>
    <t>Ministry of Science and Higher Education of the Russian Federation;</t>
  </si>
  <si>
    <t>This paper presents an IoT enabled real time occupancy semantic search system leveraging ETSI defined context information and interface meta model standard- “Next Generation Service Interface for Linked Data” (NGSI-LD). It facilitates interoperability, integration and federation of information exchange related to spatial infrastructure among geo-distributed deployed IoT entities, different stakeholders, and process domains. This system, in the presented use case, solves the problem of adhoc booking of meetings in real time through semantic discovery of spatial data and metadata related to room occupancy and thus enables optimum utilization of spatial infrastructure in university campuses. Therefore, the proposed system has the capability to save on effort, cost and productivity in institutional spatial management contexts in the longer run and as well provide a new enriched user experience in smart public buildings. Additionally, the system empowers different stakeholders to plan, forecast and fulfill their spatial infrastructure requirements through semantic data search analysis and real time data driven planning. The initial performance results of the system have shown quick response enabled semantic discovery of data and metadata (&lt;2 seconds mostly). The proposed system would be a steppingstone towards smart management of spatial infrastructure which offers scalability, federation, vendor agnostic ecosystem, seamless interoperability and integration and security by design. The proposed system provides the fundamental work for its extension and potential in relevant spatial domains of the future.</t>
  </si>
  <si>
    <t>L. Silva; N. Magaia; B. Sousa; A. Kobusińska; A. Casimiro; C. X. Mavromoustakis; G. Mastorakis; V. H. C. de Albuquerque</t>
  </si>
  <si>
    <t>Research Start-Up Fund for Talent Researcher of Nanjing Agricultural University(grant numbers:77H0603); National Natural Science Foundation of China(grant numbers:62072248);</t>
  </si>
  <si>
    <t>Iran National Science Foundation(grant numbers:96003291);</t>
  </si>
  <si>
    <t>The use of services computing technology provides support to the development of modern services industries. Services computing utilizes and implements computing technology to develop IT services systems that are capable of supporting and developing services innovation. This condition motivates the organization to be able to present the services computing systems in the form of IT services systems. It needs a strong understanding of identifying, designing, building, implementing, and running the systems. This paper outlines the development of services computing systems engineering framework that can be used as the foundation for building services computing systems. The contribution of this paper is to enhance the knowledge of services computing from the engineering perspective. © 2017 IEEE.</t>
  </si>
  <si>
    <t>FP7 Marie Curie Initial Training Network METRICS Project(grant numbers:607728);</t>
  </si>
  <si>
    <t>European Union’s FP7 Project COSMOS(grant numbers:609043); European Union’s Horizon 2020 Project CPaaS.io(grant numbers:723076);</t>
  </si>
  <si>
    <t xml:space="preserve">MONROE—Toff Project (H2020)(grant numbers:644399); NETIO-ForestMon(grant numbers:53/05.09.2016,SMIS2014+105976); SPERO(grant numbers:PN-III-P2-2.1-SOL-2016-03-0046,3Sol/2017); ROBIN(grant numbers:PN-III-P1-1.2-PCCDI-2017-0734); National Research Foundation of Korea(grant numbers:2017R1A6A1A03015496); </t>
  </si>
  <si>
    <t>NPRP grant from the Qatar National Research Fund (a member of Qatar Foundation)(grant numbers:NPRP 5-319-2-121);</t>
  </si>
  <si>
    <t>Y. Yao; X. Chang; J. Mišić; V. Mišić</t>
  </si>
  <si>
    <t>National Natural Science Foundation of China(grant numbers:61572066); Natural Sciences and Engineering Research Council of Canada;</t>
  </si>
  <si>
    <t>M. Aly; F. Khomh; Y. -G. Guéhéneuc; H. Washizaki; S. Yacout</t>
  </si>
  <si>
    <t>Natural Sciences and Engineering Research Council of Canada;</t>
  </si>
  <si>
    <t xml:space="preserve">Coordenação de Aperfeiçoamento de Pessoal de Nível Superior - Brazil (CAPES) - Finance Code 001, CAPES Pro-Defesa Auxílio 2993/2013, Pró-Reitoria de Pós-Graduação da Universidade de São Paulo and Laboratório de Sistemas Integráveis Tecnológico (LSI-TEC); National Secretary for Digital Policies (SEPIN) within the Ministry of Science, Technology, Innovation and Communications (MCTIC) of Brazil(grant numbers:01250.054503/2017-72); </t>
  </si>
  <si>
    <t>U.S. Department of Energy(grant numbers:DE-EE-0006352);</t>
  </si>
  <si>
    <t>With the rapid explosion of Industrial Internet of Things (IIoT), the need for real-time data processing with enhanced flexibility and scalability has increased manifold. However, the newly evolved containerization technology offers lucrative advantages in comparison to the conventional virtual machines. However, management of these light-weight containers is a tedious task, but Google Kubernetes offers a consolidated container management and scheduling for successful execution of various lightweight containers. Nevertheless, the existing Kubernetes solutions fall short in efficiently handling the “interference” and “energy minimization” challenges in IIoT set-up. Hence, in this article, we present a competent controller, named Kubernetes-based energy and interference driven scheduler (KEIDS), for container management on edge-cloud nodes taking into account the emission of carbon footprints, interference, and energy consumption. The problem of task scheduling has been formulated using integer linear programming based on multiobjective optimization problem. In detail, KEIDS minimizes the energy utilization of edge-cloud nodes in IIoT for optimal green energy utilization. Henceforth, the applications are scheduled on the available nodes in less time with minimum interference from other applications, which in turn guarantees an optimal performance to the end-users. An extensive evaluation of the proposed KEIDS scheduler in comparison to the existing state-of-the-art schemes indicates its superior performance on real-time data acquired from Google compute cluster.</t>
  </si>
  <si>
    <t>Natural Sciences and Engineering Research Council of Canada (NSERC); Tier 2 Canada Research Chair on the Next Generations of Wireless IoT Networks;</t>
  </si>
  <si>
    <t xml:space="preserve">National Natural Science Foundation of China(grant numbers:61871032,61901447); European Union’s Horizon 2020 Research and Innovation Programme under Marie Skłodowska-Curie(grant numbers:824019); Sichuan Science and Technology Program(grant numbers:2019YFH0033); Startup Foundation for Introducing Talent of Nanjing University of Information Science and Technology; Guilin University of Electronic Technology(grant numbers:CRKL190204); Priority Academic Program Development of Jiangsu Higher Education Institutions; Natural Science Foundation of Shandong Province(grant numbers:ZR2019PF018); </t>
  </si>
  <si>
    <t>Security requirements applicable to the Internet of Things (IoT) should aim to ensure integrity, authenticity and authorization, confidentiality/privacy, nonrepudiation, and last but not least, availability. Classic data analysis algorithms are no longer valid for assuring security at all levels and a new approach to data sciences is required, which would consider the complex heterogeneous nature of the IoT, taking also into consideration, its potential to deploy cross layer for security assessment mechanisms. Furthermore, data collected from sensors should be processed and analyzed nearly in real time. The classical algorithms have two main drawbacks: 1) they deal with unidimensional data and 2) they fail to assume limited information available in the stream data processing. In this article, new solutions are discussed and presented that detect anomalies in data streams nearly in real time. Specifically, we propose: 1) an event detection method used in unidimensional data streams and relying on the event strength function, which is an extension of the typical “True or False” decision-making scheme; 2) multiple-criteria event detection approaches based on the Dynamic Pareto Set, introducing a time-depending decision set; and 3) an anomaly detection method based on multicriteria temporal graphs, combining the dynamics of decision making and multicriteria. All the proposed algorithms are presented by means of their formal description and are illustrated with examples.</t>
  </si>
  <si>
    <t>The use of Internet of Things (IoT) has introduced genuine concerns regarding data security and its privacy when data are in collection, exchange, and use. Meanwhile, blockchain offers a distributed and encrypted ledger designed to allow the creation of immutable and tamper-proof records of data at different locations. While blockchain may enhance IoT with innate security, data integrity, and autonomous governance, IoT data management and its allocation in blockchain still remain an architectural concern. In this article, we propose a novel context-aware mechanism for on-chain data allocation in IoT-blockchain systems. Specifically, we design a data controller based on fuzzy logic to calculate the Rating of Allocation (RoA) value of each data request considering multiple context parameters, i.e., data, network, and quality and decide its on-chain allocation. Furthermore, we illustrate how the design and realization of the mechanism lead to refinements of two commonly used IoT-blockchain architectural styles (i.e., blockchain-based cloud and fog). To demonstrate the effectiveness of our approach, we instantiate the data allocation mechanism in the blockchain-based cloud and fog architectures and evaluate their performance using FogBus. We also compare the efficacy of our approach to the existing decision-making mechanisms through the deployment of a real-world healthcare application. The experimental results suggest that the realization of the data allocation mechanism improves network usage, latency, and blockchain storage and reduces energy consumption. © 2014 IEEE.</t>
  </si>
  <si>
    <t>A Survey and Tutorial on “Connection Exploding Meets Efficient Communication” in the Internet of Things</t>
  </si>
  <si>
    <t>National Natural Science Foundation of China(grant numbers:61901052); Higher Education Discipline Innovation Project(grant numbers:B17007); Director Funds of Beijing Key Laboratory of Network System Architecture and Convergence(grant numbers:2017BKL-NSAC-ZJ-02);</t>
  </si>
  <si>
    <t>In today's era of Internet of Things (IoT), efficient and real-time processing of massive data generated by IoT device has become the primary issue for traditional cloud computing network architectures. As a supplement of cloud computing, edge computing enhances the real-time performance of service completion by offloading services to edge servers closer to the terminal device for execution, while reducing power consumption and computing load in the cloud. In this article, we propose the following solutions to resolve the different requests of the IoT device: in an “edge-cloud” heterogeneous network environment, create a mapping scheme between application modules and basic resource equipment, considering the two factors of tolerant task latency and system power consumption. In the application step-by-step execution process, heuristic dynamic task processing algorithm is used to reduce the task latency time. Experiments with the “iFogSim” simulator show that, application service quality is significantly improved and system power consumption is greatly reduced, which compared with the stable application module placement strategy and the static task scheduling strategy.</t>
  </si>
  <si>
    <t>Beijing Natural Science Foundation(grant numbers:4192007); National Natural Science Foundation of China(grant numbers:61202076);</t>
  </si>
  <si>
    <t>R. López-Viana; J. Díaz; V. H. Díaz; J. -F. Martínez</t>
  </si>
  <si>
    <t>Engineering and Physical Sciences Research Council of United Kingdom(grant numbers:EP/R030863/1);</t>
  </si>
  <si>
    <t>Many researchers try to make a comparison between various Internet-of-Things (IoT) platforms based on specific requirements. However, none of the reviewed studies proposed a thorough analysis of the variety of comparative methods. Since there is a lack of comparison frameworks for IoT platforms, individuals or companies have difficulties when selecting a suitable IoT platform matching their associated business requirements. In order to support this selection process, a set of functional and nonfunctional requirements is identified. A framework containing methods in selecting an IoT platform is presented. The methodology is based on statistical and visualization techniques to recommend a suitable IoT platform. Five IoT platforms: 1) Azure; 2) AWS; 3) SaS; 4) ThingWorx; and 5) Kaa IoT are studied to evaluate the performance of the framework. Different comparison methods are proposed and a multicriteria decision analysis method was applied by using an analytical hierarchical process (AHP). One of the methods clusters the functional requirements and compares the IoT platforms based on their ability in supporting a specific requirement or not. The  $K$ -means clustering was applied to determine the clusters of functional requirements. The comparison was made based on the hierarchical level of requirements per main requirement. The other methods use the following statistical tests: error bar test, one-way Anova test, and Tukey’s honest significant difference test. Based on the selected requirements, an approach is suggested for which IoT platform can be used.</t>
  </si>
  <si>
    <t>Among the novel IT paradigms, cloud computing and the Internet of Things (CloudIoT) are two complementary areas designed to support the creation of smart cities and application services. The CloudIoT not only presents ubiquitous services through IoT nodes but it also provides virtually unlimited resources through services composition. The services composition problem aims to find a set of services among functionally equivalent services with different Quality of Service (QoS) concerning users' constraints. To this aim, previous studies calculate QoS values through service logs without considering the presence of anomalies in the existing QoS values; however, the dynamicity of distributed service environments and communication networks in CloudIoT environments causes anomalies in the QoS values. Therefore, existing approaches fail to model QoS values accurately that leads to service-level agreement (SLA) violation and penalties for service broker. To address this challenge, we propose a scalable anomaly-aware approach (SAIoT) including two main components: the first component models QoS values based on a machine learning anomaly detection technique, to remove the existing abnormal QoS records, and the second component finds a near-optimal composition by using an effective and efficient metaheuristic algorithm. The experimental results based on real-world data sets show that our approach achieves 30.64% of the average improvement in the QoS value of a composite plan with equal or even less price compared to the previous works, such as information theory-based and advertised QoS-based methods. © 2014 IEEE.</t>
  </si>
  <si>
    <t>Social Internet of Things (SIoT) is an extension of the Internet of Things (IoT) that converges with social networking concepts to create social networks of interconnected smart objects. This convergence allows the enrichment of the two paradigms, resulting into new ecosystems. While IoT follows two interaction paradigms, human to human (H2H) and thing to thing (T2T), SIoT adds on human-to-thing (H2T) interactions. SIoT enables smart “social objects” that intelligently mimic the social behavior of human in the daily life. These social objects (SOs) are equipped with social functionalities capable of discovering other SOs in the surroundings and establishing social relationships. They crawl through the social network of objects for the sake of searching for services and information of interest. The notion of trust and trustworthiness in social communities formed in SIoT is still new and in an early stage of investigation. In this article, our contributions are threefold. First, we present the fundamentals of SIoT and trust concepts in SIoT, clarifying the similarities and differences between IoT and SIoT. Second, we categorize the trust management solutions proposed so far in the literature for SIoT over the last six years and provide a comprehensive review. We then perform a comparison of the state-of-the-art trust management schemes devised for SIoT by performing comparative analysis in terms of trust management process. Third, we identify and discuss the challenges and requirements in the emerging new wave of SIoT, and also highlight the challenges in developing trust and evaluating trustworthiness among the interacting SOs.</t>
  </si>
  <si>
    <t xml:space="preserve">Deputyship for Research and Innovation, “Ministry of Education” in Saudi Arabia(grant numbers:IFKSURP-43); </t>
  </si>
  <si>
    <t>In.IoT—A New Middleware for Internet of Things</t>
  </si>
  <si>
    <t xml:space="preserve">Fundo de Apoio ao Desenvolvimento das Comunicações, presidential decree no 264/10, November 26, 2010, Republic of Angola; FCT/MCTES through National Funds and when Applicable Co-Funded EU Funds(grant numbers:UIDB/50008/2020); RNP, with resources from MCTIC(grant numbers:01250.075413/2018-04); Centro de Referência em Radiocomunicações Project of the Instituto Nacional de Telecomunicações (Inatel), Brazil; Government of Russian Federation(grant numbers:08-08); Brazilian National Council for Research and Development (CNPq)(grant numbers:304315/2017-6,430274/2018-1,431726/2018-3,309335/2017-5); </t>
  </si>
  <si>
    <t>Institute of Information and Communications Technology Planning &amp; Evaluation (IITP); Korea Government (MSIT) (Fast Intelligence Analysis HW/SW Engine Exploiting IoT Platform for Boosting On-device AI in 5G Environment)(grant numbers:2020-0-00959);</t>
  </si>
  <si>
    <t>Energy-Aware Service Function Chain Embedding in Edge–Cloud Environments for IoT Applications</t>
  </si>
  <si>
    <t>The implementation of Internet-of-Things (IoT) applications faces several challenges in practice, such as compliance with Quality-of-Service requirements, resource constraints, and energy consumption. In this context, the joint edge–cloud paradigm for IoT applications can resolve some of the issues arising in pure cloud computing scenarios, such as those related to latency, energy, or privacy. Therefore, an edge–cloud environment could be promising for resource and energy-efficient IoT applications that implement virtual network functions (VNFs) bound together into service function chains (SFCs). However, a resource and energy-efficient SFC placement requires smart SFC embedding mechanisms in the edge–cloud environment, as several challenges arise, such as IoT service chain modeling and evaluation, the tradeoff between resource allocation, energy efficiency and performance, and the resource dynamics. In this article, we address issues in modeling resource and energy utilization for IoT applications in edge–cloud environments. A smart traffic monitoring IP camera system is deployed as a use case for a realistic modeling of a service chain. The system is implemented in our testbed, which is designed and developed specifically to model and investigate the resource and energy utilization of SFC embedding strategies. A resource and energy-aware SFC strategy in the edge–cloud environment for IoT applications is then proposed. Our algorithm is able to cope with dynamic load and resource situations emerging from dynamic SFC requests. The strategy is evaluated systematically in terms of the acceptance ratio of SFC requests, resource efficiency and utilization, power consumption, and VNF migrations depending on the offered system load. Results show that our strategy outperforms some existing approaches in terms of resource and energy efficiency, thus it overcomes the relevant challenges from practice and meets the demands of IoT applications.</t>
  </si>
  <si>
    <t>Hanoi University of Science and Technology (HUST)(grant numbers:T2020-SAHEP-009);</t>
  </si>
  <si>
    <t>Edge–cloud computing;Internet-of-Things (IoT) applications;network function virtualization (NFV);resource and energy-aware service chain embedding (RE-SCE);smart city</t>
  </si>
  <si>
    <t>The Internet of Things (IoT) is made up of billions of physical devices connected to the Internet via networks that perform tasks independently with less human intervention. Such brilliant automation of mundane tasks requires a considerable amount of user data in digital format, which, in turn, makes IoT networks an open source of personally identifiable information data for malicious attackers to steal, manipulate, and perform nefarious activities. A huge interest has been developed over the past years in applying machine learning (ML)-assisted approaches in the IoT security space. However, the assumption in many current works is that big training data are widely available and transferable to the main server because data are born at the edge and are generated continuously by IoT devices. This is to say that classic ML works on the legacy set of entire data located on a central server, which makes it the least preferred option for domains with privacy concerns on user data. To address this issue, we propose the federated-learning (FL)-based anomaly detection approach to proactively recognize intrusion in IoT networks using decentralized on-device data. Our approach uses federated training rounds on gated recurrent units (GRUs) models and keeps the data intact on local IoT devices by sharing only the learned weights with the central server of FL. Also, the approach’s ensembler part aggregates the updates from multiple sources to optimize the global ML model’s accuracy. Our experimental results demonstrate that our approach outperforms the classic/centralized machine learning (non-FL) versions in securing the privacy of user data and provides an optimal accuracy rate in attack detection.</t>
  </si>
  <si>
    <t>Recently, increasing investments in satellite-related technologies make the low earth orbit (LEO) satellite constellation a strong complement to terrestrial networks. To mitigate the limitations of the traditional satellite constellation “bent-pipe” architecture, satellite edge computing (SEC) has been proposed by placing computing resources at the LEO satellite constellation. Most existing works focus on space-air-ground integrated network architecture and SEC computing framework. Beyond these works, we are the first to investigate how to efficiently deploy services on the SEC nodes to realize robustness aware service coverage with constrained resources. Facing the challenges of spatial-temporal system dynamics and service coverage-robustness conflict, we propose a novel online service placement algorithm with a theoretical performance guarantee by leveraging Lyapunov optimization and Gibbs sampling. Extensive simulation results show that our algorithm can improve the service coverage by  $4.3\times $  compared with the baseline.</t>
  </si>
  <si>
    <t>This article provides a survey about the state of the art in embedded intelligence (EI) research for smart cities. Currently, a comprehensive survey for EI research for smart cities is not available. This article presents a comprehensive review and discusses representative studies of the emerging and current paradigms for EI with the focus on the enabling technologies, applications, and challenges for smart cities from four areas: 1) first, the overview and classifications of the EI research are presented to show the full spectrum in this area, which also serves as a concise summary of the scope of this article; 2) second, the review and identification of interrelated enabling technologies in the form of EI platform technologies, and EI and device analytics technologies are discussed; 3) third, the article discusses various applications of EI utilizing these technologies and techniques for smart cities; and 4) the article also includes the challenges and insights for future research directions. This comprehensive survey article aims to give useful insights for the research area and motivate researchers toward the development of useful EI solutions for practical deployment in smart cities.  © 2014 IEEE.</t>
  </si>
  <si>
    <t>Major Projects of Technical Innovation of Hubei Province(grant numbers:2018AAA046);</t>
  </si>
  <si>
    <t>The Industrial Internet of Things (IIoT) plays an important role in digital transformation of traditional industries toward Industry 4.0. By connecting sensors, instruments, and other industry devices to the Internet, IIoT facilitates the data collection, data analysis, and automated control, thereby improving the productivity and efficiency of the business as well as the resulting economic benefits. Due to the complex IIoT infrastructure, anomaly detection becomes an important tool to ensure the success of IIoT. Due to the nature of IIoT, graph-level anomaly detection has been a promising means to detect and predict anomalies in many different domains, such as transportation, energy, and factory, as well as for dynamically evolving networks. This article provides a useful investigation on graph neural networks (GNNs) for anomaly detection in IIoT-enabled smart transportation, smart energy, and smart factory. In addition to the GNN-empowered anomaly detection solutions on point, contextual, and collective types of anomalies, useful data sets, challenges, and open issues for each type of anomalies in the three identified industry sectors (i.e., smart transportation, smart energy, and smart factory) are also provided and discussed, which will be useful for future research in this area. To demonstrate the use of GNN in concrete scenarios, we show three case studies in smart transportation, smart energy, and smart factory, respectively.  © 2014 IEEE.</t>
  </si>
  <si>
    <t>The rapid growth of the Internet of Things (IoT) and the increasing number of connected devices have propelled the proliferation of offered applications, causing “applications exploding.” In the context of IoT, filtering and selecting the most relevant applications in a given situation is a challenging task. Thus, developing techniques that can alleviate applications exploding and meet users’ requirements is highly demanded for IoT development. This survey focuses on applications exploding in the IoT and reviews some of the existing techniques, such as intelligent sensing, content distribution network, microservices, and 5G, which help mitigate the effects of applications exploding. Furthermore, the survey discusses how to describe user requirements and offer application services to better match the two. In addition, this survey presents the smart home as an instance of typical IoT applications and explores how adaptive users’ requirements for food ordering can be better met when various food provider applications are available for choice. Finally, partially resolved and unresolved bottlenecks brought by applications exploding are put forward to be further researched by the technical and scientific community.</t>
  </si>
  <si>
    <t>National Natural Science Foundation of China(grant numbers:61872038); Fundamental Research Funds for the Central Universities(grant numbers:FRF-BD-18-016A);</t>
  </si>
  <si>
    <t>National Natural Science Foundation of China(grant numbers:61872073); LiaoNing Revitalization Talents Program(grant numbers:XLYC1902010);</t>
  </si>
  <si>
    <t>ASEAN—India Collaborative Research and Development Scheme (ASEAN-India S&amp;T Development Fund (AISTDF) sponsored)(grant numbers:CRD/2020/000369);</t>
  </si>
  <si>
    <t>RUDN University Strategic Academic Leadership Program and PM3 Project (Italian Ministry of University and Research PON Grant)(grant numbers:ARS01_01181);</t>
  </si>
  <si>
    <t>Edge computing can provide high bandwidth and low-latency service for big data tasks by leveraging the edge side’s computing, storage, and network resources. With the development of microservice and docker technology, service providers can flexibly and dynamically cache microservice at the edge side to respond efficiently with limited resources. Automatically caching needed services on the nearest edge nodes and dynamically scheduling users’ requests can realize that computing power and software services flow with the users to provide continuous services. However, achieving the goal needs to overcome many challenges, such as the significant fluctuation of user devices’ requests at the edge side and the lack of collaboration among edge nodes. In this article, dynamic computing power scheduling and collaborative task scheduling among edge nodes are comprehensively developed. The problem is considered a multiobjective optimization problem, including sequentially minimizing the deadline missing rate of requests and the average task completion time. We propose an adaptive mechanism for dynamically collaborative computing power and task scheduling (ADCS) in the edge environment to solve this problem. It adopts the greedy decision method to schedule computing tasks to meet their deadline requirements. At the same time, it uses the best-fit method to adjust the computing resources according to the changes of users’ requests. The simulation results show that ADCS can decrease the deadline missing rate and reduce the average completion time. Compared with DSR and CoDSR, the deadline missing rate is reduced by 59.91% and 19.95%, respectively. The average completion time is decreased by 37.87% and 6.71%.</t>
  </si>
  <si>
    <t>With the Internet of Multimedia Things (IoMT) becoming a reality, new approaches are needed to process real-time multimodal event streams. Existing approaches to event processing have limited consideration for the challenges of multimodal events, including the need for complex content extraction, and increased computational and memory costs. This article explores event processing as a basis for processing real-time IoMT data. This article introduces the multimodal event processing (MEP) paradigm, which provides a formal basis for native approaches to neural multimodal content analysis (i.e., computer vision, linguistics, and audio) with symbolic event processing rules to support real-time queries over multimodal data streams using the multimodal event processing language to express single, primitive multimodal, and complex multimodal event patterns. The content of multimodal streams is represented using multimodal event knowledge graphs to capture the semantic, spatial, and temporal content of the multimodal streams. The approach is implemented and evaluated within a MEP engine using single and multimodal queries achieving near real-time performance with a throughput of ~30 frames processed per second (fps) and subsecond latency of 0.075–0.30 s for video streams of 30 fps input rate. Support for high input stream rates (45 fps) is achieved through content-aware load-shedding techniques with a ~127X latency improvement resulting in only a minor decrease in accuracy.</t>
  </si>
  <si>
    <t>Science Foundation Ireland; European Regional Development Fund(grant numbers:SFI/12/RC/2289_P2);</t>
  </si>
  <si>
    <t>Joint Online Optimization of Data Sampling Rate and Preprocessing Mode for Edge–Cloud Collaboration-Enabled Industrial IoT</t>
  </si>
  <si>
    <t>Edge–cloud collaboration is critical in the Industrial Internet of Things (IIoT) for serving computation-intensive tasks (e.g., bearing fault monitoring) that require low-response delay, low energy consumption, and high processing accuracy. In this article, an energy-efficient resource management framework for IIoT with closed-loop control on end devices, edge servers, and cloud center is studied. In the considered model, each edge server aggregates the data collected by industrial sensors (i.e., end devices) and forms computation tasks for corresponding data analysis. In order to minimize the system-wide energy consumption, while maintaining a guaranteed service delay and a satisfied data processing accuracy for each IIoT application, a joint optimization of: 1) sensors’ sampling rate adaption; 2) edge servers’ preprocessing mode selection; and 3) edge–cloud communication and computing resource allocation is formulated. Further taking into account the time-varying channel conditions and randomness of data arrivals, we propose a low-complexity online algorithm, which solves the problem in a dynamic manner. Particularly, the Lyapunov optimization method is first utilized to decompose the long-term problem into a series of instant ones [mixed-integer nonlinear programming (MINLP) problems], and then a Markov approximation algorithm is applied to solve such instant problems to near optimum with the consideration of future impacts. Performance analyses and simulation results show that the proposed algorithm is feasible under long-term service satisfaction constraints, and its energy consumption and service delay are approximately 20% and 28% lower than those of the benchmark schemes, respectively.</t>
  </si>
  <si>
    <t>Communication and computing resource allocation;edge–cloud collaboration;Industrial Internet of Things (IIoT);online optimization;preprocessing mode selection;sampling rate adaption</t>
  </si>
  <si>
    <t>Air Force Office of Scientific Research(grant numbers:FA9550-20-1-0418);</t>
  </si>
  <si>
    <t>A Digital Twin is a digital replica of a living or nonliving physical entity, and this emerging technology attracted extensive attention from different industries during the past decade. Although a few Digital Twin studies have been conducted in the transportation domain very recently, there is no systematic research with a holistic framework connecting various mobility entities together. In this study, a mobility digital twin (MDT) framework is developed, which is defined as an artificial intelligence (AI)-based data-driven cloud–edge–device framework for mobility services. This MDT consists of three building blocks in the physical space (namely, Human, Vehicle, and Traffic), and their associated Digital Twins in the digital space. An example cloud–edge architecture is built with Amazon Web Services (AWS) to accommodate the proposed MDT framework and to fulfill its digital functionalities of storage, modeling, learning, simulation, and prediction. A case study of the personalized adaptive cruise control (P-ACC) system is conducted, which integrates the key microservices of all three digital building blocks of the MDT framework: 1) the Human Digital Twin with user management and driver type classification; 2) the Vehicle Digital Twin with cloud-based advanced driver-assistance systems (ADAS); and 3) the Traffic Digital Twin with traffic flow monitoring and variable speed limit. Future challenges of the proposed MDT framework are discussed toward the end of the article, including standardization, AI for computing, public or private cloud service, and network heterogeneity.</t>
  </si>
  <si>
    <t>National Natural Science Foundation of China(grant numbers:62072409); Zhejiang Provincial Natural Science Foundation(grant numbers:LR21F020003); Fundamental Research Funds for the Provincial Universities of Zhejiang(grant numbers:RF-B2020001);</t>
  </si>
  <si>
    <t>The management of remote services, such as remote surgery, remote sensing, or remote driving, has become increasingly important, especially with the emerging 5G and Beyond 5G technologies. However, the strict network requirements of these remote services represent one of the major challenges that hinder their fast and large-scale deployment in critical infrastructures. This article addresses certain issues inherent in remote and immersive control of virtual reality (VR)-based unmanned aerial vehicles (UAVs), whereby a user remotely controls UAVs, equipped with 360° cameras, using their head-mounted devices (HMD) and their respective controllers. Remote and immersive control services, using 360° video streams, require much lower latency and higher throughput for true immersion and high service reliability. To assess and analyze these requirements, this article introduces a real-life testbed system that leverages different technologies (e.g., VR, 360° video streaming over 4G/5G, and edge computing). In the performance evaluation, different latency types are considered. They are namely: 1) glass-to-glass latency between the 360° camera of a remote UAV and the HMD display; 2) user/pilot’s reaction latency; and 3) the command/execution latency. The obtained results indicate that the responsiveness (dubbed Glass-to-Reaction-to-Execution—GRE–latency) of a pilot, using our system, to a sudden event is within an acceptable range, i.e., around 900 ms.</t>
  </si>
  <si>
    <t xml:space="preserve">European Union’s Horizon 2020 Research and Innovation Programme through CHARITY Project(grant numbers:101016509); Academy of Finland 6Genesis Project(grant numbers:318927); Idea-Mill(grant numbers:33593); Technology Innovation Program; Ministry of Trade, Industry and Energy (MOTIE), South Korea(grant numbers:RS-2022-00154678); </t>
  </si>
  <si>
    <t>Nowadays, the Internet has spread to practically every country around the world and is having unprecedented effects on people’s lives. The Internet of Things (IoT) is getting more popular and has a high level of interest in both practitioners and academicians in the age of wireless communication due to its diverse applications. The IoT is a technology that enables everyday things to become savvier, everyday computation toward becoming intellectual, and everyday communication to become a little more insightful. In this article, the most common and popular IoT device capabilities, architectures, and protocols are demonstrated in brief to provide a clear overview of the IoT technology to the researchers in this area. The common IoT device capabilities, including hardware (Raspberry Pi, Arduino, and ESP8266) and software (operating systems (OSs), and built-in tools) platforms are described in detail. The widely used architectures that have recently evolved and used are the three-layer architecture, service-oriented architecture, and middleware-based architecture. The popular protocols for IoT are demonstrated which include constrained application protocol, message queue telemetry transport, extensible messaging and presence protocol, advanced message queuing protocol, data distribution service, low power wireless personal area network, Bluetooth low energy, and ZigBee that are frequently utilized to develop smart IoT applications. Additionally, this research provides an in-depth overview of the potential healthcare applications based on IoT technologies in the context of addressing various healthcare concerns. Finally, this article summarizes state-of-the-art knowledge, highlights open issues and shortcomings, and provides recommendations for further studies which would be quite beneficial to anyone with a desire to work in this field and make breakthroughs to get expertise in this area.</t>
  </si>
  <si>
    <t>The future generation of the Internet of Things (IoT) systems is characterized by the fusion of technologies—from edge–fog–cloud computing to artificial intelligence (AI) and blockchain—closing the gap between the physical and digital worlds [A1]. Although these technologies have been developed separately over time, the synergy among them has taken a giant leap. We are witnessing a fast-paced convergence of these technologies resulting in a fundamental paradigm shift unlocking vast benefits and opportunities across vertical markets. However, there are still several barriers, such as a lack of consensus toward any reference models or best practices, hindering the full fusion of these technologies [A1]. To tackle these challenges and facilitate this promising transformation, this special issue was organized to provide a holistic multidisciplinary reference for solutions, architectures, protocols, services, and applications addressing all aspects of the future generation of IoT systems via the fusion of edge, cloud, AI, and blockchain, while considering the corresponding challenges. Thanks to the enormous support from the Editor-in-Chief, Prof. Honggang Wang, and the dedicated work of many reviewers, after a rigorous review process, 27 excellent articles out of 125 submissions were accepted for inclusion in this special issue of the IEEE Internet of Things Journal. We introduce these papers and highlight their key contributions below.</t>
  </si>
  <si>
    <t>National Research Foundation of Korea (NRF); Korea Government (MSIT)(grant numbers:2022R1A2B5B01001683);</t>
  </si>
  <si>
    <t>Connected and automated vehicles (CAVs) are supposed to share the road with human-driven vehicles (HDVs) in a foreseeable future. Therefore, considering the mixed traffic environment is more pragmatic, as the well-planned operation of CAVs may be interrupted by HDVs. In the circumstance that human behaviors have significant impacts, CAVs need to understand HDV behaviors to make safe actions. In this study, we develop a driver digital twin (DDT) for the online prediction of personalized lane-change behavior, allowing CAVs to predict surrounding vehicles’ behaviors with the help of the digital twin technology. DDT is deployed on a vehicle-edge–cloud architecture, where the cloud server models the driver behavior for each HDV based on the historical naturalistic driving data, while the edge server processes the real-time data from each driver with his/her digital twin on the cloud to predict the personalized lane-change maneuver. The proposed system is first evaluated on a human-in-the-loop co-simulation platform, and then in a field implementation with three passenger vehicles driving along an on/off ramp segment connecting to the edge server and cloud through the 4G/LTE cellular network. The lane-change intention can be recognized in 6 s on average before the vehicle crosses the lane separation line, and the Mean Euclidean Distance between the predicted trajectory and GPS ground truth is 1.03 m within a 4-s prediction window. Compared to the general model, using a personalized model can improve prediction accuracy by 27.8%. The demonstration video of the proposed system can be watched at https://youtu.be/5cbsabgIOdM.</t>
  </si>
  <si>
    <t>P. Rito; A. Almeida; A. Figueiredo; C. Gomes; P. Teixeira; R. Rosmaninho; R. Lopes; D. Dias; G. Vítor; G. Perna; M. Silva; C. Senna; D. Raposo; M. Luís; S. Sargento; A. Oliveira; N. B. de Carvalho</t>
  </si>
  <si>
    <t xml:space="preserve">European Regional Development Fund (ERDF), included in the “Urban Innovative Actions” Programme, through Project Aveiro STEAM City(grant numbers:UIA03-084); FCT/MEC through National Funds(grant numbers:PTDC/EEI-COM/5284/2020); FCT/MCTES through National Funds and when applicable co-funded EU funds(grant numbers:UIDB/50008/2020-UIDP/50008/2020); </t>
  </si>
  <si>
    <t>National Natural Science Foundation of China(grant numbers:61972118);</t>
  </si>
  <si>
    <t>N. Hossein Motlagh; M. A. Zaidan; L. Lovén; P. L. Fung; T. Hänninen; R. Morabito; P. Nurmi; S. Tarkoma</t>
  </si>
  <si>
    <t>Digital Twins for Smart Spaces—Beyond IoT Analytics</t>
  </si>
  <si>
    <t xml:space="preserve">Nokia Center for Advanced Research (NCAR); Business Finland Project(grant numbers:8782/31/2022,8754/31/2022); Academy of Finland(grant numbers:335934,345008,339614,355330,346208); Helsinki Institute for Information Technology (HIIT)(grant numbers:75233229); European Union’s Horizon 2020 Research and Innovation Programme the EMME-CARE Project(grant numbers:856612); ECSEL JU FRACTAL Project(grant numbers:877056); Finland Centennial Foundation to Urban Air Quality 2.0 Project; </t>
  </si>
  <si>
    <t>Smart vehicles are equipped with onboard computing units designed to run in-vehicle applications. However, due to limited computing power, the onboard units are unable to execute compute-intensive tasks and those that require near real-time processing. Therefore tasks are offloaded to nearby fog/edge devices that have more powerful processors. However, the fog devices are static, placed at fixed locations such as intersections, and have a limited communication range. Therefore, they can only facilitate vehicles in their immediate vicinity and only limited areas of the city can be covered to provide services on demand. In this article, we propose an unmanned aerial vehicle (UAV)-based computing framework design termed Skywalker to provide computing in regions where there are no static fog units thereby extending coverage. Skywalker’s contributions are threefold: 1) it allows for load-aware UAV placement and provisions a swarm of UAVs to fly to areas experiencing a gap in service where the size of the swarm is proportional to the demand; 2) it implements multiple scheduling algorithms that the UAVs swarm employs to divide up the task processing responsibility for individual UAVs within the swarm; and 3) a zone-based delivery mechanism is being proposed to facilitate the return of completed tasks, either through direct delivery or relay-based methods. The choice between these options depends on the distance covered by the requesting vehicle from the UAV swarm. The efficiency of the framework is compared with existing techniques and it is found that it can greatly extend coverage during peak traffic hours while providing low communication delay and consuming minimum energy.</t>
  </si>
  <si>
    <t>Zayed University through the Cluster Research(grant numbers:R20140);</t>
  </si>
  <si>
    <t>Traffic modeling is a valuable tool for simulating traffic characteristics and assessing the effectiveness of new network mechanisms and protocol designs. The emergence of the Internet of Things (IoT) has led to a growing interest in IoT traffic modeling due to the unique characteristics of IoT traffic, such as sudden data bursts and application-dependent traffic characteristics. The focus of the literature has been on modeling the arrival distribution of IoT traffic. However, this approach fails to capture important characteristics of time-series traffic, such as IoT traffic behaviors and seasonality patterns. Such characteristics provide crucial insights for the effective management and optimization of IoT networks. By exploiting time-series characteristics, dynamic resource allocation mechanisms can be designed instead of resource provisioning for peak usage. Additionally, comprehending the traffic generation behavior of IoT sensors can provide insight into the energy consumption of the sensor layer, which has a multitude of uses. In this article, we present a novel IoT traffic modeling framework called the tiered Markov-modulated stochastic process (TMMSP). The TMMSP framework can produce application-specific IoT time-series traffic traces that mimic the behaviors, e.g., the temporal dynamics, of real IoT traffic. Our results illustrate the flexibility and capability of the TMMSP framework in modeling the traffic behaviors of three IoT applications, specifically, telehealth, asset monitoring, and building security applications. Finally, we illustrate how the TMMSP framework can be used to evaluate the performance of an autonomous edge slicing (AES) mechanism.  © 2014 IEEE.</t>
  </si>
  <si>
    <t>National Funds through the FCT/MCTES (Portuguese Foundation for Science and Technology) through the CISTER Research Unit(grant numbers:UIDP/UIDB/04234/2020); Project ADANET(grant numbers:PTDC/EEICOM/3362/2021); Project IBEX(grant numbers:PTDC/CCI-COM/4280/2021);</t>
  </si>
  <si>
    <t>The traditional centralized resource scheduling method leads to trust issues among multiple subjects carrying microservices. At the same time, in the process of service provision, single-point failure problems also occur from time to time. In order to realize the trusted provision of services, we build a blockchain-based distributed intelligent service trusted provision architecture, which uses smart contracts to realize the on-chain registration of resource information and automatic orchestration of microservices. In order to break through the bottleneck of blockchain efficiency and improve scalability, we use sharding technology to expand the blockchain. And the Raft-practical Byzantine fault-tolerance two-level consensus mechanism combining the Boneh–Lynn–Sacham (BLS) threshold signature (B-RBFT) is designed for blockchain sharding, which greatly improves throughput and reduces consensus delay while taking security into account. To meet higher Quality-of-Service (QoS) requirements, we design the microservice orchestration algorithm based on the improved double deep  $Q$  network (DDQN) to support microservice deployment and migration. In particular, to make the neural network converge faster, we improve the traditional DDQN framework by using double replay buffers and weighted target values. Simulation results show that our proposed algorithm has advantages in convergence speed, resource usage cost, delay, and load balancing.</t>
  </si>
  <si>
    <t>National Key Research and Development Program of China(grant numbers:2020YFB1005900); National Natural Science Foundation of China(grant numbers:62071070); BUPT Excellent Ph.D. Students Foundation(grant numbers:CX2022135);</t>
  </si>
  <si>
    <t>Mobile-edge computing (MEC) is a new computing paradigm that enables cloud computing and information technology (IT) services to be delivered at the network’s edge. By shifting the load of cloud computing to individual local servers, MEC helps meet the requirements of ultralow latency, localized data processing, and extends the potential of the Internet of Things (IoT) for end-users. However, the crosscutting nature of MEC and the multidisciplinary components necessary for its deployment have presented additional security and privacy concerns. Fortunately, artificial intelligence (AI) algorithms can cope with excessively unpredictable and complex data, which offers a distinct advantage in dealing with sophisticated and developing adversaries in the security industry. Hence, in this article, we comprehensively provide a survey of security and privacy in MEC from the perspective of AI. On the one hand, we use European Telecommunications Standards Institute (ETSI) MEC reference architecture as our-based framework while merging the software-defined network (SDN) and network function virtualization (NFV) to better illustrate a serviceable platform of MEC. On the other hand, we focus on new security and privacy issues, as well as potential solutions from the viewpoints of AI. Finally, we comprehensively discuss the opportunities and challenges associated with applying AI to MEC security and privacy as possible future research directions.</t>
  </si>
  <si>
    <t>European Union in SPATIAL(grant numbers:101021808); CONFIDENTIAL-6G(grant numbers:101096435); Science Foundation Ireland under CONNECT Phase 2 Projects(grant numbers:13/RC/2077_P2);</t>
  </si>
  <si>
    <t>Many countries around the world are facing a shortage of healthcare resources, especially during the post-epidemic era, leading to a dramatic increase in the need for self-detection and self-management of diseases. The popularity of smart wearable devices, such as smartwatches, and the development of machine learning (ML) bring new opportunities for the early detection and management of various prevalent diseases, such as cardiovascular diseases, Parkinson's disease, and diabetes. In this survey, we comprehensively review the articles related to specific diseases or health issues based on small wearable devices and ML. More specifically, we first present an overview of the articles selected and classify them according to their targeted diseases. Then, we summarize their objectives, wearable device and sensor data, ML techniques, and wearing locations. Based on the literature review, we discuss the challenges and propose future directions from the perspectives of privacy concerns, security concerns, transmission latency and reliability, energy consumption, multimodality, multisensor, multidevices, evaluation metrics, explainability, generalization and personalization, social influence, and human factors, aiming to inspire researchers in this field. © 2014 IEEE.</t>
  </si>
  <si>
    <t>Electronics and Telecommunications Research Institute (ETRI); Korean Government (Honam Region Regional Industry-Based ICT Convergence Technology Advancement Support Project)(grant numbers:23ZK1100);</t>
  </si>
  <si>
    <t>A. Javadpour; F. Ja’fari; T. Taleb; Y. Zhao; B. Yang; C. Benzaïd</t>
  </si>
  <si>
    <t xml:space="preserve">European Union’s Horizon Europe Research and Innovation Program(grant numbers:HORIZON-JU-SNS-2022); RIGOUROUS Project(grant numbers:101095933); Research Council of Finland (former Academy of Finland) 6G Flagship Program(grant numbers:346208); National Science Foundation of China(grant numbers:U20B2049,U20B2048,U20B2046); National Natural Science Foundation of China(grant numbers:62372076); </t>
  </si>
  <si>
    <t>Cloud computing is a potent platform for delivering high-quality computational services to intricate Internet of Things (IoT) applications. However, effective scheduling approaches are essential to meet application demands while maximizing cloud computing's potential. In this study, we propose an innovative workflow scheduling method for addressing the cost-effective, deadline-constrained scheduling challenge of IoT applications in cloud computing systems. Our solution, the F-ant colony optimization (ACO) algorithm, leverages a hybrid intelligence approach that combines ACO with a cost-driven heuristic strategy. The primary goal is to minimize workflow scheduling costs while ensuring that workflow deadlines are met. F-ACO introduces a deadline distribution method to derive task subdeadlines, enabling dynamic adjustments for unscheduled tasks to meet workflow deadlines. Furthermore, we introduce an adaptive ACO-based task ordering mechanism with self-adaptive heuristic information to optimize task scheduling sequences, reducing search space redundancy and enhancing convergence speed. The approach includes a cost-driven task scheduling method designed to allocate each task to a acrlong VM with minimal execution cost and idle time, further optimizing the overall workflow scheduling cost. To validate our F-ACO algorithm, we conducted numerous simulations using real-world workflows and compared its performance against state-of-the-art algorithms. Our experimental results affirm F-ACO'S competitive edge in effectively scheduling IoT applications in cloud computing environments. © 2014 IEEE.</t>
  </si>
  <si>
    <t>National Science Foundation of China(grant numbers:51977155);</t>
  </si>
  <si>
    <t>Computing power networking (CPN) represents a transformative paradigm in distributed computing, harnessing the collective capabilities of edge servers dispersed across diverse geographical locations. CPN’s core strengths lie in its ability to accelerate data processing, diminish latency, and scale efficiently, rendering it particularly apt for real-time applications and the Internet of Things. When coupled with blockchain technology, CPN extends its potential by facilitating secure and transparent allocation and trading of computing resources, bolstering data integrity and reliability. However, current research at the intersection of CPN and blockchain primarily focuses on framework development and technology integration, often overlooking the challenge of delivering dependable computing services, especially in the presence of potentially unreliable nodes. To tackle this issue, we introduce a reputation-enhanced resource trading framework, designed to ensure equitable and trustworthy computing power transactions. We establish a decentralized reputation model, capable of accurately assessing node behavior over extended periods. Additionally, we present three optimization mechanisms for reputation updates, accounting for transaction history, quality of service, and transaction amount. Furthermore, our work introduces a reputation-enhanced consensus mechanism within the trading system, strategically employing incentives to motivate participants to deliver high-quality services, thereby increasing their rewards. Simultaneously, it effectively mitigates wealth inequality among resource providers of varying sizes. To validate our approach, we develop a prototype system and conduct performance evaluations, which affirm the superiority of our system in enhancing reputation and delivering robust economic features.</t>
  </si>
  <si>
    <t>The rapid expansion of Internet users results in an immense influx of network traffic within extensive cloud data centers. Accurate and instantaneous identification and forecasting of network traffic aid system managers in efficiently distributing resources, assessing network performance based on specific service demands and scrutinizing the health of network status. However, sources and distributions of traffic are different, which makes accurate warnings of cyberattack traffic difficult. Recently, emerging neural networks have demonstrated their efficacy in forecasting time series data of network cyberattacks. The time series has temporal and spatial features, which can be efficiently captured with Informer and convolutional neural networks (CNNs). To realize high-performance spatiotemporal detection of cyberattacks, this work for the first time designs a hybrid and spatiotemporal prediction framework, which integrates CNNs, Informer, and a Softmax classifier to realize high-classification accuracy of normal and abnormal cyberattacks. Real-life data are adopted to evaluate the proposed method, which yields significant improvement in classification accuracy over typical benchmark classification models.  © 2014 IEEE.</t>
  </si>
  <si>
    <t>Container–based microservice provisioning, with its elasticity in terms of the layered structure, enables the sharing of common layers among different edge computing tasks, both within and across edge servers (ESs). However, due to the potential hardware breakdowns, each ES may prone to failures, affecting its lifetime (i.e., the time-length that an ES works continuously without interruptions), and in turn leading to the collapse of their hosted/provided microservices or the other ESs’ microservices requesting common layers from it. To address such an issue, in this article, we study the microservice deployment optimization with layer sharing for maximizing the system-wide reliability while satisfying all tasks’ delay requirements. Considering dynamic task generations and the asynchronization of various decision variables with different triggers, we design an online optimization algorithm by leveraging an improved Lyapunov technique integrating randomized rounding, Lagrangian method and convex optimization, which iteratively solves the problem over different timescales. Theoretical analyses and simulations evaluate the performance of the proposed solution, showing that it can achieve an increase of 12.4% in reliability and a reduction of 28.57% in total delay, compared to the counterparts.</t>
  </si>
  <si>
    <t>State Key Laboratory of Massive Personalized Customization System and Technology(grant numbers:H&amp;C-MPC-2023-04-01); National Natural Science Foundation of China (NSFC)(grant numbers:62176122); A3 Foresight Program of NSFC(grant numbers:62061146002); Postgraduate Research and Practice Innovation Program of Jiangsu Province(grant numbers:KYCX22_0372);</t>
  </si>
  <si>
    <t>Alabama Transportation Institute (ATI) and Federal Motor Carrier Safety Administration (FMCSA)(grant numbers:25-1121-0006-004);</t>
  </si>
  <si>
    <t>National Research Foundation of Korea (NRF) Grant funded by the Korea Government (MSIT)(grant numbers:2022R1A2C1003549);</t>
  </si>
  <si>
    <t>České Vysoké Učení Technické v Praze(grant numbers:SGS24/139/OHK3/3T/13);</t>
  </si>
  <si>
    <t>Empowered by edge computing, resources, and computation capabilities provided by edge devices can be encapsulated as containerized services, and domain applications can be achieved through service compositions. When burst requests are coming to be satisfied, there may exist edge devices which are overloaded, since requests are mostly spatially and temporally constrained, and edge devices are resource-scarceness and capacity-limited. In this setting, overloaded devices should be relieved through optimally migrating one or more activated services to contiguous edge devices. Besides, sensory data gathered by original edge devices should be periodically transmitted to migrated devices for data analysis purpose. To mitigate this issue, this article proposes an energy-efficient online service migration (EOSM) mechanism to conduct the migration of multiple services simultaneously. Specifically, a light service sharing strategy is developed to only transmit the top container layer, and a modified nondominated sorting genetic algorithm II algorithm is adopted to generate one or multiple paths for the container layer and time-series sensory data migration of each migrated service. Extensive experimental results show that our EOSM strategy outperforms the state of arts techniques in mitigating overloading devices in terms of access latency, energy consumption, and request success rate.  © 2024 IEEE.</t>
  </si>
  <si>
    <t>IEEE HAC/SIGHT—Focus on COVID-19 Response and Pressing Community Need(grant numbers:21-Cov2-185); Tetfund Nigeria Program on Resilient AI and Smart Systems(grant numbers:TETF/ES/UNIV/IMO STATE/TSAS/2021);</t>
  </si>
  <si>
    <t>National Natural Science Foundation of China(grant numbers:62362018); Guangxi Key Research and Development Program(grant numbers:GUIKEAB23075116);</t>
  </si>
  <si>
    <t>N. Khezemi; J. Baptiste Minani; F. Sabir; N. Moha; Y. -G. Guéhéneuc; G. El Boussaidi</t>
  </si>
  <si>
    <t>Natural Sciences and Engineering Research Council of Canada (NSERC); Canada Research Chair program (CRCP);</t>
  </si>
  <si>
    <t>Caching sheds a light on reducing long-distance data transmissions over networks, while raising significant privacy concerns. Moving one step ahead, collaborative edge caching is proposed to facilitate preserving user privacy via reducing the external data exposure. However, it still fails to avert the risk of privacy leakage from nearby edge devices. To tackle this issue, we develop an analytical framework for privacy preserving joint communication and content allocation algorithm for distributed collaborative edge caching systems, in which edge devices collaboratively cache and share the content items based on the dummy-based privacy preservation mechanism. Specifically, we define the system request uncertainty criterion from the perspective of information entropy to measure the privacy preservation performance. Consequently, the closed-form relationship between the system request uncertainty and the resource allocation decisions on both communication resources and content items can be derived. Then, we decompose the NP-hard resource management problem into two parts, and propose 1) an optimal dummy request allocation strategy through investigating special properties of the maximal allocation reward gain and 2) an asymptotically optimal content item allocation strategy with low complexity based on the extract penalty method (EPM), which are iterated to obtain a viable solution, followed by the proof of convergence and asymptotic monotone property. Finally, the performance improvements are verified by simulations.  © 2014 IEEE.</t>
  </si>
  <si>
    <t>Digital twin technology is crucial to the development of the sixth-generation (6G) Internet of Vehicles (IoV) as it allows the monitoring and assessment of the dynamic and complicated vehicular environment. However, 6G IoV networks have critical challenges in network security and computational efficiency, which need to be addressed. Existing digital twin technologies in 6G IoV networks often suffer from limitations, such as reliance on static models and high computational demands, leading to unstable attack detection and inefficiencies. Their results for attack detection performance metrics, precision, detection rate, and F1-Score are insufficient for 6G IoV. Moreover, these systems concentrate all computational processes within the digital twin’s service layer, leading to inefficiencies. To address these challenges, we introduce a novel artificial intelligence (AI) enhanced digital twin framework designed to significantly improve 6G IoV network security and computational efficiency under dynamic conditions. Our framework employs an advanced feature engineering module that uses feature selection methods and stacked sparse autoencoders (ssAE) to reduce feature dimensions within the cyber twin layer, effectively distributing the overall computational load. It also utilizes an online learning module which enables a network-aware attack detection mechanism for precise attack detection. The proposed solution exhibits a stable performance of around 98% success rate regarding attack detection metrics against two data sets. Specifically, our solution reduces system latency by 12%, energy consumption by 15%, RAM usage by 20%, and improves packet delivery rates by 6.1%. These findings underscore the potential of our framework to enhance the robustness and responsiveness of 6G IoV systems, offering a significant contribution to vehicular network security and management.</t>
  </si>
  <si>
    <t>Scientific and Technological Research Council of Turkey (TUBITAK) 1515 Frontier Research and Development Laboratories Support Program for BTS Advanced AI Hub: BTS Autonomous Networks and Data Innovation Lab Project(grant numbers:5239903); National Research Foundation of Korea (NRF) Grant funded by the Korean Government (MSIT)(grant numbers:NRF-2022R1A4A3033401); Canada Excellence Research Chair (CERC)(grant numbers:CERC-2022-00109);</t>
  </si>
  <si>
    <t>The increasing importance of intravehicular health monitoring systems (IVHMSs) necessitates robust communication protocols within vehicles, especially with the integration of the Internet of Things (IoT). This integration presents challenges in enhancing vehicle health monitoring efficiency due to the constrained space for numerous sensing devices, leading to scalability and performance issues. Existing medium access control (MAC) schemes often result in congestion, decreased throughput, and increased delays. This study proposes a scalable hybrid MAC strategy to improve throughput and reduce congestion in IVHMS. The approach features a two-phase communication model—nonemergency and emergency phases—for scalability. Our hybrid MAC strategy combines a history-based approach for emergency communication and a priority-based approach for nonemergency Communication. A Markov chain model evaluates the expected throughput and delay of the proposed MAC strategy, with numerical analysis validating the approach. Results show the hybrid MAC achieves a 66.7% throughput improvement over the history-based strategy and a 16.7% improvement over the priority-based approach while effectively reducing data collisions and delays. Furthermore, the hybrid MAC demonstrates an 8.3% increase in throughput compared to a previously proposed distributed hybrid MAC. Implementing this hybrid MAC in industrial-scale vehicular health monitoring can enhance vehicle safety, benefiting manufacturers and passengers alike.</t>
  </si>
  <si>
    <t xml:space="preserve">Operation Centro-01-0145-FEDER-000019— C4—Centro de Competências em Cloud Computing, co-financed by the European Regional Development Fund (ERDF); Programa Operacional Regional do Centro (Centro 2020), in the scope of the Sistema de Apoio à Investigação Cientifíca e Tecnológica—Programas Integrados de IC&amp;DT;; NOVA LINCS; FCT.IP(grant numbers:UIDB/04516/2020,UIDP/04516/2020); Computer Science and Communication Research Centre (CIIC), Escola Superior de Tecnologia e Gestão(grant numbers:UIDB/04524/2020); FCT-Fundação para a Ciência e a Tecnologia(grant numbers:CEECINST/00060/2021/CP2902/CT0009); </t>
  </si>
  <si>
    <t>In this work, we investigate a task-driven delay minimization problem for unmanned aerial vehicle (UAV) enabled mobile crowdsensing (MCS) networks. Our focus is to reduce overall latency and improve data collection efficiency for delay-sensitive tasks through jointly optimizing the sensing data size, bandwidth allocation, and UAV hovering position. The formulated problem is a mixed-integer programming problem, which is also non-convex. We introduce an efficient alternating optimization algorithm to address this challenge. Specifically, the original minimization problem is decomposed into two subproblems. The first subproblem focuses on bandwidth and sensing data allocation. By leveraging the latent structure property of the problem, we derive the optimal sensing data allocation given a bandwidth allocation policy. Based on it, we reveal that the first optimization subproblem can be converted into a maximum weighted matching problem in a bipartite graph, which can be optimally solved using the Hungarian algorithm. To address the optimization of the UAV's hovering position subproblem, we employ the successive convex approximation (SCA) technique, which transforms it into a convex problem that can be efficiently solved by standard convex optimization solvers. We also analyze the convergence and the time complexity for the developed joint optimization algorithm. Afterward, we approximate the global optimal solutions in closed form for several specific cases of the problem. Extensive simulations confirm the superior performance of our proposed scheme compared to various benchmark strategies in terms of both delay and energy consumption.  © 2014 IEEE.</t>
  </si>
  <si>
    <t>A collaborative system that includes mobile devices (MDs), edge nodes (ENs), and the cloud is needed where ENs at the network edge can run offloaded tasks of MDs with limited resources and energy for timely processing for latency-sensitive applications. Unlike existing studies, we formulate a total cost minimization problem for the system for applications, which can be divided into several interdependent subtasks. Each subtask can be executed in MDs, ENs, and the cloud. This work formulates a mixed-integer nonlinear program to minimize the total system cost. To address it, a novel meta-heuristic optimization algorithm called Genetic Simulated-annealing-based Particle swarm optimization with Auto-Encoder (GSPAE) is proposed, which innovatively combines feature extraction of deep learning and global search of meta-heuristic optimization. Genetic operations provide diverse solutions, the Metropolis acceptance of annealing offers a robust global search, and autoencoders extract distribution characteristics of particles towards high-quality regions for fast convergence. Thus, GSPAE optimizes the associations between ENs and MDs and the scheduling of subtasks among MDs, ENs, and the cloud. Experiments with large-scale Google cluster datasets show that compared to state-of-the-art benchmark methods, GSPAE reduces the total cost by at least 17% while strictly meeting limits of application latency, available energy, computing, and communication resources of ENs and MDs. © 2014 IEEE.</t>
  </si>
  <si>
    <t>D. Welch; A. Napoli; J. Bäck; W. Sande; J. Pedro; F. Masoud; C. Fludger; T. Duthel; H. Sun; S. J. Hand; T. -K. Chiang; A. Chase; A. Mathur; T. A. Eriksson; M. Plantare; M. Olson; S. Voll; K. -T. Wu</t>
  </si>
  <si>
    <t>D. Welch; A. Napoli; J. Bäck; S. Buggaveeti; C. Castro; A. Chase; X. Chen; V. Dominic; T. Duthel; T. A. Eriksson; S. Erkilinç; P. Evans; C. R. S. Fludger; B. Foo; T. Frost; P. Gavrilovic; S. J. Hand; A. Kakkar; A. Kumpera; V. Lal; R. Maher; F. Marques; F. Masoud; A. Mathur; R. Milano; M. I. Olmedo; M. Olson; D. Pavinski; J. Pedro; A. Rashidinejad; P. Samra; W. Sande; A. Somani; H. Sun; N. Swenson; H. -S. Tsai; A. Yekani; J. Zhang; M. Ziari</t>
  </si>
  <si>
    <t>National Basic Research Program of China (973 Program)(grant numbers:2016YFB1000302); National Natural Science Foundation of China(grant numbers:61433019);</t>
  </si>
  <si>
    <t>We are living in a world where massive end devices perform computing everywhere and everyday. However, these devices are constrained by the battery and computational resources. With the increasing number of intelligent applications (e.g., augmented reality and face recognition) that require much more computational power, they shift to perform computation offloading to the cloud, known as mobile cloud computing (MCC). Unfortunately, the cloud is usually far away from end devices, leading to a high latency as well as the bad quality of experience (QoE) for latency-sensitive applications. In this context, the emergence of edge computing is no coincidence. Edge computing extends the cloud to the edge of the network, close to end users, bringing ultra-low latency and high bandwidth. Consequently, there is a trend of computation offloading toward edge computing. In this paper, we provide a comprehensive perspective on this trend. First, we give an insight into the architecture refactoring in edge computing. Based on that insight, this paper reviews the state-of-the-art research on computation offloading in terms of application partitioning, task allocation, resource management, and distributed execution, with highlighting features for edge computing. Then, we illustrate some disruptive application scenarios that we envision as critical drivers for the flourish of edge computing, such as real-time video analytics, smart “things” (e.g., smart city and smart home), vehicle applications, and cloud gaming. Finally, we discuss the opportunities and future research directions.</t>
  </si>
  <si>
    <t>National Natural Science Foundation of China(grant numbers:61532016); CAS Pioneer Hundred Talents Program(grant numbers:Y704061000);</t>
  </si>
  <si>
    <t>Neural network (NN) processors are specially designed to handle deep learning tasks by utilizing multilayer artificial NNs. They have been demonstrated to be useful in broad application fields such as image recognition, speech processing, machine translation, and scientific computing. Meanwhile, innovative self-aware techniques, whereby a system can dynamically react based on continuously sensed information from the execution environment, have attracted attention from both academia and industry. Actually, various self-aware techniques have been applied to NN systems to significantly improve the computational speed and energy efficiency. This article surveys state-of-the-art self-aware NN systems (SaNNSs), which can be achieved at different layers, that is, the architectural layer, the physical layer, and the circuit layer. At the architectural layer, SaNNS can be characterized from a data-centric perspective where different data properties (i.e., data value, data precision, dataflow, and data distribution) are exploited. At the physical layer, various parameters of physical implementation are considered. At the circuit layer, different logics and devices can be used for high efficiency. In fact, the self-awareness of existing SaNNS is still in a preliminary form. We propose a comprehensive SaNNS from a new perspective, that is, the model layer, to exploit more opportunities for high efficiency. The proposed system is called as MinMaxNN, which features model switching and elastic sparsity based on monitored information from the execution environment. The model switching mechanism implies that models (i.e., min and max model) dynamically switch given different inputs for both efficiency and accuracy. The elastic sparsity mechanism indicates that the sparsity of NNs can be dynamically adjusted in each layer for efficiency. The experimental results show that compared with traditional SaNNS, MinMaxNN can achieve 5.64× and 19.66% performance improvement and energy reduction, respectively, without notable loss of accuracy and negative effects on developers' productivity.</t>
  </si>
  <si>
    <t>Digital twin (DT) is an emerging concept that is gaining attention in various industries. It refers to the ability to clone a physical object (PO) into a software counterpart. The softwarized object, termed logical object, reflects all the important properties and characteristics of the original object within a specific application context. To fully determine the expected properties of the DT, this article surveys the state-of-the-art starting from the original definition within the manufacturing industry. It takes into account related proposals emerging in other fields, namely augmented and virtual reality (e.g., avatars), multiagent systems, and virtualization. This survey thereby allows for the identification of an extensive set of DT features that point to the “softwarization” of POs. To properly consolidate a shared DT definition, a set of foundational properties is identified and proposed as a common ground outlining the essential characteristics (must-haves) of a DT. Once the DT definition has been consolidated, its technical and business value is discussed in terms of applicability and opportunities. Four application scenarios illustrate how the DT concept can be used and how some industries are applying it. The scenarios also lead to a generic DT architectural model. This analysis is then complemented by the identification of software architecture models and guidelines in order to present a general functional framework for the DT. This article, eventually, analyses a set of possible evolution paths for the DT considering its possible usage as a major enabler for the softwarization process.</t>
  </si>
  <si>
    <t>H. Tataria; M. Shafi; A. F. Molisch; M. Dohler; H. Sjöland; F. Tufvesson</t>
  </si>
  <si>
    <t>Mobile communications have been undergoing a generational change every ten years or so. However, the time difference between the so-called “G’s” is also decreasing. While fifth-generation (5G) systems are becoming a commercial reality, there is already significant interest in systems beyond 5G, which we refer to as the sixth generation (6G) of wireless systems. In contrast to the already published papers on the topic, we take a top-down approach to 6G. More precisely, we present a holistic discussion of 6G systems beginning with lifestyle and societal changes driving the need for next-generation networks. This is followed by a discussion into the technical requirements needed to enable 6G applications, based on which we dissect key challenges and possibilities for practically realizable system solutions across all layers of the Open Systems Interconnection stack (i.e., from applications to the physical layer). Since many of the 6G applications will need access to an order-of-magnitude more spectrum, utilization of frequencies between 100 GHz and 1 THz becomes of paramount importance. As such, the 6G ecosystem will feature a diverse range of frequency bands, ranging from below 6 GHz up to 1 THz. We comprehensively characterize the limitations that must be overcome to realize working systems in these bands and provide a unique perspective on the physical and higher layer challenges relating to the design of next-generation core networks, new modulation and coding methods, novel multiple-access techniques, antenna arrays, wave propagation, radio frequency transceiver design, and real-time signal processing. We rigorously discuss the fundamental changes required in the core networks of the future, such as the redesign or significant reduction of the transport architecture that serves as a major source of latency for time-sensitive applications. This is in sharp contrast to the present hierarchical network architectures that are not suitable to realize many of the anticipated 6G services. While evaluating the strengths and weaknesses of key candidate 6G technologies, we differentiate what may be practically achievable over the next decade, relative to what is possible in theory. Keeping this in mind, we present concrete research challenges for each of the discussed system aspects, providing inspiration for what follows.</t>
  </si>
  <si>
    <t xml:space="preserve">Ericsson AB, Sweden; ELLIIT: The Linköping-Lund Excellence Center on IT and Mobile Communication; National Science Foundation (NSF); National Institute of Standards and Technology (NIST); Samsung Research America; </t>
  </si>
  <si>
    <t>M. Stojilović; K. Rasmussen; F. Regazzoni; M. B. Tahoori; R. Tessier</t>
  </si>
  <si>
    <t>German Research Foundation(grant numbers:DFG TA 782/42-1); NSF(grant numbers:CNS-1902532);</t>
  </si>
  <si>
    <t>Fifth generation (5G) mobile networks will lead to a deep integration between networks and applications. Through novel paradigms like network functions virtualization and edge computing, the new classes of heterogeneous application services will be enabled to run close to the mobile end-user devices with zero-perceived latency and fully-cognitive dynamic reconfiguration capabilities. Such “vertical” applications exhibit diverse performance/scalability requirements, and will rely on highly distributed, extremely virtualized, multi-tenant, and software-defined infrastructures. In such a context, handling the required operations in a scalable and dynamic fashion will be of paramount importance. A specific aspect, addressed by software-defined networking (SDN), regards the provision of suitable communication channels, once resource allocation mechanisms have performed the most efficient deployment of virtual network function instances, and VNF chaining needs to be implemented to enable network services. In this respect, this paper introduces the multi-cluster overlay (MCO) network paradigm: a tunnel-less SDN scheme for scalable realization of virtual tenant networks across the 5G distributed infrastructure, able to support (bulk) migrations of software instances among geo-distributed computing resources in a seamless and effective fashion. The numerical simulation and experimental results show that the MCO achieves up to over one order of magnitude smaller number of forwarding rules than the other state-of-the-art SDN mechanisms, while also assuring high performance during reconfiguration operations.</t>
  </si>
  <si>
    <t>National Key Research and Development Program of China(grant numbers:2018YFB0803405); China Postdoctoral Science Foundation(grant numbers:2018M630117); National Natural Science Foundation of China(grant numbers:61802024); Huawei Autonomous and Service 2.0 Project(grant numbers:A2018185); Baidu Songguo Plan; NSF of China(grant numbers:61602266); NSF of Tianjin(grant numbers:16JCYBJC41900); National Key Research and Development Program of China(grant numbers:2018YFB0803405); China National Funds for Distinguished Young Scientists(grant numbers:61825204); Beijing Outstanding Young Scientist Project; PolyU G-YBAG;</t>
  </si>
  <si>
    <t>FUI SCORPION Project(grant numbers:17/00464); CNRS PRESS Project(grant numbers:239953);</t>
  </si>
  <si>
    <t>Integrating dense small cell (DSC) networks with mobile edge computing is employed by 5G to tackle the contradiction between the computation limitations of user equipment (UE) and the stringent latency requirement of services. This paper investigates the service-oriented edge resource allocation problem in DSC networks, determining where to deploy the service entity, how many service entities should be deployed at each edge cloud, and how to assign the UEs to service entities. The problem is challenging for the following three aspects: 1) Service entity deployment and UE assignment are highly coupled. 2) Due to the overlap of coverage regions of densely deployed small cells, the allocation mechanism of different base stations has mutual effects on the overall service performance. 3) Considering the limited resources of edge clouds, it is a thorny problem to encourage edge clouds to cache and share service startup images. We devote the following efforts to tackle the problem under these challenges. First, we explore blockchain’s decentralized, traceable, and secure characteristics, and propose a scheme to encourage image sharing in mobile edge computing. Second, we formulate the service-oriented edge resource allocation as mixed integer non-linear programming. Third, towards the target of reducing the computational complexity, we decouple UE assignment from service entity deployment and solve it through Gibbs sampling. Moreover, the power of Lyapunov optimization and convex optimization is incorporated to reduce the long-term power consumption and budget. Experiment results demonstrate the superiority of our approach over current notable solutions.</t>
  </si>
  <si>
    <t>Y. Huang; Q. Sun; N. Li; Z. Chen; J. Huang; H. Ding; C. -L. Ⅰ</t>
  </si>
  <si>
    <t>M. Hoffmann; S. Janji; A. Samorzewski; Ł. Kułacz; C. Adamczyk; M. Dryjański; P. Kryszkiewicz; A. Kliks; H. Bogucka</t>
  </si>
  <si>
    <t>National Centre for Research and Development in Poland within the 5GStar Project on “Advanced Methods and Techniques for Identification and Counteracting Cyberat-tacks on 5G Access Network and Applications(grant numbers:CYBERSECIDENT/487845/IV/NCBR/2021);</t>
  </si>
  <si>
    <t>D. Marsh-Hunn; S. Trilles; A. González-Pérez; J. Torres-Sospedra; F. Ramos</t>
  </si>
  <si>
    <t>Postdoctoral Juan de la Cierva Fellowship Programme of the Spanish Ministry for Science and Innovation(grant numbers:IJC2018-035017-I); Subvenciones para la Realización de Proyectos de I+D+i Desarrollados por Grupos de Investigación Emergentes programme(grant numbers:GV/2020/035);</t>
  </si>
  <si>
    <t>This paper aims to design and optimize a sports training system through wireless sensor network technology, which mainly includes a hardware system and software system. In the hardware system, the design of sensor nodes and the base station is realized, which can realize the real-time collection of movement parameters by the movement collectors. In the software system, the design of base station control, node control, and motion database software is realized, which can effectively collect, store, and analyze the motion parameters. Finally, the wireless sensor network-based sports training system is tested, and the test results show that the system designed in this paper can meet the needs of sports training use. The inertial measurement unit in the wearable device is used to collect the data generated by the human body during exercise, and low-power Bluetooth is used as the data transmission protocol between the wearable device and the smartphone. The server side provides computing resources in the form of cloud computing to achieve client-server interaction. In combination with the idea of service containerization, a deployment scheme for cloud services was proposed using container choreography, and compared to the pre-training period, the subjects’ trunk sway in the front and back directions decreased by 60.5% and 54.0%, and the trunk sway in the left and right directions decreased by 67.1% and 50.3% during and after training, respectively, and the ratio of time occupied by the equilibrium state increased by 63.5% and 47.4%, subjects’ balance was effectively improved.</t>
  </si>
  <si>
    <t>E. Hidalgo Fort; P. Blanco-Carmona; J. R. Garcia-Oya; F. Muñoz-Chavero; R. Gonzalez-Carvajal; A. R. Serrano-Chacon; E. J. Mascort-Albea</t>
  </si>
  <si>
    <t xml:space="preserve">PID2019-107258RB-C31; Ministerio de Ciencia e Innovación/Agencia Estatal de Innovacion (MCIN/AEI)(grant numbers:10.13039/501100011033); Sevilla City Council’s Urban Planning Department; “Specific collaboration agreement between the University of Sevilla and the Urban Planning Management of the Sevilla City Council, for the development of strategies aimed at the restoration and subsequent preventive conservation of the Medieval wall of Sevilla.”; </t>
  </si>
  <si>
    <t>Due to the recent shortage of resources in the healthcare industry, remote patient monitoring (RPM) systems arose to establish a convenient alternative for accessing healthcare services remotely. However, as the usage of this system grows with the increase of patients and sensing devices, data and network management becomes an issue. As a result, wireless architecture challenges in patient privacy, data flow, and service interactability surface that need addressing. We propose a fog-based Internet of Things (IoT) platform to address these issues and reinforce the existing RPM system. The introduced platform can allocate resources to alleviate server overloading and provide an interactive means of monitoring patients through speech recognition. We designed a testbed to simulate and test the platform in terms of accuracy, latency, and throughput. The results show the platform's potential as a viable RPM system for sound-based healthcare services.  © 2001-2012 IEEE.</t>
  </si>
  <si>
    <t>Along with analysis and practical implementation, simulations play a key role in wireless networks and computational offloading research for several reasons. First, the simulations provide the ability to easily obtain the data for a complex system’s model evaluation. Second, simulated data provide a controlled environment for experimentation, allowing models and algorithms to be tested for robustness and identifying potential limitations before deploying them in real-world applications. Choosing the most appropriate tool for simulation might be challenging and depends on several factors, such as the main purpose, complexity of data, researcher skills, community support, and available budget. As of the time of the present analysis, several system-level open-source tools for modeling computational offloading also cover the systems’ communications side, such as CloudSim, CloudSim Plus, IoTSim-Edge, EdgeCloudSim, iFogSim2, PureEdgeSim, and YAFS. This work presents an evaluation of those based on the unique features and performance results of intensive workload- and delay-tolerant scenarios: XR with an extremely high data rate and workload; remote monitoring with a low data rate with moderate delays and workload requirements; and data streaming as a general human traffic with a relatively high bit rate but moderate workload. The work concludes that CloudSim provides a reliable environment for virtualization on the host resources, while YAFS shows minimal hardware usage, while IoTSim-Edge, PureEdgeSim, and EdgeCloudSim have fewer implemented features.</t>
  </si>
  <si>
    <t>J. Gust. Richert stiftelse (Sweco Sverige) for the project Multi-Objective Optimization and Optimal Integration of Hybrid Energy Systems(grant numbers:01003438636); Kamprad Family Foundation (Familjen Kamprads Stiftelse) for the project Models of Distributed Information Processing in Smart Grid Systems; Knowledge Foundation (Stiftelsen för kunskapsoch kompetensutveckling) for the project Intelligent and Trustworthy IoT Systems(grant numbers:20220087-H-01);</t>
  </si>
  <si>
    <t>Nowadays, we are moving forward to more sustainable societies, where a crucial issue consists in reducing footprint and greenhouse emissions. This transition can be achieved by increasing the penetration of distributed renewable energy sources together with a smarter use of energy. To achieve it, new tools are needed to plan the deployment of such renewable systems by modeling variability and uncertainty of their generation profiles. In this paper, we present a distributed software infrastructure for modeling and simulating energy production of photovoltaic (PV) systems in urban context. In its core, it performs simulations in a spatio-temporal domain exploiting geographic information systems together with meteorological data to estimate PV generation profiles in real operating conditions. This solution provides results in real-sky conditions with different time intervals: yearly, monthly, and subhourly. To evaluate the accuracy of our simulations, we tested the proposed software infrastructure in a real-world case study. Finally, experimental results are presented and compared with real energy production data collected from PV systems deployed in the case study area. © 2018 IEEE.</t>
  </si>
  <si>
    <t>Network slicing (NS) is a key enabler of the 5G and beyond network architectures, allowing multiple dedicated logical networks with selected functionality to be executed on top of a common infrastructure. At the radio access network, novel flexibility paradigms and dynamic response to wireless channel variations are necessary for any NS solution. In this framework, this article proposes a novel real-time NS management framework for the 5G New-Radio, where the slice resource management is achieved through a joint dynamic evaluation of served users’ quality of service and tenants’ service level agreement. The design of the proposed framework within the standardized 5G architecture is discussed, together with the integration of the dynamic resource assignation procedure within the slice life cycle workflow. A novel mathematical model is proposed for the dynamic resource assignation within the slice life cycle workflow. The solution’s accuracy is tested by means of computer simulations, and found to be satisfactory according to the proposed evaluation metrics. Finally, the practicality of the optimal radio slicing configuration extracted from the proposed model is applied to our experimental platform, and the performance of a real case scenario is comprehensively evaluated.</t>
  </si>
  <si>
    <t>EU H2020 5GSTEP-FWD(grant numbers:722429); EU H2020 5G-ERA(grant numbers:101016681); EU H2020 5G-ROUTES(grant numbers:951867);</t>
  </si>
  <si>
    <t>In the process of power grid monitoring, image data are mostly transmitted in segments by wireless image sensor networks (WISNs), and the external attacks or interference on a communication link easily causes the data to be retransmitted. Therefore, high quality of service (QoS) routing is essential to the secure and robust operation of the WISNs. Specifically, the QoS routing optimization in WISN is a nondeterministic polynomial hard problem, which usually cannot be solved by ordinary algorithms. Based on this motivation, a novel heuristic trust scheme (i.e., multi-objective trust routing scheme based on cloned elite slime mould algorithm (CESMA-MTRS)) is proposed to greatly improve the security and QoS of WISN. The scheme designs a novel trust difference test mechanism to enhance the identification of malicious nodes. Furthermore, a new elite archiving strategy and clone optimization strategy are designed to improve the convergence speed of grid monitoring data transmission routing search. The simulation results show that when the network scale is 100 and the attacked node scale is 30%, CESMA-MTRS reduces the delay by 8% and 15% and the packet loss rate by 24% and 27%, respectively, compared with trust-based routing protocol called the On-demand trust-based multicast routing protocol (ODTMRP) and evolutionary selfcooperative trust approach. © 2007-2012 IEEE.</t>
  </si>
  <si>
    <t>WaterEdge: Edge–Cloud Collaborative Intelligent Coagulation System for Group-Level Water Treatment Plants</t>
  </si>
  <si>
    <t>Providing an intelligent coagulation solution for group-level water treatment plants (WTPs) is of great significance to improve coagulation efficiency. Existing solutions are devoted to intelligent models based on operators' experience, but ignore the dangers of too much residual aluminum to human health and plant cost. To solve this problem, we propose an edge–cloud collaborative intelligent (ECCI) coagulation system, WaterEdge, to minimize the residual aluminum, while ensuring water quality. To support this, a collaborative architecture of “multiPool-multiWTP-cloud” is developed for fast computation, continuous service maintenance, and upgradation of all WTPs. An ECCI dosage prediction algorithm based on double incremental learning is proposed to determine optimal dosage. To reduce the response time, an ECCI online scheduling algorithm is presented. Furthermore, we build an ECCI platform to provide lifecycle management of applications and verify the effectiveness of WaterEdge in real-world WTPs. Extensive experiments demonstrate that WaterEdge can significantly outperform existing schemes.</t>
  </si>
  <si>
    <t>Edge–cloud collaborative intelligence (ECCI);industrial intelligence;optimal dosage prediction;smart water treatment plants (WTPs);task scheduling</t>
  </si>
  <si>
    <t>Air pollution continues to be a problem that affects human health, safety, and the environment worldwide. According to the World Health Organization (WHO), outdoor air pollution is a significant problem affecting everyone in low-, middle-, and high-income countries, whereas indoor air pollution is just as dangerous as outdoor pollution. This study proposes the design of an air monitoring system based on fog and cloud architecture that allows the current state of air quality to be consulted in real time. The implementation of cloud computing allows these monitoring systems to acquire incalculable computational resources for the storage and processing of large amounts of data, whereas, with the help of fog computing, it is possible to improve the use of computing resources, storage, computing, and networks. In future work, we plan to carry out experiments using tools such as Apache Jmeter and BlazerMeter to test the performance of each microservice and obtain quantitative values that allow the measurement of the overall performance of the application.  © 2023 IEEE.</t>
  </si>
  <si>
    <t>National Science Foundation(grant numbers:1814920); DoD ARO(grant numbers:W911NF-19-1-0484);</t>
  </si>
  <si>
    <t>Cloud-native rethinks the application architecture by embracing a micro-service approach, where each microservice is packaged into containers to run in a centralized or an edge cloud. When deploying the container running the micro-service, the tenant has to specify the amount of CPU and memory limit to run their workload. However, it is not straightforward for a tenant to know in advance the computing amount that allows running the microservice optimally. This will impact the service performances and the infrastructure provider, particularly if the resource overprovisioning approach is used. To overcome this issue, we conduct in this paper an experimental study aiming to detect if a tenant’s configuration allows running its service optimally. We run several experiments on a cloud-native platform, using different types of applications under different resource configurations. The obtained results provide insights on how to detect and correct performance degradation due to misconfiguration of the service resource.</t>
  </si>
  <si>
    <t>National Key Research and Development Program Project(grant numbers:2022YFB3102800); Major Science and Technology Projects in Henan Province(grant numbers:221100240100);</t>
  </si>
  <si>
    <t>HORIZON-JU-SNS-2022 Research and Innovation Action 6Green(grant numbers:101096925);</t>
  </si>
  <si>
    <t>Structural health monitoring (SHM) systems currently utilize a combination of low-cost, low-energy sensors and processing units to monitor the conditions of target facilities. However, utilizing a dense deployment of sensors generates a significant volume of data that must be transmitted to the cloud, requiring high bandwidth and consuming substantial power, particularly when using wireless protocols. To optimize the energy budget of the monitoring system, it is crucial to reduce the size of the raw data near the sensors at the edge. However, existing compression techniques at the edge suffer from a tradeoff between compression and accuracy and long latency resulting in high energy consumption. This letter addresses these limitations by introducing a parallelized version of an unconventional data reduction method suited for vibration analysis based on system identification models. Our approach leverages the unique capabilities of GAP9, a multicore RISC-V MCU based on the parallel ultra-low-power (PULP) architecture. Compared with the sequential implementation, we achieve a maximum execution time reduction of ≈ 60 × and power consumption of just 48.3 mW while preserving the spectral accuracy of the models.  © 2017 IEEE.</t>
  </si>
  <si>
    <t>S. G. Gil; J. M. Murillo; J. Galán-Jiménez</t>
  </si>
  <si>
    <t>Ministry of Economy;</t>
  </si>
  <si>
    <t>Ministry of Education;</t>
  </si>
  <si>
    <t>The main goal of a smart city is to enhance the quality of life of its inhabitants by providing services using Information and Communications Technology (ICT) components in a city. ICT components include not only Internet of Things (IoT) data sources spread across the city, but also traditional non-IoT data sources. Managing all ICT components in a smart city can be challenging and results in many complexities. Consequently, there is a need for ICT management architectures. Traditional solutions are often based on a centralized ICT architecture using Cloud technologies. Recently, the number of ICT components, services, and their corresponding complexities are growing, leading to large-scale ICT architectures. Centralized Cloud solutions cannot cope with the ever-expanding demands of this kind of architectures. The limitations of the centralized approaches necessitate the design of a new ICT architecture, using distributed technologies, for every layer and element of the city. Many solutions for management from Edge-to-Cloud (E2C) through distributed technologies are forthcoming, including Decentralized-to-Centralized ICT (DC2C-ICT) and Distributed-to-Centralized ICT (D2C-ICT) architectures. The DC2C-ICT architecture and its components work on their own tasks and are solely communicating with a centralized platform. On the other hand, components of the D2C-ICT architecture can work together to provide the services for the citizens across different layers from E2C. Therefore, the D2CICT architecture is less dependent on the central Cloud-based entity, but harder to design and manage. In this paper, an “Edge-to-Cloud-as-a-Service (E2CaaS) ” model is proposed together with a model on how to build efficient software services in smart cities through different layers of E2C. The most important tasks for building these services are the management of“Data/Database,” “Resources,” and “Network Communication and Cybersecurity issues”.</t>
  </si>
  <si>
    <t>C. Martín; D. R. Torres; M. Díaz; B. Rubio</t>
  </si>
  <si>
    <t>Federal Ministry of Education and Research(grant numbers:02P17D022);</t>
  </si>
  <si>
    <t>Today the monitoring of energy variables plays a key-role in the proper management of buildings to optimize costs along with the low emission profile and comfortable environments. The monitoring could be augmented by adding also optimization aspects that could decrease the energy/costs. Up to now the optimization is performed by using building and context (district) data, but with no or rough evaluation of comfort conditions delivered to the occupants. The work presented in this paper is derived from the ENERGIS project that takes into account individual buildings and districts including detailed comfort conditions representing a novelty in the Energy Management System. The monitoring is used to locally sense the energy demand while the optimization is performed at two different scales. The first optimization tries to consider different aspects related to the thermal management of rooms, supported by a novel sensor that is able to evaluate the comfort taking into account the room model and to control the thermal actuators to track a comfort set-point. The second level of optimization starts from the collected data from each building to set-up a district model that is able to map and then predict the energy demand enabling an energy management that is built on the concept of “sharing”. This paper outlines the overall system architecture that exploits the benefit of IoT also showing the first optimization level performed on a business office showing the overall pipeline that starts from the sensing of environment and ends with the control of actuators to track an optimized set-point.</t>
  </si>
  <si>
    <t>Modern data center applications have rapidly expanding instruction footprints that lead to frequent instruction cache misses, increasing cost and degrading data center performance and energy efficiency. Mitigating instruction cache misses is challenging since existing techniques (1) require significant hardware modifications, (2) expect impractical on-chip storage, or (3) prefetch instructions based on inaccurate understanding of program miss behavior. To overcome these limitations, we first investigate the challenges of effective instruction prefetching. We then use insights derived from our investigation to develop I-SPY, a novel profiledriven prefetching technique. I-SPY uses dynamic miss profiles to drive an offline analysis of I-cache miss behavior, which it uses to inform prefetching decisions. Two key techniques underlie ISPY's design: (1) conditional prefetching, which only prefetches instructions if the program context is known to lead to misses, and (2) prefetch coalescing, which merges multiple prefetches of noncontiguous cache lines into a single prefetch instruction. I-SPY exposes these techniques via a family of light-weight hardware code prefetch instructions. We study I-SPY in the context of nine data center applications and show that it provides an average of 15.5% (up to 45.9%) speedup and 95.9% (and up to 98.4%) reduction in instruction cache misses, outperforming the state-of-the-art prefetching technique by 22.5%. We show that I-SPY achieves performance improvements that are on average 90.5% of the performance of an ideal cache with no misses. © 2020 IEEE Computer Society. All rights reserved.</t>
  </si>
  <si>
    <t>Deep Neural Networks (DNNs) have reinvigorated real-world applications that rely on learning patterns of data and are permeating into different industries and markets. Cloud infrastructure and accelerators that offer INFerence-as-a-Service (INFaaS) have become the enabler of this rather quick and invasive shift in the industry. To that end, mostly accelerator-based INFaaS (Google's TPU [1], NVIDIA T4 [2], Microsoft Brainwave [3], etc.) has become the backbone of many real-life applications. However, as the demand for such services grows, merely scaling-out the number of accelerators is not economically cost-effective. Although multi-tenancy has propelled datacenter scalability, it has not been a primary factor in designing DNN accelerators due to the arms race for higher speed and efficiency. This paper sets out to explore this timely requirement of multi-tenancy through a new dimension: dynamic architecture fission. To that end, we define Planaria1 that can dynamically fission (break) into multiple smaller yet full-fledged DNN engines at runtime. This microarchitectural capability enables spatially co-locating multiple DNN inference services on the same hardware, offering simultaneous multi-tenant DNN acceleration. To realize this dynamic reconfigurability, we first devise breakable omni-directional systolic arrays for DNN acceleration that allows omni-directional flow of data. Second, it uses this capability and a unique organization of on-chip memory, interconnection, and compute resources to enable fission in systolic array based DNN accelerators. Architecture fission and its associated flexibility enables an extra degree of freedom for task scheduling, that even allows breaking the accelerator with regard to the server load, DNN topology, and task priority. As such, it can simultaneously co-locate DNNs to enhance utilization, throughput, QoS, and fairness. We compare the proposed design to PREMA [4], a recent effort that offers multi-tenancy by time-multiplexing the DNN accelerator across multiple tasks. We use the same frequency, the same amount of compute and memory resources for both accelerators. The results show significant benefits with (soft, medium, hard) QoS requirements, in throughput (7.4×, 7.2×, 12.2×), SLA satisfaction rate (45%, 15%, 16%), and fairness (2.1×, 2.3×, 1.9×).</t>
  </si>
  <si>
    <t>Google; Qualcomm; Microsoft; Xilinx; National Science Foundation; Air Force Office of Scientific Research;</t>
  </si>
  <si>
    <t>Internet of Things (IoT) devices have proliferated across a wide range of smart environments that generate vast amounts of data, necessitating the emergence of distributed edge-cloud infrastructures. However, these IoT-edge-cloud infrastructures encounter several challenges in providing efficient and effective services to users, such as real-time service delivery, robustness and resilience, and efficient deployment. Moreover, recent advancements in machine learning, particularly within the realm of deep learning, have ushered in a new era for IoT applications. These applications increasingly lean on data-intensive models to perform a multitude of functions, including classification, detection, data analytics, and decision-making. A key aspect is that many of these tasks exhibit sensitivity to latency and hinge on the deployment of models at the network’s edge and on how to efficiently handle data-intensive workloads, especially when network conditions are constrained. In response to these challenges, we present an analytical discussion that delves into the intricacies of distributed IoT pipelines and workloads deployed across both edge and cloud computing environments.</t>
  </si>
  <si>
    <t>Arm;</t>
  </si>
  <si>
    <t>Department of Defense (DOD) use of commercial networks entails unprecedented reliance on untrusted third-party communications infrastructure, and the associated risk of exposing DOD communications to an adversary. Traversing adversary-controlled infrastructure allows DOD’s adversaries to recognize, disrupt, or extract intelligence even from encrypted communications. The resulting arms race of obfuscation vs intelligence techniques has an inherent limitation: with each new obfuscation, DOD can never know if it fools the adversary, or if the adversary is simply lulling DOD into a false sense of security.We believe the next great capability leap for operating through commercial networks will likely come from sophisticated analytics that provide situational awareness of the threats within the communications infrastructure, and implementations that dynamically route communications along benign paths. These systems will restructure communication paths to avoid adversary-controlled infrastructure within the cellular networks and the broader Internet, adding depth to existing DOD defenses and keeping communications unobservable by the adversary.In this paper, we describe our vision for this emerging conceptual framework. We first describe the threat model for DOD communications and use cases that motivate our approach. We then discuss specific threats for each component of the cellular communication infrastructure–—radio access network, mobile core, and Internet–—and our vision for securing communications against those threats. For the radio access network and Internet components, we also describe proofs-of-concept for our proposed approaches, demonstrating their feasibility.</t>
  </si>
  <si>
    <t>T. Vresk; I. Čavrak</t>
  </si>
  <si>
    <t>The correct application of efficient and safe driving techniques plays an important role for professional drivers. Monitoring and analyzing driving data can promote changes in the sector in terms of the better use of vehicles, reduction in energy consumption, and improved on-road safety. However, the results in driving performance can vary considerably among different fleets that have received the same training in efficient and safe driving. The aim of this article is to perform an in-depth analysis of the driving performance of professional drivers during their working day, taking into account the influence of fleet management decisions. For this, we have selected four urban public transport companies with clear differences in terms of the employees scheduled and rostered drivers to bus lines. The driving behavior of 745 drivers has been evaluated over a period of 10 months, considering performance in terms of efficient and safe driving through the use of driving patterns. A total of 6,517,983.995 km of real-time driving data retrieved from vehicles every 1.5 s has been analyzed. The results show significant differences in the evolution and acquisition of new driving habits. In addition, significant observations from this article provide valuable information for fleet managers and allow them take advantage of data provided by the adoption of intelligent transportation systems.  © 2009-2012 IEEE.</t>
  </si>
  <si>
    <t>The boost in intelligence is achievable thanks to advancing technology, progressing from 4G LTE to 5G NR, and applying intelligent solutions across different fields. Technological advancements are enhancing the efficiency and capabilities of various sectors, fostering innovative environments in businesses like supply chains and finance, government, healthcare, institutions, homes, vehicles, and market complexes. Different corporations and business organizations have considered Robotic Process Automation to enhance production—services driving success in the resection application sectors within the organizations. Implementing and integrating Robotic Process Automation for Smart Cities showcases diverse advancements. This paper aims to explore the integration of Robotic Process Automation (RPA) while shading lights in smart cities to enhance efficiency in daily services and sustainability. Through exploring research, it examines the practical implications of deploying RPA in some major functional areas of smart cities. Findings contribute to understanding RPA's transformative potential in reshaping smart cities areas and building more efficient and sustainable smart cities.</t>
  </si>
  <si>
    <t>In this paper we present a flexible protocol based on LoRa technology that allows for the transfer of “content” to large distances with very low energy. LoRaCTP provides all the necessary mechanisms to make LoRa reliable, by introducing a lightweight connection set-up and ideally allowing the sending of an as-long-as necessary data message. We designed this protocol as a communication support for edge based IoT solutions given its stability, low power usage and the possibility to cover long distances. We present the evaluation of the protocol with various sizes of data content and various distances to show its performance and reliability.</t>
  </si>
  <si>
    <t>S. Strobl; M. Klöppel-Gersdorf; T. Otto; J. Grimm</t>
  </si>
  <si>
    <t>C-ITS Pilot in Dresden – Designing a modular C-ITS architecture</t>
  </si>
  <si>
    <t>Cooperative Intelligent Transport Systems (C-ITS) have seen increased interest in recent years, with several ongoing activities and first practical implementations. While clearly V2X-communication will play a significant role in all C-ITS deployments, several key components, such as the wireless communication technology and the message formats, are still evolving. This calls for a modular approach when designing C-ITS infrastructure, especially when considering a real world urban environment. Such environments are characterized by heterogeneous traffic light hardware and traffic management systems. This paper focuses on the modular architecture of the C-ITS pilot in Dresden. For example, a highly flexible communication stack is developed for this special purpose. It fully supports the message types standardized by European Telecommunications Standards Institute (ETSI) on the one hand, while on the other hand allowing the rapid implementation and test of novel message types and contents. This went hand in hand with the development of a modular roadside unit, enabling the rapid implementation of service applications on its central processing unit. In combination with a cloud-based backend, a real-time C-ITS service platform with a hybrid communication concept is developed. This paper presents a modular architecture and best practice guidelines based on experiences of the C-ITS pilot in Dresden. First results of research topics, such as latency measurements, are shown. The ongoing C-ITS deployment in Dresden is part of the initiative "Synchrone Mobilität 2023", which aims at advancing Intelligent Transport Systems. Focusing on automated and connected driving in urban areas, the research and development projects under its umbrella initiate scientific and technological developments and provide comprehensive test facilities. Automated and connected driving in urban areas requires not only simulations and test drives on test sites but also enormous testing effort under real traffic conditions. The Dresden Testbed offers outstanding conditions to conduct real-world test with a multitude of test kilometers and the experience of different traffic scenarios.</t>
  </si>
  <si>
    <t>A. Kretsis; P. Kokkinos; P. Soumplis; J. J. V. Olmos; M. Fehér; M. Sipos; D. E. Lucani; D. Khabi; D. Masouros; K. Siozios; P. Bourgos; S. Tsekeridou; F. Zyulkyarov; E. Karanastasis; E. Chondrogiannis; V. Andronikou; A. F. Gomez; S. Panica; G. Iuhasz; A. Nanos; C. Chalios; M. Varvarigos</t>
  </si>
  <si>
    <t>We are witnessing a wave of emerging cloud computing technologies and services that empower advanced applications from different vertical sectors, with diverse requirements. These trends give rise to a number of fundamental challenges that relate to the application deployment, the support of heterogeneous infrastructures and the provided security. In this setting, the SERRANO project steps in to define an intent-based paradigm of operating federated infrastructures consisting of edge, cloud and HPC resources, which will be realized through the SERRANO platform. Applications’ high-level requirements will be translated to infrastructure-aware configuration parameters. SERRANO orchestration will then provide adaptive and efficient access to secure by design and accelerated resources. In this way, SERRANO will support cloud-native applications and services towards the cloud continuum.</t>
  </si>
  <si>
    <t>M. Martalò; V. Pilloni</t>
  </si>
  <si>
    <t>National Research Foundation;</t>
  </si>
  <si>
    <t>European Union;</t>
  </si>
  <si>
    <t>Video Surveillance Systems (VSSs) are among the most investigated and widely adopted systems in smart cities by administrative officials for public safety and by private sector individuals to secure residents, employees, and properties. While many new technologies based on Machine Learning (ML) have enabled systems to be utilized for a diverse set of applications, such as license plate detection and car YMM (Year, Make Model) classification, one of the underlying concerns behind VSSs for both public and private sectors is the cost and resource constraints of the devices themselves. Given that optical character recognition and object detection are already computing and data-intensive activities, both in regards to the training of those ML models, as well as the real-time processing of the data, it is highly desired to create or optimize systems to operate on lightweight Internet of Things (IoT) devices. In this paper, we introduce a lightweight scheme for Decentralized Vehicular Identification (DEVID), which is affordable to inexpensive IoT devices as long as they are capable of managing their inputs and outputs (IO) in a fashion that is not costly in terms of storage or power consumption. While the performance in the experimental study is not satisfactory, the DEVID system possesses the potential to be a cost-friendly lightweight solution for smart cities.  © 2023 IEEE.</t>
  </si>
  <si>
    <t>Edge cloud solutions that bring the cloud closer to the sensors can be very useful to meet the low latency requirements of many Internet-of-Things (IoT) applications. However, IoT traffic can also be intermittent, so running applications constantly can be wasteful. Therefore, having a serverless edge cloud that is responsive and provides low-latency features is a very attractive option for a resource and cost-efficient IoT application environment.In this paper, we discuss the key components needed to support IoT traffic in the serverless edge cloud and identify the critical challenges that make it difficult to directly use existing serverless solutions such as Knative, for IoT applications. These include overhead from heavyweight components for managing the overall system and software adaptors for communication protocol translation used in off-the-shelf serverless platforms that are designed for large-scale centralized clouds. The latency imposed by ‘cold start’ is a further deterrent.To address these challenges we redesign several components of the Knative serverless framework. We use a streamlined protocol adaptor to leverage the MQTT IoT protocol in our serverless framework for IoT event processing. We also create a novel, event-driven proxy based on the extended Berkeley Packet Filter (eBPF), to replace the regular heavyweight Knative queue proxy. Our preliminary experimental results show that the event-driven proxy is a suitable replacement for the queue proxy in an IoT serverless environment and results in lower CPU usage and a higher request throughput.</t>
  </si>
  <si>
    <t>Tree fall is a major issue in large cities as it may obstruct roads and lead to traffic jams, and even injure people. Following these kind of incidents, monitoring the environment through sensors and Internet of Things technologies emerges as an important preventive approach. Another point is that the net primary productivity has a sensitive relation with trees characteristics including plant respiration and net photosynthesis which are highly sensitive to temperature. The health of the tree can then be monitored through leaf transpiration, sap flow measurement, environment evaluation as these methods offer indicators on any chance of a fall. The solution proposed in this paper includes an open-design hardware setup for monitoring trees in Smart Cities with Internet of Things. The setup is connected to a Smart City platform aiming to facilitate the use by other researchers and botanics, specially. Therefore, we noticed that the daily sensing data results in a huge amount of information that requires a balance between Big Data and Edge Computing approaches to process the whole collected data. The evaluation of the sensing data is presented together with the proposed architecture. © 2018 IEEE.</t>
  </si>
  <si>
    <t>Air pollution is one of today's most biggest problems, mostly due to greenhouse gas emissions that have increased exponentially since the mid-twentieth century. Today's society is the main culprit due to the emissions caused by the industriaV-manufacturing processes and the different transportation means. In particular, the cities, always affected by traffic congestion and traversed by uncountable vehicles, are crucial points where actuate solutions can mitigate the pollutants generated by the vehicles. The cities, enhanced by the Internet of Things (IoT) advent, are becoming “Smart” thanks to the data generated by IoT devices. The ubiquitous distribution and the possibility of correlating data from different sources (voluntary shared or freeware) have enabled the crowdsourced initiative to realize applications exploiting these data. In this work, a multilevel IoT/Cloud infrastructure lends itself to offering solutions to citizens to solve daily life problems. The architecture, putting in place means to conceive an exciting application, is investigated through different use cases linked to current cities issues: public mobility, free parking slot detection, and air quality monitoring.</t>
  </si>
  <si>
    <t>Video streaming is the dominating traffic in today’s data-sharing world. Media service providers stream video content for their viewers, while worldwide users create and distribute videos using mobile or video system applications that significantly increase the traffic share. We propose a multilayer and pipeline encoding on the computing continuum (MPEC2) method that addresses the key technical challenge of high-price and computational complexity of video encoding. MPEC2 splits the video encoding into several tasks scheduled on appropriately selected Cloud and Fog computing instance types that satisfy the media service provider and user priorities in terms of time and cost. In the first phase, MPEC2 uses a multilayer resource partitioning method to explore the instance types for encoding a video segment. In the second phase, it distributes the independent segment encoding tasks in a pipeline model on the underlying instances. We evaluate MPEC2 on a federated computing continuum encompassing Amazon Web Services (AWS) EC2 Cloud and Exoscale Fog instances distributed in seven geographical locations. Experimental results show that MPEC2 achieves 24% faster completion time and 60% lower cost for video encoding compared to resource allocation related methods. When compared with baseline methods, MPEC2 yields 40%– 50% lower completion time and 5%–60% reduced total cost.</t>
  </si>
  <si>
    <t>Foundation for Science and Technology; Foundation for Science and Technology;</t>
  </si>
  <si>
    <t>F. Siegmund; P. J. Franz; B. Nagel; M. Rüder; L. Wernet; M. Hollick; R. Kundel</t>
  </si>
  <si>
    <t>C. Lübben; S. Schäffner; M. -O. Pahl</t>
  </si>
  <si>
    <t>There is a continuous increase in processing power and a recent trend towards microservice architectures within the IoT. Both make it possible to place microservices on the distributed edge nodes of an IoT site.This creates the new challenge of identifying a suitable placement of services. Domains like cloud computing or Network Function Virtualization consider service placement as a relevant research problem for a while. However, the IoT sets special demands due to its heterogeneous and often constrained resources making cloud and NFV solutions not suitable. This paper assesses the differences between the IoT and previous placement domains. It presents a placement strategy that is adapted to the IoT.The evaluation shows that the presented traffic-based service placement strategy outperforms existing ones from other domains. This particularly holds for the optimization of the overall system’s bandwidth usage and latency.</t>
  </si>
  <si>
    <t>J. Kristan; P. Azzoni; L. Römer; S. E. Jeroschewski; E. Londero</t>
  </si>
  <si>
    <t>Eclipse Arrowhead is an open and flexible framework for industrial IoT scenarios based on service-oriented principles. It allows building highly configurable Systems of Systems by connecting systems running on devices in a local cloud. Part of Arrowhead’s flexibility is its ability to integrate other systems and tools through core services. In a previous study, we identified projects from Eclipse IoT, one of the largest open source communities for Internet of Things (IoT), building production-ready systems and tools for IoT. Based on this study, we integrated suitable projects into the Eclipse Arrowhead Framework, validating our initial findings and providing integrations complementing Arrowhead’s core functionality. The paper summarizes the integrations and gives an outlook on the next steps.</t>
  </si>
  <si>
    <t>Efficient operation of networking systems is important from resource utilization, OPEX, and energy consumption perspectives. A major factor in efficient operations is the underlying software that controls the networking hardware or virtualized network functions. Most software in hardware-based networking devices is periodically updated, which may or may not have impact on various aspects of the performance of the device. We consider the issue of change point detection in network performance indicators, aiming to detect when such software updates co-occur with changes to any subset of collected performance metrics. In particular, we study the change point detection problem that arises when the placement in time of firmware changes is known a priori, but the presence of any performance implications is unknown. We focus on evaluating change point detection in operational network equipment log data, and consider diurnal variation suppression approaches. We propose the use of periodicity filtering to remove anomalous data sources, and apply a resampling technique using bootstrapping to determine when a software update has performance implications. Our results show that this automated change point detection approach can locate performance-related changes, and that load normalization appears to be the most sensitive approach to diurnal variation suppression. © 2022 IEEE.</t>
  </si>
  <si>
    <t>S. Geißler; T. Hoßfeld</t>
  </si>
  <si>
    <t>This work delves into the vital role of TLS (Transport Layer Security) in securing web applications today. We explore kTLS (Kernel TLS) offloading as a possible solution to alleviate resource strain such as CPU time, power consumption, and network speed. By shifting cryptographic tasks closer to the CPU in software offloading or away from the main CPU in hardware offloading, kTLS can improve resource efficiency. Our experimental studies assess various offloading strategies, including software-based kTLS that bring it closer to the Kernel and cutting-edge hardware-accelerated modes such as TOE and coprocessor configurations using the Chelsio T6 SmartNIC. We highlight the immense potential of kTLS and network adapters in reshaping performance and efficiency dynamics for some network environments, considering each approach’s benefits and potential drawbacks.</t>
  </si>
  <si>
    <t>The rapid evolution of next-generation mobile networks introduces challenges and opportunities in achieving various use cases with extremely low latency, high data rates, and dense user connectivity. However, these objectives can lead to the higher energy consumption of mobile networks, particularly within the Radio Access Network (RAN), which generally consumes 75% of the mobile networks total energy consumption. The current studies available focus mainly on the energy consumption of the next-generation Core Network (5GC), while this demonstration provides a better understanding of the energy consumption of the RAN components. The demonstration provides energy observability leveraging various open-source software tools to measure and monitor RAN energy consumption trends deployed on the Kubernetes platform — a widely adopted container orchestration platform. Moreover, this demonstration shows energy consumption on different RAN architectures — Monolithic, Disaggregated, and Control Plane and User Plane Separation (CUPS) — utilizing tools such as Kepler and Scaphandre for comprehensive energy measurement.</t>
  </si>
  <si>
    <t>In the current era of continuous progress in electrical equipment automation, the threat of lightning is increasing to the stability and safe operation of electrical equipment. As the first line of defense in the power system, arresters may significantly reduce the lightning protection performance when subjected to lightning. Therefore, in this study, a method was proposed that utilizes an improved transformer model to integrate multiple features collected in the Internet of Things (IoT) environment that affect changes in leakage current of zinc oxide varistors, and its time series data is used to predict changes when affected by lightning. Firstly, it analyzed the present application condition of deep learning algorithms in the Internet of Things. Secondly, they also analyzed the preprocessing methods for IoT temporal data and the requirements of Deep Learning for predicting temporal data; this article proposes a model that integrates multi-feature time data through an improved Transformer and the Internet of Things. Finally, the performance indicators of the model are output through simulation experiments to complete the testing. The experimental manifest that the improved model has the ability to accurately predict the leakage current of ZnO varistors. This study provides a reference for guaranteeing the safety and stability of the power system, as well as the integration of the Internet of Things and deep learning.  © 2024 IEEE.</t>
  </si>
  <si>
    <t>This paper introduces a broadcast 5G-based smart guardian system, consisting of Broadcast 5G smart cloud platform management system, 5G set-top box smart gateway, 5G IoT smart terminals (e.g., LED lights, smart power supplies), ZigBee Smart Terminal. The smart terminal collects behavioural information such as opening and closing doors and switching lights, motion information measured by millimeter wave radar, and sliced information from the watcher’s screen, and uses various wireless communication technologies to send the watcher’s living and physical data to the platform. Then use classification, association and other algorithms to deduce a variety of complex situations, classification and early warning, the relevant information obtained through WeChat, APP, SMS and other mobile information means to push to the guardian or community management, in order to achieve 24-hour continuous intelligent guarding.</t>
  </si>
  <si>
    <t>The “arm race” against malware developers requires to collect a wide variety of performance measurements, for instance to face threats leveraging information hiding and steganography. Unfortunately, this process could be time-consuming, lack of scalability and cause performance degradations within computing and network nodes. Moreover, since the detection of steganographic threats is poorly generalizable, being able to collect attack-independent indicators is of prime importance. To this aim, the paper proposes to take advantage of the extended Berkeley Packet Filter to gather data for detecting stegomalware. To prove the effectiveness of the approach, it also reports some preliminary experimental results obtained as the joint outcome of two H2020 Projects, namely ASTRID and SIMARGL.</t>
  </si>
  <si>
    <t>Reducing mankind’s carbon footprint and becoming more sustainable is rapidly becoming one of the main challenges of our age. The networking industry needs to respond to those challenges not only by enabling applications that allow users to save energy (such as, replacing travel with teleconferencing), but also by making networking technology itself significantly more energy-efficient. As a result, the aspect of minimizing network power consumption is rapidly increasing in importance. This position paper aims to articulate opportunities where energy efficiency of networks can be improved, to point out the associated technical challenges, and to identify corresponding research challenges.</t>
  </si>
  <si>
    <t>G. F. Pittalà; W. Cerroni</t>
  </si>
  <si>
    <t>Fog computing is a distributed paradigm that extends cloud computing closer to the edge of the network, and even beyond that. By employing local resources, it enables quicker and more effective data processing and analysis. The optimization and automation of resource allocation, data processing, and job scheduling in the fog environment are made possible by the application of machine learning to Fog Computing Orchestration. It is also important, when working with the network computing models, to consider the XaaS paradigm, as it promotes the flexibility and scalability of fog services, bringing the concept of “service” into the foreground. Therefore, the need for a fog orchestrator enabling such characteristics arises, leveraging AI and the “service-centric” approach to enhance users’ service fruition. The design and development of such an orchestrator will be the objective of the early-stage PhD project presented in this paper.</t>
  </si>
  <si>
    <t>When it comes to new and developing applications that require high computation and low latency, fog computing is an attractive option to consider for implementation. The peripheral network devices are able to share idle resources and work together to complete fog computing tasks. It's up to the task publishers to decide how to distribute computer jobs that take into account transmission line quality and energy utilization. To urge these gadgets to engage in computational offloading, effective stimuli approaches are needed to stimulate them. Three heterogeneous servers with varying service rates are investigated using a finite constant buffer queue. Depending on a Poisson distribution with a mean and service times, the jobs are exponentially spread by distinct mean values There is a limit to how many jobs can be held in a queue while the servers are busy. It's assumed that Because of this, jobs are considered lost if they arrive after a buffer has reached capacity. If there is no client in queue, the next customer will be presumed to be in the first server if there is no customer in line. In the case of routers, this can be seen in their different speeds when serving packets on the network.  © 2021 IEEE.</t>
  </si>
  <si>
    <t>P. Porambage; G. Gür; D. P. M. Osorio; M. Liyanage; A. Gurtov; M. Ylianttila</t>
  </si>
  <si>
    <t>6Genesis Flagship(grant numbers:318927); 5GEAR Projects; European Union’s Horizon 2020 Research and Innovation Programme(grant numbers:871808); CENIIT Project 17.01; Excellence Center at Linköping-Lund in IT (ELLIIT);</t>
  </si>
  <si>
    <t>The use of AI on Smart applications and in the organization of the network edge presents a rapidly advancing research field, with a great variety of challenges and opportunities. This article aims to provide a holistic review of studies from 2019 to 2021 related to the Intelligent Edge, a concept comprising both the use of AI to organize edge networks (Edge Intelligence) and Smart applications in the edge. An introduction is given to the technologies required to understand the state of the art of AI in edge networks, and a taxonomy is provided with “Enabling Technology” for Edge Intelligence, “Organization” of the edge using AI, and AI “Applications” in the edge as its main topics. Research trend data from 2015 to 2020 is presented for various subdivisions of these topics, showing both absolute and relative research interest in each subtopic. The “Organization” aspect, being the main focus of this article, has a more fine-grained subdivision, explaining all contributing factors in detail. The trends indicate an exponential increase in research interest in nearly all subtopics, but significant differences between them. For each subdivision of the taxonomy a number of selected studies from 2019 to 2021 are gathered to form a high-level illustration of the state of the art of Edge Intelligence. From these selected studies and the trend data, a number of short-term challenges and high-level visions for Edge Intelligence are formulated, providing a basis for future work.</t>
  </si>
  <si>
    <t>Vlaio by means of the FlexNet Research Project;</t>
  </si>
  <si>
    <t>D. P. Moya Osorio; I. Ahmad; J. D. V. Sánchez; A. Gurtov; J. Scholliers; M. Kutila; P. Porambage</t>
  </si>
  <si>
    <t xml:space="preserve">University of Zürich, Switzerland; University of Bern; European Union H2020 Research and Innovation Program(grant numbers:830927); H2020 Concordia Project; </t>
  </si>
  <si>
    <t>National Natural Science Foundation of China(grant numbers:6200239); Key Research and Development Program of Xinjiang Autonomous Region(grant numbers:2021B01002); Scientific and Technological Innovation 2030 of China(grant numbers:2020AAA0109600);</t>
  </si>
  <si>
    <t>German Federal Ministry for Education and Research (BMBF) through the Project »Open6GHub«(grant numbers:16KISK003K);</t>
  </si>
  <si>
    <t>Toward Greener 5G and Beyond Radio Access Networks—A Survey</t>
  </si>
  <si>
    <t>Innovationsfonden(grant numbers:1045-00047B);</t>
  </si>
  <si>
    <t>M. A. Habibi; B. Han; A. Fellan; W. Jiang; A. G. Sánchez; I. L. Pavon; A. Boubendir; H. D. Schotten</t>
  </si>
  <si>
    <t>The definition of the fundamental concepts and the design of the architectural framework for network slicing in fifth-generation communication systems have been successfully concluded; the standardization activities are almost over; and the commercial deployment has already commenced worldwide. To compete for digital supremacy and to be seen as front-runners in the international technological race, researchers from various regions and countries have begun exploring the technical requirements, envisioning potential applications, identifying innovative enablers, developing testbeds for the preliminary validation of several terrestrial and non-terrestrial technologies, and conceptualizing the architectural design for the next generation of mobile communication systems – the sixth-generation (6G) – aiming to connect the human, physical, and digital worlds with a high level of intelligence and openness for the 2030s. In support of such an ambitious vision, this article extends the end-to-end network slicing concepts, methods, solutions, and functioning architectures towards 6G. To this intent, the study first presents several decisive motivating trends behind such an extension of network slicing in order to make forthcoming mobile networks fully slicing-aware. Following that, the paper attempts to highlight the intelligentization of a number of key enabling technologies that will bring a renaissance to network slicing in the next decade. It then proposes a unified architectural framework and its principal building blocks in several layers, paving the way for the implementation of an open and intelligent network and network slicing in 6G. The proposed architectural solution harmonizes the most recent specifications of the relevant de jure and de facto standards development organizations in their applicable layers with the aim of architecting a pre-standard-compliant and preliminary framework for slicing the 6G network. Finally, the article is intended to spur interest and lay the groundwork for further investigations and subsequent research and development by highlighting a number of open research challenges and directions in this flourishing field.</t>
  </si>
  <si>
    <t>Horizon 2020 Research and Innovation Program of the European Union through Hexa-X(grant numbers:101015956); Hexa-X-II(grant numbers:101095759);</t>
  </si>
  <si>
    <t>National Research Foundation of Korea (NRF); Korea Government (MSIT)(grant numbers:NRF-2022R1A4A1032361);</t>
  </si>
  <si>
    <t>S. Wang; M. A. Qureshi; L. Miralles-Pechuán; T. Huynh-The; T. R. Gadekallu; M. Liyanage</t>
  </si>
  <si>
    <t>Around 2020, 5G began its commercialization journey, and discussions about the next-generation networks (such as 6G) emerged. Researchers predict that 6G networks will have higher bandwidth, coverage, reliability, energy efficiency, and lower latency, and will be an integrated “human-centric” network system powered by artificial intelligence (AI). This 6G network will lead to many real-time automated decisions, ranging from network resource allocation to collision avoidance for self-driving cars. However, there is a risk of losing control over decision-making due to the high-speed, data-intensive AI decision-making that may go beyond designers’ and users’ comprehension. To mitigate this risk, explainable AI (XAI) methods can be used to enhance the transparency of the black-box AI decision-making process. This paper surveys the application of XAI towards the upcoming 6G age, including 6G technologies (such as intelligent radio and zero-touch network management) and 6G use cases (such as industry 5.0). Additionally, the paper summarizes the lessons learned from recent attempts and outlines important research challenges in applying XAI for 6G use cases soon.</t>
  </si>
  <si>
    <t>European Commission in SPATIAL(grant numbers:101021808); Academy of Finland in 6Genesis(grant numbers:318927); Science Foundation Ireland through CONNECT Phase 2 Project(grant numbers:13/RC/2077_P2); ADAPT Centre Phase 2 Project(grant numbers:13/RC/2106_P2); Industry Fellowship(grant numbers:21/IRDIF/9839);</t>
  </si>
  <si>
    <t>S. Kerboeuf; P. Porambage; A. Jain; P. Rugeland; G. Wikström; M. Ericson; D. Thai Bui; A. Outtagarts; H. Karvonen; P. Alemany; R. Muñoz; R. Vilalta; P. Botsinis; A. Ramos; J. Castaneda Cisneros; M. Karaca; C. Karousatou; S. Barmpounakis; P. Demestichas; A. Zafeiropoulos; I. Tzanettis; S. Papavassiliou; P. G. Giardina; G. Landi; B. Han; A. Nimr; M. A. Uusitalo</t>
  </si>
  <si>
    <t>Hexa-X-II Project; Smart Networks and Services Joint Undertaking (SNS JU) through the European Union’s Horizon Europe Research and Innovation Programme(grant numbers:101095759);</t>
  </si>
  <si>
    <t xml:space="preserve">University of Perugia through the Fondo di Ricerca di Base 2022 Project “Energy-Efficient Networking, Signal Processing and Communications (EFESO)”; Fondo di Ricerca di Base 2020 Project “Systems, Algorithms, and Architectures for Information Transmission and Processing in Future Telecommunications and Sensor Networks”; Ministero dell’Istruzione, dell’Università e della Ricerca (MIUR) through the PRIN 2017 Project “Liquid Edge Computing Based on Distributed Machine Learning and Millimeter-Wave Radio Access (LIQUID_EDGE);”; European Union under the Italian National Recovery and Resilience Plan (NRRP) of NextGenerationEU, Partnership on “Telecommunications of the Future,” Program “RESTART”(grant numbers:PE00000001); “Netwin”(grant numbers:E83C22004640001); </t>
  </si>
  <si>
    <t>R. Ntassah; G. Michele Dell’Area; F. Granelli</t>
  </si>
  <si>
    <t>Telecom Italia in the framework of the UniversiTIM Program;</t>
  </si>
  <si>
    <t>Network automation has become crucial in supporting services in 6G networks. This mainly derives from the complexity of the composition of numerous distributed virtual network functions (VNFs) in creating highly flexible virtual network services. Therefore, a network service automation system is a key technology enabler for 6G. However, the added complexity renders network service automation systems particularly sensitive to faults, some of which cause network outages that harm the smooth operation of basic societal services. Current state-of-the-art (SotA) solutions for fault detection can barely detect hidden faults. Herein, we propose a mechanism for automated network service analysis (ANSA), which constructs and analyzes a digital twin of a network service. The digital twin represents the available information about the network service based on category theory. It uses the properties of category theory to perform an analysis through which the faults of the network service are identified. We evaluate a prototype of a network service automation system that incorporates ANSA to demonstrate 1) the benefits of using digital twins for analyzing network services, 2) the benefits of using category theory for constructing digital twins of the network services, and 3) the resulting improvements in fault detection. Overall, ANSA can detect an average of 94% of the faults present in a network service. In comparison, previous SotA solutions can detect only 30%–50% of all faults.</t>
  </si>
  <si>
    <t>This article discusses ‘Metaverse’ from a technical perspective, focusing on networked systems aspects. Based on a technical definition of the ‘Metaverse,’ we examine the current state and challenges in communication and networking within Metaverse systems. We describe the state-of-the-art in different enabling Metaverse technologies and provide a technical analysis of current Metaverse system architectures. We then detail the state-of-the-art and the gaps in four areas: communication performance, mobility, large-scale operation, and end system architecture. Based on our analysis, we formulate a vision for future Metaverse infrastructure, outlining goals, design concepts, and suggested research directions.</t>
  </si>
  <si>
    <t>Guangzhou Municipal Key Laboratory on Future Networked Systems(grant numbers:024A03J0623); National Natural Science Foundation of China(grant numbers:62371412); National Key Research and Development Program of China(grant numbers:2024YFE0200600); Guangdong Basic and Applied Basic Research Natural Science Funding Scheme(grant numbers:2024A1515011184); Guangzhou-HKUST (GZ) Joint Funding Scheme(grant numbers:2024A03J0539);</t>
  </si>
  <si>
    <t>M. Wani; M. Kretschmer; B. Schröder; A. Grebe; M. Rademacher</t>
  </si>
  <si>
    <t>Federal Ministry for Digital and Transport of the Federal Republic of Germany(grant numbers:165GU054B);</t>
  </si>
  <si>
    <t>XcARet Project funded by the Research Council of Finland(grant numbers:355114); German Federal Ministry for Education and Research through the Open6GHub Project(grant numbers:16KISK004);</t>
  </si>
  <si>
    <t>Integrated satellite, aerial, and terrestrial networks (ISATNs) represent a sophisticated convergence of diverse communication technologies to ensure seamless connectivity across different altitudes and platforms. This paper explores the transformative potential of integrating Large Language Models (LLMs) into ISATNs, leveraging advanced Artificial Intelligence (AI) and Machine Learning (ML) capabilities to enhance these networks. We outline the current architecture of ISATNs and highlight the significant role LLMs can play in optimizing data flow, signal processing, and network management to advance 5G/6G communication technologies through advanced predictive algorithms and real-time decision-making. A comprehensive analysis of ISATN components is conducted, assessing how LLMs can effectively address traditional data transmission and processing bottlenecks. The paper delves into the network management challenges within ISATNs, emphasizing the necessity for sophisticated resource allocation strategies, traffic routing, and security management to ensure seamless connectivity and optimal performance under varying conditions. Furthermore, we examine the technical challenges and limitations associated with integrating LLMs into ISATNs, such as data integration for LLM processing, scalability issues, latency in decision-making processes, and the design of robust, fault-tolerant systems. The study also identifies critical future research directions for fully harnessing LLM capabilities in ISATNs, which is important for enhancing network reliability, optimizing performance, and achieving a truly interconnected and intelligent global network system.  © 2020 IEEE.</t>
  </si>
  <si>
    <t>The Open Radio Access Network (Open RAN) framework, emerging as the cornerstone for Artificial Intelligence (AI)-enabled Sixth-Generation (6G) mobile networks, heralds a transformative shift in radio access network architecture. As the adoption of Open RAN accelerates, ensuring its security becomes critical. The RAN Intelligent Controller (RIC) plays a central role in Open RAN by improving network efficiency and flexibility. Nevertheless, it also brings about potential security risks that need careful scrutiny. Therefore, it is imperative to evaluate the current state of RIC security comprehensively. This assessment is essential to gain a profound understanding of the security considerations associated with RIC. This survey combines a comprehensive analysis of RAN security, tracing its evolution from 2G to 5G, with an in-depth exploration of RIC security, marking the first comprehensive examination of its kind in the literature. Real-world security incidents involving RIC are vividly illustrated, providing practical insights. The study evaluates the security implications of the RIC within the 6G Open RAN context, addressing security vulnerabilities, mitigation strategies, and potential enhancements. It aims to guide stakeholders in the telecom industry toward a secure and dependable telecommunications infrastructure. The article serves as a valuable reference, shedding light on the RIC’s crucial role within the broader network infrastructure and emphasizing security’s paramount importance. This survey also explores the promising security opportunities that the RIC presents for enhancing network security and resilience in the context of 6G mobile networks. It outlines open issues, lessons learned, and future research directions in the domain of intelligent control in 6G Open RAN, facilitating a comprehensive understanding of this dynamic landscape.</t>
  </si>
  <si>
    <t>Qatar National Library; Qatar University(grant numbers:IRCC-2021-010);</t>
  </si>
  <si>
    <t>The unprecedented advancement of Artificial Intelligence (AI) has positioned Explainable AI (XAI) as a critical enabler in addressing the complexities of next-generation wireless communications. With the evolution of the 6G networks, characterized by ultra-low latency, massive data rates, and intricate network structures, the need for transparency, interpretability, and fairness in AI-driven decision-making has become more urgent than ever. This survey provides a comprehensive review of the current state and future potential of XAI in communications, with a focus on network slicing, a fundamental technology for resource management in 6G. By systematically categorizing XAI methodologies–ranging from modelagnostic to model-specific approaches, and from pre-model to post-model strategies–this paper identifies their unique advantages, limitations, and applications in wireless communications. Moreover, the survey emphasizes the role of XAI in network slicing for vehicular network, highlighting its ability to enhance transparency and reliability in scenarios requiring real-time decision-making and high-stakes operational environments. Real-world use cases are examined to illustrate how XAI-driven systems can improve resource allocation, facilitate fault diagnosis, and meet regulatory requirements for ethical AI deployment. By addressing the inherent challenges of applying XAI in complex, dynamic networks, this survey offers critical insights into the convergence of XAI and 6G technologies. Future research directions, including scalability, real-time applicability, and interdisciplinary integration, are discussed, establishing a foundation for advancing transparent and trustworthy AI in 6G communications systems.</t>
  </si>
  <si>
    <t>Purdue University; Lilly Endowment; Microsoft Research;</t>
  </si>
  <si>
    <t>The integration of information technology (IT) and operational technology (OT) is deepening, amplifying the interconnectedness of operational, safety, and security demands within industrial automation systems. Lacking comprehensive guidance, risk managers often resort to manual solutions based on best practices or rely on domain experts, who usually offer insights limited to their specific areas of expertise. Given the intricate interplay among these domains, employing ontologies for knowledge representation could hold the key to capturing all necessary relationships and constraints for effective risk management processes. This study conducts a systematic mapping analysis of ontologies published over the past five years, focusing on at least one domain relevant to OT system risk management. Its objective is to categorize papers, offer a panoramic view of research themes and contributors, discern potential publication patterns, and identify research avenues based on a comprehensive review of these ontologies. Findings indicate a relatively stable research interest, with most publications presenting proof of concepts or initial experimental results for their ontological applications. This study establishes a foundation for classifying comprehensive OT ontologies and pinpoints unresolved issues that can steer future research efforts. It offers insights into the current state-of-the-art within this research area.  © 2024 IEEE.</t>
  </si>
  <si>
    <t>Industry 4.0 has revolutionized industrial automation, with models, such as Industry 4.0 Reference Architectural Model (RAMI 4.0), providing a structured framework for optimizing value chains and processes. However, the complexity and abstract nature of RAMI 4.0 have limited its practical application, especially due to the lack of clear visualization methods to understand industrial ecosystems. Effective visualization is essential to translate this framework into actionable insights, enabling stakeholders to grasp system interactions, dependencies, and value-creation processes. This article proposes a multidimensional visualization approach, illustrated through a smart heat pump example, to map information and operational technologies, their interactions, and value chains. Combining 3-D visualizations for integrated system overviews with 2-D visualizations for task-specific analysis, the approach provides a comprehensive understanding of RAMI 4.0 value chains, enabling stakeholders to address their analytical needs with clarity. It facilitates run-time value chain analysis, offering real-time insights for decision-making during operations. The approach maps industrial systems across RAMI 4.0 axes and aligns them with engineering processes and lifecycle phases, enabling the exploration of system interactions, dependencies, and stakeholder contributions. This supports the analysis of engineering and business processes, optimizes infrastructure, and facilitates smooth technological transitions. It enhances RAMI 4.0’s utility for real-time decision-making and operational efficiency, boosting competitiveness in industrial ecosystems.</t>
  </si>
  <si>
    <t>The rapid evolution of manufacturing processes driven by Industry 4.0 demands systems capable of quickly adapting to dynamic market conditions and evolving customer needs. Agile manufacturing emphasizes flexibility, adaptability, and real-time responsiveness, posing challenges in run-time value chain analysis (VCA), including cost flows and production times. This article presents a novel two-stage VCA approach using an activity-based costing mechanism via microservices to address these challenges. The VCA system enables real-time cost accounting and decision-making, supporting both pre and postproduction VCA, contrasting with traditional methods that rely on historical data. The first stage involves top–down cost calculations from resources to microservices. In contrast, the second focuses on constructing efficient manufacturing activities based on product requirements, allowing for granular analysis of costs and production times across microservices, activities, broader business processes, and finally, cost objects (e.g., customized products, batches of products, or customer invoices). The approach is validated through a proof-of-concept implementation of the VCA system integrated with the Eclipse Arrowhead framework and simulating Fischertechnik indexed line milling, drilling, and conveying operations. The results demonstrate the effectiveness of the proposed method in providing detailed insights into costs and production times, enhancing the efficiency and competitiveness of agile manufacturers.</t>
  </si>
  <si>
    <t>European Commission and Arrowhead flexible Production Value Network; Electronic Components and Systems for European Leadership(grant numbers:101111977); AI-REDGIO5.0(grant numbers:101092069);</t>
  </si>
  <si>
    <t>German Federal Ministry for Digital and Transport (BMDV) through BeIntelli Project(grant numbers:01MM20004);</t>
  </si>
  <si>
    <t>At present, with the rapid development of big data processing technology, streaming data processing and real-time data analysis have gradually become new research hotspots. Both the industry and the academia have invested a lot of research into the efficient processing methods of massive data generated in the environment such as the Internet and e-commerce. Meanwhile, high-performance computing technology and supercomputers are also looking for new business growth points. The convergence of big data processing and high performance computing technology is the general trend of big data analysis in the future. This paper will give a brief overview of typical technologies in the fusion process of big data processing and high-performance computing. © 2018 IEEE.</t>
  </si>
  <si>
    <t>Science Foundation Ireland(grant numbers:13/RC/2077_P2);</t>
  </si>
  <si>
    <t>V. Mitrović; M. Mijalković</t>
  </si>
  <si>
    <t>For a long time, the leading cadres of Chinese enterprises generally have the idea of “emphasizing production but not logistics”, and the development of logistics management is relatively lagging behind. With the implementation of China’s “plant-grid separation and competitive bidding for Internet access”, the competition among power producers has become increasingly intense, and power producers are facing serious challenges. To win in the fierce power market, it is necessary to continuously adopt new technologies in the production process, upgrade the original equipment, improve the safe operation coefficient of the equipment, and make it work better. The most important thing is to put people in the first place, improve the management level of the enterprise, plug the loopholes in the management, and gain benefits from the management. The concepts of “logistics is the third source of profit of an enterprise” and “logistics level reflects the overall operation level of an enterprise” are gradually recognized by the decision-making level of electric power companies. Logistics is the main body of the company’s operating profit, it can bring huge direct and indirect benefits to the enterprise. This paper discusses the design and implementation of a green supply chain management system for the power industry. Through the results of a user satisfaction survey, the paperemphasizes the user acceptance of the system’s ease of use and environmental benefits, but also suggests room for improvement in the system’s responsiveness. These findings provide guidance for the further application and development of green supply chain management systems in the power industry in the future.</t>
  </si>
  <si>
    <t>This paper reports on the approach for the design and development of the H2020 ChArGED project framework. ChArGED addresses energy wastage and proposes a framework that aims to facilitate achieving greater energy efficiency in public buildings. The framework leverages IoT-enabled low-cost devices, to improve energy disaggregation mechanisms that provide energy use and -consequently- wastage information at the device, area and end-user level. The identified wastages are concurrently targeted by a gamified application that feeds personalized real-time recommendations to each individual enduser. The ChArGED solution is being developed iteratively, with the end-users' engagement during the analysis, design and development phases in public buildings located in 3 different countries: Luxembourg (Musée National d'Histoire et d'Art), Spain (EcoUrbanBuilding, Institut Català d'Energia headquarters, Barcelona) and Greece (General Secretariat of the Municipality of Athens).</t>
  </si>
  <si>
    <t>T. Reimer; L. E. T. Ríos; M. Cavalcanti; L. Lucchesi; M. Endler</t>
  </si>
  <si>
    <t>AFOSR(grant numbers:FA9550-23-1-0136);</t>
  </si>
  <si>
    <t>J. Wåhslén; T. Lindh</t>
  </si>
  <si>
    <t>J. Alcaraz-Calero; I. -P. Belikaidis; C. J. Bernardos Cano; P. Bisson; D. Bourse; M. Bredel; D. Camps-Mur; T. Chen; X. Costa-Perez; P. Demestichas; M. Doll; S. E. Elayoubi; A. Georgakopoulos; A. Mämmelä; H. -P. Mayer; M. Payaro; B. Sayadi; M. S. Siddiqui; M. Tercero; Q. Wang</t>
  </si>
  <si>
    <t>N. R. Pérez; M. A. Sanz-Bobi; A. S. Paniagua</t>
  </si>
  <si>
    <t>This paper analyses the technologies proposed in the open Edge Workload Consolidation Architecture (defined by Intel and Minsait) and their main alternatives, considering the specific requirements and perspective of a power distribution utility (i-DE) to implement it at secondary substations. The analysis distinguishes the edge device (hardware and software), communications and the management system. Furthermore, the advantages, challenges and possible functionalities in the LV distribution grid are discussed, as well as the economic impact on the system and on the utility. To support the analysis, a local and a remote test environment are used for technologies comparisons and for the development and testing of a real-time balance computing application.The analyzed architecture is found to be appropriate and the solution, modular and open source based, has the potential to be the new paradigm of how the LV grid is monitored and controlled, providing great benefits to the power distribution’s stakeholders.</t>
  </si>
  <si>
    <t>Á. M. Aparicio-Morales; J. L. Herrera; E. Moguel; J. Berrocal; J. Garcia-Alonso; J. M. Murillo</t>
  </si>
  <si>
    <t>M. Boussaa; O. Barais; B. Baudry; G. Sunyé</t>
  </si>
  <si>
    <t>Eni;</t>
  </si>
  <si>
    <t>Smart cities are gaining increasingly more importance in both research and business circles. Much effort is spent to defining what a smart city is and how it could be realized with today's or future technologies. However, from requirements engineering perspective, our knowledge of smart cities is fragmented; little is known about the requirements for smart cities as complex systems, or as systems of systems, in specific application domains. In this paper, we elicit requirements for smart city systems by carrying out a systematic review of scientific literature focused on the so-called “hard” domains of smart cities. Based on 32 selected publications, we gathered and classified requirements in respect to three types of smart city systems (instrumented, interconnected, and intelligent systems) and four classes of requirements: end-to-end experience, architectural, security, and infrastructure requirements. Our most important findings are that: (1) most authors took a bottom-up approach to defining requirements for smart cities; their efforts focused mainly on requirements important for designing an architecture that could scale up to any size and include any device or system; and (2) very little is mentioned on the newly emerging security and privacy challenges that are critical to gain the citizens' acceptance of smart city apps.</t>
  </si>
  <si>
    <t>In distributed microservice architecture, low latency and high reliability are crucial as they directly impact user experience by ensuring robust service continuity across the network. Function unavailability occurs due to various reasons, and when such failures are detected, the nodes hosting the backup resources can attempt autonomously local recovery, leveraging precomputed recovery policies, without the need for central processor intervention, thereby reducing recovery time. In scenarios involving shared protection with limited recovery capabilities, it is crucial to implement a well-defined policy for local recovery. Such a policy prevents repetitive or infeasible recovery attempts, ensuring effective recovery. This paper considers a local strategy to maximize the residual resilience, where individual nodes decide which function to recover. It hence works as a complement to global recovery to provide prompt recovery, as a first line of defense. This paper hence considers the preparation of priority settings with preprocessing based on the SUPPORTED model. We conduct a comprehensive analysis of the conditions for achieving feasible and optimal local recovery solutions with zero-round communication for one and two failures. Additionally, we formulate the problem as an integer linear programming problem and design a testbed to implement the local recovery algorithm incorporating preprocessing. Our evaluation reveals that the zero-round communication approach emerges as the optimal choice, drastically shortening recovery times to 10−6 seconds while maintaining $\mathbf{9 8 \%}$ feasibility and perfect optimality for all practical solutions, on average, across two failure scenarios.</t>
  </si>
  <si>
    <t>J. Martínez; A. Romero-Garcés; C. Suárez; R. Marfi; K. L. Hing Ting; A. Iglesias; J. García; F. Fernández; A. Dueñas; L. V. Calderita; A. Bandera; J. P. Bandera</t>
  </si>
  <si>
    <t>While high accuracy is of paramount importance for deep learning (DL) inference, serving inference requests on time is equally critical but has not been carefully studied especially when the request has to be served over a dynamic wireless network at the edge. In this paper, we propose Jellyfish-a novel edge DL inference serving system that achieves soft guarantees on end-to-end inference latency often specified as a service-level objective (SLO). To handle the network variability, Jellyfish exploits both data and deep neural network (DNN) adaptation to conduct tradeoffs between accuracy and latency. Jellyfish features a new design that enables collective adaptation policies where the decisions for data and DNN adaptations are aligned and coordinated among multiple users with varying network conditions. We propose efficient algorithms to dynamically adapt DNNs and map users, so that we fulfill latency SLOs while maximizing the overall inference accuracy. Our experiments based on a prototype implementation and real-world WiFi and LTE network traces show that Jellyfish can meet latency SLOs at around the 99th percentile while maintaining high accuracy.  © 2022 IEEE.</t>
  </si>
  <si>
    <t>R. P. Díaz Redondo; A. Fernández Vilas</t>
  </si>
  <si>
    <t>In this paper we tangle with the mechanisms and solutions of transferring intelligence to the IoT edge level and we document existing approaches on how to include hardware reconfigurability on the edge level of IoT in order to reprogram an IoT device’s hardware during run time. The approach enables the dynamic allocation of hardware IP cores as a mechanism to enhance the processing performance of IoT end nodes in analogy to the needs of the IoT infrastructure. The goal is to provide a an intelligence distribution mechanism that moves computation resources to end node devices so as to maintain the resilience of an IoT service at high level. We showcase this technology by proposing a design approach and a relevant architecture that can be used in order to program/reconfigure the hardware and software of IoT end Nodes using IP core hardware acceleration. Through the above process, we can considerably enhance end node performance in terms of processing power and make it intelligent enough not just to collect data but also to aggregate them and process them to extract intelligent decisions locally.</t>
  </si>
  <si>
    <t>D. Fuentalba; C. Durán; C. Guillaume; R. Carrasco; S. Gutierrez; O. Pinto</t>
  </si>
  <si>
    <t>Code smells are symptoms of poor design or bad implementation choices. Their automatic detection is helpful for various reasons. For example, the detected smells can guide developers during code inspection to find the causes of maintenance problems. Many code smells have been proposed for several technologies, including database communication, such as ORM or SQL antipatterns. However, despite its popularity, no research has been conducted on MongoDB smells. We present a systematic multivocal literature mapping study, also covering 'grey' literature, to build a catalog of MongoDB code smells. After evaluating 1,498 artifacts (e.g., blog posts, online articles, book chapters, scientific papers, presentation slides, and videos) from 12 search engines, we manually reviewed 174 sources and devised a catalog of 76 smells organized into 11 categories. We present the catalog of MongoDB code smells through a series of examples.  © 2024 IEEE.</t>
  </si>
  <si>
    <t>European Commission(grant numbers:GA-101092984);</t>
  </si>
  <si>
    <t>Research and Development; National Science Foundation;</t>
  </si>
  <si>
    <t>Pan, Haochen; Chard, Ryan; Zhou, Sicheng; Kamatar, Alok; Vescovi, Rafael; Hayot-Sasson, Valérie; Bauer, André; Gonthier, Maxime; Chard, Kyle; Foster, Ian</t>
  </si>
  <si>
    <t>Several software systems are built upon stream processing architectures to process large amounts of data in near real-time. Today's distributed stream processing systems (DSPSs) spread the processing among multiple machines to provide scalable performance. However, high-performance and Quality of Service (QoS) in distributed stream processing are challenging to predict, achieve, and maintain. While many studies focus on evaluating or improving the performance of stream processing, getting a comprehensive view of the current state of DSPSs and their performance in real-world deployments is challenging. In this paper, we present a systematic mapping study of the literature on DSPSs' performance. We discuss existing challenges, the most used DSPSs, achieved performance, and future trends. Our results demonstrate that performance is still one of the major concerns in stream processing, with several solutions available and different outcomes regarding the metrics, execution environments, and use cases considered. Moreover, there is a need for better benchmarks and workloads as well as for performance improvements by increasing efficiency and utilizing modern hardware. Our study intends to help software engineering practitioners and researchers to understand how to choose the most suitable DSPS to build efficient data-intensive architectures.  © 2023 IEEE.</t>
  </si>
  <si>
    <t>S. Martínez-Fernández; X. Franch; F. Durán</t>
  </si>
  <si>
    <t>Austrian Research Promotion Agency(grant numbers:888127);</t>
  </si>
  <si>
    <t>In the era of 6G, developing and managing software requires cutting-edge software engineering (SE) theories and practices tailored for such complexity across a vast number of connected edge devices. Our project aims to lead the development of sustainable methods and energy-efficient orchestration models specifically for edge environments, enhancing architectural support driven by AI for contemporary edge-to-cloud continuum computing. This initiative seeks to position Finland at the forefront of the 6G landscape, focusing on sophisticated edge orchestration and robust software architectures to optimize the performance and scalability of edge networks. Collaborating with leading Finnish universities and companies, the project emphasizes deep industry-academia collaboration and international expertise to address critical challenges in edge orchestration and software architecture, aiming to drive significant advancements in software productivity and market impact. © 2024 IEEE.</t>
  </si>
  <si>
    <t>A. Alidra; H. Bruneliere; H. Coullon; T. Ledoux; C. Prud’Homme; J. Lejeune; P. Sens; J. Sopena; J. Rivalan</t>
  </si>
  <si>
    <t>Fog Computing is emerging as the dominating paradigm bridging the compute and connectivity gap between sensing devices and latency-sensitive services. However, experimenting and evaluating IoT services is a daunting task involving the manual configuration and deployment of a mixture of geodistributed physical and virtual infrastructure with different resource and network requirements. This results in sub-optimal, costly and error-prone deployments due to numerous unexpected overheads not initially envisioned in the design phase and underwhelming testing conditions not resembling the end environment. In this paper, we introduce Fogify, an emulator easing the modeling, deployment and large-scale experimentation of fog and edge testbeds. Fogify provides a toolset to: (i) model complex fog topologies comprised of heterogeneous resources, network capabilities and QoS criteria; (ii) deploy the modelled configuration and services using popular containerized descriptions to a cloud or local environment; (iii) experiment, measure and evaluate the deployment by injecting faults and adapting the configuration at runtime to test different “what-if” scenarios that reveal the limitations of a service before introduced to the public. In the evaluation, proof-of-concept IoT services with real-world workloads are introduced to show the wide applicability and benefits of rapid prototyping via Fogify.</t>
  </si>
  <si>
    <t>Edge deployments perform complex deep learning inference and analysis in the wild in highly resource constrained environment. They are positioned everywhere from our largest cities to the bottom of our oceans, and often necessitate significant financial resources and labor to create and deploy. These properties make correctness of edge deployments simultaneously extremely important and difficult to verify a priori. In the past decade, a series of IoT and cloud testbeds have emerged to facilitate this testing. They provide users with access to resources and, less often, sensors that can be used to emulate workloads before deployment. While developers can use these resources to verify the correctness of their configurations, often users would like to “right-size” their deployments - that is, to find a minimal resource configuration that guarantees correctness - to decrease cost and prevent over-provisioning. The current suite of cloud and IoT testbeds does not provide this capability. We present Righteous, an automatic deployment right-sizing tool for edge deployments. Righteous treats configuration as a hyperparameter optimization problem, testing hyperparameter combinations to find a near-optimal configuration as quickly as possible. Righteous uses a new optimization algorithm, informed Pareto Simulated Annealing (iPSA) to find near-optimal configurations faster than other leading approaches. We use Righteous in conjunction with the PROWESS testbed to optimize a drone swarm deployment workload. Our results demonstrate that Righteous configurations use up to 3.5X less resources than those identified by leading hyperparameter tuning and resource allocation techniques, and does so up to 76.3X faster.</t>
  </si>
  <si>
    <t>European Regional Development Fund(grant numbers:T2EDK-04211);</t>
  </si>
  <si>
    <t>This paper introduces the architectural design of a low-carbon energy management platform based on digital twin technology and its application in low-carbon communities. Through this platform, real-time monitoring, simulation, and optimization of physical energy systems can be achieved, enhancing energy utilization efficiency and significantly reducing carbon emissions. The paper details the platform’s three-tier architecture design and, using the demonstration case of the South Lake Red Ship, explores the platform’s effectiveness in clean energy consumption, real-time simulation, and carbon neutrality management. Practical results show that the platform not only improves the operational efficiency of energy systems but also significantly reduces CO2 emissions, promoting the intelligent and sustainable development of energy management systems.</t>
  </si>
  <si>
    <t>State Grid Zhejiang Electric Power Company;</t>
  </si>
  <si>
    <t>With the increasingly prominent peak load in the urban core area of high-temperature and high-humidity regions and the growing impact of electric vehicle charging load, the region faces significant pressure on power supply guarantee, weak flexibility in adjustment, and low level of intelligence. The proposal of a new energy system effectively alleviates the problems of energy network development and supply and demand matching. The project aims to build China’s first large-scale interconnected, flexible and intelligent, safe and reliable “world-class exemplary scene of a new energy system in the urban core area of a super-large city,” focusing on the “energy-electricity-cooling” three energy networks, and innovatively integrating the “car-station-building-network-city” green energy technology path. It will focus on building a number of photovoltaic and energy storage super-charging stations, low-carbon flexible buildings, group-style high-efficiency cooling and green hub projects, integrating car-grid interaction, virtual power plants, and intelligent gas pipeline technologies, to achieve the friendly integration and management of the energy system. It will realize the leading innovative functions of city-level and regional-level energy system flexibility and support, create an international leading smart new power system with the characteristics of “green and efficient, flexible and open, and digitally enabled,” explore replicable and scalable exemplary pathways of a new energy system, and create an international benchmark project to achieve advanced urban district demonstration.</t>
  </si>
  <si>
    <t>F. Füstös; K. Péter; N. -P. László; S. -G. Mátis; Z. Szabó; C. Sulyok</t>
  </si>
  <si>
    <t>I. O. Pethő; T. S. Micsik; G. Eigner; S. A. Laczi; R. Fleiner</t>
  </si>
  <si>
    <t>Advances in IoT technology have changed the way building operators automate monitoring, maintenance, and control. The availability of countless sensors and actuators from numerous vendors has introduced new challenges. IoT middleware platforms typically address these challenges. While there is a growing number of middleware solutions, it can be difficult to find suitable production – ready platforms that i) can be deployed with minimal effort and ii) do not lock users in with a specific vendor. Open solutions such as the FIWARE platform provide a set of pre-built, modular components and while they are designed to work out of the box, setup and integration require software development expertise. In this paper, we develop a minimalist, use-case-specific platform based on the open standards and data models the FIWARE platform is built on.</t>
  </si>
  <si>
    <t>The vision encompassing Smart and Software-defined Buildings (SSDB) is becoming more popular and its implementation is now more accessible due to the widespread adoption of the Internet of Things (IoT) infrastructure. Some of the most important applications sustaining this vision are energy management, environmental comfort, safety and surveillance. This paper surveys IoT and SSB technologies and their cooperation towards the realization of smart spaces. We propose a fourlayer reference architecture and we organize related concepts around it. This conceptual frame is useful to identify the current literature on the topic and to connect the dots into a coherent vision of the future of residential and commercial buildings. © 2019 IEEE.</t>
  </si>
  <si>
    <t>Siemens;</t>
  </si>
  <si>
    <t>The dynamic workload demands of smart city applications hosted on edge infrastructures require the development of advanced scaling mechanisms. Recent studies proposed single-application autoscaling solutions based on various technical approaches. However, for edge infrastructures with limited resource availability, it is essential to simultaneously manage heterogeneous application requirements, aiming at optimal resource allocation and minimal operational costs. This study introduces a multi-application hierarchical autoscaling framework for Kubernetes Edge Clusters. An application-based mechanism nominates the best applications’ deployments based on workload prediction and several criteria that guarantee the application’s performance while minimizing the infrastructure provider’s cost. For the joint application orchestration, an aggregation mechanism composes the candidate scaling solutions for the cluster. Then, a cluster autoscaling mechanism, based on the Analytic Hierarchy Process, undertakes the cluster’s scaling decision to optimize the resource allocation and energy consumption of the cluster. The evaluation illustrates the benefits of the proposed scaling strategy, achieving significant improvement in the average allocated resources and energy consumption compared to single-application approaches.</t>
  </si>
  <si>
    <t>Cities have undergone significant changes due to the rapid increase in urban population, heightened demand for resources, and growing concerns over climate change. To address these challenges, digital transformation has become a necessity. Recent advancements in Artificial Intelligence (AI) and sensing techniques, such as synthetic sensing, can elevate Digital Twins (DTs) from digital copies of physical objects to effective and efficient platforms for data collection and in-situ processing. In such a scenario, this paper presents a compre-hensive approach for developing a Traffic Monitoring System (TMS) based on Edge Intelligence (EI), specifically designed for smart cities. Our approach prioritizes the placement of intelligence as close as possible to data sources, and leverages an “opportunistic” interpretation of DT (ODT), resulting in a novel and interdisciplinary strategy to re-engineering large-scale distributed smart systems. The preliminary results of the proposed system have shown that moving computation to the edge of the network provides several benefits, including (i) enhanced inference performance, (ii) reduced bandwidth and power consumption, (iii) and decreased latencies with respect to the classic cloud -centric approach.</t>
  </si>
  <si>
    <t>Edge computing alleviates network bottlenecks by engaging devices at the edge for data processing tasks. These devices possess limited computing resources, while edge execution environments are inherently heterogeneous. It is non-trivial to dynamically allocate the limited resources of heterogeneous devices to balance high performance and low resource utilization. To that end, this paper presents a profiling-based methodology that effectively matches edge computational tasks with the available devices to best satisfy programmer-defined non-functional requirements. Edge tasks are divided into microservices, which are then profiled for their resource utilization. To execute each task, the runtime consults the profiling results to determine the optimal device-to-microservice matching. We realize our methodology as μHTA, whose service-oriented architecture manages the heterogeneity of edge environments and optimally executes microservices on the available mobile devices. We evaluated μHTA by applying it to two realistic edge mobile applications. Our methodology can help developers bridge the gap between the statically specified non-functional requirements and the dynamic nature of edge environments, while reducing the developer burden of optimally utilizing edge-based computing resources.</t>
  </si>
  <si>
    <t>S. Böhm; G. Wirtz</t>
  </si>
  <si>
    <t>Y. S. Patel; P. Townend; P. -O. Östberg</t>
  </si>
  <si>
    <t>Kempestiftelserna;</t>
  </si>
  <si>
    <t>K. El Maghraouir; K. Tran; K. Ruby; B. Godoy; J. Murray; M. L. Gallo-Bourdeau; T. Deshane; P. Gonzalez; D. Moreda; H. Benmeziane; C. L. Lammie; J. Büchel; M. Rasch; A. Sebastian; V. Narayanan</t>
  </si>
  <si>
    <t>In the context of smart city, there is the need of cheap approaches to get environmental and contextual data. IoT (Internet of Things) devices and sensors may be located in specific points of interest, while their costs is high for the installation, usage/licensing and maintenance. The satellite data can be a viable solution to have more data at the cheaper costs, some of them are open data, while in other cases the satellite data have a cost. In this paper, the exploitation of satellite data in the context of Smart City is analyzed and some examples are provided. The satellite data of the European Union’s Earth observation program Copernicus can be used to calibrate the values of large sensors network data, and for new applications in which similar data cannot be recovered from the field. A demonstrative Dashboard has been provided to allow the users to perform a comparison of data coming from satellite with respect to those obtained from IOT Devices. This research has been developed in the context of PC4City project (Civil Protection for the City) of the Fondazione Cassa di Risparmio di Firenze.</t>
  </si>
  <si>
    <t>D. Overbeck; F. Kurtz; S. Böcker; C. Wietfeld</t>
  </si>
  <si>
    <t>Federal Ministry for Economic Affairs and Climate Action (BMWK)(grant numbers:16KISK038);</t>
  </si>
  <si>
    <t>J. Da Costa Rocha; M. Alves de Souza; E. H. Silva Cardoso; N. Vijaykumar; J. P. Leite de Araújo; R. Lisboa Francês</t>
  </si>
  <si>
    <t>Cara;</t>
  </si>
  <si>
    <t>Circuit Breakers (CBs) are critical for containerized microservices infrastructures when managing a surge in workload, as they can serve as a protection mechanism to prevent system overload and meet service level agreements (SLAs). In the event of a sudden increase in workload, microservices (MSs) can face challenges such as resource exhaustion and many discarded requests. CBs can help mitigate these issues by monitoring the services and, if necessary, redirecting the flow of requests to another infrastructure. However, it is difficult to evaluate the behavior of these infrastructures and CB mechanisms in a production environment. To address the above issues, this paper proposes a model using stochastic Petri nets (SPNs) to represent these infrastructures and their auto-scaling mechanisms, the MSs, the CBs, the incoming external arrival rate, and the workload generated between the MSs. Service providers can estimate metrics including circuit breaker activation (CBA), overload forwarding rate (OFR), containers utilization (Uc), unallocated containers (NUc), throughput (TP), discard probability (DP), and discard rate (DR). The model enables the performance evaluation of individual MSs and the entire microservice platform (MP). The work investigates how the microservices adapt to changing conditions and the trade-offs associated with different CB configurations. Using a real testbed, our solution was validated with a confidence interval (CI) of 95%. A case study was used to investigate the feasibility of the solution by evaluating its application in a real-world scenario. We found that the CBs reduced DR by 71.4% on average. This corresponds to an average number of 75,454 requests over 1 hour that were not discarded but forwarded to another infrastructure.  © 2024 IEEE.</t>
  </si>
  <si>
    <t>New scenarios and use cases are raising following the birth of the fifth generation of mobile communications. The Internet of Things (IoT) is one of the main use cases which are growing, leading to a massive amount of data that need to be exchanged throughout the Internet. Satellite communication networks are essential in remote and isolated environments and can support fully connected environments by offloading the terrestrial infrastructure concerning delay–tolerant traffic flows. However, satellite network resources are limited and expensive, so they need to be carefully used in order to avoid waste and satisfy the required user performance. The multi-access edge computing (MEC) concept can be exploited in this context to allow data preprocessing at the edge, i.e., close to the users, so reducing the amount of data that has to traverse the backhaul satellite link and, in some cases, reducing data delivery times. This article analyses the performance of a satellite architecture in the IoT framework highlighting the advantages brought by MEC, also including data aggregation and compression techniques.</t>
  </si>
  <si>
    <t>ESA; VIBeS project(grant numbers:4000122991/18/U.K./ND);</t>
  </si>
  <si>
    <t>Fundamental Research Funds for the Central Universities(grant numbers:20720210078); National Key Research and Development Program of China(grant numbers:2018YFE0110000);</t>
  </si>
  <si>
    <t>Cloud platforms have recently become a popular target execution environment for numerous workflow applications. Hence, effective workflow scheduling strategies in cloud environments are in high demand. However, existing scheduling algorithms are grounded on an idealized target platform model where virtual machines are fully connected, and all communications can be performed concurrently. A significant aspect neglected by them is endpoint communication contention when executing workflows, which has a large impact on workflow makespan. This article investigates how to incorporate contention awareness into cloud workflow scheduling and proposes a new practical scheduling model. Endpoint communication contention-aware List Scheduling Heuristic (ELSH) is designed to minimize workflow makespan. It uses a novel task ranking property and schedules data communications to communication resources besides scheduling tasks to computing resources. Moreover, a rescheduling technique is employed to improve the schedule. In experiments, ELSH is evaluated against the traditional contention-oblivious list scheduling algorithm, which is adapted to address contention during execution in practice. The experimental results reveal that ELSH performs more efficaciously compared with the adapted traditional ones. Note to Practitioners - This article aims to advance the state of the art for workflow scheduling in clouds by taking into account endpoint communication contention that can occur in practice but has largely been neglected in existing investigations. A scheduling method called Endpoint communication contention-aware List Scheduling Heuristic (ELSH) is then proposed to optimize workflow makespan. Experimental results based on synthetic and realistic workflows show that ELSH performs better than traditional scheduling algorithms that fail to consider endpoint communication contention, especially for the workflow with a large communication-to-computation-cost ratio. The proposed approach can be readily put into use and help cloud service providers to offer their customers high-quality services when executing the latter's workflows.  © 2004-2012 IEEE.</t>
  </si>
  <si>
    <t>The security of the Internet of Vehicles (IoV) has always been a concern. The constantly changing IoV data under varying traffic conditions made it unsuitable for the IoV to adopt traditional anti-attack techniques. In the absence of protections, attackers can use in-car communication as a target to compromise the safety of passengers, hence the instancy to detect the security state of the IoV. However, currently available solutions require modifications to the original hardware of the IoV and are therefore very limited in applicability. In this paper, we propose a security assessment method for IoV based on Microcontroller Unit (MCU) chip temperature, called SAMCT. Specifically, we first record the MCU chip temperatures of IoV device in different security states and analyze the relationship between them. Second, the fingerprint dataset is built using the temperature residuals. Third, to forecast the security standing of IoV devices, an integration regression model based on Self-Encoders is suggested. Lastly, in order to facilitate the effectiveness of the SAMCT, a Cloud-Edge-End framework is designed with the technology of model adaptive partitioning. Results from the experiments, which were carried out on the Raspberry Pi 4B and Stm32 hardware platforms, demonstrate that the Mean Squared Error (MSE) of the SAMCT is only 0.00104 and that the execution efficiency improvement under the Cloud-Edge-End framework is significant.  © 2023 IEEE.</t>
  </si>
  <si>
    <t>H2020 European Institute of Innovation and Technology(grant numbers:761557);</t>
  </si>
  <si>
    <t>National Key Research and Development Program of China(grant numbers:2023YFE0205700); National Natural Science Foundation of China(grant numbers:62302348); Fundamental Research Funds for the Central Universities(grant numbers:2042023kf0132); Hubei Provincial Natural Science Foundation of Chinan(grant numbers:2023AFB831); Hubei Luojia Laboratory(grant numbers:220100016);</t>
  </si>
  <si>
    <t>National Key R&amp;D Program of China(grant numbers:2018YFB1004800); Science and Technology Planning Project of Guangdong Province(grant numbers:2019B010137002); Research Center for Ecology and Environment of Central Asia; Chinese Academy of Sciences(grant numbers:SQ2016YFHZ020520); National Natural Science Foundation of China(grant numbers:61672513); Shenzhen Oversea High-Caliber Personnel Innovation Funds(grant numbers:KQCX20170331161854); Shenzhen Basic Research Program(grant numbers:JCYJ20170818153016513); Science and Technology Development Fund(grant numbers:0015/2019/AKP);</t>
  </si>
  <si>
    <t>National Natural Science Foundation of China(grant numbers:61972202); Fundamental Research Funds for the Central Universities(grant numbers:30919011235); China Scholarship Council;</t>
  </si>
  <si>
    <t>—As a key technology of 5G, network function virtualization enables each monolithic service to be divided into microservices, facilitating their deployment and management in edge environments. One of the most critical issues in 5G is how to support dynamically arriving mission-critical services with low-latency and high-reliability requirements in distributed edge environments. However, most existing works focus on how to provide reliable services without considering latency, and their heuristics struggle to cope with high-dimensional constraints and complex environments with heterogeneous infrastructure and services. In this paper, we propose a SafeDRL algorithm to resource-efficiently support these dynamically arriving services while meeting their reliability and latency requirements. Specifically, we first formulate the problem as an integer nonlinear programming and prove its NP-hardness. To tackle this problem, our SafeDRL algorithm captures delayed rewards in dynamic environments by reinforcement learning, and corrects constraint violations with high-quality feasible solutions based on expert intervention, and prunes unnecessary backup instances for optimality. The algorithm is proved to have a bounded approximation ratio in general cases. Extensive trace-driven simulations show that, compared with the state-of-the-art solution, SafeDRL can save resource costs by up to 49.32% and improve the service acceptance ratio by up to 55% with acceptable execution time. © 2023 IEEE.</t>
  </si>
  <si>
    <t>The parallel advancement of AI and IoT technologies has recently boosted the development of multi-modal computing (M2C) on pervasive autonomous embedded systems (AES). M2C takes advantage of data from different modalities such as images, audio, and text and is able to achieve notable improvements in accuracy. However, achieving these accuracy gains often comes at the cost of increased computational complexity and energy consumption. Furthermore, the presence of numerous advanced sensors in these systems significantly contributes to power consumption, exacerbating the issue of limited power resources. Collectively, these challenges pose difficulties in deploying M2C on small embedded devices with scarce energy resources. In this article, we propose an Adaptive Modality Gating technique called AMG for in-situ M2C applications. The primary objective of AMG is to conserve energy while preserving the accuracy advantages of M2C. To achieve this goal, AMG incorporates two first-of-its-kind designs. Firstly, it introduces a novel semi-gating architecture that enables partial modality sensor power gating. Specifically, we devise the de-centralized AMG (D-AMG) and centralized AMG (C-AMG) architecture. The former buffers raw data on sensors while the latter buffers raw data on the computing board, which are suitable for different edge scenarios respectively. Secondly, it facilitates a self-initialization/tuning process on the AES, which is supported by carefully-built analytical model. Extensive evaluations demonstrate the effectiveness of AMG. It achieves a 1.6x to 3.8x throughput higher than other power management methods and improves the lifespan of AES by 10% to 280% longer within the same energy budget, while satisfying all performance and latency requirements across various scenarios. © 1968-2012 IEEE.</t>
  </si>
  <si>
    <t>Due to the great advancement in computation, communication, and control technologies, the Internet of Things (IoT) can provide ubiquitous connectivity for anyone and anything at any time and any place, leading to a revolution in an information society. Protecting devices against various security threats is one of the most important challenges in IoT since IoT applications are generally security-critical systems while IoT devices are often poorly secured. For IoT devices, employing security services provided by smart gateways or edge/cloud servers to defend against various threats is an effective way to enhance their security. However, the finite battery energy of devices and the limited fund of device users hinder the wide application of security services in IoT. This necessitates the demand for designing new methodologies to tackle the tradeoff among security, energy, and fund of IoT devices. Therefore, this article attempts to optimize system security of IoT devices under energy and fund constraints. Specifically, to formulate the energy and fund constrained security optimization problem, we first propose a pricing model for the security services provided by the smart gateway. We then formulate the problem as a mixed-integer linear programming (MILP) problem. Since using a solver to address the MILP problem may be time consuming, we leverage the swarm intelligence technique to design a new task scheduling scheme that can efficiently solve the optimization problem. Extensive experiments are conducted to validate our proposed MILP and swarm intelligence-based task scheduling algorithms. Simulation results show that our scheme outperforms two state-of-the-art methods in improving system quality of security and guaranteeing schedule feasibility.  © 1982-2012 IEEE.</t>
  </si>
  <si>
    <t>The widespread deployment of sensors interconnected by wireless links and the management and exploitation of the data collected have given rise to the Internet of Things (IoT) concept. In this article, we undertake the design and implementation of a wireless multisensor platform following the fog computing paradigm. Our main contributions are the integration of various off-the-shelf sensors smartly packaged into an air-flow module and the evaluation of the communications services offered implemented on top of two low-power radio communications technologies. Our study is complemented by evaluating the communications services over a wired link. Our results show the superiority of LoRaWAN over ZigBee in terms of power consumption despite its slightly higher computational requirements and an estimation of the gap between the resource usage of the wired link and the two wireless radio technologies.  © 1982-2012 IEEE.</t>
  </si>
  <si>
    <t>Mobile displays have been recognized as the major contributors to the energy consumption of contemporary mobile video services. Existing display energy reduction (DER) algorithms focus on local video/image processing by utilizing the computation resources on the mobile devices. As such, a per-device DER strategy is highly inefficient from the systematic perspective since the same computation is repeated among millions of individual mobile devices. In this new era of cloud-based video streaming, a natural question to ask is can ubiquitous cloud resources be exploited to overcome these drawbacks. It is based on this motivation that we design a paradigm-shifting strategy to integrate the display energy saving engine into cloud-based video streaming in order to simultaneously benefit massive mobile devices with a one-time video processing in the cloud. By taking full advantage of the computational and storage resources in the cloud, a family of Rate-Distortion-Display Energy (R-D-DE) profiles can be created for a given video source and for different types of mobile devices. The preliminary experimental results with OLED displays prove that we can achieve the desired DER performance through jointly managing the display energy and user experience by implementing the proposed R-D-DE integrated video encoding engine in the cloud. © 2013 IEEE.</t>
  </si>
  <si>
    <t>Shared Hierarchical Academic Research Computing Network;</t>
  </si>
  <si>
    <t>L. L. Jiménez; O. Schelén</t>
  </si>
  <si>
    <t>Energimyndigheten(grant numbers:43090-2); Cloudberry Datacenters;</t>
  </si>
  <si>
    <t>Cloud native computing paradigm allows microservice-based applications to take advantage of cloud infrastructure in a scalable, reusable, and interoperable way. However, in a cloud native system, the vast number of configuration parameters and highly granular resource allocation policies can significantly impact the performance and deployment cost. For understanding and analyzing these implications in an easy, quick, and cost-effective way, we present PerfSim, a discrete-event simulator for approximating and predicting the performance of cloud native service chains in user-defined scenarios. To this end, we proposed a systematic approach for modeling the performance of microservices endpoint functions by collecting and analyzing their performance and network traces. With a combination of the extracted models and user-defined scenarios, PerfSim can then simulate the performance behavior of all services over a given period and provide an approximation for system KPIs, such as requests’ average response time. Using the processing power of a single laptop, we evaluated both simulation accuracy and speed of PerfSim in 104 prevalent scenarios and compared the simulation results with the identical deployment in a real Kubernetes cluster. We achieved $\scriptstyle \mathtt {\sim }$∼81-99% simulation accuracy in approximating the average response time of incoming requests and $\scriptstyle \mathtt {\sim }$∼16-1200 times speed-up factor for the simulation.</t>
  </si>
  <si>
    <t>Knowledge Foundation of Sweden(grant numbers:20200067);</t>
  </si>
  <si>
    <t>National Key Research and Development Program of China(grant numbers:2019YFB1704102);</t>
  </si>
  <si>
    <t>As the workloads and service requests in cloud computing environments change constantly, cloud-based software services need to adaptively allocate resources for ensuring the Quality-of-Service (QoS) while reducing resource costs. However, it is very challenging to achieve adaptive resource allocation for cloud-based software services with complex and variable system states. Most of the existing methods only consider the current condition of workloads, and thus cannot well adapt to real-world cloud environments subject to fluctuating workloads. To address this challenge, we propose a novel Deep Reinforcement learning based resource Allocation method with workload-time Windows (DRAW) for cloud-based software services that considers both the current and future workloads in the resource allocation process. Specifically, an original Deep Q-Network (DQN) based prediction model of management operations is trained based on workload-time windows, which can be used to predict appropriate management operations under different system states. Next, a new feedback-control mechanism is designed to construct the objective resource allocation plan under the current system state through iterative execution of management operations. Extensive simulation results demonstrate that the prediction accuracy of management operations generated by the proposed DRAW method can reach 90.69%. Moreover, the DRAW can achieve the optimal/near-optimal performance and outperform other classic methods by 3$\sim$∼13% under different scenarios.</t>
  </si>
  <si>
    <t>National Natural Science Foundation of China(grant numbers:62072108); Natural Science Foundation of Fujian Province for Distinguished Young Scholars(grant numbers:2020J06014);</t>
  </si>
  <si>
    <t>Analytical performance models are very effective in ensuring the quality of service and cost of service deployment remain desirable under different conditions and workloads. While various analytical performance models have been proposed for previous paradigms in cloud computing, serverless computing lacks such models that can provide developers with performance guarantees. Besides, most serverless computing platforms still require developers’ input to specify the configuration for their deployment that could affect both the performance and cost of their deployment, without providing them with any direct and immediate feedback. In previous studies, we built such performance models for steady-state and transient analysis of scale-per-request serverless computing platforms (e.g., AWS Lambda, Azure Functions, Google Cloud Functions) that could give developers immediate feedback about the quality of service and cost of their deployments. In this work, we aim to develop analytical performance models for latest trend in serverless computing platforms that use concurrency value and the rate of requests per second for autoscaling decisions. Examples of such serverless computing platforms are Knative and Google Cloud Run (a managed Knative service by Google). The proposed performance model can help developers and providers predict the performance and cost of deployments with different configurations which could help them tune the configuration toward the best outcome. We validate the applicability and accuracy of the proposed performance model by extensive real-world experimentation on Knative and show that our performance model is able to accurately predict the steady-state characteristics of a given workload with minimal amount of data collection.</t>
  </si>
  <si>
    <t>Shared Hierarchical Academic Research Computing Network; Compute Canada;</t>
  </si>
  <si>
    <t>Task offloading has been widely used to extend the battery life of intelligent mobile devices. Existing task offloading approaches, focusing on perfecting the balance between latency and energy consumption, completely ignore the impacts of the user preference caused by low battery anxiety. The existence of low battery anxiety - mobile users’ common fear of losing battery energy, especially when the battery energy is already low - causes users to trade high latency for prolonged battery life. Taking into account the user preference impacts on task offloading, we propose a novel offloading approach called UPOA to obtain refined offloading policies between low latency and energy consumption based on user preferences. In UPOA, we start the study by defining a user preference rule that determines users’ offloading preferences according to battery energy status. Then, we build a fine-grained task offloading model to delineate the task distribution characteristics of each node in its offloading link. Guided by this model, we develop a task prediction algorithm based on the long-short-term-memory neural network model to provide task predictions that facilitate offloading policies. Lastly, we implement a particle-swarm-optimization-based online offloading algorithm. The offloading algorithm provides the best long-term offloading policies by incorporating the user preference determined by our user preference rule and the task predictions generated by our task prediction algorithm. To quantitatively evaluate the performance of UPOA, we conduct extensive experiments in a real-world cloud-edge environment. We compare UPOA with three state-of-the-art offloading approaches, DRA, DRL-E2D, and MUDRL under various conditions. Experimental results demonstrate that UPOA can make effective policies based on user preferences compared with the existing approaches. UPOA reduces average latency by 12.49% when battery energy is sufficient and extends battery life by 20.14% when battery energy is low. © 2022 IEEE.</t>
  </si>
  <si>
    <t>Bayesian Optimization (BO) is an efficient method for finding optimal cloud configurations for several types of applications. On the other hand, Machine Learning (ML) can provide helpful knowledge about the application at hand thanks to its predicting capabilities. This work proposes a general approach based on BO, which integrates elements from ML techniques in multiple ways, to find an optimal configuration of recurring jobs running in public and private cloud environments, possibly subject to black-box constraints, e.g., application execution time or accuracy. We test our approach by considering several use cases, including edge computing, scientific computing, and Big Data applications. Results show that our solution outperforms other state-of-the-art black-box techniques, including classical autotuning and BO- and ML-based algorithms, reducing the number of unfeasible executions and corresponding costs up to 2–4 times.</t>
  </si>
  <si>
    <t>MUR(grant numbers:2023-2027); European Commission(grant numbers:956137);</t>
  </si>
  <si>
    <t>Collaborative edge computing (CEC) is an emerging computing paradigm in which edge nodes collaborate to perform tasks from end devices. Task offloading decides when and at which edge node tasks are executed. Most existing studies assume task profiles and network conditions are known in advance, which can hardly adapt to dynamic real-world computation environments. Some learning-based methods use online task offloading without considering task dependency and network flow scheduling, leading to underutilized resources and flow congestion. We study Online Dependent Task Offloading (ODTO) in CEC, jointly optimizing network flow scheduling to optimize quality of service by reducing task completion time and energy consumption. The challenge of ODTO lies in how to offload dependent tasks and schedule network flows in dynamic networks. We model ODTO as the Markov Decision Process (MDP) and propose an Asynchronous Deep Progressive Reinforcement Learning (ADPRL) approach that optimize offloading and bandwidth decisions. We design a novel dependency-aware reward mechanism to address task dependency and dynamic network. Extensive experiments on the Alibaba cluster trace dataset and synthetic dataset indicate that our algorithm outperforms heuristic and learning-based methods in average task completion time and energy consumption.  © 2013 IEEE.</t>
  </si>
  <si>
    <t>This article presents the design of an open-API-based explainable AI (XAI) service to provide feature contribution explanations for cloud AI services. Cloud AI services are widely used to develop domain-specific applications with precise learning metrics. However, the underlying cloud AI services remain opaque on how the model produces the prediction. We argue that XAI operations are accessible as open APIs to enable the consolidation of the XAI operations into the cloud AI services assessment. We propose a design using a microservice architecture that offers feature contribution explanations for cloud AI services without unfolding the network structure of the cloud models. We can also utilize this architecture to evaluate the model performance and XAI consistency metrics showing cloud AI services’ trustworthiness. We collect provenance data from operational pipelines to enable reproducibility within the XAI service. Furthermore, we present the discovery scenarios for the experimental tests regarding model performance and XAI consistency metrics for the leading cloud vision AI services. The results confirm that the architecture, based on open APIs, is cloud-agnostic. Additionally, data augmentations result in measurable improvements in XAI consistency metrics for cloud AI services.</t>
  </si>
  <si>
    <t>Learning to Optimize Workflow Scheduling for an Edge–Cloud Computing Environment</t>
  </si>
  <si>
    <t>The widespread deployment of intelligent Internet of Things (IoT) devices brings tighter latency demands on complex workload patterns such as workflows. In such applications, tremendous dataflows are generated and processed in accordance with specific service chains. Edge computing has proven its feasibility in reducing the traffic in the core network and relieving cloud datacenters of fragmented computational demands. However, the efficient scheduling of workflows in hybrid edge–cloud networks is still challenging for the intelligent IoT paradigm. Existing works make dispatching decisions prior to real execution, making it difficult to cope with the dynamicity of the environment. Consequently, the schedulers are affected both by the scheduling strategy and by the mutual impact of dynamic workloads. We design an intelligent workflow scheduler for use in an edge–cloud network where workloads are generated with continuous steady arrivals. We develop new graph neural network (GNN)-based representations for task embedding and we design a proximal policy optimization (PPO)-based online learning scheduler. We further introduce an intrinsic reward to obtain an instantaneous evaluation of the dispatching decision and correct the scheduling policy on-the-fly. Numerical results validate the feasibility of our proposal as it outperforms existing works with an improved quality of service (QoS) level.</t>
  </si>
  <si>
    <t>Fundamental Research Funds for the Central Universities(grant numbers:2022JBZY002); National Natural Science Foundation of China(grant numbers:62173026);</t>
  </si>
  <si>
    <t>National Key R&amp;D Program of China(grant numbers:2019YFB1804003); National Natural Science Foundation of China(grant numbers:42071399); Natural Science Foundation of Top Talent of SZTU(grant numbers:GDRC202318);</t>
  </si>
  <si>
    <t>Hardware accelerators such as GPUs are required for real-time, low latency inference with Deep Neural Networks (DNN). Providing inference services in the cloud can be resource intensive, and effectively utilizing accelerators in the cloud is important. Spatial multiplexing of the GPU, while limiting the GPU resources (GPU%) to each DNN to the right amount, leads to higher GPU utilization and higher inference throughput. Right-sizing the GPU for each DNN the optimal batching of requests to balance throughput and service level objectives (SLOs), and maximizing throughput by appropriately scheduling DNNs are still significant challenges.This article introduces a dynamic and fair spatio-temporal scheduler (D-STACK) for multiple DNNs to run in the GPU concurrently. We develop and validate a model that estimates the parallelism each DNN can utilize and a lightweight optimization formulation to find an efficient batch size for each DNN. Our holistic inference framework provides high throughput while meeting application SLOs. We compare D-STACK with other GPU multiplexing and scheduling methods (e.g., NVIDIA Triton, Clipper, Nexus), using popular DNN models. Our controlled experiments with multiplexing several popular DNN models achieve up to 1.6× improvement in GPU utilization and up to 4× improvement in inference throughput.  © 2013 IEEE.</t>
  </si>
  <si>
    <t>Although the emerging serverless paradigm has the potential to become a dominant way of deploying cloud-service tasks across millions of mobile and IoT devices, the overhead characteristics of executing these tasks on such a volume of mobile devices remain largely unclear. To address this issue, this paper conducts a deep analysis based on the OpenFaaS platform—a popular open-source serverless platform for mobile edge environments—to investigate the overhead of performing deep learning inference tasks on mobile devices. To thoroughly evaluate the inference overhead, we develop a performance benchmark, named ESBench, whereby a set of comprehensive experiments are conducted with respect to a bunch of simulated mobile devices associated with an edge cluster. Our investigation reveals that the performance of deep learning inference tasks is significantly influenced by the model size and resource contention in mobile devices, leading to up to $3\times$3× degradation in performance. Moreover, we observe that the network environment can negatively impact the performance of mobile inference, increasing the CPU overhead under poor network conditions. Based on our findings, we further propose some recommendations for designing efficient serverless platforms and resource management strategies as well as for deploying serverless computing in the mobile edge environment.</t>
  </si>
  <si>
    <t>3rd Xinjiang Scientific Expedition Program(grant numbers:2021xjkk1300); SIAT-SunTang Big Data&amp;AI Joint Innovation Laboratory(grant numbers:E3Z092); Shenzhen Science and Technology Plan Project(grant numbers:SGDX20220530111001003); Shenzhen Science and Technology Program(grant numbers:CJGJZD20230724093659004);</t>
  </si>
  <si>
    <t>Internet of Things (IoT) is considered as the enabling platform for a variety of promising applications, such as smart transportation and smart city, where massive devices are interconnected for data collection and processing. These IoT applications pose a high demand on storage and computing capacity, while the IoT devices are usually resource constrained. As a potential solution, mobile edge computing (MEC) deploys cloud resources in the proximity of IoT devices so that their requests can be better served locally. In this work, we investigate computation offloading in a dynamic MEC system with multiple edge servers, where computational tasks with various requirements are dynamically generated by IoT devices and offloaded to MEC servers in a time-varying operating environment (e.g., channel condition changes over time). The objective of this work is to maximize the completed tasks before their respective deadlines and minimize energy consumption. To this end, we propose an end-to-end Deep Reinforcement Learning (DRL) approach to select the best edge server for offloading and allocate the optimal computational resource such that the expected long-term utility is maximized. The simulation results are provided to demonstrate that the proposed approach outperforms the existing methods.  © 2015 IEEE.</t>
  </si>
  <si>
    <t>I. Bernabé-Sánchez; D. Díaz-Sánchez; M. Muñoz-Organero</t>
  </si>
  <si>
    <t>Project MAGOS(grant numbers:TEC2017-84197-C4-1-R); Comunidad de Madrid (Spain) through the Project CYNAMON(grant numbers:P2018/TCS-4566); European Structural Funds (ESF and FEDER);</t>
  </si>
  <si>
    <t xml:space="preserve">National Natural Science Foundation of China(grant numbers:62071327,62102408); Tianjin Municipal Science and Technology Program(grant numbers:22ZYYYJC00020); Shenzhen Science and Technology Program(grant numbers:RCBS20210609104609044); Chinese Academy of Sciences President’s International Fellowship Initiative(grant numbers:2023VTC0006); </t>
  </si>
  <si>
    <t>Heterogeneous Workload-Based Consumer Resource Recommendation Model for Smart Cities: eHealth Edge–Cloud Connectivity Using Federated Split Learning</t>
  </si>
  <si>
    <t>Dongguk University Research Fund of 2023(grant numbers:S-2023-G0001-00043);</t>
  </si>
  <si>
    <t>6G heterogeneous wireless networks (HWNs) mark a significant advancement in network technologies, offering unparalleled opportunities to enhance quality of service (QoS) and optimize spatial spectrum utilization. Amidst these advancements, securing these sophisticated, ultra-dense 6G-HWNs becomes paramount, especially in the realm of consumer electronics where AI-driven solutions are increasingly integral. This paper introduces an optimized, AI-enhanced context-aware multi-attribute utility function (MAUF), specifically designed for secure operations in 6G-HWNs. The primary goal is to analyze and numerically validate a simple additive weighting (SAW)-based MAUF and a multiplicative exponent weighting (MEW)-based MAUF for robust and secure network selection in 6G environments. The culmination of this analysis is the proposal of a hybrid exponential MAUF, integrating SAW and MEW methodologies, further refined into a context-aware model to better cater to individual user security needs in 6G consumer electronics. MATLAB simulations demonstrate the superior performance of our proposed context-aware SAW-based and MEW-based hybrid exponential MAUF in ensuring secure and efficient network operations in 6G contexts. In consumer electronics networks context, our research successfully tackles network elimination problem and the context-aware MAUF improves decision-making, suggesting future developments in reliable and user-centric 6G services. © 2024 IEEE.</t>
  </si>
  <si>
    <t>The swift advancement of internet of things (IoT) and consumer electronics along with edge computing offers a feasible solution to meet the stringent data processing requirements imposed by real-Time monitoring of distributed solar photovoltaic (PV). For resource scheduling problems in terms of data processing, ant colony algorithm offers an effective solution. However, conventional ant colony suffers from poor convergence and path searching performances due to the lack of adaptability. Hence, we propose an edge-end collaborative multi-Timescale resource scheduling algorithm to address these challenges. The large-Timescale container selection is optimized by the proposed ant colony algorithm, which dynamically adjusts pheromone and heuristic factors to strike a balance between exploitation and exploration. The small-Timescale channel allocation and power control are jointly optimized by integrating bilateral matching with British auction, which solves matching competition with low complexity and achieves queuing delay guarantee based on option combination and elimination. Results from simulations indicate that the algorithm put forward can diminish queuing delay and decrease energy consumption.  © 1975-2011 IEEE.</t>
  </si>
  <si>
    <t>Mobile edge computing (MEC) is an enabling technology for low-latency AI applications, by caching AI services originally deployed in remote data centers to 5G base stations in network edge. Due to limited computing resource of 5G base stations, not all services can be cached in base stations to meet the resource demands of user requests. Also, if the workload of a 5G base station reaches to its resource capacity, the energy consumption of the base station will be pushed up exponentially. To reduce the energy consumption and overcome resource limitations on base stations, an alternative is to allow the base stations to collaborate with each other to admit user requests. In this paper, we investigate the problem of collaborative service caching and request offloading between a 5G-enabled MEC and remote data centers, while meeting the quality of service (QoS) requirements of users, and resource capacities on base stations that are operated by multiple selfish network service providers. We aim to maximize the total payoff of all base stations. To this end, we first propose a two-stage optimization framework: In the first stage, we develop a mechanism that adopts a best-reply rule for dynamically distributed coalition formation. In the second stage, we propose a near-optimal payoff allocation method by devising a randomized algorithm with a provable approximation ratio. We then evaluate the performance of the proposed optimization framework by extensive experimental simulations. Simulation results show that the proposed framework outperforms its counterparts by achieving at least 30% higher payoff and 20% lower energy consumption of base stations. © 1972-2012 IEEE.</t>
  </si>
  <si>
    <t>Mobile Edge Computing (MEC) is expected to play a significant role in the development of 6G networks, as new applications such as cooperative driving and eXtended Reality (XR) require both communication and computational resources from the network edge. However, the limited capabilities of edge servers may be strained to perform complex computational tasks within strict latency bounds for multiple clients. In these contexts, both maintaining a low expected Age of Information (AoI) and guaranteeing a low Peak AoI (PAoI) even in the worst case may have significant user experience and safety implications. In this work, we investigate a theoretical model of a MEC server, deriving the expected AoI and the PAoI and latency distributions under the First In First Out (FIFO) and Generalized Processor Sharing (GPS) resource allocation policies. We consider both synchronized and unsynchronized systems, and draw insights on the robust design of resource allocation policies from the analytical results, as well as considering the dimensioning of MEC capabilities in two realistic 6G use cases. © 1972-2012 IEEE.</t>
  </si>
  <si>
    <t>This paper describes a hybrid binary frequency-phase shift keying (BF-PSK) receiver architecture designed with a technique involving both the received signal frequency and phase for low-power operation with relatively high data rate. The method enables the demodulation of the incoming signal without synchronization requirements, which reduces the design complexity and power consumption. The architecture allows programmable data rates and channel bandwidths according to application-specific needs. A novel low-noise amplifier architecture is introduced in this paper as well. The Medical Implant Communication System (MICS) band receiver was designed and fabricated in a standard 65nm CMOS technology, and the measurement results demonstrate the feasibility of this architecture. As a proof-of-concept, it operates with a 416 MHz carrier frequency at a state-of-the-art data rate for sub-milliwatt receivers of 10 Mbps, while consuming $610~\mu \text{W}$ from a 1 V supply.  © 2004-2012 IEEE.</t>
  </si>
  <si>
    <t>AIC-IIITKottayam; BEL Projects;</t>
  </si>
  <si>
    <t>National Natural Science Foundation of China(grant numbers:71632008); National Natural Science Foundation of China through the Main Research Project on Machine Behavior and Human–Machine Collaborated Decision Making Methodology(grant numbers:72192820); Third Research Project on Human Behavior in Human–Machine Collaboration(grant numbers:72192822);</t>
  </si>
  <si>
    <t>Natural Science Foundation of Jiangsu Province(grant numbers:BK20180209); Natural Science Foundation of the Jiangsu Higher Education Institutions of China(grant numbers:18KJD520004); Suzhou Vocational Institute of Industrial Technology(grant numbers:2019kyqd018);</t>
  </si>
  <si>
    <t>With great pride and enthusiasm, we present the inaugural edition of IEEE Transactions on Computational Social Systems (TCSS) for 2024. Reflecting on the year gone by, 2023 stands as a hallmark of academic excellence and prolific output, wherein our journal has successfully disseminated a substantial volume of scholarly work—301 articles encompassing approximately 3600 pages, distributed across six distinct issues.</t>
  </si>
  <si>
    <t>The intelligent goal of process manufacturing is to achieve high efficiency and greening of the entire production. Whereas the information system it used is functionally independent, resulting to knowledge gaps between each level. Decision-making still requires lots of knowledge workers making manually. The industrial metaverse is a necessary means to bridge the knowledge gaps by sharing and collaborative decision-making. Considering the safety and stability requirements of the process manufacturing, this article conducts a thorough survey on the process manufacturing intelligence empowered by industrial metaverse. First, it analyzes the current status and challenges of process manufacturing intelligence, and then summarizes the latest developments about key enabling technologies of industrial metaverse, such as interconnection technologies, artificial intelligence, cloud-edge computing, digital twin (DT), immersive interaction, and blockchain technology. On this basis, taking into account the characteristics of process manufacturing, a construction approach and architecture for the process industrial metaverse is proposed: a virtual-real fused industrial metaverse construction method that combines DTs with physical avatar, which can effectively ensure the safety of metaverse’s application in industrial scenarios. Finally, we conducted preliminary exploration and research, to prove the feasibility of proposed method.</t>
  </si>
  <si>
    <t>Horizon 2020 project; Strategic Programs for Advanced Research and Technology in Europe;</t>
  </si>
  <si>
    <t>Multi-access Edge Computing (MEC) is an emerging computing model that provides the necessary on-demand resources and services to the edge of the network, ensuring powerful computing, storage capacity, mobility, location, and context awareness support to emerging Internet of Things (IoT) applications. Nonetheless, its complex hierarchical model introduces new architectural interdependencies, which can influence the resilience of IoT applications against cyber attacks. Although application resilience has been investigated in the context of cloud computing, existing studies are not directly applicable to such an extended edge-cloud paradigm. The use of different enabling technologies at the edge of the network, such as various wireless access technologies and virtualization, implies several threats and challenges that make the analysis and deployment of resilience mechanisms a technically challenging problem. In this article, we first present an overview of the threat model, describing the threats for the different layers of this paradigm. We then study the impact of resource-exhausting attacks – a particularly relevant class for this paradigm - on three different IoT applications exploiting the services offered by the MEC-based architecture. We adopt a testing-based methodology conceived to characterize the resilience of such applications under attack. A set of most important resilience-related indicators are also identified. The characterization's results are useful to support the analyst in planning proper protection means at individual architectural layers.</t>
  </si>
  <si>
    <t>NRRP MUR program; EU - NGEU(grant numbers:PE00000014);</t>
  </si>
  <si>
    <t>M. Živić; D. Nemec; Ž. Bojović</t>
  </si>
  <si>
    <t>M. Gapit; N. Jurković; H. I. Shaheen; A. Martinović; D. Kereži; M. Vašak; V. Lešić</t>
  </si>
  <si>
    <t>O. B. Mora-Sánchez; E. López-Neri; E. J. Cedillo-Elias; E. Aceves-Martínez; V. M. Larios</t>
  </si>
  <si>
    <t>Mexican National Research Council(grant numbers:221198 PROINNOVA 2015); HPE Mexico for the LilaSCI IoT devices;</t>
  </si>
  <si>
    <t>National Natural Science Foundation of China(grant numbers:61772088); Hunan Province Key Laboratory of Industrial Internet Technology and Security(grant numbers:2019TP1011); Marie Curie Global Fellowship funded by European Commission(grant numbers:MSCA-IF-GF-839255);</t>
  </si>
  <si>
    <t>This work proposes the Green Camera-Network-as-a-Service (G-CNaaS) architecture, which provides on-demand camera networks to multiple end-users simultaneously while utilizing minimal energy. G-CNaaS simultaneously reduces the carbon footprint and eliminates the single application-centric approach of traditional camera networks (TCNs) by enabling each camera to participate in multiple Virtual-Camera-Networks (VCNs) and selecting an optimal set of cameras for each VCN. We couple each camera node in every VCNs with a learning model suitable for the requested application. We assign an intelligent edge device to each VCN to analyze time-sensitive events. We introduce the camera selection factor by leveraging the properties of cameras: 1) field-of-view (FoV); 2) angular-distance; 3) observation range; and 4) residual energy to select the optimal camera set. The results of the extensive simulation of the G-CNaaS architecture show that it excels in performance concerning attributes such as the average lifetime, fair distribution of the work among the camera owners, and cost-effectiveness compared to the TCNs. We observe that the expenditure of a user using the TCN varies by 88.7%, while in the case of G-CNaaS, the expenditure varies by 10.28% with the increase in time from 1–60 months. On the other hand, the average energy consumed increases by 59.88% and 99.5% in the presence of 10 and 20 camera sensor owners.</t>
  </si>
  <si>
    <t xml:space="preserve">Department of Science and Technology—INSPIRE Fellowship (Sanction letter no. DST/INSPIRE Fellowship/2017/1F170547), Government of India; </t>
  </si>
  <si>
    <t>Edge computing is an important pillar for green computation by bringing the Cloud resources to the Edge, serving real-time applications, and reducing the computing and network resources required to transfer data for processing in the Cloud. 5G brings network densification and enables massive IoT and V2X applications, which triggers the need for edge computing to host network functions and user-facing services in a converged edge platform(s). Several edge computing deployments are being observed by ecosystem players (telco, ISVs, chip vendors, CSPs, … etc.) for IoT or V2X services, however, focusing on converged network functions and services. The point that is still in its early stages is the dynamic workload orchestration across the converged edge platforms running network functions and multi-tenant IoT services with different compute requirements and different Service Level Objectives (SLOs). This paper focuses on autonomous life cycle management for converged edge platform(s) to enable resource-efficient workload orchestration, contributing to the green goal. We present a solution for intelligent dynamic resources configuration on edge computing platforms hosting multi-tenant services while guaranteeing the SLO for each service and helping green communication goal. The presented solution has been deployed in a trial, and we present results on efficient resources configuration.</t>
  </si>
  <si>
    <t>The Internet of Things (IoT) enabled by 6G increases the number of devices and users exponentially. 6G IoT will cover the overall domain of the world. Due to the limited resources in the IoT environment, greener and smarter networks are indispensable for the sustainable development of the 6G IoT. In this paper, the issue of improving resource efficiency and extending network lifetime is studied. We propose a novel Confidence Information Coverage (CIC) node sleep scheduling algorithm based on reinforcement learning (CICRL). In CICRL, collaborative intelligence is achieved through Q-learning to meet the coverage rate with the least active nodes, thus balancing the energy consumption and prolonging the network lifetime. Compared with the Coordination Algorithm based on Reinforcement Learning (COORD), Low-Energy Adaptive Clustering Hierarchy (LEACH) and Sleep Scheduling Approach based on Learning Automata (PCLA), the simulation results demonstrate that the proposed algorithm satisfies coverage with fewer active nodes and improves the network lifetime substantially. © 2017 IEEE.</t>
  </si>
  <si>
    <t>The widespread use of sensor devices in IoT networks imposes a significant burden on energy consumption at the network's edge. To address energy concerns, a prompt anomaly detection strategy is required on demand for troubleshooting resource-constrained IoT devices. It enables devices to adapt their configuration according to the dynamic signal quality and transmission settings. However, obtaining accurate energy data from IoT nodes without external devices is unfeasible. This paper proposes a framework for energy anomaly detection of IoT nodes using data transmission analysis. We use a public dataset that contains peer-to-peer IoT communication energy and link quality data. Our framework first utilizes linear regression to analyze and identify the dominant features of data communication for IoT transceivers. Later, a deep neural network modifies the gradient flow to focus on the dominant features. This modification improves the detection accuracy of anomalies by minimizing the associated reconstruction error. Finally, the energy stabilization feedback provides nodes with insight to change their transmission configuration for future communication. The experimental results show that the proposed approach outperforms other unsupervised models in anomalous energy detection. It also proves that redesigning the conventional loss function by enhancing the impact of our dominant features can dramatically improve the reliability of the anomaly detection method.  © 2017 IEEE.</t>
  </si>
  <si>
    <t>This work presents the problem of optimal resource orchestration for green Sensor-as-a-Service (Se-aaS) in the presence of multiple sensor-cloud service providers (SCSPs) and vehicle owners (VOs). It leads to an oligopolistic market, where the shareholders may adopt unfair means to maximize revenue. Therefore, we consider the trust factors among the SCSPs and the VOs and ensure high QoS to minimize service delay, maximize service availability, and maximize energy efficiency. We propose a virtual sensor orchestration scheme, VISE, to ensure high QoS in green multi-sensor-cloud systems. VISE is a multi-level expected utility game-theoretic scheme. In VISE, the requested SCSP initially aims to find an optimal set of vehicles to send the sensed data from its own sensor-equipped vehicles to the roadside units (RSUs). We consider that the intermediate nodes may belong to other SCSPs. Further, to address the inadequacy of resources, the requested SCSP in VISE relies on selecting an optimal SCSP from the other SCSPs to serve vehicular Se-aaS. We evaluate the performance of VISE both theoretically and experimentally and compare it with benchmark schemes. Simulation results depict 33.33 – 53.34% and 21.57 – 29.13% increase in end-user satisfaction and network lifetime, respectively, while ensuring a 37.25 – 42.85% increase in revenue sharing among the VOs.</t>
  </si>
  <si>
    <t>360-ADAPT: An Open-RAN-Based Adaptive Scheme for Quality Enhancement of Opera 360° Content Distribution</t>
  </si>
  <si>
    <t>There is increasing viewer interest and technological support for streaming immersive clips over the Internet. There are, however, challenges in supporting high quality of viewer experience, mostly due to the large amounts of the data associated with immersive video and spatial audio (Ambisonics). In situations where there are limited network resources, the streamed 360° content needs to be adjusted dynamically to meet the network constraints. Dynamic Adaptive Streaming over HTTP (DASH) adaptation is a key technology for delivering high-quality video over open radio access networks (RANs). DASH allows for efficient adaptation of video streams to the available network conditions. This paper introduces 360-ADAPT, a DASH-based adaptation solution on an Open-RAN architecture for increased quality remote 360° opera experiences. Unlike existing schemes, 360-ADAPT gives precedence to audio over the video when selecting bitrates, increasing the overall quality of the artistic act and improving use of resources and energy. The proposed 360-ADAPT was tested with real opera viewers in the context of an artistic-oriented platform for opera delivery, part of the Horizon2020 TRACTION project. Results indicate that 360-ADAPT achieves higher perceived quality levels than alternative solutions both in QoS and QoE metrics.</t>
  </si>
  <si>
    <t>Essential services in an Internet of Things (IoT)-based critical system should be continuously provided even when undesirable events like failures, attacks, and emergencies happen. In this work, we analyze the system’s ability to survive failures that are caused by resource exhaustion attacks. Such ability to survive means that the system’s services should be provided in compliance with the associated requirements also in presence of failures and other undesired events. Accordingly, we present a hybrid method (i.e., measurements- and model-based) to assess the expected survivability of an IoT system under resource-exhaustion attacks and, based on it, to optimize the preventive maintenance trigger period that maximizes survivability and minimizes the expected downtime cost. A realistic case study is implemented to emulate an IoT scenario and used to estimate the extent of resource consumption at each layer of the IoT stack when the system is subject to a resource-exhaustion attack. A semi-Markov process is then adopted to model the transient behavior of the system during an intrusion. The model is enriched with an additional state that represents a proactive recovery, in which the system is not available for a maintenance action aimed at preventing failure. The model solution gives the optimal maintenance triggering time.</t>
  </si>
  <si>
    <t>SERICS through the NRRP MUR Program funded by the EU-NGEU(grant numbers:PE00000014);</t>
  </si>
  <si>
    <t>Natural Sciences and Engineering Research Council of Canada and Ericsson Canada under the Industrial Research Chair in Software-Defined Networking/Network Functions Virtualization (SDN/NFV) Security; Canada Foundation for Innovation through the John R. Evans Leaders Fund (JELF) Project(grant numbers:38599);</t>
  </si>
  <si>
    <t>Mitigating DDoS attacks poses a significant challenge for cyber security teams within victim organizations, as these attacks directly target service availability. Most DDoS mitigation solutions focus address the direct effects of DDoS attacks, such as service unavailability and network congestion, while the indirect effects, including collateral damage to legitimate users, receive substantially less attention in the present state-of-the-art. To address this gap, we propose a novel defense architecture designed to mitigate collateral damage and ensure service availability for legitimate users even under attack conditions. The proposed approach employs containerization, micro-services architecture, and traffic segmentation to enhance system resilience and fortify security. We send requests for two distinct services, namely an HTTP-based service and an SSH service, in order to analyze the collateral damage caused by the DDoS attack. The proposed architecture classifies incoming HTTP traffic into two categories: “benign traffic” and “suspicious traffic,” determined by the number of requests originating from the same source address. We tested this approach in three different scenarios (S-1, S-2, and S-3). Experimental results demonstrate that the proposed architecture effectively isolates suspicious traffic, mitigating its impact on benign services. This ensures the availability of critical services during a DDoS attack while minimizing collateral damage. In scenarios S-1, S-2, and S-3, it maintains service availability at 3%, 67%, and 98%, respectively, highlighting its efficacy in the face of varying levels of DDoS attack intensity. Furthermore, the architecture is extremely effective in reducing the collateral effects on SSH requests during a DDoS attack. In the S-1 scenario, SSH login time was reduced by 25%, 46%, and 27%, respectively. In the S-2 scenario, the reductions were 99%, 53%, and 29%. In the same vein, the system achieved reductions of 4%, 17%, and 99% in the S-3 scenario.</t>
  </si>
  <si>
    <t>EU; FP7; District Information Modeling and Management for Energy Reduction;</t>
  </si>
  <si>
    <t>EU project FLEXMETER; Edifici a Zero Consumo Energetico in Distretti Urbani Intelligenti;</t>
  </si>
  <si>
    <t>National Natural Science Foundation of China(grant numbers:61701007); National Key Research and Development Program of China(grant numbers:2017YFB1200700); China Postdoctoral Science Foundation(grant numbers:2016M600865); IBM Shared University Research Project(grant numbers:TII-17-1292.R1);</t>
  </si>
  <si>
    <t>VDI/VDE(grant numbers:IUK459/002);</t>
  </si>
  <si>
    <t>Distributed Digital Twins for industrial SMEs: A big-data platform; EU under the call ICT-11-2018-2019(grant numbers:857191);</t>
  </si>
  <si>
    <t>National Key Research and Development Program of China Stem Cell and Translational Research(grant numbers:2020YFB1005600); Guangdong Key R&amp;D Plan 2020(grant numbers:2020B0101090002); Basic and Applied Basic Research Foundation of Guangdong Province(grant numbers:2019B1515120010);</t>
  </si>
  <si>
    <t>In this article, we propose SEGA, a secured edge gateway microservices architecture for industrial Internet of things-based monitoring of machines in industries. SEGA allows the secured collection, transmission, and temporary storage of data within the edge network. A k-nearest neighbors-based analytics module hosted on the edge gateway processes time-sensitive machine monitoring data on the gateway itself and identifies machines’ operational status. The system predicts the machine state and displays the monitored parameters such as current consumed, power factor, power consumption, and vibrational state of machinery. SEGA also enables secured offloading of data and advanced analytical functions from the edge gateway to the cloud. SEGA's deployment results show negligible changes in the edge gateway's performance due to the inclusion of various security and encryption mechanisms. However, the resource-constrained edge sensor nodes show an increase in wireless packet transmission latencies between them and the gateway by approximately 84.12 ms.</t>
  </si>
  <si>
    <t>Industrial Internet of Things (IIoT) systems are increasingly found in settings such as factories, smart cities/nations, and healthcare institutions. These systems facilitate the interconnection of automation and data analytics across different industrial technologies, such as cyber-physical systems, Internet of Things (IoT), and cloud and edge computing devices and systems. However, IIoT systems also generate significant volume of data, which can incur significant overheads in processing such data at cloud centers [A1]. Existing IIoT systems may be developed as monolithic architecture, where such a system is deployed as a single solution. In this architectural design, few programming languages can be used to create a single application or process composed of several classes, methods, and packages, in which the entire application is executed in one server irrespective of the application requirements.</t>
  </si>
  <si>
    <t>Scientific Research Project of Education Department of Hunan Province(grant numbers:21B0779); Hunan Province Key Laboratory of Industrial Internet Technology and Security(grant numbers:2019TP1011); Marie Curie Global Fellowship; European Commission(grant numbers:MSCA-IF-GF-839255);</t>
  </si>
  <si>
    <t>Optimal use of scarce radio spectrum is essential in the proliferation of beyond 5G networks, and promising blockchain technology offers various benefits for the spectrum management. However, existing blockchain-based solutions are expensive, nonoptimized, and lack spectrum fraud detection. This article proposes a novel consensus mechanism for a blockchain-based dynamic spectrum access (DSA) system. The proposed “Proof-of-Sense” consensus mechanism operates based on spectrum sensing procedures rather than cryptographic calculations. It is specially designed to address fraudulent/unauthorized access to the spectrum by analyzing the sensed spectrum data. The core of the consensus mechanism is a cryptographic key sharing mechanism inspired by Shamir’s secret sharing scheme. Moreover, the proposed DSA system can enable different microservices, such as automated spectrum auctions, payment and penalty handling, and spectrum fraud detection. A proof of concept based on experimental approaches coupled with Matlab simulations is presented to analyze the performance of the proposed consensus mechanism.</t>
  </si>
  <si>
    <t>framework of 6Genesis Flagship(grant numbers:318927);</t>
  </si>
  <si>
    <t>Istituto Nazionale per l'Assicurazione Contro Gli Infortuni sul Lavoro;</t>
  </si>
  <si>
    <t>Despite the advanced research in artificial intelligence (AI) technology within the academic community, enterprises have yet to fully integrate this technology into practical applications. In the manufacturing sector, deploying professional IT personnel to implement AI for just a few machines is not ideal, posing a significant challenge for traditional factories. Additionally, the rising consumer demand for highly personalized and high-value-added products necessitates increased flexibility in production design and implementation. This study aims to establish an AI model cloud service platform that possesses the following features: 1) remote dynamic model adjustment, 2) automated continuous integration, 3) automated continuous deployment, 4) administrator web status display interface, 5) data security protection mechanism, 6) global remote deployment, and 7) multiscenario operations including deployment mechanisms, model adjustment mechanisms, server setup mechanisms, and more. The platform aims to address the issue of production lines struggling to integrate AI into practical applications. The innovation of this research lies in the proposed system architecture and platform for introducing AI into the manufacturing industry. Enterprises can use this study to establish their AI integration systems and deploy relevant technologies, or they can directly apply the research outcomes to their industrial control environments. This approach reduces the difficulties enterprises face when introducing AI technology, accelerates the transition from production automation to intelligent manufacturing, enhances production efficiency and sustainability, and improves the operational performance and management of the manufacturing industry, thereby strengthening global competitiveness.  © 2005-2012 IEEE.</t>
  </si>
  <si>
    <t>National Research Foundation Singapore through the Singapore-MIT Alliance for Research and Technology’s Future Urban Mobility IRG Research Program; Singapore Ministry of National Development and the National Research Foundation; Land and Liveability National Innovation Challenge(grant numbers:L2NICTDF1-2016-1);</t>
  </si>
  <si>
    <t>Providing mobility services effectively to residents and visitors is a complex socio-technical system task to city public managers. Smart mobility systems aim to support the efficient exploitation of city transport facilities and sustainable mobility within the urban environment. People need to travel quickly and conveniently between locations at different scales, ranging from a few blocks within a city to a journey across cities. At the same time, goods need to be timely delivered, considering both the users and the businesses' needs. Several cities indicated an interest in using Autonomous Vehicles (AV) for the “last-mile” mobility services in the last few years. With them, it seems to be easier to get people and goods around using fewer vehicles. In this context, Autonomous Shuttles (AS) are beginning to be thought of as a new mobility/delivery service into the city center where narrow streets are not easily served by traditional buses. They allow them to perform critical areas with minimal new infrastructure and reduce noise and pollution. The article analyses the state-of-art on autonomous shuttles by proposing four application scenarios targeting the last-mile delivery of goods, the tourist experiences, and the shared and integrated mobility. Furthermore, we contribute with the proposition of the Autonomous Shuttles-as-a service (ASaaS) concept as the key pillar for the realization of innovative and sustainable proximity mobility. Our research proposed new research challenges for ASaaS, and we discuss social implications and governance challenges that consider user engagement and sustainability. It also recommended extending new research to focus on simulation and machine learning techniques for last-mile mobility planning and explore the journeys tracking certification via artificial intelligence and blockchain-based techniques.</t>
  </si>
  <si>
    <t>National Science Foundation(grant numbers:1747818); Fundamental Research Funds for Central Universities(grant numbers:JB161004); National Science and Technology Major Project of the Ministry of Science and Technology of China(grant numbers:2009ZX03001-003); Project of “Fake Transaction Identification Algorithm Based on Big Data”; Xi’an Yi Shu Technology Company Ltd;</t>
  </si>
  <si>
    <t>M. Bieler; A. Skretting; P. Büdinger; T. -M. Grønli</t>
  </si>
  <si>
    <t>Pilot-T Program of the Norwegian Research Council;</t>
  </si>
  <si>
    <t>This article presents the design, implementation, and use cases of the Chattanooga Digital Twin (CTwin) towards the vision for next-generation smart city applications for urban mobility management. CTwin is an end-to-end web-based platform that incorporates various aspects of the decision-making process for optimizing urban transportation systems in Chattanooga, Tennessee, to reduce traffic congestion, incidents, and vehicle fuel consumption. The platform serves as a cyberinfrastructure to collect and integrate multi-domain urban mobility data from various online repositories and Internet of Things (IoT) sensors, covering multiple urban aspects (e.g., traffic, natural hazards, weather, and safety) that are relevant to urban mobility management. The platform enables advanced capabilities for: (a) real-time situational awareness on traffic and infrastructure conditions on highways and urban roads, (b) cyber-physical control for optimizing traffic signal timing, and (c) interactive visual analytics on big urban mobility data and various metrics for traffic prediction and transportation performance evaluation. The platform is designed using a multi-level componentization paradigm and is implemented using modular and adaptive architecture, rendering it as a generalizable and extendable prototype for other urban management applications. We present several use cases to demonstrate CTwin’s core capabilities for supporting decision-making in smart urban mobility management.</t>
  </si>
  <si>
    <t>UAE University and Zayed University joint grant(grant numbers:12R143);</t>
  </si>
  <si>
    <t>NSERC through the Discovery Grant and Canada Research Chair;</t>
  </si>
  <si>
    <t>Zhang Y.; Fan W.; Yu Y.; Yuan’an L.</t>
  </si>
  <si>
    <t>Vehicular Edge Computing (VEC) offers a promising framework for providing vehicles with low-latency and highly reliable services. By leveraging the underutilized computational resources of parked and moving vehicles commonly found in urban areas, a VEC system can enhance the performance of surrounding user devices and alleviate the loads on its edge servers. In this study, a resource orchestration scheme is introduced for a multi-device, multi-vehicle, and multi-edge scenario. Tasks from a device can be offloaded to its associated edge server, a neighboring edge server, a parked vehicle, or a moving vehicle. Our goal is to achieve the total task processing cost (comprising task processing latency and energy consumption) minimization across all devices through making strategies for task offloading and computational and communication resource allocation. We decompose the optimization problem and propose a Twin Delayed Deep Deterministic Policy Gradient (TD3)-based Deep Reinforcement Learning (DRL) algorithm. Furthermore, to accelerate the convergence speed of the algorithm, we optimize the uplink transmit power allocation sub-problem separately by designing a numerical algorithm. We analyze the complexity of the algorithm and assess its convergence. Through extensive simulations across 5 different scenarios, our proposed scheme outperforms 4 reference schemes, showcasing reductions in total task processing costs ranging from 15.13% to 38.59%. © 2000-2011 IEEE All rights reserved.</t>
  </si>
  <si>
    <t>Zhang, Yaoyin (58109590400); Fan, Wenhao (53877225100); Yu, Yang (59656428300); Yuan’an, Liu (24282220600)</t>
  </si>
  <si>
    <t>L. Wang; L. Jiao; J. Li; J. Gedeon; M. Mühlhäuser</t>
  </si>
  <si>
    <t>To better support emerging interactive mobile applications such as those VR-/AR-based, cloud computing is quickly evolving into a new computing paradigm called edge computing. Edge computing has the promise of bringing cloud resources to the network edge to augment the capability of mobile devices in close proximity to the user. One big challenge in edge computing is the efficient allocation and adaptation of edge resources in the presence of high dynamics imposed by user mobility. This paper provides a formal study of this problem. By characterizing a variety of static and dynamic performance measures with a comprehensive cost model, we formulate the online edge resource allocation problem with a mixed nonlinear optimization problem. We propose MOERA, a mobility-agnostic online algorithm based on the “regularization” technique, which can be used to decompose the problem into separate subproblems with regularized objective functions and solve them using convex programming. Through rigorous analysis we are able to prove that MOERA can guarantee a parameterized competitive ratio, without requiring any a priori knowledge on input. We carry out extensive experiments with various real-world data and show that MOERA can achieve an empirical competitive ratio of less than 1.2, reduces the total cost by $4 \times$4× compared to static approaches, and outperforms the online greedy one-shot solution by 70 percent. Moreover, we verify that even being future-agnostic, MOERA can achieve comparable performance to approaches with perfect partial future knowledge. We also discuss practical issues with respect to the implementation of our algorithm in real edge computing systems.</t>
  </si>
  <si>
    <t>Deutsche Forschungsgemeinschaft(grant numbers:392046569); National Natural Science Foundation of China(grant numbers:61761136014); DFG Collaborative Research Center; National Science Foundation(grant numbers:1564348);</t>
  </si>
  <si>
    <t>P. Zhao; G. Dán</t>
  </si>
  <si>
    <t>Vetenskapsrådet(grant numbers:2020-03860); Swedish Civil Contingencies Agency; Sweden's Innovation Agency;</t>
  </si>
  <si>
    <t>EU Horizon 2020 INITIATE(grant numbers:101008297); Royal Society International Exchanges(grant numbers:IEC\NSFC\211460);</t>
  </si>
  <si>
    <t>L. Bonati; M. Polese; S. D’Oro; S. Basagni; T. Melodia</t>
  </si>
  <si>
    <t>Obtaining access to exclusive spectrum, cell sites, Radio Access Network (RAN) equipment, and edge infrastructure imposes major capital expenses to mobile network operators. A neutral host infrastructure, by which a third-party company provides RAN services to mobile operators through network virtualization and slicing techniques, is seen as a promising solution to decrease these costs. Currently, however, neutral host providers lack automated and virtualized pipelines for onboarding new tenants and to provide elastic and on-demand allocation of resources matching operators’ requirements. To address this gap, this paper presents NeutRAN, a zero-touch framework based on the O-RAN architecture to support applications on neutral hosts and automatic operator onboarding. NeutRAN builds upon two key components: (i) an optimization engine to guarantee coverage and to meet quality of service requirements while accounting for the limited amount of shared spectrum and RAN nodes, and (ii) a fully virtualized and automated infrastructure that converts the output of the optimization engine into deployable micro-services to be executed at RAN nodes and cell sites. NeutRAN was prototyped on an OpenShift cluster and on a programmable testbed with 4 base stations and 10 users from 3 different tenants. We evaluate its benefits, comparing it to a traditional license-based RAN where each tenant has dedicated physical and spectrum resources. We show that NeutRAN can deploy a fully operational neutral host-based cellular network in around 10 seconds. Experimental results show that it increases the cumulative network throughput by 2.18× and the per-user average throughput by 1.73× in networks with shared spectrum blocks of 30 MHz. NeutRAN provides a 1.77× cumulative throughput gain even when it can only operate on a shared spectrum block of 10 MHz (one third of the spectrum used in license-based RANs).</t>
  </si>
  <si>
    <t>In this work, a container-based architecture for the integration of Long Range Wide Area Network (LoRaWAN) end nodes—e.g., used to monitor industrial machines or mobile entities in specific environments—with Internet Protocol (IP)-based networks is proposed and its performance is investigated. To this end, we exploit the native service and resource discovery support of the Constrained Application Protocol (CoAP), as well as its light traffic requirements, owing to its use of User Datagram Protocol (UDP) rather than Transmission Control Protocol (TCP). This approach (i) adapts transparently (with no impact) to both private and public LoRaWAN networks, (ii) enables seamless interaction between LoRaWAN-based and CoAP-based nodes, through a logical “virtualization” of LoRaWAN nodes at server side, and (iii) enables routing among LoRaWAN end nodes, overcoming LoRaWAN's absence of inter-node communication and lack of compliance (at the end nodes’ side) with IP. Two virtualization approaches are proposed: (i) virtualization of a single end node (represented as a CoAP server) per container and (ii) virtualization of multiple end nodes (as CoAP servers) per container. Finally, deployments of the proposed virtualization architectures, using both a laptop and an Internet of Things (IoT) device (e.g., a Raspberry Pi), are considered, highlighting how the best solution relies on the use of several containers, with more than one CoAP server per container.</t>
  </si>
  <si>
    <t>European Union's Horizon 2020 research and innovation program ECSEL Joint Undertaking; Airborne Data Collection on Resilient System Architectures(grant numbers:876038); Intelligent Secure Trustable Things; European Union's Horizon Europe Research and Innovation Program Key Digital Technology (KDT) JU(grant numbers:101097267); OPtimization of Electric Vehicle Autonomy; National Research Centre for Agricultural Technologies(grant numbers:CN00000022); National Recovery and Resilience Plan; Italian Ministry of University and Research; European Union – NextGenerationEU;</t>
  </si>
  <si>
    <t>Executing 5G core network functions on satellites has become crucial to enhance satellite network management and service capabilities. The User Plane Function (UPF) is responsible for efficient data traffic forwarding and is envisioned as a key and pioneering core network function that will be deployed on satellites. However, managing and providing services with satellite UPFs face dual challenges. Limited satellite resources constrain the user scale that a satellite UPF can service, resulting in an unguaranteed service delay. Moreover, the extremely rapid mobility of satellites renders it difficult for satellite UPFs to provide seamless services. To address the above challenges, this paper presents the first-of-its-kind service optimization scheme for satellite UPFs in terms of switch control, state migration, and traffic routing. To provide guaranteed service delay, we provide a theoretical analysis based on the M/G/1 queue model, demonstrating the service delay-resource consumption trade-off. A satellite UPF switch control scheme is integrated into the service optimization process, which can decrease satellite UPF service delay while saving satellite resources by adjusting the switch control parameters. To provide seamless services, we propose a satellite UPF-oriented state-aware service migration and traffic routing (UPF service optimization) algorithm. A policy network-based reinforcement learning approach is employed to dynamically perceive the satellite network's state as well as the satellite UPF switch state. Building upon the optimization of service delay through satellite UPF switch control, the processes of state-aware state migration and traffic routing are further employed to reduce delay, ensuring seamless service effectively. Experiments reveal that the proposed algorithm outperforms other benchmark algorithms under different metrics. The service delay is reduced by an average of 23.2% compared with other algorithms.  © 2002-2012 IEEE.</t>
  </si>
  <si>
    <t>Research Institute for Artificial Intelligence of Things; Hong Kong Polytechnic University; Hong Kong (HK) Research Grant Council; Theme-based Research Scheme(grant numbers:T43-513/23-N); National Natural Science Foundation of China(grant numbers:CRS_PolyU501/23);</t>
  </si>
  <si>
    <t>Science Foundation Ireland(grant numbers:18/CRT/6183); ML-LABS Centre for Research Training(grant numbers:12/RC/2289_P2); Insight SFI Research Centre for Data Analytics;</t>
  </si>
  <si>
    <t>For NFV systems, the key design space includes the function chaining for network requests and the resource scheduling for servers. The problem is challenging since NFV systems usually require multiple (often conflicting) design objectives and the computational efficiency of real-time decision making with limited information. Furthermore, the benefits of predictive scheduling to NFV systems still remain unexplored. In this article, we propose POSCARS, an efficient predictive and online service chaining and resource scheduling scheme that achieves tunable trade-offs among various system metrics with stability guarantee. Through a careful choice of granularity in system modeling, we acquire a better understanding of the trade-offs in our design space. By a non-trivial transformation, we decouple the complex optimization problem into a series of online sub-problems to achieve the optimality with only limited information. By employing randomized load balancing techniques, we propose three variants of POSCARS to reduce the overheads of decision making. Theoretical analysis and simulations show that POSCARS and its variants require only mild-value of future information to achieve near-optimal system cost with an ultra-low request response time. © 1993-2012 IEEE.</t>
  </si>
  <si>
    <t>Cloud infrastructure has gradually displayed a tendency of geographical distribution in order to provide anywhere, anytime connectivity to tenants all over the world. The tenant task placement in geo-distributed clouds comes with three critical and coupled factors: regional diversity in electricity prices, access delay for tenants, and traffic demand among tasks. However, existing works disregard either the regional difference in electricity prices or the tenant requirements in geo-distributed clouds, resulting in increased operating costs or low user QoS. To bridge the gap, we design a cost optimization framework for tenant task placement in geo-distributed clouds, called TanGo. However, it is non-trivial to achieve an optimization framework while meeting all the tenant requirements. To this end, we first formulate the electricity cost minimization for task placement problem as a constrained mixed-integer non-linear programming problem. We then propose a near-optimal algorithm with a tight approximation ratio (1-1/e)$ using an effective submodular-based method. Results of in-depth simulations based on real-world datasets show the effectiveness of our algorithm as well as the overall 10%-30% reduction in electricity expenses compared to commonly-adopted alternatives.  © 1993-2012 IEEE.</t>
  </si>
  <si>
    <t>Cloud service providers often provision excessive resources to meet the desired Service Level Objectives (SLOs), by setting lower CPU utilization targets. This can result in a waste of resources and a noticeable increase in power consumption in large-scale cloud deployments. To address this issue, this paper presents DeepScaling, an innovative solution for minimizing resource cost while ensuring SLO requirements are met in a dynamic, large-scale production microservice-based system. We propose DeepScaling, which introduces three innovative components to adaptively refine the target CPU utilization of servers in the data center, and we maintain it at a stable value to meet SLO constraints while using minimum amount of system resources. First, DeepScaling forecasts workloads for each service using a Spatio-temporal Graph Neural Network. Secondly, it estimates CPU utilization with a Deep Neural Network, considering factors such as periodic tasks and traffic. Finally, it uses a modified Deep Q-Network (DQN) to generate an autoscaling policy that controls service resources to maximize service stability while meeting SLOs. Evaluation of DeepScaling in Ant Group’s large-scale cloud environment shows that it outperforms state-of-the-art autoscaling approaches in terms of maintaining stable performance and resource savings. The deployment of DeepScaling in the real-world environment of 1900+ microservices saves the provisioning of over 100,000 CPU cores per day, on average.</t>
  </si>
  <si>
    <t>Industrial Internet of Things (IIoT), which consists of massive IoT devices and industrial infrastructures such as wireless access points to acquire intelligent services, has been devoted as a critical physical information platform to realizing the fourth industrial revolution, otherwise known as Industry 4.0. Currently, a new paradigm called mobile edge computing (MEC) has brought an opportunity to accelerate the development of IIoT. It has powerful computing capabilities and can be well-used to provide low-latency services to execute some computation applications generated by IIoT devices. However, the existing methods may not be directly used for IIoT scenarios due to the large size of IIoT devices and the characteristics of the applications, as well as the limited and heterogeneous resources of edge servers. In view of this, the computation offloading and resource allocation are formulated as a multi-objective optimization problem, and an end-edge-cloud collaborative intelligent optimization method is devised in this paper. Comprehensive experiments and evaluations are carried out to prove the effectiveness and efficiency of our proposed method with regard to the energy consumption and time consumption of IIoT devices, as well as resource utilization and load balancing of edge servers. © 2013 IEEE.</t>
  </si>
  <si>
    <t>Lebanese American University;</t>
  </si>
  <si>
    <t>Virtualization is getting unprecedented attention from Mobile Network Operators (MNOs) as it provides agility in deployment, especially when coupled with the Cloud that offers inherent elasticity and load-balancing of resources. MNOs have to ensure operational excellence by meeting several objectives. In this context, we propose in this paper, a framework for optimizing the mapping of next Generation Node-Bs (gNBs) to Software-Defined 5G Core (5GC) delay tolerant Network Functions (NFs). These NFs are considered to be deployed as a Virtual Machine (VM) pool, or containers, in order to minimize cloud computing cost, processing power and at the same time maximize network load. First, we formulate this problem as an integer linear program, while taking into account multiple constraints including Virtual Central Processing Unit (vCPU) capacity, central processing load limits and integrality of mapping relations between gNBs and 5GC NFs. Then, we propose an algorithm to solve large problem instances based on Branch, Cut and Price (BCP) combining all of 'Branch and Price', 'Branch and Cut' and 'Branch and Bound' frameworks. We present several schemes reflecting different optimization goals that the MNO can foster: virtualization cost, power minimization, network load or all. Simulation results demonstrate the good performance of our proposed algorithm to solve the gNBs-VM pool mapping for all evaluated schemes, while also emphasizing the advantages of a particular one (EWoS-333 for Equal Weight optimization Scheme) that can decrease virtualization cost by almost one order of magnitude compared to a static selection scheme, while considering the other two objectives.  © 2004-2012 IEEE.</t>
  </si>
  <si>
    <t>European Horizon 2020 Programme through the project 5G-EVE on “European 5G validation platform for extensive trials”(grant numbers:815074);</t>
  </si>
  <si>
    <t xml:space="preserve">NATO Science for Peace and Security (SPS) Programme in the framework of the project SPS G5428 “Dynamic Architecture based on UAVs Monitoring for Border Security and Safety.”; German Research Foundation (DFG, Deutsche Forschungsgemeinschaft) as part of Germany’s Excellence Strategy Ű EXC 2050/1 Ű Project ID 390696704 Ű Cluster of Excellence “Centre for Tactile Internet with Human-in-the-Loop” (CeTI) of Technische Universität Dresden; </t>
  </si>
  <si>
    <t>With the emergence of cloud native technology, the network slicing enables automatic service orchestration, flexible network scheduling and scalable network resource allocation, which profoundly affects the traditional security solution. Security is regarded as a technology independent of the cloud native architecture in the initial design, traditional passive defense such as “reinforced” and “stacked” is relied on to achieve system security protection. The lack of intrinsic security mechanisms makes the system capability insufficient when faces the uncertain threat brought by vulnerabilities and backdoors under the ecosystem of opening-up and sharing. The static nature of existing networks and computing systems makes them easy to be compromised and hard to defend, and thus it is urgent to provide intrinsic security and proactive protection against the unpredictable attacks. To this end, this paper proposes a novel paradigm named intrinsic cloud security (iCS) from the perspective of dynamic defense. The dynamic defense provides component-level security, and has complementary and consistency with the cloud native environment. In particular, iCS introduces mimic defense and moving target defense (MTD), and makes full use of the new features introduced by cloud native to implement an intrinsic and proactive defense mechanism with acceptable costs and efficiency. The iCS paradigm achieves seamless integration and symbiosis evolution between security and cloud native. We implement a trial of iCS based on 5GC commercial system and evaluate its performance on costs, efficiency and attack success. The result shows that the iCS enhanced mode always can provide a better and more stable defense effects.</t>
  </si>
  <si>
    <t xml:space="preserve">German Research Foundation within the Collaborative Research Centre “On-The-Fly Computing” (SFB 901), the German Federal Ministry of Education and Research under Software Campus(grant numbers:01IS17046 (RealVNF)); European Commission under 5G-PPP project FUDGE-5G(grant numbers:H2020-ICT-42-2020,957242); </t>
  </si>
  <si>
    <t>Network Function Virtualization enables network operators to modernize their networks with greater elasticity, network programmability, and scalability. Exploiting these advantages requires new and specialized designs for management, automation, and orchestration systems which are capable of reliably operating and handling new elements such as virtual functions, virtualized infrastructures, and a whole new set of relationships among them. Operations such as resource allocation, instantiation, monitoring, scaling, or termination of virtual functions are key lifecycle operations that NFV management and orchestration (NFV-MANO) frameworks need to correctly perform. Failures of the NFV-MANO prevent the network ability to respond to new service requests or events related to the normal lifecycle operation of network services. Thus, it is important to ensure robustness and high availability of the MANO framework. This paper adopts a model-driven approach to predict the availability of the NFV-MANO and assess the impact that different failure modes have. We propose different models, based on Stochastic Activity Networks (SANs), which abstract various MANO deployment configurations, inspired by current containerized open-source MANO implementations. Moreover, we integrate software rejuvenation and investigate the trade-off between its associated overhead and system availability increase. An extensive experimental campaign with fault-injection techniques on a real-life MANO implementation allows to derive a number of realistic recovery parameters. The case studies are used to quantitatively evaluate the steady-state availability and identify the most important parameters influencing system availability for the different deployment configurations.  © 2004-2012 IEEE.</t>
  </si>
  <si>
    <t>Swedish Knowledge Foundation through the project Symphony - Supply-and-Demand-based Service Exposure using Robust Distributed Concepts;</t>
  </si>
  <si>
    <t>Instantiated containers of an application are distributed across multiple Physical Machines (PMs) to achieve high parallel performance. Container placement plays a vital role in network traffic and the performance of containerized data centers. Existing container placement techniques are inadequate due to the ignorance of container traffic patterns. To solve this issue, we first investigate the network traffic between containers and observe that it exhibits a Zipf-like distribution. Motivated by this finding, we propose a novel container placement approach-Blender-by taking into account the Zipf-like distribution. Blender employs two algorithms called RefineAlg and SplitAlg to divide containers of applications into blocks, and place these blocks across Virtual Machines (VMs). Blender exhibits two salient features: (i) it minimizes inter-block traffic by arranging the containers that communicate frequently in the same block. (ii) it achieves good load balancing by combining complementary blocks that request different resource types (e.g., CPU-intensive and memory-intensive blocks) and distributing these blocks across multiple VMs. The experimental results show that Blender significantly reduces communication traffic and network latency. In particular, Blender reduces the traffic of SBP and CA-WFD by 22% and 32%, respectively. Blender decreases network latency by 16% and 26% compared to SBP and CA-WFD. Furthermore, with Blender in place, the physical resources of hosting PMs are well balanced and utilized.  © 2004-2012 IEEE.</t>
  </si>
  <si>
    <t>In 2016, Google introduced the concept of Federated Learning (FL), enabling collaborative Machine Learning (ML). FL does not share local data but ML models, offering applications in diverse domains. This paper focuses on the application of FL to Intrusion Detection Systems (IDSs). There, common criteria to compare existing solutions are missing. In particular, this survey shows: (i) how FL-based IDSs are used in different domains; (ii) what differences exist between architectures; (iii) the state of the art of FL-based IDS. With a structured literature survey, this work identifies the relevant state of the art in FL–based intrusion detection from its creation in 2016 until 2021. It provides a reference architecture and a taxonomy to serve as guidelines to compare and design FL-based IDSs. Both are validated with the existing works. Finally, it identifies research directions for the application of FL to intrusion detection systems.</t>
  </si>
  <si>
    <t>chair CyberCNI.fr; FEDER development fund of the Brittany region;</t>
  </si>
  <si>
    <t>Edge Federation is a new computing paradigm that seamlessly interconnects the resources of multiple edge service providers. A key challenge in such systems is the deployment of latency-critical and AI based resource-intensive applications in constrained devices. To address this challenge, we propose a novel memory-efficient deep learning based model, namely generative optimization networks (GON). Unlike GANs, GONs use a single network to both discriminate input and generate samples, significantly reducing their memory footprint. Leveraging the low memory footprint of GONs, we propose a decentralized fault-tolerance method called DRAGON that runs simulations (as per a digital modeling twin) to quickly predict and optimize the performance of the edge federation. Extensive experiments with real-world edge computing benchmarks on multiple Raspberry-Pi based federated edge configurations show that DRAGON can outperform the baseline methods in fault-detection and Quality of Service (QoS) metrics. Specifically, the proposed method gives higher F1 scores for fault-detection than the best deep learning (DL) method, while consuming lower memory than the heuristic methods. This allows for improvement in energy consumption, response time and service level agreement violations by up to 74, 63 and 82 percent, respectively.  © 2004-2012 IEEE.</t>
  </si>
  <si>
    <t xml:space="preserve">Coordenação de Aperfeiçoamento de Pessoal de Nível Superior - Brasil (CAPES) - Finance Code 001; Fundação de Amparo à Pesquisa do Estado do Rio Grande do Sul (FAPERGS)(grant numbers:#21/2551-0002089-0,#19/2551-0001645-0); Conselho Nacional de Desenvolvimento Científico e Tecnológico (CNPq)(grant numbers:#311276/2021-0,#313124/2020-5); São Paulo Research Foundation (FAPESP)(grant numbers:#2021/06947-6); </t>
  </si>
  <si>
    <t>By decoupling network functions from the underlying hardware, Network Function Virtualization (NFV) allows application components to be implemented as sets of Virtual Network Functions (VNFs) chained in a specific order, represented by VNF-Forwarding Graphs (VNF-FG). Fog computing is instrumental to tap into the full potential of NFV by deploying VNFs in close proximity to end-users, thus decreasing the latency significantly. However, the mobility of end-users and the fog nodes, and the limited fog nodes coverage results in service discontinuity and may increase application delay. Application component migration offers great potential to address this issue. In this paper, we propose a component migration strategy in an NFV-based hybrid cloud/fog system considering the mobility of both end-users and fog nodes. We use the Gauss-Markov mobility model and a random walk mobility model for fog nodes and end-user devices, respectively. We modeled the problem mathematically, which minimizes the aggregated weighted function of application delay and cost. However, considering the mobility of both end-users and fog nodes makes the problem quite complex. Hence, we propose a Deep Reinforcement Learning (DRL) approach to decide where and when to migrate application components and to achieve rapid decision-making. Simulation results demonstrate that the proposed scheme performs well. It offers favorable convergence and outperforms existing algorithms in terms of application delay and migration costs.  © 2004-2012 IEEE.</t>
  </si>
  <si>
    <t>PP5GS—An Efficient Procedure-Based and Stateless Architecture for Next-Generation Core Networks</t>
  </si>
  <si>
    <t>Anomaly event coverage is usually related to several attributes, among which the primary attribute dominates at the time of improving detection efficiency. In the case of Internet of Things (IoT) devices with complex social-aware relationships, IoT nodes with primary attributes should cooperate with each other through their social-aware interactions, to detect potential event anomalies and further determine the coverage of such anomalies. Existing research has put a lot of effort into designing IoT detection frameworks to discover anomalous sensor data, rarely caring about the social-aware interactions. This paper targets this important efficiency problem, and develops a novel anomaly detection mechanism in collaborative social-edge-cloud architecture. The focus of it is to first construct a vector space based Aggregation Behavior Comparison Detection Model, and quantify the change of monitoring behavior by defining the clustering threshold of vector space. This can quickly judge whether a local social network is abnormal and speed up the abnormal detection rate. If it is, a Social Behavior Correlation Detection Model is further designed based on the correlation of primary attributes derived from the dominating social-aware interaction behavior captured by (primary) edge nodes. This strategy can help detect specific “abnormal” areas managed by one or more edge devices with higher accuracy. In the process of anomaly detection, we also propose a spatial index tree to store the information of IoT nodes, so as to effectively collect and route the perceived data of IoT nodes for anomaly analysis. Experimental results demonstrate that our anomaly detection method promotes the detection efficiency and accuracy in comparison with the state of art’s techniques.</t>
  </si>
  <si>
    <t>With the explosive growth of the Internet of Things (IoT) devices deployed in edge networks, the functionalities of IoT devices are typically encapsulated as IoT services, and user requests can be achieved through the composition of data and/or computation-intensive IoT services. Considering the prediction-uncertainty of forthcoming requests, certain IoT services may (i) not be hosted currently by appropriate IoT devices, or (ii) such an IoT service exists, but its non-functional properties may hardly be satisfied with respect to certain constraints prescribed by requests. To address this challenge, this paper proposes an efficiency-aware service Migration Scheduling (denoted eMS) mechanism in edge networks, in order to migrate IoT services on-demand, and thus, to optimally settle non-satisfiable constraints. Specifically, IoT services are re-scheduled, such that certain IoT services are migrated from their hosting IoT devices to neighboring ones, while minimizing the energy consumption and average delay caused by this service re-scheduling operation. We formulate this service re-scheduling as a multi-objective and multi-constraint optimization problem, which is solved through integrating the greedy algorithm into the fast non-dominated sorting and crowded-comparison operators as the hybrid genetic algorithm (G-NSGA-II). Based on real-life datasets provided by an oil pipeline monitoring project, extensive experiments are conducted, and evaluation results show that our eMS is promising in reducing the energy consumption and average delay of service re-scheduling in comparison with the state-of-art’s techniques.</t>
  </si>
  <si>
    <t>National Key Research and Development Program of China (Key Technologies and Demonstrations of the Internet of Things and Smart Cities)(grant numbers:2019YFB2101803); National Natural Science Foundation of China(grant numbers:42050103);</t>
  </si>
  <si>
    <t>Task offloading combined with reinforcement learning (RL) is a promising research direction in edge computing. However, the intractability in the training of RL and the heterogeneity of network devices have hindered the application of RL in large-scale networks. Moreover, traditional RL algorithms lack mechanisms to share information effectively in a heterogeneous environment, which makes it more difficult for RL algorithms to converge due to the lack of global information. This article focuses on the task offloading problem in a heterogeneous environment. First, we give a formalized representation of the Lyapunov function to normalize both data and virtual energy queue operations. Subsequently, we jointly consider the computing rate and energy consumption in task offloading and then derive the optimization target leveraging Lyapunov optimization. A Deep Deterministic Policy Gradient (DDPG)-based multiple continuous variable decision model is proposed to make the optimal offloading decision in edge computing. Considering the heterogeneous environment, we improve Hetero Federated Learning (HFL) by introducing Kullback-Leibler (KL) divergence to accelerate the convergence of our DDPG based model. Experiments demonstrate that our algorithm accelerates the search for the optimal task offloading decision in heterogeneous environment.  © 2004-2012 IEEE.</t>
  </si>
  <si>
    <t xml:space="preserve">Juan de la Cierva Incorporation; Spanish Ministry of Science and Innovation(grant numbers:IJC2019-039885-I); European Commission; Italian National Recovery and Resilience Plan (NRRP) of NextGenerationEU, partnership on “Telecommunications of the Future” (PE00000001 - program “RESTART”)(grant numbers:J33C22002880001); </t>
  </si>
  <si>
    <t>Containers have revolutionized application deployment and life-cycle management in current cloud platforms. Applications have evolved from single monoliths to complex graphs of loosely-coupled microservices. However, the efficient allocation of microservice-based applications is challenging due to their complex inter-dependencies. Further, recent applications are becoming even more delay-sensitive, demanding lower latency between dependent microservices. Scheduling policies in popular container orchestration platforms mainly aim to increase the resource efficiency of the infrastructure, insufficient for latency-sensitive applications. Application domains such as the Internet of Things and multi-tier Web services would benefit from network-aware policies that consider network latency and bandwidth in the scheduling process. Previous works have studied network-aware scheduling via theoretical formulations or heuristic-based methods evaluated via simulations or small testbeds, making their full applicability in popular platforms difficult. This paper proposes a novel network-aware framework for the popular Kubernetes (K8s) platform named Diktyo that determines the placement of dependent microservices in long-running applications focused on reducing the application’s end-to-end latency and guaranteeing bandwidth reservations. Simulations show that Diktyo can significantly reduce the network latency for various applications across different infrastructure topologies compared to default K8s scheduling plugins. Also, experiments in a K8s cluster with microservice benchmark applications show that Diktyo can increase database throughput by 22% and reduce application response time by 45%.</t>
  </si>
  <si>
    <t>Research Foundation Flanders (FWO)(grant numbers:1299323N);</t>
  </si>
  <si>
    <t xml:space="preserve">Conselho Nacional de Desenvolvimento Científico e Tecnológico (CNPq); INCT of the Future Internet for Smart Cities(grant numbers:465446/2014-0); Coordenação de Aperfeiçoamento de Pessoal de Nível Superior – Brasil (CAPES)(grant numbers:001); FAPESP(grant numbers:14/50937-1,15/24485-9); FAPESP(grant numbers:18/23098-0); </t>
  </si>
  <si>
    <t>The next generation of Virtual Reality (VR) applications is expected to provide advanced experiences through Six Degrees of Freedom (6DoF) content, which requires higher data rates and ultra-low latency. In this article, we refactor 6DoF VR applications into atomic services to increase the computing capacity of VR systems aiming to reduce the end-to-end (E2E) of 6DoF VR applications. Those services are chained and deployed across Head-Mounted Displays (HMDs) and Multi-access Edge Computing (MEC) servers in high mobility scenarios over real-edge network topologies. We investigate the Distributed Service Chain Problem (DSCP) to find the optimal service placement of services from a service chain such that its E2E latency does not exceed 5 ms. The DSCP problem is  $\mathcal {NP}$ -hard. We provide an integer linear program to model the system, along with a heuristic, namely disTributed sErvice chaiN orchEstraTor (TENET), which is one order of magnitude faster than optimally solving the DSCP problem. We compare TENET to DSCP implementation and well-known service migration algorithms in terms of E2E latency, power consumption, video resolution selection based on E2E latency, context migrations, and execution time. We observe a significant reduction of E2E latency and gains in more advanced video resolution selection and accepted context service migrations when using TENET’s deployment strategy on VR services.</t>
  </si>
  <si>
    <t>Space-Air-Ground Integrated Network (SAGIN) has recently emerged as a viable solution for reliable transmission, high data rates, and seamless connectivity with extensive coverage. However, the characteristics of the computation and communication devices located at various levels of SAGIN make application placement within such environments a challenging task. Real-time service expectations and resource requirements of applications further intensify this issue, and push the domain to operate beyond its capacity, resulting in uneven delays and significant overhead. Taking these constraints into account, SAGIN’s application placement problem can be expressed as a multiobjective optimisation problem. This paper aims to solve such a problem using a Dynamic Weight-configurable Harris Hawks Optimisation (DW-HHO) algorithm, considering diverse application contexts such as deadlines, resource usage and the number of application activities. It simultaneously minimises application total service time and host resource overhead with a robust global search. The performance of the proposed solution is compared with benchmark metaheuristic solutions such as PSO, NSGA-II, Greedy and Random. Experimental results demonstrate that DW-HHO outperforms other benchmark metaheuristic solutions in optimising resource utilisation and service delivery time of applications in SAGIN environments. The proposed DW-HHO demonstrates notable improvements over existing methods. Specifically, when evaluating the total service time for PSO, NSGA-II, Greedy, and Random, DW-HHO outperforms these methods by 7.28%, 9.07%, 13.01%, and 14.97%, respectively.</t>
  </si>
  <si>
    <t>Australian Research Council Linkage Project(grant numbers:LP190100594);</t>
  </si>
  <si>
    <t>The recent networking trends driven primarily by the different virtualization technologies, such as Network Function Virtualization (NFV) and Service Function Chaining (SFC) pave the way for next-generation network services. In the 5G and beyond era, such services usually have strict delay requirements and the wider adoption of the distribution of their computational needs across the Edge-to-Cloud continuum is certainly a step in the right direction. However, the majority of the optimization solutions for placing the virtualized services so far focus on server selection, leaving other areas such as the impact of Non-Uniform Memory Access (NUMA) and CPU core selection underexplored. In this work, we herein formulate the problem of placing services as SFCs on an Edge/Cloud infrastructure, as a Mixed Integer Programming (MIP) problem. Then, we propose a heuristic algorithm called “Dynamic numa node Selection through Cores consolidation – DySCo” to solve it, which optimizes the placement in terms of server, NUMA and core selection. To the best of our knowledge, this is the first attempt to optimize network service placement in an Edge-Cloud interplay. Extensive simulation evaluation shows that DySCo is able to perform close to optimal while finding a solution in a real time fashion. Compared to a mix of baselines and modified solutions from the literature to treat this new problem, DySCo reduces on average the deployment cost by 17.53% and the delay by 28.88% for a given SFC.</t>
  </si>
  <si>
    <t>Natural Sciences and Engineering Research Council of Canada (NSERC)(grant numbers:RGPIN-2019-05250);</t>
  </si>
  <si>
    <t>Khalifa University Center of Secure Cyberphysical System;</t>
  </si>
  <si>
    <t>To ensure reliability and service availability, next-generation networks are expected to rely on automated anomaly detection systems powered by advanced machine learning methods with the capability of handling multi-dimensional data. Such multi-dimensional, heterogeneous data occurs mostly in today’s Industrial Internet of Things (IIoT), where real-time detection of anomalies is critical to prevent impending failures and resolve them in a timely manner. However, existing anomaly detection methods often fall short of effectively coping with the complexity and dynamism of multi-dimensional data streams in IIoT. In this paper, we propose an adaptive method for detecting anomalies in IIoT streaming data utilizing a multi-source prediction model and concept drift adaptation. The proposed anomaly detection algorithm merges a prediction model into a novel drift adaptation method resulting in accurate and efficient anomaly detection that exhibits improved scalability. Our trace-driven evaluations indicate that the proposed method outperforms the state-of-the-art anomaly detection methods by achieving up to an 89.71% accuracy (in terms of Area under the Curve (AUC)) while meeting the given efficiency and scalability requirements.</t>
  </si>
  <si>
    <t>Ericsson/ENCQOR-5G Senior Industrial Research Chair on Cloud and Edge Computing for 5G and Beyond;</t>
  </si>
  <si>
    <t>National Science and Technology Council (NSTC) of Taiwan(grant numbers:113-2628-E-002-032-);</t>
  </si>
  <si>
    <t>Basic Science Research Program; National Research Foundation of Korea; Ministry of Education(grant numbers:NRF-2013R1A1A2013620); Institute for Information &amp; communications Technology Promotion (IITP); Korea government(grant numbers:B0101-15-0535); Development of Modularized In-Memory Virtual Desktop System Technology;</t>
  </si>
  <si>
    <t>Spanish Government; Agencia Estatal de Investigación; European Commission; Fondo Europeo de Desarrollo Regional(grant numbers:TIN2017-88547-P); MINECO/AEI/FEDER;</t>
  </si>
  <si>
    <t>Recent advances in composing Cloud applications have been driven by deployments of inter-networking heterogeneous microservices across multiple Cloud datacenters. System dependability has been of the upmost importance and criticality to both service vendors and customers. Security, a measurable attribute, is increasingly regarded as the representative example of dependability. Literally, with the increment of microservice types and dynamicity, applications are exposed to aggravated internal security threats and externally environmental uncertainties. Existing work mainly focuses on the QoS-aware composition of native VM-based Cloud application components, while ignoring uncertainties and security risks among interactive and interdependent container-based microservices. Still, orchestrating a set of microservices across datacenters under those constraints remains computationally intractable. This paper describes a new dependable microservice orchestration framework GA-Par to effectively select and deploy microservices whilst reducing the discrepancy between user security requirements and actual service provision. We adopt a hybrid (both whitebox and blackbox based) approach to measure the satisfaction of security requirement and the environmental impact of network QoS on system dependability. Due to the exponential grow of solution space, we develop a parallel Genetic Algorithm framework based on Spark to accelerate the operations for calculating the optimal or near-optimal solution. Large-scale real world datasets are utilized to validate models and orchestration approach. Experiments show that our solution outperforms the greedy-based security aware method with 42.34 percent improvement. GA-Par is roughly 4x faster than a Hadoop-based genetic algorithm solver and the effectiveness can be constantly guaranteed under different application scales. © 1990-2012 IEEE.</t>
  </si>
  <si>
    <t>Australian Research Council(grant numbers:DP190103710);</t>
  </si>
  <si>
    <t>European Union's Horizon 2020 Research and Innovation programme(grant numbers:825061);</t>
  </si>
  <si>
    <t>Large-scale datacenters often host latency-sensitive services that have stringent Quality-of-Service requirement and experience diurnal load pattern. Co-locating best-effort applications that have no QoS requirement with the latency-sensitive services has been widely used to improve the resource utilization of datacenters with careful shared resource management. However, existing co-location techniques tend to result in the power overload problem on power constrained servers due to the ignorance of the power consumption. To this end, we propose Sturgeon, a runtime system proactively manages resources between co-located applications in a power constrained environment, to ensure the QoS of latency-sensitive services while maximizing the throughput of best-effort applications. Our investigation shows that, at a given load, there are multiple feasible resource configurations to meet both QoS requirement and power budget, while one of them yields the maximum throughput of best-effort applications. To find such a configuration, we establish models to accurately predict the performance and power consumption of the co-located applications. Sturgeon monitors the QoS of the services periodically, in order to eliminate the potential QoS violation caused by the unpredictable interference. Besides, when the datacenter hosts different types of applications to perform co-location, Sturgeon places applications with their preferable candidates to improve the overall throughput. The experimental results show that at server level Sturgeon improves the throughput of the best-effort application by 25.43 percent compared to the state-of-the-art technique, while guaranteeing the 95%-ile latency within the QoS target; at cluster level, Sturgeon improves the overall throughput of best-effort applications by 13.74 percent compared to the baseline.  © 1990-2012 IEEE.</t>
  </si>
  <si>
    <t>Cloud-based computing systems can get oversubscribed due to the budget constraints of their users or limitations in certain resource types. The oversubscription can, in turn, degrade the users perceived Quality of Service (QoS). The approach we investigate to mitigate both the oversubscription and the incurred cost is based on smart reusing of the computation needed to process the service requests (i.e., tasks). We propose a reusing paradigm for the tasks that are waiting for execution. This paradigm can be particularly impactful in serverless platforms where multiple users can request similar services simultaneously. Our motivation is a multimedia streaming engine that processes the media segments in an on-demand manner. We propose a mechanism to identify various types of “mergeable” tasks and aggregate them to improve the QoS and mitigate the incurred cost. We develop novel approaches to determine when and how to perform task aggregation such that the QoS of other tasks is not affected. Evaluation results show that the proposed mechanism can improve the QoS by significantly reducing the percentage of tasks missing their deadlines and reduce the overall time (and subsequently the incurred cost) of utilizing cloud services by more than 9 percent.</t>
  </si>
  <si>
    <t>Employing hardware accelerators to improve the performance and energy-efficiency of DNN applications is on the rise. One challenge of using hardware accelerators, including the GPU-based ones, is that their performance is limited by internal and external factors, such as power caps. A common approach to meet the power cap constraint is using the Dynamic Voltage Frequency Scaling (DVFS) technique. However, the functionally of this technique is limited and platform-dependent. To tackle this challenge, we propose a new control knob, which is the size of input batches fed to the GPU accelerator in DNN inference applications. We first evaluate the impact of batch size on power consumption and performance of DNN inference. Then, we introduce the design and implementation of a fast and lightweight runtime system, called BatchDVFS. Dynamic batching is implemented in BatchDVFS to adaptively change the batch size, and hence, trade-off throughput with power consumption. It employs an approach based on binary search to find the proper batch size within a short period of time. Combining dynamic batching with the DVFS technique, BatchDVFS can control the power consumption in wider ranges, and hence, yield higher throughput in the presence of power caps. To find near-optimal solution for long-running jobs that can afford a relatively significant profiling overhead, compared with BatchDVFS overhead, we also design an approach, called BOBD, that employs Bayesian Optimization to wisely explore the vast state space resulted by combination of the batch size and DVFS solutions. Conducting several experiments using a modern GPU and several DNN models and input datasets, we show that our BatchDVFS can significantly surpass the techniques solely based on DVFS or batching, regarding throughput (up to 11.2x and 2.2x, respectively), while successfully meeting the power cap.  © 1990-2012 IEEE.</t>
  </si>
  <si>
    <t>To achieve a high degree of resource utilization, production clusters need to co-schedule diverse workloads – including both batch analytic jobs with short-lived tasks and long-running applications (LRAs) that execute for a long time frame from hours to months – onto the shared resources. Microservice architecture advances the manifestation of distributed LRAs (DLRAs), comprising multiple interconnected microservices that are executed in long-lived distributed containers and serve massive user requests. Detecting and mitigating QoS violation become even more intractable due to the network uncertainties and latency propagation across dependent microservices. However, current resource managers are only responsible for resource allocation among applications/jobs but agnostic to runtime QoS such as latency at application level. The state-of-the-art QoS-aware scheduling approaches are dedicated for monolithic applications, without considering the temporal-spatio performance variability across distributed microservices. In this paper, we present Toposch, a new scheduling and execution framework to prioritize the QoS of DLRAs whilst balancing the performance of batch jobs and maintaining high cluster utilization through harvesting idle resources. Toposch tracks footprints of every single request across microservices and uses critical path analysis, based on the end-to-end latency graph, to identify microservices that have high risk of QoS violation. Based on microservice and node level risk assessment, we intervene the batch scheduling by adaptively reducing the visible resources to batch tasks and thus delaying their execution to give way to DLRAs. We propose a prediction-based vertical resource auto-scaling mechanism, with the aid of resource-performance modeling and fine-grained resource inference and access control, for prompt recovery of QoS violation. A cost-effective task preemption is leveraged to ensure a low-cost task preemption and resource reclamation during the auto-scaling. Toposch is integrated with Apache YARN and experiments show that Toposch outperforms other baselines in terms of performance guarantee of DLRAs, at an acceptable cost of batch job slowdown. The tail latency of DLRAs is merely 1.12x of the case of executing alone on average in Toposch with a 26% JCT increase of Spark analytic jobs.</t>
  </si>
  <si>
    <t>MIIT of China(grant numbers:2105-370171-07-02-860873); S&amp;T Program of Hebei(grant numbers:20310101D); Fundamental Research Funds for the Central Universities(grant numbers:20226941); UK EPSRC(grant numbers:EP/T01461X/1); Alan Turing Pilot Project; Alan Turing PDEA Program;</t>
  </si>
  <si>
    <t>Deep neural networks (DNNs) have been widely adopted for various mobile inference tasks, yet their ever-increasing computational demands are hindering their deployment on resource-constrained mobile devices. Hybrid deep learning partitions a DNN into two parts and deploys them across the mobile device and a server, aiming to reduce inference latency or prolong battery life of mobile devices. However, such partitioning produces (non-uniform) DNN fragments which are hard to serve efficiently on the server. This article presents Graft - an efficient inference serving system for hybrid deep learning with latency service-level objective (SLO) guarantees. Our main insight is to mitigate the non-uniformity by a core concept called DNN re-alignment, allowing multiple heterogeneous DNN fragments to be restructured to share layers. To fully exploit the potential of DNN re-alignment, Graft employs fine-grained GPU resource sharing. Based on that, we propose efficient algorithms for merging, grouping, and re-aligning DNN fragments to maximize request batching opportunities, minimizing resource consumption while guaranteeing the inference latency SLO. We implement a Graft prototype and perform extensive experiments with five types of widely used DNNs and real-world network traces. Our results show that Graft improves resource efficiency by up to 70% compared with the state-of-the-art inference serving systems.  © 1990-2012 IEEE.</t>
  </si>
  <si>
    <t>National Natural Science Foundation of China(grant numbers:62272167); Hangzhou High-Tech Zone (Binjiang) Institute of Blockchain and Data Security;</t>
  </si>
  <si>
    <t>Despite extensive efforts by network operators to enhance wireless connectivity (such as 5G and LTE), the surging demand for mobile video content is rapidly surpassing the capacity of wireless links. As video file movement over communication systems continues to rise, the existing connection capacity struggles to retain pace, leading to poor service quality, including long buffering times and intermittent disruptions. This study offers AMES-Cloud, an adaptive communication systems video running and allocating platform, in response to this difficulty. AMES-Cloud archives videos effectively and is utilized in cloud computing to develop isolated agents for specific mobile users. By utilising Scalable Video Coding algorithms, these agents can adapt to changing link quality and provide uninterrupted video streaming. Furthermore, by employing background pushing features across several components, including VB, subVBs, and localVB AMES-Cloud hopes to offer mobile consumers smooth video streaming experiences. Through a prototype implementation and evaluation, AMES-Cloud demonstrates significant improvements in mobile streaming adaptability, leveraging cloud computing techniques. It's important to note that the cost of encoding workload in the cloud was not considered during the prototype implementation.  © 2024 IEEE.</t>
  </si>
  <si>
    <t xml:space="preserve">European Union Next-GenerationEU; Piano Nazionale di Ripresa e Resilienza; Missione 4 Componente 2, Investimento 1.5 – D.D.(grant numbers:1058 23/06/2022); PNRR; iNEST; Interconnected North-Est Innovation Ecosystem(grant numbers:ECS_00000043); </t>
  </si>
  <si>
    <t>OCCIware research and development project; French Programme d'Investissements d'Avenir; Scalair company;</t>
  </si>
  <si>
    <t>Modern cloud applications are required to be distributed, scalable, and reliable. The microservice architectural style enables developers to achieve this goal with reduced effort. Nonetheless, microservices deployment is not trivial due to the heterogeneity of the microservices in terms of both functional and non-functional requirements. This is also true when considering the monitoring requirements that are specific to each microservice and must be satisfied in order to enable the verification of the application objectives satisfaction. However, not all providers offer the same set of metrics with the same quality. The goal of this paper is to provide an approach for supporting the deployment of microservices in multi-cloud environments focusing on the Quality of Monitoring. Adopting a multi-objective mixed integer linear optimisation problem, our approach supports the application owner in finding the optimal deployment for satisfying all the constraints and maximising the quality of monitored data, while minimising the costs. To this end, a knowledge base is introduced to mediate between the perspectives of the cloud provider and the application owner, while a Bayesian Network is adopted to enhance the provider’s monitoring capabilities by estimating metrics requested by the application owners that the cloud provider is not able to monitor.</t>
  </si>
  <si>
    <t>European Union's Horizon 2020(grant numbers:RIA 731945);</t>
  </si>
  <si>
    <t>Compagnia di San Paolo(grant numbers:Programme STAR); Ministero dell Istruzione dell Universita e della Ricerca; Universita degli Studi di Napoli Federico II;</t>
  </si>
  <si>
    <t>Satisfying the software requirements of emerging service-based Internet of Things (IoT) applications has become challenging for cloud-centric architectures, as applications demand fast response times and availability of computational resources closer to end-users. Meeting application demands must occur at runtime, facing uncertainty and in a decentralized manner, something that must be reflected in system deployment. We propose a decentralized resource management technique and accompanying technical framework for the deployment of service-based IoT applications at the edge. Faithful to services engineering, applications we consider are composed of interdependent tasks, which in the IoT setting may be concretized as containerized microservices or serverless functions. A deployment for an arbitrary application is found at runtime through satisfiability; the mapping produced is compliant with tasks’ individual resource requirements and latency constraints by construction. Our approach ensures seamless deployment at runtime, assuming no design-time knowledge of device resources or the current network topology. We evaluate the applicability and realizability of our technique over single-board computers as edge devices, particularly in the absence of cloud resources.</t>
  </si>
  <si>
    <t>EU's H2020 Research and Innovation Programme(grant numbers:764785); FORA— Fog Computing for Robotics and Industrial Automation; FWF Austria(grant numbers:M 2778-N);</t>
  </si>
  <si>
    <t>Complex distributed systems such as the ones induced by Internet of Things (IoT) deployments, are expected to operate in compliance to their requirements. This can be checked by inspecting events flowing throughout the system, typically originating from end-devices and reflecting arbitrary actions, changes in state or sensing. Such events typically reflect the behavior of the overall IoT system – they may indicate executions which satisfy or violate its requirements. This article presents a service-based software architecture and technical framework supporting runtime verification for widely deployed, volatile IoT systems. At the lowest level, systems we consider are comprised of resource-constrained devices connected over wide area networks generating events. In our approach, monitors are deployed on edge components, receiving events originating from end-devices or other edge nodes. Temporal logic properties expressing desired requirements are then evaluated on each edge monitor in a runtime fashion. The system exhibits decentralization since evaluation occurs locally on edge nodes, and verdicts possibly affecting satisfaction of properties on other edge nodes are propagated accordingly. This reduces dependence on cloud infrastructures for IoT data collection and centralized processing. We illustrate how specification and runtime verification can be achieved in practice on a characteristic case study of smart parking. Finally, we demonstrate the feasibility of our design over a testbed instantiation, whereupon we evaluate performance and capacity limits of different hardware classes under monitoring workloads of varying intensity using state-of-the-art LPWAN technology.</t>
  </si>
  <si>
    <t>Austrian Science Foundation(grant numbers:M 2778-N); EDENSPACE;</t>
  </si>
  <si>
    <t>Mobility-Aware IoT Application Placement in the Cloud – Edge Continuum</t>
  </si>
  <si>
    <t>The Edge computing extension of the Cloud services towards the network boundaries raises important placement challenges for IoT applications running in a heterogeneous environment with limited computing capacities. Unfortunately, existing works only partially address this challenge by optimizing a single or aggregate objective (e.g., response time), and not considering the edge devices’ mobility and resource constraints. To address this gap, we propose a novel mobility-aware multi-objective IoT application placement (mMAPO) method in the Cloud – Edge Continuum that optimizes completion time, energy consumption, and economic cost as conflicting objectives. mMAPO utilizes a Markov model for predictive analysis of the Edge device mobility and constrains the optimization to devices that do not frequently move through the network. We evaluate the quality of the mMAPO placements using simulation and real-world experimentation on two IoT applications. Compared to related work, mMAPO reduces the economic cost by 28 percent and decreases the completion time by 80 percent while maintaining a stable energy consumption.</t>
  </si>
  <si>
    <t>European Commission(grant numbers:101016835);</t>
  </si>
  <si>
    <t>Given that cloud servers are usually remotely located from the devices of mobile apps, the end-users of the apps can face delays. The Fog has been introduced to augment the apps with machines located at the network edge close to the end-users. However, edge machines are usually resource constrained. Thus, the execution of online data-analytics on edge machines may not be feasible if the time complexity of the data-analytics algorithm is high. To overcome this, multiple instances of the back-end should be deployed on edge and remote machines. In this case, the research question is how the switching of the app among the instances of the back-end can be dynamically decided based on the response time of the service instances. To answer this, we contribute an AI approach that trains machine-learning models of the response time of service instances. Our approach extends a back-end as a service into an AI self-back-end as a service that self-decides at runtime the right edge/remote instance that achieves the lowest response-time. We evaluate the accuracy and the efficiency of our approach by using real-word machine-learning datasets on an existing auction app. © 2008-2012 IEEE.</t>
  </si>
  <si>
    <t>A. Balcão-Filho; N. Ruiz; F. d. F. Rosa; R. Bonacin; M. Jino</t>
  </si>
  <si>
    <t>Cloud computing services consumers do not have enough reliable information about critical characteristics of their providers, such as performance, security, trust and privacy, compliance with laws and regulations, among others. Our proposal addresses these problems presenting a trust assessment framework that integrates three domains: Governance, Transparency, and Security Information. Our approach is consumer-centric and deals with trust aspects from the end-user’s perspective. We use Indicators to communicate the outcomes, which aim to represent the expression of cybersecurity, manageability, and transparency of services under assessment. This paper includes an implementation proposal, prototype, and proof of concept, in which the framework was applied in a real scenario and executed over a long-term (18 months) usage simulation to verify its applicability, sensitivity, and robustness. Our study is intended for use by consumers of cloud computing who seek to know and measure levels of cybersecurity, protection of privacy, transparency of security, and high levels of quality in their services and infrastructure.</t>
  </si>
  <si>
    <t>National Key R&amp;D Program of China(grant numbers:2018YFB1004803);</t>
  </si>
  <si>
    <t>Smart cities generate huge volumes of data to be processed by applications with different criticality and requirements. For example, a healthcare application needs lower latency when requested from an ambulance travelling to a hospital during an emergency compared to applications in less-critical domains. Cities can use Multi-access Edge Computing to reduce latency by placing applications’ services closer to users. A service placement process selects the set of servers to run the services for deployment. Smart cities challenge this selection as a large number of servers and services generate a large number of potential solutions with different QoS properties. Additionally, placement approaches must consider applications’ criticality and users’ mobility to offer an appropriate overall latency. Current approaches have considered servers’ utilisation and users’ location to place services. However, they do not consider applications’ criticality and mobile users’ paths. This paper presents MAACO, a Mobility-Aware, priority-driven, ACO-based service placement model that prioritises applications according to their criticality and minimises critical applications’ latency, while considering predicted paths for mobile users. Evaluation results show that MAACO achieves lower latency and waiting time compared against baselines at the cost of reduced load balance between the network servers.</t>
  </si>
  <si>
    <t>Science Foundation Ireland(grant numbers:16/SP/3804);</t>
  </si>
  <si>
    <t>Software containers are becoming the new state of the art in the industry as they are extensively used to deploy systems. Indeed, the use of containers enables better modularity, reusability, and portability compared to other technologies. As the complexity of software systems is dramatically increasing, it is critical to enable optimal usage of the needed resources to execute them such as memory and CPU. Thus, different scheduling strategies are proposed to select the most suitable nodes to execute a set of containers. For instance, the default strategy in the Docker Swarm kit scheduling framework is based on an equal distribution of the containers between nodes independent of their sizes and consumed resources. However, balancing the containers’ workload is a complex problem due to the conflicting objectives of minimizing the number of selected nodes, minimizing the number of containers per node, the number of changes compared to the original schedule, and the coupling between containers allocated to different nodes. To deal with those conflicting scheduling objectives, we propose a scheduler based on a many-objective optimization approach for scheduling the execution of containers between multiple nodes. The proposed approach aims at finding the best allocation for containers in nodes that leads to efficient utilization of resources. To evaluate our approach, we compared the performance of multiple many and multi-objective techniques based on NSGA-II, NSGA-III, and IBEA algorithms using 48 Docker-related systems and the results show that NSGA-III outperforms the other algorithms in quality attributes as well as in CPU, Memory and Network usage.</t>
  </si>
  <si>
    <t>Ministry of Science and Technology; National Research Foundation of Korea(grant numbers:NRF-2019R1A2C1089139);</t>
  </si>
  <si>
    <t>$\mu$μ-DDRL: A QoS-Aware Distributed Deep Reinforcement Learning Technique for Service Offloading in Fog Computing Environments</t>
  </si>
  <si>
    <t>Fundamental Research Funds for the Central Universities(grant numbers:2021RC258); China Postdoctoral Science Foundation(grant numbers:2021M700366); National Natural Science Foundation of China(grant numbers:92267107);</t>
  </si>
  <si>
    <t>Monitoring is a key feature to enhance systems with the capability to anticipate, detect, predict, and mitigate failures, while providing Quality of Service (QoS) monitoring and Service Level Agreements (SLAs) guarantee. Monitoring frameworks can serve these purposes by deploying probes according to many possible patterns that have different features, for instance in terms of efficiency and privacy. So far, these probe deployment patterns have not been systematically defined, analyzed and assessed. Thus, engineers who design and configure their monitoring systems have to take decisions only based on partial knowledge and personal experience. This article addresses this knowledge gap, by presenting a systematic analysis of 11 probe deployment patterns, their known uses, and implementations. We assess these patterns qualitatively, and quantitatively using both VMs and containers. Results show the targets have negligible resource consumption (e.g., less than 1% CPU usage), while the probe holder consumption is mainly significant in relation to memory consumption, reaching up to 10 GiB in our experiments. Our findings suggest that reusing probes and holders among users can generally enhance efficiency and scalability when direct access to the monitored target is not an option. We generate a set of best practices that can assist engineers in configuring their monitoring systems. Finally, we showcase the application of certain patterns through three practical usage scenarios, which feature diverse technologies and requirements.  © 2008-2012 IEEE.</t>
  </si>
  <si>
    <t>construction of innovative provinces in Hunan Province(grant numbers:2021GK4012); National Natural Science Foundation of China(grant numbers:62302158); Natural Science Foundation of Hunan Province(grant numbers:2023JJ40175);</t>
  </si>
  <si>
    <t>The advent of the Internet of Things has increased the interest in automating mission-critical processes from domains such as smart cities. These applications’ stringent Quality of Service (QoS) requirements motivate their deployment through the Cloud-IoT Continuum, which requires solving the NP-hard problem of placing the application's services onto the infrastructure's devices. Moreover, as the infrastructure and application change over time, the placement needs to continuously adapt to these changes to maintain an acceptable QoS. While continuous reasoning techniques have enabled the creation of tools for these scenarios, they can have some trouble finding a feasible adaptation for abrupt and sharp changes, requiring non-adaptive techniques in those cases. Furthermore, for scenarios with smoother changes, it would be desirable to have faster algorithms to perform this placement. To explore the trade-off of effectiveness and execution times of different methods while ensuring that an application placement is found, we propose Multi-Layered Continuous Reasoning (MLCR) as an autonomic framework to adapt application placements through multiple continuous reasoning-based methods. We also present an MLCR prototype based on three methods: Faustum, MigDADO, and ConDADO. An evaluation in a realistic use case shows that MLCR is faster than traditional methods for application placement and maintains an acceptable QoS.</t>
  </si>
  <si>
    <t xml:space="preserve">CAS21/00057 (MCI/AEI/FEDER, UE)(grant numbers:PID2021-124054OB-C31,DIN2020-011586,PDC2022-133465-I00); MCIN/AEI/10.13039/50100011033(grant numbers:TED2021-130913B-I00); European Union NextGenerationEU/PRTR; Department of Economy, Science and Digital Agenda of the Government of Extremadura(grant numbers:GR21133); European Regional Development Fund; European Union; Italian National Recovery and Resilience Plan (NRRP) of NextGenerationEU; Telecommunications of the Future; PE00000001 - program “RESTART”; CUP(grant numbers:J33C22 002880001); Energy-aware management of software applications in Cloud-IoT ecosystems(grant numbers:RIC2021_ PON_A18); ESF REACT-EU resources; Italian Ministry of University and Research; PON Ricerca e Innovazione 2014–20; hOlistic Sustainable Management of distributed softWARE systems (OSMWARE)(grant numbers:UNIPI PRA_2022_64); University of Pisa, Italy; </t>
  </si>
  <si>
    <t>Monolithic systems increasingly suffer from maintainability and scalability issues as they grow in functionality, size, and complexity. It is widely believed that (micro)service-based architectures can alleviate these problems as each service is supposed to have the following characteristics: clearly defined functionality, sufficient modularity, and the ability to evolve independently. Industrial practices show that service extraction from a legacy monolithic system is labor-intensive and complex. Existing work on service candidate identification aims to group entities of a monolithic system into potential service candidates, but this process has two major challenges: first, it is difficult to extract service candidates with consistent quality; second, it is hard to evaluate the identified service candidates regarding the above three characteristics. To address these challenges, this paper proposes the Functionality-oriented Service Candidate Identification (FoSCI) framework to identify service candidates from a monolithic system. Our approach is to record the monolith's execution traces, and extract services candidates using a search-based functional atom grouping algorithm. We also contribute a comprehensive service candidate evaluation suite that uses interface information, structural/conceptual dependency, and commit history. This evaluation system consists of 8 metrics, measuring functionality, modularity, and evolvability respectively of identified service candidates. We compare FoSCI with three existing methods, using 6 widely-used open-source projects as our evaluation subjects. Our results show that FoSCI outperforms existing methods in most measures.  © 1976-2012 IEEE.</t>
  </si>
  <si>
    <t>Z. Li; N. Saldías-Vallejos; D. Seco; M. A. Rodríguez; R. Ranjan</t>
  </si>
  <si>
    <t>Microservices architecture advocates decentralized data ownership for building software systems. Particularly, in the Database per Service pattern, each microservice is supposed to maintain its own database and to handle the data related to its functionality. When implementing microservices in practice, however, there seems to be a paradox: The de facto technology (i.e., containerization) for microservice implementation is claimed to be unsuitable for the microservice component (i.e., database) in production environments, mainly due to the data persistence issues (e.g., dangling volumes) and security concerns. As a result, the existing discussions generally suggest replacing database containers with cloud database services, while leaving the on-premises microservice implementation out of consideration. After identifying three statelessness-dominant application scenarios, we proposed container-native data persistence as a conditional solution to enable resilient database containers in production. In essence, this data persistence solution distinguishes stateless data access (i.e., reading) from stateful data processing (i.e., creating, updating, and deleting), and thus it aims at the development of stateless microservices for suitable applications. In addition to developing our proposal, this research is particularly focused on its validation, via prototyping the solution and evaluating its performance, and via applying this solution to two real-world microservice applications. From the industrial perspective, the validation results have proved the feasibility, usability, and efficiency of fully containerized microservices for production in applicable situations. From the academic perspective, this research has shed light on the operation-side micro-optimization of individual microservices, which fundamentally expands the scope of “software micro-optimization” and reveals new research opportunities.</t>
  </si>
  <si>
    <t>ANID Millennium Science Initiative Program(grant numbers:Code ICN17_002);</t>
  </si>
  <si>
    <t>EU Project Flexmeter(grant numbers:646568);</t>
  </si>
  <si>
    <t>M. Maliosz; C. Simon; D. Balla; A. T. Phan Ngo; D. Géhberger</t>
  </si>
  <si>
    <t>G. Járó; A. Hilt; L. Nagy; M. Á. Tündik; J. Varga</t>
  </si>
  <si>
    <t>European Commission(grant numbers:687584);</t>
  </si>
  <si>
    <t>In the context of the global energy ecosystem transformation, we introduce a new approach to reduce the carbon emissions of the cloud-computing sector and, at the same time, foster the deployment of small-scale private photovoltaic plants. We consider the opportunity cost of moving some cloud services to private, distributed, solar-powered computing facilities. To this end, we compare the potential revenue of leasing computing resources to a cloud pool with the revenue obtained by selling the surplus energy to the grid. We first estimate the consumption of virtualized cloud computing instances, establishing a metric of computational efficiency per nominal photovoltaic power installed. Based on this metric and characterizing the site’s annual solar production, we estimate the total return and payback. The results show that the model is economically viable and technically feasible. We finally depict the still many questions open, such as security, and the fundamental barriers to address, mainly related with a cloud model ruled by a few big players.</t>
  </si>
  <si>
    <t>EU's Horizon 2020 Research and Innovation Programme(grant numbers:780572);</t>
  </si>
  <si>
    <t>Despite continuous improvements, cloud physical resources remain underused, hence severely impacting the efficiency of these infrastructures at large. To overcome this inefficiency, Infrastructure-as-a-Service (IaaS) providers usually compensate for oversized Virtual Machines (VMs) by offering more virtual resources than are physically available on a host. However, this technique—known as oversubscription—may hinder performances when a statically-defined oversubscription ratio results in resource contention of hosted VMs. Therefore, instead of setting a static and cluster-wide ratio, this article studies how a greedy increase of the oversubscription ratio per Physical Machine (PM) and resources type can preserve performance goals. Keeping performance unchanged allows our contribution to be more realistically adopted by production-scale IaaS infrastructures. This contribution, named ScroogeVM, leverages the detection of PM stability to carefully increase the associated oversubscription ratios. Based on metrics shared by public cloud providers, we investigate the impact of resource oversubscription on performance degradation. Subsequently, we conduct a comparative analysis of ScroogeVM with state-of-the-art oversubscription computations. The results demonstrate that our approach outperforms existing methods by leveraging the presence of long-lasting VMs, while avoiding live migration penalties and performance impacts for stakeholders.</t>
  </si>
  <si>
    <t>“FrugalCloud” Inria and OVHcloud partnership; Agence Nationale de la Recherche (ANR) under the France 2030 program; CARECloud(grant numbers:ANR-23-PECL-0003); DISTILLER(grant numbers:ANR-21-CE25-0022); SeMaFoR(grant numbers:ANR-20-CE25-0017);</t>
  </si>
  <si>
    <t>Modularized plant factories, characterized by machines executing intelligent control requests to automatically take care of crops, have emerged as a sustainable agricultural paradigm, garnering the attention of Internet-of-Things and agricultural researchers for their production stability and energy efficiency. However, the diversity and pluralism of the plant factory components make it difficult to cooperate and produce crops with better qualities. Therefore, appropriate resource allocation and task scheduling strategies become the key points to optimize the quality of production in the factories by immediately telling which component is more suitable to do what in taking care of the crops. To address this challenge, this paper investigates how the machines of the factory can use their unique services and resource to help improve the crops' quality and model the machine cooperation as an online decision-making problem. An α-competitive approach called OnATS is designed based on the transformation of the original problem, and the experiments show that the proposed algorithm is superior to the baselines. Additionally, this paper explores the impact of different system configurations on the proposed method and shows that the proposed approach has broad applicability. © 2016 IEEE.</t>
  </si>
  <si>
    <t>The proliferation of deep-learning-based mobile and IoT applications has driven the increasing deployment of edge datacenters equipped with domain-specific accelerators. The unprecedented computing power offered by these accelerators puts a heavy burden on the cooling system, motivating more potent cooling techniques like cold water cooling. However, we observe that cold water cooling results in significant energy waste in edge datacenters due to the fluctuating resource utilization both spatially and temporally. To tackle this issue, we propose the concept of "working smarter"by slowing down accelerators deliberately whenever possible and enabling warm water cooling during these times to achieve cooling efficiency. Based on this concept, we develop Hyco - a hybrid water cooling system tailored for edge datacenters running deep learning workloads. First, Hyco features a zone-based cooling architecture enabling dynamic switching between cold water and warm water cooling. Then, based on a lightweight latency estimation method, Hyco incorporates a learning-based scheduling scheme to determine "which"accelerator workers and "when"to slow down through an adaptive and intelligent power-latency trade-off for deep learning models. The simulation with real-world traces shows that Hyco reduces the cooling energy consumption by up to 34.74× while satisfying latency constraints more than 99% of the time for deep-learning-based applications.  © 2016 IEEE.</t>
  </si>
  <si>
    <t>Mobile vehicles have been considered as potential edge servers to provide computation resources for the emerging Intelligent Transportation System (ITS) applications. However, how to fully utilize the mobile computation resources to satisfy the real-time arrived computation requests has not been explored yet. This work will address the critical challenges of limited computation resources, stringent computation delay and unknown requirement statistics of real-time tasks in realistic vehicular edge computing scenarios. Specifically, we design a distributed clustering strategy to classify vehicles into multiple cooperative edge servers according to the available computation resources, effective connection time and the distribution of tasks’ expected deadlines. Then, a ‘Less than or Equal to’ Generalized Assignment Problem (i.e., LEGAP) is formulated to maximize the system service revenue, and on this basis, we propose an offline Bound-and-Bound based Optimal (BBO) algorithm to make periodical scheduling with a global view of tasks’ requirement statistics. The quick branching is conducted by following a greedy solution and the upper bound at each branch is derived by solving a multiple-choice knapsack problem. In addition, we present an online heuristic algorithm which makes real-time offloading decision with the guarantees that the resource capacities of all the computing servers are never exceeded with new tasks arriving. Through comparing with the other four online algorithms, the BBO algorithm achieves the highest service revenues by offloading tasks with shorter delays, and the online heuristic algorithm has the best performance in improving the service ratios.</t>
  </si>
  <si>
    <t>With the rapid development of the Internet of Vehicles (IoV), a lot of Vehicle-to-Everything (V2X) applications have sprung up. To tackle the conflict between the resource-hungry V2X applications and the resource-constrained vehicles, most works focus on the computation offloading problem, which is significant to V2X applications by bringing computation tasks from the vehicles to the edge or cloud infrastructure. However, the dynamic network conditions caused by the mobility of vehicles will bring task migration and huge additional costs, resulting in poor latency performance. Motivated by the aforementioned problem, a traffic routing-based computation offloading scheme in cybertwin-driven IoV for V2X applications is proposed, in which cybertwin represents the network hardware devices and the network software functions. Moreover, according to the cybertwin-driven IoV network architecture, the traffic routing-based computation offloading problem is formulated. Finally, to avoid the inconsistency between the data transmission direction and the vehicle’s movement direction, the enhanced Heterogeneous Earliest Finish Time (eHEFT) algorithm is designed, which introduces the gradient routing into the traditional HEFT algorithm. Performance evaluation results validate that the proposed joint optimization scheme is indeed capable of reducing latency.</t>
  </si>
  <si>
    <t>National Key R&amp;D Program of China(grant numbers:2019YFB1803301);</t>
  </si>
  <si>
    <t>Natural Science Foundation of Anhui Province(grant numbers:2108085MF202); National Natural Science Foundation of China(grant numbers:62002097); Fundamental Research Funds for the Central Universities(grant numbers:PA2023GDGP0044);</t>
  </si>
  <si>
    <t>C. C. González; E. F. Pupo; E. Iradier; P. Angueira; M. Murroni; J. Montalban</t>
  </si>
  <si>
    <t>The wide application of Internet of Things (IoT) technology in industrial automation promotes the emergence of industrial IoT systems, in which state estimation plays a crucial role in conjecturing system states with sensory data delivered over wireless channels. In this paper, we propose an automated guided vehicle (AGV)-assisted adaptive cooperative transmission scheme to minimize the mean square error of state estimation at a low energy cost. Specifically, a novel performance index, estimation gain, is introduced to evaluate the benefit of scheduling one sensor for estimation error reduction. Then, sensor scheduling and data transmission are jointly optimized to minimize the time-accumulated estimation error, which is challenging to directly solve due to the unclear impact of imperfect transmission on estimation performance. To this end, an estimation gain-based algorithm is designed to determine the scheduled sensors. Besides, an iterative algorithm is designed to solve the adaptive cooperative transmission problem. Simulation results show that the proposed scheme outperforms benchmark schemes in reducing estimation error and energy consumption. © 2024 IEEE.</t>
  </si>
  <si>
    <t>Network slicing is a key technology in sixth-generation (6G) communication networks. However, the performance of virtualized nodes sharing cache resources in 6G network slicing is degraded by the inappropriate allocation of resources. This paper proposes a cache resource allocation strategy for 6G network slicing based on game dynamics (RASGD). A 6G slicing network model is developed that describes the relationship between virtualized node mapping and resource sharing, and an evolutionary public goods game cache resource allocation (PGGRA) method is proposed to improve data transmission performance. This strategy defines the cache resource gap and selects the input cost according to the cache resource gap and evolutionary game strategy. When the cache resources are sufficient, the input is carried out, and when the cache resources are insufficient or the demand is large, unnecessary input is reduced to avoid the waste of resources, so as to achieve the intelligent allocation of cache resource. Simulation results demonstrate that the RASGD strategy improves the successful arrival rate of slice packets by at least 4.79% and improves the network congestion by at least 22.9% compared with the resource allocation strategy based on number of nodes (RANN) and resource allocation strategy based on node degree (RAND).  © 2024 IEEE.</t>
  </si>
  <si>
    <t>Researchers have sought solutions to interconnect different radio access technologies, enabling them to coexist in the current and future heterogeneous network environments to obtain additional benefits. This paper presents SVORA, an innovative approach that integrates the concept of Virtualized/Open (V/O)-Radio Access Network (RAN) with a Service-Based Architecture (SBA) in order to optimize the energy consumed by the network and minimize the communication delay. In the context of SVORA, the Delay-Aware Energy Efficiency-based RAN selection algorithm (DEER) is proposed. DEER employs utility functions and considers Quality of Service (QoS) metrics such as throughput, resource block utilization, delay, and energy consumption measurements when finding the RAN to best support the requested service. DEER is highly flexible, being able to be tuned to support critical delay services, prioritizes energy saving, or observe a balanced approach. Testing shows that the SVORA-based DEER was able to increase the number of users and the aggregate data rate by about 10%, whereas the delay and energy consumption decreased by approximately 90% and 50%, respectively. © 1967-2012 IEEE.</t>
  </si>
  <si>
    <t>The 3GPP 5G Service-based Architecture (SBA) security specifications leave several details on how to setup an appropriate Public Key Infrastructure (PKI) for 5G SBA, unspecified. In this work, we propose 5G-SBA-PKI, a public key infrastructure for secure inter-NF communication in 5G SBA core networks, where NF refers to Network Functions. 5G-SBA-PKI is designed to include multiple certificate authorities (with different scopes of operation and capabilities) at different PLMN levels for certification operations and key exchange between communicating NFs, where PLMN refers to a Public Land Mobile Network. We conduct a formal analysis of 5G-SBA-PKI with respect to the desired security properties using TAMARIN prover. Finally, we evaluate 5G-SBA-PKI’s performance with "pre-quantum" as well as quantum-safe cryptographic algorithms.</t>
  </si>
  <si>
    <t>A. Brito; C. Fetzer; S. Köpsell; M. Pasin; P. Felber; K. Fonseca; M. Rosa; L. Gomes; R. Riella; C. Prado; L. F. R. da Costa Carmo; D. Lucani; M. Sipos; L. Nagy; M. Fehér</t>
  </si>
  <si>
    <t>This position paper presents our vision for a distributed decentralized Kubernetes federation control plane. The goal is to support federations consisting of thousands of Kubernetes clusters, in order to support next generation edge cloud use-cases. Our review of the literature and experience with the current centralized state of the art Kubernetes federation controllers shows that it is unable to scale to a sufficient size, and centralization constitutes an unacceptable single point of failure. Our proposed system maintains cluster autonomy, allows clusters to collaboratively handle error conditions, and scales to support edge cloud use-cases. Our approach is based on a shared database of conflict-free replicated data types (CRDTs), shared among all clusters in the federation, and algorithms that make use of the data. © 2020 IEEE.</t>
  </si>
  <si>
    <t>Process schedulers are responsible for arbitrating CPU resources among services. Unfortunately, traditional sched-ulers, working at millisecond scale and characterized by strict priority schemes, are no longer suitable to meet increasingly stringent and diverse requirements imposed by many workloads. Recognizing this aspect, the research community has recently proposed new schedulers operating at microsecond granularity. This work studies microsecond-scale schedulers and policies for data center applications from the configuration versus perfor-mance standpoint. We demonstrate that for the best performance, workload-dependent parameter tuning is fundamental. Specifically, even a slight misconfiguration can also lead to 110% higher tail latency with respect to its best-case scenario. Our results call for a new set of process scheduling schemes that are workload-aware.  © 2022 IEEE.</t>
  </si>
  <si>
    <t>Elasticity of the computing continuum with on demand availability allows for automated provisioning and release of computing resources as needed; however, this self management capability is severely limited due to the lack of knowledge on historical and timely resource utilisation and means for stakeholders to express their needs in a high-level manner. In this paper, we introduce and discuss a new concept – intent-based cognitive continuum for sustainable elasticity.</t>
  </si>
  <si>
    <t>In this research, the scientific novelty is the development and testing of the method. This method will allow combining the high speed of the cascade classifier and the quality of the artificial neural network. As an approbation of the work in this article, we study the set of image files. The set of image files are available in the directory on the disk. Next, we select a set of files. The set of files is similar to the object of interest image files. It means, that we can't identical any objects. Then we rewrite files to the target directory. This set should later be used for training a neural network. Images of the object of interest can be in any orientation and on any background. This non-identity must be recognized by a trained neural network. For the purposes of forming such a set, we will need an identifier that has sufficient accuracy for these purposes. Here we do not need very high accuracy. The very identification error of this preliminary analyzer helps us of introducing some dissimilarity between the objects of the images. The task is complicated by the fact that objects can have different sizes (scale) and orientation in space. Our approach based on cascade classifiers and neural networks combines the high speed of the cascade classifier and the quality of the artificial neural network. And the stage of preparing training data for the network is of great importance.  © 2021 IEEE.</t>
  </si>
  <si>
    <t>Smart grid is a two-way communication technology power system that sends information between the control server and consumer. It consists of different IoTs connected to a smart meter, creating a network known as the HAN home area network, and collections of these smart meters form a NAN neighbor area network. This data has been transferred to a WAN-wide area network, where the control server will share and analyze the information. The information shared in all layers has been secured in order to maintain this infrastructure. Traditional systems like firewalls’ general cryptographic techniques can detect anomalies for known attacks, but they sometimes fail to provide efficient security for unknown or real-time attacks. There should be a complete framework to detect real-time intruders and attacks. Here, NIDS using machine learning approach has been discussed in this survey report. Most ML techniques are able to detect real-time attacks with less time overhead and higher accuracy. On the basis of accuracy, detection rate, and F1 score, ten different types of datasets were evaluated and analyzed.</t>
  </si>
  <si>
    <t>National Institute of Information and Communications Technology;</t>
  </si>
  <si>
    <t>As the pace of global 5G network deployments accelerates, the telecommunications industry strives to move from a conventional vertical stack, closed, hardware-based ecosystem to an open, interoperable, modular, cloud-based ecosystem that leverages software-based implementations of various network entities – including core network functions and base stations. Such an open ecosystem could facilitate the implementation of AI techniques and could be a critical advancement in realizing the vision of “zero-touch” wireless networks that support end-to-end automation– stretching from the core network to end-user devices. In this paper, we provide an overview of ongoing discussions along these lines in the context of the O-RAN Alliance along with a comprehensive discussion on various challenges. We then briefly present our vision of the evolution of intelligent networks beyond current 4G/5G networks.</t>
  </si>
  <si>
    <t>Mamaril A.; Kolodziejczyk R.; Soussi W.; Gür G.</t>
  </si>
  <si>
    <t>This paper explores the implementation of live migrations within microservices architecture, with a focus on Moving Target Defense (MTD) in the context of cybersecurity. MTD aims to improve system security by introducing changes across multiple dimensions, increasing uncertainty for attackers. Our work dives into container migration techniques within Kubernetes, utilizing two clusters for a redundant deployment. Two payload migration approaches, 'kill-first' and 'replicate-first,' are proposed, implemented and investigated leading to some preliminary measurement results. The paper assesses the impact of these techniques on microservice applications, specifically their downtime during migrations. Additionally, it discusses security aspects related to container migration. © 2024 IEEE.</t>
  </si>
  <si>
    <t>Mamaril, Anthony (59364242800); Kolodziejczyk, Rinchen (59364015800); Soussi, Wissem (57220164241); Gür, Gürkan (9638413000)</t>
  </si>
  <si>
    <t>5G, as the next generation of wireless networks, promises very high throughput and very low latency to mobile users. Thus, a substantial innovation in computing platforms is needed to attend quality of service metrics. In this paper, a dynamic processing location management platform is proposed to minimize latency and avoid bottlenecks. The proposed platform uses the features available in the 5G design such as MEC, caching and CRAN. An optimization problem with the objective of minimization of average latency is defined and resolved. Also, a centralized algorithm for dynamic orchestration of processing functionalities locations is proposed. Our simulations corroborate our analytical results and illustrate the superior performance of the proposed algorithm with acceptable optimality gap. © 2017 IEEE.</t>
  </si>
  <si>
    <t>Mobile Edge Computing (MEC) is a promising distributed computing paradigm, where the service providers deploy their computing power at the communication base stations close to mobile users. By providing task offloading at the network edge devices, the edge service providers can significantly reduce end-to-end latency and improve user satisfaction. However, there usually exists multiple providers in one edge, mobile users will face the choice of which edge service provider to offload their computing tasks after user allocation and offloading decision to a certain base station. In this study, from the perspective of MEC system, we investigate the online task offloading with edge service provider selection problem. We model it as a stochastic optimization problem, aiming to maximize the long-term time average user utility under limited resources, while ensuring the stability of the MEC system. We propose an online algorithm based on Lyapunov optimization to achieve a good trade-off between user satisfaction, energy consumption and system stability, then give theoretical proof of its performance bound. Experiments have been conducted based on a real-world dataset, and the results show that OEPS shows full-range performance advantages over three baseline methods.  © 2023 IEEE.</t>
  </si>
  <si>
    <t>Current automation approaches in the Industry 4.0 have generated increased interest in the utilization of Integration Platforms as a Service (iPaaS) cloud architectures in order to unify and synchronize several systems, applications, and services in order to build smart solutions for automated and adaptive industrial process management. Existing iPaaS solutions present several out-of-the-box connectors and automation engines for easier integration of customers' projects, but show issues regarding overall adaptation outside their scope, brand locking, and occasionally high prices. Moreover, existing platforms fail to respond adequately to the needs of deploying multiple decision models capable of offering automated or semi-automated management of processes, thanks to the integration of the large diversity of data and event sources as well as the different physical or logical action entities. With the popularization of open-source software and applications such as BPM Engines, Machine Learning libraries, and Integration suites and libraries, it is possible to develop a fully customizable and adaptable, open-source iPaaS that can be used both in and outside industrial applications. In this paper, we propose a generic iPaaS architecture implemented on the basis of several open source solutions boasting integration, interoperability, and automated decision-making capabilities in the domain of Agriculture 4.0. A proof-of-concept based on these solutions is presented, as well as a case study on MAÏSADOUR's grain storage process with a comparison with the currently human-operated tasks.</t>
  </si>
  <si>
    <t>H. Santos; I. Medeiros; C. Rocha; D. Rosário; E. Cerqueira; T. Braun</t>
  </si>
  <si>
    <t>S. Mandal; N. E. O’Connor</t>
  </si>
  <si>
    <t>Dublin City University;</t>
  </si>
  <si>
    <t>In the era of digital transformation, new business opportunities are generated with the pervasive use of cloudnative technologies. These perplexing advancements in technologies help to quicken business developments, bring in agility and assemble better client relations. IT industries are utilizing new methodologies like microservices models, containers, Docker, Kubenetes, and ceaseless conveyance approaches to react to business needs by rapidly creating and pushing out new abilities. With these advancements in cloudnative technologies, the security threat landscape widens and this raises the need for protecting customer's critical workloads and services. In their ongoing exploration note, 'Top 10 Security Projects for 2019'2019 © 2019 IEEE.</t>
  </si>
  <si>
    <t>There has been an increased interest in securing Software Defined Networking (SDN) with Blockchain in recent years. Although Blockchain offers robust defensive security for some applications, its security feature-set does not align well with SDN’s security requirements in a practical setting. This is due to the distributed nature of the state-of-the-art SDN controller services. In this paper, we give a comprehensive architectural analysis of the core Blockchain security feature-set and SDN’s virtualization fabric. Then, we introduce a practical Blockchain-based security and privacy-preserving framework, and discuss the design and implementation of the security services for future generation SDN controllers. This is to entice research on the subject from an architectural prospective.</t>
  </si>
  <si>
    <t>S. A. Bjerre; M. W. Klæbel Blomsterberg; B. Andersen</t>
  </si>
  <si>
    <t>P. R. B. da Silva; J. P. S. H. Lima; V. Afanasiev; L. H. M. S. Eduardo Melão; M. S. P. Facina</t>
  </si>
  <si>
    <t>With the emergence of mobile devices having enough resources to execute real-time ML inference, deployment opportunities arise on mobile devices while keeping privacy-sensitive data close to the source and reducing server load. Moreover, offloading inference to a cloud server facilitates deployment of neural network-based applications on resource-constrained devices. Depending on the application goals and execution context of the application, the optimal deployment on either cloud server or mobile device varies during the lifetime of an application. In this paper, we propose a context-aware middleware that enables optimization of deployed application software to satisfy the application’s functional goals in accordance with changing execution context and environmental conditions. We facilitate system design through the abstraction of deployed software components as states and make use of finite state machines and contextual triggers to model the reconfiguration of the system. We evaluate our framework using a real-world nutritional monitoring application via food image recognition deployed in a two-tier mobile and cloud architecture. We compare the proposed solution with various static deployments of the application and show that our approach can react to changing application goals at run-time in order to reduce server load and thereby increase scalability.</t>
  </si>
  <si>
    <t>KU Leuven;</t>
  </si>
  <si>
    <t>A. Teixeira; H. Silva; R. E. Araújo</t>
  </si>
  <si>
    <t>This article presents a framework for improved and efficient video delivery in scenarios featuring users moving at high speed (e.g., trains), leveraging on dynamic Multi-access Edge Computing (MEC) enabled 5G network capabilities. The framework is location-aware and it allows the content to efficiently follow the users, conserving load usage on network and computational resources, by placing virtualized Content Delivery Network (vCDN) nodes at edge sites. The nodes are controlled by the framework's centralized control unit, which is able to dynamically and preemptively deploy virtulized resources, as the train moves. The framework is capable of segmenting video content and placing the specific portion of content that a user is likely to consume across a set of dynamically deployed vCDN nodes, associated to the coverage section the train is currently passing. A proof of concept was implemented and evaluated, where the benefits of using this framework are assessed. Results showed that the proposed system was able to reduce the load on the core network by 10.9 percent and maximize the cache hit ratio to a value of 99.8 percent. © 2013 IEEE.</t>
  </si>
  <si>
    <t>It proposes a intelligent energy system based on Internet of things to help rural electrification. Because the rural electrification plays an important role in promoting the transformation of energy demand to electricity and increasing the proportion of electric energy in terminal energy consumption, and the high attention paid to rural electrification in today's society. Firstly, it builds the intelligent energy control system based on the Internet of Things. Its functions and technical characteristics are analyzed from the perspective of the framework of the system such as the perception layer, network layer, platform layer and application layer. Then, on this basis, it builds a “365 power-keeper” intelligent energy service platform to develop more functions such as IOT management, integrated monitoring, energy efficiency analysis, value-added services and so on. Finally, it demonstrates the application effect of intelligent energy service platform through the case of using intelligent energy in electrified greenhouse in shouguang, Shandong province. The results show that this intelligent energy system can effectively improve the level of intelligent energy use in rural electrification, provide intelligent sharing services, and meet the diversified demands of customers.</t>
  </si>
  <si>
    <t>This paper systematically expounds design and application of the Electric Power Retail Platform in Yunnan Province. The power retail market has business pain points that are difficult to restore power commodity attributes, high operating costs of electricity sales companies, and high transaction costs for users. Yunnan Province, In response to these difficulties, has followed the operation rules of the electricity market, drawn lessons from mature and advanced ecommerce models, and fully combined the advantages of the trading center’s energy big data and cloud platform, designed a brand-new functional framework of the electricity retail platform, built a “Three platforms &amp; Two terminals” system, and innovatively built a “one-step” retail service platform. Finally, suggestions are put forward to further improve the platform construction, which are hoped to provide reference and enlightenment for the construction of other provincial or regional power retail platforms.</t>
  </si>
  <si>
    <t>As an important breakthrough in the field of energy, virtual power plant technology provides a new direction and revolutionary change for the realization of efficient energy integration, optimal scheduling and sustainable development, and the construction of virtual power plant. Firstly, the physical architecture of “cloud-edge-end” 3-layer virtual power plant application is introduced. Then, based on the three dimensions of power selling company, distributed energy users and auxiliary service providers, the application and promotion mode of virtual power plant is deeply analyzed. Secondly, the key technologies of virtual power plant application from the aspects of flexible resource modeling, optimal allocation, aggregation strategy, potential evaluation, collaborative regulation, information communication, flexible interaction, business model, market mechanism, and platform construction are analyzed. Finally, the overall technical challenges, development trend and technical level of the virtual power plant are discussed and summarized.</t>
  </si>
  <si>
    <t>U. C. Özyar; A. Yurdakul</t>
  </si>
  <si>
    <t>Recently enterprises have been able to leverage two revolutionary new tools for gaining a competitive advantage for their business – cloud computing and analytic applications. Cloud computing unburdens them from running and maintaining their compute resources, whereas analytic applications comb through their big data to provide new insights for a competitive advantage in the market. Analytic applications are carefully tailored to their target problems. While there is a lot of work published on both the mechanics of cloud computing as well as analytic methods for distilling insights from a variety of data, there is little work available about the cloud influence on the analytics platforms which aim at lowering the barrier for the creation, deployment, scaling and maintenance of next generation analytic workloads. This paper discusses the challenges we are facing today in order to provide an analytics platform to reduce cost and increase performance of analytics applications in the cloud computing environment.</t>
  </si>
  <si>
    <t>Cito, Jürgen; Leitner, Philipp; Fritz, Thomas; Gall, Harald C.</t>
  </si>
  <si>
    <t>Liechti, Olivier; Prévost, Laurent; Delaye, Valentin; Hennebert, Jean; Grivel, Vincent; Rey, Jean-Philippe; Depraz, Jonathan; Sommer, Marc</t>
  </si>
  <si>
    <t>Boussaa, Mohamed; Barais, Olivier; Baudry, Benoit; Sunyé, Gerson</t>
  </si>
  <si>
    <t>Díaz, Jessica; Pérez, Jennifer; Pérez, Jorge; Garbajosa, Juan</t>
  </si>
  <si>
    <t>Modern user facing applications consist of multiple processing stages with a number of service instances in each stage. The latency profle of these multi-stage applications is intrinsically variable, making it challenging to provide satisfactory responsiveness. Given a limited power budget, improving the end-to-end latency requires intelligently boosting the bottleneck service across stages using multiple boosting techniques. However, prior work fail to acknowledge the multi-stage nature of user-facing applications and perform poorly in improving responsiveness on power constrained CMP, as they are unable to accurately identify bottleneck service and apply the boosting techniques adaptively. In this paper, we present PowerChief, a runtime framework that 1) provides joint design of service and query to monitor the latency statistics across service stages and accurately identifes the bottleneck service during runtime; 2) adaptively chooses the boosting technique to accelerate the bottleneck service with improved responsiveness; 3) dynamically reallocates the constrained power budget across service stages to accommodate the chosen boosting technique. Evaluated with real world multi-stage applications, PowerChief improves the average latency by 20.3× and 32.4× (99% tail latency by 13.3× and 19.4×) for Sirius and Natural Language Processing applications respectively compared to stage-agnostic power allocation. In addition, for the given QoS target, PowerChief reduces the power consumption of Sirius and Web Search applications by 23% and 33% respectively over prior work. © 2017 Association for Computing Machinery.</t>
  </si>
  <si>
    <t>Antonić, Aleksandar; Marjanović, Martina; Žarko, Ivana Podnar</t>
  </si>
  <si>
    <t>Web browsing is always a key requirement of Internet users. Current mobile Web apps can contain computation-intensive JavaScript logics and thus affect browsing performance. Learning from our over-decade research and development experiences of the Internetware paradigm, we present the novel and generic i-Jacob approach to improving the performance of mobile Web browsing with effective JavaScript-code offloading. Our approach proposes a programming abstraction to make mobile Web situational and adaptive to contexts, by specifying the computation-intensive and “ offloadable ” code, and develops a platform-independent lightweight runtime spanning the mobile devices and the cloud. We demonstrate the efficiency of i-Jacob with some typical computation-intensive tasks over various combinations of hardware, operating systems, browsers, and network connections. The improvements can reach up to 49× speed-up in response time and 90% saving in energy.</t>
  </si>
  <si>
    <t>Król, Michał; Psaras, Ioannis</t>
  </si>
  <si>
    <t>Sampaio, Lilia; Silva, Fábio; Souza, Amanda; Brito, Andrey; Felber, Pascal</t>
  </si>
  <si>
    <t>Martins, Lucas M. C. e; Filho, Francisco L. de Caldas; Júnior, Rafael T. de Sousa; Giozza, William F.; da Costa, João Paulo C.L.</t>
  </si>
  <si>
    <t>Cloud computing is a relatively new type of Internet-based computing that becomes more and more popular. Using methods like virtualization, adopting architectures based on microservices, automation of building and deployment processes, Cloud could provide on-demand resources and scale them accordingly to a Service Level Agreement (SLA). Even if there are a lot of Cloud computing providers (like Amazon AWS, Microsoft Azure, IBM, Google etc.), many of them providing advanced services, already deployed technologies, auto-scaling and monitoring tools, on the long run a private Cloud could cost less than a public Cloud. On the other hand, a private Cloud has the disadvantage of lacking hardware resources for scaling an unexpected spike of usage or periodical growths in the number of requests. This problem could be solved using a public Cloud provider API for extending the hardware by buying and selling resources, using a pay-per-use or a pay-as-you-go model. This paper describes and evaluates a private Cloud architecture capable of on demand deployment of microservices based applications, monitoring every instance using CPU, memory, networking and disk data collectors' software, monitoring every task queue and horizontally auto-scaling the number of instances per service. Using Cloud monitoring data, SLA and budget constraints we decide if a new instance should be spawned or terminated in the private Cloud or in a public Cloud. From the customer point of view the process of auto-scaling across the hybrid Cloud is transparent, but requires a horizontally scalable service. We will illustrate our work running an application packaged as microservices in containers in a Kubernetes private Cloud that will be extended using public resources from AWS. The results of the paper offers an architectural model that can be used to build an in-house, scalable Cloud. © 2018 ACM.</t>
  </si>
  <si>
    <t>Replicating software performance experiments is difficult. A common obstacle to replication is that recreating the hardware and software environments is often impractical. As researchers usually run their experiments on the hardware and software that happens to be available to them, recreating the experiments would require obtaining identical hardware, which can lead to high costs. Recreating the software environment is also difficult, as software components such as particular library versions might no longer be available. Cheap, standardized hardware components like the Raspberry Pi and portable software containers like the ones provided by Docker are a potential solution to meet the challenge of replicability. In this paper, we report on experiences from replicating performance experiments on Raspberry Pi devices with and without Docker and show that good replication results can be achieved for microbenchmarks such as JMH. Replication of macrobenchmarks like SPECjEnterprise 2010 proves to be much more difficult, as they are strongly affected by (non-standardized) peripherals. Inspired by previous microbenchmarking experiments on the Pi platform, we furthermore report on a systematic analysis of response time fluctuations, and present lessons learned on dos and don»ts for replicable performance experiments.</t>
  </si>
  <si>
    <t>Calegari, Patrice; Levrier, Marc; Balczyński, Paweł</t>
  </si>
  <si>
    <t>Meißner, Echo; Erb, Benjamin; Kargl, Frank; Tichy, Matthias</t>
  </si>
  <si>
    <t>Retro-λ: An Event-sourced Platform for Serverless Applications with Retroactive Computing Support</t>
  </si>
  <si>
    <t>State changes over time are inherent characteristics of stateful applications. So far, there are almost no attempts to make the past application history programmatically accessible or even modifiable. This is primarily due to the complexity of temporal changes and a difficult alignment with prevalent programming primitives and persistence strategies. Retroactive computing enables powerful capabilities though, including computations and predictions of alternate application timelines, post-hoc bug fixes, or retroactive state explorations. We propose an event-driven programming model that is oriented towards serverless computing and applies retroaction to the event sourcing paradigm. Our model is deliberately restrictive, but therefore keeps the complexity of retroactive operations in check. We introduce retro-λ, a runtime platform that implements the model and provides retroactive capabilites to its applications. While retro-λ only shows negligible performance overheads compared to similar solutions for running regular applications, it enables its users to execute retroactive computations on the application histories as part of its programming model.</t>
  </si>
  <si>
    <t>Meißner, Echo; Erb, Benjamin; Kargl, Frank</t>
  </si>
  <si>
    <t>Ciobanu, Cătălin Bogdan; Stramondo, Giulio; Varbanescu, Ana Lucia; Brokalakis, Andreas; Nikitakis, Antonis; Tucci, Lorenzo Di; Rabozzi, Marco; Stornaiuolo, Luca; Santambrogio, Marco; Chrysos, Grigorios; Vatsolakis, Charalampos; Georgios, Charitopoulos; Pnevmatikatos, Dionisios</t>
  </si>
  <si>
    <t>Herbst, Nikolas; Bauer, André; Kounev, Samuel; Oikonomou, Giorgos; Eyk, Erwin Van; Kousiouris, George; Evangelinou, Athanasia; Krebs, Rouven; Brecht, Tim; Abad, Cristina L.; Iosup, Alexandru</t>
  </si>
  <si>
    <t>Flauzino M.; Veríssimo J.; Terra R.; Cirilo E.; Durelli V.H.S.; Durelli R.S.</t>
  </si>
  <si>
    <t>Java is one of the most widely used programming languages. However, Java is a verbose language, thus one of the main drawbacks of the language is that even simple tasks often entail writing a significant amount of code. In some cases, writing too much code might lead to certain code smells, which are violations of fundamental design that can negatively impact the overall quality of programs. To allow programmers to write concise code, JetBrains created a new language named Kotlin. Nevertheless, few studies have evaluated whether Kotlin leads to concise and clearer code in comparison to Java. We conjecture that due to Java's verbosity, programs written in Java are likely to have more code smells than Kotlin programs. Therefore, we set out to evaluate whether some types of code smells are more common in Java programs. To this end, we carried out a large-scale empirical study involving more than 6 million lines of code from programs available in 100 repositories.We found that on average Kotlin programs have less code smells than Java programs. © 2018 Association for Computing Machinery.</t>
  </si>
  <si>
    <t>Flauzino, Matheus (57204467158); Veríssimo, Júlio (57204472284); Terra, Ricardo (36865399300); Cirilo, Elder (23476361200); Durelli, Vinicius H.S. (37022886400); Durelli, Rafael S. (36184908100)</t>
  </si>
  <si>
    <t>Garzon, Sandro Rodriguez; Walther, Sebastian; Pang, Shaoning; Deva, Bersant; Küpper, Axel</t>
  </si>
  <si>
    <t>Recently, "Smart tourism" has appeared as a new term to describe the application of the technological advancements that rely on sensors, big data processing technique, open data, open API, new way of connecting and exchanging between humans and machines and multi-device (such as IoT, RFID, and NFC) in tourism. When these technologies are utilized, the digital data become practical and valuable products. Besides, the mobile revolution, and specifically the role of the smartphone and its many opportunities to support travel experiences, is especially worth mentioning in this context. In addition, new management tool for the government, new business opportunities for travel agencies, as well as new experiences for tourists are created. Therefore, in this paper, a model for developing sustainable and intelligent tourism is studied and then an overall architecture model of the information system that can provide supporting services and tools for visitor management (Smart Tourism Service Centre – STSC) is proposed for fostering the smart cities in Vietnam, in general, and Danang, in particular.</t>
  </si>
  <si>
    <t>Chen, Shuang; Delimitrou, Christina; Martínez, José F.</t>
  </si>
  <si>
    <t>To enable and support smart environments, a recent ICT trend promotes pushing computation from the remote Cloud as close to data sources as possible, resulting in the emergence of the Fog and Edge computing paradigms. Together with Cloud computing, they represent a stacked architecture, in which raw datasets are first pre-processed locally at the Edge and then vertically offloaded to the Fog and/or the Cloud. However, as hardware is becoming increasingly powerful, Edge devices are seen as candidates for offering data processing capabilities, able to pool and share computing resources to achieve better performance at a lower network latency—a pattern that can be also applied to Fog nodes. In these circumstances, it is important to enable efficient, intelligent, and balanced allocation of resources, as well as their further orchestration, in an elastic and transparent manner. To address such a requirement, this article proposes an OpenStack-based middleware platform through which resource containers at the Edge, Fog, and Cloud levels can be discovered, combined, and provisioned to end users and applications, thereby facilitating and orchestrating offloading processes. As demonstrated through a proof of concept on an intelligent surveillance system, by converging the Edge, Fog, and Cloud, the proposed architecture has the potential to enable faster data processing, as compared to processing at the Edge, Fog, or Cloud levels separately. This also allows architects to combine different offloading patterns in a flexible and fine-grained manner, thus providing new workload engineering patterns. Measurements demonstrated the effectiveness of such patterns, even outperforming edge clusters.</t>
  </si>
  <si>
    <t>With increase in cellular-enabled IoT devices having diverse traffic characteristics and service level objectives (SLOs), handling the control traffic in a scalable and resource-efficient manner in the cellular packet core network is critical. The traditional monolithic design of the cellular core adopted by service-providers is inflexible with respect to the diverse requirements and bursty loads of IoT devices, specifically for properties such as elasticity, customizability, and scalability. To address this key challenge, we focus on the most critical control plane component of the cellular packet core network, the Mobility Management Entity (MME).We present MMLite, a functionally decomposed and stateless MME design wherein individual control procedures are implemented as microservices and states are decoupled from their processing, thus enabling elasticity and fault tolerance. For SLO compliance, we develop a multi-level load balancing approach based on skewed consistent hashing to efficiently distribute incoming connections. We evaluate the performance benefits of MMLite over existing approaches with respect to scaling, fault tolerance, SLO compliance and resource efficiency. © 2019 Association for Computing Machinery.</t>
  </si>
  <si>
    <t>Fully autonomous aerial systems (FAAS) fly complex missions guided wholly by software. If users choose software, compute hardware and aircraft well, FAAS can complete missions faster and safer than unmanned aerial systems piloted by humans. On the other hand, poorly managed edge resources slow down missions, waste energy and inflate costs. This paper presents a model-driven approach to manage FAAS. We fly real FAAS missions, profile compute and aircraft resource usage and model expected demands. Naive profiling approaches use traces from previous flights to infer resource usage. However, edge resources can affect where FAAS fly and which data they sense. Usage profiles can diverge greatly across edge management policies. Instead of using traces, we characterize whole flight areas to accurately model resource usage for any flight path. We combine expected resource demands to model mission throughput, i.e., missions completed per fully charged battery. We validated our model by creating FAAS, measuring mission throughput across many system settings. Our FAAS benchmarks, released through our open source FAAS suite SoftwarePilot, execute realistic missions: autonomous photography, search and rescue, and agricultural scouting using well-known software. Our model predicted throughput with 4% error across mission, software and hardware settings. Competing approaches yielded 10–24% error. We used our SoftwarePilot benchmarks to study (1) GPU acceleration, scale up, and scale out, (2) onboard, edge and cloud computing, (3) energy and monetary budgets, and (4) software driven GPU management. We found that model-driven management can boost mission throughput by 10X and reduce costs by 87%.</t>
  </si>
  <si>
    <t>Dynamic Malware Analysis in the Modern Era—A State of the Art Survey</t>
  </si>
  <si>
    <t>Although malicious software (malware) has been around since the early days of computers, the sophistication and innovation of malware has increased over the years. In particular, the latest crop of ransomware has drawn attention to the dangers of malicious software, which can cause harm to private users as well as corporations, public services (hospitals and transportation systems), governments, and security institutions. To protect these institutions and the public from malware attacks, malicious activity must be detected as early as possible, preferably before it conducts its harmful acts. However, it is not always easy to know what to look for—especially when dealing with new and unknown malware that has never been seen. Analyzing a suspicious file by static or dynamic analysis methods can provide relevant and valuable information regarding a file's impact on the hosting system and help determine whether the file is malicious or not, based on the method's predefined rules. While various techniques (e.g., code obfuscation, dynamic code loading, encryption, and packing) can be used by malware writers to evade static analysis (including signature-based anti-virus tools), dynamic analysis is robust to these techniques and can provide greater understanding regarding the analyzed file and consequently can lead to better detection capabilities. Although dynamic analysis is more robust than static analysis, existing dynamic analysis tools and techniques are imperfect, and there is no single tool that can cover all aspects of malware behavior. The most recent comprehensive survey performed in this area was published in 2012. Since that time, the computing environment has changed dramatically with new types of malware (ransomware, cryptominers), new analysis methods (volatile memory forensics, side-channel analysis), new computing environments (cloud computing, IoT devices), new machine-learning algorithms, and more. The goal of this survey is to provide a comprehensive and up-to-date overview of existing methods used to dynamically analyze malware, which includes a description of each method, its strengths and weaknesses, and its resilience against malware evasion techniques. In addition, we include an overview of prominent studies presenting the usage of machine-learning methods to enhance dynamic malware analysis capabilities aimed at detection, classification, and categorization.</t>
  </si>
  <si>
    <t>Mendonça, Júlio; Cho, Jin-Hee; Moore, Terrence J.; Nelson, Frederica F.; Lim, Hyuk; Zimmermann, Armin; Kim, Dong Seong</t>
  </si>
  <si>
    <t>Duc, Thang Le; Leiva, Rafael García; Casari, Paolo; Östberg, Per-Olov</t>
  </si>
  <si>
    <t>Large-scale software systems are currently designed as distributed entities and deployed in cloud data centers. To overcome the limitations inherent to this type of deployment, applications are increasingly being supplemented with components instantiated closer to the edges of networks—a paradigm known as edge computing. The problem of how to efficiently orchestrate combined edge-cloud applications is, however, incompletely understood, and a wide range of techniques for resource and application management are currently in use.This article investigates the problem of reliable resource provisioning in joint edge-cloud environments, and surveys technologies, mechanisms, and methods that can be used to improve the reliability of distributed applications in diverse and heterogeneous network environments. Due to the complexity of the problem, special emphasis is placed on solutions to the characterization, management, and control of complex distributed applications using machine learning approaches. The survey is structured around a decomposition of the reliable resource provisioning problem into three categories of techniques: workload characterization and prediction, component placement and system consolidation, and application elasticity and remediation. Survey results are presented along with a problem-oriented discussion of the state-of-the-art. A summary of identified challenges and an outline of future research directions are presented to conclude the article.</t>
  </si>
  <si>
    <t>Yussupov, Vladimir; Breitenbücher, Uwe; Leymann, Frank; Wurster, Michael</t>
  </si>
  <si>
    <t>Serverless computing is a rapidly growing cloud application model, popularized by Amazon's Lambda platform. Serverless cloud services provide fine-grained provisioning of resources, which scale automatically with user demand. Function-as-a-Service (FaaS) applications follow this serverless model, with the developer providing their application as a set of functions which are executed in response to a user- or system-generated event. Functions are designed to be short-lived and execute inside containers or virtual machines, introducing a range of system-level overheads. This paper studies the architectural implications of this emerging paradigm. Using the commercial-grade Apache OpenWhisk FaaS platform on real servers, this work investigates and identifies the architectural implications of FaaS serverless computing. The workloads, along with the way that FaaS inherently interleaves short functions from many tenants frustrates many of the locality-preserving architectural structures common in modern processors. In particular, we find that: FaaS containerization brings up to 20x slowdown compared to native execution, cold-start can be over 10x a short function's execution time, branch mispredictions per kilo-instruction are 20x higher for short functions, memory bandwidth increases by 6x due to the invocation pattern, and IPC decreases by as much as 35% due to inter-function interference. We open-source FaaSProfiler, the FaaS testing and profiling platform that we developed for this work. © 2019 Association for Computing Machinery.</t>
  </si>
  <si>
    <t>Today's datacenters demand high-performance, energy-efficient software data planes, which are widely used in many areas including fast network packet processing, network function virtualization, high-speed data transfer in storage systems, and I/O virtualization. Modern software data planes bypass OS I/O stacks and rely on cores spinning on user-level queues as a fast notification mechanism. Whereas spin-polling can improve latency and throughput, it entails significant shortcomings, especially when scaling to large numbers of cores/queues. In this paper, we pinpoint and quantify challenges of spin-polling–based software data planes using Intel's Data Plane Development Kit (DPDK) as a representative infrastructure. We characterize four scalability issues of software data planes: (1) Full-tilt spinning cores perform more (useless) polling work when there is less work pending in the queues; (2) Spin-polling scales poorly with the number of polled queues due to processor cache capacity constraints, especially when traffic is unbalanced; (3) Operation rate limits (transactions per second) as well as a Polling Tax (the overhead of polling, which is considerable even when operating at saturation throughput) result in poor core scalability. (4) Whereas shared queues can mitigate load imbalance and head-of-line-blocking, synchronization overheads limit their potential benefits. We identify root causes of these issues and discuss solution directions to improve hardware and software abstractions for better performance, efficiency, and scalability in software data planes.</t>
  </si>
  <si>
    <t>Hartley, Tim; Zakkak, Foivos S.; Kotselidis, Christos; Luján, Mikel</t>
  </si>
  <si>
    <t>Eismann S.; Bezemer C.-P.; Shang W.; Okanović D.; Van Hoorn A.</t>
  </si>
  <si>
    <t>In recent years, there has been a shift in software development towards microservice-based architectures, which consist of small services that focus on one particular functionality. Many companies are migrating their applications to such architectures to reap the benefits of microservices, such as increased flexibility, scalability and a smaller granularity of the offered functionality by a service. On the one hand, the benefits of microservices for functional testing are often praised, as the focus on one functionality and their smaller granularity allow for more targeted and more convenient testing. On the other hand, using microservices has their consequences (both positive and negative) on other types of testing, such as performance testing. Performance testing is traditionally done by establishing the baseline performance of a software version, which is then used to compare the performance testing results of later software versions. However, as we show in this paper, establishing such a baseline performance is challenging in microservice applications. In this paper, we discuss the benefits and challenges of microservices from a performance tester's point of view. Through a series of experiments on the TeaStore application, we demonstrate how microservices affect the performance testing process, and we demonstrate that it is not straightforward to achieve reliable performance testing results for a microservice application. © 2020 ACM.</t>
  </si>
  <si>
    <t>Eismann, Simon (57203095294); Bezemer, Cor-Paul (35742992600); Shang, Weiyi (35093168200); Okanović, Dušan (45561466200); Van Hoorn, André (26421837600)</t>
  </si>
  <si>
    <t>Dobaj, Jürgen; Schuss, Markus; Krisper, Michael; Boano, Carlo Alberto; Macher, Georg</t>
  </si>
  <si>
    <t>Today, software operation engineers rely on application key performance indicators (KPIs) for sizing and orchestrating cloud resources dynamically. KPIs are monitored to assess the achievable performance and to configure various cloud-specific parameters such as flavors of instances and autoscaling rules, among others. Usually, keeping KPIs within acceptable levels requires application expertise which is expensive and can slow down the continuous delivery of software. Expertise is required because KPIs are normally based on application-specific quality-of-service metrics, like service response time and processing rate, instead of generic platform metrics, like those typical across various environments (e.g., CPU and memory utilization, I/O rate, etc.) In this paper, we investigate the feasibility of outsourcing the management of application performance from developers to cloud operators. In the same way that the serverless paradigm allows the execution environment to be fully managed by a third party, we discuss a monitorless model to streamline application deployment by delegating performance management. We show that training a machine learning model with platform-level data, collected from the execution of representative containerized services, allows inferring application KPI degradation. This is an opportunity to simplify operations as engineers can rely solely on platform metrics – while still fulfilling application KPIs – to configure portable and application agnostic rules and other cloud-specific parameters to automatically trigger actions such as autoscaling, instance migration, network slicing, etc. Results show that monitorless infers KPI degradation with an accuracy of 97% and, notably, it performs similarly to typical autoscaling solutions, even when autoscaling rules are optimally tuned with knowledge of the expected workload. © 2019 Association for Computing Machinery.</t>
  </si>
  <si>
    <t>Differences in requirements for reliability in buildings imply the different needs for calculation of expected building behaviour. In this paper we examine four techniques for calculating expected behaviour of buildings. Two of them are simulation techniques, namely, a white box EnergyPlus model and a æ static tool as per the requirements of the Danish government. The other two are machine learning techniques, namely an ARIMA model, and an long short-term memory artificial recurrent neural network, used in deep learning. We compare and contrast these four techniques based on their accuracy of forecast, as well as execution time to forecast a new data point. Furthermore, we provide an algorithm for selection of forecasting technique based on terms such as availability, accuracy, and execution time requirements, to facilitate real time threshold generation in light of building performance testing.</t>
  </si>
  <si>
    <t>Huber, Florian; Körber, Nikolai; Mock, Markus</t>
  </si>
  <si>
    <t>Harsh, Piyush; Ribera Laszkowski, Juan Francisco; Edmonds, Andy; Quang Thanh, Tran; Pauls, Michael; Vlaskovski, Radoslav; Avila-García, Orlando; Pages, Enric; Gortázar Bellas, Francisco; Gallego Carrillo, Micael</t>
  </si>
  <si>
    <t>Testing large-scale distributed systems (also known as testing in the large) is a challenge that spreads across different technical domains and areas of expertise. Current methods and tools provide some minimal guarantees in relation to the correctness of their functional properties and have serious limitations when evaluating their extra-functional properties in realistic conditions, such as scalability, availability and performance efficiency. Cloud Testing and more specifically "testing in the cloud” has arisen to tackle those challenges. In this new paradigm, cloud-based environment and infrastructure are used to run realistic end-to-end and/or system-level tests, collect test data and analyse them. In this paper we present a set of cloud-native services to take from the tester the responsibility of managing the resources and complementary services required to simulate realistic operational conditions and production environments. Specifically, they provide cloud testing capabilities such as logs and measurements collection from both testing jobs and system under test; test data analytics and visualization; provisioning and operation of additional services and processes to replicate realistic production ecosystems; support to scalability and diversity of underlying testing infrastructure; and replication of the operational conditions of the software under test through its instrumentation. We present the architecture of the cloud testing solution and the detailed design of each of the services; we also evaluate their relative contribution to satisfy different needs in the context of test execution.</t>
  </si>
  <si>
    <t>Edge computing is a recent computing paradigm that brings cloud services closer to the client. Among other features, edge computing offers extremely low client/server latencies. To consistently provide such low latencies, services need to run on edge nodes that are physically as close as possible to their clients. Thus, when a client changes its physical location, a service should migrate between edge nodes to maintain proximity. Differently from cloud nodes, edge nodes are built with CPUs of different Instruction Set Architectures (ISAs), hence a server program natively compiled for one ISA cannot migrate to another. This hinders migration to the closest node. We introduce H-Container, which migrates natively-compiled containerized applications across compute nodes featuring CPUs of different ISAs. H-Container advances over existing heterogeneous-ISA migration systems by being a) highly compatible-no source code nor compiler toolchain modifications are needed; b) easily deployable-fully implemented in user space, thus without any OS or hypervisor dependency, and c) largely Linux compliant-can migrate most Linux software, including server applications and dynamically linked binaries. H-Container targets Linux, adopts LLVM, extends CRIU, and integrates with Docker. Experiments demonstrate that H-Container adds no overhead on average during program execution, while between 10ms and 100ms are added during migration. Furthermore, we show the benefits of H-Container in real scenarios, proving for example up to 94% increase in Redis throughput when unlocking heterogeneity. © 2020 ACM.</t>
  </si>
  <si>
    <t>Macedo, Ricardo; Paulo, João; Pereira, José; Bessani, Alysson</t>
  </si>
  <si>
    <t>Cloud infrastructures are highly favoured as a computing delivery model worldwide, creating a strong societal dependence. It is therefore vital to enhance their resilience, providing persistent service delivery under a variety of conditions. Cloud environments are highly complex and continuously evolving. Additionally, the plethora of use-cases ensures requirements for persistent service delivery vary. As a contribution to knowledge, this work surveys resilience techniques for cloud environments. We apply a novel perspective using a layered model of traditional and emerging cloud paradigms. Works are then classified according to the Resilinets model. For each layer, the most common techniques with limitations are derived including an actor’s strength in influencing resilience in the cloud with each technique. We conclude with some future challenges to the field of resilient cloud computing.</t>
  </si>
  <si>
    <t>Kadron, undefinedsmet Burak; Rosner, Nicolás; Bultan, Tevfik</t>
  </si>
  <si>
    <t>Cryptographic algorithms have been used not only to create robust ciphertexts but also to generate cryptograms that, contrary to the classic goal of cryptography, are meant to be broken. These cryptograms, generally called puzzles, require the use of a certain amount of resources to be solved, hence introducing a cost that is often regarded as a time delay—though it could involve other metrics as well, such as bandwidth. These powerful features have made puzzles the core of many security protocols, acquiring increasing importance in the IT security landscape. The concept of a puzzle has subsequently been extended to other types of schemes that do not use cryptographic functions, such as CAPTCHAs, which are used to discriminate humans from machines. Overall, puzzles have experienced a renewed interest with the advent of Bitcoin, which uses a CPU-intensive puzzle as proof of work. In this article, we provide a comprehensive study of the most important puzzle construction schemes available in the literature, categorizing them according to several attributes, such as resource type, verification type, and applications. We have redefined the term puzzle by collecting and integrating the scattered notions used in different works, to cover all the existing applications. Moreover, we provide an overview of the possible applications, identifying key requirements and different design approaches. Finally, we highlight the features and limitations of each approach, providing a useful guide for the future development of new puzzle schemes.</t>
  </si>
  <si>
    <t>As a recent innovation, network functions virtualization (NFV)—with its core concept of replacing hardware middleboxes with software network functions (NFs) implemented in commodity servers—promises cost savings and flexibility benefits. However, transitioning NFs from special-purpose hardware to commodity servers has turned out to be more challenging than expected, as it inevitably incurs performance penalties due to bottlenecks in both software and hardware. To achieve performance comparable to hardware middleboxes, there is a strong demand for a speedup in NF processing, which plays a crucial role in the success of NFV. In this article, we study the performance challenges that exist in general-purpose servers and simultaneously summarize the typical performance bottlenecks in NFV. Through reviewing the progress in the field of NFV acceleration, we present a new taxonomy of the state-of-the-art efforts according to various acceleration approaches. We discuss the surveyed works and identify the respective advantages and disadvantages in each category. We then discuss the products, solutions, and projects emerged in industry. We also present a gap analysis to improve current solutions and highlight promising research trends that can be explored in the future.</t>
  </si>
  <si>
    <t>Souza, Layse Santos; de Almeida Neto, João Ribeiro; Melo, Thiago José Sandes; Soares, Michel dos Santos; Rocha, Fabio Gomes; Nascimento, Rogério Patrício Chagas do</t>
  </si>
  <si>
    <t>Nakamura, Kiyoshy; Manzoni, Pietro; Zennaro, Marco; Cano, Juan-Carlos; Calafate, Carlos T.; Cecilia, José M.</t>
  </si>
  <si>
    <t>Do, Jaeyoung; Ferreira, Victor C.; Bobarshad, Hossein; Torabzadehkashi, Mahdi; Rezaei, Siavash; Heydarigorji, Ali; Souza, Diego; Goldstein, Brunno F.; Santiago, Leandro; Kim, Min Soo; Lima, Priscila M. V.; França, Felipe M. G.; Alves, Vladimir</t>
  </si>
  <si>
    <t>Mendula, Matteo; Khodadadeh, Siavash; Bacanli, Salih Safa; Zehtabian, Sharare; Sheikh, Hassam Ullah; Bölöni, Ladislau; Turgut, Damla; Bellavista, Paolo</t>
  </si>
  <si>
    <t>Dias, João Pedro; Sousa, Tiago Boldt; Restivo, André; Ferreira, Hugo Sereno</t>
  </si>
  <si>
    <t>Zimmermann, Olaf; Lübke, Daniel; Zdun, Uwe; Pautasso, Cesare; Stocker, Mirko</t>
  </si>
  <si>
    <t>Avritzer, Alberto; Britto, Ricardo; Trubiani, Catia; Russo, Barbara; Janes, Andrea; Camilli, Matteo; van Hoorn, André; Heinrich, Robert; Rapp, Martina; Henß, Jörg</t>
  </si>
  <si>
    <t>Digital services are increasingly becoming cyber-physical and osmotic, combining Cloud resources with Fog, Edge, and IoT devices. This trend can be observed in the e-health domain or in smart city applications where the location of software deployments and data processing matters. Before such applications go live, careful planning with real system emulation is necessary. We claim that the OsmoticToolkit, although in the early stages, is the first emulation environment designed to address this challenge. In this paper, we introduce the emulator’s functionalities and validate experimentally with an e-health scenario, using a reference deployment of a microservice-based hospital application. The experimental results carried out show its effectiveness providing valuable support for understanding the impact on resources, workloads, and Quality of Service requirements within Cloud-Edge/Fog-IoT scenarios while preserving the users’ Service Level Agreements (SLAs).</t>
  </si>
  <si>
    <t>Born from a need for a pure “pay-per-use” model and highly scalable platform, the “Serverless” paradigm emerged and has the potential to become a dominant way of building cloud applications. Although it was originally designed for cloud environments, Serverless is finding its position in the Edge Computing landscape, aiming to bring computational resources closer to the data source. That is, Serverless is crossing cloud borders to assess its merits in Edge computing, whose principal partner will be the Internet of Things (IoT) applications. This move sounds promising as Serverless brings particular benefits such as eliminating always-on services causing high electricity usage, for instance. However, the community is still hesitant to uptake Serverless Edge Computing because of the cloud-driven design of current Serverless platforms, and distinctive characteristics of edge landscape and IoT applications. In this paper, we evaluate both sides to shed light on the Serverless new territory. Our in-depth analysis promotes a broad vision for bringing Serverless to the Edge Computing. It also issues major challenges for Serverless to be met before entering Edge computing.</t>
  </si>
  <si>
    <t>Edge computing is the key to building 5G Networks and Future 2030 Networks. Edge computing extends the cloud computing paradigm by placing resources close to the network edges to cope with the upcoming growth of connected devices. Future applications: health monitoring and predictive services within the framework of the Smart City, Internet of things (IoT), vehicular ad hoc network, autonomous vehicles present a new set of strict requirements, such as low latency. In this paper, we develop a set of methods for managing and orchestrating new intelligent services in a new network and computing infrastructure. In addition, we consider a new prototype using an orchestration system for managing the autonomous vehicles’ resources in comparison with the existing approaches to the design of high-load networks. This orchestration platform is based on independent Docker containers that running the orchestration system. The main goal of our proposed system is to build an efficient network architecture with a minimum delay to process the information based on neural networks. Finally, simulation results proved that the proposed system can significantly not only reduce the overall network load but also increase the quality of the transmitted stream across the network in comparison with traditional network architectures.</t>
  </si>
  <si>
    <t>Michel, Oliver; Bifulco, Roberto; Rétvári, Gábor; Schmid, Stefan</t>
  </si>
  <si>
    <t>IITP;</t>
  </si>
  <si>
    <t>Nowadays, we are witnessing the advent of the Internet of Things (IoT) with numerous devices performing interactions between them or with their environment. The huge number of devices leads to huge volumes of data that demand the appropriate processing. The “legacy” approach is to rely on Cloud where increased computational resources can realize any desired processing. However, the need for supporting real-time applications requires a reduced latency in the provision of outcomes. Edge Computing (EC) comes as the “solver” of the latency problem. Various processing activities can be performed at EC nodes having direct connection with IoT devices. A number of challenges should be met before we conclude a fully automated ecosystem where nodes can cooperate or understand their status to efficiently serve applications. In this article, we perform a survey of the relevant research activities towards the vision of Edge Mesh (EM), i.e., a “cover” of intelligence upon the EC. We present the necessary hardware and discuss research outcomes in every aspect of EC/EM nodes functioning. We present technologies and theories adopted for data, tasks, and resource management while discussing how machine learning and optimization can be adopted in the domain.</t>
  </si>
  <si>
    <t>With the proliferation of applications with machine learning (ML), the importance of edge platforms has been growing to process streaming sensor, data locally without resorting to remote servers. Such edge platforms are commonly equipped with heterogeneous computing processors such as GPU, DSP, and other accelerators, but their computational and energy budget are severely constrained compared to the data center servers. However, as an edge platform must perform the processing of multiple machine learning models concurrently for multimodal sensor data, its scheduling problem poses a new challenge to map heterogeneous machine learning computation to heterogeneous computing processors. Furthermore, processing of each input must provide a certain level of bounded response latency, making the scheduling decision critical for the edge platform. This article proposes a set of new heterogeneity-Aware ML inference scheduling policies for edge platforms. Based on the regularity of computation in common ML tasks, the scheduler uses the pre-profiled behavior of each ML model and routes requests to the most appropriate processors. It also aims to satisfy the service-level objective (SLO) requirement while reducing the energy consumption for each request. For such SLO supports, the challenge of ML computation on GPUs and DSP is its inflexible preemption capability. To avoid the delay caused by a long task, the proposed scheduler decomposes a large ML task to sub-Tasks by its layer in the DNN model. © 2021 ACM.</t>
  </si>
  <si>
    <t>Cérin, Christophe; Andres, Frédéric; Geldwerth-Feniger, Danielle</t>
  </si>
  <si>
    <t>Context: Evaluating software architectures in uncertain environments raises new challenges, which require continuous approaches. We define continuous evaluation as multiple evaluations of the software architecture that begins at the early stages of the development and is periodically and repeatedly performed throughout the lifetime of the software system. Numerous approaches have been developed for continuous evaluation; to handle dynamics and uncertainties at run-time, over the past years, these approaches are still very few, limited, and lack maturity. Objective: This review surveys efforts on architecture evaluation and provides a unified terminology and perspective on the subject. Method: We conducted a systematic literature review to identify and analyse architecture evaluation approaches for uncertainty including continuous and non-continuous, covering work published between 1990–2020. We examined each approach and provided a classification framework for this field. We present an analysis of the results and provide insights regarding open challenges. Major results and conclusions: The survey reveals that most of the existing architecture evaluation approaches typically lack an explicit linkage between design-time and run-time. Additionally, there is a general lack of systematic approaches on how continuous architecture evaluation can be realised or conducted. To remedy this lack, we present a set of necessary requirements for continuous evaluation and describe some examples.</t>
  </si>
  <si>
    <t>Focusing on comprehensive networking, the Industrial Internet-of-Things (IIoT) facilitates efficiency and robustness in factory operations. Various intelligent sensors play a central role, as they generate a vast amount of real-time data that can provide insights into manufacturing. Complex event processing (CEP) and machine learning (ML) have been developed actively in the last years in IIoT to identify patterns in heterogeneous data streams and fuse raw data into tangible facts. In a traditional compute-centric paradigm, the raw field data are continuously sent to the cloud and processed centrally. As IIoT devices become increasingly pervasive, concerns are raised since transmitting such an amount of data is energy-intensive, vulnerable to be intercepted, and subjected to high latency. Decentralized on-device ML and CEP provide a solution where data is processed primarily on edge devices. Thus communications can be minimized. However, this is no mean feat because most IIoT edge devices are resource-constrained with low power consumption. This paper proposes a framework that exploits ML and CEP's synergy at the edge in distributed sensor networks. By leveraging tiny ML and μCEP, we now shift the computation from the cloud to the resource-constrained IIoT devices and allow users to adapt on-device ML models and CEP reasoning rules flexibly on the fly. Lastly, we demonstrate the proposed solution and show its effectiveness and feasibility using an industrial use case of machine safety monitoring.</t>
  </si>
  <si>
    <t>Edge computing offers the possibility of deploying applications at the edge of the network. To take advantage of available devices’ distributed resources, applications often are structured as microservices, often having stringent requirements of low latency and high availability. However, a decentralized edge system that the application may be intended for is characterized by high volatility, due to devices making up the system being unreliable or leaving the network unexpectedly. This makes application deployment and assurance that it will continue to operate under volatility challenging. We propose an adaptive framework capable of deploying and efficiently maintaining a microservice-based application at runtime, by tackling two intertwined problems: (i) finding a microservice placement across device hosts and (ii) deriving invocation paths that serve it. Our objective is to maintain correct functionality by satisfying given requirements in terms of end-to-end latency and availability, in a volatile edge environment. We evaluate our solution quantitatively by considering performance and failure recovery.</t>
  </si>
  <si>
    <t>Despite the rapid growth and advancement in the Internet of Things (IoT), there are critical challenges that need to be addressed before the full adoption of the IoT. Data privacy is one of the hurdles towards the adoption of IoT as there might be potential misuse of users’ data and their identity in IoT applications. Several researchers have proposed different approaches to reduce privacy risks. However, most of the existing solutions still suffer from various drawbacks, such as huge bandwidth utilization and network latency, heavyweight cryptosystems, and policies that are applied on sensor devices and in the cloud. To address these issues, fog computing has been introduced for IoT network edges providing low latency, computation, and storage services. In this survey, we comprehensively review and classify privacy requirements for an in-depth understanding of privacy implications in IoT applications. Based on the classification, we highlight ongoing research efforts and limitations of the existing privacy-preservation techniques and map the existing IoT schemes with Fog-enabled IoT schemes to elaborate on the benefits and improvements that Fog-enabled IoT can bring to preserve data privacy in IoT applications. Lastly, we enumerate key research challenges and point out future research directions.</t>
  </si>
  <si>
    <t>Monitoring WiFi networks is essential to gain insight into the network operation and develop methods capable of reacting to network dynamics. However, research and development in this field are hindered because there is a lack of a framework that can be easily extended to collect various types of monitoring data from the WiFi stack. In this paper, we propose FLIP, a framework for leveraging eBPF to augment WiFi access points and investigate the performance of WiFi networks. Using this framework, we focus on two important aspects of monitoring the WiFi stack. First, considering the high delay experienced by packets at access points, we show how switching packets from the wired interface to the wireless interface can be monitored and timestamped accurately at each step. We build a testbed using FLIP access points and investigate the factors affecting packet delay experienced in access points. Second, we present a novel approach that allows access points to track the duty-cycling pattern and energy consumption of their associated stations accurately and without the need for any external energy measurement tools. We validate the high energy measurement accuracy of FLIP by empirical experiments and comparisons against a commercial tool.  © 2021 ACM.</t>
  </si>
  <si>
    <t>Edge video analytics based on deep learning has become an important building block for many modern intelligent applications such as mobile augmented reality and autonomous driving. Various mechanisms have been developed to handle dynamic wireless networks, compute resource availability, and achieve high analytics accuracy via filtering, DNN compression, pruning, and adaptation. So far, limited attention has been paid to timeliness - -providing strict service-level objectives (SLO) for edge video analytics pipelines, which is essential for the usability of user-interactive and mission-critical intelligent applications. In this paper, we analyze the challenges in achieving SLO for edge video analytics and present a system design for timely edge video analytics over the air leveraging a simple yet effective idea - -feedback control. Our preliminary evaluation based on a system prototype and real-world network traces shows the potential of our design. We also discuss the limitations, calling for future work. © 2021 Owner/Author.</t>
  </si>
  <si>
    <t>Costa, Breno; Bachiega, Joao; de Carvalho, Leonardo Rebouças; Araujo, Aleteia P. F.</t>
  </si>
  <si>
    <t>Public edge platforms have drawn increasing attention from both academia and industry. In this study, we perform a first-of-its-kind measurement study on a leading public edge platform that has been densely deployed in China. Based on this measurement, we quantitatively answer two critical yet unexplored questions. First, from end users' perspective, what is the performance of commodity edge platforms compared to cloud, in terms of the end-to-end network delay, throughput, and the application QoE. Second, from the edge service provider's perspective, how are the edge workloads different from cloud, in terms of their VM subscription, monetary cost, and resource usage. Our study quantitatively reveals the status quo of today's public edge platforms, and provides crucial insights towards developing and operating future edge services. © 2021 ACM.</t>
  </si>
  <si>
    <t>In the current Big Data era, mobile context-aware recommender systems can play a key role to help citizens and tourists to make good decisions. Ideally, these systems should be proactive, able to detect the right moment and place to offer suggestions of a specific type of item or activity to the user. For this purpose, push-based recommender systems can be used, exploiting context rules to decide when a specific type of recommendation should be triggered. However, experiences regarding the implementation of these types of systems are scarce. Motivated by this, in this paper, we describe our design and implementation efforts focusing on the ability to fire suitable recommendations, without user intervention, whenever it is required. In our proposal, the mobile user can activate, deactivate, parametrize, and define rules in an easy way, to obtain a better user personalization. Besides, the recommendation triggering is performed on the mobile device, which allows minimizing the amount of wireless communications and helps to protect the user’s privacy (as context data is evaluated locally on the device, rather than by an external server). We have analyzed several technological options and evaluated the performance and scalability of our proposal, showing its feasibility.</t>
  </si>
  <si>
    <t>Da Silva, Thiago Pereira; Batista, Thais; Lopes, Frederico; Neto, Aluizio Rocha; Delicato, Flávia C.; Pires, Paulo F.; Da Rocha, Atslands R.</t>
  </si>
  <si>
    <t>Design-time evaluation is essential to build the initial software architecture to be deployed. However, experts’ assumptions made at design-time are unlikely to remain true indefinitely in systems that are characterized by scale, hyperconnectivity, dynamism, and uncertainty in operations (e.g. IoT). Therefore, experts’ design-time decisions can be challenged at run-time. A continuous architecture evaluation that systematically assesses and intertwines design-time and run-time decisions is thus necessary. This paper proposes the first proactive approach to continuous architecture evaluation of the system leveraging the support of simulation. The approach evaluates software architectures by not only tracking their performance over time, but also forecasting their likely future performance through machine learning of simulated instances of the architecture. This enables architects to make cost-effective informed decisions on potential changes to the architecture. We perform an IoT case study to show how machine learning on simulated instances of architecture can fundamentally guide the continuous evaluation process and influence the outcome of architecture decisions. A series of experiments is conducted to demonstrate the applicability and effectiveness of the approach. We also provide the architect with recommendations on how to best benefit from the approach through choice of learners and input parameters, grounded on experimentation and evidence.</t>
  </si>
  <si>
    <t>Function-as-a-Service (FaaS) is becoming an increasingly popular cloud-deployment paradigm for serverless computing that frees application developers from managing the infrastructure. At the same time, it allows cloud providers to assert control in workload consolidation, i.e., co-locating multiple containers on the same server, thereby achieving higher server utilization, often at the cost of higher end-to-end function request latency. Interestingly, a key aspect of serverless latency management has not been well studied: the trade-off between application developers' latency goals and the FaaS providers' utilization goals. This paper presents a multi-faceted, measurement-driven study of latency variation in serverless platforms that elucidates this trade-off space. We obtained production measurements by executing FaaS benchmarks on IBM Cloud and a private cloud to study the impact of workload consolidation, queuing delay, and cold starts on the end-to-end function request latency. We draw several conclusions from the characterization results. For example, increasing a container's allocated memory limit from 128 MB to 256 MB reduces the tail latency by 2× but has 1.75× higher power consumption and 59% lower CPU utilization.  © 2021 ACM.</t>
  </si>
  <si>
    <t>Hviid, Jakob; Johansen, Aslak; Caleb Sangogboye, Fisayo; Kjærgaard, Mikkel Baun</t>
  </si>
  <si>
    <t>The energy sector is experiencing new challenges with the move to green energy. One of these challenges is keeping a stable energy grid when transitioning the production to unpredictable energy generation from green sources. Demand Response (DR) can mitigate some of the lack of predictability by influencing the consumer’s load profile. Unfortunately, the cost of implementing DR, and the required infrastructure, vastly overshadows the benefits for the consumer, thereby negating the incentive to invest. Therefore, reducing the initial cost of investment is a critical factor for the success of DR. Building Operating Systems (BOS) is one possible avenue to achieve DR functionality in buildings. This paper seeks to reduce initial investment costs of BOSes, by introducing an ontology-based package manager (OPM), that dynamically resolves dependencies and installs services. An ontology-based approach to dependency resolution allows for loosely defined dependencies but also takes the context of the service into account, as well as requirements in terms of sensor availability and physical layout of the building. The OPM is evaluated by deploying a BOS and accompanying services for occupancy prediction. By significantly reducing deployment complexity, results show considerable time savings, and thereby cost reductions, on deployment and maintenance activities.</t>
  </si>
  <si>
    <t>The unrelenting growth of the memory needs of emerging datacenter applications, along with ever increasing cost and volatility of DRAM prices, has led to DRAM being a major infrastructure expense. Alternative technologies, such as NVMe SSDs and upcoming NVM devices, offer higher capacity than DRAM at a fraction of the cost and power. One promising approach is to transparently offload colder memory to cheaper memory technologies via kernel or hypervisor techniques. The key challenge, however, is to develop a datacenter-scale solution that is robust in dealing with diverse workloads and large performance variance of different offload devices such as compressed memory, SSD, and NVM. This paper presents TMO, Meta’s transparent memory offloading solution for heterogeneous datacenter environments. TMO introduces a new Linux kernel mechanism that directly measures in realtime the lost work due to resource shortage across CPU, memory, and I/O. Guided by this information and without any prior application knowledge, TMO automatically adjusts how much memory to offload to heterogeneous devices (e.g., compressed memory or SSD) according to the device’s performance characteristics and the application’s sensitivity to memory-access slowdown. TMO holistically identifies offloading opportunities from not only the application containers but also the sidecar containers that provide infrastructure-level functions. To maximize memory savings, TMO targets both anonymous memory and file cache, and balances the swap-in rate of anonymous memory and the reload rate of file pages that were recently evicted from the file cache. TMO has been running in production for more than a year, and has saved between 20-32% of the total memory across millions of servers in our large datacenter fleet. We have successfully upstreamed TMO into the Linux kernel.</t>
  </si>
  <si>
    <t>Deep Learning (DL) is an essential technology for modern intelligent sensor network and interactive multimedia applications, having problems with user data privacy when training on a central cloud. While Federated Learning (FL) motivates to preserve user privacy, it also causes new problems of lower user terminal usability and training efficiency, which caused substantial energy consumption. This article proposes a novel energy-efficient and privacy-aware decomposition framework to improve user-side FL efficiency under pre-defined privacy requirements with the assistance of Mobile Edge Computing (MEC) and Software Decomposition. It takes the propagation of each neural layer as the migrating unit and considers the tradeoff relationship between privacy and efficiency. We also propose an online scheduling algorithm to optimize the framework’s training performance. Furthermore, we summarize eight privacy-sensitive information classes on which existing privacy attacks base and design configurable privacy preservation mechanisms for each class. Simulations and experiments prove the effectiveness of our framework and algorithm in FL efficiency improvement and the effects of different privacy constraints on the overall training efficiency.</t>
  </si>
  <si>
    <t>Edge computing is a recent computing paradigm that brings cloud services closer to the client. Among other features, edge computing offers extremely low client/server latencies. To consistently provide such low latencies, services should run on edge nodes that are physically as close as possible to their clients. Thus, when the physical location of a client changes, a service should migrate between edge nodes to maintain proximity. Differently from cloud nodes, edge nodes integrate CPUs of different Instruction Set Architectures (ISAs), hence a program natively compiled for a given ISA cannot migrate to a server equipped with a CPU of a different ISA. This hinders migration to the closest node. We introduce H-Container, a system that migrates natively compiled containerized applications across compute nodes featuring CPUs of different ISAs. H-Container advances over existing heterogeneous-ISA migration systems by being (a) highly compatible - no user's source-code nor compiler toolchain modifications are needed; (b) easily deployable - fully implemented in user space, thus without any OS or hypervisor dependency, and (c) largely Linux-compliant - it can migrate most Linux software, including server applications and dynamically linked binaries. H-Container targets Linux and its already-compiled executables, adopts LLVM, extends CRIU, and integrates with Docker. Experiments demonstrate that H-Container adds no overheads during program execution, while 10-100 ms are added during migration. Furthermore, we show the benefits of H-Container in real-world scenarios, demonstrating, for example, up to 94% increase in Redis throughput when client/server proximity is maintained through heterogeneous container migration. © 2022 Association for Computing Machinery.</t>
  </si>
  <si>
    <t>Ayaz, Berk; Slamnik-Kriještorac, Nina; Marquez-Barja, Johann</t>
  </si>
  <si>
    <t>Dobaj, Jürgen; Riel, Andreas; Krug, Thomas; Seidl, Matthias; Macher, Georg; Egretzberger, Markus</t>
  </si>
  <si>
    <t>Sensor-rich environments are crucial components of the Internet of Things ecosystem and benefit from real-time applications. Many applications perform real-time analytics on these IoT workloads by performing continuous stream processing for a window of sequence data elements. However, executing light-weight stateful functions on server CPUs adds to the communication latency of each small message in a high data rate environment, primarily due to messages traveling through a complex network stack to reach the CPU. Thus, we present an in-network function deployment architecture with low latency and low resource footprint by introducing a new compute layer. We propose an FPGA-based Switch/NIC prototype with a compute layer utilizing RISC-V soft cores and High-Level Synthesis modules. We evaluate the design for two microbenchmarks on a Zynq 7000 FPGA each, achieving less than 10 μs in latency and consuming less than 6 % of resources.</t>
  </si>
  <si>
    <t>Accurately forecasting workloads in terms of throughput that is quantified as queries per second (QPS) is essential for microservices to elastically adjust their resource allocations. However, long-term QPS prediction is challenging in two aspects: 1) generality across various services with different temporal patterns, 2) characterization of intricate QPS sequences which are entangled by multiple components. In this paper, we propose a knowledge auto-embedding Informer network (KAE-Informer) for forecasting the long-term QPS sequences of microservices. By analyzing a large number of microservice traces, we discover that there are two main decomposable and predictable components in QPS sequences, namely global trend &amp; dominant periodicity (TP) and low-frequency residual patterns with long-range dependencies. These two components are important for accurately forecasting long-term QPS. First, KAE-Informer embeds the knowledge of TP components through mathematical modeling. Second, KAE-Informer designs a convolution ProbSparse self-attention mechanism and a multi-layer event discrimination scheme to extract and embed the knowledge of local context awareness and event regression effect implied in residual components, respectively. We conduct experiments based on three real datasets including a QPS dataset collected from 40 microservices. The experiment results show that KAE-Informer achieves a reduction of MAPE, MAE and RMSE by about 16.6%, 17.6% and 23.1% respectively, compared to the state-of-the-art models. © 2023 ACM.</t>
  </si>
  <si>
    <t>Traditional power reduction techniques such as DVFS or RAPL are challenging to use with web services because they significantly affect the services’ latency and throughput. Previous work suggested the use of controllers based on control theory or machine learning to reduce performance degradation under constrained power. However, generating these controllers is challenging as every web service applications running in a data center requires a power-performance model and a fine-tuned controller. In this paper, we present DDPC, a system for autonomic data-driven controller generation for power-latency management. DDPC automates the process of designing and deploying controllers for dynamic power allocation to manage the power-performance trade-offs for latency-sensitive web applications such as a social network. For each application, DDPC uses system identification techniques to learn an adaptive power-performance model that captures the application’s power-latency trade-offs which is then used to generate and deploy a Proportional-Integral (PI) power controller with gain-scheduling to dynamically manage the power allocation to the server running application using RAPL. We evaluate DDPC with two realistic latency-sensitive web applications under varying load scenarios. Our results show that DDPC is capable of autonomically generating and deploying controllers within a few minutes reducing the active power allocation of a web-server by more than 50% compared to state-of-the-art techniques while maintaining the latency well below the target of the application.</t>
  </si>
  <si>
    <t>Short-term cache allocation grants and then revokes access to processor cache lines dynamically. For online services, short-term allocation can speed up targeted query executions and free up cache lines reserved, but normally not needed, for performance. However, in collocated settings, short-term allocation can increase cache contention, slowing down collocated query executions. To offset slowdowns, collocated services may request short-term allocation more often, making the problem worse. Short-term allocation policies manage which queries receive cache allocations and when. In collocated settings, these policies should balance targeted query speedups against slowdowns caused by recurring cache contention. We present a model-driven approach that (1) predicts response time under a given policy, (2) explores competing policies and (3) chooses policies that yield low response time for all collocated services. Our approach profiles cache usage offline, characterizes the effects of cache allocation policies using deep learning techniques and devises novel performance models for short-term allocation with online services. We tested our approach using data processing, cloud, and high-performance computing benchmarks collocated on Intel processors equipped with Cache Allocation Technology. Our models predicted median response time with 11% absolute percent error. Short-term allocation policies found using our approach out performed state-of-the-art shared cache allocation policies by 1.2–2.3X.</t>
  </si>
  <si>
    <t>One of the major challenges in serving ML applications is the resource pressure introduced by the underlying ML frameworks. This becomes a bigger problem at resource-constrained, multi-tenant edge server locations, where it is necessary to scale to a larger number of clients with a fixed resource envelope. Naive approaches which simply minimize the resource budget allocation of each application result in performance degradation that voids the benefits expected from operating at the edge.This paper presents Pocket - a new approach for serving ML applications in settings like the edge, based on a shared ML runtime backend as a service and lightweight ML application pocket containers. Key to realizing Pocket is use of lightweight IPC, support for cross-client isolation, and a novel resource amplification method which inlines resource reallocation with IPC. The latter ensures just-in-time assignment of the limited edge resources where they're most needed, thereby reducing contention effects and boosting overall performance and efficiency. Experimental evaluations demonstrate that Pocket can scale to 1.3–20× more clients with the same amount of resources while reducing response time by 20–80% compared to monolithic designs.</t>
  </si>
  <si>
    <t>As a critical branch of the Internet of Things (IoT) in the medicine industry, the Internet of Medical Things (IoMT) significantly improves the quality of healthcare due to its real-time monitoring and low medical cost. Benefiting from edge and cloud computing, IoMT is provided with more computing and storage resources near the terminal to meet the low-delay requirements of computation-intensive services. However, the service offloading from health monitoring units (HMUs) to edge servers generates additional energy consumption. Fortunately, artificial intelligence (AI), which has developed rapidly in recent years, has proved effective in some resource allocation applications. Taking both energy consumption and delay into account, we propose an energy-aware service offloading algorithm under an end-edge-cloud collaborative IoMT system with Asynchronous Advantage Actor-critic (A3C), named ECAC. Technically, ECAC uses the structural similarity between the natural distributed IoMT system and A3C, whose parameters are asynchronously updated. Besides, due to the typical delay-sensitivity mechanism and time-energy correction, ECAC can adjust dynamically to the diverse service types and system requirements. Finally, the effectiveness of ECAC for IoMT is proved on real data.  © 2023 Association for Computing Machinery.</t>
  </si>
  <si>
    <t>Adaptive computing systems automatically monitor their behavior and dynamically adjust their own configuration parameters - or knobs - to ensure that user goals are met despite unpredictable external disturbances to the system. A major limitation of prior adaptation frameworks is that their internal adaptation logic is implemented for a specific, narrow set of goals and knobs, which impedes the development of complex adaptive systems that must meet different goals using different sets of knobs for different deployments, or even change goals during one deployment. To overcome this limitation we propose GOAL, an adaptation framework distinguished by its virtualized adaptation logic implemented independently of any specific goals or knobs. GOAL supports this logic with a programming interface allowing users to define and manipulate a wide range of goals and knobs within a running program. We demonstrate GOAL's benefits by using it re-implement seven different adaptive systems from the literature, each of which has a different set of goals and knobs. We show GOAL's general approach meets goals as well as prior approaches designed for specific goals and knobs. In dynamic scenarios where the goals and knobs are modified at runtime, GOAL achieves 93.7 © 2022 ACM.</t>
  </si>
  <si>
    <t>Buschmann, Philippe; Shorim, Mostafa H. M.; Helm, Max; Bröring, Arne; Carle, Georg</t>
  </si>
  <si>
    <t>Viola, Roberto; Martín, Ángel; Zorrilla, Mikel; Montalbán, Jon; Angueira, Pablo; Muntean, Gabriel-Miro</t>
  </si>
  <si>
    <t>Media services must ensure an enhanced user’s perceived quality during content playback to attract and retain audiences, especially while the streams are distributed remotely via networks. Thus, media streaming services rely heavily on good and predictable network performance when delivered to a large number of people. Furthermore, as the quality of media content gets high, the network performance demands are also increasing, and meeting them is challenging. Network functions devoted to improving media streaming services become essential to cope with the high dynamics of network performance and user mobility. Furthermore, new networking paradigms and architectures under the 5G networks umbrella are bringing new possibilities to deploy smart network functions, which monitor the media streaming services through live and objective metrics and boost them in real-time. This survey overviews the state-of-the-art technologies and solutions proposed to apply new network functions for enhancing media streaming.</t>
  </si>
  <si>
    <t>Toczé, Klervie; Fahs, Ali J.; Pierre, Guillaume; Nadjm-Tehrani, Simin</t>
  </si>
  <si>
    <t>IoT systems based on Digital Twins (DTs) — virtual copies of physical objects and systems — can be very effective to enable data-driven services and promote better control and decisions, in particular by exploiting distributed approaches where cloud and edge computing cooperate effectively. In this context, digital twins deployed on the edge represents a new strategic element to design a new wave of distributed cyber-physical applications. Existing approaches are generally focused on fragmented and domain-specific monolithic solutions and are mainly associated to model-driven, simulative or descriptive visions. The idea of extending the DTs role to support last-mile digitalization and interoperability through a set of general purpose and well-defined properties and capabilities is still underinvestigated. In this paper, we present the novel Edge Digital Twins (EDT) architectural model and its implementation, enabling the lightweight replication of physical devices providing an efficient digital abstraction layer to support the autonomous and standard collaboration of things and services. We model the core capabilities with respect to the recent definition of the state of the art, present the software architecture and a prototype implementation. Extensive experimental analysis shows the obtained performance in multiple IoT application contexts and compares them with that of state-of-the-art approaches.</t>
  </si>
  <si>
    <t>Our society is increasingly digital, and its processes are increasingly digitalized. As an emerging technology for the digital society, graphs provide a universal abstraction to represent concepts and objects, and the relationships between them. However, processing graphs at a massive scale raises numerous sustainability challenges; becoming energy-aware could help graph-processing infrastructure alleviate its climate impact. Graph Greenifier aims to address this challenge in the conceptual framework offered by the Graph Massivizer architecture. We present an early vision of how Graph Greenifier could provide sustainability analysis and decision-making capabilities for extreme graph-processing workloads. Graph Greenifier leverages an advanced digital twin for data center operations, based on the OpenDC open-source simulator, a novel toolchain for workload-driven simulation of graph processing at scale, and a sustainability predictor. The input to the digital twin combines monitoring of the information and communication technology infrastructure used for graph processing with data collected from the power grid. Graph Greenifier thus informs providers and consumers on operational sustainability aspects, requiring mutual information sharing, reducing energy consumption for graph analytics, and increasing the use of electricity from renewable sources. © 2023 Owner/Author.</t>
  </si>
  <si>
    <t>Multi-modal computing (M2C) has recently exhibited impressive accuracy improvements in numerous autonomous artificial intelligence of things (AIoT) systems. However, this accuracy gain is often tethered to an incredible increase in energy consumption. Particularly, various highly-developed modality sensors devour most of the energy budget, which would make the deployment of M2C for real-world AIoT applications a difficult challenge. To address the above issue, we propose AMG, an innovative HW/SW co-design solution tailored to multi-modal AIoT systems. The key behind AMG is modality gating (throttling) that allows for adaptively sensing and computing modalities for different tasks. This is non-trivial since we must balance situational awareness, energy conservation, and execution latency. AMG achieves our goal with two first-of-its-kind designs. 1) It introduces a novel decoupled modality sensor architecture to support partial throttling of modality sensors. Doing so allows one to greatly save AIoT power but maintains sensor data flow. 2) AMG also features a smart power management strategy based on the new architecture, allowing the device to initialize and tune itself with the optimal configuration. It can predict whether a reasonable degree of accuracy will be satisfied during runtime, and react proactively to remediate the gating process. Extensive evaluation based on our prototype system confirms that AMG improves the AIoT lifespan by 74.5% to 133.7% with the same energy budget while meeting the performance requirements. © 2023 Institute of Electrical and Electronics Engineers Inc.. All rights reserved.</t>
  </si>
  <si>
    <t>Wireless Powered Mobile Edge Computing (WPMEC) is an integration of Mobile Edge Computing (MEC) and Wireless Power Transfer (WPT) technologies, to both improve computing capabilities of mobile devices and energy compensation for their limited battery capabilities. Generally, energy transmitters, mobile devices, and edge servers form a WPMEC system that realizes a closed loop of sending and collecting energy as well as offloading and receiving task data. Due to constraints of time-varying network environments, time-coupled battery levels, and the half-duplex character of mobile devices, the joint design of computation offloading and resource allocation solutions in WPMEC systems has become extremely challenging, and a great number of studies have been devoted to it in recent years. In this article, we first introduce the basic model of the WPMEC system. Then, we present key issues and techniques related to WPMEC. In addition, we summarize solutions for computation offloading and resource allocation to solve critical issues in WPMEC networks. Finally, we discuss some research challenges and open issues. © 2023 Copyright held by the owner/author(s). Publication rights licensed to ACM.</t>
  </si>
  <si>
    <t>Time-critical requests are becoming increasingly important for microservice service chains. For such service chains, a late response may be worthless or cause failures. Previous works proposed to prevent late responses by trading computation time for result quality, depending on the available resources. However, determining the Quality of Result (QoR) for each operation in a service chain ahead of time, as is the state of the art, cannot prevent requests that are currently processing from being late if resource availability changes, e.g., due to resource sharing at inelastic Edge sites. Therefore, we present a framework to control the QoR online by replanning QoR values whenever resource changes are detected. © 2023 ACM.</t>
  </si>
  <si>
    <t>Fog computing is a paradigm that allows the provisioning of computational resources and services at the edge of the network, closer to the end devices and users, complementing cloud computing. The heterogeneity and large number of devices are challenges to obtaining optimized resource allocation in this environment. Over time, some surveys have been presented on resource management in fog computing. However, they now lack a broader and deeper view about this subject, considering the recent publications. This article presents a systematic literature review with a focus on resource allocation for fog computing, and in a more comprehensive way than the existing works. The survey is based on 108 selected publications from 2012 to 2022. The analysis has exposed their main techniques, metrics used, evaluation tools, virtualization methods, architecture, and domains where the proposed solutions were applied. The results show an updated and comprehensive view about resource allocation in fog computing. The main challenges and open research questions are discussed, and a new fog computing resource management cycle is proposed. Copyright © 2023 held by the owner/author(s). Publication rights licensed to ACM.</t>
  </si>
  <si>
    <t>Human-centered robotic applications are becoming pervasive in the context of robotics and smart manufacturing, and such a pervasiveness is even more expected with the shift to Industry 5.0. The always increasing level of autonomy of modern robotic platforms requires the integration of software applications from different domains to implement artificial intelligence, cognition, and human-robot/robot-robot interaction. Developing and (re)configuring such a multi-domain software to meet functional constraints is a challenging task. Even more challenging is customizing the software to satisfy non-functional requirements such as real-time, reliability, and energy efficiency. In this context, the concept of Edge-Cloud continuum is gaining consensus as a solution to address functional and non-functional constraints in a seamless way. Containerization and orchestration are becoming a standard practice, as they allow for better information flow among different network levels as well as increased modularity in the use of multi-domain software components. Nevertheless, the adoption of such a practice along the design flow, from simulation to the deployment of complex robotic applications by addressing the de facto development standards (e.g., ROS - Robotic Operating System) is still an open problem. We present a design methodology based on Docker and Kubernetes that enables containerization and orchestration of ROS-based robotic SW applications for heterogeneous and hierarchical HW architectures. The methodology aims at (i) integrating and verifying multi-domain components since early in the design flow, (ii) mapping software tasks to containers to minimize the performance and memory footprint overhead, (iii) clustering containers to efficiently distribute load across the edge-cloud architecture by minimizing resource utilization, and (iv) enabling multi-domain verification of functional and non-functional constraints before deployment. The article presents the results obtained with a real case of study, in which the design methodology has been applied to program the mission of a Robotnik RB-Kairos mobile robot in an industrial agile production chain. We have obtained reduced load on the robot’s HW with minimal performance and network overhead, thanks to the optimized distributed system.</t>
  </si>
  <si>
    <t>Coullon, Héléne; Henrio, Ludovic; Loulergue, Frédéric; Robillard, Simon</t>
  </si>
  <si>
    <t>Increasingly, buildings are being fitted with sensors for the needs of different sectors, such as education, industry and business. Using Internet of Things devices combined with analysis of data being generated by these devices, it is possible to infer a number of metrics, e.g., building occupancy and activities of occupants. The information thus gathered can be used to develop software applications to support energy management, occupant comfort, and space utilization. This survey explores the use of sensors in smart building environments, identifying different approaches to employ sensors in buildings. The most commonly used data-driven approaches for activity recognition in such buildings is also investigated, concluding by highlighting current research challenges and future research directions in this area. © 2023 Copyright held by the owner/author(s). Publication rights licensed to ACM.</t>
  </si>
  <si>
    <t>Data Stream Processing (DSP) applications analyze data flows in near real-time by means of operators, which process and transform incoming data. Operators handle high data rates running parallel replicas across multiple processors and hosts. To guarantee consistent performance without wasting resources in the face of variable workloads, auto-scaling techniques have been studied to adapt operator parallelism at run-time. However, most of the effort has been spent under the assumption of homogeneous computing infrastructures, neglecting the complexity of modern environments.We consider the problem of deciding both how many operator replicas should be executed and which types of computing nodes should be acquired. We devise heterogeneity-aware policies by means of a two-layered hierarchy of controllers. While application-level components steer the adaptation process for whole applications, aiming to guarantee user-specified requirements, lower-layer components control auto-scaling of single operators. We tackle the fundamental challenge of performance and workload uncertainty, exploiting Bayesian optimization (BO) and reinforcement learning (RL) to devise policies. The evaluation shows that our approach is able to meet users’ requirements in terms of response time and adaptation overhead, while minimizing the cost due to resource usage, outperforming state-of-the-art baselines. We also demonstrate how partial model information is exploited to reduce training time for learning-based controllers.</t>
  </si>
  <si>
    <t>Polling and interrupt has long been a trade-off in RDMA systems. Polling has lower latency but each CPU core can only run one thread. Interrupt enables time sharing among multiple threads but has higher latency. Many applications such as databases have hundreds of threads, which is much larger than the number of cores. So, they have to use interrupt mode to share cores among threads, and the resulting RDMA latency is much higher than the hardware limits. In this paper, we analyze the root cause of high costs in RDMA interrupt delivery, and present FastWake, a practical redesign of interrupt-mode RDMA host network stack using commodity RDMA hardware, Linux OS, and unmodified applications. Our first approach to fast thread wake-up completely removes interrupts. We design a per-core dispatcher thread to poll all the completion queues of the application threads on the same core, and utilize a kernel fast path to context switch to the thread with an incoming completion event. The approach above would keep CPUs running at 100% utilization, so we design an interrupt-based approach for scenarios with power constraints. Observing that waking up a thread on the same core as the interrupt is much faster than threads on other cores, we dynamically adjust RDMA event queue mappings to improve interrupt core affinity. In addition, we revisit the kernel path of thread wake-up, and remove the overheads in virtual file system (VFS), locking, and process scheduling. Experiments show that FastWake can reduce RDMA latency by 80% on x86 and 77% on ARM at the cost of &amp;lt; 30% higher power utilization than traditional interrupts, and the latency is only 0.3 ∼ 0.4&amp;nbsp;μ s higher than the limits of underlying hardware. When power saving is desired, our interrupt-based approach can still reduce interrupt-mode RDMA latency by 59% on x86 and 52% on ARM.</t>
  </si>
  <si>
    <t>The recent emergence of low-power high-throughput programmable storage platforms-SmartNIC JBOF (just-a-bunch-of-flash)-motivates us to rethink the cluster architecture and system stack for energy-efficient large-scale data-intensive workloads. Unlike conventional systems that use an array of server JBOFs or embedded storage nodes, the introduction of SmartNIC JBOFs has drastically changed the cluster compute, memory, and I/O configurations. Such an extremely imbalanced architecture makes prior system design philosophies and techniques either ineffective or invalid.This paper presents LEED, a distributed, replicated, and persistent key-value store over an array of SmartNIC JBOFs. Our key ideas to tackle the unique challenges induced by a SmartNIC JBOF are: trading excessive I/O bandwidth for scarce SmartNIC core computing cycles and memory capacity; making scheduling decisions as early as possible to streamline the request execution flow. LEED systematically revamps the software stack and proposes techniques across per-SSD, intra-JBOF, and inter-JBOF levels. Our prototyped system based on Broadcom Stingray outperforms existing solutions that use beefy server JBOFs and wimpy embedded storage nodes by 4.2×/3.8× and 17.5×/19.1× in terms of requests per Joule for 256B/1KB key-value objects. © 2023 ACM.</t>
  </si>
  <si>
    <t>The Ubiquitous Operating System(UOS) is a new type of operating system in response to the new patterns and scenarios of future human-cyber-physical ternary ubiquitous computing. Compared with traditional operating systems, one of the fundamental requirements of UOS is to adaptively manage numerous heterogeneous sensors according to dynamic environments and diverse tasks. However, traditional management focuses on the sensors’ parameters and interfaces without highlighting the perception effect that is users’ concern and dynamic changing. It also lacks a unified management approach for heterogeneous sensors. To overcome the limitations, we propose a novel heterogeneous sensors dynamic management model UbiCap, i.e., Ubiquitous Capability, which is based on the capability abstraction and adaptive run-time capability management mechanism. The capability provides a unified abstract for heterogeneous sensors. The adaptive run-time capability management mechanism transfers the management object from low-level hardware sensors to high-level sensing capability. The capability required and the available capability are matched to support run-time adaptive sensors selection. We implement a software prototype iS2ROS(intelligent Sensor Selection Robot Operating System) based on the UbiCap model. We then simulate a forest fire spot monitoring scenario where iS2ROS selects the optimal image sensor during the identification task execution while light or weather condition changes. Experiment results show that the iS2ROS achieves comparative sensing effectiveness through UbiCap with 50% power consumption lower compared to the traditional both-sensors approach.</t>
  </si>
  <si>
    <t>The Internet of Things (IoT) and distributed ledger technology (DLT) have significantly changed our daily lives. Due to their distributed operational environment and naturally decentralized applications, the convergence of these two technologies indicates a more lavish arrangement for the future. This article develops a comprehensive survey to investigate and illustrate state-of-the-art DLT for various IoT use cases, from smart homes to autonomous vehicles and smart cities. We develop a novel framework for conducting a systematic and comprehensive review of DLT over the IoT by extending the knowledge graph approach. With relevant insights from this review, we extract innovative and pragmatic techniques to DLT design that enable high-performance, sustainable, and highly scalable IoT systems. Our findings support designing an end-to-end IoT-native DLT architecture for the future that fully coordinates network-assisted functionalities. © 2023 Copyright held by the owner/author(s). Publication rights licensed to ACM.</t>
  </si>
  <si>
    <t>Simões, Bruno; Del Puy Carretero, María; Martinez Santiago, Jorge; Muñoz Segovia, Sebastian; Alcain, Nieves</t>
  </si>
  <si>
    <t>The scope of the Industrial Internet of Things (IIoT) has stretched beyond manufacturing to include energy, healthcare, transportation, and all that tomorrow’s smart cities will entail. The realm of IIoT includes smart sensors, actuators, programmable logic controllers, distributed control systems (DCS), embedded devices, supervisory control, and data acquisition systems—all produced by manufacturers for different purposes and with different data structures and formats; designed according to different standards and made to follow different protocols. In this sea of incompatibility, how can we flexibly acquire these heterogeneous data, and how can we uniformly structure them to suit thousands of different applications? In this article, we survey the four pillars of information science that enable collaborative data access in an IIoT—standardization, data acquisition, data fusion, and scalable architecture—to provide an up-to-date audit of current research in the field. Here, standardization in IIoT relies on standards and technologies to make things communicative; data acquisition attempts to transparently collect data through plug-and-play architectures, reconfigurable schemes, or hardware expansion; data fusion refers to the techniques and strategies for overcoming heterogeneity in data formats and sources; and scalable architecture provides basic techniques to support heterogeneous requirements. The article also concludes with an overview of the frontier researches and emerging technologies for supporting or challenging data access from the aspects of 5G, machine learning, blockchain, and semantic web.</t>
  </si>
  <si>
    <t>Queiroz, Rui; Cruz, Tiago; Mendes, Jérôme; Sousa, Pedro; Simões, Paulo</t>
  </si>
  <si>
    <t>Container-based Virtualization for Real-time Industrial Systems—A Systematic Review</t>
  </si>
  <si>
    <t>Service meshes play a central role in the modern application ecosystem by providing an easy and flexible way to connect microservices of a distributed application. However, because of how they interpose on application traffic, they can substantially increase application latency and its resource consumption. We develop a tool called MeshInsight to help developers quantify the overhead of service meshes in deployment scenarios of interest and make informed trade-offs about their functionality vs. overhead. Using MeshInsight, we confirm that service meshes can have high overhead—up to 269% higher latency and up to 163% more virtual CPU cores for our benchmark applications—but the severity is intimately tied to how they are configured and the application workload. IPC (inter-process communication) and socket writes dominate when the service mesh operates as a TCP proxy, but protocol parsing dominates when it operates as an HTTP proxy. MeshInsight also enables us to study the end-to-end impact of optimizations to service meshes. We show that not all seemingly-promising optimizations lead to a notable overhead reduction in realistic settings.</t>
  </si>
  <si>
    <t>A significant proportion of energy consumed in modern data centers and clouds is dedicated to provisioning idle servers for maintaining Quality of Service guarantees. Various studies have been conducted exploring dynamic provisioning in data centers with the objective of reducing overall energy consumption. However, many of these studies assume a fixed energy cost per operating server where each server can only handle one job within a given time slot. In this paper, we address a new and practical problem that involves speed scaling of multiple servers within a data center. Specifically, we consider a scenario where each server can handle multiple jobs simultaneously, and the energy consumed is a piece-wise convex function that depends on processing speed. In addition, turning on a server incurs a substantial energy cost. To tackle this problem, we develop a new online primal-dual fitting framework. By leveraging this framework, we have found that the straightforward LIF algorithm, which allocates new workloads to servers based on their minimal idle times, attains a bounded competitive ratio in comparison to the optimal offline solution. Building upon this finding, we have designed a novel algorithm called BDST . BDST dynamically updates server provisioning based on a long-term evaluation of the trade-off between the cost of maintaining high-speed for current servers and the cost of powering on additional servers. One critical aspect of BDST is its remarkable constant competitive ratio of less than three, regardless of the shape of the energy function. © 2024 Owner/Author.</t>
  </si>
  <si>
    <t>Empl, Philip; Böhm, Fabian; Pernul, Günther</t>
  </si>
  <si>
    <t>Pavlenko, Anna; Cahoon, Joyce; Zhu, Yiwen; Kroth, Brian; Nelson, Michael; Carter, Andrew; Liao, David; Wright, Travis; Camacho-Rodríguez, Jesús; Saur, Karla</t>
  </si>
  <si>
    <t>We are increasingly surrounded by systems connecting us with the digital world and facilitating our life by supporting our work, leisure, activities at home, health, and so on. These systems are pressed by two forces. On the one side, they operate in environments that are increasingly challenging due to uncertainty and uncontrollability. On the other side, they need to evolve, often in a continuous fashion, to meet changing needs, to offer new functionalities, or also to fix emerging failures. To make the picture even more complex, these systems rarely work in isolation and often need to collaborate with other systems, as well as humans. All such facets call for moving their validation during operation, as offered by approaches called testing in the field.In this article, we observe that even the field-based testing approaches should change over time to follow and adapt to the changes and evolution of collaborating systems or environments or users’ behaviors. We provide a taxonomy of this new category of testing that we call self-adaptive testing in the field (SATF), together with a reference architecture for SATF approaches. To achieve this objective, we surveyed the literature and collected feedback and contributions from experts in the domain via a questionnaire and interviews.</t>
  </si>
  <si>
    <t>Trace replay is a common approach for evaluating systems by rerunning historical traffic patterns, but it is not always possible to find suitable real-world traces at the desired level of system load. Experimenting with higher traffic loads requires upscaling a trace to artificially increase the load. Unfortunately, most prior research has adopted ad-hoc approaches for upscaling, and there has not been a systematic study of how the upscaling approach impacts the results. One common approach is to count the arrivals in a predefined time-interval and multiply these counts by a factor, but this requires generating new requests/jobs according to some model (e.g., a Poisson process), which may not be realistic. Another common approach is to divide all the timestamps in the trace by an upscaling factor to squeeze the requests into a shorter time period. However, this can distort temporal patterns within the input trace. This paper evaluates the pros and cons of existing trace upscaling techniques and introduces a new approach, TraceUpscaler, that avoids the drawbacks of existing methods. The key idea behind TraceUpscaler is to decouple the arrival timestamps from the request parameters/data and upscale just the arrival timestamps in a way that preserves temporal patterns within the input trace. Our work applies to open-loop traffic where requests have arrival timestamps that aren't dependent on previous request completions. We evaluate TraceUpscaler under multiple experimental settings using both real-world and synthetic traces. Through our study, we identify the trace characteristics that affect the quality of upscaling in existing approaches and show how TraceUpscaler avoids these pitfalls. We also present a case study demonstrating how inaccurate trace upscaling can lead to incorrect conclusions about a system's ability to handle high load.  © 2024 ACM.</t>
  </si>
  <si>
    <t>Cloud service providers improve resource utilization by co-locating latency-critical (LC) workloads with best-effort batch (BE) jobs in datacenters. However, they usually treat multi-component LCs as monolithic applications and treat BEs as “second-class citizens” when allocating resources to them. Neglecting the inconsistent interference tolerance abilities of LC components and the inconsistent preemption loss of BE workloads can result in missed co-location opportunities for higher throughput.We present Rhythm, a co-location controller that deploys workloads and reclaims resources rhythmically for maximizing the system throughput while guaranteeing LC service’s tail latency requirement. The key idea is to differentiate the BE throughput launched with each LC component, that is, components with higher interference tolerance can be deployed together with more BE jobs. It also assigns different reclamation priority values to BEs by evaluating their preemption losses into a multi-level reclamation queue. We implement and evaluate Rhythm using workloads in the form of containerized processes and microservices. Experimental results show that it can improve the system throughput by 47.3%, CPU utilization by 38.6%, and memory bandwidth utilization by 45.4% while guaranteeing the tail latency requirement.</t>
  </si>
  <si>
    <t>Branco da Silva, Paulo Ricardo; Henriques Sales de Lima, João Paulo; Costa Alves, Erika; Farfan, William Sanchez; Coutinho, Victor Aguiar; Paiva, Thomas William do Prado; Feferman, Daniel Lazkani; Neto, Francisco Hugo Costa</t>
  </si>
  <si>
    <t>This work presents SPARC (Spatio-Temporal Adaptive Resource Control), a novel approach for multi-site spectrum management in NextG cellular networks. SPARC addresses the challenge of limited licensed spectrum in dynamic environments. We leverage the O-RAN architecture to develop a multi-timescale RAN Intelligent Controller (RIC) framework, featuring an xApp for near-real-time interference detection and localization, and a μApp for real-time intelligent resource allocation. By utilizing base stations as spectrum sensors, SPARC enables efficient and fine-grained dynamic resource allocation across multiple sites, enhancing signal-to-noise ratio (SNR) by up to 7dB, spectral efficiency by up to 15%, and overall system throughput by up to 20%.</t>
  </si>
  <si>
    <t>Osaba, Eneko; Benguria, Gorka; Lobo, Jesus L.; Diaz-De-Arcaya, Josu; Alonso, Juncal; Etxaniz, Iñaki</t>
  </si>
  <si>
    <t>Service-Based Architecture (SBA) serves as a foundational methodology for 5G core networks, as delineated by the 3rd Generation Partnership Project (3GPP). This modular approach segments the 5G Core Network into discrete, functionally autonomous Network Functions (NFs), deployed via either virtual machines or container technologies. The efficacy of the SBA execution platform significantly impacts the service capabilities of these NFs. In this study, we present an enhanced architecture that employs extended Berkeley Packet Filter (eBPF) and eXpress Data Path (XDP) technologies to fine-tune the network, security, service, and scheduling aspects within a Kubernetes framework. Additionally, eBPF’s monitoring and packet control features augment the service capabilities of 5G components, thereby improving encrypted data transmission. eBPF’s real-time monitoring aids the scheduler in making nuanced decisions, while an eBPF-driven load balancer ensures equitable service distribution. Comprehensive testing reveals that the enhanced architecture increases transmission efficiency by 17%, reduces average latency by 43%, and alleviates latency anomalies compared to conventional 5G NF platforms. It also enhances the inherent connectivity of 5G NFs by approximately 15%. For encryption-reliant applications, the architecture achieves a 17% performance gain in latency, transmission, and connectivity, while its scheduling and service balancing capabilities demonstrate a roughly 19% performance enhancement.</t>
  </si>
  <si>
    <t>Mobile edge computing (MEC) has emerged as a transformative paradigm by deploying computing and storage resources at the edge of access networks. This enables real-time processing, reduces latency, and improves user experiences, particularly with the advent of 5G networks. However, the limited resources of edge servers pose a challenge in ensuring service-level agreement (SLA) while optimizing resource utilization. Autoscaling, a dynamic resource adjustment mechanism, can play a pivotal role in meeting these demands. This paper explores the application of multi-agent reinforcement learning (MARL) to address autoscaling in MEC. The proposed algorithm models the horizontal autoscaling problem in MEC, defines state and action spaces, and introduces a global reward function. Additionally, time-series data prediction enhances scaling responsiveness. A testing platform is employed to validate the algorithm’s effectiveness. This work contributes a novel approach to autoscaling in MEC, addressing the complex interplay of autonomous scaling decisions, SLA compliance, and resource optimization within edge server clusters.</t>
  </si>
  <si>
    <t>Pfeiffer, Jérôme; Fuchß, Dominik; Kühn, Thomas; Liebhart, Robin; Neumann, Dirk; Neimöck, Christer; Seiler, Christian; Koziolek, Anne; Wortmann, Andreas</t>
  </si>
  <si>
    <t>Thimmaraju, Kashyap; Shaik, Altaf; Flück, Sunniva; Mora, Pere Joan Fullana; Werling, Christian; Seifert, Jean-Pierre</t>
  </si>
  <si>
    <t>Open-Radio Access Network (O-RAN) is the next evolutionary step in mobile network architecture and operations and the Near-Real Time RAN Intelligent Controller (Near-RT RIC) plays a central role in the O-RAN architecture as it interfaces between the orchestration layer and next generation eNodeBs. In this paper we highlight the architectural weakness of a centralized controller in O-RAN by first drawing parallels with the Software-Defined Networking (SDN) controller. We then present a two part security evaluation of two open-source Near-RT RICs (μONOS and OSC), focused on the newly introduced A1 interface of the Near-RT RIC. In the first part of our evaluation, we evaluate the supply-chain risks of μONOS and OSC using off-the-shelf open-source dependency analysis and configuration file analysis tools. In the second part, we present our run-time security testing of the A1 API implemented by μONOS and OSC using our custom O-RAN A1 Interface Testing Tool (OAITT). Our supply-chain risk analysis shows that both the open-source Near-RT RICs we evaluated have multiple dependency risks and weak or insecure configurations. We identified 211 and 285 known dependency vulnerabilities in μONOS and OSC respectively of which 82 and 190 dependencies were rated as high CVSS respectively. The A1 interface contributed to a majority of the dependency risks in both Near-RT RICs. From a security misconfiguration perspective, we identified issues concerning access control, lack of encryption and poor secret management. Our run-time testing of OSC and μONOS revealed the following. First, both Near-RT RICs lack TLS for the A1 interface. Second, malicious Non-Real Time RAN Intelligent Controller (Non-RT RIC)s or rApps that reside in the Non-RT RIC could tamper with policies installed in the Near-RT RIC which can impact the availability of the O-RAN. Third, the A1 protocol could be exploited by Non-RT RICs for covert communication via the Near-RT RIC. Fourth, the A1 implementation by μONOS was vulnerable to degradation of service attacks (10-60s response time for GET requests) and a denial of service attack, the latter has been ethically reported and a fix is underway.</t>
  </si>
  <si>
    <t>Trace-based simulation is a widely used methodology for system design exploration. It relies on realistic traces that represent a range of behaviors necessary to be evaluated, containing a lot of information about the application, its inputs and the underlying system on which it was generated. Consequently, generating traces from real-world executions risks leakage of sensitive information. To prevent this, traces can be obfuscated before release. However, this can undermine their ideal utility, i.e., how realistically a program behavior was captured. To address this, we propose Camouflage, a novel obfuscation framework, designed with awareness of the necessary architectural properties required to preserve trace utility, while ensuring secrecy of the inputs used to generate the trace. Focusing on memory access traces, our extensive evaluation on various benchmarks shows that camouflaged traces preserve the performance measurements of the original execution, with an average τ correlation of 0.66. We model input secrecy as an input indistinguishability problem and show that the average security loss is 7.8%, which is better than traces generated from the state-of-the-art.</t>
  </si>
  <si>
    <t>In Function-as-a-Service (FaaS) serverless, large applications are split into short-lived stateless functions. Deploying functions is mutually profitable: users need not be concerned with resource management, while providers can keep their servers at high utilization rates running thousands of functions concurrently on a single machine. It is exactly this high concurrency that comes at a cost. The standard Linux Completely Fair Scheduler (CFS) switches often between tasks, which leads to prolonged execution times. We present evidence that relying on the default Linux CFS scheduler increases serverless workloads cost by up to 10×.In this article, we raise awareness and make a case for rethinking the OS-level scheduling in Linux for serverless workloads composed of many short-lived processes. To make serverless more affordable we introduce a hybrid two-level scheduling approach that relies on FaaS characteristics. Short-running functions are executed in FIFO fashion without preemption, while longer-running functions are passed to CFS after a certain time period. We show that tailor-made OS scheduling is able to significantly reduce user-facing costs without adding any provider-facing overhead.</t>
  </si>
  <si>
    <t>The convergence of unmanned aerial vehicle (UAV)-aided mobile edge computing (MEC) networks and blockchain transforms the existing mobile networking paradigm. However, in the temporary hotspot scenario for intelligent connected vehicles (ICVs) in UAV-aided MEC networks, deploying blockchain-based services and applications in vehicles is generally impossible due to its high computational resource and storage requirements. One possible solution is to offload part of all the computational tasks to MEC servers wherever possible. Unfortunately, due to the limited availability and high mobility of the vehicles, there is still lacking simple solutions that can support low-latency and higher reliability networking services for ICVs. In this article, we study the task offloading problem of minimizing the total system latency and the optimal task offloading scheme, subject to constraints on the hover position coordinates of the UAV, the fixed bonuses, flexible transaction fees, transaction rates, mining difficulty, costs and battery energy consumption of the UAV. The problem is confirmed to be a challenging linear integer planning problem, we formulate the problem as a constrained Markov decision process. Deep Reinforcement Learning (DRL) has excellently solved sequential decision-making problems in dynamic ICVs environment, therefore, we propose a novel distributed DRL-based P-D3QN approach by using Prioritized Experience Replay strategy and the dueling double deep Q-network (D3QN) algorithm to solve the optimal task offloading policy effectively. Finally, experiment results show that compared with the benchmark scheme, the P-D3QN algorithm can bring about 26.24% latency improvement and increase about 42.26% offloading utility.  © 2024 Copyright held by the owner/author(s). Publication rights licensed to ACM.</t>
  </si>
  <si>
    <t>Ball, Thomas; de Halleux, Peli; Devine, James; Hodges, Steve; Moskal, Michał</t>
  </si>
  <si>
    <t>Cities serve as vital hubs of economic activity and knowledge generation and dissemination. As such, cities bear a significant responsibility to uphold environmental protection measures while promoting the welfare and living comfort of their residents. There are diverse views on the development of smart cities, from integrating Information and Communication Technologies into urban environments for better operational decisions to supporting sustainability, wealth, and comfort of people. However, for all these cases, data are the key ingredient and enabler for the vision and realization of smart cities. This article explores the challenges associated with smart city data. We start with gaining an understanding of the concept of a smart city, how to measure that the city is a smart one, and what architectures and platforms exist to develop one. Afterwards, we research the challenges associated with the data of the cities, including availability, heterogeneity, management, analysis, privacy, and security. Finally, we discuss ethical issues. This article aims to serve as a “one-stop shop” covering data-related issues of smart cities with references for diving deeper into particular topics of interest.</t>
  </si>
  <si>
    <t>Golpayegani, Fateneh; Chen, Nanxi; Afraz, Nima; Gyamfi, Eric; Malekjafarian, Abdollah; Schäfer, Dominik; Krupitzer, Christian</t>
  </si>
  <si>
    <t>Edge computing places the computational services and resources closer to the user proximity, to reduce latency, and ensure the quality of service and experience. Low latency, context awareness and mobility support are the major contributors to edge-enabled smart systems. Such systems require handling new situations and change on the fly and ensuring the quality of service while only having access to constrained computation and communication resources and operating in mobile, dynamic and ever-changing environments. Hence, adaptation and self-organisation are crucial for such systems to maintain their performance, and operability while accommodating new changes in their environment.This article reviews the current literature in the field of adaptive edge computing systems. We use a widely accepted taxonomy, which describes the important aspects of adaptive behaviour implementation in computing systems. This taxonomy discusses aspects such as adaptation reasons, the various levels an adaptation strategy can be implemented, the time of reaction to a change, categories of adaptation technique and control of the adaptive behaviour. In this article, we discuss how these aspects are addressed in the literature and identify the open research challenges and future direction in adaptive edge computing systems.The results of our analysis show that most of the identified approaches target adaptation at the application level, and only a few focus on middleware, communication infrastructure and context. Adaptations that are required to address the changes in the context, changes caused by users or in the system itself are also less explored. Furthermore, most of the literature has opted for reactive adaptation, although proactive adaptation is essential to maintain the edge computing systems’ performance and interoperability by anticipating the required adaptations on the fly. Additionally, most approaches apply a centralised adaptation control, which does not perfectly fit the mostly decentralised/distributed edge computing settings.</t>
  </si>
  <si>
    <t>Delaitre, Sabine; Pulgar Gutiérrez, José Maria</t>
  </si>
  <si>
    <t>For datacenter architects, it is the most important goal to minimize the datacenter’s total cost of ownership for the target performance (i.e., TCO/performance). As the major component of a datacenter is a server farm, the most effective way of reducing TCO/performance is to improve the server’s performance and power efficiency. To achieve the goal, we claim that it is highly promising to reduce each server’s temperature to its most cost-effective point (or temperature scaling).In this article, we propose CoolDC, a novel and immediately applicable low-temperature cooling method to minimize the datacenter’s TCO. The key idea is to find and apply the most cost-effective sub-freezing temperature to target servers and workloads. For that purpose, we first apply the immersion cooling method to the entire servers to maintain a stable low temperature with little extra cooling and maintenance costs. Second, we define the TCO-optimal temperature for datacenter operation (e.g., 248K 273K (-25℃ 0℃)) by carefully estimating all the costs and benefits at low temperatures. Finally, we propose CoolDC, our immersion-cooling datacenter architecture to run every workload at its own TCO-optimal temperature. By incorporating our low-temperature workload-aware temperature scaling, CoolDC achieves 12.7% and 13.4% lower TCO/performance than the conventional air-cooled and immersion-cooled datacenters, respectively, without any modification to existing computers.</t>
  </si>
  <si>
    <t>In China’s energy consumption, industry is the largest energy consumption in China, energy consumption accounts for about 70% of the total energy consumption in the country. In Europe, companies collectively consume about a quarter of society’s total energy consumption, and almost a third in Germany. The increasing scarcity of resources has led to rising energy prices, in addition to governments have also formulated more stringent environmental regulations and standards, industrial development is facing increasing pressure, and improving the efficiency of energy use in the production process will play a more important role in the near future. Therefore, strengthening enterprise energy management, implementing the scientific concept of development, carrying out enterprise energy saving and consumption reduction actions, and improving energy efficiency are the most effective ways to reduce resource consumption and protect the environment, and are also important contents of China’s new industrialization road [1], which will improve enterprise economic benefits and alleviate energy and environmental constraints faced by social and economic development. It is of great significance to build a resource-saving and environment-friendly society, realize energy saving, emission reduction and low-carbon economy, and complete the planning objectives. In order to enable enterprises to better complete resource allocation, production organization, department settlement and cost accounting, it is necessary to establish a set of effective automatic energy data collection and monitoring and analysis system for the collected energy data, so that enterprises can grasp the energy situation in real time, lay a solid data foundation for the realization of automatic energy regulation, and facilitate the measurement and cost accounting work of enterprises. At the same time, through the results of energy monitoring and analysis, the energy consumption of enterprises is continuously improved, so that energy is efficiently used, and the competitiveness of enterprises is continuously enhanced. © 2024 ACM.</t>
  </si>
  <si>
    <t>Indoor air pollution is a major issue in developing countries such as India and Bangladesh, exacerbated by factors such as traditional cooking methods, insufficient ventilation, and cramped living conditions, all of which elevate the risk of health issues such as lung infections and cardiovascular diseases. With the World Health Organization associating around 3.2 million annual deaths globally to household air pollution, the gravity of the problem is clear. Yet, extensive empirical studies exploring these unique patterns and indoor pollution’s extent are missing. To fill this gap, we carried out a 6-months long field study involving over 30 households, uncovering the complexity of indoor air pollution in developing countries, such as the longer lingering time of volatile organic compounds (VOCs) in the air or the significant influence of air circulation on the spatiotemporal distribution of pollutants. We introduced an innovative Internet of Things (IoT) air quality sensing platform, the Distributed Air QuaLiTy MONitor (DALTON), explicitly designed to meet the needs of these nations, considering factors such as cost, sensor type, accuracy, network connectivity, power, and usability. As a result of a multi-device deployment, the platform identifies pollution hot spots in low- and middle-income households in developing nations. It identifies best practices to minimize daily indoor pollution exposure. Our extensive qualitative survey estimates an overall system usability score of 2.04, indicating an efficient system for air quality monitoring.</t>
  </si>
  <si>
    <t>Barriga, Arturo; Barriga, José A.; Pérez-Toledano, Miguel A.; Clemente, Pedro J.</t>
  </si>
  <si>
    <t>Sobrinho A.; Vilarim M.; Barbosa A.; Candeia Gurjão E.; Santos D.F.S.; Valadares D.; Dias Da Silva L.</t>
  </si>
  <si>
    <t>Ensuring the security of vertical applications in fifth-generation (5G) mobile communication systems and previous generations is crucial. These systems must prioritize maintaining the confidentiality, integrity, and availability of services and data. Examples of vertical applications include smart cities, smart transportation, public services, Industry 4.0, smart grids, smart health, and smart agriculture. Each vertical application has specific security requirements and faces unique threats within the mobile network environment. Thus, it is essential to implement comprehensive and robust security measures. This approach helps minimize the attack surface and effectively manage risks. This survey thoroughly examines mobile networks and their security challenges in vertical applications, shedding light on associated threats and potential solutions. Our study considers the interplay between security considerations in 5G, legacy networks, and vertical applications. We emphasize the challenges, opportunities, and promising directions for future research in this field and the importance of securing vertical applications in the evolving landscape of mobile technology. © 2024 Copyright held by the owner/author(s). Publication rights licensed to ACM.</t>
  </si>
  <si>
    <t>Sobrinho, Álvaro (56435901000); Vilarim, Matheus (59426740500); Barbosa, Amanda (59426163100); Candeia Gurjão, Edmar (7801397843); Santos, Danilo F. S. (24734342000); Valadares, Dalton (55927266200); Dias Da Silva, Leandro (55664662100)</t>
  </si>
  <si>
    <t>Identifying and managing performance interference in clouds has long been a critical and challenging task for cloud providers. They keep seeking useful performance indicators from underlying systems to monitor cloud applications accurately. However, state-of-the-art indicators are either sensitive to limited applications and resource contention or are unrobust to the continually changing production environments. There still lacks a practical and efficient indicator for production environments. This paper proposes INS, a cloud runtime system that can effectively detect the performance fluctuation of online cloud applications and reallocate resources to curb performance interference. It proposes INSPath as the new performance indicator to describe the degree of performance degradation and pinpoint the resource bottlenecks. Our evaluation of nine widely-used applications demonstrates that INS can detect the SLO violations of applications and identify the resource bottleneck accurately. Meanwhile, INS outperforms state-of-the-art PARTIES with more responsive and effective resource tuning and fewer SLO violations. © 2024 Owner/Author.</t>
  </si>
  <si>
    <t>Maranhão, João José; Guerra, Eduardo Martins</t>
  </si>
  <si>
    <t>This paper proposes an approach that employs generative AI, specifically GPT models, to enhance decision-making in software architecture through a sequence of prompt patterns. Five prompt patterns are introduced, each targeting software architects’ specific challenges when navigating complex design decisions. Through a structured and context-aware decision flow, we demonstrate how these patterns can mitigate risks, manage uncertainties, and optimize functional and non-functional requirements. The proposed approach is evaluated in two real-world scenarios and one fictional case, illustrating its practical application in optimizing operations and ensuring scalability, security, and performance. While AI demonstrates transformative potential in aiding architectural practices, we also highlight its limitations, emphasizing the importance of human oversight in validating technical assumptions and avoiding over-reliance on automated tools. This paper contributes to the ongoing dialogue on how AI can be integrated into software architecture to foster more efficient, informed, and context-sensitive decision-making processes for architects.</t>
  </si>
  <si>
    <t>Daniel, João; Wang, Xiaofeng; Guerra, Eduardo</t>
  </si>
  <si>
    <t>Nowadays, corporate systems are heterogeneous, with distributed pieces that collaborate to fulfill the requirements. Communication between autonomous components becomes a key aspect to maintain the quality of the architecture. As a consequence, remote APIs are in focus: the quality in their design might significantly impact the quality of the interacting components. We aim to assist practitioners with designing reusable APIs. We present 8 patterns: (i) “Flexibilize the Ingestion” that structures an API to provide seamless integration by accepting heterogeneous structures as input; (ii) “Enrich with Metadata” that adds a new layer containing metadata to the messages exchanged; (iii) “Agree on Meta Structure” that defines a common metadata structure among the communicating parts; (iv) “Plug the Processors In” that proposes decoupled but composable handlers for the data and metadata; then (v) “Embed Metadata”, (vi) “Configure Meta in Runtime” and (vii) “Configure Meta during Deploy” propose different settings for the placement and setting of metadata; and (viii) “Adapt the Ingestion” that includes an adapter dedicated to set the metadata for ingestion when it is impossible to change the original sender.</t>
  </si>
  <si>
    <t>Nickel, Matthias; Göhringer, Diana</t>
  </si>
  <si>
    <t>Hannou, Fatma-Zohra; Lefrançois, Maxime; Jouvelot, Pierre; Charpenay, Victor; Zimmermann, Antoine</t>
  </si>
  <si>
    <t>Åkesson, Alfred; Gehrmann, Christian; Hedin, Görel; Johnsson, Björn A.; Magnusson, Boris; Nordahl, Mattias; Ramezanian, Sara; Stankovski Wagner, Paul</t>
  </si>
  <si>
    <t>The landscape of healthcare is experiencing a digitalization shift, transferring many medical activities to the patients’ homes, a phenomenon commonly referred to as Hospital-at-Home. While Internet of Things (IoT) devices facilitate the building of such systems, there is a need for powerful middleware that encapsulates device-to-device communication and enables the construction of user-friendly, secure, and robust Hospital-at-Home systems. A key challenge for such middleware is to build a trustworthy and lightweight key management system allowing different devices in the system to exchange messages securely. In this article, we present a simple, easily manageable and scalable such architecture which, in addition, supports long-term data protection using post-quantum cryptographic primitives. Our proposed solution utilizes a Merkle tree to enable the IoT devices to establish trust between each other automatically, even in the absence of an Internet connection. We have implemented the architecture and present performance figures as well as a security analysis of our approach.</t>
  </si>
  <si>
    <t>Soussi, Wissem; Gür, Gürkan; Stiller, Burkhard</t>
  </si>
  <si>
    <t>Emerging cloud-centric networks span from edge clouds to large-scale datacenters with shared infrastructure among multiple tenants and applications with high availability, isolation, fault tolerance, security, and energy efficiency demands. Live migration (LiMi) plays an increasingly critical role in these environments by enabling seamless application mobility covering the edge-to-cloud continuum and maintaining these requirements. This paper presents a comprehensive survey of recent advancements that democratize LiMi, making it more applicable to a broader range of scenarios and network environments both for virtual machines (VMs) and containers, and analyzes LiMi’s technical underpinnings and optimization techniques. It also delves into the issue of connections handover, presenting a taxonomy to categorize methods of traffic redirection synthesized from the existing literature. Finally, it identifies technical challenges and paves the way for future research directions in this key technology.</t>
  </si>
  <si>
    <t>Murillo, Juan M.; Garcia-Alonso, Jose; Moguel, Enrique; Barzen, Johanna; Leymann, Frank; Ali, Shaukat; Yue, Tao; Arcaini, Paolo; Pérez-Castillo, Ricardo; García Rodríguez de Guzmán, Ignacio; Piattini, Mario; Ruiz-Cortés, Antonio; Brogi, Antonio; Zhao, Jianjun; Miranskyy, Andriy; Wimmer, Manuel</t>
  </si>
  <si>
    <t>As quantum computers advance, the complexity of the software they can execute increases as well. To ensure this software is efficient, maintainable, reusable, and cost-effective —key qualities of any industry-grade software— mature software engineering practices must be applied throughout its design, development, and operation. However, the significant differences between classical and quantum software make it challenging to directly apply classical software engineering methods to quantum systems. This challenge has led to the emergence of Quantum Software Engineering as a distinct field within the broader software engineering landscape. In this work, a group of active researchers analyse in depth the current state of quantum software engineering research. From this analysis, the key areas of quantum software engineering are identified and explored in order to determine the most relevant open challenges that should be addressed in the next years. These challenges help identify necessary breakthroughs and future research directions for advancing Quantum Software Engineering.</t>
  </si>
  <si>
    <t>Today's distributed and pervasive computing addresses large-scale cyber-physical ecosystems, characterised by dense and large networks of devices capable of computation, communication and interaction with the environment and people. While most research focuses on treating these systems as “composites” (i.e., heterogeneous functional complexes), recent developments in fields such as self-organising systems and swarm robotics have opened up a complementary perspective: treating systems as “collectives” (i.e., uniform, collaborative, and self-organising groups of entities). This article explores the motivations, state of the art, and implications of this “collective computing paradigm” in software engineering. In particular, it discusses its peculiar challenges, implied by characteristics like distribution, situatedness, large scale, and cooperative nature. These challenges outline significant directions for future research in software engineering, touching on aspects such as macro-programming, collective intelligence, self-adaptive middleware, learning/synthesis of collective behaviour, human involvement, safety and security in collective cyber-physical ecosystems.</t>
  </si>
  <si>
    <t>Artificial Intelligence (AI) fosters enormous business opportunities that build and utilize private AI models. Implementing AI models at scale and ensuring cost-effective production of AI-based technologies through entirely in-house capabilities is a challenge. The success of the Infrastructure as a Service (IaaS) and Software as a Service (SaaS) Cloud Computing models can be leveraged to facilitate a cost-effective and scalable AI service paradigm, namely, ‘AI as a Service.’ We summarize current state-of-the-art solutions for AI-as-a-Service (AIaaS), and we discuss its prospects for growth and opportunities to advance the concept. To this end, we perform a thorough review of recent research on AI and various deployment strategies for emerging domains considering both technical as well as survey articles. Next, we identify various characteristics and capabilities that need to be met before an AIaaS model can be successfully designed and deployed. Based on this we present a general framework of an AIaaS architecture that integrates the required aaS characteristics with the capabilities of AI. We also compare various approaches for offering AIaaS to end users. Finally, we illustrate several real-world use cases for AIaaS models, followed by a discussion of some of the challenges that must be addressed to enable AIaaS adoption.</t>
  </si>
  <si>
    <t>Lovas R.; Farkas A.; Marosi A.C.; Ács S.; Kovács J.; Szalóki Á.; Kádár B.</t>
  </si>
  <si>
    <t>One of the main driving forces in the era of cyber-physical systems (CPSs) is the introduction of massive sensor networks (or nowadays various Internet of things solutions as well) into manufacturing processes, connected cars, precision agriculture, and so on. Therefore, large amounts of sensor data have to be ingested at the server side in order to generate and make the “twin digital model” or virtual factory of the existing physical processes for (among others) predictive simulation and scheduling purposes usable. In this paper, we focus on our ultimate goal, a novel software container-based approach with cloud agnostic orchestration facilities that enable the system operators in the industry to create and manage scalable, virtual IT platforms on-demand for these two typical major pillars of CPS: (1) server-side (i.e., back-end) framework for sensor networks and (2) configurable simulation tool for predicting the behavior of manufacturing systems. The paper discusses the scalability of the applied discrete-event simulation tool and the layered back-end framework starting from simple virtual machine-level to sophisticated multilevel autoscaling use case scenario. The presented achievements and evaluations leverage on (among others) the synergy of the existing EasySim simulator, our new CQueue software container manager, the continuously developed Occopus cloud orchestrator tool, and the latest version of the evolving MiCADO framework for integrating such tools into a unified platform. © 2018 Róbert Lovas et al.</t>
  </si>
  <si>
    <t>Lovas, Róbert (22433533300); Farkas, Attila (57195997679); Marosi, Attila Csaba (55664653500); Ács, Sándor (36661971400); Kovács, József (12795015200); Szalóki, Ádám (57207846077); Kádár, Botond (6602927618)</t>
  </si>
  <si>
    <t>The Internet of Things (IoT) enables the number of connected devices to be increased rapidly based on heterogeneous technologies such as platforms, frameworks, libraries, protocols, and standard specifications. Based on the connected devices, various applications can be developed by integrating domain-specific contents using the service composition for providing improved services. The management of the information including devices, contents, and composite objects is necessary to represent the physical objects on the Internet for accessing the IoT services transparently. In this paper, we propose an integrated service composition approach based on multiple service providers to provide improved IoT services by combining various service objects in heterogeneous IoT networks. In the proposed IoT architecture, each service provider provides web services based on Representational State Transfer (REST) Application Programming Interface (API) that delivers information to the clients as well as other providers for integrating the information to provide new services. Through the REST APIs, the integration management provider combines the service result of the IoT service provider to other contents to provide improved services. Moreover, the interworking proxy is proposed to bridge heterogeneous IoT networks for enabling transparent access in the integrated services through proving protocol translating on the entry of the device networks. Therefore, the interworking proxy is deployed between the IoT service provider and device networks to enable clients to access heterogeneous IoT devices through the composited services transparently. © 2021 Wenquan Jin et al.</t>
  </si>
  <si>
    <t>With the development of Internet of Things, massive computation-intensive tasks are generated by mobile devices whose limited computing and storage capacity lead to poor quality of services. Edge computing, as an effective computing paradigm, was proposed for efficient and real-time data processing by providing computing resources at the edge of the network. The deployment of 5G promises to speed up data transmission but also further increases the tasks to be offloaded. However, how to transfer the data or tasks to the edge servers in 5G for processing with high response efficiency remains a challenge. In this paper, a latency-aware computation offloading method in 5G networks is proposed. Firstly, the latency and energy consumption models of edge computation offloading in 5G are defined. Then the fine-grained computation offloading method is employed to reduce the overall completion time of the tasks. The approach is further extended to solve the multiuser computation offloading problem. To verify the effectiveness of the proposed method, extensive simulation experiments are conducted. The results show that the proposed offloading method can effectively reduce the execution latency of the tasks. © 2021 Xianwei Li and Baoliu Ye.</t>
  </si>
  <si>
    <t>With the rapid development of engineering information technologies such as building Information Model (BIM), geographic information system (GIS), Internet of Things, big data, and cloud computing, and the intelligent management of infrastructure will become an inevitable development trend. Microservice architecture, because of the service component and other related characteristics, using this architecture can build a high availability and low coupling application system, which effectively improves the service quality of the system, and therefore the microservice architecture has gradually become the flow software development architecture. Based on the research of infrastructure digitization and integration of construction and maintenance, this paper proposes the concept of infrastructure intelligent service system (is3) from the perspective of information flow, so as to realize the intelligent management of infrastructure. This paper is based on the system requirements analysis. The intelligent service system of infrastructure with microservice architecture is designed, and its performance is tested through experiment. The test results show that in the brain high development test, the designed service reached no error, and the average response day was stable below 27 ms; in the continuous high concurrent test, the average response time of the designed service side remained within 100 ms when the concurrency is 12000, and no request occurred during the test.  © 2022 Yanyan Lv and Wenken Tan.</t>
  </si>
  <si>
    <t>This paper provides an in-depth study and analysis of a distributed allocation algorithm for collaborative resources for cloud-edge-vehicle-based Telematics. The approach starts from the emerging application of urban environmental monitoring based on vehicular networking, with an integrated design of data sensing detection and transmission, and collaborative monitoring of vehicle swarm intelligence based on urban air quality collection to avoid redundancy of information and communication overload. A hybrid routing method with minimal delay for reliable data transmission is proposed. The power adjustment algorithm divides the channel into 3 states. When the CBR is less than 0.5, the channel is in an idle state, and when the CBR is greater than 0.5 and less than 0.8, the channel is in an active state. The algorithm designs redundancy strategies based on coding mechanisms to improve the reliability of data transmission, combines coding mechanisms with routing design, incorporates routing switching ideas, and performs probability-based routing decisions to minimize the delay. In straight-line road sections, a fuzzy logic prediction-based vehicle adaptive connectivity clustering routing algorithm is proposed to reduce the communication overhead during vehicle collaboration and ensure high network connectivity; at intersections, a probability-based minimum delay routing decision algorithm is proposed to reduce the information transmission delay. Experiments show that the proposed method effectively improves the efficiency of data-aware collection and transmission, and increases the reliability of transmission. With the explosive growth of video services, the problem of intelligent transmission of DASH-based video streams has become another research hotspot in mobile edge networks. Based on the edge container cloud architecture of vehicular networking, the resource constraints of microservices when deployed in the edge cloud platform were analyzed, and a multi-objective optimization model for microservice resource scheduling was established with the comprehensive performance objectives of shortest microservice invocation distance, highest resource utilization of physical machine clusters, and ensuring load balancing as much as possible.  © 2022 Zheng Zhang et al.</t>
  </si>
  <si>
    <t>Most photovoltaic power generation methods use global level irradiance (GHI) as the main input and output. However, randomness, instability, and intermittency are the main factors that seriously degrade the solar irradiance prediction results. Traditional data-driven prediction models are difficult for accurate predictions. In this study, a multichannel deep learning model named multichannel, wavelet transform combining convolutional neural network and bidirectional long short-term memory (MC-WT-CBiLSTM) framework-based edge computing and IoT system is proposed to improve the GHI prediction accuracy. The solar irradiance data is decomposed by wavelet transform to reduce data complexity. Each decomposed component is inputted into the multichannel MC-CBiLSTM deep learning framework for forecasting and combined to produce the final results. The comparison with existing solar irradiance forecasting methods shows that the proposed MC-WT-CBiLSTM deep learning framework has obvious advantages in the prediction of various time horizons.  © 2022 Maozheng Pi et al.</t>
  </si>
  <si>
    <t>In the cloud, optimal CPU and memory utilization can lead to low energy consumption, which is an important aspect of green computing. However, constantly changing workloads may contribute to resource over- or underutilization. The former violates the service level agreement's quality of service constraints. The latter indicates that as workload decreases, virtual machine resource utilization decreases. They introduce difficult decision-making tasks when dynamically adapting (e.g., migrating) a virtual machine in order to maximize its resource utilization over time. To address these challenges, we propose a newer mathematical model called the technical debt-aware computing model for virtual machine migration (TD4VM). The model promotes a holistic approach to dynamic virtual machine adaptation for cloud service providers and addresses existing issues regarding logical aspects of virtual machine adaptation in a highly dynamic cloud environment, which includes a measurement mechanism and estimation guidelines for estimating future debt and utility. Technical debt-aware models make decisions based on VM operating costs, quality, minimizing SLA violations, and incurring technical debt. This approach connects decisions about virtual machine migration that affect overall utility over time. Our method can determine whether a virtual machine should be moved when it is over or underutilized based on its technical debt. The experimental results on a dataset obtained from the Materna-trace-1 demonstrate that the proposed approach outperforms other state-of-the-art methods on a variety of performance metrics. A numerical comparison shows that TD4VM outperforms the other approaches, with VM resource economies of 171.84%, 91.33%, 97.85%, and 93.89% for TD4VM, LRMMT, IQRMC, and IQRMMT, respectively. Additionally, we quantify the debt amassed using TD4VM and state-of-the-art techniques. When compared to LRMMT, IQRMC, and IQRMMT, which cost (in $) 0.77, 0.73, and 0.76, respectively, TD4VM accumulates the minimum debt of 0.17. © 2022 Avneesh Vashistha et al.</t>
  </si>
  <si>
    <t>With the extensive use of the Internet of Things (IoT) in agriculture, the number of terminals are also grow rapidly. This will increase the network traffic and computing pressure of the centralized server. The centralized data processing mode used in traditional agriculture cannot meet the needs of the Internet of everything era. This paper designs a gateway based on edge-computing technology for monitoring crop growth environment. It uses virtualized container technology to package long-range wide-area network (LoRaWAN) server, pest identification, and environmental information data fusion functions into images. It forms integrated operation mode of multiple function in agriculture. The gateway applies message-oriented middleware to standardize and customize the data transmission among functional modules, clouds, and edges. Through simulation and field test, the designed gateway can achieve the functions of each module at the same time, the resource utilization, and the transmission quality are stable. The edge-computing gateway has the advantages of low cost, low latency, and low power consumption which has practical significance.  © 2022 Mo Dong et al.</t>
  </si>
  <si>
    <t>The development of service computing technology has triggered the need for organizations to build a service computing system. This system is able to deliver IT services that can meet the challenges and needs of business services. An understanding of the service computing systems engineering life cycle is necessary to model and build the systems. This paper conducts the study of the service computing systems concepts and proposes the life cycle of service computing system engineering. First, some publications relevant to the service computing systems are reviewed systematically in order to develop fundamental concepts and elements of the systems. Second, a metamodel of service computing systems is built based on those concepts. Third, the life cycle model of service computing systems engineering is proposed based on the metamodel. Finally, the verification of the life cycle is conducted by comparing the proposed life cycle to the life cycle of software engineering, service engineering, and service system engineering. The contribution of this paper is to provide a coincise understanding of the components that are needed to build such systems and show the interaction and collaboration between the components in the service computing systems. © 2018, Institute of Advanced Engineering and Science. All rights reserved.</t>
  </si>
  <si>
    <t>Big data systems are essential for many businesses to grow, leveraging the vast amounts of data they generate and access. However, big data systems are plagued by significant sustainability challenges. Thus, this study aims to identify metrics that can measure the sustainability of big data systems. This research conducted a comprehensive literature review to identify five key sustainability dimensions: technical, environmental, economic, social, and individual. Then, a set of 29 metrics corresponding to these dimensions was developed. To ensure the relevance and applicability of these metrics, an expert validation session was carried out with five experts in the big data field. The validation process confirmed the appropriateness of our proposed metrics and modification take place. The findings of this study present 30 metrics upon experts’ validation that could enhance the sustainability of big data systems, offering meaningful insights for researchers and practitioners aiming to enhance resource and energy efficiency in this domain. © 2024, Institute of Advanced Engineering and Science. All rights reserved.</t>
  </si>
  <si>
    <t>Cloud computing is the environment in which several virtual machines (VM) run concurrently on physical machines. The cloud computing infrastructure hosts multiple cloud services that communicate with each other using the interfaces. During operation, the software systems accumulate errors or garbage that leads to system failure and other hazardous consequences. This status is called software aging. Software aging happens because of memory fragmentation, resource consumption in large scale and accumulation of numerical error. Software aging degrads the performance that may result in system failure. This happens because of premature resource exhaustion. The errors that cause software agings are of special types and target the response time and its environment. This issue is to be resolved only during run time as it occurs because of the dynamic nature of the problem. To alleviate the impact of software aging, software rejuvenation technique is being used. Rejuvenation process reboots the system or reinitiates the softwares. Software rejuvenation removes accumulated error conditions, frees up deadlocks and defragments operating system resources like memory. Software aging and rejuvenation has generated a lot of research interest recently. This work reviews some of the research works related to detection of software aging and identifies research gaps. Copyright © 2020 Institute of Advanced Engineering and Science. All rights reserved.</t>
  </si>
  <si>
    <t>The internet of things (IoT) is a revolutionary innovation in many aspects of our society including interactions, financial activity, and global security such as the military and battlefield internet. Due to the limited energy and processing capacity of network devices, security, energy consumption, compatibility, and device heterogeneity are the long-term IoT problems. As a result, energy and security are critical for data transmission across edge and IoT networks. Existing IoT interoperability techniques need more computation time, have unreliable authentication mechanisms that break easily, lose data easily, and have low confidentiality. In this paper, a key agreement protocol-based authentication mechanism for IoT devices is offered as a solution to this issue. This system makes use of information exchange, which must be secured to prevent access by unauthorized users. Using a compact contiki/cooja simulator, the performance and design of the suggested framework are validated. The simulation findings are evaluated based on detection of malicious nodes after 60 minutes of simulation. The suggested trust method, which is based on privacy access control, reduced packet loss ratio to 0.32%, consumed 0.39% power, and had the greatest average residual energy of 0.99 mJoules at 10 nodes. © 2024 Institute of Advanced Engineering and Science. All rights reserved.</t>
  </si>
  <si>
    <t>More things are connected to the Internet, making the internet of things (IoT) develop significantly. But IoT also has weaknesses in communication, one of which can be overcome by utilizing message querying telemetry transfer (MQTT) because there are too many benefits of MQTT. Because there have been many published studies regarding MQTT, this study aims to conduct a review utilizing preferred reporting items for systematic reviews and meta-analyses (PRISMA) on the application of MQTT in IoT applications to enhance technology. The results of using PRISMA were 57 papers selected from this process, which starts from the identification stage, screening, eligibility, and included. The last author found components that can be discussed to enhance technology. In this discussion, several topics will be used to enhance technology, such as; smart technology, security, MQTT performance for IoT, monitoring systems, MQTT comparison, enhancement or optimization. This paper is expected to help academia and industry related to MQTT research that can help IoT to enhance technology quality. © 2022, Institute of Advanced Engineering and Science. All rights reserved.</t>
  </si>
  <si>
    <t>Effective scheduling of limited communication resources is one of the critical methods for data transmission in the Internet of things. However, the time slot utilization rate of many existing resource scheduling methods of Internet of things is not high. This article proposes a new efficient resource scheduling based on routing tree and detection matrix for Internet of things. In heterogeneous Internet of things, according to the different working modes and functions, the nodes are divided into Internet of things devices, routing nodes, and base station. We use time slot multiplexing to improve the time slot utilization of continuous transmission in Internet of things. First, the time slot allocation table in a round is obtained by the time slot scheduling based on the routing tree. Then, the collision matrix and the transmission matrix are established based on the time slot allocation table in a round. Finally, the minimum time slot scheduling in continuous rounds is determined based on the routing tree and the detection matrix. The experimental results show that the resource scheduling based on routing tree and detection matrix effectively improves the utilization of time slots and improves the throughput of the Internet of things. © The Author(s) 2021.</t>
  </si>
  <si>
    <t>Microservices are a popular method to design scalable cloud-based applications. Microservice-based applications (μApps) rely on message passing for communication and to decouple each microservice, allowing the logic in each service to scale independently. Complex μApps can contain hundreds of microservices, complicating the ability of DevOps engineers to reason about and automatically optimize the deployment. In particular, the performance and resource utilization of a μApp depends on the placement of the microservices that compose it. However, existing tools for μApps, like Kubernetes, provide minimal ability to influence the placement and utilization of a μApp deployment. In this paper, we first identify the runtime aspects of microservice execution that impact the placement of microservices in a μApp. We then review the challenges of reconfiguring a μApp based on these aspects. Our main contribution is an adaptation mechanism, named REMaP, to manage the placement of microservices in an μApp automatically. To achieve this, REMaP uses microservice affinities and resource usage history. We evaluate our REMaP prototype and demonstrate that our solution is autonomic, lowers resource utilization, and can substantially improve μApp performance. © 2019, The Author(s).</t>
  </si>
  <si>
    <t>The Internet of things (IoT) is an important technology that is highly beneficial in establishing smart items, connections and cities. However, there are worries regarding security and privacy vulnerabilities in IoT in which some emerge from numerous sources, including cyberattacks, unsecured networks, data, connections or communication. This paper provides an ensemble intrusion strategy based on Cyborg Intelligence (machine learning and biological intelligence) framework to boost security of IoT enabled networks utilized for network traffic of smart cities. To do this, multiple algorithms such Random Forest, Bayesian network (BN), C5.0, CART and Artificial Neural Network were investigated to determine their usefulness in identifying threats and attacks-botnets in IoT networks based on cyborg intelligence using the KDDcup99 dataset. The results reveal that the AdaBoost ensemble learning based on Cyborg Intelligence Intrusion Detection framework facilitates dissimilar network characteristics with the capacity to swiftly identify different botnet assaults efficiently. The suggested framework has obtained good accuracy, detection rate and a decreased false positive rate in comparison to other standard methodologies. The conclusion of this study would be a valuable complement to the efforts toward protecting IoT-powered networks and the accomplishment of safer smart cities. © 2022, The Author(s).</t>
  </si>
  <si>
    <t>Onyema, Edeh Michael (57226165864); Dalal, Surjeet (57190939535); Romero, Carlos Andrés Tavera (57222333934); Seth, Bijeta (57192431483); Young, Praise (57746220800); Wajid, Mohd Anas (57220351741)</t>
  </si>
  <si>
    <t>In the early days of digital transformation, the automation, scalability, and availability of cloud computing made a big difference for business. Nonetheless, significant concerns have been raised regarding the security and privacy levels that cloud systems can provide, as enterprises have accelerated their cloud migration journeys in an effort to provide a remote working environment for their employees, primarily in light of the COVID-19 outbreak. The goal of this study is to come up with a way to improve steganography in ad hoc cloud systems by using deep learning. This research implementation is separated into two sections. In Phase 1, the “Ad-hoc Cloud System” idea and deployment plan were set up with the help of V-BOINC. In Phase 2, a modified form of steganography and deep learning were used to study the security of data transmission in ad-hoc cloud networks. In the majority of prior studies, attempts to employ deep learning models to augment or replace data-hiding systems did not achieve a high success rate. The implemented model inserts data images through colored images in the developed ad hoc cloud system. A systematic steganography model conceals from statistics lower message detection rates. Additionally, it may be necessary to incorporate small images beneath huge cover images. The implemented ad-hoc system outperformed Amazon AC2 in terms of performance, while the execution of the proposed deep steganography approach gave a high rate of evaluation for concealing both data and images when evaluated against several attacks in an ad-hoc cloud system environment. © 2022, The Author(s).</t>
  </si>
  <si>
    <t>A major challenge in Cloud-Fog settings is the scheduling of workflow applications with time constraints as the environment is highly volatile and dynamic. Furthermore, adding the complexities of handling IoT nodes, as the major owners of the workflow requests, renders the problem space even harder to address. This paper presents a hybrid scheduling-clustering method for addressing this challenge. The proposed lightweight, decentralized, and dynamic clustering algorithm is based on fuzzy inference with intrinsic support for mobility to form stable and well-sized clusters of IoT nodes while avoiding global clustering and recurrent re-clustering. The proposed distributed method uses Cloud resources along with clusters of mobile and inert Fog nodes to schedule time-constrained workflow applications with considering a proper balance between contradicting criteria and promoting scalability and adaptability. The Velociraptor simulator (version 0.6.7) has been used to throughtly examine and compare the proposed method in real workloads with two contemporary and noteworthy methods. The evaluation results show the superiority of the proposed method as the resource utilization is about 20% better and the schedule success rate is almost 21% better compared with the two other methods. Also, other parameters such as throughput and energy consumption have been studied and reported. © 2023, The Author(s).</t>
  </si>
  <si>
    <t>The growth of cloud computing is hindered by concerns about privacy and security. Despite the widespread use of network intrusion detection systems (NIDS), the issue of false positives remains prevalent. Furthermore, few studies have approached the intrusion detection problem as a time series issue, requiring time series modeling. In this study, we propose a novel technique for the early detection of intrusions in cloud computing using time series data. Our approach involves a method for Feature Selection (FS) and a prediction model based on the Facebook Prophet model to assess its efficiency. The FS method we propose is a collaborative feature selection model that integrates time series analysis techniques with anomaly detection, stationary, and causality tests. This approach specifically addresses the challenge of misleading connections between time series anomalies and attacks. Our results demonstrate a significant reduction in predictors employed in our prediction model, from 70 to 10 predictors, while improving performance metrics such as Mean Absolute Error (MAE), Mean Squared Error (MSE), Root Mean Squared Error (RMSE), Mean Absolute Percentage Error (MAPE), Median Absolute Percentage Error (MdAPE), and Dynamic Time Warping (DTW). Furthermore, our approach has resulted in reduced training, prediction, and cross-validation times of approximately 85%, 15%, and 97%, respectively. Although memory consumption remains similar, the utilization time has been significantly reduced, resulting in substantial resource usage reduction. Overall, our study presents a comprehensive methodology for effective early detection of intrusions in cloud computing based on time series anomalies, employing a collaborative feature selection model and the Facebook Prophet prediction model. Our findings highlight the efficiency and performance improvements achieved through our approach, contributing to the advancement of intrusion detection techniques in the context of cloud computing security. © 2023, Springer-Verlag GmbH Germany, part of Springer Nature.</t>
  </si>
  <si>
    <t>Cloud computing is the most widely adapted computing model to process scientific workloads in remote servers accessed through the internet. In the IaaS cloud, the virtual machine (VM) is the execution unit that processes the user workloads. Virtualization enables the execution of multiple virtual machines (VMs) on a single physical machine (PM). Virtual machine placement (VMP) strategically assigns VMs to suitable physical devices within a data center. From the cloud provider's perspective, the virtual machine must be placed optimally to reduce resource wastage to aid economic revenue and develop green data centres. Cloud providers need an efficient methodology to minimize resource wastage, power consumption, and network transmission delay. This paper uses NSGA-III, a multi-objective evolutionary algorithm, to simultaneously reduce the mentioned objectives to obtain a non-dominated solution. The performance metrics (Overall Nondominated Vector Generation and Spacing) of the proposed NSGA-III algorithm is compared with other multi-objective algorithms, namely VEGA, MOGA, SPEA, and NSGA-II. It is observed that the proposed algorithm performs 7% better that the existing algorithm in terms of ONVG and 12% better results in terms of spacing. ANOVA and DMRT statistical tests are used to cross-validate the results. © 2023, Springer-Verlag GmbH Germany, part of Springer Nature.</t>
  </si>
  <si>
    <t>In the field of meteorology, the global radar network is indispensable for detecting weather phenomena and offering early warning services. Nevertheless, radar data frequently exhibit anomalies, including gaps and clutter, arising from atmospheric refraction, equipment malfunctions, and other factors, resulting in diminished data quality. Traditional radar blockage correction methods, such as employing approximate radial information interpolation and supplementing missing data, often fail to effectively exploit potential patterns in massive radar data, for the large volume of data precludes a thorough analysis and understanding of the inherent complex patterns and dependencies through simple interpolation or supplementation techniques. Fortunately, edge computing possesses certain data processing capabilities and cloud center boasts substantial computational power, which together can collaboratively offer timely computation and storage for the correction of radar beam blockage. To this end, an edge-cloud collaborative driven deep learning model named DenMerD is proposed in this paper, which includes dense connection module and merge distribution (MD) unit. Compared to existing models such as RC-FCN, DenseNet, and VGG, this model greatly improves key performance metrics, with 30.7 (Formula presented.) improvement in Critical Success Index (CSI), 30.1 (Formula presented.) improvement in Probability of Detection (POD), and 3.1 (Formula presented.) improvement in False Alarm Rate (FAR). It also performs well in the Structure Similarity Index Measure (SSIM) metrics compared to its counterparts. These findings underscore the efficacy of the design in improving feature propagation and beam blockage accuracy, and also highlights the potential and value of mobile edge computing in processing large-scale meteorological data. © The Author(s) 2024.</t>
  </si>
  <si>
    <t>In recent years, mobile applications have proliferated across domains such as E-banking, Augmented Reality, E-Transportation, and E-Healthcare. These applications are often built using microservices, an architectural style where the application is composed of independently deployable services focusing on specific functionalities. Mobile devices cannot process these microservices locally, so traditionally, cloud-based frameworks using cost-efficient Virtual Machines (VMs) and edge servers have been used to offload these tasks. However, cloud frameworks suffer from extended boot times and high transmission overhead, while edge servers have limited computational resources. To overcome these challenges, this study introduces a Microservices Container-Based Mobile Edge Cloud Computing (MCBMEC) environment and proposes an innovative framework, Optimization Task Scheduling and Computational Offloading with Cost Awareness (OTSCOCA). This framework addresses Resource Matching, Task Sequencing, and Task Scheduling to enhance server utilization, reduce service latency, and improve service bootup times. Empirical results validate the efficacy of MCBMEC and OTSCOCA, demonstrating significant improvements in server efficiency, reduced service latency, faster service bootup times, and notable cost savings. These outcomes underscore the pivotal role of these methodologies in advancing mobile edge computing applications amidst the challenges of edge server limitations and traditional cloud-based approaches. © The Author(s) 2024.</t>
  </si>
  <si>
    <t>Data and Computation-Intensive Service Reconfiguration with Low Cost of Imbalanced Resources in Edge Networks; [资源失配时低代价的数据与计算密集型服务重配]</t>
  </si>
  <si>
    <t>The advent of edge computing has revolutionized the landscape of Internet of Things (IoT) applications, enabling a plethora of services to operate at the network periphery. Among these are augmented reality, online interactive gaming, and real-time video processing, all of which arc characterized by their sensitivity to latency. The quality of servicc (QoS) demands for these applications arc stringent, necessitating precisc control over geospatial positioning, response times, energy efficiency, and other resource-intensive constraints. IoT devices, which are integral to the functioning of these applications, encapsulate a variety of functionalities through IoT services. The fulfillment of user requests often hinges on the seamless composition of these data and computation-intensive services. However, the resource limitations inherent to IoT devices pose a significant challenge. The dynamic allocation and deallocation of resources during the runtime of IoT services lead to fluctuations in the availability of these resources within edge networks. Given the difficulty in replenishing IoT device resources and the potential for substantial variability in their consumption, the risk of device overload is a genuine concern. This can result in a decline in the ability of IoT services to consistently meet user requests, thereby degrading the QoS for both current and future requests. This paper introduces a novel low-cost service reconfiguration strategy designed to mitigate the imbalance of resources in edge computing environments. By leveraging service migration technologies, we propose a resource-efficient reconfiguration method capable of accommodating a greater number of forthcoming user requests, all while adhering to specified QoS constraints. We formulate the service reconfiguration problem as markov multi-phases decisions, which are addressed by Double Q-network with the replay buffer to enhance Reinforcement Learning (denoted DQRL). This algorithm considers the delay of IoT applications and resource utilization of IoT devices comprehensively, to optimize service reconfiguration in edge networks. The proposed strategy is underpinned by an intelligent deci- sion-making framework that optimizes the allocation of resources to IoT services, thereby enhancing the resilience and adaptability of edge networks to fluctuating demands. To validate the efficacy of our approach, we conducted extensive experiments using a dataset from Shanghai telecom base stations, which provided a realistic and complex environment for testing. The experimental results show that our approach performs better than baseline techniques in terms of satisfying delay constraints of IoT applications, decreasing energy consumption, and improving the resource utilization efficiency of IoT devices. This performance not only contributes to the sustainability of IoT ecosystems but also enhances the overall resource utilization efficiency of IoT devices. © 2024 Science Press. All rights reserved.</t>
  </si>
  <si>
    <t>The internet of things (IoT) is rapidly expanding and improving operations in a wide range of real-world applications, from consumer IoT and enterprise IoT to manufacturing and industrial IoT (IIoT). Consumer markets, wearable devices, healthcare, smart buildings, agriculture, and smart cities are just a few examples. This paper discusses the current state of the IoT ecosystem, its primary applications and benefits, important architectural stages, some of the problems and challenges it faces, and its future. This paper explains how an appropriate IoT architecture that saves data, analyzes it, and recommends corrective action improves the process’s ground reality. The IoT system architecture is divided into three layers: device, gateway, and platform. This then cascades into the four stages of the IoT architectural layout: sensors and actuators; gateways and data acquisition systems; edge IT data processing; and datacenter and cloud, which use high-end apps to collect data, evaluate it, process it, and provide remedial solutions. This elegant combination provides excellent value in automatic action. In the future, IoT will continue to serve as the foundation for many technologies. Machine learning will become more popular in the coming years as IoT networks take center stage in a variety of industries. © This is an open access article under the CC BY-SA license.</t>
  </si>
  <si>
    <t>P. Szilágyi</t>
  </si>
  <si>
    <t>This paper targets the execution of data science (DS) pipelines supported by data processing, transmission and sharing across several resources executing greedy processes. Current data science pipelines environments provide various infrastructure services with computing resources such as general-purpose processors (GPP), Graphics Processing Units (GPUs), Field Programmable Gate Arrays (FPGAs) and Tensor Processing Unit (TPU) coupled with platform and software services to design, run and maintain DS pipelines. These one-fits-all solutions impose the complete externalization of data pipeline tasks. However, some tasks can be executed in the edge, and the backend can provide just in time resources to ensure ad-hoc and elastic execution environments. This paper introduces an innovative composable “Just in Time Architecture” for configuring DCs for Data Science Pipelines (JITA-4DS) and associated resource management techniques. JITA-4DS is a cross-layer man-agement system that is aware of both the application characteristics and the underlying infrastructures to break the barriers between applications, middleware/operating system, and hardware layers. Vertical integration of these layers is needed for building a customizable Virtual Data Center (VDC) to meet the dynamically changing data science pipelines' requirements such as performance, availability, and energy consumption. Accordingly, the paper shows an experimental simulation devoted to run data science workloads and determine the best strategies for scheduling the allocation of resources implemented by JITA-4DS.</t>
  </si>
  <si>
    <t>National Science Foundation(grant numbers:NSF CNS-1624668);</t>
  </si>
  <si>
    <t>Beijing University of Posts and Telecommunications;</t>
  </si>
  <si>
    <t>Development Exploration of Container Technology Through Docker Containers: A Systematic Literature Review Perspective; [从 Docker 容器看容器技术的发展: 一种系统文献综述的视角]</t>
  </si>
  <si>
    <t>In recent years, software construction, operation, and evolution have encountered many new requirements, such as the need for efficient switching or configuration in development and testing environments, application isolation, resource consumption reduction, and higher efficiency of testing and deployment. These requirements pose great challenges to developers in developing and maintaining software. Container technology has the potential of releasing developers from the heavy workload of development and maintenance. Of particular note, Docker, as the de facto industrial standard for containers, has recently become a popular research area in the academic community. To help researchers understand the status and trends of research on Docker containers, this study conducts a systematic literature review by collecting 75 high-level papers in this field. First, quantitative methods are used to investigate the basic status of research on Docker containers, including research quantity, research quality, research areas, and research methods. Second, the first classification framework for research on Docker containers is presented in this study, and the current studies are systematically classified and reviewed from the dimensions of the core, platform, and support. Finally, the development trends of Docker container technology are discussed, and seven future research directions are summarized. © 2023 Chinese Academy of Sciences. All rights reserved.</t>
  </si>
  <si>
    <t>APU: Method to Estimate Computing рower Consumption of Hyper-threading рrocessors; [APU: 一种精确评估超线程处理器算力消耗程度的方法]</t>
  </si>
  <si>
    <t>With the development of cloud computing and service architectures including software as a service (SaaS) and function as a service (FaaS), data centers, as the service provider, constantly face resource management. The quality of service (QoS) should be guaranteed, and the resource cost should be controlled. Therefore, a method to accurately measure computing power consumption becomes a key research issue for improving resource utilization and keeping the load pressure in the acceptable range. Due to mature virtualization technologies and developing parallel technologies, the traditional estimation metric CPU utilization fails to address interference caused by resource competition, thus leading to accuracy loss. However, the hyper-threading (HT) technology is employed as the main data center processor, which makes it urgent to estimate the computing power of HT processors. To address this estimation challenge, this study proposes the APU method to estimate the computing power consumption for HT processors based on the understanding of the HT running mechanism and thread behavior modeling. Considering that users with different authorities can access different system levels, two implementation schemes are put forward: one based on the hardware support and the other based on the operating system (OS). The proposed method adopts CPU utilization as the input without demands for other dimensions. Additionally, it reduces the development and deployment costs of new monitoring tools without the support of special hardware architectures, thereby making the method universal and easy to apply. Finally, SPEC benchmarks further prove the effectiveness of the method. The estimation errors of the three benchmarks are reduced from 20%, 50%, and 20% to less than 5%. For further proving the applicability, the APU method is leveraged to ByteDance clusters for showing its effects in case studies. © 2023 Chinese Academy of Sciences. All rights reserved.</t>
  </si>
  <si>
    <t>Edge Intelligence to Power Internet of Things: Concept, Architecture, Technology and Application; [电力物联网边缘智能：概念、架构、技术及应用]</t>
  </si>
  <si>
    <t>In recent years, with the large-scale deployment of sensors, acquisition devices, and perception terminals, as well as the integration of new technologies such as Artificial Intelligence, 5G, and BeiDou, there are many intelligent applications in Power Internet of Things (PIoT), such as intelligent inspection, online monitoring, and demand response. These applications have generated massive amounts of sensory data. Uploading the data to cloud servers consumes a significant amount of communication bandwidth, placing immense pressure on network channels and cloud resources. Moreover, the data process cannot meet the real-time requirements of these applications. To address these issues, the concept of edge intelligence to PIoT has emerged. By combining edge computing with artificial intelligence, edge intelligence to PIoT uses AI algorithms to perform preprocessing, local computation, and inference near the data source. This approach reduces the communication bandwidth, and decreases transmission latency and power consumption. Edge Intelligence to PIoT provides an effective solution to the above problems. This article first explains the concept and evolution of edge intelligence to PIoT. Then, the architecture of edge intelligence in smart grid IoT is proposed, and the hardware and software foundations of edge intelligence to PIoT are analyzed from three levels: edge-side AI chips, edge computing operating systems, and edge computing frameworks. Next, key technologies in edge intelligence to PIoT are discussed from five aspects: cloud-edge collaboration, model compression, model acceleration, swarm intelligence, and federated learning. Furthermore, application scenarios for edge intelligence to PIoT are explored in the five aspects of “generation, transmission, transformation, distribution, and utilization”. Finally, the opportunities and challenges of edge intelligence to PIoT are analyzed. ©2024 Chin.Soc.for Elec.Eng.</t>
  </si>
  <si>
    <t>N. Benzaoui; J. M. Estarán; E. Dutisseuil; H. Mardoyan; G. D. Valicourt; A. Dupas; Q. P. Van; D. Verchere; B. Ušćumlić; M. S. Gonzalez; P. Dong; Y. . -K. Chen; S. Bigo; Y. Pointurier</t>
  </si>
  <si>
    <t>Today’s traditional, hierarchical, fullelectronic data centers cannot guarantee quality of service (QoS) for latency-sensitive applications or carrier-grade multitenancy.We propose cloud burst optical-slot switching (CBOSS), an intra-data center network architecture leveraging the original optical components and custom software- defined network (SDN) control to enable traffic engineering. In particular, we demonstrate network slicing on demand with subwavelength granularity and deterministic per-flowQoSguarantees in a 3-top-of-rack(ToR)CBOSSnetwork prototype. We rely on an integrated silicon photonics (SiP) wavelength dropper, a fast-tunable laser, and custom SDN-based controller.</t>
  </si>
  <si>
    <t>We present the network architecture of Alibaba Cloud DCs and investigate their traffic characteristics based on statistical data and captured traces. The statistical coarse-grained data are in the granularity of one minute, while the captured traces are fine-grained data that are in the granularity of one packet. We study the traffic features from the perspective of a macroscopic view, network performance, and microscopic view. The results report that the average utilization ratio of spine switches is stable when the observation time period reaches one day and the intra-ToR traffic ratio is in the range of 2%–10%. By mapping the folded-Clos topology to a tree topology and considering logical switching planes, we obtain the traffic matrix among pods from the average port utilization ratio. As we further investigate the perspective of network performance and the microscopic view, we find that there is no cell loss happening as the normalized queue speed ${Q_s}$ is lower than 0.4. The normalized queue speed ${Q_s}$ is defined as the total bytes of a queue sent in 1 s divided by 100 Gb, which reflects the packet sending speed of the queue. The observed maximum buffer size for one port conforms with the calculated maximum buffer occupation of 2.8 MB. By analyzing the captured traces, we find that the packet length is subject to a trimodal distribution. Under a time granularity of 10 ms, the instant bandwidth of one ToR port could reach 96 Gb/s at an average load of around 0.2 under a maximum link bandwidth of 100 Gb/s.</t>
  </si>
  <si>
    <t>In this paper, we discuss building blocks that enable the exploitation of optical capacities beyond 100 Gb∕s. Optical networks will benefit from more flexibility and agility in their network elements, especially from coherent transceivers. To achieve capacities of 400 Gb∕s and more, coherent transceivers will operate at higher symbol rates. This will be made possible with higher bandwidth components using new electro-optic technologies implemented with indium phosphide and silicon photonics. Digital signal processing will benefit from new algorithms. Multi-dimensional modulation, of which some formats are already in existence in current flexible coherent transceivers, will provide improved tolerance to noise and fiber nonlinearities. Constellation shaping will further improve these tolerances while allowing a finer granularity in the selection of capacity. Frequency-division multiplexing will also provide improved tolerance to the nonlinear characteristics of fibers. Algorithms with reduced computation complexity will allow the implementation, at speeds, of direct pre-compensation of nonlinear propagation effects. Advancement in forward error correction will shrink the performance gap with Shannon’s limit. At the network control and management level, new tools are being developed to achieve a more efficient utilization of networks. This will also allow for network virtualization, orchestration, and management. Finally, FlexEthernet and FlexOTN will be put in place to allow network operators to optimize capacity in their optical transport networks without manual changes to the client hardware.</t>
  </si>
  <si>
    <t>This research introduces an Adaptive Fog Computing Framework (AFCF) aimed at enhancing the efficiency and scalability of IoT ecosystems through blockchain technology integration, addressing task allocation, resource management, and task offloading challenges within fog and cloud computing paradigms. Employing simulations, the study utilized task distribut ion strategies, blockchain stability assessment, and cloud server workload management, demonstrating the framework’s capacity to maintain performance across diverse IoT settings. Quantitative results revealed a cent percent success rate in task processing, with a balanced load distribution at 50% and an average task complexity of 6.47893 in arbitrary units. The system demonstrated a latency of 48.479 milliseconds and a throughput of 2.469697 tasks per timestep, showcasing high scalability (97.8%) and energy efficiency (15.774194 in arbitrary efficiency units), emphasizing the AFCF’s robustness in varied tasks and resource dynamics. The study concludes the AFCF’s potential for real-world IoT applications, highlighting its implications for future research and practical deployment, underscoring its contribution to fog and cloud computing literature and paving the way for further exploration into adaptive computing frameworks. © 2024 Seventh Sense Research Group®.</t>
  </si>
  <si>
    <t>Fog computing can be considered a decentralized computing approach that essentially extends the capabilities offered by cloud computing to the periphery of the network. In addition, due to its proximity to the user, fog computing proves to be highly efficient in minimizing the volume of data that needs to be transmitted, reducing overall network traffic, and shortening the distance that data must travel. But this technology, like other new technologies, has challenges, and scheduling and optimal allocation of resources is one of the most important of these challenges. Accordingly, this research aims to propose an optimal solution for efficient scheduling within the fog computing environment through the application of the advanced cat swarm optimization algorithm. In this solution, the two main behaviors of cats are implemented in the form of seek and tracking states. Accordingly, processing nodes are periodically examined and categorized based on the number of available resources; servers with highly available resources are prioritized in the scheduling process for efficient scheduling. Subsequently, the congested servers, which may be experiencing various issues, are migrated to alternative servers with ample resources using the virtual machine live migration technique. Ultimately, the effectiveness of the proposed solution is assessed using the iFogSim simulator, demonstrating notable reductions in execution time and energy consumption. So, the proposed solution has led to a 20% reduction in execution time while also improving energy efficiency by more than 15% on average. This optimization represents a trade-off between improving performance and reducing resource consumption. © 2023, Science and Information Organization. All Rights Reserved.</t>
  </si>
  <si>
    <t>In today’s medical landscape, the effective management and availability of diagnostic data, including current and historical medical tests, play a critical role in informing physicians’ therapeutic decisions. However, the conventional centralized storage system presents a significant impediment, particularly when patients switch healthcare providers. Given the sensitive nature of medical data, retrieving this information from a different healthcare facility can be fraught with challenges. While decentralized storage models using blockchain and smart contracts have been suggested as potential solutions, these methodologies often expose sensitive personal information due to the inherently open nature of data on the blockchain. Addressing these challenges, we present an innovative approach integrating Non-Fungible Tokens (NFTs) to facilitate the creation and sharing of medical document sets based on test results within a medical environment. This novel approach effectively balances data accessibility and security, introducing four key contributions: (a) We introduce a mechanism for sharing medical test results while preserving data privacy. (b) We offer a model for generating certified, NFT-based document sets that encapsulate these results. (c) We provide a proof-of-concept reflecting the proposed model’s functionality and (d) We deploy this proof-of-concept across four EVM-supported platforms—BNB Smart Chain, Fantom, Polygon, and Celo—to identify the most compatible platform for our proposed model. Our work underscores the potential of blockchain, smart contracts, and NFTs to revolutionize medical data management, demonstrating a practical solution to the challenges posed by centralized storage systems. © (2023), (Science and Information Organization). All Rights Reserved.</t>
  </si>
  <si>
    <t>PROTOTYPICAL IMPLEMENTATION OF MUNICIPAL MONITORING FOR SINGLE-FAMILY HOUSING AREAS IN DEMOGRAPHIC TRANSITION; [PROTOTYPISCHE IMPLEMENTIERUNG EINES KOMMUNALEN MONITORINGS VON EINFAMILIENHAUSGEBIETEN IM DEMOGRAFISCHEN ÜBERGANG]</t>
  </si>
  <si>
    <t>The demographic transition in single-family house areas poses major challenges for municipalities. This paper presents the development of a monitoring system as a planning support application for municipalities. Based on an analysis of the state of art and the technical challenges, a prototype based on open source technologies is presented. The application automatically processes data from municipal registers and supplementary sources to calculate and clearly visualize relevant and established demographic indicators. Particular emphasis is placed on user-friendliness, data protection and flexible analysis levels. This enables planners to analyze demographic trends exploratively and develop targeted spatial planning measures on this basis. Future steps include further development in real-world laboratories and usability tests. The aim is to exploit the full potential of the application as a contribution to urban resilience. © 2024, VDE Verlag GmbH. All rights reserved.</t>
  </si>
  <si>
    <t>In order to improve the ability of resource monitoring and adaptive forwarding control of the scalable cloud platform, this paper proposes an esource monitoring method based on the microservice architecture. Built the optimised microservice architecture of the scalable cloud platform, and used the distributed cloud composite storage method to design the modular storage structure. Fuzzy correlation detection method was used to detect the characteristics of scalable cloud platform resources and to process information fusion. The microservice platform system was built on the scalable cloud platform for adaptive clustering. Mining association rule set of scalable cloud platform resources in cluster center, based on microservice architecture. Simulation results show that when the SNR is - 2 dB, the output bit error rate of the proposed method is 0. The results show that this method has good information scheduling ability in scalable cloud platform resource monitoring, and can provide a stable resource output balance.  Copyright © 2022 Inderscience Enterprises Ltd.</t>
  </si>
  <si>
    <t>The evolution of cloud computing has changed the way in which cloud service providers offer their services and how cloud customers consume them, moving towards the use of multiple cloud services, in what it is called multi-cloud. Multi-cloud is gaining interest by the expansion of IoT, edge and the cloud continuum where distributed cloud federation models are necessary for effective application deployment and operation. This work presents advanced cloud service meta-intermediator (ACSmI), a solution that implements a cloud federation, supporting the seamless brokerage of cloud services. Technical details addressing the discovered shortcomings are presented, including a proof of concept built on JHipster, Java, InfluxDB, Telegraf and Grafana. ACSmI contributes to relevant elements of the European Gaia-X initiative, specifically to the federated catalogue, continuous monitoring, and certification of services. The experiments show that proposed solution effectively saves up to 75% of the DevOps teams’ effort to discover, contract and monitor cloud services. Copyright © 2023 Inderscience Enterprises Ltd.</t>
  </si>
  <si>
    <t>Basin-scale water quality monitoring is an important part of water environment governance. However, owing to the multiple attributes, frequencies, methods, and data volume of water quality monitoring data, the efficient access, visualisation, and analysis of monitoring data is an important research topic in monitoring work. This paper proposes a flexible data visualisation and analysis solution, FSVA-data. In this solution, various microservices-based methods are used for integrated data discovery, processing, and analysis. To monitor data series that only change gently, we propose a data-adaptive method for data scalability and a customisable chart visualisation system. Our solution is not only used for water quality monitoring in Lianjiang River, but also has great application prospects in improving the effectiveness of monitoring data systems and accelerating scientific insights in other agricultural and ecological fields. Copyright © 2021 Inderscience Enterprises Ltd.</t>
  </si>
  <si>
    <t>Cloud computing revolutionised the development and execution of distributed applications by providing on-demand access to virtual resources. Containerisation simplifies management and support of the cloud infrastructure and applications. Clouds typically are consumed in a pay-as-you-go pricing model. However, when applied to containerised environments, such traditional models do not consider resource utilisation values, leading to inaccurate estimates. Moreover, these models do not consider energy consumption, a dominant component of the data centre’s total cost of ownership. This paper proposes Energy Price Cloud Containers (EPCC), a cost model based on energy consumption that accounts for containers’ effective resource utilisation. We compare EPCC with AWS Fargate to highlight the benefits of using an energy-based pricing model. Thus, by comparing the cost of an application running using AWS Fargate with the estimated cost of that application in nome, it is possible to identify the benefits of using an energy-based pricing model. The weekly costs estimated when running computational resources at nome vary between US$ 2.31 and US$ 10.59. In contrast, when estimating the same amount of resources on AWS Fargate, the costs vary between US$ 2.71 and US$ 29.94. Nome resulted in a cost reduction of up to 35%. Copyright © 2022 Inderscience Enterprises Ltd.</t>
  </si>
  <si>
    <t>Moreira, Aline S. (58097976200); Miers, Charles C. (26428861700); Koslovski, Guilherme P. (35085164800); Pillon, Maurício A. (36987174200); Gonzalez, Nelson M. (49963375200)</t>
  </si>
  <si>
    <t>In the last decade, cloud computing transformed the IT industry, allowing companies to execute many services that require on-demand availability of computational resources with more flexible provisioning and cost models, including the processing of already growing data volumes. In the past few years, other technologies such as internet of things and Industry 4.0 emerged increasing data generation even more. The large amounts of data from user devices and machinery drive academia and industry to explore edge computing as an alternative. This study presents a preliminary mapping of the edge computing field, focusing on its boundaries to the internet of things and Industry 4.0. We analysed 219 studies from different academic databases, and after the classification process, we mapped 90 into 8 distinct edge computing sub-areas and 9 categories. We highlight key challenges and research gaps this field faces, considering the internet of things and Industry 4.0 demands.  © 2024 Inderscience Enterprises Ltd.</t>
  </si>
  <si>
    <t>Da Silva, Matheus L. (57216949549); Meyer, Vinícius (57209336662); De Rose, Cesar A.F. (14021022000)</t>
  </si>
  <si>
    <t>These days, more and more web are converting into mobile devices such as the internet of things (IoT). These applications are distributed in nature and installed on mobile and servers to achieve many business goals. With this motivation, mobile edge computing (MEC) is an evolving paradigm that reduces the energy consumption of mobile devices through the offload process. However, currently all studies only concentrated on mobile energy and widely overlooked the energy usage of the computing node resources and application deadlines during offloading and scheduling in the MEC network. This research suggests a new mobile edge cloud (mob-cloud) architecture that minimises the nodes energy and meets the deadline requirements of applications. This research formulates this problem as the convex optimisation problem under linear integer programming. The mob-cloud consists of different types of virtual machines which are implementing at the edge computing. This study introduces a novel deadline and energy-efficient task scheduling (DEETS) algorithm framework consisting of task sequencing, resource searching, and mobility-aware scheduling. Furthermore, DEETS keeps tradeoff performances between resource energy usage and task deadline. Simulation results show that the proposed DEETS outperformed all contemporary methods regarding energy usage and deadlines of applications by 50%. © 2022 Inderscience Enterprises Ltd.</t>
  </si>
  <si>
    <t>Service compositions are widely used to construct complex applications. Due to the frequent changes of environment and requirements, service compositions need to be adaptable enough. In this work, we propose a feature-driven variability-enabled adaptive service composition approach to systematically treat the variability in the full life-cycle of service compositions. Specifically, the feature model is introduced to represent common and variable requirements and drive the variability design of service compositions. An abstract service composition model is used to define the variable business process. Rules and algorithms are then defined to transform the feature model to the abstract service composition model, from which different process instances are derived on demand to meet different requirements. We have developed a prototype tool to facilitate and automate our approach as much as possible. Finally, a case study is conducted to demonstrate the proposed approach and validate its effectiveness and efficiency. Copyright © 2023 Inderscience Enterprises Ltd.</t>
  </si>
  <si>
    <t>Guldner A.; Hoffmann M.; Lohr C.; MacHhamer R.; Malburg L.; Morgen M.; Rodermund S.C.; Schäfer F.; Schaupeter L.; Schneider J.; Theusch F.; Bergmann R.; Dartmann G.; Kuhn N.; Naumann S.; Timm I.J.; Vette-Steinkamp M.; Weyers B.</t>
  </si>
  <si>
    <t>Digital transformation is both an opportunity and a challenge. To take advantage of this opportunity for humans and the environment, the transformation process must be understood as a design process that affects almost all areas of life. In this paper, we investigate AI-Based Self-Adaptive Cyber-Physical Process Systems (AI-CPPS) as an extension of the traditional CPS view. As contribution, we present a framework that addresses challenges that arise from recent literature. The aim of the AI-CPPS framework is to enable an adaptive integration of IoT environments with higher-level process-oriented systems. In addition, the framework integrates humans as actors into the system, which is often neglected by recent related approaches. The framework consists of three layers, i.e., processes, semantic modeling, and systems and actors, and we describe for each layer challenges and solution outlines for application. We also address the requirement to enable the integration of new networked devices under the premise of a targeted process that is optimally designed for humans, while profitably integrating AI and IoT. It is expected that AI-CPPS can contribute significantly to increasing sustainability and quality of life and offer solutions to pressing problems such as environmental protection, mobility, or demographic change. Thus, it is all the more important that the systems themselves do not become a driver of resource consumption.  © 2023 the author(s), published by De Gruyter, Berlin/Boston.</t>
  </si>
  <si>
    <t>Guldner, Achim (56768251200); Hoffmann, Maximilian (57200742564); Lohr, Christian (57223004316); MacHhamer, Rüdiger (57205379150); Malburg, Lukas (57203922981); Morgen, Marlies (57218271660); Rodermund, Stephanie C. (57195492235); Schäfer, Florian (58345598000); Schaupeter, Lars (58342364500); Schneider, Jens (57215608395); Theusch, Felix (58344316300); Bergmann, Ralph (57193551665); Dartmann, Guido (24777904900); Kuhn, Norbert (36080790600); Naumann, Stefan (27067840500); Timm, Ingo J. (7801465375); Vette-Steinkamp, Matthias (35489539800); Weyers, Benjamin (27568181800)</t>
  </si>
  <si>
    <t>Digitalization has a profound impact on the daily lives of individuals and plays a pivotal role in promoting sustainable development. Digital economy has emerged as a prominent driver of sustainable development worldwide. It plays a crucial role in environmental sustainability, economic expansion, and social progress. This study primarily examines the role of the digital economy in facilitating sustainable regional development (SRD). Furthermore, this study examines the moderating effect of digital financial inclusion on the relationship between digitalization and SRD. Panel data from 30 Chinese provinces spanning the period 2011 to 2021 were utilized for this analysis. Digital economy (Digi-E) and SRD were measured using the panel entropy method and principal component analysis. SRD considers three main dimensions of sustainable development: the economic, environmental, and social sustainability of the provinces. The spatial Durbin dynamic model and spatial regression were used to analyze the data. The findings revealed that Digi-E significantly affected SRD, with a marginal effect of 0.297. Similarly, digital financial inclusion significantly and positively moderates the relationship between Digi-E and SRD. The spatial Durbin dynamic model also showed that Digi-E has a significant effect on SRD when both types of weights are considered, such as economic geography and geographic distance. Moreover, it was confirmed that the SRD in the previous year significantly contributed to the SRD in subsequent years, and that the SRD in the local region also significantly contributed to the SRD of the adjacent region. Spatial regression also revealed a significantly positive impact of the interaction terms Digi-E and digital financial inclusion on SRD. Thus, Digi-E can contribute significantly to sustainable regional development both individually and through digital financial inclusion. The new economic growth and development plan requires governments to drive the digital revolution and improve the infrastructure. Governments should increase digital financial services with a focus on rural monitoring. © 2024, HARD Publishing Company. All rights reserved.</t>
  </si>
  <si>
    <t>J. Sychowiec; Z. Zieliński</t>
  </si>
  <si>
    <t>This study presents two approaches to the prevention of inter-robot collisions. The first approach is to develop trajectory planning and motion control algorithms. The second approach is to reduce the number of auxiliary robots as much as possible. The rigidly programmed systems are less flexible and adaptive than systems capable of independent data analysis and pattern identification. Therefore, this study uses the neural network for robot training and an analytical module (AN) to make decisions regarding the quantity of robots. The AN assisted and non-assisted management systems were examined under the two scenarios, namely the steady and random increment of applications. In both scenarios, using the AN reduced the number of auxiliary robots and, consequently, robot collisions in the operating area. This can help to reduce the warehouse maintenance costs and improve manufacturing scalability. Therefore, the proposed robotic management system has the potential to enhance warehouse efficiency. © 2021 Praise Worthy Prize S.r.l.-All rights reserved.</t>
  </si>
  <si>
    <t>The rapid advancement of cloud-edge-end collaboration offers a feasible solution to realize low-delay and low-energy-consumption data processing for internet of things (IoT)-based smart distribution grid. The major concern of cloud-edge-end collaboration lies on resource management. However, the joint optimization of heterogeneous resources involves multiple timescales, and the optimization decisions of different timescales are intertwined. In addition, burst electromagnetic interference will affect the channel environment of the distribution grid, leading to inaccuracies in optimization decisions, which can result in negative influences such as slow convergence and strong fluctuations. Hence, we propose a cloud-edge-end collaborative multi-timescale multi-service resource management algorithm. Large-timescale device scheduling is optimized by sliding window pricing matching, which enables accurate matching estimation and effective conflict elimination. Small-timescale compression level selection and power control are jointly optimized by disturbance-robust upper confidence bound (UCB), which perceives the presence of electromagnetic interference and adjusts exploration tendency for convergence improvement. Simulation outcomes illustrate the excellent performance of the proposed algorithm. Copyright © 2024 The Institute of Electronics, Information and Communication Engineers.</t>
  </si>
  <si>
    <t>Paper aims: This study identified the main aspects related to deservitization in manufacturing firms, a process involving the dilution of services after their integration into companies’ business models. Originality: The deservitization process has been identified as a movement among manufacturing companies, but so far, there is limited understanding of its characteristics. The paper contributes to the existing literature by identifying the main aspects related to the dilution of once-added services by manufacturing firms. Research method: A literature review was conducted. A content analysis of the selected papers (89 publications) was carried out to identify the main challenges discussed in the servitization literature as issues leading to deservitization. Main findings: The explanations for manufacturing firms failing in the transition to servitization and consequently taking the deservitization path discussed in the literature are related to changes in the organizational structure, new capabilities, modification of the business model and strategy, and difficulties in the interaction between supplier and customer. Implications for theory and practice: Deservitization is a complex phenomenon, and little is known about it, especially when compared to the existing body of knowledge on servitization. The paper thus extends the knowledge on the conditions leading to deservitization in manufacturing firms © This is an Open Access article distributed under the terms of the Creative Commons Attribution License, which permits unrestricted use, distribution, and reproduction in any medium, provided the original work is properly cited</t>
  </si>
  <si>
    <t>Energy and carbon management systems (ECMS) are a class of green information systems that has the potential to increase environmental sustainability in organizations and across supply chains. Employing a design science research approach, we define the scope of ECMS in the supply chain context, identify requirements, design an expository instantiation, and develop an information systems design theory, including key constructs and design principles. We instantiate this theory in four supply chain contexts to validate and revise the proposed design in two rounds. We identify six system components—data collection, energy monitoring, supply chain coordination, ECMS workflow engine, reporting, and carbon footprint estimator—that integrate and coordinate four types of information flows (transactional, contextual, energy, and product-environmental), and formulate design principles. Our evaluation indicates that the ECMS design theory, if instantiated, supports energy and carbon measurement and environmentally aware decision-making and practice in supply chains. We also highlight how considering energy information flows in combination with material features that afford environmentally aware decision-making and practice are key to qualifying information systems as “green.”. © 2022, Association for Information Systems. All rights reserved.</t>
  </si>
  <si>
    <t>The Internet of Things (IoT) refers to physical objects with sensors, computing power, software, and other technologies that communicate and exchange data with other devices, platforms, and systems over the Internet or other communication networks. Remarkable developments in IoT have paved the way for new possibilities, enabling the creation and automation of innovative services and advanced applications and constituting a collection of crucial enabling technologies for smart homes. In this New-Normal Era, the concept of an IoT-based Smart Air Conditioner (AC) as a Preventive Effort against COVID-19 is a proposed innovation and application. The Smart AC is designed based on the analysis of existing problems and is equipped with literature obtained in the study. The purpose of this study is to review the research literature on IoT-enabled Smart AC to emphasize the main trends and open problems of integrating IoT technology to create sustainable and efficient Smart homes. The IoT-based Smart AC was designed and equipped with air quality filter features, human sensors, temperature control, voice control, Cloud Storage, and Solar Panel services that can be controlled via smartphone devices. From the framework and study results, the IoT offers many benefits. The IoT-based Smart AC concept is one step ahead of existing AC products. © 2023 Royal Botanic Gardens and Domain Trust.</t>
  </si>
  <si>
    <t>Background: The internet of things (IoT) has transformed healthcare by integrating various devices and systems, fostering innovation in data management and operational efficiency. However, ensuring data integrity, security and trust within IoT networks remains a pressing challenge, particularly in critical sectors such as healthcare. Objective: This study aims to explore the integration of blockchain technology with IoT systems, focusing on addressing scalability and real-time applicability issues in healthcare data management. By proposing novel solutions, the research seeks to enhance the security and reliability of IoT systems in healthcare environments. Methods: The proposed framework incorporates a lightweight raft-based consensus protocol and enhanced cryptographic measures, such as Schnorr signatures and hashes, to address existing limitations in scalability and latency. The architecture and algorithms for signature generation, encryption, emergency state actions and consensus are developed and evaluated through extensive simulations using the NS3 toolkit. Results: The simulation results validate the effectiveness of the proposed approach in improving healthcare IoT systems. The findings demonstrate enhancements in energy efficiency, throughput and network usage, establishing the potential of the framework for revolutionizing healthcare data management by providing secure, scalable and efficient solutions. Conclusion: The study contributes to advancing secure and reliable decentralized data management systems for IoT in healthcare by making use of blockchain technology. The proposed architecture addresses critical challenges and offers practical benefits such as resource efficiency and system stability. While promising, the framework requires real-world testing and further optimization to overcome potential scalability bottlenecks in large-scale healthcare deployments. © 2025 by the author(s).</t>
  </si>
  <si>
    <t>The concept of the smart city is becoming increasingly important in light of contemporary challenges related to sustainable development and efficient resource utilization. This study focuses on the contribution of integrating digital technologies into urban infrastructure, which is critical for ensuring the sustainable development of urban areas. While advanced cities like Copenhagen and Singapore demonstrate successes in implementing smart practices, Kazakhstan faces significant challenges in this domain. The aim of the research is to analyze the gaps in urban development and explore global practices that can be adapted to the Kazakh context. Utilizing the leapfrog development model, the study evaluates strategies for implementing smart technologies in Kazakh cities, emphasizing their potential to enhance ecological sustainability, energy efficiency, and rational resource use. The main findings indicate that technological innovations are key to improving the quality of life for residents and promoting sustainable urban development. The research offers practical recommendations for urban planners and policymakers, highlighting the importance of integrating smart technologies into sustainable development strategies, particularly in the context of developing countries such as Kazakhstan. Copyright: ©2024 The authors.</t>
  </si>
  <si>
    <t>– This research aims to find out how effective the IoT microcontroller training kit learning media is and to analyze the effect of using the IoT microcontroller training kit compared to the common microcontroller training kit on students’ cognitive learning outcomes in learning microcontroller and microprocessor programming techniques. The normalized gain method was used to determine the effectiveness of the IoT microcontroller training kit learning media. The ANOVA method was used to determine the effect of using the IoT microcontroller training kit and common microcontroller training kit on the average student cognitive learning outcomes. The research results show that the IoT microcontroller training kit learning media has a normalized gain value of 59.62% in the effective enough category. The average cognitive learning outcomes of students using the IoT microcontroller training kit are greater than those using the regular microcontroller training kit, according to the results of the study using one-way ANOVA, where the p-value is less than the α value of 0.05. This IoT microcontroller training kit can be used to improve students’ cognition regarding microcontroller learning in vocational schools. © 2024 Mohammad Wildan Habibi &amp; I Gusti Putu Asto Buditjahjanto; published by UIKTEN. This work is licensed under the Creative Commons Attribution-NonCommercial-NoDerivs 4.0 License.</t>
  </si>
  <si>
    <t>It is very important to accurately predict the network flow queuing delay to improve the network performance of city public services. City public services are the offspring of the paradigm "smart + connected communities" and aim to overcome the problems of isolated and fragile data collection because of administrative divisions. Quality of service is one of the important evaluation indexes in service-level agreements, in which low delay is a basic requirement for measurement. To improve city public services and predict the network flow queuing delay of city public services in advance, we propose a framework based on long short-term memory (LSTM) that will allow the government to enhance service efficiencies and offer better service experiences for every citizen. The results obtained by using the investigated framework show that the proposed algorithm has superior aggregated prediction accuracy and real-time performance to other methods. © 2021 M Y U Scientific Publishing Division. All rights reserved.</t>
  </si>
  <si>
    <t>Technological advancements in smart cities are a global trend, primarily focused on enhancing the quality of life for citizens while also monitoring urban environments. Viewing smart cities as urban surveillance platforms, there arises a pressing need for efficient analysis and storage of video streams from numerous cameras scattered across the city, owned by various stakeholders. However, surveillance systems face several internet of things (IoT) challenges, including privacy concerns, scalability issues, and substantial energy consumption. To tackle these challenges, the development of a trusted video surveillance system by integrating the internet of spatial things (IoST) with fog computing and blockchain technology was introduced. Fog nodes are strategically deployed at the network's edge, enabling the extension of cloud services closer to the data source. This deployment strategy aims to reduce latency and alleviate network congestion. At these fog nodes, the system employs a proof-of-work-based consensus algorithm, encrypted using the secure hash algorithm (SHA-256), to ensure data trust and reliability within the blockchain infrastructure supporting the surveillance system. The evaluation of our proposed blockchain-IoST surveillance system involves a comparison of two case studies: one based on fog computing and the other on traditional cloud-based blockchain-IoST implementations, conducted within the iFogSim framework. Furthermore, the system's scalability is tested under various scenarios. To assess the effectiveness of our methodology in mitigating latency, optimizing network utilization, and reducing energy consumption, we conducted comprehensive simulations. The results of our experiments clearly demonstrate the advantages of the fog-based blockchain-IoST approach. This approach significantly reduces latency and network utilization when compared to the conventional cloud-based blockchain-IoST implementation in the trusted video surveillance system. Additionally, the findings indicate that adopting the fog-based blockchain-IoST approach leads to a noteworthy reduction in energy consumption compared to the cloud-based implementation, further enhancing the sustainability and efficiency of the surveillance system. © 2023 Noor Alsaedi and Ali Sadeq Abdulhadi Jalal.</t>
  </si>
  <si>
    <t>Optimization of task scheduling oriented to cross microservice chains; [面向交叉微服务链的任务调度优化]</t>
  </si>
  <si>
    <t>The microservice architecture arranges an application as a set of loosely-coupled fine-grained services, with each microservice independently deployed and updated. The cooperation of services leads to multiple intersecting microservice chains. And the intersection of microservices becomes a key position for resource competition. Therefore, rational allocation of microservices can improve resource utilization, reduce the task response time and solve the problem of resource competition caused by the intersection of microservice chains. However, existing research often ignores or simplifies the conflict problem caused by the intersection of microservice chains, resulting in poor system scheduling. Therefore, aiming at the above problem, this paper takes the resource utilization and the global response time as the measurement indicators to formally characterize the resource consumption of services and the task execution time in the microservice architecture. Combined with the advantages of parallel computing of the ant colony algorithm and local perturbations of simulated annealing algorithm, this paper proposes a chain-oriented task scheduling algorithm (COTSA). Experimental results show that compared with first come first service (FCFS) and ant colony optimization (ACO), the COTSA can effectively improve resource utilization and reduce the overall response time in the complex microservice environment. © 2021, The Editorial Board of Journal of Xidian University. All right reserved.</t>
  </si>
  <si>
    <t>Aiming at the factory with high-complex and multi-terminal in the industrial Internet of things (IIoT), a hierarchical edge networking collaboration (HENC) framework based on the cloud-edge collaboration and computing first networking (CFN) is proposed to improve the capability of task processing with fixed computing resources on the edge effectively. To optimize the delay and energy consumption in HENC, a multi-objective optimization (MOO) problem is formulated. Furthermore, to improve the efficiency and reliability of the system, a resource prediction model based on ridge regression (RR) is proposed to forecast the task size of the next time slot, and an emergency-aware (EA) computing resource allocation algorithm is proposed to reallocate tasks in edge CFN. Based on the simulation result, the EA algorithm is superior to the greedy resource allocation in time delay, energy consumption, quality of service (QoS) especially with limited computing resources. © 2023, THE JOURNAL OF CHINA UNIVERSITIES OF POSTS AND TELECOMMUNICATIONS.</t>
  </si>
  <si>
    <t>Due to the continuous development and application of blockchain technology, more and more industries are exploring its application in project management. In the management of water transportation engineering projects, blockchain technology also has certain application potential. This article will start with the characteristics of blockchain technology, and the current situation and needs of water transportation project management, analyze the application mode of blockchain technology in water transportation project management, and explore its advantages, limitations, and practical applications. The experimental results of this article showed that when blockchain technology was applied to the management of water transportation engineering projects, its information sharing score was 93; its data storage and management score was 96.1; its smart contract score was 97.4; its fund management score was 97.1; its Internet of Things technology score was 96.5, which was far higher than the score of applying traditional technologies. It was shown that using blockchain technology for water transportation engineering project management can improve the efficiency and quality of project management, reduce costs, and extend to a wider range of water transportation lines and project fields in the future. © 2023 The Author.</t>
  </si>
  <si>
    <t>The emergence of the Internet of Things (IoT) has ushered in the new era of technological advancement, significantly transforming various sectors of business and industry. The actuation industry is an important sector for converting energy into mechanical motion, and it is currently undergoing an evolutionary change. Actuators are significant elements that connect digital systems to physical infrastructure. Actuators allow for automation, control, and optimization of operations in smart cities. Conventional actuators are characterized by imperfections in terms of performance, agility, and real-time monitoring. Accordingly, this article presents an innovative actuator design that outperforms existing actuators in terms of performance, reliability, and scalability. We designed the novel actuator to incorporate multiple sensors and devices, including force, vibration, temperature, and position sensors. This design is intelligent and performs very well in real-time collection, processing, and analysis of data. It has the ability to integrate with a cloud-based platform. Such connections make it possible for remote monitoring, management, and human-centric security in smart cities through object detection. The proposed design optimizes the performance of actuator and makes adjustments where necessary. The proposed actuator design employs idealized design principles, control systems, and high-strength materials. It helps achieve a longer life cycle and a high level of robustness in demanding industrial conditions. Smart control algorithms incorporate dynamic force control, adaptive speed regulation, and precision of positioning. They also find applications in diverse solutions, such as regulating valves and robotics. This study also highlights the vital role of renewable energy sources, smart grids, and energy efficiency in the creation of a sustainable and optimized energy ecosystem for smart cities. IoT-based actuators with intelligent designs improve the performance, efficiency, and reliability of actuation in smart cities with real-time monitoring. It is a step forward in the evolution of modern industrial and commercial applications in urban developments. © (2024), (Korea Information Processing Society). All Rights Reserved.</t>
  </si>
  <si>
    <t>Digital user-industry interactions and Industry 4.0 services to improve customers’ experience and satisfaction in the European bakery sector</t>
  </si>
  <si>
    <t>Digital services;Industry 4.0;Users’ satisfation;DEMETER;Bakery industry;mobile applications</t>
  </si>
  <si>
    <t>A. Ramos; V. B. Jesus; C. Gonçalves; F. Caetano; C. Silveira</t>
  </si>
  <si>
    <t>M. Abbasi; P. Melo; L. Saraiva; P. Pereira; P. Martins; F. Sá; F. Cardoso</t>
  </si>
  <si>
    <t>Foundation for Science and Technology; Instituto Politécnico de Viseu; Foundation for Science and Technology;</t>
  </si>
  <si>
    <t>F. Kelbert; F. Gregor; R. Pires; S. Köpsell; M. Pasin; A. Havet; V. Schiavoni; P. Felber; C. Fetzer; P. Pietzuch</t>
  </si>
  <si>
    <t>Instantiated containers of an application are distributed across multiple Physical Machines (PMs) to achieve high parallel performance. Container placement plays a vital role in network traffic and the performance of containerized data centers. Existing container placement techniques do not consider the container traffic pattern, which is inadequate. To resolve this conflict, we investigate network traffic between containers and observe that it exhibits a Zipf-like distribution. We propose a novel container placement approach - Blender - by leveraging the Zipf-like distribution. Based on network traffic correlation, Blender employs RefineAlg and SplitAlg to divide containers of applications into blocks, and place these blocks across virtual machines. Blender exhibits two salient features: (i) it minimizes inter-block traffic by arranging the containers that communicate frequently in the same block. (ii) it achieves good load balancing by combining blocks according to the resource types they require and distributing them across multiple PMs. We compare Blender against two state-of-the-art methods SBP and CA-WFD. The experimental results show that Blender significantly reduces communication traffic. In particular, for the same number of PMs, Blender reduces the traffic of SBP and CA-WFD by 22% and 32%, respectively. Furthermore, with Blender in place, the physical resources of hosting PMs are well balanced and utilized.  © 2021 EDAA.</t>
  </si>
  <si>
    <t>Horizon 2020(grant numbers:825061);</t>
  </si>
  <si>
    <t>With the advent of the newest emergency call mandates in US and Europe, with the advances in cellular-based and WiFi-based localization solutions, and with the developments of cloud computing and web-based social networks, the location information and movement-related data is becoming easier and easier to collect from the user mobile devices and from the user cloud data and it is more and more used in a variety of Location Based Services and for various network planning and management tasks. The last decade has seen significant research efforts dedicated to analyze the user location and movement data, to extract mobility patterns and features and to use the predicted patterns for a more efficient resource allocation and for better location-based services. In the context of what is called today 'the smart city', user mobility and location data are becoming key components of the smart city architecture and applications. The goal of this paper is to give a compact and comprehensive overview of the challenges and solutions related to collecting, storing, analyzing, visualizing, using or distributing people's movement data and to summarize the purposes of such data in the context of the smart cities and the Internet of Things. © 2016 FRUCT.</t>
  </si>
  <si>
    <t>World Bank;</t>
  </si>
  <si>
    <t>Ever increasing numbers of Internet of Things (IoT) devices have created a more fragmented edge environment. The majority of traditional clustering mechanisms are not competent to resource elasticity over multiple IoT systems and hence, handling load distribution effectively underutilizes the resources. To address the increasing complexities and constraints of modern IoT systems, adaptive mechanisms are required to implement virtual clustering, which can dynamically optimize performance and resource utilization by responding to real-time network changes and device heterogeneity.The article proposes the design and performance evaluation of adaptive virtual clustering methods tailored to the requirements of emerging IoT edge systems with dynamic environments. The goal is to optimize resource allocation, balance load, and enhance the overall system performance by deploying virtual clusters with the potential of adapting the best to changing network loads as well as device heterogeneity.We developed a multistep approach that combined state-of-the-art clustering algorithms, the K-means and agglomerative clustering, to our insight of Amdahl’s law using meta learning strategies. There are 4 architecture layers in our system: physical device layer, cluster management layer, coordination layer and virtual group. This paper revisits KPIs such as Silhouette Coefficient, Davies-Bouldin Index and Calinski-Harabasz Index under different network loads and performance of the device being considered.The proposed methods achieved better performance than existing clustering algorithms, particularly in high network traffic scenarios. In competitive testing, adaptive virtual clusters with up to 10% better in total performance over traditional clusters at full network load through smart node allocation and leveraging of the virtual memory for better load balancing.Adaptive virtual clustering appears to be a promising fit for the challenges posed by dynamic IoT edge environments. This limber approach yields improved in network efficiency, load distribution and overall network performance. Future work should focus on optimizing these adaptive clustering approaches for extreme network conditions, such as high device churn and congested IoT environments. Additionally, the integration of digital twin technologies and real-time adaptive machine learning models could further improve system responsiveness and performance in highly dynamic settings.</t>
  </si>
  <si>
    <t>J. A. Brito; J. I. Moreno; L. M. Contreras; M. B. Caamaño</t>
  </si>
  <si>
    <t>Universidad Politécnica de Madrid Project;</t>
  </si>
  <si>
    <t>In this paper, we describe the design process for the deployment of a 50-household IoT smart home and smart grid testbed in a residential living lab environment. We examine our design choices and how we have implemented an “hourglass” paradigm with MQTT at its core to provide the necessary extensibility, modularity, and compatibility. The testbed is constructed utilizing peripheral devices such as commercially available off-the-shelf (COTS) sensors and gateways based on single board computers (SBCs) running open-source home automation frameworks. Furthermore, we address the development of essential tools vital for the ongoing monitoring and maintenance of the testbed infrastructure. Finally, we discuss on how we enabled efficient data discovery and exchange through ontologies and a semantically interoperable framework in order to support a series of illustrative pilot use cases that highlight the practicality and potential of our testbed. These include the application of machine learning techniques to facilitate data analytics, the orchestration of user engagement strategies, and the implementation of demand response schemes.</t>
  </si>
  <si>
    <t>In today’s fast-paced world, the need for real-time tracking technology has grown more and more significant, particularly for tracking assets and vehicles. The goal of this project is to equip vehicles and assets with a cutting-edge real-time tracking system based on the ESP32. To effectively track and monitor assets or vehicles, the system combines an ESP32 Wi-Fi board, a GPS Neo module, a SIM800 module, and a battery power source. This system is to create a real-time tracking system for cars and assets based on the ESP32. For effective tracking and monitoring, the system comprises an ESP32 Wi-Fi board, GPS Neo module, SIM800 module, and battery power supply. While the GPS Neo module enables precise location, the ESP32 handles wireless communication and processing. Innovative cellular connectivity is made possible for remote monitoring by the inclusion of the SIM800 module. The battery power source ensures continuous operation. This research demonstrates how these elements may be combined to produce a modern tracking system that will be useful for applications in asset management, transportation, and security. Numerous advantages come with the suggested ESP32-based real-time tracking system, including increased security, effective asset management, and improved logistical operations. It makes it possible for people and companies to keep track of the whereabouts and condition of their assets or vehicles instantly, enabling proactive decision-making, resource allocation, and general operational efficiency improvements.</t>
  </si>
  <si>
    <t>2022 ITU Kaleidoscope- Extended reality – How to boost quality of experience and interoperability</t>
  </si>
  <si>
    <t>The incredible rapid development of internet technologies, primarily thanks to omnipresent access of high speed broadband internet access and supporting technologies like Big Data, Cloud Computing, REST/Web services as well as cheap electronic equipment that use new wireless communications standards, lead to equal rapid growth of number of smart devices - “things” - connected to the internet. Increased number of connected smart devices results with huge daily data traffic on the internet and data volume stored and available on the internet. IoT becomes part of our homes and our companies, and security in these systems is very important. What does that outlook hold for the next 5, 10 or 20 years, will mostly depend on the development of security standards, user behavior and education in a next few years. This paper is trying to summary and analyze trends in IoT standards regarding security.</t>
  </si>
  <si>
    <t>A. Barišić; V. Amaral; M. Challenger</t>
  </si>
  <si>
    <t>J. Jankovic; L. Šikić; P. Afrić; M. Šilić; Ž. Ilić; H. Pandžić; M. Živić; M. Džanko</t>
  </si>
  <si>
    <t>European Regional Development Fund(grant numbers:KK.01.2.1.01.0111);</t>
  </si>
  <si>
    <t>L. Hasimi; A. Poniszewska-Marańda; T. Krym</t>
  </si>
  <si>
    <t>Current ways of paying the fare in public transport systems are slowly getting outdated. They are seen as uneconomical and environmentally unfriendly. There is significant market demand to make them effortless and more convenient for passengers. One of the approaches to solving this problem is Be In/Be Out (BIBO) system that ensures making public transport payment contactless, without the demand of any action from the passenger. This research addresses the approach on making a prototype of the BIBO application working in the environment of the public transport system located in Lodz, Poland. The system is based on wireless connection with the use of the Bluetooth Low Energy modules located on passengers’ mobile devices and beacons installed in public transport vehicles. Entering the vehicle automatically starts a charge of fare from the passenger’s digital wallet while leaving the vehicle stops this process and finishes the transaction.</t>
  </si>
  <si>
    <t>I. V. Araújo; S. R. Lima; A. D. Brízido</t>
  </si>
  <si>
    <t>FCT(grant numbers:UIDB/00319/2020);</t>
  </si>
  <si>
    <t>M. Alessi; A. Camillò; E. Giangreco; S. Pino; D. Storelli</t>
  </si>
  <si>
    <t>D. López-de-Ipiña; J. el Busto; D. Lauzurica; D. Casado</t>
  </si>
  <si>
    <t>The power consumption information collection system encompasses multiple complex technical relationships, along the data flow chain, numerous data conversion links and processing activities, as well as a multitude of threat exposure surfaces, triggering sources, and uncontrollable factors. This paper proposes a complete lifecycle micro-application management system for the power consumption information collection system, aligning with the objectives and construction programs of the project. The life cycle link of collecting, storing, and sending data about electricity use measures the uncertainty of each piece of information in the binary grid protocol by using the Gini index and information entropy. The characteristics of information data are solved using Bayes' theorem. By analyzing the users' behavior patterns, we can prevent them from stealing access rights and other behaviors and dispose of security risks in time. In conjunction with case studies, we conduct simulation experiments to evaluate the power consumption information collection system's security, complexity, and privacy. In the model without privacy protection, the accuracy rate of member inference attacks is about 68%. This paper's designed system is more resilient to member inference attacks, with an accuracy rate of less than 50%, demonstrating a superior level of privacy protection for electricity consumption data. The system in this paper uses less time than the other three schemes when the number of users exceeds 2200, peaking at about 700 ms when the number of users reaches 4000. © 2024 Zhu Tang et al., published by Sciendo.</t>
  </si>
  <si>
    <t>Oprea S.-V.; Bâra A.; Dobrița G.; Barbu D.-C.</t>
  </si>
  <si>
    <t>Usually, data collected through surveys or by means of sensors is prone to errors and inaccuracies, such as missing data and outliers. Such datasets consist of numerical and string variables, with a high variety of values. Emerging issues, for instance, missing or categorical data lead to errors in running most of the machine learning algorithms. Data analysis and pre-processing are usually more substantial and time-consuming than the implementation of the machine algorithms. Nevertheless, the obtained results are significantly influenced by the way missing data or outliers are approached. This paper presents various methods for coping with null and extreme values. Furthermore, it highlights the significance of encoding and scaling the analysed data and their impact on the performance of the machine learning algorithms. Thus, this paper proposes a methodology for a Missing, Outliers, Encoding &amp; Scaling (MOES) horizontal tuning framework using microservices as applications for data processing in order to obtain the best combination of the employed methods. For exemplification purposes, a real data set from the banking sector is used. Furthermore, the proposed methodology was tested using a second real data set from the utilities sector and the results also showed that both the AUC (Area under the Curve) and execution time were better than in the case of employing the PyCaret Python library. © Copyright 2012-2023. All rights reserved</t>
  </si>
  <si>
    <t>Oprea, Simona-Vasilica (30067888400); Bâra, Adela (36774820600); Dobrița, Gabriela (57423031700); Barbu, Dragoș-Cătălin (35387570000)</t>
  </si>
  <si>
    <t>With the rapid development of mobile communication technology and intelligent applications, the quantity of mobile devices and data traffic in networks have been growing exponentially, which poses a great burden to networks and brings huge challenge to servicing user demand. Edge caching, which utilizes the storage and computation resources of the edge to bring resources closer to end users, is a promising way to relieve network burden and enhance user experience. In this paper, we aim to survey the edge caching techniques from a comprehensive and systematic perspective. We first present an overview of edge caching, summarizing the three key issues regarding edge caching, i.e., where, what, and how to cache, and then introducing several significant caching metrics. We then carry out a detailed and in-depth elaboration on these three issues, which correspond to caching locations, caching objects, and caching strategies, respectively. In particular, we innovate on the issue “what to cache”, interpreting it as the classification of the “caching objects”, which can be further classified into content cache, data cache, and service cache. Finally, we discuss several open issues and challenges of edge caching to inspire future investigations in this research area.</t>
  </si>
  <si>
    <t>Cloud infrastructure provides a real time computing environment to customers and had wide applicability in healthcare, medical facilities, business, and several other areas. Most of the health data recorded and saved on the cloud. But the cloud infrastructure is configured using several components and that makes it a complex structure. And the high value of availability and reliability is essential for satisfactory operation of such systems. So, the present study is conducted with the prominent objective of assessing the optimum availability of the cloud infrastructure. For this purpose, a novel stochastic model is proposed and optimized using dragonfly algorithm (DA) and Grey Wolf optimization (GWO) algorithms. The Markovian approach is employed to develop the Chapman-Kolmogorov differential difference equations associate with the system. It is considered that all failure and repair rates are exponentially distributed. The repairs are perfect. The numerical results are derived to highlight the importance of the study and identify the best algorithm. The system attains its optimum availability 0.9998649 at population size 120 with iteration 700 by GWO. It is revealed that grey wolf optimization algorithm performed better than the Dragonfly algorithm in assessing the availability, best fitted parametric values and execution time.  © 2023 - IOS Press. All rights reserved.</t>
  </si>
  <si>
    <t>The Internet of Things (IoT) has revolutionized how we interact with and gather data from our surrounding environment. IoT devices with various sensors and actuators generate vast amounts of data that can be harnessed to derive valuable insights. The rapid proliferation of Internet of Things (IoT) devices has ushered in an era of unprecedented data generation and connectivity. These IoT devices, equipped with many sensors and actuators, continuously produce vast volumes of data. However, the conventional approach of transmitting all this data to centralized cloud infrastructures for processing and analysis poses significant challenges. However, transmitting all this data to a centralized cloud infrastructure for processing and analysis can be inefficient and impractical due to bandwidth limitations, network latency, and scalability issues. This paper proposed a Self-Learning Internet Traffic Fuzzy Classifier (SLItFC) for traffic data analysis. The proposed techniques effectively utilize clustering and classification procedures to improve classification accuracy in analyzing network traffic data. SLItFC addresses the intricate task of efficiently managing and analyzing IoT data traffic at the edge. It employs a sophisticated combination of fuzzy clustering and self-learning techniques, allowing it to adapt and improve its classification accuracy over time. This adaptability is a crucial feature, given the dynamic nature of IoT environments where data patterns and traffic characteristics can evolve rapidly. With the implementation of the fuzzy classifier, the accuracy of the clustering process is improvised with the reduction of the computational time. SLItFC can reduce computational time while maintaining high classification accuracy. This efficiency is paramount in edge computing, where resource constraints demand streamlined data processing. Additionally, SLItFC’s performance advantages make it a compelling choice for organizations seeking to harness the potential of IoT data for real-time insights and decision-making. With the Self-Learning process, the SLItFC model monitors the network traffic data acquired from the IoT Devices. The Sugeno fuzzy model is implemented within the edge computing environment for improved classification accuracy. Simulation analysis stated that the proposed SLItFC achieves 94.5% classification accuracy with reduced classification time. © 2024 Tech Science Press. All rights reserved.</t>
  </si>
  <si>
    <t>The deployment of the Internet of Things (IoT) with smart sensors has facilitated the emergence of fog computing as an important technology for delivering services to smart environments such as campuses, smart cities, and smart transportation systems. Fog computing tackles a range of challenges, including processing, storage, bandwidth, latency, and reliability, by locally distributing secure information through end nodes. Consisting of endpoints, fog nodes, and back-end cloud infrastructure, it provides advanced capabilities beyond traditional cloud computing. In smart environments, particularly within smart city transportation systems, the abundance of devices and nodes poses significant challenges related to power consumption and system reliability. To address the challenges of latency, energy consumption, and fault tolerance in these environments, this paper proposes a latency-aware, fault-tolerant framework for resource scheduling and data management, referred to as the FORD framework, for smart cities in fog environments. This framework is designed to meet the demands of time-sensitive applications, such as those in smart transportation systems. The FORD framework incorporates latency-aware resource scheduling to optimize task execution in smart city environments, leveraging resources from both fog and cloud environments. Through simulation-based executions, tasks are allocated to the nearest available nodes with minimum latency. In the event of execution failure, a fault-tolerant mechanism is employed to ensure the successful completion of tasks. Upon successful execution, data is efficiently stored in the cloud data center, ensuring data integrity and reliability within the smart city ecosystem. © 2025 The Authors. Published by Tech Science Press.</t>
  </si>
  <si>
    <t>This paper presents a systematic review of the development of research on Machine Learning (ML) applications in supply chain management (SCM), particularly demand forecasting. The objective is to bridge the gap between current and potential ML methods that can improve the performance of the demand forecasting operation in three SCM industries: industry, agriculture, and services, by analyzing published work in the last decade in several numerical databases. Five aspects were covered: the research trend on ML applications in SCM; the ML algorithms most used by researchers for demand forecasting; the advantages of ML algorithms over traditional forecasting approaches; the ML techniques considered most adopted at the demand forecasting operation, as well as the SCM industry sector that benefited most from these applications. We have focused on providing an overview of the applications of ML in demand forecasting and asserting its powerful role in the evolution of SCM effectiveness, in order to provide a reference for future research and applications of SCM in different economic sectors. © 2022, Success Culture Press. All rights reserved.</t>
  </si>
  <si>
    <t>The amount of sensors in process industry is continuously increasing as they are getting faster, better and cheaper. Due to the rising amount of available data, the processing of generated data has to be automatized in a computationally efficient manner. Such a solution should also be easily implementable and reproducible independently of the details of the application domain. This paper provides a suitable and versatile usable infrastructure that deals with Big Data in the process industry on various platforms using efficient, fast and modern technologies for data gathering, processing, storing and visualization. Contrary to prior work, we provide an easy-to-use, easily reproducible, adaptable and configurable Big Data management solution with a detailed implementation description that does not require expert or domain-specific knowledge. In addition to the infrastructure implementation, we focus on monitoring both infrastructure inputs and outputs, including incoming data of processes and model predictions and performances, thus allowing for early interventions and actions if problems occur. Copyright © 2021 Luftensteiner, Mayr, Chasparis and Pichler.</t>
  </si>
  <si>
    <t>Since the beginning of 2016, China’s annual emissions of herbal residues (HR) have exceeded 30 million tons. As a kind of solid waste, HR still contains a large amount of organic matter, which requires further industrial extraction procedure. Most of the existing studies are concerned with the feasibility of utilizing traditional Chinese medicine residues, meanwhile there are very few studies regarding the kinetics of pyrolysis in the process of resource utilization of traditional Chinese medicine residues. In this study, we comprehensively studied the kinetics characteristics of raw materials with various heating rates (10, 20, 30, and 40°C/min) using a synchronous thermogravimetric analysis, and we adopted Coats-Redfern model to study the thermal kinetics and thermal analysis of GBR. A novel method combining Genetic algorithm and Adaboost algorithm (GA-Adaboost) is proposed to predict the thermogravimetric curve of the raw plant material with respect to the heating rate and temperature. The experimental result shows that the activation energy of the raw material was determined by the Kissinger-Akahira-Sunose (KAS) ((Formula presented.)), and the correlation coefficient was greater than 0.99. The optimal reaction mechanism determined by the Coats - Redfern method was random nucleation and subsequent growth. The GA-Adaboost model achieved good performance (with a fitting degree of 99.88% on training data, 99.80% on verification data, and MSE of3.4173) while predicting the pyrolysis process of ginkgo biloba residue. This study will provide theoretical basis and technical support for the efficient resource utilization of pharmaceutical residues and reduce environmental pressure. Copyright © 2022 Liu, Yu, Chen, Wang, Xiao and Chen.</t>
  </si>
  <si>
    <t>As the digital economy increasingly dominates a substantial portion of the national economy, comprehending its role in promoting sustainable development has become an imperative research question—particularly in the context of the Yellow River Basin, where there exists an urgent need to shift toward more sustainable modes of economic growth. Utilizing panel data spanning from 1999 to 2020 for 114 cities in the Yellow River Basin, this study develops a comprehensive evaluation framework for sustainable development, incorporating economic, social, and ecological dimensions. The empirical findings reveal that the digital economy acts as a catalyst for sustainable development. Importantly, these results withstand both endogeneity tests and robustness checks. Further heterogeneity analysis indicates that the positive impact of the digital economy on sustainable development is more pronounced in regions directly traversed by the Yellow River and in areas with higher sustainability levels. Moreover, the enactment and implementation of the 13th Five-Year National Information Plan have emphasized the role of the digital economy in enhancing sustainable development. Mechanism tests also illustrate those elevated levels of personal digital acceptance and government intervention contribution to amplify the digital economy’s positive impact on sustainable development. In conclusion, policy recommendations are put forward, including optimizing industrial structure, strengthening data governance and environmental monitoring, promoting innovation-driven development, and fostering collaborative growth. Copyright © 2024 Wang, Yuan and Jiao.</t>
  </si>
  <si>
    <t>Monitoring energy quality events is crucial for maintaining the stability and reliability of power grids. This paper presents a novel system integrating Discrete Wavelet Transform (DWT) and Extreme Learning Machine (ELM) for detecting and classifying power quality disturbances. The DWT performs multi-resolution analysis to decompose signals into time-frequency components, capturing various disturbances such as sags, swells, and harmonics. The ELM classifier, trained on these decomposed signals, achieves an impressive classification accuracy of 99.69%, significantly outperforming conventional methods like STFT with SVM (97.22%) and FFT with ANN (99.30%). The system was validated on a Xilinx Zynq-7000 SoC FPGA, demonstrating real-time processing capabilities with a latency of 1.5 milliseconds and a power consumption of 1.8 W. These findings highlight the effectiveness of the proposed method for real-time, accurate, and energy-efficient power quality monitoring. Copyright © 2024 Molu, Mbasso, Saatong, Dzonde Naoussi, Alruwaili, Elrashidi and Nureldeen.</t>
  </si>
  <si>
    <t>In the recent decade, the environmental problem is increasing significantly worldwide. With the decrease in environmental health, the environmental performance is decreasing continuously having adverse consequences for the societies. Therefore, to address the environmental problem in China, the current study examined the role of collaborative governance in environmental performance. Consequently, this study examined the relationship between collaborative governance, innovative methods, performance, availability of resources, environmental innovation resistance, environmental law, and environmental performance. Both the public and private companies of environmental protection working in China are considered. To address the objective of the study, a quantitative research approach is used along with the cross-sectional research design. A questionnaire survey is carried out among the public and private companies working in China for data collection. A total of 290 valid questionnaires were returned and used in data analysis. Partial Least Square-Structural Equation Modeling (PLS-SEM) is used for data analysis. Results of this study reported important findings which have a contribution to the literature and practice. Collaborative governance has major importance to enhance environmental performance. The collaboration between public and private companies has the potential to enhance environmental performance. It is found that an increase in collaborative governance can increase the innovative methods, performance, and availability of resources which can enhance environmental performance. The improvement in innovative methods, performance, and availability of resources can foster environmental performance. Furthermore, environmental innovation resistance can decrease environmental performance. Most significantly, environmental law is crucial to enhancing environmental performance. The better implementation of environmental law can enhance the environmental performance in China. Copyright © 2022 Sijing.</t>
  </si>
  <si>
    <t>Satellites will play a vital role in the future of the global Internet of Things (IoT); however, the resource shortage is the biggest limiting factor in the regional task of massiveequipment in the IoT for satellite service. Compared with the traditional isolated mode of satellite resources, the current research aims to realize resource sharing through satellite cooperation in satellite edge computing, to solve the problems of limited resources and low service quality of a single satellite. We propose a satellite resource pool architecture-oriented regional task in satellite edge computing. Different from fixed servers in ground systems, the satellite orbital motion brings challenges to the construction of the satellite resource pool. After the capacity planning of the satellite resource pool for regional tasks is given, an algorithm based on search matching is proposed to solve the dynamic satellite selection problem. A ground semi-physical simulation system is built to perform experiments and evaluate the performance of three modes of satellite resource sharing: isolated mode, cooperative mode, and pooled mode. The results show that the pooled mode, compared with the isolated mode, improves the task success rate by 19.52%, and at the same time increases network resources and energy consumption in the same scenario. Compared with the cooperation mode, the performance of task success rate and resource utilization rate is close to that of the pooled mode, but it has more advantages in response time and load balancing of satellite resources. This shows that in the IoT, the resource pool is of great benefit as it improves the task response time and improves the load balance of satellite resources without degrading the performance, which makes sense in task-demanding scenarios. © 2022 by the authors.</t>
  </si>
  <si>
    <t>Due to the convergence of advanced technologies such as the Internet of Things, Artificial Intelligence, and Big Data, a healthcare platform accumulates data in a huge quantity from several heterogeneous sources. The adequate usage of this data may increase the impact of and improve the healthcare service quality; however, the quality of the data may be questionable. Assessing the quality of the data for the task in hand may reduce the associated risks, and increase the confidence of the data usability. To overcome the aforementioned challenges, this paper presents the web objects based contextual data quality assessment model with enhanced classification metric parameters. A semantic ontology of virtual objects, composite virtual objects, and services is also proposed for the parameterization of contextual data quality assessment of web objects data. The novelty of this article is the provision of contextual data quality assessment mechanisms at the data acquisition, assessment, and service level for the web objects enabled semantic data applications. To evaluate the proposed data quality assessment mechanism, web objects enabled affective stress and teens' mood care semantic data applications are designed, and a deep data quality learning model is developed. The findings of the proposed approach reveal that, once a data quality assessment model is trained on web objects enabled healthcare semantic data, it could be used to classify the incoming data quality in various contextual data quality metric parameters. Moreover, the data quality assessment mechanism presented in this paper can be used to other application domains by incorporating data quality analysis requirements ontology. © 2020 by authors.</t>
  </si>
  <si>
    <t>Calderón-Gómez H.; Mendoza-Pittí L.; Vargas-Lombardo M.; Gómez-Pulido J.M.; Rodríguez-Puyol D.; Sención G.; Polo-Luque M.-L.</t>
  </si>
  <si>
    <t>This article proposes a new framework for a Cloud-based eHealth platform concept focused on Cloud computing environments, since current and emerging approaches using digital clinical history increasingly demonstrate their potential in maintaining the quality of the benefits in medical care services, especially in computer-assisted clinical diagnosis within the field of infectious diseases and due to the worsening of chronic pathologies. Our objective is to evaluate and contrast the performance of the architectural patterns most commonly used for developing eHealth applications (i.e., service-oriented architecture (SOA) and microservices architecture (MSA)), using as reference the quantitative values obtained from the various performance tests and their ability to adapt to the required software attribute (i.e., versatile high-performance). Therefore, it was necessary to modify our platform to fit two architectural variants. As a follow-up to this activity, corresponding tests were performed that showed that the MSA variant functions better in terms of performance and response time compared to the SOA variant; however, it consumed significantly more bandwidth than SOA, and scalability in SOA is generally not possible or requires significant effort to be achieved. We conclude that the implementation of SOA and MSA depends on the nature and needs of organizations (e.g., performance or interoperability). © 2021 by the authors. Licensee MDPI, Basel, Switzerland.</t>
  </si>
  <si>
    <t>Calderón-Gómez, Huriviades (57212213794); Mendoza-Pittí, Luis (57212213557); Vargas-Lombardo, Miguel (36009410700); Gómez-Pulido, José Manuel (36767542700); Rodríguez-Puyol, Diego (7005518392); Sención, Gloria (56487918900); Polo-Luque, María-Luz (8076303600)</t>
  </si>
  <si>
    <t>Mendoza‐pittí L.; Calderón‐gómez H.; Gómez‐pulido J.M.; Vargas‐lombardo M.; Castillo‐sequera J.L.; de Blas C.S.</t>
  </si>
  <si>
    <t>Developing a long short‐term memory‐based model for forecasting the daily energy consumption of heating, ventilation, and air conditioning systems in buildings</t>
  </si>
  <si>
    <t>Forecasting the energy consumption of heating, ventilating, and air conditioning systems is important for the energy efficiency and sustainability of buildings. In fact, conventional models present limitations in these systems due to their complexity and unpredictability. To overcome this, the long short‐term memory‐based model is employed in this work. Our objective is to develop and evaluate a model to forecast the daily energy consumption of heating, ventilating, and air conditioning systems in buildings. For this purpose, we apply a comprehensive methodology that allows us to obtain a robust, generalizable, and reliable model by tuning different parameters. The results show that the proposed model achieves a significant improvement in the coefficient of variation of root mean square error of 9.5% compared to that proposed by international agencies. We conclude that these results provide an encouraging outlook for its implementation as an intelligent service for decision making, capable of overcoming the problems of other noise‐sensitive models affected by data variations and disturbances without the need for expert knowledge in the domain. © 2021 by the authors. Licensee MDPI, Basel, Switzerland.</t>
  </si>
  <si>
    <t>Daily energy consumption; Deep learning; Forecasting model; HVAC systems; Long short‐term memory; Short‐term forecast</t>
  </si>
  <si>
    <t>Mendoza‐pittí, Luis (57212213557); Calderón‐gómez, Huriviades (57212213794); Gómez‐pulido, José Manuel (36767542700); Vargas‐lombardo, Miguel (36009410700); Castillo‐sequera, José Luis (58644043900); de Blas, Clara Simon (57196422360)</t>
  </si>
  <si>
    <t>Due to the rapid development of the fifth-generation (5G) applications, and increased demand for even faster communication networks, we expected to witness the birth of a new 6G technology within the next ten years. Many references suggested that the 6G wireless network standard may arrive around 2030. Therefore, this paper presents a critical analysis of 5G wireless networks’, significant technological limitations and reviews the anticipated challenges of the 6G communication networks. In this work, we have considered the applications of three of the highly demanding domains, namely: energy, Internet-of-Things (IoT) and machine learning. To this end, we present our vision on how the 6G communication networks should look like to support the applications of these domains. This work presents a thorough review of 370 papers on the application of energy, IoT and machine learning in 5G and 6G from three major libraries: Web of Science, ACM Digital Library, and IEEE Explore. The main contribution of this work is to provide a more comprehensive perspective, challenges, requirements, and context for potential work in the 6G communication standard. © 2021 by the authors. Licensee MDPI, Basel, Switzerland.</t>
  </si>
  <si>
    <t>Digitalization and concepts such as digital twins (DT) are expected to have huge potential to improve efficiency in industry, in particular, in the energy sector. Although the number and maturity of DT concepts is increasing, there is still no standardized framework available for the implementation of DTs for industrial energy systems (IES). On the one hand, most proposals focus on the conceptual side of components and leave most implementation details unaddressed. Specific implementations, on the other hand, rarely follow recognized reference architectures and standards. Furthermore, most related work on DTs is done in manufacturing, which differs from DTs in energy systems in various aspects, regarding, for example, multiple time-scales, strong nonlinearities and uncertainties. In the present work, we identify the most important requirements for DTs of IES. We propose a DT platform based on the five-dimensional DT modeling concept with a low level of abstraction that is tailored to the identified requirements. We address current technical implementation barriers and provide practical solutions for them. Our work should pave the way to standardized DT platforms and the efficient encapsulation of DT service engineering by domain experts. Thus, DTs could be easy to implement in various IES-related use cases, host any desired models and services, and help get the most out of the individual applications. This ultimately helps bridge the interdisciplinary gap between the latest research on DTs in the domain of computer science and industrial automation and the actual implementation and value creation in the traditional energy sector. © 2022 by the authors.</t>
  </si>
  <si>
    <t>Kasper, Lukas (57217080482); Birkelbach, Felix (57194472014); Schwarzmayr, Paul (57219354141); Steindl, Gernot (57210927410); Ramsauer, Daniel (57226746998); Hofmann, René (55413515600)</t>
  </si>
  <si>
    <t>Heričko T.; Šumak B.</t>
  </si>
  <si>
    <t>During maintenance, software systems undergo continuous correction and enhancement activities due to emerging faults, changing environments, and evolving requirements, making this phase expensive and time-consuming, often exceeding the initial development costs. To understand and manage software under development and maintenance better, several maintainability measures have been proposed. The Maintainability Index is commonly used as a quantitative measure of the relative ease of software maintenance. There are several Index variants that differ in the factors affecting maintainability (e.g., code complexity, software size, documentation) and their given importance. To explore the variants and understand how they compare when evaluating software maintainability, an experiment was conducted with 45 Java-based object-oriented software systems. The results showed that the choice of the variant could influence the perception of maintainability. Although different variants presented different values when subjected to the same software, their values were strongly positively correlated and generally indicated similarly how maintainability evolved between releases and over the long term. Though, when focusing on fine-grained results posed by the Index, the variant selection had a larger impact. Based on their characteristics, behavior, and interrelationships, the variants were divided into two distinct clusters, i.e., variants that do not consider code comments in their calculation and those that do. © 2023 by the authors.</t>
  </si>
  <si>
    <t>Heričko, Tjaša (57490891500); Šumak, Boštjan (24483973500)</t>
  </si>
  <si>
    <t>The field of cloud computing has witnessed tremendous progress, with commercial cloud providers offering powerful distributed infrastructures to small and medium enterprises (SMEs) through their revolutionary pay-as-you-go model. Simultaneously, the rise of containers has empowered virtualisation, providing orchestration technologies for the deployment and management of large-scale distributed systems across different geolocations and providers. Big data is another research area which has developed at an extraordinary pace as industries endeavour to discover innovative and effective ways of processing large volumes of structured, semi-structured, and unstructured data. This research aims to integrate the latest advances within the fields of cloud computing, virtualisation, and big data for a systematic approach to stream processing. The novel contributions of this research are: (1) MC-BDP, a reference architecture for big data stream processing in a containerised, multi-cloud environment; (2) a case study conducted with the Estates and Sustainability departments at Leeds Beckett University to evaluate an MC-BDP prototype within the context of energy efficiency for smart buildings. The study found that MC-BDP is scalable and fault-tolerant across cloud environments, key attributes for SMEs managing resources under budgetary constraints. Additionally, our experiments on technology agnosticism and container co-location provide new insights into resource utilisation, cost implications, and optimal deployment strategies in cloud-based big data streaming, offering valuable guidelines for practitioners in the field. © 2023 by the authors.</t>
  </si>
  <si>
    <t>Telemedicine has emerged as a vital component of contemporary healthcare, revolutionizing the way medical services are delivered and accessed (e.g., it enables patients living in underserved or rural areas to receive medical consultation and treatment remotely). Moreover, telemedicine plays a pivotal role in improving healthcare efficiency by reducing wait times, minimizing unnecessary hospital visits, and optimizing resource allocation. In this paper, we present HealthTracker, a monitoring infrastructure for patients comprising two Internet of Things (IoT) devices (one of which was designed and created by us) and a mobile app that sends data collected by the IoT devices to a cloud service. All these components work together to provide an innovative system able to monitor patient health condition, provide alerts in emergency cases, and elaborate upon data to improve the quality of medical care. Preliminary tests show that the system works well, and real experimentation will start soon in collaboration with the local health authority. © 2024 by the authors.</t>
  </si>
  <si>
    <t>The rise in electricity costs for households over the past year has driven significant changes in energy usage patterns, with many residents adopting smarter energy-efficient practices, such as improved indoor insulation and advanced home energy management systems powered by IoT and Digital Twin technologies. These measures not only mitigate rising bills but also ensure optimized thermal comfort and sustainability in typical residential settings. This paper proposes an innovative framework to facilitate the adoption of energy-efficient practices in households by leveraging the integration of Internet of Things technologies with Digital Twins. It introduces a novel approach that exploits standardized parametric 3D models, enabling the efficient simulation and optimization of home energy systems. This design significantly reduces deployment complexity, enhances scalability, and empowers users with real-time insights into energy consumption, indoor conditions, and actionable strategies for sustainable energy management. The results showcase that the proposed method significantly outperforms traditional approaches, achieving a 94% reduction in deployment time and a 98% decrease in memory usage through the use of standardized parametric models and plug-and-play IoT integration. © 2024 by the authors.</t>
  </si>
  <si>
    <t>The intelligent development of smart industrial parks (SIPs) can not only promote the development of smart cities, but also promote the development of intelligent large-scale buildings. China is strengthening the construction of SIPs; however, the development of SIPs is limited. Due to different understandings of SIPs, the intelligence level of each SIP varies greatly. It is necessary to develop a SIP intelligence level assessment model to check these limitations. Most of the existing evaluations focus on the qualitative evaluation of the overall intelligence level of SIPs, ignoring the influence of each individual dimension. Therefore, this study used quantitative methods to measure the intelligence level of SIPs from the overall and dimensional levels. The evaluation method included five processes: (1) Classifying the intelligence level of SIPs through expert interviews; (2) Using the literature analysis method to identify various dimensions of the intelligence level; (3) Using literature analysis and expert interviews to determine the evaluation indicators (4) Weighting indicators based on correlation and induced ordered weighted average (IOWA) operator; (5) Using grey clustering analysis to calculate the overall intelligence performance of SIPs and each dimension. Finally, the developed model was verified by Z SIP. The analysis results show that the developed model can measure both overall and dimensional performance of SIPs, and demonstrated that enterprise information services, public information services, SIP security, and energy consumption monitoring platform construction make the greatest contributions to the improvement of the intelligence level. Our research results will help to improve the intelligence level of SIPs, and lay the foundation for the determination of the operating costs of SIPs and the formulation of national standards related to SIPs in the future. © 2022 by the authors.</t>
  </si>
  <si>
    <t>Large underground spaces are complex and huge, with problems such as fragmented data that cannot be shared, outdated management methods, and high operation and maintenance costs. The digitization of building information and the use of digital twin technology can effectively improve the efficiency of building operation and maintenance. Using information technology to build a digital-twin-based operation and maintenance management system, the huge and discrete data and equipment system information are effectively integrated and explored for application. First, we analyze the shortcomings of the traditional delivery and operation and maintenance methods and introduce the necessity of a new method of operation and maintenance management based on digital twin; then, we divide the operation and maintenance information of the construction project into four major categories of spatial information and eight major categories of equipment information and complete the coding work, and the categorized data serve as the data basis for operation and maintenance; second, we develop a digital twin operation and maintenance management platform based on the operation and maintenance data of BIM; finally, we carry out case validation for the three major constructions. Finally, case validation is carried out for three major buildings and a large underground space and the practical application shows that the operation and maintenance management system based on digital twin technology provides technical guarantee for decentralized information and system integration management and the information management quality and efficiency of the operation and maintenance process are effectively improved. Through the practice of summarizing the experience, which is worth learning, we aim to create a large underground space operation and maintenance management method to provide a reference. © 2024 by the authors.</t>
  </si>
  <si>
    <t>Altuncı Y.T.</t>
  </si>
  <si>
    <t>Conducting comprehensive analyses to predict concrete compressive strength is crucial for enhancing safety in field applications and optimizing work processes. There is an extensive body of research in the literature focusing on predicting the mechanical properties of concrete, such as compressive strength. Summarizing the key contributions of these studies will serve as a guide for future research. To this end, this study aims to conduct a scientometric analysis of contributions that utilize machine learning (ML) models for predicting concrete compressive strength, assess these models, and provide insights for developing optimal solutions. Additionally, it seeks to offer researchers comprehensive information on prominent research themes, trends, and gaps in the literature regarding concrete compressive strength prediction. For this purpose, 2319 articles addressing the prediction of concrete compressive strength, published between 2000 and 19 August 2024, were identified through the Scopus Database. Scientometric analyses were conducted using VOSviewer software. The evaluation of relevant studies demonstrates that ML models are frequently used to predict concrete compressive strength. The advantages and limitations of these models are examined, with a particular emphasis on key considerations when working with complex datasets. A comprehensive analysis of ML models and their practical contributions to field applications distinguishes this study from existing research. This study contributes significantly to the literature by examining leading institutions, countries, authors, and sources in the field, synthesizing data, and identifying research areas, gaps, and trends in concrete compressive strength prediction. It establishes a strong foundation for the design of ML-supported, reliable, sustainable, and optimized structural systems in civil engineering, building materials, and the concrete industry. © 2024 by the author.</t>
  </si>
  <si>
    <t>Altuncı, Yusuf Tahir (16306382400)</t>
  </si>
  <si>
    <t>Granger causality provides a framework that uses predictability to identify causation between time series variables. This is important to policymakers for effective policy management and recommendations. Granger causality is recognized as the primary advance on the causation problem. The objective of this paper is to conduct a bibliometric analysis of Granger causality publications indexed in the Web of Science database. Harzing’s Publish or Perish and VOSviewer were used for performance analysis and science mapping. The first paper indexed was published in 1981 and there has been an upward trend in the annual publication of Granger causality studies which are shifting towards the areas of environmental science, energy, and economics. Most of the publications are articles and proceeding papers under the areas of business economics, environmental science ecology, and neurosciences/neurology. China has the highest number of publications while the United States has the highest number of citations. England has the highest citation impact. This paper also constructed country co-authorship, co-analysis of cited references, cited sources, and cited authors, keyword co-occurrence, and keyword overlay visualization maps. © 2023 by the authors.</t>
  </si>
  <si>
    <t>The inclusion of mobility-based Internet-of-Things (IoT) devices accelerates the data transmission process, thereby catering to IoT users’ demands; however, securing the data transmission in mobility-based IoT is one complex and challenging concern. The adoption of unified security architecture has been identified to prevent side-channel attacks in the IoT, which has been discussed extensively in developing security solutions. Despite blockchain’s apparent superiority in withstanding a wide range of security threats, a careful examination of the relevant literature reveals that some common pitfalls are associated with these methods. Therefore, the proposed scheme introduces a novel computational security framework wherein a branched and decentralized blockchain network is formulated to facilitate coverage from different variants of side-channel IoT attacks that are yet to be adequately reported. A unique blockchain-based authentication approach is designed to secure communication among mobile IoT devices using multiple stages of security implementation with Smart Agreement and physically unclonable functions. Analytical modeling with lightweight finite field encryption is used to create this framework in Python. The study’s benchmark results show that the proposed scheme offers 4% less processing time, 5% less computational overhead, 1% more throughput, 12% less latency, and 30% less energy consumption compared to existing blockchain methods. © 2022 by the authors.</t>
  </si>
  <si>
    <t>Laso S.; Flores-Martin D.; Herrera J.L.; Galán-Jiménez J.; Berrocal J.</t>
  </si>
  <si>
    <t>Identification and Visualization of a Patient’s Medical Record via Mobile Devices without an Internet Connection</t>
  </si>
  <si>
    <t>Nowadays, people’s medical records are crucial when it comes to providing treatments, discovering pathologies, or keeping track of health status. Advances in technology have allowed these records to be increasingly digitized, to the point that they can be consulted by specialists from anywhere. This also allows people to report their health status, allergies, or treatments. However, knowing a person’s medical history is a delicate and complex process, and accessing these digitized data is not always possible due to problems with network connectivity or physical communication with the person. In this work, we propose a solution for medical staff to obtain a patient’s medical history through facial recognition, and without the need for an internet connection. This proposal is based on the development of an architecture that allows connecting nearby mobile devices of doctors and patients without an internet connection to obtain the desired information using facial recognition as an authentication method. The architecture has been validated with the development of a mobile application that, by focusing on the patient’s face with the camera of the doctor’s mobile device, makes it possible to obtain the patient’s medical information. With this proposal, it is possible to obtain the medical history of a person in dangerous situations or where the connectivity is limited or non-existent, in a simple and fast way. © 2022 by the authors.</t>
  </si>
  <si>
    <t>Laso, Sergio (57215899094); Flores-Martin, Daniel (57202682662); Herrera, Juan Luis (57215896262); Galán-Jiménez, Jaime (35112903800); Berrocal, Javier (32667521200)</t>
  </si>
  <si>
    <t>Cyber-Physical Systems (CPS) are integrated systems that combine software and physical components. CPS has experienced rapid growth over the past decade in fields as disparate as telemedicine, smart manufacturing, autonomous vehicles, the Internet of Things, industrial control systems, smart power grids, remote laboratory environments, and many more. With the widespread integration of Cyber-Physical Systems (CPS) in various aspects of contemporary society, the frequency of malicious assaults carried out by adversaries has experienced a substantial surge in recent times. Incidents targeting vital civilian infrastructure, such as electrical power grids and oil pipelines, have become alarmingly common due to the expanded connectivity to the public internet, which significantly expands the vulnerability of CPS. This article presents a comprehensive review of existing literature that examines the latest advancements in anomaly detection techniques for identifying security threats in Cyber-Physical Systems. The primary emphasis is placed on addressing life safety concerns within industrial control networks (ICS). A total of 296 papers are reviewed, with common themes and research gaps identified. This paper makes a novel contribution by identifying the key challenges that remain in the field, which include resource constraints, a lack of standardized communication protocols, extreme heterogeneity that hampers industry consensus, and different information security priorities between Operational Technology (OT) and Information Technology (IT) networks. Potential solutions and/or opportunities for further research are identified to address these selected challenges. © 2023 by the authors.</t>
  </si>
  <si>
    <t>Jeffrey, Nicholas (57793782800); Tan, Qing (24529398000); Villar, José R. (56221630500)</t>
  </si>
  <si>
    <t>This paper proposes and implements a smart architecture for Home Energy Management Systems (HEMS) that enables interoperability among devices from different manufacturers. This is achieved through the use of standardized elements and the design of an innovative middleware. The system comprises a control unit that communicates with smart outlets using the Wireless Smart Ubiquitous Network (WI-SUN) Home Area Network (HAN) specification, while smart metering is achieved using the WI-SUN Field Area Network (FAN) specification. To manage important data, a web platform and mobile app were created. Additionally, machine learning techniques are utilized to identify energy consumption of individual appliances when only the aggregate energy consumption of the house is available. The architecture presented here supports real-time control of energy use and generation through HEMS, and new devices can be added transparently. Finally, a comparison of the proposed system with similar systems in literature highlights its many advantages in terms of functionality. © 2023 by the authors.</t>
  </si>
  <si>
    <t>Motta, Lucas L. (57209291916); Ferreira, Luiz C. B. C. (56437217100); Cabral, Thales W. (57221942405); Lemes, Dimas A. M. (57223434569); Cardoso, Gustavo dos S. (57944755800); Borchardt, Andreza (57643482500); Cardieri, Paulo (6602681536); Fraidenraich, Gustavo (6506451414); de Lima, Eduardo R. (55516369700); Neto, Fernando B. (57223437445); Meloni, Luís G. P. (16643141600)</t>
  </si>
  <si>
    <t>Bolanowski M.; Paszkiewicz A.; Żabiński T.; Piecuch G.; Salach M.; Tomecki K.</t>
  </si>
  <si>
    <t>IoE components are becoming an integral part of our lives and support the operation of systems such as smart homes, smart cities, or Industry 4.0. The large number and variety of IoE components force the creation of flexible systems for data acquisition, processing, and analysis. The work presents a proposal for a new flexible architecture model and technology stack designed for the diagnostics and monitoring of industrial components and processes in an IoE device environment. The proposed solutions allow creating custom flexible systems for managing a distributed IoT environment, including the implementation of innovative mechanisms like, for example: predictive maintenance, anomaly detection, business intelligence, optimization of energy consumption, or supervision of the manufacturing process. In the present study, two detailed system architectures are proposed, and one of them was implemented. The developed system was tested in near-production conditions using a real IoT device infrastructure including industrial systems, drones, and sensor networks. The results showed that the proposed model of a central data-acquisition and -processing system allows the flexible integration of various IoE solutions and has a very high implementation potential wherever there is a need to integrate data from different sources and systems. © 2023 by the authors.</t>
  </si>
  <si>
    <t>Bolanowski, Marek (56029001100); Paszkiewicz, Andrzej (56028240300); Żabiński, Tomasz (23399185000); Piecuch, Grzegorz (57201253830); Salach, Mateusz (57204154367); Tomecki, Krzysztof (57907554600)</t>
  </si>
  <si>
    <t>Dakić V.; Kovač M.; Slovinac J.</t>
  </si>
  <si>
    <t>In the past twenty years, the IT industry has moved away from using physical servers for workload management to workloads consolidated via virtualization and, in the next iteration, further consolidated into containers. Later, container workloads based on Docker and Podman were orchestrated via Kubernetes or OpenShift. On the other hand, high-performance computing (HPC) environments have been lagging in this process, as much work is still needed to figure out how to apply containerization platforms for HPC. Containers have many advantages, as they tend to have less overhead while providing flexibility, modularity, and maintenance benefits. This makes them well-suited for tasks requiring a lot of computing power that are latency- or bandwidth-sensitive. But they are complex to manage, and many daily operations are based on command-line procedures that take years to master. This paper proposes a different architecture based on seamless hardware integration and a user-friendly UI (User Interface). It also offers dynamic workload placement based on real-time performance analysis and prediction and Machine Learning-based scheduling. This solves a prevalent issue in Kubernetes: the suboptimal placement of workloads without needing individual workload schedulers, as they are challenging to write and require much time to debug and test properly. It also enables us to focus on one of the key HPC issues—energy efficiency. Furthermore, the application we developed that implements this architecture helps with the Kubernetes installation process, which is fully automated, no matter which hardware platform we use—x86, ARM, and soon, RISC-V. The results we achieved using this architecture and application are very promising in two areas—the speed of workload scheduling and workload placement on a correct node. This also enables us to focus on one of the key HPC issues—energy efficiency. © 2024 by the authors.</t>
  </si>
  <si>
    <t>Dakić, Vedran (57213589010); Kovač, Mario (56031685500); Slovinac, Jurica (59217927000)</t>
  </si>
  <si>
    <t>Artificial Intelligence (AI) applications are rapidly growing, and more applications are joining the market competition. As a result, the AI-as-a-service (AIaaS) model is experiencing rapid growth. Many of these AIaaS-based applications are not properly optimized initially. Once they start experiencing a large volume of traffic, different challenges start revealing themselves. One of these challenges is maintaining a profit margin for the sustainability of the AIaaS application-based business model, which depends on the proper utilization of computing resources. This paper introduces the resource award predictive (RAP) model for AIaaS cost optimization called RAP-Optimizer. It is developed by combining a deep neural network (DNN) with the simulated annealing optimization algorithm. It is designed to reduce resource underutilization and minimize the number of active hosts in cloud environments. It dynamically allocates resources and handles API requests efficiently. The RAP-Optimizer reduces the number of active physical hosts by an average of 5 per day, leading to a 45% decrease in server costs. The impact of the RAP-Optimizer was observed over a 12-month period. The observational data show a significant improvement in resource utilization. It effectively reduces operational costs from USD 2600 to USD 1250 per month. Furthermore, the RAP-Optimizer increases the profit margin by 179%, from USD 600 to USD 1675 per month. The inclusion of the dynamic dropout control (DDC) algorithm in the DNN training process mitigates overfitting, achieving a 97.48% validation accuracy and a validation loss of 2.82%. These results indicate that the RAP-Optimizer effectively enhances resource management and cost-efficiency in AIaaS applications, making it a valuable solution for modern cloud environments. © 2024 by the authors.</t>
  </si>
  <si>
    <t>Predicting power demand of building heating systems is a challenging task due to the high variability of their energy profiles. Power demand is characterized by different heating cycles including sequences of various transient and steady-state phases. To effectively perform the predictive task by exploiting the huge amount of fine-grained energy-related data collected through Internet of Things (IoT) devices, innovative and scalable solutions should be devised. This paper presents PHI-CIB, a scalable full-stack distributed engine, addressing all tasks from energy-related data collection, to their integration, storage, analysis, and modeling. Heterogeneous data measurements (e.g., power consumption in buildings, meteorological conditions) are collected through multiple hardware (e.g., IoT devices) and software (e.g., web services) entities. Such data are integrated and analyzed to predict the average power demand of each building for different time horizons. First, the transient and steady-state phases characterizing the heating cycle of each building are automatically identified; then the power-level forecasting is performed for each phase. To this aim, PHI-CIB relies on a pipeline of three algorithms: the ExponentiallyWeighted Moving Average, the Multivariate Adaptive Regression Spline, and the Linear Regression with Stochastic Gradient Descent. PHI-CIB’s current implementation exploits Apache Spark and MongoDB and supports parallel and scalable processing and analytical tasks. Experimental results, performed on energy-related data collected in a real-world system show the effectiveness of PHI-CIB in predicting heating power consumption of buildings with a limited prediction error and an optimal horizontal scalability. © 2019 by the authors. Licensee MDPI, Basel, Switzerland.</t>
  </si>
  <si>
    <t>Artificial Intelligence (AI) and Machine Learning (ML) are envisaged to play key roles in 5G networks. Efficient radio resource management is of paramount importance for network operators. With the advent of newer technologies, infrastructure, and plans, spending significant radio resources on estimating channel conditions in mobile networks poses a challenge. Automating the process of predicting channel conditions can efficiently utilize resources. To this point, we propose an ML-based technique, i.e., an Artificial Neural Network (ANN) for predicting SINR (Signal-to-Interference-and-Noise-Ratio) in order to mitigate the radio resource usage in mobile networks. Radio resource scheduling is generally achieved on the basis of estimated channel conditions, i.e., SINR with the help of Sounding Reference Signals (SRS). The proposed Non-Linear Auto Regressive External/Exogenous (NARX)-based ANN aims to minimize the rate of sending SRS and achieves an accuracy of R = 0.87. This can lead to vacating up to 4% of the spectrum, improving bandwidth efficiency and decreasing uplink power consumption. © 2020 by the authors. Licensee MDPI, Basel, Switzerland.</t>
  </si>
  <si>
    <t>The explosive development of electrical engineering in the early 19th century marked the birth of the 2nd industrial revolution, with the use of electrical energy in place of steam power, as well as changing the history of human development. The versatility of electricity allows people to apply it to a multitude of fields such as transportation, heat applications, lighting, telecommunications, and computers. Nowadays, with the breakout development of science and technology, electric energy sources are formed by many different technologies such as hydroelectricity, solar power, wind power, coal power, etc. These energy sources are connected to form grid systems to transmit electricity to cities, businesses and homes for life and work. Electrical energy today has become the backbone of all modern technologies. To ensure the safe, reliable and energy-efficient operation of the grid, a wide range of grid management applications have been proposed. However, a significant challenge for monitoring and controlling grids is service response time. In recent times, to solve this problem, smart grid management applications based on IoT and edge computing have been proposed. In this work, we perform a comprehensive survey of edge computing for IoT-enabled smart grid systems. In addition, recent smart grid frameworks based on IoT and edge computing are discussed, important requirements are presented, and the open issues and challenges are indicated. We believe that in the Internet of Things era, the smart grid will be the future of energy. We hope that these study results will contribute important guidelines for in-depth research in the field of smart grids and green energy in the future. © 2022 by the authors.</t>
  </si>
  <si>
    <t>This work is devoted to the construction and analysis of the functioning of energy efficiency management systems for the technological processes of mining industries. The main idea of this work is to substantiate and describe an approach to the intellectualization of data processing methods and tools used in the operation of energy efficiency management systems. This paper provides a brief overview of the problems of implementing the ISO 50001 standard and provides a justification for the need to bring the energy efficiency management systems prescribed by the standard to an automated form. Functional requirements for the construction of such automated systems for mining industries, considering the use of Industry 4.0 technologies, are formulated. A structural–functional model of the conceptual architecture of the proposed system is given. The problems of the direct integration of computational methods of data mining for the implementation of the required functions are shown. A statistical analysis of the technological information of 11 enterprises is presented, confirming the described problems and the validity of the stated requirements for building the system. Based on the results of the work, steps to eliminate problems and further plans for the modernization of energy efficiency management systems in the industry have been identified. © 2023 by the authors.</t>
  </si>
  <si>
    <t>Currently, the deployment of services for real-time delivery of an electrocardiogram to a remote site has a cost that prevents its widespread diffusion, which would contribute to saving lives with prevention, assistance and rescue efficiency. To fill this gap, we introduce the design of a remote electrocardiogram service that privileges open, low-cost options. The architecture is based on the HyperText Transfer Protocol (HTTP) and uses commercial off-the-shelf devices to implement the sensor on the patient's side. The doctor uses a laptop browser to display the tracing, and a cloud computing instance connects the two usingWebSockets. A prototype is built to evaluate overall performance, the power consumption of the patient's side device, and the quality of rendering on doctor's browser. The patient's sensor prototype device is portable, and its power consumption is below 1 Watt, thus allowing a daylong autonomy when operated on batteries. Its cost is below 50$, and the required hardware is commercially available. The whole design is ready for on-field evaluation, and it is available in a public repository. © 2019 by the authors.</t>
  </si>
  <si>
    <t>Villegas-Ch W.; Palacios-Pacheco X.; Román-Cañizares M.</t>
  </si>
  <si>
    <t>Currently, there are several emerging technologies that seek to improve quality of life. To achieve this, it is important to establish the various technologies’ fields of action and to determine which technology meets the conditions established by the environment in which it is designed to operate in order to satisfy the needs of society. One type of environment is the university campus. This particular environment is conducive to the development and testing of technological innovations that might later be replicated in larger environments such as smart cities. The technology that has experienced the greatest development and introduction of applications is the Internet of Things. The wide variety of available devices and the wide reach of the Internet have become ideal parameters for the application of the Internet of Things in areas that previously required the work of people. The Internet of Things is seen as an assistant to, or a substitute for, processes that are generally routine and which require the effort of one or more people. This work focuses specifically on processes to improve administrative management in a university through the use of the Internet of Things. © 2020 by the authors. Licensee MDPI, Basel, Switzerland.</t>
  </si>
  <si>
    <t>Villegas-Ch, William (57194408086); Palacios-Pacheco, Xavier (57200377705); Román-Cañizares, Milton (57201681243)</t>
  </si>
  <si>
    <t>The development of smart city applications often encounters a variety of challenges. These include the need to address complex requirements such as integrating diverse data sources and incorporating geographical data that reflect the physical urban environment. Platforms designed for smart cities hold a pivotal position in materializing these applications, given that they offer a suite of high-level services, which can be repurposed by developers. Although a variety of platforms are available to aid the creation of smart city applications, most fail to couple their services with geographical data, do not offer the ability to execute semantic queries on the available data, and possess restrictions that could impede the development process. This paper introduces SEDIA, a platform for developing smart applications based on diverse data sources, including geographical information, to support a semantically enriched data model for effective data analysis and integration. It also discusses the efficacy of SEDIA in a proof-of-concept smart city application related to air quality monitoring. The platform utilizes ontology classes and properties to semantically annotate collected data, and the Neo4j graph database facilitates the recognition of patterns and relationships within the data. This research also offers empirical data demonstrating the performance evaluation of SEDIA. These contributions collectively advance our understanding of semantically enriched data integration within the realm of smart city applications. © 2023 by the authors.</t>
  </si>
  <si>
    <t>Šatkauskas N.; Venčkauskas A.</t>
  </si>
  <si>
    <t>Fog computing as a paradigm was offered more than a decade ago to solve Cloud Computing issues. Long transmission distances, higher data flow, data loss, latency, and energy consumption lead to providing services at the edge of the network. But, fog devices are known for being mobile and heterogenous. Their resources can be limited, and their availability can be constantly changing. A service placement optimization is needed to meet the QoS requirements. We propose a service placement orchestration, which functions as a multi-agent system. Fog computing services are represented by agents that can both work independently and cooperate. Service placement is being completed by a two-stage optimization method. Our service placement orchestrator is distributed, services are discovered dynamically, resources can be monitored, and communication messages among fog nodes can be signed and encrypted as a solution to the weakness of multi-agent systems due to the lack of monitoring tools and security. © 2024 by the authors.</t>
  </si>
  <si>
    <t>Šatkauskas, Nerijus (57211467301); Venčkauskas, Algimantas (55061639500)</t>
  </si>
  <si>
    <t>Schaffert M.; Warch D.; Müller H.</t>
  </si>
  <si>
    <t>Many single-family homes built in Germany in the first decades following the Second World War are now occupied by elderly residents. If local conditions are unfavorable, a large number of these buildings may enter the real estate market in a short period of time and put pressure on the local housing market. Planners and decision-makers therefore need detailed spatiotemporal information about these neighborhoods to effectively address and counteract such developments. We present the design and implementation of a planning support system that can generate the required information. The architecture of this newly developed software consists of a composite, multitier framework to perform the complex tasks of data importation, data processing, and visualization. Legally mandated municipal population registers provide the key data for the calculation of indicators as a base for spatiotemporal analyses and visualizations. These registers offer high data quality in terms of completeness, logical consistency, spatial, and temporal and thematic accuracy. We demonstrate the implemented method using population data from a local government in a rural area in southwestern Germany. The results show that the new tool, which relies on open software components, is capable to identify and prioritize areas with particularly high levels of problem pressure. The tool can be used not only for analyses in a local context, but also at a regional level. © 2024 by the authors.</t>
  </si>
  <si>
    <t>Schaffert, Markus (46761574700); Warch, Dominik (58671653800); Müller, Hartmut (16203715700)</t>
  </si>
  <si>
    <t>Exploring regional advanced manufacturing and its driving factors: A case study of the guangdong–hong kong–macao greater bay area</t>
  </si>
  <si>
    <t>This study aims to analyze the development trend of the manufacturing industry of the Guangdong–Hong Kong–Macao Greater Bay Area (from 2008 to 2018) by constructing an evaluation system. On the basis of push–pull–mooring theory, we analyze these factors by using an entropy and cluster model. The results show the following: (1) Technological development had an obvious spatial distribution pattern of core regional radiation, while others did not. (2) Economic development was based on the city’s existing industrial development system, while environmental development depended on governmental policies. (3) Compared with the environmental factor, the development trends of the economic and technological factors were more similar. Lastly, we provide four strategies for the development of the manufacturing industry in different cities. © 2021 by the authors. Licensee MDPI, Basel, Switzerland.</t>
  </si>
  <si>
    <t>With the proliferation of IoT devices, there has been exponential growth in data generation, placing substantial demands on both cloud computing (CC) and internet infrastructure. CC, renowned for its scalability and virtual resource provisioning, is of paramount importance in e-commerce applications. However, the dynamic nature of IoT and cloud services introduces unique challenges, notably in the establishment of service-level agreements (SLAs) and the continuous monitoring of compliance. This paper presents a versatile framework for the adaptation of e-commerce applications to IoT and CC environments. It introduces a comprehensive set of metrics designed to support SLAs by enabling periodic resource assessments, ensuring alignment with service-level objectives (SLOs). This policy-driven approach seeks to automate resource management in the era of CC, thereby reducing the dependency on extensive human intervention in e-commerce applications. This paper culminates with a case study that demonstrates the practical utilization of metrics and policies in the management of cloud resources. Furthermore, it provides valuable insights into the resource requisites for deploying e-commerce applications within the realms of the IoT and CC. This holistic approach holds the potential to streamline the monitoring and administration of CC services, ultimately enhancing their efficiency and reliability. © 2023 by the authors.</t>
  </si>
  <si>
    <t>Arrieta Rodriguez E.; Murillo Fernandez L.F.; Castañez Orta G.A.; Rivas Horta A.M.; Baldovino Barco C.; Jimenez Barrionuevo K.; Cama-Pinto D.; Arrabal-Campos F.M.; Martínez-Lao J.A.; Cama-Pinto A.</t>
  </si>
  <si>
    <t>There is a need to integrate advancements in biomedical, information, and communication technologies with care processes within the framework of the inpatient safety program to support effective risk management of adverse events occurring in the hospital environment and to improve inpatient safety. In this respect, this work presents the development of a software platform using the Scrum methodology and the integrated technology of the Internet of Things for monitoring and managing inpatient safety. A modular solution is developed under a hexagonal architecture, using PHP as the backend language through the Laravel framework. A MySQL database was used for the data layer, and Vue.js was used for the user interface. This work implemented an RFID-based nurse call system using Internet of Things (IoT) concepts. The system enables nurses to respond to each inpatient within a given time limit and without the inpatient or a family member having to approach the nursing station. The system also provides reports and indicators that help evaluate the quality of inpatient care and helps to take measures to improve inpatient safety during care. In addition, diet management is integrated to reduce the occurrence of adverse events. A LoRa and Wi-Fi-based IoT network was implemented using a LoRa transceiver and the ESP32 MCU, chosen for its low power consumption, low cost, and wide availability. Bidirectional communication between hardware and software is handled through an MQTT Broker. The system integrates temperature and humidity sensors and smoke sensors, among others. © 2022 by the authors.</t>
  </si>
  <si>
    <t>Arrieta Rodriguez, Eugenia (57217088865); Murillo Fernandez, Luis Fernando (55909456000); Castañez Orta, Gustavo Adolfo (58029692000); Rivas Horta, Ana Milena (58029692100); Baldovino Barco, Carlos (58029859900); Jimenez Barrionuevo, Kellys (58030197900); Cama-Pinto, Dora (57199508421); Arrabal-Campos, Francisco Manuel (57190022747); Martínez-Lao, Juan Antonio (57192712884); Cama-Pinto, Alejandro (57074174800)</t>
  </si>
  <si>
    <t>Process Automation in an IoT–Fog–Cloud Ecosystem: A Survey and Taxonomy</t>
  </si>
  <si>
    <t>The number of IoT sensors and physical objects accommodated on the Internet is increasing day by day, and traditional Cloud Computing would not be able to host IoT data because of its high latency. Being challenged of processing all IoT big data on Cloud facilities, there is not enough study on automating components to deal with the big data and real-time tasks in the IoT–Fog–Cloud ecosystem. For instance, designing automatic data transfer from the fog layer to cloud layer, which contains enormous distributed devices is challenging. Considering fog as the supporting processing layer, dealing with decentralized devices in the IoT and fog layer leads us to think of other automatic mechanisms to manage the existing heterogeneity. The big data and heterogeneity challenges also motivated us to design other automatic components for Fog resiliency, which we address as the third challenge in the ecosystem. Fog resiliency makes the processing of IoT tasks independent to the Cloud layer. This survey aims to review, study, and analyze the automatic functions as a taxonomy to help researchers, who are implementing methods and algorithms for different IoT applications. We demonstrated the automatic functions through our research in accordance to each challenge. The study also discusses and suggests automating the tasks, methods, and processes of the ecosystem that still process the data manually. © 2021 by the authors.</t>
  </si>
  <si>
    <t>The internet of things (IoT) concept has been extremely investigated in many modern smart applications, which enable a set of sensors to either process the collected data locally or send them to the cloud for remote processing. Unfortunately, cloud datacenters are located far away from IoT devices, and consequently, the transmission of IoT data may be delayed. In this paper, we investigate fog computing, which is a new paradigm that overcomes many issues of cloud computing. More importantly, dynamic task offloading in fog computing is a challenging problem that requires an optimal decision for processing the tasks that are generated in each time slot. Thus, exact optimization methods based on Lyapunov function have been widely used for solving dynamic offloading which represents an NP hard problem. To overcome the scalability issue of exact optimization techniques, we have explored famous population based meta-heuristics for optimizing the offloading process of a set of dynamic tasks using Orthogonal Frequency Division Multiplexing (OFDM) communication. Hence, a parallel multi-threading framework is proposed for generating the optimal offloading solution while selecting the best sub-carrier for each offloaded task. More importantly, our contribution associates a thread for each IoT device and generates a population of random solutions. Next, each population is updated and evaluated according to the proposed fitness function that considers a tradeoff between the delay and energy consumption. Upon the arrival of new tasks at each time slot, an evaluation is performed for maintaining some individuals of the previous population while generating new individuals based on some criteria. Our results have been compared to the results achieved using Lyapunov optimization. They demonstrate the convergence of the fitness function, the scalability of the parallel Particle Swarm Optimization (PSO) approach, and the performance in terms of the offline error and the execution cost. © 2022 by the authors. Licensee MDPI, Basel, Switzerland.</t>
  </si>
  <si>
    <t>In the realm of automated industry and smart production, the deployment of fault warning systems is crucial for ensuring equipment reliability and enhancing operational efficiency. Although there are a multitude of existing methodologies for fault warning, the proficiency of these systems in processing and analysing data is increasingly challenged by the progression of industrial apparatus and the escalating magnitude and intricacy of the data involved. To address these challenges, this research outlines an innovative fault warning methodology that combines a bi-directional long short-term memory (Bi-LSTM) network with an enhanced hunter–prey optimisation (EHPO) algorithm. The Bi-LSTM network is strategically utilised to outline complex temporal patterns in machinery operational data, while the EHPO algorithm is employed to meticulously fine-tune the hyperparameters of the Bi-LSTM, aiming to enhance the accuracy and generalisability of fault warning. The EHPO algorithm, building upon the foundational hunter–prey optimisation (HPO) framework, introduces an advanced population initialisation process, integrates a range of strategic exploration methodologies, and strengthens its search paradigms through the incorporation of the differential evolution (DE) algorithm. This comprehensive enhancement aims to boost the global search efficiency and accelerate the convergence speed of the algorithm. Empirical analyses, conducted using datasets from real-world industrial scenarios, have validated the improved warning performance of this proposed methodology against some benchmark techniques, as evidenced by superior metrics such as root mean square error (RMSE) and mean absolute error (MAE), albeit with a slight increase in computational resource requirements. This study not only proposes a novel paradigm for fault warning within complex industrial frameworks but also contributes to the discourse on hyperparameter optimisation within the field of machine learning algorithms. © 2024 by the authors.</t>
  </si>
  <si>
    <t>Župerl U.; Stepien K.; Munđar G.; Kovačič M.</t>
  </si>
  <si>
    <t>This article presents a cloud-based system for the on-line monitoring of tool conditions in end milling. The novelty of this research is the developed system that connects the IoT (Internet of Things) platform for the monitoring of tool conditions in the cloud to the machine tool and optical system for the detection of cutting chip size. The optical system takes care of the acquisition and transfer of signals regarding chip size to the IoT application, where they are used as an indicator for the determination of tool conditions. In addition, the novelty of the presented approach is in the artificial intelligence integrated into the platform, which monitors a tool’s condition through identification of the current cutting force trend and protects the tool against excessive loading by correcting process parameters. The practical significance of the research is that it is a new system for fast tool condition monitoring, which ensures savings, reduces investment costs due to the use of a more cost-effective sensor, improves machining efficiency and allows remote process monitoring on mobile devices. A machining test was performed to verify the feasibility of the monitoring system. The results show that the developed system with an ANN (artificial neural network) for the recognition of cutting force patterns successfully detects tool damage and stops the process within 35 ms. This article reports a classification accuracy of 85.3% using an ANN with no error in the identification of tool breakage, which verifies the effectiveness and practicality of the approach. © 2022 by the authors. Licensee MDPI, Basel, Switzerland.</t>
  </si>
  <si>
    <t>Župerl, Uroš (6602724018); Stepien, Krzysztof (12142550300); Munđar, Goran (57577595600); Kovačič, Miha (7003486786)</t>
  </si>
  <si>
    <t>Edge computing technology can effectively solve huge challenges posed by the large number of terminal devices accessing and massive data processing in digital distribution networks. Burst tasks, such as faults and data requests from the cloud, can occur at any time for edge computing devices in distribution networks. These tasks are unpredictable and usually hold the highest priority and must be completed as soon as possible. Although resources can be reserved partially at each period in the pre-scheduled operation plan, they may still be insufficient to handle burst tasks adequately. A real-time resource dispatch approach for burst tasks is developed in this study to address the above problems. The concept of flexibility for edge computing devices is presented, determining the real-time dispatch duration. Real-time resource dispatch and task handling processing are analyzed in detail, considered as task real-time dispatch models, computation process real-time dispatch constraints, and resource limitation constraints. The proposed real-time resource dispatch approach takes full advantage of the transferable characteristics for partial original plan tasks to adjust the pre-scheduled operation plan and release flexible resources for immediate processing of the burst task, completing burst tasks quickly and minimizing the impact for previous planned tasks on the edge computing device. The capability of the proposed method to efficiently deal with the burst tasks is also verified by the case study. © 2024 by the authors.</t>
  </si>
  <si>
    <t>Li Z.; Seco D.; Rodríguez A.E.S.</t>
  </si>
  <si>
    <t>The ubiquitous Internet of Things (IoT) devices nowadays are generating various and numerous data from everywhere at any time. Since it is not always necessary to centralize and analyze IoT data cumulatively (e.g., the Monte Carlo analytics and Convergence analytics demonstrated in this article), the traditional implementations of big data analytics (BDA) will suffer from unnecessary and expensive data transmissions as a result of the tight coupling between computing resource management and data processing logics. Inspired by software-defined infrastructure (SDI), we propose the “microservice-oriented platform” to break the environmental monolith and further decouple data processing logics from their underlying resource management in order to facilitate BDA implementations in the IoT environment (which we name “IoBDA”). Given predesigned standard microservices with respect to specific data processing logics, the proposed platform is expected to largely reduce the complexity in and relieve inexperienced practices of IoBDA implementations. The potential contributions to the relevant communities include (1) new theories of a microservice-oriented platform on top of SDI and (2) a functional microservice-oriented platform for IoBDA with a group of predesigned microservices. © 2019 by the authors. Licensee MDPI, Basel, Switzerland.</t>
  </si>
  <si>
    <t>Li, Zheng (56967916100); Seco, Diego (23478508600); Rodríguez, Alexis Eloy Sánchez (57212372529)</t>
  </si>
  <si>
    <t>As one of the information industry’s future development directions, the Internet of Things (IoT) has been widely used. In order to reduce the pressure on the network caused by the long distance between the processing platform and the terminal, edge computing provides a new paradigm for IoT applications. In many scenarios, the IoT devices are distributed in remote areas or extreme terrain and cannot be accessed directly through the terrestrial network, and data transmission can only be achieved via satellite. However, traditional satellites are highly customized, and on-board resources are designed for specific applications rather than universal computing. Therefore, we propose to transform the traditional satellite into a space edge computing node. It can dynamically load software in orbit, flexibly share on-board resources, and provide services coordinated with the cloud. The corresponding hardware structure and software architecture of the satellite is presented. Through the modeling analysis and simulation experiments of the application scenarios, the results show that the space edge computing system takes less time and consumes less energy than the traditional satellite constellation. The quality of service is mainly related to the number of satellites, satellite performance, and task offloading strategy. © 2019 by the authors. Licensee MDPI, Basel, Switzerland.</t>
  </si>
  <si>
    <t>The rise of edge computing has promoted the development of the industrial internet of things (IIoT). Supported by edge computing technology, data acquisition can also support more complex and perfect application requirements in industrial field. Most of traditional sampling methods use constant sampling frequency and ignore the impact of changes of sampling objects during the data acquisition. For the problem of sampling distortion, edge data redundancy and energy consumption caused by constant sampling frequency of sensors in the IIoT, a data-driven adaptive sampling method based on edge computing is proposed in this paper. The method uses the latest data collected by the sensors at the edge node for linear fitting and adjusts the next sampling frequency according to the linear median jitter sum and adaptive sampling strategy. An edge data acquisition platform is established to verify the validity of the method. According to the experimental results, the proposed method is more effective than other adaptive sampling methods. Compared with constant sampling frequency, the proposed method can reduce the edge data redundancy and energy consumption by more than 13.92% and 12.86%, respectively. © 2020 by the authors. Licensee MDPI, Basel, Switzerland.</t>
  </si>
  <si>
    <t>Gardašević G.; Katzis K.; Bajić D.; Berbakov L.</t>
  </si>
  <si>
    <t>Emerging wireless sensor networks and internet of things technologies—foundations of smart healthcare</t>
  </si>
  <si>
    <t>Future smart healthcare systems – often referred to as Internet of Medical Things (IoMT) – will combine a plethora of wireless devices and applications that use wireless communication technologies to enable the exchange of healthcare data. Smart healthcare requires sufficient bandwidth, reliable and secure communication links, energy-efficient operations, and Quality of Service (QoS) support. The integration of Internet of Things (IoT) solutions into healthcare systems can significantly increase intelligence, flexibility, and interoperability. This work provides an extensive survey on emerging IoT communication standards and technologies suitable for smart healthcare applications. A particular emphasis has been given to low-power wireless technologies as a key enabler for energy-efficient IoT-based healthcare systems. Major challenges in privacy and security are also discussed. A particular attention is devoted to crowdsourcing/crowdsensing, envisaged as tools for the rapid collection of massive quantities of medical data. Finally, open research challenges and future perspectives of IoMT are presented. © 2020 by the authors. Licensee MDPI, Basel, Switzerland.</t>
  </si>
  <si>
    <t>Gardašević, Gordana (27867668700); Katzis, Konstantinos (9436690800); Bajić, Dragana (56186463400); Berbakov, Lazar (48361022900)</t>
  </si>
  <si>
    <t>Restricted abilities of mobile devices in terms of storage, computation, time, energy sup-ply, and transmission causes issues related to energy optimization and time management while processing tasks on mobile phones. This issue pertains to multifarious mobile device-related dimen-sions, including mobile cloud computing, fog computing, and edge computing. On the contrary, mobile devices’ dearth of storage and processing power originates several issues for optimal energy and time management. These problems intensify the process of task retaining and offloading on mobile devices. This paper presents a novel task scheduling algorithm that addresses energy consumption and time execution by proposing an energy-efficient dynamic decision-based method. The proposed model quickly adapts to the cloud computing tasks and energy and time computation of mobile devices. Furthermore, we present a novel task scheduling server that performs the of-floading computation process on the cloud, enhancing the mobile device’s decision-making ability and computational performance during task offloading. The process of task scheduling harnesses the proposed empirical algorithm. The outcomes of this study enable effective task scheduling wherein energy consumption and task scheduling reduces significantly. © 2021 by the authors. Licensee MDPI, Basel, Switzerland.</t>
  </si>
  <si>
    <t>This paper presents an enhanced PDR-BLE compensation mechanism for improving indoor localization, which is considerably resilient against variant uncertainties. The proposed method of ePDR-BLE compensation mechanism (EPBCM) takes advantage of the non-requirement of linearization of the system around its current state in an unscented Kalman filter (UKF) and Kalman filter (KF) in smoothing of received signal strength indicator (RSSI) values. In this paper, a fusion of conflicting information and the activity detection approach of an object in an indoor environment contemplates varying magnitude of accelerometer values based on the hidden Markov model (HMM). On the estimated orientation, the proposed approach remunerates the inadvertent body acceleration and magnetic distortion sensor data. Moreover, EPBCM can precisely calculate the velocity and position by reducing the position drift, which gives rise to a fault in zero-velocity and heading error. The developed EPBCM localization algorithm using Bluetooth low energy beacons (BLE) was applied and analyzed in an indoor environment. The experiments conducted in an indoor scenario shows the results of various activities performed by the object and achieves better orientation estimation, zero velocity measurements, and high position accuracy than other methods in the literature. © 2021 by the authors. Licensee MDPI, Basel, Switzerland.</t>
  </si>
  <si>
    <t>This paper presents a case study of continuous productivity improvement of an automotive parts production line using Internet of Everything (IoE) data for fault monitoring. Continuous productivity improvement denotes an iterative process of analyzing and updating the production line configuration for productivity improvement based on measured data. Analysis for continuous improvement of a production system requires a set of data (machine uptime, downtime, cycle-time) that are not typically monitored by a conventional fault monitoring system. Although productivity improvement is a critical aspect for a manufacturing site, not many production systems are equipped with a dedicated data recording system towards continuous improvement. In this paper, we study the problem of how to derive the dataset required for continuous improvement from the measurement by a conventional fault monitoring system. In particular, we provide a case study of an automotive parts production line. Based on the data measured by the existing fault monitoring system, we model the production system and derive the dataset required for continuous improvement. Our approach provides the expected amount of improvement to operation managers in a numerical manner to help them make a decision on whether they should modify the line configuration or not. © 2021 by the authors. Licensee MDPI, Basel, Switzerland.</t>
  </si>
  <si>
    <t>Possible Applications of Edge Computing in the Manufacturing Industry—Systematic Literature Review</t>
  </si>
  <si>
    <t>This article presents the results of research with the main goal of identifying possible applications of edge computing (EC) in industry. This study used the methodology of systematic literature review and text mining analysis. The main findings showed that the primary goal of EC is to reduce the time required to transfer large amounts of data. With the ability to analyze data at the edge, it is possible to obtain immediate feedback and use it in the decision-making process. However, the implementation of EC requires investments not only in infrastructure, but also in the development of employee knowledge related to modern computing methods based on artificial intelligence. As the results of the analyses showed, great importance is also attached to energy consumption, both in ongoing production processes and for the purposes of data transmission and analysis. This paper also highlights problems related to quality management. Based on the analyses, we indicate further research directions for the application of edge computing and associated technologies that are required in the area of intelligent resource scheduling (for flexible production systems and autonomous systems), anomaly detection and resulting decision making, data analysis and transfer, knowledge management (for smart designing), and simulations (for autonomous systems). © 2022 by the authors. Licensee MDPI, Basel, Switzerland.</t>
  </si>
  <si>
    <t>The sixth generation (6G) satellite twin network is an important solution to achieve seamless global coverage of 6G. The deterministic geometric topology and the randomness of the communication behaviors of 6G networks limit the realism and transparency of cross-platform and cross-object communication, twin, and computing co-simulation networks. Meanwhile, the parallel-based serverless architecture has a high redundancy of computational resource allocation. Therefore, for the first time, we present a new hypergraph hierarchical nested kriging model, which provides theoretical analysis and modeling of integrated relationships for communication, twin, and computing. We explore the hierarchical unified characterization method which joins heterogeneous topologies. A basis function matrix for local flexible connectivity of the global network is designed for the connection of huge heterogeneous systems to decouple the resource mapping among heterogeneous networks. To improve the efficiency of resource allocation in communication, twin, and computing integrated network, a multi-constraint multi-objective genetic algorithm (MMGA) based on the common requirements of operations, storage, interaction, and multi-layer optimal solution conflict is proposed for the first time. The effectiveness of the algorithm and architecture is verified through simulation and testing. © 2022 by the authors.</t>
  </si>
  <si>
    <t>Nowadays, rapid developments of Internet of Things (IoT) technologies have increased possibilities of realizing smart cities where collaborations and integrations of various IoT application systems are essential. However, IoT application systems have often been designed and deployed independently without considering the standards of devices, logics, and data communications. In this paper, we present the design and implementation of the IoT server platform called Smart Environmental Monitoring and Analytical in Real-Time (SEMAR) for integrating IoT application systems using standards. SEMAR offers Big Data environments with built-in functions for data aggregations, synchronizations, and classifications with machine learning. Moreover, plug-in functions can be easily implemented. Data from devices for different sensors can be accepted directly and through network connections, which will be used in real-time for user interfaces, text files, and access to other systems through Representational State Transfer Application Programming Interface (REST API) services. For evaluations of SEMAR, we implemented the platform and integrated five IoT application systems, namely, the air-conditioning guidance system, the fingerprint-based indoor localization system, the water quality monitoring system, the environment monitoring system, and the air quality monitoring system. When compared with existing research on IoT platforms, the proposed SEMAR IoT application server platform offers higher flexibility and interoperability with the functions for IoT device managements, data communications, decision making, synchronizations, and filters that can be easily integrated with external programs or IoT applications without changing the codes. The results confirm the effectiveness and efficiency of the proposal. © 2022 by the authors.</t>
  </si>
  <si>
    <t>A Reference Architecture for Cloud–Edge Meta-Operating Systems Enabling Cross-Domain, Data-Intensive, ML-Assisted Applications: Architectural Overview and Key Concepts</t>
  </si>
  <si>
    <t>Future data-intensive intelligent applications are required to traverse across the cloud-to-edge-to-IoT continuum, where cloud and edge resources elegantly coordinate, alongside sensor networks and data. However, current technical solutions can only partially handle the data outburst associated with the IoT proliferation experienced in recent years, mainly due to their hierarchical architectures. In this context, this paper presents a reference architecture of a meta-operating system (RAMOS), targeted to enable a dynamic, distributed and trusted continuum which will be capable of facilitating the next-generation smart applications at the edge. RAMOS is domain-agnostic, capable of supporting heterogeneous devices in various network environments. Furthermore, the proposed architecture possesses the ability to place the data at the origin in a secure and trusted manner. Based on a layered structure, the building blocks of RAMOS are thoroughly described, and the interconnection and coordination between them is fully presented. Furthermore, illustration of how the proposed reference architecture and its characteristics could fit in potential key industrial and societal applications, which in the future will require more power at the edge, is provided in five practical scenarios, focusing on the distributed intelligence and privacy preservation principles promoted by RAMOS, as well as the concept of environmental footprint minimization. Finally, the business potential of an open edge ecosystem and the societal impacts of climate net neutrality are also illustrated. © 2022 by the authors.</t>
  </si>
  <si>
    <t>decentralized intelligence; edge computing; federated learning; IoT–edge–cloud continuum; meta-operating system; reference architecture; swarm learning</t>
  </si>
  <si>
    <t>Trakadas, Panagiotis (6603036390); Masip-Bruin, Xavi (22433466100); Facca, Federico M. (8987012600); Spantideas, Sotirios T. (56549912200); Giannopoulos, Anastasios E. (57218483521); Kapsalis, Nikolaos C. (8621995600); Martins, Rui (57986790500); Bosani, Enrica (57265272000); Ramon, Joan (57986850100); Prats, Raül González (57986850200); Ntroulias, George (57986887300); Lyridis, Dimitrios V. (6506983549)</t>
  </si>
  <si>
    <t>Ecosystem; Software; Computer architecture; Edge computing; Internet of things; Learning systems; Network architecture; Trusted computing; Data intensive; Decentralised; Decentralized intelligence; Edge clouds; Edge computing; Federated learning; IoT–edge–cloud continuum; Meta-operating system; Reference architecture; Swarm learning; ecosystem; software; Sensor networks</t>
  </si>
  <si>
    <t>Internet of Things (IoT) architectures generally focus on providing consistent performance and reliable communications. The convergence of IoT, edge, fog, and cloud aims to improve the quality of service of applications, which does not typically emphasize energy efficiency. Considering energy in IoT architectures would reduce the energy impact from billions of IoT devices. The research presented in this paper proposes an optimization framework that considers energy consumption of nodes when selecting a node for processing an IoT request in edge-fog-cloud layered architecture. The IoT use cases considered in this paper include smart grid, autonomous vehicles, and eHealth. The proposed framework is evaluated using CPLEX simulations. The results provide insights into mechanisms that can be used to select nodes energy-efficiently whilst meeting the application requirements and other network constraints in multi-layered IoT architectures. © 2023 by the authors.</t>
  </si>
  <si>
    <t>Cardiac disorders are a leading cause of global casualties, emphasizing the need for the initial diagnosis and prevention of cardiovascular diseases (CVDs). Electrocardiogram (ECG) procedures are highly recommended as they provide crucial cardiology information. Telemedicine offers an opportunity to provide low-cost tools and widespread availability for CVD management. In this research, we proposed an IoT-based monitoring and detection system for cardiac patients, employing a two-stage approach. In the initial stage, we used a routing protocol that combines routing by energy and link quality (REL) with dynamic source routing (DSR) to efficiently collect data on an IoT healthcare platform. The second stage involves the classification of ECG images using hybrid-based deep features. Our classification system utilizes the “ECG Images dataset of Cardiac Patients”, comprising 12-lead ECG images with four distinct categories: abnormal heartbeat, myocardial infarction (MI), previous history of MI, and normal ECG. For feature extraction, we employed a lightweight CNN, which automatically extracts relevant ECG features. These features were further optimized through an attention module, which is the method’s main focus. The model achieved a remarkable accuracy of 98.39%. Our findings suggest that this system can effectively aid in the identification of cardiac disorders. The proposed approach combines IoT, deep learning, and efficient routing protocols, showcasing its potential for improving CVD diagnosis and management. © 2023 by the authors.</t>
  </si>
  <si>
    <t>It is important for older and disabled people who live alone to be able to cope with the daily challenges of living at home. In order to support independent living, the Smart Home Care (SHC) concept offers the possibility of providing comfortable control of operational and technical functions using a mobile robot for operating and assisting activities to support independent living for elderly and disabled people. This article presents a unique proposal for the implementation of interoperability between a mobile robot and KNX technology in a home environment within SHC automation to determine the presence of people and occupancy of occupied spaces in SHC using measured operational and technical variables (to determine the quality of the indoor environment), such as temperature, relative humidity, light intensity, and CO2 concentration, and to locate occupancy in SHC spaces using magnetic contacts monitoring the opening/closing of windows and doors by indirectly monitoring occupancy without the use of cameras. In this article, a novel method using nonlinear autoregressive Neural Networks (NN) with exogenous inputs and nonlinear autoregressive is used to predict the CO2 concentration waveform to transmit the information from KNX technology to mobile robots for monitoring and determining the occupancy of people in SHC with better than 98% accuracy. © 2023 by the authors.</t>
  </si>
  <si>
    <t>The Internet of Things (IoT) has brought about significant transformations in multiple sectors, including healthcare and navigation systems, by offering essential functionalities crucial for their operations. Nevertheless, there is ongoing debate surrounding the unexplored possibilities of the IoT within the energy industry. The requirement to better the performance of distributed energy systems necessitates transitioning from traditional mission-critical electric smart grid systems to digital twin-based IoT frameworks. Energy storage systems (ESSs) used within nano-grids have the potential to enhance energy utilization, fortify resilience, and promote sustainable practices by effectively storing surplus energy. The present study introduces a conceptual framework consisting of two fundamental modules: (1) Power optimization of energy storage systems (ESSs) in peer-to-peer (P2P) energy trading. (2) Task orchestration in IoT-enabled environments using digital twin technology. The optimization of energy storage systems (ESSs) aims to effectively manage surplus ESS energy by employing particle swarm optimization (PSO) techniques. This approach is designed to fulfill the energy needs of the ESS itself as well as meet the specific requirements of participating nano-grids. The primary objective of the IoT task orchestration system, which is based on the concept of digital twins, is to enhance the process of peer-to-peer nano-grid energy trading. This is achieved by integrating virtual control mechanisms through orchestration technology combining task generation, device virtualization, task mapping, task scheduling, and task allocation and deployment. The nano-grid energy trading system’s architecture utilizes IoT sensors and Raspberry Pi-based edge technology to enable virtual operation. The evaluation of the proposed study is carried out through the examination of a simulated dataset derived from nano-grid dwellings. This research analyzes the efficacy of optimization approaches in mitigating energy trading costs and optimizing power utilization in energy storage systems (ESSs). The coordination of IoT devices is crucial in improving the system’s overall efficiency. © 2023 by the authors.</t>
  </si>
  <si>
    <t>Federated learning (FL) is a machine learning (ML) technique that enables collaborative model training without sharing raw data, making it ideal for Internet of Things (IoT) applications where data are distributed across devices and privacy is a concern. Wireless Sensor Networks (WSNs) play a crucial role in IoT systems by collecting data from the physical environment. This paper presents a comprehensive survey of the integration of FL, IoT, and WSNs. It covers FL basics, strategies, and types and discusses the integration of FL, IoT, and WSNs in various domains. The paper addresses challenges related to heterogeneity in FL and summarizes state-of-the-art research in this area. It also explores security and privacy considerations and performance evaluation methodologies. The paper outlines the latest achievements and potential research directions in FL, IoT, and WSNs and emphasizes the significance of the surveyed topics within the context of current technological advancements. © 2024 by the authors.</t>
  </si>
  <si>
    <t>IoT-based smart transportation monitors vehicles, cargo, and driver statuses for safe movement. Due to the limited computational capabilities of the sensors, the IoT devices require powerful remote servers to execute their tasks, and this phenomenon is called task offloading. Researchers have developed efficient task offloading and scheduling mechanisms for IoT devices to reduce energy consumption and response time. However, most research has not considered fault-tolerance-based job allocation for IoT logistics trucks, task and data-aware scheduling, priority-based task offloading, or multiple-parameter-based fog node selection. To overcome the limitations, we proposed a Multi-Objective Task-Aware Offloading and Scheduling Framework for IoT Logistics (MT-OSF). The proposed model prioritizes the tasks into delay-sensitive and computation-intensive tasks using a priority-based offloader and forwards the two lists to the Task-Aware Scheduler (TAS) for further processing on fog and cloud nodes. The Task-Aware Scheduler (TAS) uses a multi-criterion decision-making process, i.e., the analytical hierarchy process (AHP), to calculate the fog nodes’ priority for task allocation and scheduling. The AHP decides the fog nodes’ priority based on node energy, bandwidth, RAM, and MIPS power. Similarly, the TAS also calculates the shortest distance between the IoT-enabled vehicle and the fog node to which the IoT tasks are assigned for execution. A task-aware scheduler schedules delay-sensitive tasks on nearby fog nodes while allocating computation-intensive tasks to cloud data centers using the FCFS algorithm. Fault-tolerant manager is used to check task failure; if any task fails, the proposed system re-executes the tasks, and if any fog node fails, the proposed system allocates the tasks to another fog node to reduce the task failure ratio. The proposed model is simulated in iFogSim2 and demonstrates a 7% reduction in response time, 16% reduction in energy consumption, and 22% reduction in task failure ratio in comparison to Ant Colony Optimization and Round Robin. © 2024 by the authors.</t>
  </si>
  <si>
    <t>Mobile Edge Computing (MEC) is crucial for reducing latency by bringing computational resources closer to the network edge, thereby enhancing the quality of services (QoS). However, the broad deployment of cloudlets poses challenges in efficient network slicing, particularly when traffic distribution is uneven. Therefore, these challenges include managing diverse resource requirements across widely distributed cloudlets, minimizing resource conflicts and delays, and maintaining service quality amid fluctuating request rates. Addressing this requires intelligent strategies to predict request types (common or urgent), assess resource needs, and allocate resources efficiently. Emerging technologies like edge computing and 5G with network slicing can handle delay-sensitive IoT requests rapidly, but a robust mechanism for real-time resource and utility optimization remains necessary. To address these challenges, we designed an end-to-end network slicing approach that predicts common and urgent user requests through T distribution. We formulated our problem as a multi-agent Markov decision process (MDP) and introduced a multi-agent soft actor–critic (MAgSAC) algorithm. This algorithm prevents the wastage of scarce resources by intelligently activating and deactivating virtual network function (VNF) instances, thereby balancing the allocation process. Our approach aims to optimize overall utility, balancing trade-offs between revenue, energy consumption costs, and latency. We evaluated our method, MAgSAC, through simulations, comparing it with the following six benchmark schemes: MAA3C, SACT, DDPG, S2Vec, Random, and Greedy. The results demonstrate that our approach, MAgSAC, optimizes utility by 30%, minimizes energy consumption costs by 12.4%, and reduces execution time by 21.7% compared to the closest related multi-agent approach named MAA3C. © 2024 by the authors.</t>
  </si>
  <si>
    <t>Our contemporary society has never been more connected and aware of vital information in real time, through the use of innovative technologies. A considerable number of applications have transitioned into the cyber-physical domain, automating and optimizing their routines and processes via the dense network of sensing devices and the immense volumes of data they collect and instantly share. In this paper, we propose an innovative architecture based on the monitoring, analysis, planning, and execution (MAPE) paradigm for network and service performance optimization. Our study confirms distinct evidence that the utilization of learning algorithms, consuming datasets enriched with the users’ empirical opinions as input during the analysis and planning phases, contributes greatly to the optimization of video streaming quality, especially by handling different packet loss rates, paving the way for the achievable provision of a resilient communications platform for calamity assessment and management. © 2022 by the authors.</t>
  </si>
  <si>
    <t>The connectivity of our surrounding objects to the internet plays a tremendous role in our daily lives. Many network applications have been developed in every domain of life, including business, healthcare, smart homes, and smart cities, to name a few. As these network applications provide a wide range of services for large user groups, the network intruders are prone to developing intrusion skills for attack and malicious compliance. Therefore, safeguarding network applications and things connected to the internet has always been a point of interest for researchers. Many studies propose solutions for intrusion detection systems and intrusion prevention systems. Network communities have produced benchmark datasets available for researchers to improve the accuracy of intrusion detection systems. The scientific community has presented data mining and machine learning-based mechanisms to detect intrusion with high classification accuracy. This paper presents an intrusion detection system based on the ensemble of prediction and learning mechanisms to improve anomaly detection accuracy in a network intrusion environment. The learning mechanism is based on automated machine learning, and the prediction model is based on the Kalman filter. Performance analysis of the proposed intrusion detection system is evaluated using publicly available intrusion datasets UNSW-NB15 and CICIDS2017. The proposed model-based intrusion detection accuracy for the UNSW-NB15 dataset is 98.801 percent, and the CICIDS2017 dataset is 97.02 percent. The performance comparison results show that the proposed ensemble model-based intrusion detection significantly improves the intrusion detection accuracy. © 2021 by the authors. Licensee MDPI, Basel, Switzerland.</t>
  </si>
  <si>
    <t>Nowadays, the concept of smart sustainable governance is wrapped around basic principles such as: (i) transparency, (ii) accountability, (iii) stakeholders’ involvement, and iv) citizens’ participation. It is through these principles that are influenced by information and communication technologies (ICT), Internet of Things (IoT), and artificial intelligence, that the practices employed by citizens and their interaction with electronic government (e-government) are diversified. Previously, the misleading concepts of the smart city implied only the objective of the local level or public officials to utilize technology. However, the recent European experience and research studies have led to a more comprehensive notion that refers to the search for intelligent solutions which allow modern sustainable cities to enhance the quality of services provided to citizens and to improve the management of urban mobility. The smart city is based on the usage of connected sensors, data management, and analytics platforms to improve the quality and functioning of built-environment systems. The aim of this paper is to understand the effects of the pandemic on smart cities and to accentuate major exercises that can be learned for post-COVID sustainable urban management and patterns. The lessons and implications outlined in this paper can be used to enforce social distancing community measures in an effective and timely way, and to optimize the use of resources in smart and sustainable cities in critical situations. The paper offers a conceptual overview and serves as a stepping-stone to extensive research and the deployment of sustainable smart city platforms and intelligent transportation systems (a sub-area of smart city applications) after the COVID-19 pandemic using a case study from Russia. Overall, our results demonstrate that the COVID-19 crisis encompasses an excellent opportunity for urban planners and policy makers to take transformative actions towards creating cities that are more intelligent and sustainable. © 2022 by the authors. Licensee MDPI, Basel, Switzerland.</t>
  </si>
  <si>
    <t>The Internet of Things has recently been a popular topic of study for developing smart homes and smart cities. Most IoT applications are very sensitive to delays, and IoT sensors provide a constant stream of data. The cloud-based IoT services that were first employed suffer from increased latency and inefficient resource use. Fog computing is used to address these issues by moving cloud services closer to the edge in a small-scale, dispersed fashion. Fog computing is quickly gaining popularity as an effective paradigm for providing customers with real-time processing, platforms, and software services. Real-time applications may be supported at a reduced operating cost using an integrated fog-cloud environment that minimizes resources and reduces delays. Load balancing is a critical problem in fog computing because it ensures that the dynamic load is distributed evenly across all fog nodes, avoiding the situation where some nodes are overloaded while others are underloaded. Numerous algorithms have been proposed to accomplish this goal. In this paper, a framework was proposed that contains three subsystems named user subsystem, cloud subsystem, and fog subsystem. The goal of the proposed framework is to decrease bandwidth costs while providing load balancing at the same time. To optimize the use of all the resources in the fog sub-system, a Fog-Cluster-Based Load-Balancing approach along with a refresh period was proposed. The simulation results show that “Fog-Cluster-Based Load Balancing” decreases energy consumption, the number of Virtual Machines (VMs) migrations, and the number of shutdown hosts compared with existing algorithms for the proposed framework. © 2022 by the authors. Licensee MDPI, Basel, Switzerland.</t>
  </si>
  <si>
    <t>The Web of Things is an improvement on the Internet of Things (IoT) that incorporates smart objects into both the web architecture (application) and the internet (network). WoT applications are inescapable in residential homes and communities. The intent behind WoT applications is to increase sustainable development for reducing resource consumption. The Web of Things (WoT) aims to create a decentralized Internet of Things. Edge computing addresses IoT computing demands by reducing the escalation in resource congestion situations. In edge computing data is placed closed to the end users which diverts computation load from the centralized data centers. Furthermore, the dispersed structure balances network traffic and minimizes traffic peaks in IoT networks. Therefore, resulting in reducing transmission delays between edge servers and end users which improves response times for real-time WoT applications. Low battery supply to nodes with enough power resources can increase the lifespan of the individual nodes by moving processing and communication overhead from the nodes. This paper integrates WoT and edge computing and compares their functionalities. In addition, it demonstrates how edge computing enhances WoT performance and concentrates on transmission, storage, and computation aspects. Furthermore, for performance evaluation it categorizes edge computing based on different architectures. Moreover, the challenges of Web of Things and edge computing have been discussed in terms of bandwidth, latency, energy, and cost. Finally, advantages of the Web of Things and edge computing have been discussed. © 2023 by the authors.</t>
  </si>
  <si>
    <t>Innovation has been the transforming tool of precision agriculture as a response to population growth and the demand for more food with quality, less waste, food security, and sustainable management of environmental resources. The challenges are to increase the productivity of cultivated areas, both for current and future areas, to manage the use of potable water, scarce in many regions, to keep the soil fertile, and to reduce waste through reuse, optimization, resource sharing, and operational and strategic management based on accurate information of planting, harvesting, and management of environmental conditions, which are also objectives of the Circular Economy. Therefore, using Industry 4.0 technologies in agriculture becomes fundamental to facing such challenges. This paper presents a systematic literature review on Industry 4.0 technologies adopted in agriculture for sustainable development, considering environmental, economic, and social benefits. The research pointed to the use of IoT in irrigation control systems by sending automatic commands, monitoring soil and weather conditions, in the use of machinery with some automation features and in cloud data storage systems, and with the use of Big Data analytical tools, with access by mobile devices, these uses contribute to operational and strategic decision making in the management of planting and harvesting. However, the literature review did not find a technological architecture for Integrated Services in Agriculture 4.0. Thus, this paper proposes a Service Architecture that enables the promotion of a Circular Economy in Agriculture 4.0. The contribution of this article to the theory is in the expansion of knowledge of the use of technologies in Agriculture 4.0. In terms of practice, this article provides an Integrated Service Architecture so that new products can be developed for Agriculture 4.0 and thus contribute to society in reducing food insecurity, generating environmental, economic, and social benefits, and promoting the Circular Economy in Agriculture 4.0. © 2024 by the authors.</t>
  </si>
  <si>
    <t>Varella, Walter Augusto (58348643500); Oliveira Neto, Geraldo Cardoso de (57191636885); Stefani, Eduardo (57393321700); Costa, Ivanir (24476176800); Monteiro, Rogério Carlos (58962244900); Conde, Wilians (58961803800); da Silva Junior, Wanderley (57447259600); Baptestone, Rolney Carlos (57203340250); Goes, Roberto de Souza (57393171000); Riccotta, Rosangela (57393475400); Gaspar, Marcos Antonio (30967476800); Felisoni, Paulo Ribeiro (58961804000); Ohashi, Fabio Kazuo (57358191200); Nascimento, Hugo do (58961804100); Fernandes, Aguinaldo Aragon (57393020900); Martins, Fellipe Silva (57189852226)</t>
  </si>
  <si>
    <t>The ageing population’s problems directly impact countries’ socio-economic structure, as more resources are required to monitor the aged population’s health. The growth in human life expectancy is increasing due to medical technologies and nutritional science innovations. The Internet of Things (IoT) is the connectivity of physical objects called things to the Internet. IoT has a wide range of health monitoring applications based on biomedical sensing devices to monitor health conditions. This paper proposes elderly patients’ health monitoring architecture based on an intelligent task mapping approach for a closed-loop IoT healthcare environment. As a case study, a health monitoring system was developed based on the proposed architecture for elderly patients’ health monitoring in the home, ambulance, and hospital environment. The system detects and notifies deteriorating conditions to the authorities based on biomedical sensors for faster interventions. Wearable biomedical sensors are used for monitoring body temperature, heart rate, blood glucose level, and patient body position. Threshold and machine learning-based approaches were used to detect anomalies in the health sensing data. The proposed architecture’s performance analysis is evaluated in terms of round trip time, reliability, task drop rate, and latency performance metrics. Performance results show that the proposed architecture of the elderly patient health monitoring can provide reliable solutions for critical tasks in IoT environments. © 2021 by the authors. Licensee MDPI, Basel, Switzerland.</t>
  </si>
  <si>
    <t>Due to the problem of large latency and energy consumption of fog computing in smart community applications, the fog computing task-scheduling method based on Hybrid Ant Lion Optimizer (HALO) is proposed in this paper. This method is based on the Ant Lion Optimizer (ALO. Firstly, chaotic mapping is adopted to initialize the population, and the quality of the initial population is improved; secondly, the Adaptive Random Wandering (ARW) method is designed to improve the solution efficiency; finally, the improved Dynamic Opposite Learning Crossover (DOLC) strategy is embedded in the generation-hopping stage of the ALO to enrich the diversity of the population and improve the optimization-seeking ability of ALO. HALO is used to optimize the scheduling scheme of fog computing tasks. The simulation experiments are conducted under different data task volumes, compared with several other task scheduling algorithms such as the original algorithm of ALO, Genetic Algorithm (GA), Whale Optimizer Algorithm (WOA) and Salp Swarm Algorithm (SSA). HALO has good initial population quality, fast convergence speed, and high optimization-seeking accuracy. The scheduling scheme obtained by the proposed method in this paper can effectively reduce the latency of the system and reduce the energy consumption of the system. © 2023 by the authors.</t>
  </si>
  <si>
    <t>Effective ways to optimise real-time pump scheduling to maximise energy efficiency are being sought to meet the challenges in the energy market. However, the considerable number of evaluations of popular optimisation methods based on metaheuristics cause significant delays for real-time pump scheduling, and the simplification of traditional deterministic methods may introduce bias towards the optimal solutions. To address these limitations, an exploration-enhanced deep reinforcement learning (DRL) framework is proposed to address real-time pump scheduling problems in water distribution systems. The experimental results indicate that E-PPO can learn suboptimal scheduling policies for various demand distributions and can control the application time to 0.42 s by transferring the online computation-intensive optimisation task offline. Furthermore, a form of penalty of the tank level was found that can reduce energy costs by up to 11.14% without sacrificing the water level in the long term. Following the DRL framework, the proposed method makes it possible to schedule pumps in a more agile way as a timely response to changing water demand while still controlling the energy cost and level of tanks. © 2023 by the authors.</t>
  </si>
  <si>
    <t>Smart buildings utilize real-time and historical sensor data to deploy data-driven application. Unlike Building Management Systems, where the data formats are somewhat aligned with industry standards, IoT is more flexible and less standardized. When multiple IoT solutions are present, they often use different methods to format the messages and represent metadata, hindering the effective usage of IoT data in smart building applications. This study proposes a framework and its software implementation for acquiring and managing real-time data using a microservices-based system architecture. To create a standardized semantic information model, the proposed framework employs smart building ontologies. © 2023, European Council on Computing in Construction (EC3). All rights reserved.</t>
  </si>
  <si>
    <t>The smart city is one of the most promising, prominent, and challenging applications of the Internet of Things (IoT). Smart cities rely on everything connected to each other. This in turn depends heavily on technology. Technology literacy is essential to transform a city into a smart, connected, sustainable, and resilient city where information is not only available but can also be found. The smart city vision combines emerging technologies such as edge computing, blockchain, artificial intelligence, etc. to create a sustainable ecosystem by dramatically reducing latency, bandwidth usage, and power consumption of smart devices running various applications. In this research, we present a comprehensive survey of emerging technologies for a sustainable smart city network. We discuss the requirements and challenges for a sustainable network and the role of heterogeneous integrated technologies in providing smart city solutions. We also discuss different network architectures from a security perspective to create an ecosystem. Finally, we discuss the open issues and challenges of the smart city network and provide suitable recommendations to resolve them. © 2019 KIPS.</t>
  </si>
  <si>
    <t>Survey of Adaptive Elastic Scaling Studies on Distributed Service Resources; [分布式服务资源自适应弹性伸缩研究综述]</t>
  </si>
  <si>
    <t>In distributed service resource environments, a large number of service resources are underutilized or even idle for a long time due to the narrow percentage of peak load. Adaptive elastic scaling of resources can significantly improve system energy efficiency and reduce operation overhead: on the one hand, service resources can be expanded to cope with high demand during high load; and on the other hand, they can be scaled down to reduce the overhead during low load. However, the actual load is usually highly volatile, and the service resources required to satisfy the quality of service are constantly varying, which poses a great challenge to the adaptive elastic scaling of service resources. Although existing commercial distributed platforms generally have some resource elastic scaling capability, they suffer from limited adaptive ability and poor precision, and there exists a considerable improvement space. In order to promote the research and application development in this field, this paper analyzes the studies on adaptive elastic scaling of service resources in this environment. Firstly, the corresponding research background and main challenges in demand evaluation and resource adjustment are analyzed. Secondly, a categorized survey of domestic and international studies in this field is conducted, by dividing these studies into three categories based on the resource objects they adjust. The similarities and differences of these studies are compared, and their respective characteristics and usefulness are summarized. Finally, these study efforts are summarily analyzed, then a comprehensive realization is outlined based on the analysis, and besides, the current application status, research challenges and future research trends are discussed. © 2024 Journal of Computer Engineering and Applications Beijing Co., Ltd.; Science Press. All rights reserved.</t>
  </si>
  <si>
    <t>Fast decision support systems and accurate diagnosis have become significant in the rapidly growing healthcare sector. As the number of disparate medical IoT devices connected to the human body rises, fast and interrelated healthcare data retrieval gets harder and harder. One of the most important requirements for the Healthcare Internet of Things (HIoT) is semantic interoperability. The state-of-the-art HIoT systems have problems with bandwidth and latency. An extension of cloud computing called fog computing not only solves the latency problem but also provides other benefits including resource mobility and on-demand scalability. The recommended approach helps to lower latency and network bandwidth consumption in a system that provides semantic interoperability in healthcare organizations. To evaluate the system's language processing performance, we simulated it in three different contexts. 1. Polysemy resolution system 2. System for hyponymy -hypernymy resolution with polysemy 3. System for resolving polysemy, hypernymy, hyponymy, meronymy, and holonymy. In comparison to the other two systems, the third system has lower latency and network usage. The proposed framework can reduce the computation overhead of heterogeneous healthcare data. The simulation results show that fog computing can reduce delay, network usage, and energy consumption. © 2024 Korean Society for Internet Information. All rights reserved.</t>
  </si>
  <si>
    <t>Development and Application of Rapid Investigation and Analysis Platform for Agricultural and Rural Information Based on Fission Model; [基于裂变模式的农业农村信息快速调查及分析平台开发与应用]</t>
  </si>
  <si>
    <t>【Objective】In order to effectively solve the problems existing in the process of collecting basic information of traditional agriculture and rural areas, such as long collection period, small sample size, inaccurate delivery, low data quality and difficulty in auditing, and to achieve rapid acquisition and visual analysis of massive data under the background of emergencies, a rapid survey platform for agricultural and rural information was designed and developed, which integrated accurate questionnaire delivery, rapid data collection and automatic analysis of results, so as to provide a convenient tool for agricultural management departments at all levels to make efficient decisions. 【Method】 (1) Overall design: The platform was designed based on the 5-layer architecture technology and the concept of “Mid-Plane”, and the new media, GIS and social network analysis (SNA) were used to build a questionnaire accurate delivery model, multi-level fission model, rapid review, and automatic analysis strategies. In order to deeply mine and present the value of platform data in multiple dimensions, this research used methods such as point centrality, betweenness centrality and spatial clustering to analyze the fission relationship, diffusion capacity, and community characteristics of the questionnaire dissemination network. (2) System realization: two subsystems were developed by adopting the front-end and back-end separation mode, namely, the rapid investigation collection system for survey users, and the rapid investigation management and analysis system for the information investigators. (3) Application: VMware vSphere integrated container and cluster server were used to deploy system and Nginx load balancing to improve system response speed. 【Result】 After six months of continuous operation, the system had strong universality. It has provided 12 large-scale agricultural and rural information survey services in 8 fields and collected a total of 76 953 questionnaires; In the agricultural and rural economic information survey cases 12 243 questionnaires have been collected within 5 hours, with a fission ratio of 88.23%, of which 20.24% formed diffusion and fission. The community effect was obvious, with high degree of fission, fast speed and wide range. The platform had strong comprehensive functions, covering the functions of questionnaire design, placement control, fission sharing, intelligent judgment of papers, reward distribution, statistical analysis, user classification, etc., which could provide one-stop service for rapid investigation of agricultural and rural information. 【Conclusion】The rapid investigation and analysis platform of agricultural and rural information based on fission mode had the characteristics of fast data collection, true information acquisition, more sample collection, and strong functionality. It realized the function of obtaining basic information urgently and visualizing investigation results quickly under the background of emergencies, and formed a poll mode based on huge data and different from official investigation. It could provide strong technical support for efficient decision-making of agricultural management departments, and had reference significance for the information investigation of other industries. © 2022 Editorial Department of Scientia Agricultura Sinica. All rights reserved.</t>
  </si>
  <si>
    <t>Thirty-Six Stratagems of Schemes and Thirty-Six Stratagems of Algorithms; [策略三十六计和算法三十六计]</t>
  </si>
  <si>
    <t>In the spirit of cultural confidence, this paper presents thirty-six stratagems of schemes and thirty-six stratagems of algorithms for computer system design after learning I Ching in depth and digging out the abstract and inferential concepts of the image thinking of I Ching. which combines the development of modern computer science and the author's own professional experience. It proposes four basic relations of unity of opposites in computer science (i.e., four basic scientific problems), which include: the positioning of centralization and decentralization, the interaction of hardness and softness, supply-demand correspondence and serial-to-parallel conversion. From the perspective of the positioning of centralization and decentralization, eighteen stratagems of architecture design are proposed in the thirty-six stratagems of algorithms, which include the stratagems of time-space transformation and various computing modes. From the perspective of the interaction of hardness and softness, eighteen stratagems of system features are proposed in the thirty-six stratagems of schemes, which include the stratagems of designing eight kinds of features, such as controllability, efficiency, security and variability. The scientific problems involved in supply-demand correspondence and serial-to-parallel conversion are mainly embodied in the thirty-six stratagems of algorithms for resource management and task scheduling. These algorithms and schemes include classic and hot issues in computer science, such as computability, multi-objective optimization, cloud computing, software defined system, big data thinking and artificial intelligence. The thirty-six stratagems of schemes and thirty-six stratagems of algorithms can provide computer professionals with thinking framework, dialectical thinking and necessary stratagems and instances in learning and developing computer systems. More importantly, they can help the computer professionals further understand the philosophical principles of things. © 2020, Chinese Institute of Electronics. All right reserved.</t>
  </si>
  <si>
    <t>This study describes a line cloud architecture and IDM-based energy metering system to replace existing meter reading methods. They can regularly monitor meter readings without sending someone to each residence, and the bill is automatically sent to each user via IDM. If the consumer fails to pay the bill, the service provider can cut off the supply; this technology will prevent the illicit use of electricity, often known as power detection, and locate line faults rapidly and precisely without the need for human intervention. Because of the increased deployment of energy meters, much data on electric energy is used. Developing cloud architecture technologies could utilize this data better to prevent power detection. In this paper, an intelligent detection method of electric energy meter overload functioning state based on cloud architecture (IDM EEMOF-CA) is provided in detail and utilized to identify electric energy detection. There are currently no studies involving the use of IDM EEM-CA to detect power exposure to the authors’ knowledge. Copyright © 2022, IGI Global.</t>
  </si>
  <si>
    <t>Nowadays, there is an ever-increasing number of artificial intelligence inference workloads pushed and executed on the cloud. To effectively serve and manage the computational demands, data center operators have provisioned their infrastructures with accelerators. Specifically for GPUs, support for efficient management lacks, as state-of-the-art schedulers and orchestrators, threat GPUs only as typical compute resources ignoring their unique characteristics and application properties. This phenomenon combined with the GPU over-provisioning problem leads to severe resource under-utilization. Even though prior work has addressed this problem by colocating applications into a single accelerator device, its resource agnostic nature does not manage to face the resource under-utilization and quality of service violations especially for latency critical applications. In this paper, we design a resource aware GPU scheduling framework, able to efficiently colocate applications on the same GPU accelerator card. We integrate our solution with Kubernetes, one of the most widely used cloud orchestration frameworks. We show that our scheduler can achieve 58.8% lower end-to-end job execution time 99%-ile, while delivering 52.5% higher GPU memory usage, 105.9% higher GPU utilization percentage on average and 44.4% lower energy consumption on average, compared to the state-of-the-art schedulers, for a variety of ML representative workloads. © Aggelos Ferikoglou, Dimosthenis Masouros, Achilleas Tzenetopoulos, Sotirios Xydis, and Dimitrios Soudris; licensed under Creative Commons License CC-BY 4.0</t>
  </si>
  <si>
    <t>Dincă A.-M.; Axinte S.-D.; Bacivarov I.; Petrică G.</t>
  </si>
  <si>
    <t>Software platforms’ infrastructure encompasses the collection of physical resources used concomitantly for user interactions, computational or persistence operations. Virtualization facilitates dynamic allocation of resources to a platform, while staying within the infrastructure’s limits, enabling deployments of multiple environments on a server, maximizing the computational power. This paper focuses on practical applications of virtualization principles on software platforms, and the analysis of performance indicators. Section II is centered on the Docker feature that packages the source code into images, facilitating testing in local containers, preparing them for the container orchestrator, Kubernetes that designs, creates and scales infrastructure components. The platform was scaled horizontally, because this method accommodates the application’s technical requirements, as stated in Section V. To identify the underlying causes of an inefficient auto-scaling infrastructure, a Fishbone analysis was conducted, followed by a novel proposal of triggering scaling operations, using AI tools that decide when to rescale an infrastructure, instead of traditional alert levels. The simple and advanced health check mechanisms are studied and implemented in Section VI, through separate APIs that validate the system’s status and dependencies automatically and periodically using Docker commands, proving the misleadingness of the container for the former, demonstrating the importance of such progressive mechanisms. © (2024), (Universitatea "Stefan cel Mare" din Suceava). All rights reserved.</t>
  </si>
  <si>
    <t>Dincă, Ana-Maria (58538159800); Axinte, Sabina-Daniela (57194205461); Bacivarov, Ioan (23003503700); Petrică, Gabriel (57193114295)</t>
  </si>
  <si>
    <t>Conventional heating, ventilation and airconditioning (HVAC) features such as use of static occupancy schedule profile to control HVAC operation or traditional controls may not be enough to cope with requirements of the next generation-built environment. This work introduces a demand-driven deep learningbased framework which can be integrated with building energy management systems (BEMS) to accurately predict occupancy’s activity for HVAC systems which can minimize unnecessary loads and produce satisfactory thermal comfort conditions for occupants. The developed framework utilises a trained deep learning algorithm and an artificial intelligence (AI)-powered camera. Tests are performed with new data fed into the framework which enables predictions of typical activities in buildings such as walking, standing, sitting and napping. To initially test and validate the framework, building energy simulation was used with various occupancy profile schedules under a modelled UK office building with 4 occupants. Initial results present occupancy heat gains were 23.5% lower when Deep Learning Influenced Profile (DLIP) was used as compared to static office occupancy profile. Further developments include; framework enhancement to increase detection accuracy and to provide automated set point adjustment for HVAC system. Initial data indicates the method could resolve occupancy related problems within buildings and enhance building performances through accurate occupancy activity prediction. © 2019 ICAE.</t>
  </si>
  <si>
    <t>The integration of Cloud and IoT (Internet-of-Things) resulting in so-called edge clouds has started. This requires the combination of data centre management technologies with much more constrained devices. Lightweight virtualisation solutions such as containerisation can be used to distribute, deploy and manage edge cloud applications on clusters. Leightweightness also applies to the devices, where we focus here on small-board devices such as Raspberry Pis in our concrete case. These small-board devices are particularly useful in situations where a mix of robustness due to environmental conditions and low costs is required. We discuss different architectural solutions for the distribution of computation to edge cloud devices based on containers and other management approaches and evaluate these in terms of cost, power consumption and performance. Copyright © 2018 by SCITEPRESS – Science and Technology Publications, Lda. All rights reserved</t>
  </si>
  <si>
    <t>The last decade has meant a whole revolution in the context of Internet of Things (IoT), becoming one of the most important areas of research nowadays. The Semantic Web emerged as a way to add semantics to data to enable advanced reasoning. Due to this, the integration of both areas represents a beneficial convergence for more”semantic-aware” devices and services. In this paper we present a review to analyze the state of the art of the confluence of the Semantic Web and IoT: extracting an overview of the ad-hoc implemented tools, their categorization, and the supported sub-domains on which they exert their influence. Copyright © 2022 by SCITEPRESS – Science and Technology Publications, Lda. All rights reserved.</t>
  </si>
  <si>
    <t>Blanco, José Miguel (57646640600); Rossi, Bruno (8935277000); Pitner, Tomáš (25654312500)</t>
  </si>
  <si>
    <t>The Internet of Things (IoT) is a key technology that improves the connectivity between applications and devices over different geographical locations. However, IoT devices, particularly those used for monitoring, have stringent timing requirements that Cloud Computing might not be able to satisfy. Fog computing, which uses fog nodes close to IoT devices, can solve this problem. In this paper, we propose a Dynamic Service Placement (DSP) algorithm for Fog infrastructures. DSP's objective is to dynamically place the services emitted by applications one at a time and in real time on Fog nodes. The algorithm chooses the fog node with the least response time over the infrastructure and dynamically places the incoming service in it. The algorithm is implemented in the iFogSim simulator, and its performances were evaluated and compared to other algorithms. DSP showed very encouraging results, as it proceeded to minimize the average response times and the application placement rate, thus lowering the infrastructure usage and energy consumption. Copyright © 2023 by SCITEPRESS - Science and Technology Publications, Lda. Under CC license (CC BY-NC-ND 4.0)</t>
  </si>
  <si>
    <t>The Internet of Things (IoT) has transformed our interaction with the world by connecting devices, sensors, and systems to the Internet, enabling real-time monitoring, control, and automation in various applications such as smart cities, healthcare, transportation, homes, and grids. However, challenges related to latency, privacy, and bandwidth have arisen due to the massive influx of data generated by IoT devices and the limitations of traditional cloud-based architectures. Moreover, network management, interoperability, security, and scalability issues have emerged due to the rapid growth and heterogeneous nature of IoT devices. To overcome such problems, researchers proposed a new architecture called Software Defined Networking for Edge Computing in the Internet of Things (SDN-EC-IoT), which combines Edge Computing for the Internet of Things (EC-IoT) and Software Defined Internet of Things (SDIoT). Although researchers have studied EC-IoT and SDIoT as individual architectures, they have not yet addressed the combination of both, creating a significant gap in our understanding of SDN-EC-IoT. This paper aims to fill this gap by presenting a comprehensive review of how the SDN-EC-IoT paradigm can solve IoT challenges. To achieve this goal, this study conducted a literature review covering 74 articles published between 2019 and 2023. Finally, this paper identifies future research directions for SDN-EC-IoT, including the development of interoperability platforms, scalable architectures, low latency and Quality of Service (QoS) guarantees, efficient handling of big data, enhanced security and privacy, optimized energy consumption, resource-aware task offloading, and incorporation of machine learning. © 2023 College of Education, Al-Iraqia University. All rights reserved.</t>
  </si>
  <si>
    <t>A method of traffic engineering (TE) based on the method of multi-path routing is proposed in the study. Today, one of the main challenges in networking is to organize an efficient TE system that will provide such parameters of quality of service (QoS) as the allowable value of packet loss and time for traffic re-routing. Traditional one-way routing facilities do not provide the required quality of service (QoS) parameters for TE. Modern computer networks use static and dynamic routing algorithms, which are characterized by big time complexity and a large amount of service information. This negatively affects the overall state of the network, namely: leads to network congestion, device failure, loss of information during routing and increases the time for traffic re-routing. Research has shown that the most promising way to solve the TE problem in computer networks is a comprehensive approach, which consists of multi-path routing, SDN technology and monitoring of the overall situation of the network. This paper proposes a method of traffic engineering in a software-defined network with specified quality of service parameters, which has reduced the time of traffic re-routing and the percentage of packet loss due to the combination of the centralized TE method and multi-path routing. From a practical point of view, the obtained method, will improve the quality of service in computer networks in comparison with the known method of traffic construction. © 2024, Modern Education and Computer Science Press. All rights reserved.</t>
  </si>
  <si>
    <t>Operational performance optimization is a key element to reduce both fuel consumption and emissions and meet current and upcoming legislation, e.g., the EEXI, the CII and the European ETS. While technical innovation and improvements are important, the careful use of fuel on board plays a vital role to meet these targets. Here route and speed optimization are decisive. The basis of any approach to operational optimization is a digital twin which allows predicting the behavior of the ship and its energy consuming systems in a reliable and suitably accurate way. Here geometry plays an important role. The German R&amp;D project MariData (maridata.org) addresses (present) shortcomings of onboard energy management systems. One specific element highlighted in this paper focuses on the desired quality of geometric representations for digital twins when used as a basis for performance analysis and improved energy consumption during operation. The paper compares different approaches and necessary levels of modeling fidelity to indicate attainable accuracy, aiming at further elucidating how good hydrodynamics need to be represented. Copyright © 2023 Society of Naval Architects and Marine Engineers (SNAME)</t>
  </si>
  <si>
    <t>Harries, Stefan (13404262400); Brunswig, Jörg (55198916900); Gatchell, Scott (25929801300); Hauschulz, Simon (58171161100); Schumacher, Arndt (57190966589); Thies, Fabian (57850523300); Marzi, Jochen (25634199700)</t>
  </si>
  <si>
    <t>The field of Information Service Management is concerned with the effective management of information technology (IT) services across their entire lifespan, encompassing activities such as design, development, deployment, operation, and continuous improvement. The components encompass many procedures, namely service design, service transition, service operation, and constant service improvement. The proliferation of information service management aligns with the ubiquity of the internet and its web-based services, notwithstanding the constraints posed by intermittent wireless connectivity. When the attainment of web service reliability is accomplished, there is a decrease in communication overhead, resulting in the retrieval of the correct response with little exertion. The worldwide pandemic issue presents an opportunity to glean useful insights that can contribute to the progress of digital health technologies. The remote monitoring of patient's health conditions and treatment actions inside the health system is crucial to mitigate the potential danger of disease transmission. Furthermore, there is a need for further development of digital technology that enables the sharing of information and facilitates evidence-based decision-making among stakeholders. The provision of data integration and analysis services is necessitated by the utilization of web services. The utilization of the middleware technique is deemed to be more suitable for web services. This study presents a novel model, referred to as Analysis Service Architecture utilizing Middleware (ASAM). The ASAM framework was established through the utilization of the Service Computing Systems Engineering Life Cycle approach. Further, ASAM is applied to the Management of Tuberculosis Information Services in Epidemic Tuberculosis cases in Indonesia. We evaluate and analyze our proposed method with other Information service management including face recognition, object recognition, and optical character recognition as a basis for evidence-based decision-making. Black box method testing with 50 service samples was carried out to measure aspects of functionality, reliability, and efficiency with ISO/ICE 9126 standards. The result is that the ASAM model is considered feasible as a new model of service-oriented middleware based on service-oriented architecture. © The Author(s). This is an open access article distributed under the terms of the Creative Commons Attribution License (CC BY 4.0), which permits unrestricted distribution provided the original author and source are cited.</t>
  </si>
  <si>
    <t>Scheduling in cloud computing environments has been extended to support the Internet of Things (IoT) applications, which require additional quality of services such as energy consumption and real-time properties. To this end, edge-cloud computing environments are prevalently deployed by encompassing the fog management layer. However, traditional scheduling techniques for cloud tasks have limited capabilities to support real-time properties required for IoT applications. In this paper, we propose a deep learning-based dynamic cloud scheduling technique using intelligent agents, which intelligently adapt to users’ requirements and selective quality of services based on distributed learning in edge-cloud computing environments. The proposed cloud task scheduling method is composed of two logical components: distributed learning management (learning distribution and aggregation) and intelligence management of multi-agents, which are independent of each other. The performance results show that the self-employed agents intelligently adapt to their environments and perform hyperparameter learning for efficient and effective task scheduling in edge-cloud computing environments. © 2024 Taiwan Academic Network Management Committee. All rights reserved.</t>
  </si>
  <si>
    <t>Staegemann D.; Volk M.; Shakir A.; Lautenschläger E.; Turowski K.</t>
  </si>
  <si>
    <t>Examining the Interplay Between Big Data and Microservices – A Bibliometric Review</t>
  </si>
  <si>
    <t>Due to the ever increasing amount of data that is produced and captured in today’s world, the concept of big data has risen to prominence. However, implementing the respective applications is still a challenging task. This holds especially true, since a high degree of flexibility is desirable. One potential approach is the utilization of novel decentralized technologies, as in the case of microservices to construct such big data analytics solutions. To obtain an overview of the current situation regarding the corresponding research, using the scientific database Scopus and its provided tools for search and analytics, this bibliometric review provides an analysis of the literature and subsequently discusses avenues for future research. © 2021 Daniel Staegemann, Matthias Volk, Aamir Shakir, Erik Lautenschläger, and Klaus Turowski.</t>
  </si>
  <si>
    <t>Staegemann, Daniel (57209341661); Volk, Matthias (57191155740); Shakir, Aamir (57226407677); Lautenschläger, Erik (57226646013); Turowski, Klaus (7004567723)</t>
  </si>
  <si>
    <t>Application Exploration of Blockchain-based Distributed Authentication wtih Alliance Trust in Power Industry; [基于区块链的联盟信任分布式认证在电力行业的应用探索]</t>
  </si>
  <si>
    <t>The rapid development of electric power business has led to the expansion of its network security boundary. However, while most of electric power business systems stay at the stage of centralized identity or federated identity, which is difficult to meet new demands such as massive access, heterogeneous authentication, and frequent interaction. First, this paper proposes a blockchain-based distributed authentication system with alliance trust applicable to the power industry. Then, this paper analyzes the applicability of the system from three perspectives: network architecture, user identity control, and privacy protection. Its system architecture and operation mechanism are elaborated. The alliance digital identity is designed, and the identity information is stored in the distributed identity ledger according to the consensus and privacy protection policies. The full lifecycle management of digital identity is provided, and the cross-domain secure sharing and autonomous control of identity data as well as the cross-domain identity authentication of users are realized. Finally, the solution ideas based on this system are proposed to address the identity authentication bottlenecks faced by three industry scenarios: charging ecosystem of charging piles, safety management of power grid personnel, and power supply chain finance. © 2022 Automation of Electric Power Systems Press.</t>
  </si>
  <si>
    <t>Undeniably, Internet of Things (IoT) devices are gradually getting better over time; and IoT-based systems play a significant role in our lives. The pervasiveness of the new essential service models is expanding, and includes self-driving cars, smart homes, smart cities, as well as promoting the development of some traditional fields such as agriculture, healthcare, and transportation; the development of IoT devices has not shown any sign of cooling down. On the one hand, several studies are coming up with many scenarios for IoT platforms, but some critical issues related to performance, speed, power consumption, availability, security, and scalability are not yet fully resolved. On the other hand, IoT devices are manufactured and developed by different organizations and individuals; hence, there is no unified standard (uniformity of IoT devices), i.e., sending and receiving messages among them and between them and the upper layer (e.g., edge devices). To address these issues, this paper proposes an IoT Platform called BMDD (Broker-less and Microservice architecture, Decentralized identity, and Dynamic transmission messages) that has a combination of two architectural models, including broker-less and microservices, with cutting-edge technologies such as decentralized identity and dynamic message transmission. The main contributions of this article are five-fold, including: (i) proposing broker-less and microservice for the IoT platform which can reduce single failure point of brokering architecture, easy to scale out and improve failover; (ii) providing a decentralized authentication mechanism which is suitable for IoT devices attribute (i.e., mobility, distributed); (iii) applying the Role-Based Access Control (RBAC) model for the authorization process; (iv) exploiting the gRPC protocol combined with the Kafka message queue enhances transmission rates, transmission reliability, and reduces power consumption in comparison with MQTT protocol; and (v) developing a dynamic message transmission mechanism that helps users communicate with any device, regardless of the manufacturer, since it provides very high homogeneity. © Copyright 2022 Nguyen et al.</t>
  </si>
  <si>
    <t>Global warming has emerged as a major problem due to the increase in energy consumption in the industrial sector, and interest in energy saving is higher than ever. This paper aims to understand the technological level of Korea compared to major countries by analyzing technology patent trends in the field of energy management systems. Through this, we derived the key technology development items of the energy management systems that Korea should focus on. In order to secure the core technology of the energy management system in consideration of social demands and technological changes, it will be essential to focus on the development of intelligent composite sensors, cloud-based EMS platform technology, big data systems for large-scale data processing, energy AI technology, digital twin utilization technology for EMS, and EMS technology integrated with ESS (Energy Storage System) for net-zero buildings. © 2023, Korean Institute of Communications and Information Sciences. All rights reserved.</t>
  </si>
  <si>
    <t>In this paper, we develop a complex environmental sensor device based on WoT (Web of Things) standard protocol for effective and stable indoor environment control and real-time data collection. The environmental sensor is equipped with complex sensors such as temperature, humidity, illumination, sound, carbon dioxide, particulate matter, and formaldehyde to calculate the thermal, visual, auditory, and air quality comfort that people feel in indoor spaces, and is developed by applying the WoT standard protocol for linking with various application/analysis services. Additionally, to ensure the stability of long-term data collection, an MCU is installed in addition to the CPU to monitor hardware and network status. On the software side, it adopts a microservice architecture to provide load balancing and high availability. Additionally, a cloud management platform have been developed to improve the manageability of multiple devices installed in various locations. © 2024, Korean Institute of Communications and Information Sciences. All rights reserved.</t>
  </si>
  <si>
    <t>round_1_result (eoan)</t>
  </si>
  <si>
    <t>round_1_notes</t>
  </si>
  <si>
    <t>round_2_result (ai)</t>
  </si>
  <si>
    <t>round_2_notes</t>
  </si>
  <si>
    <t>round_3_result (ai)</t>
  </si>
  <si>
    <t>round_3_notes</t>
  </si>
  <si>
    <t>round_2_full_output</t>
  </si>
  <si>
    <t>round_3_full_output</t>
  </si>
  <si>
    <t>INCLUDE - IC5</t>
  </si>
  <si>
    <t>INCLUDE - IC6</t>
  </si>
  <si>
    <t>Potentially EC4 but could be worth investigating</t>
  </si>
  <si>
    <t>IC6 but borderline</t>
  </si>
  <si>
    <t>potentially EC4 - looks like infrastructure level but would be good to double check</t>
  </si>
  <si>
    <t>Potential duplicate? Also potentially EC4 but good to double check</t>
  </si>
  <si>
    <t>IC6,IC5</t>
  </si>
  <si>
    <t>EXCLUDE - EC4</t>
  </si>
  <si>
    <t>EXCLUDE - EC5</t>
  </si>
  <si>
    <t>EXCLUDE - EC6</t>
  </si>
  <si>
    <t>included</t>
  </si>
  <si>
    <t>title</t>
  </si>
  <si>
    <t>type_of_reference</t>
  </si>
  <si>
    <t>doi</t>
  </si>
  <si>
    <t>authors</t>
  </si>
  <si>
    <t>journal_name</t>
  </si>
  <si>
    <t>date</t>
  </si>
  <si>
    <t>publisher</t>
  </si>
  <si>
    <t>abstract</t>
  </si>
  <si>
    <t>keywords</t>
  </si>
  <si>
    <t>issn</t>
  </si>
  <si>
    <t>year</t>
  </si>
  <si>
    <t>urls</t>
  </si>
  <si>
    <t>JOUR</t>
  </si>
  <si>
    <t>['Yang, Yihong', 'Zhou, Zhangbing', 'Shu, Lei', 'Zhou, Feng', 'Gaaloul, Walid', 'Khan, Arif Ali']</t>
  </si>
  <si>
    <t>['Connected Autonomous Vehicles (CAVs)', 'Heterogenous Resources Co-Optimization', 'Metaverse', 'Microservice Re-Scheduling', 'Web 3.0']</t>
  </si>
  <si>
    <t>['https://doi.org/10.1145/3715700']</t>
  </si>
  <si>
    <t>IC7,IC8,IC9</t>
  </si>
  <si>
    <t>['Ashraf M.', 'Shiraz M.', 'Abbasi A.', 'Alqahtani O.', 'Badshah G.', 'Lasisi A.']</t>
  </si>
  <si>
    <t>['constrained devices', 'distributed application execution', 'fog computing', 'Internet of Things', 'microservice application scheduling', 'service delay', 'Energy utilization', 'Fog', 'Internet of things', 'Mobile cloud computing', 'Application execution', 'Application scheduling', 'Computing facilities', 'Constrained devices', 'Distributed application executions', 'Low latency', 'Microservice application scheduling', 'Multi-tiered', 'Network edges', 'Service delays', 'Fog computing']</t>
  </si>
  <si>
    <t>['Wu J.', 'Zhang J.', 'Zhang Y.', 'Wen Y.']</t>
  </si>
  <si>
    <t>['micro-service composition', 'micro-services', 'mobile edge computing', 'multi-objective optimization', 'Application programs', 'Branch and bound method', 'Constrained optimization', 'Energy utilization', 'Mobile edge computing', 'Quality of service', 'Centralised', 'Cloud-computing', 'Computing environments', 'Edge resources', 'Micro services', 'Micro-service composition', 'Multi-objectives optimization', 'Services composition', "Users' experiences", 'Multiobjective optimization']</t>
  </si>
  <si>
    <t>['J. Gedeon', 'M. Wagner', 'J. Heuschkel', 'L. Wang', 'M. Muhlhauser']</t>
  </si>
  <si>
    <t>['Edge computing', 'Object detection', 'Mobile handsets', 'Containers', 'Semantics', 'Cloud computing', 'Image edge detection']</t>
  </si>
  <si>
    <t>['L. Wang', 'X. Deng', 'J. Gui', 'X. Chen', 'S. Wan']</t>
  </si>
  <si>
    <t>['Mobile edge computing', 'microservice', 'Internet of Vehicles', 'service placement', 'Microservice architectures', 'Servers', 'Cloud computing', 'Quality of service', 'Costs', 'Multi-access edge computing', 'Memory management']</t>
  </si>
  <si>
    <t>['K. Afachao', 'A. M. Abu-Mahfouz', 'G. P. Hanke']</t>
  </si>
  <si>
    <t>['Edge computing', 'microservices', 'network optimization', 'online placement', 'scheduling algorithms', 'reinforcement learning', 'Microservice architectures', 'Heuristic algorithms', 'Reliability', 'Optimization methods', 'Resource management', 'Containers', 'Edge computing', 'Scheduling', 'User centered design', 'Reinforcement learning']</t>
  </si>
  <si>
    <t>['Yu Y.', 'Yang J.', 'Guo C.', 'Zheng H.', 'He J.']</t>
  </si>
  <si>
    <t>['Bi-criteria optimization', 'Energy consumption', 'Load balance', 'Microservice', 'Microservice chain', 'QoS', 'Balancing', 'Economic and social effects', 'Energy utilization', 'Optimization', 'Resource allocation', 'Benchmarking algorithm', 'Bicriteria optimization', 'Efficient resource allocation', 'End-to-end response time', 'Load balance', 'Microservice', 'Reducing energy consumption', 'Resource allocation optimization', 'Quality of service']</t>
  </si>
  <si>
    <t>['Wang L.', 'Liu X.', 'Ding H.', 'Hu Y.', 'Peng K.', 'Hu M.']</t>
  </si>
  <si>
    <t>['dynamic voltage frequency scaling', 'Edge computing', 'queuing theory', 'reinforcement learning', 'service orchestration', 'Delay tolerant networks', 'Delay-sensitive applications', 'Dynamic frequency scaling', 'Edge computing', 'Energy efficiency', 'Energy utilization', 'Finite automata', 'Learning algorithms', 'Queueing networks', 'Reinforcement learning', 'Voltage scaling', 'Delay aware', 'Dynamic voltage', 'Dynamic voltage frequency scaling', 'Edge computing', 'Frequency-scaling', 'Queuing theory', 'Reinforcement learnings', 'Routings', 'Service orchestration', 'Voltage frequency', 'Queueing theory']</t>
  </si>
  <si>
    <t>['Yu Y.', 'Liu J.', 'Fang J.']</t>
  </si>
  <si>
    <t>['Deep reinforcement learning (DRL)', 'energy consumption, Internet of Things (IoT)', 'online microservice orchestration', 'Quality-of-Service (QoS) assurance', 'Deep learning', 'Internet of things', 'Markov processes', 'Multiobjective optimization', 'Natural resources management', 'Quality of service', 'Reinforcement learning', 'Resource allocation', 'Deep reinforcement learning', 'Energy-consumption', 'Fine grained', 'Microservice architecture', 'Multi objective', 'Online microservice orchestration', 'QoS assurance.', 'Quality-of-service', 'Reinforcement learnings', 'Resource management', 'Energy utilization']</t>
  </si>
  <si>
    <t>['Adeppady M.', 'Conte A.', 'Giaccone P.', 'Karl H.', 'Chiasserini C.F.']</t>
  </si>
  <si>
    <t>['Cloud Computing Services', 'Edge Computing', 'Energy-aware Management', 'Orchestration', 'Edge computing', 'Energy utilization', 'Information management', 'Cloud computing services', 'Cold-start', 'Dynamic management', 'Edge computing', 'Energy aware', 'Energy-aware management', 'Energy-consumption', 'Orchestration', 'Servicelevel agreement (SLA)', 'Time-scales', 'Cloud platforms']</t>
  </si>
  <si>
    <t>['S. R. Chaudhry', 'A. Palade', 'A. Kazmi', 'S. Clarke']</t>
  </si>
  <si>
    <t>['Edge computing', 'networked FPGA', 'serverless computing', 'virtual network functions (VNFs) and data security', 'Hardware', 'Internet of Things', 'Field programmable gate arrays', 'Streaming media', 'Servers', 'Task analysis', 'Quality of service']</t>
  </si>
  <si>
    <t>['C. Song', 'F. Jiang', 'X. Liang', 'N. Ahuja', 'M. J. Kumar']</t>
  </si>
  <si>
    <t>['Microservices', 'Service Mesh', 'Per-Core P-States', 'Service Level Objective (SLO)', 'Service Level Indicator (SLI)', 'Energy Efficiency', 'Carbon Reduction', 'Sustainability', 'Adaptive Control', 'Core Frequency Scaling', 'Energy consumption', 'Program processors', 'Costs', 'Power system management', 'Memory management', 'Microservice architectures', 'Tail']</t>
  </si>
  <si>
    <t>['Gunasekaran, Jashwant Raj', 'Thinakaran, Prashanth', 'Nachiappan, Nachiappan C.', 'Kandemir, Mahmut Taylan', 'Das, Chita R.']</t>
  </si>
  <si>
    <t>['scheduling', 'serverless', 'resource-management', 'queuing']</t>
  </si>
  <si>
    <t>['https://doi.org/10.1145/3423211.3425683']</t>
  </si>
  <si>
    <t>['Bhasi, Vivek M.', 'Gunasekaran, Jashwant Raj', 'Thinakaran, Prashanth', 'Mishra, Cyan Subhra', 'Kandemir, Mahmut Taylan', 'Das, Chita']</t>
  </si>
  <si>
    <t>['https://doi.org/10.1145/3472883.3486992']</t>
  </si>
  <si>
    <t>['E. Ahvar', 'S. Ahvar', 'Z. Á. Mann', 'N. Crespi', 'R. Glitho', 'J. Garcia-Alfaro']</t>
  </si>
  <si>
    <t>['Edge cloud', 'energy consumption', 'energy costs', 'green computing', 'carbon emission', 'application placement', 'Carbon dioxide', 'Energy consumption', 'Internet of Things', 'Cloud computing', 'Optimization', 'Resource management', 'Time factors']</t>
  </si>
  <si>
    <t>['N. Schmitt', 'L. Iffländer', 'A. Bauer', 'S. Kounev']</t>
  </si>
  <si>
    <t>['Energy efficiency, serverless, micro-services, code offloading, DevOps', 'Power demand', 'Data centers', 'Power measurement', 'Load modeling', 'Monitoring', 'Hardware', 'Software']</t>
  </si>
  <si>
    <t>['Saboor A.', 'Hassan M.F.', 'Akbar R.', 'Shah S.N.M.', 'Hassan F.', 'Magsi S.A.', 'Siddiqui M.A.']</t>
  </si>
  <si>
    <t>['cloud computing', 'containers', 'microservices', 'multicloud', 'virtual machine']</t>
  </si>
  <si>
    <t>['Z. Bellal', 'L. Lahlou', 'N. Kara', 'I. El Khayat']</t>
  </si>
  <si>
    <t>['Edge computing', 'microservice', 'DVFS', 'energy-efficient', 'container autoscaling', 'Microservice architectures', 'Edge computing', 'Energy consumption', 'Energy efficiency', 'Task analysis', 'Frequency diversity', 'Time-frequency analysis']</t>
  </si>
  <si>
    <t>['Agos Jawaddi S.N.', 'Ismail A.', 'Sulaiman M.S.', 'Cardellini V.']</t>
  </si>
  <si>
    <t>['Energy-driven microservice autoscaling', 'Formal verification', 'Kubernetes', 'Markov decision process', 'Microservices', 'Probabilistic model checking', 'Cloud computing', 'Energy efficiency', 'Formal verification', 'Health risks', 'Model checking', 'Program debugging', 'Sensitivity analysis', 'Autoscaling', 'Energy-consumption', 'Energy-driven', 'Energy-driven microservice autoscaling', 'Kubernetes', 'Markov Decision Processes', 'Microservice', 'Probabilistic model checking', 'Probabilistic model-checking', 'Scalings', 'Markov processes']</t>
  </si>
  <si>
    <t>['M. Xu', 'A. N. Toosi', 'R. Buyya']</t>
  </si>
  <si>
    <t>['Cloud data centers', 'energy efficiency', 'QoS', 'containers', 'microservices', 'brownout', 'Data centers', 'Energy consumption', 'Cloud computing', 'Quality of service', 'Servers', 'Containers', 'Prototypes']</t>
  </si>
  <si>
    <t>['I. Syrigos', 'D. Kefalas', 'N. Makris', 'T. Korakis']</t>
  </si>
  <si>
    <t>['cloud-to-things continuum', 'energy efficiency', 'latency aware', 'workload scheduling', 'testbed', 'Training', 'Performance evaluation', 'Learning systems', 'Heuristic algorithms', 'Prototypes', 'Microservice architectures', 'Energy efficiency']</t>
  </si>
  <si>
    <t>['Xu M.', 'Dastjerdi A.V.', 'Buyya R.']</t>
  </si>
  <si>
    <t>['application component', 'brownout', 'Cloud data centers', 'energy efficient', 'microservices', 'Dynamic frequency scaling', 'Economic and social effects', 'Energy efficiency', 'Energy utilization', 'Voltage scaling', 'Application components', 'brownout', 'Cloud data centers', 'Energy efficient', 'microservices', 'Green computing']</t>
  </si>
  <si>
    <t>['Xu M.', 'Buyya R.']</t>
  </si>
  <si>
    <t>['Application component', 'Brownout', 'Cloud energy efficiency', 'Markov decision process', 'Microservices', 'Commerce', 'Decision making', 'Distributed computer systems', 'Dynamic frequency scaling', 'Economic and social effects', 'Energy conservation', 'Energy utilization', 'Green computing', 'Markov processes', 'Voltage scaling', 'Application components', 'Brownout', 'Cloud computing environments', 'Dynamic voltage frequency scaling', 'Energy-Efficient Scheduling', 'Markov Decision Processes', 'Microservices', 'Performance degradation', 'Energy efficiency']</t>
  </si>
  <si>
    <t>['A. Mokhtari', 'B. Jonglez', 'T. Ledoux']</t>
  </si>
  <si>
    <t>['cloud computing', 'human-centered computing', 'digital sustainability', 'carbon footprint', 'green energy', 'Green energy', 'Energy consumption', 'Data centers', 'Protocols', 'Heuristic algorithms', 'Calibration', 'Solar panels', 'Proposals', 'Carbon', 'Carbon footprint']</t>
  </si>
  <si>
    <t>['Laso S.', 'Rodríguez P.', 'Herrera J.L.', 'Berrocal J.', 'Murillo J.M.']</t>
  </si>
  <si>
    <t>['Artificial Intelligence', 'Computing Continuum', 'Energy consumption', 'Microservices', 'Workload prediction', 'Change-over time', 'Computing continuum', 'Distributed infrastructure', 'Edge nodes', 'Energy consumption prediction', 'Energy-consumption', 'Improving performance', 'Microservice', 'Varying load', 'Workload predictions']</t>
  </si>
  <si>
    <t>['C. Courageux-Sudan', 'A. -C. Orgerie', 'M. Quinson']</t>
  </si>
  <si>
    <t>['Modeling and simulation', 'Fog-computing', 'Microservice', 'Performance evaluation', 'Energy consumption', 'Performance evaluation', 'Computers', 'Energy consumption', 'Accuracy', 'Computational modeling', 'Microservice architectures', 'Greenhouse gases', 'Carbon footprint', 'Edge computing']</t>
  </si>
  <si>
    <t>['Y. Huang', 'X. Zhang', 'Z. Xu']</t>
  </si>
  <si>
    <t>['Edge cloud at satellite', 'satellite-terrestrial network', 'edge computing', 'microservice scheduling', 'Satellites', 'Microservice architectures', 'Cloud computing', 'Computer architecture', 'Containers', 'Edge computing', 'Task analysis']</t>
  </si>
  <si>
    <t>['Valera, Hernan Humberto Alvarez', 'Dalmau, Marc', 'Roose, Philippe', 'Larracoechea, Jorge', 'Herzog, Christina']</t>
  </si>
  <si>
    <t>['cloud computing', 'microservices', 'power consumption', 'energy consumption', 'distributed algorithms', 'P2P']</t>
  </si>
  <si>
    <t>['https://doi.org/10.1145/3412841.3441888']</t>
  </si>
  <si>
    <t>['A. Alzahrani', 'M. Tang']</t>
  </si>
  <si>
    <t>['Cloud computing', 'data center', 'deployment', 'energy consumption', 'hybrid particle swarm optimization', 'microservice', 'optimization', 'software as a service', 'Microservice architectures', 'Data centers', 'Software as a service', 'Genetic algorithms', 'Energy consumption', 'Cloud computing', 'Servers', 'Particle swarm optimization']</t>
  </si>
  <si>
    <t>['Pontes F.A.', 'Curry E.']</t>
  </si>
  <si>
    <t>['Cloud-Independent', 'Deep Neural Networks', 'Distributed computing', 'Edge-Friendly', 'Multimedia Event Processing', 'Cloud computing', 'Deep neural networks', 'Energy utilization', 'Green computing', 'Network architecture', 'Cloud architectures', 'Distributed multimedia', 'Edge-friendly', 'Event Processing', 'Real-world scenario', 'Reduction in energy consumption', 'Resource utilisation', 'Computer architecture']</t>
  </si>
  <si>
    <t>['Cortellessa V.', 'Di Pompeo D.', 'Tucci M.']</t>
  </si>
  <si>
    <t>['model-driven engineering', 'performance', 'refactoring', 'search-based software engineering', 'sustainability', 'Computer architecture', 'Economic and social effects', 'Genetic algorithms', 'Sustainable development', 'Cloud deployments', 'Key objective', 'Model-driven Engineering', 'Optimal combination', 'Optimisations', 'Performance', 'Refactorings', 'Search-based', 'Search-based software engineering', 'Trade off', 'Software engineering']</t>
  </si>
  <si>
    <t>['Brondolin, Rolando', 'Santambrogio, Marco D.']</t>
  </si>
  <si>
    <t>['cloud computing', 'docker', 'kubernetes', 'Microservices', 'network performance monitoring', 'performance monitoring', 'power attribution']</t>
  </si>
  <si>
    <t>['https://doi.org/10.1145/3418899']</t>
  </si>
  <si>
    <t>['H. H. A. Valera', 'M. Dalmau', 'P. Roose', 'J. Larracoechea', 'C. Herzog']</t>
  </si>
  <si>
    <t>['microservices', 'middleware', 'energy', 'consumption', 'CPU', 'network', 'hard disk', 'prototype', 'simulator', 'Performance evaluation', 'Schedules', 'Software algorithms', 'Random access memory', 'Quality of service', 'Software', 'Scheduling']</t>
  </si>
  <si>
    <t>['H. Humberto Alvarez Valera', 'M. Dalmau', 'P. Roose', 'J. Larracoechea', 'C. Herzog']</t>
  </si>
  <si>
    <t>['microservices', 'middleware', 'energy', 'consumption', 'CPU', 'network', 'hard disk', 'prototype', 'simulator', 'Performance evaluation', 'Schedules', 'Network topology', 'Operating systems', 'Software algorithms', 'Microservice architectures', 'Random access memory']</t>
  </si>
  <si>
    <t>['Tootaghaj, Diman Zad', 'Mercian, Anu', 'Adarsh, Vivek', 'Sharifian, Mehrnaz', 'Sharma, Puneet']</t>
  </si>
  <si>
    <t>['edge', 'serverless computing', 'application offload', 'SmartNIC']</t>
  </si>
  <si>
    <t>['https://doi.org/10.1145/3565010.3569065']</t>
  </si>
  <si>
    <t>['Z. Xiang', 'M. Höweler', 'D. You', 'M. Reisslein', 'F. H. P. Fitzek']</t>
  </si>
  <si>
    <t>['Containerized network function (CNF)', 'CPU P-state', 'express data path (XDP)', 'load monitoring', 'microservice', 'network testbed', 'power management', 'Monitoring', 'Power system management', 'Codes', 'Central Processing Unit', 'Hardware', 'Instruments', 'Kernel']</t>
  </si>
  <si>
    <t>['J. Gómez-DelaHiz', 'A. Fakhreddine', 'J. M. Murillo', 'J. Galán-Jiménez']</t>
  </si>
  <si>
    <t>['UAV', 'Throughput', 'Optimization', 'MILP', 'Rural areas', 'Energy consumption', 'Costs', 'Microservice architectures', 'Quality of service', 'Throughput', 'Autonomous aerial vehicles', 'Mixed integer linear programming']</t>
  </si>
  <si>
    <t>['Calagna A.', 'Ravera S.', 'Chiasserini C.F.']</t>
  </si>
  <si>
    <t>['Data availability', 'Data consistency', 'Edge computing', 'Microservices', 'Cloud platforms', 'Radio access networks', 'Computing applications', 'Data availability', 'Data consistency', 'De facto standard', 'Edge computing', 'Microservice', 'Network performance metrics', 'Performance', 'Platform architecture', 'Radio access networks', 'Cloud computing architecture']</t>
  </si>
  <si>
    <t>['García-Gil S.', 'Ramos-Ramos D.', 'Berrocal J.', 'Murillo J.M.', 'Galán-Jiménez J.']</t>
  </si>
  <si>
    <t>['Energy efficiency', 'IoT', 'Microservices migration', 'UAV']</t>
  </si>
  <si>
    <t>['J. Galán-Jiménez', 'A. G. Vegas', 'J. Berrocal']</t>
  </si>
  <si>
    <t>['Energy efficiency', 'UAV', 'IoT', 'microservices', 'digital divide', 'Wireless communication', 'Energy consumption', 'Simulation', 'Sociology', 'Microservice architectures', 'Network architecture', 'Autonomous aerial vehicles']</t>
  </si>
  <si>
    <t>['Ramos-Ramos D.', 'González-Vegas A.', 'Berrocal J.', 'Galán-Jiménez J.']</t>
  </si>
  <si>
    <t>['Digital divide', 'Energy efficiency', 'IoT', 'Microservices', 'UAV', 'Antennas', 'Distance education', 'Energy utilization', 'Internet of things', 'Network architecture', 'Power management (telecommunication)', 'Rural areas', 'Unmanned aerial vehicles (UAV)', 'Aerial vehicle', 'Application deployment', 'Digital divide', 'Distance-learning', 'Energy aware', 'Essential services', 'Internet access', 'Low incomes', 'Microservice', 'Unmanned aerial vehicle', 'Energy efficiency']</t>
  </si>
  <si>
    <t>['W. Villegas-Ch', 'R. Gutierrez', 'I. Sánchez-Salazar', 'A. Mera-Navarrete']</t>
  </si>
  <si>
    <t>['Adaptive security framework', 'Internet of Things', 'threat detection', 'energy efficiency in Internet of Things', 'Security', 'Internet of Things', 'Adaptive systems', 'Real-time systems', 'Time factors', 'Threat assessment', 'Energy consumption', 'Energy efficiency', 'Sensors', 'Logic gates']</t>
  </si>
  <si>
    <t>['Vitali, Monica']</t>
  </si>
  <si>
    <t>['Cloud-native', 'Energy-efficiency', 'Sustainability-awareness', 'Sustainable applications', 'Workflow design']</t>
  </si>
  <si>
    <t>['https://doi.org/10.1007/978-3-031-07472-1_6']</t>
  </si>
  <si>
    <t>['M. Vitali', 'P. Schmiedmayer', 'V. Bootz']</t>
  </si>
  <si>
    <t>['cloud-native applications', 'green IS', 'application design', 'adaptive workflow', 'microservices', 'Green products', 'Prototypes', 'Microservice architectures', 'Computer architecture', 'Quality of service', 'Energy efficiency', 'Stakeholders']</t>
  </si>
  <si>
    <t>['I. Fé', 'T. A. Nguyen', 'A. B. Soares', 'S. Son', 'E. Choi', 'D. Min', 'J. -W. Lee', 'F. A. Silva']</t>
  </si>
  <si>
    <t>['Cloud-fog continuum', 'dependability', 'Kubernetes', 'stochastic modeling', 'Modeling', 'Stochastic processes', 'Power demand', 'Energy consumption', 'Edge computing', 'Cloud computing']</t>
  </si>
  <si>
    <t>['J. von Kistowski', 'S. Eismann', 'N. Schmitt', 'A. Bauer', 'J. Grohmann', 'S. Kounev']</t>
  </si>
  <si>
    <t>['Microservice', 'Benchmarking', 'Performance', 'Power', 'Energy Efficiency', 'Models', 'Auto Scaler', 'Container', 'Cloud', 'Benchmark testing', 'Software', 'Analytical models', 'Resource management', 'Predictive models', 'Instruments']</t>
  </si>
  <si>
    <t>['J. Stojkovic', 'P. A. Misra', 'Í. Goiri', 'S. Whitlock', 'E. Choukse', 'M. Das', 'C. Bansal', 'J. Lee', 'Z. Sun', 'H. Qiu', 'R. Zimmermann', 'S. Samal', 'B. Warrier', 'A. Raniwala', 'R. Bianchini']</t>
  </si>
  <si>
    <t>['Energy consumption', 'Costs', 'Buildings', 'Microservice architectures', 'Production', 'Tail', 'Computer architecture']</t>
  </si>
  <si>
    <t>['G. H. Prathama', 'P. E. G. Gunawan', 'A. W. O. Gama']</t>
  </si>
  <si>
    <t>['Cost Efficiency', 'cloud computing', 'private universities', 'serverless computation', 'microservices architecture', 'green computing', 'Energy consumption', 'Scalability', 'Education', 'Microservice architectures', 'Prototypes', 'Computer architecture', 'Computational efficiency', 'Resource management', 'Sustainable development', 'Information technology']</t>
  </si>
  <si>
    <t>['Sriraman, Akshitha', 'Dhanotia, Abhishek', 'Wenisch, Thomas F.']</t>
  </si>
  <si>
    <t>['microservice', 'resource fungibility', 'soft SKU']</t>
  </si>
  <si>
    <t>['https://doi.org/10.1145/3307650.3322227']</t>
  </si>
  <si>
    <t>['Dinga, Madalina', 'Malavolta, Ivano', 'Giamattei, Luca', 'Guerriero, Antonio', 'Pietrantuono, Roberto']</t>
  </si>
  <si>
    <t>['https://doi.org/10.1007/978-3-031-48421-6_13']</t>
  </si>
  <si>
    <t>['V. Berry', 'A. Castelltort', 'B. Lange', 'J. Teriihoania', 'C. Tibermacine', 'C. Trubiani']</t>
  </si>
  <si>
    <t>['Microservices', 'architecture migration', 'horizontal scaling', 'load tests', 'performance', 'availability', 'energy usage', 'Energy consumption', 'Web services', 'Memory management', 'Microservice architectures', 'Software quality', 'Logic gates', 'Routing', 'Energy efficiency', 'Time factors', 'Testing']</t>
  </si>
  <si>
    <t>['Miao J.', 'Rajasekhar D.', 'Mishra S.', 'Nayak S.K.', 'Yadav R.']</t>
  </si>
  <si>
    <t>['animal intrusion detection', 'fog computing', 'LoRa', 'smart agriculture', 'Fog computing', 'Agriculture systems', 'Animal intrusion detection', 'Bandwidth consumption', 'Cloud-computing', 'Cost-efficiency', 'Crop quality', 'Intrusion-Detection', 'Lora', 'Operational efficiencies', 'Smart agricultures', 'Smart agriculture']</t>
  </si>
  <si>
    <t>['M. S. Floroiu', 'S. Russo', 'L. Giamattei', 'A. Guerriero', 'I. Malavolta', 'R. Pietrantuono']</t>
  </si>
  <si>
    <t>['Microservices', 'Energy consumption', 'Anomaly Detection', 'Root Cause Analysis', 'Measurement', 'Energy consumption', 'Root cause analysis', 'Web services', 'Software algorithms', 'Microservice architectures', 'Nearest neighbor methods', 'Topology', 'Anomaly detection', 'Tuning']</t>
  </si>
  <si>
    <t>['Thanh L.N.T.', 'Phien N.N.', 'Nguyen T.A.', 'Vo H.K.', 'Luong H.H.', 'Anh T.D.', 'Tuan K.N.H.', 'Son H.X.']</t>
  </si>
  <si>
    <t>Internet of Thing (IoT), currently, is one of the technology trends that are most interested. IoT can be divided into five main areas including: Health-care, Environmental, Smart city, Commercial and Industrial. The IoHT-MBA Platform is considered the backbone of every IoT architecture, so the optimal design of the IoHT-MBA Platform is essential issue, which should be carefully considered in the different aspects. Although, IoT is applied in multiple domains, however, there are still three main features that are challenge to improve: i) data collection, ii) users, devices management, and iii) remote device control. Today’s medical IoT systems, often too focused on the big data or access control aspects of participants, but not focused on collecting data accurately, quickly, and efficiently; power redundancy and system expansion. This is very important for the medical sector - which always prioritizes the availability of data for therapeutic purposes over other aspects. In this paper, we introduce the IoHT Platform for Healthcare environment which is designed by microservice and brokerless architecture, focusing strongly on the three aforementioned characteristics. In addition, our IoHT Platform considers the five other issues including (1) the limited processing capacity of the devices, (2) energy saving for the device, (3) speed and accurate of the data collection, (4) security mechanisms and (5) scalability of the system. Also, in order for the IoHT Platform to be suitable for the field of health monitoring, we also add realtime alerts for the medical team. In the evaluation section, moreover, we describe the evaluation to prove the effectiveness of the proposed IoHT Platform (i.e. the proof-of-concept) in the performance, non-error, and non affected by geographical distance. Finally, a complete code solution is publicized on the authors’ GitHub repository to engage further reproducibility and improvement. © 2021. All Rights Reserved.</t>
  </si>
  <si>
    <t>['brokerless', 'gRPC', 'Internet of Health Things (IoHT)', 'kafka', 'microservice', 'RBAC', 'single sign-on', 'Access control', 'Data acquisition', 'Energy conservation', 'Health care', 'Information management', 'Broker-less', 'Data collection', 'GRPC', 'Internet of health thing', 'Kafkum', 'Microservice', 'RBAC', 'Single sign on', 'Single signs-on', 'Technology trends', 'Internet of things']</t>
  </si>
  <si>
    <t>['J. A. Larracoechea', 'S. Ilarri', 'P. Roose']</t>
  </si>
  <si>
    <t>['Software design', 'Green software', 'Sustainable software', 'Energy consumption', 'Software development', 'Model Driven Software Development', 'Energy consumption', 'Software design', 'Computer aided software engineering', 'Software architecture', 'Green products', 'Software', 'Information and communication technology', 'DSL', 'Software development management', 'Domain specific languages']</t>
  </si>
  <si>
    <t>['P. Bellini', 'E. Collini', 'M. Fanfani', 'L. A. I. Palesi', 'P. Nesi']</t>
  </si>
  <si>
    <t>['Digital Twin', 'Urban Scenario', 'Optimization', 'Traffic', 'Decision Support System', 'Smart cities', 'Urban planning', 'Transportation', 'Computer architecture', 'Big Data', 'Real-time systems', 'Digital twins', 'Planning', 'Optimization', 'Traffic congestion']</t>
  </si>
  <si>
    <t>['A. Samanta', 'J. Tang']</t>
  </si>
  <si>
    <t>['Dynamic microservice scheduling', 'edge computing', 'Internet of Things (IoT)', 'microservice', 'Quality-of-Service (QoS)', 'Dynamic scheduling', 'Task analysis', 'Internet of Things', 'Delays', 'Quality of service', 'Processor scheduling', 'Edge computing']</t>
  </si>
  <si>
    <t>['Rajagopal S.M.', 'M. S.', 'Buyya R.']</t>
  </si>
  <si>
    <t>['Blockchain', 'Edge computing', 'Federated learning', 'Fog computing', 'Internet of Things', 'Fog computing', 'Block-chain', 'Cloud computing environments', 'ECG data', 'Edge computing', 'Energy-consumption', 'Intelligent decision-making', 'Machine learning models', 'Network edges', 'Network usage', 'Privacy concerns', 'Federated learning']</t>
  </si>
  <si>
    <t>['G. Rigazzi', 'J. -P. Kainulainen', 'C. Turyagyenda', 'A. Mourad', 'J. Ahn']</t>
  </si>
  <si>
    <t>['eMBB', '360 video', 'fog computing', 'edge computing', 'Streaming media', 'Cloud computing', 'Edge computing', 'Servers', '5G mobile communication', 'Bandwidth', 'Data centers']</t>
  </si>
  <si>
    <t>['Lakhan A.', 'Li X.']</t>
  </si>
  <si>
    <t>['Application partitioning', 'Application programming interface (API)', 'APTA', 'FA', 'Microservices', 'Min-cut', 'Mobile cloudlet computing', 'Offloadi ng', 'Representational state transfer (REST)', 'Application programming interfaces (API)', 'Augmented reality', 'Energy utilization', 'Green computing', 'Interface states', 'mHealth', 'Mobile computing', 'Network security', 'Simulation platform', 'Virtual machine', 'Application partitioning', 'APTA', 'Microservices', 'Min-cut', 'Mobile cloudlet computing', 'Offloadi ng', 'Representational state transfer', 'Mobile cloud computing']</t>
  </si>
  <si>
    <t>['Attarha, Shadi', 'Forster, Anna']</t>
  </si>
  <si>
    <t>['IoT', 'Energy Efficiency', 'Low-power', 'Operational Flexibility', 'Service Isolation', 'Service Management']</t>
  </si>
  <si>
    <t>['Kaneko, Yu', 'Yokoyama, Yuhei', 'Monma, Nobuyuki', 'Terashima, Yoshiki', 'Teramoto, Keiichi', 'Kishimoto, Takuya', 'Saito, Takeshi']</t>
  </si>
  <si>
    <t>['5G', 'Cloud', 'Fog', 'Industrial Control System', 'MEC']</t>
  </si>
  <si>
    <t>['https://doi.org/10.1007/978-3-030-59824-2_2']</t>
  </si>
  <si>
    <t>['A. Ali', 'M. M. Iqbal']</t>
  </si>
  <si>
    <t>['Cloud computing', 'mobile cloud computing', 'task offloading', 'task sequencing', 'task scheduling', 'microservices', 'Task analysis', 'Cloud computing', 'Costs', 'Processor scheduling', 'Microservice architectures', 'Mobile handsets', 'Servers']</t>
  </si>
  <si>
    <t>['M. Mekki', 'B. Brik', 'A. Ksentini', 'C. Verikoukis']</t>
  </si>
  <si>
    <t>['Zero-touch Service Management (ZSM)', 'Cloud-native', 'Containerized Microservices', 'Machine Learning', 'Explainable Artificial Intelligence', 'Degradation', 'Energy consumption', 'Memory management', 'Microservice architectures', 'Learning (artificial intelligence)', 'Predictive models', 'Prediction algorithms']</t>
  </si>
  <si>
    <t>['R. Cordingly', 'J. Kaur', 'D. Dwivedi', 'W. Lloyd']</t>
  </si>
  <si>
    <t>['Sky Computing', 'Serverless Computing', 'Function-as-a-Service', 'Green Computing', 'Cloud computing', 'Costs', 'Runtime', 'Prototypes', 'Pricing', 'Routing', 'Virtual machining']</t>
  </si>
  <si>
    <t>['C. -H. Chou', 'L. N. Bhuyan', 'D. Wong']</t>
  </si>
  <si>
    <t>['Dynamic power management', 'DVFS', 'Sleep states', 'Power system management', 'Servers', 'Energy consumption', 'Power demand', 'Data centers', 'Market research', 'Linux']</t>
  </si>
  <si>
    <t>['Alzahrani A.', 'Tang M.']</t>
  </si>
  <si>
    <t>['Cloud computing', 'Data center', 'Deployment', 'Energy consumption', 'Genetic algorithm', 'Microservice', 'Optimization', 'Software as a Service', 'Genetic algorithms', 'Green computing', 'Software as a service (SaaS)', 'Cloud-computing', 'Communications networks', 'Datacenter', 'Deployment', 'Deployment methods', 'Energy', 'Energy-consumption', 'Microservice', 'Optimisations', 'Software-as-a- Service (SaaS)', 'Energy utilization']</t>
  </si>
  <si>
    <t>['D. Loconte', 'S. Ieva', 'F. Gramegna', 'I. Bilenchi', 'C. Fasciano', 'A. Pinto', 'G. Loseto', 'F. Scioscia', 'M. Ruta', 'E. Di Sciascio']</t>
  </si>
  <si>
    <t>['Cloud-edge intelligence (CEI)', 'machine learning (ML)', 'microservices', 'sensor networks', 'serverless computing', 'Cloud computing', 'Sensors', 'Training', 'Computer architecture', 'Microservice architectures', 'Computational modeling', 'Data models', 'Accuracy', 'Internet of Things', 'Intelligent sensors']</t>
  </si>
  <si>
    <t>['S. M. Rajagopal', 'M. Supriya', 'R. Buyya']</t>
  </si>
  <si>
    <t>['Edge computing', 'fog computing', 'Internet of Things', 'meta-heuristic', 'microservices', 'mobility', 'smart healthcare', 'time critical applications', 'Edge computing', 'Internet of Things', 'Smart healthcare', 'Metaheuristics', 'Microservice architectures']</t>
  </si>
  <si>
    <t>['Carrión, Carmen']</t>
  </si>
  <si>
    <t>['scheduling', 'containers', 'Kubernetes', 'orchestration', 'survey']</t>
  </si>
  <si>
    <t>['https://doi.org/10.1145/3539606']</t>
  </si>
  <si>
    <t>['Carrega A.', 'Repetto M.']</t>
  </si>
  <si>
    <t>['Economic and social effects', 'Energy conservation', 'Energy efficiency', 'Power management', 'Application frameworks', 'Cloud applications', 'Consolidation mechanisms', 'Core components', 'Efficient strategy', 'Network devices', 'Power efficiency', 'Power saving mechanism', 'Green computing']</t>
  </si>
  <si>
    <t>['Cloud applications', 'Consolidation', 'Energy-aware', 'Green', 'Heuristics', 'Optimization', 'Virtual machines', 'Consolidation', 'Digital communication systems', 'Economic and social effects', 'Energy conservation', 'Energy efficiency', 'Network security', 'Optimization', 'Power management', 'Virtual machine', 'Application frameworks', 'Cloud applications', 'Consolidation mechanisms', 'Efficient strategy', 'Energy aware', 'Green', 'Heuristics', 'Power saving mechanism', 'Green computing']</t>
  </si>
  <si>
    <t>['J. Stojkovic', 'E. Choukse', 'E. Saurez', 'Í. Goiri', 'J. Torrellas']</t>
  </si>
  <si>
    <t>['Cloud computing', 'Serverless computing', 'Hardware partitioning', 'Context', 'Schedules', 'Program processors', 'Processor scheduling', 'Full stack', 'Serverless computing', 'Computer architecture', 'Throughput', 'Rendering (computer graphics)', 'Optimization']</t>
  </si>
  <si>
    <t>['Hasan, MD Sabbir', 'Alvares, Frederico', 'Ledoux, Thomas']</t>
  </si>
  <si>
    <t>['energy consumption', 'autonomic computing', 'green it', 'interactive cloud application', 'paas', 'sustainable computing.']</t>
  </si>
  <si>
    <t>['https://doi.org/10.1145/3147213.3147227']</t>
  </si>
  <si>
    <t>['T. Menouer', 'C. Cérin', 'P. Darmon']</t>
  </si>
  <si>
    <t>['Container technology', 'Service Level Agreement', 'Online multi-criteria scheduling', 'Kubernetes ecosystem', 'Energy consumption', 'Processor scheduling', 'Computational modeling', 'Quality of service', 'Containers', 'MCDM', 'Resource management']</t>
  </si>
  <si>
    <t>['Das A.', 'Chakraborty S.', 'Chakraborty S.']</t>
  </si>
  <si>
    <t>['Context-aware', 'Data collection', 'Edge computing', 'Microservice', 'Sensing', 'Automation', 'Data acquisition', 'Edge computing', 'Information management', 'Network security', 'Petroleum reservoir evaluation', 'Quality of service', 'Context-Aware', 'Data collection', 'Data generation', 'Data-forwarding', 'Edge computing', 'Microservice', 'Quality-of-service', 'Running applications', 'Service requirements', 'Smart homes', 'Internet of things']</t>
  </si>
  <si>
    <t>['Wang J.', 'Berger D.S.', 'Kazhamiaka F.', 'Irvene C.', 'Zhang C.', 'Choukse E.', 'Frost K.', 'Fonseca R.', 'Warrier B.', 'Bansal C.', 'Stern J.', 'Bianchini R.', 'Sriraman A.']</t>
  </si>
  <si>
    <t>['Carbon', 'Cloud Computing', 'Data Center', 'Server Design', 'Sustainability', 'Carbon', 'Climate change', 'Energy efficiency', 'Green computing', 'Program processors', 'Windows operating system', 'Carbon emissions', 'Carbon saving', 'Cloud providers', 'Cloud servers', 'Cloud-computing', 'Datacenter', 'Design and build', 'Low carbon', 'Server components', 'Server design', 'Cloud computing']</t>
  </si>
  <si>
    <t>['Wu L.', 'Xia H.']</t>
  </si>
  <si>
    <t>['Cloud computing', 'Containers', 'Electronic data interchange', 'Intelligent computing', 'Scheduling algorithms', 'Signal processing', 'Software design', 'Software testing', 'Virtualization', 'Application tasks', 'Cloud data centers', 'Cloud environments', 'Cost calculation', 'Deployment costs', 'Operation and maintenance', 'Particle swarm optimization algorithm', 'Virtualization technologies', 'Particle swarm optimization (PSO)']</t>
  </si>
  <si>
    <t>['Zhang Z.', 'Xu Z.', 'Li R.']</t>
  </si>
  <si>
    <t>['Comprehensive energy', 'Distributed application coordination services', 'Distributed task scheduling', 'Microservice architecture', 'Architecture', 'Cryptography', 'Data acquisition', 'Energy efficiency', 'Historic preservation', 'Metadata', 'Multitasking', 'Quality control', 'Comprehensive energy', 'Distributed application coordination service', 'Distributed applications', 'Distributed task scheduling', 'Distributed tasks', 'Energy services', 'Energy-consumption', 'Microservice architecture', 'Smart energies', 'Tasks scheduling', 'Energy utilization']</t>
  </si>
  <si>
    <t>['Nuñez I.', 'Rovetto C.', 'Cruz E.', 'Smolarz A.', 'Concepcion D.', 'Cano E.E.']</t>
  </si>
  <si>
    <t>['energy efficiency', 'internet of things (IoT)', 'Microservices', 'smart homes', 'software architecture', 'Service oriented architecture (SOA)', 'Efficiency control', 'Efficiency managements', 'Electrical infrastructure', 'Energy', 'Internet of thing', 'Microservice', 'Performance', 'Proposed architectures', 'Residential energy efficiency', 'Smart homes', 'Smart homes']</t>
  </si>
  <si>
    <t>['Antoniou, Georgia', 'Bartolini, Davide', 'Volos, Haris', 'Kleanthous, Marios', 'Wang, Zhe', 'Kalaitzidis, Kleovoulos', 'Rollet, Tom', 'Li, Ziwei', 'Mutlu, Onur', 'Sazeides, Yiannakis', 'Haj Yahya, Jawad']</t>
  </si>
  <si>
    <t>['microservices', 'datacenters', 'Power management', 'C-states', 'idle states']</t>
  </si>
  <si>
    <t>['https://doi.org/10.1145/3674734']</t>
  </si>
  <si>
    <t>['N. Toosi, Adel', 'Agarwal, Chayan', 'Mashayekhy, Lena', 'Moghaddam, Sara K.', 'Mahmud, Redowan', 'Tari, Zahir']</t>
  </si>
  <si>
    <t>['https://doi.org/10.1007/978-3-031-20984-0_38']</t>
  </si>
  <si>
    <t>['Ordonez, Carlos', 'Macyna, Wojciech', 'Bellatreche, Ladjel']</t>
  </si>
  <si>
    <t>['https://doi.org/10.1145/3663741.3664789']</t>
  </si>
  <si>
    <t>['Poth A.', 'Saalfeld L.']</t>
  </si>
  <si>
    <t>['Containerization', 'Green IT', 'Micro-Service', 'Native Image', 'Sustainability', 'Wirth’s law', 'Case-studies', 'Containerization', 'Exploration strategies', 'Green-IT', 'IT system', 'Micro services', 'Native image', 'Resource units', 'Technology comparison', 'Wirth’s law']</t>
  </si>
  <si>
    <t>['C. Roy', 'R. Saha', 'S. Misra', 'K. Dev']</t>
  </si>
  <si>
    <t>['6G', 'microservices', 'deep learning', 'state space model', 'safety-as-a-service (safe-aas)', 'road transportation', 'decision parameters', '6G mobile communication', 'Safety', 'Deep learning', 'Scalability', 'Delays', 'Cloud computing', 'Throughput']</t>
  </si>
  <si>
    <t>['L. C. B. C. Ferreira', 'A. D. R. Borchardt', 'G. D. S. Cardoso', 'D. A. Mendes Lemes', 'G. R. D. R. d. Sousa', 'F. B. Neto', 'E. R. de Lima', 'G. Fraidenraich', 'P. Cardieri', 'L. G. P. Meloni']</t>
  </si>
  <si>
    <t>['Home energy management systems', 'middleware', 'Internet of Things', 'Middleware', 'Internet of Things', 'Hardware', 'Edge computing', 'Computer architecture', 'Microservice architectures', 'Energy management systems', 'Computer applications']</t>
  </si>
  <si>
    <t>['Valera H.H.L.', 'Dalmau M.', 'Roose P.', 'Herzog C.']</t>
  </si>
  <si>
    <t>['consumption', 'CPU', 'energy', 'hard disk', 'microservices', 'middleware', 'network', 'Application programs', 'Energy conservation', 'Hard disk storage', 'Information use', 'Internet of things', 'Middleware', 'Networks (circuits)', 'Program processors', 'Scheduling algorithms', 'Application level', 'consumption', 'energy', 'Hardware components', 'Hardware management', 'microservices', 'Save energy', 'Network architecture']</t>
  </si>
  <si>
    <t>['Lvarez-Valera H.H.', 'Roose P.', 'Dalmau M.', 'Herzog C.', 'Respicio K.']</t>
  </si>
  <si>
    <t>['Distributed applicatioggns', 'Green Computing', 'Microservices', 'Smartphones', 'Electric batteries', 'Energy conservation', 'Energy utilization', 'mHealth', 'Middleware', 'Smartphones', 'Battery consumption', 'Battery efficiencies', 'Battery life', 'Distributed applicatioggns', 'Distributed schedulers', 'Microservices', 'Portable technologies', 'Products quality', 'Green computing']</t>
  </si>
  <si>
    <t>['Guamán D.', 'Pérez J.', 'Valdiviezo-Diaz P.']</t>
  </si>
  <si>
    <t>['Architectural patterns', 'Energy consumption estimation', 'Green software', 'Model-view controller (MVC)', 'Software architectures', 'Application programs', 'Controllers', 'Software architecture', 'Architectural pattern', 'Energy', 'Energy consumption estimation', 'Energy-consumption', 'Green metrics', 'Green software', 'Information and Communication Technologies', 'Model-view controller', 'Zero emission', 'Energy utilization']</t>
  </si>
  <si>
    <t>['U. Vora']</t>
  </si>
  <si>
    <t>['Microservices', 'Edge computing', 'Software Defined System', 'Sustainability', 'Cloud computing', 'Data centers', 'Microservice architectures', 'Computer architecture', 'Software', 'Software measurement', 'Servers', 'Transient analysis', 'Complex systems', 'Edge computing']</t>
  </si>
  <si>
    <t>['Kaur A.', 'Kumar S.', 'Gupta D.', 'Hamid Y.', 'Hamdi M.', 'Ksibi A.', 'Elmannai H.', 'Saini S.']</t>
  </si>
  <si>
    <t>['cloud computing', 'migration', 'power consumption', 'SESA', 'virtual machine', 'Algorithms', 'Cloud Computing', 'Humans', 'Cloud computing', 'Computing power', 'Digital storage', 'Electric power utilization', 'Energy efficiency', 'Green computing', 'Network security', 'Quality of service', 'Scheduling algorithms', 'Algorithmic approach', 'Cloud-computing', 'Computation service', 'Datacenter', 'Facebook', 'Google+', 'MicroSoft', 'Migration', 'Smart elastic scheduling algorithm', 'Virtual machine migrations', 'algorithm', 'cloud computing', 'human', 'Virtual machine']</t>
  </si>
  <si>
    <t>['Golec M.', 'Wu H.', 'Ozturac R.', 'Parlikad A.K.', 'Cuadrado F.', 'Gill S.S.', 'Uhlig S.']</t>
  </si>
  <si>
    <t>['Artificial Intelligence', 'Cloud Computing', 'Flexible Manufacturing', 'Industrial Internet of Things', 'Predictive Maintenance', 'Serverless Computing', 'Competition', 'Flexible manufacturing systems', 'Glass plants', 'Plastic bottles', 'Windows operating system', 'Cloud-computing', 'Cold-start', 'Computing environments', 'Cosimulation', 'Flexible manufacturing', 'Industrial internet of thing', 'Module performance', 'Predictive maintenance', 'Serverless computing', 'Sustainable solution', 'Testbeds']</t>
  </si>
  <si>
    <t>['P. Ruiu', 'A. Scionti', 'J. Nider', 'M. Rapoport']</t>
  </si>
  <si>
    <t>['cloud computing', 'power efficiency', 'workload management', 'microservices', 'heterogeneous data center', 'Servers', 'Cloud computing', 'Hardware', 'Computer architecture', 'Power demand', 'Programming', 'Cooling']</t>
  </si>
  <si>
    <t>['J. Gómez-delaHiz', 'A. García-López', 'S. García-Gil', 'D. Ramos-Ramos', 'A. Fakhreddine', 'J. M. Murillo', 'J. Galán-Jiménez']</t>
  </si>
  <si>
    <t>['UAV', 'Throughput', 'Energy efficiency', 'Genetic algorithm', 'Rural areas', 'MSA', 'Smart agriculture', 'Energy consumption', 'Microservice architectures', 'Quality of service', 'Throughput', 'Autonomous aerial vehicles', 'Telecommunications', 'Telecommunication network reliability', 'Investment', 'Genetic algorithms']</t>
  </si>
  <si>
    <t>['Meijer W.', 'Trubiani C.', 'Aleti A.']</t>
  </si>
  <si>
    <t>['Design patterns', 'Microservice architectures', 'Performance evaluation', 'Application programs', 'Architectural design', 'Software design', 'Testbeds', 'Architectural pattern', 'Benchmark system', 'Design Patterns', 'Experimental evaluation', 'Microservice architecture', 'Model-based prediction', 'Performance', 'Performances design', 'Performances evaluation', 'Software performance', 'Gateways (computer networks)']</t>
  </si>
  <si>
    <t>['O. O. Ajibola', 'T. E. H. El-Gorashi', 'J. M. H. Elmirghani']</t>
  </si>
  <si>
    <t>['Composable infrastructures', 'energy efficient data centers', 'micro-services', 'MILP', 'optical networks', 'rack-scale data center', 'software defined infrastructures', 'Servers', 'Software', 'Network topology', 'Energy efficiency', 'Hardware', 'Topology', 'Optical fiber networks']</t>
  </si>
  <si>
    <t>['M. Bachras', 'S. Tijanic', 'S. Zhang', 'Y. Zhang', 'B. Yan', 'L. W. Piu', 'H. -A. Jacobsen']</t>
  </si>
  <si>
    <t>['cloud computing', 'resource allocation', 'databases', 'query tuning', 'sustainability', 'Cloud computing', 'Scalability', 'Microservice architectures', 'Software', 'Resource management', 'Servers', 'Sustainable development', 'Tuning', 'Optimization', 'Next generation networking']</t>
  </si>
  <si>
    <t>['Nam, T. B.', 'Khiem, H. G.', 'Triet, M. N.', 'Hong, K. V.', 'Khoa, T. D.', 'Bao, Q. T.', 'Phuc, N. T.', 'Hieu, M. D.', 'Loc, V. C. P.', 'Quy, T. L.', 'Anh, N. T.', 'Hien, Q. N.', 'Bang, L. K.', 'Trong, D. P. N.', 'Ngan, N. T. K.', 'Son, H.', 'Luong, H. H.']</t>
  </si>
  <si>
    <t>['microservice', 'micro-service', 'Internet of Things', 'Kafka', 'brokerless', 'gRPC', 'Medical record', 'RBAC', 'Single Sign-On']</t>
  </si>
  <si>
    <t>['https://doi.org/10.1007/978-3-031-44836-2_3']</t>
  </si>
  <si>
    <t>['S. D. Meglio', 'L. Libero Lucio Starace']</t>
  </si>
  <si>
    <t>['Execution environments', 'green computing', 'performance benchmark', 'performance testing', 'REST API', 'REST API frameworks', 'sustainable computing', 'web applications', 'Java', 'Benchmark testing', 'Python', 'Energy consumption', 'Energy efficiency', 'Sports', 'Software development management', 'Prototypes', 'Costs', 'Codes', 'Green computing', 'Green computing', 'Web services']</t>
  </si>
  <si>
    <t>['Fé I.', 'Nguyen T.A.', 'Mauro M.D.', 'Postiglione F.', 'Ramos A.', 'Soares A.', 'Choi E.', 'Min D.', 'Lee J.W.', 'Silva F.A.']</t>
  </si>
  <si>
    <t>['68M14', '68M15', '68U01', 'Availability', 'Microservices', 'Petri nets', 'Reliability', 'Survivabiliry', 'Balancing', 'Energy efficiency', 'Network security', 'Petri nets', 'Power management', 'Recovery', 'Stochastic models', 'Stochastic systems', '68m14', '68m15', '68u01', 'Cloud-based', 'Energy aware', 'Generalized Stochastic Petri nets', 'Microservice', 'Survivabiliry', 'System resiliences', 'Unexpected events', 'Disasters']</t>
  </si>
  <si>
    <t>['Soongpol B.', 'Netinant P.', 'Rukhiran M.']</t>
  </si>
  <si>
    <t>['agile', 'aspect-oriented', 'energy efficiency', 'flexibility', 'framework', 'layering', 'software development', 'sustainability', 'business development', 'energy efficiency', 'environmental impact', 'information system', 'software', 'stakeholder', 'sustainability', 'sustainable development']</t>
  </si>
  <si>
    <t>['Khairy, Mahmoud', 'Alawneh, Ahmad', 'Barnes, Aaron', 'Rogers, Timothy G.']</t>
  </si>
  <si>
    <t>['data center', 'GPU', 'microservices', 'SIMT']</t>
  </si>
  <si>
    <t>['https://doi.org/10.1109/MICRO56248.2022.00040']</t>
  </si>
  <si>
    <t>['J. Georgiou', 'M. Symeonides', 'M. Kasioulis', 'D. Trihinas', 'G. Pallis', 'M. D. Dikaiakos']</t>
  </si>
  <si>
    <t>['Edge Computing', 'Internet of Things', 'Energy consumption', 'Storms', 'Telecommunication traffic', 'Benchmark testing', 'Central Processing Unit', 'Servers', 'Usability']</t>
  </si>
  <si>
    <t>['Larracoechea J.A.', 'Ilarri S.', 'Roose P.']</t>
  </si>
  <si>
    <t>['behavior with software', 'green software', 'SOA', 'software behavior', 'software engineering', 'software profiling', 'Program translators', 'Software design', 'Behavior with software', 'Behavior-based', 'Energy-consumption', 'Green software', 'SOA', 'Software architects', 'Software behavior', 'Software development life-cycle', 'Software execution', 'Software profiling', 'Green development']</t>
  </si>
  <si>
    <t>['A. H. H. Ngu', 'J. S. Eyitayo', 'G. Yang', 'C. Campbell', 'Q. Z. Sheng', 'J. Ni']</t>
  </si>
  <si>
    <t>['Edge computing', 'open service platform', 'service middleware and platform', 'Internet of Things', 'Sensors', 'Cloud computing', 'Edge computing', 'Servers', 'Programming', 'Operating systems']</t>
  </si>
  <si>
    <t>['Zandberg, Koen', 'Baccelli, Emmanuel', 'Yuan, Shenghao', 'Besson, Frédéric', 'Talpin, Jean-Pierre']</t>
  </si>
  <si>
    <t>['security', 'IoT', 'middleware', 'container', 'function-as-a-service', 'low-power', 'microcontroller', 'virtual machine']</t>
  </si>
  <si>
    <t>['https://doi.org/10.1145/3528535.3565242']</t>
  </si>
  <si>
    <t>['D. H. Harryvan', 'R. Chamberlane', 'A. SCionti', 'G. Urlini', 'O. Terzo']</t>
  </si>
  <si>
    <t>['workload management', 'heterogeneous server systems', 'project OPERA', 'energy savings', 'Energy efficiency', 'Servers', 'Europe', 'Data centers', 'Electric potential', 'Energy measurement']</t>
  </si>
  <si>
    <t>['A. Luntovskyy', 'B. Shubyn']</t>
  </si>
  <si>
    <t>['Highly-Distributed Systems', 'Agile Process Models', 'Quality of Experience', 'Service-Oriented Architectures', 'Micro-Services', 'DevOps', 'Scrum', 'Conway’s Law', 'Blockchain']</t>
  </si>
  <si>
    <t>['Munoz, Daniel-Jesus', 'Pinto, Mónica', 'Fuentes, Lidia']</t>
  </si>
  <si>
    <t>['energy efficiency', 'variability', 'optimisation', 'clafer', 'CVL', 'metrics', 'repository', 'software product line']</t>
  </si>
  <si>
    <t>['https://doi.org/10.1145/3129790.3129818']</t>
  </si>
  <si>
    <t>['Yuan Y.', 'Huang J.', 'Sun Y.', 'Wang T.', 'Nelson J.', 'Ports D.R.K.', 'Wang Y.', 'Wang R.', 'Tai C.', 'Kim N.S.']</t>
  </si>
  <si>
    <t>['cache-coherent interconnects and accelerators', 'datacenters', 'heterogeneous and disaggregated memory', 'RDMA', 'Cache memory', 'Data transfer', 'Deep learning', 'Dynamic random access storage', 'Energy efficiency', 'Integrated circuit interconnects', 'Machine components', 'Memory architecture', 'Network architecture', "'current", 'Cache-coherent interconnect and accelerator', 'Co-designs', 'Datacenter', 'Design solutions', 'Dis-aggregated memory', 'Diverse solutions', 'Heterogeneous memory', 'RDMA', 'State of the art', 'Program processors']</t>
  </si>
  <si>
    <t>['M. Corn', 'N. Rožman', 'P. Podržaj', 'T. Berlec', 'T. Požrl', 'R. Vrabič']</t>
  </si>
  <si>
    <t>['Blockchain technology', 'Micro-service control strategy', 'Smart water heaters', 'Energy consumption', 'Data privacy', 'Costs', 'Smart contracts', 'Water heating', 'Memory', 'Blockchains']</t>
  </si>
  <si>
    <t>['Switzer, Jennifer', 'Marcano, Gabriel', 'Kastner, Ryan', 'Pannuto, Pat']</t>
  </si>
  <si>
    <t>['cloud computing', 'sustainability', 'life cycle assessment']</t>
  </si>
  <si>
    <t>['https://doi.org/10.1145/3575693.3575710']</t>
  </si>
  <si>
    <t>['Taheri S.', 'Amiri A.J.', 'Razban A.']</t>
  </si>
  <si>
    <t>['Building management systems', 'Cloud-based solutions', 'Educational Buildings', 'HVAC', 'Carbon footprint', 'Energy efficiency', 'Energy utilization', 'HVAC', 'Office buildings', 'Predictive control systems', 'Air conditioning controls', 'Building management system', 'Cloud-based', 'Cloud-based solution', 'Data monitoring', 'Educational buildings', 'Enterprise IS', 'Heating ventilation and air conditioning', 'Model-predictive control', 'Real-world implementation', 'Model predictive control']</t>
  </si>
  <si>
    <t>['A. Mirhosseini', 'H. Golestani', 'T. F. Wenisch']</t>
  </si>
  <si>
    <t>['software data plane', 'acceleration', 'spin-polling', 'notification', 'Microarchitecture', 'Scalability', 'Programming', 'Throughput', 'Software', 'Queueing analysis', 'Monitoring']</t>
  </si>
  <si>
    <t>['C. L. Chamas', 'D. Cordeiro', 'M. M. Eler']</t>
  </si>
  <si>
    <t>['Batteries', 'Energy consumption', 'Sorting', 'Mobile handsets', 'Sockets', 'Servers']</t>
  </si>
  <si>
    <t>['A. E. Khaled', 'A. Helal', 'W. Lindquist', 'C. Lee']</t>
  </si>
  <si>
    <t>['Internet of Things architecture', 'thing description', 'microservices', 'OMA', 'IPSO', 'CoAP', 'MQTT', 'Computer architecture', 'Cloud computing', 'Internet of Things', 'Tools', 'Ecosystems', 'Metadata']</t>
  </si>
  <si>
    <t>['Stan O.', 'Zayani M.-H.', 'Sirdey R.', 'Ben Hamida A.', 'Mziou-Sallami M.', 'Ferreira Leite A.']</t>
  </si>
  <si>
    <t>['Data privacy', 'Homomorphic encryption', 'Secure classification', 'Smart city', 'Classification (of information)', 'Computer aided diagnosis', 'Cryptography', 'Data privacy', 'Energy efficiency', 'Green computing', 'Information services', 'Intelligent systems', 'Intelligent vehicle highway systems', 'Service oriented architecture (SOA)', 'Smart city', 'Traffic control', 'Acceptable performance', 'Classification algorithm', 'Electric consumption', 'European Standards', 'General data protection regulations', 'Ho-momorphic encryptions', 'Memory requirements', 'Residential districts', 'Software as a service (SaaS)']</t>
  </si>
  <si>
    <t>SELECTION CRITERIA</t>
  </si>
  <si>
    <t>RQ1: How is energy efficiency considered in microservice architecture research?</t>
  </si>
  <si>
    <t>RQ1.2: RQ1.2: Which microservice architectural elements are primarily considered when measuring energy consumption, and how do they impact energy efficiency?</t>
  </si>
  <si>
    <t>RQ2.2: What tools are employed for energy consumption analysis in microservices?</t>
  </si>
  <si>
    <t>RQ2.3: What energy efficiency metrics are commonly used to evaluate microservices</t>
  </si>
  <si>
    <t>IC7 - Lifecycle stages</t>
  </si>
  <si>
    <t>IC8 - Architectural Elements</t>
  </si>
  <si>
    <t>IC9 - Methods</t>
  </si>
  <si>
    <t>IC10 - Tools</t>
  </si>
  <si>
    <t>IC11 - Metrics</t>
  </si>
  <si>
    <t>IC12 - Approaches/Solutions</t>
  </si>
  <si>
    <t>IC13 - Trade-offs</t>
  </si>
  <si>
    <t>IC14 - Challenges</t>
  </si>
  <si>
    <t>Read Time</t>
  </si>
  <si>
    <t>Read Date</t>
  </si>
  <si>
    <t>Relevance</t>
  </si>
  <si>
    <t>IC7 - User</t>
  </si>
  <si>
    <t>IC8 - User</t>
  </si>
  <si>
    <t>IC9 - User</t>
  </si>
  <si>
    <t>IC10 - User</t>
  </si>
  <si>
    <t>IC11 - User</t>
  </si>
  <si>
    <t>IC12 - User</t>
  </si>
  <si>
    <t>IC13 - User</t>
  </si>
  <si>
    <t>IC14 - User</t>
  </si>
  <si>
    <t>IC10</t>
  </si>
  <si>
    <t>IC11</t>
  </si>
  <si>
    <t>IC12</t>
  </si>
  <si>
    <t>IC13</t>
  </si>
  <si>
    <t>IC14</t>
  </si>
  <si>
    <t>Complete</t>
  </si>
  <si>
    <t>RQ1.1.P1
 Lifecycle Stage</t>
  </si>
  <si>
    <t>RQ1.1.P2
 Energy Awareness Stage</t>
  </si>
  <si>
    <t>RQ1.1.P3
 Integration Approach</t>
  </si>
  <si>
    <t>RQ1.2.P1
 Component Type</t>
  </si>
  <si>
    <t>RQ1.2.P2
 Energy consumption source</t>
  </si>
  <si>
    <t>RQ1.2.P3
 Component Relationship</t>
  </si>
  <si>
    <t>RQ2.1.P1
 Measurement Level</t>
  </si>
  <si>
    <t>RQ2.1.P2
 Measurement Technique</t>
  </si>
  <si>
    <t>RQ2.1.P3
 Data Collection</t>
  </si>
  <si>
    <t>RQ2.1.P4
 Implementation Approach</t>
  </si>
  <si>
    <t>RQ2.2.P1
 Tool Type</t>
  </si>
  <si>
    <t>RQ2.2.P2
 Deployment Method</t>
  </si>
  <si>
    <t>RQ2.2.P3
 Analysis Capability</t>
  </si>
  <si>
    <t>RQ2.2.P4
 Granularity</t>
  </si>
  <si>
    <t>RQ2.3.P1
 Metric Type</t>
  </si>
  <si>
    <t>RQ2.3.P2
 Measurement Scope</t>
  </si>
  <si>
    <t>RQ2.3.P3
 Normalization Basis</t>
  </si>
  <si>
    <t>RQ2.3.P4
 Business Relevance</t>
  </si>
  <si>
    <t>RQ3.1.P1
Energy Management Strategy</t>
  </si>
  <si>
    <t>RQ3.1.P2
 Tactic Category</t>
  </si>
  <si>
    <t>RQ3.1.P3
 Implementation Technologies</t>
  </si>
  <si>
    <t>RQ3.2.P1
 Quality Attribute</t>
  </si>
  <si>
    <t>RQ3.2.P2
 Trade-off Relationship</t>
  </si>
  <si>
    <t>RQ3.2.P3
 Trade-off Severity</t>
  </si>
  <si>
    <t>RQ3.2.P3
 Trade-off Strategy</t>
  </si>
  <si>
    <t>RQ3.3.P1
 Challenge Type</t>
  </si>
  <si>
    <t>RQ3.3.P2
 Adoption Phase</t>
  </si>
  <si>
    <t>RQ3.3.P3
 Challenge Complexity</t>
  </si>
  <si>
    <t>RQ3.3.P4
 Mitigation Approach</t>
  </si>
  <si>
    <t>Primary Study</t>
  </si>
  <si>
    <t>3KHK4G9I</t>
  </si>
  <si>
    <t>Somewhat Relevant</t>
  </si>
  <si>
    <t>Yes</t>
  </si>
  <si>
    <t>No</t>
  </si>
  <si>
    <t>Included</t>
  </si>
  <si>
    <t>Deployment; Runtime</t>
  </si>
  <si>
    <t>Introduced at configuration/deployment by defining device energy models and parameters</t>
  </si>
  <si>
    <t>As runtime (centralized/decentralized) scheduling with redeployment/migration/duplication and device start/stop, guided by QoS and energy monitoring/analysis.</t>
  </si>
  <si>
    <t>Microservices; devices; scheduling algorithms</t>
  </si>
  <si>
    <t>Usage level of devices, including CPU frequency, hard disk transfer rates &amp; network transfer rates</t>
  </si>
  <si>
    <t>N/A</t>
  </si>
  <si>
    <t>Hardware level; microservice level</t>
  </si>
  <si>
    <t>Simulated events</t>
  </si>
  <si>
    <t>Simulated execution</t>
  </si>
  <si>
    <t>Simulator</t>
  </si>
  <si>
    <t>Run as a desktop application</t>
  </si>
  <si>
    <t>Energy consumption per device or entire scenario</t>
  </si>
  <si>
    <t>Per device</t>
  </si>
  <si>
    <t>Power Consumption</t>
  </si>
  <si>
    <t>Device level</t>
  </si>
  <si>
    <t>TFUU8FQ5</t>
  </si>
  <si>
    <t>Runtime</t>
  </si>
  <si>
    <t>Runtime dynamic deactivation of optional components</t>
  </si>
  <si>
    <t>Application components / microservices (optional components whos deactivation reduces utliziation and energy)</t>
  </si>
  <si>
    <t>CPU</t>
  </si>
  <si>
    <t>Connected components (deactivation cascades due to data-dependency)</t>
  </si>
  <si>
    <t>Server-level power model (based on host CPU utilization)</t>
  </si>
  <si>
    <t>model-based estimation</t>
  </si>
  <si>
    <t>Benchmark workload (PlanetLab workload trace)</t>
  </si>
  <si>
    <t>Simulator (CloudSim)</t>
  </si>
  <si>
    <t>Per host / server</t>
  </si>
  <si>
    <t>Infrastructure</t>
  </si>
  <si>
    <t>CPU utilization</t>
  </si>
  <si>
    <t>Cost (discount offered to users)</t>
  </si>
  <si>
    <t>dynamic deactivation of optional components</t>
  </si>
  <si>
    <t>scheduling</t>
  </si>
  <si>
    <t>CloudSim</t>
  </si>
  <si>
    <t>User experience</t>
  </si>
  <si>
    <t>degrades</t>
  </si>
  <si>
    <t>adaptive policy</t>
  </si>
  <si>
    <t>H53FJ7TJ</t>
  </si>
  <si>
    <t>Explicitly at runtime</t>
  </si>
  <si>
    <t>Runtime monitoring and autoscaling; bin-packing; batching/queuing; container provisioning</t>
  </si>
  <si>
    <t>Hardware level; cluster-wide</t>
  </si>
  <si>
    <t>sampling (10-second intervals)</t>
  </si>
  <si>
    <t>external tool (Intel Power Gadget)</t>
  </si>
  <si>
    <t>Energy meter</t>
  </si>
  <si>
    <t>External tool</t>
  </si>
  <si>
    <t>Energy consumed by all sockets in a node</t>
  </si>
  <si>
    <t>host/machine-level</t>
  </si>
  <si>
    <t>cluster-wide energy consumption; energy per request; container utilization</t>
  </si>
  <si>
    <t>cluster-wide</t>
  </si>
  <si>
    <t>time</t>
  </si>
  <si>
    <t>cost (31% energy consumption savings); performance (latency/throughput)</t>
  </si>
  <si>
    <t>re-architecting (serverless-aware resource management)</t>
  </si>
  <si>
    <t>workload management; scheduling; autoscaling</t>
  </si>
  <si>
    <t>Kubernetes; Brigade (serverless workflow); Docker; MongoDB; TensorFlow/Keras; Python daemon</t>
  </si>
  <si>
    <t>SLOs (Service Level Objectives)</t>
  </si>
  <si>
    <t>balance; may degrade SLO</t>
  </si>
  <si>
    <t>moderate; ~10-15% higher SLO against ~31% energy savings</t>
  </si>
  <si>
    <t>adaptive policy (stage-aware batching, LSTM-based proactive scaling, bin-packing)</t>
  </si>
  <si>
    <t>technical; tooling</t>
  </si>
  <si>
    <t>operation</t>
  </si>
  <si>
    <t>moderate</t>
  </si>
  <si>
    <t>tooling improvement</t>
  </si>
  <si>
    <t>HZKE3F59</t>
  </si>
  <si>
    <t>Runtime monitoring / runtime optimization</t>
  </si>
  <si>
    <t>Containers (cold, warm, running) and servers</t>
  </si>
  <si>
    <t>CPU load / active servers</t>
  </si>
  <si>
    <t>Reuse of warm containers reduces cold-starts and lowers CPU/energy usage</t>
  </si>
  <si>
    <t>Server; request</t>
  </si>
  <si>
    <t>Logging</t>
  </si>
  <si>
    <t>benchmark workloads (faas-profile and serverless-faas-workbench)</t>
  </si>
  <si>
    <t>Simulator (CloudSimSDN)</t>
  </si>
  <si>
    <t>Power consumption of servers (overall energy usage)</t>
  </si>
  <si>
    <t>per request / per server</t>
  </si>
  <si>
    <t>Power consumption; energy consumption per request</t>
  </si>
  <si>
    <t>per request</t>
  </si>
  <si>
    <t>SLA compliance</t>
  </si>
  <si>
    <t>Energy-aware orchestration via dynamic container and server provisioning</t>
  </si>
  <si>
    <t>Scheduling; autoscaling</t>
  </si>
  <si>
    <t>Docker; Kubernetes</t>
  </si>
  <si>
    <t>Performance (SLA compliance)</t>
  </si>
  <si>
    <t>balance</t>
  </si>
  <si>
    <t>adaptive policy (dynamic container and server provisioning)</t>
  </si>
  <si>
    <t>technical</t>
  </si>
  <si>
    <t>dynamic container and server provisioning</t>
  </si>
  <si>
    <t>FJ9RSUBD</t>
  </si>
  <si>
    <t>OS-level</t>
  </si>
  <si>
    <t>Android Battery Manager charge-counter readings</t>
  </si>
  <si>
    <t>Reading battery charge counter</t>
  </si>
  <si>
    <t>Android BatteryManager API</t>
  </si>
  <si>
    <t xml:space="preserve">Android BatteryManager (OS battery API) </t>
  </si>
  <si>
    <t>per-execution energy per microservice; cold vs warm start comparison; correlation with latency; comparison to local execution</t>
  </si>
  <si>
    <t>per execution (per microservice)</t>
  </si>
  <si>
    <t>consumed battery power (per execution); battery life savings (%)</t>
  </si>
  <si>
    <t>single service (per execution)</t>
  </si>
  <si>
    <t>per execution</t>
  </si>
  <si>
    <t>battery lifetime; end-to-end latency</t>
  </si>
  <si>
    <t>Edge offloading via microservice store</t>
  </si>
  <si>
    <t>ochestration/chaining; resource/workload management</t>
  </si>
  <si>
    <t>Docker; CSAR/TOSCA; MongoDB; Flask; Android; TensorFlow/OpenCV</t>
  </si>
  <si>
    <t>Latency; energy efficiency</t>
  </si>
  <si>
    <t>Store placement vs latency/energy</t>
  </si>
  <si>
    <t>High (14× latency diff; 80–95% battery savings)</t>
  </si>
  <si>
    <t>Co-locate store; warm-start caching; QoS monitoring</t>
  </si>
  <si>
    <t>RFV4G9U5</t>
  </si>
  <si>
    <t>Containers; MEC nodes running VNFs</t>
  </si>
  <si>
    <t>CPU on MEC nodes (powertop); FPGA on-chip power</t>
  </si>
  <si>
    <t>Cold vs warm start containers - warm reduces energy; FPGA offload vs MEC CPU - FPGA lowers energy</t>
  </si>
  <si>
    <t>Hardware level; OS/node level</t>
  </si>
  <si>
    <t>Model-based estimation via Xilinx XPE for FPGA; Software profiling on MEC nodes using powertop and Turbostat</t>
  </si>
  <si>
    <t>Powertop/Turbostat tool measurements on MEC nodes; Xilinx XPE model-based estimation from synthesis reports</t>
  </si>
  <si>
    <t>External tools (powertop; Turbostat) on MEC nodes; model-based via Xilinx XPE; benchmark workload with JMeter-triggered HTTP invocations</t>
  </si>
  <si>
    <t>Powertop; Turbostat; Xilinx XPE</t>
  </si>
  <si>
    <t>Per node energy consumption; frequency-scaling trend (FPGA power vs clock); warm vs cold container energy comparison</t>
  </si>
  <si>
    <t>Per VNF; per mEC node; per FPGA device</t>
  </si>
  <si>
    <t>Energy consumption; power consumption (FPGA on-chip-power)</t>
  </si>
  <si>
    <t>Single VNF (encrpytion function); node/device level (MEC node, FPGA device)</t>
  </si>
  <si>
    <t>Improved QoS; reduced operational costs</t>
  </si>
  <si>
    <t>VNF offloading to FPGA-enabled MEC nodes; serverless on-demand deployment via Kubernetes (warm containers); decomposing VNFs into microservices</t>
  </si>
  <si>
    <t>Hardware offloading; scheduling/placement; autoscaling</t>
  </si>
  <si>
    <t>Kubernetes; Docker; Flannel; OpenNebula; NetFPGA-10G; Xilinx; OpenFlow</t>
  </si>
  <si>
    <t>Performance; resource utilization</t>
  </si>
  <si>
    <t>Improves performance and energy via FPGA/serverless orchestration; balances cost and resource utilization</t>
  </si>
  <si>
    <t>Moderate; 15.8% energy improvement</t>
  </si>
  <si>
    <t>Dynamic scheduling; hardware acceleration (FPGA offload); serverless warm container reuse</t>
  </si>
  <si>
    <t>technical; measurement</t>
  </si>
  <si>
    <t>Implementation; operation</t>
  </si>
  <si>
    <t>complex</t>
  </si>
  <si>
    <t>Benchmarking; tooling improvements (FPGA modeling, serverless orchestration)</t>
  </si>
  <si>
    <t>TNY2K9L4</t>
  </si>
  <si>
    <t>Server node; microservice instane; container</t>
  </si>
  <si>
    <t>CPU utilization; static idle power; maximum power rate</t>
  </si>
  <si>
    <t>Inter-process communication across multiple instances increases request processing time and affects energy usage</t>
  </si>
  <si>
    <t>Server; Data-center</t>
  </si>
  <si>
    <t>per node</t>
  </si>
  <si>
    <t>Power rate</t>
  </si>
  <si>
    <t>optimal server time</t>
  </si>
  <si>
    <t>server time; QoS</t>
  </si>
  <si>
    <t>Resource allocation optimization</t>
  </si>
  <si>
    <t>request routing and instance placement</t>
  </si>
  <si>
    <t>Docker</t>
  </si>
  <si>
    <t>Performance; QoS</t>
  </si>
  <si>
    <t>severe - reducing service time requires allocating more resources, directly increasing energy consumption</t>
  </si>
  <si>
    <t>multi-objective optimization</t>
  </si>
  <si>
    <t>design</t>
  </si>
  <si>
    <t>S5KUWQKE</t>
  </si>
  <si>
    <t>Runtime monitoring; adaptive power management</t>
  </si>
  <si>
    <t>Containerized network functions (CNFs) on CPU cores</t>
  </si>
  <si>
    <t>CPU (core processing)</t>
  </si>
  <si>
    <t>Low-latency packet-chained microservices increase inter-component communication</t>
  </si>
  <si>
    <t>Hardware (CPU power via RAPL)</t>
  </si>
  <si>
    <t>direct power measurement (Turbostat hardware-level power reporting)</t>
  </si>
  <si>
    <t>periodic sampling via eBPF map monitoring and Turbostat</t>
  </si>
  <si>
    <t>external tool (Turbostat); kernal-level eBPF/XDP monitoring</t>
  </si>
  <si>
    <t>Energy meter (Turbostat)</t>
  </si>
  <si>
    <t>Per-CPU power analysis</t>
  </si>
  <si>
    <t>Per-CPU (per CPU package and per CPU core)</t>
  </si>
  <si>
    <t>link utilization - the power metric compared across different network traffic load levels</t>
  </si>
  <si>
    <t>user-perceived latency</t>
  </si>
  <si>
    <t>adaptive power management</t>
  </si>
  <si>
    <t>workload management</t>
  </si>
  <si>
    <t>Latency</t>
  </si>
  <si>
    <t>minor - paper only introduces minuscule to minor latency increases</t>
  </si>
  <si>
    <t>technical - accurately estimating per-CNF workload for power management</t>
  </si>
  <si>
    <t>implementation; operation</t>
  </si>
  <si>
    <t>kernal-space monitoring and adaptive power management</t>
  </si>
  <si>
    <t>6BCMSNAQ</t>
  </si>
  <si>
    <t>Runtime Adaption</t>
  </si>
  <si>
    <t>microservice instances; edge servers</t>
  </si>
  <si>
    <t>CPU operating frequency; processing load on edge servers</t>
  </si>
  <si>
    <t>communication between microservice instances affects energy through propagation delays and routing decisions</t>
  </si>
  <si>
    <t>Hardware</t>
  </si>
  <si>
    <t>basic energy consumption; processing energy consumption; total energy consumption</t>
  </si>
  <si>
    <t>entire edge scenario</t>
  </si>
  <si>
    <t>user-perceived delay</t>
  </si>
  <si>
    <t>dynamic adaptation</t>
  </si>
  <si>
    <t>service orchestration</t>
  </si>
  <si>
    <t>Performance</t>
  </si>
  <si>
    <t>8GI2SB5S</t>
  </si>
  <si>
    <t>Energy consumption is optimized during microservice placement and execution</t>
  </si>
  <si>
    <t>Edge devices (servers) running microservices; microservice resource usage (CPU, RAM) impacts energy consumption</t>
  </si>
  <si>
    <t>device energy use and network communication costs</t>
  </si>
  <si>
    <t>Microservice dependencies increase communication overhead, affecting energy usage</t>
  </si>
  <si>
    <t>Edge-device (hardware) level</t>
  </si>
  <si>
    <t>Simulated via an energy consumption model in EdgeSimPy</t>
  </si>
  <si>
    <t>Simulator (EdgeSimPy)</t>
  </si>
  <si>
    <t>Energy consumption during application deployment (edge-device energy use)</t>
  </si>
  <si>
    <t>Per edge device (node)</t>
  </si>
  <si>
    <t>energy consumption</t>
  </si>
  <si>
    <t>entire application / edge devices</t>
  </si>
  <si>
    <t>user-perceived performance (execution time, latency)</t>
  </si>
  <si>
    <t>RL-based optimization microservice placement</t>
  </si>
  <si>
    <t>scheduling / placement optimization</t>
  </si>
  <si>
    <t>EdgeSimPy (Simulator)</t>
  </si>
  <si>
    <t>Performance (execution time/latency), network usage, reliability</t>
  </si>
  <si>
    <t>moderate - improving energy affects other attributes by 2-16%</t>
  </si>
  <si>
    <t>adaptive RL policy (BAMPP)</t>
  </si>
  <si>
    <t>technical - handling microservice dependencies and resource constraints</t>
  </si>
  <si>
    <t>runtime</t>
  </si>
  <si>
    <t>RL-based optimized microservice placement (BAMPP)</t>
  </si>
  <si>
    <t>LYHXYJK3</t>
  </si>
  <si>
    <t>microservices; Kubernetes orchestrator; ROS-based components; IoT sensors; gateways; central processing server</t>
  </si>
  <si>
    <t>energy consumption from adaptive reconfiguration; communication paths; redistribution of computational resources among IoT nodes; LoRa communication between devices</t>
  </si>
  <si>
    <t xml:space="preserve">dynamic reconfiguration of communication paths and redistribution of resources increases energy consumption but improves resilience
</t>
  </si>
  <si>
    <t>IoT node and system level</t>
  </si>
  <si>
    <t>Simulation metrics; power usage modeled (mAh)</t>
  </si>
  <si>
    <t>Multi-scale/multi-domain simulation</t>
  </si>
  <si>
    <t>Adaptive security framework with ROS + Kubernetes</t>
  </si>
  <si>
    <t>Microservices in containers orchestrated via kubernetes; ROS on IoT nodes/gateways</t>
  </si>
  <si>
    <t>Threat detection precision; response time; energy consumption monitoring</t>
  </si>
  <si>
    <t>Device-level and system level</t>
  </si>
  <si>
    <t>power consumption (mAh); percentage increase in energy consumption under threats</t>
  </si>
  <si>
    <t>entire IoT system</t>
  </si>
  <si>
    <t>adaptive reconfiguration of communication paths; redistribution of computational resources among IoT nodes; integration of ROS-based adaptive architectures; microservices orchestration with Kubernetes</t>
  </si>
  <si>
    <t>adaptive security / dynamic reconfiguration</t>
  </si>
  <si>
    <t>ROS; Kubernetes</t>
  </si>
  <si>
    <t>Security; energy efficiency; latency</t>
  </si>
  <si>
    <t>Faster response and higher precision increase energy consumption</t>
  </si>
  <si>
    <t>Moderate (5-8% higher energy)</t>
  </si>
  <si>
    <t>Dynamic reconfiguaration; load redistribution</t>
  </si>
  <si>
    <t>technical challenges; device heterogeneity; communication latency; energy-constrained IoT nodes; controlled-environment limitations</t>
  </si>
  <si>
    <t>9LXUKLAN</t>
  </si>
  <si>
    <t>Runtime adaptation via brownout controller; energy-aware scheduling/VM consolidation</t>
  </si>
  <si>
    <t>components/microservices - deactivation lowers VM utilization; virtual machines - consolidation/migration changes load; hosts/servers - lower CPU utilization and power</t>
  </si>
  <si>
    <t>CPU (server CPU utilization - idle and dynamic power)</t>
  </si>
  <si>
    <t>Deactivating non essential services when system is overloaded</t>
  </si>
  <si>
    <t>Hardware level (server power from CPU utilization)</t>
  </si>
  <si>
    <t>Model-based estimation</t>
  </si>
  <si>
    <t>Trace-driven simulation (CloudSim)</t>
  </si>
  <si>
    <t>Simulation in CloudSim with PlanetLab workload traces; host power estimated via server power model</t>
  </si>
  <si>
    <t>Total energy consumption; discount amount; overload treshold; percentage of optional utilization</t>
  </si>
  <si>
    <t>Per host/node; overall datacenter</t>
  </si>
  <si>
    <t>total energy consumption (kWh); discount amount</t>
  </si>
  <si>
    <t>Infrastructure/datacenter</t>
  </si>
  <si>
    <t>Discount amount - user price discount / provider revenue loss</t>
  </si>
  <si>
    <t>Brownout-based temporary deactivation; approximate Markov Decision Process-based scheduling</t>
  </si>
  <si>
    <t>Scheduling</t>
  </si>
  <si>
    <t>2ZUS2B3Q</t>
  </si>
  <si>
    <t>microservice modules; satellite nodes; inter-satellite links</t>
  </si>
  <si>
    <t>CPU cycles; transmission between ground and satellites; inter-satellite transmission</t>
  </si>
  <si>
    <t>Inter-satellite communication and workflow scheduling affect energy use, as transmission and propagation between satellites add to total energy consumption.</t>
  </si>
  <si>
    <t xml:space="preserve">satellite-node computation and transmission (hardware-level) 
</t>
  </si>
  <si>
    <t>Total energy consumption</t>
  </si>
  <si>
    <t xml:space="preserve">service workflow across satellites 
</t>
  </si>
  <si>
    <t>task success rate and end-to-end delay</t>
  </si>
  <si>
    <t>optimal microservice scheduling</t>
  </si>
  <si>
    <t>KubeEdge</t>
  </si>
  <si>
    <t>delay; task success rate</t>
  </si>
  <si>
    <t>improves</t>
  </si>
  <si>
    <t>moderate - OMS-AM reduces task processing latency by 14% compared to OMS-A</t>
  </si>
  <si>
    <t>Adaptive scheduling (OMS-AM)</t>
  </si>
  <si>
    <t>Technical - satellite mobility causes dynamic topology changes that complicate efficient microservice scheduling</t>
  </si>
  <si>
    <t>adaptive microservice scheduling (OMS-AM)</t>
  </si>
  <si>
    <t>Containerized Microservices Orchestration and Provisioning in Cloud Computing: A Conceptual Framework and Future Perspectives</t>
  </si>
  <si>
    <t>PXXYW5W8</t>
  </si>
  <si>
    <t>Runtime Monitoring</t>
  </si>
  <si>
    <t>Containers; virtual machines; physical machines; microservices</t>
  </si>
  <si>
    <t>CPU; switching equipment; storage devices; network communication</t>
  </si>
  <si>
    <t>Hardware (CPU, switching equipment, storage devices)</t>
  </si>
  <si>
    <t>Monitoring</t>
  </si>
  <si>
    <t>External Tool</t>
  </si>
  <si>
    <t>Monitoring Platform (StressCloud)</t>
  </si>
  <si>
    <t>energy consumption; power consumption; power usage efficiency (PUE); carbon footprint</t>
  </si>
  <si>
    <t>Cost; SLA compliance; response time</t>
  </si>
  <si>
    <t>Intelligent partitioning; dynamic allocation; resource optimization; mutation actions; rank-based distribution of microservices</t>
  </si>
  <si>
    <t>Scheduling; resource management; container orchestration; workload distribution</t>
  </si>
  <si>
    <t>Docker; Docker Swarm; Kubernetes; MiCADO; CloudSim; DeathStarBench; StressCloud</t>
  </si>
  <si>
    <t>Performance; response time; availability; resource utilization; network latency; SLA compliance; cost</t>
  </si>
  <si>
    <t>7YNKN7T2</t>
  </si>
  <si>
    <t>Control Plane; Storage; Worker Nodes; Pods/containers — their operation and redundancy directly increase overall energy consumption.</t>
  </si>
  <si>
    <t>CPU; Memory; Disk; Network Interfaces; Power Supply; Kubernetes processes; Pod instantiation</t>
  </si>
  <si>
    <t>Redundancy and component interdependencies increase energy use; failures in underlying components trigger restarts and Pod reallocations, raising energy consumption</t>
  </si>
  <si>
    <t>Hardware; container/Pod level</t>
  </si>
  <si>
    <t>Code Instrumentation - measurement parameters added to the model so energy can be computed analytically</t>
  </si>
  <si>
    <t>Electrical Power (P); Energy (E)</t>
  </si>
  <si>
    <t>Time</t>
  </si>
  <si>
    <t>Model-driven redundancy planning and sensitivity-analysis-based configuration optimization</t>
  </si>
  <si>
    <t>Redundancy planning and configuration optimization</t>
  </si>
  <si>
    <t>Kubernetes</t>
  </si>
  <si>
    <t>Reliability; availability</t>
  </si>
  <si>
    <t>Balances</t>
  </si>
  <si>
    <t>Configuration optimization</t>
  </si>
  <si>
    <t>Technical — difficulty in accurately evaluating dependability and energy impacts in complex cloud-fog microservice infrastructures.</t>
  </si>
  <si>
    <t>Planning</t>
  </si>
  <si>
    <t xml:space="preserve">Complex
</t>
  </si>
  <si>
    <t xml:space="preserve">Model-based analysis and configuration optimization
</t>
  </si>
  <si>
    <t>BJ82Q7CX</t>
  </si>
  <si>
    <t>runtime power management / closed-loop control using service quality metrics (SLO-based adaptive core frequency scaling)</t>
  </si>
  <si>
    <t>Processor cores</t>
  </si>
  <si>
    <t xml:space="preserve">CPU (processor core frequency / dynamic power) 
</t>
  </si>
  <si>
    <t>Hardware (CPU power measurements)</t>
  </si>
  <si>
    <t>direct power measurement (CPU power in watts)</t>
  </si>
  <si>
    <t>runtime monitoring via periodic SLI metric collection (service mesh telemetry)</t>
  </si>
  <si>
    <t>benchmark workload (microservices-framework-benchmark + WRK)</t>
  </si>
  <si>
    <t>benchmark / workload generator (WRK; microservices-framework-benchmark)</t>
  </si>
  <si>
    <t>agent (PM-Agent running on worker node)</t>
  </si>
  <si>
    <t>energy saving analysis (correlating core frequency, latency, throughput, and power)</t>
  </si>
  <si>
    <t xml:space="preserve">per core / per node 
</t>
  </si>
  <si>
    <t xml:space="preserve">power consumption; energy saving ratio 
</t>
  </si>
  <si>
    <t xml:space="preserve">infrastructure (node / core level) 
</t>
  </si>
  <si>
    <t xml:space="preserve">SLO compliance / service quality goals 
</t>
  </si>
  <si>
    <t xml:space="preserve">adaptive runtime power management (SLO-based core frequency scaling) 
</t>
  </si>
  <si>
    <t>workload power management (adaptive core frequency control)</t>
  </si>
  <si>
    <t>service mesh (Istio); Kubernetes; Intel Xeon Per-Core P-States</t>
  </si>
  <si>
    <t xml:space="preserve">performance (tail latency, throughput) 
</t>
  </si>
  <si>
    <t>balances (energy reduction without compromising service quality)</t>
  </si>
  <si>
    <t xml:space="preserve">minor — energy savings were achieved “without compromising service quality goals,” indicating minimal impact on performance metrics such as tail latency and throughput 
</t>
  </si>
  <si>
    <t xml:space="preserve">adaptive policy (SLO-adaptive core frequency control) 
</t>
  </si>
  <si>
    <t>technical; power control and service quality exist in separate layers; fixed peak-frequency provisioning wastes energy; autoscaling is slow and not energy-aware</t>
  </si>
  <si>
    <t>Operation</t>
  </si>
  <si>
    <t>Complex</t>
  </si>
  <si>
    <t xml:space="preserve">SLO-adaptive energy management (integrating service metrics with power control via SLO-AEEM) 
</t>
  </si>
  <si>
    <t>GreenFog: A Framework for Sustainable Fog Computing</t>
  </si>
  <si>
    <t>Snowball</t>
  </si>
  <si>
    <t>runtime QoS adjustment and autoscaling</t>
  </si>
  <si>
    <t xml:space="preserve">containers; pods; nodes; gateway 
</t>
  </si>
  <si>
    <t xml:space="preserve">pod energy use; node energy use; task processing energy 
</t>
  </si>
  <si>
    <t>hardware server power (ePDU); pod-level profiling; task-level energy estimation</t>
  </si>
  <si>
    <t>direct power measurement (ePDU); profiling; model-based estimation (regression/IP model)</t>
  </si>
  <si>
    <t>monitoring via ePDU power metering; profiling</t>
  </si>
  <si>
    <t xml:space="preserve">external power metering (ePDU); profiling with controlled workloads 
</t>
  </si>
  <si>
    <t>energy meter (ePDU)</t>
  </si>
  <si>
    <t>external hardware meter attached to servers</t>
  </si>
  <si>
    <t>hardware power consumption analysis</t>
  </si>
  <si>
    <t>per server; per pod; per task</t>
  </si>
  <si>
    <t>power consumption; absolute energy difference between renewable supply and consumption</t>
  </si>
  <si>
    <t>SLA compliance via QoS (rate) adjustments</t>
  </si>
  <si>
    <t>autoscaling and QoS adjustment</t>
  </si>
  <si>
    <t>load shaping; autoscaling; scheduling</t>
  </si>
  <si>
    <t>Kubernetes; Docker; K3s</t>
  </si>
  <si>
    <t>performance/QoS</t>
  </si>
  <si>
    <t>balances</t>
  </si>
  <si>
    <t>moderate — QoS reductions are applied to match renewable energy availability, affecting performance but kept within SLA limits</t>
  </si>
  <si>
    <t>adaptive QoS adjustment and autoscaling</t>
  </si>
  <si>
    <t>technical — renewable energy is intermittent making control difficult; measurement — accurate profiling and exact energy data are required for models</t>
  </si>
  <si>
    <t>adaptive optimization via IP, regression, and MAB models</t>
  </si>
  <si>
    <t xml:space="preserve">services; APIs; memory allocations; caches
</t>
  </si>
  <si>
    <t xml:space="preserve">CPU frontend; OoO pipeline; execution units; memory system (L1/L3 caches, DRAM); branch prediction; network/storage I/O
</t>
  </si>
  <si>
    <t>batching similar requests reduces control-flow divergence and memory divergence, improving energy efficiency</t>
  </si>
  <si>
    <t>hardware; CPU core; pipeline stage; memory system; request-level (via SIMT traces)</t>
  </si>
  <si>
    <t>model-based estimation (McPAT, GPUWattch)</t>
  </si>
  <si>
    <t>tracing (PIN-based); dynamic instrumentation</t>
  </si>
  <si>
    <t>PIN-based dynamic instrumentation; trace-driven simulation (Accel-Sim, BookSim); energy modeling with McPAT/GPUWattch; system-level simulation with uQSIM</t>
  </si>
  <si>
    <t>simulator</t>
  </si>
  <si>
    <t>userspace dynamic instrumentation; offline trace-driven simulation</t>
  </si>
  <si>
    <t>per-request energy; chip-level energy; end-to-end latency/throughput analysis</t>
  </si>
  <si>
    <t>per-request; chip-level; pipeline-stage; memory-access</t>
  </si>
  <si>
    <t>Requests; Joules</t>
  </si>
  <si>
    <t xml:space="preserve">entire application
</t>
  </si>
  <si>
    <t>Per request</t>
  </si>
  <si>
    <t>batching requests; memory coalescing; batch splitting; SIMR-aware software stack; specialized RPU hardware</t>
  </si>
  <si>
    <t>workload batching</t>
  </si>
  <si>
    <t>RPU hardware platform</t>
  </si>
  <si>
    <t xml:space="preserve">service latency; throughput; QoS
</t>
  </si>
  <si>
    <t>moderate — energy efficiency improves significantly, but service latency still increases by 1.44× on average.</t>
  </si>
  <si>
    <t>batch splitting</t>
  </si>
  <si>
    <t>technical: GPUs lack system-call support and have high latency, limiting applicability; technical: requires SIMR-aware batching, memory mapping, and driver changes; tooling: existing tools (e.g., PIN) cannot trace system calls; programmability: GPUs and SIMD approaches require specialized languages or recompilation, reducing developer productivity</t>
  </si>
  <si>
    <t>Implementation</t>
  </si>
  <si>
    <t>SIMR-aware software stack</t>
  </si>
  <si>
    <t>J9J64WJW</t>
  </si>
  <si>
    <t>Relevant</t>
  </si>
  <si>
    <t>Runtime monitoring and dynamic activation/deactivation of microservices</t>
  </si>
  <si>
    <t>Containers; Microservices</t>
  </si>
  <si>
    <t>Hardware (Server/host level)</t>
  </si>
  <si>
    <t>Monitoring via system monitor collecting host resource and energy metrics</t>
  </si>
  <si>
    <t>External tool (Grid’5000 power-measurement APIs)</t>
  </si>
  <si>
    <t xml:space="preserve">Energy meter (power-measurement APIs) </t>
  </si>
  <si>
    <t>External service (Grid’5000 power-measurement APIs)</t>
  </si>
  <si>
    <t>Host Energy Consumption</t>
  </si>
  <si>
    <t>Per Node</t>
  </si>
  <si>
    <t xml:space="preserve">Energy consumption (kWh / power consumption)
</t>
  </si>
  <si>
    <t>Infrastructure (hosts / data center)</t>
  </si>
  <si>
    <t>SLA compliance / response time</t>
  </si>
  <si>
    <t>Brownout-based dynamic deactivation of optional containers/microservices</t>
  </si>
  <si>
    <t>Docker; Docker Swam</t>
  </si>
  <si>
    <t>Adaptive scheduling policies (brownout-based control)</t>
  </si>
  <si>
    <t xml:space="preserve">technical; predicting future workload is difficult; timing of disabling microservices is hard; selecting which microservice to disable is complex; coordinating host power-state switching is challenging; designing effective brownout scheduling policies is non-trivial 
</t>
  </si>
  <si>
    <t>Scheduling policies; brownout-based control</t>
  </si>
  <si>
    <t>NIM8NK35</t>
  </si>
  <si>
    <t>Runtime monitoring</t>
  </si>
  <si>
    <t xml:space="preserve">microservices/containers (their CPU utilization determines host/server energy consumption)
</t>
  </si>
  <si>
    <t>Power Measurement APIs</t>
  </si>
  <si>
    <t>monitoring framework (Grid’5000 power measurement APIs)</t>
  </si>
  <si>
    <t>Energy Meter</t>
  </si>
  <si>
    <t>External service</t>
  </si>
  <si>
    <t>Per node</t>
  </si>
  <si>
    <t xml:space="preserve">deactivating optional microservices
</t>
  </si>
  <si>
    <t>Docker; Docker Swarm</t>
  </si>
  <si>
    <t>Performance (response time)</t>
  </si>
  <si>
    <t xml:space="preserve">moderate — energy savings are substantial but come with noticeable increases in response time under certain policies
</t>
  </si>
  <si>
    <t xml:space="preserve">adaptive policy
</t>
  </si>
  <si>
    <t xml:space="preserve">technical — requires accurate power models and real-time monitoring; measurement — depends on external energy measurement APIs and infrastructure
</t>
  </si>
  <si>
    <t>Monitoring improvements</t>
  </si>
  <si>
    <t>BKP6RUCE</t>
  </si>
  <si>
    <t>Design; deployment; runtime</t>
  </si>
  <si>
    <t>deployment optimization; run-time analysis/management</t>
  </si>
  <si>
    <t>services</t>
  </si>
  <si>
    <t>Power consumption of physical servers</t>
  </si>
  <si>
    <t xml:space="preserve">deployment order and service placement decisions
</t>
  </si>
  <si>
    <t>Hardware (Physical server)</t>
  </si>
  <si>
    <t>Direct Power Measurement</t>
  </si>
  <si>
    <t>sampling (1-second intervals)</t>
  </si>
  <si>
    <t>Benchmark workloads (TeaStore experiments)</t>
  </si>
  <si>
    <t>Per Physical server</t>
  </si>
  <si>
    <t>Energy efficiency; estimated capacity; maximum power consumption</t>
  </si>
  <si>
    <t>entire application / multi-server deployment</t>
  </si>
  <si>
    <t>Power consumption</t>
  </si>
  <si>
    <t>Service placement optimization</t>
  </si>
  <si>
    <t>Service placement; deployment optimization</t>
  </si>
  <si>
    <t>Trade-off</t>
  </si>
  <si>
    <t>moderate — different deployments show notable variations in both power consumption and performance, indicating a meaningful performance–efficiency trade-off.</t>
  </si>
  <si>
    <t>technical; deployment order decisions are complex and affect power/performance; measurement; power behavior varies across deployments making accurate prediction difficult</t>
  </si>
  <si>
    <t>Deployment; operation</t>
  </si>
  <si>
    <t>UUGRIKTH</t>
  </si>
  <si>
    <t>Design</t>
  </si>
  <si>
    <t xml:space="preserve">design constraints (as scaling constraints formalized and verified at design time)
</t>
  </si>
  <si>
    <t xml:space="preserve">pods; CPU utilization; latency; host energy consumption
</t>
  </si>
  <si>
    <t>CPU utilization (host energy consumption driven by pod allocation)</t>
  </si>
  <si>
    <t>Hardware (Host level)</t>
  </si>
  <si>
    <t xml:space="preserve">sampling (via Kubelet collecting raw metrics)
</t>
  </si>
  <si>
    <t xml:space="preserve">external tool (PRISM model checker)
</t>
  </si>
  <si>
    <t>Model checker</t>
  </si>
  <si>
    <t>host energy consumption verification</t>
  </si>
  <si>
    <t>per host</t>
  </si>
  <si>
    <t>host energy consumption; energy violation; performance-resource ratio</t>
  </si>
  <si>
    <t>SLA compliance (energy violations indicate breaches of energy thresholds)</t>
  </si>
  <si>
    <t>Energy-driven autoscaling policies</t>
  </si>
  <si>
    <t>Autoscaling</t>
  </si>
  <si>
    <t>Performance (latency)</t>
  </si>
  <si>
    <t xml:space="preserve">adaptive policy (energy-latency-CPU constrained autoscaling)
</t>
  </si>
  <si>
    <t>ZP8PH3QV</t>
  </si>
  <si>
    <t>services; nodes; components; operations</t>
  </si>
  <si>
    <t>CPU (server CPU utilization)</t>
  </si>
  <si>
    <t>Hardware (server CPU)</t>
  </si>
  <si>
    <t xml:space="preserve">benchmark workload (Train Ticket Booking Service)
</t>
  </si>
  <si>
    <t>Power consumption; response time; complexity; cost</t>
  </si>
  <si>
    <t>entire system</t>
  </si>
  <si>
    <t>cost; response time</t>
  </si>
  <si>
    <t>refactoring</t>
  </si>
  <si>
    <t>service consolidation</t>
  </si>
  <si>
    <t>Docker; Amazon EC2; UML with MARTE profile; Layered Queueing Networks (LQN); NSGA-II</t>
  </si>
  <si>
    <t>Performance; cost</t>
  </si>
  <si>
    <t>moderate - response time shows a medium PSP effect, indicating a significant performance degradation when optimizing for power</t>
  </si>
  <si>
    <t>HQNV3Z4W</t>
  </si>
  <si>
    <t>Runtime monitoring; scheduling algorithms for energy-aware (re)deployment</t>
  </si>
  <si>
    <t>Microservices</t>
  </si>
  <si>
    <t>CPU; Network traffic; hard disk</t>
  </si>
  <si>
    <t>Microservice communication paths affect network load and energy use (e.g., saturated links, multi-hop communication).</t>
  </si>
  <si>
    <t>Model-based estimation (energy formulas per hardware component)</t>
  </si>
  <si>
    <t>Monitoring via device supervisors</t>
  </si>
  <si>
    <t>Simulator-based measurement</t>
  </si>
  <si>
    <t>Simulator (PISCO)</t>
  </si>
  <si>
    <t>Supervisor running on each device</t>
  </si>
  <si>
    <t>Energy consumption per device; scenario-wide energy analysis; QoS-energy evaluation</t>
  </si>
  <si>
    <t>Per device; whole-scenario level</t>
  </si>
  <si>
    <t>Power consumption; energy consumption (kWh)</t>
  </si>
  <si>
    <t>Per device; entire scenario</t>
  </si>
  <si>
    <t>QoS (performance/response level)</t>
  </si>
  <si>
    <t>Dynamic microservice (re)deployment and migration</t>
  </si>
  <si>
    <t>PISCO; Kaligreen; Kalimucho</t>
  </si>
  <si>
    <t>QoS; performance</t>
  </si>
  <si>
    <t>Inverse relationship (higher QoS - higher energy consumption)</t>
  </si>
  <si>
    <t>Adaptive scheduling algorithms  (centralized or decentralized)</t>
  </si>
  <si>
    <t>Technical - heterogeneous hardware complicates accurate energy handling; Technical - naive scheduling causes oscillations and inefficiency; Measurement - defining correct energy formulas and QoS heuristics is difficult</t>
  </si>
  <si>
    <t>QLYK292K</t>
  </si>
  <si>
    <t>Container</t>
  </si>
  <si>
    <t>computation; memory usage of containers</t>
  </si>
  <si>
    <t>commonality and connectivity</t>
  </si>
  <si>
    <t>Direct power measurement (Intel Power Gadget)</t>
  </si>
  <si>
    <t>Energy consumption rate</t>
  </si>
  <si>
    <t>Cluster-wide</t>
  </si>
  <si>
    <t>Per unit time</t>
  </si>
  <si>
    <t>SLO compliance</t>
  </si>
  <si>
    <t>Workflow-aware resource management</t>
  </si>
  <si>
    <t>OpenFaaS</t>
  </si>
  <si>
    <t>Latency (performance)</t>
  </si>
  <si>
    <t>Minor - Kraken maintains SLO compliance while reducing containers</t>
  </si>
  <si>
    <t>Adaptive scheduling</t>
  </si>
  <si>
    <t>L53N2IJV</t>
  </si>
  <si>
    <t>Services; devices' CPU; RAM; network interface; disk</t>
  </si>
  <si>
    <t>CPU; RAM; network interfaces; disk</t>
  </si>
  <si>
    <t>Data transfer between devices increases NIC/disk load and raises energy consumption</t>
  </si>
  <si>
    <t>Data frames collecting resource-availability measurements</t>
  </si>
  <si>
    <t>DRACeo simulator</t>
  </si>
  <si>
    <t>External simulator via API</t>
  </si>
  <si>
    <t>Network-wide energy consumption</t>
  </si>
  <si>
    <t>Per device (node)</t>
  </si>
  <si>
    <t>Energy consumption; QoS; energy cost of microservice movements</t>
  </si>
  <si>
    <t>Entire network</t>
  </si>
  <si>
    <t>QoS</t>
  </si>
  <si>
    <t>Migration; duplication; stopping/starting microservices</t>
  </si>
  <si>
    <t>MAAN (P2P overlay)</t>
  </si>
  <si>
    <t>Moderate - higher energy in stress tests but significantly better QoS</t>
  </si>
  <si>
    <t>Scheduling algorithm (migration/duplication decisions)</t>
  </si>
  <si>
    <t>Technical - approach needs evaluation in more realistic architectures with additional constraints like discovery and replication restrictions</t>
  </si>
  <si>
    <t>Software Production stage</t>
  </si>
  <si>
    <t>J886PN7K</t>
  </si>
  <si>
    <t>Microservice; CPU; DRAM; uncore</t>
  </si>
  <si>
    <t>CPU; DRAM; uncore</t>
  </si>
  <si>
    <t>Hardware; request</t>
  </si>
  <si>
    <t>Intel RAPL-based measurement; profiling</t>
  </si>
  <si>
    <t>Sampling</t>
  </si>
  <si>
    <t>External tool (Intel RAPL via CPU Energy Meter); benchmark workloads (TACLe Benchmarks)</t>
  </si>
  <si>
    <t>Energy meter; benchmarking framework</t>
  </si>
  <si>
    <t>Agent</t>
  </si>
  <si>
    <t>Per-service energy</t>
  </si>
  <si>
    <t>Energy consumption; execution time; energy loss per second</t>
  </si>
  <si>
    <t>Single service</t>
  </si>
  <si>
    <t>Per request; per second</t>
  </si>
  <si>
    <t>SLA compliance (latency requirements)</t>
  </si>
  <si>
    <t>CPU frequency scaling</t>
  </si>
  <si>
    <t>Moderate - energy savings come with a small increase in execution time (2-17%) while still meeting latency requirements</t>
  </si>
  <si>
    <t>Adaptive policy</t>
  </si>
  <si>
    <t>technical – chip-wide DVFS limits per-core control; measurement – RAPL reliability affects accuracy; technical – performance isolation is difficult due to resource contention</t>
  </si>
  <si>
    <t>Operation; evaluation</t>
  </si>
  <si>
    <t>Benchmarking; cache isolation</t>
  </si>
  <si>
    <t>98GMI7UV</t>
  </si>
  <si>
    <t>containerized microservices</t>
  </si>
  <si>
    <t>CPU of compute nodes; Network devices (switches and routers)</t>
  </si>
  <si>
    <t>Communication between components; container placement to reduce network traffic &amp; energy consumption</t>
  </si>
  <si>
    <t>Component Level; Network Level</t>
  </si>
  <si>
    <t>Simulation in CloudSim</t>
  </si>
  <si>
    <t>Per host/node</t>
  </si>
  <si>
    <t>Energy cost; carbon emissions</t>
  </si>
  <si>
    <t>Cost</t>
  </si>
  <si>
    <t>dynamic application placement; re-optimization using migration</t>
  </si>
  <si>
    <t>cost; carbon emission</t>
  </si>
  <si>
    <t>Multi-objective optimization</t>
  </si>
  <si>
    <t>EAWZEK6S</t>
  </si>
  <si>
    <t>Service; container</t>
  </si>
  <si>
    <t>Monitoring (Prometheus; Kepler)</t>
  </si>
  <si>
    <t>Monitoring Platform (Kepler)</t>
  </si>
  <si>
    <t>Per-pod energy</t>
  </si>
  <si>
    <t>Per pod</t>
  </si>
  <si>
    <t>Energy consumption; idle power</t>
  </si>
  <si>
    <t>Per instance</t>
  </si>
  <si>
    <t>latency; availability; scalability; consistency</t>
  </si>
  <si>
    <t>severe (etcd energy consumption increases up to 4x under high-frequency workloads)</t>
  </si>
  <si>
    <t>Tuning</t>
  </si>
  <si>
    <t>Technical</t>
  </si>
  <si>
    <t>Complex - the paltform must ensure resilence and other SQAs without excessively compromising availability or becoming a bottleneck</t>
  </si>
  <si>
    <t>Adjusting the maintenance periodicity and configuration of etc/Redis to prevent resource exhaustion and reduce energy overhead</t>
  </si>
  <si>
    <t>W4IXNPP9</t>
  </si>
  <si>
    <t>Design; development; deployment; runtime</t>
  </si>
  <si>
    <t>Non-functional properties; sustainability metadata annotations; workflow adaptation rules; runtime sustainability monitoring</t>
  </si>
  <si>
    <t>microservices</t>
  </si>
  <si>
    <t>monitoring data from infrastructure provider</t>
  </si>
  <si>
    <t>energy estimation tools; cloud provider dashboards</t>
  </si>
  <si>
    <t>CO2 emissions estimations; energy consumption estimation</t>
  </si>
  <si>
    <t>Cloud service level; cloud instance level</t>
  </si>
  <si>
    <t>sustainability awareness score; microservice classification score; microservice enrichment score</t>
  </si>
  <si>
    <t>Entire application</t>
  </si>
  <si>
    <t>Coverage percentage</t>
  </si>
  <si>
    <t>enriching application design with sustainability features</t>
  </si>
  <si>
    <t>Workflow adaptation; sustainability-aware deployment</t>
  </si>
  <si>
    <t>QoS; QoE; performance</t>
  </si>
  <si>
    <t>Balances; may reduce quality when disabling optional components</t>
  </si>
  <si>
    <t>Adaptive workflow; selecting optional or alternative microservice versions</t>
  </si>
  <si>
    <t>Technical - lack of standard models to represent sustainability context; Measurement - limited, untimely, or coarse-grained energy and CO2 data from providers; organizational - insufficient information sharing between application providers and infrastructure providers; tooling - existing tools lack detail and do not support fine-grained application-level sustainability features</t>
  </si>
  <si>
    <t>Design; implementation; operation</t>
  </si>
  <si>
    <t>Complex; systemic</t>
  </si>
  <si>
    <t>Enriching application design with sustainability features; integrating sustainability metadata into implementation; providing sustainability feedback from monitoring systems</t>
  </si>
  <si>
    <t>JV33276I</t>
  </si>
  <si>
    <t>analysis &amp; design; development; deployment; maintenance</t>
  </si>
  <si>
    <t>Analysis &amp; Design</t>
  </si>
  <si>
    <t xml:space="preserve">energy-consuming pattern assessment; design advice 
</t>
  </si>
  <si>
    <t>CPU; RAM</t>
  </si>
  <si>
    <t>Agent simulation dataset</t>
  </si>
  <si>
    <t>Behavioral load simulator</t>
  </si>
  <si>
    <t xml:space="preserve">energy rating; energy-consuming pattern analysis 
</t>
  </si>
  <si>
    <t>Per function; per model; per component</t>
  </si>
  <si>
    <t>energy rating</t>
  </si>
  <si>
    <t>Design change recommendation</t>
  </si>
  <si>
    <t>lack of tools for early-stage design; technical; overhead of applying energy-saving practices; organizational; limited knowledge among students and developers; technical</t>
  </si>
  <si>
    <t>analysis &amp; design; development</t>
  </si>
  <si>
    <t>RADIANCE tool; training; energy pattern reporting</t>
  </si>
  <si>
    <t>WBHMUIY5</t>
  </si>
  <si>
    <t>services; API gateway; load balancer</t>
  </si>
  <si>
    <t>CPU; memory</t>
  </si>
  <si>
    <t>Physical power meter</t>
  </si>
  <si>
    <t>Monitoring (physical power meter)</t>
  </si>
  <si>
    <t>External physical power meter</t>
  </si>
  <si>
    <t>external device</t>
  </si>
  <si>
    <t>Energy usage; power consumption</t>
  </si>
  <si>
    <t>Entire application (server-level)</t>
  </si>
  <si>
    <t>Migration</t>
  </si>
  <si>
    <t>Horizontal scaling; replication</t>
  </si>
  <si>
    <t>Docker; Docker-Compose; HAProxy</t>
  </si>
  <si>
    <t>Performance; availability</t>
  </si>
  <si>
    <t>Reverses (lower energy vs higher performance)</t>
  </si>
  <si>
    <t>Moderate - the monolith consumes less energy at low replica counts, but the MSA achieves higher performance and availaibilty, with the energy efficiency improving only at higher replica levels</t>
  </si>
  <si>
    <t>Replication strategy; horizontal scaling</t>
  </si>
  <si>
    <t>YZVHP52N</t>
  </si>
  <si>
    <t>Function; microservice; container</t>
  </si>
  <si>
    <t>CPU; memory; disk I/O</t>
  </si>
  <si>
    <t>Hardware; function level; application level</t>
  </si>
  <si>
    <t>Direct power measurement; model-based estimation</t>
  </si>
  <si>
    <t>Sampling; stack tracing; monitoring framework</t>
  </si>
  <si>
    <t>External tool; benchmark workload; non-intrusive monitoring</t>
  </si>
  <si>
    <t>monitoring platform; energy meter</t>
  </si>
  <si>
    <t>external service</t>
  </si>
  <si>
    <t>Per function energy</t>
  </si>
  <si>
    <t>per function</t>
  </si>
  <si>
    <t>power consumption; energy consumption</t>
  </si>
  <si>
    <t>function level; application level</t>
  </si>
  <si>
    <t>workload placement; code optimization</t>
  </si>
  <si>
    <t>Degrades</t>
  </si>
  <si>
    <t>Technical - performance counters can be inaccurate or misleading; measurement - overhead from monitoring affects results; technical - limited access to performance counters in virtualized or serverless environments</t>
  </si>
  <si>
    <t>Selecting appropriate performance counters; removing idle-state events from samples; introducing correction mechanisms</t>
  </si>
  <si>
    <t>458U89FX</t>
  </si>
  <si>
    <t>Runtime adaptation algorithm</t>
  </si>
  <si>
    <t>service</t>
  </si>
  <si>
    <t>Request</t>
  </si>
  <si>
    <t>Software probe</t>
  </si>
  <si>
    <t>Monitoring probe</t>
  </si>
  <si>
    <t>Benchmarking with external tool</t>
  </si>
  <si>
    <t>Per request energy</t>
  </si>
  <si>
    <t>energy consumption; power consumption; CO2 emissions</t>
  </si>
  <si>
    <t>application</t>
  </si>
  <si>
    <t>per request; per scenario</t>
  </si>
  <si>
    <t>quality of experience</t>
  </si>
  <si>
    <t>dynamic adaptation algorithm</t>
  </si>
  <si>
    <t>Output quality</t>
  </si>
  <si>
    <t>degrates; balances</t>
  </si>
  <si>
    <t>severe - large energy reductions (up to 84%) require notable quality degradation</t>
  </si>
  <si>
    <t>adaptive algorithm</t>
  </si>
  <si>
    <t>technical — QoE evaluation is difficult and application-dependent; measurement — calibration requires time and energy and is hard to scale; technical — attributing online energy measurements to configurations is challenging; technical — energy measurement is not possible on public clouds due to virtualization limits</t>
  </si>
  <si>
    <t>design; implementation; operation</t>
  </si>
  <si>
    <t>test protocols; online learning</t>
  </si>
  <si>
    <t>FUB8E37S</t>
  </si>
  <si>
    <t>Container; pod; host</t>
  </si>
  <si>
    <t>CPU; power consumption; network activity</t>
  </si>
  <si>
    <t>Thread; container; pod; host</t>
  </si>
  <si>
    <t>RAPL-based power attribution</t>
  </si>
  <si>
    <t xml:space="preserve">kernel-level monitoring via eBPF; user-space aggregation; 1s samples </t>
  </si>
  <si>
    <t>benchmarking with external tool</t>
  </si>
  <si>
    <t xml:space="preserve">kernel-level monitoring via eBPF; user-space aggregation
</t>
  </si>
  <si>
    <t>kernel-level instrumentation; user-space agent; remote backend</t>
  </si>
  <si>
    <t>Per container energy; bottleneck detection</t>
  </si>
  <si>
    <t>thread; container; pod; host</t>
  </si>
  <si>
    <t>Energy (J); Power (W); CPU Usage (%); CPU load avg, RAM (%), Network I/O; Execution time</t>
  </si>
  <si>
    <t>container; pod; host</t>
  </si>
  <si>
    <t>n/a</t>
  </si>
  <si>
    <t>performance</t>
  </si>
  <si>
    <t>measurement - difficult to obtain accurate low-level power and performance data without overhead</t>
  </si>
  <si>
    <t>An Empirical Evaluation of the Energy and Performance Overhead of Monitoring Tools on Docker-Based Systems</t>
  </si>
  <si>
    <t>4TQTNF99</t>
  </si>
  <si>
    <t>Containers; microservices; monitoring components</t>
  </si>
  <si>
    <t>CPU; RAM; network traffic</t>
  </si>
  <si>
    <t>monitoring components running alongisde microservices compete for shared resources; increasing energy consumption</t>
  </si>
  <si>
    <t>hardware</t>
  </si>
  <si>
    <t>physical power meter (Watts Up Pro)</t>
  </si>
  <si>
    <t>sampling; 1s samples; 390 runs</t>
  </si>
  <si>
    <t>external power meter; benchmark system (TrainTicket); experiment runner</t>
  </si>
  <si>
    <t>energy meter</t>
  </si>
  <si>
    <t>total energy consumption</t>
  </si>
  <si>
    <t>Machine level</t>
  </si>
  <si>
    <t>total energy consumption (J)</t>
  </si>
  <si>
    <t>entire application</t>
  </si>
  <si>
    <t>severe — strong correlation between higher energy consumption and increased CPU usage, CPU load, and execution time</t>
  </si>
  <si>
    <t>measurement – energy measurement requires extra effort and technical skills and relies on specialized hardware meters; technical – monitoring components themselves add overhead and compete for resources, complicating energy-efficient operation</t>
  </si>
  <si>
    <t>W3CSXKTX</t>
  </si>
  <si>
    <t xml:space="preserve">computing nodes; network interfaces; core routers; microservice services 
</t>
  </si>
  <si>
    <t xml:space="preserve">CPU load; network communication; Wi-Fi interface activity; Ethernet interface utilization; core router data transfer 
</t>
  </si>
  <si>
    <t xml:space="preserve">service-to-service communication patterns; number of service replicas; data transfer sizes; network hops 
</t>
  </si>
  <si>
    <t xml:space="preserve">computing nodes; network interfaces; core routers 
</t>
  </si>
  <si>
    <t xml:space="preserve">model-based estimation; energy models for servers; energy models for wired and Wi-Fi interfaces; proportional router energy model 
</t>
  </si>
  <si>
    <t>simulation using validated energy models; benchmark-based microservice traces (DeathStarBench)</t>
  </si>
  <si>
    <t>Simulator (Simgrid)</t>
  </si>
  <si>
    <t>energy of computing nodes; energy of network interfaces; energy of core routers; end-to-end energy consumption</t>
  </si>
  <si>
    <t>per node; per network interface; per core router</t>
  </si>
  <si>
    <t>energy consumption; GHG emissions; PUE</t>
  </si>
  <si>
    <t>entire application; infrastructure</t>
  </si>
  <si>
    <t>service placement strategies; autoscaling; improving PUE</t>
  </si>
  <si>
    <t>workload management; autoscaling; service placement</t>
  </si>
  <si>
    <t>performance; latency; GHG emissions</t>
  </si>
  <si>
    <t>significant — fog nodes require many more service replicas, increasing energy use, and network distance strongly impacts latency and emissions</t>
  </si>
  <si>
    <t>service placement decisions; autoscaling policies</t>
  </si>
  <si>
    <t>HMZ5VA2Z</t>
  </si>
  <si>
    <t>service; container</t>
  </si>
  <si>
    <t>container; service</t>
  </si>
  <si>
    <t>software-based power measurement</t>
  </si>
  <si>
    <t>Prometheus scraping</t>
  </si>
  <si>
    <t>external tool</t>
  </si>
  <si>
    <t>agent</t>
  </si>
  <si>
    <t>per service energy</t>
  </si>
  <si>
    <t>container</t>
  </si>
  <si>
    <t>time window</t>
  </si>
  <si>
    <t>severe - monitoring technologies (e.g. Prometheus) have a substantial impact on system performance and resource consumption</t>
  </si>
  <si>
    <t>tuning</t>
  </si>
  <si>
    <t>technical - monitoring tools impose substantial performance and resource overhead; measurement - missing or inconsistent disk usage metrics hinder accurate analysis</t>
  </si>
  <si>
    <t>HLJP5R5J</t>
  </si>
  <si>
    <t>container; CPU; memory</t>
  </si>
  <si>
    <t>CPU; memory; container instances</t>
  </si>
  <si>
    <t>tracking CPU, memory and container usage</t>
  </si>
  <si>
    <t>operational logs; performance metrics</t>
  </si>
  <si>
    <t>prototype testing via Cloud Run metrics</t>
  </si>
  <si>
    <t>monitoring platform</t>
  </si>
  <si>
    <t>trend analysis</t>
  </si>
  <si>
    <t>per service</t>
  </si>
  <si>
    <t>CPU usage; memory usage; container usage</t>
  </si>
  <si>
    <t>single service</t>
  </si>
  <si>
    <t>adopting serverless microservices architecture</t>
  </si>
  <si>
    <t>dynamic scaling</t>
  </si>
  <si>
    <t>GCP Cloud Run; GCP API Gateway</t>
  </si>
  <si>
    <t>Latency; performance</t>
  </si>
  <si>
    <t>moderate - occasional latency spikes during scaling events are reported</t>
  </si>
  <si>
    <t>architectural optimization to reduce cold starts and manage resource allocation</t>
  </si>
  <si>
    <t>service; router; setalgebra; recommend; memcached</t>
  </si>
  <si>
    <t>CPU Core; caches; branch predictors; FIVR; ADPLL</t>
  </si>
  <si>
    <t>communication overhead between services</t>
  </si>
  <si>
    <t>direct power measurements (RAPL)</t>
  </si>
  <si>
    <t>sampling</t>
  </si>
  <si>
    <t>external tool (RAPL)</t>
  </si>
  <si>
    <t>RAPL</t>
  </si>
  <si>
    <t>per core</t>
  </si>
  <si>
    <t>power; average power; core average power savings</t>
  </si>
  <si>
    <t>user-perceived performance</t>
  </si>
  <si>
    <t>hardware redesign</t>
  </si>
  <si>
    <t>power management</t>
  </si>
  <si>
    <t>minor - performance overhead is at most 2%</t>
  </si>
  <si>
    <t>hardware optimization</t>
  </si>
  <si>
    <t>technical – unpredictable idle time makes deep C-states ineffective; technical – cold-start latency degrades microservice performance; technical – strict QoS constraints limit use of deep idle states</t>
  </si>
  <si>
    <t>hardware-based C-state redesign</t>
  </si>
  <si>
    <t>KVAKQH7V</t>
  </si>
  <si>
    <t>Not Relevant</t>
  </si>
  <si>
    <t>Excluded</t>
  </si>
  <si>
    <t>NU46RWM4</t>
  </si>
  <si>
    <t>6PYPRFCX</t>
  </si>
  <si>
    <t>MWMLQDHN</t>
  </si>
  <si>
    <t>6QFTTQGA</t>
  </si>
  <si>
    <t>WUC8FSA6</t>
  </si>
  <si>
    <t>JQ25F3GN</t>
  </si>
  <si>
    <t>GMA4PA98</t>
  </si>
  <si>
    <t>GXR3STJR</t>
  </si>
  <si>
    <t>PU2EGV2V</t>
  </si>
  <si>
    <t>BZ9HVKRE</t>
  </si>
  <si>
    <t>DC8XMVAR</t>
  </si>
  <si>
    <t>YQP3UKVX</t>
  </si>
  <si>
    <t>N949CZTV</t>
  </si>
  <si>
    <t>3V89MXEA</t>
  </si>
  <si>
    <t>ER73XNME</t>
  </si>
  <si>
    <t>QHLV7TZP</t>
  </si>
  <si>
    <t>LXBUXM59</t>
  </si>
  <si>
    <t>Secondary Screening decision</t>
  </si>
  <si>
    <t>Secondary Screening Notes</t>
  </si>
  <si>
    <t>Primary Screening Decision</t>
  </si>
  <si>
    <t>primary_round_1</t>
  </si>
  <si>
    <t>primary_round_1_notes</t>
  </si>
  <si>
    <t>primary_round_2</t>
  </si>
  <si>
    <t>openai_round_2_suggestion</t>
  </si>
  <si>
    <t>primary_round_3</t>
  </si>
  <si>
    <t>openai_round_3_suggestion</t>
  </si>
  <si>
    <t>Preliminary Screening Decision</t>
  </si>
  <si>
    <t>prelim_round_1</t>
  </si>
  <si>
    <t>prelim_round_2</t>
  </si>
  <si>
    <t>2</t>
  </si>
  <si>
    <t>2022</t>
  </si>
  <si>
    <t>3</t>
  </si>
  <si>
    <t>0</t>
  </si>
  <si>
    <t>23</t>
  </si>
  <si>
    <t>7</t>
  </si>
  <si>
    <t>5</t>
  </si>
  <si>
    <t>2023</t>
  </si>
  <si>
    <t>21</t>
  </si>
  <si>
    <t>10</t>
  </si>
  <si>
    <t>2017</t>
  </si>
  <si>
    <t>4</t>
  </si>
  <si>
    <t>15</t>
  </si>
  <si>
    <t>9</t>
  </si>
  <si>
    <t>13</t>
  </si>
  <si>
    <t>17</t>
  </si>
  <si>
    <t>18</t>
  </si>
  <si>
    <t>['Antoniou, Georgia', 'Volos, Haris', 'Bartolini, Davide B.', 'Rollet, Tom', 'Sazeides, Yiannakis', 'Yahya, Jawad Haj']</t>
  </si>
  <si>
    <t>['https://doi.org/10.1109/MICRO56248.2022.00065']</t>
  </si>
  <si>
    <t>8</t>
  </si>
  <si>
    <t>['Muralidhar, Rajeev', 'Borovica-Gajic, Renata', 'Buyya, Rajkumar']</t>
  </si>
  <si>
    <t>['https://doi.org/10.1145/3511094']</t>
  </si>
  <si>
    <t>['dynamic power management', 'Energy efficiency', 'low power', 'low power optimizations', 'modeling', 'platform-level power management', 'specification']</t>
  </si>
  <si>
    <t>DUPLICATE (Already in primary dataset)</t>
  </si>
  <si>
    <t>1</t>
  </si>
  <si>
    <t>16</t>
  </si>
  <si>
    <t>6</t>
  </si>
  <si>
    <t>24</t>
  </si>
  <si>
    <t>12</t>
  </si>
  <si>
    <t>2020</t>
  </si>
  <si>
    <t>22</t>
  </si>
  <si>
    <t>['Akasiadis, Charilaos', 'Iatrakis, Georgios', 'Spanoudakis, Nikolaos', 'Chalkiadakis, Georgios']</t>
  </si>
  <si>
    <t>['https://doi.org/10.1007/978-3-031-18192-4_1']</t>
  </si>
  <si>
    <t>['Internet of things', 'Smart grid', 'Open multi-agent systems']</t>
  </si>
  <si>
    <t>19</t>
  </si>
  <si>
    <t>['Yahya, Jawad Haj', 'Volos, Haris', 'Bartolini, Davide B.', 'Antoniou, Georgia', 'Kim, Jeremie S.', 'Wang, Zhe', 'Kalaitzidis, Kleovoulos', 'Rollet, Tom', 'Chen, Zhirui', 'Geng, Ye', 'Mutlu, Onur', 'Sazeides, Yiannakis']</t>
  </si>
  <si>
    <t>['https://doi.org/10.1109/MICRO56248.2022.00063']</t>
  </si>
  <si>
    <t>['Tsiachri Renta, Pelagia', 'Sotiriadis, Stelios', 'Petrakis, Euripides G.M.']</t>
  </si>
  <si>
    <t>['https://doi.org/10.1145/3110355.3110359']</t>
  </si>
  <si>
    <t>['cloud computing', 'internet of things']</t>
  </si>
  <si>
    <t>['Fokaefs, Marios', 'Barna, Cornel', 'Litoiu, Marin']</t>
  </si>
  <si>
    <t>['https://doi.org/10.1145/3139290']</t>
  </si>
  <si>
    <t>['Cloud computing', 'DevOps', 'self-adaptive systems', 'software engineering economics']</t>
  </si>
  <si>
    <t>['Lin, Weiwei', 'Shi, Fang', 'Wu, Wentai', 'Li, Keqin', 'Wu, Guangxin', 'Mohammed, Al-Alas']</t>
  </si>
  <si>
    <t>11</t>
  </si>
  <si>
    <t>['https://doi.org/10.1145/3406208']</t>
  </si>
  <si>
    <t>['data center', 'Cloud server', 'power consumption', 'power model', 'power modeling']</t>
  </si>
  <si>
    <t>14</t>
  </si>
  <si>
    <t>['Khalloof, Hatem', 'Ciftci, Sergen', 'Shahoud, Shadi', 'Duepmeier, Clemens', 'Foerderer, Kevin', 'Hagenmeyer, Veit']</t>
  </si>
  <si>
    <t>['https://doi.org/10.1145/3520304.3533997']</t>
  </si>
  <si>
    <t>['microservice', 'scalability', 'container', 'global model', 'hybrid evolutionary algorithms', 'parallel computing', 'parallel evolutionary algorithms', 'scheduling distributed energy resources', 'virtualization']</t>
  </si>
  <si>
    <t>['Mahapatra, Rohan', 'Ghodrati, Soroush', 'Ahn, Byung Hoon', 'Kinzer, Sean', 'Wang, Shu-Ting', 'Xu, Hanyang', 'Karthikeyan, Lavanya', 'Sharma, Hardik', 'Yazdanbakhsh, Amir', 'Alian, Mohammad', 'Esmaeilzadeh, Hadi']</t>
  </si>
  <si>
    <t>['https://doi.org/10.1145/3620665.3640413']</t>
  </si>
  <si>
    <t>2024</t>
  </si>
  <si>
    <t>['serverless computing', 'accelerator', 'computational storage drive (CSD)', 'deep neural network (DNN)', 'disaggregated datacenter', 'domain specific architecture (DSA)', 'in-storage acceleration', 'large language model (LLM)', 'neural processing unit (NPU)', 'serverless function', 'storage systems']</t>
  </si>
  <si>
    <t>['Chochliouros, Ioannis P.', 'Pages-Montanera, Enric', 'Alcázar-Fernández, Aitor', 'Zahariadis, Theodore', 'Velivassaki, Terpsichori-Helen', 'Skianis, Charalabos', 'Rossini, Rosaria', 'Belesioti, Maria', 'Drosos, Nikolaos', 'Bakiris, Emmanouil', 'Pedholla, Prashanth Kumar', 'Karkazis, Panagiotis', 'Samal, Astik Kumar', 'Contreras Murillo, Luis Miguel', 'Del Río, Alberto', 'Serrano, Javier', 'Skias, Dimitrios', 'Segou, Olga E.', 'Waechter, Sonja']</t>
  </si>
  <si>
    <t>['https://doi.org/10.1145/3624486.3624504']</t>
  </si>
  <si>
    <t>['Artificial Intelligence of Things', 'Meta Operating system', 'The Cloud-to-Thing continuum: opportunities and challenges']</t>
  </si>
  <si>
    <t>25</t>
  </si>
  <si>
    <t>["D'Angelo, Andrea", "d'Aloisio, Giordano"]</t>
  </si>
  <si>
    <t>20</t>
  </si>
  <si>
    <t>['https://doi.org/10.1145/3629527.3651844']</t>
  </si>
  <si>
    <t>['anomaly detection', 'context-free grammar', 'execution traces', 'micro service system']</t>
  </si>
  <si>
    <t>['Kawalkar, Shreyash N']</t>
  </si>
  <si>
    <t>['https://doi.org/10.1145/3634814.3634838']</t>
  </si>
  <si>
    <t>['AI in Modern Energy Infrastructures', 'AI Solutions for Smart Grid Technology Challenges', 'Cognitive Mapping of Micro Services to Energy Assets', 'Context aware Energy Management System', 'Geo Intelligent Software Architecture', 'Knowledge Graph Embedded AI', 'Streamlined Smart Grid Assets and Data Management']</t>
  </si>
  <si>
    <t>['Aissat, Sara', 'Beaulieu, Jonathan', 'Bordeleau, Francis', 'Gascon-Samson, Julien', 'Poirier, Erik A.', 'Motamedi, Ali']</t>
  </si>
  <si>
    <t>['https://doi.org/10.1145/3652620.3688266']</t>
  </si>
  <si>
    <t>['digital twins', 'microservices', 'DevOps', 'IoT', 'CI/CD pipelines']</t>
  </si>
  <si>
    <t>['Kozhevnikov, Sergey', 'Skobelev, Petr', 'Pribyl, Ondrej', 'Svítek, Miroslav']</t>
  </si>
  <si>
    <t>['https://doi.org/10.1007/978-3-030-27878-6_16']</t>
  </si>
  <si>
    <t>2019</t>
  </si>
  <si>
    <t>['Artificial intelligence', 'Digital eco-system', 'Holonic system', 'Multi-agent technology', 'Smart City 5.0', 'Smart services']</t>
  </si>
  <si>
    <t>26</t>
  </si>
  <si>
    <t>['Moghaddam, Mahyar Tourchi', 'Muccini, Henry']</t>
  </si>
  <si>
    <t>['https://doi.org/10.1007/978-3-030-30856-8_5']</t>
  </si>
  <si>
    <t>['Internet of Things', 'Fault-tolerance', 'Software architecture', 'Systematic mapping study']</t>
  </si>
  <si>
    <t>186</t>
  </si>
  <si>
    <t>['Capizzi, Antonio', 'Distefano, Salvatore', 'Mazzara, Manuel']</t>
  </si>
  <si>
    <t>['https://doi.org/10.1007/978-3-030-39306-9_4']</t>
  </si>
  <si>
    <t>31</t>
  </si>
  <si>
    <t>['Karagiannis, Ioannis', 'Mavrogiannis, Konstantinos', 'Soldatos, John', 'Drakoulis, Dimitris', 'Troiano, Ernesto', 'Polyviou, Ariana']</t>
  </si>
  <si>
    <t>['https://doi.org/10.1007/978-3-030-42051-2_16']</t>
  </si>
  <si>
    <t>['Security', 'Blockchain', 'Cyber security', 'Critical infrastructure protection', 'Finance', 'Information sharing']</t>
  </si>
  <si>
    <t>403</t>
  </si>
  <si>
    <t>['Carrusca, André', 'Gomes, Maria Cecília', 'Leitão, João']</t>
  </si>
  <si>
    <t>['https://doi.org/10.1007/978-3-030-45989-5_8']</t>
  </si>
  <si>
    <t>['Cloud and fog/edge computing', 'Microservices architecture', 'Self-adaptable applications']</t>
  </si>
  <si>
    <t>76</t>
  </si>
  <si>
    <t>['Balicki, Jerzy', 'Balicka, Honorata', 'Dryja, Piotr', 'Tyszka, Maciej']</t>
  </si>
  <si>
    <t>['https://doi.org/10.1007/978-3-030-47679-3_28']</t>
  </si>
  <si>
    <t>['Artificial intelligence', 'Differential evolution', 'Smart city']</t>
  </si>
  <si>
    <t>91</t>
  </si>
  <si>
    <t>['Gaggero, Massimo', 'Busonera, Giovanni', 'Pireddu, Luca', 'Zanetti, Gianluigi']</t>
  </si>
  <si>
    <t>['https://doi.org/10.1007/978-3-030-48340-1_10']</t>
  </si>
  <si>
    <t>['Edge computing', 'Embedded', 'FIWARE', 'Sensor networks']</t>
  </si>
  <si>
    <t>304</t>
  </si>
  <si>
    <t>['Shi, Zeshun', 'Zhou, Huan', 'Hu, Yang', 'Koulouzis, Spiros', 'Rubia, Carlos', 'Zhao, Zhiming']</t>
  </si>
  <si>
    <t>['https://doi.org/10.1007/978-3-030-48340-1_36']</t>
  </si>
  <si>
    <t>['Cloud', 'Social network applications', 'Virtual infrastructure']</t>
  </si>
  <si>
    <t>301</t>
  </si>
  <si>
    <t>['Liebenberg, Martin', 'Jarke, Matthias']</t>
  </si>
  <si>
    <t>['https://doi.org/10.1007/978-3-030-49435-3_5']</t>
  </si>
  <si>
    <t>['Collaborative information systems', 'Database views', 'Digital shadows', 'Internet of Production (IoP)', 'World Wide Lab (WWL)']</t>
  </si>
  <si>
    <t>326</t>
  </si>
  <si>
    <t>['Dibowski, Henrik', 'Massa Gray, Francesco']</t>
  </si>
  <si>
    <t>['https://doi.org/10.1007/978-3-030-49461-2_36']</t>
  </si>
  <si>
    <t>['Knowledge graph', 'Analytics', 'Building automation system', 'Building controls', 'Information model', 'Semantic definition', 'Semantic tagging']</t>
  </si>
  <si>
    <t>394</t>
  </si>
  <si>
    <t>['Matz, Alexandra', 'Götz, Clarissa']</t>
  </si>
  <si>
    <t>['https://doi.org/10.1007/978-3-030-49760-6_7']</t>
  </si>
  <si>
    <t>['Microservices', 'Smart cities', 'Services', 'Human-centered design', 'Knowledge management', 'Smart environments', 'Smart factory', 'User centered design', 'User experience', 'User research']</t>
  </si>
  <si>
    <t>313</t>
  </si>
  <si>
    <t>['Cardellini, Valeria', 'Lo Presti, Francesco', 'Nardelli, Matteo', 'Rossi, Fabiana']</t>
  </si>
  <si>
    <t>['https://doi.org/10.1007/978-3-030-58628-7_6']</t>
  </si>
  <si>
    <t>['Fog computing', 'Containers', 'Elasticity', 'Placement', 'Self-adaptive systems']</t>
  </si>
  <si>
    <t>170</t>
  </si>
  <si>
    <t>['Siavvas, Miltiadis', 'Tsoukalas, Dimitrios', 'Marantos, Charalampos', 'Tsintzira, Angeliki-Agathi', 'Jankovic, Marija', 'Soudris, Dimitrios', 'Chatzigeorgiou, Alexander', 'Kehagias, Dionysios']</t>
  </si>
  <si>
    <t>['https://doi.org/10.1007/978-3-030-58811-3_73']</t>
  </si>
  <si>
    <t>['Software quality', 'Verification and validation']</t>
  </si>
  <si>
    <t>235</t>
  </si>
  <si>
    <t>['Caporuscio, Mauro', 'D’Angelo, Mirko', 'Grassi, Vincenzo', 'Mirandola, Raffaela']</t>
  </si>
  <si>
    <t>['https://doi.org/10.1007/978-3-030-58923-3_4']</t>
  </si>
  <si>
    <t>49</t>
  </si>
  <si>
    <t>['Dalibor, Manuela', 'Michael, Judith', 'Rumpe, Bernhard', 'Varga, Simon', 'Wortmann, Andreas']</t>
  </si>
  <si>
    <t>['https://doi.org/10.1007/978-3-030-62522-1_28']</t>
  </si>
  <si>
    <t>['Digital Twins', 'Information systems', 'Model-driven software engineering', 'Smart manufacturing']</t>
  </si>
  <si>
    <t>64</t>
  </si>
  <si>
    <t>['Costantini, Alessandro', 'Duma, Doina Cristina', 'Martelli, Barbara', 'Antonacci, Marica', 'Galletti, Matteo', 'Tisbeni, Simone Rossi', 'Bellavista, Paolo', 'Di Modica, Giuseppe', 'Nehls, Daniel', 'Ahouangonou, Jean-Christian', 'Delamarre, Cedric', 'Cesini, Daniele']</t>
  </si>
  <si>
    <t>['https://doi.org/10.1007/978-3-030-86960-1_37']</t>
  </si>
  <si>
    <t>2021</t>
  </si>
  <si>
    <t>['IoT', 'Edge', 'Cloud', 'Digital twins', 'Digital models']</t>
  </si>
  <si>
    <t>349</t>
  </si>
  <si>
    <t>['Kumari, Anisha', 'Sahoo, Bibhudatta', 'Behera, Ranjan Kumar', 'Misra, Sanjay', 'Sharma, Mayank Mohan']</t>
  </si>
  <si>
    <t>['https://doi.org/10.1007/978-3-030-87007-2_20']</t>
  </si>
  <si>
    <t>['Serverless computing', 'Orchestration', 'Function-as-a-service', 'Openfaas', 'OpenWhisk']</t>
  </si>
  <si>
    <t>129</t>
  </si>
  <si>
    <t>['Duan, Kaiyue', 'Li, Yusen', 'Marbach, Trent G.', 'Wang, Gang', 'Liu, Xiaoguang']</t>
  </si>
  <si>
    <t>['https://doi.org/10.1007/978-3-030-91431-8_34']</t>
  </si>
  <si>
    <t>['Load rebalancing', 'Local search', 'Resource equivalence class']</t>
  </si>
  <si>
    <t>203</t>
  </si>
  <si>
    <t>['Dimitrakos, Theo', 'Dilshener, Tezcan', 'Kravtsov, Alexander', 'Marra, Antonio La', 'Martinelli, Fabio', 'Rizos, Athanasios', 'Rosetti, Alessandro']</t>
  </si>
  <si>
    <t>['https://doi.org/10.1007/978-3-030-93747-8_10']</t>
  </si>
  <si>
    <t>['IoT', 'ABAC', 'Authorization', 'Trust', 'Usage control']</t>
  </si>
  <si>
    <t>199</t>
  </si>
  <si>
    <t>['Wang, Lei', 'Chen, Haiming', 'Qin, Wei']</t>
  </si>
  <si>
    <t>['https://doi.org/10.1007/978-3-030-95388-1_44']</t>
  </si>
  <si>
    <t>['Internet of Things (IoT)', 'Edge computing', 'Node-RED']</t>
  </si>
  <si>
    <t>126</t>
  </si>
  <si>
    <t>['Lamprakos, Christos P.', 'Marantos, Charalampos', 'Papadopoulos, Lazaros', 'Soudris, Dimitrios']</t>
  </si>
  <si>
    <t>['https://doi.org/10.1007/978-3-031-04580-6_23']</t>
  </si>
  <si>
    <t>['Software quality', 'Trade-off analysis', 'Decision-making']</t>
  </si>
  <si>
    <t>314</t>
  </si>
  <si>
    <t>['Mock, Markus', 'Arlt, Stefan']</t>
  </si>
  <si>
    <t>['https://doi.org/10.1007/978-3-031-04718-3_8']</t>
  </si>
  <si>
    <t>['IoT', 'FaaS', 'Serverless Computing']</t>
  </si>
  <si>
    <t>109</t>
  </si>
  <si>
    <t>['Yu, Yangming', 'Zha, Zhiyong', 'Jin, Bo', 'Wu, Geng', 'Dong, Chenxi']</t>
  </si>
  <si>
    <t>['https://doi.org/10.1007/978-3-031-13832-4_10']</t>
  </si>
  <si>
    <t>['Data sharing', 'Enterprise power data', 'Management platform']</t>
  </si>
  <si>
    <t>329</t>
  </si>
  <si>
    <t>['Malhi, Avleen', 'Apopei, Vlad', 'Madhikermi, Manik', 'Mandeep', 'Främling, Kary']</t>
  </si>
  <si>
    <t>['https://doi.org/10.1007/978-3-031-15565-9_4']</t>
  </si>
  <si>
    <t>['Machine learning', 'Agriculture', 'Grape leaf detection', 'Mobile app']</t>
  </si>
  <si>
    <t>298</t>
  </si>
  <si>
    <t>['Ploennigs, Joern', 'Semertzidis, Konstantinos', 'Lorenzi, Fabio', 'Mihindukulasooriya, Nandana']</t>
  </si>
  <si>
    <t>['https://doi.org/10.1007/978-3-031-19433-7_46']</t>
  </si>
  <si>
    <t>['Internet of Things', 'Machine learning', 'Scalability', 'Digital twins', 'Knowledge graphs', 'Semantic models']</t>
  </si>
  <si>
    <t>72</t>
  </si>
  <si>
    <t>['Spišaková, Viktória', 'Klusáček, Dalibor', 'Hejtmánek, Lukáš']</t>
  </si>
  <si>
    <t>28</t>
  </si>
  <si>
    <t>['https://doi.org/10.1007/978-3-031-22698-4_12']</t>
  </si>
  <si>
    <t>['HPC', 'Kubernetes', 'Resource management', 'Cloud', 'Scheduling']</t>
  </si>
  <si>
    <t>231</t>
  </si>
  <si>
    <t>['Luo, Min']</t>
  </si>
  <si>
    <t>29</t>
  </si>
  <si>
    <t>['https://doi.org/10.1007/978-3-031-23470-5_7']</t>
  </si>
  <si>
    <t>['Security', 'Internet of Things (IoT)', 'Edge computing', 'Artificial intelligence', 'Reliability', 'Cloud datacenter', 'Distributed DBMS/SQL', 'Distributed systems', 'Edge datacenter', 'Machine learning', 'Scalability', 'Tiered architecture']</t>
  </si>
  <si>
    <t>353</t>
  </si>
  <si>
    <t>['Müller, Benedikt Tobias', 'Ender, Marvin', 'Swiadek, Jan Erik', 'Jin, Mengcheng', 'Winkel, Simon', 'Niedziela, Dominik', 'Li, Bin', 'Hüntelmann, Jelle', 'Müller, Emmanuel']</t>
  </si>
  <si>
    <t>30</t>
  </si>
  <si>
    <t>['https://doi.org/10.1007/978-3-031-26422-1_43']</t>
  </si>
  <si>
    <t>['Anomaly detection', 'Energy consumption', 'Explainability']</t>
  </si>
  <si>
    <t>66</t>
  </si>
  <si>
    <t>['Cañete, Angel', 'Rodríguez, Alberto', 'Amor, Mercedes', 'Fuentes, Lidia']</t>
  </si>
  <si>
    <t>['https://doi.org/10.1007/978-3-031-26507-5_15']</t>
  </si>
  <si>
    <t>['Energy efficiency', 'Edge computing', 'B5G', 'Feature models', 'Open source mano', 'VNF placement']</t>
  </si>
  <si>
    <t>34</t>
  </si>
  <si>
    <t>['Serrano-Gutierrez, Pablo', 'Ayala, Inmaculada', 'Fuentes, Lidia']</t>
  </si>
  <si>
    <t>32</t>
  </si>
  <si>
    <t>['https://doi.org/10.1007/978-3-031-26507-5_20']</t>
  </si>
  <si>
    <t>['FaaS', 'Serverless', 'QoS', 'Feature model', 'Software product line']</t>
  </si>
  <si>
    <t>239</t>
  </si>
  <si>
    <t>['Poleggi, Marco Emilio', 'Abdennadher, Nabil', 'Dupuis, Raoul', 'Mendonça, Francisco']</t>
  </si>
  <si>
    <t>33</t>
  </si>
  <si>
    <t>['https://doi.org/10.1007/978-3-031-29315-3_8']</t>
  </si>
  <si>
    <t>['IoT', 'Edge', 'Cloud', 'Cost Model', 'PaaS']</t>
  </si>
  <si>
    <t>81</t>
  </si>
  <si>
    <t>['Matevska, Jasminka', 'Soldin, Marvin']</t>
  </si>
  <si>
    <t>['https://doi.org/10.1007/978-3-031-36889-9_21']</t>
  </si>
  <si>
    <t>['Internet of Things', 'Automated Gateway', 'Communication Protocols', 'Connectivity', 'Industry 4.0', 'Interoperability', 'IoT Architecture']</t>
  </si>
  <si>
    <t>352</t>
  </si>
  <si>
    <t>['Abdullah, Milad']</t>
  </si>
  <si>
    <t>35</t>
  </si>
  <si>
    <t>['https://doi.org/10.1007/978-3-031-36889-9_9']</t>
  </si>
  <si>
    <t>['Machine Learning', 'Experiment-Driven Systems', 'Statistics']</t>
  </si>
  <si>
    <t>50</t>
  </si>
  <si>
    <t>['Kotilainen, Pyry', 'Heikkilä, Ville', 'Systä, Kari', 'Mikkonen, Tommi']</t>
  </si>
  <si>
    <t>36</t>
  </si>
  <si>
    <t>['https://doi.org/10.1007/978-3-031-39764-6_9']</t>
  </si>
  <si>
    <t>['Internet of Things', 'AI', 'ML', 'IoT', 'Artificial intelligence', 'Machine learning', 'WoT', 'Isomorphic software', 'Liquid software', 'Web of Things']</t>
  </si>
  <si>
    <t>166</t>
  </si>
  <si>
    <t>['Spalazzese, Romina', 'De Sanctis, Martina', 'Alkhabbas, Fahed', 'Davidsson, Paul']</t>
  </si>
  <si>
    <t>37</t>
  </si>
  <si>
    <t>['https://doi.org/10.1007/978-3-031-42592-9_15']</t>
  </si>
  <si>
    <t>['Goal-driven IoT Systems', 'Intelligent IoT Systems', 'Mixed-initiative paradigm', 'Novel Experiences', 'User-System Collaboration']</t>
  </si>
  <si>
    <t>38</t>
  </si>
  <si>
    <t>['Carnevali, Laura', 'Paolieri, Marco', 'Picano, Benedetta', 'Reali, Riccardo', 'Scommegna, Leonardo', 'Vicario, Enrico']</t>
  </si>
  <si>
    <t>['https://doi.org/10.1007/978-3-031-43185-2_21']</t>
  </si>
  <si>
    <t>['Cloud computing', 'complex workflow structure', 'coordinated scaling', 'end-to-end response time distribution', 'stochastic workflow']</t>
  </si>
  <si>
    <t>288</t>
  </si>
  <si>
    <t>['Kokkinis, Argyris', 'Nanos, Annastasios', 'Siozios, Kostas']</t>
  </si>
  <si>
    <t>40</t>
  </si>
  <si>
    <t>['https://doi.org/10.1007/978-3-031-46077-7_27']</t>
  </si>
  <si>
    <t>['virtualization', 'FPGA', 'Approximate Computing', 'High-Level Synthesis']</t>
  </si>
  <si>
    <t>['Moussa, Mohamad', 'Glass, Philippe', 'Abdennahder, Nabil', 'Di Marzo Serugendo, Giovanna', 'Couturier, Raphaël']</t>
  </si>
  <si>
    <t>41</t>
  </si>
  <si>
    <t>['https://doi.org/10.1007/978-3-031-46235-1_14']</t>
  </si>
  <si>
    <t>['Edge', 'Cloud', 'Compute Continuum', 'Coordination model', 'Federated Learning', 'Self-Adaptive IoT applications']</t>
  </si>
  <si>
    <t>237</t>
  </si>
  <si>
    <t>['Chondrogiannis, Efthymios', 'Karanastasis, Efstathios', 'Andronikou, Vassiliki', 'Spătaru, Adrian', 'Nanos, Anastassios', 'Kretsis, Aristotelis', 'Kokkinos, Panagiotis']</t>
  </si>
  <si>
    <t>42</t>
  </si>
  <si>
    <t>['https://doi.org/10.1007/978-3-031-46235-1_17']</t>
  </si>
  <si>
    <t>['Edge Computing', 'Abstraction Models', 'Cloud Continuum', 'Intent-based Application Deployment and Execution', 'Machine Learning Techniques', 'Service Orchestration']</t>
  </si>
  <si>
    <t>224</t>
  </si>
  <si>
    <t>['Soumplis, Polyzois', 'Kokkinos, Panagiotis', 'Varvarigos, Emmanouel']</t>
  </si>
  <si>
    <t>43</t>
  </si>
  <si>
    <t>['https://doi.org/10.1007/978-3-031-47969-4_17']</t>
  </si>
  <si>
    <t>['Reinforcement Learning', 'critical infrastructure', 'Deep Q-Learning', 'multi-Agent Rollout']</t>
  </si>
  <si>
    <t>124</t>
  </si>
  <si>
    <t>['He, Xiang', 'Shao, Zihao', 'Wang, Teng', 'Shi, Haomai', 'Chen, Yin', 'Wang, Zhongjie']</t>
  </si>
  <si>
    <t>45</t>
  </si>
  <si>
    <t>['https://doi.org/10.1007/978-3-031-48421-6_8']</t>
  </si>
  <si>
    <t>['Prediction', 'Evolution Cost', 'Evolution Effect', 'Microservice system']</t>
  </si>
  <si>
    <t>84</t>
  </si>
  <si>
    <t>['Grafenhorst, Simon', 'Förderer, Kevin', 'Hagenmeyer, Veit']</t>
  </si>
  <si>
    <t>46</t>
  </si>
  <si>
    <t>['https://doi.org/10.1007/978-3-031-48652-4_13']</t>
  </si>
  <si>
    <t>['Distribution Grid Monitoring', 'Smart Grid', 'Smart Home Measurement Device']</t>
  </si>
  <si>
    <t>71</t>
  </si>
  <si>
    <t>['Valdez, Wilson', 'Baniata, Hamza', 'Markus, Andras', 'Kertesz, Attila']</t>
  </si>
  <si>
    <t>47</t>
  </si>
  <si>
    <t>['https://doi.org/10.1007/978-3-031-48803-0_6']</t>
  </si>
  <si>
    <t>['Internet of Things', 'Cloud Computing', 'Blockchain', 'Fog Computing', 'Simulation']</t>
  </si>
  <si>
    <t>59</t>
  </si>
  <si>
    <t>['Garlisi, Domenico', 'Restuccia, Gabriele', 'Tinnirello, Ilenia', 'Cuomo, Francesca', 'Chatzigiannakis, Ioannis']</t>
  </si>
  <si>
    <t>48</t>
  </si>
  <si>
    <t>['https://doi.org/10.1007/978-3-031-49361-4_5']</t>
  </si>
  <si>
    <t>['IoT', 'stream processing', 'neural network', 'k-means clustering', 'leakage detection', 'LoRaWAN', 'water supply system', 'WDN']</t>
  </si>
  <si>
    <t>228</t>
  </si>
  <si>
    <t>['Sukhoroslov, Oleg', 'Gorokhovskii, Maksim']</t>
  </si>
  <si>
    <t>['https://doi.org/10.1007/978-3-031-49435-2_1']</t>
  </si>
  <si>
    <t>['Benchmark', 'Simulation', 'Distributed computing', 'DAG scheduling', 'Task graph', 'Workflow']</t>
  </si>
  <si>
    <t>101</t>
  </si>
  <si>
    <t>['Hu, Juncheng', 'Zhou, Youtian', 'Mo, Chunbao']</t>
  </si>
  <si>
    <t>['https://doi.org/10.1007/978-3-031-61063-9_19']</t>
  </si>
  <si>
    <t>['Healthcare', 'Artificial Intelligence &amp;amp', 'CNN', 'Diagnosis System', 'Myocardial Infarction', 'Smart Services']</t>
  </si>
  <si>
    <t>393</t>
  </si>
  <si>
    <t>['Dalamagkas, Christos', 'Georgakis, Angelos', 'Hrissagis-Chrysagis, Kostas', 'Papadakis, George']</t>
  </si>
  <si>
    <t>51</t>
  </si>
  <si>
    <t>['https://doi.org/10.1007/978-3-031-62362-2_10']</t>
  </si>
  <si>
    <t>['microservices', 'Charging points management', 'Electric Vehicles', 'OCPP protocol', 'Web platform']</t>
  </si>
  <si>
    <t>255</t>
  </si>
  <si>
    <t>['Rousseaux, Tom', 'Crochet, Christophe', 'Aoga, John', 'Legay, Axel']</t>
  </si>
  <si>
    <t>52</t>
  </si>
  <si>
    <t>['https://doi.org/10.1007/978-3-031-62645-6_10']</t>
  </si>
  <si>
    <t>['Adverse Stimuli', 'Concrete Implementation', 'Formal Specifications', 'Internet protocols', 'Model-Based Testing', 'Network Simulator', 'QUIC', 'Software verification and validation', 'Time-varying Network Properties']</t>
  </si>
  <si>
    <t>397</t>
  </si>
  <si>
    <t>['Kalka, Wojciech', 'Szydlo, Tomasz']</t>
  </si>
  <si>
    <t>53</t>
  </si>
  <si>
    <t>['https://doi.org/10.1007/978-3-031-63783-4_18']</t>
  </si>
  <si>
    <t>['IoT', 'Chaos Engineering', 'fault injection', 'Zephyr-OS']</t>
  </si>
  <si>
    <t>236</t>
  </si>
  <si>
    <t>['Bogdanov, Alexander', 'Khvatov, Valery', 'Uteshev, Alexei', 'Shchegoleva, Nadezhda']</t>
  </si>
  <si>
    <t>54</t>
  </si>
  <si>
    <t>['https://doi.org/10.1007/978-3-031-65154-0_9']</t>
  </si>
  <si>
    <t>['decentralization', 'DGT', 'Layer 1 digital platform', 'multi-party computation over blockchain']</t>
  </si>
  <si>
    <t>339</t>
  </si>
  <si>
    <t>['Bakhsh, Wazeer', 'Fiori, Chiara', 'de Luca, Stefano']</t>
  </si>
  <si>
    <t>55</t>
  </si>
  <si>
    <t>['https://doi.org/10.1007/978-3-031-65329-2_23']</t>
  </si>
  <si>
    <t>['Industry 4.0', 'Container Terminal Digital transformation', 'Port Sustainability', 'Smart Port', 'Smart Port KPIs']</t>
  </si>
  <si>
    <t>385</t>
  </si>
  <si>
    <t>['Alho, Riku', 'Raatikainen, Mikko', 'Myllyaho, Lalli', 'Nurminen, Jukka K.']</t>
  </si>
  <si>
    <t>56</t>
  </si>
  <si>
    <t>['https://doi.org/10.1007/978-3-031-66459-5_2']</t>
  </si>
  <si>
    <t>['deep learning', 'systematic literature review', 'modular neural networks', 'modularity']</t>
  </si>
  <si>
    <t>173</t>
  </si>
  <si>
    <t>['Serrano-Gutierrez, Pablo', 'Ayala, Inmaculada']</t>
  </si>
  <si>
    <t>57</t>
  </si>
  <si>
    <t>['https://doi.org/10.1007/978-3-031-66459-5_8']</t>
  </si>
  <si>
    <t>['serverless', 'sustainability', 'self-adaptive']</t>
  </si>
  <si>
    <t>['Tsutsumi, Keishin', 'Phung-Duc, Tuan', 'Truong, Hong-Linh']</t>
  </si>
  <si>
    <t>58</t>
  </si>
  <si>
    <t>['https://doi.org/10.1007/978-3-031-70753-7_7']</t>
  </si>
  <si>
    <t>216</t>
  </si>
  <si>
    <t>['Dini, Vick', 'Tamburri, Damian Andrew', 'Di Nitto, Elisabetta']</t>
  </si>
  <si>
    <t>['https://doi.org/10.1007/978-3-031-70797-1_19']</t>
  </si>
  <si>
    <t>['software architecture', 'software engineering', 'charging station', 'cloud-edge computing', 'electric vehicle', 'fast charging']</t>
  </si>
  <si>
    <t>320</t>
  </si>
  <si>
    <t>['Stentoumis, Christos', 'Katsiokalis, Minas', 'Bikiris, Panagiotis', 'Karantakis, Nikos']</t>
  </si>
  <si>
    <t>60</t>
  </si>
  <si>
    <t>['https://doi.org/10.1007/978-3-031-71707-9_18']</t>
  </si>
  <si>
    <t>['BIM', 'building life-cycle management', 'Mixed Reality']</t>
  </si>
  <si>
    <t>368</t>
  </si>
  <si>
    <t>['Brandon, Colm', 'Singh, Amandeep', 'Margaria, Tiziana']</t>
  </si>
  <si>
    <t>61</t>
  </si>
  <si>
    <t>['https://doi.org/10.1007/978-3-031-73741-1_15']</t>
  </si>
  <si>
    <t>['Artificial Intelligence Applications', 'Digital Thread', 'Health Informatics', 'Low-code/no-code', 'Model Driven Development']</t>
  </si>
  <si>
    <t>['Clausen, Christian Skafte Beck', 'Lehnhoff, Sebastian', 'Schwarz, Jan Sören', 'Jørgensen, Bo Nørregaard', 'Ma, Zheng Grace']</t>
  </si>
  <si>
    <t>62</t>
  </si>
  <si>
    <t>['https://doi.org/10.1007/978-3-031-74738-0_12']</t>
  </si>
  <si>
    <t>['challenges', 'co-simulation', 'cyber-physical system', 'Economic dispatch', 'greenhouse', 'SIL', 'simulation-to-reality gap', 'software-in-the-loop', 'transition']</t>
  </si>
  <si>
    <t>90</t>
  </si>
  <si>
    <t>['Steidl, Monika', 'Leitner, Michael', 'Urbanke, Pirmin', 'Gattringer, Marko', 'Felderer, Michael', 'Ristov, Sashko']</t>
  </si>
  <si>
    <t>63</t>
  </si>
  <si>
    <t>['https://doi.org/10.1007/978-3-031-78386-9_31']</t>
  </si>
  <si>
    <t>['Metrics', 'Anomaly detection during runtime', 'Logs', 'Microservice', 'Monitoring data', 'PLS-SEM', 'Structural equation model', 'Traces']</t>
  </si>
  <si>
    <t>27</t>
  </si>
  <si>
    <t>['Faria, Bruno', 'Abreu, David Perez', 'Velasquez, Karima', 'Curado, Marília']</t>
  </si>
  <si>
    <t>['https://doi.org/10.1007/978-3-031-81375-7_15']</t>
  </si>
  <si>
    <t>2025</t>
  </si>
  <si>
    <t>['Machine learning', 'Cloud-to-edge continuum', 'Anomaly management', 'Self-X', 'Time-series classification', 'Zero-touch']</t>
  </si>
  <si>
    <t>229</t>
  </si>
  <si>
    <t>['Akmal, Muhammad Uzair', 'Asif, Saara', 'Koval, Leonid', 'Mathias, Selvine G.', 'Knollmeyer, Simon', 'Grossmann, Daniel']</t>
  </si>
  <si>
    <t>65</t>
  </si>
  <si>
    <t>['https://doi.org/10.1007/978-3-031-81542-3_11']</t>
  </si>
  <si>
    <t>['Artificial intelligence', 'Data analysis', 'Data quality', 'Data-centric']</t>
  </si>
  <si>
    <t>100</t>
  </si>
  <si>
    <t>['HoseinyFarahabady, MohammadReza', 'Lee, Young Choon', 'Zomaya, Albert Y.', 'Tari, Zahir']</t>
  </si>
  <si>
    <t>['https://doi.org/10.1007/978-3-319-69035-3_17']</t>
  </si>
  <si>
    <t>['Microservices', 'Dynamic resource allocation', 'Function as a Service (FaaS)', 'Serverless Lambda Platform']</t>
  </si>
  <si>
    <t>372</t>
  </si>
  <si>
    <t>['Ravindra, Pushkara', 'Khochare, Aakash', 'Reddy, Siva Prakash', 'Sharma, Sarthak', 'Varshney, Prateeksha', 'Simmhan, Yogesh']</t>
  </si>
  <si>
    <t>67</t>
  </si>
  <si>
    <t>['https://doi.org/10.1007/978-3-319-69035-3_28']</t>
  </si>
  <si>
    <t>118</t>
  </si>
  <si>
    <t>['Sedlak, Boris', 'Morichetta, Andrea', 'Wang, Yuhao', 'Fei, Yang', 'Wang, Liang', 'Dustdar, Schahram', 'Qu, Xiaobo']</t>
  </si>
  <si>
    <t>68</t>
  </si>
  <si>
    <t>['https://doi.org/10.1007/978-981-96-0808-9_6']</t>
  </si>
  <si>
    <t>['Microservices', 'Edge Computing', 'Bayesian Networks', 'Intelligent Transportation', 'Offloading', 'Service Level Objectives']</t>
  </si>
  <si>
    <t>223</t>
  </si>
  <si>
    <t>['Reichelt, David Georg', 'Kühne, Stefan', 'Hasselbring, Wilhelm']</t>
  </si>
  <si>
    <t>69</t>
  </si>
  <si>
    <t>['https://doi.org/10.1109/ASE.2019.00123']</t>
  </si>
  <si>
    <t>362</t>
  </si>
  <si>
    <t>['Zhao, Yixue']</t>
  </si>
  <si>
    <t>70</t>
  </si>
  <si>
    <t>['https://doi.org/10.1109/ICSE-Companion.2019.00086']</t>
  </si>
  <si>
    <t>374</t>
  </si>
  <si>
    <t>['Lanubile, Filippo', 'Martínez-Fernández, Silverio', 'Quaranta, Luigi']</t>
  </si>
  <si>
    <t>['https://doi.org/10.1109/ICSE-SEET58685.2023.00015']</t>
  </si>
  <si>
    <t>['machine learning', 'data science', 'model deployment', 'reproducibility', 'software engineering for AI']</t>
  </si>
  <si>
    <t>336</t>
  </si>
  <si>
    <t>['Sampaio, Adalberto R.', 'Beschastnikh, Ivan', 'Maier, Daryl', 'Bourne, Don', 'Sundaresen, Vijay']</t>
  </si>
  <si>
    <t>['https://doi.org/10.1109/ICSE-SEIP58684.2023.00038']</t>
  </si>
  <si>
    <t>['microservices', 'kubernetes', 'auto-tuning', 'elastic cloud environments']</t>
  </si>
  <si>
    <t>315</t>
  </si>
  <si>
    <t>['Fowers, Jeremy', 'Ovtcharov, Kalin', 'Papamichael, Michael', 'Massengill, Todd', 'Liu, Ming', 'Lo, Daniel', 'Alkalay, Shlomi', 'Haselman, Michael', 'Adams, Logan', 'Ghandi, Mahdi', 'Heil, Stephen', 'Patel, Prerak', 'Sapek, Adam', 'Weisz, Gabriel', 'Woods, Lisa', 'Lanka, Sitaram', 'Reinhardt, Steven K.', 'Caulfield, Adrian M.', 'Chung, Eric S.', 'Burger, Doug']</t>
  </si>
  <si>
    <t>73</t>
  </si>
  <si>
    <t>['https://doi.org/10.1109/ISCA.2018.00012']</t>
  </si>
  <si>
    <t>2018</t>
  </si>
  <si>
    <t>['accelerator architectures', 'field programmable gate arrays', 'neural network hardware']</t>
  </si>
  <si>
    <t>151</t>
  </si>
  <si>
    <t>['Adiga, Narasimha', 'Bonanno, James', 'Collura, Adam', 'Heizmann, Matthias', 'Prasky, Brian R.', 'Saporito, Anthony']</t>
  </si>
  <si>
    <t>74</t>
  </si>
  <si>
    <t>['https://doi.org/10.1109/ISCA45697.2020.00014']</t>
  </si>
  <si>
    <t>189</t>
  </si>
  <si>
    <t>['Gupta, Udit', 'Hsia, Samuel', 'Saraph, Vikram', 'Wang, Xiaodong', 'Reagen, Brandon', 'Wei, Gu-Yeon', 'Lee, Hsien-Hsin S.', 'Brooks, David', 'Wu, Carole-Jean']</t>
  </si>
  <si>
    <t>75</t>
  </si>
  <si>
    <t>['https://doi.org/10.1109/ISCA45697.2020.00084']</t>
  </si>
  <si>
    <t>156</t>
  </si>
  <si>
    <t>['Ghosh, Anyesha', 'Yadwadkar, Neeraja J.', 'Erez, Mattan']</t>
  </si>
  <si>
    <t>79</t>
  </si>
  <si>
    <t>['https://doi.org/10.1109/SC41406.2024.00103']</t>
  </si>
  <si>
    <t>['Cloud computing', 'microservices', 'datacenters', 'quality-of-service', 'resource management', 'serverless']</t>
  </si>
  <si>
    <t>150</t>
  </si>
  <si>
    <t>['Pan, Haochen', 'Chard, Ryan', 'Zhou, Sicheng', 'Kamatar, Alok', 'Vescovi, Rafael', 'Hayot-Sasson, Valérie', 'Bauer, André', 'Gonthier, Maxime', 'Chard, Kyle', 'Foster, Ian']</t>
  </si>
  <si>
    <t>80</t>
  </si>
  <si>
    <t>['https://doi.org/10.1109/SCW63240.2024.00071']</t>
  </si>
  <si>
    <t>['Event-driven architecture', 'research automation', 'scientific computing']</t>
  </si>
  <si>
    <t>391</t>
  </si>
  <si>
    <t>['Shilpika', 'Lusch, Bethany', 'Vishwanath, Venkatram', 'Papka, Michael E.']</t>
  </si>
  <si>
    <t>['https://doi.org/10.1109/SCW63240.2024.00197']</t>
  </si>
  <si>
    <t>['scalability', 'Dynamic mode decomposition', 'high performance computing', 'incremental analysis', 'mrDMD', 'online analysis', 'visualization']</t>
  </si>
  <si>
    <t>335</t>
  </si>
  <si>
    <t>['Lepekhin, Aleksandr', 'Borremans, Alexandra', 'Ilin, Igor', 'Jantunen, Sami']</t>
  </si>
  <si>
    <t>82</t>
  </si>
  <si>
    <t>['https://doi.org/10.1109/SERP4IoT.2019.00009']</t>
  </si>
  <si>
    <t>['IoT', 'internet of things', 'IoT challenges', 'IoT development', 'systematic mapping study']</t>
  </si>
  <si>
    <t>249</t>
  </si>
  <si>
    <t>['Pham, Minh', 'Hoang, Doan B.', 'Chaczko, Zenon']</t>
  </si>
  <si>
    <t>83</t>
  </si>
  <si>
    <t>['https://doi.org/10.1109/TNET.2019.2958367']</t>
  </si>
  <si>
    <t>['Luu, Quang-Trung', 'Kerboeuf, Sylvaine', 'Mouradian, Alexandre', 'Kieffer, Michel']</t>
  </si>
  <si>
    <t>['https://doi.org/10.1109/TNET.2020.3019098']</t>
  </si>
  <si>
    <t>345</t>
  </si>
  <si>
    <t>['Li, Jing', 'Guo, Song', 'Liang, Weifa', 'Wang, Jianping', 'Chen, Quan', 'Xu, Zichuan', 'Xu, Wenzheng']</t>
  </si>
  <si>
    <t>85</t>
  </si>
  <si>
    <t>['https://doi.org/10.1109/TNET.2023.3324704']</t>
  </si>
  <si>
    <t>250</t>
  </si>
  <si>
    <t>['Wang, Ziliang', 'Zhu, Shiyi', 'Li, Jianguo', 'Jiang, Wei', 'Ramakrishnan, K. K.', 'Yan, Meng', 'Zhang, Xiaohong', 'Liu, Alex X.']</t>
  </si>
  <si>
    <t>86</t>
  </si>
  <si>
    <t>['https://doi.org/10.1109/TNET.2024.3400953']</t>
  </si>
  <si>
    <t>139</t>
  </si>
  <si>
    <t>['Salapura, Valentina', 'Beaty, Kirk A.', 'Bivens, Alan', 'Kim, Minkyong', 'Li, Min']</t>
  </si>
  <si>
    <t>87</t>
  </si>
  <si>
    <t>['https://doi.org/10.1145/2742854.2747279']</t>
  </si>
  <si>
    <t>2015</t>
  </si>
  <si>
    <t>['cloud computing', 'agile cluster provisioning', 'analytics application', 'analytics platform', 'cluster sizing', 'in memory computing', 'MapReduce', 'spark']</t>
  </si>
  <si>
    <t>276</t>
  </si>
  <si>
    <t>['Cito, Jürgen', 'Leitner, Philipp', 'Fritz, Thomas', 'Gall, Harald C.']</t>
  </si>
  <si>
    <t>88</t>
  </si>
  <si>
    <t>['https://doi.org/10.1145/2786805.2786826']</t>
  </si>
  <si>
    <t>['cloud computing', 'user study']</t>
  </si>
  <si>
    <t>316</t>
  </si>
  <si>
    <t>['Liechti, Olivier', 'Prévost, Laurent', 'Delaye, Valentin', 'Hennebert, Jean', 'Grivel, Vincent', 'Rey, Jean-Philippe', 'Depraz, Jonathan', 'Sommer, Marc']</t>
  </si>
  <si>
    <t>89</t>
  </si>
  <si>
    <t>['https://doi.org/10.1145/2834791.2834794']</t>
  </si>
  <si>
    <t>['smart city', 'integration middleware', 'rule engine']</t>
  </si>
  <si>
    <t>208</t>
  </si>
  <si>
    <t>['Reiss, Steven P.', 'Xin, Qi']</t>
  </si>
  <si>
    <t>['https://doi.org/10.1145/2897829.2897831']</t>
  </si>
  <si>
    <t>2016</t>
  </si>
  <si>
    <t>['distributed systems', 'evolution', 'interfaces']</t>
  </si>
  <si>
    <t>375</t>
  </si>
  <si>
    <t>['Carver, Jeffrey C.', 'Dieste, Oscar', 'Kraft, Nicholas A.', 'Lo, David', 'Zimmermann, Thomas']</t>
  </si>
  <si>
    <t>['https://doi.org/10.1145/2961111.2962597']</t>
  </si>
  <si>
    <t>['Survey', 'ESEM Conference', 'Industrial Relevance']</t>
  </si>
  <si>
    <t>402</t>
  </si>
  <si>
    <t>['Boussaa, Mohamed', 'Barais, Olivier', 'Baudry, Benoit', 'Sunyé, Gerson']</t>
  </si>
  <si>
    <t>92</t>
  </si>
  <si>
    <t>['https://doi.org/10.1145/2993236.2993256']</t>
  </si>
  <si>
    <t>['code generator', 'code quality', 'non-functional properties', 'testing']</t>
  </si>
  <si>
    <t>309</t>
  </si>
  <si>
    <t>['Díaz, Jessica', 'Pérez, Jennifer', 'Pérez, Jorge', 'Garbajosa, Juan']</t>
  </si>
  <si>
    <t>93</t>
  </si>
  <si>
    <t>['https://doi.org/10.1145/2993412.3004852']</t>
  </si>
  <si>
    <t>['cloud computing', 'microservices', 'software architecture', 'cyber-physical systems', 'model-driven development']</t>
  </si>
  <si>
    <t>267</t>
  </si>
  <si>
    <t>['Carrega, A.', 'Repetto, M.']</t>
  </si>
  <si>
    <t>94</t>
  </si>
  <si>
    <t>['https://doi.org/10.1145/2996890.3007878']</t>
  </si>
  <si>
    <t>['energy efficiency', 'consolidation algorithms', 'green data centers', 'software development paradigms']</t>
  </si>
  <si>
    <t>['Cloete, A. H.', 'Booysen, M. J.', 'Sandell, R. C.', 'van der Merwe, A. B.']</t>
  </si>
  <si>
    <t>95</t>
  </si>
  <si>
    <t>['https://doi.org/10.1145/3018896.3025168']</t>
  </si>
  <si>
    <t>['internet of things', 'smart cities', 'electric water heaters']</t>
  </si>
  <si>
    <t>238</t>
  </si>
  <si>
    <t>['Mohamed, Saleh', 'Forshaw, Matthew', 'Thomas, Nigel', 'Dinn, Andrew']</t>
  </si>
  <si>
    <t>96</t>
  </si>
  <si>
    <t>['https://doi.org/10.1145/3030207.3030245']</t>
  </si>
  <si>
    <t>['performance', 'dependability', 'fault injection', 'event-based systems']</t>
  </si>
  <si>
    <t>241</t>
  </si>
  <si>
    <t>['Nitu, Vlad', 'Olivier, Pierre', 'Tchana, Alain', 'Chiba, Daniel', 'Barbalace, Antonio', 'Hagimont, Daniel', 'Ravindran, Binoy']</t>
  </si>
  <si>
    <t>97</t>
  </si>
  <si>
    <t>['https://doi.org/10.1145/3050748.3050758']</t>
  </si>
  <si>
    <t>['Cloud Computing', 'Elasticity', 'Scalability', 'Virtualization']</t>
  </si>
  <si>
    <t>247</t>
  </si>
  <si>
    <t>['Fiebig, Florian', 'Kochanneck, Sebastian', 'Mauser, Ingo', 'Schmeck, Hartmut']</t>
  </si>
  <si>
    <t>98</t>
  </si>
  <si>
    <t>['https://doi.org/10.1145/3077839.3081675']</t>
  </si>
  <si>
    <t>['Information Fusion', 'Occupancy Detection', 'Smart Building']</t>
  </si>
  <si>
    <t>350</t>
  </si>
  <si>
    <t>['Rosenberg, Doug', 'Boehm, Barry', 'Wang, Bo', 'Qi, Kan']</t>
  </si>
  <si>
    <t>99</t>
  </si>
  <si>
    <t>['https://doi.org/10.1145/3084100.3084107']</t>
  </si>
  <si>
    <t>['microservice architecture', 'code generation', 'agile development', 'ICSM', 'MVC', 'NoSQL', 'parallel development', 'rapid delivery', 'resilient software', 'REST', 'scalable software development', 'schedule compression', 'UML modeling', 'use case driven development']</t>
  </si>
  <si>
    <t>202</t>
  </si>
  <si>
    <t>['Antonić, Aleksandar', 'Marjanović, Martina', 'Žarko, Ivana Podnar']</t>
  </si>
  <si>
    <t>['https://doi.org/10.1145/3093742.3093928']</t>
  </si>
  <si>
    <t>['Internet of Things', 'input load', 'model', 'Smart City services']</t>
  </si>
  <si>
    <t>225</t>
  </si>
  <si>
    <t>['Liu, Xuanzhe', 'Yu, Meihua', 'Ma, Yun', 'Huang, Gang', 'Mei, Hong', 'Liu, Yunxin']</t>
  </si>
  <si>
    <t>['https://doi.org/10.1145/3093899']</t>
  </si>
  <si>
    <t>['performance', 'energy', 'JavaScript offloading', 'Mobile Web']</t>
  </si>
  <si>
    <t>332</t>
  </si>
  <si>
    <t>['Król, Michał', 'Psaras, Ioannis']</t>
  </si>
  <si>
    <t>103</t>
  </si>
  <si>
    <t>['https://doi.org/10.1145/3125719.3125727']</t>
  </si>
  <si>
    <t>['mobile edge computing', 'function migration', 'information centric networking', 'network architectures', 'networks']</t>
  </si>
  <si>
    <t>211</t>
  </si>
  <si>
    <t>['Le, Yanfang', 'Chang, Hyunseok', 'Mukherjee, Sarit', 'Wang, Limin', 'Akella, Aditya', 'Swift, Michael M.', 'Lakshman, T. V.']</t>
  </si>
  <si>
    <t>104</t>
  </si>
  <si>
    <t>['https://doi.org/10.1145/3127479.3132252']</t>
  </si>
  <si>
    <t>['networking and SDNs', 'virtualization and containers']</t>
  </si>
  <si>
    <t>169</t>
  </si>
  <si>
    <t>['Ferroni, Matteo', 'Corna, Andrea', 'Damiani, Andrea', 'Brondolin, Rolando', 'Kubiatowicz, John D.', 'Sciuto, Donatella', 'Santambrogio, Marco D.']</t>
  </si>
  <si>
    <t>105</t>
  </si>
  <si>
    <t>['https://doi.org/10.1145/3127499']</t>
  </si>
  <si>
    <t>['autoregressive with exogenous variable models', 'discrete Markov models', 'Model-as-a-service', 'resource consumption']</t>
  </si>
  <si>
    <t>106</t>
  </si>
  <si>
    <t>['Yi, Shanhe', 'Hao, Zijiang', 'Zhang, Qingyang', 'Zhang, Quan', 'Shi, Weisong', 'Li, Qun']</t>
  </si>
  <si>
    <t>107</t>
  </si>
  <si>
    <t>['https://doi.org/10.1145/3132211.3134459']</t>
  </si>
  <si>
    <t>['edge computing', 'computation offloading']</t>
  </si>
  <si>
    <t>159</t>
  </si>
  <si>
    <t>['Gusev, Marjan', 'Patel, Shushma', 'Tasic, Jurij']</t>
  </si>
  <si>
    <t>108</t>
  </si>
  <si>
    <t>['https://doi.org/10.1145/3136273.3136283']</t>
  </si>
  <si>
    <t>['Adaptive environment', 'Avatars', 'elderly support', 'Self-health Care', 'Social Networks', 'Tablets', 'wearable telemedicine sensors']</t>
  </si>
  <si>
    <t>396</t>
  </si>
  <si>
    <t>['Andersen, Michael P', 'Kolb, John', 'Chen, Kaifei', 'Culler, David E.', 'Katz, Randy']</t>
  </si>
  <si>
    <t>['https://doi.org/10.1145/3137133.3137151']</t>
  </si>
  <si>
    <t>['microservices', 'federation', 'syndication', 'built environment']</t>
  </si>
  <si>
    <t>273</t>
  </si>
  <si>
    <t>['Sampaio, Lilia', 'Silva, Fábio', 'Souza, Amanda', 'Brito, Andrey', 'Felber, Pascal']</t>
  </si>
  <si>
    <t>112</t>
  </si>
  <si>
    <t>['https://doi.org/10.1145/3147213.3147230']</t>
  </si>
  <si>
    <t>['cloud computing', 'iot', 'data security', 'privacy', 'sgx', 'trusted execution']</t>
  </si>
  <si>
    <t>280</t>
  </si>
  <si>
    <t>['Martins, Lucas M. C. e', 'Filho, Francisco L. de Caldas', 'Júnior, Rafael T. de Sousa', 'Giozza, William F.', 'da Costa, João Paulo C.L.']</t>
  </si>
  <si>
    <t>113</t>
  </si>
  <si>
    <t>['https://doi.org/10.1145/3147234.3148092']</t>
  </si>
  <si>
    <t>['cloud computing', 'microservices', 'dependability', 'internet of things (iot)', 'middleware', 'soa.']</t>
  </si>
  <si>
    <t>['Mahmud, Redowan', 'Koch, Fernando Luiz', 'Buyya, Rajkumar']</t>
  </si>
  <si>
    <t>114</t>
  </si>
  <si>
    <t>['https://doi.org/10.1145/3154273.3154347']</t>
  </si>
  <si>
    <t>['Cloud computing', 'Fog computing', 'Internet of Things', 'HealthCare', 'Interoperable architecture']</t>
  </si>
  <si>
    <t>['Tesfatsion, Selome Kostentinos', 'Klein, Cristian', 'Tordsson, Johan']</t>
  </si>
  <si>
    <t>115</t>
  </si>
  <si>
    <t>['https://doi.org/10.1145/3184407.3184414']</t>
  </si>
  <si>
    <t>['performance', 'containers', 'power', 'isolation', 'resource usage', 'virtualization overhead', 'VMS']</t>
  </si>
  <si>
    <t>144</t>
  </si>
  <si>
    <t>['Knoche, Holger', 'Eichelberger, Holger']</t>
  </si>
  <si>
    <t>116</t>
  </si>
  <si>
    <t>['https://doi.org/10.1145/3184407.3184431']</t>
  </si>
  <si>
    <t>['performance benchmark', 'Raspberry pi', 'replicability', 'single-board computer']</t>
  </si>
  <si>
    <t>310</t>
  </si>
  <si>
    <t>['Calegari, Patrice', 'Levrier, Marc', 'Balczyński, Paweł']</t>
  </si>
  <si>
    <t>117</t>
  </si>
  <si>
    <t>['https://doi.org/10.1145/3197385']</t>
  </si>
  <si>
    <t>['cloud computing', 'HPC', 'application templates', 'customizable GUI', 'dashboards', 'High-performance computing', 'HPC-as-a-service', 'HPCaaS', 'job management', 'RESTful API', 'SaaS', 'science gateway', 'service-oriented architectures', 'software-as-a-service', 'user interface', 'web portal']</t>
  </si>
  <si>
    <t>205</t>
  </si>
  <si>
    <t>['Andersen, Michael P.', 'Kolb, John', 'Chen, Kaifei', 'Fierro, Gabe', 'Culler, David E.', 'Katz, Randy']</t>
  </si>
  <si>
    <t>['https://doi.org/10.1145/3199665']</t>
  </si>
  <si>
    <t>['microservices', 'Built environment', 'federation', 'syndication']</t>
  </si>
  <si>
    <t>272</t>
  </si>
  <si>
    <t>['Meißner, Echo', 'Erb, Benjamin', 'Kargl, Frank', 'Tichy, Matthias']</t>
  </si>
  <si>
    <t>119</t>
  </si>
  <si>
    <t>['https://doi.org/10.1145/3210284.3210285']</t>
  </si>
  <si>
    <t>['serverless computing', 'event processing', 'event sourcing', 'event-driven architecture', 'retroaction', 'retroactive computing']</t>
  </si>
  <si>
    <t>367</t>
  </si>
  <si>
    <t>['Meißner, Echo', 'Erb, Benjamin', 'Kargl, Frank']</t>
  </si>
  <si>
    <t>120</t>
  </si>
  <si>
    <t>['https://doi.org/10.1145/3210284.3219770']</t>
  </si>
  <si>
    <t>['event processing', 'event sourcing', 'performance engineering']</t>
  </si>
  <si>
    <t>['Sampedro, Zebula', 'Holt, Aaron', 'Hauser, Thomas']</t>
  </si>
  <si>
    <t>121</t>
  </si>
  <si>
    <t>['https://doi.org/10.1145/3219104.3219147']</t>
  </si>
  <si>
    <t>['containers', 'continuous delivery', 'continuous deployment', 'continuous integration', 'MFIX-Exa', 'Singularity', 'software automation', 'software builds']</t>
  </si>
  <si>
    <t>254</t>
  </si>
  <si>
    <t>['Ciobanu, Cătălin Bogdan', 'Stramondo, Giulio', 'Varbanescu, Ana Lucia', 'Brokalakis, Andreas', 'Nikitakis, Antonis', 'Tucci, Lorenzo Di', 'Rabozzi, Marco', 'Stornaiuolo, Luca', 'Santambrogio, Marco', 'Chrysos, Grigorios', 'Vatsolakis, Charalampos', 'Georgios, Charitopoulos', 'Pnevmatikatos, Dionisios']</t>
  </si>
  <si>
    <t>122</t>
  </si>
  <si>
    <t>['https://doi.org/10.1145/3229631.3236092']</t>
  </si>
  <si>
    <t>['FPGA', 'CAOS', 'DAER', 'exascale', 'PolyMem', 'polymorphic', 'RACOS']</t>
  </si>
  <si>
    <t>182</t>
  </si>
  <si>
    <t>['Azimi, Reza', 'Fox, Tyler', 'Gonzalez, Wendy', 'Reda, Sherief']</t>
  </si>
  <si>
    <t>123</t>
  </si>
  <si>
    <t>['https://doi.org/10.1145/3232162']</t>
  </si>
  <si>
    <t>['ARM computing', 'GPGPU acceleration', 'scale-out clusters']</t>
  </si>
  <si>
    <t>140</t>
  </si>
  <si>
    <t>['Li, Fei', 'Gelbke, Lars']</t>
  </si>
  <si>
    <t>['https://doi.org/10.1145/3234152.3234196']</t>
  </si>
  <si>
    <t>['microservice', 'edge computing', 'industrial software']</t>
  </si>
  <si>
    <t>201</t>
  </si>
  <si>
    <t>['Herbst, Nikolas', 'Bauer, André', 'Kounev, Samuel', 'Oikonomou, Giorgos', 'Eyk, Erwin Van', 'Kousiouris, George', 'Evangelinou, Athanasia', 'Krebs, Rouven', 'Brecht, Tim', 'Abad, Cristina L.', 'Iosup, Alexandru']</t>
  </si>
  <si>
    <t>125</t>
  </si>
  <si>
    <t>['https://doi.org/10.1145/3236332']</t>
  </si>
  <si>
    <t>['cloud', 'Metrics', 'benchmarking', 'availability', 'elasticity', 'operational risk', 'performance isolation', 'performance variability']</t>
  </si>
  <si>
    <t>['Muccini, Henry', 'Spalazzese, Romina', 'Moghaddam, Mahyar T.', 'Sharaf, Mohammad']</t>
  </si>
  <si>
    <t>['https://doi.org/10.1145/3241403.3241424']</t>
  </si>
  <si>
    <t>['self-adaptation', 'IoT', 'architectural patterns and styles', 'quality attributes', 'urban security']</t>
  </si>
  <si>
    <t>['Buyya, Rajkumar', 'Srirama, Satish Narayana', 'Casale, Giuliano', 'Calheiros, Rodrigo', 'Simmhan, Yogesh', 'Varghese, Blesson', 'Gelenbe, Erol', 'Javadi, Bahman', 'Vaquero, Luis Miguel', 'Netto, Marco A. S.', 'Toosi, Adel Nadjaran', 'Rodriguez, Maria Alejandra', 'Llorente, Ignacio M.', 'Vimercati, Sabrina De Capitani Di', 'Samarati, Pierangela', 'Milojicic, Dejan', 'Varela, Carlos', 'Bahsoon, Rami', 'Assuncao, Marcos Dias De', 'Rana, Omer', 'Zhou, Wanlei', 'Jin, Hai', 'Gentzsch, Wolfgang', 'Zomaya, Albert Y.', 'Shen, Haiying']</t>
  </si>
  <si>
    <t>127</t>
  </si>
  <si>
    <t>['https://doi.org/10.1145/3241737']</t>
  </si>
  <si>
    <t>['Cloud computing', 'Fog computing', 'serverless computing', 'sustainability', 'scalability', 'application development', 'Cloud economics', 'data management', 'InterCloud']</t>
  </si>
  <si>
    <t>296</t>
  </si>
  <si>
    <t>['Siddiqui, Sarah Ali', 'Mahmood, Adnan']</t>
  </si>
  <si>
    <t>128</t>
  </si>
  <si>
    <t>['https://doi.org/10.1145/3267195.3267200']</t>
  </si>
  <si>
    <t>['fog computing', 'big data analytics', 'intelligent transportation systems', 'internet of vehicles']</t>
  </si>
  <si>
    <t>187</t>
  </si>
  <si>
    <t>['Garzon, Sandro Rodriguez', 'Walther, Sebastian', 'Pang, Shaoning', 'Deva, Bersant', 'Küpper, Axel']</t>
  </si>
  <si>
    <t>['https://doi.org/10.1145/3277593.3277599']</t>
  </si>
  <si>
    <t>['air quality', 'context-aware computing', 'geofencing', 'location-based services', 'smart city', 'urban sensing']</t>
  </si>
  <si>
    <t>346</t>
  </si>
  <si>
    <t>['Akkermans, Sven', 'Crispo, Bruno', 'Joosen, Wouter', 'Hughes, Danny']</t>
  </si>
  <si>
    <t>130</t>
  </si>
  <si>
    <t>['https://doi.org/10.1145/3286978.3286997']</t>
  </si>
  <si>
    <t>['Internet of Things', 'Security', 'Interoperability', 'Services']</t>
  </si>
  <si>
    <t>194</t>
  </si>
  <si>
    <t>['Vu, Tran Hoang', 'Dai, Nghia Hoang Ba', 'Khanh, Hong Nguyen Thi', 'Quang, Dong Nguyen Vo']</t>
  </si>
  <si>
    <t>131</t>
  </si>
  <si>
    <t>['https://doi.org/10.1145/3287921.3287966']</t>
  </si>
  <si>
    <t>['IoT', 'Smart city', 'Micro-Services', 'NFC', 'Smart Tourism']</t>
  </si>
  <si>
    <t>344</t>
  </si>
  <si>
    <t>['Fang, Zhou', 'Lin, Jeng-Hau', 'Srivastava, Mani B.', 'Gupta, Rajesh K.']</t>
  </si>
  <si>
    <t>132</t>
  </si>
  <si>
    <t>['https://doi.org/10.1145/3288599.3288634']</t>
  </si>
  <si>
    <t>142</t>
  </si>
  <si>
    <t>['Li, Ang', 'Geng, Tong', 'Wang, Tianqi', 'Herbordt, Martin', 'Song, Shuaiwen Leon', 'Barker, Kevin']</t>
  </si>
  <si>
    <t>133</t>
  </si>
  <si>
    <t>['https://doi.org/10.1145/3295500.3356169']</t>
  </si>
  <si>
    <t>175</t>
  </si>
  <si>
    <t>['Neatu, Darius-Florentin', 'Stochitoiu, Radu-Dumitru', 'Postoaca, Andrei-Vlad', 'Filip, Ion-Dorinel', 'Pop, Florin']</t>
  </si>
  <si>
    <t>134</t>
  </si>
  <si>
    <t>['https://doi.org/10.1145/3297280.3297427']</t>
  </si>
  <si>
    <t>['cloud computing', 'microservices', 'edge computing', 'auto-scalability', 'data processing']</t>
  </si>
  <si>
    <t>['Karhula, Pekka', 'Janak, Jan', 'Schulzrinne, Henning']</t>
  </si>
  <si>
    <t>135</t>
  </si>
  <si>
    <t>['https://doi.org/10.1145/3301418.3313947']</t>
  </si>
  <si>
    <t>['serverless', 'Internet of Things', 'checkpointing', 'function as a service', 'light-weight virtualization']</t>
  </si>
  <si>
    <t>270</t>
  </si>
  <si>
    <t>['Puliafito, Carlo', 'Mingozzi, Enzo', 'Longo, Francesco', 'Puliafito, Antonio', 'Rana, Omer']</t>
  </si>
  <si>
    <t>136</t>
  </si>
  <si>
    <t>['https://doi.org/10.1145/3301443']</t>
  </si>
  <si>
    <t>['cloud computing', 'Fog computing', 'internet of things', 'topological proximity']</t>
  </si>
  <si>
    <t>348</t>
  </si>
  <si>
    <t>['Fang, Zhou', 'Hong, Dezhi', 'Gupta, Rajesh K.']</t>
  </si>
  <si>
    <t>137</t>
  </si>
  <si>
    <t>['https://doi.org/10.1145/3304109.3306221']</t>
  </si>
  <si>
    <t>['cloud computing', 'edge computing', 'computer vision', 'deep neural networks', 'mobile computing']</t>
  </si>
  <si>
    <t>221</t>
  </si>
  <si>
    <t>138</t>
  </si>
  <si>
    <t>['https://doi.org/10.1145/3307630.3342385']</t>
  </si>
  <si>
    <t>['variability', 'model', 'software product line', 'attribute', 'NFQA', 'numerical']</t>
  </si>
  <si>
    <t>['Merlino, Giovanni', 'Dautov, Rustem', 'Distefano, Salvatore', 'Bruneo, Dario']</t>
  </si>
  <si>
    <t>['https://doi.org/10.1145/3309705']</t>
  </si>
  <si>
    <t>['cloud computing', 'edge', 'IoT', 'Fog', 'big data', 'offloading', 'smart environment', 'Stack4Things']</t>
  </si>
  <si>
    <t>['Nguyen, Chanh', 'Mehta, Amardeep', 'Klein, Cristian', 'Elmroth, Erik']</t>
  </si>
  <si>
    <t>['https://doi.org/10.1145/3318216.3363298']</t>
  </si>
  <si>
    <t>['edge latency', 'micro-service', 'mobile application development', 'mobile edge clouds', 'profiling']</t>
  </si>
  <si>
    <t>185</t>
  </si>
  <si>
    <t>['Boubin, Jayson G.', 'Babu, Naveen T. R.', 'Stewart, Christopher', 'Chumley, John', 'Zhang, Shiqi']</t>
  </si>
  <si>
    <t>141</t>
  </si>
  <si>
    <t>['https://doi.org/10.1145/3318216.3363306']</t>
  </si>
  <si>
    <t>358</t>
  </si>
  <si>
    <t>['Wolski, Rich', 'Krintz, Chandra', 'Bakir, Fatih', 'George, Gareth', 'Lin, Wei-Tsung']</t>
  </si>
  <si>
    <t>['https://doi.org/10.1145/3318216.3363314']</t>
  </si>
  <si>
    <t>['serverless', 'IoT', 'distributed systems', 'append-only', 'cloud functions', 'portability']</t>
  </si>
  <si>
    <t>279</t>
  </si>
  <si>
    <t>['Tourani, Reza', 'Bos, Austin', 'Misra, Satyajayant', 'Esposito, Flavio']</t>
  </si>
  <si>
    <t>143</t>
  </si>
  <si>
    <t>['https://doi.org/10.1145/3318216.3363335']</t>
  </si>
  <si>
    <t>['security', 'microservice', 'edge computing', 'virtualization', 'NDN']</t>
  </si>
  <si>
    <t>218</t>
  </si>
  <si>
    <t>['Fleischmann, Albert', 'Stary, Christian']</t>
  </si>
  <si>
    <t>['https://doi.org/10.1145/3329007.3329009']</t>
  </si>
  <si>
    <t>['internet of things', 'events', 'reliable communications', 'S-BPM', 'shared input pool', 'subject orientation']</t>
  </si>
  <si>
    <t>300</t>
  </si>
  <si>
    <t>['Or-Meir, Ori', 'Nissim, Nir', 'Elovici, Yuval', 'Rokach, Lior']</t>
  </si>
  <si>
    <t>145</t>
  </si>
  <si>
    <t>['https://doi.org/10.1145/3329786']</t>
  </si>
  <si>
    <t>['behavioral analysis', 'detection', 'Dynamic analysis', 'evasion', 'malware']</t>
  </si>
  <si>
    <t>299</t>
  </si>
  <si>
    <t>['Kaur, Kuljeet', 'Garg, Sahil', 'Kaddoum, Georges', 'Ahmed, Syed Hassan', 'Jayakody, Dushantha Nalin K.']</t>
  </si>
  <si>
    <t>146</t>
  </si>
  <si>
    <t>['https://doi.org/10.1145/3331052.3332473']</t>
  </si>
  <si>
    <t>['Cloud Computing', 'Edge Computing', 'and Osmotic Computing', 'Energy Minimization', 'Extended Kalman Filter', 'Hyper-heuristics', 'Latency Minimization']</t>
  </si>
  <si>
    <t>['Cao, Suzhi', 'Han, Hao', 'Wei, Junyong', 'Zhao, Yi', 'Yang, Shuling', 'Yan, Lei']</t>
  </si>
  <si>
    <t>147</t>
  </si>
  <si>
    <t>['https://doi.org/10.1145/3331453.3361637']</t>
  </si>
  <si>
    <t>['Edge Computing', 'Virtualization', 'Cloud-fog computing system', 'Space-based information network']</t>
  </si>
  <si>
    <t>['Lin, Pingrong', 'Lin, Zheyuan', 'Shi, Xiaoquan']</t>
  </si>
  <si>
    <t>148</t>
  </si>
  <si>
    <t>['https://doi.org/10.1145/3335484.3335546']</t>
  </si>
  <si>
    <t>['micro-service', 'course selection system', 'dynamic resource expansion']</t>
  </si>
  <si>
    <t>265</t>
  </si>
  <si>
    <t>['Hou, Xiaofeng', 'Liu, Jiacheng', 'Li, Chao', 'Guo, Minyi']</t>
  </si>
  <si>
    <t>149</t>
  </si>
  <si>
    <t>['https://doi.org/10.1145/3337821.3337857']</t>
  </si>
  <si>
    <t>['Mendonça, Júlio', 'Cho, Jin-Hee', 'Moore, Terrence J.', 'Nelson, Frederica F.', 'Lim, Hyuk', 'Zimmermann, Armin', 'Kim, Dong Seong']</t>
  </si>
  <si>
    <t>['https://doi.org/10.1145/3341105.3374016']</t>
  </si>
  <si>
    <t>['moving target defense', 'performability', 'petri nets', 'software-defined networking']</t>
  </si>
  <si>
    <t>165</t>
  </si>
  <si>
    <t>['Balteanu, Vasile-Daniel', 'Neculai, Alexandru', 'Negru, Catalin', 'Pop, Florin', 'Stoica, Adrian']</t>
  </si>
  <si>
    <t>['https://doi.org/10.1145/3341105.3374046']</t>
  </si>
  <si>
    <t>['cloud computing', 'task scheduling', 'edge computing']</t>
  </si>
  <si>
    <t>['Wu, Caesar', 'Buyya, Rajkumar', 'Ramamohanarao, Kotagiri']</t>
  </si>
  <si>
    <t>152</t>
  </si>
  <si>
    <t>['https://doi.org/10.1145/3342103']</t>
  </si>
  <si>
    <t>['cloud price model', 'Cloud services provider (CSP)', 'cost-based pricing', 'market-based pricing', 'value-based pricing']</t>
  </si>
  <si>
    <t>275</t>
  </si>
  <si>
    <t>['Zhao, Laiping', 'Yang, Yanan', 'Zhang, Kaixuan', 'Zhou, Xiaobo', 'Qiu, Tie', 'Li, Keqiu', 'Bao, Yungang']</t>
  </si>
  <si>
    <t>153</t>
  </si>
  <si>
    <t>['https://doi.org/10.1145/3342195.3387534']</t>
  </si>
  <si>
    <t>177</t>
  </si>
  <si>
    <t>['Yussupov, Vladimir', 'Breitenbücher, Uwe', 'Leymann, Frank', 'Wurster, Michael']</t>
  </si>
  <si>
    <t>154</t>
  </si>
  <si>
    <t>['https://doi.org/10.1145/3344341.3368803']</t>
  </si>
  <si>
    <t>['serverless', 'systematic mapping study', 'function-as-a-service', 'faas']</t>
  </si>
  <si>
    <t>376</t>
  </si>
  <si>
    <t>['Duarte, Lucio Mauro', 'da Silva Alves, Danilo', 'Toresan, Bruno Ramos', 'Maia, Paulo Henrique', 'Silva, Davi']</t>
  </si>
  <si>
    <t>155</t>
  </si>
  <si>
    <t>['https://doi.org/10.1145/3350768.3353813']</t>
  </si>
  <si>
    <t>['Embedded Software', 'Energy Consumption Evaluation', 'Labelled Transition System', 'Model-based Analysis']</t>
  </si>
  <si>
    <t>['Liu, Xunyun', 'Buyya, Rajkumar']</t>
  </si>
  <si>
    <t>['https://doi.org/10.1145/3355399']</t>
  </si>
  <si>
    <t>['task scheduling', 'distributed stream processing systems', 'Resource management', 'stream processing']</t>
  </si>
  <si>
    <t>333</t>
  </si>
  <si>
    <t>['Golestani, Hossein', 'Mirhosseini, Amirhossein', 'Wenisch, Thomas F.']</t>
  </si>
  <si>
    <t>157</t>
  </si>
  <si>
    <t>['https://doi.org/10.1145/3357223.3362737']</t>
  </si>
  <si>
    <t>['data planes', 'spin-polling', 'user-level queues']</t>
  </si>
  <si>
    <t>['Hartley, Tim', 'Zakkak, Foivos S.', 'Kotselidis, Christos', 'Luján, Mikel']</t>
  </si>
  <si>
    <t>158</t>
  </si>
  <si>
    <t>['https://doi.org/10.1145/3357390.3361027']</t>
  </si>
  <si>
    <t>['AArch64', 'JIT compilation', 'RISC', 'Self modifying code']</t>
  </si>
  <si>
    <t>['Bosak, T.', 'Jantos, P.', 'Boryczko, K.']</t>
  </si>
  <si>
    <t>['https://doi.org/10.1145/3360774.3360790']</t>
  </si>
  <si>
    <t>['microservices', 'service discovery', 'simulation', 'edge cloud']</t>
  </si>
  <si>
    <t>303</t>
  </si>
  <si>
    <t>['Dobaj, Jürgen', 'Schuss, Markus', 'Krisper, Michael', 'Boano, Carlo Alberto', 'Macher, Georg']</t>
  </si>
  <si>
    <t>160</t>
  </si>
  <si>
    <t>['https://doi.org/10.1145/3361149.3361174']</t>
  </si>
  <si>
    <t>['microservices', 'cloud architecture', 'dependability', 'IaaS', 'IIoT', 'industry 4.0', 'infrastructure-as-a-service', 'IoT', 'logical mesh pattern', 'network architecture', 'network design', 'physical mesh pattern', 'service mesh pattern', 'service-oriented architecture', 'SoA']</t>
  </si>
  <si>
    <t>337</t>
  </si>
  <si>
    <t>['Jayaram, K. R.', 'Muthusamy, Vinod', 'Dube, Parijat', 'Ishakian, Vatche', 'Wang, Chen', 'Herta, Benjamin', 'Boag, Scott', 'Arroyo, Diana', 'Tantawi, Asser', 'Verma, Archit', 'Pollok, Falk', 'Khalaf, Rania']</t>
  </si>
  <si>
    <t>161</t>
  </si>
  <si>
    <t>['https://doi.org/10.1145/3361525.3361538']</t>
  </si>
  <si>
    <t>['cluster scheduling', 'deep learning platform', 'fault tolerance', 'gang scheduling']</t>
  </si>
  <si>
    <t>302</t>
  </si>
  <si>
    <t>['Ren, Ju', 'Zhang, Deyu', 'He, Shiwen', 'Zhang, Yaoxue', 'Li, Tao']</t>
  </si>
  <si>
    <t>162</t>
  </si>
  <si>
    <t>['https://doi.org/10.1145/3362031']</t>
  </si>
  <si>
    <t>['fog computing', 'cloudlet', 'End-edge-cloud orchestration', 'mobile edge computing', 'network computing', 'transparent computing']</t>
  </si>
  <si>
    <t>198</t>
  </si>
  <si>
    <t>['Mehran, Narges', 'Kimovski, Dragi', 'Prodan, Radu']</t>
  </si>
  <si>
    <t>163</t>
  </si>
  <si>
    <t>['https://doi.org/10.1145/3365871.3365892']</t>
  </si>
  <si>
    <t>['energy consumption', 'Fog computing', 'IoT application placement', 'multi-objective optimization']</t>
  </si>
  <si>
    <t>['Markoska, Elena', 'Lazarova-Molnar, Sanja']</t>
  </si>
  <si>
    <t>164</t>
  </si>
  <si>
    <t>['https://doi.org/10.1145/3366030.3366093']</t>
  </si>
  <si>
    <t>['deep learning', 'smart buildings', 'performance testing', 'Real-time performance evaluation', 'threshold discovery']</t>
  </si>
  <si>
    <t>232</t>
  </si>
  <si>
    <t>['Huber, Florian', 'Körber, Nikolai', 'Mock, Markus']</t>
  </si>
  <si>
    <t>['https://doi.org/10.1145/3366623.3368134']</t>
  </si>
  <si>
    <t>['microservices', 'IoT', 'AWS Lambda', 'energy management systems', 'FaaS', 'serverless computing']</t>
  </si>
  <si>
    <t>39</t>
  </si>
  <si>
    <t>['Hilman, Muhammad H.', 'Rodriguez, Maria A.', 'Buyya, Rajkumar']</t>
  </si>
  <si>
    <t>['https://doi.org/10.1145/3368036']</t>
  </si>
  <si>
    <t>['multi-tenant platforms', 'multiple workflows scheduling', 'Scientific workflows']</t>
  </si>
  <si>
    <t>293</t>
  </si>
  <si>
    <t>['Harsh, Piyush', 'Ribera Laszkowski, Juan Francisco', 'Edmonds, Andy', 'Quang Thanh, Tran', 'Pauls, Michael', 'Vlaskovski, Radoslav', 'Avila-García, Orlando', 'Pages, Enric', 'Gortázar Bellas, Francisco', 'Gallego Carrillo, Micael']</t>
  </si>
  <si>
    <t>167</t>
  </si>
  <si>
    <t>['https://doi.org/10.1145/3368235.3368838']</t>
  </si>
  <si>
    <t>['scalability', 'testing', 'continuous integration', 'cloud testing', 'continuous testing', 'large-scale distributed systems', 'reliability']</t>
  </si>
  <si>
    <t>['Abdul Majeed, Ayesha', 'Kilpatrick, Peter', 'Spence, Ivor', 'Varghese, Blesson']</t>
  </si>
  <si>
    <t>168</t>
  </si>
  <si>
    <t>['https://doi.org/10.1145/3368235.3368847']</t>
  </si>
  <si>
    <t>['containers', 'edge computing', 'fog computing', 'offloading']</t>
  </si>
  <si>
    <t>['Chegini, Hossein', 'Mahanti, Aniket']</t>
  </si>
  <si>
    <t>['https://doi.org/10.1145/3368235.3368848']</t>
  </si>
  <si>
    <t>['cloud computing', 'microservice', 'fog computing', 'iot', 'automation', 'complex event processing', 'context-aware system', 'machine-to-machine(m2m)']</t>
  </si>
  <si>
    <t>['Ramisetty, Rajeswara Rao', 'Qu, Chengyi', 'Aktar, Rumana', 'Wang, Songjie', 'Calyam, Prasad', 'Palaniappan, Kannappan']</t>
  </si>
  <si>
    <t>['https://doi.org/10.1145/3369740.3369793']</t>
  </si>
  <si>
    <t>['Computation off-loading', 'Drone video analytics', 'Multimedia networking protocols', 'Network management', 'Occlusion detection']</t>
  </si>
  <si>
    <t>384</t>
  </si>
  <si>
    <t>['Nguyen, Tuan D. A.', 'Kumar, Akash']</t>
  </si>
  <si>
    <t>171</t>
  </si>
  <si>
    <t>['https://doi.org/10.1145/3373087.3375305']</t>
  </si>
  <si>
    <t>['cloud', 'microservice', 'design automation', 'design space exploration', 'floorplan', 'fpga', 'partial reconfiguration']</t>
  </si>
  <si>
    <t>190</t>
  </si>
  <si>
    <t>['Li, Yuhao', 'Sun, Dan', 'Lee, Benjamin C.']</t>
  </si>
  <si>
    <t>172</t>
  </si>
  <si>
    <t>['https://doi.org/10.1145/3375714']</t>
  </si>
  <si>
    <t>['machine learning', 'adaptive control', 'Resource contention']</t>
  </si>
  <si>
    <t>191</t>
  </si>
  <si>
    <t>['Macedo, Ricardo', 'Paulo, João', 'Pereira, José', 'Bessani, Alysson']</t>
  </si>
  <si>
    <t>['https://doi.org/10.1145/3385896']</t>
  </si>
  <si>
    <t>['distributed storage', 'Software-defined storage', 'storage infrastructures']</t>
  </si>
  <si>
    <t>322</t>
  </si>
  <si>
    <t>['Welsh, Thomas', 'Benkhelifa, Elhadj']</t>
  </si>
  <si>
    <t>174</t>
  </si>
  <si>
    <t>['https://doi.org/10.1145/3388922']</t>
  </si>
  <si>
    <t>['cloud', 'edge', 'survey', 'fog', 'Resilience']</t>
  </si>
  <si>
    <t>306</t>
  </si>
  <si>
    <t>['Kadron, undefinedsmet Burak', 'Rosner, Nicolás', 'Bultan, Tevfik']</t>
  </si>
  <si>
    <t>['https://doi.org/10.1145/3395363.3397365']</t>
  </si>
  <si>
    <t>['dynamic program analysis', 'input generation', 'network traffic analysis', 'Side-channel analysis']</t>
  </si>
  <si>
    <t>401</t>
  </si>
  <si>
    <t>['Ali, Isra Mohamed', 'Caprolu, Maurantonio', 'Pietro, Roberto Di']</t>
  </si>
  <si>
    <t>176</t>
  </si>
  <si>
    <t>['https://doi.org/10.1145/3396374']</t>
  </si>
  <si>
    <t>['Bandwidth-bound puzzle', 'Bitcoin', 'CAPTCHA', 'CPU-bound puzzle', 'Cryptocurrency', 'Cryptographic puzzle', 'Human-bound puzzle', 'Memory-bound puzzle', 'Network-bound puzzle', 'Proof-of-Work']</t>
  </si>
  <si>
    <t>370</t>
  </si>
  <si>
    <t>['Fei, Xincai', 'Liu, Fangming', 'Zhang, Qixia', 'Jin, Hai', 'Hu, Hongxin']</t>
  </si>
  <si>
    <t>['https://doi.org/10.1145/3397022']</t>
  </si>
  <si>
    <t>['high performance', 'Network functions virtualization', 'NFV acceleration']</t>
  </si>
  <si>
    <t>252</t>
  </si>
  <si>
    <t>['Singhal, Rekha', 'Chahal, Dheeraj', 'Kunde, Shruti', 'Mishra, Mayank', 'Nambiar, Manoj']</t>
  </si>
  <si>
    <t>178</t>
  </si>
  <si>
    <t>['https://doi.org/10.1145/3399579.3399863']</t>
  </si>
  <si>
    <t>['Accelerating EIT 2.0', 'data driven IT', 'Enterprise IT 2.0', 'Software 2.0']</t>
  </si>
  <si>
    <t>240</t>
  </si>
  <si>
    <t>['Souza, Layse Santos', 'de Almeida Neto, João Ribeiro', 'Melo, Thiago José Sandes', 'Soares, Michel dos Santos', 'Rocha, Fabio Gomes', 'Nascimento, Rogério Patrício Chagas do']</t>
  </si>
  <si>
    <t>179</t>
  </si>
  <si>
    <t>['https://doi.org/10.1145/3401895.3402082']</t>
  </si>
  <si>
    <t>['smart city', 'mobile devices', 'public monitoring', 'ubiquitous devices', 'wearables']</t>
  </si>
  <si>
    <t>['Mahmud, Redowan', 'Ramamohanarao, Kotagiri', 'Buyya, Rajkumar']</t>
  </si>
  <si>
    <t>180</t>
  </si>
  <si>
    <t>['https://doi.org/10.1145/3403955']</t>
  </si>
  <si>
    <t>['Fog computing', 'application placement', 'Internet of Things', 'application architecture', 'application maintenance']</t>
  </si>
  <si>
    <t>['Davoudian, Ali', 'Liu, Mengchi']</t>
  </si>
  <si>
    <t>['https://doi.org/10.1145/3408314']</t>
  </si>
  <si>
    <t>['Big Data', 'Big Data systems', 'quality assurance', 'requirements engineering', 'software engineering', 'software reference architecture']</t>
  </si>
  <si>
    <t>258</t>
  </si>
  <si>
    <t>['Nakamura, Kiyoshy', 'Manzoni, Pietro', 'Zennaro, Marco', 'Cano, Juan-Carlos', 'Calafate, Carlos T.', 'Cecilia, José M.']</t>
  </si>
  <si>
    <t>183</t>
  </si>
  <si>
    <t>['https://doi.org/10.1145/3410670.3410857']</t>
  </si>
  <si>
    <t>['AI', 'IoT', 'Edge computing', 'LoRa']</t>
  </si>
  <si>
    <t>['Krivic, Petar', 'Guberovic, Emanuel', 'Zarko, Ivana Podnar', 'Cavrak, Igor']</t>
  </si>
  <si>
    <t>184</t>
  </si>
  <si>
    <t>['https://doi.org/10.1145/3410992.3410999']</t>
  </si>
  <si>
    <t>['Kafka', 'InfluxDB', 'MDMS', 'smart metering', 'time-series data']</t>
  </si>
  <si>
    <t>200</t>
  </si>
  <si>
    <t>['Gartziandia, Aitor', 'Arrieta, Aitor', 'Agirre, Aitor', 'Sagardui, Goiuria', 'Arratibel, Maite']</t>
  </si>
  <si>
    <t>['https://doi.org/10.1145/3412841.3441894']</t>
  </si>
  <si>
    <t>['machine learning', 'cyber-physical systems', 'performance bugs']</t>
  </si>
  <si>
    <t>217</t>
  </si>
  <si>
    <t>['Do, Jaeyoung', 'Ferreira, Victor C.', 'Bobarshad, Hossein', 'Torabzadehkashi, Mahdi', 'Rezaei, Siavash', 'Heydarigorji, Ali', 'Souza, Diego', 'Goldstein, Brunno F.', 'Santiago, Leandro', 'Kim, Min Soo', 'Lima, Priscila M. V.', 'França, Felipe M. G.', 'Alves, Vladimir']</t>
  </si>
  <si>
    <t>['https://doi.org/10.1145/3415580']</t>
  </si>
  <si>
    <t>['Computational storage', 'in-storage processing', 'neural network', 'object tracking', 'similarity search', 'solid-state drive']</t>
  </si>
  <si>
    <t>['Mendula, Matteo', 'Khodadadeh, Siavash', 'Bacanli, Salih Safa', 'Zehtabian, Sharare', 'Sheikh, Hassam Ullah', 'Bölöni, Ladislau', 'Turgut, Damla', 'Bellavista, Paolo']</t>
  </si>
  <si>
    <t>['https://doi.org/10.1145/3416010.3423227']</t>
  </si>
  <si>
    <t>['energy', 'iot', 'optimization', 'scaling', 'simulation']</t>
  </si>
  <si>
    <t>289</t>
  </si>
  <si>
    <t>['Ergasheva, Shokhista', 'Gudkov, Mikhail', 'Kruglov, Artem', 'Succi, Giancarlo', 'Vasques, Xavier', 'Zagidullina, Aliya']</t>
  </si>
  <si>
    <t>188</t>
  </si>
  <si>
    <t>['https://doi.org/10.1145/3416028.3416046']</t>
  </si>
  <si>
    <t>['Development tools', 'management utilities', 'productivity', 'software development tracking']</t>
  </si>
  <si>
    <t>['Qiu, Yiming', 'Kang, Qiao', 'Liu, Ming', 'Chen, Ang']</t>
  </si>
  <si>
    <t>['https://doi.org/10.1145/3422604.3425929']</t>
  </si>
  <si>
    <t>['network functions', 'performance prediction', 'smartnics']</t>
  </si>
  <si>
    <t>341</t>
  </si>
  <si>
    <t>['Dias, João Pedro', 'Sousa, Tiago Boldt', 'Restivo, André', 'Ferreira, Hugo Sereno']</t>
  </si>
  <si>
    <t>['https://doi.org/10.1145/3424771.3424804']</t>
  </si>
  <si>
    <t>['fault-tolerance', 'internet-of-things', 'patterns', 'self-healing']</t>
  </si>
  <si>
    <t>398</t>
  </si>
  <si>
    <t>['Zimmermann, Olaf', 'Lübke, Daniel', 'Zdun, Uwe', 'Pautasso, Cesare', 'Stocker, Mirko']</t>
  </si>
  <si>
    <t>192</t>
  </si>
  <si>
    <t>['https://doi.org/10.1145/3424771.3424822']</t>
  </si>
  <si>
    <t>204</t>
  </si>
  <si>
    <t>['Shen, Jian', 'Dai, Yang', 'Dong, Xiaofeng']</t>
  </si>
  <si>
    <t>193</t>
  </si>
  <si>
    <t>['https://doi.org/10.1145/3424978.3425133']</t>
  </si>
  <si>
    <t>['Event evolution graph', 'Low-voltage distribution network', 'Network edge agent', 'Regional autonomy', 'Ubiquitous power IoT']</t>
  </si>
  <si>
    <t>78</t>
  </si>
  <si>
    <t>['Avritzer, Alberto', 'Britto, Ricardo', 'Trubiani, Catia', 'Russo, Barbara', 'Janes, Andrea', 'Camilli, Matteo', 'van Hoorn, André', 'Heinrich, Robert', 'Rapp, Martina', 'Henß, Jörg']</t>
  </si>
  <si>
    <t>['https://doi.org/10.1145/3427921.3450246']</t>
  </si>
  <si>
    <t>['multivariate analysis', 'software performance antipattern characterization', 'software performance antipattern detection']</t>
  </si>
  <si>
    <t>['Buzachis, Alina', 'Boruta, Daiana', 'Villari, Massimo', 'Spillner, Josef']</t>
  </si>
  <si>
    <t>195</t>
  </si>
  <si>
    <t>['https://doi.org/10.1145/3437378.3444366']</t>
  </si>
  <si>
    <t>['Microservices', 'Deployment', 'Cloud Computing', 'Orchestration', 'SDN', 'Emulation', 'Osmotic Computing']</t>
  </si>
  <si>
    <t>['Aslanpour, Mohammad S.', 'Toosi, Adel N.', 'Cicconetti, Claudio', 'Javadi, Bahman', 'Sbarski, Peter', 'Taibi, Davide', 'Assuncao, Marcos', 'Gill, Sukhpal Singh', 'Gaire, Raj', 'Dustdar, Schahram']</t>
  </si>
  <si>
    <t>196</t>
  </si>
  <si>
    <t>['https://doi.org/10.1145/3437378.3444367']</t>
  </si>
  <si>
    <t>181</t>
  </si>
  <si>
    <t>['Khakimov, Abdukodir', 'Loborchuk, Aleksandr', 'Ibodullokhodzha, Ibodulaev', 'Poluektov, Dmitry', 'Elgendy, Ibrahim A.', 'Muthanna, Ammar']</t>
  </si>
  <si>
    <t>197</t>
  </si>
  <si>
    <t>['https://doi.org/10.1145/3440749.3442594']</t>
  </si>
  <si>
    <t>['Edge Computing', 'V2X', 'MEC', 'Network']</t>
  </si>
  <si>
    <t>['Gilgur, Alexander', 'Coutinho, Brian', 'Narayanan, Iyswarya', 'Malani, Parth']</t>
  </si>
  <si>
    <t>['https://doi.org/10.1145/3442442.3452057']</t>
  </si>
  <si>
    <t>['cpu', 'power', 'scalability', 'time shifting', 'transitive', 'utilization']</t>
  </si>
  <si>
    <t>['Varghese, Blesson', 'Wang, Nan', 'Bermbach, David', 'Hong, Cheol-Ho', 'Lara, Eyal De', 'Shi, Weisong', 'Stewart, Christopher']</t>
  </si>
  <si>
    <t>['https://doi.org/10.1145/3444692']</t>
  </si>
  <si>
    <t>['benchmark runtime', 'Edge computing', 'edge performance benchmarking', 'system under test', 'techniques analyzed']</t>
  </si>
  <si>
    <t>['Hakiri, Akram', 'Dezfouli, Behnam']</t>
  </si>
  <si>
    <t>['https://doi.org/10.1145/3445968.3452090']</t>
  </si>
  <si>
    <t>['security', 'IoT', 'NFV', 'SDN', 'blockchain', 'trust and confidence']</t>
  </si>
  <si>
    <t>['Liu, Hao', 'Gao, Qian', 'Li, Jiang', 'Liao, Xiaochao', 'Xiong, Hao', 'Chen, Guangxing', 'Wang, Wenlin', 'Yang, Guobao', 'Zha, Zhiwei', 'Dong, Daxiang', 'Dou, Dejing', 'Xiong, Haoyi']</t>
  </si>
  <si>
    <t>['https://doi.org/10.1145/3447548.3467146']</t>
  </si>
  <si>
    <t>['intelligent resource management', 'MLOPS', 'online inference', 'recommendation system']</t>
  </si>
  <si>
    <t>365</t>
  </si>
  <si>
    <t>['Madhyastha, Meghana', 'Lillaney, Kunal', 'Browne, James', 'Vogelstein, Joshua T.', 'Burns, Randal']</t>
  </si>
  <si>
    <t>['https://doi.org/10.1145/3447548.3467368']</t>
  </si>
  <si>
    <t>331</t>
  </si>
  <si>
    <t>['Michel, Oliver', 'Bifulco, Roberto', 'Rétvári, Gábor', 'Schmid, Stefan']</t>
  </si>
  <si>
    <t>['https://doi.org/10.1145/3447868']</t>
  </si>
  <si>
    <t>['in-network computation', 'network programmability', 'packet processing', 'Programmable data planes', 'programmable switches']</t>
  </si>
  <si>
    <t>285</t>
  </si>
  <si>
    <t>['Fang, Jianliang', 'Jiong, Ye', 'Wei, Jiang', 'Shangxing, Ye', 'Yingjie, Xie', 'Haiqing, Lu', 'Dong, Dawei', 'Zhen, Jianfeng']</t>
  </si>
  <si>
    <t>['https://doi.org/10.1145/3448734.3450869']</t>
  </si>
  <si>
    <t>['full voltage level', 'line loss calculation', 'Multi-source data fusion', 'smart grid']</t>
  </si>
  <si>
    <t>220</t>
  </si>
  <si>
    <t>['Oikonomou, Panagiotis', 'Karanika, Anna', 'Anagnostopoulos, Christos', 'Kolomvatsos, Kostas']</t>
  </si>
  <si>
    <t>['https://doi.org/10.1145/3456630']</t>
  </si>
  <si>
    <t>['Internet of Things', 'Machine Learning', 'Edge Computing', 'Data Management', 'Edge Mesh', 'Resources Management', 'Tasks Management']</t>
  </si>
  <si>
    <t>264</t>
  </si>
  <si>
    <t>['Cérin, Christophe', 'Andres, Frédéric', 'Geldwerth-Feniger, Danielle']</t>
  </si>
  <si>
    <t>206</t>
  </si>
  <si>
    <t>['https://doi.org/10.1145/3460866.3461772']</t>
  </si>
  <si>
    <t>['big data tools', 'data life cycle', 'emulation principles', 'ontology', 'smart buildings', 'systems and methods']</t>
  </si>
  <si>
    <t>317</t>
  </si>
  <si>
    <t>['Sobhy, Dalia', 'Bahsoon, Rami', 'Minku, Leandro', 'Kazman, Rick']</t>
  </si>
  <si>
    <t>207</t>
  </si>
  <si>
    <t>['https://doi.org/10.1145/3464305']</t>
  </si>
  <si>
    <t>['Continuous software architecture evaluation', 'design-time software architecture evaluation', 'run-time software architecture evaluation', 'uncertainty']</t>
  </si>
  <si>
    <t>['Ren, Haoyu', 'Anicic, Darko', 'Runkler, Thomas A.']</t>
  </si>
  <si>
    <t>['https://doi.org/10.1145/3465480.3466928']</t>
  </si>
  <si>
    <t>['industrial IoT', 'complex event processing', 'tiny machine learning']</t>
  </si>
  <si>
    <t>245</t>
  </si>
  <si>
    <t>['Zhang, Qian', 'Wang, Jiyuan', 'Kim, Miryung']</t>
  </si>
  <si>
    <t>209</t>
  </si>
  <si>
    <t>['https://doi.org/10.1145/3468264.3468610']</t>
  </si>
  <si>
    <t>['Fuzz testing', 'heterogeneous applications', 'platform-dependent divergence']</t>
  </si>
  <si>
    <t>268</t>
  </si>
  <si>
    <t>['Jindal, Anshul', 'Frielinghaus, Julian', 'Chadha, Mohak', 'Gerndt, Michael']</t>
  </si>
  <si>
    <t>210</t>
  </si>
  <si>
    <t>['https://doi.org/10.1145/3468737.3494097']</t>
  </si>
  <si>
    <t>['serverless computing', 'function-as-a-service', 'functions delivery']</t>
  </si>
  <si>
    <t>222</t>
  </si>
  <si>
    <t>['Xu, Bin', 'Liu, Xusheng', 'Zhao, Wei', 'Li, Ziqian', 'Wang, Chenfei', 'Zhu, Qing']</t>
  </si>
  <si>
    <t>['https://doi.org/10.1145/3469213.3470417']</t>
  </si>
  <si>
    <t>['Gheibi, Omid', 'Weyns, Danny', 'Quin, Federico']</t>
  </si>
  <si>
    <t>212</t>
  </si>
  <si>
    <t>['https://doi.org/10.1145/3469440']</t>
  </si>
  <si>
    <t>['Self-adaptation', 'feedback loops', 'MAPE-K']</t>
  </si>
  <si>
    <t>['Avasalcai, Cosmin', 'Tsigkanos, Christos', 'Dustdar, Schahram']</t>
  </si>
  <si>
    <t>213</t>
  </si>
  <si>
    <t>['https://doi.org/10.1145/3470658']</t>
  </si>
  <si>
    <t>['edge computing', 'Resource management', 'distributed systems', 'adaptive systems']</t>
  </si>
  <si>
    <t>['Sarwar, Kinza', 'Yongchareon, Sira', 'Yu, Jian', 'Ur Rehman, Saeed']</t>
  </si>
  <si>
    <t>214</t>
  </si>
  <si>
    <t>['https://doi.org/10.1145/3474554']</t>
  </si>
  <si>
    <t>['Internet of Things', 'fog computing', 'Content privacy', 'context privacy', 'Fog-enabled IoT', 'IoT privacy']</t>
  </si>
  <si>
    <t>['Ray, Kaustabha', 'Banerjee, Ansuman']</t>
  </si>
  <si>
    <t>215</t>
  </si>
  <si>
    <t>['https://doi.org/10.1145/3475991']</t>
  </si>
  <si>
    <t>['auto-scaling', 'Multi-access edge computing', 'safe reinforcement learning']</t>
  </si>
  <si>
    <t>['Elhoseny, Mohamed', 'Lakhan, Abdullah', 'Rashid, Ahmed', 'Mohammed, Mazin', 'Abdulkareem, Karrar']</t>
  </si>
  <si>
    <t>['https://doi.org/10.1145/3476513']</t>
  </si>
  <si>
    <t>['scheduling', 'content', 'decision', 'marine', 'parameters', 'sensor', 'Water']</t>
  </si>
  <si>
    <t>['Siqueira, Frank', 'Davis, Joseph G.']</t>
  </si>
  <si>
    <t>['https://doi.org/10.1145/3478680']</t>
  </si>
  <si>
    <t>['digital twins', 'microservices', 'industry 4.0', 'industrial IoT', 'Service-oriented architecture']</t>
  </si>
  <si>
    <t>234</t>
  </si>
  <si>
    <t>['Gerakos, Kostantinos', 'Panagidi, Kakia', 'Andreou, Charalampos', 'Zampouras, Dimitris']</t>
  </si>
  <si>
    <t>['https://doi.org/10.1145/3479241.3486691']</t>
  </si>
  <si>
    <t>['apache kafka', 'change detection', 'message distributed platform', 'optimal stopping theory', 'queue prioritization']</t>
  </si>
  <si>
    <t>364</t>
  </si>
  <si>
    <t>['Ghorbani, Mohammadmahdi', 'Moghaddam, Fereydoun Farrahi', 'Zhang, Mengyuan', 'Pourzandi, Makan', 'Nguyen, Kim Khoa', 'Cheriet, Mohamed']</t>
  </si>
  <si>
    <t>219</t>
  </si>
  <si>
    <t>['https://doi.org/10.1145/3485832.3485907']</t>
  </si>
  <si>
    <t>['anomaly detection', 'microservice', 'machine learning', 'autoencoder', 'distributed behaviour profiling']</t>
  </si>
  <si>
    <t>['Costa, Breno', 'Bachiega, Joao', 'de Carvalho, Leonardo Rebouças', 'Araujo, Aleteia P. F.']</t>
  </si>
  <si>
    <t>['https://doi.org/10.1145/3486221']</t>
  </si>
  <si>
    <t>['resource management', 'Fog computing', 'orchestration', 'monitoring']</t>
  </si>
  <si>
    <t>230</t>
  </si>
  <si>
    <t>['Ilarri, Sergio', 'Fumanal, Irene', 'Trillo-Lado, Raquel']</t>
  </si>
  <si>
    <t>['https://doi.org/10.1145/3487664.3487806']</t>
  </si>
  <si>
    <t>['data management', 'mobile devices', 'mobile computing', 'context rules', 'mobile context-aware recommender systems', 'push-based recommendations']</t>
  </si>
  <si>
    <t>327</t>
  </si>
  <si>
    <t>['Neha, Benazir', 'Panda, Sanjaya Kumar', 'Sahu, Pradip Kumar', 'Sahoo, Kshira Sagar', 'Gandomi, Amir H.']</t>
  </si>
  <si>
    <t>['https://doi.org/10.1145/3488247']</t>
  </si>
  <si>
    <t>['Osmotic computing', 'edge computing', 'fog computing']</t>
  </si>
  <si>
    <t>257</t>
  </si>
  <si>
    <t>['Da Silva, Thiago Pereira', 'Batista, Thais', 'Lopes, Frederico', 'Neto, Aluizio Rocha', 'Delicato, Flávia C.', 'Pires, Paulo F.', 'Da Rocha, Atslands R.']</t>
  </si>
  <si>
    <t>['https://doi.org/10.1145/3488585']</t>
  </si>
  <si>
    <t>['Fog computing', 'edge computing', 'smart cities']</t>
  </si>
  <si>
    <t>['Tuli, Shreshth', 'Casale, Giuliano']</t>
  </si>
  <si>
    <t>['https://doi.org/10.1145/3491204.3527490']</t>
  </si>
  <si>
    <t>['fog computing', 'performance engineering', 'artificial intelligence', 'co-simulation.']</t>
  </si>
  <si>
    <t>['Sobhy, Dalia', 'Minku, Leandro', 'Bahsoon, Rami', 'Kazman, Rick']</t>
  </si>
  <si>
    <t>['https://doi.org/10.1145/3492762']</t>
  </si>
  <si>
    <t>['IoT', 'Continuous evaluation', 'software architecture evaluation', 'time series forecasting']</t>
  </si>
  <si>
    <t>['Tzenetopoulos, Achilleas', 'Marantos, Charalampos', 'Gavrielides, Giannos', 'Xydis, Sotirios', 'Soudris, Dimitrios']</t>
  </si>
  <si>
    <t>226</t>
  </si>
  <si>
    <t>['https://doi.org/10.1145/3493229.3493306']</t>
  </si>
  <si>
    <t>['resource management', 'serverless', 'energy-aware']</t>
  </si>
  <si>
    <t>['Hviid, Jakob', 'Johansen, Aslak', 'Caleb Sangogboye, Fisayo', 'Kjærgaard, Mikkel Baun']</t>
  </si>
  <si>
    <t>227</t>
  </si>
  <si>
    <t>['https://doi.org/10.1145/3494322.3494338']</t>
  </si>
  <si>
    <t>['ontology', 'containerization', 'deployment', 'building operating systems', 'dependency resolution', 'OWL', 'Package manager']</t>
  </si>
  <si>
    <t>['Berenberg, Anna', 'Calder, Brad']</t>
  </si>
  <si>
    <t>['https://doi.org/10.1145/3498336']</t>
  </si>
  <si>
    <t>['cloud architecture', 'cloud archetypes', 'cloud availability', 'Cloud deployments']</t>
  </si>
  <si>
    <t>318</t>
  </si>
  <si>
    <t>['Li, Huan', 'Lu, Hua', 'Jensen, Christian S.', 'Tang, Bo', 'Cheema, Muhammad Aamir']</t>
  </si>
  <si>
    <t>['https://doi.org/10.1145/3498338']</t>
  </si>
  <si>
    <t>['Internet of Things', 'geo-sensory data', 'location refinement', 'quality management', 'spatial computing', 'spatial queries', 'spatiotemporal data cleaning', 'spatiotemporal dependencies']</t>
  </si>
  <si>
    <t>297</t>
  </si>
  <si>
    <t>['Weiner, Johannes', 'Agarwal, Niket', 'Schatzberg, Dan', 'Yang, Leon', 'Wang, Hao', 'Sanouillet, Blaise', 'Sharma, Bikash', 'Heo, Tejun', 'Jain, Mayank', 'Tang, Chunqiang', 'Skarlatos, Dimitrios']</t>
  </si>
  <si>
    <t>['https://doi.org/10.1145/3503222.3507731']</t>
  </si>
  <si>
    <t>['Datacenters', 'Memory Management', 'Non-volatile Memory', 'Operating Systems']</t>
  </si>
  <si>
    <t>['Wang, Minhu', 'Xu, Mingwei', 'Wu, Jianping']</t>
  </si>
  <si>
    <t>['https://doi.org/10.1145/3508042']</t>
  </si>
  <si>
    <t>['direct cache access', 'end host networking']</t>
  </si>
  <si>
    <t>287</t>
  </si>
  <si>
    <t>['Korala, Harindu', 'Georgakopoulos, Dimitrios', 'Jayaraman, Prem Prakash', 'Yavari, Ali']</t>
  </si>
  <si>
    <t>['https://doi.org/10.1145/3510411']</t>
  </si>
  <si>
    <t>['Internet of Things (IoT)', 'time sensitive', 'time-bound']</t>
  </si>
  <si>
    <t>['Shafiei, Hossein', 'Khonsari, Ahmad', 'Mousavi, Payam']</t>
  </si>
  <si>
    <t>233</t>
  </si>
  <si>
    <t>['https://doi.org/10.1145/3510611']</t>
  </si>
  <si>
    <t>['serverless computing', 'Cloud services', 'function-as-a-service (FaaS)']</t>
  </si>
  <si>
    <t>['Son, Heesuk', 'Lee, Chaiwoo', 'FakhrHosseini, Shabnam', 'Lee, Shenghung', 'Coughlin, Joseph F.', 'Rudnik, John']</t>
  </si>
  <si>
    <t>['https://doi.org/10.1145/3512961']</t>
  </si>
  <si>
    <t>['scalability', 'case study', 'pandemic', 'research method design', 'smart home', 'user experience']</t>
  </si>
  <si>
    <t>386</t>
  </si>
  <si>
    <t>['Jamil, Bushra', 'Ijaz, Humaira', 'Shojafar, Mohammad', 'Munir, Kashif', 'Buyya, Rajkumar']</t>
  </si>
  <si>
    <t>['https://doi.org/10.1145/3513002']</t>
  </si>
  <si>
    <t>['Cloud computing', 'resource allocation', 'task scheduling', 'fog computing', 'Internet of Everything (IoE)', 'Internet of Things (IoT)']</t>
  </si>
  <si>
    <t>['Zilic, Josip', 'De Maio, Vincenzo', 'Aral, Atakan', 'Brandic, Ivona']</t>
  </si>
  <si>
    <t>['https://doi.org/10.1145/3517206.3526266']</t>
  </si>
  <si>
    <t>['microservices', 'kubernetes', 'containers', 'edge offloading']</t>
  </si>
  <si>
    <t>271</t>
  </si>
  <si>
    <t>['Shi, Yimin', 'Duan, Haihan', 'Yang, Lei', 'Cai, Wei']</t>
  </si>
  <si>
    <t>['https://doi.org/10.1145/3522741']</t>
  </si>
  <si>
    <t>['distributed computing', 'federated learning', 'Mobile edge computing', 'software decomposition']</t>
  </si>
  <si>
    <t>['Husen, Arif', 'Chaudary, Muhammad Hasanain', 'Ahmad, Farooq']</t>
  </si>
  <si>
    <t>['https://doi.org/10.1145/3524106']</t>
  </si>
  <si>
    <t>['cross-administrative domain learning', 'cross-layer learning', 'deep holistic learning', 'feature sharing', 'Future intelligent networks', 'global learning', 'knowledge sharing']</t>
  </si>
  <si>
    <t>['Ayaz, Berk', 'Slamnik-Kriještorac, Nina', 'Marquez-Barja, Johann']</t>
  </si>
  <si>
    <t>['https://doi.org/10.1145/3524458.3547254']</t>
  </si>
  <si>
    <t>['Edge Computing', 'ActiveMQ', 'Data Management', 'Edge Orchestration', 'Kafka', 'Pulsar', 'V2X', 'Zenoh']</t>
  </si>
  <si>
    <t>281</t>
  </si>
  <si>
    <t>['Kundan, Shivam', 'Marinakis, Theodoros', 'Anagnostopoulos, Iraklis', 'Kagaris, Dimitri']</t>
  </si>
  <si>
    <t>242</t>
  </si>
  <si>
    <t>['https://doi.org/10.1145/3524616']</t>
  </si>
  <si>
    <t>['Chip multiprocessors', 'contention-aware scheduling', 'fairness', 'Linux', 'pressure minimization', 'throughput']</t>
  </si>
  <si>
    <t>['Gheibi, Omid', 'Weyns, Danny']</t>
  </si>
  <si>
    <t>243</t>
  </si>
  <si>
    <t>['https://doi.org/10.1145/3524844.3528052']</t>
  </si>
  <si>
    <t>295</t>
  </si>
  <si>
    <t>['Dobaj, Jürgen', 'Riel, Andreas', 'Krug, Thomas', 'Seidl, Matthias', 'Macher, Georg', 'Egretzberger, Markus']</t>
  </si>
  <si>
    <t>244</t>
  </si>
  <si>
    <t>['https://doi.org/10.1145/3524844.3528057']</t>
  </si>
  <si>
    <t>['self-adaptation', 'DevOps', 'CPS', 'digital twin', 'deployment', 'IPSS']</t>
  </si>
  <si>
    <t>['Ossen, Sabra', 'Brasilino, Lucas R. B.', 'Dalessandro, Luke', 'Swany, Martin']</t>
  </si>
  <si>
    <t>['https://doi.org/10.1145/3526060.3535461']</t>
  </si>
  <si>
    <t>['stream processing', 'programmable networks', 'fpga', 'in-network computing', 'risc-v soft core', 'stateful faas']</t>
  </si>
  <si>
    <t>['Wang, Chengpeng', 'Yao, Peisen', 'Tang, Wensheng', 'Shi, Qingkai', 'Zhang, Charles']</t>
  </si>
  <si>
    <t>246</t>
  </si>
  <si>
    <t>['https://doi.org/10.1145/3527312']</t>
  </si>
  <si>
    <t>['data structure specification', 'program optimization', 'program synthesis']</t>
  </si>
  <si>
    <t>266</t>
  </si>
  <si>
    <t>['Murturi, Ilir', 'Dustdar, Schahram']</t>
  </si>
  <si>
    <t>248</t>
  </si>
  <si>
    <t>['https://doi.org/10.1145/3530692']</t>
  </si>
  <si>
    <t>['edge computing', 'Internet of Things (IoT)', 'Elasticity', 'edge-cloud']</t>
  </si>
  <si>
    <t>['Paleyes, Andrei', 'Urma, Raoul-Gabriel', 'Lawrence, Neil D.']</t>
  </si>
  <si>
    <t>['https://doi.org/10.1145/3533378']</t>
  </si>
  <si>
    <t>['Machine learning applications', 'sofware deployment']</t>
  </si>
  <si>
    <t>366</t>
  </si>
  <si>
    <t>['Neupane, Bijay', 'Siksnys, Laurynas', 'Pedersen, Torben Bach', 'Hagensby, Rikke', 'Aftab, Muhammad', 'Eck, Bradley', 'Fusco, Francesco', 'Gormally, Robert', 'Purcell, Mark', 'Tirupathi, Seshu', 'Cerne, Gregor', 'Brus, Saso', 'Papageorgiou, Ioannis', 'Meindl, Gerhard', 'Roduit, Pierre']</t>
  </si>
  <si>
    <t>['https://doi.org/10.1145/3538637.3538865']</t>
  </si>
  <si>
    <t>283</t>
  </si>
  <si>
    <t>['Gain, Gaulthier', 'Soldani, Cyril', 'Huici, Felipe', 'Mathy, Laurent']</t>
  </si>
  <si>
    <t>251</t>
  </si>
  <si>
    <t>['https://doi.org/10.1145/3542929.3563473']</t>
  </si>
  <si>
    <t>['virtualization', 'virtual machine', 'alignment', 'deduplication', 'hypervisor', 'memory', 'operating systems', 'unikernels']</t>
  </si>
  <si>
    <t>256</t>
  </si>
  <si>
    <t>['Savasci, Mehmet', 'Ali-Eldin, Ahmed', 'Eker, Johan', 'Robertsson, Anders', 'Shenoy, Prashant']</t>
  </si>
  <si>
    <t>['https://doi.org/10.1145/3543507.3583437']</t>
  </si>
  <si>
    <t>['datacenter', 'power-management', 'Web service performance']</t>
  </si>
  <si>
    <t>['Stewart, Christopher', 'Morris, Nathaniel', 'Chen, Lydia', 'Birke, Robert']</t>
  </si>
  <si>
    <t>253</t>
  </si>
  <si>
    <t>['https://doi.org/10.1145/3545008.3545094']</t>
  </si>
  <si>
    <t>323</t>
  </si>
  <si>
    <t>['Li, Jia', 'Nejati, Shiva', 'Sabetzadeh, Mehrdad', 'McCallen, Michael']</t>
  </si>
  <si>
    <t>['https://doi.org/10.1145/3550355.3552405']</t>
  </si>
  <si>
    <t>['IoT', 'simulation', 'domain-specific languages', 'stress testing', 'xtext']</t>
  </si>
  <si>
    <t>['Park, Misun', 'Bhardwaj, Ketan', 'Gavrilovska, Ada']</t>
  </si>
  <si>
    <t>['https://doi.org/10.1145/3552326.3587459']</t>
  </si>
  <si>
    <t>['resource management', 'containers', 'edge computing', 'isolation', 'IPC', 'ML serving', 'runtime-as-a-service', 'visual analytics']</t>
  </si>
  <si>
    <t>['Ma, Xin', 'Zhang, Shengchun', 'Xu, Lina', 'Liu, Chang', 'Zhao, Ergang', 'Ding, Yujie']</t>
  </si>
  <si>
    <t>['https://doi.org/10.1145/3558819.3558839']</t>
  </si>
  <si>
    <t>['Energy information sharing', 'New power system', 'Platform architecture']</t>
  </si>
  <si>
    <t>['Bose, Abhik', 'Kirtikar, Shailendra', 'Chirumamilla, Shivaji', 'Shah, Rinku', 'Vutukuru, Mythili']</t>
  </si>
  <si>
    <t>['https://doi.org/10.1145/3563647.3563651']</t>
  </si>
  <si>
    <t>['in-network computation', '5G core', '5G user plane', 'programmable networks']</t>
  </si>
  <si>
    <t>284</t>
  </si>
  <si>
    <t>['Chen, Lili', 'Di, Yingqi', 'Zhang, Lele']</t>
  </si>
  <si>
    <t>259</t>
  </si>
  <si>
    <t>['https://doi.org/10.1145/3565387.3565402']</t>
  </si>
  <si>
    <t>['Big Data', 'Cloud Platform', 'DaaS', 'Real-time Service', 'Urban Rail Transit']</t>
  </si>
  <si>
    <t>['Buschmann, Philippe', 'Shorim, Mostafa H. M.', 'Helm, Max', 'Bröring, Arne', 'Carle, Georg']</t>
  </si>
  <si>
    <t>260</t>
  </si>
  <si>
    <t>['https://doi.org/10.1145/3567445.3571114']</t>
  </si>
  <si>
    <t>['Internet of Things (IoT)', 'Edge Computing', 'Deep Reinforcement Learning', 'Integer Linear Programming', 'Particle Swarm Optimization', 'Task Allocation']</t>
  </si>
  <si>
    <t>278</t>
  </si>
  <si>
    <t>['Viola, Roberto', 'Martín, Ángel', 'Zorrilla, Mikel', 'Montalbán, Jon', 'Angueira, Pablo', 'Muntean, Gabriel-Miro']</t>
  </si>
  <si>
    <t>261</t>
  </si>
  <si>
    <t>['https://doi.org/10.1145/3567826']</t>
  </si>
  <si>
    <t>['Media streaming', 'network functions', 'network virtualization']</t>
  </si>
  <si>
    <t>357</t>
  </si>
  <si>
    <t>['Li, Bolun', 'Zhao, Qidong', 'Jiao, Shuyin', 'Liu, Xu']</t>
  </si>
  <si>
    <t>262</t>
  </si>
  <si>
    <t>['https://doi.org/10.1145/3570361.3592503']</t>
  </si>
  <si>
    <t>['performance', 'profiling', 'Android', 'memory inefficiencies']</t>
  </si>
  <si>
    <t>363</t>
  </si>
  <si>
    <t>['Jeyaraj, Rathinaraja', 'Balasubramaniam, Anandkumar', 'M.A., Ajay Kumara', 'Guizani, Nadra', 'Paul, Anand']</t>
  </si>
  <si>
    <t>263</t>
  </si>
  <si>
    <t>['https://doi.org/10.1145/3571729']</t>
  </si>
  <si>
    <t>['Cloud computing', 'resource allocation', 'Internet of Things', 'edge computing', 'dew computing', 'fog computing', 'load balancing', 'mist computing', 'resource heterogeneity', 'resource provisioning', 'resource scheduling']</t>
  </si>
  <si>
    <t>110</t>
  </si>
  <si>
    <t>['Lubbers, Mart', 'Koopman, Pieter', 'Ramsingh, Adrian', 'Singer, Jeremy', 'Trinder, Phil']</t>
  </si>
  <si>
    <t>['https://doi.org/10.1145/3572901']</t>
  </si>
  <si>
    <t>['IoT stacks', 'Tierless languages']</t>
  </si>
  <si>
    <t>378</t>
  </si>
  <si>
    <t>['Lin, Weiwei', 'Xiong, Chennian', 'Wu, Wentai', 'Shi, Fang', 'Li, Keqin', 'Xu, Minxian']</t>
  </si>
  <si>
    <t>['https://doi.org/10.1145/3573009']</t>
  </si>
  <si>
    <t>['Cloud data center', 'measuring and modeling', 'scheduling optimization', 'VM performance interference']</t>
  </si>
  <si>
    <t>['Toczé, Klervie', 'Fahs, Ali J.', 'Pierre, Guillaume', 'Nadjm-Tehrani, Simin']</t>
  </si>
  <si>
    <t>['https://doi.org/10.1145/3573125']</t>
  </si>
  <si>
    <t>['resource management', 'Kubernetes', 'elasticity', 'Edge/fog computing']</t>
  </si>
  <si>
    <t>['Picone, Marco', 'Mamei, Marco', 'Zambonelli, Franco']</t>
  </si>
  <si>
    <t>['https://doi.org/10.1145/3573206']</t>
  </si>
  <si>
    <t>['Internet of Things', 'edge computing', 'Digital Twin']</t>
  </si>
  <si>
    <t>['Zhang, Chengting', 'Ye, Zhihui', 'Jin, Wenlong', 'Shi, Dingke']</t>
  </si>
  <si>
    <t>['https://doi.org/10.1145/3573428.3573601']</t>
  </si>
  <si>
    <t>['Internet of things', 'Microservice architecture', 'Visualization']</t>
  </si>
  <si>
    <t>383</t>
  </si>
  <si>
    <t>['Liakos, Christos', 'Panagopoulos, Aimilios Christos', 'Karkazis, Panagiotis']</t>
  </si>
  <si>
    <t>['https://doi.org/10.1145/3575879.3575963']</t>
  </si>
  <si>
    <t>['Digital Twin', 'Industry 4.0', 'Industrial Internet of Things', 'Business Process Management']</t>
  </si>
  <si>
    <t>354</t>
  </si>
  <si>
    <t>['Farahani, Reza', 'Kimovski, Dragi', 'Ristov, Sashko', 'Iosup, Alexandru', 'Prodan, Radu']</t>
  </si>
  <si>
    <t>['https://doi.org/10.1145/3578245.3585331']</t>
  </si>
  <si>
    <t>['computing continuum', 'serverless computing', 'sustainability', 'graph processing', 'massive graph']</t>
  </si>
  <si>
    <t>328</t>
  </si>
  <si>
    <t>['Liang, Mingyu', 'Fu, Wenyin', 'Feng, Louis', 'Lin, Zhongyi', 'Panakanti, Pavani', 'Zheng, Shengbao', 'Sridharan, Srinivas', 'Delimitrou, Christina']</t>
  </si>
  <si>
    <t>['https://doi.org/10.1145/3579371.3589072']</t>
  </si>
  <si>
    <t>['cloud computing', 'benchmarking', 'artificial intelligence', 'code generation', 'performance cloning']</t>
  </si>
  <si>
    <t>['Wang, Dongjie', 'Chen, Zhengzhang', 'Fu, Yanjie', 'Liu, Yanchi', 'Chen, Haifeng']</t>
  </si>
  <si>
    <t>['https://doi.org/10.1145/3580305.3599392']</t>
  </si>
  <si>
    <t>['causal structure learning', 'disentangled graph learning', 'incremental learning', 'root cause analysis', 'trigger point detection']</t>
  </si>
  <si>
    <t>390</t>
  </si>
  <si>
    <t>['Hoffpauir, Kyle', 'Simmons, Jacob', 'Schmidt, Nikolas', 'Pittala, Rachitha', 'Briggs, Isaac', 'Makani, Shanmukha', 'Jararweh, Yaser']</t>
  </si>
  <si>
    <t>274</t>
  </si>
  <si>
    <t>['https://doi.org/10.1145/3581759']</t>
  </si>
  <si>
    <t>['cloud computing', 'quality of service', 'edge computing', 'Edge intelligence', 'artificial intelligence', 'lightweight machine learning', 'network services']</t>
  </si>
  <si>
    <t>324</t>
  </si>
  <si>
    <t>['Ding, Jianru', 'Hoffmann, Henry']</t>
  </si>
  <si>
    <t>['https://doi.org/10.1145/3581784.3607091']</t>
  </si>
  <si>
    <t>['resource management', 'job scheduling', 'power-efficient design and power-management strategies', 'system interoperations and energy-aware techniques for large-scale systems']</t>
  </si>
  <si>
    <t>['Zhou, Xin', 'Wu, Yuxuan']</t>
  </si>
  <si>
    <t>['https://doi.org/10.1145/3584871.3584891']</t>
  </si>
  <si>
    <t>['Kubernetes', 'workflow', 'data analysis', 'cloud native']</t>
  </si>
  <si>
    <t>342</t>
  </si>
  <si>
    <t>['Chen, Wenqiang', 'Wang, Ziqi', 'Quan, Pengrui', 'Peng, Zhencan', 'Lin, Shupei', 'Srivastava, Mani', 'Matusik, Wojciech', 'Stankovic, John']</t>
  </si>
  <si>
    <t>277</t>
  </si>
  <si>
    <t>['https://doi.org/10.1145/3586183.3606794']</t>
  </si>
  <si>
    <t>['Finger Interaction', 'Gesture Recognition', 'Unsupervised Adversarial Training', 'Vibration Sensing']</t>
  </si>
  <si>
    <t>377</t>
  </si>
  <si>
    <t>['Weyns, Danny', 'Gerostathopoulos, Ilias', 'Abbas, Nadeem', 'Andersson, Jesper', 'Biffl, Stefan', 'Brada, Premek', 'Bures, Tomas', 'Di Salle, Amleto', 'Galster, Matthias', 'Lago, Patricia', 'Lewis, Grace', 'Litoiu, Marin', 'Musil, Angelika', 'Musil, Juergen', 'Patros, Panos', 'Pelliccione, Patrizio']</t>
  </si>
  <si>
    <t>['https://doi.org/10.1145/3589227']</t>
  </si>
  <si>
    <t>['Self-adaptation', 'survey', 'industry']</t>
  </si>
  <si>
    <t>371</t>
  </si>
  <si>
    <t>['Liu, Xu', 'Hu, Junfeng', 'Li, Yuan', 'Diao, Shizhe', 'Liang, Yuxuan', 'Hooi, Bryan', 'Zimmermann, Roger']</t>
  </si>
  <si>
    <t>['https://doi.org/10.1145/3589334.3645434']</t>
  </si>
  <si>
    <t>['time series forecasting', 'language models']</t>
  </si>
  <si>
    <t>['Pallewatta, Samodha', 'Kostakos, Vassilis', 'Buyya, Rajkumar']</t>
  </si>
  <si>
    <t>['https://doi.org/10.1145/3592598']</t>
  </si>
  <si>
    <t>['Fog computing', 'application placement', 'Internet of Things', 'microservice architecture', 'Osmotic computing']</t>
  </si>
  <si>
    <t>['Will, Newton C.', 'Maziero, Carlos A.']</t>
  </si>
  <si>
    <t>['https://doi.org/10.1145/3593021']</t>
  </si>
  <si>
    <t>['confidentiality', 'Hardware-based security', 'integrity', 'processor extensions']</t>
  </si>
  <si>
    <t>['Lumpp, Francesco', 'Panato, Marco', 'Bombieri, Nicola', 'Fummi, Franco']</t>
  </si>
  <si>
    <t>282</t>
  </si>
  <si>
    <t>['https://doi.org/10.1145/3594539']</t>
  </si>
  <si>
    <t>['Kubernetes', 'Docker', 'ROS', 'Edge-Cloud computing', 'K3S', 'robotic applications']</t>
  </si>
  <si>
    <t>['Samaniego, Mayra', 'Deters, Ralph']</t>
  </si>
  <si>
    <t>['https://doi.org/10.1145/3594556.3594611']</t>
  </si>
  <si>
    <t>['security', 'IoT', 'internet of things', 'distributed systems', 'blockchain', 'Digital twins', 'privacy', 'access management', 'consensus', 'data streaming', 'data trust', 'smart contracts', 'trust']</t>
  </si>
  <si>
    <t>330</t>
  </si>
  <si>
    <t>['Coullon, Héléne', 'Henrio, Ludovic', 'Loulergue, Frédéric', 'Robillard, Simon']</t>
  </si>
  <si>
    <t>['https://doi.org/10.1145/3595376']</t>
  </si>
  <si>
    <t>['verification', 'component-based software engineering', 'formal methods', 'Reconfiguration', 'software adaptation']</t>
  </si>
  <si>
    <t>355</t>
  </si>
  <si>
    <t>['Russo Russo, Gabriele', 'Cardellini, Valeria', 'Lo Presti, Francesco']</t>
  </si>
  <si>
    <t>['https://doi.org/10.1145/3597435']</t>
  </si>
  <si>
    <t>['resource management', 'reinforcement learning', 'Auto-scaling', 'Data Stream Processing']</t>
  </si>
  <si>
    <t>['Valle, Pablo', 'Arrieta, Aitor', 'Arratibel, Maite']</t>
  </si>
  <si>
    <t>286</t>
  </si>
  <si>
    <t>['https://doi.org/10.1145/3597926.3598117']</t>
  </si>
  <si>
    <t>['Cyber-Physical Systems', 'Delta Debugging', 'Simulation-based Testing']</t>
  </si>
  <si>
    <t>269</t>
  </si>
  <si>
    <t>['Seemakhupt, Korakit', 'Stephens, Brent E.', 'Khan, Samira', 'Liu, Sihang', 'Wassel, Hassan', 'Yeganeh, Soheil Hassas', 'Snoeren, Alex C.', 'Krishnamurthy, Arvind', 'Culler, David E.', 'Levy, Henry M.']</t>
  </si>
  <si>
    <t>['https://doi.org/10.1145/3600006.3613156']</t>
  </si>
  <si>
    <t>['cloud computing', 'distributed computing', 'communications systems', 'remote procedure call']</t>
  </si>
  <si>
    <t>325</t>
  </si>
  <si>
    <t>['Anderson, Patrick', 'Aranas, Erika Blancada', 'Assaf, Youssef', 'Behrendt, Raphael', 'Black, Richard', 'Caballero, Marco', 'Cameron, Pashmina', 'Canakci, Burcu', 'De Carvalho, Thales', 'Chatzieleftheriou, Andromachi', 'Storan Clarke, Rebekah', 'Clegg, James', 'Cletheroe, Daniel', 'Cooper, Bridgette', 'Deegan, Tim', 'Donnelly, Austin', 'Drevinskas, Rokas', 'Gaunt, Alexander', 'Gkantsidis, Christos', 'Gomez Diaz, Ariel', 'Haller, Istvan', 'Hong, Freddie', 'Ilieva, Teodora', 'Joshi, Shashidhar', 'Joyce, Russell', 'Kunkel, Mint', 'Lara, David', 'Legtchenko, Sergey', 'Liu, Fanglin Linda', 'Magalhaes, Bruno', 'Marzoev, Alana', 'Mcnett, Marvin', 'Mohan, Jayashree', 'Myrah, Michael', 'Nguyen, Trong', 'Nowozin, Sebastian', 'Ogus, Aaron', 'Overweg, Hiske', 'Rowstron, Antony', 'Sah, Maneesh', 'Sakakura, Masaaki', 'Scholtz, Peter', 'Schreiner, Nina', 'Sella, Omer', 'Smith, Adam', 'Stefanovici, Ioan', 'Sweeney, David', 'Thomsen, Benn', 'Verkes, Govert', 'Wainman, Phil', 'Westcott, Jonathan', 'Weston, Luke', 'Whittaker, Charles', 'Wilke Berenguer, Pablo', 'Williams, Hugh', 'Winkler, Thomas', 'Winzeck, Stefan']</t>
  </si>
  <si>
    <t>['https://doi.org/10.1145/3600006.3613208']</t>
  </si>
  <si>
    <t>['data center', 'sustainability', 'archival', 'cloud storage', 'cold storage', 'disaggregation', 'glass', 'storage']</t>
  </si>
  <si>
    <t>['Li, Bojie', 'Xiang, Zihao', 'Wang, Xiaoliang', 'Ruan, Han', 'Zhou, Jingbin', 'Tan, Kun']</t>
  </si>
  <si>
    <t>['https://doi.org/10.1145/3600061.3600063']</t>
  </si>
  <si>
    <t>['Context Switch', 'Host Network Stack', 'Interrupt', 'RDMA']</t>
  </si>
  <si>
    <t>['Vahabi, Shahrokh', 'Righetti, Francesca', 'Vallati, Carlo', 'Tonellotto, Nicola']</t>
  </si>
  <si>
    <t>290</t>
  </si>
  <si>
    <t>['https://doi.org/10.1145/3603166.3632240']</t>
  </si>
  <si>
    <t>['energy efficiency', 'resource management', 'edge computing', 'function-as-a-service', 'service level agreement']</t>
  </si>
  <si>
    <t>['Reitzl, Marcus', 'Kimovski, Dragi']</t>
  </si>
  <si>
    <t>291</t>
  </si>
  <si>
    <t>['https://doi.org/10.1145/3603166.3632536']</t>
  </si>
  <si>
    <t>['edge computing', 'optimisation', 'pod placement']</t>
  </si>
  <si>
    <t>111</t>
  </si>
  <si>
    <t>['Mehran, Narges', 'Kimovski, Dragi', 'Hellwagner, Hermann', 'Roman, Dumitru', 'Soylu, Ahmet', 'Prodan, Radu']</t>
  </si>
  <si>
    <t>292</t>
  </si>
  <si>
    <t>['https://doi.org/10.1145/3603166.3632540']</t>
  </si>
  <si>
    <t>['energy efficiency', 'cloud', 'computing continuum', 'edge', 'placement', 'scheduling']</t>
  </si>
  <si>
    <t>['Toffetti, Giovanni', 'Militano, Leonardo', 'Tharaka, Ratnayake', 'Straub, Mark']</t>
  </si>
  <si>
    <t>['https://doi.org/10.1145/3603166.3632555']</t>
  </si>
  <si>
    <t>['cloud', 'edge', 'IoT', 'orchestration', 'fog', 'cloud robotics', 'compute continuum']</t>
  </si>
  <si>
    <t>347</t>
  </si>
  <si>
    <t>['Arin, Ikrar Adinata', 'Supangkat, Suhono Harso', 'Gaol, Ford Lumban', 'Ranti, Benny']</t>
  </si>
  <si>
    <t>294</t>
  </si>
  <si>
    <t>['https://doi.org/10.1145/3603955.3603971']</t>
  </si>
  <si>
    <t>77</t>
  </si>
  <si>
    <t>['Patel, Pratyush', 'Gregersen, Theo', 'Anderson, Thomas']</t>
  </si>
  <si>
    <t>['https://doi.org/10.1145/3604930.3605722']</t>
  </si>
  <si>
    <t>['cloud computing', 'sustainability', 'carbon reduction']</t>
  </si>
  <si>
    <t>44</t>
  </si>
  <si>
    <t>['Vaidhyanathan, Karthik', 'Caporuscio, Mauro', 'Florio, Stefano', 'Muccini, Henry']</t>
  </si>
  <si>
    <t>['https://doi.org/10.1145/3605098.3635942']</t>
  </si>
  <si>
    <t>['machine learning', 'self-adaptation', 'service discovery']</t>
  </si>
  <si>
    <t>['Shen, Zhishu', 'Jin, Jiong', 'Tan, Cheng', 'Tagami, Atsushi', 'Wang, Shangguang', 'Li, Qing', 'Zheng, Qiushi', 'Yuan, Jingling']</t>
  </si>
  <si>
    <t>['https://doi.org/10.1145/3606018']</t>
  </si>
  <si>
    <t>['Internet of Things', 'computing and networking convergence', 'infrastructure-less environments', 'Space-air-ground integrated networks']</t>
  </si>
  <si>
    <t>['Apat, Hemant K', 'Alkhayyat, Ahmed', 'Vidyarthi, Ankit', 'Barik, Rabindra K']</t>
  </si>
  <si>
    <t>['https://doi.org/10.1145/3607947.3607969']</t>
  </si>
  <si>
    <t>['cloud computing', 'FaaS', 'serverless computing', 'edge computing', 'fog computing', 'QoS', 'Internet of Medical Things']</t>
  </si>
  <si>
    <t>['Li, Xiaojuan', 'Zhang, Yu', 'Zhu, Zhengyan', 'Yao, Yuan', 'Zhou, Xingshe']</t>
  </si>
  <si>
    <t>['https://doi.org/10.1145/3609437.3609448']</t>
  </si>
  <si>
    <t>['adaptive', 'Capability', 'Heterogeneous Sensors Management', 'run-time', 'Ubiquitous Operating System']</t>
  </si>
  <si>
    <t>356</t>
  </si>
  <si>
    <t>['Barrios, Carlos', 'Kumar, Mohan']</t>
  </si>
  <si>
    <t>['https://doi.org/10.1145/3609504']</t>
  </si>
  <si>
    <t>['computation deduplication', 'computation reuse', 'Service caching', 'task caching']</t>
  </si>
  <si>
    <t>['Simões, Bruno', 'Del Puy Carretero, María', 'Martinez Santiago, Jorge', 'Muñoz Segovia, Sebastian', 'Alcain, Nieves']</t>
  </si>
  <si>
    <t>['https://doi.org/10.1145/3611314.3615915']</t>
  </si>
  <si>
    <t>['digital twins', 'GUI', 'Web3D']</t>
  </si>
  <si>
    <t>['Sun, Danfeng', 'Hu, Junjie', 'Wu, Huifeng', 'Wu, Jia', 'Yang, Jian', 'Sheng, Quan Z.', 'Dustdar, Schahram']</t>
  </si>
  <si>
    <t>['https://doi.org/10.1145/3612918']</t>
  </si>
  <si>
    <t>['Ma, Xueyan']</t>
  </si>
  <si>
    <t>['https://doi.org/10.1145/3614428']</t>
  </si>
  <si>
    <t>['Deep Reinforcement Learning (DRL)', 'DIC-DRL model', 'Distributed Interface Coordination (DIC)', 'English Learning', 'intelligent mechanism', 'Massive Open Online Courses (MOOC) Platform', 'Support Vector Machine (SVM)', 'Wireless networking environment']</t>
  </si>
  <si>
    <t>392</t>
  </si>
  <si>
    <t>['Queiroz, Rui', 'Cruz, Tiago', 'Mendes, Jérôme', 'Sousa, Pedro', 'Simões, Paulo']</t>
  </si>
  <si>
    <t>['https://doi.org/10.1145/3617591']</t>
  </si>
  <si>
    <t>['industrial automation control systems', 'latency', 'Real-time containers', 'virtualization of cyber-physical systems']</t>
  </si>
  <si>
    <t>['Hamissi, Asma', 'Dhraief, Amine']</t>
  </si>
  <si>
    <t>305</t>
  </si>
  <si>
    <t>['https://doi.org/10.1145/3617992']</t>
  </si>
  <si>
    <t>['performance', 'architecture', 'services', 'UAV', 'communication', 'decision-making', 'simulators', 'UTM']</t>
  </si>
  <si>
    <t>380</t>
  </si>
  <si>
    <t>['Thiede, John', 'Bashir, Noman', 'Irwin, David', 'Shenoy, Prashant']</t>
  </si>
  <si>
    <t>307</t>
  </si>
  <si>
    <t>['https://doi.org/10.1145/3620678.3624644']</t>
  </si>
  <si>
    <t>['Carbon-efficiency', 'energy-efficiency', 'performance']</t>
  </si>
  <si>
    <t>['Zhu, Xiangfeng', 'She, Guozhen', 'Xue, Bowen', 'Zhang, Yu', 'Zhang, Yongsu', 'Zou, Xuan Kelvin', 'Duan, XiongChun', 'He, Peng', 'Krishnamurthy, Arvind', 'Lentz, Matthew', 'Zhuo, Danyang', 'Mahajan, Ratul']</t>
  </si>
  <si>
    <t>308</t>
  </si>
  <si>
    <t>['https://doi.org/10.1145/3620678.3624652']</t>
  </si>
  <si>
    <t>['Cloud computing', 'Microservices', 'Service Mesh']</t>
  </si>
  <si>
    <t>334</t>
  </si>
  <si>
    <t>['Christofidi, Georgia', 'Papaioannou, Konstantinos', 'Doudali, Thaleia Dimitra']</t>
  </si>
  <si>
    <t>['https://doi.org/10.1145/3620678.3624790']</t>
  </si>
  <si>
    <t>['Machine Learning', 'Cloud Computing', 'Data Persistence', 'Forecasting', 'Long Short Term Memory', 'Persistent Forecast', 'Prediction', 'Resource Usage']</t>
  </si>
  <si>
    <t>['Aldinucci, Marco', 'Baralis, Elena Maria', 'Cardellini, Valeria', 'Colonnelli, Iacopo', 'Danelutto, Marco', 'Decherchi, Sergio', 'Di Modica, Giuseppe', 'Ferrucci, Luca', 'Gribaudo, Marco', 'Iannone, Francesco', 'Lapegna, Marco', 'Medic, Doriana', 'Muscianisi, Giuseppa', 'Righetti, Francesca', 'Sciacca, Eva', 'Tonellotto, Nicola', 'Tortonesi, Mauro', 'Trunfio, Paolo', 'Vardanega, Tullio']</t>
  </si>
  <si>
    <t>['https://doi.org/10.1145/3624062.3624285']</t>
  </si>
  <si>
    <t>['Computing Continuum', 'HPC', 'Scientific Workflows']</t>
  </si>
  <si>
    <t>['Bartolomeo, Giovanni', 'Cao, Jacky', 'Su, Xiang', 'Mohan, Nitinder']</t>
  </si>
  <si>
    <t>311</t>
  </si>
  <si>
    <t>['https://doi.org/10.1145/3624354.3630584']</t>
  </si>
  <si>
    <t>['containers', 'orchestration', 'edge computing', 'Augmented reality', 'distributed stream processing']</t>
  </si>
  <si>
    <t>359</t>
  </si>
  <si>
    <t>['Massa, Jacopo']</t>
  </si>
  <si>
    <t>['https://doi.org/10.1145/3625549.3658829']</t>
  </si>
  <si>
    <t>['cloud computing', 'constraint and logic languages', 'intent-based networking', 'network resources allocation']</t>
  </si>
  <si>
    <t>['Empl, Philip', 'Böhm, Fabian', 'Pernul, Günther']</t>
  </si>
  <si>
    <t>['https://doi.org/10.1145/3626232.3653271']</t>
  </si>
  <si>
    <t>['distributed tracing', 'internet of things', 'ids', 'mqtt', 'process mining']</t>
  </si>
  <si>
    <t>388</t>
  </si>
  <si>
    <t>['Pavlenko, Anna', 'Cahoon, Joyce', 'Zhu, Yiwen', 'Kroth, Brian', 'Nelson, Michael', 'Carter, Andrew', 'Liao, David', 'Wright, Travis', 'Camacho-Rodríguez, Jesús', 'Saur, Karla']</t>
  </si>
  <si>
    <t>['https://doi.org/10.1145/3626246.3653378']</t>
  </si>
  <si>
    <t>['kubernetes', 'containers', 'resource optimization', 'vertical auto-scaling']</t>
  </si>
  <si>
    <t>['Silva, Samira', 'Pelliccione, Patrizio', 'Bertolino, Antonia']</t>
  </si>
  <si>
    <t>['https://doi.org/10.1145/3627163']</t>
  </si>
  <si>
    <t>['knowledge gaps', 'self-adaptive testing', 'Software testing in the field']</t>
  </si>
  <si>
    <t>321</t>
  </si>
  <si>
    <t>['Chow, Ka-Ho', 'Deshpande, Umesh', 'Deenadayalan, Veera', 'Seshadri, Sangeetha', 'Liu, Ling']</t>
  </si>
  <si>
    <t>['https://doi.org/10.1145/3627703.3629587']</t>
  </si>
  <si>
    <t>['placement', 'microservices', 'machine learning', 'API', 'cyberattacks', 'hybrid cloud']</t>
  </si>
  <si>
    <t>['Ekele, Emeka', 'Oyewale, Christianah Titilope', 'Abolade, Akintomiwa Mayowa']</t>
  </si>
  <si>
    <t>['https://doi.org/10.1145/3628096.3629081']</t>
  </si>
  <si>
    <t>['Criminal Activities', 'Human-Computer Interaction', 'Nigerian Military', 'Technological Solutions', 'UI/UX']</t>
  </si>
  <si>
    <t>395</t>
  </si>
  <si>
    <t>['Farahani, Reza', 'Loh, Frank', 'Roman, Dumitru', 'Prodan, Radu']</t>
  </si>
  <si>
    <t>['https://doi.org/10.1145/3629527.3652901']</t>
  </si>
  <si>
    <t>['serverless computing', 'edge-cloud continuum', 'function scheduling', 'function-as-a-service (faas)', 'service orchestration', 'sustainability', 'workflow', 'workflow management systems (wms)']</t>
  </si>
  <si>
    <t>['Zhao, Laiping', 'Cui, Yushuai', 'Yang, Yanan', 'Zhou, Xiaobo', 'Qiu, Tie', 'Li, Keqiu', 'Bao, Yungang']</t>
  </si>
  <si>
    <t>['https://doi.org/10.1145/3630006']</t>
  </si>
  <si>
    <t>['co-locating', 'Datacenters', 'resource utilization', 'tail latency']</t>
  </si>
  <si>
    <t>['Holzer, Stefan', 'Frangoudis, Pantelis', 'Tsigkanos, Christos', 'Dustdar, Schahram']</t>
  </si>
  <si>
    <t>['https://doi.org/10.1145/3631461.3631562']</t>
  </si>
  <si>
    <t>['IoT', 'Computing continuum', 'Computation Offloading', 'Fog Robotics', 'Satisfiability Modulo Theories']</t>
  </si>
  <si>
    <t>['Cederbladh, Johan', 'Cicchetti, Antonio', 'Suryadevara, Jagadish']</t>
  </si>
  <si>
    <t>['https://doi.org/10.1145/3631976']</t>
  </si>
  <si>
    <t>['MBSE', 'system behaviour', 'systematic literature review', 'validation', 'verification']</t>
  </si>
  <si>
    <t>369</t>
  </si>
  <si>
    <t>['Souza, Abel', 'Jasoria, Shruti', 'Chakrabarty, Basundhara', 'Bridgwater, Alexander', 'Lundberg, Axel', 'Skogh, Filip', 'Ali-Eldin, Ahmed', 'Irwin, David', 'Shenoy, Prashant']</t>
  </si>
  <si>
    <t>['https://doi.org/10.1145/3634769.3634812']</t>
  </si>
  <si>
    <t>['https://doi.org/10.1145/3636428']</t>
  </si>
  <si>
    <t>['concept drift', 'lifelong self-adaptation', 'machine-learning', 'novel class appearance', 'Self-adaptation']</t>
  </si>
  <si>
    <t>['Branco da Silva, Paulo Ricardo', 'Henriques Sales de Lima, João Paulo', 'Costa Alves, Erika', 'Farfan, William Sanchez', 'Coutinho, Victor Aguiar', 'Paiva, Thomas William do Prado', 'Feferman, Daniel Lazkani', 'Neto, Francisco Hugo Costa']</t>
  </si>
  <si>
    <t>['https://doi.org/10.1145/3636534.3701546']</t>
  </si>
  <si>
    <t>['machine learning', 'RIC', 'DDoS', 'open RAN', 'signaling storm']</t>
  </si>
  <si>
    <t>373</t>
  </si>
  <si>
    <t>['Ghosh, Ushasi', 'Chiejina, Azuka Jude', 'Stephenson, Nathan Hughes', 'Shah, Vijay K', 'Shakkottai, Srinivas', 'Bharadia, Dinesh']</t>
  </si>
  <si>
    <t>['https://doi.org/10.1145/3636534.3701547']</t>
  </si>
  <si>
    <t>['interference detection', 'traffic', 'RAN intelligent control']</t>
  </si>
  <si>
    <t>343</t>
  </si>
  <si>
    <t>['Osaba, Eneko', 'Benguria, Gorka', 'Lobo, Jesus L.', 'Diaz-De-Arcaya, Josu', 'Alonso, Juncal', 'Etxaniz, Iñaki']</t>
  </si>
  <si>
    <t>['https://doi.org/10.1145/3638209.3638223']</t>
  </si>
  <si>
    <t>['Combinatorial Optimization', 'Multi-objective Optimization', 'Nature-inspired Computing', 'PIACERE']</t>
  </si>
  <si>
    <t>340</t>
  </si>
  <si>
    <t>['Huang, Yong Xuan', 'Wang, Kung Chun', 'Ke, Bi Shun']</t>
  </si>
  <si>
    <t>['https://doi.org/10.1145/3638837.3638883']</t>
  </si>
  <si>
    <t>['5G Core Network', 'eBPF/XDP', 'Virtual Network Acceleration']</t>
  </si>
  <si>
    <t>['Cui, Ling', 'Shi, Tianyi', 'Lu, Ruifang', 'Zhang, Tiankui']</t>
  </si>
  <si>
    <t>['https://doi.org/10.1145/3638884.3638966']</t>
  </si>
  <si>
    <t>['autoscaling', 'mobile edge computing', 'reinforcement learning']</t>
  </si>
  <si>
    <t>['Wang, Zerui', 'Liu, Yan', 'Arumugam Thiruselvi, Abishek', 'Hamou-Lhadj, Abdelwahab']</t>
  </si>
  <si>
    <t>['https://doi.org/10.1145/3639476.3639759']</t>
  </si>
  <si>
    <t>['MLOps', 'XAI', 'deployment strategy', 'operational cost analysis']</t>
  </si>
  <si>
    <t>319</t>
  </si>
  <si>
    <t>['Qiao, Junfeng', 'Zhou, Aihua', 'Peng, Lin', 'Wang, Yiqing', 'Shen, Xiaofeng', 'Pan, Sen', 'Yang, Pei']</t>
  </si>
  <si>
    <t>['https://doi.org/10.1145/3640115.3640217']</t>
  </si>
  <si>
    <t>['Application validation', 'Data mapping rules', 'Data resource integration', 'Distribution network', 'New energy']</t>
  </si>
  <si>
    <t>['Pfeiffer, Jérôme', 'Fuchß, Dominik', 'Kühn, Thomas', 'Liebhart, Robin', 'Neumann, Dirk', 'Neimöck, Christer', 'Seiler, Christian', 'Koziolek, Anne', 'Wortmann, Andreas']</t>
  </si>
  <si>
    <t>['https://doi.org/10.1145/3640310.3674100']</t>
  </si>
  <si>
    <t>['digital twins', 'survey', 'automotive', 'modeling languages']</t>
  </si>
  <si>
    <t>['Rac, Samuel', 'Brorsson, Mats']</t>
  </si>
  <si>
    <t>['https://doi.org/10.1145/3640823']</t>
  </si>
  <si>
    <t>['Cloud computing', 'resource allocation', 'scheduling', 'Kubernetes', 'edge computing', '5G', 'container orchestration']</t>
  </si>
  <si>
    <t>['Zheng, Kangzhen', 'Ni, Yanyan', 'Qi, Hongtao', 'Tang, Xu']</t>
  </si>
  <si>
    <t>['https://doi.org/10.1145/3641384.3641495']</t>
  </si>
  <si>
    <t>['data analysis', 'Big Data Mining', 'Cyberphysics', 'Decision Support', 'Energy Internet']</t>
  </si>
  <si>
    <t>['Kapsalis, Panagiotis', 'Rimassa, Giovanni', 'Zeydan, Engin', 'Via, Selva', 'Risso, Fulvio', 'Chiasserini, Carla Fabiana', 'Vivo, Giulio']</t>
  </si>
  <si>
    <t>['https://doi.org/10.1145/3641512.3690035']</t>
  </si>
  <si>
    <t>['distributed computing', 'cloud orchestration', 'decentralized AI', 'edge data processing', 'IoT orchestration']</t>
  </si>
  <si>
    <t>['Carlinet, Yannick', 'Perrot, Nancy', 'Valeyre, Laurent', 'Wary, Jean-Philippe', 'Bocianiak, Krzysztof', 'Niewolski, Wojciech', 'Podlasek, Aleksandra']</t>
  </si>
  <si>
    <t>338</t>
  </si>
  <si>
    <t>['https://doi.org/10.1145/3642975.3678962']</t>
  </si>
  <si>
    <t>['Edge Computing', 'Latency-sensitive Service', 'Multi-Edge Computing', 'Security Isolation', 'Service Chaining']</t>
  </si>
  <si>
    <t>['Galantino, Stefano', 'Pinto, Andrea', 'Esposito, Flavio', 'Manzalini, Antonio', 'Risso, Fulvio']</t>
  </si>
  <si>
    <t>['https://doi.org/10.1145/3642975.3678965']</t>
  </si>
  <si>
    <t>['Mellone, Gennaro', 'De Vita, Ciro Giuseppe', 'Caramiello, Dario', 'Singh, David Exposito', 'Blas, Javier Garcia', 'Ciaramella, Angelo']</t>
  </si>
  <si>
    <t>['https://doi.org/10.1145/3642978.3652833']</t>
  </si>
  <si>
    <t>['survey', 'computational environmental science', 'workflows']</t>
  </si>
  <si>
    <t>361</t>
  </si>
  <si>
    <t>['Andrikopoulos, Vasilios', 'Di Nitto, Elisabetta']</t>
  </si>
  <si>
    <t>['https://doi.org/10.1145/3643657.3643909']</t>
  </si>
  <si>
    <t>['cloud computing', 'sustainability', 'software architecture', 'technical debt']</t>
  </si>
  <si>
    <t>360</t>
  </si>
  <si>
    <t>['Thimmaraju, Kashyap', 'Shaik, Altaf', 'Flück, Sunniva', 'Mora, Pere Joan Fullana', 'Werling, Christian', 'Seifert, Jean-Pierre']</t>
  </si>
  <si>
    <t>['https://doi.org/10.1145/3643833.3656118']</t>
  </si>
  <si>
    <t>['near-real time ric', 'o-ran', 'security testing', 'software security']</t>
  </si>
  <si>
    <t>399</t>
  </si>
  <si>
    <t>['Pantin, Roman']</t>
  </si>
  <si>
    <t>['https://doi.org/10.1145/3644713.3644786']</t>
  </si>
  <si>
    <t>387</t>
  </si>
  <si>
    <t>['Malhotra, Ruchika', 'Bansal, Anjali', 'Kessentini, Marouane']</t>
  </si>
  <si>
    <t>['https://doi.org/10.1145/3645092']</t>
  </si>
  <si>
    <t>['kubernetes', 'orchestration', 'performance evaluation', 'Containers', 'Docker', 'scheduling techniques', 'vulnerability']</t>
  </si>
  <si>
    <t>['Pal, Asmita', 'Desai, Keerthana', 'Chatterjee, Rahul', 'San Miguel, Joshua']</t>
  </si>
  <si>
    <t>['https://doi.org/10.1145/3650110']</t>
  </si>
  <si>
    <t>['Performance characterization', 'Privacy of traces', 'Synthetic trace generation']</t>
  </si>
  <si>
    <t>['Sethuraman, Manasvini', 'Sarma, Anirudh', 'Ghaisas, Netra', 'Bauskar, Adwait', 'Dhekne, Ashutosh', 'Sivasubramaniam, Anand', 'Ramachandran, Kishore']</t>
  </si>
  <si>
    <t>['https://doi.org/10.1145/3652892.3700754']</t>
  </si>
  <si>
    <t>['Zhao, Yuxuan', 'Weng, Weikang', 'van Nieuwpoort, Rob', 'Uta, Alexandru']</t>
  </si>
  <si>
    <t>['https://doi.org/10.1145/3652892.3700757']</t>
  </si>
  <si>
    <t>['FaaS', 'serverless computing', 'cost for serverless', 'CPU scheduling']</t>
  </si>
  <si>
    <t>['Roh, Seol', 'Jeong, Hong-Ju', 'Boo, Hacksung', 'Huh, Eui-Nam']</t>
  </si>
  <si>
    <t>['https://doi.org/10.1145/3654522.3654594']</t>
  </si>
  <si>
    <t>['Cost effectiveness', 'Serverless', 'Switchable Event Manager']</t>
  </si>
  <si>
    <t>['Ball, Thomas', 'de Halleux, Peli', 'Devine, James', 'Hodges, Steve', 'Moskal, Michał']</t>
  </si>
  <si>
    <t>['https://doi.org/10.1145/3656405']</t>
  </si>
  <si>
    <t>['embedded systems', 'microcontrollers', 'plug-and-play', 'services']</t>
  </si>
  <si>
    <t>['Chen, Li', 'Wang, Hai', 'Hou, Fuyuan', 'Li, Biao', 'Zhang, Wangli']</t>
  </si>
  <si>
    <t>351</t>
  </si>
  <si>
    <t>['https://doi.org/10.1145/3656766.3656853']</t>
  </si>
  <si>
    <t>102</t>
  </si>
  <si>
    <t>['El Akhdar, Abir', 'Baidada, Chafik', 'Kartit, Ali']</t>
  </si>
  <si>
    <t>['https://doi.org/10.1145/3659677.3659734']</t>
  </si>
  <si>
    <t>['Microservices', 'Internet of Things', 'IoT', 'Software Architecture', 'MSA', 'Comprehensive Review']</t>
  </si>
  <si>
    <t>['Dazzi, Patrizio', 'Ferrucci, Luca', 'Danelutto, Marco', 'Tserpes, Konstantinos', 'Makris, Antonios', 'Theodoropoulos, Theodoros', 'Massa, Jacopo', 'Carlini, Emanuele', 'Mordacchini, Matteo']</t>
  </si>
  <si>
    <t>['https://doi.org/10.1145/3659994.3660315']</t>
  </si>
  <si>
    <t>['resource management', 'edge computing', 'decentralized computing', 'urgent computing']</t>
  </si>
  <si>
    <t>['Ilager, Shashikant', 'Balouek, Daniel', 'Kaddour, Sidi Mohammed', 'Brandic, Ivona']</t>
  </si>
  <si>
    <t>['https://doi.org/10.1145/3659995.3660037']</t>
  </si>
  <si>
    <t>['edge computing', 'automated application management', 'environmental monitoring applications', 'intent-driven resource management', 'internet of things (IoT)']</t>
  </si>
  <si>
    <t>['Poggiani, Leonardo', 'Puliafito, Carlo', 'Virdis, Antonio', 'Mingozzi, Enzo']</t>
  </si>
  <si>
    <t>['https://doi.org/10.1145/3660319.3660330']</t>
  </si>
  <si>
    <t>['serverless', 'kubernetes', 'edge computing', 'function as a service', 'migration', 'multi-cluster']</t>
  </si>
  <si>
    <t>['Yuan, Miao', 'Wang, Wenshuo', 'Yang, Jian', 'Deng, Jinlong']</t>
  </si>
  <si>
    <t>['https://doi.org/10.1145/3660395.3660441']</t>
  </si>
  <si>
    <t>['Gilman, Ekaterina', 'Bugiotti, Francesca', 'Khalid, Ahmed', 'Mehmood, Hassan', 'Kostakos, Panos', 'Tuovinen, Lauri', 'Ylipulli, Johanna', 'Su, Xiang', 'Ferreira, Denzil']</t>
  </si>
  <si>
    <t>['https://doi.org/10.1145/3663482']</t>
  </si>
  <si>
    <t>['machine learning', 'smart city', 'Big data', 'data analysis', 'urban computing']</t>
  </si>
  <si>
    <t>382</t>
  </si>
  <si>
    <t>['Golpayegani, Fateneh', 'Chen, Nanxi', 'Afraz, Nima', 'Gyamfi, Eric', 'Malekjafarian, Abdollah', 'Schäfer, Dominik', 'Krupitzer, Christian']</t>
  </si>
  <si>
    <t>['https://doi.org/10.1145/3664200']</t>
  </si>
  <si>
    <t>['edge computing', 'Adaptation', 'edge-enabled', 'MAPE-loop']</t>
  </si>
  <si>
    <t>['Zuppelli, Marco', 'Guarascio, Massimo', 'Caviglione, Luca', 'Liguori, Angelica']</t>
  </si>
  <si>
    <t>['https://doi.org/10.1145/3664476.3670884']</t>
  </si>
  <si>
    <t>['Container Leakages', 'Deep Learning', 'Security']</t>
  </si>
  <si>
    <t>['Delaitre, Sabine', 'Pulgar Gutiérrez, José Maria']</t>
  </si>
  <si>
    <t>['https://doi.org/10.1145/3664476.3670942']</t>
  </si>
  <si>
    <t>['Application Security Testing', 'Automation', 'DevOps framework', 'Knowledge graph', 'Preventive secure systems', 'Vulnerability detection in Code']</t>
  </si>
  <si>
    <t>['Min, Dongmoon', 'Byun, Ilkwon', 'Lee, Gyu-Hyeon', 'Kim, Jangwoo']</t>
  </si>
  <si>
    <t>['https://doi.org/10.1145/3664925']</t>
  </si>
  <si>
    <t>['Datacenter architecture', 'low-temperature computing', 'temperature scaling']</t>
  </si>
  <si>
    <t>['Zhang, Xuyang', 'Ni, Li', 'Zhu, Hang', 'Shen, Jialu', 'Wang, Lei']</t>
  </si>
  <si>
    <t>['https://doi.org/10.1145/3665348.3665413']</t>
  </si>
  <si>
    <t>['Morales, Jose', 'Antunes, Luiz', 'Earl, Patrick', 'Edman, Robert', 'Hamed, Jeffrey', 'Reynolds, Douglas', 'Maffey, Katherine R', 'Yankel, Joseph', 'Yasar, Hasan']</t>
  </si>
  <si>
    <t>['https://doi.org/10.1145/3666015.3666018']</t>
  </si>
  <si>
    <t>['AI', 'Artificial Intelligence', 'Container', 'Continuous Deployment', 'Deployment', 'DevOps', 'DevSecOps.', 'Machine Learning', 'Metrics', 'ML', 'Performance']</t>
  </si>
  <si>
    <t>['Xu, Chi', 'Qian, Rongsheng', 'Fang, Hao', 'Ma, Xiaoqiang', 'Atlas, William I.', 'Liu, Jiangchuan', 'Spoljaric, Mark A.']</t>
  </si>
  <si>
    <t>['https://doi.org/10.1145/3666025.3699323']</t>
  </si>
  <si>
    <t>['edge computing', 'sustainability', 'edge-cloud collaboration', 'internet of things', 'live analytics', 'sensing', 'solar power', 'sonar radar']</t>
  </si>
  <si>
    <t>['Ghammam, Anwar', 'Khalsi, Rania', 'Kessentini, Marouane', 'Hassan, Foyzul']</t>
  </si>
  <si>
    <t>['https://doi.org/10.1145/3672461']</t>
  </si>
  <si>
    <t>['docker', 'Dynamic scheduling', 'management of software containers', 'many-objective optimization', 'software defined vehicles']</t>
  </si>
  <si>
    <t>['Wang, Rui', 'Zou, Xiaoying', 'Li, Yaxi', 'Li, Feng', 'Liu, Jiaoli', 'Wang, Rong']</t>
  </si>
  <si>
    <t>['https://doi.org/10.1145/3673277.3673327']</t>
  </si>
  <si>
    <t>['Stingl, Lukas', 'Knierim, Michael T.']</t>
  </si>
  <si>
    <t>['https://doi.org/10.1145/3675094.3678482']</t>
  </si>
  <si>
    <t>['eeg', 'exg', 'headphones', 'open-ceegrids', 'openbci', 'wearable bci']</t>
  </si>
  <si>
    <t>['Huang, Jin', 'Zeng, Zeng', 'Wu, Peng', 'Xu, Caiyun', 'Li, Xiuyi']</t>
  </si>
  <si>
    <t>['https://doi.org/10.1145/3677454.3677455']</t>
  </si>
  <si>
    <t>['Edge computing', 'Information interaction', 'Intelligent sensing', 'Power IoT']</t>
  </si>
  <si>
    <t>['Zafeiropoulos, Anastasios', 'Filinis, Nikos', 'Spatharakis, Dimitrios', 'Dimolitsas, Ioannis', 'Fotopoulou, Eleni', 'Vassilakis, Constantinos', 'Papavassiliou, Symeon']</t>
  </si>
  <si>
    <t>['https://doi.org/10.1145/3685651.3686698']</t>
  </si>
  <si>
    <t>['Computing Continuum', 'Data Spaces', 'Distributed Application', 'Meta-Orchestration', 'Observability']</t>
  </si>
  <si>
    <t>['Karmakar, Prasenjit', 'Pradhan, Swadhin', 'Chakraborty, Sandip']</t>
  </si>
  <si>
    <t>['https://doi.org/10.1145/3685694']</t>
  </si>
  <si>
    <t>['best practices', 'Indoor pollution', 'pollution dynamics']</t>
  </si>
  <si>
    <t>379</t>
  </si>
  <si>
    <t>['Tian, Hao', 'Xu, Xiaolong', 'Wu, Hongyue', 'Zhao, Qingzhan', 'Dai, Jianguo', 'Khan, Maqbool']</t>
  </si>
  <si>
    <t>['https://doi.org/10.1145/3685930']</t>
  </si>
  <si>
    <t>['Internet of Things', 'DNN placement', 'Edge intelligence', 'Game theory']</t>
  </si>
  <si>
    <t>['Ye, Peigen', 'Wang, Wenfeng', 'Mi, Bing', 'Chen, Kongyang']</t>
  </si>
  <si>
    <t>['https://doi.org/10.1145/3686161']</t>
  </si>
  <si>
    <t>['Blockchain', 'Distributed Computing', 'Edge Computing', 'Streaming Data']</t>
  </si>
  <si>
    <t>['Barriga, Arturo', 'Barriga, José A.', 'Pérez-Toledano, Miguel A.', 'Clemente, Pedro J.']</t>
  </si>
  <si>
    <t>['https://doi.org/10.1145/3687472']</t>
  </si>
  <si>
    <t>['Internet of Things', 'model-driven development', 'digital twin', 'Distributed intelligent system', 'model-to- text transformation']</t>
  </si>
  <si>
    <t>381</t>
  </si>
  <si>
    <t>['Wang, Botao', 'Xu, Xu', 'Zhuo, Lin', 'Yuan, Xiangyu', 'Wang, Longzhi', 'Sun, Qixing', 'Fu, Wei', 'Teng, Kah Hou']</t>
  </si>
  <si>
    <t>['https://doi.org/10.1145/3689236.3696171']</t>
  </si>
  <si>
    <t>['Kubernetes', 'Cloud platform', 'Digital grid', 'Elastic scaling', 'Resource scheduling']</t>
  </si>
  <si>
    <t>['Zamanzadeh Darban, Zahra', 'Webb, Geoffrey I.', 'Pan, Shirui', 'Aggarwal, Charu', 'Salehi, Mahsa']</t>
  </si>
  <si>
    <t>['https://doi.org/10.1145/3691338']</t>
  </si>
  <si>
    <t>['Anomaly detection', 'deep learning', 'multivariate time series', 'outlier detection', 'time series', 'univariate time series']</t>
  </si>
  <si>
    <t>['Fu, Silvery D.', 'Zhang, Hong', 'Teoh, Ryan', 'Priadka, Taras', 'Ratnasamy, Sylvia']</t>
  </si>
  <si>
    <t>['https://doi.org/10.1145/3696348.3702013']</t>
  </si>
  <si>
    <t>['Microservices', 'Design Principles', 'Service Composition']</t>
  </si>
  <si>
    <t>['Ghosh, Ushasi', 'Chiejina, Azuka', 'Stephenson, Nathan', 'Shah, Vijay K', 'Shakkottai, Srinivas', 'Bharadia, Dinesh']</t>
  </si>
  <si>
    <t>['https://doi.org/10.1145/3696405']</t>
  </si>
  <si>
    <t>['interference detection', 'ran intelligent control', 'traffic']</t>
  </si>
  <si>
    <t>312</t>
  </si>
  <si>
    <t>['Maranhão, João José', 'Guerra, Eduardo Martins']</t>
  </si>
  <si>
    <t>['https://doi.org/10.1145/3698322.3698324']</t>
  </si>
  <si>
    <t>['Artificial Intelligence', 'AI Generative', 'Architecture Decision-Making', 'Design Patterns', 'Prompt Engineering', 'Prompt Patterns Sequence', 'Software Architecture']</t>
  </si>
  <si>
    <t>['Daniel, João', 'Wang, Xiaofeng', 'Guerra, Eduardo']</t>
  </si>
  <si>
    <t>['https://doi.org/10.1145/3698322.3698344']</t>
  </si>
  <si>
    <t>['API', 'Metadata', 'Reusability']</t>
  </si>
  <si>
    <t>['Gao, Wenjing', 'Cao, Xingzhao', 'Zhou, Cheng', 'Wang, Jian', 'Song, Lianxin', 'Li, Jiawei']</t>
  </si>
  <si>
    <t>['https://doi.org/10.1145/3698385.3699872']</t>
  </si>
  <si>
    <t>['Digital Transformation', 'Industrial Internet', 'Small and Medium Enterprises', 'SMEs']</t>
  </si>
  <si>
    <t>['Nickel, Matthias', 'Göhringer, Diana']</t>
  </si>
  <si>
    <t>['https://doi.org/10.1145/3699514']</t>
  </si>
  <si>
    <t>['CGRA', 'FPGA', 'In-Network Computing', 'SoC', 'Software-Defined Networking']</t>
  </si>
  <si>
    <t>['Bellavista, Paolo', 'Bicocchi, Nicola', 'Fogli, Mattia', 'Giannelli, Carlo', 'Mamei, Marco', 'Picone, Marco']</t>
  </si>
  <si>
    <t>['https://doi.org/10.1145/3699520']</t>
  </si>
  <si>
    <t>['digital twins', 'middleware', 'Cyber-physical systems', 'entanglement']</t>
  </si>
  <si>
    <t>['Hannou, Fatma-Zohra', 'Lefrançois, Maxime', 'Jouvelot, Pierre', 'Charpenay, Victor', 'Zimmermann, Antoine']</t>
  </si>
  <si>
    <t>['https://doi.org/10.1145/3699954']</t>
  </si>
  <si>
    <t>['Internet of Things', 'IoT platforms', 'IoT programming', 'smart agriculture', 'smart building']</t>
  </si>
  <si>
    <t>['Åkesson, Alfred', 'Gehrmann, Christian', 'Hedin, Görel', 'Johnsson, Björn A.', 'Magnusson, Boris', 'Nordahl, Mattias', 'Ramezanian, Sara', 'Stankovski Wagner, Paul']</t>
  </si>
  <si>
    <t>['https://doi.org/10.1145/3700144']</t>
  </si>
  <si>
    <t>['Hospital-at-Home', 'IoT Middleware', 'Key Management', 'Post Quantum Cryptography', 'Trust Establishment']</t>
  </si>
  <si>
    <t>['Tang, Li', 'Hu, Haibo', 'Gabbouj, Moncef', 'Ye, Qingqing', 'Xiang, Yang', 'Li, Jin', 'Li, Lang']</t>
  </si>
  <si>
    <t>['https://doi.org/10.1145/3700792']</t>
  </si>
  <si>
    <t>400</t>
  </si>
  <si>
    <t>['Golec, Muhammed', 'Walia, Guneet Kaur', 'Kumar, Mohit', 'Cuadrado, Felix', 'Gill, Sukhpal Singh', 'Uhlig, Steve']</t>
  </si>
  <si>
    <t>['https://doi.org/10.1145/3700875']</t>
  </si>
  <si>
    <t>['cloud computing', 'survey', 'Serverless computing', 'function as a service', 'cold start latency']</t>
  </si>
  <si>
    <t>['Gao, Jinming', 'Zhu, Pingfei', 'Xiong, Genxin', 'Shu, Yanfei']</t>
  </si>
  <si>
    <t>389</t>
  </si>
  <si>
    <t>['https://doi.org/10.1145/3702191.3702193']</t>
  </si>
  <si>
    <t>['msc', 'power system', 'quadrature scheduling', 'research and transportation integration']</t>
  </si>
  <si>
    <t>['Soussi, Wissem', 'Gür, Gürkan', 'Stiller, Burkhard']</t>
  </si>
  <si>
    <t>['https://doi.org/10.1145/3704436']</t>
  </si>
  <si>
    <t>['edge-to-cloud continuum', 'Moving Target Defense (MTD)', 'Service live migration', 'traffic session handover']</t>
  </si>
  <si>
    <t>['Bayram, Firas', 'Ahmed, Bestoun S.']</t>
  </si>
  <si>
    <t>['https://doi.org/10.1145/3708497']</t>
  </si>
  <si>
    <t>['machine learning', 'Artificial intelligence', 'DataOps', 'MLOps systems', 'model performance', 'ModelOps', 'robustness', 'Trustworthy AI']</t>
  </si>
  <si>
    <t>['Anderson, Patrick', 'Aranas, Erika', 'Assaf, Youssef', 'Behrendt, Raphael', 'Black, Richard', 'Caballero, Marco', 'Cameron, Pashmina', 'Canakci, Burcu', 'Chatzieleftheriou, Andromachi', 'Clarke, Rebekah', 'Clegg, James', 'Cletheroe, Daniel', 'Cooper, Bridgette', 'De Carvalho, Thales', 'Deegan, Tim', 'Donnelly, Austin', 'Drevinskas, Rokas', 'Gaunt, Alexander', 'Gkantsidis, Christos', 'Gomez Diaz, Ariel', 'Haller, Istvan', 'Hong, Freddie', 'Ilieva, Teodora', 'Joshi, Shashidhar', 'Joyce, Russell', 'Kunkel, William', 'Lara, David', 'Legtchenko, Sergey', 'Liu, Fanglin', 'Magalhaes, Bruno', 'Marzoev, Alana', 'McNett, Marvin', 'Mohan, Jayashree', 'Myrah, Michael', 'Nguyen, Truong', 'Nowozin, Sebastian', 'Ogus, Aaron', 'Overweg, Hiske', 'Rowstron, Antony', 'Sah, Maneesh', 'Sakakura, Masaaki', 'Scholtz, Peter', 'Schreiner, Nina', 'Sella, Omer', 'Smith, Adam', 'Stefanovici, Ioan', 'Sweeney, David', 'Thomsen, Benn', 'Verkes, Govert', 'Wainman, Phil', 'Westcott, Jonathan', 'Weston, Luke', 'Whittaker, Charles', 'Wilke Berenguer, Pablo', 'Williams, Hugh', 'Winkler, Thomas', 'Winzeck, Stefan']</t>
  </si>
  <si>
    <t>['https://doi.org/10.1145/3708996']</t>
  </si>
  <si>
    <t>['data center', 'sustainability', 'archival', 'cloud storage', 'cold storage', 'disaggregation', 'glass', 'Storage']</t>
  </si>
  <si>
    <t>['Truong, Thai Minh', 'Huynh, Khang Quy', 'Ngo, Thao Thi Thu', 'Luu, Ca', 'Le, Bang Minh']</t>
  </si>
  <si>
    <t>['https://doi.org/10.1145/3711609.3711613']</t>
  </si>
  <si>
    <t>['Internet of Things (IoT)', 'Microservices Architecture', 'Agriculture and Aquaculture']</t>
  </si>
  <si>
    <t>['Murillo, Juan M.', 'Garcia-Alonso, Jose', 'Moguel, Enrique', 'Barzen, Johanna', 'Leymann, Frank', 'Ali, Shaukat', 'Yue, Tao', 'Arcaini, Paolo', 'Pérez-Castillo, Ricardo', 'García Rodríguez de Guzmán, Ignacio', 'Piattini, Mario', 'Ruiz-Cortés, Antonio', 'Brogi, Antonio', 'Zhao, Jianjun', 'Miranskyy, Andriy', 'Wimmer, Manuel']</t>
  </si>
  <si>
    <t>['https://doi.org/10.1145/3712002']</t>
  </si>
  <si>
    <t>['open challenges', 'QSE', 'Quantum Computing', 'Quantum Software Engineering']</t>
  </si>
  <si>
    <t>['Casadei, Roberto', 'Aguzzi, Gianluca', 'Audrito, Giorgio', 'Damiani, Ferruccio', 'Pianini, Danilo', 'Scarso, Giordano', 'Torta, Gianluca', 'Viroli, Mirko']</t>
  </si>
  <si>
    <t>['https://doi.org/10.1145/3712004']</t>
  </si>
  <si>
    <t>['edge-cloud continuum', 'collective adaptive systems', 'cyber-physical ecosystems', 'distributed artificial intelligence', 'macro-programming', 'multi-agent systems', 'swarm intelligence']</t>
  </si>
  <si>
    <t>['Syed, Naeem', 'Anwar, Adnan', 'Baig, Zubair', 'Zeadally, Sherali']</t>
  </si>
  <si>
    <t>['https://doi.org/10.1145/3712016']</t>
  </si>
  <si>
    <t>['IoT', 'AIaaS', 'Artificial intelligence', 'Artificial intelligence as a Service', 'Cloud Computing', 'Edge']</t>
  </si>
  <si>
    <t>['Jarkas, Omar', 'Ko, Ryan', 'Dong, Naipeng', 'Mahmud, Redowan']</t>
  </si>
  <si>
    <t>['https://doi.org/10.1145/3715001']</t>
  </si>
  <si>
    <t>['cloud computing', 'confidential computing', 'Containerization security', 'hardware-based security', 'vulnerabilities']</t>
  </si>
  <si>
    <t>['Liu, Guozhi', 'Lin, Weiwei', 'Zhang, Haotong', 'Lin, Jianpeng', 'Peng, Shaoliang', 'Li, Keqin']</t>
  </si>
  <si>
    <t>['https://doi.org/10.1145/3719003']</t>
  </si>
  <si>
    <t>['anomaly detection', 'Cloud computing', 'datasets', 'energy efficiency', 'resource allocation', 'security', 'task scheduling', 'workload']</t>
  </si>
  <si>
    <t>['Ali, Ahsan', 'Pinciroli, Riccardo', 'Yan, Feng', 'Smirni, Evgenia']</t>
  </si>
  <si>
    <t>['https://doi.org/10.14778/3547305.3547313']</t>
  </si>
  <si>
    <t>['Li, Ji You', 'Zhang, Jiachi', 'Zhou, Wenchao', 'Liu, Yuhang', 'Zhang, Shuai', 'Xue, Zhuoming', 'Xu, Ding', 'Fan, Hua', 'Zhou, Fangyuan', 'Li, Feifei']</t>
  </si>
  <si>
    <t>['https://doi.org/10.14778/3611540.3611565']</t>
  </si>
  <si>
    <t>['Casalicchio, Emiliano']</t>
  </si>
  <si>
    <t>['https://doi.org/10.4108/eai.25-10-2016.2266649']</t>
  </si>
  <si>
    <t>['cloud computing', 'docker', 'autonomic computing', 'service orchestration', 'container']</t>
  </si>
  <si>
    <t>Raw Data</t>
  </si>
  <si>
    <t>Cleaned Heading</t>
  </si>
  <si>
    <t>Parameter ID</t>
  </si>
  <si>
    <t>Name</t>
  </si>
  <si>
    <t>Values</t>
  </si>
  <si>
    <t>#</t>
  </si>
  <si>
    <t>● RQ1.1.P1_LifecycleStageEnergyAwareness
 Gr=24</t>
  </si>
  <si>
    <t>● RQ1.1.P1_LifecycleStageEnergyAwareness_Deployment
 Gr=9</t>
  </si>
  <si>
    <t>● RQ1.1.P1_LifecycleStageEnergyAwareness_Design
 Gr=5</t>
  </si>
  <si>
    <t>Todo
- Go param by param observing what i did
- Analysing the correlation between the different parameters within the same RQ
- Refine the meaning of RQ1P2</t>
  </si>
  <si>
    <t>● RQ1.1.P1_LifecycleStageEnergyAwareness_Development
 Gr=2</t>
  </si>
  <si>
    <t>● RQ1.1.P1_LifecycleStageEnergyAwareness_Maintenance
 Gr=1</t>
  </si>
  <si>
    <t>● RQ1.1.P1_LifecycleStageEnergyAwareness_Runtime
 Gr=21</t>
  </si>
  <si>
    <t>Total</t>
  </si>
  <si>
    <t>● RQ1.1.P2_Energy Integration Point
 Gr=22</t>
  </si>
  <si>
    <t>● RQ1.1.P2_EnergyIntegrationPoint_Analysis
 Gr=1</t>
  </si>
  <si>
    <t>● RQ1.1.P2_EnergyIntegrationPoint_Configuration
 Gr=1</t>
  </si>
  <si>
    <t>● RQ1.1.P2_EnergyIntegrationPoint_Deployment
 Gr=3</t>
  </si>
  <si>
    <t>● RQ1.1.P2_EnergyIntegrationPoint_Design
 Gr=4</t>
  </si>
  <si>
    <t>● RQ1.1.P2_EnergyIntegrationPoint_Development
 Gr=1</t>
  </si>
  <si>
    <t>● RQ1.1.P2_EnergyIntegrationPoint_Runtime
 Gr=19</t>
  </si>
  <si>
    <t>● RQ1.1.P3_IntegrationApproach
 Gr=28</t>
  </si>
  <si>
    <t>● RQ1.1.P3_IntegrationApproach_Brownout
 Gr=1</t>
  </si>
  <si>
    <t>● RQ1.1.P3_IntegrationApproach_DesignTimeAnalysis
 Gr=1</t>
  </si>
  <si>
    <t>● RQ1.1.P3_IntegrationApproach_DesignTimeConstraints
 Gr=1</t>
  </si>
  <si>
    <t>● RQ1.1.P3_IntegrationApproach_MetadataDrivenIntegration
 Gr=2</t>
  </si>
  <si>
    <t>● RQ1.1.P3_IntegrationApproach_PlacementOptimization
 Gr=1</t>
  </si>
  <si>
    <t>● RQ1.1.P3_IntegrationApproach_QoSDrivenControl
 Gr=3</t>
  </si>
  <si>
    <t>● RQ1.1.P3_IntegrationApproach_RuntimeAdaptation
 Gr=8</t>
  </si>
  <si>
    <t>● RQ1.1.P3_IntegrationApproach_RuntimeAutoscaling
 Gr=2</t>
  </si>
  <si>
    <t>● RQ1.1.P3_IntegrationApproach_RuntimeDeploymentManagement
 Gr=4</t>
  </si>
  <si>
    <t>● RQ1.1.P3_IntegrationApproach_RuntimeMonitoring
 Gr=18</t>
  </si>
  <si>
    <t>● RQ1.1.P3_IntegrationApproach_RuntimePowerManagement
 Gr=5</t>
  </si>
  <si>
    <t>● RQ1.1.P3_IntegrationApproach_RuntimeScheduling
 Gr=6</t>
  </si>
  <si>
    <t>● RQ1.2.P1_ComponentType
 Gr=36</t>
  </si>
  <si>
    <t>● RQ1.2.P1_ComponentType_Component
 Gr=6</t>
  </si>
  <si>
    <t>● RQ1.2.P1_ComponentType_Container
 Gr=16</t>
  </si>
  <si>
    <t>● RQ1.2.P1_ComponentType_CPU
 Gr=10</t>
  </si>
  <si>
    <t>● RQ1.2.P1_ComponentType_Device
 Gr=4</t>
  </si>
  <si>
    <t>● RQ1.2.P1_ComponentType_Gateway
 Gr=3</t>
  </si>
  <si>
    <t>● RQ1.2.P1_ComponentType_LoadBalancer
 Gr=1</t>
  </si>
  <si>
    <t>● RQ1.2.P1_ComponentType_Memory
 Gr=6</t>
  </si>
  <si>
    <t>● RQ1.2.P1_ComponentType_Microservice
 Gr=18</t>
  </si>
  <si>
    <t>● RQ1.2.P1_ComponentType_MonitoringComponent
 Gr=1</t>
  </si>
  <si>
    <t>● RQ1.2.P1_ComponentType_NetworkComponent
 Gr=7</t>
  </si>
  <si>
    <t>● RQ1.2.P1_ComponentType_Node
 Gr=8</t>
  </si>
  <si>
    <t>● RQ1.2.P1_ComponentType_Orchestrator
 Gr=2</t>
  </si>
  <si>
    <t>● RQ1.2.P1_ComponentType_Pod
 Gr=4</t>
  </si>
  <si>
    <t>● RQ1.2.P1_ComponentType_Server
 Gr=10</t>
  </si>
  <si>
    <t>● RQ1.2.P1_ComponentType_Service
 Gr=10</t>
  </si>
  <si>
    <t>● RQ1.2.P1_ComponentType_Storage
 Gr=2</t>
  </si>
  <si>
    <t>● RQ1.2.P1_ComponentType_VirtualMachine
 Gr=2</t>
  </si>
  <si>
    <t>● RQ1.2.P2_EnergyConsumptionSource
 Gr=36</t>
  </si>
  <si>
    <t>● RQ1.2.P2_EnergyConsumptionSource_Computation
 Gr=3</t>
  </si>
  <si>
    <t>● RQ1.2.P2_EnergyConsumptionSource_CPU
 Gr=33</t>
  </si>
  <si>
    <t>● RQ1.2.P2_EnergyConsumptionSource_Device
 Gr=5</t>
  </si>
  <si>
    <t>● RQ1.2.P2_EnergyConsumptionSource_FPGA
 Gr=1</t>
  </si>
  <si>
    <t>● RQ1.2.P2_EnergyConsumptionSource_IdlePower
 Gr=2</t>
  </si>
  <si>
    <t>● RQ1.2.P2_EnergyConsumptionSource_MaxPower
 Gr=1</t>
  </si>
  <si>
    <t>● RQ1.2.P2_EnergyConsumptionSource_Memory
 Gr=10</t>
  </si>
  <si>
    <t>● RQ1.2.P2_EnergyConsumptionSource_Network
 Gr=20</t>
  </si>
  <si>
    <t>● RQ1.2.P2_EnergyConsumptionSource_PowerSupply
 Gr=2</t>
  </si>
  <si>
    <t>● RQ1.2.P2_EnergyConsumptionSource_Server
 Gr=4</t>
  </si>
  <si>
    <t>● RQ1.2.P2_EnergyConsumptionSource_Storage
 Gr=8</t>
  </si>
  <si>
    <t>● RQ1.2.P3_ComponentRelationship
 Gr=20</t>
  </si>
  <si>
    <t>● RQ1.2.P3_ComponentRelationship_CommunicationOverhead
 Gr=9</t>
  </si>
  <si>
    <t>● RQ1.2.P3_ComponentRelationship_DependencyCascade
 Gr=3</t>
  </si>
  <si>
    <t>● RQ1.2.P3_ComponentRelationship_PlacementDependency
 Gr=3</t>
  </si>
  <si>
    <t>● RQ1.2.P3_ComponentRelationship_Reconfiguration
 Gr=1</t>
  </si>
  <si>
    <t>● RQ1.2.P3_ComponentRelationship_RedundancyReplication
 Gr=1</t>
  </si>
  <si>
    <t>● RQ1.2.P3_ComponentRelationship_RequestBatching
 Gr=1</t>
  </si>
  <si>
    <t>● RQ1.2.P3_ComponentRelationship_ServiceDeactivation
 Gr=1</t>
  </si>
  <si>
    <t>● RQ1.2.P3_ComponentRelationship_SharedResourceContention
 Gr=1</t>
  </si>
  <si>
    <t>● RQ1.2.P3_ComponentRelationship_StartUpBehavior
 Gr=2</t>
  </si>
  <si>
    <t>● RQ2.1.P1_MeasurementLevel
 Gr=38</t>
  </si>
  <si>
    <t>● RQ2.1.P1_MeasurementLevel_Application
 Gr=2</t>
  </si>
  <si>
    <t>● RQ2.1.P1_MeasurementLevel_ClusterDatacenter
 Gr=2</t>
  </si>
  <si>
    <t>● RQ2.1.P1_MeasurementLevel_Component
 Gr=2</t>
  </si>
  <si>
    <t>● RQ2.1.P1_MeasurementLevel_ContainerPod
 Gr=6</t>
  </si>
  <si>
    <t>● RQ2.1.P1_MeasurementLevel_Function
 Gr=1</t>
  </si>
  <si>
    <t>● RQ2.1.P1_MeasurementLevel_Hardware
 Gr=18</t>
  </si>
  <si>
    <t>● RQ2.1.P1_MeasurementLevel_Network
 Gr=2</t>
  </si>
  <si>
    <t>● RQ2.1.P1_MeasurementLevel_NodeDevice
 Gr=4</t>
  </si>
  <si>
    <t>● RQ2.1.P1_MeasurementLevel_OS
 Gr=2</t>
  </si>
  <si>
    <t>● RQ2.1.P1_MeasurementLevel_Request
 Gr=5</t>
  </si>
  <si>
    <t>● RQ2.1.P1_MeasurementLevel_ServerHost
 Gr=11</t>
  </si>
  <si>
    <t>● RQ2.1.P1_MeasurementLevel_Service
 Gr=2</t>
  </si>
  <si>
    <t>● RQ2.1.P1_MeasurementLevel_TaskThread
 Gr=1</t>
  </si>
  <si>
    <t>● RQ2.1.P2_MeasurementTechnique
 Gr=38</t>
  </si>
  <si>
    <t>● RQ2.1.P2_MeasurementTechnique_DirectPowerMeasurement
 Gr=7</t>
  </si>
  <si>
    <t>● RQ2.1.P2_MeasurementTechnique_HardwareCounterAPI
 Gr=4</t>
  </si>
  <si>
    <t>● RQ2.1.P2_MeasurementTechnique_ModelBasedEstimation
 Gr=24</t>
  </si>
  <si>
    <t>● RQ2.1.P2_MeasurementTechnique_PhysicalPowerMeter
 Gr=2</t>
  </si>
  <si>
    <t>● RQ2.1.P2_MeasurementTechnique_Simulation
 Gr=1</t>
  </si>
  <si>
    <t>● RQ2.1.P2_MeasurementTechnique_SoftwareProfiling
 Gr=4</t>
  </si>
  <si>
    <t>● RQ2.1.P3_DataCollection
 Gr=31</t>
  </si>
  <si>
    <t>● RQ2.1.P3_DataCollection_APICounterReadout
 Gr=2</t>
  </si>
  <si>
    <t>● RQ2.1.P3_DataCollection_APIReading
 Gr=1</t>
  </si>
  <si>
    <t>● RQ2.1.P3_DataCollection_Logging
 Gr=2</t>
  </si>
  <si>
    <t>● RQ2.1.P3_DataCollection_Monitoring
 Gr=18</t>
  </si>
  <si>
    <t>● RQ2.1.P3_DataCollection_Sampling
 Gr=10</t>
  </si>
  <si>
    <t>● RQ2.1.P3_DataCollection_Simulation
 Gr=4</t>
  </si>
  <si>
    <t>● RQ2.1.P3_DataCollection_TracingProfiling
 Gr=3</t>
  </si>
  <si>
    <t>● RQ2.1.P4_ImplementationApproach
 Gr=36</t>
  </si>
  <si>
    <t>● RQ2.1.P4_ImplementationApproach_Benchmarking
 Gr=14</t>
  </si>
  <si>
    <t>● RQ2.1.P4_ImplementationApproach_CodeInstrumentation
 Gr=2</t>
  </si>
  <si>
    <t>● RQ2.1.P4_ImplementationApproach_EnergyModeling
 Gr=6</t>
  </si>
  <si>
    <t>● RQ2.1.P4_ImplementationApproach_ExternalPowerMeter
 Gr=2</t>
  </si>
  <si>
    <t>● RQ2.1.P4_ImplementationApproach_ExternalTool
 Gr=15</t>
  </si>
  <si>
    <t>● RQ2.1.P4_ImplementationApproach_PrototypeDeployment
 Gr=1</t>
  </si>
  <si>
    <t>● RQ2.1.P4_ImplementationApproach_RuntimeMonitoring
 Gr=3</t>
  </si>
  <si>
    <t>● RQ2.1.P4_ImplementationApproach_Simulation
 Gr=10</t>
  </si>
  <si>
    <t>● RQ2.1.P4_ImplementationApproach_SystemFramework
 Gr=1</t>
  </si>
  <si>
    <t>● RQ2.2.P1_ToolType
 Gr=36</t>
  </si>
  <si>
    <t>● RQ2.2.P1_ToolType_BenchmarkGenerator
 Gr=2</t>
  </si>
  <si>
    <t>● RQ2.2.P1_ToolType_EnergyEstimationTool
 Gr=2</t>
  </si>
  <si>
    <t>● RQ2.2.P1_ToolType_EnergyMeter
 Gr=14</t>
  </si>
  <si>
    <t>● RQ2.2.P1_ToolType_Framework
 Gr=1</t>
  </si>
  <si>
    <t>● RQ2.2.P1_ToolType_ModelChecker
 Gr=1</t>
  </si>
  <si>
    <t>● RQ2.2.P1_ToolType_MonitoringPlatform
 Gr=8</t>
  </si>
  <si>
    <t>● RQ2.2.P1_ToolType_OSAPI
 Gr=1</t>
  </si>
  <si>
    <t>● RQ2.2.P1_ToolType_Simulator
 Gr=12</t>
  </si>
  <si>
    <t>● RQ2.2.P2_DeploymentMethod
 Gr=20</t>
  </si>
  <si>
    <t>● RQ2.2.P2_DeploymentMethod_AgentBased
 Gr=5</t>
  </si>
  <si>
    <t>● RQ2.2.P2_DeploymentMethod_ContainerOrchestrated
 Gr=1</t>
  </si>
  <si>
    <t>● RQ2.2.P2_DeploymentMethod_ExternalDevice
 Gr=3</t>
  </si>
  <si>
    <t>● RQ2.2.P2_DeploymentMethod_ExternalService
 Gr=4</t>
  </si>
  <si>
    <t>● RQ2.2.P2_DeploymentMethod_ExternalTool
 Gr=5</t>
  </si>
  <si>
    <t>● RQ2.2.P2_DeploymentMethod_LocalApplication
 Gr=2</t>
  </si>
  <si>
    <t>● RQ2.2.P2_DeploymentMethod_RemoteAPI
 Gr=1</t>
  </si>
  <si>
    <t>● RQ2.2.P2_DeploymentMethod_SystemIntegrated
 Gr=4</t>
  </si>
  <si>
    <t>● RQ2.2.P3_AnalysisCapability
 Gr=28</t>
  </si>
  <si>
    <t>● RQ2.2.P3_AnalysisCapability_Comparison
 Gr=3</t>
  </si>
  <si>
    <t>● RQ2.2.P3_AnalysisCapability_ComponentBreakdown
 Gr=4</t>
  </si>
  <si>
    <t>● RQ2.2.P3_AnalysisCapability_EnergyGranularity
 Gr=13</t>
  </si>
  <si>
    <t>● RQ2.2.P3_AnalysisCapability_PatternDetection
 Gr=1</t>
  </si>
  <si>
    <t>● RQ2.2.P3_AnalysisCapability_PerformanceQoS
 Gr=5</t>
  </si>
  <si>
    <t>● RQ2.2.P3_AnalysisCapability_SecurityMetrics
 Gr=1</t>
  </si>
  <si>
    <t>● RQ2.2.P3_AnalysisCapability_Sustainability
 Gr=2</t>
  </si>
  <si>
    <t>● RQ2.2.P3_AnalysisCapability_TotalEnergy
 Gr=9</t>
  </si>
  <si>
    <t>● RQ2.2.P3_AnalysisCapability_TrendCorrelation
 Gr=5</t>
  </si>
  <si>
    <t>● RQ2.2.P3_AnalysisCapability_ValidationVerification
 Gr=1</t>
  </si>
  <si>
    <t>● RQ2.2.P4_Granularity
 Gr=35</t>
  </si>
  <si>
    <t>● RQ2.2.P4_Granularity_Component
 Gr=4</t>
  </si>
  <si>
    <t>● RQ2.2.P4_Granularity_ContainerPod
 Gr=4</t>
  </si>
  <si>
    <t>● RQ2.2.P4_Granularity_DataCenter
 Gr=2</t>
  </si>
  <si>
    <t>● RQ2.2.P4_Granularity_Device
 Gr=6</t>
  </si>
  <si>
    <t>● RQ2.2.P4_Granularity_FineGrained
 Gr=4</t>
  </si>
  <si>
    <t>● RQ2.2.P4_Granularity_Function
 Gr=2</t>
  </si>
  <si>
    <t>● RQ2.2.P4_Granularity_Network
 Gr=1</t>
  </si>
  <si>
    <t>● RQ2.2.P4_Granularity_NodeServer
 Gr=18</t>
  </si>
  <si>
    <t>● RQ2.2.P4_Granularity_RequestExecution
 Gr=5</t>
  </si>
  <si>
    <t>● RQ2.2.P4_Granularity_ServiceApplication
 Gr=4</t>
  </si>
  <si>
    <t>● RQ2.3.P1_MetricType
 Gr=40</t>
  </si>
  <si>
    <t>● RQ2.3.P1_MetricType_Cost
 Gr=4</t>
  </si>
  <si>
    <t>● RQ2.3.P1_MetricType_DerivedScore
 Gr=1</t>
  </si>
  <si>
    <t>● RQ2.3.P1_MetricType_Energy
 Gr=23</t>
  </si>
  <si>
    <t>● RQ2.3.P1_MetricType_EnergyEfficiency
 Gr=9</t>
  </si>
  <si>
    <t>● RQ2.3.P1_MetricType_EnergyRate
 Gr=2</t>
  </si>
  <si>
    <t>● RQ2.3.P1_MetricType_Performance
 Gr=4</t>
  </si>
  <si>
    <t>● RQ2.3.P1_MetricType_Power
 Gr=23</t>
  </si>
  <si>
    <t>● RQ2.3.P1_MetricType_Sustainability
 Gr=5</t>
  </si>
  <si>
    <t>● RQ2.3.P1_MetricType_Utilization
 Gr=3</t>
  </si>
  <si>
    <t>● RQ2.3.P2_MeasurementScope
 Gr=40</t>
  </si>
  <si>
    <t>● RQ2.3.P2_MeasurementScope_Application
 Gr=10</t>
  </si>
  <si>
    <t>● RQ2.3.P2_MeasurementScope_Cluster
 Gr=2</t>
  </si>
  <si>
    <t>● RQ2.3.P2_MeasurementScope_Component
 Gr=3</t>
  </si>
  <si>
    <t>● RQ2.3.P2_MeasurementScope_Device
 Gr=4</t>
  </si>
  <si>
    <t>● RQ2.3.P2_MeasurementScope_Infrastructure
 Gr=17</t>
  </si>
  <si>
    <t>● RQ2.3.P2_MeasurementScope_Network
 Gr=2</t>
  </si>
  <si>
    <t>● RQ2.3.P2_MeasurementScope_Service
 Gr=9</t>
  </si>
  <si>
    <t>● RQ2.3.P2_MeasurementScope_SystemScenario
 Gr=4</t>
  </si>
  <si>
    <t>● RQ2.3.P3_NormalizationBasis
 Gr=15</t>
  </si>
  <si>
    <t>● RQ2.3.P3_NormalizationBasis_Coverage
 Gr=1</t>
  </si>
  <si>
    <t>● RQ2.3.P3_NormalizationBasis_CPUUtilization
 Gr=1</t>
  </si>
  <si>
    <t>● RQ2.3.P3_NormalizationBasis_Execution
 Gr=1</t>
  </si>
  <si>
    <t>● RQ2.3.P3_NormalizationBasis_LinkUtilization
 Gr=1</t>
  </si>
  <si>
    <t>● RQ2.3.P3_NormalizationBasis_Power
 Gr=1</t>
  </si>
  <si>
    <t>● RQ2.3.P3_NormalizationBasis_Request
 Gr=5</t>
  </si>
  <si>
    <t>● RQ2.3.P3_NormalizationBasis_Scenario
 Gr=1</t>
  </si>
  <si>
    <t>● RQ2.3.P3_NormalizationBasis_Time
 Gr=6</t>
  </si>
  <si>
    <t>● RQ2.3.P4_BusinessRelevance
 Gr=27</t>
  </si>
  <si>
    <t>● RQ2.3.P4_BusinessRelevance_Cost
 Gr=7</t>
  </si>
  <si>
    <t>● RQ2.3.P4_BusinessRelevance_QoS
 Gr=15</t>
  </si>
  <si>
    <t>● RQ2.3.P4_BusinessRelevance_SLASLO
 Gr=10</t>
  </si>
  <si>
    <t>● RQ2.3.P4_BusinessRelevance_TaskOutcome
 Gr=1</t>
  </si>
  <si>
    <t>● RQ2.3.P4_BusinessRelevance_UserExperience
 Gr=6</t>
  </si>
  <si>
    <t>● RQ3.1.P1_ModernizationStrategy
 Gr=34</t>
  </si>
  <si>
    <t>● RQ3.1.P1_ModernizationStrategy_AutoscalingQoSControl
 Gr=3</t>
  </si>
  <si>
    <t>● RQ3.1.P1_ModernizationStrategy_BrownoutDeactivation
 Gr=5</t>
  </si>
  <si>
    <t>● RQ3.1.P1_ModernizationStrategy_CommunicationReconfiguration
 Gr=1</t>
  </si>
  <si>
    <t>● RQ3.1.P1_ModernizationStrategy_HardwareRedesign
 Gr=2</t>
  </si>
  <si>
    <t>● RQ3.1.P1_ModernizationStrategy_Offloading
 Gr=2</t>
  </si>
  <si>
    <t>● RQ3.1.P1_ModernizationStrategy_OrchestrationProvisioning
 Gr=3</t>
  </si>
  <si>
    <t>● RQ3.1.P1_ModernizationStrategy_PlacementMigration
 Gr=8</t>
  </si>
  <si>
    <t>● RQ3.1.P1_ModernizationStrategy_PowerManagementDVFS
 Gr=3</t>
  </si>
  <si>
    <t>● RQ3.1.P1_ModernizationStrategy_RedundancyDuplication
 Gr=2</t>
  </si>
  <si>
    <t>● RQ3.1.P1_ModernizationStrategy_RefactoringRearchitecting
 Gr=4</t>
  </si>
  <si>
    <t>● RQ3.1.P1_ModernizationStrategy_SchedulingResourceOptimization
 Gr=13</t>
  </si>
  <si>
    <t>● RQ3.1.P1_ModernizationStrategy_ServerlessAdoption
 Gr=3</t>
  </si>
  <si>
    <t>● RQ3.1.P1_ModernizationStrategy_SustainabilityByDesign
 Gr=3</t>
  </si>
  <si>
    <t>● RQ3.1.P1_ModernizationStrategy_WorkloadBatchingComputeOptimization
 Gr=2</t>
  </si>
  <si>
    <t>● RQ3.1.P2_SolutionCategory
 Gr=34</t>
  </si>
  <si>
    <t>● RQ3.1.P2_SolutionCategory_Autoscaling
 Gr=10</t>
  </si>
  <si>
    <t>● RQ3.1.P2_SolutionCategory_CodeOptimization
 Gr=1</t>
  </si>
  <si>
    <t>● RQ3.1.P2_SolutionCategory_Orchestration
 Gr=5</t>
  </si>
  <si>
    <t>● RQ3.1.P2_SolutionCategory_PlacementDeployment
 Gr=7</t>
  </si>
  <si>
    <t>● RQ3.1.P2_SolutionCategory_PowerManagement
 Gr=2</t>
  </si>
  <si>
    <t>● RQ3.1.P2_SolutionCategory_RedundancyReplication
 Gr=2</t>
  </si>
  <si>
    <t>● RQ3.1.P2_SolutionCategory_Scheduling
 Gr=16</t>
  </si>
  <si>
    <t>● RQ3.1.P2_SolutionCategory_SecurityAdaptation
 Gr=1</t>
  </si>
  <si>
    <t>● RQ3.1.P2_SolutionCategory_SustainabilityAwareDeployment
 Gr=1</t>
  </si>
  <si>
    <t>● RQ3.1.P2_SolutionCategory_WorkloadBatching
 Gr=1</t>
  </si>
  <si>
    <t>● RQ3.1.P2_SolutionCategory_WorkloadManagement
 Gr=8</t>
  </si>
  <si>
    <t>● RQ3.1.P3_ImplementationTechnologies
 Gr=30</t>
  </si>
  <si>
    <t>● RQ3.1.P3_ImplementationTechnologies_CloudPlatform
 Gr=3</t>
  </si>
  <si>
    <t>● RQ3.1.P3_ImplementationTechnologies_ContainerRuntime
 Gr=15</t>
  </si>
  <si>
    <t>● RQ3.1.P3_ImplementationTechnologies_DataStore
 Gr=2</t>
  </si>
  <si>
    <t>● RQ3.1.P3_ImplementationTechnologies_EdgeIoTFramework
 Gr=2</t>
  </si>
  <si>
    <t>● RQ3.1.P3_ImplementationTechnologies_HardwarePlatform
 Gr=3</t>
  </si>
  <si>
    <t>● RQ3.1.P3_ImplementationTechnologies_MLFramework
 Gr=2</t>
  </si>
  <si>
    <t>● RQ3.1.P3_ImplementationTechnologies_NetworkingTech
 Gr=3</t>
  </si>
  <si>
    <t>● RQ3.1.P3_ImplementationTechnologies_OptimizationModeling
 Gr=1</t>
  </si>
  <si>
    <t>● RQ3.1.P3_ImplementationTechnologies_OrchestrationPlatform
 Gr=12</t>
  </si>
  <si>
    <t>● RQ3.1.P3_ImplementationTechnologies_OtherSoftware
 Gr=4</t>
  </si>
  <si>
    <t>● RQ3.1.P3_ImplementationTechnologies_ServerlessPlatform
 Gr=3</t>
  </si>
  <si>
    <t>● RQ3.1.P3_ImplementationTechnologies_ServiceMesh
 Gr=1</t>
  </si>
  <si>
    <t>● RQ3.1.P3_ImplementationTechnologies_Simulator
 Gr=5</t>
  </si>
  <si>
    <t>● RQ3.2.P1_QualityAttribute
 Gr=37</t>
  </si>
  <si>
    <t>● RQ3.2.P1_QualityAttribute_Consistency
 Gr=1</t>
  </si>
  <si>
    <t>● RQ3.2.P1_QualityAttribute_Cost
 Gr=3</t>
  </si>
  <si>
    <t>● RQ3.2.P1_QualityAttribute_EnergyEfficiency
 Gr=2</t>
  </si>
  <si>
    <t>● RQ3.2.P1_QualityAttribute_OutputQuality
 Gr=1</t>
  </si>
  <si>
    <t>● RQ3.2.P1_QualityAttribute_Performance
 Gr=31</t>
  </si>
  <si>
    <t>● RQ3.2.P1_QualityAttribute_QoSSLA
 Gr=10</t>
  </si>
  <si>
    <t>● RQ3.2.P1_QualityAttribute_ReliabilityAvailability
 Gr=5</t>
  </si>
  <si>
    <t>● RQ3.2.P1_QualityAttribute_ResourceUtilization
 Gr=3</t>
  </si>
  <si>
    <t>● RQ3.2.P1_QualityAttribute_Scalability
 Gr=1</t>
  </si>
  <si>
    <t>● RQ3.2.P1_QualityAttribute_Security
 Gr=1</t>
  </si>
  <si>
    <t>● RQ3.2.P1_QualityAttribute_Sustainability
 Gr=2</t>
  </si>
  <si>
    <t>● RQ3.2.P1_QualityAttribute_UserExperience
 Gr=2</t>
  </si>
  <si>
    <t>● RQ3.2.P2_TradeOffRelationship
 Gr=36</t>
  </si>
  <si>
    <t>● RQ3.2.P2_TradeOffRelationship_Balancing
 Gr=21</t>
  </si>
  <si>
    <t>● RQ3.2.P2_TradeOffRelationship_Degrading
 Gr=13</t>
  </si>
  <si>
    <t>● RQ3.2.P2_TradeOffRelationship_ExplicitTradeOff
 Gr=1</t>
  </si>
  <si>
    <t>● RQ3.2.P2_TradeOffRelationship_Improving
 Gr=2</t>
  </si>
  <si>
    <t>● RQ3.2.P2_TradeOffRelationship_Inverse
 Gr=2</t>
  </si>
  <si>
    <t>● RQ3.2.P2_TradeOffRelationship_Reversing
 Gr=1</t>
  </si>
  <si>
    <t>● RQ3.2.P3_TradeOffStrategy
 Gr=32</t>
  </si>
  <si>
    <t>● RQ3.2.P3_TradeOffStrategy_AdaptivePolicy
 Gr=10</t>
  </si>
  <si>
    <t>● RQ3.2.P3_TradeOffStrategy_AutoscalingQoSControl
 Gr=6</t>
  </si>
  <si>
    <t>● RQ3.2.P3_TradeOffStrategy_BrownoutOptionality
 Gr=2</t>
  </si>
  <si>
    <t>● RQ3.2.P3_TradeOffStrategy_ColdStartMitigation
 Gr=3</t>
  </si>
  <si>
    <t>● RQ3.2.P3_TradeOffStrategy_HardwareAcceleration
 Gr=2</t>
  </si>
  <si>
    <t>● RQ3.2.P3_TradeOffStrategy_MigrationDuplication
 Gr=1</t>
  </si>
  <si>
    <t>● RQ3.2.P3_TradeOffStrategy_OptimizationMultiObjective
 Gr=3</t>
  </si>
  <si>
    <t>● RQ3.2.P3_TradeOffStrategy_PlacementColocationCaching
 Gr=3</t>
  </si>
  <si>
    <t>● RQ3.2.P3_TradeOffStrategy_ReconfigurationRedistribution
 Gr=3</t>
  </si>
  <si>
    <t>● RQ3.2.P3_TradeOffStrategy_ReplicationScaling
 Gr=1</t>
  </si>
  <si>
    <t>● RQ3.2.P3_TradeOffStrategy_RLBasedControl
 Gr=1</t>
  </si>
  <si>
    <t>● RQ3.2.P3_TradeOffStrategy_Scheduling
 Gr=11</t>
  </si>
  <si>
    <t>● RQ3.2.P3_TradeOffStrategy_Tuning
 Gr=2</t>
  </si>
  <si>
    <t>● RQ3.3.P1_ChallengeType
 Gr=27</t>
  </si>
  <si>
    <t>● RQ3.3.P1_ChallengeType_DataAvailability
 Gr=4</t>
  </si>
  <si>
    <t>● RQ3.3.P1_ChallengeType_DeploymentOperational
 Gr=3</t>
  </si>
  <si>
    <t>● RQ3.3.P1_ChallengeType_EvaluationValidity
 Gr=4</t>
  </si>
  <si>
    <t>● RQ3.3.P1_ChallengeType_Measurement
 Gr=10</t>
  </si>
  <si>
    <t>● RQ3.3.P1_ChallengeType_Organizational
 Gr=2</t>
  </si>
  <si>
    <t>● RQ3.3.P1_ChallengeType_PerformanceInterference
 Gr=6</t>
  </si>
  <si>
    <t>● RQ3.3.P1_ChallengeType_PredictabilityControl
 Gr=5</t>
  </si>
  <si>
    <t>● RQ3.3.P1_ChallengeType_Programmability
 Gr=1</t>
  </si>
  <si>
    <t>● RQ3.3.P1_ChallengeType_ResourceHeterogeneity
 Gr=3</t>
  </si>
  <si>
    <t>● RQ3.3.P1_ChallengeType_Technical
 Gr=9</t>
  </si>
  <si>
    <t>● RQ3.3.P1_ChallengeType_Tooling
 Gr=4</t>
  </si>
  <si>
    <t>● RQ3.3.P2_AdoptionPhase
 Gr=26</t>
  </si>
  <si>
    <t>● RQ3.3.P2_AdoptionPhase_Deployment
 Gr=1</t>
  </si>
  <si>
    <t>● RQ3.3.P2_AdoptionPhase_Design
 Gr=5</t>
  </si>
  <si>
    <t>● RQ3.3.P2_AdoptionPhase_Evaluation
 Gr=1</t>
  </si>
  <si>
    <t>● RQ3.3.P2_AdoptionPhase_Implementation
 Gr=6</t>
  </si>
  <si>
    <t>● RQ3.3.P2_AdoptionPhase_Operation
 Gr=20</t>
  </si>
  <si>
    <t>● RQ3.3.P2_AdoptionPhase_Planning
 Gr=1</t>
  </si>
  <si>
    <t>● RQ3.3.P2_AdoptionPhase_Production
 Gr=1</t>
  </si>
  <si>
    <t>● RQ3.3.P3_ChallengeComplexity
 Gr=19</t>
  </si>
  <si>
    <t>● RQ3.3.P3_ChallengeComplexity_Complex
 Gr=18</t>
  </si>
  <si>
    <t>● RQ3.3.P3_ChallengeComplexity_Moderate
 Gr=1</t>
  </si>
  <si>
    <t>● RQ3.3.P3_ChallengeComplexity_Systemic
 Gr=1</t>
  </si>
  <si>
    <t>● RQ3.3.P4_MitigationApproach
 Gr=19</t>
  </si>
  <si>
    <t>● RQ3.3.P4_MitigationApproach_ApplicationDesignChange
 Gr=4</t>
  </si>
  <si>
    <t>● RQ3.3.P4_MitigationApproach_BrownoutOptionality
 Gr=1</t>
  </si>
  <si>
    <t>● RQ3.3.P4_MitigationApproach_HardwareRedesign
 Gr=1</t>
  </si>
  <si>
    <t>● RQ3.3.P4_MitigationApproach_LearningBasedControl
 Gr=2</t>
  </si>
  <si>
    <t>● RQ3.3.P4_MitigationApproach_ModelBasedOptimization
 Gr=2</t>
  </si>
  <si>
    <t>● RQ3.3.P4_MitigationApproach_MonitoringInstrumentation
 Gr=4</t>
  </si>
  <si>
    <t>● RQ3.3.P4_MitigationApproach_PlacementOptimization
 Gr=1</t>
  </si>
  <si>
    <t>● RQ3.3.P4_MitigationApproach_PowerManagement
 Gr=2</t>
  </si>
  <si>
    <t>● RQ3.3.P4_MitigationApproach_ProvisioningOrchestration
 Gr=1</t>
  </si>
  <si>
    <t>● RQ3.3.P4_MitigationApproach_SchedulingOptimization
 Gr=2</t>
  </si>
  <si>
    <t>● RQ3.3.P4_MitigationApproach_TestingBenchmarking
 Gr=3</t>
  </si>
  <si>
    <t>● RQ3.3.P4_MitigationApproach_ToolingEnhancement
 Gr=4</t>
  </si>
  <si>
    <t>● RQ3.3.P4_MitigationApproach_TrainingGuidelines
 Gr=1</t>
  </si>
  <si>
    <t>Param ID</t>
  </si>
  <si>
    <t>Param Name</t>
  </si>
  <si>
    <t>Original Description</t>
  </si>
  <si>
    <t>Value</t>
  </si>
  <si>
    <t># Occurances</t>
  </si>
  <si>
    <t>%</t>
  </si>
  <si>
    <t>Claim</t>
  </si>
  <si>
    <t>Sub RQ Claim</t>
  </si>
  <si>
    <t>Main RQ Claim</t>
  </si>
  <si>
    <r>
      <rPr>
        <rFont val="Calibri"/>
        <color theme="1"/>
        <sz val="14.0"/>
      </rPr>
      <t xml:space="preserve">Energy efficiency in microservice architecture research is predominantly treated as a </t>
    </r>
    <r>
      <rPr>
        <rFont val="Calibri"/>
        <b/>
        <color theme="1"/>
        <sz val="14.0"/>
      </rPr>
      <t>runtime operational concern</t>
    </r>
    <r>
      <rPr>
        <rFont val="Calibri"/>
        <color theme="1"/>
        <sz val="14.0"/>
      </rPr>
      <t xml:space="preserve">, rather than as a property addressed across the full software lifecycle. The literature focuses mainly on </t>
    </r>
    <r>
      <rPr>
        <rFont val="Calibri"/>
        <b/>
        <color theme="1"/>
        <sz val="14.0"/>
      </rPr>
      <t>runtime monitoring, adaptation, scheduling, and power management,</t>
    </r>
    <r>
      <rPr>
        <rFont val="Calibri"/>
        <color theme="1"/>
        <sz val="14.0"/>
      </rPr>
      <t xml:space="preserve"> with a limited consideration of design- or development-time integration. Empirical analysis of energy consumption concentrates on microservices, containers, and host compute resources, attributing energy use primarily to CPU and network activity, and modelling architectural impacts largely through communication overhead, Overall, energy efficiency is considered mainly through </t>
    </r>
    <r>
      <rPr>
        <rFont val="Calibri"/>
        <b/>
        <color theme="1"/>
        <sz val="14.0"/>
      </rPr>
      <t>runtime, compute-centric, and communication-focused perspectives</t>
    </r>
    <r>
      <rPr>
        <rFont val="Calibri"/>
        <color theme="1"/>
        <sz val="14.0"/>
      </rPr>
      <t>, rather then through holistic architectural or lifecycle-wide approaches</t>
    </r>
  </si>
  <si>
    <t>Energy efficiency in microservice research is predominantly addressed at runtime, with limited consideration during earlier lifecycle stages such as design and development</t>
  </si>
  <si>
    <t>Energy efficiency in microservices is predominantly treated as a runtime concern, with strong alignment between runtime awareness, runtime integration points, and runtime operational mechanisms, with limited evidence of systematic integration across other lifecycle stages.</t>
  </si>
  <si>
    <t>Energy awareness in microservice research is predominantly realised through runtime mechanisms, with limited explicit treatment during earlier stages such as analysis, configuration or development</t>
  </si>
  <si>
    <t>Originally defined to capture explicit verus implicit energy awareness. However, the observed data reflects where energy awareness is operationally enacted rather than how it is conceptually specified</t>
  </si>
  <si>
    <t>Energy efficiency is predominantly integrated into microservice systems through runtime mechanisms such as monitoring, adaptation and scheduling, rather than through design-time or architectural integration</t>
  </si>
  <si>
    <t xml:space="preserve">RQ1.2: Which microservice architectural elements are primarily considered when measuring energy consumption?                                </t>
  </si>
  <si>
    <t>Most studies analyse energy at the microservice/container and host CPU/server level, with limited attention to middleware and control-plane components (gateways, orchestrators, load balancers)</t>
  </si>
  <si>
    <t xml:space="preserve">Primary studies use these terms inconsistenly; coding reflects the level at which energy consumption is reported rather than a strict architectural taxonomy. </t>
  </si>
  <si>
    <t>The reviewed literature primarily measures energy consumption at the level of microservices, containers and host compute resources such as CPUs and servers. Energy use is most commonly attributed to CPU activity and, secondarily, to network-related costs, while other sources such as memory, storage, and idle power receive limited attention. Architectural impacts on energy efficiency are mainly analysed in terms of communication overhead between components, with more complex interaction effects addressed far less frequently.</t>
  </si>
  <si>
    <t>Most studies primarily model Energy consumption through CPU and network usage, while other sources such as memory, storage, idle power and power supply effects remain underexplored</t>
  </si>
  <si>
    <t>Research on component relationships largely frame energy impact in terms of communication overhead, with limited attention to more complex systemic interactions such as cascading dependencies or coordinated reconfiguration</t>
  </si>
  <si>
    <t>Energy consumption in microservices is measured predominantly at infrastructure- and host-adjacent levels using raw energy and power metrics, most commonly obtained through model-based estimation techniques supported by monitoring-oriented data collection. Measurement is operationalised using a small set of dominant tools such as energy meters and simulators, which provide broad support at coarse-grained levels, while fine-grained measurement at container-, request-, or function-levels occurs less frequently, relies on narrowly scoped tooling, and is rarely accompanied by normalised or composite efficiency metrics.</t>
  </si>
  <si>
    <t>Energy consumption in microservice research is most commonly measured at the hardware and server/host level, with more fine-grained measurements at the container, service, or function level occuring less frequently</t>
  </si>
  <si>
    <t>Energy consumption in microservices is most commonly measured at infrastructure- and container adjacent levels using model-based estimation techniques, supported primarily by monitoring-oriented data collection, while direct measurement approaches such as hardware counters, physical power meters, and software profiling are used less frequently and remain narrowly scoped.</t>
  </si>
  <si>
    <t>Most studies rely on model-based energy estimation rather than direct power measurement, with physical meters and simulation used only occasionally</t>
  </si>
  <si>
    <r>
      <rPr>
        <rFont val="Calibri"/>
        <color theme="1"/>
      </rPr>
      <t xml:space="preserve">The categories </t>
    </r>
    <r>
      <rPr>
        <rFont val="Calibri"/>
        <i/>
        <color theme="1"/>
      </rPr>
      <t>ModelBasedEstimation</t>
    </r>
    <r>
      <rPr>
        <rFont val="Calibri"/>
        <color theme="1"/>
      </rPr>
      <t xml:space="preserve">, </t>
    </r>
    <r>
      <rPr>
        <rFont val="Calibri"/>
        <i/>
        <color theme="1"/>
      </rPr>
      <t>Monitoring</t>
    </r>
    <r>
      <rPr>
        <rFont val="Calibri"/>
        <color theme="1"/>
      </rPr>
      <t xml:space="preserve">, &amp; </t>
    </r>
    <r>
      <rPr>
        <rFont val="Calibri"/>
        <i/>
        <color theme="1"/>
      </rPr>
      <t>Sampling</t>
    </r>
    <r>
      <rPr>
        <rFont val="Calibri"/>
        <color theme="1"/>
      </rPr>
      <t xml:space="preserve"> frequently co-occur; monitoring and sampling are often used to parameterise or validate model-based energy estimation.</t>
    </r>
  </si>
  <si>
    <t>Energy-related data in microservice research is primarily collected through monitoring and sampling mechanisms, while tracing, profiling, logging, and API-based readouts are used less frequently</t>
  </si>
  <si>
    <t>Most studies rely on energy meters and simulators, with monitoring platforms used less frequently and benchmarking tools, estimation frameworks and specialised analysis tools appearing rarely.</t>
  </si>
  <si>
    <t>Energy consumption analysis in microservices is primarily supported by a small set of dominant tool types, most notably energy meters and simulators (e.g. Turbostat, RAPL, CloudSim), which are deployed through tool-specific integration strategies and mainly support coarse-grained energy analysis, while fine-grained and specialised analyses remain confined to a limited number of purpose-built tools.</t>
  </si>
  <si>
    <t>Measurement tools are typically deployed externally or as system-level agents rather than being natively integrated into microservice orchestration environments.</t>
  </si>
  <si>
    <t>Most tools support energy-centric analysis (granularity and total energy), with fewer studies examining performance-energy trade-offs and limited support for higher-level analyses such as sustainability assessment, pattern detection or validation.</t>
  </si>
  <si>
    <t>Energy analysis granularity is most commonly reported at the node/server level, with finer-grained views (e.g., per request, component, container/pod , or function) appearing less frequently and at lower, fragmented levels of adoption.</t>
  </si>
  <si>
    <t>Capturing the level of detail exposed by analysis tools</t>
  </si>
  <si>
    <t>Most studies rely on direct energy and power metrics, while efficiency-oriented, sustainability, and cost-related metrics are comparatively underrepresented.</t>
  </si>
  <si>
    <r>
      <rPr>
        <rFont val="Calibri"/>
        <i/>
        <color theme="1"/>
      </rPr>
      <t>Energy</t>
    </r>
    <r>
      <rPr>
        <rFont val="Calibri"/>
        <color theme="1"/>
      </rPr>
      <t xml:space="preserve"> refers to absolute consumption (e.g., Joules, kWh), while </t>
    </r>
    <r>
      <rPr>
        <rFont val="Calibri"/>
        <i/>
        <color theme="1"/>
      </rPr>
      <t>EnergyEfficiency</t>
    </r>
    <r>
      <rPr>
        <rFont val="Calibri"/>
        <color theme="1"/>
      </rPr>
      <t xml:space="preserve"> captures relative or normalised measures; several studies use the terms interchaneably.</t>
    </r>
  </si>
  <si>
    <t>Energy efficiency in microservices is most commonly evaluated using raw energy and power metrics applied at infrastructure-, application-, and service-level scopes, with limited use of explicitly normalised or composite efficiency measures, and business relevance primarily expressed through performance- and SLA-oriented perspectives rather than cost- or outcome-based metrics.</t>
  </si>
  <si>
    <t>Most studies evaluate energy consumption at infrastructure scope, while application-, service-, and component-level scopes are comparatively used less.</t>
  </si>
  <si>
    <t>Energy consumption is most commonly normalised using time-based or per-request measures, while other normalisation bases such as utilisation, coverage, execution context, or scenario-level normalisation are used infrequently.</t>
  </si>
  <si>
    <t>Business relevance in microservice energy research is most commonly framed in terms of QoS and SLA/SLO compliance, with cost and user experience considered less frequently and task- or outcome-level relevance rarely addressed.</t>
  </si>
  <si>
    <t>Architectural solutions for energy-efficient microservices reported in the literature are most commonly runtime-oriented and operational in nature, with energy efficiency addressed through execution-time control mechanisms rather than through structural architectural redesign. These solutions are typically associated with moderate trade-offs and complex operational-phase adoption challenges, while broader architectural integration of energy efficiency remains limited.</t>
  </si>
  <si>
    <t>EnergyManagementStrategy</t>
  </si>
  <si>
    <t>Energy-efficient modernisation of microservice systems is most commonly achieved through runtime strategies such as scheduling and resource optimisation, with placement and migration used less frequently and design-level or architectural refactoring approaches comparatively rare.</t>
  </si>
  <si>
    <t>Architectural approaches for improving energy efficiency in microservices are most commonly runtime-oriented in nature, centring on scheduling- and autoscaling-oriented strategies realised through container runtimes and orchestration platforms, while architectural refactoring, power management, serverless adoption, and sustainability-by-design approaches have a limited presence in the literature.</t>
  </si>
  <si>
    <t>TacticCategory</t>
  </si>
  <si>
    <t>Energy-efficient microservice tactics predominantly employ runtime control patterns such as scheduling and autoscaling, with workload management and placement strategies used less frequently and code-level or security-oriented approaches appearing only sporadically.</t>
  </si>
  <si>
    <t>Most implementations rely on container runtimes and orchestration platforms, while specialised or advanced technologies are rarely used.</t>
  </si>
  <si>
    <t>Energy efficiency trade-offs are primarily framed against performance and QoS/SLA concerns, with other quality attributes considered far less frequently.</t>
  </si>
  <si>
    <r>
      <rPr>
        <rFont val="Calibri"/>
        <i/>
        <color theme="1"/>
      </rPr>
      <t xml:space="preserve">QoS/SLA </t>
    </r>
    <r>
      <rPr>
        <rFont val="Calibri"/>
        <color theme="1"/>
      </rPr>
      <t>is treated as a composite category reflecting how primary studies framed quality constraints (e.g. latency, thoughput, availability).</t>
    </r>
  </si>
  <si>
    <t>Reported trade-offs between energy efficiency and other quality attributes in microservices are centred on performance-related concerns and are most often characterised as balancing or degrading relationships, with trade-offs typically described as moderate in severity and managed through operational control strategies, while other quality attributes and trade-off forms appear in more limited and narrowly scoped cases.</t>
  </si>
  <si>
    <t>Most studies describe energy–quality interactions in terms of balancing, while explicit or inverse trade-offs are rarely articulated.</t>
  </si>
  <si>
    <r>
      <rPr>
        <rFont val="Calibri"/>
        <i/>
        <color theme="1"/>
      </rPr>
      <t>Inverse</t>
    </r>
    <r>
      <rPr>
        <rFont val="Calibri"/>
        <color theme="1"/>
      </rPr>
      <t xml:space="preserve"> denotes consistently opposing trends, while </t>
    </r>
    <r>
      <rPr>
        <rFont val="Calibri"/>
        <i/>
        <color theme="1"/>
      </rPr>
      <t>Reversing</t>
    </r>
    <r>
      <rPr>
        <rFont val="Calibri"/>
        <color theme="1"/>
      </rPr>
      <t xml:space="preserve"> captures context-dependent direction changes; few studies articulated this distinction explicitly.</t>
    </r>
  </si>
  <si>
    <t>Trade-offs between energy efficiency and other quality attributes are most commonly managed through runtime strategies such as scheduling and adaptive policies, with autoscaling used less frequently and more advanced approaches (e.g., learning-based control or hardware acceleration) appearing only sporadically.</t>
  </si>
  <si>
    <t>Challenges in adopting energy-efficient microservice practices are predominantly measurement- and technically driven, with performance interference and predictability control also recurring concerns. Issues related to data availability, evaluation validity, and tooling appear regularly, while organisational and programmability challenges are reported only infrequently.</t>
  </si>
  <si>
    <t>Reported challenges affecting the adoption of energy-efficient architectural solutions in microservices are primarily operational in nature and are most often characterised as complex, with a smaller number of challenges also reported during design and implementation phases, while other adoption phases and challenge types occur only in limited and isolated cases.</t>
  </si>
  <si>
    <t>Challenges related to energy efficiency in microservice systems arise predominantly during the operation phase, with substantially fewer issues reported during implementation and design, and only isolated challenges identified in deployment, evaluation, planning, or production phases</t>
  </si>
  <si>
    <t>Challenges associated with energy-efficient microservice architectures are overwhelmingly characterised as complex, with only isolated instances described as moderate or systemic in nature.</t>
  </si>
  <si>
    <t>INCLUSION CRITERIA</t>
  </si>
  <si>
    <t>GENERAL PARAMETERS</t>
  </si>
  <si>
    <t xml:space="preserve">RQ1: How have digital twins been used in the context of cultural heritage? </t>
  </si>
  <si>
    <t xml:space="preserve">RQ2: What are the current practices for creating, implementing, deploying, and maintaining digital twins in cultural heritage? </t>
  </si>
  <si>
    <t xml:space="preserve"> RQ3: What is the current maturity level of digital twins in the context of cultural heritage?</t>
  </si>
  <si>
    <t>RQ4: What are the potential future directions and expected challenges for the use of digital twins in cultural heritage?</t>
  </si>
  <si>
    <t>IC1
Addressing digital twin in cultural heritage and museums</t>
  </si>
  <si>
    <t xml:space="preserve">IC2
Conceptualizing digital twin maturity level </t>
  </si>
  <si>
    <t>IC3 Studies directly related to the research questions</t>
  </si>
  <si>
    <t xml:space="preserve">Status </t>
  </si>
  <si>
    <t xml:space="preserve">G.P1
Type of digitzed artworks </t>
  </si>
  <si>
    <t>G.P1
Description</t>
  </si>
  <si>
    <t xml:space="preserve">G.P2
Digital heritage user experience </t>
  </si>
  <si>
    <t>G.P2
Description</t>
  </si>
  <si>
    <t>G.P3
End users of digital heritage</t>
  </si>
  <si>
    <t>G.P3
Description</t>
  </si>
  <si>
    <t>G.P4
Type of Information</t>
  </si>
  <si>
    <t>G.P4
Description</t>
  </si>
  <si>
    <t>G.P5
Digital twin techniques</t>
  </si>
  <si>
    <t>G.P5
Description</t>
  </si>
  <si>
    <t>RQ1.P1
Virtual Replicas of Sites and Artifacts</t>
  </si>
  <si>
    <t>RQ1.P1
Description</t>
  </si>
  <si>
    <t xml:space="preserve">RQ1.1.P1
Virtual Tour </t>
  </si>
  <si>
    <t>RQ1.1.P1
Description</t>
  </si>
  <si>
    <t>RQ1.2.P1
Data-Acquisition</t>
  </si>
  <si>
    <t>RQ1.2.P1
Description</t>
  </si>
  <si>
    <t xml:space="preserve">RQ2.P1
 Cyber physical intelligence </t>
  </si>
  <si>
    <t>RQ2.P1
Description</t>
  </si>
  <si>
    <t>RQ2.P2
Activity level</t>
  </si>
  <si>
    <t>RQ2.P2
Description</t>
  </si>
  <si>
    <t>RQ2.P3
Functional layer of DT</t>
  </si>
  <si>
    <t>RQ2.P3
Description</t>
  </si>
  <si>
    <t>RQ2.P4
Analysis of DT</t>
  </si>
  <si>
    <t>RQ2.P4
Description</t>
  </si>
  <si>
    <t>RQ2.1.P1
3D Modeling Software</t>
  </si>
  <si>
    <t>RQ2.1.P1
Description</t>
  </si>
  <si>
    <t>RQ2.1.P2
Digital Twin Platforms</t>
  </si>
  <si>
    <t>RQ2.1.P2
Description</t>
  </si>
  <si>
    <t>RQ3.P1
Stage of DT Implementation</t>
  </si>
  <si>
    <t>RQ3.P1
Description</t>
  </si>
  <si>
    <t xml:space="preserve">RQ3.P2
Connectivity mode </t>
  </si>
  <si>
    <t>RQ3.P2
Description</t>
  </si>
  <si>
    <t>RQ3.1.P1
Model Update Frequency</t>
  </si>
  <si>
    <t>RQ3.1.P1
Description</t>
  </si>
  <si>
    <t xml:space="preserve">RQ3.1.P2
Twin models </t>
  </si>
  <si>
    <t>RQ3.1.P2
Description</t>
  </si>
  <si>
    <t xml:space="preserve">RQ4.P1
Data Security </t>
  </si>
  <si>
    <t>RQ4.P1
Description</t>
  </si>
  <si>
    <t xml:space="preserve">RQ4.P2
Complexity </t>
  </si>
  <si>
    <t>RQ4.P2
Description</t>
  </si>
  <si>
    <t xml:space="preserve">RQ4.P3
Computational power </t>
  </si>
  <si>
    <t>RQ4.P3
Description</t>
  </si>
  <si>
    <t>The data utilized for this study belongs to the visual data category</t>
  </si>
  <si>
    <t>Munoz-Pandiella, Imanol; Bosch, Carles; Guardia, Milagros; Cayuela, Begona; Pogliani, Paola; Bordi, Giulia; Paschali, Maria; Andujar, Carlos; Charalambous, Panayiotis</t>
  </si>
  <si>
    <t>Digital Twins for Medieval Monuments: Requirements from Art Historians and Technical Challenges for Analysis and Restoration</t>
  </si>
  <si>
    <t>2022 International Conference on Interactive Media, Smart Systems and Emerging Technologies (IMET)</t>
  </si>
  <si>
    <t>10.1109/IMET54801.2022.9929510</t>
  </si>
  <si>
    <t>include</t>
  </si>
  <si>
    <t>accepted</t>
  </si>
  <si>
    <t>painting</t>
  </si>
  <si>
    <t>The selected type of artwork for digitaziation is paiting</t>
  </si>
  <si>
    <t>Computers</t>
  </si>
  <si>
    <t>general public</t>
  </si>
  <si>
    <t>The user of  this study encompasses a broad audience, including individuals from all walks of life</t>
  </si>
  <si>
    <t>Visual Data</t>
  </si>
  <si>
    <t>Data-Driven Digital Twins</t>
  </si>
  <si>
    <t>The technique utilized for this study involved data-driven digital twins, which are virtual representations or models of physical systems, assets, or processes. These digital twins heavily depend on data for their development, functioning, and optimization. Through the integration of data into the digital twin creation process, a highly accurate and dynamic virtual replica is achieved, providing valuable insights and aiding in effective decision-making for the corresponding physical system or process</t>
  </si>
  <si>
    <t>3D Reconstruction</t>
  </si>
  <si>
    <t>The study used visual computing technologies such as 3D modeling  for the 3D reconstruction of the surfaces of monuments</t>
  </si>
  <si>
    <t>VR/AR</t>
  </si>
  <si>
    <t>The study employed Virtual Reality (VR) and Augmented Reality (AR) technologies to provide an immersive experience. These technologies allowed users to delve into digital twin environments in a manner that closely resembled the real world and enabled interactive exploration.</t>
  </si>
  <si>
    <t xml:space="preserve"> 3D laser scanning</t>
  </si>
  <si>
    <t>The study used laser scanning for data collection that have
been extensively used to digitize historical monuments. These technologies allow for the 3D reconstruction of the surfaces of monuments</t>
  </si>
  <si>
    <t>passive DT</t>
  </si>
  <si>
    <t>This articles described about the representation of a physical object, system, or process that primarily involves the collection, storage, and analysis of data without direct real-time interaction or control so we call it passive digital twin.</t>
  </si>
  <si>
    <t>Presentation</t>
  </si>
  <si>
    <t>This article discusses the representation of a physical object, system, or process that primarily entails the collection, storage, and analysis of data without direct real-time interaction or control, hence referred to as a 'passive digital twin'</t>
  </si>
  <si>
    <t>Model checking</t>
  </si>
  <si>
    <t>The study used model cheking as a formal verification process where mathematical models or representations of a physical system (the digital twin) are analyzed against specified properties or requirements</t>
  </si>
  <si>
    <t>Reality Capture</t>
  </si>
  <si>
    <t>The study applied reality capture  for the process of creating a digital representation of a physical object, environment, or scene using various data acquisition techniques, such as 3D scanning, photogrammetry, LiDAR (Light Detection and Ranging), and other imaging technologies.</t>
  </si>
  <si>
    <t>Unreal Engine</t>
  </si>
  <si>
    <t>The study used advance game development engines, they include powerful 3D modeling and animation tools and are often used for creating interactive 3D content</t>
  </si>
  <si>
    <t>Digitatal twin</t>
  </si>
  <si>
    <t xml:space="preserve">  The maturity level of digital twin is really virtual representation of a real-world object, system, or process. It's created and maintained through the collection and analysis of data from the real-world counterpart</t>
  </si>
  <si>
    <t>Bidirectional</t>
  </si>
  <si>
    <t>The research utilized bidirectional communication in a digital twin, encompassing the exchange of information, data, or control signals between the physical system and its corresponding virtual representation (the digital twin). This enabled real-time synchronization and seamless interaction between the two entities</t>
  </si>
  <si>
    <t>Weekly update</t>
  </si>
  <si>
    <t xml:space="preserve">The system under this study send information each week from physical object to virtual object and  virtual object to physical object </t>
  </si>
  <si>
    <t>Design time</t>
  </si>
  <si>
    <t>The study applied design-time phase, a digital twin is in the conceptualization, development, and modeling stage.</t>
  </si>
  <si>
    <t>Non-protected</t>
  </si>
  <si>
    <t>In the context of this study, it's important to note that creating a virtual representation or digital twin of a physical system does not inherently ensure security. Even though digital twins offer a realistic and detailed simulation of the physical system, the can still be vulnerable to security threats and breaches</t>
  </si>
  <si>
    <t>Interactivity</t>
  </si>
  <si>
    <t>Interactivity in the study refers to the capability of users to engage with, manipulate, and control the digital representation of a physical system or object</t>
  </si>
  <si>
    <t>Modeling</t>
  </si>
  <si>
    <t xml:space="preserve"> Creating the digital representation of the physical entity using 3D modeling, behavioral modeling, mathematical models, and other relevant techniques</t>
  </si>
  <si>
    <t>9B7PKKXW</t>
  </si>
  <si>
    <t>Wang, Puxiang; Ma, Xueyi; Fei, Lihua; Zhang, Hongye; Zhao, Dong; Zhao, Jian</t>
  </si>
  <si>
    <t>When the digital twin meets the preventive conservation of movable wooden artifacts</t>
  </si>
  <si>
    <t>Heritage Science</t>
  </si>
  <si>
    <t>10.1186/s40494-023-00894-8</t>
  </si>
  <si>
    <t>sculpture</t>
  </si>
  <si>
    <t>The type of artwork selected for digitization on the given study is  sculpture</t>
  </si>
  <si>
    <t>The user accesses the digitized artwork using computer.</t>
  </si>
  <si>
    <t>Researchers and scholars</t>
  </si>
  <si>
    <t xml:space="preserve">The user for this study are predefined for researchers and scholars </t>
  </si>
  <si>
    <t>Technical Data</t>
  </si>
  <si>
    <t>The data utilized for this study belongs to the technical data category</t>
  </si>
  <si>
    <t>Hybrid Digital Twins</t>
  </si>
  <si>
    <t>This study applied both data-driven digital twins &amp; physics-based digital twins</t>
  </si>
  <si>
    <t>Preservation</t>
  </si>
  <si>
    <t xml:space="preserve">The research focused on preserving cultural heritage through the utilization of digital twins, emphasizing the creation of intricate and accurate virtual representations artifacts. </t>
  </si>
  <si>
    <t>The research used  VR/AR  to amplify the feeling of being present within the virtual space, creating a captivating and realistic encounter for users.</t>
  </si>
  <si>
    <t>Sensor</t>
  </si>
  <si>
    <t>Utilize various sensors (IoT devices) to collect real-time data from the physical object or system</t>
  </si>
  <si>
    <t>Machine learning</t>
  </si>
  <si>
    <t>The study incorporated machine learning techniques to enable the digital twin to learn from historical data and adapt its model and made predictions</t>
  </si>
  <si>
    <t>Active DT</t>
  </si>
  <si>
    <t>Active digital twins continuously integrate and update real-time data from various sources such as sensors, IoT devices, control systems, and other relevant sources associated with the physical system.</t>
  </si>
  <si>
    <t>Prediction</t>
  </si>
  <si>
    <t>This study categorized under prediction layer because the study developed predictive model to forecast future behavior, potential failures, or performance trends of the physical system based on historical and real-time data patterns</t>
  </si>
  <si>
    <t>The research employed model checking as a formal verification process, where mathematical models or representations of a physical system (the digital twin) were scrutinized against specified properties or requirements</t>
  </si>
  <si>
    <t>3DGIS</t>
  </si>
  <si>
    <t>3DGIS, or 3D Geographic Information Systems, refers to a technology that integrates and analyzes spatial data in three dimensions (3D) to represent the historical Earth's surface or objects in a more realistic and immersive manner</t>
  </si>
  <si>
    <t>Unity Reflect</t>
  </si>
  <si>
    <t>Primarily game development engines, they include powerful 3D modeling and animation tools and are often used for creating interactive 3D content</t>
  </si>
  <si>
    <t xml:space="preserve"> In this study, the execution level of the digital twin involves a precise virtual representation of an actual object, system, or process. This representation is established and kept up-to-date by collecting and analyzing data from its real-world counterpart</t>
  </si>
  <si>
    <t>The study applied bidirectional communication in a digital twin involves the exchange of information, data, or control signals between the physical system and its corresponding virtual representation (the digital twin), allowing real-time synchronization and interaction between the two</t>
  </si>
  <si>
    <t>Daily update</t>
  </si>
  <si>
    <t>The digital twin is continuously updated  daily with  real-time data, ensuring it accurately represents the current state of the physical system</t>
  </si>
  <si>
    <t>The study applied runtime phase involves the deployment and operational use of the digital twin, where it is actively used to monitor, analyze, and optimize the behavior and performance of the physical system in real-time</t>
  </si>
  <si>
    <t>protected</t>
  </si>
  <si>
    <t>The study employed secure communication protocols to ensure the integrity and confidentiality of the data exchanged between the physical system and the digital twin</t>
  </si>
  <si>
    <t>Data integration</t>
  </si>
  <si>
    <t>The study involves the process of combining, harmonizing, and unifying diverse data from various sources to develop a comprehensive and cohesive representation of the physical system within the digital twin</t>
  </si>
  <si>
    <t>Real-Time Update</t>
  </si>
  <si>
    <t>The study used data synchronization occurs at predefined intervals to maintain a close-to-real-time representation</t>
  </si>
  <si>
    <t>PZVHJB4F</t>
  </si>
  <si>
    <t>Xu, Lijun; Yan, Shengzan; Chen, Zhe; Chen, Xin</t>
  </si>
  <si>
    <t>Design of the Museum Interactive Lighting System Based on the Digital Twin Technology</t>
  </si>
  <si>
    <t>Scientific Programming</t>
  </si>
  <si>
    <t>10.1155/2021/4824417</t>
  </si>
  <si>
    <t>building</t>
  </si>
  <si>
    <t>The type of artwork selected for digitization on the given study is building</t>
  </si>
  <si>
    <t>User-friendly interfaces</t>
  </si>
  <si>
    <t>The study used an interactive user interface in the context of a digital environment, including digital twins, refers to a user-friendly platform that allows users to engage, manipulate, and interact with the digital representation of a physical system or object.</t>
  </si>
  <si>
    <t>The study applied machine learning for predictive modeling to forecast future behavior, potential failures, or performance trends of the physical system based on historical and real-time data patterns</t>
  </si>
  <si>
    <t>Acive DT</t>
  </si>
  <si>
    <t>Active digital twins facilitate remote monitoring and control of the physical system, allowing for remote operation and management through the digital twin interface</t>
  </si>
  <si>
    <t>Prescription</t>
  </si>
  <si>
    <t>The study catagorized on the prescription layer that involves recommending actions or interventions based on the insights and predictions generated by the prediction layer. It focuses on providing actionable recommendations to optimize the performance, efficiency, or outcomes of the physical system or object represented by the digital twin</t>
  </si>
  <si>
    <t>The study model cheking as a formal verification process where mathematical models or representations of a physical system (the digital twin) are analyzed against specified properties or requirements</t>
  </si>
  <si>
    <t>Adaptive DT</t>
  </si>
  <si>
    <t>The study apply adaptive digital twin (DT) is a dynamic and flexible representation of a physical system that can evolve, learn, and adapt over time based on real-time data, feedback, and changing conditions</t>
  </si>
  <si>
    <t>Immediate real-time update</t>
  </si>
  <si>
    <t>This study use by integrating real-time updates into a digital twin for cultural heritage, the preservation, understanding, and appreciation of the heritage can be significantly enhanced</t>
  </si>
  <si>
    <t>Flexibility</t>
  </si>
  <si>
    <t>The applied technique under this study is flexible which  refers to the adaptability, versatility, and openness of the digital model to accommodate evolving requirements, data types, technologies, and user needs in the context of preserving, documenting, and presenting cultural heritage</t>
  </si>
  <si>
    <t>U3SLJQBH</t>
  </si>
  <si>
    <t>Selim, Gehan; Jamhawi, Monther; Abdelmonem, Mohamed Gamal; Ma’bdeh, Shouib; Holland, Andrew</t>
  </si>
  <si>
    <t>The Virtual Living Museum: Integrating the Multi-Layered Histories and Cultural Practices of Gadara’s Archaeology in Umm Qais, Jordan</t>
  </si>
  <si>
    <t>Sustainability</t>
  </si>
  <si>
    <t>10.3390/su14116721</t>
  </si>
  <si>
    <t>Smartphones</t>
  </si>
  <si>
    <t>The user accesses the digitized artwork using smartphones.</t>
  </si>
  <si>
    <t>The study employed the preservation of cultural heritage using digital twins, focusing on the creation of detailed and precise virtual representations. These representations encompass a wide array of cultural elements, including historical artifacts, monuments, buildings, and complete cultural sites.</t>
  </si>
  <si>
    <t>The research centerd  VR/AR  to enhance the sense of presence within the virtual space, resulting in a captivating and highly realistic encounter for users.</t>
  </si>
  <si>
    <t>3D laser scanning</t>
  </si>
  <si>
    <t>The study used laser scanning for data collection that have
been extensively used to digitize historical monuments. These
technologies allow for the 3D reconstruction of the surfaces of
monuments</t>
  </si>
  <si>
    <t>This articles is focused on passive digital twin refers to a representation of a physical object, system, or process that primarily involves the collection, storage, and analysis of data without direct real-time interaction or control</t>
  </si>
  <si>
    <t>The study categorized under  presentation layer of a digital twin this  refers to the user interface and visualization components that allow users to interact with and comprehend the digital twin's data, models, and insights</t>
  </si>
  <si>
    <t>Blender</t>
  </si>
  <si>
    <t>The study used Blender to create detailed 3D models of the physical environment, objects, or structures that you want to represent in your digital twin</t>
  </si>
  <si>
    <t>Pre-Digital Twin</t>
  </si>
  <si>
    <t>The study applied traditional technique that means before the concept of digital twins was widely adopted in the realm of cultural heritage, preservation, and documentation practices relied on traditional methods and technologies. These pre-digital twin approaches aimed to capture, catalog, and conserve cultural heritage artifacts, sites, and historical records using analog and manual methods</t>
  </si>
  <si>
    <t>The study applied design-time phase, a digital twin is in the conceptualization, development, and modeling stage</t>
  </si>
  <si>
    <t>In the context of this study, it's important to note that creating a virtual representation or digital twin of a physical system does not inherently ensure security. Even though digital twins offer a realistic and detailed simulation of the physical system, they can still be vulnerable to security threats and breaches</t>
  </si>
  <si>
    <t>Creating the digital representation of the physical entity using 3D modeling, behavioral modeling, mathematical models, and other relevant techniques</t>
  </si>
  <si>
    <t>2WIFHLHZ</t>
  </si>
  <si>
    <t>Centorrino, P.; Corbetta, A.; Cristiani, E.; Onofri, E.</t>
  </si>
  <si>
    <t>Managing crowded museums: Visitors flow measurement, analysis, modeling, and optimization</t>
  </si>
  <si>
    <t>Journal of Computational Science</t>
  </si>
  <si>
    <t>10.1016/j.jocs.2021.101357</t>
  </si>
  <si>
    <t>Physics-Based Digital Twins</t>
  </si>
  <si>
    <t>The study used principles of physics to accurately replicate the physical behavior, interactions, and properties of the real-world cultural heritage elements</t>
  </si>
  <si>
    <t>Integrate sensors (e.g., environmental sensors, temperature sensors, humidity sensors) within or near the cultural heritage site to capture real-time data about the environment and conditions.</t>
  </si>
  <si>
    <t>Machine learning for predictive modeling to forecast future behavior, potential failures, or performance trends of the physical system based on historical and real-time data patterns</t>
  </si>
  <si>
    <t xml:space="preserve">Simulation </t>
  </si>
  <si>
    <t>This study used simulations to provide valuable insights into understanding the behavior, interactions, and conditions of the cultural heritage in a virtual space</t>
  </si>
  <si>
    <t>The study applied adaptive digital twin (DT) is a dynamic and flexible representation of a physical system that can evolve, learn, and adapt over time based on real-time data, feedback, and changing conditions</t>
  </si>
  <si>
    <t>The study applies bidirectional communication in a digital twin involves the exchange of information, data, or control signals between the physical system and its corresponding virtual representation (the digital twin), allowing real-time synchronization and interaction between the two</t>
  </si>
  <si>
    <t>This study used by integrating real-time updates into a digital twin for cultural heritage, the preservation, understanding, and appreciation of the heritage can be significantly enhanced</t>
  </si>
  <si>
    <t>The study use data synchronization occurs at predefined intervals to maintain a close-to-real-time representation</t>
  </si>
  <si>
    <t>NIXKDQ9X</t>
  </si>
  <si>
    <t>Massafra, A.; Predari, G.; Gulli, R.</t>
  </si>
  <si>
    <t>TOWARDS DIGITAL TWIN DRIVEN CULTURAL HERITAGE MANAGEMENT: A HBIM-BASED WORKFLOW FOR ENERGY IMPROVEMENT OF MODERN BUILDINGS</t>
  </si>
  <si>
    <t>The International Archives of the Photogrammetry, Remote Sensing and Spatial Information Sciences</t>
  </si>
  <si>
    <t>10.5194/isprs-archives-XLVI-5-W1-2022-149-2022</t>
  </si>
  <si>
    <t>The study use three-dimensional (3D) reconstruction to play a crucial role in creating digital twins for cultural heritage sites and objects. These digital twins can help preserve, document, and showcase cultural artifacts, historical sites, and artworks</t>
  </si>
  <si>
    <t>Photogrammetry</t>
  </si>
  <si>
    <t>This research article used photogrammetry technique to involve capturing a series of high-resolution photographs from various angles and using specialized software to reconstruct 3D models</t>
  </si>
  <si>
    <t>The study applied  machine learning for predictive modeling, enabling the forecasting of future behaviors, potential system failures, or performance trends of the physical system by analyzing historical and real-time data patterns</t>
  </si>
  <si>
    <t xml:space="preserve">Testing </t>
  </si>
  <si>
    <t>The study used testing because it is essential to ensure the accuracy, reliability, and user satisfaction of the virtual representation. By conducting thorough testing, developers and stakeholders can identify and address any issues or discrepancies, ultimately enhancing the digital twin's effectiveness in preserving and presenting cultural heritage.</t>
  </si>
  <si>
    <t xml:space="preserve">Autodesk </t>
  </si>
  <si>
    <t>The study used Autodesk which is popular in the gaming and entertainment industry for 3D modeling, animation, and rendering. and also Offers a robust set of tools for character animation, environment modeling, and visual effects.</t>
  </si>
  <si>
    <t>The study applied  the pre-digital twin approaches aimed to capture, catalog, and conserve cultural heritage artifacts, sites, and historical records using analog and manual methods</t>
  </si>
  <si>
    <t>Unidirectional</t>
  </si>
  <si>
    <t>The study applied unidirectional communication these  refers to the flow of information or data in a single direction, typically from the physical system (the "real-world" object, process, or entity being represented) to the digital twin. In this context, the digital twin acts as a passive receiver of data, constantly updating its representation to reflect changes in the physical system</t>
  </si>
  <si>
    <t>The study focuse on creating the digital representation of the physical entity using 3D modeling, behavioral modeling, mathematical models, and other relevant techniques</t>
  </si>
  <si>
    <t>Y627RF4R</t>
  </si>
  <si>
    <t>Štroner, Martin; Křemen, Tomáš; Urban, Rudolf</t>
  </si>
  <si>
    <t>Progressive Dilution of Point Clouds Considering the Local Relief for Creation and Storage of Digital Twins of Cultural Heritage</t>
  </si>
  <si>
    <t>Applied Sciences</t>
  </si>
  <si>
    <t>10.3390/app122211540</t>
  </si>
  <si>
    <t>The type of artwork selected for digitization on the given study is sculpture</t>
  </si>
  <si>
    <t>Data type used for this study is visual data type</t>
  </si>
  <si>
    <t>The methodology adopted in this study centered around data-driven digital twins, which are virtual representations or models mirroring physical systems, assets, or processes. These digital twins rely significantly on data to steer their development, functionality, and fine-tuning. By seamlessly integrating data into the digital twin creation process, a remarkably precise and adaptable virtual replica is attained. This replica yields valuable insights, facilitating informed decision-making for the corresponding physical system or process</t>
  </si>
  <si>
    <t>The study apply design-time phase, a digital twin is in the conceptualization, development, and modeling stage</t>
  </si>
  <si>
    <t>YDP9PVMF</t>
  </si>
  <si>
    <t>Wang, Mingke; Lau, Newman</t>
  </si>
  <si>
    <t>NFT Digital Twins: A Digitalization Strategy to Preserve and Sustain Miao Silver Craftsmanship in the Metaverse Era</t>
  </si>
  <si>
    <t>Heritage</t>
  </si>
  <si>
    <t>10.3390/heritage6020103</t>
  </si>
  <si>
    <t>The research applied digital twins to conserve cultural heritage, with a specific emphasis on crafting precise and intricate virtual representations. These representations encompass a diverse range of cultural elements, including historical artifacts, monuments, buildings, and complete cultural sites</t>
  </si>
  <si>
    <t>VR  allowing for users to explore digital twin environments in a more realistic and interactive way, providing a sense of presence within the virtual space.</t>
  </si>
  <si>
    <t xml:space="preserve"> The maturity level of digital twin is really virtual representation of a real-world object, system, or process. It's created and maintained through the collection and analysis of data from the real-world counterpart</t>
  </si>
  <si>
    <t xml:space="preserve">The system send information each week from physical object to virtual object and  virtual object to physical object </t>
  </si>
  <si>
    <t>Simulation</t>
  </si>
  <si>
    <t>the study used Simulation  for utilizing computational models and simulation techniques to recreate and replicate historical or cultural processes, events, structures, or artifacts within a digital environment. These simulations provide valuable insights into understanding the behavior, interactions, and conditions of the cultural heritage in a virtual space.</t>
  </si>
  <si>
    <t>N4LI5NHC</t>
  </si>
  <si>
    <t>Shabani, Amirhosein; Skamantzari, Margarita; Tapinaki, Sevasti; Georgopoulos, Andreas; Plevris, Vagelis; Kioumarsi, Mahdi</t>
  </si>
  <si>
    <t>3D simulation models for developing digital twins of heritage structures: challenges and strategies</t>
  </si>
  <si>
    <t>Procedia Structural Integrity</t>
  </si>
  <si>
    <t>10.1016/j.prostr.2022.01.090</t>
  </si>
  <si>
    <t>The research employed three-dimensional (3D) reconstruction, a pivotal technique in crafting digital twins for cultural heritage sites and objects. These digital replicas play a vital role in conserving, documenting, and exhibiting cultural artifacts, historical sites, and artworks</t>
  </si>
  <si>
    <t>This articles is focuse on passive digital twin refers to a representation of a physical object, system, or process that primarily involves the collection, storage, and analysis of data without direct real-time interaction or control</t>
  </si>
  <si>
    <t>LI9EVP3W</t>
  </si>
  <si>
    <t>Lorenzo, Riparbelli; Fabrice, Brémand; Paolo, Dionisi-Vici; Jean-Christophe, Dupre; Giacomo, Goli; Franck, Hesser; Delphine, Jullien; Paola, Mazzanti; Marco, Togni; Elisabeth, Ravaud; Luca, Uzielli; Joseph, Gril</t>
  </si>
  <si>
    <t>Learning from Objects: the use of advanced numerical methods to exploit a complete set of information from experimental data, for the Mona Lisa’s Digital-Twin</t>
  </si>
  <si>
    <t>IOP Conference Series: Materials Science and Engineering</t>
  </si>
  <si>
    <t>10.1088/1757-899X/949/1/012089</t>
  </si>
  <si>
    <t>The type of artwork selected for digitization on the given study is painting</t>
  </si>
  <si>
    <t>Metadata</t>
  </si>
  <si>
    <t>The data utilized for this study belongs to the metadata data category</t>
  </si>
  <si>
    <t>The study utilized three-dimensional (3D) reconstruction, a crucial technique in creating digital twins for cultural heritage sites and objects. These digital replicas play a vital role in the conservation, documentation, and exhibition of cultural artifacts, historical sites, and artworks.</t>
  </si>
  <si>
    <t>360-degree videos</t>
  </si>
  <si>
    <t>Integrating 360-degree videos into digital twin visualization enhances the immersion and realism of the experience, allowing users to virtually explore and engage with the represented environment from all directions</t>
  </si>
  <si>
    <t>UZ43XL69</t>
  </si>
  <si>
    <t>Jia, Haomei; Yan, Jing</t>
  </si>
  <si>
    <t>Construction of Heritage Digital Resource Platform Based on Digital Twin Technology</t>
  </si>
  <si>
    <t>Mathematical Problems in Engineering</t>
  </si>
  <si>
    <t>10.1155/2022/4361135</t>
  </si>
  <si>
    <t>The user accesses the digitized artwork using computers.</t>
  </si>
  <si>
    <t>The study applied VR/AR to enhances collaboration among teams or stakeholders by enabling virtual meetings within the digital twin environment, fostering a more immersive and interactive communication experience</t>
  </si>
  <si>
    <t>The study has collected the data through integrate sensors (e.g., environmental sensors, temperature sensors, humidity sensors) within or near the cultural heritage site to capture real-time data about the environment and conditions.</t>
  </si>
  <si>
    <t>The study leveraged machine learning techniques for predictive modeling, enabling the anticipation of future behavior, potential system failures, or performance trends of the physical system through analysis of historical and real-time data patterns</t>
  </si>
  <si>
    <t>This study categorized under active digital twins because it applied a continuously integrate and update real-time data from various sources such as sensors, IoT devices, control systems, and other relevant sources associated with the physical system.</t>
  </si>
  <si>
    <t>This study applied Unity game development engines, for powerful 3D modeling and animation tools and are often used for creating interactive 3D content</t>
  </si>
  <si>
    <t>HEX9BMS3</t>
  </si>
  <si>
    <t>Bruno, Silvana; Scioti, Albina; Pierucci, Alessandra; Rubino, Rocco; Di Noia, Tommaso; Fatiguso, Fabio</t>
  </si>
  <si>
    <t>VERBUM – virtual enhanced reality for building modelling (virtual technical tour in digital twins for building conservation)</t>
  </si>
  <si>
    <t>Journal of Information Technology in Construction</t>
  </si>
  <si>
    <t>10.36680/j.itcon.2022.002</t>
  </si>
  <si>
    <t>The study used three-dimensional (3D) reconstruction to play a crucial role in creating digital twins for cultural heritage sites and objects. These digital twins can help preserve, document, and showcase cultural artifacts, historical sites, and artworks</t>
  </si>
  <si>
    <t>PUMWHRL2</t>
  </si>
  <si>
    <t>Marra, Adriana; Gerbino, Salvatore; Greco, Alessandro; Fabbrocino, Giovanni</t>
  </si>
  <si>
    <t>Combining Integrated Informative System and Historical Digital Twin for Maintenance and Preservation of Artistic Assets</t>
  </si>
  <si>
    <t>10.3390/s21175956</t>
  </si>
  <si>
    <t>The data utilized for this study belongs to the technical  data category</t>
  </si>
  <si>
    <t>The research centered on preserving cultural heritage through the utilization of digital twins, with a particular focus on crafting intricate and accurate virtual representations. These digital replicas encompass a broad spectrum of cultural aspects, such as historical artifacts, monuments, buildings, and entire cultural sites</t>
  </si>
  <si>
    <t>images</t>
  </si>
  <si>
    <t>The study used integrated 360-degree images for immersive cultural heritage digital twin, to create an engaging and informative experience for users, allowing them to virtually explore and appreciate cultural heritage in a way that closely resembles an on-site visit</t>
  </si>
  <si>
    <t>PHAI8DMR</t>
  </si>
  <si>
    <t>Cruz Franco, Pablo Alejandro; Rueda Márquez De La Plata, Adela; Gómez Bernal, Elena</t>
  </si>
  <si>
    <t>Protocols for the Graphic and Constructive Diffusion of Digital Twins of the Architectural Heritage That Guarantee Universal Accessibility through AR and VR</t>
  </si>
  <si>
    <t>10.3390/app12178785</t>
  </si>
  <si>
    <t>The technique employed in this study was centered on data-driven digital twins, virtual models that emulate physical systems, assets, or processes. These digital twins heavily rely on data to drive their development, functionality, and refinement. Through seamless integration of data into the digital twin creation process, an exceptionally accurate and flexible virtual replica is achieved. This replica provides valuable insights, aiding in well-informed decision-making for the corresponding physical system or process</t>
  </si>
  <si>
    <t>SketchUp</t>
  </si>
  <si>
    <t>The study used SketchUp as a valuable tool for creating 3D representations of cultural heritage, aiding in documentation, preservation, research, and educational efforts. Its user-friendly interface and extensive capabilities make it a popular choice for digital twin development in the context of cultural heritage.</t>
  </si>
  <si>
    <t>The study used Simulation  for utilizing computational models and simulation techniques to recreate and replicate historical or cultural processes, events, structures, or artifacts within a digital environment. These simulations provide valuable insights into understanding the behavior, interactions, and conditions of the cultural heritage in a virtual space.</t>
  </si>
  <si>
    <t>756YJ56J</t>
  </si>
  <si>
    <t>Zhao, Jing; Guo, Lei; Li, Yueqiao</t>
  </si>
  <si>
    <t>Application of Digital Twin Combined with Artificial Intelligence and 5G Technology in the Art Design of Digital Museums</t>
  </si>
  <si>
    <t>10.1155/2022/8214514</t>
  </si>
  <si>
    <t>predictive modeling</t>
  </si>
  <si>
    <t>This study used the prediction modeling  because it is crucial for anticipating future behaviors and events, enabling proactive decision-making and effective resource allocation based on reliable predictions. It empowers users to plan and optimize operations, prevent potential issues, and improve the overall performance of the physical system or object</t>
  </si>
  <si>
    <t>WVHE6UT9</t>
  </si>
  <si>
    <t>Wessels, Stephen; Maape, Sechaba; Schoville, Benjamin J.; Wilkins, Jayne</t>
  </si>
  <si>
    <t>The Drone, the Snake, and the Crystal: Manifesting Potency in 3D Digital Replicas of Living Heritage and Archaeological Places</t>
  </si>
  <si>
    <t>Archaeologies</t>
  </si>
  <si>
    <t>10.1007/s11759-022-09460-3</t>
  </si>
  <si>
    <t>exclude</t>
  </si>
  <si>
    <t>The methodology employed in this study was centered on data-driven digital twins, virtual models that emulate physical systems, assets, or processes. These digital twins heavily rely on data to drive their development, functionality, and refinement. Through seamless integration of data into the digital twin creation process, an exceptionally accurate and flexible virtual replica is achieved. This replica provides valuable insights, aiding in well-informed decision-making for the corresponding physical system or process</t>
  </si>
  <si>
    <t>9JGSNW43</t>
  </si>
  <si>
    <t>Niccolucci, Franco; Felicetti, Achille; Hermon, Sorin</t>
  </si>
  <si>
    <t>Populating the Data Space for Cultural Heritage with Heritage Digital Twins</t>
  </si>
  <si>
    <t>Data</t>
  </si>
  <si>
    <t>10.3390/data7080105</t>
  </si>
  <si>
    <t>The type of artwork selected for digitization on the given study is  building</t>
  </si>
  <si>
    <t>WCQUPX77</t>
  </si>
  <si>
    <t>book</t>
  </si>
  <si>
    <t>Digital Cultural Heritage: Final Conference of the Marie Skłodowska-Curie Initial Training Network for Digital Cultural Heritage, ITN-DCH 2017, Olimje, Slovenia, May 23-25, 2017, Revised Selected Papers</t>
  </si>
  <si>
    <t>rejected</t>
  </si>
  <si>
    <t>EPYL9BII</t>
  </si>
  <si>
    <t>Garagnani, Simone; D’Ugo, Rossella; Lupi, Andrea; Martini, Berta; Salvucci, Marta; Susta, Mirko; Tombolato, Monica; Barsanti, Roberta</t>
  </si>
  <si>
    <t>Visual Perception and Cognition by the Means of Interactive Digital Replicas of Museum Artifacts: Leonardo da Vinci’s Drawings as If They Were in Visitors’ Hands</t>
  </si>
  <si>
    <t>10.3390/heritage6010001</t>
  </si>
  <si>
    <t>Drawing</t>
  </si>
  <si>
    <t>The type of artwork selected for digitization on the given study is  drawing</t>
  </si>
  <si>
    <t>Students and educators</t>
  </si>
  <si>
    <t xml:space="preserve">The user of  this study encompasses students and educators </t>
  </si>
  <si>
    <t>The approach taken in this study revolved around data-driven digital twins, which are virtual representations or models replicating physical systems, assets, or processes. These digital twins are significantly guided by data to shape their development, functionality, and improvement. By smoothly integrating data throughout the digital twin creation process, a highly precise and adaptable virtual duplicate is realized. This duplicate yields invaluable insights, assisting in making well-considered decisions for the respective physical system or process.</t>
  </si>
  <si>
    <t>Virtual Exhibits</t>
  </si>
  <si>
    <t>This study used virtual exhibits   to provide an accessible and engaging platform for showcasing, preserving, and educating the public about cultural artifacts and heritage</t>
  </si>
  <si>
    <t>The study applied theIntegrated 360-degree videos into digital twin visualization enhances the immersion and realism of the experience, allowing users to virtually explore and engage with the represented environment from all directions</t>
  </si>
  <si>
    <t>photogrammetry</t>
  </si>
  <si>
    <t>9RXEDT6L</t>
  </si>
  <si>
    <t>Falcone, M.; Origlia, A.; Campi, M.; Di Martino, S.</t>
  </si>
  <si>
    <t>FROM ARCHITECTURAL SURVEY TO CONTINUOUS MONITORING: GRAPH-BASED DATA MANAGEMENT FOR CULTURAL HERITAGE CONSERVATION WITH DIGITAL TWINS</t>
  </si>
  <si>
    <t>10.5194/isprs-archives-XLIII-B4-2021-47-2021</t>
  </si>
  <si>
    <t>The study employed a data-driven digital twin approach, entailing the creation of virtual representations or models mirroring physical systems, assets, or processes with a strong reliance on data. In this approach, data is pivotal in molding, validating, and refining the digital twin. The seamless integration of extensive and pertinent data into the digital twin creation process culminates in a highly precise and adaptable virtual representation. This, in turn, enables the extraction of valuable insights and facilitates well-informed decision-making for the associated physical system or process. The approach underscores the importance of harnessing data to elevate the fidelity and functionality of digital twins</t>
  </si>
  <si>
    <t>PJHCH7EC</t>
  </si>
  <si>
    <t>La Russa, F. M.; Santagati, C.</t>
  </si>
  <si>
    <t>HISTORICAL SENTIENT – BUILDING INFORMATION MODEL: A DIGITAL TWIN FOR THE MANAGEMENT OF MUSEUM COLLECTIONS IN HISTORICAL ARCHITECTURES</t>
  </si>
  <si>
    <t>10.5194/isprs-archives-XLIII-B4-2020-755-2020</t>
  </si>
  <si>
    <t>Intelligent DT</t>
  </si>
  <si>
    <t>This study used the integration of AI to  enhances the digital twin's ability to simulate, predict, analyze, and optimize the behavior and performance of the corresponding physical system</t>
  </si>
  <si>
    <t>HTGANI3W</t>
  </si>
  <si>
    <t>Gabellone, Francesco</t>
  </si>
  <si>
    <t>Digital Twin: a new perspective for cultural heritage management and fruition</t>
  </si>
  <si>
    <t>ACTA IMEKO</t>
  </si>
  <si>
    <t>10.21014/acta_imeko.v11i1.1085</t>
  </si>
  <si>
    <t>This study applied the digital representation of the physical entity using 3D modeling, behavioral modeling, mathematical models, and other relevant techniques</t>
  </si>
  <si>
    <t>PIC2D459</t>
  </si>
  <si>
    <t>Hylland, Ole Marius</t>
  </si>
  <si>
    <t>Even Better than the Real Thing? Digital Copies and Digital Museums in a Digital Cultural Policy</t>
  </si>
  <si>
    <t>Culture Unbound</t>
  </si>
  <si>
    <t>10.3384/cu.2000.1525.179162</t>
  </si>
  <si>
    <t>RS6RUHE3</t>
  </si>
  <si>
    <t>Poux, F.; Neuville, R.; Hallot, P.; Van Wersch, L.; Luczfalvy Jancsó, A.; Billen, R.</t>
  </si>
  <si>
    <t>DIGITAL INVESTIGATIONS OF AN ARCHAEOLOGICAL SMART POINT CLOUD: A REAL TIME WEB-BASED PLATFORM TO MANAGE THE VISUALISATION OF SEMANTICAL QUERIES</t>
  </si>
  <si>
    <t>10.5194/isprs-archives-XLII-5-W1-581-2017</t>
  </si>
  <si>
    <t>researchers and scholars</t>
  </si>
  <si>
    <t>The study applied 3DGIS because it serve as a powerful digital twin platform for cultural heritage preservation, documentation, and visualization. A digital twin is a virtual representation of a real-world object, system, or environment, and in the context of cultural heritage, it involves creating a detailed digital replica of historical sites, artifacts, or structures</t>
  </si>
  <si>
    <t>adaptive DT</t>
  </si>
  <si>
    <t>62JMNIHQ</t>
  </si>
  <si>
    <t>Mostafavi, A.; Scaioni, M.; Yordanov, V.</t>
  </si>
  <si>
    <t>PHOTOGRAMMETRIC SOLUTIONS FOR 3D MODELING OF CULTURAL HERITAGE SITES IN REMOTE AREAS</t>
  </si>
  <si>
    <t>10.5194/isprs-archives-XLII-4-W18-765-2019</t>
  </si>
  <si>
    <t>7WU8R3U2</t>
  </si>
  <si>
    <t>Scianna, A.; Gaglio, G. F.; La Guardia, M.</t>
  </si>
  <si>
    <t>DIGITAL PHOTOGRAMMETRY, TLS SURVEY AND 3D MODELLING FOR VR AND AR APPLICATIONS IN CH</t>
  </si>
  <si>
    <t>10.5194/isprs-archives-XLIII-B2-2020-901-2020</t>
  </si>
  <si>
    <t>The user accesses the digitized artwork using Smartphones</t>
  </si>
  <si>
    <t xml:space="preserve">The study used data-driven digital twin approach involves creating virtual representations or models of physical systems, assets, or processes that are heavily reliant on data. In this approach, data plays a central role in shaping, validating, and optimizing the digital twin. Integrating extensive and relevant data into the digital twin creation process allows for a more accurate and dynamic virtual representation, enabling valuable insights and informed decision-making for the corresponding physical system or process. This approach emphasizes the significance of leveraging data to enhance the fidelity and functionality of digital twins."
ChatGPT
The study employed a data-driven digital twin approach, entailing the creation of virtual representations or models mirroring physical systems, assets, or processes with a strong reliance on data. In this approach, data is pivotal in molding, validating, and refining the digital twin. The seamless integration of extensive and pertinent data into the digital twin creation process culminates in a highly precise and adaptable virtual representation. This, in turn, enables the extraction of valuable insights and facilitates well-informed decision-making for the associated physical system or process. The approach underscores the importance of harnessing data to elevate the fidelity and functionality of digital twins.
</t>
  </si>
  <si>
    <t>6HLPQWBY</t>
  </si>
  <si>
    <t>Fregonese, L.; Giordani, N.; Adami, A.; Bachinsky, G.; Taffurelli, L.; Rosignoli, O.; Helder, J.</t>
  </si>
  <si>
    <t>PHYSICAL AND VIRTUAL RECONSTRUCTION FOR AN INTEGRATED ARCHAEOLOGICAL MODEL: 3D PRINT AND MAQUETTE</t>
  </si>
  <si>
    <t>10.5194/isprs-archives-XLII-2-W15-481-2019</t>
  </si>
  <si>
    <t>Tablets</t>
  </si>
  <si>
    <t>The user accesses the digitized artwork using tablets</t>
  </si>
  <si>
    <t>XIKN3XCI</t>
  </si>
  <si>
    <t>Larue, Frédéric; Di Benedetto, Marco; Dellepiane, Matteo; Scopigno, Roberto</t>
  </si>
  <si>
    <t>From the Digitization of Cultural Artifacts to the Web Publishing of Digital 3D Collections: an Automatic Pipeline for Knowledge Sharing</t>
  </si>
  <si>
    <t>Journal of Multimedia</t>
  </si>
  <si>
    <t>10.4304/jmm.7.2.132-144</t>
  </si>
  <si>
    <t>CXUV4UGH</t>
  </si>
  <si>
    <t>Maalek, Reza; Maalek, Shahrokh</t>
  </si>
  <si>
    <t>Automatic Recognition and Digital Documentation of Cultural Heritage Hemispherical Domes using Images</t>
  </si>
  <si>
    <t>Journal on Computing and Cultural Heritage</t>
  </si>
  <si>
    <t>10.1145/3528412</t>
  </si>
  <si>
    <t>AMSPFSKS</t>
  </si>
  <si>
    <t>Petrelli, Daniela; Ciolfi, Luigina; Van Dijk, Dick; Hornecker, Eva; Not, Elena; Schmidt, Albrecht</t>
  </si>
  <si>
    <t>Integrating material and digital: a new way for cultural heritage</t>
  </si>
  <si>
    <t>Interactions</t>
  </si>
  <si>
    <t>10.1145/2486227.2486239</t>
  </si>
  <si>
    <t>DTG69PDT</t>
  </si>
  <si>
    <t>Chi, Hao-Yun; Sha, Jingzhen; Zhang, Yang</t>
  </si>
  <si>
    <t>Bring Environments to People – A Case Study of Virtual Tours in Accessibility Assessment for People with Limited Mobility</t>
  </si>
  <si>
    <t>20th International Web for All Conference</t>
  </si>
  <si>
    <t>10.1145/3587281.3587292</t>
  </si>
  <si>
    <t>EL4XK74I</t>
  </si>
  <si>
    <t>McCaffery, John; Miller, Alan; Vermehren, Anna; Fabola, Adeola</t>
  </si>
  <si>
    <t>The Virtual Museums of Caen: A case study on modes of representation of digital historical content</t>
  </si>
  <si>
    <t>2015 Digital Heritage</t>
  </si>
  <si>
    <t>10.1109/DigitalHeritage.2015.7419571</t>
  </si>
  <si>
    <t>KQ6VG9UW</t>
  </si>
  <si>
    <t>Moyano, Juan; Cabrera-Revuelta, Elena; Nieto-Julián, Juan E.; Fernández-Alconchel, María; Fernández-Valderrama, Pedro</t>
  </si>
  <si>
    <t>Evaluation of Geometric Data Registration of Small Objects from Non-Invasive Techniques: Applicability to the HBIM Field</t>
  </si>
  <si>
    <t>10.3390/s23031730</t>
  </si>
  <si>
    <t>JP8HZP3G</t>
  </si>
  <si>
    <t>Bolognesi, Cecilia Maria; Fiorillo, Fausta</t>
  </si>
  <si>
    <t>Virtual Representations of Cultural Heritage: Sharable and Implementable Case Study to Be Enjoyed and Maintained by the Community</t>
  </si>
  <si>
    <t>10.3390/buildings13020410</t>
  </si>
  <si>
    <t>UYTV89JG</t>
  </si>
  <si>
    <t>Apollonio, Fabrizio Ivan; Fantini, Filippo; Garagnani, Simone; Gaiani, Marco</t>
  </si>
  <si>
    <t>A Photogrammetry-Based Workflow for the Accurate 3D Construction and Visualization of Museums Assets</t>
  </si>
  <si>
    <t>Remote Sensing</t>
  </si>
  <si>
    <t>10.3390/rs13030486</t>
  </si>
  <si>
    <t>DDBTHRWR</t>
  </si>
  <si>
    <t>Wijnhoven, Martijn A.; Moskvin, Aleksei</t>
  </si>
  <si>
    <t>Digital replication and reconstruction of mail armour</t>
  </si>
  <si>
    <t>Journal of Cultural Heritage</t>
  </si>
  <si>
    <t>10.1016/j.culher.2020.04.010</t>
  </si>
  <si>
    <t>In this study, the Unreal game development engine was utilized, known for its robust 3D modeling and animation tools commonly employed in the creation of interactive 3D content</t>
  </si>
  <si>
    <t>497PPJYG</t>
  </si>
  <si>
    <t>Galeazzi, Fabrizio; Di Giuseppantonio Di Franco, Paola; Matthews, Justin L.</t>
  </si>
  <si>
    <t>Comparing 2D pictures with 3D replicas for the digital preservation and analysis of tangible heritage</t>
  </si>
  <si>
    <t>Museum Management and Curatorship</t>
  </si>
  <si>
    <t>10.1080/09647775.2015.1042515</t>
  </si>
  <si>
    <t>ZLFCV4HP</t>
  </si>
  <si>
    <t>Silberman, Neil Asher</t>
  </si>
  <si>
    <t>From Cultural Property to Cultural Data: The Multiple Dimensions of “Ownership” in a Global Digital Age</t>
  </si>
  <si>
    <t>International Journal of Cultural Property</t>
  </si>
  <si>
    <t>10.1017/S0940739114000162</t>
  </si>
  <si>
    <t>6FVDWE5V</t>
  </si>
  <si>
    <t>Nancarrow, Jane-Heloise</t>
  </si>
  <si>
    <t>Countering the "Digital Uncanny": Post-Processing for 3-D Digital Heritage</t>
  </si>
  <si>
    <t>Studies in Digital Heritage</t>
  </si>
  <si>
    <t>10.14434/sdh.v3i2.27748</t>
  </si>
  <si>
    <t>3AVFYJDW</t>
  </si>
  <si>
    <t>Wang, F. F.; Du, J.</t>
  </si>
  <si>
    <t>DIGITAL PRESENTATION AND COMMUNICATION OF CULTURAL HERITAGE IN THE POST-PANDEMIC ERA</t>
  </si>
  <si>
    <t>ISPRS Annals of the Photogrammetry, Remote Sensing and Spatial Information Sciences</t>
  </si>
  <si>
    <t>10.5194/isprs-annals-VIII-M-1-2021-187-2021</t>
  </si>
  <si>
    <t>The study applied preservation of cultural heritage using digital twins involves creating comprehensive and accurate virtual representations of historical artifacts, monuments, buildings, or entire cultural sites.</t>
  </si>
  <si>
    <t>6Q96LVMI</t>
  </si>
  <si>
    <t>Stanco, Filippo; Tanasi, Davide</t>
  </si>
  <si>
    <t>Beyond Virtual Replicas: 3D Modeling and Maltese Prehistoric Architecture</t>
  </si>
  <si>
    <t>Journal of Electrical and Computer Engineering</t>
  </si>
  <si>
    <t>10.1155/2013/430905</t>
  </si>
  <si>
    <t>The user accesses the digitized artwork using tables.</t>
  </si>
  <si>
    <t>RSUHHP4N</t>
  </si>
  <si>
    <t>Ngo, Thi Duyen; Ta, Viet Cuong; Ma, Thi Chau; Nguyen, Minh Hoa; Nguyen, Xuan Hung; Le, Thanh Ha</t>
  </si>
  <si>
    <t>Quality assessment criteria and methods for 3D digital replica of historical printing woodblocks</t>
  </si>
  <si>
    <t>10.1145/3532854</t>
  </si>
  <si>
    <t>LKHY9YJB</t>
  </si>
  <si>
    <t>Calzado-Martínez, Alberto; García-FernÁndez, Ángel-Luis; Ortega-Alvarado, Lidia M.; Feito-Higueruela, Francisco-RamÓn</t>
  </si>
  <si>
    <t>Integrated information system for 3D interactive reconstruction of an archaeological site</t>
  </si>
  <si>
    <t>10.1145/3586077</t>
  </si>
  <si>
    <t>RCNUNE7P</t>
  </si>
  <si>
    <t>Ynnerman, Anders; Rydell, Thomas; Antoine, Daniel; Hughes, David; Persson, Anders; Ljung, Patric</t>
  </si>
  <si>
    <t>Interactive visualization of 3d scanned mummies at public venues</t>
  </si>
  <si>
    <t>Communications of the ACM</t>
  </si>
  <si>
    <t>10.1145/2950040</t>
  </si>
  <si>
    <t>FV4N8BNE</t>
  </si>
  <si>
    <t>Luo, Weizhou; Yu, Zhongyuan; Rzayev, Rufat; Satkowski, Marc; Gumhold, Stefan; McGinity, Matthew; Dachselt, Raimund</t>
  </si>
  <si>
    <t>Pearl: Physical Environment based Augmented Reality Lenses for In-Situ Human Movement Analysis</t>
  </si>
  <si>
    <t>Proceedings of the 2023 CHI Conference on Human Factors in Computing Systems</t>
  </si>
  <si>
    <t>10.1145/3544548.3580715</t>
  </si>
  <si>
    <t>BFA8NKNS</t>
  </si>
  <si>
    <t>Grifoni, Emanuela; Bonizzoni, Letizia; Gargano, Marco; Melada, Jacopo; Ludwig, Nicola; Bruni, Silvia; Mignani, Ilaria</t>
  </si>
  <si>
    <t>Hyper-dimensional Visualization of Cultural Heritage: A Novel Multi-analytical Approach on 3D Pomological Models in the Collection of the University of Milan</t>
  </si>
  <si>
    <t>10.1145/3477398</t>
  </si>
  <si>
    <t>C62EHGM5</t>
  </si>
  <si>
    <t>Damiano, Rossana; Lombardo, Vincenzo; Lieto, Antonio; Borra, Davide</t>
  </si>
  <si>
    <t>Mind the red thread! 3D metaphors for cultural heritage visualization</t>
  </si>
  <si>
    <t>10.1109/DigitalHeritage.2015.7419522</t>
  </si>
  <si>
    <t>Z8Y3V3QX</t>
  </si>
  <si>
    <t>Guarneri, M.; De Collibus, M. Ferri; Francucci, M.; Ciaffi, M.</t>
  </si>
  <si>
    <t>The Importance of Artworks 3D Digitalization at the Time of COVID Epidemy: Case Studies by the Use of a Multi-wavelengths Technique</t>
  </si>
  <si>
    <t>2020 IEEE 5th International Conference on Image, Vision and Computing (ICIVC)</t>
  </si>
  <si>
    <t>10.1109/ICIVC50857.2020.9177443</t>
  </si>
  <si>
    <t>L3NXVACI</t>
  </si>
  <si>
    <t>Amato, Flora; Moscato, Vincenzo; Picariello, Antonio; Colace, Francesco; Santo, Massimo De; Schreiber, Fabio A.; Tanca, Letizia</t>
  </si>
  <si>
    <t>Big Data Meets Digital Cultural Heritage: Design and Implementation of SCRABS, A Smart Context-awaRe Browsing Assistant for Cultural EnvironmentS</t>
  </si>
  <si>
    <t>10.1109/ACCESS.2022.3191429</t>
  </si>
  <si>
    <t>GN7755PQ</t>
  </si>
  <si>
    <t>Koeva, M. N.</t>
  </si>
  <si>
    <t>3D MODELLING AND INTERACTIVE WEB-BASED VISUALIZATION OF CULTURAL HERITAGE OBJECTS</t>
  </si>
  <si>
    <t>ISPRS - International Archives of the Photogrammetry, Remote Sensing and Spatial Information Sciences</t>
  </si>
  <si>
    <t>10.5194/isprsarchives-XLI-B5-297-2016</t>
  </si>
  <si>
    <t>visual Data</t>
  </si>
  <si>
    <t>ZEBKBJPJ</t>
  </si>
  <si>
    <t>Kazanis, S.; Kontogianni, G.; Chliverou, R.; Georgopoulos, A.</t>
  </si>
  <si>
    <t>DEVELOPING A VIRTUAL MUSEUM FOR THE ANCIENT WINE TRADE IN EASTERN MEDITERRANEAN</t>
  </si>
  <si>
    <t>10.5194/isprs-archives-XLII-2-W5-399-2017</t>
  </si>
  <si>
    <t>92ED3SNU</t>
  </si>
  <si>
    <t>Koeva, Mila; Luleva, Mila; Maldjanski, Plamen</t>
  </si>
  <si>
    <t>Integrating Spherical Panoramas and Maps for Visualization of Cultural Heritage Objects Using Virtual Reality Technology</t>
  </si>
  <si>
    <t>10.3390/s17040829</t>
  </si>
  <si>
    <t>The user accesses the digitized artwork using tablets.</t>
  </si>
  <si>
    <t>MJ2PEZQD</t>
  </si>
  <si>
    <t>Vila-Chã, Eduarda; Barontini, Alberto; Lourenço, Paulo B.</t>
  </si>
  <si>
    <t>Implementation of a Condition Monitoring Strategy for the Monastery of Salzedas, Portugal: Challenges and Optimisation</t>
  </si>
  <si>
    <t>10.3390/buildings13030719</t>
  </si>
  <si>
    <t>JEP72CFG</t>
  </si>
  <si>
    <t>Tschirschwitz, F.; Büyüksalih, G.; Kersten, T. P.; Kan, T.; Enc, G.; Baskaraca, P.</t>
  </si>
  <si>
    <t>VIRTUALISING AN OTTOMAN FORTRESS – LASER SCANNING AND 3D MODELLING FOR THE DEVELOPMENT OF AN INTERACTIVE, IMMERSIVE VIRTUAL REALITY APPLICATION</t>
  </si>
  <si>
    <t>10.5194/isprs-archives-XLII-2-W9-723-2019</t>
  </si>
  <si>
    <t>A5PZRF52</t>
  </si>
  <si>
    <t>Zhang, Xiao; Yang, Deling; Yow, Cheun Hoe; Huang, Lihui; Wu, Xiaoqun; Huang, Xijun; Guo, Jia; Zhou, Shujun; Cai, Yiyu</t>
  </si>
  <si>
    <t>Metaverse for Cultural Heritages</t>
  </si>
  <si>
    <t>Electronics</t>
  </si>
  <si>
    <t>10.3390/electronics11223730</t>
  </si>
  <si>
    <t>GZAT2RGW</t>
  </si>
  <si>
    <t>Aricò, Manuela; Lo Brutto, Mauro; Maltese, Antonino</t>
  </si>
  <si>
    <t>A Scan-to-BIM Approach for the Management of Two Arab-Norman Churches in Palermo (Italy)</t>
  </si>
  <si>
    <t>10.3390/heritage6020087</t>
  </si>
  <si>
    <t>MDGM95W5</t>
  </si>
  <si>
    <t>Farella, E. M.; Morelli, L.; Grilli, E.; Rigon, S.; Remondino, F.</t>
  </si>
  <si>
    <t>HANDLING CRITICAL ASPECTS IN MASSIVE PHOTOGRAMMETRIC DIGITIZATION OF MUSEUM ASSETS</t>
  </si>
  <si>
    <t>10.5194/isprs-archives-XLVI-2-W1-2022-215-2022</t>
  </si>
  <si>
    <t>PJB8VKMV</t>
  </si>
  <si>
    <t>Valeonti, Foteini; Bikakis, Antonis; Terras, Melissa; Speed, Chris; Hudson-Smith, Andrew; Chalkias, Konstantinos</t>
  </si>
  <si>
    <t>Crypto Collectibles, Museum Funding and OpenGLAM: Challenges, Opportunities and the Potential of Non-Fungible Tokens (NFTs)</t>
  </si>
  <si>
    <t>10.3390/app11219931</t>
  </si>
  <si>
    <t>EW55QV4G</t>
  </si>
  <si>
    <t>Baiocchi, Valerio; Del Pizzo, Silvio; Monti, Felicia; Pugliano, Giovanni; Onori, Matteo; Robustelli, Umberto; Troisi, Salvatore; Vatore, Felicia; León Trujillo, Francisco James</t>
  </si>
  <si>
    <t>Solutions and limitations of the geomatic survey of an archaeological site in hard to access areas with a latest generation smartphone: the example of the Intihuatana stone in Machu Picchu (Peru)</t>
  </si>
  <si>
    <t>10.21014/acta_imeko.v11i1.1117</t>
  </si>
  <si>
    <t>STC25LBL</t>
  </si>
  <si>
    <t>bookSection</t>
  </si>
  <si>
    <t>Murphy, Maurice; Fai, Stephen; Chow, Lara; Meegan, Eimear; Scandurra, Simona; Pavia, Sara; Corns, Anthony; Cahil, John</t>
  </si>
  <si>
    <t>Virtual Historic Centers: Digital Representation of Archaeological Heritage</t>
  </si>
  <si>
    <t>Handbook of Cultural Heritage Analysis</t>
  </si>
  <si>
    <t>F28W9KVK</t>
  </si>
  <si>
    <t>Ch'ng, Eugene</t>
  </si>
  <si>
    <t>The First Original Copy and the Role of Blockchain in the Reproduction of Cultural Heritage</t>
  </si>
  <si>
    <t>Presence: Teleoperators and Virtual Environments</t>
  </si>
  <si>
    <t>10.1162/pres_a_00313</t>
  </si>
  <si>
    <t>This study used Virtual exhibits   to provide an accessible and engaging platform for showcasing, preserving, and educating the public about cultural artifacts and heritage</t>
  </si>
  <si>
    <t>V5BLXKAG</t>
  </si>
  <si>
    <t>Pietroni, Eva; Ferdani, Daniele</t>
  </si>
  <si>
    <t>Virtual Restoration and Virtual Reconstruction in Cultural Heritage: Terminology, Methodologies, Visual Representation Techniques and Cognitive Models</t>
  </si>
  <si>
    <t>Information</t>
  </si>
  <si>
    <t>10.3390/info12040167</t>
  </si>
  <si>
    <t>Interactivity in a digital twin refers to the capability of users to engage with, manipulate, and control the digital representation of a physical system or objec</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</si>
</sst>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d-mmm-yy"/>
    <numFmt numFmtId="165" formatCode="dd-mmm-yy"/>
    <numFmt numFmtId="166" formatCode="d-mmmm-yy"/>
    <numFmt numFmtId="167" formatCode="dd-mmmm-yy"/>
    <numFmt numFmtId="168" formatCode="yyyy-m"/>
    <numFmt numFmtId="169" formatCode="yyyy-mm"/>
    <numFmt numFmtId="170" formatCode="m/d/yyyy"/>
    <numFmt numFmtId="171" formatCode="dd/MM/yyyy"/>
  </numFmts>
  <fonts count="53">
    <font>
      <sz val="11.0"/>
      <color theme="1"/>
      <name val="Calibri"/>
      <scheme val="minor"/>
    </font>
    <font>
      <b/>
      <sz val="11.0"/>
      <color rgb="FFFFFFFF"/>
      <name val="Calibri"/>
    </font>
    <font>
      <sz val="11.0"/>
      <color theme="1"/>
      <name val="Calibri"/>
    </font>
    <font>
      <b/>
      <sz val="11.0"/>
      <color theme="1"/>
      <name val="Calibri"/>
    </font>
    <font>
      <color theme="1"/>
      <name val="Calibri"/>
      <scheme val="minor"/>
    </font>
    <font/>
    <font>
      <b/>
      <sz val="14.0"/>
      <color rgb="FFFFFFFF"/>
      <name val="Calibri"/>
    </font>
    <font>
      <b/>
      <sz val="14.0"/>
      <color rgb="FFFF0000"/>
      <name val="Calibri"/>
    </font>
    <font>
      <b/>
      <sz val="14.0"/>
      <color rgb="FF3F3F76"/>
      <name val="Calibri"/>
    </font>
    <font>
      <sz val="14.0"/>
      <color theme="1"/>
      <name val="Calibri"/>
    </font>
    <font>
      <b/>
      <sz val="14.0"/>
      <color rgb="FF9C5700"/>
      <name val="Calibri"/>
    </font>
    <font>
      <sz val="11.0"/>
      <color rgb="FF000000"/>
      <name val="Calibri"/>
    </font>
    <font>
      <u/>
      <color rgb="FF0000FF"/>
      <name val="Roboto"/>
    </font>
    <font>
      <sz val="11.0"/>
      <color rgb="FFFFFFFF"/>
      <name val="Roboto"/>
    </font>
    <font>
      <sz val="11.0"/>
      <color rgb="FF434343"/>
      <name val="Roboto"/>
    </font>
    <font>
      <sz val="12.0"/>
      <color rgb="FF000000"/>
      <name val="&quot;\0022Aptos Narrow\0022&quot;"/>
    </font>
    <font>
      <sz val="12.0"/>
      <color rgb="FF000000"/>
      <name val="Arial"/>
    </font>
    <font>
      <sz val="12.0"/>
      <color theme="1"/>
      <name val="Arial"/>
    </font>
    <font>
      <b/>
      <sz val="12.0"/>
      <color rgb="FF000000"/>
      <name val="Arial"/>
    </font>
    <font>
      <sz val="12.0"/>
      <color rgb="FFFFFFFF"/>
      <name val="Arial"/>
    </font>
    <font>
      <b/>
      <sz val="12.0"/>
      <color rgb="FFFFFFFF"/>
      <name val="Arial"/>
    </font>
    <font>
      <sz val="12.0"/>
      <color rgb="FF434343"/>
      <name val="Arial"/>
    </font>
    <font>
      <sz val="12.0"/>
      <color rgb="FF473821"/>
      <name val="Arial"/>
    </font>
    <font>
      <b/>
      <sz val="11.0"/>
      <color theme="1"/>
      <name val="Calibri"/>
      <scheme val="minor"/>
    </font>
    <font>
      <b/>
      <color theme="1"/>
      <name val="Calibri"/>
      <scheme val="minor"/>
    </font>
    <font>
      <b/>
      <color rgb="FF000000"/>
      <name val="Calibri"/>
      <scheme val="minor"/>
    </font>
    <font>
      <b/>
      <sz val="11.0"/>
      <color rgb="FFFFBE00"/>
      <name val="Calibri"/>
      <scheme val="minor"/>
    </font>
    <font>
      <color rgb="FF000000"/>
      <name val="Calibri"/>
      <scheme val="minor"/>
    </font>
    <font>
      <sz val="11.0"/>
      <color rgb="FF000000"/>
      <name val="Calibri"/>
      <scheme val="minor"/>
    </font>
    <font>
      <b/>
      <sz val="11.0"/>
      <color rgb="FF008C96"/>
      <name val="Calibri"/>
      <scheme val="minor"/>
    </font>
    <font>
      <b/>
      <sz val="11.0"/>
      <color rgb="FF000000"/>
      <name val="Calibri"/>
      <scheme val="minor"/>
    </font>
    <font>
      <b/>
      <sz val="11.0"/>
      <color rgb="FFF00082"/>
      <name val="Calibri"/>
      <scheme val="minor"/>
    </font>
    <font>
      <b/>
      <sz val="11.0"/>
      <color rgb="FF463CC8"/>
      <name val="Calibri"/>
      <scheme val="minor"/>
    </font>
    <font>
      <b/>
      <sz val="11.0"/>
      <color rgb="FFFF7800"/>
      <name val="Calibri"/>
      <scheme val="minor"/>
    </font>
    <font>
      <b/>
      <sz val="11.0"/>
      <color rgb="FFDC0000"/>
      <name val="Calibri"/>
      <scheme val="minor"/>
    </font>
    <font>
      <b/>
      <sz val="11.0"/>
      <color rgb="FF966450"/>
      <name val="Calibri"/>
      <scheme val="minor"/>
    </font>
    <font>
      <b/>
      <sz val="11.0"/>
      <color rgb="FF008250"/>
      <name val="Calibri"/>
      <scheme val="minor"/>
    </font>
    <font>
      <b/>
      <sz val="11.0"/>
      <color rgb="FF6E6E6E"/>
      <name val="Calibri"/>
      <scheme val="minor"/>
    </font>
    <font>
      <b/>
      <sz val="11.0"/>
      <color rgb="FF006EFF"/>
      <name val="Calibri"/>
      <scheme val="minor"/>
    </font>
    <font>
      <b/>
      <sz val="11.0"/>
      <color rgb="FF8C32A0"/>
      <name val="Calibri"/>
      <scheme val="minor"/>
    </font>
    <font>
      <b/>
      <sz val="11.0"/>
      <color rgb="FF46AA00"/>
      <name val="Calibri"/>
      <scheme val="minor"/>
    </font>
    <font>
      <b/>
      <sz val="12.0"/>
      <color rgb="FFFFFFFF"/>
      <name val="Calibri"/>
      <scheme val="minor"/>
    </font>
    <font>
      <b/>
      <sz val="18.0"/>
      <color rgb="FFFFFFFF"/>
      <name val="Calibri"/>
      <scheme val="minor"/>
    </font>
    <font>
      <sz val="14.0"/>
      <color theme="1"/>
      <name val="Calibri"/>
      <scheme val="minor"/>
    </font>
    <font>
      <sz val="12.0"/>
      <color theme="1"/>
      <name val="Calibri"/>
      <scheme val="minor"/>
    </font>
    <font>
      <i/>
      <color theme="1"/>
      <name val="Calibri"/>
      <scheme val="minor"/>
    </font>
    <font>
      <b/>
      <sz val="12.0"/>
      <color theme="1"/>
      <name val="Calibri"/>
    </font>
    <font>
      <b/>
      <sz val="12.0"/>
      <color rgb="FF9C5700"/>
      <name val="Calibri"/>
    </font>
    <font>
      <sz val="11.0"/>
      <color theme="0"/>
      <name val="Calibri"/>
    </font>
    <font>
      <sz val="12.0"/>
      <color rgb="FF000000"/>
      <name val="Times New Roman"/>
    </font>
    <font>
      <sz val="11.0"/>
      <color rgb="FF000000"/>
      <name val="Times New Roman"/>
    </font>
    <font>
      <sz val="12.0"/>
      <color rgb="FF000000"/>
      <name val="Calibri"/>
    </font>
    <font>
      <sz val="12.0"/>
      <color rgb="FF374151"/>
      <name val="Söhne"/>
    </font>
  </fonts>
  <fills count="27">
    <fill>
      <patternFill patternType="none"/>
    </fill>
    <fill>
      <patternFill patternType="lightGray"/>
    </fill>
    <fill>
      <patternFill patternType="solid">
        <fgColor rgb="FF356854"/>
        <bgColor rgb="FF356854"/>
      </patternFill>
    </fill>
    <fill>
      <patternFill patternType="solid">
        <fgColor rgb="FFFEF2CB"/>
        <bgColor rgb="FFFEF2CB"/>
      </patternFill>
    </fill>
    <fill>
      <patternFill patternType="solid">
        <fgColor rgb="FFC6EFCE"/>
        <bgColor rgb="FFC6EFCE"/>
      </patternFill>
    </fill>
    <fill>
      <patternFill patternType="solid">
        <fgColor rgb="FFF1C232"/>
        <bgColor rgb="FFF1C232"/>
      </patternFill>
    </fill>
    <fill>
      <patternFill patternType="solid">
        <fgColor rgb="FFE06666"/>
        <bgColor rgb="FFE06666"/>
      </patternFill>
    </fill>
    <fill>
      <patternFill patternType="solid">
        <fgColor rgb="FF93C47D"/>
        <bgColor rgb="FF93C47D"/>
      </patternFill>
    </fill>
    <fill>
      <patternFill patternType="solid">
        <fgColor rgb="FF3C78D8"/>
        <bgColor rgb="FF3C78D8"/>
      </patternFill>
    </fill>
    <fill>
      <patternFill patternType="solid">
        <fgColor rgb="FF8E7CC3"/>
        <bgColor rgb="FF8E7CC3"/>
      </patternFill>
    </fill>
    <fill>
      <patternFill patternType="solid">
        <fgColor rgb="FFC27BA0"/>
        <bgColor rgb="FFC27BA0"/>
      </patternFill>
    </fill>
    <fill>
      <patternFill patternType="solid">
        <fgColor rgb="FFE69138"/>
        <bgColor rgb="FFE69138"/>
      </patternFill>
    </fill>
    <fill>
      <patternFill patternType="solid">
        <fgColor rgb="FFB7B7B7"/>
        <bgColor rgb="FFB7B7B7"/>
      </patternFill>
    </fill>
    <fill>
      <patternFill patternType="solid">
        <fgColor rgb="FFFFFFFF"/>
        <bgColor rgb="FFFFFFFF"/>
      </patternFill>
    </fill>
    <fill>
      <patternFill patternType="solid">
        <fgColor theme="0"/>
        <bgColor theme="0"/>
      </patternFill>
    </fill>
    <fill>
      <patternFill patternType="solid">
        <fgColor rgb="FF9C5700"/>
        <bgColor rgb="FF9C5700"/>
      </patternFill>
    </fill>
    <fill>
      <patternFill patternType="solid">
        <fgColor rgb="FFFFCC99"/>
        <bgColor rgb="FFFFCC99"/>
      </patternFill>
    </fill>
    <fill>
      <patternFill patternType="solid">
        <fgColor rgb="FFFFEB9C"/>
        <bgColor rgb="FFFFEB9C"/>
      </patternFill>
    </fill>
    <fill>
      <patternFill patternType="solid">
        <fgColor theme="9"/>
        <bgColor theme="9"/>
      </patternFill>
    </fill>
    <fill>
      <patternFill patternType="solid">
        <fgColor rgb="FFB7E1CD"/>
        <bgColor rgb="FFB7E1CD"/>
      </patternFill>
    </fill>
    <fill>
      <patternFill patternType="solid">
        <fgColor rgb="FFB4C6E7"/>
        <bgColor rgb="FFB4C6E7"/>
      </patternFill>
    </fill>
    <fill>
      <patternFill patternType="solid">
        <fgColor rgb="FFFBE4D5"/>
        <bgColor rgb="FFFBE4D5"/>
      </patternFill>
    </fill>
    <fill>
      <patternFill patternType="solid">
        <fgColor rgb="FFF6F8F9"/>
        <bgColor rgb="FFF6F8F9"/>
      </patternFill>
    </fill>
    <fill>
      <patternFill patternType="solid">
        <fgColor rgb="FFF4C7C3"/>
        <bgColor rgb="FFF4C7C3"/>
      </patternFill>
    </fill>
    <fill>
      <patternFill patternType="solid">
        <fgColor rgb="FFCDD9D4"/>
        <bgColor rgb="FFCDD9D4"/>
      </patternFill>
    </fill>
    <fill>
      <patternFill patternType="solid">
        <fgColor rgb="FF008250"/>
        <bgColor rgb="FF008250"/>
      </patternFill>
    </fill>
    <fill>
      <patternFill patternType="solid">
        <fgColor rgb="FF70AD47"/>
        <bgColor rgb="FF70AD47"/>
      </patternFill>
    </fill>
  </fills>
  <borders count="40">
    <border/>
    <border>
      <left/>
      <top/>
      <bottom/>
    </border>
    <border>
      <top/>
      <bottom/>
    </border>
    <border>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top/>
      <bottom/>
    </border>
    <border>
      <left style="thin">
        <color rgb="FF000000"/>
      </left>
      <right/>
      <top style="thin">
        <color rgb="FF000000"/>
      </top>
      <bottom/>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284E3F"/>
      </left>
      <right style="thin">
        <color rgb="FFB7E1CD"/>
      </right>
      <top style="thin">
        <color rgb="FFB7E1CD"/>
      </top>
      <bottom style="thin">
        <color rgb="FFB7E1CD"/>
      </bottom>
    </border>
    <border>
      <left style="thin">
        <color rgb="FFB7E1CD"/>
      </left>
      <right style="thin">
        <color rgb="FFB7E1CD"/>
      </right>
      <top style="thin">
        <color rgb="FFB7E1CD"/>
      </top>
      <bottom style="thin">
        <color rgb="FFB7E1CD"/>
      </bottom>
    </border>
    <border>
      <right style="thin">
        <color rgb="FF356854"/>
      </right>
      <top style="thin">
        <color rgb="FF284E3F"/>
      </top>
      <bottom style="thin">
        <color rgb="FF284E3F"/>
      </bottom>
    </border>
    <border>
      <left style="thin">
        <color rgb="FF356854"/>
      </left>
      <right style="thin">
        <color rgb="FF356854"/>
      </right>
      <top style="thin">
        <color rgb="FF284E3F"/>
      </top>
    </border>
    <border>
      <left style="thin">
        <color rgb="FF356854"/>
      </left>
      <right style="thin">
        <color rgb="FF284E3F"/>
      </right>
      <top style="thin">
        <color rgb="FF284E3F"/>
      </top>
      <bottom style="thin">
        <color rgb="FF284E3F"/>
      </bottom>
    </border>
    <border>
      <left style="thin">
        <color rgb="FF284E3F"/>
      </left>
      <right style="thin">
        <color rgb="FFFFFFFF"/>
      </right>
      <top style="thin">
        <color rgb="FFFFFFFF"/>
      </top>
      <bottom style="thin">
        <color rgb="FFFFFFFF"/>
      </bottom>
    </border>
    <border>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top style="thin">
        <color rgb="FFF6F8F9"/>
      </top>
      <bottom style="thin">
        <color rgb="FFF6F8F9"/>
      </bottom>
    </border>
    <border>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284E3F"/>
      </left>
      <right style="thin">
        <color rgb="FFFFFFFF"/>
      </right>
      <top style="thin">
        <color rgb="FFFFFFFF"/>
      </top>
    </border>
    <border>
      <left style="thin">
        <color rgb="FFFFFFFF"/>
      </left>
      <right style="thin">
        <color rgb="FFFFFFFF"/>
      </right>
      <top style="thin">
        <color rgb="FFFFFFFF"/>
      </top>
    </border>
    <border>
      <left style="thin">
        <color rgb="FFFFFFFF"/>
      </left>
      <top style="thin">
        <color rgb="FFFFFFFF"/>
      </top>
    </border>
    <border>
      <right style="thin">
        <color rgb="FFFFFFFF"/>
      </right>
      <top style="thin">
        <color rgb="FFFFFFFF"/>
      </top>
    </border>
    <border>
      <left style="thin">
        <color rgb="FFFFFFFF"/>
      </left>
      <right style="thin">
        <color rgb="FF284E3F"/>
      </right>
      <top style="thin">
        <color rgb="FFFFFFFF"/>
      </top>
    </border>
    <border>
      <left style="thin">
        <color rgb="FFF4C7C3"/>
      </left>
      <right style="thin">
        <color rgb="FFF4C7C3"/>
      </right>
      <top style="thin">
        <color rgb="FFF4C7C3"/>
      </top>
      <bottom style="thin">
        <color rgb="FFF4C7C3"/>
      </bottom>
    </border>
    <border>
      <left style="thin">
        <color rgb="FFCDD9D4"/>
      </left>
      <right style="thin">
        <color rgb="FFCDD9D4"/>
      </right>
      <top>
        <color rgb="FF284E3F"/>
      </top>
      <bottom style="thin">
        <color rgb="FF284E3F"/>
      </bottom>
    </border>
  </borders>
  <cellStyleXfs count="1">
    <xf borderId="0" fillId="0" fontId="0" numFmtId="0" applyAlignment="1" applyFont="1"/>
  </cellStyleXfs>
  <cellXfs count="287">
    <xf borderId="0" fillId="0" fontId="0" numFmtId="0" xfId="0" applyAlignment="1" applyFont="1">
      <alignment readingOrder="0" shrinkToFit="0" vertical="bottom" wrapText="0"/>
    </xf>
    <xf borderId="0" fillId="2" fontId="1" numFmtId="0" xfId="0" applyAlignment="1" applyFill="1" applyFont="1">
      <alignment shrinkToFit="0" vertical="center" wrapText="1"/>
    </xf>
    <xf borderId="0" fillId="2" fontId="1" numFmtId="0" xfId="0" applyAlignment="1" applyFont="1">
      <alignment shrinkToFit="0" vertical="center" wrapText="1"/>
    </xf>
    <xf borderId="0" fillId="2" fontId="1" numFmtId="0" xfId="0" applyAlignment="1" applyFont="1">
      <alignment readingOrder="0" shrinkToFit="0" vertical="center" wrapText="1"/>
    </xf>
    <xf borderId="0" fillId="3" fontId="2" numFmtId="0" xfId="0" applyAlignment="1" applyFill="1" applyFont="1">
      <alignment shrinkToFit="0" vertical="center" wrapText="1"/>
    </xf>
    <xf borderId="0" fillId="3" fontId="2" numFmtId="0" xfId="0" applyAlignment="1" applyFont="1">
      <alignment horizontal="center" readingOrder="0" shrinkToFit="0" vertical="center" wrapText="1"/>
    </xf>
    <xf borderId="0" fillId="3" fontId="2" numFmtId="0" xfId="0" applyAlignment="1" applyFont="1">
      <alignment horizontal="center" shrinkToFit="0" vertical="center" wrapText="1"/>
    </xf>
    <xf borderId="0" fillId="3" fontId="3" numFmtId="0" xfId="0" applyAlignment="1" applyFont="1">
      <alignment horizontal="left" readingOrder="0" shrinkToFit="0" vertical="center" wrapText="1"/>
    </xf>
    <xf borderId="0" fillId="3" fontId="2" numFmtId="0" xfId="0" applyAlignment="1" applyFont="1">
      <alignment horizontal="left" readingOrder="0" shrinkToFit="0" vertical="center" wrapText="1"/>
    </xf>
    <xf borderId="0" fillId="4" fontId="2" numFmtId="0" xfId="0" applyAlignment="1" applyFill="1" applyFont="1">
      <alignment readingOrder="0" shrinkToFit="0" vertical="center" wrapText="1"/>
    </xf>
    <xf borderId="0" fillId="4" fontId="2" numFmtId="0" xfId="0" applyAlignment="1" applyFont="1">
      <alignment horizontal="center" readingOrder="0" shrinkToFit="0" vertical="center" wrapText="1"/>
    </xf>
    <xf borderId="0" fillId="4" fontId="3" numFmtId="0" xfId="0" applyAlignment="1" applyFont="1">
      <alignment horizontal="left" readingOrder="0" shrinkToFit="0" vertical="center" wrapText="1"/>
    </xf>
    <xf borderId="0" fillId="4" fontId="2" numFmtId="0" xfId="0" applyAlignment="1" applyFont="1">
      <alignment horizontal="left" readingOrder="0" shrinkToFit="0" vertical="center" wrapText="1"/>
    </xf>
    <xf borderId="0" fillId="3" fontId="2" numFmtId="0" xfId="0" applyAlignment="1" applyFont="1">
      <alignment readingOrder="0" shrinkToFit="0" vertical="center" wrapText="1"/>
    </xf>
    <xf borderId="0" fillId="4" fontId="3" numFmtId="0" xfId="0" applyAlignment="1" applyFont="1">
      <alignment readingOrder="0" shrinkToFit="0" vertical="center" wrapText="1"/>
    </xf>
    <xf borderId="0" fillId="5" fontId="3" numFmtId="0" xfId="0" applyAlignment="1" applyFill="1" applyFont="1">
      <alignment readingOrder="0" shrinkToFit="0" vertical="center" wrapText="1"/>
    </xf>
    <xf borderId="0" fillId="3" fontId="4" numFmtId="0" xfId="0" applyFont="1"/>
    <xf borderId="0" fillId="6" fontId="3" numFmtId="0" xfId="0" applyAlignment="1" applyFill="1" applyFont="1">
      <alignment readingOrder="0" shrinkToFit="0" vertical="center" wrapText="1"/>
    </xf>
    <xf borderId="0" fillId="7" fontId="3" numFmtId="0" xfId="0" applyAlignment="1" applyFill="1" applyFont="1">
      <alignment readingOrder="0" shrinkToFit="0" vertical="center" wrapText="1"/>
    </xf>
    <xf borderId="0" fillId="8" fontId="3" numFmtId="0" xfId="0" applyAlignment="1" applyFill="1" applyFont="1">
      <alignment readingOrder="0" shrinkToFit="0" vertical="center" wrapText="1"/>
    </xf>
    <xf borderId="0" fillId="9" fontId="3" numFmtId="0" xfId="0" applyAlignment="1" applyFill="1" applyFont="1">
      <alignment readingOrder="0" shrinkToFit="0" vertical="center" wrapText="1"/>
    </xf>
    <xf borderId="0" fillId="10" fontId="3" numFmtId="0" xfId="0" applyAlignment="1" applyFill="1" applyFont="1">
      <alignment readingOrder="0" shrinkToFit="0" vertical="center" wrapText="1"/>
    </xf>
    <xf borderId="0" fillId="11" fontId="3" numFmtId="0" xfId="0" applyAlignment="1" applyFill="1" applyFont="1">
      <alignment readingOrder="0" shrinkToFit="0" vertical="center" wrapText="1"/>
    </xf>
    <xf borderId="0" fillId="12" fontId="3" numFmtId="0" xfId="0" applyAlignment="1" applyFill="1" applyFont="1">
      <alignment readingOrder="0" shrinkToFit="0" vertical="center" wrapText="1"/>
    </xf>
    <xf borderId="0" fillId="4" fontId="2" numFmtId="0" xfId="0" applyAlignment="1" applyFont="1">
      <alignment shrinkToFit="0" vertical="center" wrapText="1"/>
    </xf>
    <xf borderId="0" fillId="4" fontId="2" numFmtId="0" xfId="0" applyAlignment="1" applyFont="1">
      <alignment horizontal="center" shrinkToFit="0" vertical="center" wrapText="1"/>
    </xf>
    <xf borderId="0" fillId="2" fontId="1" numFmtId="0" xfId="0" applyAlignment="1" applyFont="1">
      <alignment readingOrder="0" shrinkToFit="0" vertical="center" wrapText="1"/>
    </xf>
    <xf borderId="0" fillId="0" fontId="2" numFmtId="0" xfId="0" applyAlignment="1" applyFont="1">
      <alignment shrinkToFit="0" vertical="center" wrapText="1"/>
    </xf>
    <xf borderId="0" fillId="0" fontId="3" numFmtId="0" xfId="0" applyAlignment="1" applyFont="1">
      <alignment readingOrder="0" shrinkToFit="0" vertical="center" wrapText="1"/>
    </xf>
    <xf borderId="0" fillId="0" fontId="2" numFmtId="0" xfId="0" applyAlignment="1" applyFont="1">
      <alignment readingOrder="0" shrinkToFit="0" vertical="center" wrapText="1"/>
    </xf>
    <xf borderId="0" fillId="0" fontId="2" numFmtId="0" xfId="0" applyAlignment="1" applyFont="1">
      <alignment horizontal="left" readingOrder="0" shrinkToFit="0" vertical="center" wrapText="1"/>
    </xf>
    <xf borderId="0" fillId="13" fontId="3" numFmtId="0" xfId="0" applyAlignment="1" applyFill="1" applyFont="1">
      <alignment readingOrder="0" shrinkToFit="0" vertical="center" wrapText="1"/>
    </xf>
    <xf borderId="1" fillId="14" fontId="2" numFmtId="0" xfId="0" applyAlignment="1" applyBorder="1" applyFill="1" applyFont="1">
      <alignment horizontal="left" shrinkToFit="0" vertical="center" wrapText="1"/>
    </xf>
    <xf borderId="2" fillId="0" fontId="5" numFmtId="0" xfId="0" applyBorder="1" applyFont="1"/>
    <xf borderId="3" fillId="0" fontId="5" numFmtId="0" xfId="0" applyBorder="1" applyFont="1"/>
    <xf borderId="4" fillId="15" fontId="6" numFmtId="0" xfId="0" applyAlignment="1" applyBorder="1" applyFill="1" applyFont="1">
      <alignment horizontal="center" vertical="center"/>
    </xf>
    <xf borderId="4" fillId="15" fontId="6" numFmtId="0" xfId="0" applyAlignment="1" applyBorder="1" applyFont="1">
      <alignment horizontal="center" readingOrder="0" shrinkToFit="0" vertical="center" wrapText="1"/>
    </xf>
    <xf borderId="4" fillId="15" fontId="6" numFmtId="0" xfId="0" applyAlignment="1" applyBorder="1" applyFont="1">
      <alignment horizontal="center" shrinkToFit="0" vertical="center" wrapText="1"/>
    </xf>
    <xf borderId="0" fillId="0" fontId="7" numFmtId="0" xfId="0" applyAlignment="1" applyFont="1">
      <alignment horizontal="center" vertical="center"/>
    </xf>
    <xf borderId="5" fillId="16" fontId="8" numFmtId="0" xfId="0" applyAlignment="1" applyBorder="1" applyFill="1" applyFont="1">
      <alignment horizontal="center" readingOrder="0" shrinkToFit="0" vertical="center" wrapText="1"/>
    </xf>
    <xf borderId="6" fillId="0" fontId="5" numFmtId="0" xfId="0" applyBorder="1" applyFont="1"/>
    <xf borderId="7" fillId="0" fontId="5" numFmtId="0" xfId="0" applyBorder="1" applyFont="1"/>
    <xf borderId="0" fillId="0" fontId="9" numFmtId="0" xfId="0" applyAlignment="1" applyFont="1">
      <alignment vertical="center"/>
    </xf>
    <xf borderId="5" fillId="17" fontId="10" numFmtId="0" xfId="0" applyAlignment="1" applyBorder="1" applyFill="1" applyFont="1">
      <alignment horizontal="center" readingOrder="0" vertical="center"/>
    </xf>
    <xf borderId="4" fillId="0" fontId="2" numFmtId="0" xfId="0" applyAlignment="1" applyBorder="1" applyFont="1">
      <alignment horizontal="center" readingOrder="0" vertical="center"/>
    </xf>
    <xf borderId="4" fillId="0" fontId="2" numFmtId="0" xfId="0" applyAlignment="1" applyBorder="1" applyFont="1">
      <alignment readingOrder="0" vertical="center"/>
    </xf>
    <xf borderId="4" fillId="0" fontId="11" numFmtId="0" xfId="0" applyAlignment="1" applyBorder="1" applyFont="1">
      <alignment horizontal="left" readingOrder="0" shrinkToFit="0" vertical="center" wrapText="1"/>
    </xf>
    <xf borderId="4" fillId="0" fontId="2" numFmtId="0" xfId="0" applyAlignment="1" applyBorder="1" applyFont="1">
      <alignment horizontal="left" readingOrder="0" shrinkToFit="0" vertical="center" wrapText="1"/>
    </xf>
    <xf borderId="0" fillId="0" fontId="2" numFmtId="0" xfId="0" applyAlignment="1" applyFont="1">
      <alignment vertical="center"/>
    </xf>
    <xf borderId="5" fillId="17" fontId="10" numFmtId="0" xfId="0" applyAlignment="1" applyBorder="1" applyFont="1">
      <alignment horizontal="center" readingOrder="0" shrinkToFit="0" vertical="center" wrapText="1"/>
    </xf>
    <xf borderId="5" fillId="16" fontId="8" numFmtId="0" xfId="0" applyAlignment="1" applyBorder="1" applyFont="1">
      <alignment horizontal="center" shrinkToFit="0" vertical="center" wrapText="1"/>
    </xf>
    <xf borderId="5" fillId="17" fontId="10" numFmtId="0" xfId="0" applyAlignment="1" applyBorder="1" applyFont="1">
      <alignment horizontal="center" vertical="center"/>
    </xf>
    <xf borderId="4" fillId="0" fontId="2" numFmtId="0" xfId="0" applyAlignment="1" applyBorder="1" applyFont="1">
      <alignment readingOrder="0" shrinkToFit="0" vertical="center" wrapText="1"/>
    </xf>
    <xf borderId="0" fillId="0" fontId="4" numFmtId="0" xfId="0" applyAlignment="1" applyFont="1">
      <alignment readingOrder="0"/>
    </xf>
    <xf borderId="8" fillId="14" fontId="11" numFmtId="0" xfId="0" applyAlignment="1" applyBorder="1" applyFont="1">
      <alignment vertical="center"/>
    </xf>
    <xf borderId="4" fillId="0" fontId="2" numFmtId="0" xfId="0" applyAlignment="1" applyBorder="1" applyFont="1">
      <alignment shrinkToFit="0" vertical="center" wrapText="1"/>
    </xf>
    <xf borderId="0" fillId="0" fontId="2" numFmtId="0" xfId="0" applyAlignment="1" applyFont="1">
      <alignment horizontal="center" vertical="center"/>
    </xf>
    <xf borderId="0" fillId="0" fontId="3" numFmtId="0" xfId="0" applyFont="1"/>
    <xf borderId="0" fillId="0" fontId="4" numFmtId="0" xfId="0" applyFont="1"/>
    <xf borderId="0" fillId="0" fontId="2" numFmtId="0" xfId="0" applyFont="1"/>
    <xf borderId="0" fillId="0" fontId="2" numFmtId="3" xfId="0" applyFont="1" applyNumberFormat="1"/>
    <xf borderId="9" fillId="18" fontId="2" numFmtId="0" xfId="0" applyBorder="1" applyFill="1" applyFont="1"/>
    <xf borderId="10" fillId="0" fontId="4" numFmtId="0" xfId="0" applyAlignment="1" applyBorder="1" applyFont="1">
      <alignment shrinkToFit="0" wrapText="1"/>
    </xf>
    <xf borderId="10" fillId="0" fontId="4" numFmtId="0" xfId="0" applyBorder="1" applyFont="1"/>
    <xf borderId="11" fillId="0" fontId="4" numFmtId="0" xfId="0" applyBorder="1" applyFont="1"/>
    <xf borderId="12" fillId="0" fontId="4" numFmtId="0" xfId="0" applyBorder="1" applyFont="1"/>
    <xf borderId="13" fillId="0" fontId="4" numFmtId="0" xfId="0" applyBorder="1" applyFont="1"/>
    <xf borderId="14" fillId="0" fontId="4" numFmtId="0" xfId="0" applyBorder="1" applyFont="1"/>
    <xf borderId="15" fillId="0" fontId="4" numFmtId="0" xfId="0" applyBorder="1" applyFont="1"/>
    <xf borderId="0" fillId="0" fontId="4" numFmtId="0" xfId="0" applyAlignment="1" applyFont="1">
      <alignment horizontal="left" readingOrder="0" shrinkToFit="0" vertical="center" wrapText="0"/>
    </xf>
    <xf borderId="0" fillId="0" fontId="4" numFmtId="0" xfId="0" applyAlignment="1" applyFont="1">
      <alignment readingOrder="0" shrinkToFit="0" vertical="center" wrapText="0"/>
    </xf>
    <xf borderId="0" fillId="0" fontId="4" numFmtId="14" xfId="0" applyAlignment="1" applyFont="1" applyNumberFormat="1">
      <alignment readingOrder="0" shrinkToFit="0" vertical="center" wrapText="0"/>
    </xf>
    <xf borderId="0" fillId="0" fontId="2" numFmtId="22" xfId="0" applyFont="1" applyNumberFormat="1"/>
    <xf borderId="0" fillId="0" fontId="2" numFmtId="15" xfId="0" applyFont="1" applyNumberFormat="1"/>
    <xf borderId="0" fillId="0" fontId="2" numFmtId="16" xfId="0" applyFont="1" applyNumberFormat="1"/>
    <xf borderId="0" fillId="0" fontId="12" numFmtId="0" xfId="0" applyAlignment="1" applyFont="1">
      <alignment readingOrder="0" shrinkToFit="0" vertical="center" wrapText="0"/>
    </xf>
    <xf borderId="0" fillId="0" fontId="4" numFmtId="164" xfId="0" applyAlignment="1" applyFont="1" applyNumberFormat="1">
      <alignment readingOrder="0" shrinkToFit="0" vertical="center" wrapText="0"/>
    </xf>
    <xf borderId="0" fillId="0" fontId="4" numFmtId="165" xfId="0" applyAlignment="1" applyFont="1" applyNumberFormat="1">
      <alignment readingOrder="0" shrinkToFit="0" vertical="center" wrapText="0"/>
    </xf>
    <xf borderId="0" fillId="0" fontId="4" numFmtId="166" xfId="0" applyAlignment="1" applyFont="1" applyNumberFormat="1">
      <alignment readingOrder="0" shrinkToFit="0" vertical="center" wrapText="0"/>
    </xf>
    <xf borderId="0" fillId="0" fontId="4" numFmtId="167" xfId="0" applyAlignment="1" applyFont="1" applyNumberFormat="1">
      <alignment readingOrder="0" shrinkToFit="0" vertical="center" wrapText="0"/>
    </xf>
    <xf borderId="0" fillId="0" fontId="4" numFmtId="168" xfId="0" applyAlignment="1" applyFont="1" applyNumberFormat="1">
      <alignment readingOrder="0" shrinkToFit="0" vertical="center" wrapText="0"/>
    </xf>
    <xf borderId="0" fillId="0" fontId="4" numFmtId="169" xfId="0" applyAlignment="1" applyFont="1" applyNumberFormat="1">
      <alignment readingOrder="0" shrinkToFit="0" vertical="center" wrapText="0"/>
    </xf>
    <xf quotePrefix="1" borderId="0" fillId="0" fontId="4" numFmtId="0" xfId="0" applyAlignment="1" applyFont="1">
      <alignment readingOrder="0" shrinkToFit="0" vertical="center" wrapText="0"/>
    </xf>
    <xf borderId="16" fillId="2" fontId="13" numFmtId="0" xfId="0" applyAlignment="1" applyBorder="1" applyFont="1">
      <alignment horizontal="left" readingOrder="0" shrinkToFit="0" vertical="center" wrapText="0"/>
    </xf>
    <xf borderId="17" fillId="2" fontId="13" numFmtId="0" xfId="0" applyAlignment="1" applyBorder="1" applyFont="1">
      <alignment horizontal="left" readingOrder="0" shrinkToFit="0" vertical="center" wrapText="0"/>
    </xf>
    <xf borderId="0" fillId="0" fontId="4" numFmtId="49" xfId="0" applyAlignment="1" applyFont="1" applyNumberFormat="1">
      <alignment horizontal="left" readingOrder="0" shrinkToFit="0" vertical="center" wrapText="0"/>
    </xf>
    <xf borderId="18" fillId="19" fontId="14" numFmtId="0" xfId="0" applyAlignment="1" applyBorder="1" applyFill="1" applyFont="1">
      <alignment shrinkToFit="0" vertical="center" wrapText="0"/>
    </xf>
    <xf borderId="19" fillId="19" fontId="14" numFmtId="0" xfId="0" applyAlignment="1" applyBorder="1" applyFont="1">
      <alignment horizontal="right" shrinkToFit="0" vertical="center" wrapText="0"/>
    </xf>
    <xf borderId="0" fillId="0" fontId="4" numFmtId="170" xfId="0" applyAlignment="1" applyFont="1" applyNumberFormat="1">
      <alignment readingOrder="0" shrinkToFit="0" vertical="center" wrapText="0"/>
    </xf>
    <xf borderId="0" fillId="0" fontId="4" numFmtId="0" xfId="0" applyFont="1"/>
    <xf borderId="0" fillId="0" fontId="4" numFmtId="0" xfId="0" applyAlignment="1" applyFont="1">
      <alignment readingOrder="0" shrinkToFit="0" vertical="center" wrapText="0"/>
    </xf>
    <xf borderId="0" fillId="0" fontId="4" numFmtId="0" xfId="0" applyAlignment="1" applyFont="1">
      <alignment readingOrder="0" shrinkToFit="0" vertical="center" wrapText="0"/>
    </xf>
    <xf borderId="0" fillId="0" fontId="4" numFmtId="0" xfId="0" applyAlignment="1" applyFont="1">
      <alignment shrinkToFit="0" vertical="center" wrapText="0"/>
    </xf>
    <xf borderId="0" fillId="0" fontId="4" numFmtId="0" xfId="0" applyAlignment="1" applyFont="1">
      <alignment shrinkToFit="0" vertical="center" wrapText="0"/>
    </xf>
    <xf borderId="0" fillId="0" fontId="15" numFmtId="0" xfId="0" applyAlignment="1" applyFont="1">
      <alignment shrinkToFit="0" vertical="bottom" wrapText="1"/>
    </xf>
    <xf borderId="0" fillId="0" fontId="15" numFmtId="0" xfId="0" applyAlignment="1" applyFont="1">
      <alignment shrinkToFit="0" vertical="bottom" wrapText="0"/>
    </xf>
    <xf borderId="0" fillId="20" fontId="16" numFmtId="0" xfId="0" applyAlignment="1" applyFill="1" applyFont="1">
      <alignment horizontal="center" readingOrder="0" shrinkToFit="0" wrapText="0"/>
    </xf>
    <xf borderId="0" fillId="20" fontId="17" numFmtId="0" xfId="0" applyAlignment="1" applyFont="1">
      <alignment horizontal="center" vertical="bottom"/>
    </xf>
    <xf borderId="0" fillId="19" fontId="16" numFmtId="0" xfId="0" applyAlignment="1" applyFont="1">
      <alignment horizontal="center" readingOrder="0"/>
    </xf>
    <xf borderId="0" fillId="21" fontId="16" numFmtId="0" xfId="0" applyAlignment="1" applyFill="1" applyFont="1">
      <alignment horizontal="center" readingOrder="0" vertical="bottom"/>
    </xf>
    <xf borderId="0" fillId="3" fontId="16" numFmtId="0" xfId="0" applyAlignment="1" applyFont="1">
      <alignment horizontal="center" readingOrder="0" vertical="bottom"/>
    </xf>
    <xf borderId="0" fillId="19" fontId="16" numFmtId="0" xfId="0" applyAlignment="1" applyFont="1">
      <alignment horizontal="center" readingOrder="0" vertical="bottom"/>
    </xf>
    <xf borderId="0" fillId="19" fontId="18" numFmtId="0" xfId="0" applyAlignment="1" applyFont="1">
      <alignment horizontal="center" readingOrder="0" vertical="bottom"/>
    </xf>
    <xf borderId="0" fillId="21" fontId="18" numFmtId="0" xfId="0" applyAlignment="1" applyFont="1">
      <alignment horizontal="center" readingOrder="0" vertical="bottom"/>
    </xf>
    <xf borderId="0" fillId="3" fontId="18" numFmtId="0" xfId="0" applyAlignment="1" applyFont="1">
      <alignment horizontal="center" readingOrder="0" vertical="bottom"/>
    </xf>
    <xf borderId="16" fillId="2" fontId="19" numFmtId="0" xfId="0" applyAlignment="1" applyBorder="1" applyFont="1">
      <alignment horizontal="center" readingOrder="0" shrinkToFit="0" vertical="bottom" wrapText="1"/>
    </xf>
    <xf borderId="20" fillId="2" fontId="19" numFmtId="49" xfId="0" applyAlignment="1" applyBorder="1" applyFont="1" applyNumberFormat="1">
      <alignment horizontal="center" readingOrder="0" shrinkToFit="0" vertical="bottom" wrapText="0"/>
    </xf>
    <xf borderId="17" fillId="2" fontId="19" numFmtId="0" xfId="0" applyAlignment="1" applyBorder="1" applyFont="1">
      <alignment horizontal="center" readingOrder="0" shrinkToFit="0" vertical="bottom" wrapText="0"/>
    </xf>
    <xf borderId="21" fillId="2" fontId="19" numFmtId="0" xfId="0" applyAlignment="1" applyBorder="1" applyFont="1">
      <alignment horizontal="center" readingOrder="0" shrinkToFit="0" vertical="bottom" wrapText="0"/>
    </xf>
    <xf borderId="17" fillId="2" fontId="20" numFmtId="49" xfId="0" applyAlignment="1" applyBorder="1" applyFont="1" applyNumberFormat="1">
      <alignment horizontal="center" readingOrder="0" shrinkToFit="0" vertical="bottom" wrapText="0"/>
    </xf>
    <xf borderId="21" fillId="2" fontId="19" numFmtId="49" xfId="0" applyAlignment="1" applyBorder="1" applyFont="1" applyNumberFormat="1">
      <alignment horizontal="center" readingOrder="0" shrinkToFit="0" vertical="bottom" wrapText="0"/>
    </xf>
    <xf borderId="17" fillId="2" fontId="19" numFmtId="49" xfId="0" applyAlignment="1" applyBorder="1" applyFont="1" applyNumberFormat="1">
      <alignment horizontal="center" readingOrder="0" shrinkToFit="0" vertical="bottom" wrapText="0"/>
    </xf>
    <xf borderId="22" fillId="2" fontId="19" numFmtId="49" xfId="0" applyAlignment="1" applyBorder="1" applyFont="1" applyNumberFormat="1">
      <alignment horizontal="center" readingOrder="0" shrinkToFit="0" vertical="bottom" wrapText="0"/>
    </xf>
    <xf borderId="23" fillId="0" fontId="17" numFmtId="0" xfId="0" applyAlignment="1" applyBorder="1" applyFont="1">
      <alignment readingOrder="0" shrinkToFit="0" vertical="center" wrapText="1"/>
    </xf>
    <xf borderId="24" fillId="0" fontId="17" numFmtId="0" xfId="0" applyAlignment="1" applyBorder="1" applyFont="1">
      <alignment readingOrder="0" shrinkToFit="0" vertical="center" wrapText="0"/>
    </xf>
    <xf borderId="25" fillId="0" fontId="17" numFmtId="0" xfId="0" applyAlignment="1" applyBorder="1" applyFont="1">
      <alignment readingOrder="0" shrinkToFit="0" vertical="center" wrapText="0"/>
    </xf>
    <xf borderId="0" fillId="0" fontId="16" numFmtId="0" xfId="0" applyAlignment="1" applyFont="1">
      <alignment readingOrder="0" shrinkToFit="0" vertical="bottom" wrapText="0"/>
    </xf>
    <xf borderId="25" fillId="0" fontId="17" numFmtId="171" xfId="0" applyAlignment="1" applyBorder="1" applyFont="1" applyNumberFormat="1">
      <alignment readingOrder="0" shrinkToFit="0" vertical="center" wrapText="0"/>
    </xf>
    <xf borderId="26" fillId="0" fontId="17" numFmtId="0" xfId="0" applyAlignment="1" applyBorder="1" applyFont="1">
      <alignment readingOrder="0" shrinkToFit="0" vertical="center" wrapText="0"/>
    </xf>
    <xf borderId="0" fillId="0" fontId="17" numFmtId="0" xfId="0" applyAlignment="1" applyFont="1">
      <alignment readingOrder="0" shrinkToFit="0" vertical="center" wrapText="0"/>
    </xf>
    <xf borderId="19" fillId="19" fontId="21" numFmtId="1" xfId="0" applyAlignment="1" applyBorder="1" applyFont="1" applyNumberFormat="1">
      <alignment readingOrder="0" shrinkToFit="0" vertical="center" wrapText="0"/>
    </xf>
    <xf borderId="19" fillId="19" fontId="21" numFmtId="2" xfId="0" applyAlignment="1" applyBorder="1" applyFont="1" applyNumberFormat="1">
      <alignment readingOrder="0" shrinkToFit="0" vertical="center" wrapText="0"/>
    </xf>
    <xf borderId="19" fillId="19" fontId="21" numFmtId="0" xfId="0" applyAlignment="1" applyBorder="1" applyFont="1">
      <alignment shrinkToFit="0" vertical="center" wrapText="0"/>
    </xf>
    <xf borderId="19" fillId="19" fontId="21" numFmtId="2" xfId="0" applyAlignment="1" applyBorder="1" applyFont="1" applyNumberFormat="1">
      <alignment shrinkToFit="0" vertical="center" wrapText="0"/>
    </xf>
    <xf borderId="24" fillId="0" fontId="17" numFmtId="0" xfId="0" applyAlignment="1" applyBorder="1" applyFont="1">
      <alignment readingOrder="0" shrinkToFit="0" vertical="center" wrapText="1"/>
    </xf>
    <xf borderId="25" fillId="0" fontId="17" numFmtId="0" xfId="0" applyAlignment="1" applyBorder="1" applyFont="1">
      <alignment readingOrder="0" shrinkToFit="0" vertical="center" wrapText="1"/>
    </xf>
    <xf borderId="27" fillId="0" fontId="17" numFmtId="0" xfId="0" applyAlignment="1" applyBorder="1" applyFont="1">
      <alignment readingOrder="0" shrinkToFit="0" vertical="center" wrapText="1"/>
    </xf>
    <xf borderId="28" fillId="0" fontId="17" numFmtId="0" xfId="0" applyAlignment="1" applyBorder="1" applyFont="1">
      <alignment readingOrder="0" shrinkToFit="0" vertical="center" wrapText="1"/>
    </xf>
    <xf borderId="29" fillId="0" fontId="17" numFmtId="0" xfId="0" applyAlignment="1" applyBorder="1" applyFont="1">
      <alignment readingOrder="0" shrinkToFit="0" vertical="center" wrapText="0"/>
    </xf>
    <xf borderId="29" fillId="0" fontId="17" numFmtId="171" xfId="0" applyAlignment="1" applyBorder="1" applyFont="1" applyNumberFormat="1">
      <alignment readingOrder="0" shrinkToFit="0" vertical="center" wrapText="0"/>
    </xf>
    <xf borderId="30" fillId="0" fontId="17" numFmtId="0" xfId="0" applyAlignment="1" applyBorder="1" applyFont="1">
      <alignment readingOrder="0" shrinkToFit="0" vertical="center" wrapText="0"/>
    </xf>
    <xf borderId="31" fillId="0" fontId="17" numFmtId="0" xfId="0" applyAlignment="1" applyBorder="1" applyFont="1">
      <alignment readingOrder="0" shrinkToFit="0" vertical="center" wrapText="1"/>
    </xf>
    <xf borderId="29" fillId="0" fontId="17" numFmtId="0" xfId="0" applyAlignment="1" applyBorder="1" applyFont="1">
      <alignment readingOrder="0" shrinkToFit="0" vertical="center" wrapText="1"/>
    </xf>
    <xf borderId="32" fillId="0" fontId="17" numFmtId="0" xfId="0" applyAlignment="1" applyBorder="1" applyFont="1">
      <alignment readingOrder="0" shrinkToFit="0" vertical="center" wrapText="1"/>
    </xf>
    <xf borderId="23" fillId="0" fontId="16" numFmtId="0" xfId="0" applyAlignment="1" applyBorder="1" applyFont="1">
      <alignment readingOrder="0" shrinkToFit="0" vertical="bottom" wrapText="1"/>
    </xf>
    <xf borderId="25" fillId="0" fontId="16" numFmtId="0" xfId="0" applyAlignment="1" applyBorder="1" applyFont="1">
      <alignment readingOrder="0" shrinkToFit="0" vertical="bottom" wrapText="0"/>
    </xf>
    <xf borderId="0" fillId="0" fontId="16" numFmtId="0" xfId="0" applyAlignment="1" applyFont="1">
      <alignment shrinkToFit="0" vertical="bottom" wrapText="0"/>
    </xf>
    <xf borderId="25" fillId="0" fontId="16" numFmtId="171" xfId="0" applyAlignment="1" applyBorder="1" applyFont="1" applyNumberFormat="1">
      <alignment readingOrder="0" shrinkToFit="0" vertical="bottom" wrapText="0"/>
    </xf>
    <xf borderId="26" fillId="0" fontId="16" numFmtId="0" xfId="0" applyAlignment="1" applyBorder="1" applyFont="1">
      <alignment readingOrder="0" shrinkToFit="0" vertical="bottom" wrapText="0"/>
    </xf>
    <xf borderId="0" fillId="0" fontId="16" numFmtId="0" xfId="0" applyAlignment="1" applyFont="1">
      <alignment readingOrder="0" shrinkToFit="0" vertical="bottom" wrapText="0"/>
    </xf>
    <xf borderId="24" fillId="0" fontId="16" numFmtId="0" xfId="0" applyAlignment="1" applyBorder="1" applyFont="1">
      <alignment readingOrder="0" shrinkToFit="0" vertical="bottom" wrapText="1"/>
    </xf>
    <xf borderId="25" fillId="0" fontId="16" numFmtId="0" xfId="0" applyAlignment="1" applyBorder="1" applyFont="1">
      <alignment readingOrder="0" shrinkToFit="0" vertical="bottom" wrapText="1"/>
    </xf>
    <xf borderId="28" fillId="0" fontId="16" numFmtId="0" xfId="0" applyAlignment="1" applyBorder="1" applyFont="1">
      <alignment readingOrder="0" shrinkToFit="0" vertical="bottom" wrapText="1"/>
    </xf>
    <xf borderId="29" fillId="0" fontId="16" numFmtId="0" xfId="0" applyAlignment="1" applyBorder="1" applyFont="1">
      <alignment readingOrder="0" shrinkToFit="0" vertical="bottom" wrapText="0"/>
    </xf>
    <xf borderId="0" fillId="0" fontId="16" numFmtId="0" xfId="0" applyAlignment="1" applyFont="1">
      <alignment horizontal="right" readingOrder="0" shrinkToFit="0" vertical="bottom" wrapText="0"/>
    </xf>
    <xf borderId="29" fillId="0" fontId="16" numFmtId="171" xfId="0" applyAlignment="1" applyBorder="1" applyFont="1" applyNumberFormat="1">
      <alignment readingOrder="0" shrinkToFit="0" vertical="bottom" wrapText="0"/>
    </xf>
    <xf borderId="30" fillId="0" fontId="16" numFmtId="0" xfId="0" applyAlignment="1" applyBorder="1" applyFont="1">
      <alignment readingOrder="0" shrinkToFit="0" vertical="bottom" wrapText="0"/>
    </xf>
    <xf borderId="31" fillId="0" fontId="16" numFmtId="0" xfId="0" applyAlignment="1" applyBorder="1" applyFont="1">
      <alignment readingOrder="0" shrinkToFit="0" vertical="bottom" wrapText="1"/>
    </xf>
    <xf borderId="29" fillId="0" fontId="16" numFmtId="0" xfId="0" applyAlignment="1" applyBorder="1" applyFont="1">
      <alignment readingOrder="0" shrinkToFit="0" vertical="bottom" wrapText="1"/>
    </xf>
    <xf borderId="32" fillId="0" fontId="16" numFmtId="0" xfId="0" applyAlignment="1" applyBorder="1" applyFont="1">
      <alignment readingOrder="0" shrinkToFit="0" vertical="bottom" wrapText="1"/>
    </xf>
    <xf borderId="27" fillId="0" fontId="16" numFmtId="0" xfId="0" applyAlignment="1" applyBorder="1" applyFont="1">
      <alignment readingOrder="0" shrinkToFit="0" vertical="bottom" wrapText="1"/>
    </xf>
    <xf borderId="0" fillId="0" fontId="17" numFmtId="0" xfId="0" applyAlignment="1" applyFont="1">
      <alignment readingOrder="0" shrinkToFit="0" vertical="center" wrapText="0"/>
    </xf>
    <xf borderId="25" fillId="0" fontId="17" numFmtId="49" xfId="0" applyAlignment="1" applyBorder="1" applyFont="1" applyNumberFormat="1">
      <alignment readingOrder="0" shrinkToFit="0" vertical="center" wrapText="0"/>
    </xf>
    <xf borderId="28" fillId="22" fontId="21" numFmtId="0" xfId="0" applyAlignment="1" applyBorder="1" applyFill="1" applyFont="1">
      <alignment readingOrder="0" shrinkToFit="0" vertical="center" wrapText="1"/>
    </xf>
    <xf borderId="24" fillId="22" fontId="21" numFmtId="0" xfId="0" applyAlignment="1" applyBorder="1" applyFont="1">
      <alignment shrinkToFit="0" vertical="center" wrapText="0"/>
    </xf>
    <xf borderId="29" fillId="22" fontId="17" numFmtId="0" xfId="0" applyAlignment="1" applyBorder="1" applyFont="1">
      <alignment shrinkToFit="0" vertical="center" wrapText="0"/>
    </xf>
    <xf borderId="29" fillId="22" fontId="21" numFmtId="0" xfId="0" applyAlignment="1" applyBorder="1" applyFont="1">
      <alignment readingOrder="0" shrinkToFit="0" vertical="center" wrapText="0"/>
    </xf>
    <xf borderId="29" fillId="22" fontId="21" numFmtId="49" xfId="0" applyAlignment="1" applyBorder="1" applyFont="1" applyNumberFormat="1">
      <alignment readingOrder="0" shrinkToFit="0" vertical="center" wrapText="0"/>
    </xf>
    <xf borderId="0" fillId="22" fontId="17" numFmtId="0" xfId="0" applyAlignment="1" applyFont="1">
      <alignment horizontal="right" readingOrder="0" shrinkToFit="0" vertical="bottom" wrapText="0"/>
    </xf>
    <xf borderId="29" fillId="22" fontId="21" numFmtId="171" xfId="0" applyAlignment="1" applyBorder="1" applyFont="1" applyNumberFormat="1">
      <alignment horizontal="right" readingOrder="0" shrinkToFit="0" vertical="center" wrapText="0"/>
    </xf>
    <xf borderId="30" fillId="22" fontId="22" numFmtId="0" xfId="0" applyAlignment="1" applyBorder="1" applyFont="1">
      <alignment readingOrder="0" shrinkToFit="0" vertical="center" wrapText="0"/>
    </xf>
    <xf borderId="0" fillId="19" fontId="21" numFmtId="0" xfId="0" applyAlignment="1" applyFont="1">
      <alignment readingOrder="0" shrinkToFit="0" vertical="center" wrapText="0"/>
    </xf>
    <xf borderId="0" fillId="23" fontId="21" numFmtId="0" xfId="0" applyAlignment="1" applyFill="1" applyFont="1">
      <alignment readingOrder="0" shrinkToFit="0" vertical="center" wrapText="0"/>
    </xf>
    <xf borderId="0" fillId="19" fontId="17" numFmtId="0" xfId="0" applyAlignment="1" applyFont="1">
      <alignment readingOrder="0" shrinkToFit="0" vertical="bottom" wrapText="0"/>
    </xf>
    <xf borderId="31" fillId="22" fontId="17" numFmtId="0" xfId="0" applyAlignment="1" applyBorder="1" applyFont="1">
      <alignment readingOrder="0" shrinkToFit="0" vertical="center" wrapText="1"/>
    </xf>
    <xf borderId="29" fillId="22" fontId="17" numFmtId="0" xfId="0" applyAlignment="1" applyBorder="1" applyFont="1">
      <alignment readingOrder="0" shrinkToFit="0" vertical="center" wrapText="1"/>
    </xf>
    <xf borderId="32" fillId="22" fontId="17" numFmtId="0" xfId="0" applyAlignment="1" applyBorder="1" applyFont="1">
      <alignment readingOrder="0" shrinkToFit="0" vertical="center" wrapText="1"/>
    </xf>
    <xf borderId="33" fillId="0" fontId="17" numFmtId="0" xfId="0" applyAlignment="1" applyBorder="1" applyFont="1">
      <alignment readingOrder="0" shrinkToFit="0" vertical="center" wrapText="1"/>
    </xf>
    <xf borderId="34" fillId="0" fontId="17" numFmtId="0" xfId="0" applyAlignment="1" applyBorder="1" applyFont="1">
      <alignment readingOrder="0" shrinkToFit="0" vertical="center" wrapText="0"/>
    </xf>
    <xf borderId="34" fillId="0" fontId="17" numFmtId="171" xfId="0" applyAlignment="1" applyBorder="1" applyFont="1" applyNumberFormat="1">
      <alignment readingOrder="0" shrinkToFit="0" vertical="center" wrapText="0"/>
    </xf>
    <xf borderId="35" fillId="0" fontId="17" numFmtId="0" xfId="0" applyAlignment="1" applyBorder="1" applyFont="1">
      <alignment readingOrder="0" shrinkToFit="0" vertical="center" wrapText="0"/>
    </xf>
    <xf borderId="36" fillId="0" fontId="17" numFmtId="0" xfId="0" applyAlignment="1" applyBorder="1" applyFont="1">
      <alignment readingOrder="0" shrinkToFit="0" vertical="center" wrapText="1"/>
    </xf>
    <xf borderId="34" fillId="0" fontId="17" numFmtId="0" xfId="0" applyAlignment="1" applyBorder="1" applyFont="1">
      <alignment readingOrder="0" shrinkToFit="0" vertical="center" wrapText="1"/>
    </xf>
    <xf borderId="37" fillId="0" fontId="17" numFmtId="0" xfId="0" applyAlignment="1" applyBorder="1" applyFont="1">
      <alignment readingOrder="0" shrinkToFit="0" vertical="center" wrapText="1"/>
    </xf>
    <xf borderId="0" fillId="0" fontId="16" numFmtId="0" xfId="0" applyAlignment="1" applyFont="1">
      <alignment readingOrder="0" shrinkToFit="0" vertical="bottom" wrapText="1"/>
    </xf>
    <xf borderId="0" fillId="0" fontId="16" numFmtId="171" xfId="0" applyAlignment="1" applyFont="1" applyNumberFormat="1">
      <alignment readingOrder="0" shrinkToFit="0" vertical="bottom" wrapText="0"/>
    </xf>
    <xf borderId="0" fillId="0" fontId="16" numFmtId="0" xfId="0" applyAlignment="1" applyFont="1">
      <alignment readingOrder="0" shrinkToFit="0" vertical="bottom" wrapText="0"/>
    </xf>
    <xf borderId="0" fillId="0" fontId="17" numFmtId="0" xfId="0" applyAlignment="1" applyFont="1">
      <alignment readingOrder="0" shrinkToFit="0" vertical="center" wrapText="1"/>
    </xf>
    <xf borderId="0" fillId="0" fontId="17" numFmtId="171" xfId="0" applyAlignment="1" applyFont="1" applyNumberFormat="1">
      <alignment readingOrder="0" shrinkToFit="0" vertical="center" wrapText="0"/>
    </xf>
    <xf borderId="0" fillId="0" fontId="17" numFmtId="0" xfId="0" applyAlignment="1" applyFont="1">
      <alignment readingOrder="0" shrinkToFit="0" vertical="center" wrapText="0"/>
    </xf>
    <xf borderId="0" fillId="0" fontId="17" numFmtId="0" xfId="0" applyAlignment="1" applyFont="1">
      <alignment readingOrder="0" shrinkToFit="0" vertical="center" wrapText="1"/>
    </xf>
    <xf borderId="0" fillId="22" fontId="21" numFmtId="0" xfId="0" applyAlignment="1" applyFont="1">
      <alignment readingOrder="0" shrinkToFit="0" vertical="center" wrapText="1"/>
    </xf>
    <xf borderId="0" fillId="22" fontId="17" numFmtId="0" xfId="0" applyAlignment="1" applyFont="1">
      <alignment shrinkToFit="0" vertical="center" wrapText="0"/>
    </xf>
    <xf borderId="0" fillId="22" fontId="21" numFmtId="0" xfId="0" applyAlignment="1" applyFont="1">
      <alignment readingOrder="0" shrinkToFit="0" vertical="center" wrapText="0"/>
    </xf>
    <xf borderId="0" fillId="22" fontId="21" numFmtId="49" xfId="0" applyAlignment="1" applyFont="1" applyNumberFormat="1">
      <alignment readingOrder="0" shrinkToFit="0" vertical="center" wrapText="0"/>
    </xf>
    <xf borderId="0" fillId="22" fontId="21" numFmtId="171" xfId="0" applyAlignment="1" applyFont="1" applyNumberFormat="1">
      <alignment horizontal="right" readingOrder="0" shrinkToFit="0" vertical="center" wrapText="0"/>
    </xf>
    <xf borderId="0" fillId="22" fontId="22" numFmtId="0" xfId="0" applyAlignment="1" applyFont="1">
      <alignment readingOrder="0" shrinkToFit="0" vertical="center" wrapText="0"/>
    </xf>
    <xf borderId="0" fillId="19" fontId="21" numFmtId="0" xfId="0" applyAlignment="1" applyFont="1">
      <alignment shrinkToFit="0" vertical="center" wrapText="0"/>
    </xf>
    <xf borderId="0" fillId="23" fontId="21" numFmtId="0" xfId="0" applyAlignment="1" applyFont="1">
      <alignment shrinkToFit="0" vertical="center" wrapText="0"/>
    </xf>
    <xf borderId="0" fillId="19" fontId="17" numFmtId="0" xfId="0" applyAlignment="1" applyFont="1">
      <alignment shrinkToFit="0" vertical="bottom" wrapText="0"/>
    </xf>
    <xf borderId="0" fillId="22" fontId="17" numFmtId="0" xfId="0" applyAlignment="1" applyFont="1">
      <alignment readingOrder="0" shrinkToFit="0" vertical="center" wrapText="1"/>
    </xf>
    <xf borderId="0" fillId="0" fontId="16" numFmtId="0" xfId="0" applyAlignment="1" applyFont="1">
      <alignment readingOrder="0" shrinkToFit="0" vertical="bottom" wrapText="0"/>
    </xf>
    <xf borderId="0" fillId="0" fontId="16" numFmtId="1" xfId="0" applyAlignment="1" applyFont="1" applyNumberFormat="1">
      <alignment readingOrder="0" shrinkToFit="0" vertical="bottom" wrapText="0"/>
    </xf>
    <xf borderId="0" fillId="0" fontId="16" numFmtId="2" xfId="0" applyAlignment="1" applyFont="1" applyNumberFormat="1">
      <alignment readingOrder="0" shrinkToFit="0" vertical="bottom" wrapText="0"/>
    </xf>
    <xf borderId="0" fillId="0" fontId="16" numFmtId="0" xfId="0" applyAlignment="1" applyFont="1">
      <alignment readingOrder="0" shrinkToFit="0" vertical="bottom" wrapText="0"/>
    </xf>
    <xf borderId="0" fillId="0" fontId="16" numFmtId="0" xfId="0" applyAlignment="1" applyFont="1">
      <alignment shrinkToFit="0" vertical="bottom" wrapText="1"/>
    </xf>
    <xf borderId="0" fillId="0" fontId="16" numFmtId="0" xfId="0" applyAlignment="1" applyFont="1">
      <alignment shrinkToFit="0" vertical="bottom" wrapText="0"/>
    </xf>
    <xf borderId="0" fillId="0" fontId="16" numFmtId="1" xfId="0" applyAlignment="1" applyFont="1" applyNumberFormat="1">
      <alignment readingOrder="0" shrinkToFit="0" vertical="bottom" wrapText="0"/>
    </xf>
    <xf borderId="0" fillId="0" fontId="16" numFmtId="2" xfId="0" applyAlignment="1" applyFont="1" applyNumberFormat="1">
      <alignment readingOrder="0" shrinkToFit="0" vertical="bottom" wrapText="0"/>
    </xf>
    <xf borderId="0" fillId="0" fontId="17" numFmtId="1" xfId="0" applyAlignment="1" applyFont="1" applyNumberFormat="1">
      <alignment readingOrder="0" shrinkToFit="0" vertical="center" wrapText="0"/>
    </xf>
    <xf borderId="0" fillId="0" fontId="17" numFmtId="2" xfId="0" applyAlignment="1" applyFont="1" applyNumberFormat="1">
      <alignment readingOrder="0" shrinkToFit="0" vertical="center" wrapText="0"/>
    </xf>
    <xf borderId="0" fillId="0" fontId="17" numFmtId="0" xfId="0" applyAlignment="1" applyFont="1">
      <alignment shrinkToFit="0" vertical="center" wrapText="1"/>
    </xf>
    <xf borderId="28" fillId="0" fontId="17" numFmtId="0" xfId="0" applyAlignment="1" applyBorder="1" applyFont="1">
      <alignment readingOrder="0" shrinkToFit="0" vertical="center" wrapText="0"/>
    </xf>
    <xf borderId="29" fillId="0" fontId="16" numFmtId="0" xfId="0" applyAlignment="1" applyBorder="1" applyFont="1">
      <alignment readingOrder="0" shrinkToFit="0" vertical="bottom" wrapText="0"/>
    </xf>
    <xf borderId="29" fillId="0" fontId="17" numFmtId="0" xfId="0" applyAlignment="1" applyBorder="1" applyFont="1">
      <alignment readingOrder="0" shrinkToFit="0" vertical="center" wrapText="0"/>
    </xf>
    <xf borderId="19" fillId="0" fontId="17" numFmtId="0" xfId="0" applyAlignment="1" applyBorder="1" applyFont="1">
      <alignment readingOrder="0" shrinkToFit="0" vertical="center" wrapText="0"/>
    </xf>
    <xf borderId="38" fillId="0" fontId="17" numFmtId="0" xfId="0" applyAlignment="1" applyBorder="1" applyFont="1">
      <alignment readingOrder="0" shrinkToFit="0" vertical="center" wrapText="0"/>
    </xf>
    <xf borderId="19" fillId="0" fontId="16" numFmtId="0" xfId="0" applyAlignment="1" applyBorder="1" applyFont="1">
      <alignment readingOrder="0" shrinkToFit="0" vertical="bottom" wrapText="0"/>
    </xf>
    <xf borderId="29" fillId="0" fontId="17" numFmtId="0" xfId="0" applyAlignment="1" applyBorder="1" applyFont="1">
      <alignment shrinkToFit="0" vertical="center" wrapText="1"/>
    </xf>
    <xf borderId="32" fillId="0" fontId="17" numFmtId="0" xfId="0" applyAlignment="1" applyBorder="1" applyFont="1">
      <alignment shrinkToFit="0" vertical="center" wrapText="1"/>
    </xf>
    <xf borderId="0" fillId="0" fontId="17" numFmtId="0" xfId="0" applyAlignment="1" applyFont="1">
      <alignment shrinkToFit="0" vertical="center" wrapText="1"/>
    </xf>
    <xf borderId="0" fillId="0" fontId="17" numFmtId="0" xfId="0" applyAlignment="1" applyFont="1">
      <alignment shrinkToFit="0" vertical="center" wrapText="0"/>
    </xf>
    <xf borderId="0" fillId="0" fontId="17" numFmtId="0" xfId="0" applyAlignment="1" applyFont="1">
      <alignment shrinkToFit="0" vertical="center" wrapText="0"/>
    </xf>
    <xf borderId="39" fillId="24" fontId="21" numFmtId="0" xfId="0" applyAlignment="1" applyBorder="1" applyFill="1" applyFont="1">
      <alignment horizontal="right" shrinkToFit="0" vertical="center" wrapText="0"/>
    </xf>
    <xf borderId="0" fillId="0" fontId="23" numFmtId="0" xfId="0" applyAlignment="1" applyFont="1">
      <alignment horizontal="left" readingOrder="0" vertical="top"/>
    </xf>
    <xf borderId="0" fillId="0" fontId="24" numFmtId="0" xfId="0" applyAlignment="1" applyFont="1">
      <alignment readingOrder="0"/>
    </xf>
    <xf borderId="0" fillId="0" fontId="25" numFmtId="0" xfId="0" applyAlignment="1" applyFont="1">
      <alignment readingOrder="0"/>
    </xf>
    <xf borderId="0" fillId="0" fontId="23" numFmtId="0" xfId="0" applyAlignment="1" applyFont="1">
      <alignment horizontal="right" readingOrder="0" shrinkToFit="0" wrapText="0"/>
    </xf>
    <xf borderId="0" fillId="0" fontId="26" numFmtId="0" xfId="0" applyAlignment="1" applyFont="1">
      <alignment horizontal="left" readingOrder="0" vertical="top"/>
    </xf>
    <xf borderId="0" fillId="0" fontId="27" numFmtId="0" xfId="0" applyAlignment="1" applyFont="1">
      <alignment readingOrder="0"/>
    </xf>
    <xf borderId="0" fillId="0" fontId="0" numFmtId="0" xfId="0" applyAlignment="1" applyFont="1">
      <alignment horizontal="right" readingOrder="0" shrinkToFit="0" wrapText="0"/>
    </xf>
    <xf borderId="0" fillId="0" fontId="28" numFmtId="0" xfId="0" applyAlignment="1" applyFont="1">
      <alignment horizontal="left" readingOrder="0" vertical="top"/>
    </xf>
    <xf borderId="0" fillId="0" fontId="27" numFmtId="0" xfId="0" applyFont="1"/>
    <xf borderId="0" fillId="0" fontId="29" numFmtId="0" xfId="0" applyAlignment="1" applyFont="1">
      <alignment horizontal="left" readingOrder="0" vertical="top"/>
    </xf>
    <xf borderId="0" fillId="0" fontId="30" numFmtId="0" xfId="0" applyAlignment="1" applyFont="1">
      <alignment horizontal="left" readingOrder="0" vertical="top"/>
    </xf>
    <xf borderId="0" fillId="0" fontId="31" numFmtId="0" xfId="0" applyAlignment="1" applyFont="1">
      <alignment horizontal="left" readingOrder="0" vertical="top"/>
    </xf>
    <xf borderId="0" fillId="0" fontId="32" numFmtId="0" xfId="0" applyAlignment="1" applyFont="1">
      <alignment horizontal="left" readingOrder="0" vertical="top"/>
    </xf>
    <xf borderId="0" fillId="0" fontId="33" numFmtId="0" xfId="0" applyAlignment="1" applyFont="1">
      <alignment horizontal="left" readingOrder="0" vertical="top"/>
    </xf>
    <xf borderId="0" fillId="0" fontId="34" numFmtId="0" xfId="0" applyAlignment="1" applyFont="1">
      <alignment horizontal="left" readingOrder="0" vertical="top"/>
    </xf>
    <xf borderId="0" fillId="0" fontId="35" numFmtId="0" xfId="0" applyAlignment="1" applyFont="1">
      <alignment horizontal="left" readingOrder="0" vertical="top"/>
    </xf>
    <xf borderId="0" fillId="0" fontId="36" numFmtId="0" xfId="0" applyAlignment="1" applyFont="1">
      <alignment horizontal="left" readingOrder="0" vertical="top"/>
    </xf>
    <xf borderId="0" fillId="0" fontId="37" numFmtId="0" xfId="0" applyAlignment="1" applyFont="1">
      <alignment horizontal="left" readingOrder="0" vertical="top"/>
    </xf>
    <xf borderId="0" fillId="0" fontId="38" numFmtId="0" xfId="0" applyAlignment="1" applyFont="1">
      <alignment horizontal="left" readingOrder="0" vertical="top"/>
    </xf>
    <xf borderId="0" fillId="0" fontId="39" numFmtId="0" xfId="0" applyAlignment="1" applyFont="1">
      <alignment horizontal="left" readingOrder="0" vertical="top"/>
    </xf>
    <xf borderId="0" fillId="0" fontId="40" numFmtId="0" xfId="0" applyAlignment="1" applyFont="1">
      <alignment horizontal="left" readingOrder="0" vertical="top"/>
    </xf>
    <xf borderId="0" fillId="25" fontId="41" numFmtId="0" xfId="0" applyAlignment="1" applyFill="1" applyFont="1">
      <alignment readingOrder="0" vertical="center"/>
    </xf>
    <xf borderId="0" fillId="25" fontId="41" numFmtId="10" xfId="0" applyAlignment="1" applyFont="1" applyNumberFormat="1">
      <alignment readingOrder="0" vertical="center"/>
    </xf>
    <xf borderId="0" fillId="25" fontId="41" numFmtId="0" xfId="0" applyAlignment="1" applyFont="1">
      <alignment readingOrder="0" shrinkToFit="0" vertical="center" wrapText="1"/>
    </xf>
    <xf borderId="0" fillId="25" fontId="42" numFmtId="0" xfId="0" applyAlignment="1" applyFont="1">
      <alignment readingOrder="0" vertical="center"/>
    </xf>
    <xf borderId="0" fillId="13" fontId="43" numFmtId="0" xfId="0" applyAlignment="1" applyFont="1">
      <alignment readingOrder="0" shrinkToFit="0" vertical="center" wrapText="1"/>
    </xf>
    <xf borderId="0" fillId="13" fontId="24" numFmtId="0" xfId="0" applyAlignment="1" applyFont="1">
      <alignment readingOrder="0" vertical="center"/>
    </xf>
    <xf borderId="0" fillId="13" fontId="4" numFmtId="0" xfId="0" applyAlignment="1" applyFont="1">
      <alignment readingOrder="0" vertical="center"/>
    </xf>
    <xf borderId="0" fillId="13" fontId="4" numFmtId="0" xfId="0" applyAlignment="1" applyFont="1">
      <alignment shrinkToFit="0" vertical="center" wrapText="1"/>
    </xf>
    <xf borderId="0" fillId="13" fontId="4" numFmtId="0" xfId="0" applyAlignment="1" applyFont="1">
      <alignment vertical="center"/>
    </xf>
    <xf borderId="0" fillId="13" fontId="4" numFmtId="10" xfId="0" applyAlignment="1" applyFont="1" applyNumberFormat="1">
      <alignment readingOrder="0" vertical="center"/>
    </xf>
    <xf borderId="0" fillId="13" fontId="4" numFmtId="0" xfId="0" applyAlignment="1" applyFont="1">
      <alignment readingOrder="0" shrinkToFit="0" vertical="center" wrapText="1"/>
    </xf>
    <xf borderId="0" fillId="13" fontId="44" numFmtId="0" xfId="0" applyAlignment="1" applyFont="1">
      <alignment readingOrder="0" shrinkToFit="0" vertical="center" wrapText="1"/>
    </xf>
    <xf borderId="0" fillId="13" fontId="24" numFmtId="0" xfId="0" applyFont="1"/>
    <xf borderId="0" fillId="13" fontId="4" numFmtId="0" xfId="0" applyFont="1"/>
    <xf borderId="0" fillId="13" fontId="24" numFmtId="0" xfId="0" applyAlignment="1" applyFont="1">
      <alignment readingOrder="0"/>
    </xf>
    <xf borderId="0" fillId="13" fontId="45" numFmtId="0" xfId="0" applyAlignment="1" applyFont="1">
      <alignment readingOrder="0" shrinkToFit="0" vertical="center" wrapText="0"/>
    </xf>
    <xf borderId="0" fillId="13" fontId="45" numFmtId="0" xfId="0" applyAlignment="1" applyFont="1">
      <alignment vertical="center"/>
    </xf>
    <xf borderId="0" fillId="13" fontId="45" numFmtId="0" xfId="0" applyAlignment="1" applyFont="1">
      <alignment shrinkToFit="0" vertical="center" wrapText="1"/>
    </xf>
    <xf borderId="0" fillId="13" fontId="45" numFmtId="0" xfId="0" applyFont="1"/>
    <xf borderId="0" fillId="13" fontId="45" numFmtId="10" xfId="0" applyAlignment="1" applyFont="1" applyNumberFormat="1">
      <alignment readingOrder="0" vertical="center"/>
    </xf>
    <xf borderId="0" fillId="13" fontId="44" numFmtId="0" xfId="0" applyAlignment="1" applyFont="1">
      <alignment horizontal="left" readingOrder="0" shrinkToFit="0" vertical="center" wrapText="1"/>
    </xf>
    <xf borderId="0" fillId="13" fontId="45" numFmtId="0" xfId="0" applyAlignment="1" applyFont="1">
      <alignment readingOrder="0"/>
    </xf>
    <xf borderId="0" fillId="13" fontId="45" numFmtId="0" xfId="0" applyAlignment="1" applyFont="1">
      <alignment readingOrder="0" vertical="center"/>
    </xf>
    <xf borderId="0" fillId="0" fontId="24" numFmtId="0" xfId="0" applyAlignment="1" applyFont="1">
      <alignment readingOrder="0" vertical="center"/>
    </xf>
    <xf borderId="0" fillId="0" fontId="4" numFmtId="0" xfId="0" applyAlignment="1" applyFont="1">
      <alignment vertical="center"/>
    </xf>
    <xf borderId="0" fillId="0" fontId="4" numFmtId="0" xfId="0" applyAlignment="1" applyFont="1">
      <alignment shrinkToFit="0" vertical="center" wrapText="1"/>
    </xf>
    <xf borderId="0" fillId="0" fontId="4" numFmtId="0" xfId="0" applyAlignment="1" applyFont="1">
      <alignment readingOrder="0" shrinkToFit="0" vertical="center" wrapText="1"/>
    </xf>
    <xf borderId="0" fillId="0" fontId="44" numFmtId="0" xfId="0" applyAlignment="1" applyFont="1">
      <alignment readingOrder="0" shrinkToFit="0" vertical="center" wrapText="1"/>
    </xf>
    <xf borderId="0" fillId="0" fontId="24" numFmtId="0" xfId="0" applyAlignment="1" applyFont="1">
      <alignment readingOrder="0" shrinkToFit="0" vertical="center" wrapText="1"/>
    </xf>
    <xf borderId="0" fillId="0" fontId="4" numFmtId="0" xfId="0" applyAlignment="1" applyFont="1">
      <alignment readingOrder="0" vertical="center"/>
    </xf>
    <xf borderId="0" fillId="13" fontId="4" numFmtId="0" xfId="0" applyAlignment="1" applyFont="1">
      <alignment readingOrder="0"/>
    </xf>
    <xf borderId="4" fillId="0" fontId="46" numFmtId="0" xfId="0" applyAlignment="1" applyBorder="1" applyFont="1">
      <alignment vertical="center"/>
    </xf>
    <xf borderId="4" fillId="0" fontId="46" numFmtId="0" xfId="0" applyAlignment="1" applyBorder="1" applyFont="1">
      <alignment shrinkToFit="0" vertical="center" wrapText="1"/>
    </xf>
    <xf borderId="5" fillId="17" fontId="47" numFmtId="0" xfId="0" applyAlignment="1" applyBorder="1" applyFont="1">
      <alignment horizontal="center" vertical="center"/>
    </xf>
    <xf borderId="0" fillId="0" fontId="46" numFmtId="0" xfId="0" applyAlignment="1" applyFont="1">
      <alignment vertical="center"/>
    </xf>
    <xf borderId="8" fillId="26" fontId="2" numFmtId="0" xfId="0" applyAlignment="1" applyBorder="1" applyFill="1" applyFont="1">
      <alignment horizontal="center" shrinkToFit="0" vertical="center" wrapText="1"/>
    </xf>
    <xf borderId="8" fillId="26" fontId="48" numFmtId="0" xfId="0" applyAlignment="1" applyBorder="1" applyFont="1">
      <alignment horizontal="center" shrinkToFit="0" vertical="center" wrapText="1"/>
    </xf>
    <xf borderId="8" fillId="26" fontId="2" numFmtId="0" xfId="0" applyAlignment="1" applyBorder="1" applyFont="1">
      <alignment shrinkToFit="0" vertical="center" wrapText="1"/>
    </xf>
    <xf borderId="8" fillId="14" fontId="2" numFmtId="0" xfId="0" applyAlignment="1" applyBorder="1" applyFont="1">
      <alignment horizontal="center" shrinkToFit="0" vertical="center" wrapText="1"/>
    </xf>
    <xf borderId="0" fillId="0" fontId="11" numFmtId="0" xfId="0" applyAlignment="1" applyFont="1">
      <alignment vertical="center"/>
    </xf>
    <xf borderId="0" fillId="0" fontId="2" numFmtId="0" xfId="0" applyAlignment="1" applyFont="1">
      <alignment vertical="center"/>
    </xf>
    <xf borderId="0" fillId="0" fontId="2" numFmtId="0" xfId="0" applyAlignment="1" applyFont="1">
      <alignment shrinkToFit="0" vertical="center" wrapText="1"/>
    </xf>
    <xf borderId="0" fillId="0" fontId="2" numFmtId="0" xfId="0" applyAlignment="1" applyFont="1">
      <alignment horizontal="center" vertical="center"/>
    </xf>
    <xf borderId="0" fillId="0" fontId="49" numFmtId="0" xfId="0" applyAlignment="1" applyFont="1">
      <alignment horizontal="center" vertical="center"/>
    </xf>
    <xf borderId="0" fillId="0" fontId="49" numFmtId="0" xfId="0" applyAlignment="1" applyFont="1">
      <alignment shrinkToFit="0" vertical="center" wrapText="1"/>
    </xf>
    <xf borderId="0" fillId="0" fontId="50" numFmtId="0" xfId="0" applyAlignment="1" applyFont="1">
      <alignment horizontal="center" vertical="center"/>
    </xf>
    <xf borderId="0" fillId="0" fontId="50" numFmtId="0" xfId="0" applyAlignment="1" applyFont="1">
      <alignment shrinkToFit="0" vertical="center" wrapText="1"/>
    </xf>
    <xf borderId="0" fillId="0" fontId="51" numFmtId="0" xfId="0" applyAlignment="1" applyFont="1">
      <alignment horizontal="center" vertical="center"/>
    </xf>
    <xf borderId="0" fillId="0" fontId="11" numFmtId="0" xfId="0" applyAlignment="1" applyFont="1">
      <alignment horizontal="center" vertical="center"/>
    </xf>
    <xf borderId="0" fillId="0" fontId="11" numFmtId="0" xfId="0" applyAlignment="1" applyFont="1">
      <alignment shrinkToFit="0" vertical="center" wrapText="1"/>
    </xf>
    <xf borderId="0" fillId="0" fontId="52" numFmtId="0" xfId="0" applyAlignment="1" applyFont="1">
      <alignment shrinkToFit="0" vertical="center" wrapText="1"/>
    </xf>
    <xf borderId="0" fillId="0" fontId="2" numFmtId="0" xfId="0" applyAlignment="1" applyFont="1">
      <alignment horizontal="center" shrinkToFit="0" vertical="center" wrapText="1"/>
    </xf>
  </cellXfs>
  <cellStyles count="1">
    <cellStyle xfId="0" name="Normal" builtinId="0"/>
  </cellStyles>
  <dxfs count="13">
    <dxf>
      <font/>
      <fill>
        <patternFill patternType="none"/>
      </fill>
      <border/>
    </dxf>
    <dxf>
      <font/>
      <fill>
        <patternFill patternType="solid">
          <fgColor rgb="FFB4C6E7"/>
          <bgColor rgb="FFB4C6E7"/>
        </patternFill>
      </fill>
      <border/>
    </dxf>
    <dxf>
      <font/>
      <fill>
        <patternFill patternType="solid">
          <fgColor rgb="FFFBE4D5"/>
          <bgColor rgb="FFFBE4D5"/>
        </patternFill>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B7E1CD"/>
          <bgColor rgb="FFB7E1CD"/>
        </patternFill>
      </fill>
      <border/>
    </dxf>
    <dxf>
      <font/>
      <fill>
        <patternFill patternType="solid">
          <fgColor rgb="FFF4C7C3"/>
          <bgColor rgb="FFF4C7C3"/>
        </patternFill>
      </fill>
      <border/>
    </dxf>
    <dxf>
      <font/>
      <fill>
        <patternFill patternType="solid">
          <fgColor rgb="FFCDD9D4"/>
          <bgColor rgb="FFCDD9D4"/>
        </patternFill>
      </fill>
      <border/>
    </dxf>
    <dxf>
      <font/>
      <fill>
        <patternFill patternType="solid">
          <fgColor theme="4"/>
          <bgColor theme="4"/>
        </patternFill>
      </fill>
      <border/>
    </dxf>
    <dxf>
      <font/>
      <fill>
        <patternFill patternType="solid">
          <fgColor rgb="FFD9E2F3"/>
          <bgColor rgb="FFD9E2F3"/>
        </patternFill>
      </fill>
      <border/>
    </dxf>
    <dxf>
      <font>
        <color rgb="FF9C0006"/>
      </font>
      <fill>
        <patternFill patternType="solid">
          <fgColor rgb="FFFFC7CE"/>
          <bgColor rgb="FFFFC7CE"/>
        </patternFill>
      </fill>
      <border/>
    </dxf>
  </dxfs>
  <tableStyles count="9">
    <tableStyle count="2" pivot="0" name="Snowball Process-style">
      <tableStyleElement dxfId="1" type="firstRowStripe"/>
      <tableStyleElement dxfId="2" type="secondRowStripe"/>
    </tableStyle>
    <tableStyle count="4" pivot="0" name="ASReview Results Overview-style">
      <tableStyleElement dxfId="3" type="headerRow"/>
      <tableStyleElement dxfId="4" type="firstRowStripe"/>
      <tableStyleElement dxfId="5" type="secondRowStripe"/>
      <tableStyleElement dxfId="6" size="0" type="wholeTable"/>
    </tableStyle>
    <tableStyle count="4" pivot="0" name="ASReview Results Overview-style 2">
      <tableStyleElement dxfId="3" type="headerRow"/>
      <tableStyleElement dxfId="4" type="firstRowStripe"/>
      <tableStyleElement dxfId="5" type="secondRowStripe"/>
      <tableStyleElement dxfId="6" size="0" type="wholeTable"/>
    </tableStyle>
    <tableStyle count="4" pivot="0" name="Preliminary Screening Dataset-style">
      <tableStyleElement dxfId="3" type="headerRow"/>
      <tableStyleElement dxfId="4" type="firstRowStripe"/>
      <tableStyleElement dxfId="5" type="secondRowStripe"/>
      <tableStyleElement dxfId="6" size="0" type="wholeTable"/>
    </tableStyle>
    <tableStyle count="4" pivot="0" name="Primary Screening Dataset-style">
      <tableStyleElement dxfId="3" type="headerRow"/>
      <tableStyleElement dxfId="4" type="firstRowStripe"/>
      <tableStyleElement dxfId="5" type="secondRowStripe"/>
      <tableStyleElement dxfId="6" size="0" type="wholeTable"/>
    </tableStyle>
    <tableStyle count="4" pivot="0" name="Secondary Screening Dataset-style">
      <tableStyleElement dxfId="3" type="headerRow"/>
      <tableStyleElement dxfId="4" type="firstRowStripe"/>
      <tableStyleElement dxfId="5" type="secondRowStripe"/>
      <tableStyleElement dxfId="6" size="0" type="wholeTable"/>
    </tableStyle>
    <tableStyle count="5" pivot="0" name="Final Screening-style">
      <tableStyleElement dxfId="3" type="headerRow"/>
      <tableStyleElement dxfId="4" type="firstRowStripe"/>
      <tableStyleElement dxfId="5" type="secondRowStripe"/>
      <tableStyleElement dxfId="9" type="totalRow"/>
      <tableStyleElement dxfId="6" size="0" type="wholeTable"/>
    </tableStyle>
    <tableStyle count="4" pivot="0" name="Snowball Prelim, Primary + Seco-style">
      <tableStyleElement dxfId="3" type="headerRow"/>
      <tableStyleElement dxfId="4" type="firstRowStripe"/>
      <tableStyleElement dxfId="5" type="secondRowStripe"/>
      <tableStyleElement dxfId="6" size="0" type="wholeTable"/>
    </tableStyle>
    <tableStyle count="3" pivot="0" name="final draft-style">
      <tableStyleElement dxfId="10" type="headerRow"/>
      <tableStyleElement dxfId="11" type="firstRowStripe"/>
      <tableStyleElement dxfId="1" type="secondRowStripe"/>
    </tableStyle>
  </tableStyle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8" Type="http://customschemas.google.com/relationships/workbookmetadata" Target="metadata"/><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dPt>
            <c:idx val="0"/>
            <c:spPr>
              <a:solidFill>
                <a:srgbClr val="4472C4"/>
              </a:solidFill>
            </c:spPr>
          </c:dPt>
          <c:dPt>
            <c:idx val="1"/>
            <c:spPr>
              <a:solidFill>
                <a:srgbClr val="ED7D31"/>
              </a:solidFill>
            </c:spPr>
          </c:dPt>
          <c:dPt>
            <c:idx val="2"/>
            <c:spPr>
              <a:solidFill>
                <a:srgbClr val="A5A5A5"/>
              </a:solidFill>
            </c:spPr>
          </c:dPt>
          <c:dPt>
            <c:idx val="3"/>
            <c:spPr>
              <a:solidFill>
                <a:srgbClr val="FFC000"/>
              </a:solidFill>
            </c:spPr>
          </c:dPt>
          <c:dPt>
            <c:idx val="4"/>
            <c:spPr>
              <a:solidFill>
                <a:srgbClr val="5B9BD5"/>
              </a:solidFill>
            </c:spPr>
          </c:dPt>
          <c:dLbls>
            <c:showLegendKey val="0"/>
            <c:showVal val="0"/>
            <c:showCatName val="0"/>
            <c:showSerName val="0"/>
            <c:showPercent val="0"/>
            <c:showBubbleSize val="0"/>
            <c:showLeaderLines val="1"/>
          </c:dLbls>
          <c:cat>
            <c:strRef>
              <c:f>'Raw Results'!$E$3:$E$7</c:f>
            </c:strRef>
          </c:cat>
          <c:val>
            <c:numRef>
              <c:f>'Raw Results'!$F$3:$F$7</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dPt>
            <c:idx val="0"/>
            <c:spPr>
              <a:solidFill>
                <a:srgbClr val="4472C4"/>
              </a:solidFill>
            </c:spPr>
          </c:dPt>
          <c:dPt>
            <c:idx val="1"/>
            <c:spPr>
              <a:solidFill>
                <a:srgbClr val="ED7D31"/>
              </a:solidFill>
            </c:spPr>
          </c:dPt>
          <c:dPt>
            <c:idx val="2"/>
            <c:spPr>
              <a:solidFill>
                <a:srgbClr val="A5A5A5"/>
              </a:solidFill>
            </c:spPr>
          </c:dPt>
          <c:dPt>
            <c:idx val="3"/>
            <c:spPr>
              <a:solidFill>
                <a:srgbClr val="FFC000"/>
              </a:solidFill>
            </c:spPr>
          </c:dPt>
          <c:dPt>
            <c:idx val="4"/>
            <c:spPr>
              <a:solidFill>
                <a:srgbClr val="5B9BD5"/>
              </a:solidFill>
            </c:spPr>
          </c:dPt>
          <c:dPt>
            <c:idx val="5"/>
            <c:spPr>
              <a:solidFill>
                <a:srgbClr val="70AD47"/>
              </a:solidFill>
            </c:spPr>
          </c:dPt>
          <c:dLbls>
            <c:showLegendKey val="0"/>
            <c:showVal val="0"/>
            <c:showCatName val="0"/>
            <c:showSerName val="0"/>
            <c:showPercent val="0"/>
            <c:showBubbleSize val="0"/>
            <c:showLeaderLines val="1"/>
          </c:dLbls>
          <c:cat>
            <c:strRef>
              <c:f>'Raw Results'!$E$10:$E$15</c:f>
            </c:strRef>
          </c:cat>
          <c:val>
            <c:numRef>
              <c:f>'Raw Results'!$F$10:$F$15</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dPt>
            <c:idx val="0"/>
            <c:spPr>
              <a:solidFill>
                <a:srgbClr val="4472C4"/>
              </a:solidFill>
            </c:spPr>
          </c:dPt>
          <c:dPt>
            <c:idx val="1"/>
            <c:spPr>
              <a:solidFill>
                <a:srgbClr val="ED7D31"/>
              </a:solidFill>
            </c:spPr>
          </c:dPt>
          <c:dPt>
            <c:idx val="2"/>
            <c:spPr>
              <a:solidFill>
                <a:srgbClr val="A5A5A5"/>
              </a:solidFill>
            </c:spPr>
          </c:dPt>
          <c:dPt>
            <c:idx val="3"/>
            <c:spPr>
              <a:solidFill>
                <a:srgbClr val="FFC000"/>
              </a:solidFill>
            </c:spPr>
          </c:dPt>
          <c:dPt>
            <c:idx val="4"/>
            <c:spPr>
              <a:solidFill>
                <a:srgbClr val="5B9BD5"/>
              </a:solidFill>
            </c:spPr>
          </c:dPt>
          <c:dPt>
            <c:idx val="5"/>
            <c:spPr>
              <a:solidFill>
                <a:srgbClr val="70AD47"/>
              </a:solidFill>
            </c:spPr>
          </c:dPt>
          <c:dPt>
            <c:idx val="6"/>
            <c:spPr>
              <a:solidFill>
                <a:srgbClr val="7C9CD6"/>
              </a:solidFill>
            </c:spPr>
          </c:dPt>
          <c:dPt>
            <c:idx val="7"/>
            <c:spPr>
              <a:solidFill>
                <a:srgbClr val="F2A46F"/>
              </a:solidFill>
            </c:spPr>
          </c:dPt>
          <c:dPt>
            <c:idx val="8"/>
            <c:spPr>
              <a:solidFill>
                <a:srgbClr val="C0C0C0"/>
              </a:solidFill>
            </c:spPr>
          </c:dPt>
          <c:dPt>
            <c:idx val="9"/>
            <c:spPr>
              <a:solidFill>
                <a:srgbClr val="FFD34D"/>
              </a:solidFill>
            </c:spPr>
          </c:dPt>
          <c:dPt>
            <c:idx val="10"/>
            <c:spPr>
              <a:solidFill>
                <a:srgbClr val="8CB9E2"/>
              </a:solidFill>
            </c:spPr>
          </c:dPt>
          <c:dPt>
            <c:idx val="11"/>
            <c:spPr>
              <a:solidFill>
                <a:srgbClr val="9BC67E"/>
              </a:solidFill>
            </c:spPr>
          </c:dPt>
          <c:dLbls>
            <c:showLegendKey val="0"/>
            <c:showVal val="0"/>
            <c:showCatName val="0"/>
            <c:showSerName val="0"/>
            <c:showPercent val="0"/>
            <c:showBubbleSize val="0"/>
            <c:showLeaderLines val="1"/>
          </c:dLbls>
          <c:cat>
            <c:strRef>
              <c:f>'Raw Results'!$E$18:$E$29</c:f>
            </c:strRef>
          </c:cat>
          <c:val>
            <c:numRef>
              <c:f>'Raw Results'!$F$18:$F$29</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bar"/>
        <c:ser>
          <c:idx val="0"/>
          <c:order val="0"/>
          <c:spPr>
            <a:solidFill>
              <a:schemeClr val="accent1"/>
            </a:solidFill>
            <a:ln cmpd="sng">
              <a:solidFill>
                <a:srgbClr val="000000"/>
              </a:solidFill>
            </a:ln>
          </c:spPr>
          <c:cat>
            <c:strRef>
              <c:f>'Raw Results'!$E$33:$E$49</c:f>
            </c:strRef>
          </c:cat>
          <c:val>
            <c:numRef>
              <c:f>'Raw Results'!$F$33:$F$49</c:f>
              <c:numCache/>
            </c:numRef>
          </c:val>
        </c:ser>
        <c:axId val="294331750"/>
        <c:axId val="891570383"/>
      </c:barChart>
      <c:catAx>
        <c:axId val="294331750"/>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891570383"/>
      </c:catAx>
      <c:valAx>
        <c:axId val="891570383"/>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94331750"/>
        <c:crosses val="max"/>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dPt>
            <c:idx val="0"/>
            <c:spPr>
              <a:solidFill>
                <a:srgbClr val="4472C4"/>
              </a:solidFill>
            </c:spPr>
          </c:dPt>
          <c:dPt>
            <c:idx val="1"/>
            <c:spPr>
              <a:solidFill>
                <a:srgbClr val="ED7D31"/>
              </a:solidFill>
            </c:spPr>
          </c:dPt>
          <c:dPt>
            <c:idx val="2"/>
            <c:spPr>
              <a:solidFill>
                <a:srgbClr val="A5A5A5"/>
              </a:solidFill>
            </c:spPr>
          </c:dPt>
          <c:dPt>
            <c:idx val="3"/>
            <c:spPr>
              <a:solidFill>
                <a:srgbClr val="FFC000"/>
              </a:solidFill>
            </c:spPr>
          </c:dPt>
          <c:dPt>
            <c:idx val="4"/>
            <c:spPr>
              <a:solidFill>
                <a:srgbClr val="5B9BD5"/>
              </a:solidFill>
            </c:spPr>
          </c:dPt>
          <c:dPt>
            <c:idx val="5"/>
            <c:spPr>
              <a:solidFill>
                <a:srgbClr val="70AD47"/>
              </a:solidFill>
            </c:spPr>
          </c:dPt>
          <c:dPt>
            <c:idx val="6"/>
            <c:spPr>
              <a:solidFill>
                <a:srgbClr val="7C9CD6"/>
              </a:solidFill>
            </c:spPr>
          </c:dPt>
          <c:dPt>
            <c:idx val="7"/>
            <c:spPr>
              <a:solidFill>
                <a:srgbClr val="F2A46F"/>
              </a:solidFill>
            </c:spPr>
          </c:dPt>
          <c:dPt>
            <c:idx val="8"/>
            <c:spPr>
              <a:solidFill>
                <a:srgbClr val="C0C0C0"/>
              </a:solidFill>
            </c:spPr>
          </c:dPt>
          <c:dPt>
            <c:idx val="9"/>
            <c:spPr>
              <a:solidFill>
                <a:srgbClr val="FFD34D"/>
              </a:solidFill>
            </c:spPr>
          </c:dPt>
          <c:dPt>
            <c:idx val="10"/>
            <c:spPr>
              <a:solidFill>
                <a:srgbClr val="8CB9E2"/>
              </a:solidFill>
            </c:spPr>
          </c:dPt>
          <c:dLbls>
            <c:showLegendKey val="0"/>
            <c:showVal val="0"/>
            <c:showCatName val="0"/>
            <c:showSerName val="0"/>
            <c:showPercent val="0"/>
            <c:showBubbleSize val="0"/>
            <c:showLeaderLines val="1"/>
          </c:dLbls>
          <c:cat>
            <c:strRef>
              <c:f>'Raw Results'!$E$52:$E$62</c:f>
            </c:strRef>
          </c:cat>
          <c:val>
            <c:numRef>
              <c:f>'Raw Results'!$F$52:$F$62</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drawings/_rels/drawing1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819150</xdr:colOff>
      <xdr:row>1</xdr:row>
      <xdr:rowOff>0</xdr:rowOff>
    </xdr:from>
    <xdr:ext cx="4581525" cy="2828925"/>
    <xdr:graphicFrame>
      <xdr:nvGraphicFramePr>
        <xdr:cNvPr id="1392877155"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7</xdr:col>
      <xdr:colOff>66675</xdr:colOff>
      <xdr:row>9</xdr:row>
      <xdr:rowOff>171450</xdr:rowOff>
    </xdr:from>
    <xdr:ext cx="5715000" cy="3533775"/>
    <xdr:graphicFrame>
      <xdr:nvGraphicFramePr>
        <xdr:cNvPr id="1398445120"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7</xdr:col>
      <xdr:colOff>66675</xdr:colOff>
      <xdr:row>19</xdr:row>
      <xdr:rowOff>276225</xdr:rowOff>
    </xdr:from>
    <xdr:ext cx="5715000" cy="3533775"/>
    <xdr:graphicFrame>
      <xdr:nvGraphicFramePr>
        <xdr:cNvPr id="413541427"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6</xdr:col>
      <xdr:colOff>123825</xdr:colOff>
      <xdr:row>34</xdr:row>
      <xdr:rowOff>209550</xdr:rowOff>
    </xdr:from>
    <xdr:ext cx="5715000" cy="3533775"/>
    <xdr:graphicFrame>
      <xdr:nvGraphicFramePr>
        <xdr:cNvPr id="1506272549"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6</xdr:col>
      <xdr:colOff>219075</xdr:colOff>
      <xdr:row>51</xdr:row>
      <xdr:rowOff>104775</xdr:rowOff>
    </xdr:from>
    <xdr:ext cx="5715000" cy="3533775"/>
    <xdr:graphicFrame>
      <xdr:nvGraphicFramePr>
        <xdr:cNvPr id="19581802"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L13:L20" displayName="Table_1" name="Table_1" id="1">
  <tableColumns count="1">
    <tableColumn name="Column1" id="1"/>
  </tableColumns>
  <tableStyleInfo name="Snowball Process-style" showColumnStripes="0" showFirstColumn="1" showLastColumn="1" showRowStripes="1"/>
</table>
</file>

<file path=xl/tables/table2.xml><?xml version="1.0" encoding="utf-8"?>
<table xmlns="http://schemas.openxmlformats.org/spreadsheetml/2006/main" ref="A1:E6" displayName="Primary_Review_Rounds" name="Primary_Review_Rounds" id="2">
  <tableColumns count="5">
    <tableColumn name="Round #" id="1"/>
    <tableColumn name="Date" id="2"/>
    <tableColumn name="# Relevant" id="3"/>
    <tableColumn name="# Labeled" id="4"/>
    <tableColumn name="Notes" id="5"/>
  </tableColumns>
  <tableStyleInfo name="ASReview Results Overview-style" showColumnStripes="0" showFirstColumn="1" showLastColumn="1" showRowStripes="1"/>
</table>
</file>

<file path=xl/tables/table3.xml><?xml version="1.0" encoding="utf-8"?>
<table xmlns="http://schemas.openxmlformats.org/spreadsheetml/2006/main" ref="A9:E11" displayName="Snowball_Rounds" name="Snowball_Rounds" id="3">
  <tableColumns count="5">
    <tableColumn name="Round #" id="1"/>
    <tableColumn name="Date" id="2"/>
    <tableColumn name="# Relevant" id="3"/>
    <tableColumn name="# Labeled" id="4"/>
    <tableColumn name="Notes" id="5"/>
  </tableColumns>
  <tableStyleInfo name="ASReview Results Overview-style 2" showColumnStripes="0" showFirstColumn="1" showLastColumn="1" showRowStripes="1"/>
</table>
</file>

<file path=xl/tables/table4.xml><?xml version="1.0" encoding="utf-8"?>
<table xmlns="http://schemas.openxmlformats.org/spreadsheetml/2006/main" ref="A1:AZ3147" displayName="Preliminary_Screening_Dataset" name="Preliminary_Screening_Dataset" id="4">
  <tableColumns count="52">
    <tableColumn name="Decision" id="1"/>
    <tableColumn name="Sum" id="2"/>
    <tableColumn name="round_5" id="3"/>
    <tableColumn name="round_4" id="4"/>
    <tableColumn name="round_3" id="5"/>
    <tableColumn name="round_2" id="6"/>
    <tableColumn name="round_1" id="7"/>
    <tableColumn name="DOI" id="8"/>
    <tableColumn name="record_id" id="9"/>
    <tableColumn name="Author" id="10"/>
    <tableColumn name="Title" id="11"/>
    <tableColumn name="Publication Title" id="12"/>
    <tableColumn name="ISBN" id="13"/>
    <tableColumn name="ISSN" id="14"/>
    <tableColumn name="Url" id="15"/>
    <tableColumn name="Date" id="16"/>
    <tableColumn name="Series" id="17"/>
    <tableColumn name="Series Number" id="18"/>
    <tableColumn name="Series Text" id="19"/>
    <tableColumn name="Series Title" id="20"/>
    <tableColumn name="Publisher" id="21"/>
    <tableColumn name="Place" id="22"/>
    <tableColumn name="Abstract" id="23"/>
    <tableColumn name="ISBNs" id="24"/>
    <tableColumn name="Funding Information" id="25"/>
    <tableColumn name="PDF Link" id="26"/>
    <tableColumn name="Author Keywords" id="27"/>
    <tableColumn name="Mesh_Terms" id="28"/>
    <tableColumn name="Article Citation Count" id="29"/>
    <tableColumn name="Patent Citation Count" id="30"/>
    <tableColumn name="Reference Count" id="31"/>
    <tableColumn name="License" id="32"/>
    <tableColumn name="Issue Date" id="33"/>
    <tableColumn name="Meeting Date" id="34"/>
    <tableColumn name="Author full names" id="35"/>
    <tableColumn name="Author(s) ID" id="36"/>
    <tableColumn name="Year" id="37"/>
    <tableColumn name="Source title" id="38"/>
    <tableColumn name="Art. No." id="39"/>
    <tableColumn name="Page start" id="40"/>
    <tableColumn name="Page end" id="41"/>
    <tableColumn name="Page count" id="42"/>
    <tableColumn name="Cited by" id="43"/>
    <tableColumn name="Link" id="44"/>
    <tableColumn name="Publication Stage" id="45"/>
    <tableColumn name="Open Access" id="46"/>
    <tableColumn name="Source" id="47"/>
    <tableColumn name="EID" id="48"/>
    <tableColumn name="Keywords" id="49"/>
    <tableColumn name="asreview_prior" id="50"/>
    <tableColumn name="exported_notes_1" id="51"/>
    <tableColumn name="asreview_ranking" id="52"/>
  </tableColumns>
  <tableStyleInfo name="Preliminary Screening Dataset-style" showColumnStripes="0" showFirstColumn="1" showLastColumn="1" showRowStripes="1"/>
</table>
</file>

<file path=xl/tables/table5.xml><?xml version="1.0" encoding="utf-8"?>
<table xmlns="http://schemas.openxmlformats.org/spreadsheetml/2006/main" ref="A1:BC216" displayName="Primary_Screening" name="Primary_Screening" id="5">
  <autoFilter ref="$A$1:$BC$216"/>
  <tableColumns count="55">
    <tableColumn name="Decision" id="1"/>
    <tableColumn name="Sum" id="2"/>
    <tableColumn name="round_1_result (eoan)" id="3"/>
    <tableColumn name="round_1_notes" id="4"/>
    <tableColumn name="round_2_result (ai)" id="5"/>
    <tableColumn name="round_2_notes" id="6"/>
    <tableColumn name="round_3_result (ai)" id="7"/>
    <tableColumn name="round_3_notes" id="8"/>
    <tableColumn name="round_2_full_output" id="9"/>
    <tableColumn name="round_3_full_output" id="10"/>
    <tableColumn name="record_id" id="11"/>
    <tableColumn name="DOI" id="12"/>
    <tableColumn name="Author" id="13"/>
    <tableColumn name="Title" id="14"/>
    <tableColumn name="Publication Title" id="15"/>
    <tableColumn name="ISBN" id="16"/>
    <tableColumn name="ISSN" id="17"/>
    <tableColumn name="Url" id="18"/>
    <tableColumn name="Date" id="19"/>
    <tableColumn name="Series" id="20"/>
    <tableColumn name="Series Number" id="21"/>
    <tableColumn name="Series Text" id="22"/>
    <tableColumn name="Series Title" id="23"/>
    <tableColumn name="Publisher" id="24"/>
    <tableColumn name="Place" id="25"/>
    <tableColumn name="Abstract" id="26"/>
    <tableColumn name="ISBNs" id="27"/>
    <tableColumn name="Funding Information" id="28"/>
    <tableColumn name="PDF Link" id="29"/>
    <tableColumn name="Author Keywords" id="30"/>
    <tableColumn name="Mesh_Terms" id="31"/>
    <tableColumn name="Article Citation Count" id="32"/>
    <tableColumn name="Patent Citation Count" id="33"/>
    <tableColumn name="Reference Count" id="34"/>
    <tableColumn name="License" id="35"/>
    <tableColumn name="Issue Date" id="36"/>
    <tableColumn name="Meeting Date" id="37"/>
    <tableColumn name="Author full names" id="38"/>
    <tableColumn name="Author(s) ID" id="39"/>
    <tableColumn name="Year" id="40"/>
    <tableColumn name="Source title" id="41"/>
    <tableColumn name="Art. No." id="42"/>
    <tableColumn name="Page start" id="43"/>
    <tableColumn name="Page end" id="44"/>
    <tableColumn name="Page count" id="45"/>
    <tableColumn name="Cited by" id="46"/>
    <tableColumn name="Link" id="47"/>
    <tableColumn name="Publication Stage" id="48"/>
    <tableColumn name="Open Access" id="49"/>
    <tableColumn name="Source" id="50"/>
    <tableColumn name="EID" id="51"/>
    <tableColumn name="Keywords" id="52"/>
    <tableColumn name="exported_notes_1" id="53"/>
    <tableColumn name="asreview_ranking" id="54"/>
    <tableColumn name="asreview_prior" id="55"/>
  </tableColumns>
  <tableStyleInfo name="Primary Screening Dataset-style" showColumnStripes="0" showFirstColumn="1" showLastColumn="1" showRowStripes="1"/>
</table>
</file>

<file path=xl/tables/table6.xml><?xml version="1.0" encoding="utf-8"?>
<table xmlns="http://schemas.openxmlformats.org/spreadsheetml/2006/main" ref="A1:Q118" displayName="Table4" name="Table4" id="6">
  <tableColumns count="17">
    <tableColumn name="included" id="1"/>
    <tableColumn name="exported_notes_1" id="2"/>
    <tableColumn name="title" id="3"/>
    <tableColumn name="record_id" id="4"/>
    <tableColumn name="type_of_reference" id="5"/>
    <tableColumn name="doi" id="6"/>
    <tableColumn name="authors" id="7"/>
    <tableColumn name="journal_name" id="8"/>
    <tableColumn name="date" id="9"/>
    <tableColumn name="publisher" id="10"/>
    <tableColumn name="abstract" id="11"/>
    <tableColumn name="keywords" id="12"/>
    <tableColumn name="issn" id="13"/>
    <tableColumn name="year" id="14"/>
    <tableColumn name="urls" id="15"/>
    <tableColumn name="asreview_prior" id="16"/>
    <tableColumn name="asreview_ranking" id="17"/>
  </tableColumns>
  <tableStyleInfo name="Secondary Screening Dataset-style" showColumnStripes="0" showFirstColumn="1" showLastColumn="1" showRowStripes="1"/>
</table>
</file>

<file path=xl/tables/table7.xml><?xml version="1.0" encoding="utf-8"?>
<table xmlns="http://schemas.openxmlformats.org/spreadsheetml/2006/main" totalsRowCount="1" ref="A4:BD63" displayName="Table5_2" name="Table5_2" id="7">
  <autoFilter ref="$A$4:$BD$63">
    <filterColumn colId="25">
      <filters>
        <filter val="Included"/>
        <filter val="40"/>
      </filters>
    </filterColumn>
  </autoFilter>
  <tableColumns count="56">
    <tableColumn totalsRowFunction="custom" name="Title" id="1"/>
    <tableColumn name="Source" id="2"/>
    <tableColumn name="Key" id="3"/>
    <tableColumn name="Author" id="4"/>
    <tableColumn name="Publication Title" id="5"/>
    <tableColumn name="DOI" id="6"/>
    <tableColumn totalsRowFunction="custom" name="Read Time" id="7"/>
    <tableColumn totalsRowFunction="custom" name="Read Date" id="8"/>
    <tableColumn totalsRowFunction="custom" name="Relevance" id="9"/>
    <tableColumn totalsRowFunction="custom" name="IC7 - User" id="10"/>
    <tableColumn totalsRowFunction="custom" name="IC8 - User" id="11"/>
    <tableColumn totalsRowFunction="custom" name="IC9 - User" id="12"/>
    <tableColumn totalsRowFunction="custom" name="IC10 - User" id="13"/>
    <tableColumn totalsRowFunction="custom" name="IC11 - User" id="14"/>
    <tableColumn totalsRowFunction="custom" name="IC12 - User" id="15"/>
    <tableColumn totalsRowFunction="custom" name="IC13 - User" id="16"/>
    <tableColumn totalsRowFunction="custom" name="IC14 - User" id="17"/>
    <tableColumn totalsRowFunction="custom" name="IC7" id="18"/>
    <tableColumn totalsRowFunction="custom" name="IC8" id="19"/>
    <tableColumn totalsRowFunction="custom" name="IC9" id="20"/>
    <tableColumn totalsRowFunction="custom" name="IC10" id="21"/>
    <tableColumn totalsRowFunction="custom" name="IC11" id="22"/>
    <tableColumn totalsRowFunction="custom" name="IC12" id="23"/>
    <tableColumn totalsRowFunction="custom" name="IC13" id="24"/>
    <tableColumn totalsRowFunction="custom" name="IC14" id="25"/>
    <tableColumn totalsRowFunction="custom" name="Decision" id="26"/>
    <tableColumn totalsRowFunction="custom" name="Complete" id="27"/>
    <tableColumn name="RQ1.1.P1_x000a_ Lifecycle Stage" id="28"/>
    <tableColumn name="RQ1.1.P2_x000a_ Energy Awareness Stage" id="29"/>
    <tableColumn name="RQ1.1.P3_x000a_ Integration Approach" id="30"/>
    <tableColumn name="RQ1.2.P1_x000a_ Component Type" id="31"/>
    <tableColumn name="RQ1.2.P2_x000a_ Energy consumption source" id="32"/>
    <tableColumn name="RQ1.2.P3_x000a_ Component Relationship" id="33"/>
    <tableColumn name="RQ2.1.P1_x000a_ Measurement Level" id="34"/>
    <tableColumn name="RQ2.1.P2_x000a_ Measurement Technique" id="35"/>
    <tableColumn name="RQ2.1.P3_x000a_ Data Collection" id="36"/>
    <tableColumn name="RQ2.1.P4_x000a_ Implementation Approach" id="37"/>
    <tableColumn name="RQ2.2.P1_x000a_ Tool Type" id="38"/>
    <tableColumn name="RQ2.2.P2_x000a_ Deployment Method" id="39"/>
    <tableColumn name="RQ2.2.P3_x000a_ Analysis Capability" id="40"/>
    <tableColumn name="RQ2.2.P4_x000a_ Granularity" id="41"/>
    <tableColumn name="RQ2.3.P1_x000a_ Metric Type" id="42"/>
    <tableColumn name="RQ2.3.P2_x000a_ Measurement Scope" id="43"/>
    <tableColumn name="RQ2.3.P3_x000a_ Normalization Basis" id="44"/>
    <tableColumn name="RQ2.3.P4_x000a_ Business Relevance" id="45"/>
    <tableColumn name="RQ3.1.P1_x000a_Energy Management Strategy" id="46"/>
    <tableColumn name="RQ3.1.P2_x000a_ Tactic Category" id="47"/>
    <tableColumn name="RQ3.1.P3_x000a_ Implementation Technologies" id="48"/>
    <tableColumn name="RQ3.2.P1_x000a_ Quality Attribute" id="49"/>
    <tableColumn name="RQ3.2.P2_x000a_ Trade-off Relationship" id="50"/>
    <tableColumn name="RQ3.2.P3_x000a_ Trade-off Severity" id="51"/>
    <tableColumn name="RQ3.2.P3_x000a_ Trade-off Strategy" id="52"/>
    <tableColumn name="RQ3.3.P1_x000a_ Challenge Type" id="53"/>
    <tableColumn name="RQ3.3.P2_x000a_ Adoption Phase" id="54"/>
    <tableColumn name="RQ3.3.P3_x000a_ Challenge Complexity" id="55"/>
    <tableColumn name="RQ3.3.P4_x000a_ Mitigation Approach" id="56"/>
  </tableColumns>
  <tableStyleInfo name="Final Screening-style" showColumnStripes="0" showFirstColumn="1" showLastColumn="1" showRowStripes="1"/>
</table>
</file>

<file path=xl/tables/table8.xml><?xml version="1.0" encoding="utf-8"?>
<table xmlns="http://schemas.openxmlformats.org/spreadsheetml/2006/main" ref="A1:AB404" displayName="Preliminary_and_Primary_Screening_Data" name="Preliminary_and_Primary_Screening_Data" id="8">
  <tableColumns count="28">
    <tableColumn name="title" id="1"/>
    <tableColumn name="Secondary Screening decision" id="2"/>
    <tableColumn name="Secondary Screening Notes" id="3"/>
    <tableColumn name="Primary Screening Decision" id="4"/>
    <tableColumn name="Sum" id="5"/>
    <tableColumn name="primary_round_1" id="6"/>
    <tableColumn name="primary_round_1_notes" id="7"/>
    <tableColumn name="primary_round_2" id="8"/>
    <tableColumn name="openai_round_2_suggestion" id="9"/>
    <tableColumn name="primary_round_3" id="10"/>
    <tableColumn name="openai_round_3_suggestion" id="11"/>
    <tableColumn name="Preliminary Screening Decision" id="12"/>
    <tableColumn name="prelim_round_1" id="13"/>
    <tableColumn name="prelim_round_2" id="14"/>
    <tableColumn name="doi" id="15"/>
    <tableColumn name="type_of_reference" id="16"/>
    <tableColumn name="authors" id="17"/>
    <tableColumn name="record_id" id="18"/>
    <tableColumn name="journal_name" id="19"/>
    <tableColumn name="issn" id="20"/>
    <tableColumn name="urls" id="21"/>
    <tableColumn name="date" id="22"/>
    <tableColumn name="publisher" id="23"/>
    <tableColumn name="abstract" id="24"/>
    <tableColumn name="keywords" id="25"/>
    <tableColumn name="exported_notes_1" id="26"/>
    <tableColumn name="asreview_ranking" id="27"/>
    <tableColumn name="asreview_prior" id="28"/>
  </tableColumns>
  <tableStyleInfo name="Snowball Prelim, Primary + Seco-style" showColumnStripes="0" showFirstColumn="1" showLastColumn="1" showRowStripes="1"/>
</table>
</file>

<file path=xl/tables/table9.xml><?xml version="1.0" encoding="utf-8"?>
<table xmlns="http://schemas.openxmlformats.org/spreadsheetml/2006/main" ref="A2:BA64" displayName="Table_2" name="Table_2" id="9">
  <tableColumns count="53">
    <tableColumn name="ID" id="1"/>
    <tableColumn name="Item Type" id="2"/>
    <tableColumn name="Publication Year" id="3"/>
    <tableColumn name="Author" id="4"/>
    <tableColumn name="Title" id="5"/>
    <tableColumn name="Publication Title" id="6"/>
    <tableColumn name="DOI" id="7"/>
    <tableColumn name="IC1_x000a_Addressing digital twin in cultural heritage and museums" id="8"/>
    <tableColumn name="IC2_x000a_Conceptualizing digital twin maturity level " id="9"/>
    <tableColumn name="IC3 Studies directly related to the research questions" id="10"/>
    <tableColumn name="Status " id="11"/>
    <tableColumn name="G.P1_x000a_Type of digitzed artworks " id="12"/>
    <tableColumn name="G.P1_x000a_Description" id="13"/>
    <tableColumn name="G.P2_x000a_Digital heritage user experience " id="14"/>
    <tableColumn name="G.P2_x000a_Description" id="15"/>
    <tableColumn name="G.P3_x000a_End users of digital heritage" id="16"/>
    <tableColumn name="G.P3_x000a_Description" id="17"/>
    <tableColumn name="G.P4_x000a_Type of Information" id="18"/>
    <tableColumn name="G.P4_x000a_Description" id="19"/>
    <tableColumn name="G.P5_x000a_Digital twin techniques" id="20"/>
    <tableColumn name="G.P5_x000a_Description" id="21"/>
    <tableColumn name="RQ1.P1_x000a_Virtual Replicas of Sites and Artifacts" id="22"/>
    <tableColumn name="RQ1.P1_x000a_Description" id="23"/>
    <tableColumn name="RQ1.1.P1_x000a_Virtual Tour " id="24"/>
    <tableColumn name="RQ1.1.P1_x000a_Description" id="25"/>
    <tableColumn name="RQ1.2.P1_x000a_Data-Acquisition" id="26"/>
    <tableColumn name="RQ1.2.P1_x000a_Description" id="27"/>
    <tableColumn name="RQ2.P1_x000a_ Cyber physical intelligence " id="28"/>
    <tableColumn name="RQ2.P1_x000a_Description" id="29"/>
    <tableColumn name="RQ2.P2_x000a_Activity level" id="30"/>
    <tableColumn name="RQ2.P2_x000a_Description" id="31"/>
    <tableColumn name="RQ2.P3_x000a_Functional layer of DT" id="32"/>
    <tableColumn name="RQ2.P3_x000a_Description" id="33"/>
    <tableColumn name="RQ2.P4_x000a_Analysis of DT" id="34"/>
    <tableColumn name="RQ2.P4_x000a_Description" id="35"/>
    <tableColumn name="RQ2.1.P1_x000a_3D Modeling Software" id="36"/>
    <tableColumn name="RQ2.1.P1_x000a_Description" id="37"/>
    <tableColumn name="RQ2.1.P2_x000a_Digital Twin Platforms" id="38"/>
    <tableColumn name="RQ2.1.P2_x000a_Description" id="39"/>
    <tableColumn name="RQ3.P1_x000a_Stage of DT Implementation" id="40"/>
    <tableColumn name="RQ3.P1_x000a_Description" id="41"/>
    <tableColumn name="RQ3.P2_x000a_Connectivity mode " id="42"/>
    <tableColumn name="RQ3.P2_x000a_Description" id="43"/>
    <tableColumn name="RQ3.1.P1_x000a_Model Update Frequency" id="44"/>
    <tableColumn name="RQ3.1.P1_x000a_Description" id="45"/>
    <tableColumn name="RQ3.1.P2_x000a_Twin models " id="46"/>
    <tableColumn name="RQ3.1.P2_x000a_Description" id="47"/>
    <tableColumn name="RQ4.P1_x000a_Data Security " id="48"/>
    <tableColumn name="RQ4.P1_x000a_Description" id="49"/>
    <tableColumn name="RQ4.P2_x000a_Complexity " id="50"/>
    <tableColumn name="RQ4.P2_x000a_Description" id="51"/>
    <tableColumn name="RQ4.P3_x000a_Computational power " id="52"/>
    <tableColumn name="RQ4.P3_x000a_Description" id="53"/>
  </tableColumns>
  <tableStyleInfo name="final draf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4" Type="http://schemas.openxmlformats.org/officeDocument/2006/relationships/table" Target="../tables/table2.xml"/><Relationship Id="rId5"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92" Type="http://schemas.openxmlformats.org/officeDocument/2006/relationships/hyperlink" Target="https://www.scopus.com/inward/record.uri?eid=2-s2.0-84998910234&amp;doi=10.1016%2fj.comcom.2016.07.012&amp;partnerID=40&amp;md5=366bfe4c1c768ebc931ba3c6986a3c24" TargetMode="External"/><Relationship Id="rId391" Type="http://schemas.openxmlformats.org/officeDocument/2006/relationships/hyperlink" Target="https://www.scopus.com/inward/record.uri?eid=2-s2.0-85195595665&amp;doi=10.1016%2fj.cmpb.2024.108268&amp;partnerID=40&amp;md5=4730451f4481294e8dfd5a4cbb18a67f" TargetMode="External"/><Relationship Id="rId390" Type="http://schemas.openxmlformats.org/officeDocument/2006/relationships/hyperlink" Target="https://www.scopus.com/inward/record.uri?eid=2-s2.0-85081219520&amp;doi=10.1016%2fj.cirpj.2020.02.002&amp;partnerID=40&amp;md5=15c4de4919afc792ffa9fd0a75d72c9a" TargetMode="External"/><Relationship Id="rId2180" Type="http://schemas.openxmlformats.org/officeDocument/2006/relationships/hyperlink" Target="https://doi.org/10.1109/SCW63240.2024.00071" TargetMode="External"/><Relationship Id="rId2181" Type="http://schemas.openxmlformats.org/officeDocument/2006/relationships/hyperlink" Target="https://doi.org/10.1109/SCW63240.2024.00197" TargetMode="External"/><Relationship Id="rId2182" Type="http://schemas.openxmlformats.org/officeDocument/2006/relationships/hyperlink" Target="https://ieeexplore.ieee.org/stamp/stamp.jsp?arnumber=9143973" TargetMode="External"/><Relationship Id="rId2183" Type="http://schemas.openxmlformats.org/officeDocument/2006/relationships/hyperlink" Target="https://ieeexplore.ieee.org/stamp/stamp.jsp?arnumber=8906695" TargetMode="External"/><Relationship Id="rId385" Type="http://schemas.openxmlformats.org/officeDocument/2006/relationships/hyperlink" Target="https://www.scopus.com/inward/record.uri?eid=2-s2.0-85176800710&amp;doi=10.1016%2fj.aej.2023.11.016&amp;partnerID=40&amp;md5=17f6dcae1e59fb0db56ade1e72a60f8b" TargetMode="External"/><Relationship Id="rId2184" Type="http://schemas.openxmlformats.org/officeDocument/2006/relationships/hyperlink" Target="https://ieeexplore.ieee.org/stamp/stamp.jsp?arnumber=10371503" TargetMode="External"/><Relationship Id="rId384" Type="http://schemas.openxmlformats.org/officeDocument/2006/relationships/hyperlink" Target="https://www.scopus.com/inward/record.uri?eid=2-s2.0-85218913785&amp;doi=10.1016%2fj.adhoc.2025.103803&amp;partnerID=40&amp;md5=5b350eaca5815ebf286d961878d9c1da" TargetMode="External"/><Relationship Id="rId2185" Type="http://schemas.openxmlformats.org/officeDocument/2006/relationships/hyperlink" Target="https://www.scopus.com/inward/record.uri?eid=2-s2.0-85175210645&amp;doi=10.1109%2fSEAA60479.2023.00052&amp;partnerID=40&amp;md5=21129bacae3c9f7207ccb17e6c754622" TargetMode="External"/><Relationship Id="rId383" Type="http://schemas.openxmlformats.org/officeDocument/2006/relationships/hyperlink" Target="https://www.scopus.com/inward/record.uri?eid=2-s2.0-85218408387&amp;doi=10.1007%2fs43926-025-00109-5&amp;partnerID=40&amp;md5=a941b344a4d13e1bf9f60030c6667a57" TargetMode="External"/><Relationship Id="rId2186" Type="http://schemas.openxmlformats.org/officeDocument/2006/relationships/hyperlink" Target="https://ieeexplore.ieee.org/stamp/stamp.jsp?arnumber=10371616" TargetMode="External"/><Relationship Id="rId382" Type="http://schemas.openxmlformats.org/officeDocument/2006/relationships/hyperlink" Target="https://www.scopus.com/inward/record.uri?eid=2-s2.0-85190545407&amp;doi=10.1007%2fs41870-024-01817-x&amp;partnerID=40&amp;md5=9b7a242253171a786d7e3449e52f3dd5" TargetMode="External"/><Relationship Id="rId2187" Type="http://schemas.openxmlformats.org/officeDocument/2006/relationships/hyperlink" Target="https://ieeexplore.ieee.org/stamp/stamp.jsp?arnumber=10803495" TargetMode="External"/><Relationship Id="rId389" Type="http://schemas.openxmlformats.org/officeDocument/2006/relationships/hyperlink" Target="https://www.scopus.com/inward/record.uri?eid=2-s2.0-85100680665&amp;doi=10.1016%2fj.bdr.2021.100209&amp;partnerID=40&amp;md5=156e210ae966e9ae406bc3b308d82dd4" TargetMode="External"/><Relationship Id="rId2188" Type="http://schemas.openxmlformats.org/officeDocument/2006/relationships/hyperlink" Target="https://ieeexplore.ieee.org/stamp/stamp.jsp?arnumber=10803340" TargetMode="External"/><Relationship Id="rId388" Type="http://schemas.openxmlformats.org/officeDocument/2006/relationships/hyperlink" Target="https://www.scopus.com/inward/record.uri?eid=2-s2.0-85195672034&amp;doi=10.1016%2fj.atech.2024.100487&amp;partnerID=40&amp;md5=5a04f90a2d13d7f401afc31ec9d43f1d" TargetMode="External"/><Relationship Id="rId2189" Type="http://schemas.openxmlformats.org/officeDocument/2006/relationships/hyperlink" Target="https://www.scopus.com/inward/record.uri?eid=2-s2.0-85218627571&amp;doi=10.1109%2fSEAA64295.2024.00082&amp;partnerID=40&amp;md5=12cfd7d27b45e0baa8153bb8d232392f" TargetMode="External"/><Relationship Id="rId387" Type="http://schemas.openxmlformats.org/officeDocument/2006/relationships/hyperlink" Target="https://www.scopus.com/inward/record.uri?eid=2-s2.0-85108352526&amp;doi=10.1016%2fj.arcontrol.2021.04.011&amp;partnerID=40&amp;md5=a27e56587cb743d1768b6f2e9f0818d6" TargetMode="External"/><Relationship Id="rId386" Type="http://schemas.openxmlformats.org/officeDocument/2006/relationships/hyperlink" Target="https://www.scopus.com/inward/record.uri?eid=2-s2.0-85192147074&amp;doi=10.1016%2fj.aiia.2024.04.001&amp;partnerID=40&amp;md5=543bc3ff58c48b41fad255c1fbcf4211" TargetMode="External"/><Relationship Id="rId381" Type="http://schemas.openxmlformats.org/officeDocument/2006/relationships/hyperlink" Target="https://www.scopus.com/inward/record.uri?eid=2-s2.0-85217219343&amp;doi=10.1007%2fs41060-025-00718-x&amp;partnerID=40&amp;md5=f941a190ff93c24030c0ae4c460ab5a8" TargetMode="External"/><Relationship Id="rId380" Type="http://schemas.openxmlformats.org/officeDocument/2006/relationships/hyperlink" Target="https://www.scopus.com/inward/record.uri?eid=2-s2.0-85198498847&amp;doi=10.1007%2fs41060-024-00600-2&amp;partnerID=40&amp;md5=9ca728bd91f4b8f25c92de69449e210c" TargetMode="External"/><Relationship Id="rId379" Type="http://schemas.openxmlformats.org/officeDocument/2006/relationships/hyperlink" Target="https://www.scopus.com/inward/record.uri?eid=2-s2.0-85104544140&amp;doi=10.1007%2fs13369-021-05553-3&amp;partnerID=40&amp;md5=826155bb661c7d28b85c62aff15913d6" TargetMode="External"/><Relationship Id="rId2170" Type="http://schemas.openxmlformats.org/officeDocument/2006/relationships/hyperlink" Target="https://doi.org/10.1109/SC41406.2024.00103" TargetMode="External"/><Relationship Id="rId2171" Type="http://schemas.openxmlformats.org/officeDocument/2006/relationships/hyperlink" Target="https://ieeexplore.ieee.org/stamp/stamp.jsp?arnumber=8813951" TargetMode="External"/><Relationship Id="rId2172" Type="http://schemas.openxmlformats.org/officeDocument/2006/relationships/hyperlink" Target="https://ieeexplore.ieee.org/stamp/stamp.jsp?arnumber=9592483" TargetMode="External"/><Relationship Id="rId374" Type="http://schemas.openxmlformats.org/officeDocument/2006/relationships/hyperlink" Target="https://www.scopus.com/inward/record.uri?eid=2-s2.0-85209711709&amp;doi=10.1007%2fs11761-024-00439-2&amp;partnerID=40&amp;md5=099b781b2ec5453fb04a92c4e9bb9ab3" TargetMode="External"/><Relationship Id="rId2173" Type="http://schemas.openxmlformats.org/officeDocument/2006/relationships/hyperlink" Target="https://ieeexplore.ieee.org/stamp/stamp.jsp?arnumber=9592440" TargetMode="External"/><Relationship Id="rId373" Type="http://schemas.openxmlformats.org/officeDocument/2006/relationships/hyperlink" Target="https://www.scopus.com/inward/record.uri?eid=2-s2.0-85206855045&amp;doi=10.1007%2fs11704-024-3449-x&amp;partnerID=40&amp;md5=a453f1a8734fa5b9a976560a8d479b74" TargetMode="External"/><Relationship Id="rId2174" Type="http://schemas.openxmlformats.org/officeDocument/2006/relationships/hyperlink" Target="https://ieeexplore.ieee.org/stamp/stamp.jsp?arnumber=9352396" TargetMode="External"/><Relationship Id="rId372" Type="http://schemas.openxmlformats.org/officeDocument/2006/relationships/hyperlink" Target="https://www.scopus.com/inward/record.uri?eid=2-s2.0-85211122285&amp;doi=10.1007%2fs11432-022-3882-y&amp;partnerID=40&amp;md5=a73c300db7ea6921fca67c91c24fd365" TargetMode="External"/><Relationship Id="rId2175" Type="http://schemas.openxmlformats.org/officeDocument/2006/relationships/hyperlink" Target="https://ieeexplore.ieee.org/stamp/stamp.jsp?arnumber=9905133" TargetMode="External"/><Relationship Id="rId371" Type="http://schemas.openxmlformats.org/officeDocument/2006/relationships/hyperlink" Target="https://www.scopus.com/inward/record.uri?eid=2-s2.0-85185979468&amp;doi=10.1007%2fs11277-024-10883-0&amp;partnerID=40&amp;md5=f98ac0b433c54fedebe1966778137ea6" TargetMode="External"/><Relationship Id="rId2176" Type="http://schemas.openxmlformats.org/officeDocument/2006/relationships/hyperlink" Target="https://ieeexplore.ieee.org/stamp/stamp.jsp?arnumber=10550491" TargetMode="External"/><Relationship Id="rId378" Type="http://schemas.openxmlformats.org/officeDocument/2006/relationships/hyperlink" Target="https://www.scopus.com/inward/record.uri?eid=2-s2.0-85089528810&amp;doi=10.1007%2fs13369-020-04847-2&amp;partnerID=40&amp;md5=f8ab5a992c28e91174b1d030472a78c8" TargetMode="External"/><Relationship Id="rId2177" Type="http://schemas.openxmlformats.org/officeDocument/2006/relationships/hyperlink" Target="https://ieeexplore.ieee.org/stamp/stamp.jsp?arnumber=10550749" TargetMode="External"/><Relationship Id="rId377" Type="http://schemas.openxmlformats.org/officeDocument/2006/relationships/hyperlink" Target="https://www.scopus.com/inward/record.uri?eid=2-s2.0-85212093137&amp;doi=10.1007%2fs13198-024-02589-0&amp;partnerID=40&amp;md5=39ada4f135d0e34c7b89e43d6f218834" TargetMode="External"/><Relationship Id="rId2178" Type="http://schemas.openxmlformats.org/officeDocument/2006/relationships/hyperlink" Target="https://ieeexplore.ieee.org/stamp/stamp.jsp?arnumber=9133849" TargetMode="External"/><Relationship Id="rId376" Type="http://schemas.openxmlformats.org/officeDocument/2006/relationships/hyperlink" Target="https://www.scopus.com/inward/record.uri?eid=2-s2.0-85148341019&amp;doi=10.1007%2fs12652-023-04527-7&amp;partnerID=40&amp;md5=e0f4c5878a8f778cdd00d0edc952e752" TargetMode="External"/><Relationship Id="rId2179" Type="http://schemas.openxmlformats.org/officeDocument/2006/relationships/hyperlink" Target="https://ieeexplore.ieee.org/stamp/stamp.jsp?arnumber=10820780" TargetMode="External"/><Relationship Id="rId375" Type="http://schemas.openxmlformats.org/officeDocument/2006/relationships/hyperlink" Target="https://www.scopus.com/inward/record.uri?eid=2-s2.0-85065723086&amp;doi=10.1007%2fs12525-019-00350-1&amp;partnerID=40&amp;md5=cb29b85acdfde8107f22e471dd7c629a" TargetMode="External"/><Relationship Id="rId2190" Type="http://schemas.openxmlformats.org/officeDocument/2006/relationships/hyperlink" Target="https://ieeexplore.ieee.org/stamp/stamp.jsp?arnumber=9462034" TargetMode="External"/><Relationship Id="rId2191" Type="http://schemas.openxmlformats.org/officeDocument/2006/relationships/hyperlink" Target="https://ieeexplore.ieee.org/stamp/stamp.jsp?arnumber=10174035" TargetMode="External"/><Relationship Id="rId2192" Type="http://schemas.openxmlformats.org/officeDocument/2006/relationships/hyperlink" Target="https://ieeexplore.ieee.org/stamp/stamp.jsp?arnumber=10124512" TargetMode="External"/><Relationship Id="rId2193" Type="http://schemas.openxmlformats.org/officeDocument/2006/relationships/hyperlink" Target="https://ieeexplore.ieee.org/stamp/stamp.jsp?arnumber=8567691" TargetMode="External"/><Relationship Id="rId2194" Type="http://schemas.openxmlformats.org/officeDocument/2006/relationships/hyperlink" Target="https://ieeexplore.ieee.org/stamp/stamp.jsp?arnumber=9355701" TargetMode="External"/><Relationship Id="rId396" Type="http://schemas.openxmlformats.org/officeDocument/2006/relationships/hyperlink" Target="https://www.scopus.com/inward/record.uri?eid=2-s2.0-85196629941&amp;doi=10.1016%2fj.comcom.2024.06.004&amp;partnerID=40&amp;md5=813f1be928e1050ee7efd08774929f7b" TargetMode="External"/><Relationship Id="rId2195" Type="http://schemas.openxmlformats.org/officeDocument/2006/relationships/hyperlink" Target="https://ieeexplore.ieee.org/stamp/stamp.jsp?arnumber=9996800" TargetMode="External"/><Relationship Id="rId395" Type="http://schemas.openxmlformats.org/officeDocument/2006/relationships/hyperlink" Target="https://www.scopus.com/inward/record.uri?eid=2-s2.0-85129727384&amp;doi=10.1016%2fj.comcom.2022.04.009&amp;partnerID=40&amp;md5=fe6e377c22ced33698854f9c27069c4b" TargetMode="External"/><Relationship Id="rId2196" Type="http://schemas.openxmlformats.org/officeDocument/2006/relationships/hyperlink" Target="https://ieeexplore.ieee.org/stamp/stamp.jsp?arnumber=10818213" TargetMode="External"/><Relationship Id="rId394" Type="http://schemas.openxmlformats.org/officeDocument/2006/relationships/hyperlink" Target="https://www.scopus.com/inward/record.uri?eid=2-s2.0-85100376328&amp;doi=10.1016%2fj.comcom.2021.01.011&amp;partnerID=40&amp;md5=410f86a3423285935629263afe9cf754" TargetMode="External"/><Relationship Id="rId2197" Type="http://schemas.openxmlformats.org/officeDocument/2006/relationships/hyperlink" Target="https://ieeexplore.ieee.org/stamp/stamp.jsp?arnumber=9566274" TargetMode="External"/><Relationship Id="rId393" Type="http://schemas.openxmlformats.org/officeDocument/2006/relationships/hyperlink" Target="https://www.scopus.com/inward/record.uri?eid=2-s2.0-85084943561&amp;doi=10.1016%2fj.comcom.2020.04.061&amp;partnerID=40&amp;md5=92df7a3da86927a4a6bae90fbdbb6076" TargetMode="External"/><Relationship Id="rId2198" Type="http://schemas.openxmlformats.org/officeDocument/2006/relationships/hyperlink" Target="https://doi.org/10.1109/SERP4IoT.2019.00009" TargetMode="External"/><Relationship Id="rId2199" Type="http://schemas.openxmlformats.org/officeDocument/2006/relationships/hyperlink" Target="https://ieeexplore.ieee.org/stamp/stamp.jsp?arnumber=8495764" TargetMode="External"/><Relationship Id="rId399" Type="http://schemas.openxmlformats.org/officeDocument/2006/relationships/hyperlink" Target="https://www.scopus.com/inward/record.uri?eid=2-s2.0-85177615927&amp;doi=10.1016%2fj.comnet.2023.110080&amp;partnerID=40&amp;md5=3ae8a30acf6a37495549d4b1badd7d7b" TargetMode="External"/><Relationship Id="rId398" Type="http://schemas.openxmlformats.org/officeDocument/2006/relationships/hyperlink" Target="https://www.scopus.com/inward/record.uri?eid=2-s2.0-85103087571&amp;doi=10.1016%2fj.comnet.2021.108010&amp;partnerID=40&amp;md5=ef7acb320fd1212c0bc7230c5bec2e81" TargetMode="External"/><Relationship Id="rId397" Type="http://schemas.openxmlformats.org/officeDocument/2006/relationships/hyperlink" Target="https://www.scopus.com/inward/record.uri?eid=2-s2.0-85099231285&amp;doi=10.1016%2fj.comnet.2020.107743&amp;partnerID=40&amp;md5=3883973144b0828e52ab98b745e42cb2" TargetMode="External"/><Relationship Id="rId1730" Type="http://schemas.openxmlformats.org/officeDocument/2006/relationships/hyperlink" Target="https://ieeexplore.ieee.org/stamp/stamp.jsp?arnumber=9460405" TargetMode="External"/><Relationship Id="rId1731" Type="http://schemas.openxmlformats.org/officeDocument/2006/relationships/hyperlink" Target="https://ieeexplore.ieee.org/stamp/stamp.jsp?arnumber=9835378" TargetMode="External"/><Relationship Id="rId1732" Type="http://schemas.openxmlformats.org/officeDocument/2006/relationships/hyperlink" Target="https://www.scopus.com/inward/record.uri?eid=2-s2.0-85169291563&amp;doi=10.1109%2fIPDPSW59300.2023.00129&amp;partnerID=40&amp;md5=d0d01c62fe196ed702955639ee02f789" TargetMode="External"/><Relationship Id="rId1733" Type="http://schemas.openxmlformats.org/officeDocument/2006/relationships/hyperlink" Target="https://ieeexplore.ieee.org/stamp/stamp.jsp?arnumber=9421216" TargetMode="External"/><Relationship Id="rId1734" Type="http://schemas.openxmlformats.org/officeDocument/2006/relationships/hyperlink" Target="https://ieeexplore.ieee.org/stamp/stamp.jsp?arnumber=9737784" TargetMode="External"/><Relationship Id="rId1735" Type="http://schemas.openxmlformats.org/officeDocument/2006/relationships/hyperlink" Target="https://ieeexplore.ieee.org/stamp/stamp.jsp?arnumber=10548246" TargetMode="External"/><Relationship Id="rId1736" Type="http://schemas.openxmlformats.org/officeDocument/2006/relationships/hyperlink" Target="https://ieeexplore.ieee.org/stamp/stamp.jsp?arnumber=9394080" TargetMode="External"/><Relationship Id="rId1737" Type="http://schemas.openxmlformats.org/officeDocument/2006/relationships/hyperlink" Target="https://ieeexplore.ieee.org/stamp/stamp.jsp?arnumber=7580861" TargetMode="External"/><Relationship Id="rId1738" Type="http://schemas.openxmlformats.org/officeDocument/2006/relationships/hyperlink" Target="https://ieeexplore.ieee.org/stamp/stamp.jsp?arnumber=7580875" TargetMode="External"/><Relationship Id="rId1739" Type="http://schemas.openxmlformats.org/officeDocument/2006/relationships/hyperlink" Target="https://ieeexplore.ieee.org/stamp/stamp.jsp?arnumber=8656801" TargetMode="External"/><Relationship Id="rId1720" Type="http://schemas.openxmlformats.org/officeDocument/2006/relationships/hyperlink" Target="https://ieeexplore.ieee.org/stamp/stamp.jsp?arnumber=10511379" TargetMode="External"/><Relationship Id="rId1721" Type="http://schemas.openxmlformats.org/officeDocument/2006/relationships/hyperlink" Target="https://ieeexplore.ieee.org/stamp/stamp.jsp?arnumber=10512047" TargetMode="External"/><Relationship Id="rId1722" Type="http://schemas.openxmlformats.org/officeDocument/2006/relationships/hyperlink" Target="https://ieeexplore.ieee.org/stamp/stamp.jsp?arnumber=9340223" TargetMode="External"/><Relationship Id="rId1723" Type="http://schemas.openxmlformats.org/officeDocument/2006/relationships/hyperlink" Target="https://ieeexplore.ieee.org/stamp/stamp.jsp?arnumber=10062005" TargetMode="External"/><Relationship Id="rId1724" Type="http://schemas.openxmlformats.org/officeDocument/2006/relationships/hyperlink" Target="https://ieeexplore.ieee.org/stamp/stamp.jsp?arnumber=10710289" TargetMode="External"/><Relationship Id="rId1725" Type="http://schemas.openxmlformats.org/officeDocument/2006/relationships/hyperlink" Target="https://ieeexplore.ieee.org/stamp/stamp.jsp?arnumber=9391543" TargetMode="External"/><Relationship Id="rId1726" Type="http://schemas.openxmlformats.org/officeDocument/2006/relationships/hyperlink" Target="https://ieeexplore.ieee.org/stamp/stamp.jsp?arnumber=9139829" TargetMode="External"/><Relationship Id="rId1727" Type="http://schemas.openxmlformats.org/officeDocument/2006/relationships/hyperlink" Target="https://www.scopus.com/inward/record.uri?eid=2-s2.0-85088902344&amp;doi=10.1109%2fIPDPS47924.2020.00079&amp;partnerID=40&amp;md5=95671074024e954e64995a34f5198482" TargetMode="External"/><Relationship Id="rId1728" Type="http://schemas.openxmlformats.org/officeDocument/2006/relationships/hyperlink" Target="https://ieeexplore.ieee.org/stamp/stamp.jsp?arnumber=9460542" TargetMode="External"/><Relationship Id="rId1729" Type="http://schemas.openxmlformats.org/officeDocument/2006/relationships/hyperlink" Target="https://ieeexplore.ieee.org/stamp/stamp.jsp?arnumber=9820726" TargetMode="External"/><Relationship Id="rId1752" Type="http://schemas.openxmlformats.org/officeDocument/2006/relationships/hyperlink" Target="https://ieeexplore.ieee.org/stamp/stamp.jsp?arnumber=10165109" TargetMode="External"/><Relationship Id="rId1753" Type="http://schemas.openxmlformats.org/officeDocument/2006/relationships/hyperlink" Target="https://ieeexplore.ieee.org/stamp/stamp.jsp?arnumber=8538484" TargetMode="External"/><Relationship Id="rId1754" Type="http://schemas.openxmlformats.org/officeDocument/2006/relationships/hyperlink" Target="https://ieeexplore.ieee.org/stamp/stamp.jsp?arnumber=8969615" TargetMode="External"/><Relationship Id="rId1755" Type="http://schemas.openxmlformats.org/officeDocument/2006/relationships/hyperlink" Target="https://ieeexplore.ieee.org/stamp/stamp.jsp?arnumber=8969784" TargetMode="External"/><Relationship Id="rId1756" Type="http://schemas.openxmlformats.org/officeDocument/2006/relationships/hyperlink" Target="https://ieeexplore.ieee.org/stamp/stamp.jsp?arnumber=9219696" TargetMode="External"/><Relationship Id="rId1757" Type="http://schemas.openxmlformats.org/officeDocument/2006/relationships/hyperlink" Target="https://ieeexplore.ieee.org/stamp/stamp.jsp?arnumber=9912865" TargetMode="External"/><Relationship Id="rId1758" Type="http://schemas.openxmlformats.org/officeDocument/2006/relationships/hyperlink" Target="https://ieeexplore.ieee.org/stamp/stamp.jsp?arnumber=10218030" TargetMode="External"/><Relationship Id="rId1759" Type="http://schemas.openxmlformats.org/officeDocument/2006/relationships/hyperlink" Target="https://ieeexplore.ieee.org/stamp/stamp.jsp?arnumber=10218317" TargetMode="External"/><Relationship Id="rId1750" Type="http://schemas.openxmlformats.org/officeDocument/2006/relationships/hyperlink" Target="https://ieeexplore.ieee.org/stamp/stamp.jsp?arnumber=10609665" TargetMode="External"/><Relationship Id="rId1751" Type="http://schemas.openxmlformats.org/officeDocument/2006/relationships/hyperlink" Target="https://ieeexplore.ieee.org/stamp/stamp.jsp?arnumber=10609705" TargetMode="External"/><Relationship Id="rId1741" Type="http://schemas.openxmlformats.org/officeDocument/2006/relationships/hyperlink" Target="https://ieeexplore.ieee.org/stamp/stamp.jsp?arnumber=9071686" TargetMode="External"/><Relationship Id="rId1742" Type="http://schemas.openxmlformats.org/officeDocument/2006/relationships/hyperlink" Target="https://ieeexplore.ieee.org/stamp/stamp.jsp?arnumber=9071792" TargetMode="External"/><Relationship Id="rId1743" Type="http://schemas.openxmlformats.org/officeDocument/2006/relationships/hyperlink" Target="https://ieeexplore.ieee.org/stamp/stamp.jsp?arnumber=9239072" TargetMode="External"/><Relationship Id="rId1744" Type="http://schemas.openxmlformats.org/officeDocument/2006/relationships/hyperlink" Target="https://ieeexplore.ieee.org/stamp/stamp.jsp?arnumber=9922506" TargetMode="External"/><Relationship Id="rId1745" Type="http://schemas.openxmlformats.org/officeDocument/2006/relationships/hyperlink" Target="https://doi.org/10.1109/ISCA.2018.00012" TargetMode="External"/><Relationship Id="rId1746" Type="http://schemas.openxmlformats.org/officeDocument/2006/relationships/hyperlink" Target="https://doi.org/10.1109/ISCA45697.2020.00014" TargetMode="External"/><Relationship Id="rId1747" Type="http://schemas.openxmlformats.org/officeDocument/2006/relationships/hyperlink" Target="https://doi.org/10.1109/ISCA45697.2020.00084" TargetMode="External"/><Relationship Id="rId1748" Type="http://schemas.openxmlformats.org/officeDocument/2006/relationships/hyperlink" Target="https://www.scopus.com/inward/record.uri?eid=2-s2.0-85113835906&amp;doi=10.1109%2fISCA52012.2021.00063&amp;partnerID=40&amp;md5=5d970e11f3585c5aef9f7b516b9098d3" TargetMode="External"/><Relationship Id="rId1749" Type="http://schemas.openxmlformats.org/officeDocument/2006/relationships/hyperlink" Target="https://www.scopus.com/inward/record.uri?eid=2-s2.0-85201158993&amp;doi=10.1109%2fISCA59077.2024.00042&amp;partnerID=40&amp;md5=71d1ed2e5430215264889bcfeaafd5cc" TargetMode="External"/><Relationship Id="rId1740" Type="http://schemas.openxmlformats.org/officeDocument/2006/relationships/hyperlink" Target="https://ieeexplore.ieee.org/stamp/stamp.jsp?arnumber=8656961" TargetMode="External"/><Relationship Id="rId1710" Type="http://schemas.openxmlformats.org/officeDocument/2006/relationships/hyperlink" Target="https://ieeexplore.ieee.org/stamp/stamp.jsp?arnumber=9163006" TargetMode="External"/><Relationship Id="rId1711" Type="http://schemas.openxmlformats.org/officeDocument/2006/relationships/hyperlink" Target="https://ieeexplore.ieee.org/stamp/stamp.jsp?arnumber=9163013" TargetMode="External"/><Relationship Id="rId1712" Type="http://schemas.openxmlformats.org/officeDocument/2006/relationships/hyperlink" Target="https://ieeexplore.ieee.org/stamp/stamp.jsp?arnumber=9163046" TargetMode="External"/><Relationship Id="rId1713" Type="http://schemas.openxmlformats.org/officeDocument/2006/relationships/hyperlink" Target="https://ieeexplore.ieee.org/stamp/stamp.jsp?arnumber=9163047" TargetMode="External"/><Relationship Id="rId1714" Type="http://schemas.openxmlformats.org/officeDocument/2006/relationships/hyperlink" Target="https://ieeexplore.ieee.org/stamp/stamp.jsp?arnumber=9163063" TargetMode="External"/><Relationship Id="rId1715" Type="http://schemas.openxmlformats.org/officeDocument/2006/relationships/hyperlink" Target="https://ieeexplore.ieee.org/stamp/stamp.jsp?arnumber=10620742" TargetMode="External"/><Relationship Id="rId1716" Type="http://schemas.openxmlformats.org/officeDocument/2006/relationships/hyperlink" Target="https://ieeexplore.ieee.org/stamp/stamp.jsp?arnumber=8345538" TargetMode="External"/><Relationship Id="rId1717" Type="http://schemas.openxmlformats.org/officeDocument/2006/relationships/hyperlink" Target="https://ieeexplore.ieee.org/stamp/stamp.jsp?arnumber=10683838" TargetMode="External"/><Relationship Id="rId1718" Type="http://schemas.openxmlformats.org/officeDocument/2006/relationships/hyperlink" Target="https://ieeexplore.ieee.org/stamp/stamp.jsp?arnumber=10664155" TargetMode="External"/><Relationship Id="rId1719" Type="http://schemas.openxmlformats.org/officeDocument/2006/relationships/hyperlink" Target="https://ieeexplore.ieee.org/stamp/stamp.jsp?arnumber=7381505" TargetMode="External"/><Relationship Id="rId1700" Type="http://schemas.openxmlformats.org/officeDocument/2006/relationships/hyperlink" Target="https://ieeexplore.ieee.org/stamp/stamp.jsp?arnumber=9162696" TargetMode="External"/><Relationship Id="rId1701" Type="http://schemas.openxmlformats.org/officeDocument/2006/relationships/hyperlink" Target="https://ieeexplore.ieee.org/stamp/stamp.jsp?arnumber=9162697" TargetMode="External"/><Relationship Id="rId1702" Type="http://schemas.openxmlformats.org/officeDocument/2006/relationships/hyperlink" Target="https://ieeexplore.ieee.org/stamp/stamp.jsp?arnumber=9162698" TargetMode="External"/><Relationship Id="rId1703" Type="http://schemas.openxmlformats.org/officeDocument/2006/relationships/hyperlink" Target="https://ieeexplore.ieee.org/stamp/stamp.jsp?arnumber=9162713" TargetMode="External"/><Relationship Id="rId1704" Type="http://schemas.openxmlformats.org/officeDocument/2006/relationships/hyperlink" Target="https://ieeexplore.ieee.org/stamp/stamp.jsp?arnumber=9162731" TargetMode="External"/><Relationship Id="rId1705" Type="http://schemas.openxmlformats.org/officeDocument/2006/relationships/hyperlink" Target="https://ieeexplore.ieee.org/stamp/stamp.jsp?arnumber=9162737" TargetMode="External"/><Relationship Id="rId1706" Type="http://schemas.openxmlformats.org/officeDocument/2006/relationships/hyperlink" Target="https://ieeexplore.ieee.org/stamp/stamp.jsp?arnumber=9162844" TargetMode="External"/><Relationship Id="rId1707" Type="http://schemas.openxmlformats.org/officeDocument/2006/relationships/hyperlink" Target="https://ieeexplore.ieee.org/stamp/stamp.jsp?arnumber=9162865" TargetMode="External"/><Relationship Id="rId1708" Type="http://schemas.openxmlformats.org/officeDocument/2006/relationships/hyperlink" Target="https://ieeexplore.ieee.org/stamp/stamp.jsp?arnumber=9162870" TargetMode="External"/><Relationship Id="rId1709" Type="http://schemas.openxmlformats.org/officeDocument/2006/relationships/hyperlink" Target="https://ieeexplore.ieee.org/stamp/stamp.jsp?arnumber=9162956" TargetMode="External"/><Relationship Id="rId40" Type="http://schemas.openxmlformats.org/officeDocument/2006/relationships/hyperlink" Target="https://www.scopus.com/inward/record.uri?eid=2-s2.0-85101538996&amp;doi=10.1109%2fACCESS.2021.3060457&amp;partnerID=40&amp;md5=c2f51f131fc5a2dec766b0731e4857d1" TargetMode="External"/><Relationship Id="rId42" Type="http://schemas.openxmlformats.org/officeDocument/2006/relationships/hyperlink" Target="https://ieeexplore.ieee.org/stamp/stamp.jsp?arnumber=9764765" TargetMode="External"/><Relationship Id="rId41" Type="http://schemas.openxmlformats.org/officeDocument/2006/relationships/hyperlink" Target="https://ieeexplore.ieee.org/stamp/stamp.jsp?arnumber=9416667" TargetMode="External"/><Relationship Id="rId44" Type="http://schemas.openxmlformats.org/officeDocument/2006/relationships/hyperlink" Target="https://ieeexplore.ieee.org/stamp/stamp.jsp?arnumber=9917529" TargetMode="External"/><Relationship Id="rId43" Type="http://schemas.openxmlformats.org/officeDocument/2006/relationships/hyperlink" Target="https://www.scopus.com/inward/record.uri?eid=2-s2.0-85136111175&amp;doi=10.1109%2fACCESS.2022.3197151&amp;partnerID=40&amp;md5=e66742fa92c2548cd30b885e6165bbfc" TargetMode="External"/><Relationship Id="rId46" Type="http://schemas.openxmlformats.org/officeDocument/2006/relationships/hyperlink" Target="https://ieeexplore.ieee.org/stamp/stamp.jsp?arnumber=10287934" TargetMode="External"/><Relationship Id="rId45" Type="http://schemas.openxmlformats.org/officeDocument/2006/relationships/hyperlink" Target="https://ieeexplore.ieee.org/stamp/stamp.jsp?arnumber=10138589" TargetMode="External"/><Relationship Id="rId48" Type="http://schemas.openxmlformats.org/officeDocument/2006/relationships/hyperlink" Target="https://ieeexplore.ieee.org/stamp/stamp.jsp?arnumber=10347188" TargetMode="External"/><Relationship Id="rId47" Type="http://schemas.openxmlformats.org/officeDocument/2006/relationships/hyperlink" Target="https://ieeexplore.ieee.org/stamp/stamp.jsp?arnumber=10309921" TargetMode="External"/><Relationship Id="rId49" Type="http://schemas.openxmlformats.org/officeDocument/2006/relationships/hyperlink" Target="https://ieeexplore.ieee.org/stamp/stamp.jsp?arnumber=10500420" TargetMode="External"/><Relationship Id="rId31" Type="http://schemas.openxmlformats.org/officeDocument/2006/relationships/hyperlink" Target="https://www.scopus.com/inward/record.uri?eid=2-s2.0-85207594082&amp;doi=10.1016%2fj.jnca.2024.104037&amp;partnerID=40&amp;md5=b7521e9ce67967c3b534d3a91d452635" TargetMode="External"/><Relationship Id="rId30" Type="http://schemas.openxmlformats.org/officeDocument/2006/relationships/hyperlink" Target="https://www.scopus.com/inward/record.uri?eid=2-s2.0-85072519087&amp;doi=10.1016%2fj.jnca.2019.102441&amp;partnerID=40&amp;md5=12d28f55304bc761583ba7edea990eb5" TargetMode="External"/><Relationship Id="rId33" Type="http://schemas.openxmlformats.org/officeDocument/2006/relationships/hyperlink" Target="https://www.scopus.com/inward/record.uri?eid=2-s2.0-85058349351&amp;doi=10.1016%2fj.procs.2018.10.172&amp;partnerID=40&amp;md5=762a84024c90ed200594143af3fc90ed" TargetMode="External"/><Relationship Id="rId32" Type="http://schemas.openxmlformats.org/officeDocument/2006/relationships/hyperlink" Target="https://www.scopus.com/inward/record.uri?eid=2-s2.0-85202513844&amp;doi=10.1016%2fj.jss.2024.112183&amp;partnerID=40&amp;md5=8b1f6581c9edf2d495918d11ac6527da" TargetMode="External"/><Relationship Id="rId35" Type="http://schemas.openxmlformats.org/officeDocument/2006/relationships/hyperlink" Target="https://ieeexplore.ieee.org/stamp/stamp.jsp?arnumber=10267227" TargetMode="External"/><Relationship Id="rId34" Type="http://schemas.openxmlformats.org/officeDocument/2006/relationships/hyperlink" Target="https://www.scopus.com/inward/record.uri?eid=2-s2.0-85216566548&amp;doi=10.1016%2fj.suscom.2025.101088&amp;partnerID=40&amp;md5=4e078c054bd4918f2fd8a7d05c018de2" TargetMode="External"/><Relationship Id="rId37" Type="http://schemas.openxmlformats.org/officeDocument/2006/relationships/hyperlink" Target="https://ieeexplore.ieee.org/stamp/stamp.jsp?arnumber=8334820" TargetMode="External"/><Relationship Id="rId36" Type="http://schemas.openxmlformats.org/officeDocument/2006/relationships/hyperlink" Target="https://www.scopus.com/inward/record.uri?eid=2-s2.0-85086374003&amp;doi=10.1088%2f1742-6596%2f1544%2f1%2f012020&amp;partnerID=40&amp;md5=e03972d471de2a63506c7e594870b3cb" TargetMode="External"/><Relationship Id="rId39" Type="http://schemas.openxmlformats.org/officeDocument/2006/relationships/hyperlink" Target="https://ieeexplore.ieee.org/stamp/stamp.jsp?arnumber=8924700" TargetMode="External"/><Relationship Id="rId38" Type="http://schemas.openxmlformats.org/officeDocument/2006/relationships/hyperlink" Target="https://ieeexplore.ieee.org/stamp/stamp.jsp?arnumber=8861307" TargetMode="External"/><Relationship Id="rId2203" Type="http://schemas.openxmlformats.org/officeDocument/2006/relationships/hyperlink" Target="https://ieeexplore.ieee.org/stamp/stamp.jsp?arnumber=8958367" TargetMode="External"/><Relationship Id="rId2204" Type="http://schemas.openxmlformats.org/officeDocument/2006/relationships/hyperlink" Target="https://ieeexplore.ieee.org/stamp/stamp.jsp?arnumber=8700423" TargetMode="External"/><Relationship Id="rId20" Type="http://schemas.openxmlformats.org/officeDocument/2006/relationships/hyperlink" Target="https://www.scopus.com/inward/record.uri?eid=2-s2.0-85151338800&amp;doi=10.1007%2fs11227-023-05202-6&amp;partnerID=40&amp;md5=647088e011dc284be3e69deeef20d643" TargetMode="External"/><Relationship Id="rId2205" Type="http://schemas.openxmlformats.org/officeDocument/2006/relationships/hyperlink" Target="https://ieeexplore.ieee.org/stamp/stamp.jsp?arnumber=10814752" TargetMode="External"/><Relationship Id="rId2206" Type="http://schemas.openxmlformats.org/officeDocument/2006/relationships/hyperlink" Target="https://ieeexplore.ieee.org/stamp/stamp.jsp?arnumber=10474711" TargetMode="External"/><Relationship Id="rId22" Type="http://schemas.openxmlformats.org/officeDocument/2006/relationships/hyperlink" Target="https://www.scopus.com/inward/record.uri?eid=2-s2.0-85175337178&amp;doi=10.1016%2fj.apenergy.2023.122192&amp;partnerID=40&amp;md5=5d9e4e1f30fd4b720c35fb722285eab5" TargetMode="External"/><Relationship Id="rId2207" Type="http://schemas.openxmlformats.org/officeDocument/2006/relationships/hyperlink" Target="https://ieeexplore.ieee.org/stamp/stamp.jsp?arnumber=10475031" TargetMode="External"/><Relationship Id="rId21" Type="http://schemas.openxmlformats.org/officeDocument/2006/relationships/hyperlink" Target="https://www.scopus.com/inward/record.uri?eid=2-s2.0-85095749343&amp;doi=10.1007%2fs11761-020-00306-w&amp;partnerID=40&amp;md5=e1dc9e283d8e5e9cf6cd8d7e9e16d998" TargetMode="External"/><Relationship Id="rId2208" Type="http://schemas.openxmlformats.org/officeDocument/2006/relationships/hyperlink" Target="https://ieeexplore.ieee.org/stamp/stamp.jsp?arnumber=10036262" TargetMode="External"/><Relationship Id="rId24" Type="http://schemas.openxmlformats.org/officeDocument/2006/relationships/hyperlink" Target="https://www.scopus.com/inward/record.uri?eid=2-s2.0-85127333524&amp;doi=10.1016%2fj.compag.2022.106897&amp;partnerID=40&amp;md5=6280b94a3aee1ea99c59d81f4a987e6e" TargetMode="External"/><Relationship Id="rId2209" Type="http://schemas.openxmlformats.org/officeDocument/2006/relationships/hyperlink" Target="https://ieeexplore.ieee.org/stamp/stamp.jsp?arnumber=10417872" TargetMode="External"/><Relationship Id="rId23" Type="http://schemas.openxmlformats.org/officeDocument/2006/relationships/hyperlink" Target="https://www.scopus.com/inward/record.uri?eid=2-s2.0-85219496402&amp;doi=10.1016%2fj.comnet.2025.111158&amp;partnerID=40&amp;md5=f64d1e547fad5b1fffd2abc6d9567fa1" TargetMode="External"/><Relationship Id="rId26" Type="http://schemas.openxmlformats.org/officeDocument/2006/relationships/hyperlink" Target="https://www.scopus.com/inward/record.uri?eid=2-s2.0-85186336293&amp;doi=10.1016%2fj.enconman.2024.118270&amp;partnerID=40&amp;md5=845f5f11c42eff07af3fff0fc1e8b4b8" TargetMode="External"/><Relationship Id="rId25" Type="http://schemas.openxmlformats.org/officeDocument/2006/relationships/hyperlink" Target="https://www.scopus.com/inward/record.uri?eid=2-s2.0-85218856839&amp;doi=10.1016%2fj.crgsc.2025.100449&amp;partnerID=40&amp;md5=b913cc61a04999d27ac45c37d2edaddd" TargetMode="External"/><Relationship Id="rId28" Type="http://schemas.openxmlformats.org/officeDocument/2006/relationships/hyperlink" Target="https://www.scopus.com/inward/record.uri?eid=2-s2.0-85214268619&amp;doi=10.1016%2fj.iot.2024.101463&amp;partnerID=40&amp;md5=107bbb09a175161e54cf7f77128e30f3" TargetMode="External"/><Relationship Id="rId27" Type="http://schemas.openxmlformats.org/officeDocument/2006/relationships/hyperlink" Target="https://www.scopus.com/inward/record.uri?eid=2-s2.0-85129245821&amp;doi=10.1016%2fj.future.2022.03.027&amp;partnerID=40&amp;md5=40757b1c56aa2b1db7cb1e5d8175d878" TargetMode="External"/><Relationship Id="rId29" Type="http://schemas.openxmlformats.org/officeDocument/2006/relationships/hyperlink" Target="https://www.scopus.com/inward/record.uri?eid=2-s2.0-85216975149&amp;doi=10.1016%2fj.iot.2025.101515&amp;partnerID=40&amp;md5=414bee764528de04dbd1e5fc2160d04a" TargetMode="External"/><Relationship Id="rId2200" Type="http://schemas.openxmlformats.org/officeDocument/2006/relationships/hyperlink" Target="https://ieeexplore.ieee.org/stamp/stamp.jsp?arnumber=10694556" TargetMode="External"/><Relationship Id="rId2201" Type="http://schemas.openxmlformats.org/officeDocument/2006/relationships/hyperlink" Target="https://ieeexplore.ieee.org/stamp/stamp.jsp?arnumber=10914314" TargetMode="External"/><Relationship Id="rId2202" Type="http://schemas.openxmlformats.org/officeDocument/2006/relationships/hyperlink" Target="https://ieeexplore.ieee.org/stamp/stamp.jsp?arnumber=10824055" TargetMode="External"/><Relationship Id="rId11" Type="http://schemas.openxmlformats.org/officeDocument/2006/relationships/hyperlink" Target="https://doi.org/10.1007/978-3-031-48421-6_13" TargetMode="External"/><Relationship Id="rId10" Type="http://schemas.openxmlformats.org/officeDocument/2006/relationships/hyperlink" Target="https://doi.org/10.1007/978-3-031-44836-2_3" TargetMode="External"/><Relationship Id="rId13" Type="http://schemas.openxmlformats.org/officeDocument/2006/relationships/hyperlink" Target="https://www.scopus.com/inward/record.uri?eid=2-s2.0-85030153378&amp;doi=10.1007%2f978-3-319-67639-5_17&amp;partnerID=40&amp;md5=07c6e2decd8494327c6f9a69973444a1" TargetMode="External"/><Relationship Id="rId12" Type="http://schemas.openxmlformats.org/officeDocument/2006/relationships/hyperlink" Target="https://www.scopus.com/inward/record.uri?eid=2-s2.0-85204598573&amp;doi=10.1007%2f978-3-031-71142-8_2&amp;partnerID=40&amp;md5=368aebc947fe40d0bd796c242e692b49" TargetMode="External"/><Relationship Id="rId15" Type="http://schemas.openxmlformats.org/officeDocument/2006/relationships/hyperlink" Target="https://www.scopus.com/inward/record.uri?eid=2-s2.0-85067040812&amp;doi=10.1007%2fs00607-019-00733-4&amp;partnerID=40&amp;md5=d962d0ae3742a573ac5b2abe6895172e" TargetMode="External"/><Relationship Id="rId14" Type="http://schemas.openxmlformats.org/officeDocument/2006/relationships/hyperlink" Target="https://www.scopus.com/inward/record.uri?eid=2-s2.0-85034095398&amp;doi=10.1007%2f978-3-319-69035-3_14&amp;partnerID=40&amp;md5=9bb690276a53bfcfee72db0e06c927ac" TargetMode="External"/><Relationship Id="rId17" Type="http://schemas.openxmlformats.org/officeDocument/2006/relationships/hyperlink" Target="https://www.scopus.com/inward/record.uri?eid=2-s2.0-85196171876&amp;doi=10.1007%2fs00607-024-01305-x&amp;partnerID=40&amp;md5=b5b1962d30b5b522305b7d006316c20a" TargetMode="External"/><Relationship Id="rId16" Type="http://schemas.openxmlformats.org/officeDocument/2006/relationships/hyperlink" Target="https://www.scopus.com/inward/record.uri?eid=2-s2.0-85149714100&amp;doi=10.1007%2fs00607-023-01165-x&amp;partnerID=40&amp;md5=720b945f9f49b870197afeb10e98b919" TargetMode="External"/><Relationship Id="rId19" Type="http://schemas.openxmlformats.org/officeDocument/2006/relationships/hyperlink" Target="https://www.scopus.com/inward/record.uri?eid=2-s2.0-85195140061&amp;doi=10.1007%2fs10922-024-09825-9&amp;partnerID=40&amp;md5=2e2706949b802ecb64f3b849b5f3cf9b" TargetMode="External"/><Relationship Id="rId18" Type="http://schemas.openxmlformats.org/officeDocument/2006/relationships/hyperlink" Target="https://www.scopus.com/inward/record.uri?eid=2-s2.0-85213696655&amp;doi=10.1007%2fs10723-024-09789-9&amp;partnerID=40&amp;md5=2351a5b1f5d24e45730f45c2899e134e" TargetMode="External"/><Relationship Id="rId84" Type="http://schemas.openxmlformats.org/officeDocument/2006/relationships/hyperlink" Target="https://ieeexplore.ieee.org/stamp/stamp.jsp?arnumber=10622616" TargetMode="External"/><Relationship Id="rId1774" Type="http://schemas.openxmlformats.org/officeDocument/2006/relationships/hyperlink" Target="https://ieeexplore.ieee.org/stamp/stamp.jsp?arnumber=10407935" TargetMode="External"/><Relationship Id="rId83" Type="http://schemas.openxmlformats.org/officeDocument/2006/relationships/hyperlink" Target="https://ieeexplore.ieee.org/stamp/stamp.jsp?arnumber=8831214" TargetMode="External"/><Relationship Id="rId1775" Type="http://schemas.openxmlformats.org/officeDocument/2006/relationships/hyperlink" Target="https://ieeexplore.ieee.org/stamp/stamp.jsp?arnumber=10228163" TargetMode="External"/><Relationship Id="rId86" Type="http://schemas.openxmlformats.org/officeDocument/2006/relationships/hyperlink" Target="https://ieeexplore.ieee.org/stamp/stamp.jsp?arnumber=9393108" TargetMode="External"/><Relationship Id="rId1776" Type="http://schemas.openxmlformats.org/officeDocument/2006/relationships/hyperlink" Target="https://ieeexplore.ieee.org/stamp/stamp.jsp?arnumber=9831601" TargetMode="External"/><Relationship Id="rId85" Type="http://schemas.openxmlformats.org/officeDocument/2006/relationships/hyperlink" Target="https://ieeexplore.ieee.org/stamp/stamp.jsp?arnumber=10724035" TargetMode="External"/><Relationship Id="rId1777" Type="http://schemas.openxmlformats.org/officeDocument/2006/relationships/hyperlink" Target="https://ieeexplore.ieee.org/stamp/stamp.jsp?arnumber=8613291" TargetMode="External"/><Relationship Id="rId88" Type="http://schemas.openxmlformats.org/officeDocument/2006/relationships/hyperlink" Target="https://www.scopus.com/inward/record.uri?eid=2-s2.0-85096351980&amp;doi=10.1109%2fICNSC48988.2020.9238096&amp;partnerID=40&amp;md5=ea375c6fa1c8d8c7aca1022598543e92" TargetMode="External"/><Relationship Id="rId1778" Type="http://schemas.openxmlformats.org/officeDocument/2006/relationships/hyperlink" Target="https://ieeexplore.ieee.org/stamp/stamp.jsp?arnumber=9944498" TargetMode="External"/><Relationship Id="rId87" Type="http://schemas.openxmlformats.org/officeDocument/2006/relationships/hyperlink" Target="https://ieeexplore.ieee.org/stamp/stamp.jsp?arnumber=10900136" TargetMode="External"/><Relationship Id="rId1779" Type="http://schemas.openxmlformats.org/officeDocument/2006/relationships/hyperlink" Target="https://ieeexplore.ieee.org/stamp/stamp.jsp?arnumber=10221084" TargetMode="External"/><Relationship Id="rId89" Type="http://schemas.openxmlformats.org/officeDocument/2006/relationships/hyperlink" Target="https://ieeexplore.ieee.org/stamp/stamp.jsp?arnumber=8370519" TargetMode="External"/><Relationship Id="rId80" Type="http://schemas.openxmlformats.org/officeDocument/2006/relationships/hyperlink" Target="https://ieeexplore.ieee.org/stamp/stamp.jsp?arnumber=10305842" TargetMode="External"/><Relationship Id="rId82" Type="http://schemas.openxmlformats.org/officeDocument/2006/relationships/hyperlink" Target="https://ieeexplore.ieee.org/stamp/stamp.jsp?arnumber=10749770" TargetMode="External"/><Relationship Id="rId81" Type="http://schemas.openxmlformats.org/officeDocument/2006/relationships/hyperlink" Target="https://ieeexplore.ieee.org/stamp/stamp.jsp?arnumber=10305816" TargetMode="External"/><Relationship Id="rId1770" Type="http://schemas.openxmlformats.org/officeDocument/2006/relationships/hyperlink" Target="https://ieeexplore.ieee.org/stamp/stamp.jsp?arnumber=10872334" TargetMode="External"/><Relationship Id="rId1771" Type="http://schemas.openxmlformats.org/officeDocument/2006/relationships/hyperlink" Target="https://ieeexplore.ieee.org/stamp/stamp.jsp?arnumber=8583859" TargetMode="External"/><Relationship Id="rId1772" Type="http://schemas.openxmlformats.org/officeDocument/2006/relationships/hyperlink" Target="https://ieeexplore.ieee.org/stamp/stamp.jsp?arnumber=10010279" TargetMode="External"/><Relationship Id="rId1773" Type="http://schemas.openxmlformats.org/officeDocument/2006/relationships/hyperlink" Target="https://ieeexplore.ieee.org/stamp/stamp.jsp?arnumber=8895425" TargetMode="External"/><Relationship Id="rId73" Type="http://schemas.openxmlformats.org/officeDocument/2006/relationships/hyperlink" Target="https://ieeexplore.ieee.org/stamp/stamp.jsp?arnumber=8795329" TargetMode="External"/><Relationship Id="rId1763" Type="http://schemas.openxmlformats.org/officeDocument/2006/relationships/hyperlink" Target="https://ieeexplore.ieee.org/stamp/stamp.jsp?arnumber=10733710" TargetMode="External"/><Relationship Id="rId72" Type="http://schemas.openxmlformats.org/officeDocument/2006/relationships/hyperlink" Target="https://ieeexplore.ieee.org/stamp/stamp.jsp?arnumber=8124387" TargetMode="External"/><Relationship Id="rId1764" Type="http://schemas.openxmlformats.org/officeDocument/2006/relationships/hyperlink" Target="https://ieeexplore.ieee.org/stamp/stamp.jsp?arnumber=10733720" TargetMode="External"/><Relationship Id="rId75" Type="http://schemas.openxmlformats.org/officeDocument/2006/relationships/hyperlink" Target="https://ieeexplore.ieee.org/stamp/stamp.jsp?arnumber=10743020" TargetMode="External"/><Relationship Id="rId1765" Type="http://schemas.openxmlformats.org/officeDocument/2006/relationships/hyperlink" Target="https://ieeexplore.ieee.org/stamp/stamp.jsp?arnumber=8901042" TargetMode="External"/><Relationship Id="rId74" Type="http://schemas.openxmlformats.org/officeDocument/2006/relationships/hyperlink" Target="https://ieeexplore.ieee.org/stamp/stamp.jsp?arnumber=10520517" TargetMode="External"/><Relationship Id="rId1766" Type="http://schemas.openxmlformats.org/officeDocument/2006/relationships/hyperlink" Target="https://ieeexplore.ieee.org/stamp/stamp.jsp?arnumber=10810142" TargetMode="External"/><Relationship Id="rId77" Type="http://schemas.openxmlformats.org/officeDocument/2006/relationships/hyperlink" Target="https://ieeexplore.ieee.org/stamp/stamp.jsp?arnumber=9014114" TargetMode="External"/><Relationship Id="rId1767" Type="http://schemas.openxmlformats.org/officeDocument/2006/relationships/hyperlink" Target="https://ieeexplore.ieee.org/stamp/stamp.jsp?arnumber=10672935" TargetMode="External"/><Relationship Id="rId76" Type="http://schemas.openxmlformats.org/officeDocument/2006/relationships/hyperlink" Target="https://ieeexplore.ieee.org/stamp/stamp.jsp?arnumber=8620159" TargetMode="External"/><Relationship Id="rId1768" Type="http://schemas.openxmlformats.org/officeDocument/2006/relationships/hyperlink" Target="https://www.scopus.com/inward/record.uri?eid=2-s2.0-85215303502&amp;doi=10.1109%2fISCT62336.2024.10791262&amp;partnerID=40&amp;md5=39de37eb7ab840bd944600636e232a48" TargetMode="External"/><Relationship Id="rId79" Type="http://schemas.openxmlformats.org/officeDocument/2006/relationships/hyperlink" Target="https://www.scopus.com/inward/record.uri?eid=2-s2.0-85151616209&amp;doi=10.1109%2fHPCA56546.2023.10071127&amp;partnerID=40&amp;md5=a2f13d55046f1cb5520622b40ae590be" TargetMode="External"/><Relationship Id="rId1769" Type="http://schemas.openxmlformats.org/officeDocument/2006/relationships/hyperlink" Target="https://ieeexplore.ieee.org/stamp/stamp.jsp?arnumber=10438283" TargetMode="External"/><Relationship Id="rId78" Type="http://schemas.openxmlformats.org/officeDocument/2006/relationships/hyperlink" Target="https://ieeexplore.ieee.org/stamp/stamp.jsp?arnumber=8675218" TargetMode="External"/><Relationship Id="rId71" Type="http://schemas.openxmlformats.org/officeDocument/2006/relationships/hyperlink" Target="https://ieeexplore.ieee.org/stamp/stamp.jsp?arnumber=9346986" TargetMode="External"/><Relationship Id="rId70" Type="http://schemas.openxmlformats.org/officeDocument/2006/relationships/hyperlink" Target="https://ieeexplore.ieee.org/stamp/stamp.jsp?arnumber=10751106" TargetMode="External"/><Relationship Id="rId1760" Type="http://schemas.openxmlformats.org/officeDocument/2006/relationships/hyperlink" Target="https://ieeexplore.ieee.org/stamp/stamp.jsp?arnumber=10733593" TargetMode="External"/><Relationship Id="rId1761" Type="http://schemas.openxmlformats.org/officeDocument/2006/relationships/hyperlink" Target="https://ieeexplore.ieee.org/stamp/stamp.jsp?arnumber=10733646" TargetMode="External"/><Relationship Id="rId1762" Type="http://schemas.openxmlformats.org/officeDocument/2006/relationships/hyperlink" Target="https://ieeexplore.ieee.org/stamp/stamp.jsp?arnumber=10733709" TargetMode="External"/><Relationship Id="rId62" Type="http://schemas.openxmlformats.org/officeDocument/2006/relationships/hyperlink" Target="https://ieeexplore.ieee.org/stamp/stamp.jsp?arnumber=10837926" TargetMode="External"/><Relationship Id="rId1796" Type="http://schemas.openxmlformats.org/officeDocument/2006/relationships/hyperlink" Target="https://ieeexplore.ieee.org/stamp/stamp.jsp?arnumber=10052836" TargetMode="External"/><Relationship Id="rId61" Type="http://schemas.openxmlformats.org/officeDocument/2006/relationships/hyperlink" Target="https://ieeexplore.ieee.org/stamp/stamp.jsp?arnumber=10825075" TargetMode="External"/><Relationship Id="rId1797" Type="http://schemas.openxmlformats.org/officeDocument/2006/relationships/hyperlink" Target="https://ieeexplore.ieee.org/stamp/stamp.jsp?arnumber=10053019" TargetMode="External"/><Relationship Id="rId64" Type="http://schemas.openxmlformats.org/officeDocument/2006/relationships/hyperlink" Target="https://ieeexplore.ieee.org/stamp/stamp.jsp?arnumber=7791858" TargetMode="External"/><Relationship Id="rId1798" Type="http://schemas.openxmlformats.org/officeDocument/2006/relationships/hyperlink" Target="https://ieeexplore.ieee.org/stamp/stamp.jsp?arnumber=10808950" TargetMode="External"/><Relationship Id="rId63" Type="http://schemas.openxmlformats.org/officeDocument/2006/relationships/hyperlink" Target="https://ieeexplore.ieee.org/stamp/stamp.jsp?arnumber=10824589" TargetMode="External"/><Relationship Id="rId1799" Type="http://schemas.openxmlformats.org/officeDocument/2006/relationships/hyperlink" Target="https://ieeexplore.ieee.org/stamp/stamp.jsp?arnumber=10720505" TargetMode="External"/><Relationship Id="rId66" Type="http://schemas.openxmlformats.org/officeDocument/2006/relationships/hyperlink" Target="https://ieeexplore.ieee.org/stamp/stamp.jsp?arnumber=10041344" TargetMode="External"/><Relationship Id="rId65" Type="http://schemas.openxmlformats.org/officeDocument/2006/relationships/hyperlink" Target="https://www.scopus.com/inward/record.uri?eid=2-s2.0-85174232361&amp;doi=10.1109%2fCLOUD60044.2023.00067&amp;partnerID=40&amp;md5=d89946513257dd6a282402d48f461af4" TargetMode="External"/><Relationship Id="rId68" Type="http://schemas.openxmlformats.org/officeDocument/2006/relationships/hyperlink" Target="https://ieeexplore.ieee.org/stamp/stamp.jsp?arnumber=9787703" TargetMode="External"/><Relationship Id="rId67" Type="http://schemas.openxmlformats.org/officeDocument/2006/relationships/hyperlink" Target="https://ieeexplore.ieee.org/stamp/stamp.jsp?arnumber=9105640" TargetMode="External"/><Relationship Id="rId60" Type="http://schemas.openxmlformats.org/officeDocument/2006/relationships/hyperlink" Target="https://ieeexplore.ieee.org/stamp/stamp.jsp?arnumber=10386600" TargetMode="External"/><Relationship Id="rId69" Type="http://schemas.openxmlformats.org/officeDocument/2006/relationships/hyperlink" Target="https://ieeexplore.ieee.org/stamp/stamp.jsp?arnumber=10234326" TargetMode="External"/><Relationship Id="rId1790" Type="http://schemas.openxmlformats.org/officeDocument/2006/relationships/hyperlink" Target="https://ieeexplore.ieee.org/stamp/stamp.jsp?arnumber=9609424" TargetMode="External"/><Relationship Id="rId1791" Type="http://schemas.openxmlformats.org/officeDocument/2006/relationships/hyperlink" Target="https://ieeexplore.ieee.org/stamp/stamp.jsp?arnumber=8121623" TargetMode="External"/><Relationship Id="rId1792" Type="http://schemas.openxmlformats.org/officeDocument/2006/relationships/hyperlink" Target="https://ieeexplore.ieee.org/stamp/stamp.jsp?arnumber=8452019" TargetMode="External"/><Relationship Id="rId1793" Type="http://schemas.openxmlformats.org/officeDocument/2006/relationships/hyperlink" Target="https://ieeexplore.ieee.org/stamp/stamp.jsp?arnumber=10705392" TargetMode="External"/><Relationship Id="rId1794" Type="http://schemas.openxmlformats.org/officeDocument/2006/relationships/hyperlink" Target="https://ieeexplore.ieee.org/stamp/stamp.jsp?arnumber=10235497" TargetMode="External"/><Relationship Id="rId1795" Type="http://schemas.openxmlformats.org/officeDocument/2006/relationships/hyperlink" Target="https://ieeexplore.ieee.org/stamp/stamp.jsp?arnumber=10667515" TargetMode="External"/><Relationship Id="rId51" Type="http://schemas.openxmlformats.org/officeDocument/2006/relationships/hyperlink" Target="https://ieeexplore.ieee.org/stamp/stamp.jsp?arnumber=10680533" TargetMode="External"/><Relationship Id="rId1785" Type="http://schemas.openxmlformats.org/officeDocument/2006/relationships/hyperlink" Target="https://ieeexplore.ieee.org/stamp/stamp.jsp?arnumber=10196999" TargetMode="External"/><Relationship Id="rId50" Type="http://schemas.openxmlformats.org/officeDocument/2006/relationships/hyperlink" Target="https://ieeexplore.ieee.org/stamp/stamp.jsp?arnumber=10664513" TargetMode="External"/><Relationship Id="rId1786" Type="http://schemas.openxmlformats.org/officeDocument/2006/relationships/hyperlink" Target="https://ieeexplore.ieee.org/stamp/stamp.jsp?arnumber=10196897" TargetMode="External"/><Relationship Id="rId53" Type="http://schemas.openxmlformats.org/officeDocument/2006/relationships/hyperlink" Target="https://ieeexplore.ieee.org/stamp/stamp.jsp?arnumber=10736580" TargetMode="External"/><Relationship Id="rId1787" Type="http://schemas.openxmlformats.org/officeDocument/2006/relationships/hyperlink" Target="https://ieeexplore.ieee.org/stamp/stamp.jsp?arnumber=9444018" TargetMode="External"/><Relationship Id="rId52" Type="http://schemas.openxmlformats.org/officeDocument/2006/relationships/hyperlink" Target="https://ieeexplore.ieee.org/stamp/stamp.jsp?arnumber=10683711" TargetMode="External"/><Relationship Id="rId1788" Type="http://schemas.openxmlformats.org/officeDocument/2006/relationships/hyperlink" Target="https://ieeexplore.ieee.org/stamp/stamp.jsp?arnumber=10491642" TargetMode="External"/><Relationship Id="rId55" Type="http://schemas.openxmlformats.org/officeDocument/2006/relationships/hyperlink" Target="https://ieeexplore.ieee.org/stamp/stamp.jsp?arnumber=10741246" TargetMode="External"/><Relationship Id="rId1789" Type="http://schemas.openxmlformats.org/officeDocument/2006/relationships/hyperlink" Target="https://ieeexplore.ieee.org/stamp/stamp.jsp?arnumber=10885071" TargetMode="External"/><Relationship Id="rId54" Type="http://schemas.openxmlformats.org/officeDocument/2006/relationships/hyperlink" Target="https://ieeexplore.ieee.org/stamp/stamp.jsp?arnumber=10737327" TargetMode="External"/><Relationship Id="rId57" Type="http://schemas.openxmlformats.org/officeDocument/2006/relationships/hyperlink" Target="https://ieeexplore.ieee.org/stamp/stamp.jsp?arnumber=9783853" TargetMode="External"/><Relationship Id="rId56" Type="http://schemas.openxmlformats.org/officeDocument/2006/relationships/hyperlink" Target="https://ieeexplore.ieee.org/stamp/stamp.jsp?arnumber=9208938" TargetMode="External"/><Relationship Id="rId59" Type="http://schemas.openxmlformats.org/officeDocument/2006/relationships/hyperlink" Target="https://ieeexplore.ieee.org/stamp/stamp.jsp?arnumber=10072197" TargetMode="External"/><Relationship Id="rId58" Type="http://schemas.openxmlformats.org/officeDocument/2006/relationships/hyperlink" Target="https://ieeexplore.ieee.org/stamp/stamp.jsp?arnumber=9670226" TargetMode="External"/><Relationship Id="rId1780" Type="http://schemas.openxmlformats.org/officeDocument/2006/relationships/hyperlink" Target="https://ieeexplore.ieee.org/stamp/stamp.jsp?arnumber=10668077" TargetMode="External"/><Relationship Id="rId1781" Type="http://schemas.openxmlformats.org/officeDocument/2006/relationships/hyperlink" Target="https://ieeexplore.ieee.org/stamp/stamp.jsp?arnumber=10668274" TargetMode="External"/><Relationship Id="rId1782" Type="http://schemas.openxmlformats.org/officeDocument/2006/relationships/hyperlink" Target="https://ieeexplore.ieee.org/stamp/stamp.jsp?arnumber=10244398" TargetMode="External"/><Relationship Id="rId1783" Type="http://schemas.openxmlformats.org/officeDocument/2006/relationships/hyperlink" Target="https://ieeexplore.ieee.org/stamp/stamp.jsp?arnumber=9604730" TargetMode="External"/><Relationship Id="rId1784" Type="http://schemas.openxmlformats.org/officeDocument/2006/relationships/hyperlink" Target="https://www.scopus.com/inward/record.uri?eid=2-s2.0-85088162872&amp;doi=10.1109%2fISORC49007.2020.00021&amp;partnerID=40&amp;md5=c6faa30144f27583f0c73e193e0f8586" TargetMode="External"/><Relationship Id="rId2269" Type="http://schemas.openxmlformats.org/officeDocument/2006/relationships/hyperlink" Target="https://ieeexplore.ieee.org/stamp/stamp.jsp?arnumber=8666151" TargetMode="External"/><Relationship Id="rId349" Type="http://schemas.openxmlformats.org/officeDocument/2006/relationships/hyperlink" Target="https://www.scopus.com/inward/record.uri?eid=2-s2.0-85163742508&amp;doi=10.1007%2fs10845-023-02162-9&amp;partnerID=40&amp;md5=9598490acb7a10c0b0e224951b5feb39" TargetMode="External"/><Relationship Id="rId348" Type="http://schemas.openxmlformats.org/officeDocument/2006/relationships/hyperlink" Target="https://www.scopus.com/inward/record.uri?eid=2-s2.0-85182857048&amp;doi=10.1007%2fs10776-023-00613-x&amp;partnerID=40&amp;md5=2c49298d9c543a781b26b7c934b3a13b" TargetMode="External"/><Relationship Id="rId347" Type="http://schemas.openxmlformats.org/officeDocument/2006/relationships/hyperlink" Target="https://www.scopus.com/inward/record.uri?eid=2-s2.0-85207068659&amp;doi=10.1007%2fs10723-024-09782-2&amp;partnerID=40&amp;md5=11390228502cbf96154d6dfd0b12738b" TargetMode="External"/><Relationship Id="rId346" Type="http://schemas.openxmlformats.org/officeDocument/2006/relationships/hyperlink" Target="https://www.scopus.com/inward/record.uri?eid=2-s2.0-85175637777&amp;doi=10.1007%2fs10723-023-09696-5&amp;partnerID=40&amp;md5=cf02653ecc6144df6e017ca61854fa3c" TargetMode="External"/><Relationship Id="rId2260" Type="http://schemas.openxmlformats.org/officeDocument/2006/relationships/hyperlink" Target="https://ieeexplore.ieee.org/stamp/stamp.jsp?arnumber=9401822" TargetMode="External"/><Relationship Id="rId341" Type="http://schemas.openxmlformats.org/officeDocument/2006/relationships/hyperlink" Target="https://www.scopus.com/inward/record.uri?eid=2-s2.0-85135556720&amp;doi=10.1007%2fs10664-022-10162-1&amp;partnerID=40&amp;md5=526eb23534a18ad26972f6143d7b4e6b" TargetMode="External"/><Relationship Id="rId2261" Type="http://schemas.openxmlformats.org/officeDocument/2006/relationships/hyperlink" Target="https://ieeexplore.ieee.org/stamp/stamp.jsp?arnumber=10917799" TargetMode="External"/><Relationship Id="rId340" Type="http://schemas.openxmlformats.org/officeDocument/2006/relationships/hyperlink" Target="https://www.scopus.com/inward/record.uri?eid=2-s2.0-85217398484&amp;doi=10.1007%2fs10586-024-04833-5&amp;partnerID=40&amp;md5=159b614e35865fc3a262ec77c825feaf" TargetMode="External"/><Relationship Id="rId2262" Type="http://schemas.openxmlformats.org/officeDocument/2006/relationships/hyperlink" Target="https://ieeexplore.ieee.org/stamp/stamp.jsp?arnumber=10131106" TargetMode="External"/><Relationship Id="rId2263" Type="http://schemas.openxmlformats.org/officeDocument/2006/relationships/hyperlink" Target="https://www.scopus.com/inward/record.uri?eid=2-s2.0-85197342863&amp;doi=10.1109%2fSysCon61195.2024.10553490&amp;partnerID=40&amp;md5=31a854d2383526bddc2a87d43097d868" TargetMode="External"/><Relationship Id="rId2264" Type="http://schemas.openxmlformats.org/officeDocument/2006/relationships/hyperlink" Target="https://ieeexplore.ieee.org/stamp/stamp.jsp?arnumber=9858607" TargetMode="External"/><Relationship Id="rId345" Type="http://schemas.openxmlformats.org/officeDocument/2006/relationships/hyperlink" Target="https://www.scopus.com/inward/record.uri?eid=2-s2.0-85174173612&amp;doi=10.1007%2fs10723-023-09687-6&amp;partnerID=40&amp;md5=9a34b6caf91d04af6c7e34b94e466f14" TargetMode="External"/><Relationship Id="rId2265" Type="http://schemas.openxmlformats.org/officeDocument/2006/relationships/hyperlink" Target="https://ieeexplore.ieee.org/stamp/stamp.jsp?arnumber=10138644" TargetMode="External"/><Relationship Id="rId344" Type="http://schemas.openxmlformats.org/officeDocument/2006/relationships/hyperlink" Target="https://www.scopus.com/inward/record.uri?eid=2-s2.0-85135321134&amp;doi=10.1007%2fs10723-022-09611-4&amp;partnerID=40&amp;md5=449abdc85cf3cbbeb485a2f5f219d285" TargetMode="External"/><Relationship Id="rId2266" Type="http://schemas.openxmlformats.org/officeDocument/2006/relationships/hyperlink" Target="https://ieeexplore.ieee.org/stamp/stamp.jsp?arnumber=10459067" TargetMode="External"/><Relationship Id="rId343" Type="http://schemas.openxmlformats.org/officeDocument/2006/relationships/hyperlink" Target="https://www.scopus.com/inward/record.uri?eid=2-s2.0-85104852944&amp;doi=10.1007%2fs10723-021-09548-0&amp;partnerID=40&amp;md5=db5b5dfb46f5038503926f1187817f8f" TargetMode="External"/><Relationship Id="rId2267" Type="http://schemas.openxmlformats.org/officeDocument/2006/relationships/hyperlink" Target="https://www.scopus.com/inward/record.uri?eid=2-s2.0-85100848976&amp;doi=10.1109%2fTASE.2020.3046673&amp;partnerID=40&amp;md5=78a20a1cf84025b5d8b6dd9693979ef6" TargetMode="External"/><Relationship Id="rId342" Type="http://schemas.openxmlformats.org/officeDocument/2006/relationships/hyperlink" Target="https://www.scopus.com/inward/record.uri?eid=2-s2.0-85153287877&amp;doi=10.1007%2fs10664-023-10305-y&amp;partnerID=40&amp;md5=120320ea2a79647807b8b6f09e53c22d" TargetMode="External"/><Relationship Id="rId2268" Type="http://schemas.openxmlformats.org/officeDocument/2006/relationships/hyperlink" Target="https://www.scopus.com/inward/record.uri?eid=2-s2.0-85173375040&amp;doi=10.1109%2fTASE.2023.3316224&amp;partnerID=40&amp;md5=49e76c93c7d9fd4548a563637a302939" TargetMode="External"/><Relationship Id="rId2258" Type="http://schemas.openxmlformats.org/officeDocument/2006/relationships/hyperlink" Target="https://ieeexplore.ieee.org/stamp/stamp.jsp?arnumber=10577743" TargetMode="External"/><Relationship Id="rId2259" Type="http://schemas.openxmlformats.org/officeDocument/2006/relationships/hyperlink" Target="https://ieeexplore.ieee.org/stamp/stamp.jsp?arnumber=10391482" TargetMode="External"/><Relationship Id="rId338" Type="http://schemas.openxmlformats.org/officeDocument/2006/relationships/hyperlink" Target="https://www.scopus.com/inward/record.uri?eid=2-s2.0-85207056495&amp;doi=10.1007%2fs10586-024-04686-y&amp;partnerID=40&amp;md5=ad750f45f587bf5916a20f2be448a037" TargetMode="External"/><Relationship Id="rId337" Type="http://schemas.openxmlformats.org/officeDocument/2006/relationships/hyperlink" Target="https://www.scopus.com/inward/record.uri?eid=2-s2.0-85189306472&amp;doi=10.1007%2fs10586-024-04489-1&amp;partnerID=40&amp;md5=01bc60aa0bb57e95f16701ef09f3b475" TargetMode="External"/><Relationship Id="rId336" Type="http://schemas.openxmlformats.org/officeDocument/2006/relationships/hyperlink" Target="https://www.scopus.com/inward/record.uri?eid=2-s2.0-85190304126&amp;doi=10.1007%2fs10586-024-04383-w&amp;partnerID=40&amp;md5=eb4b87d9e1d9ba9cad8d3a46457b0730" TargetMode="External"/><Relationship Id="rId335" Type="http://schemas.openxmlformats.org/officeDocument/2006/relationships/hyperlink" Target="https://www.scopus.com/inward/record.uri?eid=2-s2.0-85184926874&amp;doi=10.1007%2fs10586-024-04277-x&amp;partnerID=40&amp;md5=51f2925a6ee1d4c2273e868d88941c39" TargetMode="External"/><Relationship Id="rId339" Type="http://schemas.openxmlformats.org/officeDocument/2006/relationships/hyperlink" Target="https://www.scopus.com/inward/record.uri?eid=2-s2.0-85207447213&amp;doi=10.1007%2fs10586-024-04756-1&amp;partnerID=40&amp;md5=3720b7d24a078a6ead23592537563eb8" TargetMode="External"/><Relationship Id="rId330" Type="http://schemas.openxmlformats.org/officeDocument/2006/relationships/hyperlink" Target="https://www.scopus.com/inward/record.uri?eid=2-s2.0-85140229339&amp;doi=10.1007%2fs10489-022-04093-z&amp;partnerID=40&amp;md5=da808ac2ea0fbad37e47743e7916f214" TargetMode="External"/><Relationship Id="rId2250" Type="http://schemas.openxmlformats.org/officeDocument/2006/relationships/hyperlink" Target="https://ieeexplore.ieee.org/stamp/stamp.jsp?arnumber=8585516" TargetMode="External"/><Relationship Id="rId2251" Type="http://schemas.openxmlformats.org/officeDocument/2006/relationships/hyperlink" Target="https://ieeexplore.ieee.org/stamp/stamp.jsp?arnumber=9265929" TargetMode="External"/><Relationship Id="rId2252" Type="http://schemas.openxmlformats.org/officeDocument/2006/relationships/hyperlink" Target="https://ieeexplore.ieee.org/stamp/stamp.jsp?arnumber=9627194" TargetMode="External"/><Relationship Id="rId2253" Type="http://schemas.openxmlformats.org/officeDocument/2006/relationships/hyperlink" Target="https://ieeexplore.ieee.org/stamp/stamp.jsp?arnumber=9944805" TargetMode="External"/><Relationship Id="rId334" Type="http://schemas.openxmlformats.org/officeDocument/2006/relationships/hyperlink" Target="https://www.scopus.com/inward/record.uri?eid=2-s2.0-85177840481&amp;doi=10.1007%2fs10586-023-04183-8&amp;partnerID=40&amp;md5=cbad153c735b7a39f1d42bc354aa8525" TargetMode="External"/><Relationship Id="rId2254" Type="http://schemas.openxmlformats.org/officeDocument/2006/relationships/hyperlink" Target="https://ieeexplore.ieee.org/stamp/stamp.jsp?arnumber=9961023" TargetMode="External"/><Relationship Id="rId333" Type="http://schemas.openxmlformats.org/officeDocument/2006/relationships/hyperlink" Target="https://www.scopus.com/inward/record.uri?eid=2-s2.0-85151422721&amp;doi=10.1007%2fs10586-023-03994-z&amp;partnerID=40&amp;md5=b8830cdda7cef6606987cd3adc79daf3" TargetMode="External"/><Relationship Id="rId2255" Type="http://schemas.openxmlformats.org/officeDocument/2006/relationships/hyperlink" Target="https://ieeexplore.ieee.org/stamp/stamp.jsp?arnumber=8896677" TargetMode="External"/><Relationship Id="rId332" Type="http://schemas.openxmlformats.org/officeDocument/2006/relationships/hyperlink" Target="https://www.scopus.com/inward/record.uri?eid=2-s2.0-85096453529&amp;doi=10.1007%2fs10586-020-03210-2&amp;partnerID=40&amp;md5=fc296bf2b012a79ab8061c2e2ea95db0" TargetMode="External"/><Relationship Id="rId2256" Type="http://schemas.openxmlformats.org/officeDocument/2006/relationships/hyperlink" Target="https://ieeexplore.ieee.org/stamp/stamp.jsp?arnumber=10216190" TargetMode="External"/><Relationship Id="rId331" Type="http://schemas.openxmlformats.org/officeDocument/2006/relationships/hyperlink" Target="https://www.scopus.com/inward/record.uri?eid=2-s2.0-85082749567&amp;doi=10.1007%2fs10586-020-03088-0&amp;partnerID=40&amp;md5=882f75959abf57d48e91c0c95f9afab6" TargetMode="External"/><Relationship Id="rId2257" Type="http://schemas.openxmlformats.org/officeDocument/2006/relationships/hyperlink" Target="https://ieeexplore.ieee.org/stamp/stamp.jsp?arnumber=10577687" TargetMode="External"/><Relationship Id="rId370" Type="http://schemas.openxmlformats.org/officeDocument/2006/relationships/hyperlink" Target="https://www.scopus.com/inward/record.uri?eid=2-s2.0-85123167134&amp;doi=10.1007%2fs11277-022-09487-3&amp;partnerID=40&amp;md5=c974ce9fde31b7661c48eecf5b03682f" TargetMode="External"/><Relationship Id="rId369" Type="http://schemas.openxmlformats.org/officeDocument/2006/relationships/hyperlink" Target="https://www.scopus.com/inward/record.uri?eid=2-s2.0-85190390054&amp;doi=10.1007%2fs11276-024-03730-4&amp;partnerID=40&amp;md5=c49370aa50762942975fc7eb577b2c78" TargetMode="External"/><Relationship Id="rId368" Type="http://schemas.openxmlformats.org/officeDocument/2006/relationships/hyperlink" Target="https://www.scopus.com/inward/record.uri?eid=2-s2.0-85125649394&amp;doi=10.1007%2fs11276-022-02920-2&amp;partnerID=40&amp;md5=f90127b2053f401befc3c440c1321363" TargetMode="External"/><Relationship Id="rId2280" Type="http://schemas.openxmlformats.org/officeDocument/2006/relationships/hyperlink" Target="https://ieeexplore.ieee.org/stamp/stamp.jsp?arnumber=9205601" TargetMode="External"/><Relationship Id="rId2281" Type="http://schemas.openxmlformats.org/officeDocument/2006/relationships/hyperlink" Target="https://ieeexplore.ieee.org/stamp/stamp.jsp?arnumber=9238484" TargetMode="External"/><Relationship Id="rId2282" Type="http://schemas.openxmlformats.org/officeDocument/2006/relationships/hyperlink" Target="https://ieeexplore.ieee.org/stamp/stamp.jsp?arnumber=9274526" TargetMode="External"/><Relationship Id="rId363" Type="http://schemas.openxmlformats.org/officeDocument/2006/relationships/hyperlink" Target="https://www.scopus.com/inward/record.uri?eid=2-s2.0-85196259358&amp;doi=10.1007%2fs11227-024-06303-6&amp;partnerID=40&amp;md5=1b3250d2bf954c22545856040f021980" TargetMode="External"/><Relationship Id="rId2283" Type="http://schemas.openxmlformats.org/officeDocument/2006/relationships/hyperlink" Target="https://ieeexplore.ieee.org/stamp/stamp.jsp?arnumber=9609649" TargetMode="External"/><Relationship Id="rId362" Type="http://schemas.openxmlformats.org/officeDocument/2006/relationships/hyperlink" Target="https://www.scopus.com/inward/record.uri?eid=2-s2.0-85180673547&amp;doi=10.1007%2fs11227-023-05856-2&amp;partnerID=40&amp;md5=85f0b16fe4e025eff8a23a8311348517" TargetMode="External"/><Relationship Id="rId2284" Type="http://schemas.openxmlformats.org/officeDocument/2006/relationships/hyperlink" Target="https://ieeexplore.ieee.org/stamp/stamp.jsp?arnumber=9652084" TargetMode="External"/><Relationship Id="rId361" Type="http://schemas.openxmlformats.org/officeDocument/2006/relationships/hyperlink" Target="https://www.scopus.com/inward/record.uri?eid=2-s2.0-85129862924&amp;doi=10.1007%2fs11227-022-04521-4&amp;partnerID=40&amp;md5=506b7b6b0d05ddbed2e8f4d07bd28452" TargetMode="External"/><Relationship Id="rId2285" Type="http://schemas.openxmlformats.org/officeDocument/2006/relationships/hyperlink" Target="https://ieeexplore.ieee.org/stamp/stamp.jsp?arnumber=9740415" TargetMode="External"/><Relationship Id="rId360" Type="http://schemas.openxmlformats.org/officeDocument/2006/relationships/hyperlink" Target="https://www.scopus.com/inward/record.uri?eid=2-s2.0-85127601700&amp;doi=10.1007%2fs11227-022-04463-x&amp;partnerID=40&amp;md5=e36ecb7135bde7c39b6b831da63e3ad4" TargetMode="External"/><Relationship Id="rId2286" Type="http://schemas.openxmlformats.org/officeDocument/2006/relationships/hyperlink" Target="https://ieeexplore.ieee.org/stamp/stamp.jsp?arnumber=9741392" TargetMode="External"/><Relationship Id="rId367" Type="http://schemas.openxmlformats.org/officeDocument/2006/relationships/hyperlink" Target="https://www.scopus.com/inward/record.uri?eid=2-s2.0-85105216351&amp;doi=10.1007%2fs11276-021-02614-1&amp;partnerID=40&amp;md5=3eff1fc8404bf2b4cc0535f7d6991a83" TargetMode="External"/><Relationship Id="rId2287" Type="http://schemas.openxmlformats.org/officeDocument/2006/relationships/hyperlink" Target="https://ieeexplore.ieee.org/stamp/stamp.jsp?arnumber=9761727" TargetMode="External"/><Relationship Id="rId366" Type="http://schemas.openxmlformats.org/officeDocument/2006/relationships/hyperlink" Target="https://www.scopus.com/inward/record.uri?eid=2-s2.0-85184224496&amp;doi=10.1007%2fs11241-024-09418-4&amp;partnerID=40&amp;md5=9c680f8a3bd9e11df16a906de7354abb" TargetMode="External"/><Relationship Id="rId2288" Type="http://schemas.openxmlformats.org/officeDocument/2006/relationships/hyperlink" Target="https://ieeexplore.ieee.org/stamp/stamp.jsp?arnumber=9763051" TargetMode="External"/><Relationship Id="rId365" Type="http://schemas.openxmlformats.org/officeDocument/2006/relationships/hyperlink" Target="https://www.scopus.com/inward/record.uri?eid=2-s2.0-85149327389&amp;doi=10.1007%2fs11235-023-00993-8&amp;partnerID=40&amp;md5=47a254b2e457051e1398fe5e55746671" TargetMode="External"/><Relationship Id="rId2289" Type="http://schemas.openxmlformats.org/officeDocument/2006/relationships/hyperlink" Target="https://www.scopus.com/inward/record.uri?eid=2-s2.0-85135760535&amp;doi=10.1109%2fTCC.2022.3193709&amp;partnerID=40&amp;md5=78fcb0779a146174ca64f2a454e4c77d" TargetMode="External"/><Relationship Id="rId364" Type="http://schemas.openxmlformats.org/officeDocument/2006/relationships/hyperlink" Target="https://www.scopus.com/inward/record.uri?eid=2-s2.0-85212268914&amp;doi=10.1007%2fs11227-024-06678-6&amp;partnerID=40&amp;md5=4b8c271f0fb1e1d9ad6aec27f22909be" TargetMode="External"/><Relationship Id="rId95" Type="http://schemas.openxmlformats.org/officeDocument/2006/relationships/hyperlink" Target="https://www.scopus.com/inward/record.uri?eid=2-s2.0-85201051178&amp;doi=10.1109%2fICSA59870.2024.00012&amp;partnerID=40&amp;md5=ebb3d2628f5d1191a5b97bd9115b93a3" TargetMode="External"/><Relationship Id="rId94" Type="http://schemas.openxmlformats.org/officeDocument/2006/relationships/hyperlink" Target="https://ieeexplore.ieee.org/stamp/stamp.jsp?arnumber=10092637" TargetMode="External"/><Relationship Id="rId97" Type="http://schemas.openxmlformats.org/officeDocument/2006/relationships/hyperlink" Target="https://ieeexplore.ieee.org/stamp/stamp.jsp?arnumber=8885519" TargetMode="External"/><Relationship Id="rId96" Type="http://schemas.openxmlformats.org/officeDocument/2006/relationships/hyperlink" Target="https://ieeexplore.ieee.org/stamp/stamp.jsp?arnumber=10690844" TargetMode="External"/><Relationship Id="rId99" Type="http://schemas.openxmlformats.org/officeDocument/2006/relationships/hyperlink" Target="https://ieeexplore.ieee.org/stamp/stamp.jsp?arnumber=10707516" TargetMode="External"/><Relationship Id="rId98" Type="http://schemas.openxmlformats.org/officeDocument/2006/relationships/hyperlink" Target="https://ieeexplore.ieee.org/stamp/stamp.jsp?arnumber=10707452" TargetMode="External"/><Relationship Id="rId91" Type="http://schemas.openxmlformats.org/officeDocument/2006/relationships/hyperlink" Target="https://ieeexplore.ieee.org/stamp/stamp.jsp?arnumber=10077892" TargetMode="External"/><Relationship Id="rId90" Type="http://schemas.openxmlformats.org/officeDocument/2006/relationships/hyperlink" Target="https://ieeexplore.ieee.org/stamp/stamp.jsp?arnumber=10766556" TargetMode="External"/><Relationship Id="rId93" Type="http://schemas.openxmlformats.org/officeDocument/2006/relationships/hyperlink" Target="https://ieeexplore.ieee.org/stamp/stamp.jsp?arnumber=10092669" TargetMode="External"/><Relationship Id="rId92" Type="http://schemas.openxmlformats.org/officeDocument/2006/relationships/hyperlink" Target="https://ieeexplore.ieee.org/stamp/stamp.jsp?arnumber=10522167" TargetMode="External"/><Relationship Id="rId359" Type="http://schemas.openxmlformats.org/officeDocument/2006/relationships/hyperlink" Target="https://www.scopus.com/inward/record.uri?eid=2-s2.0-85126341772&amp;doi=10.1007%2fs11227-022-04338-1&amp;partnerID=40&amp;md5=a03ce1828f5992f483d2530362351d4d" TargetMode="External"/><Relationship Id="rId358" Type="http://schemas.openxmlformats.org/officeDocument/2006/relationships/hyperlink" Target="https://www.scopus.com/inward/record.uri?eid=2-s2.0-85111319302&amp;doi=10.1007%2fs11227-021-03955-6&amp;partnerID=40&amp;md5=cbe4f0c4842a57d78a7362ba61d809e0" TargetMode="External"/><Relationship Id="rId357" Type="http://schemas.openxmlformats.org/officeDocument/2006/relationships/hyperlink" Target="https://www.scopus.com/inward/record.uri?eid=2-s2.0-85084231420&amp;doi=10.1007%2fs11227-020-03258-2&amp;partnerID=40&amp;md5=b1b6ec1823e74c66cd6445a4182234d3" TargetMode="External"/><Relationship Id="rId2270" Type="http://schemas.openxmlformats.org/officeDocument/2006/relationships/hyperlink" Target="https://ieeexplore.ieee.org/stamp/stamp.jsp?arnumber=9521563" TargetMode="External"/><Relationship Id="rId2271" Type="http://schemas.openxmlformats.org/officeDocument/2006/relationships/hyperlink" Target="https://ieeexplore.ieee.org/stamp/stamp.jsp?arnumber=10356753" TargetMode="External"/><Relationship Id="rId352" Type="http://schemas.openxmlformats.org/officeDocument/2006/relationships/hyperlink" Target="https://www.scopus.com/inward/record.uri?eid=2-s2.0-85128765346&amp;doi=10.1007%2fs10922-022-09660-w&amp;partnerID=40&amp;md5=dfd446c904393a526c422e9d14716cf7" TargetMode="External"/><Relationship Id="rId2272" Type="http://schemas.openxmlformats.org/officeDocument/2006/relationships/hyperlink" Target="https://ieeexplore.ieee.org/stamp/stamp.jsp?arnumber=9018141" TargetMode="External"/><Relationship Id="rId351" Type="http://schemas.openxmlformats.org/officeDocument/2006/relationships/hyperlink" Target="https://www.scopus.com/inward/record.uri?eid=2-s2.0-85088874664&amp;doi=10.1007%2fs10922-020-09557-6&amp;partnerID=40&amp;md5=ba1dd42ef135b26e38ebc9c6054efba6" TargetMode="External"/><Relationship Id="rId2273" Type="http://schemas.openxmlformats.org/officeDocument/2006/relationships/hyperlink" Target="https://ieeexplore.ieee.org/stamp/stamp.jsp?arnumber=9314906" TargetMode="External"/><Relationship Id="rId350" Type="http://schemas.openxmlformats.org/officeDocument/2006/relationships/hyperlink" Target="https://www.scopus.com/inward/record.uri?eid=2-s2.0-85211226385&amp;doi=10.1007%2fs10845-024-02537-6&amp;partnerID=40&amp;md5=e3a68a34b2b01cce4f73ecadc4d11917" TargetMode="External"/><Relationship Id="rId2274" Type="http://schemas.openxmlformats.org/officeDocument/2006/relationships/hyperlink" Target="https://ieeexplore.ieee.org/stamp/stamp.jsp?arnumber=9802863" TargetMode="External"/><Relationship Id="rId2275" Type="http://schemas.openxmlformats.org/officeDocument/2006/relationships/hyperlink" Target="https://www.scopus.com/inward/record.uri?eid=2-s2.0-85181133043&amp;doi=10.1109%2fTC.2023.3329194&amp;partnerID=40&amp;md5=c890ee720b832dea838dfbbb843e091a" TargetMode="External"/><Relationship Id="rId356" Type="http://schemas.openxmlformats.org/officeDocument/2006/relationships/hyperlink" Target="https://www.scopus.com/inward/record.uri?eid=2-s2.0-85186432239&amp;doi=10.1007%2fs11219-024-09660-w&amp;partnerID=40&amp;md5=e185a01f56aa0c7cdb1b6f4ff0b4020e" TargetMode="External"/><Relationship Id="rId2276" Type="http://schemas.openxmlformats.org/officeDocument/2006/relationships/hyperlink" Target="https://www.scopus.com/inward/record.uri?eid=2-s2.0-85209883016&amp;doi=10.1109%2fTC.2024.3500382&amp;partnerID=40&amp;md5=34cdbac33e57c8fa226de6870e50ad85" TargetMode="External"/><Relationship Id="rId355" Type="http://schemas.openxmlformats.org/officeDocument/2006/relationships/hyperlink" Target="https://www.scopus.com/inward/record.uri?eid=2-s2.0-85106207514&amp;doi=10.1007%2fs11219-021-09555-0&amp;partnerID=40&amp;md5=b0ecf71985d4ef4c10438eabe73da349" TargetMode="External"/><Relationship Id="rId2277" Type="http://schemas.openxmlformats.org/officeDocument/2006/relationships/hyperlink" Target="https://www.scopus.com/inward/record.uri?eid=2-s2.0-85139398954&amp;doi=10.1109%2fTCAD.2022.3207328&amp;partnerID=40&amp;md5=ad213bbd8f65212a552f3061f263d8a2" TargetMode="External"/><Relationship Id="rId354" Type="http://schemas.openxmlformats.org/officeDocument/2006/relationships/hyperlink" Target="https://www.scopus.com/inward/record.uri?eid=2-s2.0-85191988725&amp;doi=10.1007%2fs11042-024-19278-6&amp;partnerID=40&amp;md5=75697e163d6fd800ae09181de360f1b4" TargetMode="External"/><Relationship Id="rId2278" Type="http://schemas.openxmlformats.org/officeDocument/2006/relationships/hyperlink" Target="https://www.scopus.com/inward/record.uri?eid=2-s2.0-85168280634&amp;doi=10.1109%2fTCAD.2023.3305575&amp;partnerID=40&amp;md5=78fc9e5fcd80539d7afcebbfbb3fd1b0" TargetMode="External"/><Relationship Id="rId353" Type="http://schemas.openxmlformats.org/officeDocument/2006/relationships/hyperlink" Target="https://www.scopus.com/inward/record.uri?eid=2-s2.0-85088006707&amp;doi=10.1007%2fs11036-020-01620-5&amp;partnerID=40&amp;md5=1b0b770d5da493e4afa9112410286c5a" TargetMode="External"/><Relationship Id="rId2279" Type="http://schemas.openxmlformats.org/officeDocument/2006/relationships/hyperlink" Target="https://www.scopus.com/inward/record.uri?eid=2-s2.0-85097833638&amp;doi=10.1109%2fTCC.2016.2630684&amp;partnerID=40&amp;md5=d0c23c385e19b7df77b1c4cd93215948" TargetMode="External"/><Relationship Id="rId2225" Type="http://schemas.openxmlformats.org/officeDocument/2006/relationships/hyperlink" Target="https://ieeexplore.ieee.org/stamp/stamp.jsp?arnumber=10394009" TargetMode="External"/><Relationship Id="rId2226" Type="http://schemas.openxmlformats.org/officeDocument/2006/relationships/hyperlink" Target="https://ieeexplore.ieee.org/stamp/stamp.jsp?arnumber=9592388" TargetMode="External"/><Relationship Id="rId2227" Type="http://schemas.openxmlformats.org/officeDocument/2006/relationships/hyperlink" Target="https://ieeexplore.ieee.org/stamp/stamp.jsp?arnumber=9592506" TargetMode="External"/><Relationship Id="rId2228" Type="http://schemas.openxmlformats.org/officeDocument/2006/relationships/hyperlink" Target="https://ieeexplore.ieee.org/stamp/stamp.jsp?arnumber=7473004" TargetMode="External"/><Relationship Id="rId2229" Type="http://schemas.openxmlformats.org/officeDocument/2006/relationships/hyperlink" Target="https://ieeexplore.ieee.org/stamp/stamp.jsp?arnumber=7943291" TargetMode="External"/><Relationship Id="rId305" Type="http://schemas.openxmlformats.org/officeDocument/2006/relationships/hyperlink" Target="https://www.scopus.com/inward/record.uri?eid=2-s2.0-85207822518&amp;doi=10.1007%2f978-3-031-74738-0_18&amp;partnerID=40&amp;md5=36eb3f160d374c83b4bf8b4405f7d6c2" TargetMode="External"/><Relationship Id="rId304" Type="http://schemas.openxmlformats.org/officeDocument/2006/relationships/hyperlink" Target="https://doi.org/10.1007/978-3-031-74738-0_12" TargetMode="External"/><Relationship Id="rId303" Type="http://schemas.openxmlformats.org/officeDocument/2006/relationships/hyperlink" Target="https://www.scopus.com/inward/record.uri?eid=2-s2.0-85210844145&amp;doi=10.1007%2f978-3-031-74353-5_32&amp;partnerID=40&amp;md5=10e0ef14fe86c1fa42cc7ce90089b451" TargetMode="External"/><Relationship Id="rId302" Type="http://schemas.openxmlformats.org/officeDocument/2006/relationships/hyperlink" Target="https://doi.org/10.1007/978-3-031-73741-1_15" TargetMode="External"/><Relationship Id="rId309" Type="http://schemas.openxmlformats.org/officeDocument/2006/relationships/hyperlink" Target="https://www.scopus.com/inward/record.uri?eid=2-s2.0-85219185797&amp;doi=10.1007%2f978-3-031-81570-6_6&amp;partnerID=40&amp;md5=9e88b92557bec229b50d1ccf392d3eac" TargetMode="External"/><Relationship Id="rId308" Type="http://schemas.openxmlformats.org/officeDocument/2006/relationships/hyperlink" Target="https://doi.org/10.1007/978-3-031-81542-3_11" TargetMode="External"/><Relationship Id="rId307" Type="http://schemas.openxmlformats.org/officeDocument/2006/relationships/hyperlink" Target="https://doi.org/10.1007/978-3-031-81375-7_15" TargetMode="External"/><Relationship Id="rId306" Type="http://schemas.openxmlformats.org/officeDocument/2006/relationships/hyperlink" Target="https://doi.org/10.1007/978-3-031-78386-9_31" TargetMode="External"/><Relationship Id="rId2220" Type="http://schemas.openxmlformats.org/officeDocument/2006/relationships/hyperlink" Target="https://ieeexplore.ieee.org/stamp/stamp.jsp?arnumber=10207647" TargetMode="External"/><Relationship Id="rId301" Type="http://schemas.openxmlformats.org/officeDocument/2006/relationships/hyperlink" Target="https://www.scopus.com/inward/record.uri?eid=2-s2.0-85209540234&amp;doi=10.1007%2f978-3-031-73122-8_28&amp;partnerID=40&amp;md5=bf9f48f618ee3c094237c74757679914" TargetMode="External"/><Relationship Id="rId2221" Type="http://schemas.openxmlformats.org/officeDocument/2006/relationships/hyperlink" Target="https://ieeexplore.ieee.org/stamp/stamp.jsp?arnumber=10595617" TargetMode="External"/><Relationship Id="rId300" Type="http://schemas.openxmlformats.org/officeDocument/2006/relationships/hyperlink" Target="https://doi.org/10.1007/978-3-031-71707-9_18" TargetMode="External"/><Relationship Id="rId2222" Type="http://schemas.openxmlformats.org/officeDocument/2006/relationships/hyperlink" Target="https://ieeexplore.ieee.org/stamp/stamp.jsp?arnumber=10595621" TargetMode="External"/><Relationship Id="rId2223" Type="http://schemas.openxmlformats.org/officeDocument/2006/relationships/hyperlink" Target="https://ieeexplore.ieee.org/stamp/stamp.jsp?arnumber=10442029" TargetMode="External"/><Relationship Id="rId2224" Type="http://schemas.openxmlformats.org/officeDocument/2006/relationships/hyperlink" Target="https://ieeexplore.ieee.org/stamp/stamp.jsp?arnumber=10393907" TargetMode="External"/><Relationship Id="rId2214" Type="http://schemas.openxmlformats.org/officeDocument/2006/relationships/hyperlink" Target="https://ieeexplore.ieee.org/stamp/stamp.jsp?arnumber=9990228" TargetMode="External"/><Relationship Id="rId2215" Type="http://schemas.openxmlformats.org/officeDocument/2006/relationships/hyperlink" Target="https://ieeexplore.ieee.org/stamp/stamp.jsp?arnumber=10047657" TargetMode="External"/><Relationship Id="rId2216" Type="http://schemas.openxmlformats.org/officeDocument/2006/relationships/hyperlink" Target="https://ieeexplore.ieee.org/stamp/stamp.jsp?arnumber=8421311" TargetMode="External"/><Relationship Id="rId2217" Type="http://schemas.openxmlformats.org/officeDocument/2006/relationships/hyperlink" Target="https://www.scopus.com/inward/record.uri?eid=2-s2.0-85070910045&amp;doi=10.1109%2fSMARTCOMP.2019.00048&amp;partnerID=40&amp;md5=cf761dc4981a102991c7f86e49deccc1" TargetMode="External"/><Relationship Id="rId2218" Type="http://schemas.openxmlformats.org/officeDocument/2006/relationships/hyperlink" Target="https://ieeexplore.ieee.org/stamp/stamp.jsp?arnumber=9821097" TargetMode="External"/><Relationship Id="rId2219" Type="http://schemas.openxmlformats.org/officeDocument/2006/relationships/hyperlink" Target="https://ieeexplore.ieee.org/stamp/stamp.jsp?arnumber=10207621" TargetMode="External"/><Relationship Id="rId2210" Type="http://schemas.openxmlformats.org/officeDocument/2006/relationships/hyperlink" Target="https://ieeexplore.ieee.org/stamp/stamp.jsp?arnumber=9067971" TargetMode="External"/><Relationship Id="rId2211" Type="http://schemas.openxmlformats.org/officeDocument/2006/relationships/hyperlink" Target="https://ieeexplore.ieee.org/stamp/stamp.jsp?arnumber=8806288" TargetMode="External"/><Relationship Id="rId2212" Type="http://schemas.openxmlformats.org/officeDocument/2006/relationships/hyperlink" Target="https://ieeexplore.ieee.org/stamp/stamp.jsp?arnumber=10390002" TargetMode="External"/><Relationship Id="rId2213" Type="http://schemas.openxmlformats.org/officeDocument/2006/relationships/hyperlink" Target="https://ieeexplore.ieee.org/stamp/stamp.jsp?arnumber=10859064" TargetMode="External"/><Relationship Id="rId2247" Type="http://schemas.openxmlformats.org/officeDocument/2006/relationships/hyperlink" Target="https://ieeexplore.ieee.org/stamp/stamp.jsp?arnumber=8526764" TargetMode="External"/><Relationship Id="rId2248" Type="http://schemas.openxmlformats.org/officeDocument/2006/relationships/hyperlink" Target="https://ieeexplore.ieee.org/stamp/stamp.jsp?arnumber=9280696" TargetMode="External"/><Relationship Id="rId2249" Type="http://schemas.openxmlformats.org/officeDocument/2006/relationships/hyperlink" Target="https://ieeexplore.ieee.org/stamp/stamp.jsp?arnumber=9604396" TargetMode="External"/><Relationship Id="rId327" Type="http://schemas.openxmlformats.org/officeDocument/2006/relationships/hyperlink" Target="https://www.scopus.com/inward/record.uri?eid=2-s2.0-85134835394&amp;doi=10.1007%2fs10462-022-10286-2&amp;partnerID=40&amp;md5=d2715c50b2977348284d9ced40694664" TargetMode="External"/><Relationship Id="rId326" Type="http://schemas.openxmlformats.org/officeDocument/2006/relationships/hyperlink" Target="https://www.scopus.com/inward/record.uri?eid=2-s2.0-85207810374&amp;doi=10.1007%2fs10270-024-01230-9&amp;partnerID=40&amp;md5=69c819de579aa17becc633ce66453466" TargetMode="External"/><Relationship Id="rId325" Type="http://schemas.openxmlformats.org/officeDocument/2006/relationships/hyperlink" Target="https://www.scopus.com/inward/record.uri?eid=2-s2.0-85120056123&amp;doi=10.1007%2fs10270-021-00946-2&amp;partnerID=40&amp;md5=1dcb2fe4f7961982c508fc0f71907291" TargetMode="External"/><Relationship Id="rId324" Type="http://schemas.openxmlformats.org/officeDocument/2006/relationships/hyperlink" Target="https://www.scopus.com/inward/record.uri?eid=2-s2.0-85140973896&amp;doi=10.1007%2fs10115-022-01771-9&amp;partnerID=40&amp;md5=e7f11d3084186f5505796949df2a1d9d" TargetMode="External"/><Relationship Id="rId329" Type="http://schemas.openxmlformats.org/officeDocument/2006/relationships/hyperlink" Target="https://www.scopus.com/inward/record.uri?eid=2-s2.0-85217392036&amp;doi=10.1007%2fs10462-025-11108-x&amp;partnerID=40&amp;md5=e2508bb03e62fef081fcea706e4d4072" TargetMode="External"/><Relationship Id="rId328" Type="http://schemas.openxmlformats.org/officeDocument/2006/relationships/hyperlink" Target="https://www.scopus.com/inward/record.uri?eid=2-s2.0-85185395922&amp;doi=10.1007%2fs10462-023-10684-0&amp;partnerID=40&amp;md5=2ec6da22a0cb4e86e1ff318eca5d2d8f" TargetMode="External"/><Relationship Id="rId2240" Type="http://schemas.openxmlformats.org/officeDocument/2006/relationships/hyperlink" Target="https://ieeexplore.ieee.org/stamp/stamp.jsp?arnumber=10254753" TargetMode="External"/><Relationship Id="rId2241" Type="http://schemas.openxmlformats.org/officeDocument/2006/relationships/hyperlink" Target="https://ieeexplore.ieee.org/stamp/stamp.jsp?arnumber=10685327" TargetMode="External"/><Relationship Id="rId2242" Type="http://schemas.openxmlformats.org/officeDocument/2006/relationships/hyperlink" Target="https://ieeexplore.ieee.org/stamp/stamp.jsp?arnumber=10685324" TargetMode="External"/><Relationship Id="rId323" Type="http://schemas.openxmlformats.org/officeDocument/2006/relationships/hyperlink" Target="https://www.scopus.com/inward/record.uri?eid=2-s2.0-85212157486&amp;doi=10.1007%2fs00607-024-01352-4&amp;partnerID=40&amp;md5=cf5802da7c9a27bf270c1a53d8bdb3d1" TargetMode="External"/><Relationship Id="rId2243" Type="http://schemas.openxmlformats.org/officeDocument/2006/relationships/hyperlink" Target="https://ieeexplore.ieee.org/stamp/stamp.jsp?arnumber=10234363" TargetMode="External"/><Relationship Id="rId322" Type="http://schemas.openxmlformats.org/officeDocument/2006/relationships/hyperlink" Target="https://www.scopus.com/inward/record.uri?eid=2-s2.0-85107726562&amp;doi=10.1007%2fs00607-021-00963-5&amp;partnerID=40&amp;md5=96d5f529e979551339f36a7dd370c029" TargetMode="External"/><Relationship Id="rId2244" Type="http://schemas.openxmlformats.org/officeDocument/2006/relationships/hyperlink" Target="https://ieeexplore.ieee.org/stamp/stamp.jsp?arnumber=10664353" TargetMode="External"/><Relationship Id="rId321" Type="http://schemas.openxmlformats.org/officeDocument/2006/relationships/hyperlink" Target="https://www.scopus.com/inward/record.uri?eid=2-s2.0-85102179025&amp;doi=10.1007%2fs00607-021-00925-x&amp;partnerID=40&amp;md5=f9a484f1f30dc62ed5d6174f29184d81" TargetMode="External"/><Relationship Id="rId2245" Type="http://schemas.openxmlformats.org/officeDocument/2006/relationships/hyperlink" Target="https://ieeexplore.ieee.org/stamp/stamp.jsp?arnumber=10664232" TargetMode="External"/><Relationship Id="rId320" Type="http://schemas.openxmlformats.org/officeDocument/2006/relationships/hyperlink" Target="https://www.scopus.com/inward/record.uri?eid=2-s2.0-85139439100&amp;doi=10.1007%2fs00500-022-07546-2&amp;partnerID=40&amp;md5=59e13fce9438ee122cb4f39d1fe719dd" TargetMode="External"/><Relationship Id="rId2246" Type="http://schemas.openxmlformats.org/officeDocument/2006/relationships/hyperlink" Target="https://ieeexplore.ieee.org/stamp/stamp.jsp?arnumber=10664210" TargetMode="External"/><Relationship Id="rId2236" Type="http://schemas.openxmlformats.org/officeDocument/2006/relationships/hyperlink" Target="https://ieeexplore.ieee.org/stamp/stamp.jsp?arnumber=10254776" TargetMode="External"/><Relationship Id="rId2237" Type="http://schemas.openxmlformats.org/officeDocument/2006/relationships/hyperlink" Target="https://ieeexplore.ieee.org/stamp/stamp.jsp?arnumber=10254763" TargetMode="External"/><Relationship Id="rId2238" Type="http://schemas.openxmlformats.org/officeDocument/2006/relationships/hyperlink" Target="https://ieeexplore.ieee.org/stamp/stamp.jsp?arnumber=10254740" TargetMode="External"/><Relationship Id="rId2239" Type="http://schemas.openxmlformats.org/officeDocument/2006/relationships/hyperlink" Target="https://ieeexplore.ieee.org/stamp/stamp.jsp?arnumber=10254771" TargetMode="External"/><Relationship Id="rId316" Type="http://schemas.openxmlformats.org/officeDocument/2006/relationships/hyperlink" Target="https://www.scopus.com/inward/record.uri?eid=2-s2.0-85146669636&amp;doi=10.1007%2f978-981-19-9198-1_37&amp;partnerID=40&amp;md5=f84ee2ac51b111282acae7bd5cd05b09" TargetMode="External"/><Relationship Id="rId315" Type="http://schemas.openxmlformats.org/officeDocument/2006/relationships/hyperlink" Target="https://www.scopus.com/inward/record.uri?eid=2-s2.0-85149969801&amp;doi=10.1007%2f978-981-19-6634-7_41&amp;partnerID=40&amp;md5=e4666817824897f2f013c74c8118dcfb" TargetMode="External"/><Relationship Id="rId314" Type="http://schemas.openxmlformats.org/officeDocument/2006/relationships/hyperlink" Target="https://www.scopus.com/inward/record.uri?eid=2-s2.0-85135001872&amp;doi=10.1007%2f978-981-19-3440-7_7&amp;partnerID=40&amp;md5=38e72784f653c987c163cda9463aca7c" TargetMode="External"/><Relationship Id="rId313" Type="http://schemas.openxmlformats.org/officeDocument/2006/relationships/hyperlink" Target="https://www.scopus.com/inward/record.uri?eid=2-s2.0-85103305180&amp;doi=10.1007%2f978-981-16-0507-9_4&amp;partnerID=40&amp;md5=8a26b0a24a1703c0fc8643c10b34e2aa" TargetMode="External"/><Relationship Id="rId319" Type="http://schemas.openxmlformats.org/officeDocument/2006/relationships/hyperlink" Target="https://www.scopus.com/inward/record.uri?eid=2-s2.0-85188325172&amp;doi=10.1007%2fs00202-024-02327-6&amp;partnerID=40&amp;md5=5f7f8547b28da9c4819c2aad8d225820" TargetMode="External"/><Relationship Id="rId318" Type="http://schemas.openxmlformats.org/officeDocument/2006/relationships/hyperlink" Target="https://www.scopus.com/inward/record.uri?eid=2-s2.0-85202857687&amp;doi=10.1007%2f978-981-97-4982-9_2&amp;partnerID=40&amp;md5=5acee0a3b8640a78aef4a706e89c36b0" TargetMode="External"/><Relationship Id="rId317" Type="http://schemas.openxmlformats.org/officeDocument/2006/relationships/hyperlink" Target="https://doi.org/10.1007/978-981-96-0808-9_6" TargetMode="External"/><Relationship Id="rId2230" Type="http://schemas.openxmlformats.org/officeDocument/2006/relationships/hyperlink" Target="https://ieeexplore.ieee.org/stamp/stamp.jsp?arnumber=7943295" TargetMode="External"/><Relationship Id="rId2231" Type="http://schemas.openxmlformats.org/officeDocument/2006/relationships/hyperlink" Target="https://ieeexplore.ieee.org/stamp/stamp.jsp?arnumber=8359158" TargetMode="External"/><Relationship Id="rId312" Type="http://schemas.openxmlformats.org/officeDocument/2006/relationships/hyperlink" Target="https://doi.org/10.1007/978-3-319-69035-3_28" TargetMode="External"/><Relationship Id="rId2232" Type="http://schemas.openxmlformats.org/officeDocument/2006/relationships/hyperlink" Target="https://ieeexplore.ieee.org/stamp/stamp.jsp?arnumber=8705797" TargetMode="External"/><Relationship Id="rId311" Type="http://schemas.openxmlformats.org/officeDocument/2006/relationships/hyperlink" Target="https://doi.org/10.1007/978-3-319-69035-3_17" TargetMode="External"/><Relationship Id="rId2233" Type="http://schemas.openxmlformats.org/officeDocument/2006/relationships/hyperlink" Target="https://ieeexplore.ieee.org/stamp/stamp.jsp?arnumber=8705815" TargetMode="External"/><Relationship Id="rId310" Type="http://schemas.openxmlformats.org/officeDocument/2006/relationships/hyperlink" Target="https://www.scopus.com/inward/record.uri?eid=2-s2.0-86000026396&amp;doi=10.1007%2f978-3-031-84617-5_10&amp;partnerID=40&amp;md5=0cc1c9eff8a979a5d71a73619ba8f885" TargetMode="External"/><Relationship Id="rId2234" Type="http://schemas.openxmlformats.org/officeDocument/2006/relationships/hyperlink" Target="https://ieeexplore.ieee.org/stamp/stamp.jsp?arnumber=9912613" TargetMode="External"/><Relationship Id="rId2235" Type="http://schemas.openxmlformats.org/officeDocument/2006/relationships/hyperlink" Target="https://ieeexplore.ieee.org/stamp/stamp.jsp?arnumber=9912629" TargetMode="External"/><Relationship Id="rId297" Type="http://schemas.openxmlformats.org/officeDocument/2006/relationships/hyperlink" Target="https://doi.org/10.1007/978-3-031-66459-5_8" TargetMode="External"/><Relationship Id="rId296" Type="http://schemas.openxmlformats.org/officeDocument/2006/relationships/hyperlink" Target="https://doi.org/10.1007/978-3-031-66459-5_2" TargetMode="External"/><Relationship Id="rId295" Type="http://schemas.openxmlformats.org/officeDocument/2006/relationships/hyperlink" Target="https://doi.org/10.1007/978-3-031-65329-2_23" TargetMode="External"/><Relationship Id="rId294" Type="http://schemas.openxmlformats.org/officeDocument/2006/relationships/hyperlink" Target="https://doi.org/10.1007/978-3-031-65154-0_9" TargetMode="External"/><Relationship Id="rId299" Type="http://schemas.openxmlformats.org/officeDocument/2006/relationships/hyperlink" Target="https://doi.org/10.1007/978-3-031-70797-1_19" TargetMode="External"/><Relationship Id="rId298" Type="http://schemas.openxmlformats.org/officeDocument/2006/relationships/hyperlink" Target="https://doi.org/10.1007/978-3-031-70753-7_7" TargetMode="External"/><Relationship Id="rId271" Type="http://schemas.openxmlformats.org/officeDocument/2006/relationships/hyperlink" Target="https://doi.org/10.1007/978-3-031-26507-5_20" TargetMode="External"/><Relationship Id="rId270" Type="http://schemas.openxmlformats.org/officeDocument/2006/relationships/hyperlink" Target="https://doi.org/10.1007/978-3-031-26507-5_15" TargetMode="External"/><Relationship Id="rId269" Type="http://schemas.openxmlformats.org/officeDocument/2006/relationships/hyperlink" Target="https://doi.org/10.1007/978-3-031-26422-1_43" TargetMode="External"/><Relationship Id="rId264" Type="http://schemas.openxmlformats.org/officeDocument/2006/relationships/hyperlink" Target="https://www.scopus.com/inward/record.uri?eid=2-s2.0-85142099617&amp;doi=10.1007%2f978-3-031-18458-1_17&amp;partnerID=40&amp;md5=cff5b915c11b98d6ded187e2ac6e84d8" TargetMode="External"/><Relationship Id="rId263" Type="http://schemas.openxmlformats.org/officeDocument/2006/relationships/hyperlink" Target="https://www.scopus.com/inward/record.uri?eid=2-s2.0-85141775842&amp;doi=10.1007%2f978-3-031-17081-2_12&amp;partnerID=40&amp;md5=8dfa82136314e4ca604d31240d7e0d07" TargetMode="External"/><Relationship Id="rId262" Type="http://schemas.openxmlformats.org/officeDocument/2006/relationships/hyperlink" Target="https://doi.org/10.1007/978-3-031-15565-9_4" TargetMode="External"/><Relationship Id="rId261" Type="http://schemas.openxmlformats.org/officeDocument/2006/relationships/hyperlink" Target="https://doi.org/10.1007/978-3-031-13832-4_10" TargetMode="External"/><Relationship Id="rId268" Type="http://schemas.openxmlformats.org/officeDocument/2006/relationships/hyperlink" Target="https://doi.org/10.1007/978-3-031-23470-5_7" TargetMode="External"/><Relationship Id="rId267" Type="http://schemas.openxmlformats.org/officeDocument/2006/relationships/hyperlink" Target="https://doi.org/10.1007/978-3-031-22698-4_12" TargetMode="External"/><Relationship Id="rId266" Type="http://schemas.openxmlformats.org/officeDocument/2006/relationships/hyperlink" Target="https://www.scopus.com/inward/record.uri?eid=2-s2.0-85142674472&amp;doi=10.1007%2f978-3-031-21388-5_47&amp;partnerID=40&amp;md5=ef9687526b74a92380d2c3528da15b29" TargetMode="External"/><Relationship Id="rId265" Type="http://schemas.openxmlformats.org/officeDocument/2006/relationships/hyperlink" Target="https://doi.org/10.1007/978-3-031-19433-7_46" TargetMode="External"/><Relationship Id="rId260" Type="http://schemas.openxmlformats.org/officeDocument/2006/relationships/hyperlink" Target="https://www.scopus.com/inward/record.uri?eid=2-s2.0-85135038487&amp;doi=10.1007%2f978-3-031-10183-0_8&amp;partnerID=40&amp;md5=b66219db63f89dbfad2f9bf6ee0b2c30" TargetMode="External"/><Relationship Id="rId259" Type="http://schemas.openxmlformats.org/officeDocument/2006/relationships/hyperlink" Target="https://www.scopus.com/inward/record.uri?eid=2-s2.0-85131920560&amp;doi=10.1007%2f978-3-031-07012-9_15&amp;partnerID=40&amp;md5=30a575fc28badf1e444b0ebb0b60263b" TargetMode="External"/><Relationship Id="rId258" Type="http://schemas.openxmlformats.org/officeDocument/2006/relationships/hyperlink" Target="https://doi.org/10.1007/978-3-031-04718-3_8" TargetMode="External"/><Relationship Id="rId2290" Type="http://schemas.openxmlformats.org/officeDocument/2006/relationships/hyperlink" Target="https://ieeexplore.ieee.org/stamp/stamp.jsp?arnumber=10418550" TargetMode="External"/><Relationship Id="rId2291" Type="http://schemas.openxmlformats.org/officeDocument/2006/relationships/hyperlink" Target="https://www.scopus.com/inward/record.uri?eid=2-s2.0-85189152214&amp;doi=10.1109%2fTCC.2024.3381646&amp;partnerID=40&amp;md5=42c2547cc86ab4e0ac5d76ca5988d9b1" TargetMode="External"/><Relationship Id="rId2292" Type="http://schemas.openxmlformats.org/officeDocument/2006/relationships/hyperlink" Target="https://ieeexplore.ieee.org/stamp/stamp.jsp?arnumber=10529172" TargetMode="External"/><Relationship Id="rId2293" Type="http://schemas.openxmlformats.org/officeDocument/2006/relationships/hyperlink" Target="https://ieeexplore.ieee.org/stamp/stamp.jsp?arnumber=10545338" TargetMode="External"/><Relationship Id="rId253" Type="http://schemas.openxmlformats.org/officeDocument/2006/relationships/hyperlink" Target="https://doi.org/10.1007/978-3-030-88224-2_5" TargetMode="External"/><Relationship Id="rId2294" Type="http://schemas.openxmlformats.org/officeDocument/2006/relationships/hyperlink" Target="https://ieeexplore.ieee.org/stamp/stamp.jsp?arnumber=10681248" TargetMode="External"/><Relationship Id="rId252" Type="http://schemas.openxmlformats.org/officeDocument/2006/relationships/hyperlink" Target="https://doi.org/10.1007/978-3-030-87007-2_20" TargetMode="External"/><Relationship Id="rId2295" Type="http://schemas.openxmlformats.org/officeDocument/2006/relationships/hyperlink" Target="https://www.scopus.com/inward/record.uri?eid=2-s2.0-85207134247&amp;doi=10.1109%2fTCC.2024.3476210&amp;partnerID=40&amp;md5=6b0d16b48b961c1be7abc09b7a7d3dfe" TargetMode="External"/><Relationship Id="rId251" Type="http://schemas.openxmlformats.org/officeDocument/2006/relationships/hyperlink" Target="https://doi.org/10.1007/978-3-030-86960-1_37" TargetMode="External"/><Relationship Id="rId2296" Type="http://schemas.openxmlformats.org/officeDocument/2006/relationships/hyperlink" Target="https://ieeexplore.ieee.org/stamp/stamp.jsp?arnumber=10814988" TargetMode="External"/><Relationship Id="rId250" Type="http://schemas.openxmlformats.org/officeDocument/2006/relationships/hyperlink" Target="https://www.scopus.com/inward/record.uri?eid=2-s2.0-85111796452&amp;doi=10.1007%2f978-3-030-79186-5_25&amp;partnerID=40&amp;md5=d9a94527beb30181d740b51faa09ab8f" TargetMode="External"/><Relationship Id="rId2297" Type="http://schemas.openxmlformats.org/officeDocument/2006/relationships/hyperlink" Target="https://www.scopus.com/inward/record.uri?eid=2-s2.0-85103191563&amp;doi=10.1109%2fTCCN.2021.3066619&amp;partnerID=40&amp;md5=226fe8d830676983512604919c3ca995" TargetMode="External"/><Relationship Id="rId257" Type="http://schemas.openxmlformats.org/officeDocument/2006/relationships/hyperlink" Target="https://doi.org/10.1007/978-3-031-04580-6_23" TargetMode="External"/><Relationship Id="rId2298" Type="http://schemas.openxmlformats.org/officeDocument/2006/relationships/hyperlink" Target="https://ieeexplore.ieee.org/stamp/stamp.jsp?arnumber=10623808" TargetMode="External"/><Relationship Id="rId256" Type="http://schemas.openxmlformats.org/officeDocument/2006/relationships/hyperlink" Target="https://doi.org/10.1007/978-3-030-95388-1_44" TargetMode="External"/><Relationship Id="rId2299" Type="http://schemas.openxmlformats.org/officeDocument/2006/relationships/hyperlink" Target="https://ieeexplore.ieee.org/stamp/stamp.jsp?arnumber=9173527" TargetMode="External"/><Relationship Id="rId255" Type="http://schemas.openxmlformats.org/officeDocument/2006/relationships/hyperlink" Target="https://doi.org/10.1007/978-3-030-93747-8_10" TargetMode="External"/><Relationship Id="rId254" Type="http://schemas.openxmlformats.org/officeDocument/2006/relationships/hyperlink" Target="https://doi.org/10.1007/978-3-030-91431-8_34" TargetMode="External"/><Relationship Id="rId293" Type="http://schemas.openxmlformats.org/officeDocument/2006/relationships/hyperlink" Target="https://doi.org/10.1007/978-3-031-63783-4_18" TargetMode="External"/><Relationship Id="rId292" Type="http://schemas.openxmlformats.org/officeDocument/2006/relationships/hyperlink" Target="https://doi.org/10.1007/978-3-031-62645-6_10" TargetMode="External"/><Relationship Id="rId291" Type="http://schemas.openxmlformats.org/officeDocument/2006/relationships/hyperlink" Target="https://doi.org/10.1007/978-3-031-62362-2_10" TargetMode="External"/><Relationship Id="rId290" Type="http://schemas.openxmlformats.org/officeDocument/2006/relationships/hyperlink" Target="https://doi.org/10.1007/978-3-031-61063-9_19" TargetMode="External"/><Relationship Id="rId286" Type="http://schemas.openxmlformats.org/officeDocument/2006/relationships/hyperlink" Target="https://doi.org/10.1007/978-3-031-48652-4_13" TargetMode="External"/><Relationship Id="rId285" Type="http://schemas.openxmlformats.org/officeDocument/2006/relationships/hyperlink" Target="https://doi.org/10.1007/978-3-031-48421-6_8" TargetMode="External"/><Relationship Id="rId284" Type="http://schemas.openxmlformats.org/officeDocument/2006/relationships/hyperlink" Target="https://doi.org/10.1007/978-3-031-47969-4_17" TargetMode="External"/><Relationship Id="rId283" Type="http://schemas.openxmlformats.org/officeDocument/2006/relationships/hyperlink" Target="https://doi.org/10.1007/978-3-031-46235-1_17" TargetMode="External"/><Relationship Id="rId289" Type="http://schemas.openxmlformats.org/officeDocument/2006/relationships/hyperlink" Target="https://doi.org/10.1007/978-3-031-49435-2_1" TargetMode="External"/><Relationship Id="rId288" Type="http://schemas.openxmlformats.org/officeDocument/2006/relationships/hyperlink" Target="https://doi.org/10.1007/978-3-031-49361-4_5" TargetMode="External"/><Relationship Id="rId287" Type="http://schemas.openxmlformats.org/officeDocument/2006/relationships/hyperlink" Target="https://doi.org/10.1007/978-3-031-48803-0_6" TargetMode="External"/><Relationship Id="rId282" Type="http://schemas.openxmlformats.org/officeDocument/2006/relationships/hyperlink" Target="https://doi.org/10.1007/978-3-031-46235-1_14" TargetMode="External"/><Relationship Id="rId281" Type="http://schemas.openxmlformats.org/officeDocument/2006/relationships/hyperlink" Target="https://doi.org/10.1007/978-3-031-46077-7_27" TargetMode="External"/><Relationship Id="rId280" Type="http://schemas.openxmlformats.org/officeDocument/2006/relationships/hyperlink" Target="https://www.scopus.com/inward/record.uri?eid=2-s2.0-85172420363&amp;doi=10.1007%2f978-3-031-43247-7_12&amp;partnerID=40&amp;md5=8ba47af281fddd0bca1039a54fc6cca6" TargetMode="External"/><Relationship Id="rId275" Type="http://schemas.openxmlformats.org/officeDocument/2006/relationships/hyperlink" Target="https://doi.org/10.1007/978-3-031-36889-9_9" TargetMode="External"/><Relationship Id="rId274" Type="http://schemas.openxmlformats.org/officeDocument/2006/relationships/hyperlink" Target="https://doi.org/10.1007/978-3-031-36889-9_21" TargetMode="External"/><Relationship Id="rId273" Type="http://schemas.openxmlformats.org/officeDocument/2006/relationships/hyperlink" Target="https://www.scopus.com/inward/record.uri?eid=2-s2.0-85200738493&amp;doi=10.1007%2f978-3-031-36030-5_38&amp;partnerID=40&amp;md5=f9403663b362bff8d199971387ba5019" TargetMode="External"/><Relationship Id="rId272" Type="http://schemas.openxmlformats.org/officeDocument/2006/relationships/hyperlink" Target="https://doi.org/10.1007/978-3-031-29315-3_8" TargetMode="External"/><Relationship Id="rId279" Type="http://schemas.openxmlformats.org/officeDocument/2006/relationships/hyperlink" Target="https://doi.org/10.1007/978-3-031-43185-2_21" TargetMode="External"/><Relationship Id="rId278" Type="http://schemas.openxmlformats.org/officeDocument/2006/relationships/hyperlink" Target="https://doi.org/10.1007/978-3-031-42592-9_15" TargetMode="External"/><Relationship Id="rId277" Type="http://schemas.openxmlformats.org/officeDocument/2006/relationships/hyperlink" Target="https://www.scopus.com/inward/record.uri?eid=2-s2.0-85166929837&amp;doi=10.1007%2f978-3-031-40177-0_21&amp;partnerID=40&amp;md5=7bdc600341c832ea540768135c594aab" TargetMode="External"/><Relationship Id="rId276" Type="http://schemas.openxmlformats.org/officeDocument/2006/relationships/hyperlink" Target="https://doi.org/10.1007/978-3-031-39764-6_9" TargetMode="External"/><Relationship Id="rId1851" Type="http://schemas.openxmlformats.org/officeDocument/2006/relationships/hyperlink" Target="https://ieeexplore.ieee.org/stamp/stamp.jsp?arnumber=8856237" TargetMode="External"/><Relationship Id="rId1852" Type="http://schemas.openxmlformats.org/officeDocument/2006/relationships/hyperlink" Target="https://ieeexplore.ieee.org/stamp/stamp.jsp?arnumber=8920092" TargetMode="External"/><Relationship Id="rId1853" Type="http://schemas.openxmlformats.org/officeDocument/2006/relationships/hyperlink" Target="https://www.scopus.com/inward/record.uri?eid=2-s2.0-85083712966&amp;doi=10.1109%2fJIOT.2020.2972776&amp;partnerID=40&amp;md5=22ea0afcbef749465b8b0e426928189e" TargetMode="External"/><Relationship Id="rId1854" Type="http://schemas.openxmlformats.org/officeDocument/2006/relationships/hyperlink" Target="https://ieeexplore.ieee.org/stamp/stamp.jsp?arnumber=9091965" TargetMode="External"/><Relationship Id="rId1855" Type="http://schemas.openxmlformats.org/officeDocument/2006/relationships/hyperlink" Target="https://ieeexplore.ieee.org/stamp/stamp.jsp?arnumber=9063670" TargetMode="External"/><Relationship Id="rId1856" Type="http://schemas.openxmlformats.org/officeDocument/2006/relationships/hyperlink" Target="https://ieeexplore.ieee.org/stamp/stamp.jsp?arnumber=9098906" TargetMode="External"/><Relationship Id="rId1857" Type="http://schemas.openxmlformats.org/officeDocument/2006/relationships/hyperlink" Target="https://ieeexplore.ieee.org/stamp/stamp.jsp?arnumber=9122603" TargetMode="External"/><Relationship Id="rId1858" Type="http://schemas.openxmlformats.org/officeDocument/2006/relationships/hyperlink" Target="https://ieeexplore.ieee.org/stamp/stamp.jsp?arnumber=9123504" TargetMode="External"/><Relationship Id="rId1859" Type="http://schemas.openxmlformats.org/officeDocument/2006/relationships/hyperlink" Target="https://ieeexplore.ieee.org/stamp/stamp.jsp?arnumber=9134385" TargetMode="External"/><Relationship Id="rId1850" Type="http://schemas.openxmlformats.org/officeDocument/2006/relationships/hyperlink" Target="https://ieeexplore.ieee.org/stamp/stamp.jsp?arnumber=8850067" TargetMode="External"/><Relationship Id="rId1840" Type="http://schemas.openxmlformats.org/officeDocument/2006/relationships/hyperlink" Target="https://ieeexplore.ieee.org/stamp/stamp.jsp?arnumber=8320280" TargetMode="External"/><Relationship Id="rId1841" Type="http://schemas.openxmlformats.org/officeDocument/2006/relationships/hyperlink" Target="https://ieeexplore.ieee.org/stamp/stamp.jsp?arnumber=8410666" TargetMode="External"/><Relationship Id="rId1842" Type="http://schemas.openxmlformats.org/officeDocument/2006/relationships/hyperlink" Target="https://ieeexplore.ieee.org/stamp/stamp.jsp?arnumber=8430662" TargetMode="External"/><Relationship Id="rId1843" Type="http://schemas.openxmlformats.org/officeDocument/2006/relationships/hyperlink" Target="https://ieeexplore.ieee.org/stamp/stamp.jsp?arnumber=8424819" TargetMode="External"/><Relationship Id="rId1844" Type="http://schemas.openxmlformats.org/officeDocument/2006/relationships/hyperlink" Target="https://ieeexplore.ieee.org/stamp/stamp.jsp?arnumber=8489908" TargetMode="External"/><Relationship Id="rId1845" Type="http://schemas.openxmlformats.org/officeDocument/2006/relationships/hyperlink" Target="https://ieeexplore.ieee.org/stamp/stamp.jsp?arnumber=8533367" TargetMode="External"/><Relationship Id="rId1846" Type="http://schemas.openxmlformats.org/officeDocument/2006/relationships/hyperlink" Target="https://ieeexplore.ieee.org/stamp/stamp.jsp?arnumber=8572758" TargetMode="External"/><Relationship Id="rId1847" Type="http://schemas.openxmlformats.org/officeDocument/2006/relationships/hyperlink" Target="https://ieeexplore.ieee.org/stamp/stamp.jsp?arnumber=8620612" TargetMode="External"/><Relationship Id="rId1848" Type="http://schemas.openxmlformats.org/officeDocument/2006/relationships/hyperlink" Target="https://ieeexplore.ieee.org/stamp/stamp.jsp?arnumber=8752396" TargetMode="External"/><Relationship Id="rId1849" Type="http://schemas.openxmlformats.org/officeDocument/2006/relationships/hyperlink" Target="https://ieeexplore.ieee.org/stamp/stamp.jsp?arnumber=8825476" TargetMode="External"/><Relationship Id="rId1873" Type="http://schemas.openxmlformats.org/officeDocument/2006/relationships/hyperlink" Target="https://ieeexplore.ieee.org/stamp/stamp.jsp?arnumber=9365708" TargetMode="External"/><Relationship Id="rId1874" Type="http://schemas.openxmlformats.org/officeDocument/2006/relationships/hyperlink" Target="https://ieeexplore.ieee.org/stamp/stamp.jsp?arnumber=9373577" TargetMode="External"/><Relationship Id="rId1875" Type="http://schemas.openxmlformats.org/officeDocument/2006/relationships/hyperlink" Target="https://ieeexplore.ieee.org/stamp/stamp.jsp?arnumber=9424138" TargetMode="External"/><Relationship Id="rId1876" Type="http://schemas.openxmlformats.org/officeDocument/2006/relationships/hyperlink" Target="https://ieeexplore.ieee.org/stamp/stamp.jsp?arnumber=9438712" TargetMode="External"/><Relationship Id="rId1877" Type="http://schemas.openxmlformats.org/officeDocument/2006/relationships/hyperlink" Target="https://ieeexplore.ieee.org/stamp/stamp.jsp?arnumber=9444334" TargetMode="External"/><Relationship Id="rId1878" Type="http://schemas.openxmlformats.org/officeDocument/2006/relationships/hyperlink" Target="https://www.scopus.com/inward/record.uri?eid=2-s2.0-85114015481&amp;doi=10.1109%2fJIOT.2021.3088217&amp;partnerID=40&amp;md5=f37fed3f7f62e68fff936996d60a7740" TargetMode="External"/><Relationship Id="rId1879" Type="http://schemas.openxmlformats.org/officeDocument/2006/relationships/hyperlink" Target="https://ieeexplore.ieee.org/stamp/stamp.jsp?arnumber=9453402" TargetMode="External"/><Relationship Id="rId1870" Type="http://schemas.openxmlformats.org/officeDocument/2006/relationships/hyperlink" Target="https://ieeexplore.ieee.org/stamp/stamp.jsp?arnumber=9321474" TargetMode="External"/><Relationship Id="rId1871" Type="http://schemas.openxmlformats.org/officeDocument/2006/relationships/hyperlink" Target="https://ieeexplore.ieee.org/stamp/stamp.jsp?arnumber=9328448" TargetMode="External"/><Relationship Id="rId1872" Type="http://schemas.openxmlformats.org/officeDocument/2006/relationships/hyperlink" Target="https://ieeexplore.ieee.org/stamp/stamp.jsp?arnumber=9369387" TargetMode="External"/><Relationship Id="rId1862" Type="http://schemas.openxmlformats.org/officeDocument/2006/relationships/hyperlink" Target="https://ieeexplore.ieee.org/stamp/stamp.jsp?arnumber=9162056" TargetMode="External"/><Relationship Id="rId1863" Type="http://schemas.openxmlformats.org/officeDocument/2006/relationships/hyperlink" Target="https://ieeexplore.ieee.org/stamp/stamp.jsp?arnumber=9167223" TargetMode="External"/><Relationship Id="rId1864" Type="http://schemas.openxmlformats.org/officeDocument/2006/relationships/hyperlink" Target="https://ieeexplore.ieee.org/stamp/stamp.jsp?arnumber=9169714" TargetMode="External"/><Relationship Id="rId1865" Type="http://schemas.openxmlformats.org/officeDocument/2006/relationships/hyperlink" Target="https://ieeexplore.ieee.org/stamp/stamp.jsp?arnumber=9174633" TargetMode="External"/><Relationship Id="rId1866" Type="http://schemas.openxmlformats.org/officeDocument/2006/relationships/hyperlink" Target="https://www.scopus.com/inward/record.uri?eid=2-s2.0-85101708119&amp;doi=10.1109%2fJIOT.2020.3023938&amp;partnerID=40&amp;md5=ca8a543388e4e0d7d53a6bc1cbe3b334" TargetMode="External"/><Relationship Id="rId1867" Type="http://schemas.openxmlformats.org/officeDocument/2006/relationships/hyperlink" Target="https://ieeexplore.ieee.org/stamp/stamp.jsp?arnumber=9264256" TargetMode="External"/><Relationship Id="rId1868" Type="http://schemas.openxmlformats.org/officeDocument/2006/relationships/hyperlink" Target="https://ieeexplore.ieee.org/stamp/stamp.jsp?arnumber=9274362" TargetMode="External"/><Relationship Id="rId1869" Type="http://schemas.openxmlformats.org/officeDocument/2006/relationships/hyperlink" Target="https://ieeexplore.ieee.org/stamp/stamp.jsp?arnumber=9302583" TargetMode="External"/><Relationship Id="rId1860" Type="http://schemas.openxmlformats.org/officeDocument/2006/relationships/hyperlink" Target="https://ieeexplore.ieee.org/stamp/stamp.jsp?arnumber=9142209" TargetMode="External"/><Relationship Id="rId1861" Type="http://schemas.openxmlformats.org/officeDocument/2006/relationships/hyperlink" Target="https://ieeexplore.ieee.org/stamp/stamp.jsp?arnumber=9162084" TargetMode="External"/><Relationship Id="rId1810" Type="http://schemas.openxmlformats.org/officeDocument/2006/relationships/hyperlink" Target="https://ieeexplore.ieee.org/stamp/stamp.jsp?arnumber=9084878" TargetMode="External"/><Relationship Id="rId1811" Type="http://schemas.openxmlformats.org/officeDocument/2006/relationships/hyperlink" Target="https://ieeexplore.ieee.org/stamp/stamp.jsp?arnumber=9190253" TargetMode="External"/><Relationship Id="rId1812" Type="http://schemas.openxmlformats.org/officeDocument/2006/relationships/hyperlink" Target="https://ieeexplore.ieee.org/stamp/stamp.jsp?arnumber=7828600" TargetMode="External"/><Relationship Id="rId1813" Type="http://schemas.openxmlformats.org/officeDocument/2006/relationships/hyperlink" Target="https://ieeexplore.ieee.org/stamp/stamp.jsp?arnumber=7828602" TargetMode="External"/><Relationship Id="rId1814" Type="http://schemas.openxmlformats.org/officeDocument/2006/relationships/hyperlink" Target="https://ieeexplore.ieee.org/stamp/stamp.jsp?arnumber=10164335" TargetMode="External"/><Relationship Id="rId1815" Type="http://schemas.openxmlformats.org/officeDocument/2006/relationships/hyperlink" Target="https://ieeexplore.ieee.org/stamp/stamp.jsp?arnumber=9148527" TargetMode="External"/><Relationship Id="rId1816" Type="http://schemas.openxmlformats.org/officeDocument/2006/relationships/hyperlink" Target="https://ieeexplore.ieee.org/stamp/stamp.jsp?arnumber=9498832" TargetMode="External"/><Relationship Id="rId1817" Type="http://schemas.openxmlformats.org/officeDocument/2006/relationships/hyperlink" Target="https://ieeexplore.ieee.org/stamp/stamp.jsp?arnumber=9824403" TargetMode="External"/><Relationship Id="rId1818" Type="http://schemas.openxmlformats.org/officeDocument/2006/relationships/hyperlink" Target="https://ieeexplore.ieee.org/stamp/stamp.jsp?arnumber=9824997" TargetMode="External"/><Relationship Id="rId1819" Type="http://schemas.openxmlformats.org/officeDocument/2006/relationships/hyperlink" Target="https://ieeexplore.ieee.org/stamp/stamp.jsp?arnumber=9825020" TargetMode="External"/><Relationship Id="rId1800" Type="http://schemas.openxmlformats.org/officeDocument/2006/relationships/hyperlink" Target="https://ieeexplore.ieee.org/stamp/stamp.jsp?arnumber=8539067" TargetMode="External"/><Relationship Id="rId1801" Type="http://schemas.openxmlformats.org/officeDocument/2006/relationships/hyperlink" Target="https://ieeexplore.ieee.org/stamp/stamp.jsp?arnumber=8990285" TargetMode="External"/><Relationship Id="rId1802" Type="http://schemas.openxmlformats.org/officeDocument/2006/relationships/hyperlink" Target="https://ieeexplore.ieee.org/stamp/stamp.jsp?arnumber=10249252" TargetMode="External"/><Relationship Id="rId1803" Type="http://schemas.openxmlformats.org/officeDocument/2006/relationships/hyperlink" Target="https://ieeexplore.ieee.org/stamp/stamp.jsp?arnumber=9836736" TargetMode="External"/><Relationship Id="rId1804" Type="http://schemas.openxmlformats.org/officeDocument/2006/relationships/hyperlink" Target="https://ieeexplore.ieee.org/stamp/stamp.jsp?arnumber=10408838" TargetMode="External"/><Relationship Id="rId1805" Type="http://schemas.openxmlformats.org/officeDocument/2006/relationships/hyperlink" Target="https://ieeexplore.ieee.org/stamp/stamp.jsp?arnumber=10408965" TargetMode="External"/><Relationship Id="rId1806" Type="http://schemas.openxmlformats.org/officeDocument/2006/relationships/hyperlink" Target="https://ieeexplore.ieee.org/stamp/stamp.jsp?arnumber=10051209" TargetMode="External"/><Relationship Id="rId1807" Type="http://schemas.openxmlformats.org/officeDocument/2006/relationships/hyperlink" Target="https://ieeexplore.ieee.org/stamp/stamp.jsp?arnumber=10741932" TargetMode="External"/><Relationship Id="rId1808" Type="http://schemas.openxmlformats.org/officeDocument/2006/relationships/hyperlink" Target="https://ieeexplore.ieee.org/stamp/stamp.jsp?arnumber=9998380" TargetMode="External"/><Relationship Id="rId1809" Type="http://schemas.openxmlformats.org/officeDocument/2006/relationships/hyperlink" Target="https://ieeexplore.ieee.org/stamp/stamp.jsp?arnumber=9084820" TargetMode="External"/><Relationship Id="rId1830" Type="http://schemas.openxmlformats.org/officeDocument/2006/relationships/hyperlink" Target="https://ieeexplore.ieee.org/stamp/stamp.jsp?arnumber=9374808" TargetMode="External"/><Relationship Id="rId1831" Type="http://schemas.openxmlformats.org/officeDocument/2006/relationships/hyperlink" Target="https://ieeexplore.ieee.org/stamp/stamp.jsp?arnumber=9113446" TargetMode="External"/><Relationship Id="rId1832" Type="http://schemas.openxmlformats.org/officeDocument/2006/relationships/hyperlink" Target="https://ieeexplore.ieee.org/stamp/stamp.jsp?arnumber=9521715" TargetMode="External"/><Relationship Id="rId1833" Type="http://schemas.openxmlformats.org/officeDocument/2006/relationships/hyperlink" Target="https://ieeexplore.ieee.org/stamp/stamp.jsp?arnumber=9183661" TargetMode="External"/><Relationship Id="rId1834" Type="http://schemas.openxmlformats.org/officeDocument/2006/relationships/hyperlink" Target="https://www.scopus.com/inward/record.uri?eid=2-s2.0-85031728293&amp;doi=10.1109%2fJCSSE.2017.8025927&amp;partnerID=40&amp;md5=bd945e317c41a6856636edcd59e9020f" TargetMode="External"/><Relationship Id="rId1835" Type="http://schemas.openxmlformats.org/officeDocument/2006/relationships/hyperlink" Target="https://ieeexplore.ieee.org/stamp/stamp.jsp?arnumber=7945515" TargetMode="External"/><Relationship Id="rId1836" Type="http://schemas.openxmlformats.org/officeDocument/2006/relationships/hyperlink" Target="https://ieeexplore.ieee.org/stamp/stamp.jsp?arnumber=7964673" TargetMode="External"/><Relationship Id="rId1837" Type="http://schemas.openxmlformats.org/officeDocument/2006/relationships/hyperlink" Target="https://ieeexplore.ieee.org/stamp/stamp.jsp?arnumber=8047951" TargetMode="External"/><Relationship Id="rId1838" Type="http://schemas.openxmlformats.org/officeDocument/2006/relationships/hyperlink" Target="https://ieeexplore.ieee.org/stamp/stamp.jsp?arnumber=8113467" TargetMode="External"/><Relationship Id="rId1839" Type="http://schemas.openxmlformats.org/officeDocument/2006/relationships/hyperlink" Target="https://ieeexplore.ieee.org/stamp/stamp.jsp?arnumber=8255573" TargetMode="External"/><Relationship Id="rId1820" Type="http://schemas.openxmlformats.org/officeDocument/2006/relationships/hyperlink" Target="https://ieeexplore.ieee.org/stamp/stamp.jsp?arnumber=10182851" TargetMode="External"/><Relationship Id="rId1821" Type="http://schemas.openxmlformats.org/officeDocument/2006/relationships/hyperlink" Target="https://ieeexplore.ieee.org/stamp/stamp.jsp?arnumber=10183111" TargetMode="External"/><Relationship Id="rId1822" Type="http://schemas.openxmlformats.org/officeDocument/2006/relationships/hyperlink" Target="https://ieeexplore.ieee.org/stamp/stamp.jsp?arnumber=10592318" TargetMode="External"/><Relationship Id="rId1823" Type="http://schemas.openxmlformats.org/officeDocument/2006/relationships/hyperlink" Target="https://ieeexplore.ieee.org/stamp/stamp.jsp?arnumber=10649175" TargetMode="External"/><Relationship Id="rId1824" Type="http://schemas.openxmlformats.org/officeDocument/2006/relationships/hyperlink" Target="https://ieeexplore.ieee.org/stamp/stamp.jsp?arnumber=10551958" TargetMode="External"/><Relationship Id="rId1825" Type="http://schemas.openxmlformats.org/officeDocument/2006/relationships/hyperlink" Target="https://ieeexplore.ieee.org/stamp/stamp.jsp?arnumber=10365354" TargetMode="External"/><Relationship Id="rId1826" Type="http://schemas.openxmlformats.org/officeDocument/2006/relationships/hyperlink" Target="https://ieeexplore.ieee.org/stamp/stamp.jsp?arnumber=9797405" TargetMode="External"/><Relationship Id="rId1827" Type="http://schemas.openxmlformats.org/officeDocument/2006/relationships/hyperlink" Target="https://ieeexplore.ieee.org/stamp/stamp.jsp?arnumber=9628703" TargetMode="External"/><Relationship Id="rId1828" Type="http://schemas.openxmlformats.org/officeDocument/2006/relationships/hyperlink" Target="https://ieeexplore.ieee.org/stamp/stamp.jsp?arnumber=9628719" TargetMode="External"/><Relationship Id="rId1829" Type="http://schemas.openxmlformats.org/officeDocument/2006/relationships/hyperlink" Target="https://ieeexplore.ieee.org/stamp/stamp.jsp?arnumber=9346073" TargetMode="External"/><Relationship Id="rId2302" Type="http://schemas.openxmlformats.org/officeDocument/2006/relationships/hyperlink" Target="https://ieeexplore.ieee.org/stamp/stamp.jsp?arnumber=10473185" TargetMode="External"/><Relationship Id="rId2303" Type="http://schemas.openxmlformats.org/officeDocument/2006/relationships/hyperlink" Target="https://ieeexplore.ieee.org/stamp/stamp.jsp?arnumber=10474509" TargetMode="External"/><Relationship Id="rId2304" Type="http://schemas.openxmlformats.org/officeDocument/2006/relationships/hyperlink" Target="https://www.scopus.com/inward/record.uri?eid=2-s2.0-85190170917&amp;doi=10.1109%2fTCE.2024.3385828&amp;partnerID=40&amp;md5=c1672c9a0eee12d1a30c5c0e651945fa" TargetMode="External"/><Relationship Id="rId2305" Type="http://schemas.openxmlformats.org/officeDocument/2006/relationships/hyperlink" Target="https://www.scopus.com/inward/record.uri?eid=2-s2.0-85207470841&amp;doi=10.1109%2fTCE.2024.3478767&amp;partnerID=40&amp;md5=3dd34c40a6fd4e6fdf503c25c08da91b" TargetMode="External"/><Relationship Id="rId2306" Type="http://schemas.openxmlformats.org/officeDocument/2006/relationships/hyperlink" Target="https://www.scopus.com/inward/record.uri?eid=2-s2.0-85118601832&amp;doi=10.1109%2fTCOMM.2021.3125034&amp;partnerID=40&amp;md5=f126686c5f8e32b7adfe9fe4068aca0a" TargetMode="External"/><Relationship Id="rId2307" Type="http://schemas.openxmlformats.org/officeDocument/2006/relationships/hyperlink" Target="https://www.scopus.com/inward/record.uri?eid=2-s2.0-85196102336&amp;doi=10.1109%2fTCOMM.2024.3412761&amp;partnerID=40&amp;md5=0b3dc1579bd2d6a81182db97b3c46213" TargetMode="External"/><Relationship Id="rId2308" Type="http://schemas.openxmlformats.org/officeDocument/2006/relationships/hyperlink" Target="https://ieeexplore.ieee.org/stamp/stamp.jsp?arnumber=9088527" TargetMode="External"/><Relationship Id="rId2309" Type="http://schemas.openxmlformats.org/officeDocument/2006/relationships/hyperlink" Target="https://ieeexplore.ieee.org/stamp/stamp.jsp?arnumber=10755788" TargetMode="External"/><Relationship Id="rId2300" Type="http://schemas.openxmlformats.org/officeDocument/2006/relationships/hyperlink" Target="https://ieeexplore.ieee.org/stamp/stamp.jsp?arnumber=10375765" TargetMode="External"/><Relationship Id="rId2301" Type="http://schemas.openxmlformats.org/officeDocument/2006/relationships/hyperlink" Target="https://ieeexplore.ieee.org/stamp/stamp.jsp?arnumber=10445480" TargetMode="External"/><Relationship Id="rId2324" Type="http://schemas.openxmlformats.org/officeDocument/2006/relationships/hyperlink" Target="https://ieeexplore.ieee.org/stamp/stamp.jsp?arnumber=9002334" TargetMode="External"/><Relationship Id="rId2325" Type="http://schemas.openxmlformats.org/officeDocument/2006/relationships/hyperlink" Target="https://ieeexplore.ieee.org/stamp/stamp.jsp?arnumber=9149637" TargetMode="External"/><Relationship Id="rId2326" Type="http://schemas.openxmlformats.org/officeDocument/2006/relationships/hyperlink" Target="https://ieeexplore.ieee.org/stamp/stamp.jsp?arnumber=7551918" TargetMode="External"/><Relationship Id="rId2327" Type="http://schemas.openxmlformats.org/officeDocument/2006/relationships/hyperlink" Target="https://ieeexplore.ieee.org/stamp/stamp.jsp?arnumber=8929546" TargetMode="External"/><Relationship Id="rId2328" Type="http://schemas.openxmlformats.org/officeDocument/2006/relationships/hyperlink" Target="https://ieeexplore.ieee.org/stamp/stamp.jsp?arnumber=9726694" TargetMode="External"/><Relationship Id="rId2329" Type="http://schemas.openxmlformats.org/officeDocument/2006/relationships/hyperlink" Target="https://ieeexplore.ieee.org/stamp/stamp.jsp?arnumber=9285188" TargetMode="External"/><Relationship Id="rId2320" Type="http://schemas.openxmlformats.org/officeDocument/2006/relationships/hyperlink" Target="https://ieeexplore.ieee.org/stamp/stamp.jsp?arnumber=9653240" TargetMode="External"/><Relationship Id="rId2321" Type="http://schemas.openxmlformats.org/officeDocument/2006/relationships/hyperlink" Target="https://ieeexplore.ieee.org/stamp/stamp.jsp?arnumber=9983748" TargetMode="External"/><Relationship Id="rId2322" Type="http://schemas.openxmlformats.org/officeDocument/2006/relationships/hyperlink" Target="https://ieeexplore.ieee.org/stamp/stamp.jsp?arnumber=10372710" TargetMode="External"/><Relationship Id="rId2323" Type="http://schemas.openxmlformats.org/officeDocument/2006/relationships/hyperlink" Target="https://ieeexplore.ieee.org/stamp/stamp.jsp?arnumber=10372820" TargetMode="External"/><Relationship Id="rId2313" Type="http://schemas.openxmlformats.org/officeDocument/2006/relationships/hyperlink" Target="https://ieeexplore.ieee.org/stamp/stamp.jsp?arnumber=10097451" TargetMode="External"/><Relationship Id="rId2314" Type="http://schemas.openxmlformats.org/officeDocument/2006/relationships/hyperlink" Target="https://ieeexplore.ieee.org/stamp/stamp.jsp?arnumber=10414277" TargetMode="External"/><Relationship Id="rId2315" Type="http://schemas.openxmlformats.org/officeDocument/2006/relationships/hyperlink" Target="https://ieeexplore.ieee.org/stamp/stamp.jsp?arnumber=10605094" TargetMode="External"/><Relationship Id="rId2316" Type="http://schemas.openxmlformats.org/officeDocument/2006/relationships/hyperlink" Target="https://ieeexplore.ieee.org/stamp/stamp.jsp?arnumber=10016764" TargetMode="External"/><Relationship Id="rId2317" Type="http://schemas.openxmlformats.org/officeDocument/2006/relationships/hyperlink" Target="https://ieeexplore.ieee.org/stamp/stamp.jsp?arnumber=10086638" TargetMode="External"/><Relationship Id="rId2318" Type="http://schemas.openxmlformats.org/officeDocument/2006/relationships/hyperlink" Target="https://ieeexplore.ieee.org/stamp/stamp.jsp?arnumber=10184349" TargetMode="External"/><Relationship Id="rId2319" Type="http://schemas.openxmlformats.org/officeDocument/2006/relationships/hyperlink" Target="https://ieeexplore.ieee.org/stamp/stamp.jsp?arnumber=10714122" TargetMode="External"/><Relationship Id="rId2310" Type="http://schemas.openxmlformats.org/officeDocument/2006/relationships/hyperlink" Target="https://www.scopus.com/inward/record.uri?eid=2-s2.0-85124823142&amp;doi=10.1109%2fTCSI.2022.3143347&amp;partnerID=40&amp;md5=d085da501bd558019846ccf56f44a49f" TargetMode="External"/><Relationship Id="rId2311" Type="http://schemas.openxmlformats.org/officeDocument/2006/relationships/hyperlink" Target="https://ieeexplore.ieee.org/stamp/stamp.jsp?arnumber=9149700" TargetMode="External"/><Relationship Id="rId2312" Type="http://schemas.openxmlformats.org/officeDocument/2006/relationships/hyperlink" Target="https://ieeexplore.ieee.org/stamp/stamp.jsp?arnumber=9829421" TargetMode="External"/><Relationship Id="rId1895" Type="http://schemas.openxmlformats.org/officeDocument/2006/relationships/hyperlink" Target="https://ieeexplore.ieee.org/stamp/stamp.jsp?arnumber=9951155" TargetMode="External"/><Relationship Id="rId1896" Type="http://schemas.openxmlformats.org/officeDocument/2006/relationships/hyperlink" Target="https://ieeexplore.ieee.org/stamp/stamp.jsp?arnumber=9983826" TargetMode="External"/><Relationship Id="rId1897" Type="http://schemas.openxmlformats.org/officeDocument/2006/relationships/hyperlink" Target="https://ieeexplore.ieee.org/stamp/stamp.jsp?arnumber=10049217" TargetMode="External"/><Relationship Id="rId1898" Type="http://schemas.openxmlformats.org/officeDocument/2006/relationships/hyperlink" Target="https://ieeexplore.ieee.org/stamp/stamp.jsp?arnumber=10012055" TargetMode="External"/><Relationship Id="rId1899" Type="http://schemas.openxmlformats.org/officeDocument/2006/relationships/hyperlink" Target="https://ieeexplore.ieee.org/stamp/stamp.jsp?arnumber=10014999" TargetMode="External"/><Relationship Id="rId1890" Type="http://schemas.openxmlformats.org/officeDocument/2006/relationships/hyperlink" Target="https://ieeexplore.ieee.org/stamp/stamp.jsp?arnumber=9709555" TargetMode="External"/><Relationship Id="rId1891" Type="http://schemas.openxmlformats.org/officeDocument/2006/relationships/hyperlink" Target="https://ieeexplore.ieee.org/stamp/stamp.jsp?arnumber=9718521" TargetMode="External"/><Relationship Id="rId1892" Type="http://schemas.openxmlformats.org/officeDocument/2006/relationships/hyperlink" Target="https://ieeexplore.ieee.org/stamp/stamp.jsp?arnumber=9724183" TargetMode="External"/><Relationship Id="rId1893" Type="http://schemas.openxmlformats.org/officeDocument/2006/relationships/hyperlink" Target="https://ieeexplore.ieee.org/stamp/stamp.jsp?arnumber=9779350" TargetMode="External"/><Relationship Id="rId1894" Type="http://schemas.openxmlformats.org/officeDocument/2006/relationships/hyperlink" Target="https://ieeexplore.ieee.org/stamp/stamp.jsp?arnumber=9863881" TargetMode="External"/><Relationship Id="rId1884" Type="http://schemas.openxmlformats.org/officeDocument/2006/relationships/hyperlink" Target="https://ieeexplore.ieee.org/stamp/stamp.jsp?arnumber=9490350" TargetMode="External"/><Relationship Id="rId1885" Type="http://schemas.openxmlformats.org/officeDocument/2006/relationships/hyperlink" Target="https://ieeexplore.ieee.org/stamp/stamp.jsp?arnumber=9536866" TargetMode="External"/><Relationship Id="rId1886" Type="http://schemas.openxmlformats.org/officeDocument/2006/relationships/hyperlink" Target="https://ieeexplore.ieee.org/stamp/stamp.jsp?arnumber=9547348" TargetMode="External"/><Relationship Id="rId1887" Type="http://schemas.openxmlformats.org/officeDocument/2006/relationships/hyperlink" Target="https://ieeexplore.ieee.org/stamp/stamp.jsp?arnumber=9566207" TargetMode="External"/><Relationship Id="rId1888" Type="http://schemas.openxmlformats.org/officeDocument/2006/relationships/hyperlink" Target="https://ieeexplore.ieee.org/stamp/stamp.jsp?arnumber=9569742" TargetMode="External"/><Relationship Id="rId1889" Type="http://schemas.openxmlformats.org/officeDocument/2006/relationships/hyperlink" Target="https://ieeexplore.ieee.org/stamp/stamp.jsp?arnumber=9681901" TargetMode="External"/><Relationship Id="rId1880" Type="http://schemas.openxmlformats.org/officeDocument/2006/relationships/hyperlink" Target="https://ieeexplore.ieee.org/stamp/stamp.jsp?arnumber=9507561" TargetMode="External"/><Relationship Id="rId1881" Type="http://schemas.openxmlformats.org/officeDocument/2006/relationships/hyperlink" Target="https://www.scopus.com/inward/record.uri?eid=2-s2.0-85113202204&amp;doi=10.1109%2fJIOT.2021.3094295&amp;partnerID=40&amp;md5=fdc46966386081da932a0f59338d06e5" TargetMode="External"/><Relationship Id="rId1882" Type="http://schemas.openxmlformats.org/officeDocument/2006/relationships/hyperlink" Target="https://ieeexplore.ieee.org/stamp/stamp.jsp?arnumber=9486861" TargetMode="External"/><Relationship Id="rId1883" Type="http://schemas.openxmlformats.org/officeDocument/2006/relationships/hyperlink" Target="https://ieeexplore.ieee.org/stamp/stamp.jsp?arnumber=9493744" TargetMode="External"/><Relationship Id="rId1059" Type="http://schemas.openxmlformats.org/officeDocument/2006/relationships/hyperlink" Target="https://ieeexplore.ieee.org/stamp/stamp.jsp?arnumber=10152550" TargetMode="External"/><Relationship Id="rId228" Type="http://schemas.openxmlformats.org/officeDocument/2006/relationships/hyperlink" Target="https://www.scopus.com/inward/record.uri?eid=2-s2.0-85099405976&amp;doi=10.1002%2fspe.2942&amp;partnerID=40&amp;md5=e376cc15aaac540865787d8f8e80c079" TargetMode="External"/><Relationship Id="rId227" Type="http://schemas.openxmlformats.org/officeDocument/2006/relationships/hyperlink" Target="https://www.scopus.com/inward/record.uri?eid=2-s2.0-85071340275&amp;doi=10.1002%2fspe.2740&amp;partnerID=40&amp;md5=75112932186b35188e098f502cc390c3" TargetMode="External"/><Relationship Id="rId226" Type="http://schemas.openxmlformats.org/officeDocument/2006/relationships/hyperlink" Target="https://www.scopus.com/inward/record.uri?eid=2-s2.0-85080983685&amp;doi=10.1002%2fsmr.2214&amp;partnerID=40&amp;md5=287cd6c66da03e42fdd768524c25f8b4" TargetMode="External"/><Relationship Id="rId225" Type="http://schemas.openxmlformats.org/officeDocument/2006/relationships/hyperlink" Target="https://www.scopus.com/inward/record.uri?eid=2-s2.0-85180183737&amp;doi=10.1002%2fett.4918&amp;partnerID=40&amp;md5=822898cc7ba64bc01234d7e804ce4fb8" TargetMode="External"/><Relationship Id="rId2380" Type="http://schemas.openxmlformats.org/officeDocument/2006/relationships/hyperlink" Target="https://ieeexplore.ieee.org/stamp/stamp.jsp?arnumber=10290920" TargetMode="External"/><Relationship Id="rId229" Type="http://schemas.openxmlformats.org/officeDocument/2006/relationships/hyperlink" Target="https://www.scopus.com/inward/record.uri?eid=2-s2.0-85162848386&amp;doi=10.1002%2fspe.3233&amp;partnerID=40&amp;md5=fdfc5849b94c06be6e8a79b8051dabc1" TargetMode="External"/><Relationship Id="rId1050" Type="http://schemas.openxmlformats.org/officeDocument/2006/relationships/hyperlink" Target="https://ieeexplore.ieee.org/stamp/stamp.jsp?arnumber=9686137" TargetMode="External"/><Relationship Id="rId2381" Type="http://schemas.openxmlformats.org/officeDocument/2006/relationships/hyperlink" Target="https://ieeexplore.ieee.org/stamp/stamp.jsp?arnumber=10415221" TargetMode="External"/><Relationship Id="rId220" Type="http://schemas.openxmlformats.org/officeDocument/2006/relationships/hyperlink" Target="https://www.scopus.com/inward/record.uri?eid=2-s2.0-85126896322&amp;doi=10.1002%2fdac.5156&amp;partnerID=40&amp;md5=cfc1efcd9526fa60d084047d4d6c8f41" TargetMode="External"/><Relationship Id="rId1051" Type="http://schemas.openxmlformats.org/officeDocument/2006/relationships/hyperlink" Target="https://ieeexplore.ieee.org/stamp/stamp.jsp?arnumber=10050942" TargetMode="External"/><Relationship Id="rId2382" Type="http://schemas.openxmlformats.org/officeDocument/2006/relationships/hyperlink" Target="https://ieeexplore.ieee.org/stamp/stamp.jsp?arnumber=10663201" TargetMode="External"/><Relationship Id="rId1052" Type="http://schemas.openxmlformats.org/officeDocument/2006/relationships/hyperlink" Target="https://ieeexplore.ieee.org/stamp/stamp.jsp?arnumber=10453142" TargetMode="External"/><Relationship Id="rId2383" Type="http://schemas.openxmlformats.org/officeDocument/2006/relationships/hyperlink" Target="https://www.scopus.com/inward/record.uri?eid=2-s2.0-85208697245&amp;doi=10.1109%2fTMC.2024.3494043&amp;partnerID=40&amp;md5=14d9dcfc641a8d3f554c044d6739b96c" TargetMode="External"/><Relationship Id="rId1053" Type="http://schemas.openxmlformats.org/officeDocument/2006/relationships/hyperlink" Target="https://ieeexplore.ieee.org/stamp/stamp.jsp?arnumber=10453214" TargetMode="External"/><Relationship Id="rId2384" Type="http://schemas.openxmlformats.org/officeDocument/2006/relationships/hyperlink" Target="https://ieeexplore.ieee.org/stamp/stamp.jsp?arnumber=10767295" TargetMode="External"/><Relationship Id="rId1054" Type="http://schemas.openxmlformats.org/officeDocument/2006/relationships/hyperlink" Target="https://ieeexplore.ieee.org/stamp/stamp.jsp?arnumber=10849715" TargetMode="External"/><Relationship Id="rId2385" Type="http://schemas.openxmlformats.org/officeDocument/2006/relationships/hyperlink" Target="https://ieeexplore.ieee.org/stamp/stamp.jsp?arnumber=9811394" TargetMode="External"/><Relationship Id="rId224" Type="http://schemas.openxmlformats.org/officeDocument/2006/relationships/hyperlink" Target="https://www.scopus.com/inward/record.uri?eid=2-s2.0-85163027224&amp;doi=10.1002%2fett.4811&amp;partnerID=40&amp;md5=48363b9283b44c9f29b99c0f81db81d5" TargetMode="External"/><Relationship Id="rId1055" Type="http://schemas.openxmlformats.org/officeDocument/2006/relationships/hyperlink" Target="https://ieeexplore.ieee.org/stamp/stamp.jsp?arnumber=7968637" TargetMode="External"/><Relationship Id="rId2386" Type="http://schemas.openxmlformats.org/officeDocument/2006/relationships/hyperlink" Target="https://doi.org/10.1109/TNET.2019.2958367" TargetMode="External"/><Relationship Id="rId223" Type="http://schemas.openxmlformats.org/officeDocument/2006/relationships/hyperlink" Target="https://www.scopus.com/inward/record.uri?eid=2-s2.0-85121580866&amp;doi=10.1002%2fett.4433&amp;partnerID=40&amp;md5=0e1a07c30e52acc56ae77017c1ae5cc5" TargetMode="External"/><Relationship Id="rId1056" Type="http://schemas.openxmlformats.org/officeDocument/2006/relationships/hyperlink" Target="https://ieeexplore.ieee.org/stamp/stamp.jsp?arnumber=8745225" TargetMode="External"/><Relationship Id="rId2387" Type="http://schemas.openxmlformats.org/officeDocument/2006/relationships/hyperlink" Target="https://doi.org/10.1109/TNET.2020.3019098" TargetMode="External"/><Relationship Id="rId222" Type="http://schemas.openxmlformats.org/officeDocument/2006/relationships/hyperlink" Target="https://www.scopus.com/inward/record.uri?eid=2-s2.0-85113582035&amp;doi=10.1002%2fett.4349&amp;partnerID=40&amp;md5=196f0f323a65d873e70bbfed8bff78fd" TargetMode="External"/><Relationship Id="rId1057" Type="http://schemas.openxmlformats.org/officeDocument/2006/relationships/hyperlink" Target="https://ieeexplore.ieee.org/stamp/stamp.jsp?arnumber=10214850" TargetMode="External"/><Relationship Id="rId2388" Type="http://schemas.openxmlformats.org/officeDocument/2006/relationships/hyperlink" Target="https://www.scopus.com/inward/record.uri?eid=2-s2.0-85104592413&amp;doi=10.1109%2fTNET.2021.3072423&amp;partnerID=40&amp;md5=2dcad5b67e7dd4b64b99c76ba59455ad" TargetMode="External"/><Relationship Id="rId221" Type="http://schemas.openxmlformats.org/officeDocument/2006/relationships/hyperlink" Target="https://www.scopus.com/inward/record.uri?eid=2-s2.0-85097626741&amp;doi=10.1002%2fett.4166&amp;partnerID=40&amp;md5=9fe9d5f1019f50202d1075092ab448e7" TargetMode="External"/><Relationship Id="rId1058" Type="http://schemas.openxmlformats.org/officeDocument/2006/relationships/hyperlink" Target="https://ieeexplore.ieee.org/stamp/stamp.jsp?arnumber=9776150" TargetMode="External"/><Relationship Id="rId2389" Type="http://schemas.openxmlformats.org/officeDocument/2006/relationships/hyperlink" Target="https://www.scopus.com/inward/record.uri?eid=2-s2.0-85174824112&amp;doi=10.1109%2fTNET.2023.3319434&amp;partnerID=40&amp;md5=552dee119b3b725afeddc185af258371" TargetMode="External"/><Relationship Id="rId1048" Type="http://schemas.openxmlformats.org/officeDocument/2006/relationships/hyperlink" Target="https://ieeexplore.ieee.org/stamp/stamp.jsp?arnumber=8931321" TargetMode="External"/><Relationship Id="rId2379" Type="http://schemas.openxmlformats.org/officeDocument/2006/relationships/hyperlink" Target="https://ieeexplore.ieee.org/stamp/stamp.jsp?arnumber=10238780" TargetMode="External"/><Relationship Id="rId1049" Type="http://schemas.openxmlformats.org/officeDocument/2006/relationships/hyperlink" Target="https://ieeexplore.ieee.org/stamp/stamp.jsp?arnumber=8931372" TargetMode="External"/><Relationship Id="rId217" Type="http://schemas.openxmlformats.org/officeDocument/2006/relationships/hyperlink" Target="https://www.scopus.com/inward/record.uri?eid=2-s2.0-85078679571&amp;doi=10.1002%2fcpe.5668&amp;partnerID=40&amp;md5=0eec55de111ac1c3dd8107b751e2547c" TargetMode="External"/><Relationship Id="rId216" Type="http://schemas.openxmlformats.org/officeDocument/2006/relationships/hyperlink" Target="https://www.scopus.com/inward/record.uri?eid=2-s2.0-85063662599&amp;doi=10.1002%2fcpe.5269&amp;partnerID=40&amp;md5=1a64d795e3b24de7f6f88142a17e66fc" TargetMode="External"/><Relationship Id="rId215" Type="http://schemas.openxmlformats.org/officeDocument/2006/relationships/hyperlink" Target="https://www.scopus.com/inward/record.uri?eid=2-s2.0-85142034244&amp;doi=10.1002%2fbse.3301&amp;partnerID=40&amp;md5=125d85d673a66aeff644974af04f57fa" TargetMode="External"/><Relationship Id="rId214" Type="http://schemas.openxmlformats.org/officeDocument/2006/relationships/hyperlink" Target="https://www.scopus.com/inward/record.uri?eid=2-s2.0-85198449600&amp;doi=10.3390%2fsu16135738&amp;partnerID=40&amp;md5=1ad850b0d978a007606fa8eb5da24200" TargetMode="External"/><Relationship Id="rId219" Type="http://schemas.openxmlformats.org/officeDocument/2006/relationships/hyperlink" Target="https://www.scopus.com/inward/record.uri?eid=2-s2.0-85186901425&amp;doi=10.1002%2fcpe.8062&amp;partnerID=40&amp;md5=63c34d7617fcf2dd23abd4aead29af5e" TargetMode="External"/><Relationship Id="rId218" Type="http://schemas.openxmlformats.org/officeDocument/2006/relationships/hyperlink" Target="https://www.scopus.com/inward/record.uri?eid=2-s2.0-85135393132&amp;doi=10.1002%2fcpe.7196&amp;partnerID=40&amp;md5=3efe516246ea3318dba81c7b17e6ad4e" TargetMode="External"/><Relationship Id="rId2370" Type="http://schemas.openxmlformats.org/officeDocument/2006/relationships/hyperlink" Target="https://ieeexplore.ieee.org/stamp/stamp.jsp?arnumber=10018121" TargetMode="External"/><Relationship Id="rId1040" Type="http://schemas.openxmlformats.org/officeDocument/2006/relationships/hyperlink" Target="https://ieeexplore.ieee.org/stamp/stamp.jsp?arnumber=8977022" TargetMode="External"/><Relationship Id="rId2371" Type="http://schemas.openxmlformats.org/officeDocument/2006/relationships/hyperlink" Target="https://ieeexplore.ieee.org/stamp/stamp.jsp?arnumber=10024386" TargetMode="External"/><Relationship Id="rId1041" Type="http://schemas.openxmlformats.org/officeDocument/2006/relationships/hyperlink" Target="https://ieeexplore.ieee.org/stamp/stamp.jsp?arnumber=10234780" TargetMode="External"/><Relationship Id="rId2372" Type="http://schemas.openxmlformats.org/officeDocument/2006/relationships/hyperlink" Target="https://ieeexplore.ieee.org/stamp/stamp.jsp?arnumber=10077450" TargetMode="External"/><Relationship Id="rId1042" Type="http://schemas.openxmlformats.org/officeDocument/2006/relationships/hyperlink" Target="https://ieeexplore.ieee.org/stamp/stamp.jsp?arnumber=10626599" TargetMode="External"/><Relationship Id="rId2373" Type="http://schemas.openxmlformats.org/officeDocument/2006/relationships/hyperlink" Target="https://ieeexplore.ieee.org/stamp/stamp.jsp?arnumber=10235285" TargetMode="External"/><Relationship Id="rId1043" Type="http://schemas.openxmlformats.org/officeDocument/2006/relationships/hyperlink" Target="https://ieeexplore.ieee.org/stamp/stamp.jsp?arnumber=10531183" TargetMode="External"/><Relationship Id="rId2374" Type="http://schemas.openxmlformats.org/officeDocument/2006/relationships/hyperlink" Target="https://ieeexplore.ieee.org/stamp/stamp.jsp?arnumber=10247152" TargetMode="External"/><Relationship Id="rId213" Type="http://schemas.openxmlformats.org/officeDocument/2006/relationships/hyperlink" Target="https://www.scopus.com/inward/record.uri?eid=2-s2.0-85191410430&amp;doi=10.3390%2fs24082435&amp;partnerID=40&amp;md5=3d73e116b65ac9a4e5a8404e4105540a" TargetMode="External"/><Relationship Id="rId1044" Type="http://schemas.openxmlformats.org/officeDocument/2006/relationships/hyperlink" Target="https://ieeexplore.ieee.org/stamp/stamp.jsp?arnumber=10745429" TargetMode="External"/><Relationship Id="rId2375" Type="http://schemas.openxmlformats.org/officeDocument/2006/relationships/hyperlink" Target="https://www.scopus.com/inward/record.uri?eid=2-s2.0-85218949632&amp;doi=10.1109%2fTITS.2025.3540918&amp;partnerID=40&amp;md5=c0eff617da5dfa311f2155d9485e20dc" TargetMode="External"/><Relationship Id="rId212" Type="http://schemas.openxmlformats.org/officeDocument/2006/relationships/hyperlink" Target="https://www.scopus.com/inward/record.uri?eid=2-s2.0-85168718295&amp;doi=10.3390%2fs23167142&amp;partnerID=40&amp;md5=f6405c7cd0477185b8755c231e135338" TargetMode="External"/><Relationship Id="rId1045" Type="http://schemas.openxmlformats.org/officeDocument/2006/relationships/hyperlink" Target="https://ieeexplore.ieee.org/stamp/stamp.jsp?arnumber=10471747" TargetMode="External"/><Relationship Id="rId2376" Type="http://schemas.openxmlformats.org/officeDocument/2006/relationships/hyperlink" Target="https://ieeexplore.ieee.org/stamp/stamp.jsp?arnumber=8449107" TargetMode="External"/><Relationship Id="rId211" Type="http://schemas.openxmlformats.org/officeDocument/2006/relationships/hyperlink" Target="https://www.scopus.com/inward/record.uri?eid=2-s2.0-85164845170&amp;doi=10.3390%2fs23136117&amp;partnerID=40&amp;md5=80006687357cf38a0a417c8d22a62c52" TargetMode="External"/><Relationship Id="rId1046" Type="http://schemas.openxmlformats.org/officeDocument/2006/relationships/hyperlink" Target="https://ieeexplore.ieee.org/stamp/stamp.jsp?arnumber=10216672" TargetMode="External"/><Relationship Id="rId2377" Type="http://schemas.openxmlformats.org/officeDocument/2006/relationships/hyperlink" Target="https://ieeexplore.ieee.org/stamp/stamp.jsp?arnumber=9358007" TargetMode="External"/><Relationship Id="rId210" Type="http://schemas.openxmlformats.org/officeDocument/2006/relationships/hyperlink" Target="https://www.scopus.com/inward/record.uri?eid=2-s2.0-85120318977&amp;doi=10.3390%2fs21238061&amp;partnerID=40&amp;md5=4a9ad8bf12897c8fa837cc843a82fb64" TargetMode="External"/><Relationship Id="rId1047" Type="http://schemas.openxmlformats.org/officeDocument/2006/relationships/hyperlink" Target="https://ieeexplore.ieee.org/stamp/stamp.jsp?arnumber=10104852" TargetMode="External"/><Relationship Id="rId2378" Type="http://schemas.openxmlformats.org/officeDocument/2006/relationships/hyperlink" Target="https://ieeexplore.ieee.org/stamp/stamp.jsp?arnumber=9853218" TargetMode="External"/><Relationship Id="rId249" Type="http://schemas.openxmlformats.org/officeDocument/2006/relationships/hyperlink" Target="https://www.scopus.com/inward/record.uri?eid=2-s2.0-85105950736&amp;doi=10.1007%2f978-3-030-73103-8_74&amp;partnerID=40&amp;md5=f75f9b1598d94f3d06fc5a7c47b36613" TargetMode="External"/><Relationship Id="rId248" Type="http://schemas.openxmlformats.org/officeDocument/2006/relationships/hyperlink" Target="https://doi.org/10.1007/978-3-030-62522-1_28" TargetMode="External"/><Relationship Id="rId247" Type="http://schemas.openxmlformats.org/officeDocument/2006/relationships/hyperlink" Target="https://doi.org/10.1007/978-3-030-58923-3_4" TargetMode="External"/><Relationship Id="rId1070" Type="http://schemas.openxmlformats.org/officeDocument/2006/relationships/hyperlink" Target="https://ieeexplore.ieee.org/stamp/stamp.jsp?arnumber=10817050" TargetMode="External"/><Relationship Id="rId1071" Type="http://schemas.openxmlformats.org/officeDocument/2006/relationships/hyperlink" Target="https://ieeexplore.ieee.org/stamp/stamp.jsp?arnumber=9907999" TargetMode="External"/><Relationship Id="rId1072" Type="http://schemas.openxmlformats.org/officeDocument/2006/relationships/hyperlink" Target="https://ieeexplore.ieee.org/stamp/stamp.jsp?arnumber=9908022" TargetMode="External"/><Relationship Id="rId242" Type="http://schemas.openxmlformats.org/officeDocument/2006/relationships/hyperlink" Target="https://doi.org/10.1007/978-3-030-49435-3_5" TargetMode="External"/><Relationship Id="rId1073" Type="http://schemas.openxmlformats.org/officeDocument/2006/relationships/hyperlink" Target="https://ieeexplore.ieee.org/stamp/stamp.jsp?arnumber=9509553" TargetMode="External"/><Relationship Id="rId241" Type="http://schemas.openxmlformats.org/officeDocument/2006/relationships/hyperlink" Target="https://doi.org/10.1007/978-3-030-48340-1_36" TargetMode="External"/><Relationship Id="rId1074" Type="http://schemas.openxmlformats.org/officeDocument/2006/relationships/hyperlink" Target="https://ieeexplore.ieee.org/stamp/stamp.jsp?arnumber=10546015" TargetMode="External"/><Relationship Id="rId240" Type="http://schemas.openxmlformats.org/officeDocument/2006/relationships/hyperlink" Target="https://doi.org/10.1007/978-3-030-48340-1_10" TargetMode="External"/><Relationship Id="rId1075" Type="http://schemas.openxmlformats.org/officeDocument/2006/relationships/hyperlink" Target="https://ieeexplore.ieee.org/stamp/stamp.jsp?arnumber=10546179" TargetMode="External"/><Relationship Id="rId1076" Type="http://schemas.openxmlformats.org/officeDocument/2006/relationships/hyperlink" Target="https://ieeexplore.ieee.org/stamp/stamp.jsp?arnumber=7871031" TargetMode="External"/><Relationship Id="rId246" Type="http://schemas.openxmlformats.org/officeDocument/2006/relationships/hyperlink" Target="https://doi.org/10.1007/978-3-030-58811-3_73" TargetMode="External"/><Relationship Id="rId1077" Type="http://schemas.openxmlformats.org/officeDocument/2006/relationships/hyperlink" Target="https://ieeexplore.ieee.org/stamp/stamp.jsp?arnumber=8260929" TargetMode="External"/><Relationship Id="rId245" Type="http://schemas.openxmlformats.org/officeDocument/2006/relationships/hyperlink" Target="https://doi.org/10.1007/978-3-030-58628-7_6" TargetMode="External"/><Relationship Id="rId1078" Type="http://schemas.openxmlformats.org/officeDocument/2006/relationships/hyperlink" Target="https://ieeexplore.ieee.org/stamp/stamp.jsp?arnumber=7830723" TargetMode="External"/><Relationship Id="rId244" Type="http://schemas.openxmlformats.org/officeDocument/2006/relationships/hyperlink" Target="https://doi.org/10.1007/978-3-030-49760-6_7" TargetMode="External"/><Relationship Id="rId1079" Type="http://schemas.openxmlformats.org/officeDocument/2006/relationships/hyperlink" Target="https://ieeexplore.ieee.org/stamp/stamp.jsp?arnumber=8071529" TargetMode="External"/><Relationship Id="rId243" Type="http://schemas.openxmlformats.org/officeDocument/2006/relationships/hyperlink" Target="https://doi.org/10.1007/978-3-030-49461-2_36" TargetMode="External"/><Relationship Id="rId239" Type="http://schemas.openxmlformats.org/officeDocument/2006/relationships/hyperlink" Target="https://doi.org/10.1007/978-3-030-47679-3_28" TargetMode="External"/><Relationship Id="rId238" Type="http://schemas.openxmlformats.org/officeDocument/2006/relationships/hyperlink" Target="https://doi.org/10.1007/978-3-030-45989-5_8" TargetMode="External"/><Relationship Id="rId237" Type="http://schemas.openxmlformats.org/officeDocument/2006/relationships/hyperlink" Target="https://doi.org/10.1007/978-3-030-42051-2_16" TargetMode="External"/><Relationship Id="rId236" Type="http://schemas.openxmlformats.org/officeDocument/2006/relationships/hyperlink" Target="https://doi.org/10.1007/978-3-030-39306-9_4" TargetMode="External"/><Relationship Id="rId2390" Type="http://schemas.openxmlformats.org/officeDocument/2006/relationships/hyperlink" Target="https://doi.org/10.1109/TNET.2023.3324704" TargetMode="External"/><Relationship Id="rId1060" Type="http://schemas.openxmlformats.org/officeDocument/2006/relationships/hyperlink" Target="https://ieeexplore.ieee.org/stamp/stamp.jsp?arnumber=10152672" TargetMode="External"/><Relationship Id="rId2391" Type="http://schemas.openxmlformats.org/officeDocument/2006/relationships/hyperlink" Target="https://doi.org/10.1109/TNET.2024.3400953" TargetMode="External"/><Relationship Id="rId1061" Type="http://schemas.openxmlformats.org/officeDocument/2006/relationships/hyperlink" Target="https://ieeexplore.ieee.org/stamp/stamp.jsp?arnumber=10089268" TargetMode="External"/><Relationship Id="rId2392" Type="http://schemas.openxmlformats.org/officeDocument/2006/relationships/hyperlink" Target="https://www.scopus.com/inward/record.uri?eid=2-s2.0-85126310494&amp;doi=10.1109%2fTNSE.2022.3155490&amp;partnerID=40&amp;md5=ad90bfab101f86eda2c1e3127f703ae4" TargetMode="External"/><Relationship Id="rId231" Type="http://schemas.openxmlformats.org/officeDocument/2006/relationships/hyperlink" Target="https://www.scopus.com/inward/record.uri?eid=2-s2.0-85213570396&amp;doi=10.1002%2fspe.3401&amp;partnerID=40&amp;md5=6f4f6c7d2a7a8cafdba7ef34fa85c548" TargetMode="External"/><Relationship Id="rId1062" Type="http://schemas.openxmlformats.org/officeDocument/2006/relationships/hyperlink" Target="https://ieeexplore.ieee.org/stamp/stamp.jsp?arnumber=10105323" TargetMode="External"/><Relationship Id="rId2393" Type="http://schemas.openxmlformats.org/officeDocument/2006/relationships/hyperlink" Target="https://ieeexplore.ieee.org/stamp/stamp.jsp?arnumber=7430340" TargetMode="External"/><Relationship Id="rId230" Type="http://schemas.openxmlformats.org/officeDocument/2006/relationships/hyperlink" Target="https://www.scopus.com/inward/record.uri?eid=2-s2.0-85165319251&amp;doi=10.1002%2fspe.3243&amp;partnerID=40&amp;md5=4256acbb1e3c63dd075b0b5b19225e21" TargetMode="External"/><Relationship Id="rId1063" Type="http://schemas.openxmlformats.org/officeDocument/2006/relationships/hyperlink" Target="https://www.scopus.com/inward/record.uri?eid=2-s2.0-85100445921&amp;doi=10.1109%2fCSIT49958.2020.9321939&amp;partnerID=40&amp;md5=bf8781ddf6bc9ae0ce4745aa4858b273" TargetMode="External"/><Relationship Id="rId2394" Type="http://schemas.openxmlformats.org/officeDocument/2006/relationships/hyperlink" Target="https://ieeexplore.ieee.org/stamp/stamp.jsp?arnumber=8771139" TargetMode="External"/><Relationship Id="rId1064" Type="http://schemas.openxmlformats.org/officeDocument/2006/relationships/hyperlink" Target="https://www.scopus.com/inward/record.uri?eid=2-s2.0-85100505772&amp;doi=10.1109%2fCSIT49958.2020.9321960&amp;partnerID=40&amp;md5=cd09d111571b86221dd1175a6aac1237" TargetMode="External"/><Relationship Id="rId2395" Type="http://schemas.openxmlformats.org/officeDocument/2006/relationships/hyperlink" Target="https://ieeexplore.ieee.org/stamp/stamp.jsp?arnumber=8839604" TargetMode="External"/><Relationship Id="rId1065" Type="http://schemas.openxmlformats.org/officeDocument/2006/relationships/hyperlink" Target="https://www.scopus.com/inward/record.uri?eid=2-s2.0-85100451610&amp;doi=10.1109%2fCSIT49958.2020.9322045&amp;partnerID=40&amp;md5=fb5c008bd3bc1d1c9e7428d3f0384155" TargetMode="External"/><Relationship Id="rId2396" Type="http://schemas.openxmlformats.org/officeDocument/2006/relationships/hyperlink" Target="https://ieeexplore.ieee.org/stamp/stamp.jsp?arnumber=8880517" TargetMode="External"/><Relationship Id="rId235" Type="http://schemas.openxmlformats.org/officeDocument/2006/relationships/hyperlink" Target="https://www.scopus.com/inward/record.uri?eid=2-s2.0-85076511649&amp;doi=10.1007%2f978-3-030-35333-9_13&amp;partnerID=40&amp;md5=472b4e8c73856567550da90f0e9f2406" TargetMode="External"/><Relationship Id="rId1066" Type="http://schemas.openxmlformats.org/officeDocument/2006/relationships/hyperlink" Target="https://ieeexplore.ieee.org/stamp/stamp.jsp?arnumber=10026358" TargetMode="External"/><Relationship Id="rId2397" Type="http://schemas.openxmlformats.org/officeDocument/2006/relationships/hyperlink" Target="https://ieeexplore.ieee.org/stamp/stamp.jsp?arnumber=8941016" TargetMode="External"/><Relationship Id="rId234" Type="http://schemas.openxmlformats.org/officeDocument/2006/relationships/hyperlink" Target="https://doi.org/10.1007/978-3-030-30856-8_5" TargetMode="External"/><Relationship Id="rId1067" Type="http://schemas.openxmlformats.org/officeDocument/2006/relationships/hyperlink" Target="https://ieeexplore.ieee.org/stamp/stamp.jsp?arnumber=10334182" TargetMode="External"/><Relationship Id="rId2398" Type="http://schemas.openxmlformats.org/officeDocument/2006/relationships/hyperlink" Target="https://ieeexplore.ieee.org/stamp/stamp.jsp?arnumber=8947936" TargetMode="External"/><Relationship Id="rId233" Type="http://schemas.openxmlformats.org/officeDocument/2006/relationships/hyperlink" Target="https://doi.org/10.1007/978-3-030-27878-6_16" TargetMode="External"/><Relationship Id="rId1068" Type="http://schemas.openxmlformats.org/officeDocument/2006/relationships/hyperlink" Target="https://ieeexplore.ieee.org/stamp/stamp.jsp?arnumber=10334243" TargetMode="External"/><Relationship Id="rId2399" Type="http://schemas.openxmlformats.org/officeDocument/2006/relationships/hyperlink" Target="https://www.scopus.com/inward/record.uri?eid=2-s2.0-85085129294&amp;doi=10.1109%2fTNSM.2020.2990664&amp;partnerID=40&amp;md5=146993b049ffa8217325b4cab73744ba" TargetMode="External"/><Relationship Id="rId232" Type="http://schemas.openxmlformats.org/officeDocument/2006/relationships/hyperlink" Target="https://www.scopus.com/inward/record.uri?eid=2-s2.0-85064043401&amp;doi=10.1007%2f978-3-030-02242-6_20&amp;partnerID=40&amp;md5=9eccec276a5a66977c6e9d686ef90f0e" TargetMode="External"/><Relationship Id="rId1069" Type="http://schemas.openxmlformats.org/officeDocument/2006/relationships/hyperlink" Target="https://ieeexplore.ieee.org/stamp/stamp.jsp?arnumber=10817031" TargetMode="External"/><Relationship Id="rId1015" Type="http://schemas.openxmlformats.org/officeDocument/2006/relationships/hyperlink" Target="https://ieeexplore.ieee.org/stamp/stamp.jsp?arnumber=9944868" TargetMode="External"/><Relationship Id="rId2346" Type="http://schemas.openxmlformats.org/officeDocument/2006/relationships/hyperlink" Target="https://ieeexplore.ieee.org/stamp/stamp.jsp?arnumber=8712435" TargetMode="External"/><Relationship Id="rId1016" Type="http://schemas.openxmlformats.org/officeDocument/2006/relationships/hyperlink" Target="https://ieeexplore.ieee.org/stamp/stamp.jsp?arnumber=10024837" TargetMode="External"/><Relationship Id="rId2347" Type="http://schemas.openxmlformats.org/officeDocument/2006/relationships/hyperlink" Target="https://ieeexplore.ieee.org/stamp/stamp.jsp?arnumber=9187833" TargetMode="External"/><Relationship Id="rId1017" Type="http://schemas.openxmlformats.org/officeDocument/2006/relationships/hyperlink" Target="https://ieeexplore.ieee.org/stamp/stamp.jsp?arnumber=10025811" TargetMode="External"/><Relationship Id="rId2348" Type="http://schemas.openxmlformats.org/officeDocument/2006/relationships/hyperlink" Target="https://ieeexplore.ieee.org/stamp/stamp.jsp?arnumber=9382113" TargetMode="External"/><Relationship Id="rId1018" Type="http://schemas.openxmlformats.org/officeDocument/2006/relationships/hyperlink" Target="https://ieeexplore.ieee.org/stamp/stamp.jsp?arnumber=10054381" TargetMode="External"/><Relationship Id="rId2349" Type="http://schemas.openxmlformats.org/officeDocument/2006/relationships/hyperlink" Target="https://ieeexplore.ieee.org/stamp/stamp.jsp?arnumber=9403939" TargetMode="External"/><Relationship Id="rId1019" Type="http://schemas.openxmlformats.org/officeDocument/2006/relationships/hyperlink" Target="https://ieeexplore.ieee.org/stamp/stamp.jsp?arnumber=10120920" TargetMode="External"/><Relationship Id="rId2340" Type="http://schemas.openxmlformats.org/officeDocument/2006/relationships/hyperlink" Target="https://ieeexplore.ieee.org/stamp/stamp.jsp?arnumber=10536903" TargetMode="External"/><Relationship Id="rId1010" Type="http://schemas.openxmlformats.org/officeDocument/2006/relationships/hyperlink" Target="https://ieeexplore.ieee.org/stamp/stamp.jsp?arnumber=9854866" TargetMode="External"/><Relationship Id="rId2341" Type="http://schemas.openxmlformats.org/officeDocument/2006/relationships/hyperlink" Target="https://ieeexplore.ieee.org/stamp/stamp.jsp?arnumber=10646387" TargetMode="External"/><Relationship Id="rId1011" Type="http://schemas.openxmlformats.org/officeDocument/2006/relationships/hyperlink" Target="https://ieeexplore.ieee.org/stamp/stamp.jsp?arnumber=9910565" TargetMode="External"/><Relationship Id="rId2342" Type="http://schemas.openxmlformats.org/officeDocument/2006/relationships/hyperlink" Target="https://ieeexplore.ieee.org/stamp/stamp.jsp?arnumber=10810456" TargetMode="External"/><Relationship Id="rId1012" Type="http://schemas.openxmlformats.org/officeDocument/2006/relationships/hyperlink" Target="https://ieeexplore.ieee.org/stamp/stamp.jsp?arnumber=9913206" TargetMode="External"/><Relationship Id="rId2343" Type="http://schemas.openxmlformats.org/officeDocument/2006/relationships/hyperlink" Target="https://ieeexplore.ieee.org/stamp/stamp.jsp?arnumber=7740051" TargetMode="External"/><Relationship Id="rId1013" Type="http://schemas.openxmlformats.org/officeDocument/2006/relationships/hyperlink" Target="https://ieeexplore.ieee.org/stamp/stamp.jsp?arnumber=9919270" TargetMode="External"/><Relationship Id="rId2344" Type="http://schemas.openxmlformats.org/officeDocument/2006/relationships/hyperlink" Target="https://ieeexplore.ieee.org/stamp/stamp.jsp?arnumber=7921440" TargetMode="External"/><Relationship Id="rId1014" Type="http://schemas.openxmlformats.org/officeDocument/2006/relationships/hyperlink" Target="https://ieeexplore.ieee.org/stamp/stamp.jsp?arnumber=9933792" TargetMode="External"/><Relationship Id="rId2345" Type="http://schemas.openxmlformats.org/officeDocument/2006/relationships/hyperlink" Target="https://ieeexplore.ieee.org/stamp/stamp.jsp?arnumber=8118142" TargetMode="External"/><Relationship Id="rId1004" Type="http://schemas.openxmlformats.org/officeDocument/2006/relationships/hyperlink" Target="https://ieeexplore.ieee.org/stamp/stamp.jsp?arnumber=9364272" TargetMode="External"/><Relationship Id="rId2335" Type="http://schemas.openxmlformats.org/officeDocument/2006/relationships/hyperlink" Target="https://www.scopus.com/inward/record.uri?eid=2-s2.0-85178040343&amp;doi=10.1109%2fTGCN.2023.3335342&amp;partnerID=40&amp;md5=e1b420f489bd714d547ca0cd708cd612" TargetMode="External"/><Relationship Id="rId1005" Type="http://schemas.openxmlformats.org/officeDocument/2006/relationships/hyperlink" Target="https://ieeexplore.ieee.org/stamp/stamp.jsp?arnumber=9460016" TargetMode="External"/><Relationship Id="rId2336" Type="http://schemas.openxmlformats.org/officeDocument/2006/relationships/hyperlink" Target="https://ieeexplore.ieee.org/stamp/stamp.jsp?arnumber=10505912" TargetMode="External"/><Relationship Id="rId1006" Type="http://schemas.openxmlformats.org/officeDocument/2006/relationships/hyperlink" Target="https://ieeexplore.ieee.org/stamp/stamp.jsp?arnumber=9476028" TargetMode="External"/><Relationship Id="rId2337" Type="http://schemas.openxmlformats.org/officeDocument/2006/relationships/hyperlink" Target="https://ieeexplore.ieee.org/stamp/stamp.jsp?arnumber=10571391" TargetMode="External"/><Relationship Id="rId1007" Type="http://schemas.openxmlformats.org/officeDocument/2006/relationships/hyperlink" Target="https://ieeexplore.ieee.org/stamp/stamp.jsp?arnumber=9502167" TargetMode="External"/><Relationship Id="rId2338" Type="http://schemas.openxmlformats.org/officeDocument/2006/relationships/hyperlink" Target="https://ieeexplore.ieee.org/stamp/stamp.jsp?arnumber=10065559" TargetMode="External"/><Relationship Id="rId1008" Type="http://schemas.openxmlformats.org/officeDocument/2006/relationships/hyperlink" Target="https://ieeexplore.ieee.org/stamp/stamp.jsp?arnumber=9524814" TargetMode="External"/><Relationship Id="rId2339" Type="http://schemas.openxmlformats.org/officeDocument/2006/relationships/hyperlink" Target="https://ieeexplore.ieee.org/stamp/stamp.jsp?arnumber=10130289" TargetMode="External"/><Relationship Id="rId1009" Type="http://schemas.openxmlformats.org/officeDocument/2006/relationships/hyperlink" Target="https://ieeexplore.ieee.org/stamp/stamp.jsp?arnumber=9548956" TargetMode="External"/><Relationship Id="rId2330" Type="http://schemas.openxmlformats.org/officeDocument/2006/relationships/hyperlink" Target="https://ieeexplore.ieee.org/stamp/stamp.jsp?arnumber=9382007" TargetMode="External"/><Relationship Id="rId1000" Type="http://schemas.openxmlformats.org/officeDocument/2006/relationships/hyperlink" Target="https://ieeexplore.ieee.org/stamp/stamp.jsp?arnumber=8976180" TargetMode="External"/><Relationship Id="rId2331" Type="http://schemas.openxmlformats.org/officeDocument/2006/relationships/hyperlink" Target="https://ieeexplore.ieee.org/stamp/stamp.jsp?arnumber=9523583" TargetMode="External"/><Relationship Id="rId1001" Type="http://schemas.openxmlformats.org/officeDocument/2006/relationships/hyperlink" Target="https://ieeexplore.ieee.org/stamp/stamp.jsp?arnumber=9139976" TargetMode="External"/><Relationship Id="rId2332" Type="http://schemas.openxmlformats.org/officeDocument/2006/relationships/hyperlink" Target="https://ieeexplore.ieee.org/stamp/stamp.jsp?arnumber=9606213" TargetMode="External"/><Relationship Id="rId1002" Type="http://schemas.openxmlformats.org/officeDocument/2006/relationships/hyperlink" Target="https://ieeexplore.ieee.org/stamp/stamp.jsp?arnumber=9203885" TargetMode="External"/><Relationship Id="rId2333" Type="http://schemas.openxmlformats.org/officeDocument/2006/relationships/hyperlink" Target="https://ieeexplore.ieee.org/stamp/stamp.jsp?arnumber=9612603" TargetMode="External"/><Relationship Id="rId1003" Type="http://schemas.openxmlformats.org/officeDocument/2006/relationships/hyperlink" Target="https://ieeexplore.ieee.org/stamp/stamp.jsp?arnumber=9319748" TargetMode="External"/><Relationship Id="rId2334" Type="http://schemas.openxmlformats.org/officeDocument/2006/relationships/hyperlink" Target="https://www.scopus.com/inward/record.uri?eid=2-s2.0-85135754032&amp;doi=10.1109%2fTGCN.2022.3193996&amp;partnerID=40&amp;md5=4b019682c2044d36b5f75233ce48d3de" TargetMode="External"/><Relationship Id="rId1037" Type="http://schemas.openxmlformats.org/officeDocument/2006/relationships/hyperlink" Target="https://www.scopus.com/inward/record.uri?eid=2-s2.0-85210356254&amp;doi=10.1109%2fCOMST.2024.3502762&amp;partnerID=40&amp;md5=03227c0bb7b56464c4a78092ead36563" TargetMode="External"/><Relationship Id="rId2368" Type="http://schemas.openxmlformats.org/officeDocument/2006/relationships/hyperlink" Target="https://ieeexplore.ieee.org/stamp/stamp.jsp?arnumber=9709183" TargetMode="External"/><Relationship Id="rId1038" Type="http://schemas.openxmlformats.org/officeDocument/2006/relationships/hyperlink" Target="https://www.scopus.com/inward/record.uri?eid=2-s2.0-85208377646&amp;doi=10.1109%2fCOMST.2024.3521498&amp;partnerID=40&amp;md5=62ade1fb5629373c7d3e45683b8a6822" TargetMode="External"/><Relationship Id="rId2369" Type="http://schemas.openxmlformats.org/officeDocument/2006/relationships/hyperlink" Target="https://ieeexplore.ieee.org/stamp/stamp.jsp?arnumber=9756882" TargetMode="External"/><Relationship Id="rId1039" Type="http://schemas.openxmlformats.org/officeDocument/2006/relationships/hyperlink" Target="https://ieeexplore.ieee.org/stamp/stamp.jsp?arnumber=8977001" TargetMode="External"/><Relationship Id="rId206" Type="http://schemas.openxmlformats.org/officeDocument/2006/relationships/hyperlink" Target="https://www.scopus.com/inward/record.uri?eid=2-s2.0-85202290186&amp;doi=10.3390%2ffi16080296&amp;partnerID=40&amp;md5=afe75154a8168a5efc000ea5ccffad49" TargetMode="External"/><Relationship Id="rId205" Type="http://schemas.openxmlformats.org/officeDocument/2006/relationships/hyperlink" Target="https://www.scopus.com/inward/record.uri?eid=2-s2.0-85136460397&amp;doi=10.3390%2fen15155516&amp;partnerID=40&amp;md5=6308ccd8a038ff7efa1a6d18f2229463" TargetMode="External"/><Relationship Id="rId204" Type="http://schemas.openxmlformats.org/officeDocument/2006/relationships/hyperlink" Target="https://www.scopus.com/inward/record.uri?eid=2-s2.0-85060914476&amp;doi=10.3390%2fen12030360&amp;partnerID=40&amp;md5=b8d4f3ba862252b7262f00c2d070bd55" TargetMode="External"/><Relationship Id="rId203" Type="http://schemas.openxmlformats.org/officeDocument/2006/relationships/hyperlink" Target="https://www.scopus.com/inward/record.uri?eid=2-s2.0-85145614160&amp;doi=10.3390%2felectronics12010017&amp;partnerID=40&amp;md5=93ec82e35f83fd28bb9e12c5fd6006ad" TargetMode="External"/><Relationship Id="rId209" Type="http://schemas.openxmlformats.org/officeDocument/2006/relationships/hyperlink" Target="https://www.scopus.com/inward/record.uri?eid=2-s2.0-85105479171&amp;doi=10.3390%2fs21103349&amp;partnerID=40&amp;md5=f071021b9a40035db59ade6c78a833b1" TargetMode="External"/><Relationship Id="rId208" Type="http://schemas.openxmlformats.org/officeDocument/2006/relationships/hyperlink" Target="https://www.scopus.com/inward/record.uri?eid=2-s2.0-85084170463&amp;doi=10.3390%2fs20082418&amp;partnerID=40&amp;md5=ce4f72616124e49db1ca6d4346d3ec61" TargetMode="External"/><Relationship Id="rId207" Type="http://schemas.openxmlformats.org/officeDocument/2006/relationships/hyperlink" Target="https://www.scopus.com/inward/record.uri?eid=2-s2.0-85114800112&amp;doi=10.3390%2fpr9091611&amp;partnerID=40&amp;md5=4d739f7a59f90b159ecdd9113beb3643" TargetMode="External"/><Relationship Id="rId2360" Type="http://schemas.openxmlformats.org/officeDocument/2006/relationships/hyperlink" Target="https://ieeexplore.ieee.org/stamp/stamp.jsp?arnumber=10373409" TargetMode="External"/><Relationship Id="rId1030" Type="http://schemas.openxmlformats.org/officeDocument/2006/relationships/hyperlink" Target="https://ieeexplore.ieee.org/stamp/stamp.jsp?arnumber=10472517" TargetMode="External"/><Relationship Id="rId2361" Type="http://schemas.openxmlformats.org/officeDocument/2006/relationships/hyperlink" Target="https://ieeexplore.ieee.org/stamp/stamp.jsp?arnumber=10621029" TargetMode="External"/><Relationship Id="rId1031" Type="http://schemas.openxmlformats.org/officeDocument/2006/relationships/hyperlink" Target="https://ieeexplore.ieee.org/stamp/stamp.jsp?arnumber=10504277" TargetMode="External"/><Relationship Id="rId2362" Type="http://schemas.openxmlformats.org/officeDocument/2006/relationships/hyperlink" Target="https://www.scopus.com/inward/record.uri?eid=2-s2.0-85216898753&amp;doi=10.1109%2fTII.2025.3528563&amp;partnerID=40&amp;md5=b77fe8ba26faf4c1c9df17cb8e6201bf" TargetMode="External"/><Relationship Id="rId1032" Type="http://schemas.openxmlformats.org/officeDocument/2006/relationships/hyperlink" Target="https://ieeexplore.ieee.org/stamp/stamp.jsp?arnumber=10507201" TargetMode="External"/><Relationship Id="rId2363" Type="http://schemas.openxmlformats.org/officeDocument/2006/relationships/hyperlink" Target="https://ieeexplore.ieee.org/stamp/stamp.jsp?arnumber=8574916" TargetMode="External"/><Relationship Id="rId202" Type="http://schemas.openxmlformats.org/officeDocument/2006/relationships/hyperlink" Target="https://www.scopus.com/inward/record.uri?eid=2-s2.0-85108122823&amp;doi=10.3390%2felectronics10121460&amp;partnerID=40&amp;md5=3b8cc0565367055565968a82972bca49" TargetMode="External"/><Relationship Id="rId1033" Type="http://schemas.openxmlformats.org/officeDocument/2006/relationships/hyperlink" Target="https://ieeexplore.ieee.org/stamp/stamp.jsp?arnumber=10508191" TargetMode="External"/><Relationship Id="rId2364" Type="http://schemas.openxmlformats.org/officeDocument/2006/relationships/hyperlink" Target="https://ieeexplore.ieee.org/stamp/stamp.jsp?arnumber=9211481" TargetMode="External"/><Relationship Id="rId201" Type="http://schemas.openxmlformats.org/officeDocument/2006/relationships/hyperlink" Target="https://www.scopus.com/inward/record.uri?eid=2-s2.0-85203852902&amp;doi=10.3390%2fapp14177456&amp;partnerID=40&amp;md5=764572cb721393b46c5d6d5cbbf1be5c" TargetMode="External"/><Relationship Id="rId1034" Type="http://schemas.openxmlformats.org/officeDocument/2006/relationships/hyperlink" Target="https://ieeexplore.ieee.org/stamp/stamp.jsp?arnumber=10546919" TargetMode="External"/><Relationship Id="rId2365" Type="http://schemas.openxmlformats.org/officeDocument/2006/relationships/hyperlink" Target="https://ieeexplore.ieee.org/stamp/stamp.jsp?arnumber=9965456" TargetMode="External"/><Relationship Id="rId200" Type="http://schemas.openxmlformats.org/officeDocument/2006/relationships/hyperlink" Target="https://www.scopus.com/inward/record.uri?eid=2-s2.0-85142543242&amp;doi=10.3390%2fapp122211650&amp;partnerID=40&amp;md5=17ee93055dc7642d530e775d0137169a" TargetMode="External"/><Relationship Id="rId1035" Type="http://schemas.openxmlformats.org/officeDocument/2006/relationships/hyperlink" Target="https://ieeexplore.ieee.org/stamp/stamp.jsp?arnumber=10546924" TargetMode="External"/><Relationship Id="rId2366" Type="http://schemas.openxmlformats.org/officeDocument/2006/relationships/hyperlink" Target="https://ieeexplore.ieee.org/stamp/stamp.jsp?arnumber=8833515" TargetMode="External"/><Relationship Id="rId1036" Type="http://schemas.openxmlformats.org/officeDocument/2006/relationships/hyperlink" Target="https://www.scopus.com/inward/record.uri?eid=2-s2.0-85207387120&amp;doi=10.1109%2fCOMST.2024.3482978&amp;partnerID=40&amp;md5=977da46255a0731d043afc5a1e10d812" TargetMode="External"/><Relationship Id="rId2367" Type="http://schemas.openxmlformats.org/officeDocument/2006/relationships/hyperlink" Target="https://ieeexplore.ieee.org/stamp/stamp.jsp?arnumber=9210552" TargetMode="External"/><Relationship Id="rId1026" Type="http://schemas.openxmlformats.org/officeDocument/2006/relationships/hyperlink" Target="https://ieeexplore.ieee.org/stamp/stamp.jsp?arnumber=10336879" TargetMode="External"/><Relationship Id="rId2357" Type="http://schemas.openxmlformats.org/officeDocument/2006/relationships/hyperlink" Target="https://ieeexplore.ieee.org/stamp/stamp.jsp?arnumber=9860057" TargetMode="External"/><Relationship Id="rId1027" Type="http://schemas.openxmlformats.org/officeDocument/2006/relationships/hyperlink" Target="https://ieeexplore.ieee.org/stamp/stamp.jsp?arnumber=10400810" TargetMode="External"/><Relationship Id="rId2358" Type="http://schemas.openxmlformats.org/officeDocument/2006/relationships/hyperlink" Target="https://ieeexplore.ieee.org/stamp/stamp.jsp?arnumber=9918040" TargetMode="External"/><Relationship Id="rId1028" Type="http://schemas.openxmlformats.org/officeDocument/2006/relationships/hyperlink" Target="https://ieeexplore.ieee.org/stamp/stamp.jsp?arnumber=10457570" TargetMode="External"/><Relationship Id="rId2359" Type="http://schemas.openxmlformats.org/officeDocument/2006/relationships/hyperlink" Target="https://ieeexplore.ieee.org/stamp/stamp.jsp?arnumber=10361602" TargetMode="External"/><Relationship Id="rId1029" Type="http://schemas.openxmlformats.org/officeDocument/2006/relationships/hyperlink" Target="https://ieeexplore.ieee.org/stamp/stamp.jsp?arnumber=10457033" TargetMode="External"/><Relationship Id="rId2350" Type="http://schemas.openxmlformats.org/officeDocument/2006/relationships/hyperlink" Target="https://ieeexplore.ieee.org/stamp/stamp.jsp?arnumber=9507367" TargetMode="External"/><Relationship Id="rId1020" Type="http://schemas.openxmlformats.org/officeDocument/2006/relationships/hyperlink" Target="https://ieeexplore.ieee.org/stamp/stamp.jsp?arnumber=10231341" TargetMode="External"/><Relationship Id="rId2351" Type="http://schemas.openxmlformats.org/officeDocument/2006/relationships/hyperlink" Target="https://ieeexplore.ieee.org/stamp/stamp.jsp?arnumber=9531530" TargetMode="External"/><Relationship Id="rId1021" Type="http://schemas.openxmlformats.org/officeDocument/2006/relationships/hyperlink" Target="https://ieeexplore.ieee.org/stamp/stamp.jsp?arnumber=10258360" TargetMode="External"/><Relationship Id="rId2352" Type="http://schemas.openxmlformats.org/officeDocument/2006/relationships/hyperlink" Target="https://ieeexplore.ieee.org/stamp/stamp.jsp?arnumber=9536391" TargetMode="External"/><Relationship Id="rId1022" Type="http://schemas.openxmlformats.org/officeDocument/2006/relationships/hyperlink" Target="https://ieeexplore.ieee.org/stamp/stamp.jsp?arnumber=10255264" TargetMode="External"/><Relationship Id="rId2353" Type="http://schemas.openxmlformats.org/officeDocument/2006/relationships/hyperlink" Target="https://ieeexplore.ieee.org/stamp/stamp.jsp?arnumber=9611004" TargetMode="External"/><Relationship Id="rId1023" Type="http://schemas.openxmlformats.org/officeDocument/2006/relationships/hyperlink" Target="https://ieeexplore.ieee.org/stamp/stamp.jsp?arnumber=10274950" TargetMode="External"/><Relationship Id="rId2354" Type="http://schemas.openxmlformats.org/officeDocument/2006/relationships/hyperlink" Target="https://ieeexplore.ieee.org/stamp/stamp.jsp?arnumber=9749900" TargetMode="External"/><Relationship Id="rId1024" Type="http://schemas.openxmlformats.org/officeDocument/2006/relationships/hyperlink" Target="https://ieeexplore.ieee.org/stamp/stamp.jsp?arnumber=10305081" TargetMode="External"/><Relationship Id="rId2355" Type="http://schemas.openxmlformats.org/officeDocument/2006/relationships/hyperlink" Target="https://ieeexplore.ieee.org/stamp/stamp.jsp?arnumber=9762563" TargetMode="External"/><Relationship Id="rId1025" Type="http://schemas.openxmlformats.org/officeDocument/2006/relationships/hyperlink" Target="https://ieeexplore.ieee.org/stamp/stamp.jsp?arnumber=10335918" TargetMode="External"/><Relationship Id="rId2356" Type="http://schemas.openxmlformats.org/officeDocument/2006/relationships/hyperlink" Target="https://ieeexplore.ieee.org/stamp/stamp.jsp?arnumber=9762480" TargetMode="External"/><Relationship Id="rId1910" Type="http://schemas.openxmlformats.org/officeDocument/2006/relationships/hyperlink" Target="https://ieeexplore.ieee.org/stamp/stamp.jsp?arnumber=10216783" TargetMode="External"/><Relationship Id="rId1911" Type="http://schemas.openxmlformats.org/officeDocument/2006/relationships/hyperlink" Target="https://ieeexplore.ieee.org/stamp/stamp.jsp?arnumber=10214503" TargetMode="External"/><Relationship Id="rId1912" Type="http://schemas.openxmlformats.org/officeDocument/2006/relationships/hyperlink" Target="https://ieeexplore.ieee.org/stamp/stamp.jsp?arnumber=10215363" TargetMode="External"/><Relationship Id="rId1913" Type="http://schemas.openxmlformats.org/officeDocument/2006/relationships/hyperlink" Target="https://www.scopus.com/inward/record.uri?eid=2-s2.0-85171545997&amp;doi=10.1109%2fJIOT.2023.3313158&amp;partnerID=40&amp;md5=65aa8547d7a04d87e8743ce181582e9d" TargetMode="External"/><Relationship Id="rId1914" Type="http://schemas.openxmlformats.org/officeDocument/2006/relationships/hyperlink" Target="https://ieeexplore.ieee.org/stamp/stamp.jsp?arnumber=10256032" TargetMode="External"/><Relationship Id="rId1915" Type="http://schemas.openxmlformats.org/officeDocument/2006/relationships/hyperlink" Target="https://ieeexplore.ieee.org/stamp/stamp.jsp?arnumber=10290899" TargetMode="External"/><Relationship Id="rId1916" Type="http://schemas.openxmlformats.org/officeDocument/2006/relationships/hyperlink" Target="https://ieeexplore.ieee.org/stamp/stamp.jsp?arnumber=10347477" TargetMode="External"/><Relationship Id="rId1917" Type="http://schemas.openxmlformats.org/officeDocument/2006/relationships/hyperlink" Target="https://ieeexplore.ieee.org/stamp/stamp.jsp?arnumber=10363120" TargetMode="External"/><Relationship Id="rId1918" Type="http://schemas.openxmlformats.org/officeDocument/2006/relationships/hyperlink" Target="https://www.scopus.com/inward/record.uri?eid=2-s2.0-85182347716&amp;doi=10.1109%2fJIOT.2024.3351630&amp;partnerID=40&amp;md5=7a259d5a07884775bc980057616ef1a0" TargetMode="External"/><Relationship Id="rId1919" Type="http://schemas.openxmlformats.org/officeDocument/2006/relationships/hyperlink" Target="https://ieeexplore.ieee.org/stamp/stamp.jsp?arnumber=10399957" TargetMode="External"/><Relationship Id="rId1900" Type="http://schemas.openxmlformats.org/officeDocument/2006/relationships/hyperlink" Target="https://ieeexplore.ieee.org/stamp/stamp.jsp?arnumber=10044213" TargetMode="External"/><Relationship Id="rId1901" Type="http://schemas.openxmlformats.org/officeDocument/2006/relationships/hyperlink" Target="https://ieeexplore.ieee.org/stamp/stamp.jsp?arnumber=10045724" TargetMode="External"/><Relationship Id="rId1902" Type="http://schemas.openxmlformats.org/officeDocument/2006/relationships/hyperlink" Target="https://ieeexplore.ieee.org/stamp/stamp.jsp?arnumber=10082926" TargetMode="External"/><Relationship Id="rId1903" Type="http://schemas.openxmlformats.org/officeDocument/2006/relationships/hyperlink" Target="https://ieeexplore.ieee.org/stamp/stamp.jsp?arnumber=10083171" TargetMode="External"/><Relationship Id="rId1904" Type="http://schemas.openxmlformats.org/officeDocument/2006/relationships/hyperlink" Target="https://ieeexplore.ieee.org/stamp/stamp.jsp?arnumber=10143546" TargetMode="External"/><Relationship Id="rId1905" Type="http://schemas.openxmlformats.org/officeDocument/2006/relationships/hyperlink" Target="https://ieeexplore.ieee.org/stamp/stamp.jsp?arnumber=10153976" TargetMode="External"/><Relationship Id="rId1906" Type="http://schemas.openxmlformats.org/officeDocument/2006/relationships/hyperlink" Target="https://ieeexplore.ieee.org/stamp/stamp.jsp?arnumber=10172226" TargetMode="External"/><Relationship Id="rId1907" Type="http://schemas.openxmlformats.org/officeDocument/2006/relationships/hyperlink" Target="https://ieeexplore.ieee.org/stamp/stamp.jsp?arnumber=10173679" TargetMode="External"/><Relationship Id="rId1908" Type="http://schemas.openxmlformats.org/officeDocument/2006/relationships/hyperlink" Target="https://www.scopus.com/inward/record.uri?eid=2-s2.0-85164386755&amp;doi=10.1109%2fJIOT.2023.3293028&amp;partnerID=40&amp;md5=4263a16b870d810807e0500ea5c1bd4f" TargetMode="External"/><Relationship Id="rId1909" Type="http://schemas.openxmlformats.org/officeDocument/2006/relationships/hyperlink" Target="https://ieeexplore.ieee.org/stamp/stamp.jsp?arnumber=10208153" TargetMode="External"/><Relationship Id="rId1090" Type="http://schemas.openxmlformats.org/officeDocument/2006/relationships/hyperlink" Target="https://ieeexplore.ieee.org/stamp/stamp.jsp?arnumber=9903277" TargetMode="External"/><Relationship Id="rId1091" Type="http://schemas.openxmlformats.org/officeDocument/2006/relationships/hyperlink" Target="https://www.scopus.com/inward/record.uri?eid=2-s2.0-85128906509&amp;doi=10.1109%2fComPE53109.2021.9752238&amp;partnerID=40&amp;md5=b339e4d341bb8239be7b9eae51122c1c" TargetMode="External"/><Relationship Id="rId1092" Type="http://schemas.openxmlformats.org/officeDocument/2006/relationships/hyperlink" Target="https://ieeexplore.ieee.org/stamp/stamp.jsp?arnumber=9199640" TargetMode="External"/><Relationship Id="rId1093" Type="http://schemas.openxmlformats.org/officeDocument/2006/relationships/hyperlink" Target="https://ieeexplore.ieee.org/stamp/stamp.jsp?arnumber=10793255" TargetMode="External"/><Relationship Id="rId1094" Type="http://schemas.openxmlformats.org/officeDocument/2006/relationships/hyperlink" Target="https://ieeexplore.ieee.org/stamp/stamp.jsp?arnumber=10793299" TargetMode="External"/><Relationship Id="rId1095" Type="http://schemas.openxmlformats.org/officeDocument/2006/relationships/hyperlink" Target="https://ieeexplore.ieee.org/stamp/stamp.jsp?arnumber=9328931" TargetMode="External"/><Relationship Id="rId1096" Type="http://schemas.openxmlformats.org/officeDocument/2006/relationships/hyperlink" Target="https://ieeexplore.ieee.org/stamp/stamp.jsp?arnumber=9328932" TargetMode="External"/><Relationship Id="rId1097" Type="http://schemas.openxmlformats.org/officeDocument/2006/relationships/hyperlink" Target="https://ieeexplore.ieee.org/stamp/stamp.jsp?arnumber=8780719" TargetMode="External"/><Relationship Id="rId1098" Type="http://schemas.openxmlformats.org/officeDocument/2006/relationships/hyperlink" Target="https://ieeexplore.ieee.org/stamp/stamp.jsp?arnumber=10048866" TargetMode="External"/><Relationship Id="rId1099" Type="http://schemas.openxmlformats.org/officeDocument/2006/relationships/hyperlink" Target="https://ieeexplore.ieee.org/stamp/stamp.jsp?arnumber=10463294" TargetMode="External"/><Relationship Id="rId1080" Type="http://schemas.openxmlformats.org/officeDocument/2006/relationships/hyperlink" Target="https://ieeexplore.ieee.org/stamp/stamp.jsp?arnumber=8549333" TargetMode="External"/><Relationship Id="rId1081" Type="http://schemas.openxmlformats.org/officeDocument/2006/relationships/hyperlink" Target="https://ieeexplore.ieee.org/stamp/stamp.jsp?arnumber=10490035" TargetMode="External"/><Relationship Id="rId1082" Type="http://schemas.openxmlformats.org/officeDocument/2006/relationships/hyperlink" Target="https://ieeexplore.ieee.org/stamp/stamp.jsp?arnumber=10490076" TargetMode="External"/><Relationship Id="rId1083" Type="http://schemas.openxmlformats.org/officeDocument/2006/relationships/hyperlink" Target="https://ieeexplore.ieee.org/stamp/stamp.jsp?arnumber=9973078" TargetMode="External"/><Relationship Id="rId1084" Type="http://schemas.openxmlformats.org/officeDocument/2006/relationships/hyperlink" Target="https://ieeexplore.ieee.org/stamp/stamp.jsp?arnumber=10366166" TargetMode="External"/><Relationship Id="rId1085" Type="http://schemas.openxmlformats.org/officeDocument/2006/relationships/hyperlink" Target="https://ieeexplore.ieee.org/stamp/stamp.jsp?arnumber=10631212" TargetMode="External"/><Relationship Id="rId1086" Type="http://schemas.openxmlformats.org/officeDocument/2006/relationships/hyperlink" Target="https://ieeexplore.ieee.org/stamp/stamp.jsp?arnumber=8820441" TargetMode="External"/><Relationship Id="rId1087" Type="http://schemas.openxmlformats.org/officeDocument/2006/relationships/hyperlink" Target="https://ieeexplore.ieee.org/stamp/stamp.jsp?arnumber=10708618" TargetMode="External"/><Relationship Id="rId1088" Type="http://schemas.openxmlformats.org/officeDocument/2006/relationships/hyperlink" Target="https://ieeexplore.ieee.org/stamp/stamp.jsp?arnumber=9319337" TargetMode="External"/><Relationship Id="rId1089" Type="http://schemas.openxmlformats.org/officeDocument/2006/relationships/hyperlink" Target="https://ieeexplore.ieee.org/stamp/stamp.jsp?arnumber=9830666" TargetMode="External"/><Relationship Id="rId1972" Type="http://schemas.openxmlformats.org/officeDocument/2006/relationships/hyperlink" Target="https://ieeexplore.ieee.org/stamp/stamp.jsp?arnumber=8847112" TargetMode="External"/><Relationship Id="rId1973" Type="http://schemas.openxmlformats.org/officeDocument/2006/relationships/hyperlink" Target="https://ieeexplore.ieee.org/stamp/stamp.jsp?arnumber=9307160" TargetMode="External"/><Relationship Id="rId1974" Type="http://schemas.openxmlformats.org/officeDocument/2006/relationships/hyperlink" Target="https://ieeexplore.ieee.org/stamp/stamp.jsp?arnumber=10361889" TargetMode="External"/><Relationship Id="rId1975" Type="http://schemas.openxmlformats.org/officeDocument/2006/relationships/hyperlink" Target="https://www.scopus.com/inward/record.uri?eid=2-s2.0-85182766510&amp;doi=10.1109%2fLATINCOM59467.2023.10361890&amp;partnerID=40&amp;md5=36a09b9f88d3d1197bd5c9c84c01d6a1" TargetMode="External"/><Relationship Id="rId1976" Type="http://schemas.openxmlformats.org/officeDocument/2006/relationships/hyperlink" Target="https://ieeexplore.ieee.org/stamp/stamp.jsp?arnumber=9612061" TargetMode="External"/><Relationship Id="rId1977" Type="http://schemas.openxmlformats.org/officeDocument/2006/relationships/hyperlink" Target="https://ieeexplore.ieee.org/stamp/stamp.jsp?arnumber=9843282" TargetMode="External"/><Relationship Id="rId1978" Type="http://schemas.openxmlformats.org/officeDocument/2006/relationships/hyperlink" Target="https://ieeexplore.ieee.org/stamp/stamp.jsp?arnumber=9843385" TargetMode="External"/><Relationship Id="rId1979" Type="http://schemas.openxmlformats.org/officeDocument/2006/relationships/hyperlink" Target="https://ieeexplore.ieee.org/stamp/stamp.jsp?arnumber=7365924" TargetMode="External"/><Relationship Id="rId1970" Type="http://schemas.openxmlformats.org/officeDocument/2006/relationships/hyperlink" Target="https://ieeexplore.ieee.org/stamp/stamp.jsp?arnumber=10518055" TargetMode="External"/><Relationship Id="rId1971" Type="http://schemas.openxmlformats.org/officeDocument/2006/relationships/hyperlink" Target="https://ieeexplore.ieee.org/stamp/stamp.jsp?arnumber=10312994" TargetMode="External"/><Relationship Id="rId1961" Type="http://schemas.openxmlformats.org/officeDocument/2006/relationships/hyperlink" Target="https://ieeexplore.ieee.org/stamp/stamp.jsp?arnumber=10124661" TargetMode="External"/><Relationship Id="rId1962" Type="http://schemas.openxmlformats.org/officeDocument/2006/relationships/hyperlink" Target="https://www.scopus.com/inward/record.uri?eid=2-s2.0-85163566816&amp;doi=10.1109%2fJSEN.2023.3287916&amp;partnerID=40&amp;md5=595a1ba133d20bf6e5179c1df95ab48d" TargetMode="External"/><Relationship Id="rId1963" Type="http://schemas.openxmlformats.org/officeDocument/2006/relationships/hyperlink" Target="https://ieeexplore.ieee.org/stamp/stamp.jsp?arnumber=10251116" TargetMode="External"/><Relationship Id="rId1964" Type="http://schemas.openxmlformats.org/officeDocument/2006/relationships/hyperlink" Target="https://ieeexplore.ieee.org/stamp/stamp.jsp?arnumber=10492690" TargetMode="External"/><Relationship Id="rId1965" Type="http://schemas.openxmlformats.org/officeDocument/2006/relationships/hyperlink" Target="https://www.scopus.com/inward/record.uri?eid=2-s2.0-85029008821&amp;doi=10.1109%2fJSYST.2017.2726350&amp;partnerID=40&amp;md5=fb56573ffb1122db6bb440c69101665e" TargetMode="External"/><Relationship Id="rId1966" Type="http://schemas.openxmlformats.org/officeDocument/2006/relationships/hyperlink" Target="https://ieeexplore.ieee.org/stamp/stamp.jsp?arnumber=9585085" TargetMode="External"/><Relationship Id="rId1967" Type="http://schemas.openxmlformats.org/officeDocument/2006/relationships/hyperlink" Target="https://www.scopus.com/inward/record.uri?eid=2-s2.0-85135756210&amp;doi=10.1109%2fJSYST.2022.3192856&amp;partnerID=40&amp;md5=79859f185b31b092fce2fc95118fc9a2" TargetMode="External"/><Relationship Id="rId1968" Type="http://schemas.openxmlformats.org/officeDocument/2006/relationships/hyperlink" Target="https://ieeexplore.ieee.org/stamp/stamp.jsp?arnumber=10287681" TargetMode="External"/><Relationship Id="rId1969" Type="http://schemas.openxmlformats.org/officeDocument/2006/relationships/hyperlink" Target="https://ieeexplore.ieee.org/stamp/stamp.jsp?arnumber=10288578" TargetMode="External"/><Relationship Id="rId1960" Type="http://schemas.openxmlformats.org/officeDocument/2006/relationships/hyperlink" Target="https://ieeexplore.ieee.org/stamp/stamp.jsp?arnumber=9301323" TargetMode="External"/><Relationship Id="rId1994" Type="http://schemas.openxmlformats.org/officeDocument/2006/relationships/hyperlink" Target="https://ieeexplore.ieee.org/stamp/stamp.jsp?arnumber=9460275" TargetMode="External"/><Relationship Id="rId1995" Type="http://schemas.openxmlformats.org/officeDocument/2006/relationships/hyperlink" Target="https://ieeexplore.ieee.org/stamp/stamp.jsp?arnumber=9797080" TargetMode="External"/><Relationship Id="rId1996" Type="http://schemas.openxmlformats.org/officeDocument/2006/relationships/hyperlink" Target="https://ieeexplore.ieee.org/stamp/stamp.jsp?arnumber=10577898" TargetMode="External"/><Relationship Id="rId1997" Type="http://schemas.openxmlformats.org/officeDocument/2006/relationships/hyperlink" Target="https://ieeexplore.ieee.org/stamp/stamp.jsp?arnumber=9842910" TargetMode="External"/><Relationship Id="rId1998" Type="http://schemas.openxmlformats.org/officeDocument/2006/relationships/hyperlink" Target="https://ieeexplore.ieee.org/stamp/stamp.jsp?arnumber=10620061" TargetMode="External"/><Relationship Id="rId1999" Type="http://schemas.openxmlformats.org/officeDocument/2006/relationships/hyperlink" Target="https://ieeexplore.ieee.org/stamp/stamp.jsp?arnumber=8449168" TargetMode="External"/><Relationship Id="rId1990" Type="http://schemas.openxmlformats.org/officeDocument/2006/relationships/hyperlink" Target="https://ieeexplore.ieee.org/stamp/stamp.jsp?arnumber=10214942" TargetMode="External"/><Relationship Id="rId1991" Type="http://schemas.openxmlformats.org/officeDocument/2006/relationships/hyperlink" Target="https://ieeexplore.ieee.org/stamp/stamp.jsp?arnumber=9476113" TargetMode="External"/><Relationship Id="rId1992" Type="http://schemas.openxmlformats.org/officeDocument/2006/relationships/hyperlink" Target="https://ieeexplore.ieee.org/stamp/stamp.jsp?arnumber=8760105" TargetMode="External"/><Relationship Id="rId1993" Type="http://schemas.openxmlformats.org/officeDocument/2006/relationships/hyperlink" Target="https://ieeexplore.ieee.org/stamp/stamp.jsp?arnumber=9134320" TargetMode="External"/><Relationship Id="rId1983" Type="http://schemas.openxmlformats.org/officeDocument/2006/relationships/hyperlink" Target="https://ieeexplore.ieee.org/stamp/stamp.jsp?arnumber=10813962" TargetMode="External"/><Relationship Id="rId1984" Type="http://schemas.openxmlformats.org/officeDocument/2006/relationships/hyperlink" Target="https://ieeexplore.ieee.org/stamp/stamp.jsp?arnumber=9637730" TargetMode="External"/><Relationship Id="rId1985" Type="http://schemas.openxmlformats.org/officeDocument/2006/relationships/hyperlink" Target="https://ieeexplore.ieee.org/stamp/stamp.jsp?arnumber=9973601" TargetMode="External"/><Relationship Id="rId1986" Type="http://schemas.openxmlformats.org/officeDocument/2006/relationships/hyperlink" Target="https://ieeexplore.ieee.org/stamp/stamp.jsp?arnumber=10298356" TargetMode="External"/><Relationship Id="rId1987" Type="http://schemas.openxmlformats.org/officeDocument/2006/relationships/hyperlink" Target="https://ieeexplore.ieee.org/stamp/stamp.jsp?arnumber=10387919" TargetMode="External"/><Relationship Id="rId1988" Type="http://schemas.openxmlformats.org/officeDocument/2006/relationships/hyperlink" Target="https://ieeexplore.ieee.org/stamp/stamp.jsp?arnumber=9162334" TargetMode="External"/><Relationship Id="rId1989" Type="http://schemas.openxmlformats.org/officeDocument/2006/relationships/hyperlink" Target="https://ieeexplore.ieee.org/stamp/stamp.jsp?arnumber=10214922" TargetMode="External"/><Relationship Id="rId1980" Type="http://schemas.openxmlformats.org/officeDocument/2006/relationships/hyperlink" Target="https://ieeexplore.ieee.org/stamp/stamp.jsp?arnumber=10606440" TargetMode="External"/><Relationship Id="rId1981" Type="http://schemas.openxmlformats.org/officeDocument/2006/relationships/hyperlink" Target="https://ieeexplore.ieee.org/stamp/stamp.jsp?arnumber=10086577" TargetMode="External"/><Relationship Id="rId1982" Type="http://schemas.openxmlformats.org/officeDocument/2006/relationships/hyperlink" Target="https://www.scopus.com/inward/record.uri?eid=2-s2.0-85167835076&amp;doi=10.1109%2fLSENS.2023.3303074&amp;partnerID=40&amp;md5=ca662834adede00442b32552a392190b" TargetMode="External"/><Relationship Id="rId1930" Type="http://schemas.openxmlformats.org/officeDocument/2006/relationships/hyperlink" Target="https://ieeexplore.ieee.org/stamp/stamp.jsp?arnumber=10612841" TargetMode="External"/><Relationship Id="rId1931" Type="http://schemas.openxmlformats.org/officeDocument/2006/relationships/hyperlink" Target="https://ieeexplore.ieee.org/stamp/stamp.jsp?arnumber=10759538" TargetMode="External"/><Relationship Id="rId1932" Type="http://schemas.openxmlformats.org/officeDocument/2006/relationships/hyperlink" Target="https://www.scopus.com/inward/record.uri?eid=2-s2.0-85200252633&amp;doi=10.1109%2fJIOT.2024.3437452&amp;partnerID=40&amp;md5=deb1a1992172a30f21d428d4778d84dd" TargetMode="External"/><Relationship Id="rId1933" Type="http://schemas.openxmlformats.org/officeDocument/2006/relationships/hyperlink" Target="https://ieeexplore.ieee.org/stamp/stamp.jsp?arnumber=10673900" TargetMode="External"/><Relationship Id="rId1934" Type="http://schemas.openxmlformats.org/officeDocument/2006/relationships/hyperlink" Target="https://ieeexplore.ieee.org/stamp/stamp.jsp?arnumber=10710330" TargetMode="External"/><Relationship Id="rId1935" Type="http://schemas.openxmlformats.org/officeDocument/2006/relationships/hyperlink" Target="https://ieeexplore.ieee.org/stamp/stamp.jsp?arnumber=10735082" TargetMode="External"/><Relationship Id="rId1936" Type="http://schemas.openxmlformats.org/officeDocument/2006/relationships/hyperlink" Target="https://ieeexplore.ieee.org/stamp/stamp.jsp?arnumber=10742644" TargetMode="External"/><Relationship Id="rId1937" Type="http://schemas.openxmlformats.org/officeDocument/2006/relationships/hyperlink" Target="https://www.scopus.com/inward/record.uri?eid=2-s2.0-85211222613&amp;doi=10.1109%2fJIOT.2024.3497000&amp;partnerID=40&amp;md5=57d62461dd386974d814286034d8a08b" TargetMode="External"/><Relationship Id="rId1938" Type="http://schemas.openxmlformats.org/officeDocument/2006/relationships/hyperlink" Target="https://www.scopus.com/inward/record.uri?eid=2-s2.0-85214703352&amp;doi=10.1109%2fJIOT.2024.3522964&amp;partnerID=40&amp;md5=1afa33293560ef51ef7f53056ac7981e" TargetMode="External"/><Relationship Id="rId1939" Type="http://schemas.openxmlformats.org/officeDocument/2006/relationships/hyperlink" Target="https://ieeexplore.ieee.org/stamp/stamp.jsp?arnumber=9488196" TargetMode="External"/><Relationship Id="rId1920" Type="http://schemas.openxmlformats.org/officeDocument/2006/relationships/hyperlink" Target="https://ieeexplore.ieee.org/stamp/stamp.jsp?arnumber=10402108" TargetMode="External"/><Relationship Id="rId1921" Type="http://schemas.openxmlformats.org/officeDocument/2006/relationships/hyperlink" Target="https://ieeexplore.ieee.org/stamp/stamp.jsp?arnumber=10414371" TargetMode="External"/><Relationship Id="rId1922" Type="http://schemas.openxmlformats.org/officeDocument/2006/relationships/hyperlink" Target="https://www.scopus.com/inward/record.uri?eid=2-s2.0-85187267949&amp;doi=10.1109%2fJIOT.2024.3360294&amp;partnerID=40&amp;md5=8f5d0bf7eb5da507784de6670618c0c8" TargetMode="External"/><Relationship Id="rId1923" Type="http://schemas.openxmlformats.org/officeDocument/2006/relationships/hyperlink" Target="https://ieeexplore.ieee.org/stamp/stamp.jsp?arnumber=10440434" TargetMode="External"/><Relationship Id="rId1924" Type="http://schemas.openxmlformats.org/officeDocument/2006/relationships/hyperlink" Target="https://ieeexplore.ieee.org/stamp/stamp.jsp?arnumber=10494347" TargetMode="External"/><Relationship Id="rId1925" Type="http://schemas.openxmlformats.org/officeDocument/2006/relationships/hyperlink" Target="https://ieeexplore.ieee.org/stamp/stamp.jsp?arnumber=10530969" TargetMode="External"/><Relationship Id="rId1926" Type="http://schemas.openxmlformats.org/officeDocument/2006/relationships/hyperlink" Target="https://ieeexplore.ieee.org/stamp/stamp.jsp?arnumber=10522479" TargetMode="External"/><Relationship Id="rId1927" Type="http://schemas.openxmlformats.org/officeDocument/2006/relationships/hyperlink" Target="https://ieeexplore.ieee.org/stamp/stamp.jsp?arnumber=10525061" TargetMode="External"/><Relationship Id="rId1928" Type="http://schemas.openxmlformats.org/officeDocument/2006/relationships/hyperlink" Target="https://www.scopus.com/inward/record.uri?eid=2-s2.0-85194846114&amp;doi=10.1109%2fJIOT.2024.3406701&amp;partnerID=40&amp;md5=51cb07cdfc64e8e4a9adfe7e91a046d6" TargetMode="External"/><Relationship Id="rId1929" Type="http://schemas.openxmlformats.org/officeDocument/2006/relationships/hyperlink" Target="https://ieeexplore.ieee.org/stamp/stamp.jsp?arnumber=10606015" TargetMode="External"/><Relationship Id="rId1950" Type="http://schemas.openxmlformats.org/officeDocument/2006/relationships/hyperlink" Target="https://ieeexplore.ieee.org/stamp/stamp.jsp?arnumber=8631120" TargetMode="External"/><Relationship Id="rId1951" Type="http://schemas.openxmlformats.org/officeDocument/2006/relationships/hyperlink" Target="https://ieeexplore.ieee.org/stamp/stamp.jsp?arnumber=8755998" TargetMode="External"/><Relationship Id="rId1952" Type="http://schemas.openxmlformats.org/officeDocument/2006/relationships/hyperlink" Target="https://ieeexplore.ieee.org/stamp/stamp.jsp?arnumber=9098105" TargetMode="External"/><Relationship Id="rId1953" Type="http://schemas.openxmlformats.org/officeDocument/2006/relationships/hyperlink" Target="https://ieeexplore.ieee.org/stamp/stamp.jsp?arnumber=9107209" TargetMode="External"/><Relationship Id="rId1954" Type="http://schemas.openxmlformats.org/officeDocument/2006/relationships/hyperlink" Target="https://ieeexplore.ieee.org/stamp/stamp.jsp?arnumber=9915530" TargetMode="External"/><Relationship Id="rId1955" Type="http://schemas.openxmlformats.org/officeDocument/2006/relationships/hyperlink" Target="https://ieeexplore.ieee.org/stamp/stamp.jsp?arnumber=10330580" TargetMode="External"/><Relationship Id="rId1956" Type="http://schemas.openxmlformats.org/officeDocument/2006/relationships/hyperlink" Target="https://ieeexplore.ieee.org/stamp/stamp.jsp?arnumber=10329915" TargetMode="External"/><Relationship Id="rId1957" Type="http://schemas.openxmlformats.org/officeDocument/2006/relationships/hyperlink" Target="https://ieeexplore.ieee.org/stamp/stamp.jsp?arnumber=8795541" TargetMode="External"/><Relationship Id="rId1958" Type="http://schemas.openxmlformats.org/officeDocument/2006/relationships/hyperlink" Target="https://ieeexplore.ieee.org/stamp/stamp.jsp?arnumber=8822951" TargetMode="External"/><Relationship Id="rId1959" Type="http://schemas.openxmlformats.org/officeDocument/2006/relationships/hyperlink" Target="https://ieeexplore.ieee.org/stamp/stamp.jsp?arnumber=9224992" TargetMode="External"/><Relationship Id="rId1940" Type="http://schemas.openxmlformats.org/officeDocument/2006/relationships/hyperlink" Target="https://ieeexplore.ieee.org/stamp/stamp.jsp?arnumber=9907792" TargetMode="External"/><Relationship Id="rId1941" Type="http://schemas.openxmlformats.org/officeDocument/2006/relationships/hyperlink" Target="https://ieeexplore.ieee.org/stamp/stamp.jsp?arnumber=8746691" TargetMode="External"/><Relationship Id="rId1942" Type="http://schemas.openxmlformats.org/officeDocument/2006/relationships/hyperlink" Target="https://ieeexplore.ieee.org/stamp/stamp.jsp?arnumber=8758310" TargetMode="External"/><Relationship Id="rId1943" Type="http://schemas.openxmlformats.org/officeDocument/2006/relationships/hyperlink" Target="https://ieeexplore.ieee.org/stamp/stamp.jsp?arnumber=8768345" TargetMode="External"/><Relationship Id="rId1944" Type="http://schemas.openxmlformats.org/officeDocument/2006/relationships/hyperlink" Target="https://ieeexplore.ieee.org/stamp/stamp.jsp?arnumber=9045930" TargetMode="External"/><Relationship Id="rId1945" Type="http://schemas.openxmlformats.org/officeDocument/2006/relationships/hyperlink" Target="https://ieeexplore.ieee.org/stamp/stamp.jsp?arnumber=9120192" TargetMode="External"/><Relationship Id="rId1946" Type="http://schemas.openxmlformats.org/officeDocument/2006/relationships/hyperlink" Target="https://ieeexplore.ieee.org/stamp/stamp.jsp?arnumber=9390169" TargetMode="External"/><Relationship Id="rId1947" Type="http://schemas.openxmlformats.org/officeDocument/2006/relationships/hyperlink" Target="https://ieeexplore.ieee.org/stamp/stamp.jsp?arnumber=10323596" TargetMode="External"/><Relationship Id="rId1948" Type="http://schemas.openxmlformats.org/officeDocument/2006/relationships/hyperlink" Target="https://ieeexplore.ieee.org/stamp/stamp.jsp?arnumber=10433234" TargetMode="External"/><Relationship Id="rId1949" Type="http://schemas.openxmlformats.org/officeDocument/2006/relationships/hyperlink" Target="https://ieeexplore.ieee.org/stamp/stamp.jsp?arnumber=8624501" TargetMode="External"/><Relationship Id="rId2423" Type="http://schemas.openxmlformats.org/officeDocument/2006/relationships/hyperlink" Target="https://ieeexplore.ieee.org/stamp/stamp.jsp?arnumber=10111024" TargetMode="External"/><Relationship Id="rId2424" Type="http://schemas.openxmlformats.org/officeDocument/2006/relationships/hyperlink" Target="https://ieeexplore.ieee.org/stamp/stamp.jsp?arnumber=10121740" TargetMode="External"/><Relationship Id="rId2425" Type="http://schemas.openxmlformats.org/officeDocument/2006/relationships/hyperlink" Target="https://ieeexplore.ieee.org/stamp/stamp.jsp?arnumber=10314807" TargetMode="External"/><Relationship Id="rId2426" Type="http://schemas.openxmlformats.org/officeDocument/2006/relationships/hyperlink" Target="https://ieeexplore.ieee.org/stamp/stamp.jsp?arnumber=10418264" TargetMode="External"/><Relationship Id="rId2427" Type="http://schemas.openxmlformats.org/officeDocument/2006/relationships/hyperlink" Target="https://ieeexplore.ieee.org/stamp/stamp.jsp?arnumber=10496505" TargetMode="External"/><Relationship Id="rId2428" Type="http://schemas.openxmlformats.org/officeDocument/2006/relationships/hyperlink" Target="https://ieeexplore.ieee.org/stamp/stamp.jsp?arnumber=10499978" TargetMode="External"/><Relationship Id="rId2429" Type="http://schemas.openxmlformats.org/officeDocument/2006/relationships/hyperlink" Target="https://ieeexplore.ieee.org/stamp/stamp.jsp?arnumber=10559989" TargetMode="External"/><Relationship Id="rId509" Type="http://schemas.openxmlformats.org/officeDocument/2006/relationships/hyperlink" Target="https://www.scopus.com/inward/record.uri?eid=2-s2.0-85077902431&amp;doi=10.1080%2f17517575.2020.1712745&amp;partnerID=40&amp;md5=5ec388a819ad653ae8c905a4698938eb" TargetMode="External"/><Relationship Id="rId508" Type="http://schemas.openxmlformats.org/officeDocument/2006/relationships/hyperlink" Target="https://www.scopus.com/inward/record.uri?eid=2-s2.0-85122897640&amp;doi=10.1080%2f16168658.2021.2019430&amp;partnerID=40&amp;md5=e22941476de2be7123a51e35a6912179" TargetMode="External"/><Relationship Id="rId503" Type="http://schemas.openxmlformats.org/officeDocument/2006/relationships/hyperlink" Target="https://www.scopus.com/inward/record.uri?eid=2-s2.0-85122865364&amp;doi=10.1080%2f0951192X.2021.2022762&amp;partnerID=40&amp;md5=84fafedf628604aca97a893e6573f168" TargetMode="External"/><Relationship Id="rId502" Type="http://schemas.openxmlformats.org/officeDocument/2006/relationships/hyperlink" Target="https://www.scopus.com/inward/record.uri?eid=2-s2.0-85197243203&amp;doi=10.1080%2f03091902.2024.2371789&amp;partnerID=40&amp;md5=9e906cbd0d81bf90ca1c307970e4e620" TargetMode="External"/><Relationship Id="rId501" Type="http://schemas.openxmlformats.org/officeDocument/2006/relationships/hyperlink" Target="https://www.scopus.com/inward/record.uri?eid=2-s2.0-85197634432&amp;doi=10.1063%2f5.0217491&amp;partnerID=40&amp;md5=06846b909695d90b69ae7b38f9193ffe" TargetMode="External"/><Relationship Id="rId500" Type="http://schemas.openxmlformats.org/officeDocument/2006/relationships/hyperlink" Target="https://www.scopus.com/inward/record.uri?eid=2-s2.0-85053559369&amp;doi=10.1049%2fiet-wss.2018.5046&amp;partnerID=40&amp;md5=a301c1d116f654e024814f9c930ba65d" TargetMode="External"/><Relationship Id="rId507" Type="http://schemas.openxmlformats.org/officeDocument/2006/relationships/hyperlink" Target="https://www.scopus.com/inward/record.uri?eid=2-s2.0-85195117579&amp;doi=10.1080%2f15428052.2024.2361693&amp;partnerID=40&amp;md5=8d4a750b07a83a6fca66b431558b091e" TargetMode="External"/><Relationship Id="rId506" Type="http://schemas.openxmlformats.org/officeDocument/2006/relationships/hyperlink" Target="https://www.scopus.com/inward/record.uri?eid=2-s2.0-85150901209&amp;doi=10.1080%2f09537287.2023.2189639&amp;partnerID=40&amp;md5=9fd7208ed9445b38aef200543e2edc97" TargetMode="External"/><Relationship Id="rId505" Type="http://schemas.openxmlformats.org/officeDocument/2006/relationships/hyperlink" Target="https://www.scopus.com/inward/record.uri?eid=2-s2.0-85093072544&amp;doi=10.1080%2f0952813X.2020.1818294&amp;partnerID=40&amp;md5=57d427997c8cb1a778dccd85b22b785e" TargetMode="External"/><Relationship Id="rId504" Type="http://schemas.openxmlformats.org/officeDocument/2006/relationships/hyperlink" Target="https://www.scopus.com/inward/record.uri?eid=2-s2.0-85126066439&amp;doi=10.1080%2f0951192X.2022.2043562&amp;partnerID=40&amp;md5=0382cabbd97dd3fc3e012e43534bb051" TargetMode="External"/><Relationship Id="rId2420" Type="http://schemas.openxmlformats.org/officeDocument/2006/relationships/hyperlink" Target="https://ieeexplore.ieee.org/stamp/stamp.jsp?arnumber=10039683" TargetMode="External"/><Relationship Id="rId2421" Type="http://schemas.openxmlformats.org/officeDocument/2006/relationships/hyperlink" Target="https://www.scopus.com/inward/record.uri?eid=2-s2.0-85153382759&amp;doi=10.1109%2fTNSM.2023.3266779&amp;partnerID=40&amp;md5=6cb503d96093f9b4cea39773e2eed3b7" TargetMode="External"/><Relationship Id="rId2422" Type="http://schemas.openxmlformats.org/officeDocument/2006/relationships/hyperlink" Target="https://ieeexplore.ieee.org/stamp/stamp.jsp?arnumber=10104102" TargetMode="External"/><Relationship Id="rId2412" Type="http://schemas.openxmlformats.org/officeDocument/2006/relationships/hyperlink" Target="https://ieeexplore.ieee.org/stamp/stamp.jsp?arnumber=9780571" TargetMode="External"/><Relationship Id="rId2413" Type="http://schemas.openxmlformats.org/officeDocument/2006/relationships/hyperlink" Target="https://www.scopus.com/inward/record.uri?eid=2-s2.0-85136702724&amp;doi=10.1109%2fTNSM.2022.3199886&amp;partnerID=40&amp;md5=3c83778c61ce3c3b1f9edcfd1b69e28b" TargetMode="External"/><Relationship Id="rId2414" Type="http://schemas.openxmlformats.org/officeDocument/2006/relationships/hyperlink" Target="https://ieeexplore.ieee.org/stamp/stamp.jsp?arnumber=9910597" TargetMode="External"/><Relationship Id="rId2415" Type="http://schemas.openxmlformats.org/officeDocument/2006/relationships/hyperlink" Target="https://www.scopus.com/inward/record.uri?eid=2-s2.0-85141437740&amp;doi=10.1109%2fTNSM.2022.3217723&amp;partnerID=40&amp;md5=2ad10fe5fd7aa029fae54b19f06866e6" TargetMode="External"/><Relationship Id="rId2416" Type="http://schemas.openxmlformats.org/officeDocument/2006/relationships/hyperlink" Target="https://ieeexplore.ieee.org/stamp/stamp.jsp?arnumber=9991849" TargetMode="External"/><Relationship Id="rId2417" Type="http://schemas.openxmlformats.org/officeDocument/2006/relationships/hyperlink" Target="https://ieeexplore.ieee.org/stamp/stamp.jsp?arnumber=10025801" TargetMode="External"/><Relationship Id="rId2418" Type="http://schemas.openxmlformats.org/officeDocument/2006/relationships/hyperlink" Target="https://ieeexplore.ieee.org/stamp/stamp.jsp?arnumber=10036008" TargetMode="External"/><Relationship Id="rId2419" Type="http://schemas.openxmlformats.org/officeDocument/2006/relationships/hyperlink" Target="https://ieeexplore.ieee.org/stamp/stamp.jsp?arnumber=10037228" TargetMode="External"/><Relationship Id="rId2410" Type="http://schemas.openxmlformats.org/officeDocument/2006/relationships/hyperlink" Target="https://www.scopus.com/inward/record.uri?eid=2-s2.0-85121777696&amp;doi=10.1109%2fTNSM.2021.3135268&amp;partnerID=40&amp;md5=f86ba870d537c241cb9bb444fab542ad" TargetMode="External"/><Relationship Id="rId2411" Type="http://schemas.openxmlformats.org/officeDocument/2006/relationships/hyperlink" Target="https://ieeexplore.ieee.org/stamp/stamp.jsp?arnumber=9676704" TargetMode="External"/><Relationship Id="rId1114" Type="http://schemas.openxmlformats.org/officeDocument/2006/relationships/hyperlink" Target="https://ieeexplore.ieee.org/stamp/stamp.jsp?arnumber=10257273" TargetMode="External"/><Relationship Id="rId2445" Type="http://schemas.openxmlformats.org/officeDocument/2006/relationships/hyperlink" Target="https://ieeexplore.ieee.org/stamp/stamp.jsp?arnumber=9615028" TargetMode="External"/><Relationship Id="rId1115" Type="http://schemas.openxmlformats.org/officeDocument/2006/relationships/hyperlink" Target="https://ieeexplore.ieee.org/stamp/stamp.jsp?arnumber=10257212" TargetMode="External"/><Relationship Id="rId2446" Type="http://schemas.openxmlformats.org/officeDocument/2006/relationships/hyperlink" Target="https://ieeexplore.ieee.org/stamp/stamp.jsp?arnumber=9645306" TargetMode="External"/><Relationship Id="rId1116" Type="http://schemas.openxmlformats.org/officeDocument/2006/relationships/hyperlink" Target="https://ieeexplore.ieee.org/stamp/stamp.jsp?arnumber=10621490" TargetMode="External"/><Relationship Id="rId2447" Type="http://schemas.openxmlformats.org/officeDocument/2006/relationships/hyperlink" Target="https://www.scopus.com/inward/record.uri?eid=2-s2.0-85123691967&amp;doi=10.1109%2fTPDS.2022.3144614&amp;partnerID=40&amp;md5=78c4836297dba6e2b3f210ee5f078bcf" TargetMode="External"/><Relationship Id="rId1117" Type="http://schemas.openxmlformats.org/officeDocument/2006/relationships/hyperlink" Target="https://ieeexplore.ieee.org/stamp/stamp.jsp?arnumber=10621502" TargetMode="External"/><Relationship Id="rId2448" Type="http://schemas.openxmlformats.org/officeDocument/2006/relationships/hyperlink" Target="https://ieeexplore.ieee.org/stamp/stamp.jsp?arnumber=9712168" TargetMode="External"/><Relationship Id="rId1118" Type="http://schemas.openxmlformats.org/officeDocument/2006/relationships/hyperlink" Target="https://ieeexplore.ieee.org/stamp/stamp.jsp?arnumber=9753314" TargetMode="External"/><Relationship Id="rId2449" Type="http://schemas.openxmlformats.org/officeDocument/2006/relationships/hyperlink" Target="https://ieeexplore.ieee.org/stamp/stamp.jsp?arnumber=9869329" TargetMode="External"/><Relationship Id="rId1119" Type="http://schemas.openxmlformats.org/officeDocument/2006/relationships/hyperlink" Target="https://ieeexplore.ieee.org/stamp/stamp.jsp?arnumber=10416436" TargetMode="External"/><Relationship Id="rId525" Type="http://schemas.openxmlformats.org/officeDocument/2006/relationships/hyperlink" Target="https://ieeexplore.ieee.org/stamp/stamp.jsp?arnumber=9604925" TargetMode="External"/><Relationship Id="rId524" Type="http://schemas.openxmlformats.org/officeDocument/2006/relationships/hyperlink" Target="https://ieeexplore.ieee.org/stamp/stamp.jsp?arnumber=9605050" TargetMode="External"/><Relationship Id="rId523" Type="http://schemas.openxmlformats.org/officeDocument/2006/relationships/hyperlink" Target="https://ieeexplore.ieee.org/stamp/stamp.jsp?arnumber=9221486" TargetMode="External"/><Relationship Id="rId522" Type="http://schemas.openxmlformats.org/officeDocument/2006/relationships/hyperlink" Target="https://ieeexplore.ieee.org/stamp/stamp.jsp?arnumber=8911739" TargetMode="External"/><Relationship Id="rId529" Type="http://schemas.openxmlformats.org/officeDocument/2006/relationships/hyperlink" Target="https://ieeexplore.ieee.org/stamp/stamp.jsp?arnumber=8010408" TargetMode="External"/><Relationship Id="rId528" Type="http://schemas.openxmlformats.org/officeDocument/2006/relationships/hyperlink" Target="https://ieeexplore.ieee.org/stamp/stamp.jsp?arnumber=7921687" TargetMode="External"/><Relationship Id="rId527" Type="http://schemas.openxmlformats.org/officeDocument/2006/relationships/hyperlink" Target="https://ieeexplore.ieee.org/stamp/stamp.jsp?arnumber=9830519" TargetMode="External"/><Relationship Id="rId526" Type="http://schemas.openxmlformats.org/officeDocument/2006/relationships/hyperlink" Target="https://ieeexplore.ieee.org/stamp/stamp.jsp?arnumber=9830439" TargetMode="External"/><Relationship Id="rId2440" Type="http://schemas.openxmlformats.org/officeDocument/2006/relationships/hyperlink" Target="https://ieeexplore.ieee.org/stamp/stamp.jsp?arnumber=9076860" TargetMode="External"/><Relationship Id="rId521" Type="http://schemas.openxmlformats.org/officeDocument/2006/relationships/hyperlink" Target="https://ieeexplore.ieee.org/stamp/stamp.jsp?arnumber=8517023" TargetMode="External"/><Relationship Id="rId1110" Type="http://schemas.openxmlformats.org/officeDocument/2006/relationships/hyperlink" Target="https://ieeexplore.ieee.org/stamp/stamp.jsp?arnumber=9925737" TargetMode="External"/><Relationship Id="rId2441" Type="http://schemas.openxmlformats.org/officeDocument/2006/relationships/hyperlink" Target="https://ieeexplore.ieee.org/stamp/stamp.jsp?arnumber=9158547" TargetMode="External"/><Relationship Id="rId520" Type="http://schemas.openxmlformats.org/officeDocument/2006/relationships/hyperlink" Target="https://www.scopus.com/inward/record.uri?eid=2-s2.0-85216089951&amp;doi=10.1108%2fJKM-09-2024-1050&amp;partnerID=40&amp;md5=495e21039560dcd250c14c25a9375c68" TargetMode="External"/><Relationship Id="rId1111" Type="http://schemas.openxmlformats.org/officeDocument/2006/relationships/hyperlink" Target="https://ieeexplore.ieee.org/stamp/stamp.jsp?arnumber=10311134" TargetMode="External"/><Relationship Id="rId2442" Type="http://schemas.openxmlformats.org/officeDocument/2006/relationships/hyperlink" Target="https://www.scopus.com/inward/record.uri?eid=2-s2.0-85093985197&amp;doi=10.1109%2fTPDS.2020.3023997&amp;partnerID=40&amp;md5=c444abd90c534eaf15e1158667625b9a" TargetMode="External"/><Relationship Id="rId1112" Type="http://schemas.openxmlformats.org/officeDocument/2006/relationships/hyperlink" Target="https://ieeexplore.ieee.org/stamp/stamp.jsp?arnumber=10036655" TargetMode="External"/><Relationship Id="rId2443" Type="http://schemas.openxmlformats.org/officeDocument/2006/relationships/hyperlink" Target="https://ieeexplore.ieee.org/stamp/stamp.jsp?arnumber=9215018" TargetMode="External"/><Relationship Id="rId1113" Type="http://schemas.openxmlformats.org/officeDocument/2006/relationships/hyperlink" Target="https://ieeexplore.ieee.org/stamp/stamp.jsp?arnumber=10257272" TargetMode="External"/><Relationship Id="rId2444" Type="http://schemas.openxmlformats.org/officeDocument/2006/relationships/hyperlink" Target="https://ieeexplore.ieee.org/stamp/stamp.jsp?arnumber=9490337" TargetMode="External"/><Relationship Id="rId1103" Type="http://schemas.openxmlformats.org/officeDocument/2006/relationships/hyperlink" Target="https://ieeexplore.ieee.org/stamp/stamp.jsp?arnumber=10541148" TargetMode="External"/><Relationship Id="rId2434" Type="http://schemas.openxmlformats.org/officeDocument/2006/relationships/hyperlink" Target="https://ieeexplore.ieee.org/stamp/stamp.jsp?arnumber=9689034" TargetMode="External"/><Relationship Id="rId1104" Type="http://schemas.openxmlformats.org/officeDocument/2006/relationships/hyperlink" Target="https://ieeexplore.ieee.org/stamp/stamp.jsp?arnumber=9251203" TargetMode="External"/><Relationship Id="rId2435" Type="http://schemas.openxmlformats.org/officeDocument/2006/relationships/hyperlink" Target="https://ieeexplore.ieee.org/stamp/stamp.jsp?arnumber=7226829" TargetMode="External"/><Relationship Id="rId1105" Type="http://schemas.openxmlformats.org/officeDocument/2006/relationships/hyperlink" Target="https://ieeexplore.ieee.org/stamp/stamp.jsp?arnumber=8328480" TargetMode="External"/><Relationship Id="rId2436" Type="http://schemas.openxmlformats.org/officeDocument/2006/relationships/hyperlink" Target="https://ieeexplore.ieee.org/stamp/stamp.jsp?arnumber=8360490" TargetMode="External"/><Relationship Id="rId1106" Type="http://schemas.openxmlformats.org/officeDocument/2006/relationships/hyperlink" Target="https://ieeexplore.ieee.org/stamp/stamp.jsp?arnumber=9927989" TargetMode="External"/><Relationship Id="rId2437" Type="http://schemas.openxmlformats.org/officeDocument/2006/relationships/hyperlink" Target="https://www.scopus.com/inward/record.uri?eid=2-s2.0-85077089009&amp;doi=10.1109%2fTPDS.2019.2929389&amp;partnerID=40&amp;md5=79383bc854066cbcb1850be77d2887db" TargetMode="External"/><Relationship Id="rId1107" Type="http://schemas.openxmlformats.org/officeDocument/2006/relationships/hyperlink" Target="https://www.scopus.com/inward/record.uri?eid=2-s2.0-85182599686&amp;doi=10.1109%2fDASC%2fPiCom%2fCBDCom%2fCy59711.2023.10361305&amp;partnerID=40&amp;md5=3c633c765a4605bec9c027f13b34b44a" TargetMode="External"/><Relationship Id="rId2438" Type="http://schemas.openxmlformats.org/officeDocument/2006/relationships/hyperlink" Target="https://ieeexplore.ieee.org/stamp/stamp.jsp?arnumber=8938150" TargetMode="External"/><Relationship Id="rId1108" Type="http://schemas.openxmlformats.org/officeDocument/2006/relationships/hyperlink" Target="https://ieeexplore.ieee.org/stamp/stamp.jsp?arnumber=9256590" TargetMode="External"/><Relationship Id="rId2439" Type="http://schemas.openxmlformats.org/officeDocument/2006/relationships/hyperlink" Target="https://ieeexplore.ieee.org/stamp/stamp.jsp?arnumber=8967018" TargetMode="External"/><Relationship Id="rId1109" Type="http://schemas.openxmlformats.org/officeDocument/2006/relationships/hyperlink" Target="https://ieeexplore.ieee.org/stamp/stamp.jsp?arnumber=9594480" TargetMode="External"/><Relationship Id="rId519" Type="http://schemas.openxmlformats.org/officeDocument/2006/relationships/hyperlink" Target="https://www.scopus.com/inward/record.uri?eid=2-s2.0-85167396209&amp;doi=10.1108%2fJBIM-12-2021-0536&amp;partnerID=40&amp;md5=e4022fc82d5f1691cdb52bd2d7e4735d" TargetMode="External"/><Relationship Id="rId514" Type="http://schemas.openxmlformats.org/officeDocument/2006/relationships/hyperlink" Target="https://www.scopus.com/inward/record.uri?eid=2-s2.0-85172005714&amp;doi=10.1088%2f1742-6596%2f2570%2f1%2f012029&amp;partnerID=40&amp;md5=578bfff8d32a616889816564ef07c1b5" TargetMode="External"/><Relationship Id="rId513" Type="http://schemas.openxmlformats.org/officeDocument/2006/relationships/hyperlink" Target="https://www.scopus.com/inward/record.uri?eid=2-s2.0-85112452969&amp;doi=10.1088%2f1742-6596%2f1979%2f1%2f012036&amp;partnerID=40&amp;md5=8962715d122fa708082dea8d9c07caf4" TargetMode="External"/><Relationship Id="rId512" Type="http://schemas.openxmlformats.org/officeDocument/2006/relationships/hyperlink" Target="https://www.scopus.com/inward/record.uri?eid=2-s2.0-85206923690&amp;doi=10.1080%2f23335777.2024.2411736&amp;partnerID=40&amp;md5=8af7ee071935acbdae58fa3539c03759" TargetMode="External"/><Relationship Id="rId511" Type="http://schemas.openxmlformats.org/officeDocument/2006/relationships/hyperlink" Target="https://www.scopus.com/inward/record.uri?eid=2-s2.0-85146697786&amp;doi=10.1080%2f20964471.2022.2160156&amp;partnerID=40&amp;md5=4affb9bd0046675c095cddd627bac65c" TargetMode="External"/><Relationship Id="rId518" Type="http://schemas.openxmlformats.org/officeDocument/2006/relationships/hyperlink" Target="https://www.scopus.com/inward/record.uri?eid=2-s2.0-85092748225&amp;doi=10.1108%2fCW-09-2019-0117&amp;partnerID=40&amp;md5=b948f7001602c7ac06eedce46662b96b" TargetMode="External"/><Relationship Id="rId517" Type="http://schemas.openxmlformats.org/officeDocument/2006/relationships/hyperlink" Target="https://www.scopus.com/inward/record.uri?eid=2-s2.0-85166362756&amp;doi=10.1093%2fjas%2fskad206&amp;partnerID=40&amp;md5=a99c10aae26027fa7deb5723f45a9930" TargetMode="External"/><Relationship Id="rId516" Type="http://schemas.openxmlformats.org/officeDocument/2006/relationships/hyperlink" Target="https://www.scopus.com/inward/record.uri?eid=2-s2.0-85212872357&amp;doi=10.1088%2f1755-1315%2f1415%2f1%2f011001&amp;partnerID=40&amp;md5=3a7ec81bcfa7f4dc354470c239678b29" TargetMode="External"/><Relationship Id="rId515" Type="http://schemas.openxmlformats.org/officeDocument/2006/relationships/hyperlink" Target="https://www.scopus.com/inward/record.uri?eid=2-s2.0-85209205846&amp;doi=10.1088%2f1742-6596%2f2871%2f1%2f011001&amp;partnerID=40&amp;md5=6d0bb5c046f2e35a826502b331904da6" TargetMode="External"/><Relationship Id="rId510" Type="http://schemas.openxmlformats.org/officeDocument/2006/relationships/hyperlink" Target="https://www.scopus.com/inward/record.uri?eid=2-s2.0-85100870106&amp;doi=10.1080%2f17517575.2021.1883122&amp;partnerID=40&amp;md5=76903c768ae2f4d8c2ce388578de93d6" TargetMode="External"/><Relationship Id="rId2430" Type="http://schemas.openxmlformats.org/officeDocument/2006/relationships/hyperlink" Target="https://ieeexplore.ieee.org/stamp/stamp.jsp?arnumber=10612769" TargetMode="External"/><Relationship Id="rId1100" Type="http://schemas.openxmlformats.org/officeDocument/2006/relationships/hyperlink" Target="https://ieeexplore.ieee.org/stamp/stamp.jsp?arnumber=10463481" TargetMode="External"/><Relationship Id="rId2431" Type="http://schemas.openxmlformats.org/officeDocument/2006/relationships/hyperlink" Target="https://ieeexplore.ieee.org/stamp/stamp.jsp?arnumber=10639475" TargetMode="External"/><Relationship Id="rId1101" Type="http://schemas.openxmlformats.org/officeDocument/2006/relationships/hyperlink" Target="https://ieeexplore.ieee.org/stamp/stamp.jsp?arnumber=8726856" TargetMode="External"/><Relationship Id="rId2432" Type="http://schemas.openxmlformats.org/officeDocument/2006/relationships/hyperlink" Target="https://ieeexplore.ieee.org/stamp/stamp.jsp?arnumber=10643234" TargetMode="External"/><Relationship Id="rId1102" Type="http://schemas.openxmlformats.org/officeDocument/2006/relationships/hyperlink" Target="https://ieeexplore.ieee.org/stamp/stamp.jsp?arnumber=8726693" TargetMode="External"/><Relationship Id="rId2433" Type="http://schemas.openxmlformats.org/officeDocument/2006/relationships/hyperlink" Target="https://ieeexplore.ieee.org/stamp/stamp.jsp?arnumber=10681577" TargetMode="External"/><Relationship Id="rId2401" Type="http://schemas.openxmlformats.org/officeDocument/2006/relationships/hyperlink" Target="https://ieeexplore.ieee.org/stamp/stamp.jsp?arnumber=9302614" TargetMode="External"/><Relationship Id="rId2402" Type="http://schemas.openxmlformats.org/officeDocument/2006/relationships/hyperlink" Target="https://ieeexplore.ieee.org/stamp/stamp.jsp?arnumber=9328525" TargetMode="External"/><Relationship Id="rId2403" Type="http://schemas.openxmlformats.org/officeDocument/2006/relationships/hyperlink" Target="https://ieeexplore.ieee.org/stamp/stamp.jsp?arnumber=9336054" TargetMode="External"/><Relationship Id="rId2404" Type="http://schemas.openxmlformats.org/officeDocument/2006/relationships/hyperlink" Target="https://ieeexplore.ieee.org/stamp/stamp.jsp?arnumber=9354865" TargetMode="External"/><Relationship Id="rId2405" Type="http://schemas.openxmlformats.org/officeDocument/2006/relationships/hyperlink" Target="https://ieeexplore.ieee.org/stamp/stamp.jsp?arnumber=9399165" TargetMode="External"/><Relationship Id="rId2406" Type="http://schemas.openxmlformats.org/officeDocument/2006/relationships/hyperlink" Target="https://ieeexplore.ieee.org/stamp/stamp.jsp?arnumber=9419067" TargetMode="External"/><Relationship Id="rId2407" Type="http://schemas.openxmlformats.org/officeDocument/2006/relationships/hyperlink" Target="https://www.scopus.com/inward/record.uri?eid=2-s2.0-85112213819&amp;doi=10.1109%2fTNSM.2021.3090208&amp;partnerID=40&amp;md5=30eaa1aa5892bcb353826590ce8705e6" TargetMode="External"/><Relationship Id="rId2408" Type="http://schemas.openxmlformats.org/officeDocument/2006/relationships/hyperlink" Target="https://ieeexplore.ieee.org/stamp/stamp.jsp?arnumber=9580469" TargetMode="External"/><Relationship Id="rId2409" Type="http://schemas.openxmlformats.org/officeDocument/2006/relationships/hyperlink" Target="https://ieeexplore.ieee.org/stamp/stamp.jsp?arnumber=9592675" TargetMode="External"/><Relationship Id="rId2400" Type="http://schemas.openxmlformats.org/officeDocument/2006/relationships/hyperlink" Target="https://ieeexplore.ieee.org/stamp/stamp.jsp?arnumber=9144518" TargetMode="External"/><Relationship Id="rId590" Type="http://schemas.openxmlformats.org/officeDocument/2006/relationships/hyperlink" Target="https://ieeexplore.ieee.org/stamp/stamp.jsp?arnumber=9217438" TargetMode="External"/><Relationship Id="rId589" Type="http://schemas.openxmlformats.org/officeDocument/2006/relationships/hyperlink" Target="https://ieeexplore.ieee.org/stamp/stamp.jsp?arnumber=9214822" TargetMode="External"/><Relationship Id="rId588" Type="http://schemas.openxmlformats.org/officeDocument/2006/relationships/hyperlink" Target="https://ieeexplore.ieee.org/stamp/stamp.jsp?arnumber=9208798" TargetMode="External"/><Relationship Id="rId1170" Type="http://schemas.openxmlformats.org/officeDocument/2006/relationships/hyperlink" Target="https://ieeexplore.ieee.org/stamp/stamp.jsp?arnumber=8671587" TargetMode="External"/><Relationship Id="rId1171" Type="http://schemas.openxmlformats.org/officeDocument/2006/relationships/hyperlink" Target="https://ieeexplore.ieee.org/stamp/stamp.jsp?arnumber=9762509" TargetMode="External"/><Relationship Id="rId583" Type="http://schemas.openxmlformats.org/officeDocument/2006/relationships/hyperlink" Target="https://ieeexplore.ieee.org/stamp/stamp.jsp?arnumber=9178307" TargetMode="External"/><Relationship Id="rId1172" Type="http://schemas.openxmlformats.org/officeDocument/2006/relationships/hyperlink" Target="https://ieeexplore.ieee.org/stamp/stamp.jsp?arnumber=9830426" TargetMode="External"/><Relationship Id="rId582" Type="http://schemas.openxmlformats.org/officeDocument/2006/relationships/hyperlink" Target="https://ieeexplore.ieee.org/stamp/stamp.jsp?arnumber=9172062" TargetMode="External"/><Relationship Id="rId1173" Type="http://schemas.openxmlformats.org/officeDocument/2006/relationships/hyperlink" Target="https://ieeexplore.ieee.org/stamp/stamp.jsp?arnumber=8598288" TargetMode="External"/><Relationship Id="rId581" Type="http://schemas.openxmlformats.org/officeDocument/2006/relationships/hyperlink" Target="https://ieeexplore.ieee.org/stamp/stamp.jsp?arnumber=9171246" TargetMode="External"/><Relationship Id="rId1174" Type="http://schemas.openxmlformats.org/officeDocument/2006/relationships/hyperlink" Target="https://ieeexplore.ieee.org/stamp/stamp.jsp?arnumber=10819756" TargetMode="External"/><Relationship Id="rId580" Type="http://schemas.openxmlformats.org/officeDocument/2006/relationships/hyperlink" Target="https://ieeexplore.ieee.org/stamp/stamp.jsp?arnumber=9163328" TargetMode="External"/><Relationship Id="rId1175" Type="http://schemas.openxmlformats.org/officeDocument/2006/relationships/hyperlink" Target="https://ieeexplore.ieee.org/stamp/stamp.jsp?arnumber=10746033" TargetMode="External"/><Relationship Id="rId587" Type="http://schemas.openxmlformats.org/officeDocument/2006/relationships/hyperlink" Target="https://ieeexplore.ieee.org/stamp/stamp.jsp?arnumber=9200485" TargetMode="External"/><Relationship Id="rId1176" Type="http://schemas.openxmlformats.org/officeDocument/2006/relationships/hyperlink" Target="https://ieeexplore.ieee.org/stamp/stamp.jsp?arnumber=9613386" TargetMode="External"/><Relationship Id="rId586" Type="http://schemas.openxmlformats.org/officeDocument/2006/relationships/hyperlink" Target="https://ieeexplore.ieee.org/stamp/stamp.jsp?arnumber=9200631" TargetMode="External"/><Relationship Id="rId1177" Type="http://schemas.openxmlformats.org/officeDocument/2006/relationships/hyperlink" Target="https://ieeexplore.ieee.org/stamp/stamp.jsp?arnumber=9212048" TargetMode="External"/><Relationship Id="rId585" Type="http://schemas.openxmlformats.org/officeDocument/2006/relationships/hyperlink" Target="https://ieeexplore.ieee.org/stamp/stamp.jsp?arnumber=9200377" TargetMode="External"/><Relationship Id="rId1178" Type="http://schemas.openxmlformats.org/officeDocument/2006/relationships/hyperlink" Target="https://www.scopus.com/inward/record.uri?eid=2-s2.0-85141380863&amp;doi=10.1109%2fETFA52439.2022.9921539&amp;partnerID=40&amp;md5=2333a3089bad39c0d48f90e2c802acad" TargetMode="External"/><Relationship Id="rId584" Type="http://schemas.openxmlformats.org/officeDocument/2006/relationships/hyperlink" Target="https://ieeexplore.ieee.org/stamp/stamp.jsp?arnumber=9186625" TargetMode="External"/><Relationship Id="rId1179" Type="http://schemas.openxmlformats.org/officeDocument/2006/relationships/hyperlink" Target="https://ieeexplore.ieee.org/stamp/stamp.jsp?arnumber=9921690" TargetMode="External"/><Relationship Id="rId1169" Type="http://schemas.openxmlformats.org/officeDocument/2006/relationships/hyperlink" Target="https://ieeexplore.ieee.org/stamp/stamp.jsp?arnumber=9550961" TargetMode="External"/><Relationship Id="rId579" Type="http://schemas.openxmlformats.org/officeDocument/2006/relationships/hyperlink" Target="https://ieeexplore.ieee.org/stamp/stamp.jsp?arnumber=9162092" TargetMode="External"/><Relationship Id="rId578" Type="http://schemas.openxmlformats.org/officeDocument/2006/relationships/hyperlink" Target="https://ieeexplore.ieee.org/stamp/stamp.jsp?arnumber=9152086" TargetMode="External"/><Relationship Id="rId577" Type="http://schemas.openxmlformats.org/officeDocument/2006/relationships/hyperlink" Target="https://ieeexplore.ieee.org/stamp/stamp.jsp?arnumber=9143110" TargetMode="External"/><Relationship Id="rId2490" Type="http://schemas.openxmlformats.org/officeDocument/2006/relationships/hyperlink" Target="https://ieeexplore.ieee.org/stamp/stamp.jsp?arnumber=9950623" TargetMode="External"/><Relationship Id="rId1160" Type="http://schemas.openxmlformats.org/officeDocument/2006/relationships/hyperlink" Target="https://ieeexplore.ieee.org/stamp/stamp.jsp?arnumber=9062117" TargetMode="External"/><Relationship Id="rId2491" Type="http://schemas.openxmlformats.org/officeDocument/2006/relationships/hyperlink" Target="https://ieeexplore.ieee.org/stamp/stamp.jsp?arnumber=10444046" TargetMode="External"/><Relationship Id="rId572" Type="http://schemas.openxmlformats.org/officeDocument/2006/relationships/hyperlink" Target="https://ieeexplore.ieee.org/stamp/stamp.jsp?arnumber=9090208" TargetMode="External"/><Relationship Id="rId1161" Type="http://schemas.openxmlformats.org/officeDocument/2006/relationships/hyperlink" Target="https://ieeexplore.ieee.org/stamp/stamp.jsp?arnumber=9062246" TargetMode="External"/><Relationship Id="rId2492" Type="http://schemas.openxmlformats.org/officeDocument/2006/relationships/hyperlink" Target="https://www.scopus.com/inward/record.uri?eid=2-s2.0-85204689961&amp;doi=10.1109%2fTSUSC.2024.3462447&amp;partnerID=40&amp;md5=31bbe398e7f4947660b234c49090acdc" TargetMode="External"/><Relationship Id="rId571" Type="http://schemas.openxmlformats.org/officeDocument/2006/relationships/hyperlink" Target="https://ieeexplore.ieee.org/stamp/stamp.jsp?arnumber=9083958" TargetMode="External"/><Relationship Id="rId1162" Type="http://schemas.openxmlformats.org/officeDocument/2006/relationships/hyperlink" Target="https://ieeexplore.ieee.org/stamp/stamp.jsp?arnumber=9346882" TargetMode="External"/><Relationship Id="rId2493" Type="http://schemas.openxmlformats.org/officeDocument/2006/relationships/hyperlink" Target="https://www.scopus.com/inward/record.uri?eid=2-s2.0-85218786045&amp;doi=10.1109%2fTSUSC.2025.3542563&amp;partnerID=40&amp;md5=b24078b63e69242bf162144747aebe08" TargetMode="External"/><Relationship Id="rId570" Type="http://schemas.openxmlformats.org/officeDocument/2006/relationships/hyperlink" Target="https://ieeexplore.ieee.org/stamp/stamp.jsp?arnumber=9069259" TargetMode="External"/><Relationship Id="rId1163" Type="http://schemas.openxmlformats.org/officeDocument/2006/relationships/hyperlink" Target="https://ieeexplore.ieee.org/stamp/stamp.jsp?arnumber=9347098" TargetMode="External"/><Relationship Id="rId2494" Type="http://schemas.openxmlformats.org/officeDocument/2006/relationships/hyperlink" Target="https://ieeexplore.ieee.org/stamp/stamp.jsp?arnumber=9477551" TargetMode="External"/><Relationship Id="rId1164" Type="http://schemas.openxmlformats.org/officeDocument/2006/relationships/hyperlink" Target="https://ieeexplore.ieee.org/stamp/stamp.jsp?arnumber=9713041" TargetMode="External"/><Relationship Id="rId2495" Type="http://schemas.openxmlformats.org/officeDocument/2006/relationships/hyperlink" Target="https://ieeexplore.ieee.org/stamp/stamp.jsp?arnumber=9583910" TargetMode="External"/><Relationship Id="rId576" Type="http://schemas.openxmlformats.org/officeDocument/2006/relationships/hyperlink" Target="https://ieeexplore.ieee.org/stamp/stamp.jsp?arnumber=9139920" TargetMode="External"/><Relationship Id="rId1165" Type="http://schemas.openxmlformats.org/officeDocument/2006/relationships/hyperlink" Target="https://ieeexplore.ieee.org/stamp/stamp.jsp?arnumber=9713475" TargetMode="External"/><Relationship Id="rId2496" Type="http://schemas.openxmlformats.org/officeDocument/2006/relationships/hyperlink" Target="https://ieeexplore.ieee.org/stamp/stamp.jsp?arnumber=9647922" TargetMode="External"/><Relationship Id="rId575" Type="http://schemas.openxmlformats.org/officeDocument/2006/relationships/hyperlink" Target="https://www.scopus.com/inward/record.uri?eid=2-s2.0-85089303011&amp;doi=10.1109%2fACCESS.2020.3005591&amp;partnerID=40&amp;md5=2c55e4427a4b917c83907e3de68166c7" TargetMode="External"/><Relationship Id="rId1166" Type="http://schemas.openxmlformats.org/officeDocument/2006/relationships/hyperlink" Target="https://ieeexplore.ieee.org/stamp/stamp.jsp?arnumber=10435421" TargetMode="External"/><Relationship Id="rId2497" Type="http://schemas.openxmlformats.org/officeDocument/2006/relationships/hyperlink" Target="https://ieeexplore.ieee.org/stamp/stamp.jsp?arnumber=10412682" TargetMode="External"/><Relationship Id="rId574" Type="http://schemas.openxmlformats.org/officeDocument/2006/relationships/hyperlink" Target="https://ieeexplore.ieee.org/stamp/stamp.jsp?arnumber=9127459" TargetMode="External"/><Relationship Id="rId1167" Type="http://schemas.openxmlformats.org/officeDocument/2006/relationships/hyperlink" Target="https://ieeexplore.ieee.org/stamp/stamp.jsp?arnumber=9095040" TargetMode="External"/><Relationship Id="rId2498" Type="http://schemas.openxmlformats.org/officeDocument/2006/relationships/hyperlink" Target="https://ieeexplore.ieee.org/stamp/stamp.jsp?arnumber=10461128" TargetMode="External"/><Relationship Id="rId573" Type="http://schemas.openxmlformats.org/officeDocument/2006/relationships/hyperlink" Target="https://ieeexplore.ieee.org/stamp/stamp.jsp?arnumber=9104693" TargetMode="External"/><Relationship Id="rId1168" Type="http://schemas.openxmlformats.org/officeDocument/2006/relationships/hyperlink" Target="https://ieeexplore.ieee.org/stamp/stamp.jsp?arnumber=8901676" TargetMode="External"/><Relationship Id="rId2499" Type="http://schemas.openxmlformats.org/officeDocument/2006/relationships/hyperlink" Target="https://www.scopus.com/inward/record.uri?eid=2-s2.0-85205830375&amp;doi=10.1109%2fTVT.2024.3472030&amp;partnerID=40&amp;md5=a550fdfb327987225ae17c271a929d57" TargetMode="External"/><Relationship Id="rId1190" Type="http://schemas.openxmlformats.org/officeDocument/2006/relationships/hyperlink" Target="https://ieeexplore.ieee.org/stamp/stamp.jsp?arnumber=9815637" TargetMode="External"/><Relationship Id="rId1191" Type="http://schemas.openxmlformats.org/officeDocument/2006/relationships/hyperlink" Target="https://ieeexplore.ieee.org/stamp/stamp.jsp?arnumber=9815697" TargetMode="External"/><Relationship Id="rId1192" Type="http://schemas.openxmlformats.org/officeDocument/2006/relationships/hyperlink" Target="https://ieeexplore.ieee.org/stamp/stamp.jsp?arnumber=9815813" TargetMode="External"/><Relationship Id="rId1193" Type="http://schemas.openxmlformats.org/officeDocument/2006/relationships/hyperlink" Target="https://ieeexplore.ieee.org/stamp/stamp.jsp?arnumber=10188244" TargetMode="External"/><Relationship Id="rId1194" Type="http://schemas.openxmlformats.org/officeDocument/2006/relationships/hyperlink" Target="https://ieeexplore.ieee.org/stamp/stamp.jsp?arnumber=10188293" TargetMode="External"/><Relationship Id="rId1195" Type="http://schemas.openxmlformats.org/officeDocument/2006/relationships/hyperlink" Target="https://ieeexplore.ieee.org/stamp/stamp.jsp?arnumber=10188371" TargetMode="External"/><Relationship Id="rId1196" Type="http://schemas.openxmlformats.org/officeDocument/2006/relationships/hyperlink" Target="https://ieeexplore.ieee.org/stamp/stamp.jsp?arnumber=10597004" TargetMode="External"/><Relationship Id="rId1197" Type="http://schemas.openxmlformats.org/officeDocument/2006/relationships/hyperlink" Target="https://ieeexplore.ieee.org/stamp/stamp.jsp?arnumber=10597068" TargetMode="External"/><Relationship Id="rId1198" Type="http://schemas.openxmlformats.org/officeDocument/2006/relationships/hyperlink" Target="https://ieeexplore.ieee.org/stamp/stamp.jsp?arnumber=10597113" TargetMode="External"/><Relationship Id="rId1199" Type="http://schemas.openxmlformats.org/officeDocument/2006/relationships/hyperlink" Target="https://ieeexplore.ieee.org/stamp/stamp.jsp?arnumber=9200961" TargetMode="External"/><Relationship Id="rId599" Type="http://schemas.openxmlformats.org/officeDocument/2006/relationships/hyperlink" Target="https://ieeexplore.ieee.org/stamp/stamp.jsp?arnumber=9302565" TargetMode="External"/><Relationship Id="rId1180" Type="http://schemas.openxmlformats.org/officeDocument/2006/relationships/hyperlink" Target="https://ieeexplore.ieee.org/stamp/stamp.jsp?arnumber=10275366" TargetMode="External"/><Relationship Id="rId1181" Type="http://schemas.openxmlformats.org/officeDocument/2006/relationships/hyperlink" Target="https://ieeexplore.ieee.org/stamp/stamp.jsp?arnumber=10710875" TargetMode="External"/><Relationship Id="rId1182" Type="http://schemas.openxmlformats.org/officeDocument/2006/relationships/hyperlink" Target="https://ieeexplore.ieee.org/stamp/stamp.jsp?arnumber=10284929" TargetMode="External"/><Relationship Id="rId594" Type="http://schemas.openxmlformats.org/officeDocument/2006/relationships/hyperlink" Target="https://ieeexplore.ieee.org/stamp/stamp.jsp?arnumber=9253517" TargetMode="External"/><Relationship Id="rId1183" Type="http://schemas.openxmlformats.org/officeDocument/2006/relationships/hyperlink" Target="https://ieeexplore.ieee.org/stamp/stamp.jsp?arnumber=8011162" TargetMode="External"/><Relationship Id="rId593" Type="http://schemas.openxmlformats.org/officeDocument/2006/relationships/hyperlink" Target="https://ieeexplore.ieee.org/stamp/stamp.jsp?arnumber=9248017" TargetMode="External"/><Relationship Id="rId1184" Type="http://schemas.openxmlformats.org/officeDocument/2006/relationships/hyperlink" Target="https://ieeexplore.ieee.org/stamp/stamp.jsp?arnumber=7807667" TargetMode="External"/><Relationship Id="rId592" Type="http://schemas.openxmlformats.org/officeDocument/2006/relationships/hyperlink" Target="https://ieeexplore.ieee.org/stamp/stamp.jsp?arnumber=9247110" TargetMode="External"/><Relationship Id="rId1185" Type="http://schemas.openxmlformats.org/officeDocument/2006/relationships/hyperlink" Target="https://ieeexplore.ieee.org/stamp/stamp.jsp?arnumber=10629153" TargetMode="External"/><Relationship Id="rId591" Type="http://schemas.openxmlformats.org/officeDocument/2006/relationships/hyperlink" Target="https://ieeexplore.ieee.org/stamp/stamp.jsp?arnumber=9235316" TargetMode="External"/><Relationship Id="rId1186" Type="http://schemas.openxmlformats.org/officeDocument/2006/relationships/hyperlink" Target="https://ieeexplore.ieee.org/stamp/stamp.jsp?arnumber=10629128" TargetMode="External"/><Relationship Id="rId598" Type="http://schemas.openxmlformats.org/officeDocument/2006/relationships/hyperlink" Target="https://ieeexplore.ieee.org/stamp/stamp.jsp?arnumber=9272962" TargetMode="External"/><Relationship Id="rId1187" Type="http://schemas.openxmlformats.org/officeDocument/2006/relationships/hyperlink" Target="https://ieeexplore.ieee.org/stamp/stamp.jsp?arnumber=10468431" TargetMode="External"/><Relationship Id="rId597" Type="http://schemas.openxmlformats.org/officeDocument/2006/relationships/hyperlink" Target="https://www.scopus.com/inward/record.uri?eid=2-s2.0-85097377958&amp;doi=10.1109%2fACCESS.2020.3041357&amp;partnerID=40&amp;md5=5b93f3217d463162486289cf11fa358a" TargetMode="External"/><Relationship Id="rId1188" Type="http://schemas.openxmlformats.org/officeDocument/2006/relationships/hyperlink" Target="https://ieeexplore.ieee.org/stamp/stamp.jsp?arnumber=8801973" TargetMode="External"/><Relationship Id="rId596" Type="http://schemas.openxmlformats.org/officeDocument/2006/relationships/hyperlink" Target="https://ieeexplore.ieee.org/stamp/stamp.jsp?arnumber=9264173" TargetMode="External"/><Relationship Id="rId1189" Type="http://schemas.openxmlformats.org/officeDocument/2006/relationships/hyperlink" Target="https://ieeexplore.ieee.org/stamp/stamp.jsp?arnumber=9482431" TargetMode="External"/><Relationship Id="rId595" Type="http://schemas.openxmlformats.org/officeDocument/2006/relationships/hyperlink" Target="https://ieeexplore.ieee.org/stamp/stamp.jsp?arnumber=9260179" TargetMode="External"/><Relationship Id="rId1136" Type="http://schemas.openxmlformats.org/officeDocument/2006/relationships/hyperlink" Target="https://ieeexplore.ieee.org/stamp/stamp.jsp?arnumber=9712016" TargetMode="External"/><Relationship Id="rId2467" Type="http://schemas.openxmlformats.org/officeDocument/2006/relationships/hyperlink" Target="https://ieeexplore.ieee.org/stamp/stamp.jsp?arnumber=9681330" TargetMode="External"/><Relationship Id="rId1137" Type="http://schemas.openxmlformats.org/officeDocument/2006/relationships/hyperlink" Target="https://www.scopus.com/inward/record.uri?eid=2-s2.0-85146197951&amp;doi=10.1109%2fEDGE55608.2022.00030&amp;partnerID=40&amp;md5=9e18ca706789aa08391d38735ba6e29c" TargetMode="External"/><Relationship Id="rId2468" Type="http://schemas.openxmlformats.org/officeDocument/2006/relationships/hyperlink" Target="https://ieeexplore.ieee.org/stamp/stamp.jsp?arnumber=10048583" TargetMode="External"/><Relationship Id="rId1138" Type="http://schemas.openxmlformats.org/officeDocument/2006/relationships/hyperlink" Target="https://www.scopus.com/inward/record.uri?eid=2-s2.0-85173528666&amp;doi=10.1109%2fEDGE60047.2023.00014&amp;partnerID=40&amp;md5=65d714ec695a50114836f1beab8879e0" TargetMode="External"/><Relationship Id="rId2469" Type="http://schemas.openxmlformats.org/officeDocument/2006/relationships/hyperlink" Target="https://ieeexplore.ieee.org/stamp/stamp.jsp?arnumber=10268016" TargetMode="External"/><Relationship Id="rId1139" Type="http://schemas.openxmlformats.org/officeDocument/2006/relationships/hyperlink" Target="https://ieeexplore.ieee.org/stamp/stamp.jsp?arnumber=10234306" TargetMode="External"/><Relationship Id="rId547" Type="http://schemas.openxmlformats.org/officeDocument/2006/relationships/hyperlink" Target="https://ieeexplore.ieee.org/stamp/stamp.jsp?arnumber=8698762" TargetMode="External"/><Relationship Id="rId546" Type="http://schemas.openxmlformats.org/officeDocument/2006/relationships/hyperlink" Target="https://www.scopus.com/inward/record.uri?eid=2-s2.0-85067090032&amp;doi=10.1109%2fACCESS.2019.2911732&amp;partnerID=40&amp;md5=6125befd9c24abfdc6f0b671442d1c2d" TargetMode="External"/><Relationship Id="rId545" Type="http://schemas.openxmlformats.org/officeDocument/2006/relationships/hyperlink" Target="https://www.scopus.com/inward/record.uri?eid=2-s2.0-85065242593&amp;doi=10.1109%2fACCESS.2019.2907171&amp;partnerID=40&amp;md5=853e363aab449afe18a2e7ae53f4ae5e" TargetMode="External"/><Relationship Id="rId544" Type="http://schemas.openxmlformats.org/officeDocument/2006/relationships/hyperlink" Target="https://www.scopus.com/inward/record.uri?eid=2-s2.0-85063186662&amp;doi=10.1109%2fACCESS.2019.2902148&amp;partnerID=40&amp;md5=d60f8fff35d9f99ba8b4d7db4a87f14d" TargetMode="External"/><Relationship Id="rId549" Type="http://schemas.openxmlformats.org/officeDocument/2006/relationships/hyperlink" Target="https://www.scopus.com/inward/record.uri?eid=2-s2.0-85086600806&amp;doi=10.1109%2fACCESS.2019.2926518&amp;partnerID=40&amp;md5=ebcc26862513b2a27bc703a362d5cd25" TargetMode="External"/><Relationship Id="rId548" Type="http://schemas.openxmlformats.org/officeDocument/2006/relationships/hyperlink" Target="https://ieeexplore.ieee.org/stamp/stamp.jsp?arnumber=8708314" TargetMode="External"/><Relationship Id="rId2460" Type="http://schemas.openxmlformats.org/officeDocument/2006/relationships/hyperlink" Target="https://ieeexplore.ieee.org/stamp/stamp.jsp?arnumber=9154603" TargetMode="External"/><Relationship Id="rId1130" Type="http://schemas.openxmlformats.org/officeDocument/2006/relationships/hyperlink" Target="https://ieeexplore.ieee.org/stamp/stamp.jsp?arnumber=9944422" TargetMode="External"/><Relationship Id="rId2461" Type="http://schemas.openxmlformats.org/officeDocument/2006/relationships/hyperlink" Target="https://ieeexplore.ieee.org/stamp/stamp.jsp?arnumber=9409738" TargetMode="External"/><Relationship Id="rId1131" Type="http://schemas.openxmlformats.org/officeDocument/2006/relationships/hyperlink" Target="https://ieeexplore.ieee.org/stamp/stamp.jsp?arnumber=9515172" TargetMode="External"/><Relationship Id="rId2462" Type="http://schemas.openxmlformats.org/officeDocument/2006/relationships/hyperlink" Target="https://ieeexplore.ieee.org/stamp/stamp.jsp?arnumber=9411895" TargetMode="External"/><Relationship Id="rId543" Type="http://schemas.openxmlformats.org/officeDocument/2006/relationships/hyperlink" Target="https://ieeexplore.ieee.org/stamp/stamp.jsp?arnumber=8648405" TargetMode="External"/><Relationship Id="rId1132" Type="http://schemas.openxmlformats.org/officeDocument/2006/relationships/hyperlink" Target="https://ieeexplore.ieee.org/stamp/stamp.jsp?arnumber=10194059" TargetMode="External"/><Relationship Id="rId2463" Type="http://schemas.openxmlformats.org/officeDocument/2006/relationships/hyperlink" Target="https://ieeexplore.ieee.org/stamp/stamp.jsp?arnumber=9473013" TargetMode="External"/><Relationship Id="rId542" Type="http://schemas.openxmlformats.org/officeDocument/2006/relationships/hyperlink" Target="https://ieeexplore.ieee.org/stamp/stamp.jsp?arnumber=8606923" TargetMode="External"/><Relationship Id="rId1133" Type="http://schemas.openxmlformats.org/officeDocument/2006/relationships/hyperlink" Target="https://ieeexplore.ieee.org/stamp/stamp.jsp?arnumber=8346190" TargetMode="External"/><Relationship Id="rId2464" Type="http://schemas.openxmlformats.org/officeDocument/2006/relationships/hyperlink" Target="https://www.scopus.com/inward/record.uri?eid=2-s2.0-85119597679&amp;doi=10.1109%2fTSC.2021.3117927&amp;partnerID=40&amp;md5=b01f532395402db3ebfacdc2c2f1c29a" TargetMode="External"/><Relationship Id="rId541" Type="http://schemas.openxmlformats.org/officeDocument/2006/relationships/hyperlink" Target="https://www.scopus.com/inward/record.uri?eid=2-s2.0-85057393590&amp;doi=10.1109%2fACCESS.2018.2883149&amp;partnerID=40&amp;md5=76abd7431ce37d44e049ce30c5d9b250" TargetMode="External"/><Relationship Id="rId1134" Type="http://schemas.openxmlformats.org/officeDocument/2006/relationships/hyperlink" Target="https://ieeexplore.ieee.org/stamp/stamp.jsp?arnumber=9454716" TargetMode="External"/><Relationship Id="rId2465" Type="http://schemas.openxmlformats.org/officeDocument/2006/relationships/hyperlink" Target="https://ieeexplore.ieee.org/stamp/stamp.jsp?arnumber=9645168" TargetMode="External"/><Relationship Id="rId540" Type="http://schemas.openxmlformats.org/officeDocument/2006/relationships/hyperlink" Target="https://ieeexplore.ieee.org/stamp/stamp.jsp?arnumber=8502761" TargetMode="External"/><Relationship Id="rId1135" Type="http://schemas.openxmlformats.org/officeDocument/2006/relationships/hyperlink" Target="https://ieeexplore.ieee.org/stamp/stamp.jsp?arnumber=8812232" TargetMode="External"/><Relationship Id="rId2466" Type="http://schemas.openxmlformats.org/officeDocument/2006/relationships/hyperlink" Target="https://ieeexplore.ieee.org/stamp/stamp.jsp?arnumber=9664383" TargetMode="External"/><Relationship Id="rId1125" Type="http://schemas.openxmlformats.org/officeDocument/2006/relationships/hyperlink" Target="https://ieeexplore.ieee.org/stamp/stamp.jsp?arnumber=10207121" TargetMode="External"/><Relationship Id="rId2456" Type="http://schemas.openxmlformats.org/officeDocument/2006/relationships/hyperlink" Target="https://ieeexplore.ieee.org/stamp/stamp.jsp?arnumber=10323202" TargetMode="External"/><Relationship Id="rId1126" Type="http://schemas.openxmlformats.org/officeDocument/2006/relationships/hyperlink" Target="https://ieeexplore.ieee.org/stamp/stamp.jsp?arnumber=8416514" TargetMode="External"/><Relationship Id="rId2457" Type="http://schemas.openxmlformats.org/officeDocument/2006/relationships/hyperlink" Target="https://ieeexplore.ieee.org/stamp/stamp.jsp?arnumber=7937885" TargetMode="External"/><Relationship Id="rId1127" Type="http://schemas.openxmlformats.org/officeDocument/2006/relationships/hyperlink" Target="https://www.scopus.com/inward/record.uri?eid=2-s2.0-85130856063&amp;doi=10.1109%2fDSN53405.2022.00016&amp;partnerID=40&amp;md5=0a9334870f05f0b4e23a4d36bab0880e" TargetMode="External"/><Relationship Id="rId2458" Type="http://schemas.openxmlformats.org/officeDocument/2006/relationships/hyperlink" Target="https://ieeexplore.ieee.org/stamp/stamp.jsp?arnumber=8685146" TargetMode="External"/><Relationship Id="rId1128" Type="http://schemas.openxmlformats.org/officeDocument/2006/relationships/hyperlink" Target="https://ieeexplore.ieee.org/stamp/stamp.jsp?arnumber=10778721" TargetMode="External"/><Relationship Id="rId2459" Type="http://schemas.openxmlformats.org/officeDocument/2006/relationships/hyperlink" Target="https://ieeexplore.ieee.org/stamp/stamp.jsp?arnumber=8826375" TargetMode="External"/><Relationship Id="rId1129" Type="http://schemas.openxmlformats.org/officeDocument/2006/relationships/hyperlink" Target="https://ieeexplore.ieee.org/stamp/stamp.jsp?arnumber=10778831" TargetMode="External"/><Relationship Id="rId536" Type="http://schemas.openxmlformats.org/officeDocument/2006/relationships/hyperlink" Target="https://ieeexplore.ieee.org/stamp/stamp.jsp?arnumber=8392685" TargetMode="External"/><Relationship Id="rId535" Type="http://schemas.openxmlformats.org/officeDocument/2006/relationships/hyperlink" Target="https://ieeexplore.ieee.org/stamp/stamp.jsp?arnumber=8370027" TargetMode="External"/><Relationship Id="rId534" Type="http://schemas.openxmlformats.org/officeDocument/2006/relationships/hyperlink" Target="https://ieeexplore.ieee.org/stamp/stamp.jsp?arnumber=8359282" TargetMode="External"/><Relationship Id="rId533" Type="http://schemas.openxmlformats.org/officeDocument/2006/relationships/hyperlink" Target="https://ieeexplore.ieee.org/stamp/stamp.jsp?arnumber=8277181" TargetMode="External"/><Relationship Id="rId539" Type="http://schemas.openxmlformats.org/officeDocument/2006/relationships/hyperlink" Target="https://ieeexplore.ieee.org/stamp/stamp.jsp?arnumber=8482108" TargetMode="External"/><Relationship Id="rId538" Type="http://schemas.openxmlformats.org/officeDocument/2006/relationships/hyperlink" Target="https://ieeexplore.ieee.org/stamp/stamp.jsp?arnumber=8444370" TargetMode="External"/><Relationship Id="rId537" Type="http://schemas.openxmlformats.org/officeDocument/2006/relationships/hyperlink" Target="https://ieeexplore.ieee.org/stamp/stamp.jsp?arnumber=8408461" TargetMode="External"/><Relationship Id="rId2450" Type="http://schemas.openxmlformats.org/officeDocument/2006/relationships/hyperlink" Target="https://ieeexplore.ieee.org/stamp/stamp.jsp?arnumber=10297424" TargetMode="External"/><Relationship Id="rId1120" Type="http://schemas.openxmlformats.org/officeDocument/2006/relationships/hyperlink" Target="https://ieeexplore.ieee.org/stamp/stamp.jsp?arnumber=7723570" TargetMode="External"/><Relationship Id="rId2451" Type="http://schemas.openxmlformats.org/officeDocument/2006/relationships/hyperlink" Target="https://www.scopus.com/inward/record.uri?eid=2-s2.0-85179792572&amp;doi=10.1109%2fTPDS.2023.3340518&amp;partnerID=40&amp;md5=1a7804a55f2fe5d0c4f8b2dbe1df8e21" TargetMode="External"/><Relationship Id="rId532" Type="http://schemas.openxmlformats.org/officeDocument/2006/relationships/hyperlink" Target="https://ieeexplore.ieee.org/stamp/stamp.jsp?arnumber=8114187" TargetMode="External"/><Relationship Id="rId1121" Type="http://schemas.openxmlformats.org/officeDocument/2006/relationships/hyperlink" Target="https://ieeexplore.ieee.org/stamp/stamp.jsp?arnumber=9217800" TargetMode="External"/><Relationship Id="rId2452" Type="http://schemas.openxmlformats.org/officeDocument/2006/relationships/hyperlink" Target="https://ieeexplore.ieee.org/stamp/stamp.jsp?arnumber=10748366" TargetMode="External"/><Relationship Id="rId531" Type="http://schemas.openxmlformats.org/officeDocument/2006/relationships/hyperlink" Target="https://ieeexplore.ieee.org/stamp/stamp.jsp?arnumber=8086157" TargetMode="External"/><Relationship Id="rId1122" Type="http://schemas.openxmlformats.org/officeDocument/2006/relationships/hyperlink" Target="https://ieeexplore.ieee.org/stamp/stamp.jsp?arnumber=10456836" TargetMode="External"/><Relationship Id="rId2453" Type="http://schemas.openxmlformats.org/officeDocument/2006/relationships/hyperlink" Target="https://ieeexplore.ieee.org/stamp/stamp.jsp?arnumber=10891045" TargetMode="External"/><Relationship Id="rId530" Type="http://schemas.openxmlformats.org/officeDocument/2006/relationships/hyperlink" Target="https://ieeexplore.ieee.org/stamp/stamp.jsp?arnumber=8066287" TargetMode="External"/><Relationship Id="rId1123" Type="http://schemas.openxmlformats.org/officeDocument/2006/relationships/hyperlink" Target="https://ieeexplore.ieee.org/stamp/stamp.jsp?arnumber=8478589" TargetMode="External"/><Relationship Id="rId2454" Type="http://schemas.openxmlformats.org/officeDocument/2006/relationships/hyperlink" Target="https://ieeexplore.ieee.org/stamp/stamp.jsp?arnumber=9014355" TargetMode="External"/><Relationship Id="rId1124" Type="http://schemas.openxmlformats.org/officeDocument/2006/relationships/hyperlink" Target="https://ieeexplore.ieee.org/stamp/stamp.jsp?arnumber=10647103" TargetMode="External"/><Relationship Id="rId2455" Type="http://schemas.openxmlformats.org/officeDocument/2006/relationships/hyperlink" Target="https://www.scopus.com/inward/record.uri?eid=2-s2.0-85204475037&amp;doi=10.1109%2fTQCEBT59414.2024.10545207&amp;partnerID=40&amp;md5=35f020e48d01b59c07b6f5705c307542" TargetMode="External"/><Relationship Id="rId1158" Type="http://schemas.openxmlformats.org/officeDocument/2006/relationships/hyperlink" Target="https://ieeexplore.ieee.org/stamp/stamp.jsp?arnumber=10804358" TargetMode="External"/><Relationship Id="rId2489" Type="http://schemas.openxmlformats.org/officeDocument/2006/relationships/hyperlink" Target="https://ieeexplore.ieee.org/stamp/stamp.jsp?arnumber=9352548" TargetMode="External"/><Relationship Id="rId1159" Type="http://schemas.openxmlformats.org/officeDocument/2006/relationships/hyperlink" Target="https://ieeexplore.ieee.org/stamp/stamp.jsp?arnumber=8582540" TargetMode="External"/><Relationship Id="rId569" Type="http://schemas.openxmlformats.org/officeDocument/2006/relationships/hyperlink" Target="https://ieeexplore.ieee.org/stamp/stamp.jsp?arnumber=9060956" TargetMode="External"/><Relationship Id="rId568" Type="http://schemas.openxmlformats.org/officeDocument/2006/relationships/hyperlink" Target="https://ieeexplore.ieee.org/stamp/stamp.jsp?arnumber=9046806" TargetMode="External"/><Relationship Id="rId567" Type="http://schemas.openxmlformats.org/officeDocument/2006/relationships/hyperlink" Target="https://ieeexplore.ieee.org/stamp/stamp.jsp?arnumber=9042334" TargetMode="External"/><Relationship Id="rId566" Type="http://schemas.openxmlformats.org/officeDocument/2006/relationships/hyperlink" Target="https://ieeexplore.ieee.org/stamp/stamp.jsp?arnumber=9040431" TargetMode="External"/><Relationship Id="rId2480" Type="http://schemas.openxmlformats.org/officeDocument/2006/relationships/hyperlink" Target="https://ieeexplore.ieee.org/stamp/stamp.jsp?arnumber=10759825" TargetMode="External"/><Relationship Id="rId561" Type="http://schemas.openxmlformats.org/officeDocument/2006/relationships/hyperlink" Target="https://www.scopus.com/inward/record.uri?eid=2-s2.0-85077964451&amp;doi=10.1109%2fACCESS.2019.2960516&amp;partnerID=40&amp;md5=751333d4d5b739bdd1fbdf008e0bdb6b" TargetMode="External"/><Relationship Id="rId1150" Type="http://schemas.openxmlformats.org/officeDocument/2006/relationships/hyperlink" Target="https://ieeexplore.ieee.org/stamp/stamp.jsp?arnumber=10295837" TargetMode="External"/><Relationship Id="rId2481" Type="http://schemas.openxmlformats.org/officeDocument/2006/relationships/hyperlink" Target="https://www.scopus.com/inward/record.uri?eid=2-s2.0-85106015844&amp;doi=10.1109%2fTSE.2019.2910531&amp;partnerID=40&amp;md5=554479b109fbe692e7aadebc9b0fea77" TargetMode="External"/><Relationship Id="rId560" Type="http://schemas.openxmlformats.org/officeDocument/2006/relationships/hyperlink" Target="https://ieeexplore.ieee.org/stamp/stamp.jsp?arnumber=8877785" TargetMode="External"/><Relationship Id="rId1151" Type="http://schemas.openxmlformats.org/officeDocument/2006/relationships/hyperlink" Target="https://ieeexplore.ieee.org/stamp/stamp.jsp?arnumber=10295863" TargetMode="External"/><Relationship Id="rId2482" Type="http://schemas.openxmlformats.org/officeDocument/2006/relationships/hyperlink" Target="https://ieeexplore.ieee.org/stamp/stamp.jsp?arnumber=10535730" TargetMode="External"/><Relationship Id="rId1152" Type="http://schemas.openxmlformats.org/officeDocument/2006/relationships/hyperlink" Target="https://ieeexplore.ieee.org/stamp/stamp.jsp?arnumber=10395179" TargetMode="External"/><Relationship Id="rId2483" Type="http://schemas.openxmlformats.org/officeDocument/2006/relationships/hyperlink" Target="https://ieeexplore.ieee.org/stamp/stamp.jsp?arnumber=10620003" TargetMode="External"/><Relationship Id="rId1153" Type="http://schemas.openxmlformats.org/officeDocument/2006/relationships/hyperlink" Target="https://ieeexplore.ieee.org/stamp/stamp.jsp?arnumber=8783709" TargetMode="External"/><Relationship Id="rId2484" Type="http://schemas.openxmlformats.org/officeDocument/2006/relationships/hyperlink" Target="https://ieeexplore.ieee.org/stamp/stamp.jsp?arnumber=8337762" TargetMode="External"/><Relationship Id="rId565" Type="http://schemas.openxmlformats.org/officeDocument/2006/relationships/hyperlink" Target="https://ieeexplore.ieee.org/stamp/stamp.jsp?arnumber=9031338" TargetMode="External"/><Relationship Id="rId1154" Type="http://schemas.openxmlformats.org/officeDocument/2006/relationships/hyperlink" Target="https://ieeexplore.ieee.org/stamp/stamp.jsp?arnumber=10751011" TargetMode="External"/><Relationship Id="rId2485" Type="http://schemas.openxmlformats.org/officeDocument/2006/relationships/hyperlink" Target="https://ieeexplore.ieee.org/stamp/stamp.jsp?arnumber=8441221" TargetMode="External"/><Relationship Id="rId564" Type="http://schemas.openxmlformats.org/officeDocument/2006/relationships/hyperlink" Target="https://ieeexplore.ieee.org/stamp/stamp.jsp?arnumber=9020166" TargetMode="External"/><Relationship Id="rId1155" Type="http://schemas.openxmlformats.org/officeDocument/2006/relationships/hyperlink" Target="https://ieeexplore.ieee.org/stamp/stamp.jsp?arnumber=9221919" TargetMode="External"/><Relationship Id="rId2486" Type="http://schemas.openxmlformats.org/officeDocument/2006/relationships/hyperlink" Target="https://ieeexplore.ieee.org/stamp/stamp.jsp?arnumber=8768807" TargetMode="External"/><Relationship Id="rId563" Type="http://schemas.openxmlformats.org/officeDocument/2006/relationships/hyperlink" Target="https://ieeexplore.ieee.org/stamp/stamp.jsp?arnumber=9000613" TargetMode="External"/><Relationship Id="rId1156" Type="http://schemas.openxmlformats.org/officeDocument/2006/relationships/hyperlink" Target="https://ieeexplore.ieee.org/stamp/stamp.jsp?arnumber=10608947" TargetMode="External"/><Relationship Id="rId2487" Type="http://schemas.openxmlformats.org/officeDocument/2006/relationships/hyperlink" Target="https://ieeexplore.ieee.org/stamp/stamp.jsp?arnumber=10366951" TargetMode="External"/><Relationship Id="rId562" Type="http://schemas.openxmlformats.org/officeDocument/2006/relationships/hyperlink" Target="https://ieeexplore.ieee.org/stamp/stamp.jsp?arnumber=8976143" TargetMode="External"/><Relationship Id="rId1157" Type="http://schemas.openxmlformats.org/officeDocument/2006/relationships/hyperlink" Target="https://ieeexplore.ieee.org/stamp/stamp.jsp?arnumber=10804304" TargetMode="External"/><Relationship Id="rId2488" Type="http://schemas.openxmlformats.org/officeDocument/2006/relationships/hyperlink" Target="https://ieeexplore.ieee.org/stamp/stamp.jsp?arnumber=8693866" TargetMode="External"/><Relationship Id="rId1147" Type="http://schemas.openxmlformats.org/officeDocument/2006/relationships/hyperlink" Target="https://ieeexplore.ieee.org/stamp/stamp.jsp?arnumber=10485928" TargetMode="External"/><Relationship Id="rId2478" Type="http://schemas.openxmlformats.org/officeDocument/2006/relationships/hyperlink" Target="https://ieeexplore.ieee.org/stamp/stamp.jsp?arnumber=10654521" TargetMode="External"/><Relationship Id="rId1148" Type="http://schemas.openxmlformats.org/officeDocument/2006/relationships/hyperlink" Target="https://www.scopus.com/inward/record.uri?eid=2-s2.0-85046433674&amp;doi=10.1109%2fEECSI.2017.8239136&amp;partnerID=40&amp;md5=842dc7a44a28bf5d4c93b68de2908cda" TargetMode="External"/><Relationship Id="rId2479" Type="http://schemas.openxmlformats.org/officeDocument/2006/relationships/hyperlink" Target="https://ieeexplore.ieee.org/stamp/stamp.jsp?arnumber=10715700" TargetMode="External"/><Relationship Id="rId1149" Type="http://schemas.openxmlformats.org/officeDocument/2006/relationships/hyperlink" Target="https://ieeexplore.ieee.org/stamp/stamp.jsp?arnumber=10295800" TargetMode="External"/><Relationship Id="rId558" Type="http://schemas.openxmlformats.org/officeDocument/2006/relationships/hyperlink" Target="https://ieeexplore.ieee.org/stamp/stamp.jsp?arnumber=8874971" TargetMode="External"/><Relationship Id="rId557" Type="http://schemas.openxmlformats.org/officeDocument/2006/relationships/hyperlink" Target="https://ieeexplore.ieee.org/stamp/stamp.jsp?arnumber=8850058" TargetMode="External"/><Relationship Id="rId556" Type="http://schemas.openxmlformats.org/officeDocument/2006/relationships/hyperlink" Target="https://ieeexplore.ieee.org/stamp/stamp.jsp?arnumber=8827456" TargetMode="External"/><Relationship Id="rId555" Type="http://schemas.openxmlformats.org/officeDocument/2006/relationships/hyperlink" Target="https://ieeexplore.ieee.org/stamp/stamp.jsp?arnumber=8808867" TargetMode="External"/><Relationship Id="rId559" Type="http://schemas.openxmlformats.org/officeDocument/2006/relationships/hyperlink" Target="https://ieeexplore.ieee.org/stamp/stamp.jsp?arnumber=8876834" TargetMode="External"/><Relationship Id="rId550" Type="http://schemas.openxmlformats.org/officeDocument/2006/relationships/hyperlink" Target="https://ieeexplore.ieee.org/stamp/stamp.jsp?arnumber=8762113" TargetMode="External"/><Relationship Id="rId2470" Type="http://schemas.openxmlformats.org/officeDocument/2006/relationships/hyperlink" Target="https://ieeexplore.ieee.org/stamp/stamp.jsp?arnumber=10316602" TargetMode="External"/><Relationship Id="rId1140" Type="http://schemas.openxmlformats.org/officeDocument/2006/relationships/hyperlink" Target="https://ieeexplore.ieee.org/stamp/stamp.jsp?arnumber=10234261" TargetMode="External"/><Relationship Id="rId2471" Type="http://schemas.openxmlformats.org/officeDocument/2006/relationships/hyperlink" Target="https://ieeexplore.ieee.org/stamp/stamp.jsp?arnumber=10325614" TargetMode="External"/><Relationship Id="rId1141" Type="http://schemas.openxmlformats.org/officeDocument/2006/relationships/hyperlink" Target="https://ieeexplore.ieee.org/stamp/stamp.jsp?arnumber=10234250" TargetMode="External"/><Relationship Id="rId2472" Type="http://schemas.openxmlformats.org/officeDocument/2006/relationships/hyperlink" Target="https://www.scopus.com/inward/record.uri?eid=2-s2.0-85182384243&amp;doi=10.1109%2fTSC.2024.3349648&amp;partnerID=40&amp;md5=ec9aacbcd646b704965f060401c07f58" TargetMode="External"/><Relationship Id="rId1142" Type="http://schemas.openxmlformats.org/officeDocument/2006/relationships/hyperlink" Target="https://ieeexplore.ieee.org/stamp/stamp.jsp?arnumber=10234321" TargetMode="External"/><Relationship Id="rId2473" Type="http://schemas.openxmlformats.org/officeDocument/2006/relationships/hyperlink" Target="https://ieeexplore.ieee.org/stamp/stamp.jsp?arnumber=10400820" TargetMode="External"/><Relationship Id="rId554" Type="http://schemas.openxmlformats.org/officeDocument/2006/relationships/hyperlink" Target="https://ieeexplore.ieee.org/stamp/stamp.jsp?arnumber=8786138" TargetMode="External"/><Relationship Id="rId1143" Type="http://schemas.openxmlformats.org/officeDocument/2006/relationships/hyperlink" Target="https://ieeexplore.ieee.org/stamp/stamp.jsp?arnumber=10646441" TargetMode="External"/><Relationship Id="rId2474" Type="http://schemas.openxmlformats.org/officeDocument/2006/relationships/hyperlink" Target="https://ieeexplore.ieee.org/stamp/stamp.jsp?arnumber=10509784" TargetMode="External"/><Relationship Id="rId553" Type="http://schemas.openxmlformats.org/officeDocument/2006/relationships/hyperlink" Target="https://ieeexplore.ieee.org/stamp/stamp.jsp?arnumber=8771106" TargetMode="External"/><Relationship Id="rId1144" Type="http://schemas.openxmlformats.org/officeDocument/2006/relationships/hyperlink" Target="https://www.scopus.com/inward/record.uri?eid=2-s2.0-85203287813&amp;doi=10.1109%2fEDGE62653.2024.00019&amp;partnerID=40&amp;md5=7cfaf81ac83fa38075db59a13fa96deb" TargetMode="External"/><Relationship Id="rId2475" Type="http://schemas.openxmlformats.org/officeDocument/2006/relationships/hyperlink" Target="https://ieeexplore.ieee.org/stamp/stamp.jsp?arnumber=10528881" TargetMode="External"/><Relationship Id="rId552" Type="http://schemas.openxmlformats.org/officeDocument/2006/relationships/hyperlink" Target="https://ieeexplore.ieee.org/stamp/stamp.jsp?arnumber=8768288" TargetMode="External"/><Relationship Id="rId1145" Type="http://schemas.openxmlformats.org/officeDocument/2006/relationships/hyperlink" Target="https://ieeexplore.ieee.org/stamp/stamp.jsp?arnumber=9744729" TargetMode="External"/><Relationship Id="rId2476" Type="http://schemas.openxmlformats.org/officeDocument/2006/relationships/hyperlink" Target="https://ieeexplore.ieee.org/stamp/stamp.jsp?arnumber=10568381" TargetMode="External"/><Relationship Id="rId551" Type="http://schemas.openxmlformats.org/officeDocument/2006/relationships/hyperlink" Target="https://ieeexplore.ieee.org/stamp/stamp.jsp?arnumber=8758431" TargetMode="External"/><Relationship Id="rId1146" Type="http://schemas.openxmlformats.org/officeDocument/2006/relationships/hyperlink" Target="https://ieeexplore.ieee.org/stamp/stamp.jsp?arnumber=10485892" TargetMode="External"/><Relationship Id="rId2477" Type="http://schemas.openxmlformats.org/officeDocument/2006/relationships/hyperlink" Target="https://ieeexplore.ieee.org/stamp/stamp.jsp?arnumber=10609547" TargetMode="External"/><Relationship Id="rId495" Type="http://schemas.openxmlformats.org/officeDocument/2006/relationships/hyperlink" Target="https://ieeexplore.ieee.org/stamp/stamp.jsp?arnumber=10267781" TargetMode="External"/><Relationship Id="rId494" Type="http://schemas.openxmlformats.org/officeDocument/2006/relationships/hyperlink" Target="https://ieeexplore.ieee.org/stamp/stamp.jsp?arnumber=10042381" TargetMode="External"/><Relationship Id="rId493" Type="http://schemas.openxmlformats.org/officeDocument/2006/relationships/hyperlink" Target="https://ieeexplore.ieee.org/stamp/stamp.jsp?arnumber=10042353" TargetMode="External"/><Relationship Id="rId492" Type="http://schemas.openxmlformats.org/officeDocument/2006/relationships/hyperlink" Target="https://ieeexplore.ieee.org/stamp/stamp.jsp?arnumber=10042308" TargetMode="External"/><Relationship Id="rId499" Type="http://schemas.openxmlformats.org/officeDocument/2006/relationships/hyperlink" Target="https://ieeexplore.ieee.org/stamp/stamp.jsp?arnumber=10915958" TargetMode="External"/><Relationship Id="rId498" Type="http://schemas.openxmlformats.org/officeDocument/2006/relationships/hyperlink" Target="https://ieeexplore.ieee.org/stamp/stamp.jsp?arnumber=10852984" TargetMode="External"/><Relationship Id="rId497" Type="http://schemas.openxmlformats.org/officeDocument/2006/relationships/hyperlink" Target="https://ieeexplore.ieee.org/stamp/stamp.jsp?arnumber=10853142" TargetMode="External"/><Relationship Id="rId496" Type="http://schemas.openxmlformats.org/officeDocument/2006/relationships/hyperlink" Target="https://ieeexplore.ieee.org/stamp/stamp.jsp?arnumber=10400664" TargetMode="External"/><Relationship Id="rId1213" Type="http://schemas.openxmlformats.org/officeDocument/2006/relationships/hyperlink" Target="https://ieeexplore.ieee.org/stamp/stamp.jsp?arnumber=10056623" TargetMode="External"/><Relationship Id="rId2544" Type="http://schemas.openxmlformats.org/officeDocument/2006/relationships/hyperlink" Target="https://ieeexplore.ieee.org/stamp/stamp.jsp?arnumber=10539395" TargetMode="External"/><Relationship Id="rId1214" Type="http://schemas.openxmlformats.org/officeDocument/2006/relationships/hyperlink" Target="https://ieeexplore.ieee.org/stamp/stamp.jsp?arnumber=10056737" TargetMode="External"/><Relationship Id="rId2545" Type="http://schemas.openxmlformats.org/officeDocument/2006/relationships/hyperlink" Target="https://ieeexplore.ieee.org/stamp/stamp.jsp?arnumber=10539595" TargetMode="External"/><Relationship Id="rId1215" Type="http://schemas.openxmlformats.org/officeDocument/2006/relationships/hyperlink" Target="https://ieeexplore.ieee.org/stamp/stamp.jsp?arnumber=10056710" TargetMode="External"/><Relationship Id="rId2546" Type="http://schemas.openxmlformats.org/officeDocument/2006/relationships/hyperlink" Target="https://ieeexplore.ieee.org/stamp/stamp.jsp?arnumber=10811206" TargetMode="External"/><Relationship Id="rId1216" Type="http://schemas.openxmlformats.org/officeDocument/2006/relationships/hyperlink" Target="https://ieeexplore.ieee.org/stamp/stamp.jsp?arnumber=10056699" TargetMode="External"/><Relationship Id="rId2547" Type="http://schemas.openxmlformats.org/officeDocument/2006/relationships/hyperlink" Target="https://ieeexplore.ieee.org/stamp/stamp.jsp?arnumber=10811396" TargetMode="External"/><Relationship Id="rId1217" Type="http://schemas.openxmlformats.org/officeDocument/2006/relationships/hyperlink" Target="https://ieeexplore.ieee.org/stamp/stamp.jsp?arnumber=10056734" TargetMode="External"/><Relationship Id="rId2548" Type="http://schemas.openxmlformats.org/officeDocument/2006/relationships/hyperlink" Target="https://ieeexplore.ieee.org/stamp/stamp.jsp?arnumber=10811412" TargetMode="External"/><Relationship Id="rId1218" Type="http://schemas.openxmlformats.org/officeDocument/2006/relationships/hyperlink" Target="https://ieeexplore.ieee.org/stamp/stamp.jsp?arnumber=10056646" TargetMode="External"/><Relationship Id="rId2549" Type="http://schemas.openxmlformats.org/officeDocument/2006/relationships/hyperlink" Target="https://www.scopus.com/inward/record.uri?eid=2-s2.0-85082130912&amp;doi=10.1109%2fWIECON-ECE48653.2019.9019985&amp;partnerID=40&amp;md5=68c9910e34793b5a301b78323fd40155" TargetMode="External"/><Relationship Id="rId1219" Type="http://schemas.openxmlformats.org/officeDocument/2006/relationships/hyperlink" Target="https://ieeexplore.ieee.org/stamp/stamp.jsp?arnumber=10056704" TargetMode="External"/><Relationship Id="rId2540" Type="http://schemas.openxmlformats.org/officeDocument/2006/relationships/hyperlink" Target="https://ieeexplore.ieee.org/stamp/stamp.jsp?arnumber=8355141" TargetMode="External"/><Relationship Id="rId1210" Type="http://schemas.openxmlformats.org/officeDocument/2006/relationships/hyperlink" Target="https://ieeexplore.ieee.org/stamp/stamp.jsp?arnumber=10710224" TargetMode="External"/><Relationship Id="rId2541" Type="http://schemas.openxmlformats.org/officeDocument/2006/relationships/hyperlink" Target="https://ieeexplore.ieee.org/stamp/stamp.jsp?arnumber=9221244" TargetMode="External"/><Relationship Id="rId1211" Type="http://schemas.openxmlformats.org/officeDocument/2006/relationships/hyperlink" Target="https://ieeexplore.ieee.org/stamp/stamp.jsp?arnumber=10710234" TargetMode="External"/><Relationship Id="rId2542" Type="http://schemas.openxmlformats.org/officeDocument/2006/relationships/hyperlink" Target="https://ieeexplore.ieee.org/stamp/stamp.jsp?arnumber=9596017" TargetMode="External"/><Relationship Id="rId1212" Type="http://schemas.openxmlformats.org/officeDocument/2006/relationships/hyperlink" Target="https://ieeexplore.ieee.org/stamp/stamp.jsp?arnumber=10874093" TargetMode="External"/><Relationship Id="rId2543" Type="http://schemas.openxmlformats.org/officeDocument/2006/relationships/hyperlink" Target="https://ieeexplore.ieee.org/stamp/stamp.jsp?arnumber=10152056" TargetMode="External"/><Relationship Id="rId1202" Type="http://schemas.openxmlformats.org/officeDocument/2006/relationships/hyperlink" Target="https://ieeexplore.ieee.org/stamp/stamp.jsp?arnumber=10543695" TargetMode="External"/><Relationship Id="rId2533" Type="http://schemas.openxmlformats.org/officeDocument/2006/relationships/hyperlink" Target="https://ieeexplore.ieee.org/stamp/stamp.jsp?arnumber=8418107" TargetMode="External"/><Relationship Id="rId1203" Type="http://schemas.openxmlformats.org/officeDocument/2006/relationships/hyperlink" Target="https://ieeexplore.ieee.org/stamp/stamp.jsp?arnumber=10042698" TargetMode="External"/><Relationship Id="rId2534" Type="http://schemas.openxmlformats.org/officeDocument/2006/relationships/hyperlink" Target="https://www.scopus.com/inward/record.uri?eid=2-s2.0-85159783370&amp;doi=10.1109%2fWCNC55385.2023.10118750&amp;partnerID=40&amp;md5=d8b34d3e3dc73eff192a1967ea44ee06" TargetMode="External"/><Relationship Id="rId1204" Type="http://schemas.openxmlformats.org/officeDocument/2006/relationships/hyperlink" Target="https://ieeexplore.ieee.org/stamp/stamp.jsp?arnumber=8325595" TargetMode="External"/><Relationship Id="rId2535" Type="http://schemas.openxmlformats.org/officeDocument/2006/relationships/hyperlink" Target="https://ieeexplore.ieee.org/stamp/stamp.jsp?arnumber=10235182" TargetMode="External"/><Relationship Id="rId1205" Type="http://schemas.openxmlformats.org/officeDocument/2006/relationships/hyperlink" Target="https://ieeexplore.ieee.org/stamp/stamp.jsp?arnumber=10763649" TargetMode="External"/><Relationship Id="rId2536" Type="http://schemas.openxmlformats.org/officeDocument/2006/relationships/hyperlink" Target="https://ieeexplore.ieee.org/stamp/stamp.jsp?arnumber=9299709" TargetMode="External"/><Relationship Id="rId1206" Type="http://schemas.openxmlformats.org/officeDocument/2006/relationships/hyperlink" Target="https://ieeexplore.ieee.org/stamp/stamp.jsp?arnumber=8364044" TargetMode="External"/><Relationship Id="rId2537" Type="http://schemas.openxmlformats.org/officeDocument/2006/relationships/hyperlink" Target="https://ieeexplore.ieee.org/stamp/stamp.jsp?arnumber=9803548" TargetMode="External"/><Relationship Id="rId1207" Type="http://schemas.openxmlformats.org/officeDocument/2006/relationships/hyperlink" Target="https://ieeexplore.ieee.org/stamp/stamp.jsp?arnumber=8795346" TargetMode="External"/><Relationship Id="rId2538" Type="http://schemas.openxmlformats.org/officeDocument/2006/relationships/hyperlink" Target="https://ieeexplore.ieee.org/stamp/stamp.jsp?arnumber=9338587" TargetMode="External"/><Relationship Id="rId1208" Type="http://schemas.openxmlformats.org/officeDocument/2006/relationships/hyperlink" Target="https://ieeexplore.ieee.org/stamp/stamp.jsp?arnumber=9144772" TargetMode="External"/><Relationship Id="rId2539" Type="http://schemas.openxmlformats.org/officeDocument/2006/relationships/hyperlink" Target="https://ieeexplore.ieee.org/stamp/stamp.jsp?arnumber=10880294" TargetMode="External"/><Relationship Id="rId1209" Type="http://schemas.openxmlformats.org/officeDocument/2006/relationships/hyperlink" Target="https://ieeexplore.ieee.org/stamp/stamp.jsp?arnumber=10306045" TargetMode="External"/><Relationship Id="rId2530" Type="http://schemas.openxmlformats.org/officeDocument/2006/relationships/hyperlink" Target="https://www.scopus.com/inward/record.uri?eid=2-s2.0-85045261845&amp;doi=10.1109%2fVTCFall.2017.8288104&amp;partnerID=40&amp;md5=15293b88cf2ed4f65c7b347964b0e774" TargetMode="External"/><Relationship Id="rId1200" Type="http://schemas.openxmlformats.org/officeDocument/2006/relationships/hyperlink" Target="https://ieeexplore.ieee.org/stamp/stamp.jsp?arnumber=10629032" TargetMode="External"/><Relationship Id="rId2531" Type="http://schemas.openxmlformats.org/officeDocument/2006/relationships/hyperlink" Target="https://ieeexplore.ieee.org/stamp/stamp.jsp?arnumber=7592711" TargetMode="External"/><Relationship Id="rId1201" Type="http://schemas.openxmlformats.org/officeDocument/2006/relationships/hyperlink" Target="https://ieeexplore.ieee.org/stamp/stamp.jsp?arnumber=7789474" TargetMode="External"/><Relationship Id="rId2532" Type="http://schemas.openxmlformats.org/officeDocument/2006/relationships/hyperlink" Target="https://ieeexplore.ieee.org/stamp/stamp.jsp?arnumber=8418047" TargetMode="External"/><Relationship Id="rId1235" Type="http://schemas.openxmlformats.org/officeDocument/2006/relationships/hyperlink" Target="https://ieeexplore.ieee.org/stamp/stamp.jsp?arnumber=10410812" TargetMode="External"/><Relationship Id="rId2566" Type="http://schemas.openxmlformats.org/officeDocument/2006/relationships/hyperlink" Target="https://ieeexplore.ieee.org/stamp/stamp.jsp?arnumber=10293505" TargetMode="External"/><Relationship Id="rId1236" Type="http://schemas.openxmlformats.org/officeDocument/2006/relationships/hyperlink" Target="https://ieeexplore.ieee.org/stamp/stamp.jsp?arnumber=10410811" TargetMode="External"/><Relationship Id="rId2567" Type="http://schemas.openxmlformats.org/officeDocument/2006/relationships/hyperlink" Target="https://ieeexplore.ieee.org/stamp/stamp.jsp?arnumber=10293737" TargetMode="External"/><Relationship Id="rId1237" Type="http://schemas.openxmlformats.org/officeDocument/2006/relationships/hyperlink" Target="https://ieeexplore.ieee.org/stamp/stamp.jsp?arnumber=10385116" TargetMode="External"/><Relationship Id="rId2568" Type="http://schemas.openxmlformats.org/officeDocument/2006/relationships/hyperlink" Target="https://ieeexplore.ieee.org/stamp/stamp.jsp?arnumber=10354585" TargetMode="External"/><Relationship Id="rId1238" Type="http://schemas.openxmlformats.org/officeDocument/2006/relationships/hyperlink" Target="https://ieeexplore.ieee.org/stamp/stamp.jsp?arnumber=10760411" TargetMode="External"/><Relationship Id="rId2569" Type="http://schemas.openxmlformats.org/officeDocument/2006/relationships/hyperlink" Target="https://ieeexplore.ieee.org/stamp/stamp.jsp?arnumber=8975114" TargetMode="External"/><Relationship Id="rId1239" Type="http://schemas.openxmlformats.org/officeDocument/2006/relationships/hyperlink" Target="https://ieeexplore.ieee.org/stamp/stamp.jsp?arnumber=10760695" TargetMode="External"/><Relationship Id="rId409" Type="http://schemas.openxmlformats.org/officeDocument/2006/relationships/hyperlink" Target="https://www.scopus.com/inward/record.uri?eid=2-s2.0-85131805816&amp;doi=10.1016%2fj.dcan.2021.07.005&amp;partnerID=40&amp;md5=6da45467a78ac9f5256b05f21c57aff7" TargetMode="External"/><Relationship Id="rId404" Type="http://schemas.openxmlformats.org/officeDocument/2006/relationships/hyperlink" Target="https://www.scopus.com/inward/record.uri?eid=2-s2.0-85215938352&amp;doi=10.1016%2fj.compeleceng.2025.110085&amp;partnerID=40&amp;md5=dbceb332fd1601e27dac8d3545a04baf" TargetMode="External"/><Relationship Id="rId403" Type="http://schemas.openxmlformats.org/officeDocument/2006/relationships/hyperlink" Target="https://www.scopus.com/inward/record.uri?eid=2-s2.0-85215590651&amp;doi=10.1016%2fj.compeleceng.2025.110080&amp;partnerID=40&amp;md5=38733126e613265ec0fa04558fd0a127" TargetMode="External"/><Relationship Id="rId402" Type="http://schemas.openxmlformats.org/officeDocument/2006/relationships/hyperlink" Target="https://www.scopus.com/inward/record.uri?eid=2-s2.0-85205281585&amp;doi=10.1016%2fj.compeleceng.2024.109737&amp;partnerID=40&amp;md5=e2a1bdadca5e57799a667aef29d17316" TargetMode="External"/><Relationship Id="rId401" Type="http://schemas.openxmlformats.org/officeDocument/2006/relationships/hyperlink" Target="https://www.scopus.com/inward/record.uri?eid=2-s2.0-85201919225&amp;doi=10.1016%2fj.compeleceng.2024.109581&amp;partnerID=40&amp;md5=6a59a223a39579b82970bdefeefbe2a2" TargetMode="External"/><Relationship Id="rId408" Type="http://schemas.openxmlformats.org/officeDocument/2006/relationships/hyperlink" Target="https://www.scopus.com/inward/record.uri?eid=2-s2.0-85124514827&amp;doi=10.1016%2fj.datak.2021.101971&amp;partnerID=40&amp;md5=2e80ca4a7dc8cdcf5e9d52b360dc7531" TargetMode="External"/><Relationship Id="rId407" Type="http://schemas.openxmlformats.org/officeDocument/2006/relationships/hyperlink" Target="https://www.scopus.com/inward/record.uri?eid=2-s2.0-85131968676&amp;doi=10.1016%2fj.cose.2022.102776&amp;partnerID=40&amp;md5=78495d346d2636b78b2cafac78ee6b28" TargetMode="External"/><Relationship Id="rId406" Type="http://schemas.openxmlformats.org/officeDocument/2006/relationships/hyperlink" Target="https://www.scopus.com/inward/record.uri?eid=2-s2.0-85105600759&amp;doi=10.1016%2fj.compind.2021.103469&amp;partnerID=40&amp;md5=83a610e5beb64f3f529b63975910975b" TargetMode="External"/><Relationship Id="rId405" Type="http://schemas.openxmlformats.org/officeDocument/2006/relationships/hyperlink" Target="https://www.scopus.com/inward/record.uri?eid=2-s2.0-85094317095&amp;doi=10.1016%2fj.compind.2020.103336&amp;partnerID=40&amp;md5=7a1221ca86ca3eb2a736d50ccb0e6a3c" TargetMode="External"/><Relationship Id="rId2560" Type="http://schemas.openxmlformats.org/officeDocument/2006/relationships/hyperlink" Target="https://ieeexplore.ieee.org/stamp/stamp.jsp?arnumber=9767142" TargetMode="External"/><Relationship Id="rId1230" Type="http://schemas.openxmlformats.org/officeDocument/2006/relationships/hyperlink" Target="https://ieeexplore.ieee.org/stamp/stamp.jsp?arnumber=7300793" TargetMode="External"/><Relationship Id="rId2561" Type="http://schemas.openxmlformats.org/officeDocument/2006/relationships/hyperlink" Target="https://ieeexplore.ieee.org/stamp/stamp.jsp?arnumber=9842849" TargetMode="External"/><Relationship Id="rId400" Type="http://schemas.openxmlformats.org/officeDocument/2006/relationships/hyperlink" Target="https://www.scopus.com/inward/record.uri?eid=2-s2.0-85214240125&amp;doi=10.1016%2fj.comnet.2024.111008&amp;partnerID=40&amp;md5=847a47039db126bf25c257dba9f2bbd2" TargetMode="External"/><Relationship Id="rId1231" Type="http://schemas.openxmlformats.org/officeDocument/2006/relationships/hyperlink" Target="https://ieeexplore.ieee.org/stamp/stamp.jsp?arnumber=8458035" TargetMode="External"/><Relationship Id="rId2562" Type="http://schemas.openxmlformats.org/officeDocument/2006/relationships/hyperlink" Target="https://ieeexplore.ieee.org/stamp/stamp.jsp?arnumber=9850083" TargetMode="External"/><Relationship Id="rId1232" Type="http://schemas.openxmlformats.org/officeDocument/2006/relationships/hyperlink" Target="https://ieeexplore.ieee.org/stamp/stamp.jsp?arnumber=8458039" TargetMode="External"/><Relationship Id="rId2563" Type="http://schemas.openxmlformats.org/officeDocument/2006/relationships/hyperlink" Target="https://ieeexplore.ieee.org/stamp/stamp.jsp?arnumber=7968650" TargetMode="External"/><Relationship Id="rId1233" Type="http://schemas.openxmlformats.org/officeDocument/2006/relationships/hyperlink" Target="https://ieeexplore.ieee.org/stamp/stamp.jsp?arnumber=8458042" TargetMode="External"/><Relationship Id="rId2564" Type="http://schemas.openxmlformats.org/officeDocument/2006/relationships/hyperlink" Target="https://www.scopus.com/inward/record.uri?eid=2-s2.0-85099732192&amp;doi=10.1109%2faccess.2021.3051570&amp;partnerID=40&amp;md5=5951ac364249dd7c2827338c8a40014e" TargetMode="External"/><Relationship Id="rId1234" Type="http://schemas.openxmlformats.org/officeDocument/2006/relationships/hyperlink" Target="https://ieeexplore.ieee.org/stamp/stamp.jsp?arnumber=8972816" TargetMode="External"/><Relationship Id="rId2565" Type="http://schemas.openxmlformats.org/officeDocument/2006/relationships/hyperlink" Target="https://ieeexplore.ieee.org/stamp/stamp.jsp?arnumber=10254866" TargetMode="External"/><Relationship Id="rId1224" Type="http://schemas.openxmlformats.org/officeDocument/2006/relationships/hyperlink" Target="https://ieeexplore.ieee.org/stamp/stamp.jsp?arnumber=10520436" TargetMode="External"/><Relationship Id="rId2555" Type="http://schemas.openxmlformats.org/officeDocument/2006/relationships/hyperlink" Target="https://ieeexplore.ieee.org/stamp/stamp.jsp?arnumber=9004727" TargetMode="External"/><Relationship Id="rId1225" Type="http://schemas.openxmlformats.org/officeDocument/2006/relationships/hyperlink" Target="https://ieeexplore.ieee.org/stamp/stamp.jsp?arnumber=10520445" TargetMode="External"/><Relationship Id="rId2556" Type="http://schemas.openxmlformats.org/officeDocument/2006/relationships/hyperlink" Target="https://ieeexplore.ieee.org/stamp/stamp.jsp?arnumber=10838793" TargetMode="External"/><Relationship Id="rId1226" Type="http://schemas.openxmlformats.org/officeDocument/2006/relationships/hyperlink" Target="https://ieeexplore.ieee.org/stamp/stamp.jsp?arnumber=10520544" TargetMode="External"/><Relationship Id="rId2557" Type="http://schemas.openxmlformats.org/officeDocument/2006/relationships/hyperlink" Target="https://ieeexplore.ieee.org/stamp/stamp.jsp?arnumber=9916047" TargetMode="External"/><Relationship Id="rId1227" Type="http://schemas.openxmlformats.org/officeDocument/2006/relationships/hyperlink" Target="https://ieeexplore.ieee.org/stamp/stamp.jsp?arnumber=10520629" TargetMode="External"/><Relationship Id="rId2558" Type="http://schemas.openxmlformats.org/officeDocument/2006/relationships/hyperlink" Target="https://ieeexplore.ieee.org/stamp/stamp.jsp?arnumber=8363934" TargetMode="External"/><Relationship Id="rId1228" Type="http://schemas.openxmlformats.org/officeDocument/2006/relationships/hyperlink" Target="https://ieeexplore.ieee.org/stamp/stamp.jsp?arnumber=10520638" TargetMode="External"/><Relationship Id="rId2559" Type="http://schemas.openxmlformats.org/officeDocument/2006/relationships/hyperlink" Target="https://ieeexplore.ieee.org/stamp/stamp.jsp?arnumber=10131759" TargetMode="External"/><Relationship Id="rId1229" Type="http://schemas.openxmlformats.org/officeDocument/2006/relationships/hyperlink" Target="https://ieeexplore.ieee.org/stamp/stamp.jsp?arnumber=8368528" TargetMode="External"/><Relationship Id="rId2550" Type="http://schemas.openxmlformats.org/officeDocument/2006/relationships/hyperlink" Target="https://ieeexplore.ieee.org/stamp/stamp.jsp?arnumber=9966468" TargetMode="External"/><Relationship Id="rId1220" Type="http://schemas.openxmlformats.org/officeDocument/2006/relationships/hyperlink" Target="https://ieeexplore.ieee.org/stamp/stamp.jsp?arnumber=10056621" TargetMode="External"/><Relationship Id="rId2551" Type="http://schemas.openxmlformats.org/officeDocument/2006/relationships/hyperlink" Target="https://ieeexplore.ieee.org/stamp/stamp.jsp?arnumber=10322942" TargetMode="External"/><Relationship Id="rId1221" Type="http://schemas.openxmlformats.org/officeDocument/2006/relationships/hyperlink" Target="https://ieeexplore.ieee.org/stamp/stamp.jsp?arnumber=10056672" TargetMode="External"/><Relationship Id="rId2552" Type="http://schemas.openxmlformats.org/officeDocument/2006/relationships/hyperlink" Target="https://ieeexplore.ieee.org/stamp/stamp.jsp?arnumber=10322974" TargetMode="External"/><Relationship Id="rId1222" Type="http://schemas.openxmlformats.org/officeDocument/2006/relationships/hyperlink" Target="https://ieeexplore.ieee.org/stamp/stamp.jsp?arnumber=10520409" TargetMode="External"/><Relationship Id="rId2553" Type="http://schemas.openxmlformats.org/officeDocument/2006/relationships/hyperlink" Target="https://ieeexplore.ieee.org/stamp/stamp.jsp?arnumber=10014946" TargetMode="External"/><Relationship Id="rId1223" Type="http://schemas.openxmlformats.org/officeDocument/2006/relationships/hyperlink" Target="https://ieeexplore.ieee.org/stamp/stamp.jsp?arnumber=10520428" TargetMode="External"/><Relationship Id="rId2554" Type="http://schemas.openxmlformats.org/officeDocument/2006/relationships/hyperlink" Target="https://ieeexplore.ieee.org/stamp/stamp.jsp?arnumber=10014962" TargetMode="External"/><Relationship Id="rId2500" Type="http://schemas.openxmlformats.org/officeDocument/2006/relationships/hyperlink" Target="https://ieeexplore.ieee.org/stamp/stamp.jsp?arnumber=10746337" TargetMode="External"/><Relationship Id="rId2501" Type="http://schemas.openxmlformats.org/officeDocument/2006/relationships/hyperlink" Target="https://www.scopus.com/inward/record.uri?eid=2-s2.0-85209751844&amp;doi=10.1109%2fTVT.2024.3498866&amp;partnerID=40&amp;md5=0ffc3c6d865f3c9131aa006ef5e6bf24" TargetMode="External"/><Relationship Id="rId2502" Type="http://schemas.openxmlformats.org/officeDocument/2006/relationships/hyperlink" Target="https://www.scopus.com/inward/record.uri?eid=2-s2.0-85212547685&amp;doi=10.1109%2fTVT.2024.3517420&amp;partnerID=40&amp;md5=cb1d0003c920b019c79551d7cdcafbe4" TargetMode="External"/><Relationship Id="rId2503" Type="http://schemas.openxmlformats.org/officeDocument/2006/relationships/hyperlink" Target="https://ieeexplore.ieee.org/stamp/stamp.jsp?arnumber=10352089" TargetMode="External"/><Relationship Id="rId2504" Type="http://schemas.openxmlformats.org/officeDocument/2006/relationships/hyperlink" Target="https://ieeexplore.ieee.org/stamp/stamp.jsp?arnumber=10538747" TargetMode="External"/><Relationship Id="rId2505" Type="http://schemas.openxmlformats.org/officeDocument/2006/relationships/hyperlink" Target="https://ieeexplore.ieee.org/stamp/stamp.jsp?arnumber=10538686" TargetMode="External"/><Relationship Id="rId2506" Type="http://schemas.openxmlformats.org/officeDocument/2006/relationships/hyperlink" Target="https://ieeexplore.ieee.org/stamp/stamp.jsp?arnumber=10286684" TargetMode="External"/><Relationship Id="rId2507" Type="http://schemas.openxmlformats.org/officeDocument/2006/relationships/hyperlink" Target="https://ieeexplore.ieee.org/stamp/stamp.jsp?arnumber=10773586" TargetMode="External"/><Relationship Id="rId2508" Type="http://schemas.openxmlformats.org/officeDocument/2006/relationships/hyperlink" Target="https://ieeexplore.ieee.org/stamp/stamp.jsp?arnumber=8605754" TargetMode="External"/><Relationship Id="rId2509" Type="http://schemas.openxmlformats.org/officeDocument/2006/relationships/hyperlink" Target="https://ieeexplore.ieee.org/stamp/stamp.jsp?arnumber=8605789" TargetMode="External"/><Relationship Id="rId2522" Type="http://schemas.openxmlformats.org/officeDocument/2006/relationships/hyperlink" Target="https://ieeexplore.ieee.org/stamp/stamp.jsp?arnumber=9129084" TargetMode="External"/><Relationship Id="rId2523" Type="http://schemas.openxmlformats.org/officeDocument/2006/relationships/hyperlink" Target="https://ieeexplore.ieee.org/stamp/stamp.jsp?arnumber=10012710" TargetMode="External"/><Relationship Id="rId2524" Type="http://schemas.openxmlformats.org/officeDocument/2006/relationships/hyperlink" Target="https://ieeexplore.ieee.org/stamp/stamp.jsp?arnumber=9860668" TargetMode="External"/><Relationship Id="rId2525" Type="http://schemas.openxmlformats.org/officeDocument/2006/relationships/hyperlink" Target="https://ieeexplore.ieee.org/stamp/stamp.jsp?arnumber=9860688" TargetMode="External"/><Relationship Id="rId2526" Type="http://schemas.openxmlformats.org/officeDocument/2006/relationships/hyperlink" Target="https://ieeexplore.ieee.org/stamp/stamp.jsp?arnumber=9860733" TargetMode="External"/><Relationship Id="rId2527" Type="http://schemas.openxmlformats.org/officeDocument/2006/relationships/hyperlink" Target="https://ieeexplore.ieee.org/stamp/stamp.jsp?arnumber=10757839" TargetMode="External"/><Relationship Id="rId2528" Type="http://schemas.openxmlformats.org/officeDocument/2006/relationships/hyperlink" Target="https://ieeexplore.ieee.org/stamp/stamp.jsp?arnumber=10683374" TargetMode="External"/><Relationship Id="rId2529" Type="http://schemas.openxmlformats.org/officeDocument/2006/relationships/hyperlink" Target="https://www.scopus.com/inward/record.uri?eid=2-s2.0-85206149374&amp;doi=10.1109%2fVTC2024-Spring62846.2024.10683429&amp;partnerID=40&amp;md5=70a46f6cc77fcb3d06b4c0f0f5d5387b" TargetMode="External"/><Relationship Id="rId2520" Type="http://schemas.openxmlformats.org/officeDocument/2006/relationships/hyperlink" Target="https://www.scopus.com/inward/record.uri?eid=2-s2.0-85146201046&amp;doi=10.1109%2fUralCon52005.2021.9559535&amp;partnerID=40&amp;md5=62b6bbfaccb3ce664cf8810b18d35a43" TargetMode="External"/><Relationship Id="rId2521" Type="http://schemas.openxmlformats.org/officeDocument/2006/relationships/hyperlink" Target="https://ieeexplore.ieee.org/stamp/stamp.jsp?arnumber=9348584" TargetMode="External"/><Relationship Id="rId2511" Type="http://schemas.openxmlformats.org/officeDocument/2006/relationships/hyperlink" Target="https://www.scopus.com/inward/record.uri?eid=2-s2.0-85099559901&amp;doi=10.1109%2fUCC48980.2020.00056&amp;partnerID=40&amp;md5=10eca0223df9d3459051dbfa12a55c5c" TargetMode="External"/><Relationship Id="rId2512" Type="http://schemas.openxmlformats.org/officeDocument/2006/relationships/hyperlink" Target="https://ieeexplore.ieee.org/stamp/stamp.jsp?arnumber=10061788" TargetMode="External"/><Relationship Id="rId2513" Type="http://schemas.openxmlformats.org/officeDocument/2006/relationships/hyperlink" Target="https://ieeexplore.ieee.org/stamp/stamp.jsp?arnumber=10061832" TargetMode="External"/><Relationship Id="rId2514" Type="http://schemas.openxmlformats.org/officeDocument/2006/relationships/hyperlink" Target="https://www.scopus.com/inward/record.uri?eid=2-s2.0-85150681592&amp;doi=10.1109%2fUCC56403.2022.00050&amp;partnerID=40&amp;md5=034262b13e6be4578e07f37dea3dbe2f" TargetMode="External"/><Relationship Id="rId2515" Type="http://schemas.openxmlformats.org/officeDocument/2006/relationships/hyperlink" Target="https://ieeexplore.ieee.org/stamp/stamp.jsp?arnumber=10061789" TargetMode="External"/><Relationship Id="rId2516" Type="http://schemas.openxmlformats.org/officeDocument/2006/relationships/hyperlink" Target="https://ieeexplore.ieee.org/stamp/stamp.jsp?arnumber=10061781" TargetMode="External"/><Relationship Id="rId2517" Type="http://schemas.openxmlformats.org/officeDocument/2006/relationships/hyperlink" Target="https://ieeexplore.ieee.org/stamp/stamp.jsp?arnumber=8881883" TargetMode="External"/><Relationship Id="rId2518" Type="http://schemas.openxmlformats.org/officeDocument/2006/relationships/hyperlink" Target="https://ieeexplore.ieee.org/stamp/stamp.jsp?arnumber=8397503" TargetMode="External"/><Relationship Id="rId2519" Type="http://schemas.openxmlformats.org/officeDocument/2006/relationships/hyperlink" Target="https://ieeexplore.ieee.org/stamp/stamp.jsp?arnumber=10794730" TargetMode="External"/><Relationship Id="rId2510" Type="http://schemas.openxmlformats.org/officeDocument/2006/relationships/hyperlink" Target="https://ieeexplore.ieee.org/stamp/stamp.jsp?arnumber=7431470" TargetMode="External"/><Relationship Id="rId469" Type="http://schemas.openxmlformats.org/officeDocument/2006/relationships/hyperlink" Target="https://www.scopus.com/inward/record.uri?eid=2-s2.0-85218423854&amp;doi=10.1016%2fj.pmcj.2025.102028&amp;partnerID=40&amp;md5=4823af15ec50dfe4ee0128737e94eb64" TargetMode="External"/><Relationship Id="rId468" Type="http://schemas.openxmlformats.org/officeDocument/2006/relationships/hyperlink" Target="https://www.scopus.com/inward/record.uri?eid=2-s2.0-85206651645&amp;doi=10.1016%2fj.pmcj.2024.101986&amp;partnerID=40&amp;md5=ee3f294ea9f1fd2fcfb3a5be4a9d843c" TargetMode="External"/><Relationship Id="rId467" Type="http://schemas.openxmlformats.org/officeDocument/2006/relationships/hyperlink" Target="https://www.scopus.com/inward/record.uri?eid=2-s2.0-85159773566&amp;doi=10.1016%2fj.pmcj.2023.101800&amp;partnerID=40&amp;md5=e4c34d105027fc831669d27307c9e8eb" TargetMode="External"/><Relationship Id="rId1290" Type="http://schemas.openxmlformats.org/officeDocument/2006/relationships/hyperlink" Target="https://ieeexplore.ieee.org/stamp/stamp.jsp?arnumber=8210771" TargetMode="External"/><Relationship Id="rId1291" Type="http://schemas.openxmlformats.org/officeDocument/2006/relationships/hyperlink" Target="https://ieeexplore.ieee.org/stamp/stamp.jsp?arnumber=8058264" TargetMode="External"/><Relationship Id="rId1292" Type="http://schemas.openxmlformats.org/officeDocument/2006/relationships/hyperlink" Target="https://ieeexplore.ieee.org/stamp/stamp.jsp?arnumber=9243441" TargetMode="External"/><Relationship Id="rId462" Type="http://schemas.openxmlformats.org/officeDocument/2006/relationships/hyperlink" Target="https://www.scopus.com/inward/record.uri?eid=2-s2.0-85108715679&amp;doi=10.1016%2fj.neucom.2021.05.070&amp;partnerID=40&amp;md5=659bf9027d661b21227d054b0d383e57" TargetMode="External"/><Relationship Id="rId1293" Type="http://schemas.openxmlformats.org/officeDocument/2006/relationships/hyperlink" Target="https://ieeexplore.ieee.org/stamp/stamp.jsp?arnumber=10290190" TargetMode="External"/><Relationship Id="rId461" Type="http://schemas.openxmlformats.org/officeDocument/2006/relationships/hyperlink" Target="https://www.scopus.com/inward/record.uri?eid=2-s2.0-85056170967&amp;doi=10.1016%2fj.jvlc.2018.10.001&amp;partnerID=40&amp;md5=6cbcb49d2b97ed1cafa976ed64a353ad" TargetMode="External"/><Relationship Id="rId1294" Type="http://schemas.openxmlformats.org/officeDocument/2006/relationships/hyperlink" Target="https://ieeexplore.ieee.org/stamp/stamp.jsp?arnumber=10290253" TargetMode="External"/><Relationship Id="rId460" Type="http://schemas.openxmlformats.org/officeDocument/2006/relationships/hyperlink" Target="https://www.scopus.com/inward/record.uri?eid=2-s2.0-85165086375&amp;doi=10.1016%2fj.jss.2023.111789&amp;partnerID=40&amp;md5=1fc93b773e3735a2d8a19f539110d159" TargetMode="External"/><Relationship Id="rId1295" Type="http://schemas.openxmlformats.org/officeDocument/2006/relationships/hyperlink" Target="https://ieeexplore.ieee.org/stamp/stamp.jsp?arnumber=10714654" TargetMode="External"/><Relationship Id="rId1296" Type="http://schemas.openxmlformats.org/officeDocument/2006/relationships/hyperlink" Target="https://ieeexplore.ieee.org/stamp/stamp.jsp?arnumber=10543608" TargetMode="External"/><Relationship Id="rId466" Type="http://schemas.openxmlformats.org/officeDocument/2006/relationships/hyperlink" Target="https://www.scopus.com/inward/record.uri?eid=2-s2.0-85186537354&amp;doi=10.1016%2fj.omega.2024.103064&amp;partnerID=40&amp;md5=ec3160a366c628cc2d9ea112c4dfe71e" TargetMode="External"/><Relationship Id="rId1297" Type="http://schemas.openxmlformats.org/officeDocument/2006/relationships/hyperlink" Target="https://ieeexplore.ieee.org/stamp/stamp.jsp?arnumber=10721623" TargetMode="External"/><Relationship Id="rId465" Type="http://schemas.openxmlformats.org/officeDocument/2006/relationships/hyperlink" Target="https://www.scopus.com/inward/record.uri?eid=2-s2.0-85206795072&amp;doi=10.1016%2fj.nucengdes.2024.113636&amp;partnerID=40&amp;md5=99994d5106de3091ccf46d33ce990119" TargetMode="External"/><Relationship Id="rId1298" Type="http://schemas.openxmlformats.org/officeDocument/2006/relationships/hyperlink" Target="https://ieeexplore.ieee.org/stamp/stamp.jsp?arnumber=8577244" TargetMode="External"/><Relationship Id="rId464" Type="http://schemas.openxmlformats.org/officeDocument/2006/relationships/hyperlink" Target="https://www.scopus.com/inward/record.uri?eid=2-s2.0-85176314566&amp;doi=10.1016%2fj.neucom.2023.127017&amp;partnerID=40&amp;md5=1c0d0df44423b7e277e96d95f922ec77" TargetMode="External"/><Relationship Id="rId1299" Type="http://schemas.openxmlformats.org/officeDocument/2006/relationships/hyperlink" Target="https://ieeexplore.ieee.org/stamp/stamp.jsp?arnumber=10503901" TargetMode="External"/><Relationship Id="rId463" Type="http://schemas.openxmlformats.org/officeDocument/2006/relationships/hyperlink" Target="https://www.scopus.com/inward/record.uri?eid=2-s2.0-85136544051&amp;doi=10.1016%2fj.neucom.2022.08.025&amp;partnerID=40&amp;md5=60faaafb92b8cc16cbf94950b93fa8f0" TargetMode="External"/><Relationship Id="rId459" Type="http://schemas.openxmlformats.org/officeDocument/2006/relationships/hyperlink" Target="https://www.scopus.com/inward/record.uri?eid=2-s2.0-85143753938&amp;doi=10.1016%2fj.jss.2022.111558&amp;partnerID=40&amp;md5=c068860c55e58bf318d02df5885e201d" TargetMode="External"/><Relationship Id="rId458" Type="http://schemas.openxmlformats.org/officeDocument/2006/relationships/hyperlink" Target="https://www.scopus.com/inward/record.uri?eid=2-s2.0-85130094579&amp;doi=10.1016%2fj.jss.2022.111351&amp;partnerID=40&amp;md5=b650072584d3ec15cdfca92a7638dd74" TargetMode="External"/><Relationship Id="rId457" Type="http://schemas.openxmlformats.org/officeDocument/2006/relationships/hyperlink" Target="https://www.scopus.com/inward/record.uri?eid=2-s2.0-85105348947&amp;doi=10.1016%2fj.jss.2021.110969&amp;partnerID=40&amp;md5=43fe9fdc6a02160d4d5219420efc94df" TargetMode="External"/><Relationship Id="rId456" Type="http://schemas.openxmlformats.org/officeDocument/2006/relationships/hyperlink" Target="https://www.scopus.com/inward/record.uri?eid=2-s2.0-85053352568&amp;doi=10.1016%2fj.jss.2018.07.077&amp;partnerID=40&amp;md5=a866674254e6fe1a8729a6ef3fd1a1fc" TargetMode="External"/><Relationship Id="rId1280" Type="http://schemas.openxmlformats.org/officeDocument/2006/relationships/hyperlink" Target="https://www.scopus.com/inward/record.uri?eid=2-s2.0-85105019204&amp;doi=10.1109%2fHPCA51647.2021.00076&amp;partnerID=40&amp;md5=fe5a05553aef33ee180136eaf52970c6" TargetMode="External"/><Relationship Id="rId1281" Type="http://schemas.openxmlformats.org/officeDocument/2006/relationships/hyperlink" Target="https://ieeexplore.ieee.org/stamp/stamp.jsp?arnumber=9773228" TargetMode="External"/><Relationship Id="rId451" Type="http://schemas.openxmlformats.org/officeDocument/2006/relationships/hyperlink" Target="https://www.scopus.com/inward/record.uri?eid=2-s2.0-85216374938&amp;doi=10.1016%2fj.jobe.2025.111925&amp;partnerID=40&amp;md5=14ebefd33124ce647e8d49d451988723" TargetMode="External"/><Relationship Id="rId1282" Type="http://schemas.openxmlformats.org/officeDocument/2006/relationships/hyperlink" Target="https://ieeexplore.ieee.org/stamp/stamp.jsp?arnumber=10071061" TargetMode="External"/><Relationship Id="rId450" Type="http://schemas.openxmlformats.org/officeDocument/2006/relationships/hyperlink" Target="https://www.scopus.com/inward/record.uri?eid=2-s2.0-85212324130&amp;doi=10.1016%2fj.jnca.2024.104089&amp;partnerID=40&amp;md5=c2400d9030ff97141c248e15714aadc1" TargetMode="External"/><Relationship Id="rId1283" Type="http://schemas.openxmlformats.org/officeDocument/2006/relationships/hyperlink" Target="https://ieeexplore.ieee.org/stamp/stamp.jsp?arnumber=10476416" TargetMode="External"/><Relationship Id="rId1284" Type="http://schemas.openxmlformats.org/officeDocument/2006/relationships/hyperlink" Target="https://www.scopus.com/inward/record.uri?eid=2-s2.0-85190262143&amp;doi=10.1109%2fHPCA57654.2024.00083&amp;partnerID=40&amp;md5=80fab9a20bbb8aedc030c43870e35ba0" TargetMode="External"/><Relationship Id="rId1285" Type="http://schemas.openxmlformats.org/officeDocument/2006/relationships/hyperlink" Target="https://ieeexplore.ieee.org/stamp/stamp.jsp?arnumber=9781180" TargetMode="External"/><Relationship Id="rId455" Type="http://schemas.openxmlformats.org/officeDocument/2006/relationships/hyperlink" Target="https://www.scopus.com/inward/record.uri?eid=2-s2.0-85009186306&amp;doi=10.1016%2fj.jss.2017.01.001&amp;partnerID=40&amp;md5=00833465689b49e90c3ae3861f0862ab" TargetMode="External"/><Relationship Id="rId1286" Type="http://schemas.openxmlformats.org/officeDocument/2006/relationships/hyperlink" Target="https://ieeexplore.ieee.org/stamp/stamp.jsp?arnumber=9407824" TargetMode="External"/><Relationship Id="rId454" Type="http://schemas.openxmlformats.org/officeDocument/2006/relationships/hyperlink" Target="https://www.scopus.com/inward/record.uri?eid=2-s2.0-85099789900&amp;doi=10.1016%2fj.jpdc.2020.12.015&amp;partnerID=40&amp;md5=adfdf71f665d7308187922dcad311752" TargetMode="External"/><Relationship Id="rId1287" Type="http://schemas.openxmlformats.org/officeDocument/2006/relationships/hyperlink" Target="https://ieeexplore.ieee.org/stamp/stamp.jsp?arnumber=8855384" TargetMode="External"/><Relationship Id="rId453" Type="http://schemas.openxmlformats.org/officeDocument/2006/relationships/hyperlink" Target="https://www.scopus.com/inward/record.uri?eid=2-s2.0-85085274390&amp;doi=10.1016%2fj.jpdc.2020.04.012&amp;partnerID=40&amp;md5=cc07711f8ede5e2ece1961a21bed86d9" TargetMode="External"/><Relationship Id="rId1288" Type="http://schemas.openxmlformats.org/officeDocument/2006/relationships/hyperlink" Target="https://ieeexplore.ieee.org/stamp/stamp.jsp?arnumber=9286239" TargetMode="External"/><Relationship Id="rId452" Type="http://schemas.openxmlformats.org/officeDocument/2006/relationships/hyperlink" Target="https://www.scopus.com/inward/record.uri?eid=2-s2.0-85184612525&amp;doi=10.1016%2fj.joitmc.2024.100223&amp;partnerID=40&amp;md5=134ce0a19ff8b9abb4938fc40ce28ad7" TargetMode="External"/><Relationship Id="rId1289" Type="http://schemas.openxmlformats.org/officeDocument/2006/relationships/hyperlink" Target="https://ieeexplore.ieee.org/stamp/stamp.jsp?arnumber=9481809" TargetMode="External"/><Relationship Id="rId3018" Type="http://schemas.openxmlformats.org/officeDocument/2006/relationships/hyperlink" Target="https://ieeexplore.ieee.org/stamp/stamp.jsp?arnumber=9924978" TargetMode="External"/><Relationship Id="rId3017" Type="http://schemas.openxmlformats.org/officeDocument/2006/relationships/hyperlink" Target="https://ieeexplore.ieee.org/stamp/stamp.jsp?arnumber=10759571" TargetMode="External"/><Relationship Id="rId3019" Type="http://schemas.openxmlformats.org/officeDocument/2006/relationships/hyperlink" Target="https://ieeexplore.ieee.org/stamp/stamp.jsp?arnumber=7973454" TargetMode="External"/><Relationship Id="rId491" Type="http://schemas.openxmlformats.org/officeDocument/2006/relationships/hyperlink" Target="https://ieeexplore.ieee.org/stamp/stamp.jsp?arnumber=9946030" TargetMode="External"/><Relationship Id="rId490" Type="http://schemas.openxmlformats.org/officeDocument/2006/relationships/hyperlink" Target="https://ieeexplore.ieee.org/stamp/stamp.jsp?arnumber=10856186" TargetMode="External"/><Relationship Id="rId489" Type="http://schemas.openxmlformats.org/officeDocument/2006/relationships/hyperlink" Target="https://www.scopus.com/inward/record.uri?eid=2-s2.0-85209755101&amp;doi=10.1038%2fs41598-024-78239-z&amp;partnerID=40&amp;md5=8f0f9468b4c0609252b3266aaf117941" TargetMode="External"/><Relationship Id="rId484" Type="http://schemas.openxmlformats.org/officeDocument/2006/relationships/hyperlink" Target="https://www.scopus.com/inward/record.uri?eid=2-s2.0-85147607168&amp;doi=10.1016%2fj.techfore.2023.122357&amp;partnerID=40&amp;md5=c90247e28490358390829c5390be3c4f" TargetMode="External"/><Relationship Id="rId3010" Type="http://schemas.openxmlformats.org/officeDocument/2006/relationships/hyperlink" Target="https://ieeexplore.ieee.org/stamp/stamp.jsp?arnumber=10619774" TargetMode="External"/><Relationship Id="rId483" Type="http://schemas.openxmlformats.org/officeDocument/2006/relationships/hyperlink" Target="https://www.scopus.com/inward/record.uri?eid=2-s2.0-85145782856&amp;doi=10.1016%2fj.techfore.2022.122265&amp;partnerID=40&amp;md5=8abea08af907322283388073edcd6b45" TargetMode="External"/><Relationship Id="rId482" Type="http://schemas.openxmlformats.org/officeDocument/2006/relationships/hyperlink" Target="https://www.scopus.com/inward/record.uri?eid=2-s2.0-85189554138&amp;doi=10.1016%2fj.sysarc.2024.103131&amp;partnerID=40&amp;md5=024c7f42640ea802ac7ecb675a5f325e" TargetMode="External"/><Relationship Id="rId3012" Type="http://schemas.openxmlformats.org/officeDocument/2006/relationships/hyperlink" Target="https://ieeexplore.ieee.org/stamp/stamp.jsp?arnumber=10498283" TargetMode="External"/><Relationship Id="rId481" Type="http://schemas.openxmlformats.org/officeDocument/2006/relationships/hyperlink" Target="https://www.scopus.com/inward/record.uri?eid=2-s2.0-85101848639&amp;doi=10.1016%2fj.sysarc.2021.102064&amp;partnerID=40&amp;md5=34fea5e739760b8745163f76231c61af" TargetMode="External"/><Relationship Id="rId3011" Type="http://schemas.openxmlformats.org/officeDocument/2006/relationships/hyperlink" Target="https://ieeexplore.ieee.org/stamp/stamp.jsp?arnumber=10619822" TargetMode="External"/><Relationship Id="rId488" Type="http://schemas.openxmlformats.org/officeDocument/2006/relationships/hyperlink" Target="https://www.scopus.com/inward/record.uri?eid=2-s2.0-85181464149&amp;doi=10.1038%2fs41598-023-49186-y&amp;partnerID=40&amp;md5=72239c14fab4f0646caef89fa3631327" TargetMode="External"/><Relationship Id="rId3014" Type="http://schemas.openxmlformats.org/officeDocument/2006/relationships/hyperlink" Target="https://ieeexplore.ieee.org/stamp/stamp.jsp?arnumber=10272347" TargetMode="External"/><Relationship Id="rId487" Type="http://schemas.openxmlformats.org/officeDocument/2006/relationships/hyperlink" Target="https://www.scopus.com/inward/record.uri?eid=2-s2.0-85195579129&amp;doi=10.1016%2fj.vehcom.2024.100812&amp;partnerID=40&amp;md5=3a05c423b1b048e9fab3537cdbdd6333" TargetMode="External"/><Relationship Id="rId3013" Type="http://schemas.openxmlformats.org/officeDocument/2006/relationships/hyperlink" Target="https://ieeexplore.ieee.org/stamp/stamp.jsp?arnumber=10003051" TargetMode="External"/><Relationship Id="rId486" Type="http://schemas.openxmlformats.org/officeDocument/2006/relationships/hyperlink" Target="https://www.scopus.com/inward/record.uri?eid=2-s2.0-85165225885&amp;doi=10.1016%2fj.tust.2023.105315&amp;partnerID=40&amp;md5=6f43c1ecdb0d7849769c2055990f145e" TargetMode="External"/><Relationship Id="rId3016" Type="http://schemas.openxmlformats.org/officeDocument/2006/relationships/hyperlink" Target="https://ieeexplore.ieee.org/stamp/stamp.jsp?arnumber=10522525" TargetMode="External"/><Relationship Id="rId485" Type="http://schemas.openxmlformats.org/officeDocument/2006/relationships/hyperlink" Target="https://www.scopus.com/inward/record.uri?eid=2-s2.0-85149058134&amp;doi=10.1016%2fj.technovation.2023.102717&amp;partnerID=40&amp;md5=88d71b4c3e80d177f752a3e5435b4661" TargetMode="External"/><Relationship Id="rId3015" Type="http://schemas.openxmlformats.org/officeDocument/2006/relationships/hyperlink" Target="https://ieeexplore.ieee.org/stamp/stamp.jsp?arnumber=10146579" TargetMode="External"/><Relationship Id="rId3007" Type="http://schemas.openxmlformats.org/officeDocument/2006/relationships/hyperlink" Target="https://ieeexplore.ieee.org/stamp/stamp.jsp?arnumber=8696465" TargetMode="External"/><Relationship Id="rId3006" Type="http://schemas.openxmlformats.org/officeDocument/2006/relationships/hyperlink" Target="https://ieeexplore.ieee.org/stamp/stamp.jsp?arnumber=10471764" TargetMode="External"/><Relationship Id="rId3009" Type="http://schemas.openxmlformats.org/officeDocument/2006/relationships/hyperlink" Target="https://ieeexplore.ieee.org/stamp/stamp.jsp?arnumber=10619768" TargetMode="External"/><Relationship Id="rId3008" Type="http://schemas.openxmlformats.org/officeDocument/2006/relationships/hyperlink" Target="https://ieeexplore.ieee.org/stamp/stamp.jsp?arnumber=10186428" TargetMode="External"/><Relationship Id="rId480" Type="http://schemas.openxmlformats.org/officeDocument/2006/relationships/hyperlink" Target="https://www.scopus.com/inward/record.uri?eid=2-s2.0-85091229671&amp;doi=10.1016%2fj.sysarc.2020.101876&amp;partnerID=40&amp;md5=efbb50d941c57ff37e1c2b8dc3bde608" TargetMode="External"/><Relationship Id="rId479" Type="http://schemas.openxmlformats.org/officeDocument/2006/relationships/hyperlink" Target="https://www.scopus.com/inward/record.uri?eid=2-s2.0-85141255897&amp;doi=10.1016%2fj.suscom.2022.100812&amp;partnerID=40&amp;md5=2aef506061124a1fae97a1b75378716d" TargetMode="External"/><Relationship Id="rId478" Type="http://schemas.openxmlformats.org/officeDocument/2006/relationships/hyperlink" Target="https://www.scopus.com/inward/record.uri?eid=2-s2.0-85210382422&amp;doi=10.1016%2fj.simpat.2024.103042&amp;partnerID=40&amp;md5=891588f275df34e72c0fb46c3c908d5e" TargetMode="External"/><Relationship Id="rId473" Type="http://schemas.openxmlformats.org/officeDocument/2006/relationships/hyperlink" Target="https://www.scopus.com/inward/record.uri?eid=2-s2.0-85215395988&amp;doi=10.1016%2fj.ress.2025.110832&amp;partnerID=40&amp;md5=f30ec4c6f90b8f57ee42140c2e0046c2" TargetMode="External"/><Relationship Id="rId472" Type="http://schemas.openxmlformats.org/officeDocument/2006/relationships/hyperlink" Target="https://www.scopus.com/inward/record.uri?eid=2-s2.0-85146276652&amp;doi=10.1016%2fj.rcim.2022.102520&amp;partnerID=40&amp;md5=83e5359a7486e58188c4f6d9657aff27" TargetMode="External"/><Relationship Id="rId471" Type="http://schemas.openxmlformats.org/officeDocument/2006/relationships/hyperlink" Target="https://www.scopus.com/inward/record.uri?eid=2-s2.0-85163846528&amp;doi=10.1016%2fj.procs.2022.12.128&amp;partnerID=40&amp;md5=72013e9ceef27fbcf4faeb8c7d12e2c1" TargetMode="External"/><Relationship Id="rId3001" Type="http://schemas.openxmlformats.org/officeDocument/2006/relationships/hyperlink" Target="https://ieeexplore.ieee.org/stamp/stamp.jsp?arnumber=8588083" TargetMode="External"/><Relationship Id="rId470" Type="http://schemas.openxmlformats.org/officeDocument/2006/relationships/hyperlink" Target="https://www.scopus.com/inward/record.uri?eid=2-s2.0-85041522815&amp;doi=10.1016%2fj.procs.2017.12.163&amp;partnerID=40&amp;md5=9a935e77e2d0d3cfa1ffcd014121ff77" TargetMode="External"/><Relationship Id="rId3000" Type="http://schemas.openxmlformats.org/officeDocument/2006/relationships/hyperlink" Target="https://ieeexplore.ieee.org/stamp/stamp.jsp?arnumber=8468291" TargetMode="External"/><Relationship Id="rId477" Type="http://schemas.openxmlformats.org/officeDocument/2006/relationships/hyperlink" Target="https://www.scopus.com/inward/record.uri?eid=2-s2.0-85185708948&amp;doi=10.1016%2fj.simpat.2024.102913&amp;partnerID=40&amp;md5=23f8baf111cede07022d239d7485b53a" TargetMode="External"/><Relationship Id="rId3003" Type="http://schemas.openxmlformats.org/officeDocument/2006/relationships/hyperlink" Target="https://ieeexplore.ieee.org/stamp/stamp.jsp?arnumber=9953883" TargetMode="External"/><Relationship Id="rId476" Type="http://schemas.openxmlformats.org/officeDocument/2006/relationships/hyperlink" Target="https://www.scopus.com/inward/record.uri?eid=2-s2.0-85114671276&amp;doi=10.1016%2fj.simpat.2021.102402&amp;partnerID=40&amp;md5=5e1a55ca18c366a85704a48e680b4b74" TargetMode="External"/><Relationship Id="rId3002" Type="http://schemas.openxmlformats.org/officeDocument/2006/relationships/hyperlink" Target="https://ieeexplore.ieee.org/stamp/stamp.jsp?arnumber=9347625" TargetMode="External"/><Relationship Id="rId475" Type="http://schemas.openxmlformats.org/officeDocument/2006/relationships/hyperlink" Target="https://www.scopus.com/inward/record.uri?eid=2-s2.0-85073825877&amp;doi=10.1016%2fj.simpat.2019.102007&amp;partnerID=40&amp;md5=1c6f0692284ead6e290761877a9046d1" TargetMode="External"/><Relationship Id="rId3005" Type="http://schemas.openxmlformats.org/officeDocument/2006/relationships/hyperlink" Target="https://ieeexplore.ieee.org/stamp/stamp.jsp?arnumber=10749903" TargetMode="External"/><Relationship Id="rId474" Type="http://schemas.openxmlformats.org/officeDocument/2006/relationships/hyperlink" Target="https://www.scopus.com/inward/record.uri?eid=2-s2.0-85150846447&amp;doi=10.1016%2fj.scs.2023.104545&amp;partnerID=40&amp;md5=ed5c3daa359fbf2daf0acd64e9b67ad4" TargetMode="External"/><Relationship Id="rId3004" Type="http://schemas.openxmlformats.org/officeDocument/2006/relationships/hyperlink" Target="https://ieeexplore.ieee.org/stamp/stamp.jsp?arnumber=10749877" TargetMode="External"/><Relationship Id="rId1257" Type="http://schemas.openxmlformats.org/officeDocument/2006/relationships/hyperlink" Target="https://ieeexplore.ieee.org/stamp/stamp.jsp?arnumber=8534525" TargetMode="External"/><Relationship Id="rId2588" Type="http://schemas.openxmlformats.org/officeDocument/2006/relationships/hyperlink" Target="https://doi.org/10.1145/2996890.3007878" TargetMode="External"/><Relationship Id="rId1258" Type="http://schemas.openxmlformats.org/officeDocument/2006/relationships/hyperlink" Target="https://ieeexplore.ieee.org/stamp/stamp.jsp?arnumber=8534556" TargetMode="External"/><Relationship Id="rId2589" Type="http://schemas.openxmlformats.org/officeDocument/2006/relationships/hyperlink" Target="https://doi.org/10.1145/3018896.3025168" TargetMode="External"/><Relationship Id="rId1259" Type="http://schemas.openxmlformats.org/officeDocument/2006/relationships/hyperlink" Target="https://ieeexplore.ieee.org/stamp/stamp.jsp?arnumber=9013128" TargetMode="External"/><Relationship Id="rId426" Type="http://schemas.openxmlformats.org/officeDocument/2006/relationships/hyperlink" Target="https://www.scopus.com/inward/record.uri?eid=2-s2.0-85185531334&amp;doi=10.1016%2fj.future.2024.02.006&amp;partnerID=40&amp;md5=d015b0db6a9d278a03224ac0dbd68823" TargetMode="External"/><Relationship Id="rId425" Type="http://schemas.openxmlformats.org/officeDocument/2006/relationships/hyperlink" Target="https://www.scopus.com/inward/record.uri?eid=2-s2.0-85167804860&amp;doi=10.1016%2fj.future.2023.07.034&amp;partnerID=40&amp;md5=3cc2c0314d9726d534a050c282a53845" TargetMode="External"/><Relationship Id="rId424" Type="http://schemas.openxmlformats.org/officeDocument/2006/relationships/hyperlink" Target="https://www.scopus.com/inward/record.uri?eid=2-s2.0-85150923160&amp;doi=10.1016%2fj.future.2023.03.017&amp;partnerID=40&amp;md5=270f25281ce54a4be99ecc3cba1bb989" TargetMode="External"/><Relationship Id="rId423" Type="http://schemas.openxmlformats.org/officeDocument/2006/relationships/hyperlink" Target="https://www.scopus.com/inward/record.uri?eid=2-s2.0-85142082470&amp;doi=10.1016%2fj.future.2022.10.029&amp;partnerID=40&amp;md5=3d815ec06e52646980b30e1a802f0f9a" TargetMode="External"/><Relationship Id="rId429" Type="http://schemas.openxmlformats.org/officeDocument/2006/relationships/hyperlink" Target="https://www.scopus.com/inward/record.uri?eid=2-s2.0-85206474253&amp;doi=10.1016%2fj.heliyon.2024.e39192&amp;partnerID=40&amp;md5=2889c8de31bbe9b461461e5ece9abe50" TargetMode="External"/><Relationship Id="rId428" Type="http://schemas.openxmlformats.org/officeDocument/2006/relationships/hyperlink" Target="https://www.scopus.com/inward/record.uri?eid=2-s2.0-85160060541&amp;doi=10.1016%2fj.heliyon.2023.e16715&amp;partnerID=40&amp;md5=b868619cb17923e7eaa158cd880cb32d" TargetMode="External"/><Relationship Id="rId427" Type="http://schemas.openxmlformats.org/officeDocument/2006/relationships/hyperlink" Target="https://www.scopus.com/inward/record.uri?eid=2-s2.0-85196423494&amp;doi=10.1016%2fj.future.2024.06.024&amp;partnerID=40&amp;md5=a1fb2bf57e5b948b03b007c23c135cbb" TargetMode="External"/><Relationship Id="rId2580" Type="http://schemas.openxmlformats.org/officeDocument/2006/relationships/hyperlink" Target="https://ieeexplore.ieee.org/stamp/stamp.jsp?arnumber=10645277" TargetMode="External"/><Relationship Id="rId1250" Type="http://schemas.openxmlformats.org/officeDocument/2006/relationships/hyperlink" Target="https://ieeexplore.ieee.org/stamp/stamp.jsp?arnumber=10464860" TargetMode="External"/><Relationship Id="rId2581" Type="http://schemas.openxmlformats.org/officeDocument/2006/relationships/hyperlink" Target="https://doi.org/10.1145/2742854.2747279" TargetMode="External"/><Relationship Id="rId1251" Type="http://schemas.openxmlformats.org/officeDocument/2006/relationships/hyperlink" Target="https://ieeexplore.ieee.org/stamp/stamp.jsp?arnumber=10465071" TargetMode="External"/><Relationship Id="rId2582" Type="http://schemas.openxmlformats.org/officeDocument/2006/relationships/hyperlink" Target="https://doi.org/10.1145/2786805.2786826" TargetMode="External"/><Relationship Id="rId1252" Type="http://schemas.openxmlformats.org/officeDocument/2006/relationships/hyperlink" Target="https://ieeexplore.ieee.org/stamp/stamp.jsp?arnumber=10465223" TargetMode="External"/><Relationship Id="rId2583" Type="http://schemas.openxmlformats.org/officeDocument/2006/relationships/hyperlink" Target="https://doi.org/10.1145/2834791.2834794" TargetMode="External"/><Relationship Id="rId422" Type="http://schemas.openxmlformats.org/officeDocument/2006/relationships/hyperlink" Target="https://www.scopus.com/inward/record.uri?eid=2-s2.0-85138482242&amp;doi=10.1016%2fj.future.2022.09.007&amp;partnerID=40&amp;md5=296822616ae68f8c047829a741cb494b" TargetMode="External"/><Relationship Id="rId1253" Type="http://schemas.openxmlformats.org/officeDocument/2006/relationships/hyperlink" Target="https://ieeexplore.ieee.org/stamp/stamp.jsp?arnumber=9033127" TargetMode="External"/><Relationship Id="rId2584" Type="http://schemas.openxmlformats.org/officeDocument/2006/relationships/hyperlink" Target="https://doi.org/10.1145/2897829.2897831" TargetMode="External"/><Relationship Id="rId421" Type="http://schemas.openxmlformats.org/officeDocument/2006/relationships/hyperlink" Target="https://www.scopus.com/inward/record.uri?eid=2-s2.0-85133958368&amp;doi=10.1016%2fj.future.2022.05.002&amp;partnerID=40&amp;md5=3220e375c9fdc0cd01b721d71b0199e1" TargetMode="External"/><Relationship Id="rId1254" Type="http://schemas.openxmlformats.org/officeDocument/2006/relationships/hyperlink" Target="https://ieeexplore.ieee.org/stamp/stamp.jsp?arnumber=8635708" TargetMode="External"/><Relationship Id="rId2585" Type="http://schemas.openxmlformats.org/officeDocument/2006/relationships/hyperlink" Target="https://doi.org/10.1145/2961111.2962597" TargetMode="External"/><Relationship Id="rId420" Type="http://schemas.openxmlformats.org/officeDocument/2006/relationships/hyperlink" Target="https://www.scopus.com/inward/record.uri?eid=2-s2.0-85130609150&amp;doi=10.1016%2fj.future.2022.05.001&amp;partnerID=40&amp;md5=816992354ad9e31b65f6ca5781bd05b9" TargetMode="External"/><Relationship Id="rId1255" Type="http://schemas.openxmlformats.org/officeDocument/2006/relationships/hyperlink" Target="https://ieeexplore.ieee.org/stamp/stamp.jsp?arnumber=9248495" TargetMode="External"/><Relationship Id="rId2586" Type="http://schemas.openxmlformats.org/officeDocument/2006/relationships/hyperlink" Target="https://doi.org/10.1145/2993236.2993256" TargetMode="External"/><Relationship Id="rId1256" Type="http://schemas.openxmlformats.org/officeDocument/2006/relationships/hyperlink" Target="https://ieeexplore.ieee.org/stamp/stamp.jsp?arnumber=8016253" TargetMode="External"/><Relationship Id="rId2587" Type="http://schemas.openxmlformats.org/officeDocument/2006/relationships/hyperlink" Target="https://doi.org/10.1145/2993412.3004852" TargetMode="External"/><Relationship Id="rId1246" Type="http://schemas.openxmlformats.org/officeDocument/2006/relationships/hyperlink" Target="https://ieeexplore.ieee.org/stamp/stamp.jsp?arnumber=10008585" TargetMode="External"/><Relationship Id="rId2577" Type="http://schemas.openxmlformats.org/officeDocument/2006/relationships/hyperlink" Target="https://ieeexplore.ieee.org/stamp/stamp.jsp?arnumber=7917092" TargetMode="External"/><Relationship Id="rId1247" Type="http://schemas.openxmlformats.org/officeDocument/2006/relationships/hyperlink" Target="https://ieeexplore.ieee.org/stamp/stamp.jsp?arnumber=10008626" TargetMode="External"/><Relationship Id="rId2578" Type="http://schemas.openxmlformats.org/officeDocument/2006/relationships/hyperlink" Target="https://ieeexplore.ieee.org/stamp/stamp.jsp?arnumber=8276829" TargetMode="External"/><Relationship Id="rId1248" Type="http://schemas.openxmlformats.org/officeDocument/2006/relationships/hyperlink" Target="https://ieeexplore.ieee.org/stamp/stamp.jsp?arnumber=10008676" TargetMode="External"/><Relationship Id="rId2579" Type="http://schemas.openxmlformats.org/officeDocument/2006/relationships/hyperlink" Target="https://ieeexplore.ieee.org/stamp/stamp.jsp?arnumber=10645259" TargetMode="External"/><Relationship Id="rId1249" Type="http://schemas.openxmlformats.org/officeDocument/2006/relationships/hyperlink" Target="https://ieeexplore.ieee.org/stamp/stamp.jsp?arnumber=10464771" TargetMode="External"/><Relationship Id="rId415" Type="http://schemas.openxmlformats.org/officeDocument/2006/relationships/hyperlink" Target="https://www.scopus.com/inward/record.uri?eid=2-s2.0-85132952558&amp;doi=10.1016%2fj.eng.2021.09.013&amp;partnerID=40&amp;md5=78f6cca112624eb1321a51710d622117" TargetMode="External"/><Relationship Id="rId414" Type="http://schemas.openxmlformats.org/officeDocument/2006/relationships/hyperlink" Target="https://www.scopus.com/inward/record.uri?eid=2-s2.0-85188531462&amp;doi=10.1016%2fj.eneco.2024.107479&amp;partnerID=40&amp;md5=1f350410d27d14231af745509a66b76a" TargetMode="External"/><Relationship Id="rId413" Type="http://schemas.openxmlformats.org/officeDocument/2006/relationships/hyperlink" Target="https://www.scopus.com/inward/record.uri?eid=2-s2.0-85121963422&amp;doi=10.1016%2fj.enbuild.2021.111762&amp;partnerID=40&amp;md5=445941515f1bd38c3f3b1edea98258a8" TargetMode="External"/><Relationship Id="rId412" Type="http://schemas.openxmlformats.org/officeDocument/2006/relationships/hyperlink" Target="https://www.scopus.com/inward/record.uri?eid=2-s2.0-85173628648&amp;doi=10.1016%2fj.egyr.2023.10.027&amp;partnerID=40&amp;md5=c953bc2f3a09d3a987a18830e40b1db4" TargetMode="External"/><Relationship Id="rId419" Type="http://schemas.openxmlformats.org/officeDocument/2006/relationships/hyperlink" Target="https://www.scopus.com/inward/record.uri?eid=2-s2.0-85218173202&amp;doi=10.1016%2fj.eswa.2025.126856&amp;partnerID=40&amp;md5=d438fa38a5aeeeba5f17e5cb73c03ca7" TargetMode="External"/><Relationship Id="rId418" Type="http://schemas.openxmlformats.org/officeDocument/2006/relationships/hyperlink" Target="https://www.scopus.com/inward/record.uri?eid=2-s2.0-85149381205&amp;doi=10.1016%2fj.eswa.2023.119744&amp;partnerID=40&amp;md5=898f485a46a8714698ede74e1cd867b0" TargetMode="External"/><Relationship Id="rId417" Type="http://schemas.openxmlformats.org/officeDocument/2006/relationships/hyperlink" Target="https://www.scopus.com/inward/record.uri?eid=2-s2.0-85063476363&amp;doi=10.1016%2fj.eswa.2019.03.022&amp;partnerID=40&amp;md5=9c20b18463d2f63db8c71f2d86055a81" TargetMode="External"/><Relationship Id="rId416" Type="http://schemas.openxmlformats.org/officeDocument/2006/relationships/hyperlink" Target="https://www.scopus.com/inward/record.uri?eid=2-s2.0-85202348837&amp;doi=10.1016%2fj.engappai.2024.109104&amp;partnerID=40&amp;md5=d22665c2cec0fbe7c7460bbe78b633b1" TargetMode="External"/><Relationship Id="rId2570" Type="http://schemas.openxmlformats.org/officeDocument/2006/relationships/hyperlink" Target="https://ieeexplore.ieee.org/stamp/stamp.jsp?arnumber=9350949" TargetMode="External"/><Relationship Id="rId1240" Type="http://schemas.openxmlformats.org/officeDocument/2006/relationships/hyperlink" Target="https://ieeexplore.ieee.org/stamp/stamp.jsp?arnumber=10760986" TargetMode="External"/><Relationship Id="rId2571" Type="http://schemas.openxmlformats.org/officeDocument/2006/relationships/hyperlink" Target="https://ieeexplore.ieee.org/stamp/stamp.jsp?arnumber=9351116" TargetMode="External"/><Relationship Id="rId1241" Type="http://schemas.openxmlformats.org/officeDocument/2006/relationships/hyperlink" Target="https://ieeexplore.ieee.org/stamp/stamp.jsp?arnumber=10426195" TargetMode="External"/><Relationship Id="rId2572" Type="http://schemas.openxmlformats.org/officeDocument/2006/relationships/hyperlink" Target="https://ieeexplore.ieee.org/stamp/stamp.jsp?arnumber=9351196" TargetMode="External"/><Relationship Id="rId411" Type="http://schemas.openxmlformats.org/officeDocument/2006/relationships/hyperlink" Target="https://www.scopus.com/inward/record.uri?eid=2-s2.0-85149292435&amp;doi=10.1016%2fj.egyai.2023.100240&amp;partnerID=40&amp;md5=a959f0c08d1474374ced69ecf52bc345" TargetMode="External"/><Relationship Id="rId1242" Type="http://schemas.openxmlformats.org/officeDocument/2006/relationships/hyperlink" Target="https://ieeexplore.ieee.org/stamp/stamp.jsp?arnumber=9024592" TargetMode="External"/><Relationship Id="rId2573" Type="http://schemas.openxmlformats.org/officeDocument/2006/relationships/hyperlink" Target="https://ieeexplore.ieee.org/stamp/stamp.jsp?arnumber=9735681" TargetMode="External"/><Relationship Id="rId410" Type="http://schemas.openxmlformats.org/officeDocument/2006/relationships/hyperlink" Target="https://www.scopus.com/inward/record.uri?eid=2-s2.0-85187359445&amp;doi=10.1016%2fj.dcan.2022.05.023&amp;partnerID=40&amp;md5=c5b51b6c99fe238b03d9f5b4e48163c3" TargetMode="External"/><Relationship Id="rId1243" Type="http://schemas.openxmlformats.org/officeDocument/2006/relationships/hyperlink" Target="https://ieeexplore.ieee.org/stamp/stamp.jsp?arnumber=9681940" TargetMode="External"/><Relationship Id="rId2574" Type="http://schemas.openxmlformats.org/officeDocument/2006/relationships/hyperlink" Target="https://ieeexplore.ieee.org/stamp/stamp.jsp?arnumber=10402938" TargetMode="External"/><Relationship Id="rId1244" Type="http://schemas.openxmlformats.org/officeDocument/2006/relationships/hyperlink" Target="https://ieeexplore.ieee.org/stamp/stamp.jsp?arnumber=9682117" TargetMode="External"/><Relationship Id="rId2575" Type="http://schemas.openxmlformats.org/officeDocument/2006/relationships/hyperlink" Target="https://ieeexplore.ieee.org/stamp/stamp.jsp?arnumber=9903191" TargetMode="External"/><Relationship Id="rId1245" Type="http://schemas.openxmlformats.org/officeDocument/2006/relationships/hyperlink" Target="https://ieeexplore.ieee.org/stamp/stamp.jsp?arnumber=9682131" TargetMode="External"/><Relationship Id="rId2576" Type="http://schemas.openxmlformats.org/officeDocument/2006/relationships/hyperlink" Target="https://ieeexplore.ieee.org/stamp/stamp.jsp?arnumber=10501898" TargetMode="External"/><Relationship Id="rId1279" Type="http://schemas.openxmlformats.org/officeDocument/2006/relationships/hyperlink" Target="https://www.scopus.com/inward/record.uri?eid=2-s2.0-85104950921&amp;doi=10.1109%2fHPCA51647.2021.00053&amp;partnerID=40&amp;md5=ae755f3b5ba3ede721ca9f3a3d85581e" TargetMode="External"/><Relationship Id="rId448" Type="http://schemas.openxmlformats.org/officeDocument/2006/relationships/hyperlink" Target="https://www.scopus.com/inward/record.uri?eid=2-s2.0-85095771891&amp;doi=10.1016%2fj.jnca.2020.102869&amp;partnerID=40&amp;md5=29a749bf5ee61e28506d37df766f3d72" TargetMode="External"/><Relationship Id="rId447" Type="http://schemas.openxmlformats.org/officeDocument/2006/relationships/hyperlink" Target="https://www.scopus.com/inward/record.uri?eid=2-s2.0-85167810037&amp;doi=10.1016%2fj.jii.2023.100507&amp;partnerID=40&amp;md5=00150a870b65a05e0f26560e91a4b8cd" TargetMode="External"/><Relationship Id="rId446" Type="http://schemas.openxmlformats.org/officeDocument/2006/relationships/hyperlink" Target="https://www.scopus.com/inward/record.uri?eid=2-s2.0-85187396118&amp;doi=10.1016%2fj.jestch.2024.101660&amp;partnerID=40&amp;md5=5df789139d150592da34e3365e929811" TargetMode="External"/><Relationship Id="rId445" Type="http://schemas.openxmlformats.org/officeDocument/2006/relationships/hyperlink" Target="https://www.scopus.com/inward/record.uri?eid=2-s2.0-85108995250&amp;doi=10.1016%2fj.jclepro.2021.127904&amp;partnerID=40&amp;md5=c1ab04b5583d3daf532aefebe1d79025" TargetMode="External"/><Relationship Id="rId449" Type="http://schemas.openxmlformats.org/officeDocument/2006/relationships/hyperlink" Target="https://www.scopus.com/inward/record.uri?eid=2-s2.0-85184018867&amp;doi=10.1016%2fj.jnca.2024.103839&amp;partnerID=40&amp;md5=203df8241ae306c312231761e7e94c32" TargetMode="External"/><Relationship Id="rId1270" Type="http://schemas.openxmlformats.org/officeDocument/2006/relationships/hyperlink" Target="https://ieeexplore.ieee.org/stamp/stamp.jsp?arnumber=10436923" TargetMode="External"/><Relationship Id="rId440" Type="http://schemas.openxmlformats.org/officeDocument/2006/relationships/hyperlink" Target="https://www.scopus.com/inward/record.uri?eid=2-s2.0-85186335511&amp;doi=10.1016%2fj.iot.2024.101143&amp;partnerID=40&amp;md5=d476649bfd7d71045ed9082deb931078" TargetMode="External"/><Relationship Id="rId1271" Type="http://schemas.openxmlformats.org/officeDocument/2006/relationships/hyperlink" Target="https://ieeexplore.ieee.org/stamp/stamp.jsp?arnumber=10437012" TargetMode="External"/><Relationship Id="rId1272" Type="http://schemas.openxmlformats.org/officeDocument/2006/relationships/hyperlink" Target="https://ieeexplore.ieee.org/stamp/stamp.jsp?arnumber=10437728" TargetMode="External"/><Relationship Id="rId1273" Type="http://schemas.openxmlformats.org/officeDocument/2006/relationships/hyperlink" Target="https://ieeexplore.ieee.org/stamp/stamp.jsp?arnumber=8647688" TargetMode="External"/><Relationship Id="rId1274" Type="http://schemas.openxmlformats.org/officeDocument/2006/relationships/hyperlink" Target="https://www.scopus.com/inward/record.uri?eid=2-s2.0-85119101357&amp;doi=10.1109%2fGUCON50781.2021.9573606&amp;partnerID=40&amp;md5=b6ba2821a23e4d2946e6720061aee6cc" TargetMode="External"/><Relationship Id="rId444" Type="http://schemas.openxmlformats.org/officeDocument/2006/relationships/hyperlink" Target="https://www.scopus.com/inward/record.uri?eid=2-s2.0-85120502544&amp;doi=10.1016%2fj.jbusres.2021.10.063&amp;partnerID=40&amp;md5=01b27039ac4812650d97b6795b1a5d0e" TargetMode="External"/><Relationship Id="rId1275" Type="http://schemas.openxmlformats.org/officeDocument/2006/relationships/hyperlink" Target="https://ieeexplore.ieee.org/stamp/stamp.jsp?arnumber=10887413" TargetMode="External"/><Relationship Id="rId443" Type="http://schemas.openxmlformats.org/officeDocument/2006/relationships/hyperlink" Target="https://www.scopus.com/inward/record.uri?eid=2-s2.0-85134598058&amp;doi=10.1016%2fj.iotcps.2022.05.005&amp;partnerID=40&amp;md5=701d8d062353ef5df993f55fac1c0b89" TargetMode="External"/><Relationship Id="rId1276" Type="http://schemas.openxmlformats.org/officeDocument/2006/relationships/hyperlink" Target="https://ieeexplore.ieee.org/stamp/stamp.jsp?arnumber=10155781" TargetMode="External"/><Relationship Id="rId442" Type="http://schemas.openxmlformats.org/officeDocument/2006/relationships/hyperlink" Target="https://www.scopus.com/inward/record.uri?eid=2-s2.0-85189884824&amp;doi=10.1016%2fj.iot.2024.101175&amp;partnerID=40&amp;md5=3c018ddecad22fa9c3a008d98cb32b3a" TargetMode="External"/><Relationship Id="rId1277" Type="http://schemas.openxmlformats.org/officeDocument/2006/relationships/hyperlink" Target="https://ieeexplore.ieee.org/stamp/stamp.jsp?arnumber=10287299" TargetMode="External"/><Relationship Id="rId441" Type="http://schemas.openxmlformats.org/officeDocument/2006/relationships/hyperlink" Target="https://www.scopus.com/inward/record.uri?eid=2-s2.0-85189019950&amp;doi=10.1016%2fj.iot.2024.101172&amp;partnerID=40&amp;md5=5a09cc3ad11393178c265a65f07ef1d2" TargetMode="External"/><Relationship Id="rId1278" Type="http://schemas.openxmlformats.org/officeDocument/2006/relationships/hyperlink" Target="https://www.scopus.com/inward/record.uri?eid=2-s2.0-85084174150&amp;doi=10.1109%2fHPCA47549.2020.00025&amp;partnerID=40&amp;md5=ab02282f4f28e65c6c9d8de71664f490" TargetMode="External"/><Relationship Id="rId1268" Type="http://schemas.openxmlformats.org/officeDocument/2006/relationships/hyperlink" Target="https://ieeexplore.ieee.org/stamp/stamp.jsp?arnumber=10901184" TargetMode="External"/><Relationship Id="rId2599" Type="http://schemas.openxmlformats.org/officeDocument/2006/relationships/hyperlink" Target="https://doi.org/10.1145/3127499" TargetMode="External"/><Relationship Id="rId1269" Type="http://schemas.openxmlformats.org/officeDocument/2006/relationships/hyperlink" Target="https://ieeexplore.ieee.org/stamp/stamp.jsp?arnumber=10436765" TargetMode="External"/><Relationship Id="rId437" Type="http://schemas.openxmlformats.org/officeDocument/2006/relationships/hyperlink" Target="https://www.scopus.com/inward/record.uri?eid=2-s2.0-85166664852&amp;doi=10.1016%2fj.iot.2023.100866&amp;partnerID=40&amp;md5=6c46a90c9b1f064e292d084f1216b290" TargetMode="External"/><Relationship Id="rId436" Type="http://schemas.openxmlformats.org/officeDocument/2006/relationships/hyperlink" Target="https://www.scopus.com/inward/record.uri?eid=2-s2.0-85131100664&amp;doi=10.1016%2fj.infsof.2022.106944&amp;partnerID=40&amp;md5=1640cc413685638fdf83e0bb1e232514" TargetMode="External"/><Relationship Id="rId435" Type="http://schemas.openxmlformats.org/officeDocument/2006/relationships/hyperlink" Target="https://www.scopus.com/inward/record.uri?eid=2-s2.0-85039063985&amp;doi=10.1016%2fj.infsof.2017.11.016&amp;partnerID=40&amp;md5=adffdf6b70bd2368dcf33eb12ab3e468" TargetMode="External"/><Relationship Id="rId434" Type="http://schemas.openxmlformats.org/officeDocument/2006/relationships/hyperlink" Target="https://www.scopus.com/inward/record.uri?eid=2-s2.0-85066074486&amp;doi=10.1016%2fj.inffus.2019.05.004&amp;partnerID=40&amp;md5=38d4bd3f76f9bfdd456998359f5ab57b" TargetMode="External"/><Relationship Id="rId439" Type="http://schemas.openxmlformats.org/officeDocument/2006/relationships/hyperlink" Target="https://www.scopus.com/inward/record.uri?eid=2-s2.0-85185165442&amp;doi=10.1016%2fj.iot.2024.101112&amp;partnerID=40&amp;md5=9acbf5aa33c12abcdfe72970be83ae05" TargetMode="External"/><Relationship Id="rId438" Type="http://schemas.openxmlformats.org/officeDocument/2006/relationships/hyperlink" Target="https://www.scopus.com/inward/record.uri?eid=2-s2.0-85185927709&amp;doi=10.1016%2fj.iot.2023.101035&amp;partnerID=40&amp;md5=35c6d5651b9f1bb4e6f19778fea9a25d" TargetMode="External"/><Relationship Id="rId2590" Type="http://schemas.openxmlformats.org/officeDocument/2006/relationships/hyperlink" Target="https://doi.org/10.1145/3030207.3030245" TargetMode="External"/><Relationship Id="rId1260" Type="http://schemas.openxmlformats.org/officeDocument/2006/relationships/hyperlink" Target="https://ieeexplore.ieee.org/stamp/stamp.jsp?arnumber=9013129" TargetMode="External"/><Relationship Id="rId2591" Type="http://schemas.openxmlformats.org/officeDocument/2006/relationships/hyperlink" Target="https://doi.org/10.1145/3050748.3050758" TargetMode="External"/><Relationship Id="rId1261" Type="http://schemas.openxmlformats.org/officeDocument/2006/relationships/hyperlink" Target="https://ieeexplore.ieee.org/stamp/stamp.jsp?arnumber=9013623" TargetMode="External"/><Relationship Id="rId2592" Type="http://schemas.openxmlformats.org/officeDocument/2006/relationships/hyperlink" Target="https://doi.org/10.1145/3077839.3081675" TargetMode="External"/><Relationship Id="rId1262" Type="http://schemas.openxmlformats.org/officeDocument/2006/relationships/hyperlink" Target="https://ieeexplore.ieee.org/stamp/stamp.jsp?arnumber=9685874" TargetMode="External"/><Relationship Id="rId2593" Type="http://schemas.openxmlformats.org/officeDocument/2006/relationships/hyperlink" Target="https://www.scopus.com/inward/record.uri?eid=2-s2.0-85025619452&amp;doi=10.1145%2f3079856.3080224&amp;partnerID=40&amp;md5=1b3762d3742b803bb5b2ea594b587a90" TargetMode="External"/><Relationship Id="rId1263" Type="http://schemas.openxmlformats.org/officeDocument/2006/relationships/hyperlink" Target="https://ieeexplore.ieee.org/stamp/stamp.jsp?arnumber=10001214" TargetMode="External"/><Relationship Id="rId2594" Type="http://schemas.openxmlformats.org/officeDocument/2006/relationships/hyperlink" Target="https://doi.org/10.1145/3084100.3084107" TargetMode="External"/><Relationship Id="rId433" Type="http://schemas.openxmlformats.org/officeDocument/2006/relationships/hyperlink" Target="https://www.scopus.com/inward/record.uri?eid=2-s2.0-85169067973&amp;doi=10.1016%2fj.im.2023.103856&amp;partnerID=40&amp;md5=10631b38fe316ec9e2458ec586b8b393" TargetMode="External"/><Relationship Id="rId1264" Type="http://schemas.openxmlformats.org/officeDocument/2006/relationships/hyperlink" Target="https://ieeexplore.ieee.org/stamp/stamp.jsp?arnumber=10001403" TargetMode="External"/><Relationship Id="rId2595" Type="http://schemas.openxmlformats.org/officeDocument/2006/relationships/hyperlink" Target="https://doi.org/10.1145/3093742.3093928" TargetMode="External"/><Relationship Id="rId432" Type="http://schemas.openxmlformats.org/officeDocument/2006/relationships/hyperlink" Target="https://www.scopus.com/inward/record.uri?eid=2-s2.0-85170204242&amp;doi=10.1016%2fj.ijhydene.2023.08.208&amp;partnerID=40&amp;md5=7df2cbeb8ccee4516dc9d6b48b3a3a3e" TargetMode="External"/><Relationship Id="rId1265" Type="http://schemas.openxmlformats.org/officeDocument/2006/relationships/hyperlink" Target="https://ieeexplore.ieee.org/stamp/stamp.jsp?arnumber=10001516" TargetMode="External"/><Relationship Id="rId2596" Type="http://schemas.openxmlformats.org/officeDocument/2006/relationships/hyperlink" Target="https://doi.org/10.1145/3093899" TargetMode="External"/><Relationship Id="rId431" Type="http://schemas.openxmlformats.org/officeDocument/2006/relationships/hyperlink" Target="https://www.scopus.com/inward/record.uri?eid=2-s2.0-85083817486&amp;doi=10.1016%2fj.ijepes.2020.106124&amp;partnerID=40&amp;md5=e737e1b26af5b227036c816064c99786" TargetMode="External"/><Relationship Id="rId1266" Type="http://schemas.openxmlformats.org/officeDocument/2006/relationships/hyperlink" Target="https://ieeexplore.ieee.org/stamp/stamp.jsp?arnumber=10001543" TargetMode="External"/><Relationship Id="rId2597" Type="http://schemas.openxmlformats.org/officeDocument/2006/relationships/hyperlink" Target="https://doi.org/10.1145/3125719.3125727" TargetMode="External"/><Relationship Id="rId430" Type="http://schemas.openxmlformats.org/officeDocument/2006/relationships/hyperlink" Target="https://www.scopus.com/inward/record.uri?eid=2-s2.0-85137163087&amp;doi=10.1016%2fj.ifacol.2022.07.080&amp;partnerID=40&amp;md5=ea96f9f40e884058e6ba22231c3ae498" TargetMode="External"/><Relationship Id="rId1267" Type="http://schemas.openxmlformats.org/officeDocument/2006/relationships/hyperlink" Target="https://ieeexplore.ieee.org/stamp/stamp.jsp?arnumber=10900943" TargetMode="External"/><Relationship Id="rId2598" Type="http://schemas.openxmlformats.org/officeDocument/2006/relationships/hyperlink" Target="https://doi.org/10.1145/3127479.3132252" TargetMode="External"/><Relationship Id="rId3070" Type="http://schemas.openxmlformats.org/officeDocument/2006/relationships/hyperlink" Target="https://www.scopus.com/inward/record.uri?eid=2-s2.0-85143665386&amp;doi=10.3390%2felectronics11233982&amp;partnerID=40&amp;md5=06bac07f1135f3eb1a2ae41ad1f1f1c1" TargetMode="External"/><Relationship Id="rId3072" Type="http://schemas.openxmlformats.org/officeDocument/2006/relationships/hyperlink" Target="https://www.scopus.com/inward/record.uri?eid=2-s2.0-85167838924&amp;doi=10.3390%2felectronics12153283&amp;partnerID=40&amp;md5=95f5abed609a4b6d34f0499c562bc524" TargetMode="External"/><Relationship Id="rId3071" Type="http://schemas.openxmlformats.org/officeDocument/2006/relationships/hyperlink" Target="https://www.scopus.com/inward/record.uri?eid=2-s2.0-85145942871&amp;doi=10.3390%2felectronics12010075&amp;partnerID=40&amp;md5=f86afe56f009be2f65aea5db89f916b7" TargetMode="External"/><Relationship Id="rId3074" Type="http://schemas.openxmlformats.org/officeDocument/2006/relationships/hyperlink" Target="https://www.scopus.com/inward/record.uri?eid=2-s2.0-85180714059&amp;doi=10.3390%2felectronics12244935&amp;partnerID=40&amp;md5=5dcc78aba412d5edc9d597b0a443982e" TargetMode="External"/><Relationship Id="rId3073" Type="http://schemas.openxmlformats.org/officeDocument/2006/relationships/hyperlink" Target="https://www.scopus.com/inward/record.uri?eid=2-s2.0-85176573797&amp;doi=10.3390%2felectronics12214453&amp;partnerID=40&amp;md5=8f6f1385e80dbea136bc34285aae0065" TargetMode="External"/><Relationship Id="rId3076" Type="http://schemas.openxmlformats.org/officeDocument/2006/relationships/hyperlink" Target="https://www.scopus.com/inward/record.uri?eid=2-s2.0-85210290250&amp;doi=10.3390%2felectronics13224462&amp;partnerID=40&amp;md5=ee96b0f319e7889c389f805f6f3b6156" TargetMode="External"/><Relationship Id="rId3075" Type="http://schemas.openxmlformats.org/officeDocument/2006/relationships/hyperlink" Target="https://www.scopus.com/inward/record.uri?eid=2-s2.0-85198497070&amp;doi=10.3390%2felectronics13132651&amp;partnerID=40&amp;md5=68c1962eed9b2fb555edba080697018c" TargetMode="External"/><Relationship Id="rId3078" Type="http://schemas.openxmlformats.org/officeDocument/2006/relationships/hyperlink" Target="https://www.scopus.com/inward/record.uri?eid=2-s2.0-85092565102&amp;doi=10.3390%2felectronics9101660&amp;partnerID=40&amp;md5=678c0cab1ded313630534fba1e905958" TargetMode="External"/><Relationship Id="rId3077" Type="http://schemas.openxmlformats.org/officeDocument/2006/relationships/hyperlink" Target="https://www.scopus.com/inward/record.uri?eid=2-s2.0-85067014657&amp;doi=10.3390%2felectronics8050491&amp;partnerID=40&amp;md5=78aae385130870bf84b366b897250dcb" TargetMode="External"/><Relationship Id="rId3079" Type="http://schemas.openxmlformats.org/officeDocument/2006/relationships/hyperlink" Target="https://www.scopus.com/inward/record.uri?eid=2-s2.0-85137751560&amp;doi=10.3390%2fen15176140&amp;partnerID=40&amp;md5=4cb2af0e5c5f4719ee8450ad16a05bf3" TargetMode="External"/><Relationship Id="rId3061" Type="http://schemas.openxmlformats.org/officeDocument/2006/relationships/hyperlink" Target="https://www.scopus.com/inward/record.uri?eid=2-s2.0-85136374725&amp;doi=10.3390%2fapp12146981&amp;partnerID=40&amp;md5=ed9a013a9e5d003277b85781169a4bd2" TargetMode="External"/><Relationship Id="rId3060" Type="http://schemas.openxmlformats.org/officeDocument/2006/relationships/hyperlink" Target="https://www.scopus.com/inward/record.uri?eid=2-s2.0-85114237678&amp;doi=10.3390%2fapp11178117&amp;partnerID=40&amp;md5=0ee43035cfaebafde157dff2c06d0ef7" TargetMode="External"/><Relationship Id="rId3063" Type="http://schemas.openxmlformats.org/officeDocument/2006/relationships/hyperlink" Target="https://www.scopus.com/inward/record.uri?eid=2-s2.0-85192350446&amp;doi=10.3390%2fapp132312635&amp;partnerID=40&amp;md5=5cc3943dc33bc901fd5278b6fa21505a" TargetMode="External"/><Relationship Id="rId3062" Type="http://schemas.openxmlformats.org/officeDocument/2006/relationships/hyperlink" Target="https://www.scopus.com/inward/record.uri?eid=2-s2.0-85149982058&amp;doi=10.3390%2fapp13052972&amp;partnerID=40&amp;md5=261421e696c612547e37685065a5ed79" TargetMode="External"/><Relationship Id="rId3065" Type="http://schemas.openxmlformats.org/officeDocument/2006/relationships/hyperlink" Target="https://www.scopus.com/inward/record.uri?eid=2-s2.0-85213252428&amp;doi=10.3390%2fapp142411834&amp;partnerID=40&amp;md5=66136762b5aa2392aff9223a3cfd6ad0" TargetMode="External"/><Relationship Id="rId3064" Type="http://schemas.openxmlformats.org/officeDocument/2006/relationships/hyperlink" Target="https://www.scopus.com/inward/record.uri?eid=2-s2.0-85192494331&amp;doi=10.3390%2fapp14020887&amp;partnerID=40&amp;md5=e494759f8919161f5a3a0f5fb68cb111" TargetMode="External"/><Relationship Id="rId3067" Type="http://schemas.openxmlformats.org/officeDocument/2006/relationships/hyperlink" Target="https://www.scopus.com/inward/record.uri?eid=2-s2.0-85202444239&amp;doi=10.3390%2fbuildings14082577&amp;partnerID=40&amp;md5=dfe9a7846ac48629c2988f267029ab74" TargetMode="External"/><Relationship Id="rId3066" Type="http://schemas.openxmlformats.org/officeDocument/2006/relationships/hyperlink" Target="https://www.scopus.com/inward/record.uri?eid=2-s2.0-85140581073&amp;doi=10.3390%2fbuildings12101533&amp;partnerID=40&amp;md5=3bb53f16c85d94df85c62cf254e82ea6" TargetMode="External"/><Relationship Id="rId3069" Type="http://schemas.openxmlformats.org/officeDocument/2006/relationships/hyperlink" Target="https://www.scopus.com/inward/record.uri?eid=2-s2.0-85156217952&amp;doi=10.3390%2fe25040632&amp;partnerID=40&amp;md5=8f0169bff947bd780dd1225216eb97c4" TargetMode="External"/><Relationship Id="rId3068" Type="http://schemas.openxmlformats.org/officeDocument/2006/relationships/hyperlink" Target="https://www.scopus.com/inward/record.uri?eid=2-s2.0-85213083122&amp;doi=10.3390%2fbuildings14123851&amp;partnerID=40&amp;md5=fca7483e4eed9b7c06866c52dd86603a" TargetMode="External"/><Relationship Id="rId3090" Type="http://schemas.openxmlformats.org/officeDocument/2006/relationships/hyperlink" Target="https://www.scopus.com/inward/record.uri?eid=2-s2.0-85128705711&amp;doi=10.3390%2fmath10081258&amp;partnerID=40&amp;md5=2023179f64d1d5926e16fe4012fa3878" TargetMode="External"/><Relationship Id="rId3092" Type="http://schemas.openxmlformats.org/officeDocument/2006/relationships/hyperlink" Target="https://www.scopus.com/inward/record.uri?eid=2-s2.0-85128339400&amp;doi=10.3390%2fpr10040671&amp;partnerID=40&amp;md5=285db6a13e1418a444e11bd21cb3d5c9" TargetMode="External"/><Relationship Id="rId3091" Type="http://schemas.openxmlformats.org/officeDocument/2006/relationships/hyperlink" Target="https://www.scopus.com/inward/record.uri?eid=2-s2.0-85192704905&amp;doi=10.3390%2fmath12091301&amp;partnerID=40&amp;md5=81561aec02920dcbffba49acc0cf4b9a" TargetMode="External"/><Relationship Id="rId3094" Type="http://schemas.openxmlformats.org/officeDocument/2006/relationships/hyperlink" Target="https://www.scopus.com/inward/record.uri?eid=2-s2.0-85062617254&amp;doi=10.3390%2fs19051134&amp;partnerID=40&amp;md5=b654390f502d12befd6ec862ddac70e3" TargetMode="External"/><Relationship Id="rId3093" Type="http://schemas.openxmlformats.org/officeDocument/2006/relationships/hyperlink" Target="https://www.scopus.com/inward/record.uri?eid=2-s2.0-85199653538&amp;doi=10.3390%2fpr12071328&amp;partnerID=40&amp;md5=daec28941af9287320a051f9add59084" TargetMode="External"/><Relationship Id="rId3096" Type="http://schemas.openxmlformats.org/officeDocument/2006/relationships/hyperlink" Target="https://www.scopus.com/inward/record.uri?eid=2-s2.0-85083399779&amp;doi=10.3390%2fs20082174&amp;partnerID=40&amp;md5=ffef6ea32fd8587bbe9a98af1f0b95c1" TargetMode="External"/><Relationship Id="rId3095" Type="http://schemas.openxmlformats.org/officeDocument/2006/relationships/hyperlink" Target="https://www.scopus.com/inward/record.uri?eid=2-s2.0-85073507335&amp;doi=10.3390%2fs19204375&amp;partnerID=40&amp;md5=8361ad19b994d261403bd79e6d2895d4" TargetMode="External"/><Relationship Id="rId3098" Type="http://schemas.openxmlformats.org/officeDocument/2006/relationships/hyperlink" Target="https://www.scopus.com/inward/record.uri?eid=2-s2.0-85108957029&amp;doi=10.3390%2fs21134527&amp;partnerID=40&amp;md5=9a85fec99f969408575177a08bc2ab11" TargetMode="External"/><Relationship Id="rId3097" Type="http://schemas.openxmlformats.org/officeDocument/2006/relationships/hyperlink" Target="https://www.scopus.com/inward/record.uri?eid=2-s2.0-85086986997&amp;doi=10.3390%2fs20133619&amp;partnerID=40&amp;md5=2740b7dc16f7988b936169a1597f5a6e" TargetMode="External"/><Relationship Id="rId3099" Type="http://schemas.openxmlformats.org/officeDocument/2006/relationships/hyperlink" Target="https://www.scopus.com/inward/record.uri?eid=2-s2.0-85117010805&amp;doi=10.3390%2fs21216972&amp;partnerID=40&amp;md5=239073fca872d1a76621f4b8099d9d50" TargetMode="External"/><Relationship Id="rId3081" Type="http://schemas.openxmlformats.org/officeDocument/2006/relationships/hyperlink" Target="https://www.scopus.com/inward/record.uri?eid=2-s2.0-85065895150&amp;doi=10.3390%2ffi11040101&amp;partnerID=40&amp;md5=0cf2d9e956d8cec699e6f807d42cc84d" TargetMode="External"/><Relationship Id="rId3080" Type="http://schemas.openxmlformats.org/officeDocument/2006/relationships/hyperlink" Target="https://www.scopus.com/inward/record.uri?eid=2-s2.0-85164990179&amp;doi=10.3390%2fen16134878&amp;partnerID=40&amp;md5=fd9f6219e0a0b6340cf915340cfb7042" TargetMode="External"/><Relationship Id="rId3083" Type="http://schemas.openxmlformats.org/officeDocument/2006/relationships/hyperlink" Target="https://www.scopus.com/inward/record.uri?eid=2-s2.0-85169064868&amp;doi=10.3390%2ffi15080276&amp;partnerID=40&amp;md5=80da5361ab789003b4f831a2b5ae9671" TargetMode="External"/><Relationship Id="rId3082" Type="http://schemas.openxmlformats.org/officeDocument/2006/relationships/hyperlink" Target="https://www.scopus.com/inward/record.uri?eid=2-s2.0-85093841411&amp;doi=10.3390%2ffi12100162&amp;partnerID=40&amp;md5=d21aa825035e9f6c1442561e959ab3c7" TargetMode="External"/><Relationship Id="rId3085" Type="http://schemas.openxmlformats.org/officeDocument/2006/relationships/hyperlink" Target="https://www.scopus.com/inward/record.uri?eid=2-s2.0-85191157087&amp;doi=10.3390%2fgeomatics4010004&amp;partnerID=40&amp;md5=2edcd5184cfc05013eb1aa68d379e6fe" TargetMode="External"/><Relationship Id="rId3084" Type="http://schemas.openxmlformats.org/officeDocument/2006/relationships/hyperlink" Target="https://www.scopus.com/inward/record.uri?eid=2-s2.0-85199607803&amp;doi=10.3390%2ffi16070248&amp;partnerID=40&amp;md5=c28c3047f36bef99ae6c1298345f638b" TargetMode="External"/><Relationship Id="rId3087" Type="http://schemas.openxmlformats.org/officeDocument/2006/relationships/hyperlink" Target="https://www.scopus.com/inward/record.uri?eid=2-s2.0-85178295202&amp;doi=10.3390%2finfo14110619&amp;partnerID=40&amp;md5=9bcd3671aa8761d075caebbe94fee550" TargetMode="External"/><Relationship Id="rId3086" Type="http://schemas.openxmlformats.org/officeDocument/2006/relationships/hyperlink" Target="https://www.scopus.com/inward/record.uri?eid=2-s2.0-85106594986&amp;doi=10.3390%2fijerph18115800&amp;partnerID=40&amp;md5=649b794fa7c02f2da6564ddac7c06368" TargetMode="External"/><Relationship Id="rId3089" Type="http://schemas.openxmlformats.org/officeDocument/2006/relationships/hyperlink" Target="https://www.scopus.com/inward/record.uri?eid=2-s2.0-85105974672&amp;doi=10.3390%2fiot2010006&amp;partnerID=40&amp;md5=6d8355e3b9e8570a7e765bc07ab0748a" TargetMode="External"/><Relationship Id="rId3088" Type="http://schemas.openxmlformats.org/officeDocument/2006/relationships/hyperlink" Target="https://www.scopus.com/inward/record.uri?eid=2-s2.0-85144694824&amp;doi=10.3390%2finventions7040116&amp;partnerID=40&amp;md5=e556451cd715761ed07900f31ea1eff2" TargetMode="External"/><Relationship Id="rId3039" Type="http://schemas.openxmlformats.org/officeDocument/2006/relationships/hyperlink" Target="https://ieeexplore.ieee.org/stamp/stamp.jsp?arnumber=10612369" TargetMode="External"/><Relationship Id="rId1" Type="http://schemas.openxmlformats.org/officeDocument/2006/relationships/hyperlink" Target="https://www.scopus.com/inward/record.uri?eid=2-s2.0-85134185071&amp;doi=10.1002%2fdac.5296&amp;partnerID=40&amp;md5=5d4d5855a7667b026c48cbf69ff3ab39" TargetMode="External"/><Relationship Id="rId2" Type="http://schemas.openxmlformats.org/officeDocument/2006/relationships/hyperlink" Target="https://www.scopus.com/inward/record.uri?eid=2-s2.0-85159077377&amp;doi=10.1002%2fspe.3217&amp;partnerID=40&amp;md5=e55bd825337409e2597a6046f99a32d2" TargetMode="External"/><Relationship Id="rId3" Type="http://schemas.openxmlformats.org/officeDocument/2006/relationships/hyperlink" Target="https://www.scopus.com/inward/record.uri?eid=2-s2.0-85070725063&amp;doi=10.1007%2f978-3-030-26633-2_5&amp;partnerID=40&amp;md5=e927b4fd36b928c2501d5226b71653e6" TargetMode="External"/><Relationship Id="rId4" Type="http://schemas.openxmlformats.org/officeDocument/2006/relationships/hyperlink" Target="https://doi.org/10.1007/978-3-030-59824-2_2" TargetMode="External"/><Relationship Id="rId3030" Type="http://schemas.openxmlformats.org/officeDocument/2006/relationships/hyperlink" Target="https://ieeexplore.ieee.org/stamp/stamp.jsp?arnumber=9559116" TargetMode="External"/><Relationship Id="rId9" Type="http://schemas.openxmlformats.org/officeDocument/2006/relationships/hyperlink" Target="https://doi.org/10.1007/978-3-031-20984-0_38" TargetMode="External"/><Relationship Id="rId3032" Type="http://schemas.openxmlformats.org/officeDocument/2006/relationships/hyperlink" Target="https://ieeexplore.ieee.org/stamp/stamp.jsp?arnumber=9911429" TargetMode="External"/><Relationship Id="rId3031" Type="http://schemas.openxmlformats.org/officeDocument/2006/relationships/hyperlink" Target="https://ieeexplore.ieee.org/stamp/stamp.jsp?arnumber=9911396" TargetMode="External"/><Relationship Id="rId3034" Type="http://schemas.openxmlformats.org/officeDocument/2006/relationships/hyperlink" Target="https://ieeexplore.ieee.org/stamp/stamp.jsp?arnumber=8783002" TargetMode="External"/><Relationship Id="rId3033" Type="http://schemas.openxmlformats.org/officeDocument/2006/relationships/hyperlink" Target="https://ieeexplore.ieee.org/stamp/stamp.jsp?arnumber=10271587" TargetMode="External"/><Relationship Id="rId5" Type="http://schemas.openxmlformats.org/officeDocument/2006/relationships/hyperlink" Target="https://www.scopus.com/inward/record.uri?eid=2-s2.0-85103490774&amp;doi=10.1007%2f978-3-030-71906-7_6&amp;partnerID=40&amp;md5=94342a4db133029d4285350e04a992ee" TargetMode="External"/><Relationship Id="rId3036" Type="http://schemas.openxmlformats.org/officeDocument/2006/relationships/hyperlink" Target="https://ieeexplore.ieee.org/stamp/stamp.jsp?arnumber=9243831" TargetMode="External"/><Relationship Id="rId6" Type="http://schemas.openxmlformats.org/officeDocument/2006/relationships/hyperlink" Target="https://www.scopus.com/inward/record.uri?eid=2-s2.0-85113610426&amp;doi=10.1007%2f978-3-030-84811-8_10&amp;partnerID=40&amp;md5=9119e90b80972b279448c00e5943c41b" TargetMode="External"/><Relationship Id="rId3035" Type="http://schemas.openxmlformats.org/officeDocument/2006/relationships/hyperlink" Target="https://ieeexplore.ieee.org/stamp/stamp.jsp?arnumber=9243819" TargetMode="External"/><Relationship Id="rId7" Type="http://schemas.openxmlformats.org/officeDocument/2006/relationships/hyperlink" Target="https://doi.org/10.1007/978-3-031-07472-1_6" TargetMode="External"/><Relationship Id="rId3038" Type="http://schemas.openxmlformats.org/officeDocument/2006/relationships/hyperlink" Target="https://ieeexplore.ieee.org/stamp/stamp.jsp?arnumber=10193656" TargetMode="External"/><Relationship Id="rId8" Type="http://schemas.openxmlformats.org/officeDocument/2006/relationships/hyperlink" Target="https://doi.org/10.1007/978-3-031-18192-4_1" TargetMode="External"/><Relationship Id="rId3037" Type="http://schemas.openxmlformats.org/officeDocument/2006/relationships/hyperlink" Target="https://ieeexplore.ieee.org/stamp/stamp.jsp?arnumber=9566325" TargetMode="External"/><Relationship Id="rId3029" Type="http://schemas.openxmlformats.org/officeDocument/2006/relationships/hyperlink" Target="https://ieeexplore.ieee.org/stamp/stamp.jsp?arnumber=9238261" TargetMode="External"/><Relationship Id="rId3028" Type="http://schemas.openxmlformats.org/officeDocument/2006/relationships/hyperlink" Target="https://ieeexplore.ieee.org/stamp/stamp.jsp?arnumber=8555773" TargetMode="External"/><Relationship Id="rId3021" Type="http://schemas.openxmlformats.org/officeDocument/2006/relationships/hyperlink" Target="https://ieeexplore.ieee.org/stamp/stamp.jsp?arnumber=7973624" TargetMode="External"/><Relationship Id="rId3020" Type="http://schemas.openxmlformats.org/officeDocument/2006/relationships/hyperlink" Target="https://ieeexplore.ieee.org/stamp/stamp.jsp?arnumber=7973565" TargetMode="External"/><Relationship Id="rId3023" Type="http://schemas.openxmlformats.org/officeDocument/2006/relationships/hyperlink" Target="https://ieeexplore.ieee.org/stamp/stamp.jsp?arnumber=9245240" TargetMode="External"/><Relationship Id="rId3022" Type="http://schemas.openxmlformats.org/officeDocument/2006/relationships/hyperlink" Target="https://ieeexplore.ieee.org/stamp/stamp.jsp?arnumber=9245212" TargetMode="External"/><Relationship Id="rId3025" Type="http://schemas.openxmlformats.org/officeDocument/2006/relationships/hyperlink" Target="https://ieeexplore.ieee.org/stamp/stamp.jsp?arnumber=10159828" TargetMode="External"/><Relationship Id="rId3024" Type="http://schemas.openxmlformats.org/officeDocument/2006/relationships/hyperlink" Target="https://ieeexplore.ieee.org/stamp/stamp.jsp?arnumber=9245267" TargetMode="External"/><Relationship Id="rId3027" Type="http://schemas.openxmlformats.org/officeDocument/2006/relationships/hyperlink" Target="https://ieeexplore.ieee.org/stamp/stamp.jsp?arnumber=9264007" TargetMode="External"/><Relationship Id="rId3026" Type="http://schemas.openxmlformats.org/officeDocument/2006/relationships/hyperlink" Target="https://ieeexplore.ieee.org/stamp/stamp.jsp?arnumber=10653061" TargetMode="External"/><Relationship Id="rId3050" Type="http://schemas.openxmlformats.org/officeDocument/2006/relationships/hyperlink" Target="https://www.scopus.com/inward/record.uri?eid=2-s2.0-85132578870&amp;doi=10.33168%2fJSMS.2022.0205&amp;partnerID=40&amp;md5=dfaacf48b066fc318603ee019f616ca1" TargetMode="External"/><Relationship Id="rId3052" Type="http://schemas.openxmlformats.org/officeDocument/2006/relationships/hyperlink" Target="https://www.scopus.com/inward/record.uri?eid=2-s2.0-85139487924&amp;doi=10.3389%2ffenrg.2022.967856&amp;partnerID=40&amp;md5=48cc87ee6d59798df2db532edd45b236" TargetMode="External"/><Relationship Id="rId3051" Type="http://schemas.openxmlformats.org/officeDocument/2006/relationships/hyperlink" Target="https://www.scopus.com/inward/record.uri?eid=2-s2.0-85127767694&amp;doi=10.3389%2ffceng.2021.665545&amp;partnerID=40&amp;md5=064afda1f89761d68447df5806f660d6" TargetMode="External"/><Relationship Id="rId3054" Type="http://schemas.openxmlformats.org/officeDocument/2006/relationships/hyperlink" Target="https://www.scopus.com/inward/record.uri?eid=2-s2.0-85205818526&amp;doi=10.3389%2ffenrg.2024.1435704&amp;partnerID=40&amp;md5=6ed986b66169edacee1feb176505919e" TargetMode="External"/><Relationship Id="rId3053" Type="http://schemas.openxmlformats.org/officeDocument/2006/relationships/hyperlink" Target="https://www.scopus.com/inward/record.uri?eid=2-s2.0-85184146731&amp;doi=10.3389%2ffenrg.2024.1292904&amp;partnerID=40&amp;md5=efa717228e736de05443dc727cd5b403" TargetMode="External"/><Relationship Id="rId3056" Type="http://schemas.openxmlformats.org/officeDocument/2006/relationships/hyperlink" Target="https://www.scopus.com/inward/record.uri?eid=2-s2.0-85137333049&amp;doi=10.3390%2faerospace9080451&amp;partnerID=40&amp;md5=b09fcf043dd377d9b1e389f88ecbffdb" TargetMode="External"/><Relationship Id="rId3055" Type="http://schemas.openxmlformats.org/officeDocument/2006/relationships/hyperlink" Target="https://www.scopus.com/inward/record.uri?eid=2-s2.0-85134666693&amp;doi=10.3389%2ffpsyg.2022.936290&amp;partnerID=40&amp;md5=3647f8e7c3e8de909080fffcd2bf0e68" TargetMode="External"/><Relationship Id="rId3058" Type="http://schemas.openxmlformats.org/officeDocument/2006/relationships/hyperlink" Target="https://www.scopus.com/inward/record.uri?eid=2-s2.0-85106660998&amp;doi=10.3390%2fapp11104350&amp;partnerID=40&amp;md5=5fb71f9aed43e333ebe2945833fcec73" TargetMode="External"/><Relationship Id="rId3057" Type="http://schemas.openxmlformats.org/officeDocument/2006/relationships/hyperlink" Target="https://www.scopus.com/inward/record.uri?eid=2-s2.0-85082715795&amp;doi=10.3390%2fapp10062181&amp;partnerID=40&amp;md5=9d3cc22b2bddd4c68b987fe24b7f8dfb" TargetMode="External"/><Relationship Id="rId3059" Type="http://schemas.openxmlformats.org/officeDocument/2006/relationships/hyperlink" Target="https://www.scopus.com/inward/record.uri?eid=2-s2.0-85111601172&amp;doi=10.3390%2fapp11156722&amp;partnerID=40&amp;md5=8bc67397901009da702546b032f2e752" TargetMode="External"/><Relationship Id="rId3041" Type="http://schemas.openxmlformats.org/officeDocument/2006/relationships/hyperlink" Target="https://ieeexplore.ieee.org/stamp/stamp.jsp?arnumber=10062045" TargetMode="External"/><Relationship Id="rId3040" Type="http://schemas.openxmlformats.org/officeDocument/2006/relationships/hyperlink" Target="https://ieeexplore.ieee.org/stamp/stamp.jsp?arnumber=7959935" TargetMode="External"/><Relationship Id="rId3043" Type="http://schemas.openxmlformats.org/officeDocument/2006/relationships/hyperlink" Target="https://www.scopus.com/inward/record.uri?eid=2-s2.0-85206443695&amp;doi=10.2478%2famns-2024-2738&amp;partnerID=40&amp;md5=4d373ef7b78bbe06359c102a7f14412a" TargetMode="External"/><Relationship Id="rId3042" Type="http://schemas.openxmlformats.org/officeDocument/2006/relationships/hyperlink" Target="https://ieeexplore.ieee.org/stamp/stamp.jsp?arnumber=10410603" TargetMode="External"/><Relationship Id="rId3045" Type="http://schemas.openxmlformats.org/officeDocument/2006/relationships/hyperlink" Target="https://ieeexplore.ieee.org/stamp/stamp.jsp?arnumber=10506767" TargetMode="External"/><Relationship Id="rId3044" Type="http://schemas.openxmlformats.org/officeDocument/2006/relationships/hyperlink" Target="https://www.scopus.com/inward/record.uri?eid=2-s2.0-85174311223&amp;doi=10.24846%2fv32i3y202303&amp;partnerID=40&amp;md5=f084a5c824169fe8bce181f35693b369" TargetMode="External"/><Relationship Id="rId3047" Type="http://schemas.openxmlformats.org/officeDocument/2006/relationships/hyperlink" Target="https://www.scopus.com/inward/record.uri?eid=2-s2.0-85173816616&amp;doi=10.3233%2fJIFS-231513&amp;partnerID=40&amp;md5=9a01eb269654502e402aa735eb9bda1e" TargetMode="External"/><Relationship Id="rId3046" Type="http://schemas.openxmlformats.org/officeDocument/2006/relationships/hyperlink" Target="https://ieeexplore.ieee.org/stamp/stamp.jsp?arnumber=10339809" TargetMode="External"/><Relationship Id="rId3049" Type="http://schemas.openxmlformats.org/officeDocument/2006/relationships/hyperlink" Target="https://www.scopus.com/inward/record.uri?eid=2-s2.0-85214290518&amp;doi=10.32604%2fcmc.2024.057755&amp;partnerID=40&amp;md5=62c47ffcd6b57a7fbca48404d9044717" TargetMode="External"/><Relationship Id="rId3048" Type="http://schemas.openxmlformats.org/officeDocument/2006/relationships/hyperlink" Target="https://www.scopus.com/inward/record.uri?eid=2-s2.0-85189494617&amp;doi=10.32604%2fcmc.2024.046253&amp;partnerID=40&amp;md5=4532de51594bad09953e5c756152ee13" TargetMode="External"/><Relationship Id="rId2600" Type="http://schemas.openxmlformats.org/officeDocument/2006/relationships/hyperlink" Target="https://doi.org/10.1145/3132211.3134459" TargetMode="External"/><Relationship Id="rId2601" Type="http://schemas.openxmlformats.org/officeDocument/2006/relationships/hyperlink" Target="https://doi.org/10.1145/3136273.3136283" TargetMode="External"/><Relationship Id="rId2602" Type="http://schemas.openxmlformats.org/officeDocument/2006/relationships/hyperlink" Target="https://doi.org/10.1145/3137133.3137151" TargetMode="External"/><Relationship Id="rId2603" Type="http://schemas.openxmlformats.org/officeDocument/2006/relationships/hyperlink" Target="https://doi.org/10.1145/3147213.3147230" TargetMode="External"/><Relationship Id="rId2604" Type="http://schemas.openxmlformats.org/officeDocument/2006/relationships/hyperlink" Target="https://doi.org/10.1145/3147234.3148092" TargetMode="External"/><Relationship Id="rId2605" Type="http://schemas.openxmlformats.org/officeDocument/2006/relationships/hyperlink" Target="https://doi.org/10.1145/3154273.3154347" TargetMode="External"/><Relationship Id="rId2606" Type="http://schemas.openxmlformats.org/officeDocument/2006/relationships/hyperlink" Target="https://www.scopus.com/inward/record.uri?eid=2-s2.0-85050572319&amp;doi=10.1145%2f3167132.3167248&amp;partnerID=40&amp;md5=8f20be62ebdce45a3f3e545e84c8aeaa" TargetMode="External"/><Relationship Id="rId808" Type="http://schemas.openxmlformats.org/officeDocument/2006/relationships/hyperlink" Target="https://ieeexplore.ieee.org/stamp/stamp.jsp?arnumber=10786996" TargetMode="External"/><Relationship Id="rId2607" Type="http://schemas.openxmlformats.org/officeDocument/2006/relationships/hyperlink" Target="https://doi.org/10.1145/3184407.3184414" TargetMode="External"/><Relationship Id="rId807" Type="http://schemas.openxmlformats.org/officeDocument/2006/relationships/hyperlink" Target="https://ieeexplore.ieee.org/stamp/stamp.jsp?arnumber=10776956" TargetMode="External"/><Relationship Id="rId2608" Type="http://schemas.openxmlformats.org/officeDocument/2006/relationships/hyperlink" Target="https://doi.org/10.1145/3184407.3184431" TargetMode="External"/><Relationship Id="rId806" Type="http://schemas.openxmlformats.org/officeDocument/2006/relationships/hyperlink" Target="https://ieeexplore.ieee.org/stamp/stamp.jsp?arnumber=10769360" TargetMode="External"/><Relationship Id="rId2609" Type="http://schemas.openxmlformats.org/officeDocument/2006/relationships/hyperlink" Target="https://doi.org/10.1145/3197385" TargetMode="External"/><Relationship Id="rId805" Type="http://schemas.openxmlformats.org/officeDocument/2006/relationships/hyperlink" Target="https://ieeexplore.ieee.org/stamp/stamp.jsp?arnumber=10769448" TargetMode="External"/><Relationship Id="rId809" Type="http://schemas.openxmlformats.org/officeDocument/2006/relationships/hyperlink" Target="https://ieeexplore.ieee.org/stamp/stamp.jsp?arnumber=10788695" TargetMode="External"/><Relationship Id="rId800" Type="http://schemas.openxmlformats.org/officeDocument/2006/relationships/hyperlink" Target="https://ieeexplore.ieee.org/stamp/stamp.jsp?arnumber=10753614" TargetMode="External"/><Relationship Id="rId804" Type="http://schemas.openxmlformats.org/officeDocument/2006/relationships/hyperlink" Target="https://ieeexplore.ieee.org/stamp/stamp.jsp?arnumber=10767676" TargetMode="External"/><Relationship Id="rId803" Type="http://schemas.openxmlformats.org/officeDocument/2006/relationships/hyperlink" Target="https://www.scopus.com/inward/record.uri?eid=2-s2.0-85210529343&amp;doi=10.1109%2fACCESS.2024.3505428&amp;partnerID=40&amp;md5=d14fcb0a4724d0b047f30968890a7023" TargetMode="External"/><Relationship Id="rId802" Type="http://schemas.openxmlformats.org/officeDocument/2006/relationships/hyperlink" Target="https://www.scopus.com/inward/record.uri?eid=2-s2.0-85210011091&amp;doi=10.1109%2fACCESS.2024.3503493&amp;partnerID=40&amp;md5=2757ebaf056375c05db86cbed6f6af78" TargetMode="External"/><Relationship Id="rId801" Type="http://schemas.openxmlformats.org/officeDocument/2006/relationships/hyperlink" Target="https://ieeexplore.ieee.org/stamp/stamp.jsp?arnumber=10756694" TargetMode="External"/><Relationship Id="rId1334" Type="http://schemas.openxmlformats.org/officeDocument/2006/relationships/hyperlink" Target="https://ieeexplore.ieee.org/stamp/stamp.jsp?arnumber=10431439" TargetMode="External"/><Relationship Id="rId2665" Type="http://schemas.openxmlformats.org/officeDocument/2006/relationships/hyperlink" Target="https://doi.org/10.1145/3366623.3368134" TargetMode="External"/><Relationship Id="rId1335" Type="http://schemas.openxmlformats.org/officeDocument/2006/relationships/hyperlink" Target="https://ieeexplore.ieee.org/stamp/stamp.jsp?arnumber=10463325" TargetMode="External"/><Relationship Id="rId2666" Type="http://schemas.openxmlformats.org/officeDocument/2006/relationships/hyperlink" Target="https://doi.org/10.1145/3368036" TargetMode="External"/><Relationship Id="rId1336" Type="http://schemas.openxmlformats.org/officeDocument/2006/relationships/hyperlink" Target="https://ieeexplore.ieee.org/stamp/stamp.jsp?arnumber=10463463" TargetMode="External"/><Relationship Id="rId2667" Type="http://schemas.openxmlformats.org/officeDocument/2006/relationships/hyperlink" Target="https://doi.org/10.1145/3368235.3368838" TargetMode="External"/><Relationship Id="rId1337" Type="http://schemas.openxmlformats.org/officeDocument/2006/relationships/hyperlink" Target="https://ieeexplore.ieee.org/stamp/stamp.jsp?arnumber=10882376" TargetMode="External"/><Relationship Id="rId2668" Type="http://schemas.openxmlformats.org/officeDocument/2006/relationships/hyperlink" Target="https://doi.org/10.1145/3368235.3368847" TargetMode="External"/><Relationship Id="rId1338" Type="http://schemas.openxmlformats.org/officeDocument/2006/relationships/hyperlink" Target="https://ieeexplore.ieee.org/stamp/stamp.jsp?arnumber=10199929" TargetMode="External"/><Relationship Id="rId2669" Type="http://schemas.openxmlformats.org/officeDocument/2006/relationships/hyperlink" Target="https://doi.org/10.1145/3368235.3368848" TargetMode="External"/><Relationship Id="rId1339" Type="http://schemas.openxmlformats.org/officeDocument/2006/relationships/hyperlink" Target="https://ieeexplore.ieee.org/stamp/stamp.jsp?arnumber=10200165" TargetMode="External"/><Relationship Id="rId745" Type="http://schemas.openxmlformats.org/officeDocument/2006/relationships/hyperlink" Target="https://ieeexplore.ieee.org/stamp/stamp.jsp?arnumber=10506898" TargetMode="External"/><Relationship Id="rId744" Type="http://schemas.openxmlformats.org/officeDocument/2006/relationships/hyperlink" Target="https://ieeexplore.ieee.org/stamp/stamp.jsp?arnumber=10504827" TargetMode="External"/><Relationship Id="rId743" Type="http://schemas.openxmlformats.org/officeDocument/2006/relationships/hyperlink" Target="https://ieeexplore.ieee.org/stamp/stamp.jsp?arnumber=10497602" TargetMode="External"/><Relationship Id="rId742" Type="http://schemas.openxmlformats.org/officeDocument/2006/relationships/hyperlink" Target="https://ieeexplore.ieee.org/stamp/stamp.jsp?arnumber=10494738" TargetMode="External"/><Relationship Id="rId749" Type="http://schemas.openxmlformats.org/officeDocument/2006/relationships/hyperlink" Target="https://ieeexplore.ieee.org/stamp/stamp.jsp?arnumber=10518053" TargetMode="External"/><Relationship Id="rId748" Type="http://schemas.openxmlformats.org/officeDocument/2006/relationships/hyperlink" Target="https://ieeexplore.ieee.org/stamp/stamp.jsp?arnumber=10517597" TargetMode="External"/><Relationship Id="rId747" Type="http://schemas.openxmlformats.org/officeDocument/2006/relationships/hyperlink" Target="https://www.scopus.com/inward/record.uri?eid=2-s2.0-85192193097&amp;doi=10.1109%2fACCESS.2024.3395927&amp;partnerID=40&amp;md5=2f5e8fd6441a30669a9027573a5581ae" TargetMode="External"/><Relationship Id="rId746" Type="http://schemas.openxmlformats.org/officeDocument/2006/relationships/hyperlink" Target="https://ieeexplore.ieee.org/stamp/stamp.jsp?arnumber=10516287" TargetMode="External"/><Relationship Id="rId2660" Type="http://schemas.openxmlformats.org/officeDocument/2006/relationships/hyperlink" Target="https://doi.org/10.1145/3361525.3361538" TargetMode="External"/><Relationship Id="rId741" Type="http://schemas.openxmlformats.org/officeDocument/2006/relationships/hyperlink" Target="https://ieeexplore.ieee.org/stamp/stamp.jsp?arnumber=10493040" TargetMode="External"/><Relationship Id="rId1330" Type="http://schemas.openxmlformats.org/officeDocument/2006/relationships/hyperlink" Target="https://www.scopus.com/inward/record.uri?eid=2-s2.0-85185389406&amp;doi=10.1109%2fICACRS58579.2023.10404731&amp;partnerID=40&amp;md5=730ce6efa139636aa5906f4bc9a1dfd5" TargetMode="External"/><Relationship Id="rId2661" Type="http://schemas.openxmlformats.org/officeDocument/2006/relationships/hyperlink" Target="https://www.scopus.com/inward/record.uri?eid=2-s2.0-85078008396&amp;doi=10.1145%2f3361525.3361543&amp;partnerID=40&amp;md5=d5119ce10e29ec1dc590628a105417cb" TargetMode="External"/><Relationship Id="rId740" Type="http://schemas.openxmlformats.org/officeDocument/2006/relationships/hyperlink" Target="https://ieeexplore.ieee.org/stamp/stamp.jsp?arnumber=10483048" TargetMode="External"/><Relationship Id="rId1331" Type="http://schemas.openxmlformats.org/officeDocument/2006/relationships/hyperlink" Target="https://www.scopus.com/inward/record.uri?eid=2-s2.0-85134879324&amp;doi=10.1109%2fICAIBD55127.2022.9820003&amp;partnerID=40&amp;md5=54eaad9f7b4d3d2c0c0389ebf5282d4d" TargetMode="External"/><Relationship Id="rId2662" Type="http://schemas.openxmlformats.org/officeDocument/2006/relationships/hyperlink" Target="https://doi.org/10.1145/3362031" TargetMode="External"/><Relationship Id="rId1332" Type="http://schemas.openxmlformats.org/officeDocument/2006/relationships/hyperlink" Target="https://ieeexplore.ieee.org/stamp/stamp.jsp?arnumber=10465965" TargetMode="External"/><Relationship Id="rId2663" Type="http://schemas.openxmlformats.org/officeDocument/2006/relationships/hyperlink" Target="https://doi.org/10.1145/3365871.3365892" TargetMode="External"/><Relationship Id="rId1333" Type="http://schemas.openxmlformats.org/officeDocument/2006/relationships/hyperlink" Target="https://ieeexplore.ieee.org/stamp/stamp.jsp?arnumber=10912271" TargetMode="External"/><Relationship Id="rId2664" Type="http://schemas.openxmlformats.org/officeDocument/2006/relationships/hyperlink" Target="https://doi.org/10.1145/3366030.3366093" TargetMode="External"/><Relationship Id="rId1323" Type="http://schemas.openxmlformats.org/officeDocument/2006/relationships/hyperlink" Target="https://ieeexplore.ieee.org/stamp/stamp.jsp?arnumber=8498136" TargetMode="External"/><Relationship Id="rId2654" Type="http://schemas.openxmlformats.org/officeDocument/2006/relationships/hyperlink" Target="https://doi.org/10.1145/3355399" TargetMode="External"/><Relationship Id="rId1324" Type="http://schemas.openxmlformats.org/officeDocument/2006/relationships/hyperlink" Target="https://ieeexplore.ieee.org/stamp/stamp.jsp?arnumber=8831221" TargetMode="External"/><Relationship Id="rId2655" Type="http://schemas.openxmlformats.org/officeDocument/2006/relationships/hyperlink" Target="https://doi.org/10.1145/3357223.3362737" TargetMode="External"/><Relationship Id="rId1325" Type="http://schemas.openxmlformats.org/officeDocument/2006/relationships/hyperlink" Target="https://ieeexplore.ieee.org/stamp/stamp.jsp?arnumber=8073741" TargetMode="External"/><Relationship Id="rId2656" Type="http://schemas.openxmlformats.org/officeDocument/2006/relationships/hyperlink" Target="https://doi.org/10.1145/3357390.3361027" TargetMode="External"/><Relationship Id="rId1326" Type="http://schemas.openxmlformats.org/officeDocument/2006/relationships/hyperlink" Target="https://ieeexplore.ieee.org/stamp/stamp.jsp?arnumber=10183276" TargetMode="External"/><Relationship Id="rId2657" Type="http://schemas.openxmlformats.org/officeDocument/2006/relationships/hyperlink" Target="https://www.scopus.com/inward/record.uri?eid=2-s2.0-85085919253&amp;doi=10.1145%2f3358960.3379124&amp;partnerID=40&amp;md5=455a9f26d3dbf08578fe068636b995e1" TargetMode="External"/><Relationship Id="rId1327" Type="http://schemas.openxmlformats.org/officeDocument/2006/relationships/hyperlink" Target="https://ieeexplore.ieee.org/stamp/stamp.jsp?arnumber=10617022" TargetMode="External"/><Relationship Id="rId2658" Type="http://schemas.openxmlformats.org/officeDocument/2006/relationships/hyperlink" Target="https://doi.org/10.1145/3360774.3360790" TargetMode="External"/><Relationship Id="rId1328" Type="http://schemas.openxmlformats.org/officeDocument/2006/relationships/hyperlink" Target="https://ieeexplore.ieee.org/stamp/stamp.jsp?arnumber=10029179" TargetMode="External"/><Relationship Id="rId2659" Type="http://schemas.openxmlformats.org/officeDocument/2006/relationships/hyperlink" Target="https://doi.org/10.1145/3361149.3361174" TargetMode="External"/><Relationship Id="rId1329" Type="http://schemas.openxmlformats.org/officeDocument/2006/relationships/hyperlink" Target="https://ieeexplore.ieee.org/stamp/stamp.jsp?arnumber=10404522" TargetMode="External"/><Relationship Id="rId739" Type="http://schemas.openxmlformats.org/officeDocument/2006/relationships/hyperlink" Target="https://ieeexplore.ieee.org/stamp/stamp.jsp?arnumber=10473992" TargetMode="External"/><Relationship Id="rId734" Type="http://schemas.openxmlformats.org/officeDocument/2006/relationships/hyperlink" Target="https://www.scopus.com/inward/record.uri?eid=2-s2.0-85186044172&amp;doi=10.1109%2fACCESS.2024.3365674&amp;partnerID=40&amp;md5=a599a7bb77cad6d429ea800a6f3a716c" TargetMode="External"/><Relationship Id="rId733" Type="http://schemas.openxmlformats.org/officeDocument/2006/relationships/hyperlink" Target="https://ieeexplore.ieee.org/stamp/stamp.jsp?arnumber=10427547" TargetMode="External"/><Relationship Id="rId732" Type="http://schemas.openxmlformats.org/officeDocument/2006/relationships/hyperlink" Target="https://ieeexplore.ieee.org/stamp/stamp.jsp?arnumber=10423006" TargetMode="External"/><Relationship Id="rId731" Type="http://schemas.openxmlformats.org/officeDocument/2006/relationships/hyperlink" Target="https://ieeexplore.ieee.org/stamp/stamp.jsp?arnumber=10387434" TargetMode="External"/><Relationship Id="rId738" Type="http://schemas.openxmlformats.org/officeDocument/2006/relationships/hyperlink" Target="https://ieeexplore.ieee.org/stamp/stamp.jsp?arnumber=10472978" TargetMode="External"/><Relationship Id="rId737" Type="http://schemas.openxmlformats.org/officeDocument/2006/relationships/hyperlink" Target="https://www.scopus.com/inward/record.uri?eid=2-s2.0-85187352594&amp;doi=10.1109%2fACCESS.2024.3373786&amp;partnerID=40&amp;md5=f2b7d9780c85bdae0849d1c2f0b25fb2" TargetMode="External"/><Relationship Id="rId736" Type="http://schemas.openxmlformats.org/officeDocument/2006/relationships/hyperlink" Target="https://ieeexplore.ieee.org/stamp/stamp.jsp?arnumber=10459012" TargetMode="External"/><Relationship Id="rId735" Type="http://schemas.openxmlformats.org/officeDocument/2006/relationships/hyperlink" Target="https://ieeexplore.ieee.org/stamp/stamp.jsp?arnumber=10445250" TargetMode="External"/><Relationship Id="rId730" Type="http://schemas.openxmlformats.org/officeDocument/2006/relationships/hyperlink" Target="https://ieeexplore.ieee.org/stamp/stamp.jsp?arnumber=10385169" TargetMode="External"/><Relationship Id="rId2650" Type="http://schemas.openxmlformats.org/officeDocument/2006/relationships/hyperlink" Target="https://doi.org/10.1145/3342195.3387534" TargetMode="External"/><Relationship Id="rId1320" Type="http://schemas.openxmlformats.org/officeDocument/2006/relationships/hyperlink" Target="https://ieeexplore.ieee.org/stamp/stamp.jsp?arnumber=9931568" TargetMode="External"/><Relationship Id="rId2651" Type="http://schemas.openxmlformats.org/officeDocument/2006/relationships/hyperlink" Target="https://doi.org/10.1145/3344341.3368803" TargetMode="External"/><Relationship Id="rId1321" Type="http://schemas.openxmlformats.org/officeDocument/2006/relationships/hyperlink" Target="https://ieeexplore.ieee.org/stamp/stamp.jsp?arnumber=9931572" TargetMode="External"/><Relationship Id="rId2652" Type="http://schemas.openxmlformats.org/officeDocument/2006/relationships/hyperlink" Target="https://doi.org/10.1145/3350768.3353813" TargetMode="External"/><Relationship Id="rId1322" Type="http://schemas.openxmlformats.org/officeDocument/2006/relationships/hyperlink" Target="https://ieeexplore.ieee.org/stamp/stamp.jsp?arnumber=8498125" TargetMode="External"/><Relationship Id="rId2653" Type="http://schemas.openxmlformats.org/officeDocument/2006/relationships/hyperlink" Target="https://www.scopus.com/inward/record.uri?eid=2-s2.0-85074454583&amp;doi=10.1145%2f3352460.3358296&amp;partnerID=40&amp;md5=a1c5e1ae40346c4b02458962a3f50a50" TargetMode="External"/><Relationship Id="rId1356" Type="http://schemas.openxmlformats.org/officeDocument/2006/relationships/hyperlink" Target="https://ieeexplore.ieee.org/stamp/stamp.jsp?arnumber=10507457" TargetMode="External"/><Relationship Id="rId2687" Type="http://schemas.openxmlformats.org/officeDocument/2006/relationships/hyperlink" Target="https://doi.org/10.1145/3416010.3423227" TargetMode="External"/><Relationship Id="rId1357" Type="http://schemas.openxmlformats.org/officeDocument/2006/relationships/hyperlink" Target="https://ieeexplore.ieee.org/stamp/stamp.jsp?arnumber=10507615" TargetMode="External"/><Relationship Id="rId2688" Type="http://schemas.openxmlformats.org/officeDocument/2006/relationships/hyperlink" Target="https://doi.org/10.1145/3416028.3416046" TargetMode="External"/><Relationship Id="rId1358" Type="http://schemas.openxmlformats.org/officeDocument/2006/relationships/hyperlink" Target="https://www.scopus.com/inward/record.uri?eid=2-s2.0-85206447937&amp;doi=10.1109%2fICCC62479.2024.10681890&amp;partnerID=40&amp;md5=fb70a46f8aecda88a5787aaffeb7c2e8" TargetMode="External"/><Relationship Id="rId2689" Type="http://schemas.openxmlformats.org/officeDocument/2006/relationships/hyperlink" Target="https://doi.org/10.1145/3422604.3425929" TargetMode="External"/><Relationship Id="rId1359" Type="http://schemas.openxmlformats.org/officeDocument/2006/relationships/hyperlink" Target="https://ieeexplore.ieee.org/stamp/stamp.jsp?arnumber=8386586" TargetMode="External"/><Relationship Id="rId767" Type="http://schemas.openxmlformats.org/officeDocument/2006/relationships/hyperlink" Target="https://ieeexplore.ieee.org/stamp/stamp.jsp?arnumber=10591982" TargetMode="External"/><Relationship Id="rId766" Type="http://schemas.openxmlformats.org/officeDocument/2006/relationships/hyperlink" Target="https://ieeexplore.ieee.org/stamp/stamp.jsp?arnumber=10589380" TargetMode="External"/><Relationship Id="rId765" Type="http://schemas.openxmlformats.org/officeDocument/2006/relationships/hyperlink" Target="https://ieeexplore.ieee.org/stamp/stamp.jsp?arnumber=10596039" TargetMode="External"/><Relationship Id="rId764" Type="http://schemas.openxmlformats.org/officeDocument/2006/relationships/hyperlink" Target="https://ieeexplore.ieee.org/stamp/stamp.jsp?arnumber=10579971" TargetMode="External"/><Relationship Id="rId769" Type="http://schemas.openxmlformats.org/officeDocument/2006/relationships/hyperlink" Target="https://ieeexplore.ieee.org/stamp/stamp.jsp?arnumber=10597570" TargetMode="External"/><Relationship Id="rId768" Type="http://schemas.openxmlformats.org/officeDocument/2006/relationships/hyperlink" Target="https://ieeexplore.ieee.org/stamp/stamp.jsp?arnumber=10597424" TargetMode="External"/><Relationship Id="rId2680" Type="http://schemas.openxmlformats.org/officeDocument/2006/relationships/hyperlink" Target="https://doi.org/10.1145/3401895.3402082" TargetMode="External"/><Relationship Id="rId1350" Type="http://schemas.openxmlformats.org/officeDocument/2006/relationships/hyperlink" Target="https://ieeexplore.ieee.org/stamp/stamp.jsp?arnumber=9986827" TargetMode="External"/><Relationship Id="rId2681" Type="http://schemas.openxmlformats.org/officeDocument/2006/relationships/hyperlink" Target="https://doi.org/10.1145/3403955" TargetMode="External"/><Relationship Id="rId1351" Type="http://schemas.openxmlformats.org/officeDocument/2006/relationships/hyperlink" Target="https://ieeexplore.ieee.org/stamp/stamp.jsp?arnumber=10827909" TargetMode="External"/><Relationship Id="rId2682" Type="http://schemas.openxmlformats.org/officeDocument/2006/relationships/hyperlink" Target="https://doi.org/10.1145/3408314" TargetMode="External"/><Relationship Id="rId763" Type="http://schemas.openxmlformats.org/officeDocument/2006/relationships/hyperlink" Target="https://ieeexplore.ieee.org/stamp/stamp.jsp?arnumber=10571912" TargetMode="External"/><Relationship Id="rId1352" Type="http://schemas.openxmlformats.org/officeDocument/2006/relationships/hyperlink" Target="https://ieeexplore.ieee.org/stamp/stamp.jsp?arnumber=10828092" TargetMode="External"/><Relationship Id="rId2683" Type="http://schemas.openxmlformats.org/officeDocument/2006/relationships/hyperlink" Target="https://doi.org/10.1145/3410670.3410857" TargetMode="External"/><Relationship Id="rId762" Type="http://schemas.openxmlformats.org/officeDocument/2006/relationships/hyperlink" Target="https://ieeexplore.ieee.org/stamp/stamp.jsp?arnumber=10571938" TargetMode="External"/><Relationship Id="rId1353" Type="http://schemas.openxmlformats.org/officeDocument/2006/relationships/hyperlink" Target="https://www.scopus.com/inward/record.uri?eid=2-s2.0-85141725342&amp;doi=10.1109%2fICCC202255925.2022.9922716&amp;partnerID=40&amp;md5=0902a95a8d740089e5d1009bc29cb0fc" TargetMode="External"/><Relationship Id="rId2684" Type="http://schemas.openxmlformats.org/officeDocument/2006/relationships/hyperlink" Target="https://doi.org/10.1145/3410992.3410999" TargetMode="External"/><Relationship Id="rId761" Type="http://schemas.openxmlformats.org/officeDocument/2006/relationships/hyperlink" Target="https://ieeexplore.ieee.org/stamp/stamp.jsp?arnumber=10556529" TargetMode="External"/><Relationship Id="rId1354" Type="http://schemas.openxmlformats.org/officeDocument/2006/relationships/hyperlink" Target="https://ieeexplore.ieee.org/stamp/stamp.jsp?arnumber=10065679" TargetMode="External"/><Relationship Id="rId2685" Type="http://schemas.openxmlformats.org/officeDocument/2006/relationships/hyperlink" Target="https://doi.org/10.1145/3412841.3441894" TargetMode="External"/><Relationship Id="rId760" Type="http://schemas.openxmlformats.org/officeDocument/2006/relationships/hyperlink" Target="https://ieeexplore.ieee.org/stamp/stamp.jsp?arnumber=10552840" TargetMode="External"/><Relationship Id="rId1355" Type="http://schemas.openxmlformats.org/officeDocument/2006/relationships/hyperlink" Target="https://ieeexplore.ieee.org/stamp/stamp.jsp?arnumber=10507397" TargetMode="External"/><Relationship Id="rId2686" Type="http://schemas.openxmlformats.org/officeDocument/2006/relationships/hyperlink" Target="https://doi.org/10.1145/3415580" TargetMode="External"/><Relationship Id="rId1345" Type="http://schemas.openxmlformats.org/officeDocument/2006/relationships/hyperlink" Target="https://ieeexplore.ieee.org/stamp/stamp.jsp?arnumber=9149173" TargetMode="External"/><Relationship Id="rId2676" Type="http://schemas.openxmlformats.org/officeDocument/2006/relationships/hyperlink" Target="https://doi.org/10.1145/3395363.3397365" TargetMode="External"/><Relationship Id="rId1346" Type="http://schemas.openxmlformats.org/officeDocument/2006/relationships/hyperlink" Target="https://ieeexplore.ieee.org/stamp/stamp.jsp?arnumber=10622342" TargetMode="External"/><Relationship Id="rId2677" Type="http://schemas.openxmlformats.org/officeDocument/2006/relationships/hyperlink" Target="https://doi.org/10.1145/3396374" TargetMode="External"/><Relationship Id="rId1347" Type="http://schemas.openxmlformats.org/officeDocument/2006/relationships/hyperlink" Target="https://ieeexplore.ieee.org/stamp/stamp.jsp?arnumber=10622351" TargetMode="External"/><Relationship Id="rId2678" Type="http://schemas.openxmlformats.org/officeDocument/2006/relationships/hyperlink" Target="https://doi.org/10.1145/3397022" TargetMode="External"/><Relationship Id="rId1348" Type="http://schemas.openxmlformats.org/officeDocument/2006/relationships/hyperlink" Target="https://ieeexplore.ieee.org/stamp/stamp.jsp?arnumber=10111202" TargetMode="External"/><Relationship Id="rId2679" Type="http://schemas.openxmlformats.org/officeDocument/2006/relationships/hyperlink" Target="https://doi.org/10.1145/3399579.3399863" TargetMode="External"/><Relationship Id="rId1349" Type="http://schemas.openxmlformats.org/officeDocument/2006/relationships/hyperlink" Target="https://ieeexplore.ieee.org/stamp/stamp.jsp?arnumber=8973120" TargetMode="External"/><Relationship Id="rId756" Type="http://schemas.openxmlformats.org/officeDocument/2006/relationships/hyperlink" Target="https://ieeexplore.ieee.org/stamp/stamp.jsp?arnumber=10540390" TargetMode="External"/><Relationship Id="rId755" Type="http://schemas.openxmlformats.org/officeDocument/2006/relationships/hyperlink" Target="https://www.scopus.com/inward/record.uri?eid=2-s2.0-85194864285&amp;doi=10.1109%2fACCESS.2024.3406795&amp;partnerID=40&amp;md5=e3e58f805cb2f7601dfabfe09aab2a05" TargetMode="External"/><Relationship Id="rId754" Type="http://schemas.openxmlformats.org/officeDocument/2006/relationships/hyperlink" Target="https://ieeexplore.ieee.org/stamp/stamp.jsp?arnumber=10540125" TargetMode="External"/><Relationship Id="rId753" Type="http://schemas.openxmlformats.org/officeDocument/2006/relationships/hyperlink" Target="https://ieeexplore.ieee.org/stamp/stamp.jsp?arnumber=10537615" TargetMode="External"/><Relationship Id="rId759" Type="http://schemas.openxmlformats.org/officeDocument/2006/relationships/hyperlink" Target="https://ieeexplore.ieee.org/stamp/stamp.jsp?arnumber=10547264" TargetMode="External"/><Relationship Id="rId758" Type="http://schemas.openxmlformats.org/officeDocument/2006/relationships/hyperlink" Target="https://ieeexplore.ieee.org/stamp/stamp.jsp?arnumber=10542731" TargetMode="External"/><Relationship Id="rId757" Type="http://schemas.openxmlformats.org/officeDocument/2006/relationships/hyperlink" Target="https://ieeexplore.ieee.org/stamp/stamp.jsp?arnumber=10542115" TargetMode="External"/><Relationship Id="rId2670" Type="http://schemas.openxmlformats.org/officeDocument/2006/relationships/hyperlink" Target="https://doi.org/10.1145/3369740.3369793" TargetMode="External"/><Relationship Id="rId1340" Type="http://schemas.openxmlformats.org/officeDocument/2006/relationships/hyperlink" Target="https://ieeexplore.ieee.org/stamp/stamp.jsp?arnumber=9310089" TargetMode="External"/><Relationship Id="rId2671" Type="http://schemas.openxmlformats.org/officeDocument/2006/relationships/hyperlink" Target="https://doi.org/10.1145/3373087.3375305" TargetMode="External"/><Relationship Id="rId752" Type="http://schemas.openxmlformats.org/officeDocument/2006/relationships/hyperlink" Target="https://ieeexplore.ieee.org/stamp/stamp.jsp?arnumber=10529277" TargetMode="External"/><Relationship Id="rId1341" Type="http://schemas.openxmlformats.org/officeDocument/2006/relationships/hyperlink" Target="https://ieeexplore.ieee.org/stamp/stamp.jsp?arnumber=10875784" TargetMode="External"/><Relationship Id="rId2672" Type="http://schemas.openxmlformats.org/officeDocument/2006/relationships/hyperlink" Target="https://doi.org/10.1145/3375714" TargetMode="External"/><Relationship Id="rId751" Type="http://schemas.openxmlformats.org/officeDocument/2006/relationships/hyperlink" Target="https://ieeexplore.ieee.org/stamp/stamp.jsp?arnumber=10522660" TargetMode="External"/><Relationship Id="rId1342" Type="http://schemas.openxmlformats.org/officeDocument/2006/relationships/hyperlink" Target="https://ieeexplore.ieee.org/stamp/stamp.jsp?arnumber=10875864" TargetMode="External"/><Relationship Id="rId2673" Type="http://schemas.openxmlformats.org/officeDocument/2006/relationships/hyperlink" Target="https://www.scopus.com/inward/record.uri?eid=2-s2.0-85082874168&amp;doi=10.1145%2f3381052.3381321&amp;partnerID=40&amp;md5=2d6ed793aeb30ecf874b4cdbd4b15a50" TargetMode="External"/><Relationship Id="rId750" Type="http://schemas.openxmlformats.org/officeDocument/2006/relationships/hyperlink" Target="https://ieeexplore.ieee.org/stamp/stamp.jsp?arnumber=10521473" TargetMode="External"/><Relationship Id="rId1343" Type="http://schemas.openxmlformats.org/officeDocument/2006/relationships/hyperlink" Target="https://ieeexplore.ieee.org/stamp/stamp.jsp?arnumber=7996644" TargetMode="External"/><Relationship Id="rId2674" Type="http://schemas.openxmlformats.org/officeDocument/2006/relationships/hyperlink" Target="https://doi.org/10.1145/3385896" TargetMode="External"/><Relationship Id="rId1344" Type="http://schemas.openxmlformats.org/officeDocument/2006/relationships/hyperlink" Target="https://ieeexplore.ieee.org/stamp/stamp.jsp?arnumber=7996822" TargetMode="External"/><Relationship Id="rId2675" Type="http://schemas.openxmlformats.org/officeDocument/2006/relationships/hyperlink" Target="https://doi.org/10.1145/3388922" TargetMode="External"/><Relationship Id="rId2621" Type="http://schemas.openxmlformats.org/officeDocument/2006/relationships/hyperlink" Target="https://www.scopus.com/inward/record.uri?eid=2-s2.0-85055703520&amp;doi=10.1145%2f3267183.3267186&amp;partnerID=40&amp;md5=0c215b73a41fe0076929039e8541df60" TargetMode="External"/><Relationship Id="rId2622" Type="http://schemas.openxmlformats.org/officeDocument/2006/relationships/hyperlink" Target="https://doi.org/10.1145/3267195.3267200" TargetMode="External"/><Relationship Id="rId2623" Type="http://schemas.openxmlformats.org/officeDocument/2006/relationships/hyperlink" Target="https://doi.org/10.1145/3277593.3277599" TargetMode="External"/><Relationship Id="rId2624" Type="http://schemas.openxmlformats.org/officeDocument/2006/relationships/hyperlink" Target="https://doi.org/10.1145/3286978.3286997" TargetMode="External"/><Relationship Id="rId2625" Type="http://schemas.openxmlformats.org/officeDocument/2006/relationships/hyperlink" Target="https://doi.org/10.1145/3287921.3287966" TargetMode="External"/><Relationship Id="rId2626" Type="http://schemas.openxmlformats.org/officeDocument/2006/relationships/hyperlink" Target="https://doi.org/10.1145/3288599.3288634" TargetMode="External"/><Relationship Id="rId2627" Type="http://schemas.openxmlformats.org/officeDocument/2006/relationships/hyperlink" Target="https://doi.org/10.1145/3295500.3356169" TargetMode="External"/><Relationship Id="rId2628" Type="http://schemas.openxmlformats.org/officeDocument/2006/relationships/hyperlink" Target="https://doi.org/10.1145/3297280.3297427" TargetMode="External"/><Relationship Id="rId709" Type="http://schemas.openxmlformats.org/officeDocument/2006/relationships/hyperlink" Target="https://ieeexplore.ieee.org/stamp/stamp.jsp?arnumber=10185018" TargetMode="External"/><Relationship Id="rId2629" Type="http://schemas.openxmlformats.org/officeDocument/2006/relationships/hyperlink" Target="https://doi.org/10.1145/3297858.3304005" TargetMode="External"/><Relationship Id="rId708" Type="http://schemas.openxmlformats.org/officeDocument/2006/relationships/hyperlink" Target="https://ieeexplore.ieee.org/stamp/stamp.jsp?arnumber=10177956" TargetMode="External"/><Relationship Id="rId707" Type="http://schemas.openxmlformats.org/officeDocument/2006/relationships/hyperlink" Target="https://ieeexplore.ieee.org/stamp/stamp.jsp?arnumber=10175535" TargetMode="External"/><Relationship Id="rId706" Type="http://schemas.openxmlformats.org/officeDocument/2006/relationships/hyperlink" Target="https://www.scopus.com/inward/record.uri?eid=2-s2.0-85164384259&amp;doi=10.1109%2fACCESS.2023.3292788&amp;partnerID=40&amp;md5=cc316996854155266e69ee8f8d8ecd7b" TargetMode="External"/><Relationship Id="rId701" Type="http://schemas.openxmlformats.org/officeDocument/2006/relationships/hyperlink" Target="https://ieeexplore.ieee.org/stamp/stamp.jsp?arnumber=10129024" TargetMode="External"/><Relationship Id="rId700" Type="http://schemas.openxmlformats.org/officeDocument/2006/relationships/hyperlink" Target="https://ieeexplore.ieee.org/stamp/stamp.jsp?arnumber=10126111" TargetMode="External"/><Relationship Id="rId705" Type="http://schemas.openxmlformats.org/officeDocument/2006/relationships/hyperlink" Target="https://ieeexplore.ieee.org/stamp/stamp.jsp?arnumber=10171976" TargetMode="External"/><Relationship Id="rId704" Type="http://schemas.openxmlformats.org/officeDocument/2006/relationships/hyperlink" Target="https://ieeexplore.ieee.org/stamp/stamp.jsp?arnumber=10158694" TargetMode="External"/><Relationship Id="rId703" Type="http://schemas.openxmlformats.org/officeDocument/2006/relationships/hyperlink" Target="https://ieeexplore.ieee.org/stamp/stamp.jsp?arnumber=10141603" TargetMode="External"/><Relationship Id="rId702" Type="http://schemas.openxmlformats.org/officeDocument/2006/relationships/hyperlink" Target="https://ieeexplore.ieee.org/stamp/stamp.jsp?arnumber=10138542" TargetMode="External"/><Relationship Id="rId2620" Type="http://schemas.openxmlformats.org/officeDocument/2006/relationships/hyperlink" Target="https://doi.org/10.1145/3241737" TargetMode="External"/><Relationship Id="rId2610" Type="http://schemas.openxmlformats.org/officeDocument/2006/relationships/hyperlink" Target="https://doi.org/10.1145/3199665" TargetMode="External"/><Relationship Id="rId2611" Type="http://schemas.openxmlformats.org/officeDocument/2006/relationships/hyperlink" Target="https://doi.org/10.1145/3208903.3213523" TargetMode="External"/><Relationship Id="rId2612" Type="http://schemas.openxmlformats.org/officeDocument/2006/relationships/hyperlink" Target="https://doi.org/10.1145/3210284.3210285" TargetMode="External"/><Relationship Id="rId2613" Type="http://schemas.openxmlformats.org/officeDocument/2006/relationships/hyperlink" Target="https://doi.org/10.1145/3210284.3219770" TargetMode="External"/><Relationship Id="rId2614" Type="http://schemas.openxmlformats.org/officeDocument/2006/relationships/hyperlink" Target="https://doi.org/10.1145/3219104.3219147" TargetMode="External"/><Relationship Id="rId2615" Type="http://schemas.openxmlformats.org/officeDocument/2006/relationships/hyperlink" Target="https://doi.org/10.1145/3229631.3236092" TargetMode="External"/><Relationship Id="rId2616" Type="http://schemas.openxmlformats.org/officeDocument/2006/relationships/hyperlink" Target="https://doi.org/10.1145/3232162" TargetMode="External"/><Relationship Id="rId2617" Type="http://schemas.openxmlformats.org/officeDocument/2006/relationships/hyperlink" Target="https://doi.org/10.1145/3234152.3234196" TargetMode="External"/><Relationship Id="rId2618" Type="http://schemas.openxmlformats.org/officeDocument/2006/relationships/hyperlink" Target="https://doi.org/10.1145/3236332" TargetMode="External"/><Relationship Id="rId2619" Type="http://schemas.openxmlformats.org/officeDocument/2006/relationships/hyperlink" Target="https://doi.org/10.1145/3241403.3241424" TargetMode="External"/><Relationship Id="rId1312" Type="http://schemas.openxmlformats.org/officeDocument/2006/relationships/hyperlink" Target="https://ieeexplore.ieee.org/stamp/stamp.jsp?arnumber=10696803" TargetMode="External"/><Relationship Id="rId2643" Type="http://schemas.openxmlformats.org/officeDocument/2006/relationships/hyperlink" Target="https://doi.org/10.1145/3331453.3361637" TargetMode="External"/><Relationship Id="rId1313" Type="http://schemas.openxmlformats.org/officeDocument/2006/relationships/hyperlink" Target="https://ieeexplore.ieee.org/stamp/stamp.jsp?arnumber=10398093" TargetMode="External"/><Relationship Id="rId2644" Type="http://schemas.openxmlformats.org/officeDocument/2006/relationships/hyperlink" Target="https://doi.org/10.1145/3335484.3335546" TargetMode="External"/><Relationship Id="rId1314" Type="http://schemas.openxmlformats.org/officeDocument/2006/relationships/hyperlink" Target="https://ieeexplore.ieee.org/stamp/stamp.jsp?arnumber=10829058" TargetMode="External"/><Relationship Id="rId2645" Type="http://schemas.openxmlformats.org/officeDocument/2006/relationships/hyperlink" Target="https://doi.org/10.1145/3337821.3337857" TargetMode="External"/><Relationship Id="rId1315" Type="http://schemas.openxmlformats.org/officeDocument/2006/relationships/hyperlink" Target="https://ieeexplore.ieee.org/stamp/stamp.jsp?arnumber=10877634" TargetMode="External"/><Relationship Id="rId2646" Type="http://schemas.openxmlformats.org/officeDocument/2006/relationships/hyperlink" Target="https://doi.org/10.1145/3341105.3374016" TargetMode="External"/><Relationship Id="rId1316" Type="http://schemas.openxmlformats.org/officeDocument/2006/relationships/hyperlink" Target="https://ieeexplore.ieee.org/stamp/stamp.jsp?arnumber=10877669" TargetMode="External"/><Relationship Id="rId2647" Type="http://schemas.openxmlformats.org/officeDocument/2006/relationships/hyperlink" Target="https://doi.org/10.1145/3341105.3374046" TargetMode="External"/><Relationship Id="rId1317" Type="http://schemas.openxmlformats.org/officeDocument/2006/relationships/hyperlink" Target="https://ieeexplore.ieee.org/stamp/stamp.jsp?arnumber=9792749" TargetMode="External"/><Relationship Id="rId2648" Type="http://schemas.openxmlformats.org/officeDocument/2006/relationships/hyperlink" Target="https://doi.org/10.1145/3341145" TargetMode="External"/><Relationship Id="rId1318" Type="http://schemas.openxmlformats.org/officeDocument/2006/relationships/hyperlink" Target="https://ieeexplore.ieee.org/stamp/stamp.jsp?arnumber=10575306" TargetMode="External"/><Relationship Id="rId2649" Type="http://schemas.openxmlformats.org/officeDocument/2006/relationships/hyperlink" Target="https://doi.org/10.1145/3342103" TargetMode="External"/><Relationship Id="rId1319" Type="http://schemas.openxmlformats.org/officeDocument/2006/relationships/hyperlink" Target="https://ieeexplore.ieee.org/stamp/stamp.jsp?arnumber=10575908" TargetMode="External"/><Relationship Id="rId729" Type="http://schemas.openxmlformats.org/officeDocument/2006/relationships/hyperlink" Target="https://ieeexplore.ieee.org/stamp/stamp.jsp?arnumber=10385040" TargetMode="External"/><Relationship Id="rId728" Type="http://schemas.openxmlformats.org/officeDocument/2006/relationships/hyperlink" Target="https://ieeexplore.ieee.org/stamp/stamp.jsp?arnumber=10381709" TargetMode="External"/><Relationship Id="rId723" Type="http://schemas.openxmlformats.org/officeDocument/2006/relationships/hyperlink" Target="https://ieeexplore.ieee.org/stamp/stamp.jsp?arnumber=10345582" TargetMode="External"/><Relationship Id="rId722" Type="http://schemas.openxmlformats.org/officeDocument/2006/relationships/hyperlink" Target="https://ieeexplore.ieee.org/stamp/stamp.jsp?arnumber=10341245" TargetMode="External"/><Relationship Id="rId721" Type="http://schemas.openxmlformats.org/officeDocument/2006/relationships/hyperlink" Target="https://ieeexplore.ieee.org/stamp/stamp.jsp?arnumber=10322720" TargetMode="External"/><Relationship Id="rId720" Type="http://schemas.openxmlformats.org/officeDocument/2006/relationships/hyperlink" Target="https://www.scopus.com/inward/record.uri?eid=2-s2.0-85177067389&amp;doi=10.1109%2fACCESS.2023.3333030&amp;partnerID=40&amp;md5=2a63fe134f8956effe986dcdac86eb7b" TargetMode="External"/><Relationship Id="rId727" Type="http://schemas.openxmlformats.org/officeDocument/2006/relationships/hyperlink" Target="https://ieeexplore.ieee.org/stamp/stamp.jsp?arnumber=10379798" TargetMode="External"/><Relationship Id="rId726" Type="http://schemas.openxmlformats.org/officeDocument/2006/relationships/hyperlink" Target="https://ieeexplore.ieee.org/stamp/stamp.jsp?arnumber=10374084" TargetMode="External"/><Relationship Id="rId725" Type="http://schemas.openxmlformats.org/officeDocument/2006/relationships/hyperlink" Target="https://ieeexplore.ieee.org/stamp/stamp.jsp?arnumber=10360114" TargetMode="External"/><Relationship Id="rId724" Type="http://schemas.openxmlformats.org/officeDocument/2006/relationships/hyperlink" Target="https://ieeexplore.ieee.org/stamp/stamp.jsp?arnumber=10356059" TargetMode="External"/><Relationship Id="rId2640" Type="http://schemas.openxmlformats.org/officeDocument/2006/relationships/hyperlink" Target="https://doi.org/10.1145/3329007.3329009" TargetMode="External"/><Relationship Id="rId1310" Type="http://schemas.openxmlformats.org/officeDocument/2006/relationships/hyperlink" Target="https://ieeexplore.ieee.org/stamp/stamp.jsp?arnumber=10486467" TargetMode="External"/><Relationship Id="rId2641" Type="http://schemas.openxmlformats.org/officeDocument/2006/relationships/hyperlink" Target="https://doi.org/10.1145/3329786" TargetMode="External"/><Relationship Id="rId1311" Type="http://schemas.openxmlformats.org/officeDocument/2006/relationships/hyperlink" Target="https://ieeexplore.ieee.org/stamp/stamp.jsp?arnumber=10486680" TargetMode="External"/><Relationship Id="rId2642" Type="http://schemas.openxmlformats.org/officeDocument/2006/relationships/hyperlink" Target="https://doi.org/10.1145/3331052.3332473" TargetMode="External"/><Relationship Id="rId1301" Type="http://schemas.openxmlformats.org/officeDocument/2006/relationships/hyperlink" Target="https://ieeexplore.ieee.org/stamp/stamp.jsp?arnumber=10530757" TargetMode="External"/><Relationship Id="rId2632" Type="http://schemas.openxmlformats.org/officeDocument/2006/relationships/hyperlink" Target="https://doi.org/10.1145/3304109.3306221" TargetMode="External"/><Relationship Id="rId1302" Type="http://schemas.openxmlformats.org/officeDocument/2006/relationships/hyperlink" Target="https://ieeexplore.ieee.org/stamp/stamp.jsp?arnumber=8360360" TargetMode="External"/><Relationship Id="rId2633" Type="http://schemas.openxmlformats.org/officeDocument/2006/relationships/hyperlink" Target="https://doi.org/10.1145/3307630.3342385" TargetMode="External"/><Relationship Id="rId1303" Type="http://schemas.openxmlformats.org/officeDocument/2006/relationships/hyperlink" Target="https://ieeexplore.ieee.org/stamp/stamp.jsp?arnumber=8790179" TargetMode="External"/><Relationship Id="rId2634" Type="http://schemas.openxmlformats.org/officeDocument/2006/relationships/hyperlink" Target="https://doi.org/10.1145/3309705" TargetMode="External"/><Relationship Id="rId1304" Type="http://schemas.openxmlformats.org/officeDocument/2006/relationships/hyperlink" Target="https://ieeexplore.ieee.org/stamp/stamp.jsp?arnumber=10262597" TargetMode="External"/><Relationship Id="rId2635" Type="http://schemas.openxmlformats.org/officeDocument/2006/relationships/hyperlink" Target="https://www.scopus.com/inward/record.uri?eid=2-s2.0-85066051138&amp;doi=10.1145%2f3314148.3314345&amp;partnerID=40&amp;md5=74774e4be1689ed9c1827bea1b88da27" TargetMode="External"/><Relationship Id="rId1305" Type="http://schemas.openxmlformats.org/officeDocument/2006/relationships/hyperlink" Target="https://ieeexplore.ieee.org/stamp/stamp.jsp?arnumber=9610376" TargetMode="External"/><Relationship Id="rId2636" Type="http://schemas.openxmlformats.org/officeDocument/2006/relationships/hyperlink" Target="https://doi.org/10.1145/3318216.3363298" TargetMode="External"/><Relationship Id="rId1306" Type="http://schemas.openxmlformats.org/officeDocument/2006/relationships/hyperlink" Target="https://ieeexplore.ieee.org/stamp/stamp.jsp?arnumber=10305811" TargetMode="External"/><Relationship Id="rId2637" Type="http://schemas.openxmlformats.org/officeDocument/2006/relationships/hyperlink" Target="https://doi.org/10.1145/3318216.3363306" TargetMode="External"/><Relationship Id="rId1307" Type="http://schemas.openxmlformats.org/officeDocument/2006/relationships/hyperlink" Target="https://ieeexplore.ieee.org/stamp/stamp.jsp?arnumber=10305824" TargetMode="External"/><Relationship Id="rId2638" Type="http://schemas.openxmlformats.org/officeDocument/2006/relationships/hyperlink" Target="https://doi.org/10.1145/3318216.3363314" TargetMode="External"/><Relationship Id="rId1308" Type="http://schemas.openxmlformats.org/officeDocument/2006/relationships/hyperlink" Target="https://ieeexplore.ieee.org/stamp/stamp.jsp?arnumber=10088071" TargetMode="External"/><Relationship Id="rId2639" Type="http://schemas.openxmlformats.org/officeDocument/2006/relationships/hyperlink" Target="https://doi.org/10.1145/3318216.3363335" TargetMode="External"/><Relationship Id="rId1309" Type="http://schemas.openxmlformats.org/officeDocument/2006/relationships/hyperlink" Target="https://ieeexplore.ieee.org/stamp/stamp.jsp?arnumber=10493222" TargetMode="External"/><Relationship Id="rId719" Type="http://schemas.openxmlformats.org/officeDocument/2006/relationships/hyperlink" Target="https://ieeexplore.ieee.org/stamp/stamp.jsp?arnumber=10318161" TargetMode="External"/><Relationship Id="rId718" Type="http://schemas.openxmlformats.org/officeDocument/2006/relationships/hyperlink" Target="https://ieeexplore.ieee.org/stamp/stamp.jsp?arnumber=10308570" TargetMode="External"/><Relationship Id="rId717" Type="http://schemas.openxmlformats.org/officeDocument/2006/relationships/hyperlink" Target="https://ieeexplore.ieee.org/stamp/stamp.jsp?arnumber=10290882" TargetMode="External"/><Relationship Id="rId712" Type="http://schemas.openxmlformats.org/officeDocument/2006/relationships/hyperlink" Target="https://ieeexplore.ieee.org/stamp/stamp.jsp?arnumber=10226207" TargetMode="External"/><Relationship Id="rId711" Type="http://schemas.openxmlformats.org/officeDocument/2006/relationships/hyperlink" Target="https://ieeexplore.ieee.org/stamp/stamp.jsp?arnumber=10225530" TargetMode="External"/><Relationship Id="rId710" Type="http://schemas.openxmlformats.org/officeDocument/2006/relationships/hyperlink" Target="https://ieeexplore.ieee.org/stamp/stamp.jsp?arnumber=10207841" TargetMode="External"/><Relationship Id="rId716" Type="http://schemas.openxmlformats.org/officeDocument/2006/relationships/hyperlink" Target="https://ieeexplore.ieee.org/stamp/stamp.jsp?arnumber=10287327" TargetMode="External"/><Relationship Id="rId715" Type="http://schemas.openxmlformats.org/officeDocument/2006/relationships/hyperlink" Target="https://www.scopus.com/inward/record.uri?eid=2-s2.0-85174849555&amp;doi=10.1109%2fACCESS.2023.3321082&amp;partnerID=40&amp;md5=62754aefac53fc21136502d1a79adb8b" TargetMode="External"/><Relationship Id="rId714" Type="http://schemas.openxmlformats.org/officeDocument/2006/relationships/hyperlink" Target="https://ieeexplore.ieee.org/stamp/stamp.jsp?arnumber=10251529" TargetMode="External"/><Relationship Id="rId713" Type="http://schemas.openxmlformats.org/officeDocument/2006/relationships/hyperlink" Target="https://ieeexplore.ieee.org/stamp/stamp.jsp?arnumber=10247010" TargetMode="External"/><Relationship Id="rId2630" Type="http://schemas.openxmlformats.org/officeDocument/2006/relationships/hyperlink" Target="https://doi.org/10.1145/3301418.3313947" TargetMode="External"/><Relationship Id="rId1300" Type="http://schemas.openxmlformats.org/officeDocument/2006/relationships/hyperlink" Target="https://ieeexplore.ieee.org/stamp/stamp.jsp?arnumber=10503190" TargetMode="External"/><Relationship Id="rId2631" Type="http://schemas.openxmlformats.org/officeDocument/2006/relationships/hyperlink" Target="https://doi.org/10.1145/3301443" TargetMode="External"/><Relationship Id="rId3117" Type="http://schemas.openxmlformats.org/officeDocument/2006/relationships/hyperlink" Target="https://www.scopus.com/inward/record.uri?eid=2-s2.0-85189004328&amp;doi=10.3390%2fsu16062535&amp;partnerID=40&amp;md5=eb9adceab2acfc1e19c8c4885d9cc973" TargetMode="External"/><Relationship Id="rId3116" Type="http://schemas.openxmlformats.org/officeDocument/2006/relationships/hyperlink" Target="https://www.scopus.com/inward/record.uri?eid=2-s2.0-85152796531&amp;doi=10.3390%2fsu15075983&amp;partnerID=40&amp;md5=7c4fd07d877b15f05556107df8933770" TargetMode="External"/><Relationship Id="rId3119" Type="http://schemas.openxmlformats.org/officeDocument/2006/relationships/hyperlink" Target="https://www.scopus.com/inward/record.uri?eid=2-s2.0-85180678660&amp;doi=10.3390%2fsym15122206&amp;partnerID=40&amp;md5=4081be9b37f9da6fb8e2c08251de9fba" TargetMode="External"/><Relationship Id="rId3118" Type="http://schemas.openxmlformats.org/officeDocument/2006/relationships/hyperlink" Target="https://www.scopus.com/inward/record.uri?eid=2-s2.0-85102365743&amp;doi=10.3390%2fsym13020357&amp;partnerID=40&amp;md5=c41346da479301e0341fdc6e9f57b036" TargetMode="External"/><Relationship Id="rId3111" Type="http://schemas.openxmlformats.org/officeDocument/2006/relationships/hyperlink" Target="https://www.scopus.com/inward/record.uri?eid=2-s2.0-85203879202&amp;doi=10.3390%2fs24175558&amp;partnerID=40&amp;md5=d3914bfb508279746f08e9eb83f85c3e" TargetMode="External"/><Relationship Id="rId3110" Type="http://schemas.openxmlformats.org/officeDocument/2006/relationships/hyperlink" Target="https://www.scopus.com/inward/record.uri?eid=2-s2.0-85191409032&amp;doi=10.3390%2fs24082381&amp;partnerID=40&amp;md5=7793b14af524c47ced1060ae2d5ed501" TargetMode="External"/><Relationship Id="rId3113" Type="http://schemas.openxmlformats.org/officeDocument/2006/relationships/hyperlink" Target="https://www.scopus.com/inward/record.uri?eid=2-s2.0-85114726717&amp;doi=10.3390%2fsu131810057&amp;partnerID=40&amp;md5=ad7c2a5bbe5c1552f6dd078b9f237755" TargetMode="External"/><Relationship Id="rId3112" Type="http://schemas.openxmlformats.org/officeDocument/2006/relationships/hyperlink" Target="https://www.scopus.com/inward/record.uri?eid=2-s2.0-85159140373&amp;doi=10.3390%2fsignals3030036&amp;partnerID=40&amp;md5=98214bd018c9b24d89f87ea4e4636d99" TargetMode="External"/><Relationship Id="rId3115" Type="http://schemas.openxmlformats.org/officeDocument/2006/relationships/hyperlink" Target="https://www.scopus.com/inward/record.uri?eid=2-s2.0-85133604442&amp;doi=10.3390%2fsu14137961&amp;partnerID=40&amp;md5=e65472afd259d209ce3173787333ba78" TargetMode="External"/><Relationship Id="rId3114" Type="http://schemas.openxmlformats.org/officeDocument/2006/relationships/hyperlink" Target="https://www.scopus.com/inward/record.uri?eid=2-s2.0-85132562544&amp;doi=10.3390%2fsu14127267&amp;partnerID=40&amp;md5=92357a48c151ef424eddc638e099df80" TargetMode="External"/><Relationship Id="rId3106" Type="http://schemas.openxmlformats.org/officeDocument/2006/relationships/hyperlink" Target="https://www.scopus.com/inward/record.uri?eid=2-s2.0-85172722809&amp;doi=10.3390%2fs23187697&amp;partnerID=40&amp;md5=c5056834d56c221cf0cc86c84ae2e4c8" TargetMode="External"/><Relationship Id="rId3105" Type="http://schemas.openxmlformats.org/officeDocument/2006/relationships/hyperlink" Target="https://www.scopus.com/inward/record.uri?eid=2-s2.0-85164845376&amp;doi=10.3390%2fs23136039&amp;partnerID=40&amp;md5=7521727c58a074d22a88847f744ce190" TargetMode="External"/><Relationship Id="rId3108" Type="http://schemas.openxmlformats.org/officeDocument/2006/relationships/hyperlink" Target="https://www.scopus.com/inward/record.uri?eid=2-s2.0-85180617758&amp;doi=10.3390%2fs23249656&amp;partnerID=40&amp;md5=45de696a6adc5a9553455df8e42cc39c" TargetMode="External"/><Relationship Id="rId3107" Type="http://schemas.openxmlformats.org/officeDocument/2006/relationships/hyperlink" Target="https://www.scopus.com/inward/record.uri?eid=2-s2.0-85176890093&amp;doi=10.3390%2fs23218953&amp;partnerID=40&amp;md5=c87c32611932315a5251a2e519d1c6eb" TargetMode="External"/><Relationship Id="rId3109" Type="http://schemas.openxmlformats.org/officeDocument/2006/relationships/hyperlink" Target="https://www.scopus.com/inward/record.uri?eid=2-s2.0-85184485012&amp;doi=10.3390%2fs24030968&amp;partnerID=40&amp;md5=127481b01a976d3fbb10b8cefd8f4fc7" TargetMode="External"/><Relationship Id="rId3100" Type="http://schemas.openxmlformats.org/officeDocument/2006/relationships/hyperlink" Target="https://www.scopus.com/inward/record.uri?eid=2-s2.0-85118371379&amp;doi=10.3390%2fs21217366&amp;partnerID=40&amp;md5=7cffdf3ab943c346875857fbac525390" TargetMode="External"/><Relationship Id="rId3102" Type="http://schemas.openxmlformats.org/officeDocument/2006/relationships/hyperlink" Target="https://www.scopus.com/inward/record.uri?eid=2-s2.0-85136516519&amp;doi=10.3390%2fs22155816&amp;partnerID=40&amp;md5=c7739af5de8699dc03daebc22c1defda" TargetMode="External"/><Relationship Id="rId3101" Type="http://schemas.openxmlformats.org/officeDocument/2006/relationships/hyperlink" Target="https://www.scopus.com/inward/record.uri?eid=2-s2.0-85128015091&amp;doi=10.3390%2fs22072445&amp;partnerID=40&amp;md5=ef1f12fc602417fa2a1d330c206b272f" TargetMode="External"/><Relationship Id="rId3104" Type="http://schemas.openxmlformats.org/officeDocument/2006/relationships/hyperlink" Target="https://www.scopus.com/inward/record.uri?eid=2-s2.0-85142940005&amp;doi=10.3390%2fs22229003&amp;partnerID=40&amp;md5=76c26cfc4f50165bdc99a931c622cd91" TargetMode="External"/><Relationship Id="rId3103" Type="http://schemas.openxmlformats.org/officeDocument/2006/relationships/hyperlink" Target="https://www.scopus.com/inward/record.uri?eid=2-s2.0-85137548363&amp;doi=10.3390%2fs22176436&amp;partnerID=40&amp;md5=347197c804783906ef27545d6fc82fa5" TargetMode="External"/><Relationship Id="rId3139" Type="http://schemas.openxmlformats.org/officeDocument/2006/relationships/hyperlink" Target="https://www.scopus.com/inward/record.uri?eid=2-s2.0-85195639041&amp;doi=10.6703%2fIJASE.202406_21%282%29.001&amp;partnerID=40&amp;md5=58217764b668e724c9fe0acbddb09b87" TargetMode="External"/><Relationship Id="rId3138" Type="http://schemas.openxmlformats.org/officeDocument/2006/relationships/hyperlink" Target="https://www.scopus.com/inward/record.uri?eid=2-s2.0-85151723289&amp;doi=10.5957%2fSOME-2023-029&amp;partnerID=40&amp;md5=faf501c347ebb4d121ad5a71acc69d11" TargetMode="External"/><Relationship Id="rId3131" Type="http://schemas.openxmlformats.org/officeDocument/2006/relationships/hyperlink" Target="https://www.scopus.com/inward/record.uri?eid=2-s2.0-85202992366&amp;doi=10.4316%2fAECE.2024.03003&amp;partnerID=40&amp;md5=696ca746cc3bb0e1cafd762e5a26f5b5" TargetMode="External"/><Relationship Id="rId3130" Type="http://schemas.openxmlformats.org/officeDocument/2006/relationships/hyperlink" Target="https://www.scopus.com/inward/record.uri?eid=2-s2.0-85092027540&amp;doi=10.4271%2f01-12-02-0009&amp;partnerID=40&amp;md5=d6bda1a1acc6297263c62f5e308a53e8" TargetMode="External"/><Relationship Id="rId3133" Type="http://schemas.openxmlformats.org/officeDocument/2006/relationships/hyperlink" Target="https://www.scopus.com/inward/record.uri?eid=2-s2.0-85048802401&amp;doi=10.5220%2f0006677400730084&amp;partnerID=40&amp;md5=2ab1bb933f0404efeabd64062d5c47d5" TargetMode="External"/><Relationship Id="rId3132" Type="http://schemas.openxmlformats.org/officeDocument/2006/relationships/hyperlink" Target="https://www.scopus.com/inward/record.uri?eid=2-s2.0-85202594091&amp;doi=10.46855%2fenergy-proceedings-1105&amp;partnerID=40&amp;md5=7e6160aff9772e0b3d99e4251544d4a1" TargetMode="External"/><Relationship Id="rId3135" Type="http://schemas.openxmlformats.org/officeDocument/2006/relationships/hyperlink" Target="https://www.scopus.com/inward/record.uri?eid=2-s2.0-85160517719&amp;doi=10.5220%2f0011852400003464&amp;partnerID=40&amp;md5=f0189eeef14dab64cdad6e6632dc4d53" TargetMode="External"/><Relationship Id="rId3134" Type="http://schemas.openxmlformats.org/officeDocument/2006/relationships/hyperlink" Target="https://www.scopus.com/inward/record.uri?eid=2-s2.0-85140961694&amp;doi=10.5220%2f0011064100003176&amp;partnerID=40&amp;md5=174827e96fd6eb3b3c141ccb8d24e510" TargetMode="External"/><Relationship Id="rId3137" Type="http://schemas.openxmlformats.org/officeDocument/2006/relationships/hyperlink" Target="https://www.scopus.com/inward/record.uri?eid=2-s2.0-85206254846&amp;doi=10.5815%2fijcnis.2024.05.01&amp;partnerID=40&amp;md5=4de7c0a65d4801fceb673ad8e1aad386" TargetMode="External"/><Relationship Id="rId3136" Type="http://schemas.openxmlformats.org/officeDocument/2006/relationships/hyperlink" Target="https://www.scopus.com/inward/record.uri?eid=2-s2.0-85183452602&amp;doi=10.52866%2fijcsm.2023.04.04.011&amp;partnerID=40&amp;md5=d022c61773cb02fcf4ac6d8481c1eea4" TargetMode="External"/><Relationship Id="rId3128" Type="http://schemas.openxmlformats.org/officeDocument/2006/relationships/hyperlink" Target="https://doi.org/10.4108/eai.25-10-2016.2266649" TargetMode="External"/><Relationship Id="rId3127" Type="http://schemas.openxmlformats.org/officeDocument/2006/relationships/hyperlink" Target="https://www.scopus.com/inward/record.uri?eid=2-s2.0-85150460827&amp;doi=10.4018%2fIJDST.307954&amp;partnerID=40&amp;md5=cde45a175229a627147258dbac675ba8" TargetMode="External"/><Relationship Id="rId3129" Type="http://schemas.openxmlformats.org/officeDocument/2006/relationships/hyperlink" Target="https://www.scopus.com/inward/record.uri?eid=2-s2.0-85115850082&amp;doi=10.4230%2fOASIcs.PARMA-DITAM.2021.4&amp;partnerID=40&amp;md5=43c4cf59533669abf86a8185bd87c782" TargetMode="External"/><Relationship Id="rId3120" Type="http://schemas.openxmlformats.org/officeDocument/2006/relationships/hyperlink" Target="https://www.scopus.com/inward/record.uri?eid=2-s2.0-85149261086&amp;doi=10.3390%2fsystems11020056&amp;partnerID=40&amp;md5=e96b2ea931b5d926aa960787d11be997" TargetMode="External"/><Relationship Id="rId3122" Type="http://schemas.openxmlformats.org/officeDocument/2006/relationships/hyperlink" Target="https://www.scopus.com/inward/record.uri?eid=2-s2.0-85074951546&amp;doi=10.3745%2fJIPS.03.0124&amp;partnerID=40&amp;md5=779a0748ed0e943d7087ae9d28c15f76" TargetMode="External"/><Relationship Id="rId3121" Type="http://schemas.openxmlformats.org/officeDocument/2006/relationships/hyperlink" Target="https://www.scopus.com/inward/record.uri?eid=2-s2.0-85176475372&amp;doi=10.35490%2fEC3.2023.300&amp;partnerID=40&amp;md5=69f47159400699213887b46761d1403b" TargetMode="External"/><Relationship Id="rId3124" Type="http://schemas.openxmlformats.org/officeDocument/2006/relationships/hyperlink" Target="https://www.scopus.com/inward/record.uri?eid=2-s2.0-85192729417&amp;doi=10.3837%2ftiis.2024.04.004&amp;partnerID=40&amp;md5=6ab1dbf0072ae5c0f9ef30bf135cd181" TargetMode="External"/><Relationship Id="rId3123" Type="http://schemas.openxmlformats.org/officeDocument/2006/relationships/hyperlink" Target="https://www.scopus.com/inward/record.uri?eid=2-s2.0-85206541403&amp;doi=10.3778%2fj.issn.1673-9418.2312034&amp;partnerID=40&amp;md5=eca2494224578d070885f26e16ad93f2" TargetMode="External"/><Relationship Id="rId3126" Type="http://schemas.openxmlformats.org/officeDocument/2006/relationships/hyperlink" Target="https://www.scopus.com/inward/record.uri?eid=2-s2.0-85084937097&amp;doi=10.3969%2fj.issn.0372-2112.2020.02.001&amp;partnerID=40&amp;md5=c3a0ce20a4c7c22a7bcc62cc302f74ac" TargetMode="External"/><Relationship Id="rId3125" Type="http://schemas.openxmlformats.org/officeDocument/2006/relationships/hyperlink" Target="https://www.scopus.com/inward/record.uri?eid=2-s2.0-85146444316&amp;doi=10.3864%2fj.issn.0578-1752.2022.21.006&amp;partnerID=40&amp;md5=638465399eb2c2b750940f8bb499ca79" TargetMode="External"/><Relationship Id="rId1378" Type="http://schemas.openxmlformats.org/officeDocument/2006/relationships/hyperlink" Target="https://ieeexplore.ieee.org/stamp/stamp.jsp?arnumber=8966226" TargetMode="External"/><Relationship Id="rId1379" Type="http://schemas.openxmlformats.org/officeDocument/2006/relationships/hyperlink" Target="https://ieeexplore.ieee.org/stamp/stamp.jsp?arnumber=9352196" TargetMode="External"/><Relationship Id="rId789" Type="http://schemas.openxmlformats.org/officeDocument/2006/relationships/hyperlink" Target="https://ieeexplore.ieee.org/stamp/stamp.jsp?arnumber=10681397" TargetMode="External"/><Relationship Id="rId788" Type="http://schemas.openxmlformats.org/officeDocument/2006/relationships/hyperlink" Target="https://ieeexplore.ieee.org/stamp/stamp.jsp?arnumber=10681400" TargetMode="External"/><Relationship Id="rId787" Type="http://schemas.openxmlformats.org/officeDocument/2006/relationships/hyperlink" Target="https://ieeexplore.ieee.org/stamp/stamp.jsp?arnumber=10681066" TargetMode="External"/><Relationship Id="rId786" Type="http://schemas.openxmlformats.org/officeDocument/2006/relationships/hyperlink" Target="https://ieeexplore.ieee.org/stamp/stamp.jsp?arnumber=10677409" TargetMode="External"/><Relationship Id="rId781" Type="http://schemas.openxmlformats.org/officeDocument/2006/relationships/hyperlink" Target="https://ieeexplore.ieee.org/stamp/stamp.jsp?arnumber=10664538" TargetMode="External"/><Relationship Id="rId1370" Type="http://schemas.openxmlformats.org/officeDocument/2006/relationships/hyperlink" Target="https://ieeexplore.ieee.org/stamp/stamp.jsp?arnumber=10637552" TargetMode="External"/><Relationship Id="rId780" Type="http://schemas.openxmlformats.org/officeDocument/2006/relationships/hyperlink" Target="https://ieeexplore.ieee.org/stamp/stamp.jsp?arnumber=10662957" TargetMode="External"/><Relationship Id="rId1371" Type="http://schemas.openxmlformats.org/officeDocument/2006/relationships/hyperlink" Target="https://ieeexplore.ieee.org/stamp/stamp.jsp?arnumber=10637567" TargetMode="External"/><Relationship Id="rId1372" Type="http://schemas.openxmlformats.org/officeDocument/2006/relationships/hyperlink" Target="https://ieeexplore.ieee.org/stamp/stamp.jsp?arnumber=10724643" TargetMode="External"/><Relationship Id="rId1373" Type="http://schemas.openxmlformats.org/officeDocument/2006/relationships/hyperlink" Target="https://ieeexplore.ieee.org/stamp/stamp.jsp?arnumber=10725992" TargetMode="External"/><Relationship Id="rId785" Type="http://schemas.openxmlformats.org/officeDocument/2006/relationships/hyperlink" Target="https://ieeexplore.ieee.org/stamp/stamp.jsp?arnumber=10670395" TargetMode="External"/><Relationship Id="rId1374" Type="http://schemas.openxmlformats.org/officeDocument/2006/relationships/hyperlink" Target="https://ieeexplore.ieee.org/stamp/stamp.jsp?arnumber=10726037" TargetMode="External"/><Relationship Id="rId784" Type="http://schemas.openxmlformats.org/officeDocument/2006/relationships/hyperlink" Target="https://www.scopus.com/inward/record.uri?eid=2-s2.0-85203503392&amp;doi=10.1109%2fACCESS.2024.3455900&amp;partnerID=40&amp;md5=4baf8791700f84822eb66f01ca6e33d1" TargetMode="External"/><Relationship Id="rId1375" Type="http://schemas.openxmlformats.org/officeDocument/2006/relationships/hyperlink" Target="https://ieeexplore.ieee.org/stamp/stamp.jsp?arnumber=10194135" TargetMode="External"/><Relationship Id="rId783" Type="http://schemas.openxmlformats.org/officeDocument/2006/relationships/hyperlink" Target="https://ieeexplore.ieee.org/stamp/stamp.jsp?arnumber=10666661" TargetMode="External"/><Relationship Id="rId1376" Type="http://schemas.openxmlformats.org/officeDocument/2006/relationships/hyperlink" Target="https://ieeexplore.ieee.org/stamp/stamp.jsp?arnumber=10233759" TargetMode="External"/><Relationship Id="rId782" Type="http://schemas.openxmlformats.org/officeDocument/2006/relationships/hyperlink" Target="https://ieeexplore.ieee.org/stamp/stamp.jsp?arnumber=10666680" TargetMode="External"/><Relationship Id="rId1377" Type="http://schemas.openxmlformats.org/officeDocument/2006/relationships/hyperlink" Target="https://www.scopus.com/inward/record.uri?eid=2-s2.0-85217029457&amp;doi=10.1109%2fICCD63220.2024.00102&amp;partnerID=40&amp;md5=c8db9c3f3ba8df08ab6a63600ac7d833" TargetMode="External"/><Relationship Id="rId1367" Type="http://schemas.openxmlformats.org/officeDocument/2006/relationships/hyperlink" Target="https://ieeexplore.ieee.org/stamp/stamp.jsp?arnumber=9868940" TargetMode="External"/><Relationship Id="rId2698" Type="http://schemas.openxmlformats.org/officeDocument/2006/relationships/hyperlink" Target="https://doi.org/10.1145/3444692" TargetMode="External"/><Relationship Id="rId1368" Type="http://schemas.openxmlformats.org/officeDocument/2006/relationships/hyperlink" Target="https://ieeexplore.ieee.org/stamp/stamp.jsp?arnumber=10230110" TargetMode="External"/><Relationship Id="rId2699" Type="http://schemas.openxmlformats.org/officeDocument/2006/relationships/hyperlink" Target="https://doi.org/10.1145/3445968.3452090" TargetMode="External"/><Relationship Id="rId1369" Type="http://schemas.openxmlformats.org/officeDocument/2006/relationships/hyperlink" Target="https://ieeexplore.ieee.org/stamp/stamp.jsp?arnumber=10637549" TargetMode="External"/><Relationship Id="rId778" Type="http://schemas.openxmlformats.org/officeDocument/2006/relationships/hyperlink" Target="https://ieeexplore.ieee.org/stamp/stamp.jsp?arnumber=10643067" TargetMode="External"/><Relationship Id="rId777" Type="http://schemas.openxmlformats.org/officeDocument/2006/relationships/hyperlink" Target="https://ieeexplore.ieee.org/stamp/stamp.jsp?arnumber=10637461" TargetMode="External"/><Relationship Id="rId776" Type="http://schemas.openxmlformats.org/officeDocument/2006/relationships/hyperlink" Target="https://www.scopus.com/inward/record.uri?eid=2-s2.0-85201488196&amp;doi=10.1109%2fACCESS.2024.3444046&amp;partnerID=40&amp;md5=db40820bad63236cfcab715e946ec60f" TargetMode="External"/><Relationship Id="rId775" Type="http://schemas.openxmlformats.org/officeDocument/2006/relationships/hyperlink" Target="https://ieeexplore.ieee.org/stamp/stamp.jsp?arnumber=10623456" TargetMode="External"/><Relationship Id="rId779" Type="http://schemas.openxmlformats.org/officeDocument/2006/relationships/hyperlink" Target="https://ieeexplore.ieee.org/stamp/stamp.jsp?arnumber=10643044" TargetMode="External"/><Relationship Id="rId770" Type="http://schemas.openxmlformats.org/officeDocument/2006/relationships/hyperlink" Target="https://www.scopus.com/inward/record.uri?eid=2-s2.0-85199016752&amp;doi=10.1109%2fACCESS.2024.3428490&amp;partnerID=40&amp;md5=5be2ce1ebfb6bb4ccb95678648215dea" TargetMode="External"/><Relationship Id="rId2690" Type="http://schemas.openxmlformats.org/officeDocument/2006/relationships/hyperlink" Target="https://doi.org/10.1145/3424771.3424804" TargetMode="External"/><Relationship Id="rId1360" Type="http://schemas.openxmlformats.org/officeDocument/2006/relationships/hyperlink" Target="https://www.scopus.com/inward/record.uri?eid=2-s2.0-85198463623&amp;doi=10.1109%2fICCCBDA61447.2024.10569563&amp;partnerID=40&amp;md5=376008d114a011a790b9fbc556fd36b7" TargetMode="External"/><Relationship Id="rId2691" Type="http://schemas.openxmlformats.org/officeDocument/2006/relationships/hyperlink" Target="https://doi.org/10.1145/3424771.3424822" TargetMode="External"/><Relationship Id="rId1361" Type="http://schemas.openxmlformats.org/officeDocument/2006/relationships/hyperlink" Target="https://ieeexplore.ieee.org/stamp/stamp.jsp?arnumber=9104073" TargetMode="External"/><Relationship Id="rId2692" Type="http://schemas.openxmlformats.org/officeDocument/2006/relationships/hyperlink" Target="https://doi.org/10.1145/3424978.3425133" TargetMode="External"/><Relationship Id="rId1362" Type="http://schemas.openxmlformats.org/officeDocument/2006/relationships/hyperlink" Target="https://ieeexplore.ieee.org/stamp/stamp.jsp?arnumber=10425545" TargetMode="External"/><Relationship Id="rId2693" Type="http://schemas.openxmlformats.org/officeDocument/2006/relationships/hyperlink" Target="https://doi.org/10.1145/3427921.3450246" TargetMode="External"/><Relationship Id="rId774" Type="http://schemas.openxmlformats.org/officeDocument/2006/relationships/hyperlink" Target="https://ieeexplore.ieee.org/stamp/stamp.jsp?arnumber=10620201" TargetMode="External"/><Relationship Id="rId1363" Type="http://schemas.openxmlformats.org/officeDocument/2006/relationships/hyperlink" Target="https://ieeexplore.ieee.org/stamp/stamp.jsp?arnumber=10425582" TargetMode="External"/><Relationship Id="rId2694" Type="http://schemas.openxmlformats.org/officeDocument/2006/relationships/hyperlink" Target="https://doi.org/10.1145/3437378.3444366" TargetMode="External"/><Relationship Id="rId773" Type="http://schemas.openxmlformats.org/officeDocument/2006/relationships/hyperlink" Target="https://ieeexplore.ieee.org/stamp/stamp.jsp?arnumber=10614449" TargetMode="External"/><Relationship Id="rId1364" Type="http://schemas.openxmlformats.org/officeDocument/2006/relationships/hyperlink" Target="https://ieeexplore.ieee.org/stamp/stamp.jsp?arnumber=8846960" TargetMode="External"/><Relationship Id="rId2695" Type="http://schemas.openxmlformats.org/officeDocument/2006/relationships/hyperlink" Target="https://doi.org/10.1145/3437378.3444367" TargetMode="External"/><Relationship Id="rId772" Type="http://schemas.openxmlformats.org/officeDocument/2006/relationships/hyperlink" Target="https://ieeexplore.ieee.org/stamp/stamp.jsp?arnumber=10613033" TargetMode="External"/><Relationship Id="rId1365" Type="http://schemas.openxmlformats.org/officeDocument/2006/relationships/hyperlink" Target="https://ieeexplore.ieee.org/stamp/stamp.jsp?arnumber=8847151" TargetMode="External"/><Relationship Id="rId2696" Type="http://schemas.openxmlformats.org/officeDocument/2006/relationships/hyperlink" Target="https://doi.org/10.1145/3440749.3442594" TargetMode="External"/><Relationship Id="rId771" Type="http://schemas.openxmlformats.org/officeDocument/2006/relationships/hyperlink" Target="https://www.scopus.com/inward/record.uri?eid=2-s2.0-85199527160&amp;doi=10.1109%2fACCESS.2024.3432325&amp;partnerID=40&amp;md5=3dd9321b0c7d536c19346239136b1592" TargetMode="External"/><Relationship Id="rId1366" Type="http://schemas.openxmlformats.org/officeDocument/2006/relationships/hyperlink" Target="https://www.scopus.com/inward/record.uri?eid=2-s2.0-85093862399&amp;doi=10.1109%2fICCCN49398.2020.9209674&amp;partnerID=40&amp;md5=dac41db0df5e3cd3679c3566374ee028" TargetMode="External"/><Relationship Id="rId2697" Type="http://schemas.openxmlformats.org/officeDocument/2006/relationships/hyperlink" Target="https://doi.org/10.1145/3442442.3452057" TargetMode="External"/><Relationship Id="rId1390" Type="http://schemas.openxmlformats.org/officeDocument/2006/relationships/hyperlink" Target="https://ieeexplore.ieee.org/stamp/stamp.jsp?arnumber=10426697" TargetMode="External"/><Relationship Id="rId1391" Type="http://schemas.openxmlformats.org/officeDocument/2006/relationships/hyperlink" Target="https://ieeexplore.ieee.org/stamp/stamp.jsp?arnumber=10426709" TargetMode="External"/><Relationship Id="rId1392" Type="http://schemas.openxmlformats.org/officeDocument/2006/relationships/hyperlink" Target="https://ieeexplore.ieee.org/stamp/stamp.jsp?arnumber=10775418" TargetMode="External"/><Relationship Id="rId1393" Type="http://schemas.openxmlformats.org/officeDocument/2006/relationships/hyperlink" Target="https://ieeexplore.ieee.org/stamp/stamp.jsp?arnumber=9213730" TargetMode="External"/><Relationship Id="rId1394" Type="http://schemas.openxmlformats.org/officeDocument/2006/relationships/hyperlink" Target="https://ieeexplore.ieee.org/stamp/stamp.jsp?arnumber=10031829" TargetMode="External"/><Relationship Id="rId1395" Type="http://schemas.openxmlformats.org/officeDocument/2006/relationships/hyperlink" Target="https://ieeexplore.ieee.org/stamp/stamp.jsp?arnumber=9418350" TargetMode="External"/><Relationship Id="rId1396" Type="http://schemas.openxmlformats.org/officeDocument/2006/relationships/hyperlink" Target="https://ieeexplore.ieee.org/stamp/stamp.jsp?arnumber=9933196" TargetMode="External"/><Relationship Id="rId1397" Type="http://schemas.openxmlformats.org/officeDocument/2006/relationships/hyperlink" Target="https://ieeexplore.ieee.org/stamp/stamp.jsp?arnumber=8516597" TargetMode="External"/><Relationship Id="rId1398" Type="http://schemas.openxmlformats.org/officeDocument/2006/relationships/hyperlink" Target="https://ieeexplore.ieee.org/stamp/stamp.jsp?arnumber=10072263" TargetMode="External"/><Relationship Id="rId1399" Type="http://schemas.openxmlformats.org/officeDocument/2006/relationships/hyperlink" Target="https://ieeexplore.ieee.org/stamp/stamp.jsp?arnumber=7530217" TargetMode="External"/><Relationship Id="rId1389" Type="http://schemas.openxmlformats.org/officeDocument/2006/relationships/hyperlink" Target="https://ieeexplore.ieee.org/stamp/stamp.jsp?arnumber=10140990" TargetMode="External"/><Relationship Id="rId799" Type="http://schemas.openxmlformats.org/officeDocument/2006/relationships/hyperlink" Target="https://ieeexplore.ieee.org/stamp/stamp.jsp?arnumber=10740277" TargetMode="External"/><Relationship Id="rId798" Type="http://schemas.openxmlformats.org/officeDocument/2006/relationships/hyperlink" Target="https://ieeexplore.ieee.org/stamp/stamp.jsp?arnumber=10738802" TargetMode="External"/><Relationship Id="rId797" Type="http://schemas.openxmlformats.org/officeDocument/2006/relationships/hyperlink" Target="https://ieeexplore.ieee.org/stamp/stamp.jsp?arnumber=10738798" TargetMode="External"/><Relationship Id="rId1380" Type="http://schemas.openxmlformats.org/officeDocument/2006/relationships/hyperlink" Target="https://ieeexplore.ieee.org/stamp/stamp.jsp?arnumber=10226807" TargetMode="External"/><Relationship Id="rId792" Type="http://schemas.openxmlformats.org/officeDocument/2006/relationships/hyperlink" Target="https://ieeexplore.ieee.org/stamp/stamp.jsp?arnumber=10695085" TargetMode="External"/><Relationship Id="rId1381" Type="http://schemas.openxmlformats.org/officeDocument/2006/relationships/hyperlink" Target="https://ieeexplore.ieee.org/stamp/stamp.jsp?arnumber=10674539" TargetMode="External"/><Relationship Id="rId791" Type="http://schemas.openxmlformats.org/officeDocument/2006/relationships/hyperlink" Target="https://ieeexplore.ieee.org/stamp/stamp.jsp?arnumber=10693431" TargetMode="External"/><Relationship Id="rId1382" Type="http://schemas.openxmlformats.org/officeDocument/2006/relationships/hyperlink" Target="https://ieeexplore.ieee.org/stamp/stamp.jsp?arnumber=10674573" TargetMode="External"/><Relationship Id="rId790" Type="http://schemas.openxmlformats.org/officeDocument/2006/relationships/hyperlink" Target="https://ieeexplore.ieee.org/stamp/stamp.jsp?arnumber=10684173" TargetMode="External"/><Relationship Id="rId1383" Type="http://schemas.openxmlformats.org/officeDocument/2006/relationships/hyperlink" Target="https://ieeexplore.ieee.org/stamp/stamp.jsp?arnumber=10444318" TargetMode="External"/><Relationship Id="rId1384" Type="http://schemas.openxmlformats.org/officeDocument/2006/relationships/hyperlink" Target="https://ieeexplore.ieee.org/stamp/stamp.jsp?arnumber=10444351" TargetMode="External"/><Relationship Id="rId796" Type="http://schemas.openxmlformats.org/officeDocument/2006/relationships/hyperlink" Target="https://ieeexplore.ieee.org/stamp/stamp.jsp?arnumber=10734123" TargetMode="External"/><Relationship Id="rId1385" Type="http://schemas.openxmlformats.org/officeDocument/2006/relationships/hyperlink" Target="https://ieeexplore.ieee.org/stamp/stamp.jsp?arnumber=10634620" TargetMode="External"/><Relationship Id="rId795" Type="http://schemas.openxmlformats.org/officeDocument/2006/relationships/hyperlink" Target="https://ieeexplore.ieee.org/stamp/stamp.jsp?arnumber=10721459" TargetMode="External"/><Relationship Id="rId1386" Type="http://schemas.openxmlformats.org/officeDocument/2006/relationships/hyperlink" Target="https://ieeexplore.ieee.org/stamp/stamp.jsp?arnumber=10603612" TargetMode="External"/><Relationship Id="rId794" Type="http://schemas.openxmlformats.org/officeDocument/2006/relationships/hyperlink" Target="https://ieeexplore.ieee.org/stamp/stamp.jsp?arnumber=10706853" TargetMode="External"/><Relationship Id="rId1387" Type="http://schemas.openxmlformats.org/officeDocument/2006/relationships/hyperlink" Target="https://ieeexplore.ieee.org/stamp/stamp.jsp?arnumber=9853316" TargetMode="External"/><Relationship Id="rId793" Type="http://schemas.openxmlformats.org/officeDocument/2006/relationships/hyperlink" Target="https://ieeexplore.ieee.org/stamp/stamp.jsp?arnumber=10703063" TargetMode="External"/><Relationship Id="rId1388" Type="http://schemas.openxmlformats.org/officeDocument/2006/relationships/hyperlink" Target="https://ieeexplore.ieee.org/stamp/stamp.jsp?arnumber=10140806" TargetMode="External"/><Relationship Id="rId3140" Type="http://schemas.openxmlformats.org/officeDocument/2006/relationships/hyperlink" Target="https://www.scopus.com/inward/record.uri?eid=2-s2.0-85201526216&amp;doi=10.70003%2f160792642024072504011&amp;partnerID=40&amp;md5=1b5cde4c01875aeb4f4be5ac0235e4cf" TargetMode="External"/><Relationship Id="rId3142" Type="http://schemas.openxmlformats.org/officeDocument/2006/relationships/hyperlink" Target="https://www.scopus.com/inward/record.uri?eid=2-s2.0-85128178309&amp;doi=10.7500%2fAEPS20210127006&amp;partnerID=40&amp;md5=8c404a358a8ba3ae5d0c64033717d553" TargetMode="External"/><Relationship Id="rId3141" Type="http://schemas.openxmlformats.org/officeDocument/2006/relationships/hyperlink" Target="https://www.scopus.com/inward/record.uri?eid=2-s2.0-85158086182&amp;doi=10.7250%2fcsimq.2021-27.04&amp;partnerID=40&amp;md5=6d2b76415f539454bb68a6882817b423" TargetMode="External"/><Relationship Id="rId3144" Type="http://schemas.openxmlformats.org/officeDocument/2006/relationships/hyperlink" Target="https://www.scopus.com/inward/record.uri?eid=2-s2.0-85189174794&amp;doi=10.7840%2fkics.2023.48.12.1676&amp;partnerID=40&amp;md5=bcd0a5adcdfe0fd6e727770bfee89b7b" TargetMode="External"/><Relationship Id="rId3143" Type="http://schemas.openxmlformats.org/officeDocument/2006/relationships/hyperlink" Target="https://www.scopus.com/inward/record.uri?eid=2-s2.0-85131087186&amp;doi=10.7717%2fpeerj-cs.950&amp;partnerID=40&amp;md5=7e4e2679ca574bfcd542f2acc6d7d44a" TargetMode="External"/><Relationship Id="rId3146" Type="http://schemas.openxmlformats.org/officeDocument/2006/relationships/drawing" Target="../drawings/drawing7.xml"/><Relationship Id="rId3145" Type="http://schemas.openxmlformats.org/officeDocument/2006/relationships/hyperlink" Target="https://www.scopus.com/inward/record.uri?eid=2-s2.0-85189133904&amp;doi=10.7840%2fkics.2024.49.3.453&amp;partnerID=40&amp;md5=46c2601931820e605b0bce313511caee" TargetMode="External"/><Relationship Id="rId3148" Type="http://schemas.openxmlformats.org/officeDocument/2006/relationships/table" Target="../tables/table4.xml"/><Relationship Id="rId2700" Type="http://schemas.openxmlformats.org/officeDocument/2006/relationships/hyperlink" Target="https://doi.org/10.1145/3447545.3451180" TargetMode="External"/><Relationship Id="rId2701" Type="http://schemas.openxmlformats.org/officeDocument/2006/relationships/hyperlink" Target="https://doi.org/10.1145/3447548.3467146" TargetMode="External"/><Relationship Id="rId2702" Type="http://schemas.openxmlformats.org/officeDocument/2006/relationships/hyperlink" Target="https://doi.org/10.1145/3447548.3467368" TargetMode="External"/><Relationship Id="rId2703" Type="http://schemas.openxmlformats.org/officeDocument/2006/relationships/hyperlink" Target="https://doi.org/10.1145/3447868" TargetMode="External"/><Relationship Id="rId2704" Type="http://schemas.openxmlformats.org/officeDocument/2006/relationships/hyperlink" Target="https://doi.org/10.1145/3448734.3450869" TargetMode="External"/><Relationship Id="rId2705" Type="http://schemas.openxmlformats.org/officeDocument/2006/relationships/hyperlink" Target="https://ieeexplore.ieee.org/stamp/stamp.jsp?arnumber=9709018" TargetMode="External"/><Relationship Id="rId2706" Type="http://schemas.openxmlformats.org/officeDocument/2006/relationships/hyperlink" Target="https://doi.org/10.1145/3456630" TargetMode="External"/><Relationship Id="rId2707" Type="http://schemas.openxmlformats.org/officeDocument/2006/relationships/hyperlink" Target="https://www.scopus.com/inward/record.uri?eid=2-s2.0-85116413818&amp;doi=10.1145%2f3460352&amp;partnerID=40&amp;md5=23fb82bf9eaccc528c5bdb97f3340c31" TargetMode="External"/><Relationship Id="rId2708" Type="http://schemas.openxmlformats.org/officeDocument/2006/relationships/hyperlink" Target="https://doi.org/10.1145/3460866.3461772" TargetMode="External"/><Relationship Id="rId2709" Type="http://schemas.openxmlformats.org/officeDocument/2006/relationships/hyperlink" Target="https://doi.org/10.1145/3464305" TargetMode="External"/><Relationship Id="rId2720" Type="http://schemas.openxmlformats.org/officeDocument/2006/relationships/hyperlink" Target="https://doi.org/10.1145/3479241.3486691" TargetMode="External"/><Relationship Id="rId2721" Type="http://schemas.openxmlformats.org/officeDocument/2006/relationships/hyperlink" Target="https://www.scopus.com/inward/record.uri?eid=2-s2.0-85121435592&amp;doi=10.1145%2f3479241.3486700&amp;partnerID=40&amp;md5=60dc92354dc82791b9d00a5779bddb87" TargetMode="External"/><Relationship Id="rId2722" Type="http://schemas.openxmlformats.org/officeDocument/2006/relationships/hyperlink" Target="https://www.scopus.com/inward/record.uri?eid=2-s2.0-85120913142&amp;doi=10.1145%2f3485730.3493446&amp;partnerID=40&amp;md5=b337a95e7b6b94305c3d693ce7393be2" TargetMode="External"/><Relationship Id="rId2723" Type="http://schemas.openxmlformats.org/officeDocument/2006/relationships/hyperlink" Target="https://doi.org/10.1145/3485832.3485907" TargetMode="External"/><Relationship Id="rId2724" Type="http://schemas.openxmlformats.org/officeDocument/2006/relationships/hyperlink" Target="https://doi.org/10.1145/3486221" TargetMode="External"/><Relationship Id="rId2725" Type="http://schemas.openxmlformats.org/officeDocument/2006/relationships/hyperlink" Target="https://www.scopus.com/inward/record.uri?eid=2-s2.0-85118996371&amp;doi=10.1145%2f3487552.3487815&amp;partnerID=40&amp;md5=51304b54151f72ac84611cd413c354fb" TargetMode="External"/><Relationship Id="rId2726" Type="http://schemas.openxmlformats.org/officeDocument/2006/relationships/hyperlink" Target="https://doi.org/10.1145/3487664.3487806" TargetMode="External"/><Relationship Id="rId2727" Type="http://schemas.openxmlformats.org/officeDocument/2006/relationships/hyperlink" Target="https://doi.org/10.1145/3488247" TargetMode="External"/><Relationship Id="rId2728" Type="http://schemas.openxmlformats.org/officeDocument/2006/relationships/hyperlink" Target="https://doi.org/10.1145/3488585" TargetMode="External"/><Relationship Id="rId2729" Type="http://schemas.openxmlformats.org/officeDocument/2006/relationships/hyperlink" Target="https://doi.org/10.1145/3491204.3527490" TargetMode="External"/><Relationship Id="rId2710" Type="http://schemas.openxmlformats.org/officeDocument/2006/relationships/hyperlink" Target="https://doi.org/10.1145/3465480.3466928" TargetMode="External"/><Relationship Id="rId2711" Type="http://schemas.openxmlformats.org/officeDocument/2006/relationships/hyperlink" Target="https://doi.org/10.1145/3468264.3468610" TargetMode="External"/><Relationship Id="rId2712" Type="http://schemas.openxmlformats.org/officeDocument/2006/relationships/hyperlink" Target="https://doi.org/10.1145/3468737.3494097" TargetMode="External"/><Relationship Id="rId2713" Type="http://schemas.openxmlformats.org/officeDocument/2006/relationships/hyperlink" Target="https://doi.org/10.1145/3469213.3470417" TargetMode="External"/><Relationship Id="rId2714" Type="http://schemas.openxmlformats.org/officeDocument/2006/relationships/hyperlink" Target="https://doi.org/10.1145/3469440" TargetMode="External"/><Relationship Id="rId2715" Type="http://schemas.openxmlformats.org/officeDocument/2006/relationships/hyperlink" Target="https://doi.org/10.1145/3470658" TargetMode="External"/><Relationship Id="rId2716" Type="http://schemas.openxmlformats.org/officeDocument/2006/relationships/hyperlink" Target="https://doi.org/10.1145/3474554" TargetMode="External"/><Relationship Id="rId2717" Type="http://schemas.openxmlformats.org/officeDocument/2006/relationships/hyperlink" Target="https://doi.org/10.1145/3475991" TargetMode="External"/><Relationship Id="rId2718" Type="http://schemas.openxmlformats.org/officeDocument/2006/relationships/hyperlink" Target="https://doi.org/10.1145/3476513" TargetMode="External"/><Relationship Id="rId2719" Type="http://schemas.openxmlformats.org/officeDocument/2006/relationships/hyperlink" Target="https://doi.org/10.1145/3478680" TargetMode="External"/><Relationship Id="rId1455" Type="http://schemas.openxmlformats.org/officeDocument/2006/relationships/hyperlink" Target="https://ieeexplore.ieee.org/stamp/stamp.jsp?arnumber=10834879" TargetMode="External"/><Relationship Id="rId2786" Type="http://schemas.openxmlformats.org/officeDocument/2006/relationships/hyperlink" Target="https://doi.org/10.1145/3580305.3599392" TargetMode="External"/><Relationship Id="rId1456" Type="http://schemas.openxmlformats.org/officeDocument/2006/relationships/hyperlink" Target="https://ieeexplore.ieee.org/stamp/stamp.jsp?arnumber=8372338" TargetMode="External"/><Relationship Id="rId2787" Type="http://schemas.openxmlformats.org/officeDocument/2006/relationships/hyperlink" Target="https://doi.org/10.1145/3581759" TargetMode="External"/><Relationship Id="rId1457" Type="http://schemas.openxmlformats.org/officeDocument/2006/relationships/hyperlink" Target="https://ieeexplore.ieee.org/stamp/stamp.jsp?arnumber=10738973" TargetMode="External"/><Relationship Id="rId2788" Type="http://schemas.openxmlformats.org/officeDocument/2006/relationships/hyperlink" Target="https://doi.org/10.1145/3581784.3607091" TargetMode="External"/><Relationship Id="rId1458" Type="http://schemas.openxmlformats.org/officeDocument/2006/relationships/hyperlink" Target="https://ieeexplore.ieee.org/stamp/stamp.jsp?arnumber=9611099" TargetMode="External"/><Relationship Id="rId2789" Type="http://schemas.openxmlformats.org/officeDocument/2006/relationships/hyperlink" Target="https://www.scopus.com/inward/record.uri?eid=2-s2.0-85186121437&amp;doi=10.1145%2f3583740.3626623&amp;partnerID=40&amp;md5=cbe7d76303b16097ab8353052601b815" TargetMode="External"/><Relationship Id="rId1459" Type="http://schemas.openxmlformats.org/officeDocument/2006/relationships/hyperlink" Target="https://ieeexplore.ieee.org/stamp/stamp.jsp?arnumber=8981442" TargetMode="External"/><Relationship Id="rId629" Type="http://schemas.openxmlformats.org/officeDocument/2006/relationships/hyperlink" Target="https://ieeexplore.ieee.org/stamp/stamp.jsp?arnumber=9530537" TargetMode="External"/><Relationship Id="rId624" Type="http://schemas.openxmlformats.org/officeDocument/2006/relationships/hyperlink" Target="https://ieeexplore.ieee.org/stamp/stamp.jsp?arnumber=9493179" TargetMode="External"/><Relationship Id="rId623" Type="http://schemas.openxmlformats.org/officeDocument/2006/relationships/hyperlink" Target="https://ieeexplore.ieee.org/stamp/stamp.jsp?arnumber=9492081" TargetMode="External"/><Relationship Id="rId622" Type="http://schemas.openxmlformats.org/officeDocument/2006/relationships/hyperlink" Target="https://ieeexplore.ieee.org/stamp/stamp.jsp?arnumber=9489314" TargetMode="External"/><Relationship Id="rId621" Type="http://schemas.openxmlformats.org/officeDocument/2006/relationships/hyperlink" Target="https://www.scopus.com/inward/record.uri?eid=2-s2.0-85110850204&amp;doi=10.1109%2fACCESS.2021.3096749&amp;partnerID=40&amp;md5=f774490f8264505b6c9c4966758205ae" TargetMode="External"/><Relationship Id="rId628" Type="http://schemas.openxmlformats.org/officeDocument/2006/relationships/hyperlink" Target="https://ieeexplore.ieee.org/stamp/stamp.jsp?arnumber=9523744" TargetMode="External"/><Relationship Id="rId627" Type="http://schemas.openxmlformats.org/officeDocument/2006/relationships/hyperlink" Target="https://ieeexplore.ieee.org/stamp/stamp.jsp?arnumber=9512038" TargetMode="External"/><Relationship Id="rId626" Type="http://schemas.openxmlformats.org/officeDocument/2006/relationships/hyperlink" Target="https://ieeexplore.ieee.org/stamp/stamp.jsp?arnumber=9507488" TargetMode="External"/><Relationship Id="rId625" Type="http://schemas.openxmlformats.org/officeDocument/2006/relationships/hyperlink" Target="https://ieeexplore.ieee.org/stamp/stamp.jsp?arnumber=9507503" TargetMode="External"/><Relationship Id="rId2780" Type="http://schemas.openxmlformats.org/officeDocument/2006/relationships/hyperlink" Target="https://doi.org/10.1145/3575879.3575963" TargetMode="External"/><Relationship Id="rId1450" Type="http://schemas.openxmlformats.org/officeDocument/2006/relationships/hyperlink" Target="https://ieeexplore.ieee.org/stamp/stamp.jsp?arnumber=9872862" TargetMode="External"/><Relationship Id="rId2781" Type="http://schemas.openxmlformats.org/officeDocument/2006/relationships/hyperlink" Target="https://www.scopus.com/inward/record.uri?eid=2-s2.0-85158857446&amp;doi=10.1145%2f3578245.3585329&amp;partnerID=40&amp;md5=420b1b38b9101cea5502193ad0c392e0" TargetMode="External"/><Relationship Id="rId620" Type="http://schemas.openxmlformats.org/officeDocument/2006/relationships/hyperlink" Target="https://ieeexplore.ieee.org/stamp/stamp.jsp?arnumber=9467373" TargetMode="External"/><Relationship Id="rId1451" Type="http://schemas.openxmlformats.org/officeDocument/2006/relationships/hyperlink" Target="https://ieeexplore.ieee.org/stamp/stamp.jsp?arnumber=9872946" TargetMode="External"/><Relationship Id="rId2782" Type="http://schemas.openxmlformats.org/officeDocument/2006/relationships/hyperlink" Target="https://www.scopus.com/inward/record.uri?eid=2-s2.0-85168872680&amp;doi=10.1145%2f3579371.3589066&amp;partnerID=40&amp;md5=69235a194c3d3c1a387280d214364192" TargetMode="External"/><Relationship Id="rId1452" Type="http://schemas.openxmlformats.org/officeDocument/2006/relationships/hyperlink" Target="https://ieeexplore.ieee.org/stamp/stamp.jsp?arnumber=9873055" TargetMode="External"/><Relationship Id="rId2783" Type="http://schemas.openxmlformats.org/officeDocument/2006/relationships/hyperlink" Target="https://doi.org/10.1145/3579371.3589072" TargetMode="External"/><Relationship Id="rId1453" Type="http://schemas.openxmlformats.org/officeDocument/2006/relationships/hyperlink" Target="https://ieeexplore.ieee.org/stamp/stamp.jsp?arnumber=10389574" TargetMode="External"/><Relationship Id="rId2784" Type="http://schemas.openxmlformats.org/officeDocument/2006/relationships/hyperlink" Target="https://doi.org/10.1145/3579643" TargetMode="External"/><Relationship Id="rId1454" Type="http://schemas.openxmlformats.org/officeDocument/2006/relationships/hyperlink" Target="https://ieeexplore.ieee.org/stamp/stamp.jsp?arnumber=9997058" TargetMode="External"/><Relationship Id="rId2785" Type="http://schemas.openxmlformats.org/officeDocument/2006/relationships/hyperlink" Target="https://www.scopus.com/inward/record.uri?eid=2-s2.0-85149978786&amp;doi=10.1145%2f3579992&amp;partnerID=40&amp;md5=e2de88812b9aa1ce1e1d4f539ed33012" TargetMode="External"/><Relationship Id="rId1444" Type="http://schemas.openxmlformats.org/officeDocument/2006/relationships/hyperlink" Target="https://ieeexplore.ieee.org/stamp/stamp.jsp?arnumber=9752341" TargetMode="External"/><Relationship Id="rId2775" Type="http://schemas.openxmlformats.org/officeDocument/2006/relationships/hyperlink" Target="https://doi.org/10.1145/3572901" TargetMode="External"/><Relationship Id="rId1445" Type="http://schemas.openxmlformats.org/officeDocument/2006/relationships/hyperlink" Target="https://ieeexplore.ieee.org/stamp/stamp.jsp?arnumber=10212294" TargetMode="External"/><Relationship Id="rId2776" Type="http://schemas.openxmlformats.org/officeDocument/2006/relationships/hyperlink" Target="https://doi.org/10.1145/3573009" TargetMode="External"/><Relationship Id="rId1446" Type="http://schemas.openxmlformats.org/officeDocument/2006/relationships/hyperlink" Target="https://ieeexplore.ieee.org/stamp/stamp.jsp?arnumber=10212395" TargetMode="External"/><Relationship Id="rId2777" Type="http://schemas.openxmlformats.org/officeDocument/2006/relationships/hyperlink" Target="https://doi.org/10.1145/3573125" TargetMode="External"/><Relationship Id="rId1447" Type="http://schemas.openxmlformats.org/officeDocument/2006/relationships/hyperlink" Target="https://ieeexplore.ieee.org/stamp/stamp.jsp?arnumber=9987961" TargetMode="External"/><Relationship Id="rId2778" Type="http://schemas.openxmlformats.org/officeDocument/2006/relationships/hyperlink" Target="https://doi.org/10.1145/3573206" TargetMode="External"/><Relationship Id="rId1448" Type="http://schemas.openxmlformats.org/officeDocument/2006/relationships/hyperlink" Target="https://ieeexplore.ieee.org/stamp/stamp.jsp?arnumber=9988682" TargetMode="External"/><Relationship Id="rId2779" Type="http://schemas.openxmlformats.org/officeDocument/2006/relationships/hyperlink" Target="https://doi.org/10.1145/3573428.3573601" TargetMode="External"/><Relationship Id="rId1449" Type="http://schemas.openxmlformats.org/officeDocument/2006/relationships/hyperlink" Target="https://ieeexplore.ieee.org/stamp/stamp.jsp?arnumber=9698794" TargetMode="External"/><Relationship Id="rId619" Type="http://schemas.openxmlformats.org/officeDocument/2006/relationships/hyperlink" Target="https://ieeexplore.ieee.org/stamp/stamp.jsp?arnumber=9465106" TargetMode="External"/><Relationship Id="rId618" Type="http://schemas.openxmlformats.org/officeDocument/2006/relationships/hyperlink" Target="https://ieeexplore.ieee.org/stamp/stamp.jsp?arnumber=9459736" TargetMode="External"/><Relationship Id="rId613" Type="http://schemas.openxmlformats.org/officeDocument/2006/relationships/hyperlink" Target="https://ieeexplore.ieee.org/stamp/stamp.jsp?arnumber=9427182" TargetMode="External"/><Relationship Id="rId612" Type="http://schemas.openxmlformats.org/officeDocument/2006/relationships/hyperlink" Target="https://ieeexplore.ieee.org/stamp/stamp.jsp?arnumber=9422781" TargetMode="External"/><Relationship Id="rId611" Type="http://schemas.openxmlformats.org/officeDocument/2006/relationships/hyperlink" Target="https://ieeexplore.ieee.org/stamp/stamp.jsp?arnumber=9399420" TargetMode="External"/><Relationship Id="rId610" Type="http://schemas.openxmlformats.org/officeDocument/2006/relationships/hyperlink" Target="https://ieeexplore.ieee.org/stamp/stamp.jsp?arnumber=9393912" TargetMode="External"/><Relationship Id="rId617" Type="http://schemas.openxmlformats.org/officeDocument/2006/relationships/hyperlink" Target="https://ieeexplore.ieee.org/stamp/stamp.jsp?arnumber=9467255" TargetMode="External"/><Relationship Id="rId616" Type="http://schemas.openxmlformats.org/officeDocument/2006/relationships/hyperlink" Target="https://ieeexplore.ieee.org/stamp/stamp.jsp?arnumber=9467257" TargetMode="External"/><Relationship Id="rId615" Type="http://schemas.openxmlformats.org/officeDocument/2006/relationships/hyperlink" Target="https://ieeexplore.ieee.org/stamp/stamp.jsp?arnumber=9445114" TargetMode="External"/><Relationship Id="rId614" Type="http://schemas.openxmlformats.org/officeDocument/2006/relationships/hyperlink" Target="https://www.scopus.com/inward/record.uri?eid=2-s2.0-85107054304&amp;doi=10.1109%2fACCESS.2021.3081770&amp;partnerID=40&amp;md5=51acafa64ce88c0c422b71f777d80c41" TargetMode="External"/><Relationship Id="rId2770" Type="http://schemas.openxmlformats.org/officeDocument/2006/relationships/hyperlink" Target="https://doi.org/10.1145/3565387.3565402" TargetMode="External"/><Relationship Id="rId1440" Type="http://schemas.openxmlformats.org/officeDocument/2006/relationships/hyperlink" Target="https://ieeexplore.ieee.org/stamp/stamp.jsp?arnumber=10393515" TargetMode="External"/><Relationship Id="rId2771" Type="http://schemas.openxmlformats.org/officeDocument/2006/relationships/hyperlink" Target="https://doi.org/10.1145/3567445.3571114" TargetMode="External"/><Relationship Id="rId1441" Type="http://schemas.openxmlformats.org/officeDocument/2006/relationships/hyperlink" Target="https://ieeexplore.ieee.org/stamp/stamp.jsp?arnumber=10594459" TargetMode="External"/><Relationship Id="rId2772" Type="http://schemas.openxmlformats.org/officeDocument/2006/relationships/hyperlink" Target="https://doi.org/10.1145/3567826" TargetMode="External"/><Relationship Id="rId1442" Type="http://schemas.openxmlformats.org/officeDocument/2006/relationships/hyperlink" Target="https://ieeexplore.ieee.org/stamp/stamp.jsp?arnumber=10794207" TargetMode="External"/><Relationship Id="rId2773" Type="http://schemas.openxmlformats.org/officeDocument/2006/relationships/hyperlink" Target="https://doi.org/10.1145/3570361.3592503" TargetMode="External"/><Relationship Id="rId1443" Type="http://schemas.openxmlformats.org/officeDocument/2006/relationships/hyperlink" Target="https://ieeexplore.ieee.org/stamp/stamp.jsp?arnumber=10794355" TargetMode="External"/><Relationship Id="rId2774" Type="http://schemas.openxmlformats.org/officeDocument/2006/relationships/hyperlink" Target="https://doi.org/10.1145/3571729" TargetMode="External"/><Relationship Id="rId1477" Type="http://schemas.openxmlformats.org/officeDocument/2006/relationships/hyperlink" Target="https://ieeexplore.ieee.org/stamp/stamp.jsp?arnumber=9798959" TargetMode="External"/><Relationship Id="rId1478" Type="http://schemas.openxmlformats.org/officeDocument/2006/relationships/hyperlink" Target="https://ieeexplore.ieee.org/stamp/stamp.jsp?arnumber=9961575" TargetMode="External"/><Relationship Id="rId1479" Type="http://schemas.openxmlformats.org/officeDocument/2006/relationships/hyperlink" Target="https://ieeexplore.ieee.org/stamp/stamp.jsp?arnumber=9601104" TargetMode="External"/><Relationship Id="rId646" Type="http://schemas.openxmlformats.org/officeDocument/2006/relationships/hyperlink" Target="https://ieeexplore.ieee.org/stamp/stamp.jsp?arnumber=9739683" TargetMode="External"/><Relationship Id="rId645" Type="http://schemas.openxmlformats.org/officeDocument/2006/relationships/hyperlink" Target="https://ieeexplore.ieee.org/stamp/stamp.jsp?arnumber=9738624" TargetMode="External"/><Relationship Id="rId644" Type="http://schemas.openxmlformats.org/officeDocument/2006/relationships/hyperlink" Target="https://ieeexplore.ieee.org/stamp/stamp.jsp?arnumber=9734070" TargetMode="External"/><Relationship Id="rId643" Type="http://schemas.openxmlformats.org/officeDocument/2006/relationships/hyperlink" Target="https://ieeexplore.ieee.org/stamp/stamp.jsp?arnumber=9732997" TargetMode="External"/><Relationship Id="rId649" Type="http://schemas.openxmlformats.org/officeDocument/2006/relationships/hyperlink" Target="https://ieeexplore.ieee.org/stamp/stamp.jsp?arnumber=9762941" TargetMode="External"/><Relationship Id="rId648" Type="http://schemas.openxmlformats.org/officeDocument/2006/relationships/hyperlink" Target="https://ieeexplore.ieee.org/stamp/stamp.jsp?arnumber=9748116" TargetMode="External"/><Relationship Id="rId647" Type="http://schemas.openxmlformats.org/officeDocument/2006/relationships/hyperlink" Target="https://ieeexplore.ieee.org/stamp/stamp.jsp?arnumber=9740691" TargetMode="External"/><Relationship Id="rId1470" Type="http://schemas.openxmlformats.org/officeDocument/2006/relationships/hyperlink" Target="https://ieeexplore.ieee.org/stamp/stamp.jsp?arnumber=10672636" TargetMode="External"/><Relationship Id="rId1471" Type="http://schemas.openxmlformats.org/officeDocument/2006/relationships/hyperlink" Target="https://ieeexplore.ieee.org/stamp/stamp.jsp?arnumber=10850822" TargetMode="External"/><Relationship Id="rId1472" Type="http://schemas.openxmlformats.org/officeDocument/2006/relationships/hyperlink" Target="https://ieeexplore.ieee.org/stamp/stamp.jsp?arnumber=9791799" TargetMode="External"/><Relationship Id="rId642" Type="http://schemas.openxmlformats.org/officeDocument/2006/relationships/hyperlink" Target="https://ieeexplore.ieee.org/stamp/stamp.jsp?arnumber=9730919" TargetMode="External"/><Relationship Id="rId1473" Type="http://schemas.openxmlformats.org/officeDocument/2006/relationships/hyperlink" Target="https://ieeexplore.ieee.org/stamp/stamp.jsp?arnumber=8822045" TargetMode="External"/><Relationship Id="rId641" Type="http://schemas.openxmlformats.org/officeDocument/2006/relationships/hyperlink" Target="https://www.scopus.com/inward/record.uri?eid=2-s2.0-85125359695&amp;doi=10.1109%2fACCESS.2022.3153837&amp;partnerID=40&amp;md5=a3dfe9eb1481d32972346ddc8fe2f5de" TargetMode="External"/><Relationship Id="rId1474" Type="http://schemas.openxmlformats.org/officeDocument/2006/relationships/hyperlink" Target="https://ieeexplore.ieee.org/stamp/stamp.jsp?arnumber=8014366" TargetMode="External"/><Relationship Id="rId640" Type="http://schemas.openxmlformats.org/officeDocument/2006/relationships/hyperlink" Target="https://ieeexplore.ieee.org/stamp/stamp.jsp?arnumber=9713867" TargetMode="External"/><Relationship Id="rId1475" Type="http://schemas.openxmlformats.org/officeDocument/2006/relationships/hyperlink" Target="https://ieeexplore.ieee.org/stamp/stamp.jsp?arnumber=9458891" TargetMode="External"/><Relationship Id="rId1476" Type="http://schemas.openxmlformats.org/officeDocument/2006/relationships/hyperlink" Target="https://ieeexplore.ieee.org/stamp/stamp.jsp?arnumber=9799165" TargetMode="External"/><Relationship Id="rId1466" Type="http://schemas.openxmlformats.org/officeDocument/2006/relationships/hyperlink" Target="https://ieeexplore.ieee.org/stamp/stamp.jsp?arnumber=9532792" TargetMode="External"/><Relationship Id="rId2797" Type="http://schemas.openxmlformats.org/officeDocument/2006/relationships/hyperlink" Target="https://doi.org/10.1145/3594539" TargetMode="External"/><Relationship Id="rId1467" Type="http://schemas.openxmlformats.org/officeDocument/2006/relationships/hyperlink" Target="https://ieeexplore.ieee.org/stamp/stamp.jsp?arnumber=10193219" TargetMode="External"/><Relationship Id="rId2798" Type="http://schemas.openxmlformats.org/officeDocument/2006/relationships/hyperlink" Target="https://doi.org/10.1145/3594556.3594611" TargetMode="External"/><Relationship Id="rId1468" Type="http://schemas.openxmlformats.org/officeDocument/2006/relationships/hyperlink" Target="https://ieeexplore.ieee.org/stamp/stamp.jsp?arnumber=10651892" TargetMode="External"/><Relationship Id="rId2799" Type="http://schemas.openxmlformats.org/officeDocument/2006/relationships/hyperlink" Target="https://doi.org/10.1145/3595376" TargetMode="External"/><Relationship Id="rId1469" Type="http://schemas.openxmlformats.org/officeDocument/2006/relationships/hyperlink" Target="https://ieeexplore.ieee.org/stamp/stamp.jsp?arnumber=9119645" TargetMode="External"/><Relationship Id="rId635" Type="http://schemas.openxmlformats.org/officeDocument/2006/relationships/hyperlink" Target="https://ieeexplore.ieee.org/stamp/stamp.jsp?arnumber=9663288" TargetMode="External"/><Relationship Id="rId634" Type="http://schemas.openxmlformats.org/officeDocument/2006/relationships/hyperlink" Target="https://ieeexplore.ieee.org/stamp/stamp.jsp?arnumber=9658494" TargetMode="External"/><Relationship Id="rId633" Type="http://schemas.openxmlformats.org/officeDocument/2006/relationships/hyperlink" Target="https://ieeexplore.ieee.org/stamp/stamp.jsp?arnumber=9642983" TargetMode="External"/><Relationship Id="rId632" Type="http://schemas.openxmlformats.org/officeDocument/2006/relationships/hyperlink" Target="https://ieeexplore.ieee.org/stamp/stamp.jsp?arnumber=9570274" TargetMode="External"/><Relationship Id="rId639" Type="http://schemas.openxmlformats.org/officeDocument/2006/relationships/hyperlink" Target="https://ieeexplore.ieee.org/stamp/stamp.jsp?arnumber=9709286" TargetMode="External"/><Relationship Id="rId638" Type="http://schemas.openxmlformats.org/officeDocument/2006/relationships/hyperlink" Target="https://ieeexplore.ieee.org/stamp/stamp.jsp?arnumber=9701357" TargetMode="External"/><Relationship Id="rId637" Type="http://schemas.openxmlformats.org/officeDocument/2006/relationships/hyperlink" Target="https://ieeexplore.ieee.org/stamp/stamp.jsp?arnumber=9684900" TargetMode="External"/><Relationship Id="rId636" Type="http://schemas.openxmlformats.org/officeDocument/2006/relationships/hyperlink" Target="https://ieeexplore.ieee.org/stamp/stamp.jsp?arnumber=9680737" TargetMode="External"/><Relationship Id="rId2790" Type="http://schemas.openxmlformats.org/officeDocument/2006/relationships/hyperlink" Target="https://doi.org/10.1145/3584871.3584891" TargetMode="External"/><Relationship Id="rId1460" Type="http://schemas.openxmlformats.org/officeDocument/2006/relationships/hyperlink" Target="https://ieeexplore.ieee.org/stamp/stamp.jsp?arnumber=10693085" TargetMode="External"/><Relationship Id="rId2791" Type="http://schemas.openxmlformats.org/officeDocument/2006/relationships/hyperlink" Target="https://www.scopus.com/inward/record.uri?eid=2-s2.0-85168807345&amp;doi=10.1145%2f3586181&amp;partnerID=40&amp;md5=32e5c787c29fe655f9e44f1febb3e5f5" TargetMode="External"/><Relationship Id="rId1461" Type="http://schemas.openxmlformats.org/officeDocument/2006/relationships/hyperlink" Target="https://ieeexplore.ieee.org/stamp/stamp.jsp?arnumber=10917171" TargetMode="External"/><Relationship Id="rId2792" Type="http://schemas.openxmlformats.org/officeDocument/2006/relationships/hyperlink" Target="https://doi.org/10.1145/3586183.3606794" TargetMode="External"/><Relationship Id="rId631" Type="http://schemas.openxmlformats.org/officeDocument/2006/relationships/hyperlink" Target="https://www.scopus.com/inward/record.uri?eid=2-s2.0-85115730210&amp;doi=10.1109%2fACCESS.2021.3113986&amp;partnerID=40&amp;md5=66fd629a6bf14f7840188c8eff5fef15" TargetMode="External"/><Relationship Id="rId1462" Type="http://schemas.openxmlformats.org/officeDocument/2006/relationships/hyperlink" Target="https://ieeexplore.ieee.org/stamp/stamp.jsp?arnumber=10199743" TargetMode="External"/><Relationship Id="rId2793" Type="http://schemas.openxmlformats.org/officeDocument/2006/relationships/hyperlink" Target="https://doi.org/10.1145/3589227" TargetMode="External"/><Relationship Id="rId630" Type="http://schemas.openxmlformats.org/officeDocument/2006/relationships/hyperlink" Target="https://www.scopus.com/inward/record.uri?eid=2-s2.0-85114729305&amp;doi=10.1109%2fACCESS.2021.3110993&amp;partnerID=40&amp;md5=ccdfc2b3e019c01113b32e1941896d72" TargetMode="External"/><Relationship Id="rId1463" Type="http://schemas.openxmlformats.org/officeDocument/2006/relationships/hyperlink" Target="https://ieeexplore.ieee.org/stamp/stamp.jsp?arnumber=10561638" TargetMode="External"/><Relationship Id="rId2794" Type="http://schemas.openxmlformats.org/officeDocument/2006/relationships/hyperlink" Target="https://doi.org/10.1145/3589334.3645434" TargetMode="External"/><Relationship Id="rId1464" Type="http://schemas.openxmlformats.org/officeDocument/2006/relationships/hyperlink" Target="https://ieeexplore.ieee.org/stamp/stamp.jsp?arnumber=10814733" TargetMode="External"/><Relationship Id="rId2795" Type="http://schemas.openxmlformats.org/officeDocument/2006/relationships/hyperlink" Target="https://doi.org/10.1145/3592598" TargetMode="External"/><Relationship Id="rId1465" Type="http://schemas.openxmlformats.org/officeDocument/2006/relationships/hyperlink" Target="https://ieeexplore.ieee.org/stamp/stamp.jsp?arnumber=10862767" TargetMode="External"/><Relationship Id="rId2796" Type="http://schemas.openxmlformats.org/officeDocument/2006/relationships/hyperlink" Target="https://doi.org/10.1145/3593021" TargetMode="External"/><Relationship Id="rId1411" Type="http://schemas.openxmlformats.org/officeDocument/2006/relationships/hyperlink" Target="https://ieeexplore.ieee.org/stamp/stamp.jsp?arnumber=10419572" TargetMode="External"/><Relationship Id="rId2742" Type="http://schemas.openxmlformats.org/officeDocument/2006/relationships/hyperlink" Target="https://doi.org/10.1145/3510611" TargetMode="External"/><Relationship Id="rId1412" Type="http://schemas.openxmlformats.org/officeDocument/2006/relationships/hyperlink" Target="https://ieeexplore.ieee.org/stamp/stamp.jsp?arnumber=8550830" TargetMode="External"/><Relationship Id="rId2743" Type="http://schemas.openxmlformats.org/officeDocument/2006/relationships/hyperlink" Target="https://doi.org/10.1145/3512961" TargetMode="External"/><Relationship Id="rId1413" Type="http://schemas.openxmlformats.org/officeDocument/2006/relationships/hyperlink" Target="https://ieeexplore.ieee.org/stamp/stamp.jsp?arnumber=8756735" TargetMode="External"/><Relationship Id="rId2744" Type="http://schemas.openxmlformats.org/officeDocument/2006/relationships/hyperlink" Target="https://doi.org/10.1145/3513002" TargetMode="External"/><Relationship Id="rId1414" Type="http://schemas.openxmlformats.org/officeDocument/2006/relationships/hyperlink" Target="https://ieeexplore.ieee.org/stamp/stamp.jsp?arnumber=9473567" TargetMode="External"/><Relationship Id="rId2745" Type="http://schemas.openxmlformats.org/officeDocument/2006/relationships/hyperlink" Target="https://doi.org/10.1145/3517206.3526266" TargetMode="External"/><Relationship Id="rId1415" Type="http://schemas.openxmlformats.org/officeDocument/2006/relationships/hyperlink" Target="https://ieeexplore.ieee.org/stamp/stamp.jsp?arnumber=9473688" TargetMode="External"/><Relationship Id="rId2746" Type="http://schemas.openxmlformats.org/officeDocument/2006/relationships/hyperlink" Target="https://doi.org/10.1145/3522741" TargetMode="External"/><Relationship Id="rId1416" Type="http://schemas.openxmlformats.org/officeDocument/2006/relationships/hyperlink" Target="https://ieeexplore.ieee.org/stamp/stamp.jsp?arnumber=9814488" TargetMode="External"/><Relationship Id="rId2747" Type="http://schemas.openxmlformats.org/officeDocument/2006/relationships/hyperlink" Target="https://doi.org/10.1145/3524106" TargetMode="External"/><Relationship Id="rId1417" Type="http://schemas.openxmlformats.org/officeDocument/2006/relationships/hyperlink" Target="https://ieeexplore.ieee.org/stamp/stamp.jsp?arnumber=9814617" TargetMode="External"/><Relationship Id="rId2748" Type="http://schemas.openxmlformats.org/officeDocument/2006/relationships/hyperlink" Target="https://www.scopus.com/inward/record.uri?eid=2-s2.0-85133870426&amp;doi=10.1145%2f3524452&amp;partnerID=40&amp;md5=58753478f40b665411addbdedb192752" TargetMode="External"/><Relationship Id="rId1418" Type="http://schemas.openxmlformats.org/officeDocument/2006/relationships/hyperlink" Target="https://ieeexplore.ieee.org/stamp/stamp.jsp?arnumber=10283501" TargetMode="External"/><Relationship Id="rId2749" Type="http://schemas.openxmlformats.org/officeDocument/2006/relationships/hyperlink" Target="https://doi.org/10.1145/3524458.3547254" TargetMode="External"/><Relationship Id="rId1419" Type="http://schemas.openxmlformats.org/officeDocument/2006/relationships/hyperlink" Target="https://ieeexplore.ieee.org/stamp/stamp.jsp?arnumber=10283539" TargetMode="External"/><Relationship Id="rId2740" Type="http://schemas.openxmlformats.org/officeDocument/2006/relationships/hyperlink" Target="https://doi.org/10.1145/3510412" TargetMode="External"/><Relationship Id="rId1410" Type="http://schemas.openxmlformats.org/officeDocument/2006/relationships/hyperlink" Target="https://ieeexplore.ieee.org/stamp/stamp.jsp?arnumber=9295907" TargetMode="External"/><Relationship Id="rId2741" Type="http://schemas.openxmlformats.org/officeDocument/2006/relationships/hyperlink" Target="https://doi.org/10.1145/3510415" TargetMode="External"/><Relationship Id="rId1400" Type="http://schemas.openxmlformats.org/officeDocument/2006/relationships/hyperlink" Target="https://ieeexplore.ieee.org/stamp/stamp.jsp?arnumber=10673086" TargetMode="External"/><Relationship Id="rId2731" Type="http://schemas.openxmlformats.org/officeDocument/2006/relationships/hyperlink" Target="https://doi.org/10.1145/3493229.3493306" TargetMode="External"/><Relationship Id="rId1401" Type="http://schemas.openxmlformats.org/officeDocument/2006/relationships/hyperlink" Target="https://ieeexplore.ieee.org/stamp/stamp.jsp?arnumber=10444794" TargetMode="External"/><Relationship Id="rId2732" Type="http://schemas.openxmlformats.org/officeDocument/2006/relationships/hyperlink" Target="https://www.scopus.com/inward/record.uri?eid=2-s2.0-85121448756&amp;doi=10.1145%2f3493651.3493666&amp;partnerID=40&amp;md5=50bf347285fec84fc6ce77b9ed04ca3b" TargetMode="External"/><Relationship Id="rId1402" Type="http://schemas.openxmlformats.org/officeDocument/2006/relationships/hyperlink" Target="https://ieeexplore.ieee.org/stamp/stamp.jsp?arnumber=10795835" TargetMode="External"/><Relationship Id="rId2733" Type="http://schemas.openxmlformats.org/officeDocument/2006/relationships/hyperlink" Target="https://doi.org/10.1145/3494322.3494338" TargetMode="External"/><Relationship Id="rId1403" Type="http://schemas.openxmlformats.org/officeDocument/2006/relationships/hyperlink" Target="https://ieeexplore.ieee.org/stamp/stamp.jsp?arnumber=10830399" TargetMode="External"/><Relationship Id="rId2734" Type="http://schemas.openxmlformats.org/officeDocument/2006/relationships/hyperlink" Target="https://doi.org/10.1145/3498336" TargetMode="External"/><Relationship Id="rId1404" Type="http://schemas.openxmlformats.org/officeDocument/2006/relationships/hyperlink" Target="https://ieeexplore.ieee.org/stamp/stamp.jsp?arnumber=10830425" TargetMode="External"/><Relationship Id="rId2735" Type="http://schemas.openxmlformats.org/officeDocument/2006/relationships/hyperlink" Target="https://doi.org/10.1145/3498338" TargetMode="External"/><Relationship Id="rId1405" Type="http://schemas.openxmlformats.org/officeDocument/2006/relationships/hyperlink" Target="https://www.scopus.com/inward/record.uri?eid=2-s2.0-85088899167&amp;doi=10.1109%2fICCSN49894.2020.9139102&amp;partnerID=40&amp;md5=6f7a03d9969ac424f5c0f16c6e7adb80" TargetMode="External"/><Relationship Id="rId2736" Type="http://schemas.openxmlformats.org/officeDocument/2006/relationships/hyperlink" Target="https://doi.org/10.1145/3503222.3507731" TargetMode="External"/><Relationship Id="rId1406" Type="http://schemas.openxmlformats.org/officeDocument/2006/relationships/hyperlink" Target="https://ieeexplore.ieee.org/stamp/stamp.jsp?arnumber=10297385" TargetMode="External"/><Relationship Id="rId2737" Type="http://schemas.openxmlformats.org/officeDocument/2006/relationships/hyperlink" Target="https://doi.org/10.1145/3508042" TargetMode="External"/><Relationship Id="rId1407" Type="http://schemas.openxmlformats.org/officeDocument/2006/relationships/hyperlink" Target="https://ieeexplore.ieee.org/stamp/stamp.jsp?arnumber=10543382" TargetMode="External"/><Relationship Id="rId2738" Type="http://schemas.openxmlformats.org/officeDocument/2006/relationships/hyperlink" Target="https://doi.org/10.1145/3508360" TargetMode="External"/><Relationship Id="rId1408" Type="http://schemas.openxmlformats.org/officeDocument/2006/relationships/hyperlink" Target="https://ieeexplore.ieee.org/stamp/stamp.jsp?arnumber=10019050" TargetMode="External"/><Relationship Id="rId2739" Type="http://schemas.openxmlformats.org/officeDocument/2006/relationships/hyperlink" Target="https://doi.org/10.1145/3510411" TargetMode="External"/><Relationship Id="rId1409" Type="http://schemas.openxmlformats.org/officeDocument/2006/relationships/hyperlink" Target="https://ieeexplore.ieee.org/stamp/stamp.jsp?arnumber=10040417" TargetMode="External"/><Relationship Id="rId2730" Type="http://schemas.openxmlformats.org/officeDocument/2006/relationships/hyperlink" Target="https://doi.org/10.1145/3492762" TargetMode="External"/><Relationship Id="rId1433" Type="http://schemas.openxmlformats.org/officeDocument/2006/relationships/hyperlink" Target="https://ieeexplore.ieee.org/stamp/stamp.jsp?arnumber=8885153" TargetMode="External"/><Relationship Id="rId2764" Type="http://schemas.openxmlformats.org/officeDocument/2006/relationships/hyperlink" Target="https://doi.org/10.1145/3550355.3552405" TargetMode="External"/><Relationship Id="rId1434" Type="http://schemas.openxmlformats.org/officeDocument/2006/relationships/hyperlink" Target="https://ieeexplore.ieee.org/stamp/stamp.jsp?arnumber=10272441" TargetMode="External"/><Relationship Id="rId2765" Type="http://schemas.openxmlformats.org/officeDocument/2006/relationships/hyperlink" Target="https://doi.org/10.1145/3552326.3587459" TargetMode="External"/><Relationship Id="rId1435" Type="http://schemas.openxmlformats.org/officeDocument/2006/relationships/hyperlink" Target="https://www.scopus.com/inward/record.uri?eid=2-s2.0-85175001490&amp;doi=10.1109%2fICDCS57875.2023.00083&amp;partnerID=40&amp;md5=9a3a46bafb1433067959bb28421112b6" TargetMode="External"/><Relationship Id="rId2766" Type="http://schemas.openxmlformats.org/officeDocument/2006/relationships/hyperlink" Target="https://doi.org/10.1145/3558819.3558839" TargetMode="External"/><Relationship Id="rId1436" Type="http://schemas.openxmlformats.org/officeDocument/2006/relationships/hyperlink" Target="https://ieeexplore.ieee.org/stamp/stamp.jsp?arnumber=10630914" TargetMode="External"/><Relationship Id="rId2767" Type="http://schemas.openxmlformats.org/officeDocument/2006/relationships/hyperlink" Target="https://www.scopus.com/inward/record.uri?eid=2-s2.0-85166311048&amp;doi=10.1145%2f3560265&amp;partnerID=40&amp;md5=f125f2f8c586acd7b06e696b6f109ef8" TargetMode="External"/><Relationship Id="rId1437" Type="http://schemas.openxmlformats.org/officeDocument/2006/relationships/hyperlink" Target="https://www.scopus.com/inward/record.uri?eid=2-s2.0-85203833740&amp;doi=10.1109%2fICDH62654.2024.00046&amp;partnerID=40&amp;md5=970813cb9b5003e2096bf0bdc6590091" TargetMode="External"/><Relationship Id="rId2768" Type="http://schemas.openxmlformats.org/officeDocument/2006/relationships/hyperlink" Target="https://doi.org/10.1145/3563647.3563651" TargetMode="External"/><Relationship Id="rId1438" Type="http://schemas.openxmlformats.org/officeDocument/2006/relationships/hyperlink" Target="https://ieeexplore.ieee.org/stamp/stamp.jsp?arnumber=8637473" TargetMode="External"/><Relationship Id="rId2769" Type="http://schemas.openxmlformats.org/officeDocument/2006/relationships/hyperlink" Target="https://www.scopus.com/inward/record.uri?eid=2-s2.0-85146999075&amp;doi=10.1145%2f3563835.3567655&amp;partnerID=40&amp;md5=594c04d3a2669a817d1064c1c24e5e8c" TargetMode="External"/><Relationship Id="rId1439" Type="http://schemas.openxmlformats.org/officeDocument/2006/relationships/hyperlink" Target="https://ieeexplore.ieee.org/stamp/stamp.jsp?arnumber=10393333" TargetMode="External"/><Relationship Id="rId609" Type="http://schemas.openxmlformats.org/officeDocument/2006/relationships/hyperlink" Target="https://ieeexplore.ieee.org/stamp/stamp.jsp?arnumber=9385091" TargetMode="External"/><Relationship Id="rId608" Type="http://schemas.openxmlformats.org/officeDocument/2006/relationships/hyperlink" Target="https://ieeexplore.ieee.org/stamp/stamp.jsp?arnumber=9380344" TargetMode="External"/><Relationship Id="rId607" Type="http://schemas.openxmlformats.org/officeDocument/2006/relationships/hyperlink" Target="https://ieeexplore.ieee.org/stamp/stamp.jsp?arnumber=9348934" TargetMode="External"/><Relationship Id="rId602" Type="http://schemas.openxmlformats.org/officeDocument/2006/relationships/hyperlink" Target="https://ieeexplore.ieee.org/stamp/stamp.jsp?arnumber=9309376" TargetMode="External"/><Relationship Id="rId601" Type="http://schemas.openxmlformats.org/officeDocument/2006/relationships/hyperlink" Target="https://ieeexplore.ieee.org/stamp/stamp.jsp?arnumber=9296769" TargetMode="External"/><Relationship Id="rId600" Type="http://schemas.openxmlformats.org/officeDocument/2006/relationships/hyperlink" Target="https://ieeexplore.ieee.org/stamp/stamp.jsp?arnumber=9285283" TargetMode="External"/><Relationship Id="rId606" Type="http://schemas.openxmlformats.org/officeDocument/2006/relationships/hyperlink" Target="https://ieeexplore.ieee.org/stamp/stamp.jsp?arnumber=9335927" TargetMode="External"/><Relationship Id="rId605" Type="http://schemas.openxmlformats.org/officeDocument/2006/relationships/hyperlink" Target="https://ieeexplore.ieee.org/stamp/stamp.jsp?arnumber=9330515" TargetMode="External"/><Relationship Id="rId604" Type="http://schemas.openxmlformats.org/officeDocument/2006/relationships/hyperlink" Target="https://ieeexplore.ieee.org/stamp/stamp.jsp?arnumber=9324846" TargetMode="External"/><Relationship Id="rId603" Type="http://schemas.openxmlformats.org/officeDocument/2006/relationships/hyperlink" Target="https://ieeexplore.ieee.org/stamp/stamp.jsp?arnumber=9317860" TargetMode="External"/><Relationship Id="rId2760" Type="http://schemas.openxmlformats.org/officeDocument/2006/relationships/hyperlink" Target="https://doi.org/10.1145/3542929.3563476" TargetMode="External"/><Relationship Id="rId1430" Type="http://schemas.openxmlformats.org/officeDocument/2006/relationships/hyperlink" Target="https://ieeexplore.ieee.org/stamp/stamp.jsp?arnumber=8885267" TargetMode="External"/><Relationship Id="rId2761" Type="http://schemas.openxmlformats.org/officeDocument/2006/relationships/hyperlink" Target="https://www.scopus.com/inward/record.uri?eid=2-s2.0-85159265082&amp;doi=10.1145%2f3543507.3583288&amp;partnerID=40&amp;md5=25bc3c2e698c91accd7026440842aaa3" TargetMode="External"/><Relationship Id="rId1431" Type="http://schemas.openxmlformats.org/officeDocument/2006/relationships/hyperlink" Target="https://ieeexplore.ieee.org/stamp/stamp.jsp?arnumber=8885168" TargetMode="External"/><Relationship Id="rId2762" Type="http://schemas.openxmlformats.org/officeDocument/2006/relationships/hyperlink" Target="https://doi.org/10.1145/3543507.3583437" TargetMode="External"/><Relationship Id="rId1432" Type="http://schemas.openxmlformats.org/officeDocument/2006/relationships/hyperlink" Target="https://ieeexplore.ieee.org/stamp/stamp.jsp?arnumber=8885062" TargetMode="External"/><Relationship Id="rId2763" Type="http://schemas.openxmlformats.org/officeDocument/2006/relationships/hyperlink" Target="https://doi.org/10.1145/3545008.3545094" TargetMode="External"/><Relationship Id="rId1422" Type="http://schemas.openxmlformats.org/officeDocument/2006/relationships/hyperlink" Target="https://ieeexplore.ieee.org/stamp/stamp.jsp?arnumber=10283755" TargetMode="External"/><Relationship Id="rId2753" Type="http://schemas.openxmlformats.org/officeDocument/2006/relationships/hyperlink" Target="https://doi.org/10.1145/3526060.3535461" TargetMode="External"/><Relationship Id="rId1423" Type="http://schemas.openxmlformats.org/officeDocument/2006/relationships/hyperlink" Target="https://ieeexplore.ieee.org/stamp/stamp.jsp?arnumber=10615599" TargetMode="External"/><Relationship Id="rId2754" Type="http://schemas.openxmlformats.org/officeDocument/2006/relationships/hyperlink" Target="https://doi.org/10.1145/3527312" TargetMode="External"/><Relationship Id="rId1424" Type="http://schemas.openxmlformats.org/officeDocument/2006/relationships/hyperlink" Target="https://ieeexplore.ieee.org/stamp/stamp.jsp?arnumber=10615948" TargetMode="External"/><Relationship Id="rId2755" Type="http://schemas.openxmlformats.org/officeDocument/2006/relationships/hyperlink" Target="https://doi.org/10.1145/3530692" TargetMode="External"/><Relationship Id="rId1425" Type="http://schemas.openxmlformats.org/officeDocument/2006/relationships/hyperlink" Target="https://ieeexplore.ieee.org/stamp/stamp.jsp?arnumber=10150518" TargetMode="External"/><Relationship Id="rId2756" Type="http://schemas.openxmlformats.org/officeDocument/2006/relationships/hyperlink" Target="https://doi.org/10.1145/3533378" TargetMode="External"/><Relationship Id="rId1426" Type="http://schemas.openxmlformats.org/officeDocument/2006/relationships/hyperlink" Target="https://www.scopus.com/inward/record.uri?eid=2-s2.0-85050956874&amp;doi=10.1109%2fICDCS.2018.00069&amp;partnerID=40&amp;md5=1ef73e58f16db5ef8fb8a8277c67bfc6" TargetMode="External"/><Relationship Id="rId2757" Type="http://schemas.openxmlformats.org/officeDocument/2006/relationships/hyperlink" Target="https://doi.org/10.1145/3538637.3538865" TargetMode="External"/><Relationship Id="rId1427" Type="http://schemas.openxmlformats.org/officeDocument/2006/relationships/hyperlink" Target="https://www.scopus.com/inward/record.uri?eid=2-s2.0-85050967176&amp;doi=10.1109%2fICDCS.2018.00076&amp;partnerID=40&amp;md5=8c379efa469c8e5d1977dffd357ace5e" TargetMode="External"/><Relationship Id="rId2758" Type="http://schemas.openxmlformats.org/officeDocument/2006/relationships/hyperlink" Target="https://doi.org/10.1145/3542929.3563464" TargetMode="External"/><Relationship Id="rId1428" Type="http://schemas.openxmlformats.org/officeDocument/2006/relationships/hyperlink" Target="https://ieeexplore.ieee.org/stamp/stamp.jsp?arnumber=8885285" TargetMode="External"/><Relationship Id="rId2759" Type="http://schemas.openxmlformats.org/officeDocument/2006/relationships/hyperlink" Target="https://doi.org/10.1145/3542929.3563473" TargetMode="External"/><Relationship Id="rId1429" Type="http://schemas.openxmlformats.org/officeDocument/2006/relationships/hyperlink" Target="https://ieeexplore.ieee.org/stamp/stamp.jsp?arnumber=8885318" TargetMode="External"/><Relationship Id="rId2750" Type="http://schemas.openxmlformats.org/officeDocument/2006/relationships/hyperlink" Target="https://doi.org/10.1145/3524616" TargetMode="External"/><Relationship Id="rId1420" Type="http://schemas.openxmlformats.org/officeDocument/2006/relationships/hyperlink" Target="https://ieeexplore.ieee.org/stamp/stamp.jsp?arnumber=10283589" TargetMode="External"/><Relationship Id="rId2751" Type="http://schemas.openxmlformats.org/officeDocument/2006/relationships/hyperlink" Target="https://doi.org/10.1145/3524844.3528052" TargetMode="External"/><Relationship Id="rId1421" Type="http://schemas.openxmlformats.org/officeDocument/2006/relationships/hyperlink" Target="https://ieeexplore.ieee.org/stamp/stamp.jsp?arnumber=10283733" TargetMode="External"/><Relationship Id="rId2752" Type="http://schemas.openxmlformats.org/officeDocument/2006/relationships/hyperlink" Target="https://doi.org/10.1145/3524844.3528057" TargetMode="External"/><Relationship Id="rId699" Type="http://schemas.openxmlformats.org/officeDocument/2006/relationships/hyperlink" Target="https://ieeexplore.ieee.org/stamp/stamp.jsp?arnumber=10124203" TargetMode="External"/><Relationship Id="rId698" Type="http://schemas.openxmlformats.org/officeDocument/2006/relationships/hyperlink" Target="https://ieeexplore.ieee.org/stamp/stamp.jsp?arnumber=10113644" TargetMode="External"/><Relationship Id="rId693" Type="http://schemas.openxmlformats.org/officeDocument/2006/relationships/hyperlink" Target="https://ieeexplore.ieee.org/stamp/stamp.jsp?arnumber=10078256" TargetMode="External"/><Relationship Id="rId692" Type="http://schemas.openxmlformats.org/officeDocument/2006/relationships/hyperlink" Target="https://ieeexplore.ieee.org/stamp/stamp.jsp?arnumber=10068493" TargetMode="External"/><Relationship Id="rId691" Type="http://schemas.openxmlformats.org/officeDocument/2006/relationships/hyperlink" Target="https://ieeexplore.ieee.org/stamp/stamp.jsp?arnumber=10066275" TargetMode="External"/><Relationship Id="rId690" Type="http://schemas.openxmlformats.org/officeDocument/2006/relationships/hyperlink" Target="https://ieeexplore.ieee.org/stamp/stamp.jsp?arnumber=10056935" TargetMode="External"/><Relationship Id="rId697" Type="http://schemas.openxmlformats.org/officeDocument/2006/relationships/hyperlink" Target="https://www.scopus.com/inward/record.uri?eid=2-s2.0-85159681985&amp;doi=10.1109%2fACCESS.2023.3271366&amp;partnerID=40&amp;md5=4f60ffde5f8b54d383e8995968fce41e" TargetMode="External"/><Relationship Id="rId696" Type="http://schemas.openxmlformats.org/officeDocument/2006/relationships/hyperlink" Target="https://ieeexplore.ieee.org/stamp/stamp.jsp?arnumber=10105953" TargetMode="External"/><Relationship Id="rId695" Type="http://schemas.openxmlformats.org/officeDocument/2006/relationships/hyperlink" Target="https://www.scopus.com/inward/record.uri?eid=2-s2.0-85151551469&amp;doi=10.1109%2fACCESS.2023.3262128&amp;partnerID=40&amp;md5=58fa5c9f8a79fde65455c72b1773249a" TargetMode="External"/><Relationship Id="rId694" Type="http://schemas.openxmlformats.org/officeDocument/2006/relationships/hyperlink" Target="https://ieeexplore.ieee.org/stamp/stamp.jsp?arnumber=10081360" TargetMode="External"/><Relationship Id="rId1499" Type="http://schemas.openxmlformats.org/officeDocument/2006/relationships/hyperlink" Target="https://www.scopus.com/inward/record.uri?eid=2-s2.0-85195239324&amp;doi=10.1109%2fICIIP61524.2023.10537697&amp;partnerID=40&amp;md5=62bb540d91fcdf51609ef184a9216624" TargetMode="External"/><Relationship Id="rId668" Type="http://schemas.openxmlformats.org/officeDocument/2006/relationships/hyperlink" Target="https://www.scopus.com/inward/record.uri?eid=2-s2.0-85136146113&amp;doi=10.1109%2fACCESS.2022.3197606&amp;partnerID=40&amp;md5=746d613eb9c973edb9878620f0b2dbd9" TargetMode="External"/><Relationship Id="rId667" Type="http://schemas.openxmlformats.org/officeDocument/2006/relationships/hyperlink" Target="https://ieeexplore.ieee.org/stamp/stamp.jsp?arnumber=9852447" TargetMode="External"/><Relationship Id="rId666" Type="http://schemas.openxmlformats.org/officeDocument/2006/relationships/hyperlink" Target="https://ieeexplore.ieee.org/stamp/stamp.jsp?arnumber=9846968" TargetMode="External"/><Relationship Id="rId665" Type="http://schemas.openxmlformats.org/officeDocument/2006/relationships/hyperlink" Target="https://ieeexplore.ieee.org/stamp/stamp.jsp?arnumber=9837035" TargetMode="External"/><Relationship Id="rId669" Type="http://schemas.openxmlformats.org/officeDocument/2006/relationships/hyperlink" Target="https://ieeexplore.ieee.org/stamp/stamp.jsp?arnumber=9857907" TargetMode="External"/><Relationship Id="rId1490" Type="http://schemas.openxmlformats.org/officeDocument/2006/relationships/hyperlink" Target="https://ieeexplore.ieee.org/stamp/stamp.jsp?arnumber=10064614" TargetMode="External"/><Relationship Id="rId660" Type="http://schemas.openxmlformats.org/officeDocument/2006/relationships/hyperlink" Target="https://ieeexplore.ieee.org/stamp/stamp.jsp?arnumber=9805737" TargetMode="External"/><Relationship Id="rId1491" Type="http://schemas.openxmlformats.org/officeDocument/2006/relationships/hyperlink" Target="https://ieeexplore.ieee.org/stamp/stamp.jsp?arnumber=10134026" TargetMode="External"/><Relationship Id="rId1492" Type="http://schemas.openxmlformats.org/officeDocument/2006/relationships/hyperlink" Target="https://ieeexplore.ieee.org/stamp/stamp.jsp?arnumber=10544765" TargetMode="External"/><Relationship Id="rId1493" Type="http://schemas.openxmlformats.org/officeDocument/2006/relationships/hyperlink" Target="https://ieeexplore.ieee.org/stamp/stamp.jsp?arnumber=10544782" TargetMode="External"/><Relationship Id="rId1494" Type="http://schemas.openxmlformats.org/officeDocument/2006/relationships/hyperlink" Target="https://ieeexplore.ieee.org/stamp/stamp.jsp?arnumber=10912961" TargetMode="External"/><Relationship Id="rId664" Type="http://schemas.openxmlformats.org/officeDocument/2006/relationships/hyperlink" Target="https://ieeexplore.ieee.org/stamp/stamp.jsp?arnumber=9815064" TargetMode="External"/><Relationship Id="rId1495" Type="http://schemas.openxmlformats.org/officeDocument/2006/relationships/hyperlink" Target="https://ieeexplore.ieee.org/stamp/stamp.jsp?arnumber=10006059" TargetMode="External"/><Relationship Id="rId663" Type="http://schemas.openxmlformats.org/officeDocument/2006/relationships/hyperlink" Target="https://ieeexplore.ieee.org/stamp/stamp.jsp?arnumber=9813702" TargetMode="External"/><Relationship Id="rId1496" Type="http://schemas.openxmlformats.org/officeDocument/2006/relationships/hyperlink" Target="https://ieeexplore.ieee.org/stamp/stamp.jsp?arnumber=10241448" TargetMode="External"/><Relationship Id="rId662" Type="http://schemas.openxmlformats.org/officeDocument/2006/relationships/hyperlink" Target="https://ieeexplore.ieee.org/stamp/stamp.jsp?arnumber=9809962" TargetMode="External"/><Relationship Id="rId1497" Type="http://schemas.openxmlformats.org/officeDocument/2006/relationships/hyperlink" Target="https://ieeexplore.ieee.org/stamp/stamp.jsp?arnumber=9111945" TargetMode="External"/><Relationship Id="rId661" Type="http://schemas.openxmlformats.org/officeDocument/2006/relationships/hyperlink" Target="https://ieeexplore.ieee.org/stamp/stamp.jsp?arnumber=9807313" TargetMode="External"/><Relationship Id="rId1498" Type="http://schemas.openxmlformats.org/officeDocument/2006/relationships/hyperlink" Target="https://ieeexplore.ieee.org/stamp/stamp.jsp?arnumber=9853175" TargetMode="External"/><Relationship Id="rId1488" Type="http://schemas.openxmlformats.org/officeDocument/2006/relationships/hyperlink" Target="https://ieeexplore.ieee.org/stamp/stamp.jsp?arnumber=9611865" TargetMode="External"/><Relationship Id="rId1489" Type="http://schemas.openxmlformats.org/officeDocument/2006/relationships/hyperlink" Target="https://ieeexplore.ieee.org/stamp/stamp.jsp?arnumber=9092160" TargetMode="External"/><Relationship Id="rId657" Type="http://schemas.openxmlformats.org/officeDocument/2006/relationships/hyperlink" Target="https://ieeexplore.ieee.org/stamp/stamp.jsp?arnumber=9792270" TargetMode="External"/><Relationship Id="rId656" Type="http://schemas.openxmlformats.org/officeDocument/2006/relationships/hyperlink" Target="https://ieeexplore.ieee.org/stamp/stamp.jsp?arnumber=9789158" TargetMode="External"/><Relationship Id="rId655" Type="http://schemas.openxmlformats.org/officeDocument/2006/relationships/hyperlink" Target="https://ieeexplore.ieee.org/stamp/stamp.jsp?arnumber=9780134" TargetMode="External"/><Relationship Id="rId654" Type="http://schemas.openxmlformats.org/officeDocument/2006/relationships/hyperlink" Target="https://ieeexplore.ieee.org/stamp/stamp.jsp?arnumber=9779735" TargetMode="External"/><Relationship Id="rId659" Type="http://schemas.openxmlformats.org/officeDocument/2006/relationships/hyperlink" Target="https://ieeexplore.ieee.org/stamp/stamp.jsp?arnumber=9797722" TargetMode="External"/><Relationship Id="rId658" Type="http://schemas.openxmlformats.org/officeDocument/2006/relationships/hyperlink" Target="https://ieeexplore.ieee.org/stamp/stamp.jsp?arnumber=9797685" TargetMode="External"/><Relationship Id="rId1480" Type="http://schemas.openxmlformats.org/officeDocument/2006/relationships/hyperlink" Target="https://ieeexplore.ieee.org/stamp/stamp.jsp?arnumber=10164887" TargetMode="External"/><Relationship Id="rId1481" Type="http://schemas.openxmlformats.org/officeDocument/2006/relationships/hyperlink" Target="https://ieeexplore.ieee.org/stamp/stamp.jsp?arnumber=10165360" TargetMode="External"/><Relationship Id="rId1482" Type="http://schemas.openxmlformats.org/officeDocument/2006/relationships/hyperlink" Target="https://ieeexplore.ieee.org/stamp/stamp.jsp?arnumber=10263599" TargetMode="External"/><Relationship Id="rId1483" Type="http://schemas.openxmlformats.org/officeDocument/2006/relationships/hyperlink" Target="https://ieeexplore.ieee.org/stamp/stamp.jsp?arnumber=9432317" TargetMode="External"/><Relationship Id="rId653" Type="http://schemas.openxmlformats.org/officeDocument/2006/relationships/hyperlink" Target="https://ieeexplore.ieee.org/stamp/stamp.jsp?arnumber=9779257" TargetMode="External"/><Relationship Id="rId1484" Type="http://schemas.openxmlformats.org/officeDocument/2006/relationships/hyperlink" Target="https://ieeexplore.ieee.org/stamp/stamp.jsp?arnumber=10616354" TargetMode="External"/><Relationship Id="rId652" Type="http://schemas.openxmlformats.org/officeDocument/2006/relationships/hyperlink" Target="https://ieeexplore.ieee.org/stamp/stamp.jsp?arnumber=9777972" TargetMode="External"/><Relationship Id="rId1485" Type="http://schemas.openxmlformats.org/officeDocument/2006/relationships/hyperlink" Target="https://ieeexplore.ieee.org/stamp/stamp.jsp?arnumber=10675710" TargetMode="External"/><Relationship Id="rId651" Type="http://schemas.openxmlformats.org/officeDocument/2006/relationships/hyperlink" Target="https://ieeexplore.ieee.org/stamp/stamp.jsp?arnumber=9773102" TargetMode="External"/><Relationship Id="rId1486" Type="http://schemas.openxmlformats.org/officeDocument/2006/relationships/hyperlink" Target="https://ieeexplore.ieee.org/stamp/stamp.jsp?arnumber=9917878" TargetMode="External"/><Relationship Id="rId650" Type="http://schemas.openxmlformats.org/officeDocument/2006/relationships/hyperlink" Target="https://ieeexplore.ieee.org/stamp/stamp.jsp?arnumber=9770073" TargetMode="External"/><Relationship Id="rId1487" Type="http://schemas.openxmlformats.org/officeDocument/2006/relationships/hyperlink" Target="https://www.scopus.com/inward/record.uri?eid=2-s2.0-85141400878&amp;doi=10.1109%2fICICICT54557.2022.9917953&amp;partnerID=40&amp;md5=da1fc275deafdf24d1a421e006c97b45" TargetMode="External"/><Relationship Id="rId689" Type="http://schemas.openxmlformats.org/officeDocument/2006/relationships/hyperlink" Target="https://ieeexplore.ieee.org/stamp/stamp.jsp?arnumber=10035972" TargetMode="External"/><Relationship Id="rId688" Type="http://schemas.openxmlformats.org/officeDocument/2006/relationships/hyperlink" Target="https://ieeexplore.ieee.org/stamp/stamp.jsp?arnumber=10035389" TargetMode="External"/><Relationship Id="rId687" Type="http://schemas.openxmlformats.org/officeDocument/2006/relationships/hyperlink" Target="https://ieeexplore.ieee.org/stamp/stamp.jsp?arnumber=10032155" TargetMode="External"/><Relationship Id="rId682" Type="http://schemas.openxmlformats.org/officeDocument/2006/relationships/hyperlink" Target="https://ieeexplore.ieee.org/stamp/stamp.jsp?arnumber=9968265" TargetMode="External"/><Relationship Id="rId681" Type="http://schemas.openxmlformats.org/officeDocument/2006/relationships/hyperlink" Target="https://ieeexplore.ieee.org/stamp/stamp.jsp?arnumber=9956802" TargetMode="External"/><Relationship Id="rId680" Type="http://schemas.openxmlformats.org/officeDocument/2006/relationships/hyperlink" Target="https://ieeexplore.ieee.org/stamp/stamp.jsp?arnumber=9954374" TargetMode="External"/><Relationship Id="rId686" Type="http://schemas.openxmlformats.org/officeDocument/2006/relationships/hyperlink" Target="https://ieeexplore.ieee.org/stamp/stamp.jsp?arnumber=10019255" TargetMode="External"/><Relationship Id="rId685" Type="http://schemas.openxmlformats.org/officeDocument/2006/relationships/hyperlink" Target="https://ieeexplore.ieee.org/stamp/stamp.jsp?arnumber=10007810" TargetMode="External"/><Relationship Id="rId684" Type="http://schemas.openxmlformats.org/officeDocument/2006/relationships/hyperlink" Target="https://ieeexplore.ieee.org/stamp/stamp.jsp?arnumber=10007827" TargetMode="External"/><Relationship Id="rId683" Type="http://schemas.openxmlformats.org/officeDocument/2006/relationships/hyperlink" Target="https://ieeexplore.ieee.org/stamp/stamp.jsp?arnumber=10006796" TargetMode="External"/><Relationship Id="rId679" Type="http://schemas.openxmlformats.org/officeDocument/2006/relationships/hyperlink" Target="https://ieeexplore.ieee.org/stamp/stamp.jsp?arnumber=9938439" TargetMode="External"/><Relationship Id="rId678" Type="http://schemas.openxmlformats.org/officeDocument/2006/relationships/hyperlink" Target="https://ieeexplore.ieee.org/stamp/stamp.jsp?arnumber=9931722" TargetMode="External"/><Relationship Id="rId677" Type="http://schemas.openxmlformats.org/officeDocument/2006/relationships/hyperlink" Target="https://ieeexplore.ieee.org/stamp/stamp.jsp?arnumber=9931127" TargetMode="External"/><Relationship Id="rId676" Type="http://schemas.openxmlformats.org/officeDocument/2006/relationships/hyperlink" Target="https://ieeexplore.ieee.org/stamp/stamp.jsp?arnumber=9907002" TargetMode="External"/><Relationship Id="rId671" Type="http://schemas.openxmlformats.org/officeDocument/2006/relationships/hyperlink" Target="https://ieeexplore.ieee.org/stamp/stamp.jsp?arnumber=9882121" TargetMode="External"/><Relationship Id="rId670" Type="http://schemas.openxmlformats.org/officeDocument/2006/relationships/hyperlink" Target="https://ieeexplore.ieee.org/stamp/stamp.jsp?arnumber=9862983" TargetMode="External"/><Relationship Id="rId675" Type="http://schemas.openxmlformats.org/officeDocument/2006/relationships/hyperlink" Target="https://ieeexplore.ieee.org/stamp/stamp.jsp?arnumber=9905603" TargetMode="External"/><Relationship Id="rId674" Type="http://schemas.openxmlformats.org/officeDocument/2006/relationships/hyperlink" Target="https://ieeexplore.ieee.org/stamp/stamp.jsp?arnumber=9900343" TargetMode="External"/><Relationship Id="rId673" Type="http://schemas.openxmlformats.org/officeDocument/2006/relationships/hyperlink" Target="https://ieeexplore.ieee.org/stamp/stamp.jsp?arnumber=9895418" TargetMode="External"/><Relationship Id="rId672" Type="http://schemas.openxmlformats.org/officeDocument/2006/relationships/hyperlink" Target="https://ieeexplore.ieee.org/stamp/stamp.jsp?arnumber=9895389" TargetMode="External"/><Relationship Id="rId190" Type="http://schemas.openxmlformats.org/officeDocument/2006/relationships/hyperlink" Target="https://www.scopus.com/inward/record.uri?eid=2-s2.0-85076318178&amp;doi=10.1515%2feng-2019-0065&amp;partnerID=40&amp;md5=936abfff4c1b52f79be70f29c0a603e4" TargetMode="External"/><Relationship Id="rId194" Type="http://schemas.openxmlformats.org/officeDocument/2006/relationships/hyperlink" Target="https://ieeexplore.ieee.org/stamp/stamp.jsp?arnumber=7973566" TargetMode="External"/><Relationship Id="rId193" Type="http://schemas.openxmlformats.org/officeDocument/2006/relationships/hyperlink" Target="https://www.scopus.com/inward/record.uri?eid=2-s2.0-85040237525&amp;doi=10.23919%2fITC.2017.8065706&amp;partnerID=40&amp;md5=c8494f78800f2081eac4dbf0130af96d" TargetMode="External"/><Relationship Id="rId192" Type="http://schemas.openxmlformats.org/officeDocument/2006/relationships/hyperlink" Target="https://www.scopus.com/inward/record.uri?eid=2-s2.0-85124660496&amp;doi=10.22270%2fJMPAS.V10I5.1594&amp;partnerID=40&amp;md5=7bc7cd48950ecf28a623721bcfb40ae6" TargetMode="External"/><Relationship Id="rId191" Type="http://schemas.openxmlformats.org/officeDocument/2006/relationships/hyperlink" Target="https://www.scopus.com/inward/record.uri?eid=2-s2.0-85184187878&amp;doi=10.18517%2fijaseit.13.6.19384&amp;partnerID=40&amp;md5=d20d2dd5bdd762e172132ff2a46f99e4" TargetMode="External"/><Relationship Id="rId187" Type="http://schemas.openxmlformats.org/officeDocument/2006/relationships/hyperlink" Target="https://www.scopus.com/inward/record.uri?eid=2-s2.0-85202025131&amp;doi=10.13336%2fj.1003-6520.hve.20240676&amp;partnerID=40&amp;md5=239bf5121c827a9c1ea00022b5e0b39e" TargetMode="External"/><Relationship Id="rId186" Type="http://schemas.openxmlformats.org/officeDocument/2006/relationships/hyperlink" Target="https://www.scopus.com/inward/record.uri?eid=2-s2.0-85178382057&amp;doi=10.1155%2f2023%2f6641563&amp;partnerID=40&amp;md5=b82bf9f5745fe6fc92aa92b680196e77" TargetMode="External"/><Relationship Id="rId185" Type="http://schemas.openxmlformats.org/officeDocument/2006/relationships/hyperlink" Target="https://doi.org/10.1145/3715700" TargetMode="External"/><Relationship Id="rId184" Type="http://schemas.openxmlformats.org/officeDocument/2006/relationships/hyperlink" Target="https://doi.org/10.1145/3674734" TargetMode="External"/><Relationship Id="rId189" Type="http://schemas.openxmlformats.org/officeDocument/2006/relationships/hyperlink" Target="https://www.scopus.com/inward/record.uri?eid=2-s2.0-85112232025&amp;doi=10.14569%2fIJACSA.2021.0120768&amp;partnerID=40&amp;md5=9655b1a96754b2c48c8add6ba46c1c7f" TargetMode="External"/><Relationship Id="rId188" Type="http://schemas.openxmlformats.org/officeDocument/2006/relationships/hyperlink" Target="https://www.scopus.com/inward/record.uri?eid=2-s2.0-85112149257&amp;doi=10.14569%2fIJACSA.2021.0120767&amp;partnerID=40&amp;md5=67e568508d179565e131d10d83853e10" TargetMode="External"/><Relationship Id="rId183" Type="http://schemas.openxmlformats.org/officeDocument/2006/relationships/hyperlink" Target="https://doi.org/10.1145/3663741.3664789" TargetMode="External"/><Relationship Id="rId182" Type="http://schemas.openxmlformats.org/officeDocument/2006/relationships/hyperlink" Target="https://doi.org/10.1145/3652620.3688266" TargetMode="External"/><Relationship Id="rId181" Type="http://schemas.openxmlformats.org/officeDocument/2006/relationships/hyperlink" Target="https://doi.org/10.1145/3634814.3634838" TargetMode="External"/><Relationship Id="rId180" Type="http://schemas.openxmlformats.org/officeDocument/2006/relationships/hyperlink" Target="https://doi.org/10.1145/3629527.3651844" TargetMode="External"/><Relationship Id="rId176" Type="http://schemas.openxmlformats.org/officeDocument/2006/relationships/hyperlink" Target="https://doi.org/10.1145/3575693.3575710" TargetMode="External"/><Relationship Id="rId175" Type="http://schemas.openxmlformats.org/officeDocument/2006/relationships/hyperlink" Target="https://doi.org/10.1145/3565010.3569065" TargetMode="External"/><Relationship Id="rId174" Type="http://schemas.openxmlformats.org/officeDocument/2006/relationships/hyperlink" Target="https://doi.org/10.1145/3539606" TargetMode="External"/><Relationship Id="rId173" Type="http://schemas.openxmlformats.org/officeDocument/2006/relationships/hyperlink" Target="https://doi.org/10.1145/3528535.3565242" TargetMode="External"/><Relationship Id="rId179" Type="http://schemas.openxmlformats.org/officeDocument/2006/relationships/hyperlink" Target="https://doi.org/10.1145/3624486.3624504" TargetMode="External"/><Relationship Id="rId178" Type="http://schemas.openxmlformats.org/officeDocument/2006/relationships/hyperlink" Target="https://doi.org/10.1145/3620665.3640413" TargetMode="External"/><Relationship Id="rId177" Type="http://schemas.openxmlformats.org/officeDocument/2006/relationships/hyperlink" Target="https://doi.org/10.1145/3578245.3585331" TargetMode="External"/><Relationship Id="rId198" Type="http://schemas.openxmlformats.org/officeDocument/2006/relationships/hyperlink" Target="https://ieeexplore.ieee.org/stamp/stamp.jsp?arnumber=10676402" TargetMode="External"/><Relationship Id="rId197" Type="http://schemas.openxmlformats.org/officeDocument/2006/relationships/hyperlink" Target="https://www.scopus.com/inward/record.uri?eid=2-s2.0-85057173917&amp;doi=10.2495%2fAIR180091&amp;partnerID=40&amp;md5=440effc86f7ecbe53c060bc7a25bd6c7" TargetMode="External"/><Relationship Id="rId196" Type="http://schemas.openxmlformats.org/officeDocument/2006/relationships/hyperlink" Target="https://www.scopus.com/inward/record.uri?eid=2-s2.0-85208929675&amp;doi=10.24425%2fijet.2024.152511&amp;partnerID=40&amp;md5=4d5e280c29c8e85db218bec4498c64b0" TargetMode="External"/><Relationship Id="rId195" Type="http://schemas.openxmlformats.org/officeDocument/2006/relationships/hyperlink" Target="https://ieeexplore.ieee.org/stamp/stamp.jsp?arnumber=9954292" TargetMode="External"/><Relationship Id="rId199" Type="http://schemas.openxmlformats.org/officeDocument/2006/relationships/hyperlink" Target="https://www.scopus.com/inward/record.uri?eid=2-s2.0-85132273566&amp;doi=10.3390%2fapp12125793&amp;partnerID=40&amp;md5=08948392df2786e48a4037d6d7f98361" TargetMode="External"/><Relationship Id="rId150" Type="http://schemas.openxmlformats.org/officeDocument/2006/relationships/hyperlink" Target="https://www.scopus.com/inward/record.uri?eid=2-s2.0-85209387259&amp;doi=10.1109%2fTNSM.2024.3497155&amp;partnerID=40&amp;md5=194332a05c569de08bf598f33679b575" TargetMode="External"/><Relationship Id="rId149" Type="http://schemas.openxmlformats.org/officeDocument/2006/relationships/hyperlink" Target="https://ieeexplore.ieee.org/stamp/stamp.jsp?arnumber=10090468" TargetMode="External"/><Relationship Id="rId148" Type="http://schemas.openxmlformats.org/officeDocument/2006/relationships/hyperlink" Target="https://ieeexplore.ieee.org/stamp/stamp.jsp?arnumber=9610120" TargetMode="External"/><Relationship Id="rId143" Type="http://schemas.openxmlformats.org/officeDocument/2006/relationships/hyperlink" Target="https://ieeexplore.ieee.org/stamp/stamp.jsp?arnumber=10903029" TargetMode="External"/><Relationship Id="rId142" Type="http://schemas.openxmlformats.org/officeDocument/2006/relationships/hyperlink" Target="https://ieeexplore.ieee.org/stamp/stamp.jsp?arnumber=9088603" TargetMode="External"/><Relationship Id="rId141" Type="http://schemas.openxmlformats.org/officeDocument/2006/relationships/hyperlink" Target="https://www.scopus.com/inward/record.uri?eid=2-s2.0-85216638444&amp;doi=10.1109%2fTC.2025.3535826&amp;partnerID=40&amp;md5=71265858f6c91f3c7d494e9fcbcbb025" TargetMode="External"/><Relationship Id="rId140" Type="http://schemas.openxmlformats.org/officeDocument/2006/relationships/hyperlink" Target="https://ieeexplore.ieee.org/stamp/stamp.jsp?arnumber=9280709" TargetMode="External"/><Relationship Id="rId147" Type="http://schemas.openxmlformats.org/officeDocument/2006/relationships/hyperlink" Target="https://ieeexplore.ieee.org/stamp/stamp.jsp?arnumber=10128791" TargetMode="External"/><Relationship Id="rId146" Type="http://schemas.openxmlformats.org/officeDocument/2006/relationships/hyperlink" Target="https://ieeexplore.ieee.org/stamp/stamp.jsp?arnumber=9548710" TargetMode="External"/><Relationship Id="rId145" Type="http://schemas.openxmlformats.org/officeDocument/2006/relationships/hyperlink" Target="https://ieeexplore.ieee.org/stamp/stamp.jsp?arnumber=10578041" TargetMode="External"/><Relationship Id="rId144" Type="http://schemas.openxmlformats.org/officeDocument/2006/relationships/hyperlink" Target="https://ieeexplore.ieee.org/stamp/stamp.jsp?arnumber=9656872" TargetMode="External"/><Relationship Id="rId139" Type="http://schemas.openxmlformats.org/officeDocument/2006/relationships/hyperlink" Target="https://ieeexplore.ieee.org/stamp/stamp.jsp?arnumber=10883885" TargetMode="External"/><Relationship Id="rId138" Type="http://schemas.openxmlformats.org/officeDocument/2006/relationships/hyperlink" Target="https://ieeexplore.ieee.org/stamp/stamp.jsp?arnumber=9592439" TargetMode="External"/><Relationship Id="rId137" Type="http://schemas.openxmlformats.org/officeDocument/2006/relationships/hyperlink" Target="https://ieeexplore.ieee.org/stamp/stamp.jsp?arnumber=9494250" TargetMode="External"/><Relationship Id="rId132" Type="http://schemas.openxmlformats.org/officeDocument/2006/relationships/hyperlink" Target="https://doi.org/10.1109/MICRO56248.2022.00065" TargetMode="External"/><Relationship Id="rId131" Type="http://schemas.openxmlformats.org/officeDocument/2006/relationships/hyperlink" Target="https://doi.org/10.1109/MICRO56248.2022.00063" TargetMode="External"/><Relationship Id="rId130" Type="http://schemas.openxmlformats.org/officeDocument/2006/relationships/hyperlink" Target="https://doi.org/10.1109/MICRO56248.2022.00040" TargetMode="External"/><Relationship Id="rId136" Type="http://schemas.openxmlformats.org/officeDocument/2006/relationships/hyperlink" Target="https://ieeexplore.ieee.org/stamp/stamp.jsp?arnumber=9249177" TargetMode="External"/><Relationship Id="rId135" Type="http://schemas.openxmlformats.org/officeDocument/2006/relationships/hyperlink" Target="https://ieeexplore.ieee.org/stamp/stamp.jsp?arnumber=10175438" TargetMode="External"/><Relationship Id="rId134" Type="http://schemas.openxmlformats.org/officeDocument/2006/relationships/hyperlink" Target="https://ieeexplore.ieee.org/stamp/stamp.jsp?arnumber=8600072" TargetMode="External"/><Relationship Id="rId133" Type="http://schemas.openxmlformats.org/officeDocument/2006/relationships/hyperlink" Target="https://ieeexplore.ieee.org/stamp/stamp.jsp?arnumber=10764517" TargetMode="External"/><Relationship Id="rId172" Type="http://schemas.openxmlformats.org/officeDocument/2006/relationships/hyperlink" Target="https://doi.org/10.1145/3520304.3533997" TargetMode="External"/><Relationship Id="rId171" Type="http://schemas.openxmlformats.org/officeDocument/2006/relationships/hyperlink" Target="https://doi.org/10.1145/3511094" TargetMode="External"/><Relationship Id="rId170" Type="http://schemas.openxmlformats.org/officeDocument/2006/relationships/hyperlink" Target="https://doi.org/10.1145/3472883.3486992" TargetMode="External"/><Relationship Id="rId165" Type="http://schemas.openxmlformats.org/officeDocument/2006/relationships/hyperlink" Target="https://doi.org/10.1145/3307650.3322227" TargetMode="External"/><Relationship Id="rId164" Type="http://schemas.openxmlformats.org/officeDocument/2006/relationships/hyperlink" Target="https://doi.org/10.1145/3147213.3147227" TargetMode="External"/><Relationship Id="rId163" Type="http://schemas.openxmlformats.org/officeDocument/2006/relationships/hyperlink" Target="https://doi.org/10.1145/3139290" TargetMode="External"/><Relationship Id="rId162" Type="http://schemas.openxmlformats.org/officeDocument/2006/relationships/hyperlink" Target="https://doi.org/10.1145/3129790.3129818" TargetMode="External"/><Relationship Id="rId169" Type="http://schemas.openxmlformats.org/officeDocument/2006/relationships/hyperlink" Target="https://doi.org/10.1145/3423211.3425683" TargetMode="External"/><Relationship Id="rId168" Type="http://schemas.openxmlformats.org/officeDocument/2006/relationships/hyperlink" Target="https://doi.org/10.1145/3418899" TargetMode="External"/><Relationship Id="rId167" Type="http://schemas.openxmlformats.org/officeDocument/2006/relationships/hyperlink" Target="https://doi.org/10.1145/3412841.3441888" TargetMode="External"/><Relationship Id="rId166" Type="http://schemas.openxmlformats.org/officeDocument/2006/relationships/hyperlink" Target="https://doi.org/10.1145/3406208" TargetMode="External"/><Relationship Id="rId161" Type="http://schemas.openxmlformats.org/officeDocument/2006/relationships/hyperlink" Target="https://doi.org/10.1145/3110355.3110359" TargetMode="External"/><Relationship Id="rId160" Type="http://schemas.openxmlformats.org/officeDocument/2006/relationships/hyperlink" Target="https://www.scopus.com/inward/record.uri?eid=2-s2.0-85194153708&amp;doi=10.1117%2f12.3024334&amp;partnerID=40&amp;md5=875122395483511087354a9909e08634" TargetMode="External"/><Relationship Id="rId159" Type="http://schemas.openxmlformats.org/officeDocument/2006/relationships/hyperlink" Target="https://ieeexplore.ieee.org/stamp/stamp.jsp?arnumber=10015339" TargetMode="External"/><Relationship Id="rId154" Type="http://schemas.openxmlformats.org/officeDocument/2006/relationships/hyperlink" Target="https://ieeexplore.ieee.org/stamp/stamp.jsp?arnumber=8676374" TargetMode="External"/><Relationship Id="rId153" Type="http://schemas.openxmlformats.org/officeDocument/2006/relationships/hyperlink" Target="https://ieeexplore.ieee.org/stamp/stamp.jsp?arnumber=8302602" TargetMode="External"/><Relationship Id="rId152" Type="http://schemas.openxmlformats.org/officeDocument/2006/relationships/hyperlink" Target="https://www.scopus.com/inward/record.uri?eid=2-s2.0-85081713746&amp;doi=10.1109%2fTSUSC.2017.2661339&amp;partnerID=40&amp;md5=e00446747da4f43b0f291cc8f5ee0154" TargetMode="External"/><Relationship Id="rId151" Type="http://schemas.openxmlformats.org/officeDocument/2006/relationships/hyperlink" Target="https://ieeexplore.ieee.org/stamp/stamp.jsp?arnumber=9718520" TargetMode="External"/><Relationship Id="rId158" Type="http://schemas.openxmlformats.org/officeDocument/2006/relationships/hyperlink" Target="https://ieeexplore.ieee.org/stamp/stamp.jsp?arnumber=10539579" TargetMode="External"/><Relationship Id="rId157" Type="http://schemas.openxmlformats.org/officeDocument/2006/relationships/hyperlink" Target="https://ieeexplore.ieee.org/stamp/stamp.jsp?arnumber=10880285" TargetMode="External"/><Relationship Id="rId156" Type="http://schemas.openxmlformats.org/officeDocument/2006/relationships/hyperlink" Target="https://ieeexplore.ieee.org/stamp/stamp.jsp?arnumber=9338525" TargetMode="External"/><Relationship Id="rId155" Type="http://schemas.openxmlformats.org/officeDocument/2006/relationships/hyperlink" Target="https://ieeexplore.ieee.org/stamp/stamp.jsp?arnumber=8902860" TargetMode="External"/><Relationship Id="rId2820" Type="http://schemas.openxmlformats.org/officeDocument/2006/relationships/hyperlink" Target="https://doi.org/10.1145/3611314.3615915" TargetMode="External"/><Relationship Id="rId2821" Type="http://schemas.openxmlformats.org/officeDocument/2006/relationships/hyperlink" Target="https://doi.org/10.1145/3612918" TargetMode="External"/><Relationship Id="rId2822" Type="http://schemas.openxmlformats.org/officeDocument/2006/relationships/hyperlink" Target="https://doi.org/10.1145/3614428" TargetMode="External"/><Relationship Id="rId2823" Type="http://schemas.openxmlformats.org/officeDocument/2006/relationships/hyperlink" Target="https://doi.org/10.1145/3617123" TargetMode="External"/><Relationship Id="rId2824" Type="http://schemas.openxmlformats.org/officeDocument/2006/relationships/hyperlink" Target="https://doi.org/10.1145/3617591" TargetMode="External"/><Relationship Id="rId2825" Type="http://schemas.openxmlformats.org/officeDocument/2006/relationships/hyperlink" Target="https://doi.org/10.1145/3617992" TargetMode="External"/><Relationship Id="rId2826" Type="http://schemas.openxmlformats.org/officeDocument/2006/relationships/hyperlink" Target="https://doi.org/10.1145/3620678.3624644" TargetMode="External"/><Relationship Id="rId2827" Type="http://schemas.openxmlformats.org/officeDocument/2006/relationships/hyperlink" Target="https://doi.org/10.1145/3620678.3624652" TargetMode="External"/><Relationship Id="rId2828" Type="http://schemas.openxmlformats.org/officeDocument/2006/relationships/hyperlink" Target="https://doi.org/10.1145/3620678.3624790" TargetMode="External"/><Relationship Id="rId2829" Type="http://schemas.openxmlformats.org/officeDocument/2006/relationships/hyperlink" Target="https://doi.org/10.1145/3624062.3624285" TargetMode="External"/><Relationship Id="rId2810" Type="http://schemas.openxmlformats.org/officeDocument/2006/relationships/hyperlink" Target="https://www.scopus.com/inward/record.uri?eid=2-s2.0-85174046163&amp;doi=10.1145%2f3603269.3604880&amp;partnerID=40&amp;md5=8d356e1a6fabccbce845e89f3b666b67" TargetMode="External"/><Relationship Id="rId2811" Type="http://schemas.openxmlformats.org/officeDocument/2006/relationships/hyperlink" Target="https://doi.org/10.1145/3603532" TargetMode="External"/><Relationship Id="rId2812" Type="http://schemas.openxmlformats.org/officeDocument/2006/relationships/hyperlink" Target="https://doi.org/10.1145/3603955.3603971" TargetMode="External"/><Relationship Id="rId2813" Type="http://schemas.openxmlformats.org/officeDocument/2006/relationships/hyperlink" Target="https://doi.org/10.1145/3604930.3605722" TargetMode="External"/><Relationship Id="rId2814" Type="http://schemas.openxmlformats.org/officeDocument/2006/relationships/hyperlink" Target="https://doi.org/10.1145/3605098.3635942" TargetMode="External"/><Relationship Id="rId2815" Type="http://schemas.openxmlformats.org/officeDocument/2006/relationships/hyperlink" Target="https://doi.org/10.1145/3606018" TargetMode="External"/><Relationship Id="rId2816" Type="http://schemas.openxmlformats.org/officeDocument/2006/relationships/hyperlink" Target="https://doi.org/10.1145/3607947.3607969" TargetMode="External"/><Relationship Id="rId2817" Type="http://schemas.openxmlformats.org/officeDocument/2006/relationships/hyperlink" Target="https://doi.org/10.1145/3609437.3609448" TargetMode="External"/><Relationship Id="rId2818" Type="http://schemas.openxmlformats.org/officeDocument/2006/relationships/hyperlink" Target="https://www.scopus.com/inward/record.uri?eid=2-s2.0-85174709665&amp;doi=10.1145%2f3609503&amp;partnerID=40&amp;md5=0156bababe3f3a538f6a75f9a0fa5f54" TargetMode="External"/><Relationship Id="rId2819" Type="http://schemas.openxmlformats.org/officeDocument/2006/relationships/hyperlink" Target="https://doi.org/10.1145/3609504" TargetMode="External"/><Relationship Id="rId1510" Type="http://schemas.openxmlformats.org/officeDocument/2006/relationships/hyperlink" Target="https://ieeexplore.ieee.org/stamp/stamp.jsp?arnumber=8597430" TargetMode="External"/><Relationship Id="rId2841" Type="http://schemas.openxmlformats.org/officeDocument/2006/relationships/hyperlink" Target="https://doi.org/10.1145/3631461.3631562" TargetMode="External"/><Relationship Id="rId1511" Type="http://schemas.openxmlformats.org/officeDocument/2006/relationships/hyperlink" Target="https://ieeexplore.ieee.org/stamp/stamp.jsp?arnumber=9985481" TargetMode="External"/><Relationship Id="rId2842" Type="http://schemas.openxmlformats.org/officeDocument/2006/relationships/hyperlink" Target="https://doi.org/10.1145/3631976" TargetMode="External"/><Relationship Id="rId1512" Type="http://schemas.openxmlformats.org/officeDocument/2006/relationships/hyperlink" Target="https://ieeexplore.ieee.org/stamp/stamp.jsp?arnumber=9985608" TargetMode="External"/><Relationship Id="rId2843" Type="http://schemas.openxmlformats.org/officeDocument/2006/relationships/hyperlink" Target="https://doi.org/10.1145/3634769.3634812" TargetMode="External"/><Relationship Id="rId1513" Type="http://schemas.openxmlformats.org/officeDocument/2006/relationships/hyperlink" Target="https://ieeexplore.ieee.org/stamp/stamp.jsp?arnumber=10510951" TargetMode="External"/><Relationship Id="rId2844" Type="http://schemas.openxmlformats.org/officeDocument/2006/relationships/hyperlink" Target="https://doi.org/10.1145/3636428" TargetMode="External"/><Relationship Id="rId1514" Type="http://schemas.openxmlformats.org/officeDocument/2006/relationships/hyperlink" Target="https://ieeexplore.ieee.org/stamp/stamp.jsp?arnumber=10887444" TargetMode="External"/><Relationship Id="rId2845" Type="http://schemas.openxmlformats.org/officeDocument/2006/relationships/hyperlink" Target="https://doi.org/10.1145/3636534.3701546" TargetMode="External"/><Relationship Id="rId1515" Type="http://schemas.openxmlformats.org/officeDocument/2006/relationships/hyperlink" Target="https://ieeexplore.ieee.org/stamp/stamp.jsp?arnumber=9236839" TargetMode="External"/><Relationship Id="rId2846" Type="http://schemas.openxmlformats.org/officeDocument/2006/relationships/hyperlink" Target="https://doi.org/10.1145/3636534.3701547" TargetMode="External"/><Relationship Id="rId1516" Type="http://schemas.openxmlformats.org/officeDocument/2006/relationships/hyperlink" Target="https://ieeexplore.ieee.org/stamp/stamp.jsp?arnumber=8612502" TargetMode="External"/><Relationship Id="rId2847" Type="http://schemas.openxmlformats.org/officeDocument/2006/relationships/hyperlink" Target="https://doi.org/10.1145/3638209.3638223" TargetMode="External"/><Relationship Id="rId1517" Type="http://schemas.openxmlformats.org/officeDocument/2006/relationships/hyperlink" Target="https://ieeexplore.ieee.org/stamp/stamp.jsp?arnumber=9532485" TargetMode="External"/><Relationship Id="rId2848" Type="http://schemas.openxmlformats.org/officeDocument/2006/relationships/hyperlink" Target="https://doi.org/10.1145/3638837.3638883" TargetMode="External"/><Relationship Id="rId1518" Type="http://schemas.openxmlformats.org/officeDocument/2006/relationships/hyperlink" Target="https://ieeexplore.ieee.org/stamp/stamp.jsp?arnumber=9532177" TargetMode="External"/><Relationship Id="rId2849" Type="http://schemas.openxmlformats.org/officeDocument/2006/relationships/hyperlink" Target="https://doi.org/10.1145/3638884.3638966" TargetMode="External"/><Relationship Id="rId1519" Type="http://schemas.openxmlformats.org/officeDocument/2006/relationships/hyperlink" Target="https://ieeexplore.ieee.org/stamp/stamp.jsp?arnumber=9898834" TargetMode="External"/><Relationship Id="rId2840" Type="http://schemas.openxmlformats.org/officeDocument/2006/relationships/hyperlink" Target="https://doi.org/10.1145/3630006" TargetMode="External"/><Relationship Id="rId2830" Type="http://schemas.openxmlformats.org/officeDocument/2006/relationships/hyperlink" Target="https://doi.org/10.1145/3624354.3630584" TargetMode="External"/><Relationship Id="rId1500" Type="http://schemas.openxmlformats.org/officeDocument/2006/relationships/hyperlink" Target="https://ieeexplore.ieee.org/stamp/stamp.jsp?arnumber=9063256" TargetMode="External"/><Relationship Id="rId2831" Type="http://schemas.openxmlformats.org/officeDocument/2006/relationships/hyperlink" Target="https://doi.org/10.1145/3625549.3658829" TargetMode="External"/><Relationship Id="rId1501" Type="http://schemas.openxmlformats.org/officeDocument/2006/relationships/hyperlink" Target="https://ieeexplore.ieee.org/stamp/stamp.jsp?arnumber=9342724" TargetMode="External"/><Relationship Id="rId2832" Type="http://schemas.openxmlformats.org/officeDocument/2006/relationships/hyperlink" Target="https://www.scopus.com/inward/record.uri?eid=2-s2.0-85197401257&amp;doi=10.1145%2f3626183.3659956&amp;partnerID=40&amp;md5=e486ce0f8e304dc40fe33a1a0b0ab45b" TargetMode="External"/><Relationship Id="rId1502" Type="http://schemas.openxmlformats.org/officeDocument/2006/relationships/hyperlink" Target="https://ieeexplore.ieee.org/stamp/stamp.jsp?arnumber=10426107" TargetMode="External"/><Relationship Id="rId2833" Type="http://schemas.openxmlformats.org/officeDocument/2006/relationships/hyperlink" Target="https://doi.org/10.1145/3626232.3653271" TargetMode="External"/><Relationship Id="rId1503" Type="http://schemas.openxmlformats.org/officeDocument/2006/relationships/hyperlink" Target="https://ieeexplore.ieee.org/stamp/stamp.jsp?arnumber=10426475" TargetMode="External"/><Relationship Id="rId2834" Type="http://schemas.openxmlformats.org/officeDocument/2006/relationships/hyperlink" Target="https://doi.org/10.1145/3626246.3653378" TargetMode="External"/><Relationship Id="rId1504" Type="http://schemas.openxmlformats.org/officeDocument/2006/relationships/hyperlink" Target="https://ieeexplore.ieee.org/stamp/stamp.jsp?arnumber=9211218" TargetMode="External"/><Relationship Id="rId2835" Type="http://schemas.openxmlformats.org/officeDocument/2006/relationships/hyperlink" Target="https://doi.org/10.1145/3627163" TargetMode="External"/><Relationship Id="rId1505" Type="http://schemas.openxmlformats.org/officeDocument/2006/relationships/hyperlink" Target="https://ieeexplore.ieee.org/stamp/stamp.jsp?arnumber=9211295" TargetMode="External"/><Relationship Id="rId2836" Type="http://schemas.openxmlformats.org/officeDocument/2006/relationships/hyperlink" Target="https://www.scopus.com/inward/record.uri?eid=2-s2.0-85191979384&amp;doi=10.1145%2f3627703.3629581&amp;partnerID=40&amp;md5=1dce659ce06222dfa09fa3f6a84d1d4f" TargetMode="External"/><Relationship Id="rId1506" Type="http://schemas.openxmlformats.org/officeDocument/2006/relationships/hyperlink" Target="https://ieeexplore.ieee.org/stamp/stamp.jsp?arnumber=9385543" TargetMode="External"/><Relationship Id="rId2837" Type="http://schemas.openxmlformats.org/officeDocument/2006/relationships/hyperlink" Target="https://doi.org/10.1145/3627703.3629587" TargetMode="External"/><Relationship Id="rId1507" Type="http://schemas.openxmlformats.org/officeDocument/2006/relationships/hyperlink" Target="https://ieeexplore.ieee.org/stamp/stamp.jsp?arnumber=10073502" TargetMode="External"/><Relationship Id="rId2838" Type="http://schemas.openxmlformats.org/officeDocument/2006/relationships/hyperlink" Target="https://doi.org/10.1145/3628096.3629081" TargetMode="External"/><Relationship Id="rId1508" Type="http://schemas.openxmlformats.org/officeDocument/2006/relationships/hyperlink" Target="https://ieeexplore.ieee.org/stamp/stamp.jsp?arnumber=10257807" TargetMode="External"/><Relationship Id="rId2839" Type="http://schemas.openxmlformats.org/officeDocument/2006/relationships/hyperlink" Target="https://doi.org/10.1145/3629527.3652901" TargetMode="External"/><Relationship Id="rId1509" Type="http://schemas.openxmlformats.org/officeDocument/2006/relationships/hyperlink" Target="https://ieeexplore.ieee.org/stamp/stamp.jsp?arnumber=10404678" TargetMode="External"/><Relationship Id="rId2800" Type="http://schemas.openxmlformats.org/officeDocument/2006/relationships/hyperlink" Target="https://www.scopus.com/inward/record.uri?eid=2-s2.0-85168795114&amp;doi=10.1145%2f3596600&amp;partnerID=40&amp;md5=d615c61bf19ef8a073cb83d3117a014f" TargetMode="External"/><Relationship Id="rId2801" Type="http://schemas.openxmlformats.org/officeDocument/2006/relationships/hyperlink" Target="https://doi.org/10.1145/3597435" TargetMode="External"/><Relationship Id="rId2802" Type="http://schemas.openxmlformats.org/officeDocument/2006/relationships/hyperlink" Target="https://doi.org/10.1145/3597926.3598117" TargetMode="External"/><Relationship Id="rId2803" Type="http://schemas.openxmlformats.org/officeDocument/2006/relationships/hyperlink" Target="https://doi.org/10.1145/3600006.3613156" TargetMode="External"/><Relationship Id="rId2804" Type="http://schemas.openxmlformats.org/officeDocument/2006/relationships/hyperlink" Target="https://doi.org/10.1145/3600006.3613208" TargetMode="External"/><Relationship Id="rId2805" Type="http://schemas.openxmlformats.org/officeDocument/2006/relationships/hyperlink" Target="https://doi.org/10.1145/3600061.3600063" TargetMode="External"/><Relationship Id="rId2806" Type="http://schemas.openxmlformats.org/officeDocument/2006/relationships/hyperlink" Target="https://doi.org/10.1145/3603166.3632240" TargetMode="External"/><Relationship Id="rId2807" Type="http://schemas.openxmlformats.org/officeDocument/2006/relationships/hyperlink" Target="https://doi.org/10.1145/3603166.3632536" TargetMode="External"/><Relationship Id="rId2808" Type="http://schemas.openxmlformats.org/officeDocument/2006/relationships/hyperlink" Target="https://doi.org/10.1145/3603166.3632540" TargetMode="External"/><Relationship Id="rId2809" Type="http://schemas.openxmlformats.org/officeDocument/2006/relationships/hyperlink" Target="https://doi.org/10.1145/3603166.3632555" TargetMode="External"/><Relationship Id="rId1576" Type="http://schemas.openxmlformats.org/officeDocument/2006/relationships/hyperlink" Target="https://ieeexplore.ieee.org/stamp/stamp.jsp?arnumber=9873546" TargetMode="External"/><Relationship Id="rId1577" Type="http://schemas.openxmlformats.org/officeDocument/2006/relationships/hyperlink" Target="https://ieeexplore.ieee.org/stamp/stamp.jsp?arnumber=8786042" TargetMode="External"/><Relationship Id="rId1578" Type="http://schemas.openxmlformats.org/officeDocument/2006/relationships/hyperlink" Target="https://ieeexplore.ieee.org/stamp/stamp.jsp?arnumber=8025307" TargetMode="External"/><Relationship Id="rId1579" Type="http://schemas.openxmlformats.org/officeDocument/2006/relationships/hyperlink" Target="https://ieeexplore.ieee.org/stamp/stamp.jsp?arnumber=10768436" TargetMode="External"/><Relationship Id="rId987" Type="http://schemas.openxmlformats.org/officeDocument/2006/relationships/hyperlink" Target="https://ieeexplore.ieee.org/stamp/stamp.jsp?arnumber=10041347" TargetMode="External"/><Relationship Id="rId986" Type="http://schemas.openxmlformats.org/officeDocument/2006/relationships/hyperlink" Target="https://ieeexplore.ieee.org/stamp/stamp.jsp?arnumber=10633329" TargetMode="External"/><Relationship Id="rId985" Type="http://schemas.openxmlformats.org/officeDocument/2006/relationships/hyperlink" Target="https://ieeexplore.ieee.org/stamp/stamp.jsp?arnumber=10633560" TargetMode="External"/><Relationship Id="rId984" Type="http://schemas.openxmlformats.org/officeDocument/2006/relationships/hyperlink" Target="https://ieeexplore.ieee.org/stamp/stamp.jsp?arnumber=9529499" TargetMode="External"/><Relationship Id="rId989" Type="http://schemas.openxmlformats.org/officeDocument/2006/relationships/hyperlink" Target="https://ieeexplore.ieee.org/stamp/stamp.jsp?arnumber=10427047" TargetMode="External"/><Relationship Id="rId988" Type="http://schemas.openxmlformats.org/officeDocument/2006/relationships/hyperlink" Target="https://ieeexplore.ieee.org/stamp/stamp.jsp?arnumber=10041360" TargetMode="External"/><Relationship Id="rId1570" Type="http://schemas.openxmlformats.org/officeDocument/2006/relationships/hyperlink" Target="https://ieeexplore.ieee.org/stamp/stamp.jsp?arnumber=9683826" TargetMode="External"/><Relationship Id="rId1571" Type="http://schemas.openxmlformats.org/officeDocument/2006/relationships/hyperlink" Target="https://ieeexplore.ieee.org/stamp/stamp.jsp?arnumber=9683858" TargetMode="External"/><Relationship Id="rId983" Type="http://schemas.openxmlformats.org/officeDocument/2006/relationships/hyperlink" Target="https://ieeexplore.ieee.org/stamp/stamp.jsp?arnumber=9529560" TargetMode="External"/><Relationship Id="rId1572" Type="http://schemas.openxmlformats.org/officeDocument/2006/relationships/hyperlink" Target="https://ieeexplore.ieee.org/stamp/stamp.jsp?arnumber=10072673" TargetMode="External"/><Relationship Id="rId982" Type="http://schemas.openxmlformats.org/officeDocument/2006/relationships/hyperlink" Target="https://ieeexplore.ieee.org/stamp/stamp.jsp?arnumber=9529524" TargetMode="External"/><Relationship Id="rId1573" Type="http://schemas.openxmlformats.org/officeDocument/2006/relationships/hyperlink" Target="https://ieeexplore.ieee.org/stamp/stamp.jsp?arnumber=10072973" TargetMode="External"/><Relationship Id="rId981" Type="http://schemas.openxmlformats.org/officeDocument/2006/relationships/hyperlink" Target="https://www.scopus.com/inward/record.uri?eid=2-s2.0-85072702778&amp;doi=10.1109%2fCOMPSAC.2019.00079&amp;partnerID=40&amp;md5=59e04359a360fd06d11386fbbbdc0326" TargetMode="External"/><Relationship Id="rId1574" Type="http://schemas.openxmlformats.org/officeDocument/2006/relationships/hyperlink" Target="https://ieeexplore.ieee.org/stamp/stamp.jsp?arnumber=9524104" TargetMode="External"/><Relationship Id="rId980" Type="http://schemas.openxmlformats.org/officeDocument/2006/relationships/hyperlink" Target="https://ieeexplore.ieee.org/stamp/stamp.jsp?arnumber=8754469" TargetMode="External"/><Relationship Id="rId1575" Type="http://schemas.openxmlformats.org/officeDocument/2006/relationships/hyperlink" Target="https://ieeexplore.ieee.org/stamp/stamp.jsp?arnumber=9524203" TargetMode="External"/><Relationship Id="rId1565" Type="http://schemas.openxmlformats.org/officeDocument/2006/relationships/hyperlink" Target="https://ieeexplore.ieee.org/stamp/stamp.jsp?arnumber=10075844" TargetMode="External"/><Relationship Id="rId2896" Type="http://schemas.openxmlformats.org/officeDocument/2006/relationships/hyperlink" Target="https://doi.org/10.1145/3696405" TargetMode="External"/><Relationship Id="rId1566" Type="http://schemas.openxmlformats.org/officeDocument/2006/relationships/hyperlink" Target="https://ieeexplore.ieee.org/stamp/stamp.jsp?arnumber=10471045" TargetMode="External"/><Relationship Id="rId2897" Type="http://schemas.openxmlformats.org/officeDocument/2006/relationships/hyperlink" Target="https://www.scopus.com/inward/record.uri?eid=2-s2.0-85210301716&amp;doi=10.1145%2f3696446&amp;partnerID=40&amp;md5=ebc479878818cc174d5158ed356d23f2" TargetMode="External"/><Relationship Id="rId1567" Type="http://schemas.openxmlformats.org/officeDocument/2006/relationships/hyperlink" Target="https://ieeexplore.ieee.org/stamp/stamp.jsp?arnumber=10719332" TargetMode="External"/><Relationship Id="rId2898" Type="http://schemas.openxmlformats.org/officeDocument/2006/relationships/hyperlink" Target="https://www.scopus.com/inward/record.uri?eid=2-s2.0-85215528374&amp;doi=10.1145%2f3698038.3698508&amp;partnerID=40&amp;md5=1b363923898a96dcf8da2396c675c159" TargetMode="External"/><Relationship Id="rId1568" Type="http://schemas.openxmlformats.org/officeDocument/2006/relationships/hyperlink" Target="https://ieeexplore.ieee.org/stamp/stamp.jsp?arnumber=9349635" TargetMode="External"/><Relationship Id="rId2899" Type="http://schemas.openxmlformats.org/officeDocument/2006/relationships/hyperlink" Target="https://doi.org/10.1145/3698322.3698324" TargetMode="External"/><Relationship Id="rId1569" Type="http://schemas.openxmlformats.org/officeDocument/2006/relationships/hyperlink" Target="https://ieeexplore.ieee.org/stamp/stamp.jsp?arnumber=9349739" TargetMode="External"/><Relationship Id="rId976" Type="http://schemas.openxmlformats.org/officeDocument/2006/relationships/hyperlink" Target="https://ieeexplore.ieee.org/stamp/stamp.jsp?arnumber=9994357" TargetMode="External"/><Relationship Id="rId975" Type="http://schemas.openxmlformats.org/officeDocument/2006/relationships/hyperlink" Target="https://ieeexplore.ieee.org/stamp/stamp.jsp?arnumber=9141950" TargetMode="External"/><Relationship Id="rId974" Type="http://schemas.openxmlformats.org/officeDocument/2006/relationships/hyperlink" Target="https://ieeexplore.ieee.org/stamp/stamp.jsp?arnumber=8862243" TargetMode="External"/><Relationship Id="rId973" Type="http://schemas.openxmlformats.org/officeDocument/2006/relationships/hyperlink" Target="https://ieeexplore.ieee.org/stamp/stamp.jsp?arnumber=8460443" TargetMode="External"/><Relationship Id="rId979" Type="http://schemas.openxmlformats.org/officeDocument/2006/relationships/hyperlink" Target="https://ieeexplore.ieee.org/stamp/stamp.jsp?arnumber=10862671" TargetMode="External"/><Relationship Id="rId978" Type="http://schemas.openxmlformats.org/officeDocument/2006/relationships/hyperlink" Target="https://ieeexplore.ieee.org/stamp/stamp.jsp?arnumber=10862391" TargetMode="External"/><Relationship Id="rId977" Type="http://schemas.openxmlformats.org/officeDocument/2006/relationships/hyperlink" Target="https://ieeexplore.ieee.org/stamp/stamp.jsp?arnumber=10420577" TargetMode="External"/><Relationship Id="rId2890" Type="http://schemas.openxmlformats.org/officeDocument/2006/relationships/hyperlink" Target="https://doi.org/10.1145/3685930" TargetMode="External"/><Relationship Id="rId1560" Type="http://schemas.openxmlformats.org/officeDocument/2006/relationships/hyperlink" Target="https://ieeexplore.ieee.org/stamp/stamp.jsp?arnumber=10475928" TargetMode="External"/><Relationship Id="rId2891" Type="http://schemas.openxmlformats.org/officeDocument/2006/relationships/hyperlink" Target="https://doi.org/10.1145/3686161" TargetMode="External"/><Relationship Id="rId972" Type="http://schemas.openxmlformats.org/officeDocument/2006/relationships/hyperlink" Target="https://ieeexplore.ieee.org/stamp/stamp.jsp?arnumber=10720265" TargetMode="External"/><Relationship Id="rId1561" Type="http://schemas.openxmlformats.org/officeDocument/2006/relationships/hyperlink" Target="https://www.scopus.com/inward/record.uri?eid=2-s2.0-85190301420&amp;doi=10.1109%2fICPADS60453.2023.00322&amp;partnerID=40&amp;md5=ec1d502af8ce279f7479791c3a6b6096" TargetMode="External"/><Relationship Id="rId2892" Type="http://schemas.openxmlformats.org/officeDocument/2006/relationships/hyperlink" Target="https://doi.org/10.1145/3687472" TargetMode="External"/><Relationship Id="rId971" Type="http://schemas.openxmlformats.org/officeDocument/2006/relationships/hyperlink" Target="https://www.scopus.com/inward/record.uri?eid=2-s2.0-85124688080&amp;doi=10.1109%2fCMI53512.2021.9663774&amp;partnerID=40&amp;md5=31ef052da91d4d200812ba131e82fe54" TargetMode="External"/><Relationship Id="rId1562" Type="http://schemas.openxmlformats.org/officeDocument/2006/relationships/hyperlink" Target="https://ieeexplore.ieee.org/stamp/stamp.jsp?arnumber=10476001" TargetMode="External"/><Relationship Id="rId2893" Type="http://schemas.openxmlformats.org/officeDocument/2006/relationships/hyperlink" Target="https://doi.org/10.1145/3689236.3696171" TargetMode="External"/><Relationship Id="rId970" Type="http://schemas.openxmlformats.org/officeDocument/2006/relationships/hyperlink" Target="https://ieeexplore.ieee.org/stamp/stamp.jsp?arnumber=9912724" TargetMode="External"/><Relationship Id="rId1563" Type="http://schemas.openxmlformats.org/officeDocument/2006/relationships/hyperlink" Target="https://ieeexplore.ieee.org/stamp/stamp.jsp?arnumber=10763657" TargetMode="External"/><Relationship Id="rId2894" Type="http://schemas.openxmlformats.org/officeDocument/2006/relationships/hyperlink" Target="https://doi.org/10.1145/3691338" TargetMode="External"/><Relationship Id="rId1564" Type="http://schemas.openxmlformats.org/officeDocument/2006/relationships/hyperlink" Target="https://ieeexplore.ieee.org/stamp/stamp.jsp?arnumber=10398669" TargetMode="External"/><Relationship Id="rId2895" Type="http://schemas.openxmlformats.org/officeDocument/2006/relationships/hyperlink" Target="https://doi.org/10.1145/3696348.3702013" TargetMode="External"/><Relationship Id="rId1598" Type="http://schemas.openxmlformats.org/officeDocument/2006/relationships/hyperlink" Target="https://doi.org/10.1109/ICSE-SEIP58684.2023.00038" TargetMode="External"/><Relationship Id="rId1599" Type="http://schemas.openxmlformats.org/officeDocument/2006/relationships/hyperlink" Target="https://ieeexplore.ieee.org/stamp/stamp.jsp?arnumber=10172546" TargetMode="External"/><Relationship Id="rId1590" Type="http://schemas.openxmlformats.org/officeDocument/2006/relationships/hyperlink" Target="https://ieeexplore.ieee.org/stamp/stamp.jsp?arnumber=10092619" TargetMode="External"/><Relationship Id="rId1591" Type="http://schemas.openxmlformats.org/officeDocument/2006/relationships/hyperlink" Target="https://ieeexplore.ieee.org/stamp/stamp.jsp?arnumber=10592667" TargetMode="External"/><Relationship Id="rId1592" Type="http://schemas.openxmlformats.org/officeDocument/2006/relationships/hyperlink" Target="https://ieeexplore.ieee.org/stamp/stamp.jsp?arnumber=10592775" TargetMode="External"/><Relationship Id="rId1593" Type="http://schemas.openxmlformats.org/officeDocument/2006/relationships/hyperlink" Target="https://ieeexplore.ieee.org/stamp/stamp.jsp?arnumber=10690554" TargetMode="External"/><Relationship Id="rId1594" Type="http://schemas.openxmlformats.org/officeDocument/2006/relationships/hyperlink" Target="https://ieeexplore.ieee.org/stamp/stamp.jsp?arnumber=10370152" TargetMode="External"/><Relationship Id="rId1595" Type="http://schemas.openxmlformats.org/officeDocument/2006/relationships/hyperlink" Target="https://doi.org/10.1109/ICSE-Companion.2019.00086" TargetMode="External"/><Relationship Id="rId1596" Type="http://schemas.openxmlformats.org/officeDocument/2006/relationships/hyperlink" Target="https://ieeexplore.ieee.org/stamp/stamp.jsp?arnumber=10449671" TargetMode="External"/><Relationship Id="rId1597" Type="http://schemas.openxmlformats.org/officeDocument/2006/relationships/hyperlink" Target="https://doi.org/10.1109/ICSE-SEET58685.2023.00015" TargetMode="External"/><Relationship Id="rId1587" Type="http://schemas.openxmlformats.org/officeDocument/2006/relationships/hyperlink" Target="https://ieeexplore.ieee.org/stamp/stamp.jsp?arnumber=10628419" TargetMode="External"/><Relationship Id="rId1588" Type="http://schemas.openxmlformats.org/officeDocument/2006/relationships/hyperlink" Target="https://ieeexplore.ieee.org/stamp/stamp.jsp?arnumber=8703902" TargetMode="External"/><Relationship Id="rId1589" Type="http://schemas.openxmlformats.org/officeDocument/2006/relationships/hyperlink" Target="https://ieeexplore.ieee.org/stamp/stamp.jsp?arnumber=10092705" TargetMode="External"/><Relationship Id="rId998" Type="http://schemas.openxmlformats.org/officeDocument/2006/relationships/hyperlink" Target="https://ieeexplore.ieee.org/stamp/stamp.jsp?arnumber=8424018" TargetMode="External"/><Relationship Id="rId997" Type="http://schemas.openxmlformats.org/officeDocument/2006/relationships/hyperlink" Target="https://ieeexplore.ieee.org/stamp/stamp.jsp?arnumber=8356736" TargetMode="External"/><Relationship Id="rId996" Type="http://schemas.openxmlformats.org/officeDocument/2006/relationships/hyperlink" Target="https://ieeexplore.ieee.org/stamp/stamp.jsp?arnumber=8320765" TargetMode="External"/><Relationship Id="rId995" Type="http://schemas.openxmlformats.org/officeDocument/2006/relationships/hyperlink" Target="https://ieeexplore.ieee.org/stamp/stamp.jsp?arnumber=8003273" TargetMode="External"/><Relationship Id="rId999" Type="http://schemas.openxmlformats.org/officeDocument/2006/relationships/hyperlink" Target="https://ieeexplore.ieee.org/stamp/stamp.jsp?arnumber=8624417" TargetMode="External"/><Relationship Id="rId990" Type="http://schemas.openxmlformats.org/officeDocument/2006/relationships/hyperlink" Target="https://ieeexplore.ieee.org/stamp/stamp.jsp?arnumber=10885637" TargetMode="External"/><Relationship Id="rId1580" Type="http://schemas.openxmlformats.org/officeDocument/2006/relationships/hyperlink" Target="https://ieeexplore.ieee.org/stamp/stamp.jsp?arnumber=9949759" TargetMode="External"/><Relationship Id="rId1581" Type="http://schemas.openxmlformats.org/officeDocument/2006/relationships/hyperlink" Target="https://ieeexplore.ieee.org/stamp/stamp.jsp?arnumber=10611681" TargetMode="External"/><Relationship Id="rId1582" Type="http://schemas.openxmlformats.org/officeDocument/2006/relationships/hyperlink" Target="https://ieeexplore.ieee.org/stamp/stamp.jsp?arnumber=9296170" TargetMode="External"/><Relationship Id="rId994" Type="http://schemas.openxmlformats.org/officeDocument/2006/relationships/hyperlink" Target="https://ieeexplore.ieee.org/stamp/stamp.jsp?arnumber=7947156" TargetMode="External"/><Relationship Id="rId1583" Type="http://schemas.openxmlformats.org/officeDocument/2006/relationships/hyperlink" Target="https://ieeexplore.ieee.org/stamp/stamp.jsp?arnumber=8712357" TargetMode="External"/><Relationship Id="rId993" Type="http://schemas.openxmlformats.org/officeDocument/2006/relationships/hyperlink" Target="https://ieeexplore.ieee.org/stamp/stamp.jsp?arnumber=7931566" TargetMode="External"/><Relationship Id="rId1584" Type="http://schemas.openxmlformats.org/officeDocument/2006/relationships/hyperlink" Target="https://ieeexplore.ieee.org/stamp/stamp.jsp?arnumber=9425852" TargetMode="External"/><Relationship Id="rId992" Type="http://schemas.openxmlformats.org/officeDocument/2006/relationships/hyperlink" Target="https://ieeexplore.ieee.org/stamp/stamp.jsp?arnumber=10885711" TargetMode="External"/><Relationship Id="rId1585" Type="http://schemas.openxmlformats.org/officeDocument/2006/relationships/hyperlink" Target="https://ieeexplore.ieee.org/stamp/stamp.jsp?arnumber=10092664" TargetMode="External"/><Relationship Id="rId991" Type="http://schemas.openxmlformats.org/officeDocument/2006/relationships/hyperlink" Target="https://ieeexplore.ieee.org/stamp/stamp.jsp?arnumber=10885651" TargetMode="External"/><Relationship Id="rId1586" Type="http://schemas.openxmlformats.org/officeDocument/2006/relationships/hyperlink" Target="https://ieeexplore.ieee.org/stamp/stamp.jsp?arnumber=10628386" TargetMode="External"/><Relationship Id="rId1532" Type="http://schemas.openxmlformats.org/officeDocument/2006/relationships/hyperlink" Target="https://www.scopus.com/inward/record.uri?eid=2-s2.0-85099569399&amp;doi=10.1109%2fICITSI50517.2020.9264955&amp;partnerID=40&amp;md5=614457a8c9929bb99b497ab266776423" TargetMode="External"/><Relationship Id="rId2863" Type="http://schemas.openxmlformats.org/officeDocument/2006/relationships/hyperlink" Target="https://doi.org/10.1145/3650110" TargetMode="External"/><Relationship Id="rId1533" Type="http://schemas.openxmlformats.org/officeDocument/2006/relationships/hyperlink" Target="https://www.scopus.com/inward/record.uri?eid=2-s2.0-85016055420&amp;doi=10.1109%2fICITST.2016.7856721&amp;partnerID=40&amp;md5=7df1f28fe52191a53c2df6e382791cc4" TargetMode="External"/><Relationship Id="rId2864" Type="http://schemas.openxmlformats.org/officeDocument/2006/relationships/hyperlink" Target="https://doi.org/10.1145/3652892.3700754" TargetMode="External"/><Relationship Id="rId1534" Type="http://schemas.openxmlformats.org/officeDocument/2006/relationships/hyperlink" Target="https://ieeexplore.ieee.org/stamp/stamp.jsp?arnumber=10540765" TargetMode="External"/><Relationship Id="rId2865" Type="http://schemas.openxmlformats.org/officeDocument/2006/relationships/hyperlink" Target="https://doi.org/10.1145/3652892.3700757" TargetMode="External"/><Relationship Id="rId1535" Type="http://schemas.openxmlformats.org/officeDocument/2006/relationships/hyperlink" Target="https://ieeexplore.ieee.org/stamp/stamp.jsp?arnumber=10883497" TargetMode="External"/><Relationship Id="rId2866" Type="http://schemas.openxmlformats.org/officeDocument/2006/relationships/hyperlink" Target="https://www.scopus.com/inward/record.uri?eid=2-s2.0-85193283141&amp;doi=10.1145%2f3653451&amp;partnerID=40&amp;md5=d98d6ccff5e8c578d655e33bd73107ba" TargetMode="External"/><Relationship Id="rId1536" Type="http://schemas.openxmlformats.org/officeDocument/2006/relationships/hyperlink" Target="https://ieeexplore.ieee.org/stamp/stamp.jsp?arnumber=10883514" TargetMode="External"/><Relationship Id="rId2867" Type="http://schemas.openxmlformats.org/officeDocument/2006/relationships/hyperlink" Target="https://doi.org/10.1145/3654522.3654594" TargetMode="External"/><Relationship Id="rId1537" Type="http://schemas.openxmlformats.org/officeDocument/2006/relationships/hyperlink" Target="https://ieeexplore.ieee.org/stamp/stamp.jsp?arnumber=10872108" TargetMode="External"/><Relationship Id="rId2868" Type="http://schemas.openxmlformats.org/officeDocument/2006/relationships/hyperlink" Target="https://doi.org/10.1145/3656405" TargetMode="External"/><Relationship Id="rId1538" Type="http://schemas.openxmlformats.org/officeDocument/2006/relationships/hyperlink" Target="https://ieeexplore.ieee.org/stamp/stamp.jsp?arnumber=9410151" TargetMode="External"/><Relationship Id="rId2869" Type="http://schemas.openxmlformats.org/officeDocument/2006/relationships/hyperlink" Target="https://doi.org/10.1145/3656766.3656853" TargetMode="External"/><Relationship Id="rId1539" Type="http://schemas.openxmlformats.org/officeDocument/2006/relationships/hyperlink" Target="https://ieeexplore.ieee.org/stamp/stamp.jsp?arnumber=9049797" TargetMode="External"/><Relationship Id="rId949" Type="http://schemas.openxmlformats.org/officeDocument/2006/relationships/hyperlink" Target="https://ieeexplore.ieee.org/stamp/stamp.jsp?arnumber=9719878" TargetMode="External"/><Relationship Id="rId948" Type="http://schemas.openxmlformats.org/officeDocument/2006/relationships/hyperlink" Target="https://ieeexplore.ieee.org/stamp/stamp.jsp?arnumber=7791856" TargetMode="External"/><Relationship Id="rId943" Type="http://schemas.openxmlformats.org/officeDocument/2006/relationships/hyperlink" Target="https://ieeexplore.ieee.org/stamp/stamp.jsp?arnumber=9510939" TargetMode="External"/><Relationship Id="rId942" Type="http://schemas.openxmlformats.org/officeDocument/2006/relationships/hyperlink" Target="https://ieeexplore.ieee.org/stamp/stamp.jsp?arnumber=10754135" TargetMode="External"/><Relationship Id="rId941" Type="http://schemas.openxmlformats.org/officeDocument/2006/relationships/hyperlink" Target="https://ieeexplore.ieee.org/stamp/stamp.jsp?arnumber=9929149" TargetMode="External"/><Relationship Id="rId940" Type="http://schemas.openxmlformats.org/officeDocument/2006/relationships/hyperlink" Target="https://ieeexplore.ieee.org/stamp/stamp.jsp?arnumber=9929015" TargetMode="External"/><Relationship Id="rId947" Type="http://schemas.openxmlformats.org/officeDocument/2006/relationships/hyperlink" Target="https://ieeexplore.ieee.org/stamp/stamp.jsp?arnumber=10695278" TargetMode="External"/><Relationship Id="rId946" Type="http://schemas.openxmlformats.org/officeDocument/2006/relationships/hyperlink" Target="https://ieeexplore.ieee.org/stamp/stamp.jsp?arnumber=8928249" TargetMode="External"/><Relationship Id="rId945" Type="http://schemas.openxmlformats.org/officeDocument/2006/relationships/hyperlink" Target="https://ieeexplore.ieee.org/stamp/stamp.jsp?arnumber=10811192" TargetMode="External"/><Relationship Id="rId944" Type="http://schemas.openxmlformats.org/officeDocument/2006/relationships/hyperlink" Target="https://ieeexplore.ieee.org/stamp/stamp.jsp?arnumber=10378780" TargetMode="External"/><Relationship Id="rId2860" Type="http://schemas.openxmlformats.org/officeDocument/2006/relationships/hyperlink" Target="https://doi.org/10.1145/3643833.3656118" TargetMode="External"/><Relationship Id="rId1530" Type="http://schemas.openxmlformats.org/officeDocument/2006/relationships/hyperlink" Target="https://ieeexplore.ieee.org/stamp/stamp.jsp?arnumber=8695927" TargetMode="External"/><Relationship Id="rId2861" Type="http://schemas.openxmlformats.org/officeDocument/2006/relationships/hyperlink" Target="https://doi.org/10.1145/3644713.3644786" TargetMode="External"/><Relationship Id="rId1531" Type="http://schemas.openxmlformats.org/officeDocument/2006/relationships/hyperlink" Target="https://ieeexplore.ieee.org/stamp/stamp.jsp?arnumber=8696031" TargetMode="External"/><Relationship Id="rId2862" Type="http://schemas.openxmlformats.org/officeDocument/2006/relationships/hyperlink" Target="https://doi.org/10.1145/3645092" TargetMode="External"/><Relationship Id="rId1521" Type="http://schemas.openxmlformats.org/officeDocument/2006/relationships/hyperlink" Target="https://ieeexplore.ieee.org/stamp/stamp.jsp?arnumber=10751450" TargetMode="External"/><Relationship Id="rId2852" Type="http://schemas.openxmlformats.org/officeDocument/2006/relationships/hyperlink" Target="https://doi.org/10.1145/3640310.3674100" TargetMode="External"/><Relationship Id="rId1522" Type="http://schemas.openxmlformats.org/officeDocument/2006/relationships/hyperlink" Target="https://ieeexplore.ieee.org/stamp/stamp.jsp?arnumber=8423891" TargetMode="External"/><Relationship Id="rId2853" Type="http://schemas.openxmlformats.org/officeDocument/2006/relationships/hyperlink" Target="https://doi.org/10.1145/3640823" TargetMode="External"/><Relationship Id="rId1523" Type="http://schemas.openxmlformats.org/officeDocument/2006/relationships/hyperlink" Target="https://ieeexplore.ieee.org/stamp/stamp.jsp?arnumber=8724377" TargetMode="External"/><Relationship Id="rId2854" Type="http://schemas.openxmlformats.org/officeDocument/2006/relationships/hyperlink" Target="https://doi.org/10.1145/3641384.3641495" TargetMode="External"/><Relationship Id="rId1524" Type="http://schemas.openxmlformats.org/officeDocument/2006/relationships/hyperlink" Target="https://ieeexplore.ieee.org/stamp/stamp.jsp?arnumber=10761952" TargetMode="External"/><Relationship Id="rId2855" Type="http://schemas.openxmlformats.org/officeDocument/2006/relationships/hyperlink" Target="https://doi.org/10.1145/3641512.3690035" TargetMode="External"/><Relationship Id="rId1525" Type="http://schemas.openxmlformats.org/officeDocument/2006/relationships/hyperlink" Target="https://ieeexplore.ieee.org/stamp/stamp.jsp?arnumber=10762759" TargetMode="External"/><Relationship Id="rId2856" Type="http://schemas.openxmlformats.org/officeDocument/2006/relationships/hyperlink" Target="https://doi.org/10.1145/3642975.3678962" TargetMode="External"/><Relationship Id="rId1526" Type="http://schemas.openxmlformats.org/officeDocument/2006/relationships/hyperlink" Target="https://ieeexplore.ieee.org/stamp/stamp.jsp?arnumber=10762778" TargetMode="External"/><Relationship Id="rId2857" Type="http://schemas.openxmlformats.org/officeDocument/2006/relationships/hyperlink" Target="https://doi.org/10.1145/3642975.3678965" TargetMode="External"/><Relationship Id="rId1527" Type="http://schemas.openxmlformats.org/officeDocument/2006/relationships/hyperlink" Target="https://ieeexplore.ieee.org/stamp/stamp.jsp?arnumber=9110057" TargetMode="External"/><Relationship Id="rId2858" Type="http://schemas.openxmlformats.org/officeDocument/2006/relationships/hyperlink" Target="https://doi.org/10.1145/3642978.3652833" TargetMode="External"/><Relationship Id="rId1528" Type="http://schemas.openxmlformats.org/officeDocument/2006/relationships/hyperlink" Target="https://ieeexplore.ieee.org/stamp/stamp.jsp?arnumber=10624824" TargetMode="External"/><Relationship Id="rId2859" Type="http://schemas.openxmlformats.org/officeDocument/2006/relationships/hyperlink" Target="https://doi.org/10.1145/3643657.3643909" TargetMode="External"/><Relationship Id="rId1529" Type="http://schemas.openxmlformats.org/officeDocument/2006/relationships/hyperlink" Target="https://ieeexplore.ieee.org/stamp/stamp.jsp?arnumber=8736157" TargetMode="External"/><Relationship Id="rId939" Type="http://schemas.openxmlformats.org/officeDocument/2006/relationships/hyperlink" Target="https://ieeexplore.ieee.org/stamp/stamp.jsp?arnumber=9928834" TargetMode="External"/><Relationship Id="rId938" Type="http://schemas.openxmlformats.org/officeDocument/2006/relationships/hyperlink" Target="https://ieeexplore.ieee.org/stamp/stamp.jsp?arnumber=9556812" TargetMode="External"/><Relationship Id="rId937" Type="http://schemas.openxmlformats.org/officeDocument/2006/relationships/hyperlink" Target="https://ieeexplore.ieee.org/stamp/stamp.jsp?arnumber=9556785" TargetMode="External"/><Relationship Id="rId932" Type="http://schemas.openxmlformats.org/officeDocument/2006/relationships/hyperlink" Target="https://ieeexplore.ieee.org/stamp/stamp.jsp?arnumber=10166383" TargetMode="External"/><Relationship Id="rId931" Type="http://schemas.openxmlformats.org/officeDocument/2006/relationships/hyperlink" Target="https://ieeexplore.ieee.org/stamp/stamp.jsp?arnumber=9783315" TargetMode="External"/><Relationship Id="rId930" Type="http://schemas.openxmlformats.org/officeDocument/2006/relationships/hyperlink" Target="https://ieeexplore.ieee.org/stamp/stamp.jsp?arnumber=9783246" TargetMode="External"/><Relationship Id="rId936" Type="http://schemas.openxmlformats.org/officeDocument/2006/relationships/hyperlink" Target="https://ieeexplore.ieee.org/stamp/stamp.jsp?arnumber=9319015" TargetMode="External"/><Relationship Id="rId935" Type="http://schemas.openxmlformats.org/officeDocument/2006/relationships/hyperlink" Target="https://ieeexplore.ieee.org/stamp/stamp.jsp?arnumber=8733148" TargetMode="External"/><Relationship Id="rId934" Type="http://schemas.openxmlformats.org/officeDocument/2006/relationships/hyperlink" Target="https://ieeexplore.ieee.org/stamp/stamp.jsp?arnumber=10586495" TargetMode="External"/><Relationship Id="rId933" Type="http://schemas.openxmlformats.org/officeDocument/2006/relationships/hyperlink" Target="https://ieeexplore.ieee.org/stamp/stamp.jsp?arnumber=10586293" TargetMode="External"/><Relationship Id="rId2850" Type="http://schemas.openxmlformats.org/officeDocument/2006/relationships/hyperlink" Target="https://doi.org/10.1145/3639476.3639759" TargetMode="External"/><Relationship Id="rId1520" Type="http://schemas.openxmlformats.org/officeDocument/2006/relationships/hyperlink" Target="https://ieeexplore.ieee.org/stamp/stamp.jsp?arnumber=10751204" TargetMode="External"/><Relationship Id="rId2851" Type="http://schemas.openxmlformats.org/officeDocument/2006/relationships/hyperlink" Target="https://doi.org/10.1145/3640115.3640217" TargetMode="External"/><Relationship Id="rId1554" Type="http://schemas.openxmlformats.org/officeDocument/2006/relationships/hyperlink" Target="https://ieeexplore.ieee.org/stamp/stamp.jsp?arnumber=10397095" TargetMode="External"/><Relationship Id="rId2885" Type="http://schemas.openxmlformats.org/officeDocument/2006/relationships/hyperlink" Target="https://doi.org/10.1145/3673277.3673327" TargetMode="External"/><Relationship Id="rId1555" Type="http://schemas.openxmlformats.org/officeDocument/2006/relationships/hyperlink" Target="https://ieeexplore.ieee.org/stamp/stamp.jsp?arnumber=9359214" TargetMode="External"/><Relationship Id="rId2886" Type="http://schemas.openxmlformats.org/officeDocument/2006/relationships/hyperlink" Target="https://doi.org/10.1145/3675094.3678482" TargetMode="External"/><Relationship Id="rId1556" Type="http://schemas.openxmlformats.org/officeDocument/2006/relationships/hyperlink" Target="https://ieeexplore.ieee.org/stamp/stamp.jsp?arnumber=10077999" TargetMode="External"/><Relationship Id="rId2887" Type="http://schemas.openxmlformats.org/officeDocument/2006/relationships/hyperlink" Target="https://doi.org/10.1145/3677454.3677455" TargetMode="External"/><Relationship Id="rId1557" Type="http://schemas.openxmlformats.org/officeDocument/2006/relationships/hyperlink" Target="https://ieeexplore.ieee.org/stamp/stamp.jsp?arnumber=10077918" TargetMode="External"/><Relationship Id="rId2888" Type="http://schemas.openxmlformats.org/officeDocument/2006/relationships/hyperlink" Target="https://doi.org/10.1145/3685651.3686698" TargetMode="External"/><Relationship Id="rId1558" Type="http://schemas.openxmlformats.org/officeDocument/2006/relationships/hyperlink" Target="https://ieeexplore.ieee.org/stamp/stamp.jsp?arnumber=10077895" TargetMode="External"/><Relationship Id="rId2889" Type="http://schemas.openxmlformats.org/officeDocument/2006/relationships/hyperlink" Target="https://doi.org/10.1145/3685694" TargetMode="External"/><Relationship Id="rId1559" Type="http://schemas.openxmlformats.org/officeDocument/2006/relationships/hyperlink" Target="https://ieeexplore.ieee.org/stamp/stamp.jsp?arnumber=10476142" TargetMode="External"/><Relationship Id="rId965" Type="http://schemas.openxmlformats.org/officeDocument/2006/relationships/hyperlink" Target="https://ieeexplore.ieee.org/stamp/stamp.jsp?arnumber=10643937" TargetMode="External"/><Relationship Id="rId964" Type="http://schemas.openxmlformats.org/officeDocument/2006/relationships/hyperlink" Target="https://ieeexplore.ieee.org/stamp/stamp.jsp?arnumber=10643916" TargetMode="External"/><Relationship Id="rId963" Type="http://schemas.openxmlformats.org/officeDocument/2006/relationships/hyperlink" Target="https://ieeexplore.ieee.org/stamp/stamp.jsp?arnumber=9860602" TargetMode="External"/><Relationship Id="rId962" Type="http://schemas.openxmlformats.org/officeDocument/2006/relationships/hyperlink" Target="https://ieeexplore.ieee.org/stamp/stamp.jsp?arnumber=9860445" TargetMode="External"/><Relationship Id="rId969" Type="http://schemas.openxmlformats.org/officeDocument/2006/relationships/hyperlink" Target="https://ieeexplore.ieee.org/stamp/stamp.jsp?arnumber=8891040" TargetMode="External"/><Relationship Id="rId968" Type="http://schemas.openxmlformats.org/officeDocument/2006/relationships/hyperlink" Target="https://ieeexplore.ieee.org/stamp/stamp.jsp?arnumber=8514884" TargetMode="External"/><Relationship Id="rId967" Type="http://schemas.openxmlformats.org/officeDocument/2006/relationships/hyperlink" Target="https://ieeexplore.ieee.org/stamp/stamp.jsp?arnumber=8514882" TargetMode="External"/><Relationship Id="rId966" Type="http://schemas.openxmlformats.org/officeDocument/2006/relationships/hyperlink" Target="https://ieeexplore.ieee.org/stamp/stamp.jsp?arnumber=10643932" TargetMode="External"/><Relationship Id="rId2880" Type="http://schemas.openxmlformats.org/officeDocument/2006/relationships/hyperlink" Target="https://doi.org/10.1145/3665348.3665413" TargetMode="External"/><Relationship Id="rId961" Type="http://schemas.openxmlformats.org/officeDocument/2006/relationships/hyperlink" Target="https://www.scopus.com/inward/record.uri?eid=2-s2.0-85137586994&amp;doi=10.1109%2fCLOUD55607.2022.00056&amp;partnerID=40&amp;md5=a270cfe437bee5e8c7033a3841d1f3ae" TargetMode="External"/><Relationship Id="rId1550" Type="http://schemas.openxmlformats.org/officeDocument/2006/relationships/hyperlink" Target="https://ieeexplore.ieee.org/stamp/stamp.jsp?arnumber=9952084" TargetMode="External"/><Relationship Id="rId2881" Type="http://schemas.openxmlformats.org/officeDocument/2006/relationships/hyperlink" Target="https://doi.org/10.1145/3666015.3666018" TargetMode="External"/><Relationship Id="rId960" Type="http://schemas.openxmlformats.org/officeDocument/2006/relationships/hyperlink" Target="https://ieeexplore.ieee.org/stamp/stamp.jsp?arnumber=9582166" TargetMode="External"/><Relationship Id="rId1551" Type="http://schemas.openxmlformats.org/officeDocument/2006/relationships/hyperlink" Target="https://ieeexplore.ieee.org/stamp/stamp.jsp?arnumber=10722105" TargetMode="External"/><Relationship Id="rId2882" Type="http://schemas.openxmlformats.org/officeDocument/2006/relationships/hyperlink" Target="https://doi.org/10.1145/3666025.3699323" TargetMode="External"/><Relationship Id="rId1552" Type="http://schemas.openxmlformats.org/officeDocument/2006/relationships/hyperlink" Target="https://ieeexplore.ieee.org/stamp/stamp.jsp?arnumber=9829037" TargetMode="External"/><Relationship Id="rId2883" Type="http://schemas.openxmlformats.org/officeDocument/2006/relationships/hyperlink" Target="https://www.scopus.com/inward/record.uri?eid=2-s2.0-85200153365&amp;doi=10.1145%2f3671151.3671215&amp;partnerID=40&amp;md5=d8051943d6970dd1111d6d8e58241344" TargetMode="External"/><Relationship Id="rId1553" Type="http://schemas.openxmlformats.org/officeDocument/2006/relationships/hyperlink" Target="https://ieeexplore.ieee.org/stamp/stamp.jsp?arnumber=9493436" TargetMode="External"/><Relationship Id="rId2884" Type="http://schemas.openxmlformats.org/officeDocument/2006/relationships/hyperlink" Target="https://doi.org/10.1145/3672461" TargetMode="External"/><Relationship Id="rId1543" Type="http://schemas.openxmlformats.org/officeDocument/2006/relationships/hyperlink" Target="https://ieeexplore.ieee.org/stamp/stamp.jsp?arnumber=10537556" TargetMode="External"/><Relationship Id="rId2874" Type="http://schemas.openxmlformats.org/officeDocument/2006/relationships/hyperlink" Target="https://doi.org/10.1145/3660395.3660441" TargetMode="External"/><Relationship Id="rId1544" Type="http://schemas.openxmlformats.org/officeDocument/2006/relationships/hyperlink" Target="https://ieeexplore.ieee.org/stamp/stamp.jsp?arnumber=9143038" TargetMode="External"/><Relationship Id="rId2875" Type="http://schemas.openxmlformats.org/officeDocument/2006/relationships/hyperlink" Target="https://doi.org/10.1145/3663482" TargetMode="External"/><Relationship Id="rId1545" Type="http://schemas.openxmlformats.org/officeDocument/2006/relationships/hyperlink" Target="https://ieeexplore.ieee.org/stamp/stamp.jsp?arnumber=10048949" TargetMode="External"/><Relationship Id="rId2876" Type="http://schemas.openxmlformats.org/officeDocument/2006/relationships/hyperlink" Target="https://doi.org/10.1145/3664200" TargetMode="External"/><Relationship Id="rId1546" Type="http://schemas.openxmlformats.org/officeDocument/2006/relationships/hyperlink" Target="https://ieeexplore.ieee.org/stamp/stamp.jsp?arnumber=10774810" TargetMode="External"/><Relationship Id="rId2877" Type="http://schemas.openxmlformats.org/officeDocument/2006/relationships/hyperlink" Target="https://doi.org/10.1145/3664476.3670884" TargetMode="External"/><Relationship Id="rId1547" Type="http://schemas.openxmlformats.org/officeDocument/2006/relationships/hyperlink" Target="https://ieeexplore.ieee.org/stamp/stamp.jsp?arnumber=10568761" TargetMode="External"/><Relationship Id="rId2878" Type="http://schemas.openxmlformats.org/officeDocument/2006/relationships/hyperlink" Target="https://doi.org/10.1145/3664476.3670942" TargetMode="External"/><Relationship Id="rId1548" Type="http://schemas.openxmlformats.org/officeDocument/2006/relationships/hyperlink" Target="https://ieeexplore.ieee.org/stamp/stamp.jsp?arnumber=9591821" TargetMode="External"/><Relationship Id="rId2879" Type="http://schemas.openxmlformats.org/officeDocument/2006/relationships/hyperlink" Target="https://doi.org/10.1145/3664925" TargetMode="External"/><Relationship Id="rId1549" Type="http://schemas.openxmlformats.org/officeDocument/2006/relationships/hyperlink" Target="https://ieeexplore.ieee.org/stamp/stamp.jsp?arnumber=9591941" TargetMode="External"/><Relationship Id="rId959" Type="http://schemas.openxmlformats.org/officeDocument/2006/relationships/hyperlink" Target="https://www.scopus.com/inward/record.uri?eid=2-s2.0-85119334596&amp;doi=10.1109%2fCLOUD53861.2021.00030&amp;partnerID=40&amp;md5=4746728bb62de912c1bb55f984ab72e9" TargetMode="External"/><Relationship Id="rId954" Type="http://schemas.openxmlformats.org/officeDocument/2006/relationships/hyperlink" Target="https://ieeexplore.ieee.org/stamp/stamp.jsp?arnumber=8457798" TargetMode="External"/><Relationship Id="rId953" Type="http://schemas.openxmlformats.org/officeDocument/2006/relationships/hyperlink" Target="https://ieeexplore.ieee.org/stamp/stamp.jsp?arnumber=8457782" TargetMode="External"/><Relationship Id="rId952" Type="http://schemas.openxmlformats.org/officeDocument/2006/relationships/hyperlink" Target="https://ieeexplore.ieee.org/stamp/stamp.jsp?arnumber=8457772" TargetMode="External"/><Relationship Id="rId951" Type="http://schemas.openxmlformats.org/officeDocument/2006/relationships/hyperlink" Target="https://ieeexplore.ieee.org/stamp/stamp.jsp?arnumber=7820275" TargetMode="External"/><Relationship Id="rId958" Type="http://schemas.openxmlformats.org/officeDocument/2006/relationships/hyperlink" Target="https://www.scopus.com/inward/record.uri?eid=2-s2.0-85099339956&amp;doi=10.1109%2fCLOUD49709.2020.00091&amp;partnerID=40&amp;md5=2993eb4f2775374c902b4bcf177de118" TargetMode="External"/><Relationship Id="rId957" Type="http://schemas.openxmlformats.org/officeDocument/2006/relationships/hyperlink" Target="https://ieeexplore.ieee.org/stamp/stamp.jsp?arnumber=8814555" TargetMode="External"/><Relationship Id="rId956" Type="http://schemas.openxmlformats.org/officeDocument/2006/relationships/hyperlink" Target="https://www.scopus.com/inward/record.uri?eid=2-s2.0-85069531622&amp;doi=10.1109%2fCLOUD.2019.00043&amp;partnerID=40&amp;md5=db3951b69899a434967f97105d5a7d07" TargetMode="External"/><Relationship Id="rId955" Type="http://schemas.openxmlformats.org/officeDocument/2006/relationships/hyperlink" Target="https://ieeexplore.ieee.org/stamp/stamp.jsp?arnumber=8814506" TargetMode="External"/><Relationship Id="rId950" Type="http://schemas.openxmlformats.org/officeDocument/2006/relationships/hyperlink" Target="https://ieeexplore.ieee.org/stamp/stamp.jsp?arnumber=9458330" TargetMode="External"/><Relationship Id="rId2870" Type="http://schemas.openxmlformats.org/officeDocument/2006/relationships/hyperlink" Target="https://doi.org/10.1145/3659677.3659734" TargetMode="External"/><Relationship Id="rId1540" Type="http://schemas.openxmlformats.org/officeDocument/2006/relationships/hyperlink" Target="https://ieeexplore.ieee.org/stamp/stamp.jsp?arnumber=9603926" TargetMode="External"/><Relationship Id="rId2871" Type="http://schemas.openxmlformats.org/officeDocument/2006/relationships/hyperlink" Target="https://doi.org/10.1145/3659994.3660315" TargetMode="External"/><Relationship Id="rId1541" Type="http://schemas.openxmlformats.org/officeDocument/2006/relationships/hyperlink" Target="https://ieeexplore.ieee.org/stamp/stamp.jsp?arnumber=10473377" TargetMode="External"/><Relationship Id="rId2872" Type="http://schemas.openxmlformats.org/officeDocument/2006/relationships/hyperlink" Target="https://doi.org/10.1145/3659995.3660037" TargetMode="External"/><Relationship Id="rId1542" Type="http://schemas.openxmlformats.org/officeDocument/2006/relationships/hyperlink" Target="https://ieeexplore.ieee.org/stamp/stamp.jsp?arnumber=9651911" TargetMode="External"/><Relationship Id="rId2873" Type="http://schemas.openxmlformats.org/officeDocument/2006/relationships/hyperlink" Target="https://doi.org/10.1145/3660319.3660330" TargetMode="External"/><Relationship Id="rId2027" Type="http://schemas.openxmlformats.org/officeDocument/2006/relationships/hyperlink" Target="https://ieeexplore.ieee.org/stamp/stamp.jsp?arnumber=9282376" TargetMode="External"/><Relationship Id="rId2028" Type="http://schemas.openxmlformats.org/officeDocument/2006/relationships/hyperlink" Target="https://ieeexplore.ieee.org/stamp/stamp.jsp?arnumber=10759963" TargetMode="External"/><Relationship Id="rId2029" Type="http://schemas.openxmlformats.org/officeDocument/2006/relationships/hyperlink" Target="https://ieeexplore.ieee.org/stamp/stamp.jsp?arnumber=8710656" TargetMode="External"/><Relationship Id="rId107" Type="http://schemas.openxmlformats.org/officeDocument/2006/relationships/hyperlink" Target="https://ieeexplore.ieee.org/stamp/stamp.jsp?arnumber=10609684" TargetMode="External"/><Relationship Id="rId106" Type="http://schemas.openxmlformats.org/officeDocument/2006/relationships/hyperlink" Target="https://ieeexplore.ieee.org/stamp/stamp.jsp?arnumber=10596385" TargetMode="External"/><Relationship Id="rId105" Type="http://schemas.openxmlformats.org/officeDocument/2006/relationships/hyperlink" Target="https://www.scopus.com/inward/record.uri?eid=2-s2.0-85077969153&amp;doi=10.1109%2fIOTSMS48152.2019.8939237&amp;partnerID=40&amp;md5=7b937f6435a19d89b288227377d059e7" TargetMode="External"/><Relationship Id="rId104" Type="http://schemas.openxmlformats.org/officeDocument/2006/relationships/hyperlink" Target="https://ieeexplore.ieee.org/stamp/stamp.jsp?arnumber=8612307" TargetMode="External"/><Relationship Id="rId109" Type="http://schemas.openxmlformats.org/officeDocument/2006/relationships/hyperlink" Target="https://ieeexplore.ieee.org/stamp/stamp.jsp?arnumber=8969621" TargetMode="External"/><Relationship Id="rId108" Type="http://schemas.openxmlformats.org/officeDocument/2006/relationships/hyperlink" Target="https://www.scopus.com/inward/record.uri?eid=2-s2.0-85200553624&amp;doi=10.1109%2fISCA59077.2024.00041&amp;partnerID=40&amp;md5=04e02bd90867d84af9b5000b6a4fc8ec" TargetMode="External"/><Relationship Id="rId2020" Type="http://schemas.openxmlformats.org/officeDocument/2006/relationships/hyperlink" Target="https://ieeexplore.ieee.org/stamp/stamp.jsp?arnumber=9647689" TargetMode="External"/><Relationship Id="rId2021" Type="http://schemas.openxmlformats.org/officeDocument/2006/relationships/hyperlink" Target="https://ieeexplore.ieee.org/stamp/stamp.jsp?arnumber=10621195" TargetMode="External"/><Relationship Id="rId2022" Type="http://schemas.openxmlformats.org/officeDocument/2006/relationships/hyperlink" Target="https://ieeexplore.ieee.org/stamp/stamp.jsp?arnumber=10271906" TargetMode="External"/><Relationship Id="rId103" Type="http://schemas.openxmlformats.org/officeDocument/2006/relationships/hyperlink" Target="https://ieeexplore.ieee.org/stamp/stamp.jsp?arnumber=10620732" TargetMode="External"/><Relationship Id="rId2023" Type="http://schemas.openxmlformats.org/officeDocument/2006/relationships/hyperlink" Target="https://ieeexplore.ieee.org/stamp/stamp.jsp?arnumber=9277635" TargetMode="External"/><Relationship Id="rId102" Type="http://schemas.openxmlformats.org/officeDocument/2006/relationships/hyperlink" Target="https://ieeexplore.ieee.org/stamp/stamp.jsp?arnumber=10345945" TargetMode="External"/><Relationship Id="rId2024" Type="http://schemas.openxmlformats.org/officeDocument/2006/relationships/hyperlink" Target="https://ieeexplore.ieee.org/stamp/stamp.jsp?arnumber=9831517" TargetMode="External"/><Relationship Id="rId101" Type="http://schemas.openxmlformats.org/officeDocument/2006/relationships/hyperlink" Target="https://ieeexplore.ieee.org/stamp/stamp.jsp?arnumber=9826775" TargetMode="External"/><Relationship Id="rId2025" Type="http://schemas.openxmlformats.org/officeDocument/2006/relationships/hyperlink" Target="https://ieeexplore.ieee.org/stamp/stamp.jsp?arnumber=10584243" TargetMode="External"/><Relationship Id="rId100" Type="http://schemas.openxmlformats.org/officeDocument/2006/relationships/hyperlink" Target="https://ieeexplore.ieee.org/stamp/stamp.jsp?arnumber=10627923" TargetMode="External"/><Relationship Id="rId2026" Type="http://schemas.openxmlformats.org/officeDocument/2006/relationships/hyperlink" Target="https://ieeexplore.ieee.org/stamp/stamp.jsp?arnumber=10615496" TargetMode="External"/><Relationship Id="rId2016" Type="http://schemas.openxmlformats.org/officeDocument/2006/relationships/hyperlink" Target="https://ieeexplore.ieee.org/stamp/stamp.jsp?arnumber=9394317" TargetMode="External"/><Relationship Id="rId2017" Type="http://schemas.openxmlformats.org/officeDocument/2006/relationships/hyperlink" Target="https://ieeexplore.ieee.org/stamp/stamp.jsp?arnumber=9463138" TargetMode="External"/><Relationship Id="rId2018" Type="http://schemas.openxmlformats.org/officeDocument/2006/relationships/hyperlink" Target="https://ieeexplore.ieee.org/stamp/stamp.jsp?arnumber=8883376" TargetMode="External"/><Relationship Id="rId2019" Type="http://schemas.openxmlformats.org/officeDocument/2006/relationships/hyperlink" Target="https://ieeexplore.ieee.org/stamp/stamp.jsp?arnumber=9647555" TargetMode="External"/><Relationship Id="rId2010" Type="http://schemas.openxmlformats.org/officeDocument/2006/relationships/hyperlink" Target="https://ieeexplore.ieee.org/stamp/stamp.jsp?arnumber=10740232" TargetMode="External"/><Relationship Id="rId2011" Type="http://schemas.openxmlformats.org/officeDocument/2006/relationships/hyperlink" Target="https://ieeexplore.ieee.org/stamp/stamp.jsp?arnumber=10680844" TargetMode="External"/><Relationship Id="rId2012" Type="http://schemas.openxmlformats.org/officeDocument/2006/relationships/hyperlink" Target="https://ieeexplore.ieee.org/stamp/stamp.jsp?arnumber=9837727" TargetMode="External"/><Relationship Id="rId2013" Type="http://schemas.openxmlformats.org/officeDocument/2006/relationships/hyperlink" Target="https://ieeexplore.ieee.org/stamp/stamp.jsp?arnumber=10350796" TargetMode="External"/><Relationship Id="rId2014" Type="http://schemas.openxmlformats.org/officeDocument/2006/relationships/hyperlink" Target="https://ieeexplore.ieee.org/stamp/stamp.jsp?arnumber=10210780" TargetMode="External"/><Relationship Id="rId2015" Type="http://schemas.openxmlformats.org/officeDocument/2006/relationships/hyperlink" Target="https://ieeexplore.ieee.org/stamp/stamp.jsp?arnumber=10696992" TargetMode="External"/><Relationship Id="rId2049" Type="http://schemas.openxmlformats.org/officeDocument/2006/relationships/hyperlink" Target="https://ieeexplore.ieee.org/stamp/stamp.jsp?arnumber=9789861" TargetMode="External"/><Relationship Id="rId129" Type="http://schemas.openxmlformats.org/officeDocument/2006/relationships/hyperlink" Target="https://ieeexplore.ieee.org/stamp/stamp.jsp?arnumber=9251997" TargetMode="External"/><Relationship Id="rId128" Type="http://schemas.openxmlformats.org/officeDocument/2006/relationships/hyperlink" Target="https://ieeexplore.ieee.org/stamp/stamp.jsp?arnumber=8526888" TargetMode="External"/><Relationship Id="rId127" Type="http://schemas.openxmlformats.org/officeDocument/2006/relationships/hyperlink" Target="https://ieeexplore.ieee.org/stamp/stamp.jsp?arnumber=8240185" TargetMode="External"/><Relationship Id="rId126" Type="http://schemas.openxmlformats.org/officeDocument/2006/relationships/hyperlink" Target="https://ieeexplore.ieee.org/stamp/stamp.jsp?arnumber=10767204" TargetMode="External"/><Relationship Id="rId2040" Type="http://schemas.openxmlformats.org/officeDocument/2006/relationships/hyperlink" Target="https://ieeexplore.ieee.org/stamp/stamp.jsp?arnumber=8725610" TargetMode="External"/><Relationship Id="rId121" Type="http://schemas.openxmlformats.org/officeDocument/2006/relationships/hyperlink" Target="https://www.scopus.com/inward/record.uri?eid=2-s2.0-85125708766&amp;doi=10.1109%2fJIOT.2022.3155598&amp;partnerID=40&amp;md5=519bcf5c5902a8cf7f53e8c2385fa6f2" TargetMode="External"/><Relationship Id="rId2041" Type="http://schemas.openxmlformats.org/officeDocument/2006/relationships/hyperlink" Target="https://ieeexplore.ieee.org/stamp/stamp.jsp?arnumber=8725676" TargetMode="External"/><Relationship Id="rId120" Type="http://schemas.openxmlformats.org/officeDocument/2006/relationships/hyperlink" Target="https://ieeexplore.ieee.org/stamp/stamp.jsp?arnumber=9446337" TargetMode="External"/><Relationship Id="rId2042" Type="http://schemas.openxmlformats.org/officeDocument/2006/relationships/hyperlink" Target="https://ieeexplore.ieee.org/stamp/stamp.jsp?arnumber=10329616" TargetMode="External"/><Relationship Id="rId2043" Type="http://schemas.openxmlformats.org/officeDocument/2006/relationships/hyperlink" Target="https://ieeexplore.ieee.org/stamp/stamp.jsp?arnumber=10807483" TargetMode="External"/><Relationship Id="rId2044" Type="http://schemas.openxmlformats.org/officeDocument/2006/relationships/hyperlink" Target="https://ieeexplore.ieee.org/stamp/stamp.jsp?arnumber=8281912" TargetMode="External"/><Relationship Id="rId125" Type="http://schemas.openxmlformats.org/officeDocument/2006/relationships/hyperlink" Target="https://ieeexplore.ieee.org/stamp/stamp.jsp?arnumber=10329947" TargetMode="External"/><Relationship Id="rId2045" Type="http://schemas.openxmlformats.org/officeDocument/2006/relationships/hyperlink" Target="https://ieeexplore.ieee.org/stamp/stamp.jsp?arnumber=8406254" TargetMode="External"/><Relationship Id="rId124" Type="http://schemas.openxmlformats.org/officeDocument/2006/relationships/hyperlink" Target="https://ieeexplore.ieee.org/stamp/stamp.jsp?arnumber=9369047" TargetMode="External"/><Relationship Id="rId2046" Type="http://schemas.openxmlformats.org/officeDocument/2006/relationships/hyperlink" Target="https://ieeexplore.ieee.org/stamp/stamp.jsp?arnumber=9110365" TargetMode="External"/><Relationship Id="rId123" Type="http://schemas.openxmlformats.org/officeDocument/2006/relationships/hyperlink" Target="https://www.scopus.com/inward/record.uri?eid=2-s2.0-85208228417&amp;doi=10.1109%2fJIOT.2024.3488283&amp;partnerID=40&amp;md5=79d9c5a8dcade2dfbbff6960c6a42c9a" TargetMode="External"/><Relationship Id="rId2047" Type="http://schemas.openxmlformats.org/officeDocument/2006/relationships/hyperlink" Target="https://ieeexplore.ieee.org/stamp/stamp.jsp?arnumber=9789713" TargetMode="External"/><Relationship Id="rId122" Type="http://schemas.openxmlformats.org/officeDocument/2006/relationships/hyperlink" Target="https://ieeexplore.ieee.org/stamp/stamp.jsp?arnumber=10646337" TargetMode="External"/><Relationship Id="rId2048" Type="http://schemas.openxmlformats.org/officeDocument/2006/relationships/hyperlink" Target="https://ieeexplore.ieee.org/stamp/stamp.jsp?arnumber=9789780" TargetMode="External"/><Relationship Id="rId2038" Type="http://schemas.openxmlformats.org/officeDocument/2006/relationships/hyperlink" Target="https://ieeexplore.ieee.org/stamp/stamp.jsp?arnumber=8600166" TargetMode="External"/><Relationship Id="rId2039" Type="http://schemas.openxmlformats.org/officeDocument/2006/relationships/hyperlink" Target="https://ieeexplore.ieee.org/stamp/stamp.jsp?arnumber=8806671" TargetMode="External"/><Relationship Id="rId118" Type="http://schemas.openxmlformats.org/officeDocument/2006/relationships/hyperlink" Target="https://ieeexplore.ieee.org/stamp/stamp.jsp?arnumber=9145582" TargetMode="External"/><Relationship Id="rId117" Type="http://schemas.openxmlformats.org/officeDocument/2006/relationships/hyperlink" Target="https://ieeexplore.ieee.org/stamp/stamp.jsp?arnumber=9042873" TargetMode="External"/><Relationship Id="rId116" Type="http://schemas.openxmlformats.org/officeDocument/2006/relationships/hyperlink" Target="https://ieeexplore.ieee.org/stamp/stamp.jsp?arnumber=10372327" TargetMode="External"/><Relationship Id="rId115" Type="http://schemas.openxmlformats.org/officeDocument/2006/relationships/hyperlink" Target="https://ieeexplore.ieee.org/stamp/stamp.jsp?arnumber=10228045" TargetMode="External"/><Relationship Id="rId119" Type="http://schemas.openxmlformats.org/officeDocument/2006/relationships/hyperlink" Target="https://ieeexplore.ieee.org/stamp/stamp.jsp?arnumber=9416288" TargetMode="External"/><Relationship Id="rId110" Type="http://schemas.openxmlformats.org/officeDocument/2006/relationships/hyperlink" Target="https://ieeexplore.ieee.org/stamp/stamp.jsp?arnumber=9912882" TargetMode="External"/><Relationship Id="rId2030" Type="http://schemas.openxmlformats.org/officeDocument/2006/relationships/hyperlink" Target="https://ieeexplore.ieee.org/stamp/stamp.jsp?arnumber=10229479" TargetMode="External"/><Relationship Id="rId2031" Type="http://schemas.openxmlformats.org/officeDocument/2006/relationships/hyperlink" Target="https://www.scopus.com/inward/record.uri?eid=2-s2.0-85182394374&amp;doi=10.1109%2fNAECON58068.2023.10365952&amp;partnerID=40&amp;md5=1577e88405f32085ec05e9ef6e799ff5" TargetMode="External"/><Relationship Id="rId2032" Type="http://schemas.openxmlformats.org/officeDocument/2006/relationships/hyperlink" Target="https://ieeexplore.ieee.org/stamp/stamp.jsp?arnumber=9605384" TargetMode="External"/><Relationship Id="rId2033" Type="http://schemas.openxmlformats.org/officeDocument/2006/relationships/hyperlink" Target="https://www.scopus.com/inward/record.uri?eid=2-s2.0-85059982866&amp;doi=10.1109%2fNCA.2018.8548274&amp;partnerID=40&amp;md5=c0e75889064e860b0f99dc2ef9858b8f" TargetMode="External"/><Relationship Id="rId114" Type="http://schemas.openxmlformats.org/officeDocument/2006/relationships/hyperlink" Target="https://ieeexplore.ieee.org/stamp/stamp.jsp?arnumber=10407920" TargetMode="External"/><Relationship Id="rId2034" Type="http://schemas.openxmlformats.org/officeDocument/2006/relationships/hyperlink" Target="https://ieeexplore.ieee.org/stamp/stamp.jsp?arnumber=9685607" TargetMode="External"/><Relationship Id="rId113" Type="http://schemas.openxmlformats.org/officeDocument/2006/relationships/hyperlink" Target="https://ieeexplore.ieee.org/stamp/stamp.jsp?arnumber=9960371" TargetMode="External"/><Relationship Id="rId2035" Type="http://schemas.openxmlformats.org/officeDocument/2006/relationships/hyperlink" Target="https://ieeexplore.ieee.org/stamp/stamp.jsp?arnumber=10013519" TargetMode="External"/><Relationship Id="rId112" Type="http://schemas.openxmlformats.org/officeDocument/2006/relationships/hyperlink" Target="https://ieeexplore.ieee.org/stamp/stamp.jsp?arnumber=10733735" TargetMode="External"/><Relationship Id="rId2036" Type="http://schemas.openxmlformats.org/officeDocument/2006/relationships/hyperlink" Target="https://ieeexplore.ieee.org/stamp/stamp.jsp?arnumber=10013530" TargetMode="External"/><Relationship Id="rId111" Type="http://schemas.openxmlformats.org/officeDocument/2006/relationships/hyperlink" Target="https://ieeexplore.ieee.org/stamp/stamp.jsp?arnumber=10733667" TargetMode="External"/><Relationship Id="rId2037" Type="http://schemas.openxmlformats.org/officeDocument/2006/relationships/hyperlink" Target="https://ieeexplore.ieee.org/stamp/stamp.jsp?arnumber=10013618" TargetMode="External"/><Relationship Id="rId2005" Type="http://schemas.openxmlformats.org/officeDocument/2006/relationships/hyperlink" Target="https://ieeexplore.ieee.org/stamp/stamp.jsp?arnumber=10356378" TargetMode="External"/><Relationship Id="rId2006" Type="http://schemas.openxmlformats.org/officeDocument/2006/relationships/hyperlink" Target="https://ieeexplore.ieee.org/stamp/stamp.jsp?arnumber=10773880" TargetMode="External"/><Relationship Id="rId2007" Type="http://schemas.openxmlformats.org/officeDocument/2006/relationships/hyperlink" Target="https://ieeexplore.ieee.org/stamp/stamp.jsp?arnumber=7522321" TargetMode="External"/><Relationship Id="rId2008" Type="http://schemas.openxmlformats.org/officeDocument/2006/relationships/hyperlink" Target="https://ieeexplore.ieee.org/stamp/stamp.jsp?arnumber=10569159" TargetMode="External"/><Relationship Id="rId2009" Type="http://schemas.openxmlformats.org/officeDocument/2006/relationships/hyperlink" Target="https://www.scopus.com/inward/record.uri?eid=2-s2.0-85139827122&amp;doi=10.1109%2fMITS.2022.3208316&amp;partnerID=40&amp;md5=15dcda0f53095a0bfcdc85bb4d490a65" TargetMode="External"/><Relationship Id="rId2000" Type="http://schemas.openxmlformats.org/officeDocument/2006/relationships/hyperlink" Target="https://ieeexplore.ieee.org/stamp/stamp.jsp?arnumber=9837515" TargetMode="External"/><Relationship Id="rId2001" Type="http://schemas.openxmlformats.org/officeDocument/2006/relationships/hyperlink" Target="https://www.scopus.com/inward/record.uri?eid=2-s2.0-85097341836&amp;doi=10.1109%2fMICRO50266.2020.00024&amp;partnerID=40&amp;md5=b7e52a74033282fffbb5528ab6baf8b1" TargetMode="External"/><Relationship Id="rId2002" Type="http://schemas.openxmlformats.org/officeDocument/2006/relationships/hyperlink" Target="https://ieeexplore.ieee.org/stamp/stamp.jsp?arnumber=9251939" TargetMode="External"/><Relationship Id="rId2003" Type="http://schemas.openxmlformats.org/officeDocument/2006/relationships/hyperlink" Target="https://ieeexplore.ieee.org/stamp/stamp.jsp?arnumber=10764650" TargetMode="External"/><Relationship Id="rId2004" Type="http://schemas.openxmlformats.org/officeDocument/2006/relationships/hyperlink" Target="https://ieeexplore.ieee.org/stamp/stamp.jsp?arnumber=8170823" TargetMode="External"/><Relationship Id="rId2090" Type="http://schemas.openxmlformats.org/officeDocument/2006/relationships/hyperlink" Target="https://ieeexplore.ieee.org/stamp/stamp.jsp?arnumber=10076806" TargetMode="External"/><Relationship Id="rId2091" Type="http://schemas.openxmlformats.org/officeDocument/2006/relationships/hyperlink" Target="https://ieeexplore.ieee.org/stamp/stamp.jsp?arnumber=10178010" TargetMode="External"/><Relationship Id="rId2092" Type="http://schemas.openxmlformats.org/officeDocument/2006/relationships/hyperlink" Target="https://ieeexplore.ieee.org/stamp/stamp.jsp?arnumber=10304258" TargetMode="External"/><Relationship Id="rId2093" Type="http://schemas.openxmlformats.org/officeDocument/2006/relationships/hyperlink" Target="https://ieeexplore.ieee.org/stamp/stamp.jsp?arnumber=10415393" TargetMode="External"/><Relationship Id="rId2094" Type="http://schemas.openxmlformats.org/officeDocument/2006/relationships/hyperlink" Target="https://ieeexplore.ieee.org/stamp/stamp.jsp?arnumber=10492860" TargetMode="External"/><Relationship Id="rId2095" Type="http://schemas.openxmlformats.org/officeDocument/2006/relationships/hyperlink" Target="https://ieeexplore.ieee.org/stamp/stamp.jsp?arnumber=10499970" TargetMode="External"/><Relationship Id="rId2096" Type="http://schemas.openxmlformats.org/officeDocument/2006/relationships/hyperlink" Target="https://ieeexplore.ieee.org/stamp/stamp.jsp?arnumber=10525242" TargetMode="External"/><Relationship Id="rId2097" Type="http://schemas.openxmlformats.org/officeDocument/2006/relationships/hyperlink" Target="https://ieeexplore.ieee.org/stamp/stamp.jsp?arnumber=10527382" TargetMode="External"/><Relationship Id="rId2098" Type="http://schemas.openxmlformats.org/officeDocument/2006/relationships/hyperlink" Target="https://ieeexplore.ieee.org/stamp/stamp.jsp?arnumber=10555357" TargetMode="External"/><Relationship Id="rId2099" Type="http://schemas.openxmlformats.org/officeDocument/2006/relationships/hyperlink" Target="https://ieeexplore.ieee.org/stamp/stamp.jsp?arnumber=10592034" TargetMode="External"/><Relationship Id="rId2060" Type="http://schemas.openxmlformats.org/officeDocument/2006/relationships/hyperlink" Target="https://ieeexplore.ieee.org/stamp/stamp.jsp?arnumber=10575665" TargetMode="External"/><Relationship Id="rId2061" Type="http://schemas.openxmlformats.org/officeDocument/2006/relationships/hyperlink" Target="https://ieeexplore.ieee.org/stamp/stamp.jsp?arnumber=8476807" TargetMode="External"/><Relationship Id="rId2062" Type="http://schemas.openxmlformats.org/officeDocument/2006/relationships/hyperlink" Target="https://ieeexplore.ieee.org/stamp/stamp.jsp?arnumber=10883084" TargetMode="External"/><Relationship Id="rId2063" Type="http://schemas.openxmlformats.org/officeDocument/2006/relationships/hyperlink" Target="https://www.scopus.com/inward/record.uri?eid=2-s2.0-86000196363&amp;doi=10.1109%2fNPSPE62515.2024.00026&amp;partnerID=40&amp;md5=386b682ba180606bf8da1cea517d0718" TargetMode="External"/><Relationship Id="rId2064" Type="http://schemas.openxmlformats.org/officeDocument/2006/relationships/hyperlink" Target="https://ieeexplore.ieee.org/stamp/stamp.jsp?arnumber=9985131" TargetMode="External"/><Relationship Id="rId2065" Type="http://schemas.openxmlformats.org/officeDocument/2006/relationships/hyperlink" Target="https://ieeexplore.ieee.org/stamp/stamp.jsp?arnumber=9731272" TargetMode="External"/><Relationship Id="rId2066" Type="http://schemas.openxmlformats.org/officeDocument/2006/relationships/hyperlink" Target="https://ieeexplore.ieee.org/stamp/stamp.jsp?arnumber=10079046" TargetMode="External"/><Relationship Id="rId2067" Type="http://schemas.openxmlformats.org/officeDocument/2006/relationships/hyperlink" Target="https://ieeexplore.ieee.org/stamp/stamp.jsp?arnumber=9165482" TargetMode="External"/><Relationship Id="rId2068" Type="http://schemas.openxmlformats.org/officeDocument/2006/relationships/hyperlink" Target="https://ieeexplore.ieee.org/stamp/stamp.jsp?arnumber=9165537" TargetMode="External"/><Relationship Id="rId2069" Type="http://schemas.openxmlformats.org/officeDocument/2006/relationships/hyperlink" Target="https://ieeexplore.ieee.org/stamp/stamp.jsp?arnumber=9844020" TargetMode="External"/><Relationship Id="rId2050" Type="http://schemas.openxmlformats.org/officeDocument/2006/relationships/hyperlink" Target="https://ieeexplore.ieee.org/stamp/stamp.jsp?arnumber=9789922" TargetMode="External"/><Relationship Id="rId2051" Type="http://schemas.openxmlformats.org/officeDocument/2006/relationships/hyperlink" Target="https://www.scopus.com/inward/record.uri?eid=2-s2.0-85133170314&amp;doi=10.1109%2fNOMS54207.2022.9789925&amp;partnerID=40&amp;md5=680877b9f1305a0b519f1102c9deecce" TargetMode="External"/><Relationship Id="rId2052" Type="http://schemas.openxmlformats.org/officeDocument/2006/relationships/hyperlink" Target="https://ieeexplore.ieee.org/stamp/stamp.jsp?arnumber=9789928" TargetMode="External"/><Relationship Id="rId2053" Type="http://schemas.openxmlformats.org/officeDocument/2006/relationships/hyperlink" Target="https://ieeexplore.ieee.org/stamp/stamp.jsp?arnumber=10154219" TargetMode="External"/><Relationship Id="rId2054" Type="http://schemas.openxmlformats.org/officeDocument/2006/relationships/hyperlink" Target="https://ieeexplore.ieee.org/stamp/stamp.jsp?arnumber=10154379" TargetMode="External"/><Relationship Id="rId2055" Type="http://schemas.openxmlformats.org/officeDocument/2006/relationships/hyperlink" Target="https://ieeexplore.ieee.org/stamp/stamp.jsp?arnumber=10154434" TargetMode="External"/><Relationship Id="rId2056" Type="http://schemas.openxmlformats.org/officeDocument/2006/relationships/hyperlink" Target="https://ieeexplore.ieee.org/stamp/stamp.jsp?arnumber=10575053" TargetMode="External"/><Relationship Id="rId2057" Type="http://schemas.openxmlformats.org/officeDocument/2006/relationships/hyperlink" Target="https://ieeexplore.ieee.org/stamp/stamp.jsp?arnumber=10575134" TargetMode="External"/><Relationship Id="rId2058" Type="http://schemas.openxmlformats.org/officeDocument/2006/relationships/hyperlink" Target="https://ieeexplore.ieee.org/stamp/stamp.jsp?arnumber=10575298" TargetMode="External"/><Relationship Id="rId2059" Type="http://schemas.openxmlformats.org/officeDocument/2006/relationships/hyperlink" Target="https://ieeexplore.ieee.org/stamp/stamp.jsp?arnumber=10575590" TargetMode="External"/><Relationship Id="rId2080" Type="http://schemas.openxmlformats.org/officeDocument/2006/relationships/hyperlink" Target="https://ieeexplore.ieee.org/stamp/stamp.jsp?arnumber=9249199" TargetMode="External"/><Relationship Id="rId2081" Type="http://schemas.openxmlformats.org/officeDocument/2006/relationships/hyperlink" Target="https://ieeexplore.ieee.org/stamp/stamp.jsp?arnumber=9719487" TargetMode="External"/><Relationship Id="rId2082" Type="http://schemas.openxmlformats.org/officeDocument/2006/relationships/hyperlink" Target="https://www.scopus.com/inward/record.uri?eid=2-s2.0-85127429255&amp;doi=10.1109%2fOCIT53463.2021.00066&amp;partnerID=40&amp;md5=77122d15beeef22e70fd39edae888760" TargetMode="External"/><Relationship Id="rId2083" Type="http://schemas.openxmlformats.org/officeDocument/2006/relationships/hyperlink" Target="https://ieeexplore.ieee.org/stamp/stamp.jsp?arnumber=9397776" TargetMode="External"/><Relationship Id="rId2084" Type="http://schemas.openxmlformats.org/officeDocument/2006/relationships/hyperlink" Target="https://ieeexplore.ieee.org/stamp/stamp.jsp?arnumber=9426946" TargetMode="External"/><Relationship Id="rId2085" Type="http://schemas.openxmlformats.org/officeDocument/2006/relationships/hyperlink" Target="https://ieeexplore.ieee.org/stamp/stamp.jsp?arnumber=9555813" TargetMode="External"/><Relationship Id="rId2086" Type="http://schemas.openxmlformats.org/officeDocument/2006/relationships/hyperlink" Target="https://ieeexplore.ieee.org/stamp/stamp.jsp?arnumber=9681822" TargetMode="External"/><Relationship Id="rId2087" Type="http://schemas.openxmlformats.org/officeDocument/2006/relationships/hyperlink" Target="https://ieeexplore.ieee.org/stamp/stamp.jsp?arnumber=9709593" TargetMode="External"/><Relationship Id="rId2088" Type="http://schemas.openxmlformats.org/officeDocument/2006/relationships/hyperlink" Target="https://ieeexplore.ieee.org/stamp/stamp.jsp?arnumber=9854182" TargetMode="External"/><Relationship Id="rId2089" Type="http://schemas.openxmlformats.org/officeDocument/2006/relationships/hyperlink" Target="https://ieeexplore.ieee.org/stamp/stamp.jsp?arnumber=10042484" TargetMode="External"/><Relationship Id="rId2070" Type="http://schemas.openxmlformats.org/officeDocument/2006/relationships/hyperlink" Target="https://ieeexplore.ieee.org/stamp/stamp.jsp?arnumber=9844036" TargetMode="External"/><Relationship Id="rId2071" Type="http://schemas.openxmlformats.org/officeDocument/2006/relationships/hyperlink" Target="https://ieeexplore.ieee.org/stamp/stamp.jsp?arnumber=9844110" TargetMode="External"/><Relationship Id="rId2072" Type="http://schemas.openxmlformats.org/officeDocument/2006/relationships/hyperlink" Target="https://ieeexplore.ieee.org/stamp/stamp.jsp?arnumber=9844124" TargetMode="External"/><Relationship Id="rId2073" Type="http://schemas.openxmlformats.org/officeDocument/2006/relationships/hyperlink" Target="https://ieeexplore.ieee.org/stamp/stamp.jsp?arnumber=10175416" TargetMode="External"/><Relationship Id="rId2074" Type="http://schemas.openxmlformats.org/officeDocument/2006/relationships/hyperlink" Target="https://ieeexplore.ieee.org/stamp/stamp.jsp?arnumber=10175452" TargetMode="External"/><Relationship Id="rId2075" Type="http://schemas.openxmlformats.org/officeDocument/2006/relationships/hyperlink" Target="https://ieeexplore.ieee.org/stamp/stamp.jsp?arnumber=10588883" TargetMode="External"/><Relationship Id="rId2076" Type="http://schemas.openxmlformats.org/officeDocument/2006/relationships/hyperlink" Target="https://ieeexplore.ieee.org/stamp/stamp.jsp?arnumber=7903950" TargetMode="External"/><Relationship Id="rId2077" Type="http://schemas.openxmlformats.org/officeDocument/2006/relationships/hyperlink" Target="https://ieeexplore.ieee.org/stamp/stamp.jsp?arnumber=8854515" TargetMode="External"/><Relationship Id="rId2078" Type="http://schemas.openxmlformats.org/officeDocument/2006/relationships/hyperlink" Target="https://ieeexplore.ieee.org/stamp/stamp.jsp?arnumber=8854518" TargetMode="External"/><Relationship Id="rId2079" Type="http://schemas.openxmlformats.org/officeDocument/2006/relationships/hyperlink" Target="https://ieeexplore.ieee.org/stamp/stamp.jsp?arnumber=9015048" TargetMode="External"/><Relationship Id="rId2940" Type="http://schemas.openxmlformats.org/officeDocument/2006/relationships/hyperlink" Target="https://www.scopus.com/inward/record.uri?eid=2-s2.0-85203164850&amp;doi=10.1186%2fs40537-024-00975-w&amp;partnerID=40&amp;md5=868625516dd5d38db4e20cbc460736e9" TargetMode="External"/><Relationship Id="rId1610" Type="http://schemas.openxmlformats.org/officeDocument/2006/relationships/hyperlink" Target="https://ieeexplore.ieee.org/stamp/stamp.jsp?arnumber=10127901" TargetMode="External"/><Relationship Id="rId2941" Type="http://schemas.openxmlformats.org/officeDocument/2006/relationships/hyperlink" Target="https://www.scopus.com/inward/record.uri?eid=2-s2.0-85204964694&amp;doi=10.11897%2fSP.J.1016.2024.02035&amp;partnerID=40&amp;md5=41eff319d93707f33c7ff34a468e8c56" TargetMode="External"/><Relationship Id="rId1611" Type="http://schemas.openxmlformats.org/officeDocument/2006/relationships/hyperlink" Target="https://ieeexplore.ieee.org/stamp/stamp.jsp?arnumber=9778510" TargetMode="External"/><Relationship Id="rId2942" Type="http://schemas.openxmlformats.org/officeDocument/2006/relationships/hyperlink" Target="https://www.scopus.com/inward/record.uri?eid=2-s2.0-85140622873&amp;doi=10.12928%2fTELKOMNIKA.v20i6.22028&amp;partnerID=40&amp;md5=86e60da580ad1bd045a2fb21a2a8f6ff" TargetMode="External"/><Relationship Id="rId1612" Type="http://schemas.openxmlformats.org/officeDocument/2006/relationships/hyperlink" Target="https://ieeexplore.ieee.org/stamp/stamp.jsp?arnumber=10248589" TargetMode="External"/><Relationship Id="rId2943" Type="http://schemas.openxmlformats.org/officeDocument/2006/relationships/hyperlink" Target="https://ieeexplore.ieee.org/stamp/stamp.jsp?arnumber=10255414" TargetMode="External"/><Relationship Id="rId1613" Type="http://schemas.openxmlformats.org/officeDocument/2006/relationships/hyperlink" Target="https://ieeexplore.ieee.org/stamp/stamp.jsp?arnumber=8960727" TargetMode="External"/><Relationship Id="rId2944" Type="http://schemas.openxmlformats.org/officeDocument/2006/relationships/hyperlink" Target="https://ieeexplore.ieee.org/stamp/stamp.jsp?arnumber=10255479" TargetMode="External"/><Relationship Id="rId1614" Type="http://schemas.openxmlformats.org/officeDocument/2006/relationships/hyperlink" Target="https://ieeexplore.ieee.org/stamp/stamp.jsp?arnumber=9564992" TargetMode="External"/><Relationship Id="rId2945" Type="http://schemas.openxmlformats.org/officeDocument/2006/relationships/hyperlink" Target="https://ieeexplore.ieee.org/stamp/stamp.jsp?arnumber=10243631" TargetMode="External"/><Relationship Id="rId1615" Type="http://schemas.openxmlformats.org/officeDocument/2006/relationships/hyperlink" Target="https://ieeexplore.ieee.org/stamp/stamp.jsp?arnumber=10649523" TargetMode="External"/><Relationship Id="rId2946" Type="http://schemas.openxmlformats.org/officeDocument/2006/relationships/hyperlink" Target="https://ieeexplore.ieee.org/stamp/stamp.jsp?arnumber=10243624" TargetMode="External"/><Relationship Id="rId1616" Type="http://schemas.openxmlformats.org/officeDocument/2006/relationships/hyperlink" Target="https://ieeexplore.ieee.org/stamp/stamp.jsp?arnumber=10099713" TargetMode="External"/><Relationship Id="rId2947" Type="http://schemas.openxmlformats.org/officeDocument/2006/relationships/hyperlink" Target="https://www.scopus.com/inward/record.uri?eid=2-s2.0-85181000172&amp;doi=10.13328%2fj.cnki.jos.006765&amp;partnerID=40&amp;md5=5a509de4bc0d956b103db8afd3d90785" TargetMode="External"/><Relationship Id="rId907" Type="http://schemas.openxmlformats.org/officeDocument/2006/relationships/hyperlink" Target="https://ieeexplore.ieee.org/stamp/stamp.jsp?arnumber=9499422" TargetMode="External"/><Relationship Id="rId1617" Type="http://schemas.openxmlformats.org/officeDocument/2006/relationships/hyperlink" Target="https://ieeexplore.ieee.org/stamp/stamp.jsp?arnumber=10840330" TargetMode="External"/><Relationship Id="rId2948" Type="http://schemas.openxmlformats.org/officeDocument/2006/relationships/hyperlink" Target="https://www.scopus.com/inward/record.uri?eid=2-s2.0-85181036733&amp;doi=10.13328%2fj.cnki.jos.006779&amp;partnerID=40&amp;md5=2a64ce3f9c438d11aa1e3502e00e3e63" TargetMode="External"/><Relationship Id="rId906" Type="http://schemas.openxmlformats.org/officeDocument/2006/relationships/hyperlink" Target="https://ieeexplore.ieee.org/stamp/stamp.jsp?arnumber=9139745" TargetMode="External"/><Relationship Id="rId1618" Type="http://schemas.openxmlformats.org/officeDocument/2006/relationships/hyperlink" Target="https://ieeexplore.ieee.org/stamp/stamp.jsp?arnumber=9787957" TargetMode="External"/><Relationship Id="rId2949" Type="http://schemas.openxmlformats.org/officeDocument/2006/relationships/hyperlink" Target="https://www.scopus.com/inward/record.uri?eid=2-s2.0-85193072736&amp;doi=10.13334%2fj.0258-8013.pcsee.231196&amp;partnerID=40&amp;md5=cb25683492aed640cdb629ce0b50a197" TargetMode="External"/><Relationship Id="rId905" Type="http://schemas.openxmlformats.org/officeDocument/2006/relationships/hyperlink" Target="https://www.scopus.com/inward/record.uri?eid=2-s2.0-85089100713&amp;doi=10.1109%2fCCGrid49817.2020.00-93&amp;partnerID=40&amp;md5=409f7f78b73b4b7c26fff2fb34156f0b" TargetMode="External"/><Relationship Id="rId1619" Type="http://schemas.openxmlformats.org/officeDocument/2006/relationships/hyperlink" Target="https://ieeexplore.ieee.org/stamp/stamp.jsp?arnumber=8464838" TargetMode="External"/><Relationship Id="rId904" Type="http://schemas.openxmlformats.org/officeDocument/2006/relationships/hyperlink" Target="https://ieeexplore.ieee.org/stamp/stamp.jsp?arnumber=9139654" TargetMode="External"/><Relationship Id="rId909" Type="http://schemas.openxmlformats.org/officeDocument/2006/relationships/hyperlink" Target="https://ieeexplore.ieee.org/stamp/stamp.jsp?arnumber=9499631" TargetMode="External"/><Relationship Id="rId908" Type="http://schemas.openxmlformats.org/officeDocument/2006/relationships/hyperlink" Target="https://ieeexplore.ieee.org/stamp/stamp.jsp?arnumber=9499456" TargetMode="External"/><Relationship Id="rId903" Type="http://schemas.openxmlformats.org/officeDocument/2006/relationships/hyperlink" Target="https://ieeexplore.ieee.org/stamp/stamp.jsp?arnumber=10335147" TargetMode="External"/><Relationship Id="rId902" Type="http://schemas.openxmlformats.org/officeDocument/2006/relationships/hyperlink" Target="https://ieeexplore.ieee.org/stamp/stamp.jsp?arnumber=10770984" TargetMode="External"/><Relationship Id="rId901" Type="http://schemas.openxmlformats.org/officeDocument/2006/relationships/hyperlink" Target="https://ieeexplore.ieee.org/stamp/stamp.jsp?arnumber=9164391" TargetMode="External"/><Relationship Id="rId900" Type="http://schemas.openxmlformats.org/officeDocument/2006/relationships/hyperlink" Target="https://ieeexplore.ieee.org/stamp/stamp.jsp?arnumber=9926480" TargetMode="External"/><Relationship Id="rId2930" Type="http://schemas.openxmlformats.org/officeDocument/2006/relationships/hyperlink" Target="https://www.scopus.com/inward/record.uri?eid=2-s2.0-85185818399&amp;doi=10.11591%2fijece.v14i2.pp2262-2273&amp;partnerID=40&amp;md5=2a9f76b74df9ea1137154c2851bcb820" TargetMode="External"/><Relationship Id="rId1600" Type="http://schemas.openxmlformats.org/officeDocument/2006/relationships/hyperlink" Target="https://ieeexplore.ieee.org/stamp/stamp.jsp?arnumber=8974809" TargetMode="External"/><Relationship Id="rId2931" Type="http://schemas.openxmlformats.org/officeDocument/2006/relationships/hyperlink" Target="https://www.scopus.com/inward/record.uri?eid=2-s2.0-85139979168&amp;doi=10.11591%2fijres.v11.i3.pp265-274&amp;partnerID=40&amp;md5=235fd72a6ff0422c43d490c300783302" TargetMode="External"/><Relationship Id="rId1601" Type="http://schemas.openxmlformats.org/officeDocument/2006/relationships/hyperlink" Target="https://ieeexplore.ieee.org/stamp/stamp.jsp?arnumber=10263455" TargetMode="External"/><Relationship Id="rId2932" Type="http://schemas.openxmlformats.org/officeDocument/2006/relationships/hyperlink" Target="https://www.scopus.com/inward/record.uri?eid=2-s2.0-85103535623&amp;doi=10.1177%2f15501477211003830&amp;partnerID=40&amp;md5=7b60e79eda7637544473303e4770f8fa" TargetMode="External"/><Relationship Id="rId1602" Type="http://schemas.openxmlformats.org/officeDocument/2006/relationships/hyperlink" Target="https://ieeexplore.ieee.org/stamp/stamp.jsp?arnumber=10303293" TargetMode="External"/><Relationship Id="rId2933" Type="http://schemas.openxmlformats.org/officeDocument/2006/relationships/hyperlink" Target="https://www.scopus.com/inward/record.uri?eid=2-s2.0-85062150526&amp;doi=10.1186%2fs13174-019-0104-0&amp;partnerID=40&amp;md5=ea24c1945921a985ac99b15c47f77e61" TargetMode="External"/><Relationship Id="rId1603" Type="http://schemas.openxmlformats.org/officeDocument/2006/relationships/hyperlink" Target="https://www.scopus.com/inward/record.uri?eid=2-s2.0-85179138480&amp;doi=10.1109%2fICSEIET58677.2023.10303358&amp;partnerID=40&amp;md5=f50d73d57b2f2e51a8b8c6a0c3d2e5d6" TargetMode="External"/><Relationship Id="rId2934" Type="http://schemas.openxmlformats.org/officeDocument/2006/relationships/hyperlink" Target="https://www.scopus.com/inward/record.uri?eid=2-s2.0-85135952630&amp;doi=10.1186%2fs13677-022-00305-6&amp;partnerID=40&amp;md5=cb28f569d2347027063297e8bada90dc" TargetMode="External"/><Relationship Id="rId1604" Type="http://schemas.openxmlformats.org/officeDocument/2006/relationships/hyperlink" Target="https://ieeexplore.ieee.org/stamp/stamp.jsp?arnumber=10303537" TargetMode="External"/><Relationship Id="rId2935" Type="http://schemas.openxmlformats.org/officeDocument/2006/relationships/hyperlink" Target="https://www.scopus.com/inward/record.uri?eid=2-s2.0-85144584030&amp;doi=10.1186%2fs13677-022-00339-w&amp;partnerID=40&amp;md5=3cf52bd495c90af29ee85756e80b0192" TargetMode="External"/><Relationship Id="rId1605" Type="http://schemas.openxmlformats.org/officeDocument/2006/relationships/hyperlink" Target="https://ieeexplore.ieee.org/stamp/stamp.jsp?arnumber=10763213" TargetMode="External"/><Relationship Id="rId2936" Type="http://schemas.openxmlformats.org/officeDocument/2006/relationships/hyperlink" Target="https://www.scopus.com/inward/record.uri?eid=2-s2.0-85157981182&amp;doi=10.1186%2fs13677-023-00428-4&amp;partnerID=40&amp;md5=05cd72a4ca15ca07e1f24b82996aedac" TargetMode="External"/><Relationship Id="rId1606" Type="http://schemas.openxmlformats.org/officeDocument/2006/relationships/hyperlink" Target="https://ieeexplore.ieee.org/stamp/stamp.jsp?arnumber=10763354" TargetMode="External"/><Relationship Id="rId2937" Type="http://schemas.openxmlformats.org/officeDocument/2006/relationships/hyperlink" Target="https://www.scopus.com/inward/record.uri?eid=2-s2.0-85169162683&amp;doi=10.1186%2fs13677-023-00491-x&amp;partnerID=40&amp;md5=3731b67e36a2f7eef6b44cd86f98c697" TargetMode="External"/><Relationship Id="rId1607" Type="http://schemas.openxmlformats.org/officeDocument/2006/relationships/hyperlink" Target="https://ieeexplore.ieee.org/stamp/stamp.jsp?arnumber=9040827" TargetMode="External"/><Relationship Id="rId2938" Type="http://schemas.openxmlformats.org/officeDocument/2006/relationships/hyperlink" Target="https://www.scopus.com/inward/record.uri?eid=2-s2.0-85168777830&amp;doi=10.1186%2fs13677-023-00501-y&amp;partnerID=40&amp;md5=95246f39bf982546fa6deef5579b184d" TargetMode="External"/><Relationship Id="rId1608" Type="http://schemas.openxmlformats.org/officeDocument/2006/relationships/hyperlink" Target="https://ieeexplore.ieee.org/stamp/stamp.jsp?arnumber=10293020" TargetMode="External"/><Relationship Id="rId2939" Type="http://schemas.openxmlformats.org/officeDocument/2006/relationships/hyperlink" Target="https://www.scopus.com/inward/record.uri?eid=2-s2.0-85184368036&amp;doi=10.1186%2fs13677-024-00607-x&amp;partnerID=40&amp;md5=f8b8937487f90b43673e5494523f78c7" TargetMode="External"/><Relationship Id="rId1609" Type="http://schemas.openxmlformats.org/officeDocument/2006/relationships/hyperlink" Target="https://ieeexplore.ieee.org/stamp/stamp.jsp?arnumber=8121686" TargetMode="External"/><Relationship Id="rId1631" Type="http://schemas.openxmlformats.org/officeDocument/2006/relationships/hyperlink" Target="https://ieeexplore.ieee.org/stamp/stamp.jsp?arnumber=9443114" TargetMode="External"/><Relationship Id="rId2962" Type="http://schemas.openxmlformats.org/officeDocument/2006/relationships/hyperlink" Target="https://www.scopus.com/inward/record.uri?eid=2-s2.0-85130642573&amp;doi=10.1504%2fIJAACS.2022.122943&amp;partnerID=40&amp;md5=effa7710b01a24e6e4f3c665f99357c0" TargetMode="External"/><Relationship Id="rId1632" Type="http://schemas.openxmlformats.org/officeDocument/2006/relationships/hyperlink" Target="https://ieeexplore.ieee.org/stamp/stamp.jsp?arnumber=10533346" TargetMode="External"/><Relationship Id="rId2963" Type="http://schemas.openxmlformats.org/officeDocument/2006/relationships/hyperlink" Target="https://www.scopus.com/inward/record.uri?eid=2-s2.0-85174051287&amp;doi=10.1504%2fIJCSE.2023.133676&amp;partnerID=40&amp;md5=885d43158154f3538fc31c82db0ba213" TargetMode="External"/><Relationship Id="rId1633" Type="http://schemas.openxmlformats.org/officeDocument/2006/relationships/hyperlink" Target="https://ieeexplore.ieee.org/stamp/stamp.jsp?arnumber=8029781" TargetMode="External"/><Relationship Id="rId2964" Type="http://schemas.openxmlformats.org/officeDocument/2006/relationships/hyperlink" Target="https://www.scopus.com/inward/record.uri?eid=2-s2.0-85116928951&amp;doi=10.1504%2fIJES.2021.117941&amp;partnerID=40&amp;md5=b420699846ed39e0292335c9308a60c5" TargetMode="External"/><Relationship Id="rId1634" Type="http://schemas.openxmlformats.org/officeDocument/2006/relationships/hyperlink" Target="https://ieeexplore.ieee.org/stamp/stamp.jsp?arnumber=8029792" TargetMode="External"/><Relationship Id="rId2965" Type="http://schemas.openxmlformats.org/officeDocument/2006/relationships/hyperlink" Target="https://www.scopus.com/inward/record.uri?eid=2-s2.0-85147793868&amp;doi=10.1504%2fIJGUC.2022.10053313&amp;partnerID=40&amp;md5=0374d400c8f0470e25827bc634b18c77" TargetMode="External"/><Relationship Id="rId1635" Type="http://schemas.openxmlformats.org/officeDocument/2006/relationships/hyperlink" Target="https://ieeexplore.ieee.org/stamp/stamp.jsp?arnumber=9590208" TargetMode="External"/><Relationship Id="rId2966" Type="http://schemas.openxmlformats.org/officeDocument/2006/relationships/hyperlink" Target="https://www.scopus.com/inward/record.uri?eid=2-s2.0-85210304249&amp;doi=10.1504%2fIJGUC.2024.142733&amp;partnerID=40&amp;md5=8ee333e3a942f8bdda22d1aaa10f6841" TargetMode="External"/><Relationship Id="rId1636" Type="http://schemas.openxmlformats.org/officeDocument/2006/relationships/hyperlink" Target="https://ieeexplore.ieee.org/stamp/stamp.jsp?arnumber=10248230" TargetMode="External"/><Relationship Id="rId2967" Type="http://schemas.openxmlformats.org/officeDocument/2006/relationships/hyperlink" Target="https://www.scopus.com/inward/record.uri?eid=2-s2.0-85128730456&amp;doi=10.1504%2fIJWGS.2022.121935&amp;partnerID=40&amp;md5=f12961ffe9c24170c618b9f5fb23824f" TargetMode="External"/><Relationship Id="rId1637" Type="http://schemas.openxmlformats.org/officeDocument/2006/relationships/hyperlink" Target="https://ieeexplore.ieee.org/stamp/stamp.jsp?arnumber=10707451" TargetMode="External"/><Relationship Id="rId2968" Type="http://schemas.openxmlformats.org/officeDocument/2006/relationships/hyperlink" Target="https://www.scopus.com/inward/record.uri?eid=2-s2.0-85153862322&amp;doi=10.1504%2fIJWGS.2023.129337&amp;partnerID=40&amp;md5=aa397969cd494bb5c1a12da2c330c50a" TargetMode="External"/><Relationship Id="rId1638" Type="http://schemas.openxmlformats.org/officeDocument/2006/relationships/hyperlink" Target="https://ieeexplore.ieee.org/stamp/stamp.jsp?arnumber=10707450" TargetMode="External"/><Relationship Id="rId2969" Type="http://schemas.openxmlformats.org/officeDocument/2006/relationships/hyperlink" Target="https://www.scopus.com/inward/record.uri?eid=2-s2.0-85162805612&amp;doi=10.1515%2fitit-2023-0001&amp;partnerID=40&amp;md5=4392e7d20fdc2b9bd8cb1097532d5639" TargetMode="External"/><Relationship Id="rId929" Type="http://schemas.openxmlformats.org/officeDocument/2006/relationships/hyperlink" Target="https://ieeexplore.ieee.org/stamp/stamp.jsp?arnumber=9475731" TargetMode="External"/><Relationship Id="rId1639" Type="http://schemas.openxmlformats.org/officeDocument/2006/relationships/hyperlink" Target="https://ieeexplore.ieee.org/stamp/stamp.jsp?arnumber=10704258" TargetMode="External"/><Relationship Id="rId928" Type="http://schemas.openxmlformats.org/officeDocument/2006/relationships/hyperlink" Target="https://ieeexplore.ieee.org/stamp/stamp.jsp?arnumber=9741900" TargetMode="External"/><Relationship Id="rId927" Type="http://schemas.openxmlformats.org/officeDocument/2006/relationships/hyperlink" Target="https://ieeexplore.ieee.org/stamp/stamp.jsp?arnumber=10903831" TargetMode="External"/><Relationship Id="rId926" Type="http://schemas.openxmlformats.org/officeDocument/2006/relationships/hyperlink" Target="https://ieeexplore.ieee.org/stamp/stamp.jsp?arnumber=10427915" TargetMode="External"/><Relationship Id="rId921" Type="http://schemas.openxmlformats.org/officeDocument/2006/relationships/hyperlink" Target="https://ieeexplore.ieee.org/stamp/stamp.jsp?arnumber=9754652" TargetMode="External"/><Relationship Id="rId920" Type="http://schemas.openxmlformats.org/officeDocument/2006/relationships/hyperlink" Target="https://ieeexplore.ieee.org/stamp/stamp.jsp?arnumber=10596599" TargetMode="External"/><Relationship Id="rId925" Type="http://schemas.openxmlformats.org/officeDocument/2006/relationships/hyperlink" Target="https://ieeexplore.ieee.org/stamp/stamp.jsp?arnumber=10427717" TargetMode="External"/><Relationship Id="rId924" Type="http://schemas.openxmlformats.org/officeDocument/2006/relationships/hyperlink" Target="https://ieeexplore.ieee.org/stamp/stamp.jsp?arnumber=7815675" TargetMode="External"/><Relationship Id="rId923" Type="http://schemas.openxmlformats.org/officeDocument/2006/relationships/hyperlink" Target="https://ieeexplore.ieee.org/stamp/stamp.jsp?arnumber=10454704" TargetMode="External"/><Relationship Id="rId922" Type="http://schemas.openxmlformats.org/officeDocument/2006/relationships/hyperlink" Target="https://ieeexplore.ieee.org/stamp/stamp.jsp?arnumber=9700729" TargetMode="External"/><Relationship Id="rId2960" Type="http://schemas.openxmlformats.org/officeDocument/2006/relationships/hyperlink" Target="https://doi.org/10.14778/3547305.3547313" TargetMode="External"/><Relationship Id="rId1630" Type="http://schemas.openxmlformats.org/officeDocument/2006/relationships/hyperlink" Target="https://ieeexplore.ieee.org/stamp/stamp.jsp?arnumber=10502514" TargetMode="External"/><Relationship Id="rId2961" Type="http://schemas.openxmlformats.org/officeDocument/2006/relationships/hyperlink" Target="https://doi.org/10.14778/3611540.3611565" TargetMode="External"/><Relationship Id="rId1620" Type="http://schemas.openxmlformats.org/officeDocument/2006/relationships/hyperlink" Target="https://ieeexplore.ieee.org/stamp/stamp.jsp?arnumber=10911580" TargetMode="External"/><Relationship Id="rId2951" Type="http://schemas.openxmlformats.org/officeDocument/2006/relationships/hyperlink" Target="https://ieeexplore.ieee.org/stamp/stamp.jsp?arnumber=10159444" TargetMode="External"/><Relationship Id="rId1621" Type="http://schemas.openxmlformats.org/officeDocument/2006/relationships/hyperlink" Target="https://ieeexplore.ieee.org/stamp/stamp.jsp?arnumber=10911602" TargetMode="External"/><Relationship Id="rId2952" Type="http://schemas.openxmlformats.org/officeDocument/2006/relationships/hyperlink" Target="https://ieeexplore.ieee.org/stamp/stamp.jsp?arnumber=10258089" TargetMode="External"/><Relationship Id="rId1622" Type="http://schemas.openxmlformats.org/officeDocument/2006/relationships/hyperlink" Target="https://ieeexplore.ieee.org/stamp/stamp.jsp?arnumber=9952546" TargetMode="External"/><Relationship Id="rId2953" Type="http://schemas.openxmlformats.org/officeDocument/2006/relationships/hyperlink" Target="https://ieeexplore.ieee.org/stamp/stamp.jsp?arnumber=7901442" TargetMode="External"/><Relationship Id="rId1623" Type="http://schemas.openxmlformats.org/officeDocument/2006/relationships/hyperlink" Target="https://ieeexplore.ieee.org/stamp/stamp.jsp?arnumber=9952645" TargetMode="External"/><Relationship Id="rId2954" Type="http://schemas.openxmlformats.org/officeDocument/2006/relationships/hyperlink" Target="https://ieeexplore.ieee.org/stamp/stamp.jsp?arnumber=10116732" TargetMode="External"/><Relationship Id="rId1624" Type="http://schemas.openxmlformats.org/officeDocument/2006/relationships/hyperlink" Target="https://ieeexplore.ieee.org/stamp/stamp.jsp?arnumber=10393852" TargetMode="External"/><Relationship Id="rId2955" Type="http://schemas.openxmlformats.org/officeDocument/2006/relationships/hyperlink" Target="https://www.scopus.com/inward/record.uri?eid=2-s2.0-85190261262&amp;doi=10.14445%2f23488549%2fIJECE-V11I3P116&amp;partnerID=40&amp;md5=39488603b70cd55ecd85f3785cae523b" TargetMode="External"/><Relationship Id="rId1625" Type="http://schemas.openxmlformats.org/officeDocument/2006/relationships/hyperlink" Target="https://ieeexplore.ieee.org/stamp/stamp.jsp?arnumber=10826679" TargetMode="External"/><Relationship Id="rId2956" Type="http://schemas.openxmlformats.org/officeDocument/2006/relationships/hyperlink" Target="https://www.scopus.com/inward/record.uri?eid=2-s2.0-85168799434&amp;doi=10.14569%2fIJACSA.2023.01407114&amp;partnerID=40&amp;md5=73a0fa14b58c79cadd05adc666df55fe" TargetMode="External"/><Relationship Id="rId1626" Type="http://schemas.openxmlformats.org/officeDocument/2006/relationships/hyperlink" Target="https://ieeexplore.ieee.org/stamp/stamp.jsp?arnumber=10083820" TargetMode="External"/><Relationship Id="rId2957" Type="http://schemas.openxmlformats.org/officeDocument/2006/relationships/hyperlink" Target="https://www.scopus.com/inward/record.uri?eid=2-s2.0-85171611045&amp;doi=10.14569%2fIJACSA.2023.01408104&amp;partnerID=40&amp;md5=3ea1a4b36414f677038830e661752ae1" TargetMode="External"/><Relationship Id="rId1627" Type="http://schemas.openxmlformats.org/officeDocument/2006/relationships/hyperlink" Target="https://ieeexplore.ieee.org/stamp/stamp.jsp?arnumber=8840430" TargetMode="External"/><Relationship Id="rId2958" Type="http://schemas.openxmlformats.org/officeDocument/2006/relationships/hyperlink" Target="https://www.scopus.com/inward/record.uri?eid=2-s2.0-85215377983&amp;doi=10.14627%2fgis.Science.2024.4.2&amp;partnerID=40&amp;md5=72688b8e93ac031c4aea0615d75100f3" TargetMode="External"/><Relationship Id="rId918" Type="http://schemas.openxmlformats.org/officeDocument/2006/relationships/hyperlink" Target="https://ieeexplore.ieee.org/stamp/stamp.jsp?arnumber=10701371" TargetMode="External"/><Relationship Id="rId1628" Type="http://schemas.openxmlformats.org/officeDocument/2006/relationships/hyperlink" Target="https://ieeexplore.ieee.org/stamp/stamp.jsp?arnumber=10199497" TargetMode="External"/><Relationship Id="rId2959" Type="http://schemas.openxmlformats.org/officeDocument/2006/relationships/hyperlink" Target="https://doi.org/10.14778/3352063.3352135" TargetMode="External"/><Relationship Id="rId917" Type="http://schemas.openxmlformats.org/officeDocument/2006/relationships/hyperlink" Target="https://ieeexplore.ieee.org/stamp/stamp.jsp?arnumber=10701414" TargetMode="External"/><Relationship Id="rId1629" Type="http://schemas.openxmlformats.org/officeDocument/2006/relationships/hyperlink" Target="https://ieeexplore.ieee.org/stamp/stamp.jsp?arnumber=10333271" TargetMode="External"/><Relationship Id="rId916" Type="http://schemas.openxmlformats.org/officeDocument/2006/relationships/hyperlink" Target="https://ieeexplore.ieee.org/stamp/stamp.jsp?arnumber=10701381" TargetMode="External"/><Relationship Id="rId915" Type="http://schemas.openxmlformats.org/officeDocument/2006/relationships/hyperlink" Target="https://ieeexplore.ieee.org/stamp/stamp.jsp?arnumber=10171469" TargetMode="External"/><Relationship Id="rId919" Type="http://schemas.openxmlformats.org/officeDocument/2006/relationships/hyperlink" Target="https://ieeexplore.ieee.org/stamp/stamp.jsp?arnumber=10701405" TargetMode="External"/><Relationship Id="rId910" Type="http://schemas.openxmlformats.org/officeDocument/2006/relationships/hyperlink" Target="https://ieeexplore.ieee.org/stamp/stamp.jsp?arnumber=9826101" TargetMode="External"/><Relationship Id="rId914" Type="http://schemas.openxmlformats.org/officeDocument/2006/relationships/hyperlink" Target="https://ieeexplore.ieee.org/stamp/stamp.jsp?arnumber=9826103" TargetMode="External"/><Relationship Id="rId913" Type="http://schemas.openxmlformats.org/officeDocument/2006/relationships/hyperlink" Target="https://ieeexplore.ieee.org/stamp/stamp.jsp?arnumber=9826075" TargetMode="External"/><Relationship Id="rId912" Type="http://schemas.openxmlformats.org/officeDocument/2006/relationships/hyperlink" Target="https://ieeexplore.ieee.org/stamp/stamp.jsp?arnumber=9826039" TargetMode="External"/><Relationship Id="rId911" Type="http://schemas.openxmlformats.org/officeDocument/2006/relationships/hyperlink" Target="https://ieeexplore.ieee.org/stamp/stamp.jsp?arnumber=9826058" TargetMode="External"/><Relationship Id="rId2950" Type="http://schemas.openxmlformats.org/officeDocument/2006/relationships/hyperlink" Target="https://ieeexplore.ieee.org/stamp/stamp.jsp?arnumber=8410221" TargetMode="External"/><Relationship Id="rId2900" Type="http://schemas.openxmlformats.org/officeDocument/2006/relationships/hyperlink" Target="https://doi.org/10.1145/3698322.3698344" TargetMode="External"/><Relationship Id="rId2901" Type="http://schemas.openxmlformats.org/officeDocument/2006/relationships/hyperlink" Target="https://doi.org/10.1145/3698385.3699872" TargetMode="External"/><Relationship Id="rId2902" Type="http://schemas.openxmlformats.org/officeDocument/2006/relationships/hyperlink" Target="https://doi.org/10.1145/3699514" TargetMode="External"/><Relationship Id="rId2903" Type="http://schemas.openxmlformats.org/officeDocument/2006/relationships/hyperlink" Target="https://doi.org/10.1145/3699520" TargetMode="External"/><Relationship Id="rId2904" Type="http://schemas.openxmlformats.org/officeDocument/2006/relationships/hyperlink" Target="https://doi.org/10.1145/3699954" TargetMode="External"/><Relationship Id="rId2905" Type="http://schemas.openxmlformats.org/officeDocument/2006/relationships/hyperlink" Target="https://doi.org/10.1145/3700144" TargetMode="External"/><Relationship Id="rId2906" Type="http://schemas.openxmlformats.org/officeDocument/2006/relationships/hyperlink" Target="https://doi.org/10.1145/3700792" TargetMode="External"/><Relationship Id="rId2907" Type="http://schemas.openxmlformats.org/officeDocument/2006/relationships/hyperlink" Target="https://doi.org/10.1145/3700875" TargetMode="External"/><Relationship Id="rId2908" Type="http://schemas.openxmlformats.org/officeDocument/2006/relationships/hyperlink" Target="https://doi.org/10.1145/3702191.3702193" TargetMode="External"/><Relationship Id="rId2909" Type="http://schemas.openxmlformats.org/officeDocument/2006/relationships/hyperlink" Target="https://doi.org/10.1145/3702634.3702950" TargetMode="External"/><Relationship Id="rId2920" Type="http://schemas.openxmlformats.org/officeDocument/2006/relationships/hyperlink" Target="https://www.scopus.com/inward/record.uri?eid=2-s2.0-85107796560&amp;doi=10.1155%2f2021%2f5590605&amp;partnerID=40&amp;md5=8003fb8740a83549079df2aac2ffb7bb" TargetMode="External"/><Relationship Id="rId2921" Type="http://schemas.openxmlformats.org/officeDocument/2006/relationships/hyperlink" Target="https://www.scopus.com/inward/record.uri?eid=2-s2.0-85116717984&amp;doi=10.1155%2f2021%2f8800234&amp;partnerID=40&amp;md5=0d6cc696d8fa99f8a4a66063b0d1b204" TargetMode="External"/><Relationship Id="rId2922" Type="http://schemas.openxmlformats.org/officeDocument/2006/relationships/hyperlink" Target="https://www.scopus.com/inward/record.uri?eid=2-s2.0-85134427586&amp;doi=10.1155%2f2022%2f1344720&amp;partnerID=40&amp;md5=685d56947757f3904bcca765eda6c326" TargetMode="External"/><Relationship Id="rId2923" Type="http://schemas.openxmlformats.org/officeDocument/2006/relationships/hyperlink" Target="https://www.scopus.com/inward/record.uri?eid=2-s2.0-85138444386&amp;doi=10.1155%2f2022%2f2332769&amp;partnerID=40&amp;md5=88c7c8d557c9a3a7f714f15a8ca24efb" TargetMode="External"/><Relationship Id="rId2924" Type="http://schemas.openxmlformats.org/officeDocument/2006/relationships/hyperlink" Target="https://www.scopus.com/inward/record.uri?eid=2-s2.0-85124386268&amp;doi=10.1155%2f2022%2f2372748&amp;partnerID=40&amp;md5=277370a2ca17f954df9937eb2acf25f6" TargetMode="External"/><Relationship Id="rId2925" Type="http://schemas.openxmlformats.org/officeDocument/2006/relationships/hyperlink" Target="https://www.scopus.com/inward/record.uri?eid=2-s2.0-85129972617&amp;doi=10.1155%2f2022%2f6709797&amp;partnerID=40&amp;md5=2e94bd62448492b23e053c378dc6806f" TargetMode="External"/><Relationship Id="rId2926" Type="http://schemas.openxmlformats.org/officeDocument/2006/relationships/hyperlink" Target="https://www.scopus.com/inward/record.uri?eid=2-s2.0-85134890833&amp;doi=10.1155%2f2022%2f8327006&amp;partnerID=40&amp;md5=84e4a72d10992afd31c9b37227e2be4f" TargetMode="External"/><Relationship Id="rId2927" Type="http://schemas.openxmlformats.org/officeDocument/2006/relationships/hyperlink" Target="https://www.scopus.com/inward/record.uri?eid=2-s2.0-85031716650&amp;doi=10.11591%2feecsi.4.993&amp;partnerID=40&amp;md5=6d3c7f75d3332e71e5ec6c03033a2e28" TargetMode="External"/><Relationship Id="rId2928" Type="http://schemas.openxmlformats.org/officeDocument/2006/relationships/hyperlink" Target="https://www.scopus.com/inward/record.uri?eid=2-s2.0-85212232367&amp;doi=10.11591%2feei.v13i6.8052&amp;partnerID=40&amp;md5=d48f90f08a5d7424f7ec328ab6cfa516" TargetMode="External"/><Relationship Id="rId2929" Type="http://schemas.openxmlformats.org/officeDocument/2006/relationships/hyperlink" Target="https://www.scopus.com/inward/record.uri?eid=2-s2.0-85089401757&amp;doi=10.11591%2fijece.v10i6.pp5985-5991&amp;partnerID=40&amp;md5=332678ac19fc6757eb8a2b82a23cee40" TargetMode="External"/><Relationship Id="rId2910" Type="http://schemas.openxmlformats.org/officeDocument/2006/relationships/hyperlink" Target="https://doi.org/10.1145/3704436" TargetMode="External"/><Relationship Id="rId2911" Type="http://schemas.openxmlformats.org/officeDocument/2006/relationships/hyperlink" Target="https://doi.org/10.1145/3708497" TargetMode="External"/><Relationship Id="rId2912" Type="http://schemas.openxmlformats.org/officeDocument/2006/relationships/hyperlink" Target="https://doi.org/10.1145/3708996" TargetMode="External"/><Relationship Id="rId2913" Type="http://schemas.openxmlformats.org/officeDocument/2006/relationships/hyperlink" Target="https://doi.org/10.1145/3711609.3711613" TargetMode="External"/><Relationship Id="rId2914" Type="http://schemas.openxmlformats.org/officeDocument/2006/relationships/hyperlink" Target="https://doi.org/10.1145/3712002" TargetMode="External"/><Relationship Id="rId2915" Type="http://schemas.openxmlformats.org/officeDocument/2006/relationships/hyperlink" Target="https://doi.org/10.1145/3712004" TargetMode="External"/><Relationship Id="rId2916" Type="http://schemas.openxmlformats.org/officeDocument/2006/relationships/hyperlink" Target="https://doi.org/10.1145/3712016" TargetMode="External"/><Relationship Id="rId2917" Type="http://schemas.openxmlformats.org/officeDocument/2006/relationships/hyperlink" Target="https://doi.org/10.1145/3715001" TargetMode="External"/><Relationship Id="rId2918" Type="http://schemas.openxmlformats.org/officeDocument/2006/relationships/hyperlink" Target="https://doi.org/10.1145/3719003" TargetMode="External"/><Relationship Id="rId2919" Type="http://schemas.openxmlformats.org/officeDocument/2006/relationships/hyperlink" Target="https://www.scopus.com/inward/record.uri?eid=2-s2.0-85062370697&amp;doi=10.1155%2f2018%2f8281079&amp;partnerID=40&amp;md5=7a0b1f039fa9b3602f6d96054762c1b9" TargetMode="External"/><Relationship Id="rId1697" Type="http://schemas.openxmlformats.org/officeDocument/2006/relationships/hyperlink" Target="https://ieeexplore.ieee.org/stamp/stamp.jsp?arnumber=9162665" TargetMode="External"/><Relationship Id="rId1698" Type="http://schemas.openxmlformats.org/officeDocument/2006/relationships/hyperlink" Target="https://ieeexplore.ieee.org/stamp/stamp.jsp?arnumber=9162682" TargetMode="External"/><Relationship Id="rId1699" Type="http://schemas.openxmlformats.org/officeDocument/2006/relationships/hyperlink" Target="https://ieeexplore.ieee.org/stamp/stamp.jsp?arnumber=9162693" TargetMode="External"/><Relationship Id="rId866" Type="http://schemas.openxmlformats.org/officeDocument/2006/relationships/hyperlink" Target="https://ieeexplore.ieee.org/stamp/stamp.jsp?arnumber=10211501" TargetMode="External"/><Relationship Id="rId865" Type="http://schemas.openxmlformats.org/officeDocument/2006/relationships/hyperlink" Target="https://ieeexplore.ieee.org/stamp/stamp.jsp?arnumber=10415593" TargetMode="External"/><Relationship Id="rId864" Type="http://schemas.openxmlformats.org/officeDocument/2006/relationships/hyperlink" Target="https://ieeexplore.ieee.org/stamp/stamp.jsp?arnumber=8552262" TargetMode="External"/><Relationship Id="rId863" Type="http://schemas.openxmlformats.org/officeDocument/2006/relationships/hyperlink" Target="https://ieeexplore.ieee.org/stamp/stamp.jsp?arnumber=10338942" TargetMode="External"/><Relationship Id="rId869" Type="http://schemas.openxmlformats.org/officeDocument/2006/relationships/hyperlink" Target="https://ieeexplore.ieee.org/stamp/stamp.jsp?arnumber=10608304" TargetMode="External"/><Relationship Id="rId868" Type="http://schemas.openxmlformats.org/officeDocument/2006/relationships/hyperlink" Target="https://ieeexplore.ieee.org/stamp/stamp.jsp?arnumber=10608261" TargetMode="External"/><Relationship Id="rId867" Type="http://schemas.openxmlformats.org/officeDocument/2006/relationships/hyperlink" Target="https://ieeexplore.ieee.org/stamp/stamp.jsp?arnumber=10211619" TargetMode="External"/><Relationship Id="rId1690" Type="http://schemas.openxmlformats.org/officeDocument/2006/relationships/hyperlink" Target="https://ieeexplore.ieee.org/stamp/stamp.jsp?arnumber=8737515" TargetMode="External"/><Relationship Id="rId1691" Type="http://schemas.openxmlformats.org/officeDocument/2006/relationships/hyperlink" Target="https://ieeexplore.ieee.org/stamp/stamp.jsp?arnumber=9488744" TargetMode="External"/><Relationship Id="rId1692" Type="http://schemas.openxmlformats.org/officeDocument/2006/relationships/hyperlink" Target="https://ieeexplore.ieee.org/stamp/stamp.jsp?arnumber=10621216" TargetMode="External"/><Relationship Id="rId862" Type="http://schemas.openxmlformats.org/officeDocument/2006/relationships/hyperlink" Target="https://ieeexplore.ieee.org/stamp/stamp.jsp?arnumber=9668835" TargetMode="External"/><Relationship Id="rId1693" Type="http://schemas.openxmlformats.org/officeDocument/2006/relationships/hyperlink" Target="https://ieeexplore.ieee.org/stamp/stamp.jsp?arnumber=10621314" TargetMode="External"/><Relationship Id="rId861" Type="http://schemas.openxmlformats.org/officeDocument/2006/relationships/hyperlink" Target="https://ieeexplore.ieee.org/stamp/stamp.jsp?arnumber=9315585" TargetMode="External"/><Relationship Id="rId1694" Type="http://schemas.openxmlformats.org/officeDocument/2006/relationships/hyperlink" Target="https://ieeexplore.ieee.org/stamp/stamp.jsp?arnumber=10621378" TargetMode="External"/><Relationship Id="rId860" Type="http://schemas.openxmlformats.org/officeDocument/2006/relationships/hyperlink" Target="https://ieeexplore.ieee.org/stamp/stamp.jsp?arnumber=9925489" TargetMode="External"/><Relationship Id="rId1695" Type="http://schemas.openxmlformats.org/officeDocument/2006/relationships/hyperlink" Target="https://ieeexplore.ieee.org/stamp/stamp.jsp?arnumber=10621417" TargetMode="External"/><Relationship Id="rId1696" Type="http://schemas.openxmlformats.org/officeDocument/2006/relationships/hyperlink" Target="https://ieeexplore.ieee.org/stamp/stamp.jsp?arnumber=9162654" TargetMode="External"/><Relationship Id="rId1686" Type="http://schemas.openxmlformats.org/officeDocument/2006/relationships/hyperlink" Target="https://ieeexplore.ieee.org/stamp/stamp.jsp?arnumber=10218246" TargetMode="External"/><Relationship Id="rId1687" Type="http://schemas.openxmlformats.org/officeDocument/2006/relationships/hyperlink" Target="https://ieeexplore.ieee.org/stamp/stamp.jsp?arnumber=10774326" TargetMode="External"/><Relationship Id="rId1688" Type="http://schemas.openxmlformats.org/officeDocument/2006/relationships/hyperlink" Target="https://ieeexplore.ieee.org/stamp/stamp.jsp?arnumber=8845141" TargetMode="External"/><Relationship Id="rId1689" Type="http://schemas.openxmlformats.org/officeDocument/2006/relationships/hyperlink" Target="https://ieeexplore.ieee.org/stamp/stamp.jsp?arnumber=8737450" TargetMode="External"/><Relationship Id="rId855" Type="http://schemas.openxmlformats.org/officeDocument/2006/relationships/hyperlink" Target="https://ieeexplore.ieee.org/stamp/stamp.jsp?arnumber=9359288" TargetMode="External"/><Relationship Id="rId854" Type="http://schemas.openxmlformats.org/officeDocument/2006/relationships/hyperlink" Target="https://ieeexplore.ieee.org/stamp/stamp.jsp?arnumber=7737232" TargetMode="External"/><Relationship Id="rId853" Type="http://schemas.openxmlformats.org/officeDocument/2006/relationships/hyperlink" Target="https://ieeexplore.ieee.org/stamp/stamp.jsp?arnumber=9943750" TargetMode="External"/><Relationship Id="rId852" Type="http://schemas.openxmlformats.org/officeDocument/2006/relationships/hyperlink" Target="https://ieeexplore.ieee.org/stamp/stamp.jsp?arnumber=9209498" TargetMode="External"/><Relationship Id="rId859" Type="http://schemas.openxmlformats.org/officeDocument/2006/relationships/hyperlink" Target="https://ieeexplore.ieee.org/stamp/stamp.jsp?arnumber=10270735" TargetMode="External"/><Relationship Id="rId858" Type="http://schemas.openxmlformats.org/officeDocument/2006/relationships/hyperlink" Target="https://doi.org/10.1109/ASE.2019.00123" TargetMode="External"/><Relationship Id="rId857" Type="http://schemas.openxmlformats.org/officeDocument/2006/relationships/hyperlink" Target="https://ieeexplore.ieee.org/stamp/stamp.jsp?arnumber=9505405" TargetMode="External"/><Relationship Id="rId856" Type="http://schemas.openxmlformats.org/officeDocument/2006/relationships/hyperlink" Target="https://ieeexplore.ieee.org/stamp/stamp.jsp?arnumber=9641456" TargetMode="External"/><Relationship Id="rId1680" Type="http://schemas.openxmlformats.org/officeDocument/2006/relationships/hyperlink" Target="https://ieeexplore.ieee.org/stamp/stamp.jsp?arnumber=10170171" TargetMode="External"/><Relationship Id="rId1681" Type="http://schemas.openxmlformats.org/officeDocument/2006/relationships/hyperlink" Target="https://ieeexplore.ieee.org/stamp/stamp.jsp?arnumber=10094408" TargetMode="External"/><Relationship Id="rId851" Type="http://schemas.openxmlformats.org/officeDocument/2006/relationships/hyperlink" Target="https://ieeexplore.ieee.org/stamp/stamp.jsp?arnumber=10755570" TargetMode="External"/><Relationship Id="rId1682" Type="http://schemas.openxmlformats.org/officeDocument/2006/relationships/hyperlink" Target="https://ieeexplore.ieee.org/stamp/stamp.jsp?arnumber=10094423" TargetMode="External"/><Relationship Id="rId850" Type="http://schemas.openxmlformats.org/officeDocument/2006/relationships/hyperlink" Target="https://ieeexplore.ieee.org/stamp/stamp.jsp?arnumber=9989829" TargetMode="External"/><Relationship Id="rId1683" Type="http://schemas.openxmlformats.org/officeDocument/2006/relationships/hyperlink" Target="https://ieeexplore.ieee.org/stamp/stamp.jsp?arnumber=9691604" TargetMode="External"/><Relationship Id="rId1684" Type="http://schemas.openxmlformats.org/officeDocument/2006/relationships/hyperlink" Target="https://ieeexplore.ieee.org/stamp/stamp.jsp?arnumber=10039923" TargetMode="External"/><Relationship Id="rId1685" Type="http://schemas.openxmlformats.org/officeDocument/2006/relationships/hyperlink" Target="https://ieeexplore.ieee.org/stamp/stamp.jsp?arnumber=10217855" TargetMode="External"/><Relationship Id="rId888" Type="http://schemas.openxmlformats.org/officeDocument/2006/relationships/hyperlink" Target="https://ieeexplore.ieee.org/stamp/stamp.jsp?arnumber=10055110" TargetMode="External"/><Relationship Id="rId887" Type="http://schemas.openxmlformats.org/officeDocument/2006/relationships/hyperlink" Target="https://ieeexplore.ieee.org/stamp/stamp.jsp?arnumber=9327729" TargetMode="External"/><Relationship Id="rId886" Type="http://schemas.openxmlformats.org/officeDocument/2006/relationships/hyperlink" Target="https://ieeexplore.ieee.org/stamp/stamp.jsp?arnumber=9326833" TargetMode="External"/><Relationship Id="rId885" Type="http://schemas.openxmlformats.org/officeDocument/2006/relationships/hyperlink" Target="https://ieeexplore.ieee.org/stamp/stamp.jsp?arnumber=9284773" TargetMode="External"/><Relationship Id="rId889" Type="http://schemas.openxmlformats.org/officeDocument/2006/relationships/hyperlink" Target="https://ieeexplore.ieee.org/stamp/stamp.jsp?arnumber=10055629" TargetMode="External"/><Relationship Id="rId880" Type="http://schemas.openxmlformats.org/officeDocument/2006/relationships/hyperlink" Target="https://ieeexplore.ieee.org/stamp/stamp.jsp?arnumber=10825401" TargetMode="External"/><Relationship Id="rId884" Type="http://schemas.openxmlformats.org/officeDocument/2006/relationships/hyperlink" Target="https://ieeexplore.ieee.org/stamp/stamp.jsp?arnumber=9898181" TargetMode="External"/><Relationship Id="rId883" Type="http://schemas.openxmlformats.org/officeDocument/2006/relationships/hyperlink" Target="https://www.scopus.com/inward/record.uri?eid=2-s2.0-85134171786&amp;doi=10.1109%2fBigDataSecurityHPSCIDS54978.2022.00023&amp;partnerID=40&amp;md5=8ac8eba6f5ad7125527e1f599a17cddf" TargetMode="External"/><Relationship Id="rId882" Type="http://schemas.openxmlformats.org/officeDocument/2006/relationships/hyperlink" Target="https://ieeexplore.ieee.org/stamp/stamp.jsp?arnumber=10826138" TargetMode="External"/><Relationship Id="rId881" Type="http://schemas.openxmlformats.org/officeDocument/2006/relationships/hyperlink" Target="https://ieeexplore.ieee.org/stamp/stamp.jsp?arnumber=10825559" TargetMode="External"/><Relationship Id="rId877" Type="http://schemas.openxmlformats.org/officeDocument/2006/relationships/hyperlink" Target="https://ieeexplore.ieee.org/stamp/stamp.jsp?arnumber=9378200" TargetMode="External"/><Relationship Id="rId876" Type="http://schemas.openxmlformats.org/officeDocument/2006/relationships/hyperlink" Target="https://ieeexplore.ieee.org/stamp/stamp.jsp?arnumber=9377982" TargetMode="External"/><Relationship Id="rId875" Type="http://schemas.openxmlformats.org/officeDocument/2006/relationships/hyperlink" Target="https://ieeexplore.ieee.org/stamp/stamp.jsp?arnumber=9006518" TargetMode="External"/><Relationship Id="rId874" Type="http://schemas.openxmlformats.org/officeDocument/2006/relationships/hyperlink" Target="https://ieeexplore.ieee.org/stamp/stamp.jsp?arnumber=9006452" TargetMode="External"/><Relationship Id="rId879" Type="http://schemas.openxmlformats.org/officeDocument/2006/relationships/hyperlink" Target="https://ieeexplore.ieee.org/stamp/stamp.jsp?arnumber=10825392" TargetMode="External"/><Relationship Id="rId878" Type="http://schemas.openxmlformats.org/officeDocument/2006/relationships/hyperlink" Target="https://ieeexplore.ieee.org/stamp/stamp.jsp?arnumber=10825163" TargetMode="External"/><Relationship Id="rId873" Type="http://schemas.openxmlformats.org/officeDocument/2006/relationships/hyperlink" Target="https://ieeexplore.ieee.org/stamp/stamp.jsp?arnumber=9006025" TargetMode="External"/><Relationship Id="rId872" Type="http://schemas.openxmlformats.org/officeDocument/2006/relationships/hyperlink" Target="https://ieeexplore.ieee.org/stamp/stamp.jsp?arnumber=7840943" TargetMode="External"/><Relationship Id="rId871" Type="http://schemas.openxmlformats.org/officeDocument/2006/relationships/hyperlink" Target="https://ieeexplore.ieee.org/stamp/stamp.jsp?arnumber=10808570" TargetMode="External"/><Relationship Id="rId870" Type="http://schemas.openxmlformats.org/officeDocument/2006/relationships/hyperlink" Target="https://ieeexplore.ieee.org/stamp/stamp.jsp?arnumber=10167901" TargetMode="External"/><Relationship Id="rId1653" Type="http://schemas.openxmlformats.org/officeDocument/2006/relationships/hyperlink" Target="https://ieeexplore.ieee.org/stamp/stamp.jsp?arnumber=9968665" TargetMode="External"/><Relationship Id="rId2984" Type="http://schemas.openxmlformats.org/officeDocument/2006/relationships/hyperlink" Target="https://www.scopus.com/inward/record.uri?eid=2-s2.0-85143546832&amp;doi=10.19682%2fj.cnki.1005-8885.2022.1010&amp;partnerID=40&amp;md5=9fa88d025a32faf88a7770601a87da59" TargetMode="External"/><Relationship Id="rId1654" Type="http://schemas.openxmlformats.org/officeDocument/2006/relationships/hyperlink" Target="https://ieeexplore.ieee.org/stamp/stamp.jsp?arnumber=10905357" TargetMode="External"/><Relationship Id="rId2985" Type="http://schemas.openxmlformats.org/officeDocument/2006/relationships/hyperlink" Target="https://www.scopus.com/inward/record.uri?eid=2-s2.0-85176281981&amp;doi=10.2166%2fws.2023.255&amp;partnerID=40&amp;md5=102f694cda45ec5d8621b8ef264bb555" TargetMode="External"/><Relationship Id="rId1655" Type="http://schemas.openxmlformats.org/officeDocument/2006/relationships/hyperlink" Target="https://ieeexplore.ieee.org/stamp/stamp.jsp?arnumber=9283696" TargetMode="External"/><Relationship Id="rId2986" Type="http://schemas.openxmlformats.org/officeDocument/2006/relationships/hyperlink" Target="https://www.scopus.com/inward/record.uri?eid=2-s2.0-85216927679&amp;doi=10.22967%2fHCIS.2025.15.002&amp;partnerID=40&amp;md5=70263ab1d3be94e630c5d88b0cd98b94" TargetMode="External"/><Relationship Id="rId1656" Type="http://schemas.openxmlformats.org/officeDocument/2006/relationships/hyperlink" Target="https://ieeexplore.ieee.org/stamp/stamp.jsp?arnumber=9283675" TargetMode="External"/><Relationship Id="rId2987" Type="http://schemas.openxmlformats.org/officeDocument/2006/relationships/hyperlink" Target="https://ieeexplore.ieee.org/stamp/stamp.jsp?arnumber=9189255" TargetMode="External"/><Relationship Id="rId1657" Type="http://schemas.openxmlformats.org/officeDocument/2006/relationships/hyperlink" Target="https://ieeexplore.ieee.org/stamp/stamp.jsp?arnumber=8614953" TargetMode="External"/><Relationship Id="rId2988" Type="http://schemas.openxmlformats.org/officeDocument/2006/relationships/hyperlink" Target="https://ieeexplore.ieee.org/stamp/stamp.jsp?arnumber=9901783" TargetMode="External"/><Relationship Id="rId1658" Type="http://schemas.openxmlformats.org/officeDocument/2006/relationships/hyperlink" Target="https://ieeexplore.ieee.org/stamp/stamp.jsp?arnumber=10846068" TargetMode="External"/><Relationship Id="rId2989" Type="http://schemas.openxmlformats.org/officeDocument/2006/relationships/hyperlink" Target="https://ieeexplore.ieee.org/stamp/stamp.jsp?arnumber=9476568" TargetMode="External"/><Relationship Id="rId1659" Type="http://schemas.openxmlformats.org/officeDocument/2006/relationships/hyperlink" Target="https://ieeexplore.ieee.org/stamp/stamp.jsp?arnumber=10878713" TargetMode="External"/><Relationship Id="rId829" Type="http://schemas.openxmlformats.org/officeDocument/2006/relationships/hyperlink" Target="https://ieeexplore.ieee.org/stamp/stamp.jsp?arnumber=10533562" TargetMode="External"/><Relationship Id="rId828" Type="http://schemas.openxmlformats.org/officeDocument/2006/relationships/hyperlink" Target="https://ieeexplore.ieee.org/stamp/stamp.jsp?arnumber=9196364" TargetMode="External"/><Relationship Id="rId827" Type="http://schemas.openxmlformats.org/officeDocument/2006/relationships/hyperlink" Target="https://ieeexplore.ieee.org/stamp/stamp.jsp?arnumber=9783847" TargetMode="External"/><Relationship Id="rId822" Type="http://schemas.openxmlformats.org/officeDocument/2006/relationships/hyperlink" Target="https://ieeexplore.ieee.org/stamp/stamp.jsp?arnumber=10467357" TargetMode="External"/><Relationship Id="rId821" Type="http://schemas.openxmlformats.org/officeDocument/2006/relationships/hyperlink" Target="https://ieeexplore.ieee.org/stamp/stamp.jsp?arnumber=10910158" TargetMode="External"/><Relationship Id="rId820" Type="http://schemas.openxmlformats.org/officeDocument/2006/relationships/hyperlink" Target="https://www.scopus.com/inward/record.uri?eid=2-s2.0-86000332618&amp;doi=10.1109%2fACCESS.2025.3547057&amp;partnerID=40&amp;md5=8fcc59d551bec232b7c4f8721de44ea7" TargetMode="External"/><Relationship Id="rId826" Type="http://schemas.openxmlformats.org/officeDocument/2006/relationships/hyperlink" Target="https://ieeexplore.ieee.org/stamp/stamp.jsp?arnumber=9136335" TargetMode="External"/><Relationship Id="rId825" Type="http://schemas.openxmlformats.org/officeDocument/2006/relationships/hyperlink" Target="https://ieeexplore.ieee.org/stamp/stamp.jsp?arnumber=9913175" TargetMode="External"/><Relationship Id="rId824" Type="http://schemas.openxmlformats.org/officeDocument/2006/relationships/hyperlink" Target="https://ieeexplore.ieee.org/stamp/stamp.jsp?arnumber=10800976" TargetMode="External"/><Relationship Id="rId823" Type="http://schemas.openxmlformats.org/officeDocument/2006/relationships/hyperlink" Target="https://ieeexplore.ieee.org/stamp/stamp.jsp?arnumber=10730012" TargetMode="External"/><Relationship Id="rId2980" Type="http://schemas.openxmlformats.org/officeDocument/2006/relationships/hyperlink" Target="https://www.scopus.com/inward/record.uri?eid=2-s2.0-85196111907&amp;doi=10.18421%2fTEM132-30&amp;partnerID=40&amp;md5=bac7da647a559d2a80c8f2c4ae5be4ca" TargetMode="External"/><Relationship Id="rId1650" Type="http://schemas.openxmlformats.org/officeDocument/2006/relationships/hyperlink" Target="https://ieeexplore.ieee.org/stamp/stamp.jsp?arnumber=8217516" TargetMode="External"/><Relationship Id="rId2981" Type="http://schemas.openxmlformats.org/officeDocument/2006/relationships/hyperlink" Target="https://www.scopus.com/inward/record.uri?eid=2-s2.0-85104467345&amp;doi=10.18494%2fSAM.2021.3173&amp;partnerID=40&amp;md5=04094a710ea9aff00c45e01da27ef9cf" TargetMode="External"/><Relationship Id="rId1651" Type="http://schemas.openxmlformats.org/officeDocument/2006/relationships/hyperlink" Target="https://ieeexplore.ieee.org/stamp/stamp.jsp?arnumber=8927081" TargetMode="External"/><Relationship Id="rId2982" Type="http://schemas.openxmlformats.org/officeDocument/2006/relationships/hyperlink" Target="https://www.scopus.com/inward/record.uri?eid=2-s2.0-85173894086&amp;doi=10.19101%2fIJATEE.2023.1010184&amp;partnerID=40&amp;md5=bc51c6965b4bdddc458d28fa9be83209" TargetMode="External"/><Relationship Id="rId1652" Type="http://schemas.openxmlformats.org/officeDocument/2006/relationships/hyperlink" Target="https://ieeexplore.ieee.org/stamp/stamp.jsp?arnumber=8927756" TargetMode="External"/><Relationship Id="rId2983" Type="http://schemas.openxmlformats.org/officeDocument/2006/relationships/hyperlink" Target="https://www.scopus.com/inward/record.uri?eid=2-s2.0-85124511305&amp;doi=10.19665%2fj.issn1001-2400.2021.06.005&amp;partnerID=40&amp;md5=494b5ccdbb14d8cbb0291b0b57dd3841" TargetMode="External"/><Relationship Id="rId1642" Type="http://schemas.openxmlformats.org/officeDocument/2006/relationships/hyperlink" Target="https://ieeexplore.ieee.org/stamp/stamp.jsp?arnumber=8441494" TargetMode="External"/><Relationship Id="rId2973" Type="http://schemas.openxmlformats.org/officeDocument/2006/relationships/hyperlink" Target="https://www.scopus.com/inward/record.uri?eid=2-s2.0-85106659954&amp;doi=10.15866%2fireaco.v14i1.19993&amp;partnerID=40&amp;md5=ec65e5cc69db6722e8ab6ee7f293e625" TargetMode="External"/><Relationship Id="rId1643" Type="http://schemas.openxmlformats.org/officeDocument/2006/relationships/hyperlink" Target="https://ieeexplore.ieee.org/stamp/stamp.jsp?arnumber=10497458" TargetMode="External"/><Relationship Id="rId2974" Type="http://schemas.openxmlformats.org/officeDocument/2006/relationships/hyperlink" Target="https://www.scopus.com/inward/record.uri?eid=2-s2.0-85204287093&amp;doi=10.1587%2ftransfun.2024EAP1011&amp;partnerID=40&amp;md5=adf796170c906e489ae7f82a2bd6c04a" TargetMode="External"/><Relationship Id="rId1644" Type="http://schemas.openxmlformats.org/officeDocument/2006/relationships/hyperlink" Target="https://ieeexplore.ieee.org/stamp/stamp.jsp?arnumber=9660848" TargetMode="External"/><Relationship Id="rId2975" Type="http://schemas.openxmlformats.org/officeDocument/2006/relationships/hyperlink" Target="https://www.scopus.com/inward/record.uri?eid=2-s2.0-85159835215&amp;doi=10.1590%2f0103-6513.20220087&amp;partnerID=40&amp;md5=e3402fa48f84c2d948dd252c746be705" TargetMode="External"/><Relationship Id="rId1645" Type="http://schemas.openxmlformats.org/officeDocument/2006/relationships/hyperlink" Target="https://ieeexplore.ieee.org/stamp/stamp.jsp?arnumber=10348719" TargetMode="External"/><Relationship Id="rId2976" Type="http://schemas.openxmlformats.org/officeDocument/2006/relationships/hyperlink" Target="https://www.scopus.com/inward/record.uri?eid=2-s2.0-85128732953&amp;doi=10.17705%2f1jais.00725&amp;partnerID=40&amp;md5=fba2e1f2c9a0efd6add73fc79d29029f" TargetMode="External"/><Relationship Id="rId1646" Type="http://schemas.openxmlformats.org/officeDocument/2006/relationships/hyperlink" Target="https://ieeexplore.ieee.org/stamp/stamp.jsp?arnumber=10348774" TargetMode="External"/><Relationship Id="rId2977" Type="http://schemas.openxmlformats.org/officeDocument/2006/relationships/hyperlink" Target="https://www.scopus.com/inward/record.uri?eid=2-s2.0-85153585217&amp;doi=10.18196%2fjrc.v4i1.17090&amp;partnerID=40&amp;md5=0b8d4daa70754c0c1f9a5d0d4d877c75" TargetMode="External"/><Relationship Id="rId1647" Type="http://schemas.openxmlformats.org/officeDocument/2006/relationships/hyperlink" Target="https://ieeexplore.ieee.org/stamp/stamp.jsp?arnumber=10914941" TargetMode="External"/><Relationship Id="rId2978" Type="http://schemas.openxmlformats.org/officeDocument/2006/relationships/hyperlink" Target="https://www.scopus.com/inward/record.uri?eid=2-s2.0-85219659593&amp;doi=10.18267%2fj.aip.256&amp;partnerID=40&amp;md5=f4a588fe07f6bd42a2b6c38d4e74df3d" TargetMode="External"/><Relationship Id="rId1648" Type="http://schemas.openxmlformats.org/officeDocument/2006/relationships/hyperlink" Target="https://ieeexplore.ieee.org/stamp/stamp.jsp?arnumber=10915196" TargetMode="External"/><Relationship Id="rId2979" Type="http://schemas.openxmlformats.org/officeDocument/2006/relationships/hyperlink" Target="https://www.scopus.com/inward/record.uri?eid=2-s2.0-85213882800&amp;doi=10.18280%2fijsdp.191217&amp;partnerID=40&amp;md5=d8c9be5fac8593c092a2083c543ad6c5" TargetMode="External"/><Relationship Id="rId1649" Type="http://schemas.openxmlformats.org/officeDocument/2006/relationships/hyperlink" Target="https://ieeexplore.ieee.org/stamp/stamp.jsp?arnumber=10194436" TargetMode="External"/><Relationship Id="rId819" Type="http://schemas.openxmlformats.org/officeDocument/2006/relationships/hyperlink" Target="https://www.scopus.com/inward/record.uri?eid=2-s2.0-85219398739&amp;doi=10.1109%2fACCESS.2025.3546495&amp;partnerID=40&amp;md5=cd50ea157b61077d6797b4163e7f1aaf" TargetMode="External"/><Relationship Id="rId818" Type="http://schemas.openxmlformats.org/officeDocument/2006/relationships/hyperlink" Target="https://ieeexplore.ieee.org/stamp/stamp.jsp?arnumber=10870056" TargetMode="External"/><Relationship Id="rId817" Type="http://schemas.openxmlformats.org/officeDocument/2006/relationships/hyperlink" Target="https://www.scopus.com/inward/record.uri?eid=2-s2.0-85217031566&amp;doi=10.1109%2fACCESS.2025.3536638&amp;partnerID=40&amp;md5=d1ef5e3d591dce36350d72503383b376" TargetMode="External"/><Relationship Id="rId816" Type="http://schemas.openxmlformats.org/officeDocument/2006/relationships/hyperlink" Target="https://ieeexplore.ieee.org/stamp/stamp.jsp?arnumber=10847826" TargetMode="External"/><Relationship Id="rId811" Type="http://schemas.openxmlformats.org/officeDocument/2006/relationships/hyperlink" Target="https://ieeexplore.ieee.org/stamp/stamp.jsp?arnumber=10810420" TargetMode="External"/><Relationship Id="rId810" Type="http://schemas.openxmlformats.org/officeDocument/2006/relationships/hyperlink" Target="https://ieeexplore.ieee.org/stamp/stamp.jsp?arnumber=10792437" TargetMode="External"/><Relationship Id="rId815" Type="http://schemas.openxmlformats.org/officeDocument/2006/relationships/hyperlink" Target="https://ieeexplore.ieee.org/stamp/stamp.jsp?arnumber=10844296" TargetMode="External"/><Relationship Id="rId814" Type="http://schemas.openxmlformats.org/officeDocument/2006/relationships/hyperlink" Target="https://ieeexplore.ieee.org/stamp/stamp.jsp?arnumber=10843208" TargetMode="External"/><Relationship Id="rId813" Type="http://schemas.openxmlformats.org/officeDocument/2006/relationships/hyperlink" Target="https://ieeexplore.ieee.org/stamp/stamp.jsp?arnumber=10833625" TargetMode="External"/><Relationship Id="rId812" Type="http://schemas.openxmlformats.org/officeDocument/2006/relationships/hyperlink" Target="https://ieeexplore.ieee.org/stamp/stamp.jsp?arnumber=10812744" TargetMode="External"/><Relationship Id="rId2970" Type="http://schemas.openxmlformats.org/officeDocument/2006/relationships/hyperlink" Target="https://www.scopus.com/inward/record.uri?eid=2-s2.0-85200152817&amp;doi=10.15244%2fpjoes%2f177760&amp;partnerID=40&amp;md5=7925e96e8060b50c38a117e2150fa095" TargetMode="External"/><Relationship Id="rId1640" Type="http://schemas.openxmlformats.org/officeDocument/2006/relationships/hyperlink" Target="https://ieeexplore.ieee.org/stamp/stamp.jsp?arnumber=10704416" TargetMode="External"/><Relationship Id="rId2971" Type="http://schemas.openxmlformats.org/officeDocument/2006/relationships/hyperlink" Target="https://ieeexplore.ieee.org/stamp/stamp.jsp?arnumber=10306035" TargetMode="External"/><Relationship Id="rId1641" Type="http://schemas.openxmlformats.org/officeDocument/2006/relationships/hyperlink" Target="https://ieeexplore.ieee.org/stamp/stamp.jsp?arnumber=10704529" TargetMode="External"/><Relationship Id="rId2972" Type="http://schemas.openxmlformats.org/officeDocument/2006/relationships/hyperlink" Target="https://ieeexplore.ieee.org/stamp/stamp.jsp?arnumber=10736049" TargetMode="External"/><Relationship Id="rId1675" Type="http://schemas.openxmlformats.org/officeDocument/2006/relationships/hyperlink" Target="https://ieeexplore.ieee.org/stamp/stamp.jsp?arnumber=9892611" TargetMode="External"/><Relationship Id="rId1676" Type="http://schemas.openxmlformats.org/officeDocument/2006/relationships/hyperlink" Target="https://ieeexplore.ieee.org/stamp/stamp.jsp?arnumber=10433054" TargetMode="External"/><Relationship Id="rId1677" Type="http://schemas.openxmlformats.org/officeDocument/2006/relationships/hyperlink" Target="https://ieeexplore.ieee.org/stamp/stamp.jsp?arnumber=9482362" TargetMode="External"/><Relationship Id="rId1678" Type="http://schemas.openxmlformats.org/officeDocument/2006/relationships/hyperlink" Target="https://ieeexplore.ieee.org/stamp/stamp.jsp?arnumber=10020060" TargetMode="External"/><Relationship Id="rId1679" Type="http://schemas.openxmlformats.org/officeDocument/2006/relationships/hyperlink" Target="https://ieeexplore.ieee.org/stamp/stamp.jsp?arnumber=10575443" TargetMode="External"/><Relationship Id="rId849" Type="http://schemas.openxmlformats.org/officeDocument/2006/relationships/hyperlink" Target="https://ieeexplore.ieee.org/stamp/stamp.jsp?arnumber=10706664" TargetMode="External"/><Relationship Id="rId844" Type="http://schemas.openxmlformats.org/officeDocument/2006/relationships/hyperlink" Target="https://www.scopus.com/inward/record.uri?eid=2-s2.0-85152119306&amp;doi=10.1109%2fAIIPCC57291.2022.00043&amp;partnerID=40&amp;md5=78b6d106cd1f6ca4c6e0d849b2e63915" TargetMode="External"/><Relationship Id="rId843" Type="http://schemas.openxmlformats.org/officeDocument/2006/relationships/hyperlink" Target="https://ieeexplore.ieee.org/stamp/stamp.jsp?arnumber=10730342" TargetMode="External"/><Relationship Id="rId842" Type="http://schemas.openxmlformats.org/officeDocument/2006/relationships/hyperlink" Target="https://ieeexplore.ieee.org/stamp/stamp.jsp?arnumber=10017677" TargetMode="External"/><Relationship Id="rId841" Type="http://schemas.openxmlformats.org/officeDocument/2006/relationships/hyperlink" Target="https://ieeexplore.ieee.org/stamp/stamp.jsp?arnumber=10071357" TargetMode="External"/><Relationship Id="rId848" Type="http://schemas.openxmlformats.org/officeDocument/2006/relationships/hyperlink" Target="https://ieeexplore.ieee.org/stamp/stamp.jsp?arnumber=10102178" TargetMode="External"/><Relationship Id="rId847" Type="http://schemas.openxmlformats.org/officeDocument/2006/relationships/hyperlink" Target="https://ieeexplore.ieee.org/stamp/stamp.jsp?arnumber=10574732" TargetMode="External"/><Relationship Id="rId846" Type="http://schemas.openxmlformats.org/officeDocument/2006/relationships/hyperlink" Target="https://ieeexplore.ieee.org/stamp/stamp.jsp?arnumber=10574593" TargetMode="External"/><Relationship Id="rId845" Type="http://schemas.openxmlformats.org/officeDocument/2006/relationships/hyperlink" Target="https://ieeexplore.ieee.org/stamp/stamp.jsp?arnumber=10174530" TargetMode="External"/><Relationship Id="rId1670" Type="http://schemas.openxmlformats.org/officeDocument/2006/relationships/hyperlink" Target="https://ieeexplore.ieee.org/stamp/stamp.jsp?arnumber=10763588" TargetMode="External"/><Relationship Id="rId840" Type="http://schemas.openxmlformats.org/officeDocument/2006/relationships/hyperlink" Target="https://ieeexplore.ieee.org/stamp/stamp.jsp?arnumber=10071446" TargetMode="External"/><Relationship Id="rId1671" Type="http://schemas.openxmlformats.org/officeDocument/2006/relationships/hyperlink" Target="https://ieeexplore.ieee.org/stamp/stamp.jsp?arnumber=10763789" TargetMode="External"/><Relationship Id="rId1672" Type="http://schemas.openxmlformats.org/officeDocument/2006/relationships/hyperlink" Target="https://ieeexplore.ieee.org/stamp/stamp.jsp?arnumber=10091061" TargetMode="External"/><Relationship Id="rId1673" Type="http://schemas.openxmlformats.org/officeDocument/2006/relationships/hyperlink" Target="https://ieeexplore.ieee.org/stamp/stamp.jsp?arnumber=10467767" TargetMode="External"/><Relationship Id="rId1674" Type="http://schemas.openxmlformats.org/officeDocument/2006/relationships/hyperlink" Target="https://ieeexplore.ieee.org/stamp/stamp.jsp?arnumber=10873083" TargetMode="External"/><Relationship Id="rId1664" Type="http://schemas.openxmlformats.org/officeDocument/2006/relationships/hyperlink" Target="https://ieeexplore.ieee.org/stamp/stamp.jsp?arnumber=9555532" TargetMode="External"/><Relationship Id="rId2995" Type="http://schemas.openxmlformats.org/officeDocument/2006/relationships/hyperlink" Target="https://www.scopus.com/inward/record.uri?eid=2-s2.0-85111055857&amp;doi=10.23919%2fDATE51398.2021.9474067&amp;partnerID=40&amp;md5=ea8d2b1a6cf12199db960eb13e36107a" TargetMode="External"/><Relationship Id="rId1665" Type="http://schemas.openxmlformats.org/officeDocument/2006/relationships/hyperlink" Target="https://ieeexplore.ieee.org/stamp/stamp.jsp?arnumber=9904353" TargetMode="External"/><Relationship Id="rId2996" Type="http://schemas.openxmlformats.org/officeDocument/2006/relationships/hyperlink" Target="https://ieeexplore.ieee.org/stamp/stamp.jsp?arnumber=9774698" TargetMode="External"/><Relationship Id="rId1666" Type="http://schemas.openxmlformats.org/officeDocument/2006/relationships/hyperlink" Target="https://ieeexplore.ieee.org/stamp/stamp.jsp?arnumber=9904419" TargetMode="External"/><Relationship Id="rId2997" Type="http://schemas.openxmlformats.org/officeDocument/2006/relationships/hyperlink" Target="https://ieeexplore.ieee.org/stamp/stamp.jsp?arnumber=9934697" TargetMode="External"/><Relationship Id="rId1667" Type="http://schemas.openxmlformats.org/officeDocument/2006/relationships/hyperlink" Target="https://ieeexplore.ieee.org/stamp/stamp.jsp?arnumber=10345842" TargetMode="External"/><Relationship Id="rId2998" Type="http://schemas.openxmlformats.org/officeDocument/2006/relationships/hyperlink" Target="https://www.scopus.com/inward/record.uri?eid=2-s2.0-85018621534&amp;doi=10.23919%2fFRUCT.2016.7892195&amp;partnerID=40&amp;md5=31a0a63a8322a6400e2f5b321fb6d599" TargetMode="External"/><Relationship Id="rId1668" Type="http://schemas.openxmlformats.org/officeDocument/2006/relationships/hyperlink" Target="https://ieeexplore.ieee.org/stamp/stamp.jsp?arnumber=10345882" TargetMode="External"/><Relationship Id="rId2999" Type="http://schemas.openxmlformats.org/officeDocument/2006/relationships/hyperlink" Target="https://ieeexplore.ieee.org/stamp/stamp.jsp?arnumber=8071327" TargetMode="External"/><Relationship Id="rId1669" Type="http://schemas.openxmlformats.org/officeDocument/2006/relationships/hyperlink" Target="https://ieeexplore.ieee.org/stamp/stamp.jsp?arnumber=10289567" TargetMode="External"/><Relationship Id="rId839" Type="http://schemas.openxmlformats.org/officeDocument/2006/relationships/hyperlink" Target="https://ieeexplore.ieee.org/stamp/stamp.jsp?arnumber=10899624" TargetMode="External"/><Relationship Id="rId838" Type="http://schemas.openxmlformats.org/officeDocument/2006/relationships/hyperlink" Target="https://ieeexplore.ieee.org/stamp/stamp.jsp?arnumber=10521154" TargetMode="External"/><Relationship Id="rId833" Type="http://schemas.openxmlformats.org/officeDocument/2006/relationships/hyperlink" Target="https://ieeexplore.ieee.org/stamp/stamp.jsp?arnumber=10469127" TargetMode="External"/><Relationship Id="rId832" Type="http://schemas.openxmlformats.org/officeDocument/2006/relationships/hyperlink" Target="https://ieeexplore.ieee.org/stamp/stamp.jsp?arnumber=9403203" TargetMode="External"/><Relationship Id="rId831" Type="http://schemas.openxmlformats.org/officeDocument/2006/relationships/hyperlink" Target="https://ieeexplore.ieee.org/stamp/stamp.jsp?arnumber=9918981" TargetMode="External"/><Relationship Id="rId830" Type="http://schemas.openxmlformats.org/officeDocument/2006/relationships/hyperlink" Target="https://ieeexplore.ieee.org/stamp/stamp.jsp?arnumber=10533590" TargetMode="External"/><Relationship Id="rId837" Type="http://schemas.openxmlformats.org/officeDocument/2006/relationships/hyperlink" Target="https://ieeexplore.ieee.org/stamp/stamp.jsp?arnumber=10115760" TargetMode="External"/><Relationship Id="rId836" Type="http://schemas.openxmlformats.org/officeDocument/2006/relationships/hyperlink" Target="https://ieeexplore.ieee.org/stamp/stamp.jsp?arnumber=9438474" TargetMode="External"/><Relationship Id="rId835" Type="http://schemas.openxmlformats.org/officeDocument/2006/relationships/hyperlink" Target="https://ieeexplore.ieee.org/stamp/stamp.jsp?arnumber=7943556" TargetMode="External"/><Relationship Id="rId834" Type="http://schemas.openxmlformats.org/officeDocument/2006/relationships/hyperlink" Target="https://ieeexplore.ieee.org/stamp/stamp.jsp?arnumber=9513043" TargetMode="External"/><Relationship Id="rId2990" Type="http://schemas.openxmlformats.org/officeDocument/2006/relationships/hyperlink" Target="https://ieeexplore.ieee.org/stamp/stamp.jsp?arnumber=10211974" TargetMode="External"/><Relationship Id="rId1660" Type="http://schemas.openxmlformats.org/officeDocument/2006/relationships/hyperlink" Target="https://ieeexplore.ieee.org/stamp/stamp.jsp?arnumber=10765824" TargetMode="External"/><Relationship Id="rId2991" Type="http://schemas.openxmlformats.org/officeDocument/2006/relationships/hyperlink" Target="https://ieeexplore.ieee.org/stamp/stamp.jsp?arnumber=10211993" TargetMode="External"/><Relationship Id="rId1661" Type="http://schemas.openxmlformats.org/officeDocument/2006/relationships/hyperlink" Target="https://ieeexplore.ieee.org/stamp/stamp.jsp?arnumber=9998366" TargetMode="External"/><Relationship Id="rId2992" Type="http://schemas.openxmlformats.org/officeDocument/2006/relationships/hyperlink" Target="https://ieeexplore.ieee.org/stamp/stamp.jsp?arnumber=9012744" TargetMode="External"/><Relationship Id="rId1662" Type="http://schemas.openxmlformats.org/officeDocument/2006/relationships/hyperlink" Target="https://ieeexplore.ieee.org/stamp/stamp.jsp?arnumber=9332448" TargetMode="External"/><Relationship Id="rId2993" Type="http://schemas.openxmlformats.org/officeDocument/2006/relationships/hyperlink" Target="https://ieeexplore.ieee.org/stamp/stamp.jsp?arnumber=10327792" TargetMode="External"/><Relationship Id="rId1663" Type="http://schemas.openxmlformats.org/officeDocument/2006/relationships/hyperlink" Target="https://www.scopus.com/inward/record.uri?eid=2-s2.0-85164267509&amp;doi=10.1109%2fIIP57348.2022.00078&amp;partnerID=40&amp;md5=3aa4dd9a00c91ef6aebadfa591a7676b" TargetMode="External"/><Relationship Id="rId2994" Type="http://schemas.openxmlformats.org/officeDocument/2006/relationships/hyperlink" Target="https://ieeexplore.ieee.org/stamp/stamp.jsp?arnumber=7926999" TargetMode="External"/><Relationship Id="rId2148" Type="http://schemas.openxmlformats.org/officeDocument/2006/relationships/hyperlink" Target="https://ieeexplore.ieee.org/stamp/stamp.jsp?arnumber=9929894" TargetMode="External"/><Relationship Id="rId2149" Type="http://schemas.openxmlformats.org/officeDocument/2006/relationships/hyperlink" Target="https://ieeexplore.ieee.org/stamp/stamp.jsp?arnumber=8406655" TargetMode="External"/><Relationship Id="rId2140" Type="http://schemas.openxmlformats.org/officeDocument/2006/relationships/hyperlink" Target="https://ieeexplore.ieee.org/stamp/stamp.jsp?arnumber=10150376" TargetMode="External"/><Relationship Id="rId2141" Type="http://schemas.openxmlformats.org/officeDocument/2006/relationships/hyperlink" Target="https://ieeexplore.ieee.org/stamp/stamp.jsp?arnumber=10331461" TargetMode="External"/><Relationship Id="rId2142" Type="http://schemas.openxmlformats.org/officeDocument/2006/relationships/hyperlink" Target="https://ieeexplore.ieee.org/stamp/stamp.jsp?arnumber=9494971" TargetMode="External"/><Relationship Id="rId2143" Type="http://schemas.openxmlformats.org/officeDocument/2006/relationships/hyperlink" Target="https://ieeexplore.ieee.org/stamp/stamp.jsp?arnumber=10313627" TargetMode="External"/><Relationship Id="rId2144" Type="http://schemas.openxmlformats.org/officeDocument/2006/relationships/hyperlink" Target="https://ieeexplore.ieee.org/stamp/stamp.jsp?arnumber=10762858" TargetMode="External"/><Relationship Id="rId2145" Type="http://schemas.openxmlformats.org/officeDocument/2006/relationships/hyperlink" Target="https://ieeexplore.ieee.org/stamp/stamp.jsp?arnumber=9741997" TargetMode="External"/><Relationship Id="rId2146" Type="http://schemas.openxmlformats.org/officeDocument/2006/relationships/hyperlink" Target="https://ieeexplore.ieee.org/stamp/stamp.jsp?arnumber=7589813" TargetMode="External"/><Relationship Id="rId2147" Type="http://schemas.openxmlformats.org/officeDocument/2006/relationships/hyperlink" Target="https://ieeexplore.ieee.org/stamp/stamp.jsp?arnumber=10234305" TargetMode="External"/><Relationship Id="rId2137" Type="http://schemas.openxmlformats.org/officeDocument/2006/relationships/hyperlink" Target="https://ieeexplore.ieee.org/stamp/stamp.jsp?arnumber=10255963" TargetMode="External"/><Relationship Id="rId2138" Type="http://schemas.openxmlformats.org/officeDocument/2006/relationships/hyperlink" Target="https://ieeexplore.ieee.org/stamp/stamp.jsp?arnumber=10141206" TargetMode="External"/><Relationship Id="rId2139" Type="http://schemas.openxmlformats.org/officeDocument/2006/relationships/hyperlink" Target="https://ieeexplore.ieee.org/stamp/stamp.jsp?arnumber=9767299" TargetMode="External"/><Relationship Id="rId2130" Type="http://schemas.openxmlformats.org/officeDocument/2006/relationships/hyperlink" Target="https://ieeexplore.ieee.org/stamp/stamp.jsp?arnumber=7794565" TargetMode="External"/><Relationship Id="rId2131" Type="http://schemas.openxmlformats.org/officeDocument/2006/relationships/hyperlink" Target="https://ieeexplore.ieee.org/stamp/stamp.jsp?arnumber=8292654" TargetMode="External"/><Relationship Id="rId2132" Type="http://schemas.openxmlformats.org/officeDocument/2006/relationships/hyperlink" Target="https://ieeexplore.ieee.org/stamp/stamp.jsp?arnumber=9217376" TargetMode="External"/><Relationship Id="rId2133" Type="http://schemas.openxmlformats.org/officeDocument/2006/relationships/hyperlink" Target="https://ieeexplore.ieee.org/stamp/stamp.jsp?arnumber=9977836" TargetMode="External"/><Relationship Id="rId2134" Type="http://schemas.openxmlformats.org/officeDocument/2006/relationships/hyperlink" Target="https://ieeexplore.ieee.org/stamp/stamp.jsp?arnumber=10817407" TargetMode="External"/><Relationship Id="rId2135" Type="http://schemas.openxmlformats.org/officeDocument/2006/relationships/hyperlink" Target="https://ieeexplore.ieee.org/stamp/stamp.jsp?arnumber=10255805" TargetMode="External"/><Relationship Id="rId2136" Type="http://schemas.openxmlformats.org/officeDocument/2006/relationships/hyperlink" Target="https://ieeexplore.ieee.org/stamp/stamp.jsp?arnumber=10255827" TargetMode="External"/><Relationship Id="rId2160" Type="http://schemas.openxmlformats.org/officeDocument/2006/relationships/hyperlink" Target="https://ieeexplore.ieee.org/stamp/stamp.jsp?arnumber=8938038" TargetMode="External"/><Relationship Id="rId2161" Type="http://schemas.openxmlformats.org/officeDocument/2006/relationships/hyperlink" Target="https://ieeexplore.ieee.org/stamp/stamp.jsp?arnumber=8938057" TargetMode="External"/><Relationship Id="rId2162" Type="http://schemas.openxmlformats.org/officeDocument/2006/relationships/hyperlink" Target="https://ieeexplore.ieee.org/stamp/stamp.jsp?arnumber=9507191" TargetMode="External"/><Relationship Id="rId2163" Type="http://schemas.openxmlformats.org/officeDocument/2006/relationships/hyperlink" Target="https://ieeexplore.ieee.org/stamp/stamp.jsp?arnumber=9652319" TargetMode="External"/><Relationship Id="rId2164" Type="http://schemas.openxmlformats.org/officeDocument/2006/relationships/hyperlink" Target="https://ieeexplore.ieee.org/stamp/stamp.jsp?arnumber=9825892" TargetMode="External"/><Relationship Id="rId2165" Type="http://schemas.openxmlformats.org/officeDocument/2006/relationships/hyperlink" Target="https://ieeexplore.ieee.org/stamp/stamp.jsp?arnumber=9825900" TargetMode="External"/><Relationship Id="rId2166" Type="http://schemas.openxmlformats.org/officeDocument/2006/relationships/hyperlink" Target="https://www.scopus.com/inward/record.uri?eid=2-s2.0-85199776614&amp;doi=10.1109%2fSANER60148.2024.00086&amp;partnerID=40&amp;md5=9eda2cd8dbd2f1d7231ffe1367c4c59f" TargetMode="External"/><Relationship Id="rId2167" Type="http://schemas.openxmlformats.org/officeDocument/2006/relationships/hyperlink" Target="https://ieeexplore.ieee.org/stamp/stamp.jsp?arnumber=8614278" TargetMode="External"/><Relationship Id="rId2168" Type="http://schemas.openxmlformats.org/officeDocument/2006/relationships/hyperlink" Target="https://ieeexplore.ieee.org/stamp/stamp.jsp?arnumber=10306010" TargetMode="External"/><Relationship Id="rId2169" Type="http://schemas.openxmlformats.org/officeDocument/2006/relationships/hyperlink" Target="https://ieeexplore.ieee.org/stamp/stamp.jsp?arnumber=9355316" TargetMode="External"/><Relationship Id="rId2159" Type="http://schemas.openxmlformats.org/officeDocument/2006/relationships/hyperlink" Target="https://ieeexplore.ieee.org/stamp/stamp.jsp?arnumber=7753240" TargetMode="External"/><Relationship Id="rId2150" Type="http://schemas.openxmlformats.org/officeDocument/2006/relationships/hyperlink" Target="https://ieeexplore.ieee.org/stamp/stamp.jsp?arnumber=8279796" TargetMode="External"/><Relationship Id="rId2151" Type="http://schemas.openxmlformats.org/officeDocument/2006/relationships/hyperlink" Target="https://ieeexplore.ieee.org/stamp/stamp.jsp?arnumber=10628860" TargetMode="External"/><Relationship Id="rId2152" Type="http://schemas.openxmlformats.org/officeDocument/2006/relationships/hyperlink" Target="https://ieeexplore.ieee.org/stamp/stamp.jsp?arnumber=10368726" TargetMode="External"/><Relationship Id="rId2153" Type="http://schemas.openxmlformats.org/officeDocument/2006/relationships/hyperlink" Target="https://ieeexplore.ieee.org/stamp/stamp.jsp?arnumber=8093024" TargetMode="External"/><Relationship Id="rId2154" Type="http://schemas.openxmlformats.org/officeDocument/2006/relationships/hyperlink" Target="https://ieeexplore.ieee.org/stamp/stamp.jsp?arnumber=10820396" TargetMode="External"/><Relationship Id="rId2155" Type="http://schemas.openxmlformats.org/officeDocument/2006/relationships/hyperlink" Target="https://ieeexplore.ieee.org/stamp/stamp.jsp?arnumber=8525818" TargetMode="External"/><Relationship Id="rId2156" Type="http://schemas.openxmlformats.org/officeDocument/2006/relationships/hyperlink" Target="https://ieeexplore.ieee.org/stamp/stamp.jsp?arnumber=7740618" TargetMode="External"/><Relationship Id="rId2157" Type="http://schemas.openxmlformats.org/officeDocument/2006/relationships/hyperlink" Target="https://www.scopus.com/inward/record.uri?eid=2-s2.0-85146110553&amp;doi=10.1109%2fRTSS55097.2022.00032&amp;partnerID=40&amp;md5=eeadc4639d4282e87a6c9d7af1f35d5d" TargetMode="External"/><Relationship Id="rId2158" Type="http://schemas.openxmlformats.org/officeDocument/2006/relationships/hyperlink" Target="https://ieeexplore.ieee.org/stamp/stamp.jsp?arnumber=8659884" TargetMode="External"/><Relationship Id="rId2104" Type="http://schemas.openxmlformats.org/officeDocument/2006/relationships/hyperlink" Target="https://ieeexplore.ieee.org/stamp/stamp.jsp?arnumber=10829659" TargetMode="External"/><Relationship Id="rId2105" Type="http://schemas.openxmlformats.org/officeDocument/2006/relationships/hyperlink" Target="https://ieeexplore.ieee.org/stamp/stamp.jsp?arnumber=10841375" TargetMode="External"/><Relationship Id="rId2106" Type="http://schemas.openxmlformats.org/officeDocument/2006/relationships/hyperlink" Target="https://ieeexplore.ieee.org/stamp/stamp.jsp?arnumber=10854503" TargetMode="External"/><Relationship Id="rId2107" Type="http://schemas.openxmlformats.org/officeDocument/2006/relationships/hyperlink" Target="https://ieeexplore.ieee.org/stamp/stamp.jsp?arnumber=9444818" TargetMode="External"/><Relationship Id="rId2108" Type="http://schemas.openxmlformats.org/officeDocument/2006/relationships/hyperlink" Target="https://ieeexplore.ieee.org/stamp/stamp.jsp?arnumber=9343777" TargetMode="External"/><Relationship Id="rId2109" Type="http://schemas.openxmlformats.org/officeDocument/2006/relationships/hyperlink" Target="https://www.scopus.com/inward/record.uri?eid=2-s2.0-85200819403&amp;doi=10.1109%2fOJIES.2024.3441112&amp;partnerID=40&amp;md5=b9755278fc506d5ca259fbd10eaf4c71" TargetMode="External"/><Relationship Id="rId2100" Type="http://schemas.openxmlformats.org/officeDocument/2006/relationships/hyperlink" Target="https://ieeexplore.ieee.org/stamp/stamp.jsp?arnumber=10592027" TargetMode="External"/><Relationship Id="rId2101" Type="http://schemas.openxmlformats.org/officeDocument/2006/relationships/hyperlink" Target="https://ieeexplore.ieee.org/stamp/stamp.jsp?arnumber=10601697" TargetMode="External"/><Relationship Id="rId2102" Type="http://schemas.openxmlformats.org/officeDocument/2006/relationships/hyperlink" Target="https://ieeexplore.ieee.org/stamp/stamp.jsp?arnumber=10807044" TargetMode="External"/><Relationship Id="rId2103" Type="http://schemas.openxmlformats.org/officeDocument/2006/relationships/hyperlink" Target="https://www.scopus.com/inward/record.uri?eid=2-s2.0-85213485954&amp;doi=10.1109%2fOJCOMS.2024.3522103&amp;partnerID=40&amp;md5=6c24eb998351a18fa5595a9a0f8ad707" TargetMode="External"/><Relationship Id="rId899" Type="http://schemas.openxmlformats.org/officeDocument/2006/relationships/hyperlink" Target="https://ieeexplore.ieee.org/stamp/stamp.jsp?arnumber=8787488" TargetMode="External"/><Relationship Id="rId898" Type="http://schemas.openxmlformats.org/officeDocument/2006/relationships/hyperlink" Target="https://ieeexplore.ieee.org/stamp/stamp.jsp?arnumber=10801270" TargetMode="External"/><Relationship Id="rId897" Type="http://schemas.openxmlformats.org/officeDocument/2006/relationships/hyperlink" Target="https://ieeexplore.ieee.org/stamp/stamp.jsp?arnumber=10838216" TargetMode="External"/><Relationship Id="rId896" Type="http://schemas.openxmlformats.org/officeDocument/2006/relationships/hyperlink" Target="https://ieeexplore.ieee.org/stamp/stamp.jsp?arnumber=10837975" TargetMode="External"/><Relationship Id="rId891" Type="http://schemas.openxmlformats.org/officeDocument/2006/relationships/hyperlink" Target="https://ieeexplore.ieee.org/stamp/stamp.jsp?arnumber=9545981" TargetMode="External"/><Relationship Id="rId890" Type="http://schemas.openxmlformats.org/officeDocument/2006/relationships/hyperlink" Target="https://ieeexplore.ieee.org/stamp/stamp.jsp?arnumber=10450947" TargetMode="External"/><Relationship Id="rId895" Type="http://schemas.openxmlformats.org/officeDocument/2006/relationships/hyperlink" Target="https://ieeexplore.ieee.org/stamp/stamp.jsp?arnumber=10837822" TargetMode="External"/><Relationship Id="rId894" Type="http://schemas.openxmlformats.org/officeDocument/2006/relationships/hyperlink" Target="https://ieeexplore.ieee.org/stamp/stamp.jsp?arnumber=10837762" TargetMode="External"/><Relationship Id="rId893" Type="http://schemas.openxmlformats.org/officeDocument/2006/relationships/hyperlink" Target="https://ieeexplore.ieee.org/stamp/stamp.jsp?arnumber=10478426" TargetMode="External"/><Relationship Id="rId892" Type="http://schemas.openxmlformats.org/officeDocument/2006/relationships/hyperlink" Target="https://ieeexplore.ieee.org/stamp/stamp.jsp?arnumber=9209316" TargetMode="External"/><Relationship Id="rId2126" Type="http://schemas.openxmlformats.org/officeDocument/2006/relationships/hyperlink" Target="https://ieeexplore.ieee.org/stamp/stamp.jsp?arnumber=8480290" TargetMode="External"/><Relationship Id="rId2127" Type="http://schemas.openxmlformats.org/officeDocument/2006/relationships/hyperlink" Target="https://ieeexplore.ieee.org/stamp/stamp.jsp?arnumber=8480346" TargetMode="External"/><Relationship Id="rId2128" Type="http://schemas.openxmlformats.org/officeDocument/2006/relationships/hyperlink" Target="https://ieeexplore.ieee.org/stamp/stamp.jsp?arnumber=9468060" TargetMode="External"/><Relationship Id="rId2129" Type="http://schemas.openxmlformats.org/officeDocument/2006/relationships/hyperlink" Target="https://ieeexplore.ieee.org/stamp/stamp.jsp?arnumber=10795399" TargetMode="External"/><Relationship Id="rId2120" Type="http://schemas.openxmlformats.org/officeDocument/2006/relationships/hyperlink" Target="https://ieeexplore.ieee.org/stamp/stamp.jsp?arnumber=9064650" TargetMode="External"/><Relationship Id="rId2121" Type="http://schemas.openxmlformats.org/officeDocument/2006/relationships/hyperlink" Target="https://ieeexplore.ieee.org/stamp/stamp.jsp?arnumber=10215140" TargetMode="External"/><Relationship Id="rId2122" Type="http://schemas.openxmlformats.org/officeDocument/2006/relationships/hyperlink" Target="https://ieeexplore.ieee.org/stamp/stamp.jsp?arnumber=8171702" TargetMode="External"/><Relationship Id="rId2123" Type="http://schemas.openxmlformats.org/officeDocument/2006/relationships/hyperlink" Target="https://ieeexplore.ieee.org/stamp/stamp.jsp?arnumber=10836053" TargetMode="External"/><Relationship Id="rId2124" Type="http://schemas.openxmlformats.org/officeDocument/2006/relationships/hyperlink" Target="https://ieeexplore.ieee.org/stamp/stamp.jsp?arnumber=10451093" TargetMode="External"/><Relationship Id="rId2125" Type="http://schemas.openxmlformats.org/officeDocument/2006/relationships/hyperlink" Target="https://ieeexplore.ieee.org/stamp/stamp.jsp?arnumber=10451628" TargetMode="External"/><Relationship Id="rId2115" Type="http://schemas.openxmlformats.org/officeDocument/2006/relationships/hyperlink" Target="https://www.scopus.com/inward/record.uri?eid=2-s2.0-85063314694&amp;doi=10.1109%2fPADSW.2018.8644997&amp;partnerID=40&amp;md5=4abe701ec900b7049139fc361e5e16ae" TargetMode="External"/><Relationship Id="rId2116" Type="http://schemas.openxmlformats.org/officeDocument/2006/relationships/hyperlink" Target="https://ieeexplore.ieee.org/stamp/stamp.jsp?arnumber=9029039" TargetMode="External"/><Relationship Id="rId2117" Type="http://schemas.openxmlformats.org/officeDocument/2006/relationships/hyperlink" Target="https://ieeexplore.ieee.org/stamp/stamp.jsp?arnumber=9315757" TargetMode="External"/><Relationship Id="rId2118" Type="http://schemas.openxmlformats.org/officeDocument/2006/relationships/hyperlink" Target="https://ieeexplore.ieee.org/stamp/stamp.jsp?arnumber=8374499" TargetMode="External"/><Relationship Id="rId2119" Type="http://schemas.openxmlformats.org/officeDocument/2006/relationships/hyperlink" Target="https://ieeexplore.ieee.org/stamp/stamp.jsp?arnumber=10495570" TargetMode="External"/><Relationship Id="rId2110" Type="http://schemas.openxmlformats.org/officeDocument/2006/relationships/hyperlink" Target="https://ieeexplore.ieee.org/stamp/stamp.jsp?arnumber=10807841" TargetMode="External"/><Relationship Id="rId2111" Type="http://schemas.openxmlformats.org/officeDocument/2006/relationships/hyperlink" Target="https://ieeexplore.ieee.org/stamp/stamp.jsp?arnumber=10849611" TargetMode="External"/><Relationship Id="rId2112" Type="http://schemas.openxmlformats.org/officeDocument/2006/relationships/hyperlink" Target="https://ieeexplore.ieee.org/stamp/stamp.jsp?arnumber=10314411" TargetMode="External"/><Relationship Id="rId2113" Type="http://schemas.openxmlformats.org/officeDocument/2006/relationships/hyperlink" Target="https://ieeexplore.ieee.org/stamp/stamp.jsp?arnumber=10554659" TargetMode="External"/><Relationship Id="rId2114" Type="http://schemas.openxmlformats.org/officeDocument/2006/relationships/hyperlink" Target="https://ieeexplore.ieee.org/stamp/stamp.jsp?arnumber=10818588" TargetMode="External"/></Relationships>
</file>

<file path=xl/worksheets/_rels/sheet8.xml.rels><?xml version="1.0" encoding="UTF-8" standalone="yes"?><Relationships xmlns="http://schemas.openxmlformats.org/package/2006/relationships"><Relationship Id="rId40" Type="http://schemas.openxmlformats.org/officeDocument/2006/relationships/hyperlink" Target="https://doi.org/10.1145/3674734" TargetMode="External"/><Relationship Id="rId42" Type="http://schemas.openxmlformats.org/officeDocument/2006/relationships/hyperlink" Target="https://www.scopus.com/inward/record.uri?eid=2-s2.0-85151338800&amp;doi=10.1007%2fs11227-023-05202-6&amp;partnerID=40&amp;md5=647088e011dc284be3e69deeef20d643" TargetMode="External"/><Relationship Id="rId41" Type="http://schemas.openxmlformats.org/officeDocument/2006/relationships/hyperlink" Target="https://doi.org/10.1145/3423211.3425683" TargetMode="External"/><Relationship Id="rId44" Type="http://schemas.openxmlformats.org/officeDocument/2006/relationships/hyperlink" Target="https://ieeexplore.ieee.org/stamp/stamp.jsp?arnumber=10175438" TargetMode="External"/><Relationship Id="rId43" Type="http://schemas.openxmlformats.org/officeDocument/2006/relationships/hyperlink" Target="https://ieeexplore.ieee.org/stamp/stamp.jsp?arnumber=10138589" TargetMode="External"/><Relationship Id="rId46" Type="http://schemas.openxmlformats.org/officeDocument/2006/relationships/hyperlink" Target="https://www.scopus.com/inward/record.uri?eid=2-s2.0-85077969153&amp;doi=10.1109%2fIOTSMS48152.2019.8939237&amp;partnerID=40&amp;md5=7b937f6435a19d89b288227377d059e7" TargetMode="External"/><Relationship Id="rId45" Type="http://schemas.openxmlformats.org/officeDocument/2006/relationships/hyperlink" Target="https://www.scopus.com/inward/record.uri?eid=2-s2.0-85174232361&amp;doi=10.1109%2fCLOUD60044.2023.00067&amp;partnerID=40&amp;md5=d89946513257dd6a282402d48f461af4" TargetMode="External"/><Relationship Id="rId48" Type="http://schemas.openxmlformats.org/officeDocument/2006/relationships/hyperlink" Target="https://ieeexplore.ieee.org/stamp/stamp.jsp?arnumber=10609684" TargetMode="External"/><Relationship Id="rId47" Type="http://schemas.openxmlformats.org/officeDocument/2006/relationships/hyperlink" Target="https://doi.org/10.1007/978-3-031-20984-0_38" TargetMode="External"/><Relationship Id="rId49" Type="http://schemas.openxmlformats.org/officeDocument/2006/relationships/hyperlink" Target="https://ieeexplore.ieee.org/stamp/stamp.jsp?arnumber=10707516" TargetMode="External"/><Relationship Id="rId31" Type="http://schemas.openxmlformats.org/officeDocument/2006/relationships/hyperlink" Target="https://www.scopus.com/inward/record.uri?eid=2-s2.0-85208228417&amp;doi=10.1109%2fJIOT.2024.3488283&amp;partnerID=40&amp;md5=79d9c5a8dcade2dfbbff6960c6a42c9a" TargetMode="External"/><Relationship Id="rId30" Type="http://schemas.openxmlformats.org/officeDocument/2006/relationships/hyperlink" Target="https://www.scopus.com/inward/record.uri?eid=2-s2.0-85201051178&amp;doi=10.1109%2fICSA59870.2024.00012&amp;partnerID=40&amp;md5=ebb3d2628f5d1191a5b97bd9115b93a3" TargetMode="External"/><Relationship Id="rId33" Type="http://schemas.openxmlformats.org/officeDocument/2006/relationships/hyperlink" Target="https://www.scopus.com/inward/record.uri?eid=2-s2.0-85194153708&amp;doi=10.1117%2f12.3024334&amp;partnerID=40&amp;md5=875122395483511087354a9909e08634" TargetMode="External"/><Relationship Id="rId32" Type="http://schemas.openxmlformats.org/officeDocument/2006/relationships/hyperlink" Target="https://doi.org/10.1145/3412841.3441888" TargetMode="External"/><Relationship Id="rId35" Type="http://schemas.openxmlformats.org/officeDocument/2006/relationships/hyperlink" Target="https://ieeexplore.ieee.org/stamp/stamp.jsp?arnumber=10596385" TargetMode="External"/><Relationship Id="rId34" Type="http://schemas.openxmlformats.org/officeDocument/2006/relationships/hyperlink" Target="https://doi.org/10.1145/3418899" TargetMode="External"/><Relationship Id="rId37" Type="http://schemas.openxmlformats.org/officeDocument/2006/relationships/hyperlink" Target="https://www.scopus.com/inward/record.uri?eid=2-s2.0-85067040812&amp;doi=10.1007%2fs00607-019-00733-4&amp;partnerID=40&amp;md5=d962d0ae3742a573ac5b2abe6895172e" TargetMode="External"/><Relationship Id="rId36" Type="http://schemas.openxmlformats.org/officeDocument/2006/relationships/hyperlink" Target="https://doi.org/10.1007/978-3-031-48421-6_13" TargetMode="External"/><Relationship Id="rId39" Type="http://schemas.openxmlformats.org/officeDocument/2006/relationships/hyperlink" Target="https://doi.org/10.1145/3715700" TargetMode="External"/><Relationship Id="rId38" Type="http://schemas.openxmlformats.org/officeDocument/2006/relationships/hyperlink" Target="https://www.scopus.com/inward/record.uri?eid=2-s2.0-85216566548&amp;doi=10.1016%2fj.suscom.2025.101088&amp;partnerID=40&amp;md5=4e078c054bd4918f2fd8a7d05c018de2" TargetMode="External"/><Relationship Id="rId20" Type="http://schemas.openxmlformats.org/officeDocument/2006/relationships/hyperlink" Target="https://www.scopus.com/inward/record.uri?eid=2-s2.0-85209387259&amp;doi=10.1109%2fTNSM.2024.3497155&amp;partnerID=40&amp;md5=194332a05c569de08bf598f33679b575" TargetMode="External"/><Relationship Id="rId22" Type="http://schemas.openxmlformats.org/officeDocument/2006/relationships/hyperlink" Target="https://ieeexplore.ieee.org/stamp/stamp.jsp?arnumber=10578041" TargetMode="External"/><Relationship Id="rId21" Type="http://schemas.openxmlformats.org/officeDocument/2006/relationships/hyperlink" Target="https://www.scopus.com/inward/record.uri?eid=2-s2.0-85213696655&amp;doi=10.1007%2fs10723-024-09789-9&amp;partnerID=40&amp;md5=2351a5b1f5d24e45730f45c2899e134e" TargetMode="External"/><Relationship Id="rId24" Type="http://schemas.openxmlformats.org/officeDocument/2006/relationships/hyperlink" Target="https://ieeexplore.ieee.org/stamp/stamp.jsp?arnumber=9042873" TargetMode="External"/><Relationship Id="rId23" Type="http://schemas.openxmlformats.org/officeDocument/2006/relationships/hyperlink" Target="https://www.scopus.com/inward/record.uri?eid=2-s2.0-85168718295&amp;doi=10.3390%2fs23167142&amp;partnerID=40&amp;md5=f6405c7cd0477185b8755c231e135338" TargetMode="External"/><Relationship Id="rId26" Type="http://schemas.openxmlformats.org/officeDocument/2006/relationships/hyperlink" Target="https://ieeexplore.ieee.org/stamp/stamp.jsp?arnumber=10041344" TargetMode="External"/><Relationship Id="rId25" Type="http://schemas.openxmlformats.org/officeDocument/2006/relationships/hyperlink" Target="https://ieeexplore.ieee.org/stamp/stamp.jsp?arnumber=10309921" TargetMode="External"/><Relationship Id="rId28" Type="http://schemas.openxmlformats.org/officeDocument/2006/relationships/hyperlink" Target="https://ieeexplore.ieee.org/stamp/stamp.jsp?arnumber=9764765" TargetMode="External"/><Relationship Id="rId27" Type="http://schemas.openxmlformats.org/officeDocument/2006/relationships/hyperlink" Target="https://doi.org/10.1145/3663741.3664789" TargetMode="External"/><Relationship Id="rId29" Type="http://schemas.openxmlformats.org/officeDocument/2006/relationships/hyperlink" Target="https://doi.org/10.1145/3565010.3569065" TargetMode="External"/><Relationship Id="rId11" Type="http://schemas.openxmlformats.org/officeDocument/2006/relationships/hyperlink" Target="https://www.scopus.com/inward/record.uri?eid=2-s2.0-85132273566&amp;doi=10.3390%2fapp12125793&amp;partnerID=40&amp;md5=08948392df2786e48a4037d6d7f98361" TargetMode="External"/><Relationship Id="rId10" Type="http://schemas.openxmlformats.org/officeDocument/2006/relationships/hyperlink" Target="https://ieeexplore.ieee.org/stamp/stamp.jsp?arnumber=10077892" TargetMode="External"/><Relationship Id="rId13" Type="http://schemas.openxmlformats.org/officeDocument/2006/relationships/hyperlink" Target="https://ieeexplore.ieee.org/stamp/stamp.jsp?arnumber=10680533" TargetMode="External"/><Relationship Id="rId12" Type="http://schemas.openxmlformats.org/officeDocument/2006/relationships/hyperlink" Target="https://www.scopus.com/inward/record.uri?eid=2-s2.0-85072519087&amp;doi=10.1016%2fj.jnca.2019.102441&amp;partnerID=40&amp;md5=12d28f55304bc761583ba7edea990eb5" TargetMode="External"/><Relationship Id="rId15" Type="http://schemas.openxmlformats.org/officeDocument/2006/relationships/hyperlink" Target="https://www.scopus.com/inward/record.uri?eid=2-s2.0-85034095398&amp;doi=10.1007%2f978-3-319-69035-3_14&amp;partnerID=40&amp;md5=9bb690276a53bfcfee72db0e06c927ac" TargetMode="External"/><Relationship Id="rId14" Type="http://schemas.openxmlformats.org/officeDocument/2006/relationships/hyperlink" Target="https://www.scopus.com/inward/record.uri?eid=2-s2.0-85216638444&amp;doi=10.1109%2fTC.2025.3535826&amp;partnerID=40&amp;md5=71265858f6c91f3c7d494e9fcbcbb025" TargetMode="External"/><Relationship Id="rId17" Type="http://schemas.openxmlformats.org/officeDocument/2006/relationships/hyperlink" Target="https://ieeexplore.ieee.org/stamp/stamp.jsp?arnumber=8302602" TargetMode="External"/><Relationship Id="rId16" Type="http://schemas.openxmlformats.org/officeDocument/2006/relationships/hyperlink" Target="https://www.scopus.com/inward/record.uri?eid=2-s2.0-85081713746&amp;doi=10.1109%2fTSUSC.2017.2661339&amp;partnerID=40&amp;md5=e00446747da4f43b0f291cc8f5ee0154" TargetMode="External"/><Relationship Id="rId19" Type="http://schemas.openxmlformats.org/officeDocument/2006/relationships/hyperlink" Target="https://ieeexplore.ieee.org/stamp/stamp.jsp?arnumber=8831214" TargetMode="External"/><Relationship Id="rId18" Type="http://schemas.openxmlformats.org/officeDocument/2006/relationships/hyperlink" Target="https://www.scopus.com/inward/record.uri?eid=2-s2.0-85125708766&amp;doi=10.1109%2fJIOT.2022.3155598&amp;partnerID=40&amp;md5=519bcf5c5902a8cf7f53e8c2385fa6f2" TargetMode="External"/><Relationship Id="rId84" Type="http://schemas.openxmlformats.org/officeDocument/2006/relationships/hyperlink" Target="https://ieeexplore.ieee.org/stamp/stamp.jsp?arnumber=7791858" TargetMode="External"/><Relationship Id="rId83" Type="http://schemas.openxmlformats.org/officeDocument/2006/relationships/hyperlink" Target="https://ieeexplore.ieee.org/stamp/stamp.jsp?arnumber=9014114" TargetMode="External"/><Relationship Id="rId86" Type="http://schemas.openxmlformats.org/officeDocument/2006/relationships/hyperlink" Target="https://doi.org/10.1109/MICRO56248.2022.00040" TargetMode="External"/><Relationship Id="rId85" Type="http://schemas.openxmlformats.org/officeDocument/2006/relationships/hyperlink" Target="https://www.scopus.com/inward/record.uri?eid=2-s2.0-85086374003&amp;doi=10.1088%2f1742-6596%2f1544%2f1%2f012020&amp;partnerID=40&amp;md5=e03972d471de2a63506c7e594870b3cb" TargetMode="External"/><Relationship Id="rId88" Type="http://schemas.openxmlformats.org/officeDocument/2006/relationships/hyperlink" Target="https://ieeexplore.ieee.org/stamp/stamp.jsp?arnumber=8612307" TargetMode="External"/><Relationship Id="rId87" Type="http://schemas.openxmlformats.org/officeDocument/2006/relationships/hyperlink" Target="https://doi.org/10.1007/978-3-030-59824-2_2" TargetMode="External"/><Relationship Id="rId89" Type="http://schemas.openxmlformats.org/officeDocument/2006/relationships/hyperlink" Target="https://www.scopus.com/inward/record.uri?eid=2-s2.0-85040237525&amp;doi=10.23919%2fITC.2017.8065706&amp;partnerID=40&amp;md5=c8494f78800f2081eac4dbf0130af96d" TargetMode="External"/><Relationship Id="rId80" Type="http://schemas.openxmlformats.org/officeDocument/2006/relationships/hyperlink" Target="https://ieeexplore.ieee.org/stamp/stamp.jsp?arnumber=9251997" TargetMode="External"/><Relationship Id="rId82" Type="http://schemas.openxmlformats.org/officeDocument/2006/relationships/hyperlink" Target="https://doi.org/10.1145/3147213.3147227" TargetMode="External"/><Relationship Id="rId81" Type="http://schemas.openxmlformats.org/officeDocument/2006/relationships/hyperlink" Target="https://ieeexplore.ieee.org/stamp/stamp.jsp?arnumber=9145582" TargetMode="External"/><Relationship Id="rId73" Type="http://schemas.openxmlformats.org/officeDocument/2006/relationships/hyperlink" Target="https://ieeexplore.ieee.org/stamp/stamp.jsp?arnumber=9912882" TargetMode="External"/><Relationship Id="rId72" Type="http://schemas.openxmlformats.org/officeDocument/2006/relationships/hyperlink" Target="https://ieeexplore.ieee.org/stamp/stamp.jsp?arnumber=9610120" TargetMode="External"/><Relationship Id="rId75" Type="http://schemas.openxmlformats.org/officeDocument/2006/relationships/hyperlink" Target="https://ieeexplore.ieee.org/stamp/stamp.jsp?arnumber=10733667" TargetMode="External"/><Relationship Id="rId74" Type="http://schemas.openxmlformats.org/officeDocument/2006/relationships/hyperlink" Target="https://doi.org/10.1145/3129790.3129818" TargetMode="External"/><Relationship Id="rId77" Type="http://schemas.openxmlformats.org/officeDocument/2006/relationships/hyperlink" Target="https://www.scopus.com/inward/record.uri?eid=2-s2.0-85214268619&amp;doi=10.1016%2fj.iot.2024.101463&amp;partnerID=40&amp;md5=107bbb09a175161e54cf7f77128e30f3" TargetMode="External"/><Relationship Id="rId76" Type="http://schemas.openxmlformats.org/officeDocument/2006/relationships/hyperlink" Target="https://www.scopus.com/inward/record.uri?eid=2-s2.0-85195140061&amp;doi=10.1007%2fs10922-024-09825-9&amp;partnerID=40&amp;md5=2e2706949b802ecb64f3b849b5f3cf9b" TargetMode="External"/><Relationship Id="rId79" Type="http://schemas.openxmlformats.org/officeDocument/2006/relationships/hyperlink" Target="https://www.scopus.com/inward/record.uri?eid=2-s2.0-85219496402&amp;doi=10.1016%2fj.comnet.2025.111158&amp;partnerID=40&amp;md5=f64d1e547fad5b1fffd2abc6d9567fa1" TargetMode="External"/><Relationship Id="rId78" Type="http://schemas.openxmlformats.org/officeDocument/2006/relationships/hyperlink" Target="https://www.scopus.com/inward/record.uri?eid=2-s2.0-85200553624&amp;doi=10.1109%2fISCA59077.2024.00041&amp;partnerID=40&amp;md5=04e02bd90867d84af9b5000b6a4fc8ec" TargetMode="External"/><Relationship Id="rId71" Type="http://schemas.openxmlformats.org/officeDocument/2006/relationships/hyperlink" Target="https://www.scopus.com/inward/record.uri?eid=2-s2.0-85103490774&amp;doi=10.1007%2f978-3-030-71906-7_6&amp;partnerID=40&amp;md5=94342a4db133029d4285350e04a992ee" TargetMode="External"/><Relationship Id="rId70" Type="http://schemas.openxmlformats.org/officeDocument/2006/relationships/hyperlink" Target="https://ieeexplore.ieee.org/stamp/stamp.jsp?arnumber=10837926" TargetMode="External"/><Relationship Id="rId62" Type="http://schemas.openxmlformats.org/officeDocument/2006/relationships/hyperlink" Target="https://ieeexplore.ieee.org/stamp/stamp.jsp?arnumber=10736580" TargetMode="External"/><Relationship Id="rId61" Type="http://schemas.openxmlformats.org/officeDocument/2006/relationships/hyperlink" Target="https://ieeexplore.ieee.org/stamp/stamp.jsp?arnumber=9548710" TargetMode="External"/><Relationship Id="rId64" Type="http://schemas.openxmlformats.org/officeDocument/2006/relationships/hyperlink" Target="https://www.scopus.com/inward/record.uri?eid=2-s2.0-85058349351&amp;doi=10.1016%2fj.procs.2018.10.172&amp;partnerID=40&amp;md5=762a84024c90ed200594143af3fc90ed" TargetMode="External"/><Relationship Id="rId63" Type="http://schemas.openxmlformats.org/officeDocument/2006/relationships/hyperlink" Target="https://ieeexplore.ieee.org/stamp/stamp.jsp?arnumber=8675218" TargetMode="External"/><Relationship Id="rId66" Type="http://schemas.openxmlformats.org/officeDocument/2006/relationships/hyperlink" Target="https://www.scopus.com/inward/record.uri?eid=2-s2.0-85204598573&amp;doi=10.1007%2f978-3-031-71142-8_2&amp;partnerID=40&amp;md5=368aebc947fe40d0bd796c242e692b49" TargetMode="External"/><Relationship Id="rId65" Type="http://schemas.openxmlformats.org/officeDocument/2006/relationships/hyperlink" Target="https://doi.org/10.1007/978-3-031-07472-1_6" TargetMode="External"/><Relationship Id="rId68" Type="http://schemas.openxmlformats.org/officeDocument/2006/relationships/hyperlink" Target="https://ieeexplore.ieee.org/stamp/stamp.jsp?arnumber=8334820" TargetMode="External"/><Relationship Id="rId67" Type="http://schemas.openxmlformats.org/officeDocument/2006/relationships/hyperlink" Target="https://ieeexplore.ieee.org/stamp/stamp.jsp?arnumber=10305842" TargetMode="External"/><Relationship Id="rId60" Type="http://schemas.openxmlformats.org/officeDocument/2006/relationships/hyperlink" Target="https://ieeexplore.ieee.org/stamp/stamp.jsp?arnumber=8902860" TargetMode="External"/><Relationship Id="rId69" Type="http://schemas.openxmlformats.org/officeDocument/2006/relationships/hyperlink" Target="https://ieeexplore.ieee.org/stamp/stamp.jsp?arnumber=8526888" TargetMode="External"/><Relationship Id="rId51" Type="http://schemas.openxmlformats.org/officeDocument/2006/relationships/hyperlink" Target="https://www.scopus.com/inward/record.uri?eid=2-s2.0-85207594082&amp;doi=10.1016%2fj.jnca.2024.104037&amp;partnerID=40&amp;md5=b7521e9ce67967c3b534d3a91d452635" TargetMode="External"/><Relationship Id="rId50" Type="http://schemas.openxmlformats.org/officeDocument/2006/relationships/hyperlink" Target="https://doi.org/10.1145/3472883.3486992" TargetMode="External"/><Relationship Id="rId53" Type="http://schemas.openxmlformats.org/officeDocument/2006/relationships/hyperlink" Target="https://ieeexplore.ieee.org/stamp/stamp.jsp?arnumber=9338525" TargetMode="External"/><Relationship Id="rId52" Type="http://schemas.openxmlformats.org/officeDocument/2006/relationships/hyperlink" Target="https://ieeexplore.ieee.org/stamp/stamp.jsp?arnumber=10683711" TargetMode="External"/><Relationship Id="rId55" Type="http://schemas.openxmlformats.org/officeDocument/2006/relationships/hyperlink" Target="https://doi.org/10.1145/3307650.3322227" TargetMode="External"/><Relationship Id="rId54" Type="http://schemas.openxmlformats.org/officeDocument/2006/relationships/hyperlink" Target="https://ieeexplore.ieee.org/stamp/stamp.jsp?arnumber=9826775" TargetMode="External"/><Relationship Id="rId57" Type="http://schemas.openxmlformats.org/officeDocument/2006/relationships/hyperlink" Target="https://www.scopus.com/inward/record.uri?eid=2-s2.0-85030153378&amp;doi=10.1007%2f978-3-319-67639-5_17&amp;partnerID=40&amp;md5=07c6e2decd8494327c6f9a69973444a1" TargetMode="External"/><Relationship Id="rId56" Type="http://schemas.openxmlformats.org/officeDocument/2006/relationships/hyperlink" Target="https://ieeexplore.ieee.org/stamp/stamp.jsp?arnumber=10347188" TargetMode="External"/><Relationship Id="rId59" Type="http://schemas.openxmlformats.org/officeDocument/2006/relationships/hyperlink" Target="https://www.scopus.com/inward/record.uri?eid=2-s2.0-85208929675&amp;doi=10.24425%2fijet.2024.152511&amp;partnerID=40&amp;md5=4d5e280c29c8e85db218bec4498c64b0" TargetMode="External"/><Relationship Id="rId58" Type="http://schemas.openxmlformats.org/officeDocument/2006/relationships/hyperlink" Target="https://ieeexplore.ieee.org/stamp/stamp.jsp?arnumber=10764517" TargetMode="External"/><Relationship Id="rId95" Type="http://schemas.openxmlformats.org/officeDocument/2006/relationships/hyperlink" Target="https://www.scopus.com/inward/record.uri?eid=2-s2.0-85159077377&amp;doi=10.1002%2fspe.3217&amp;partnerID=40&amp;md5=e55bd825337409e2597a6046f99a32d2" TargetMode="External"/><Relationship Id="rId94" Type="http://schemas.openxmlformats.org/officeDocument/2006/relationships/hyperlink" Target="https://ieeexplore.ieee.org/stamp/stamp.jsp?arnumber=10883885" TargetMode="External"/><Relationship Id="rId97" Type="http://schemas.openxmlformats.org/officeDocument/2006/relationships/hyperlink" Target="https://ieeexplore.ieee.org/stamp/stamp.jsp?arnumber=10620732" TargetMode="External"/><Relationship Id="rId96" Type="http://schemas.openxmlformats.org/officeDocument/2006/relationships/hyperlink" Target="https://ieeexplore.ieee.org/stamp/stamp.jsp?arnumber=10741246" TargetMode="External"/><Relationship Id="rId99" Type="http://schemas.openxmlformats.org/officeDocument/2006/relationships/hyperlink" Target="https://ieeexplore.ieee.org/stamp/stamp.jsp?arnumber=9954292" TargetMode="External"/><Relationship Id="rId98" Type="http://schemas.openxmlformats.org/officeDocument/2006/relationships/hyperlink" Target="https://ieeexplore.ieee.org/stamp/stamp.jsp?arnumber=8240185" TargetMode="External"/><Relationship Id="rId91" Type="http://schemas.openxmlformats.org/officeDocument/2006/relationships/hyperlink" Target="https://ieeexplore.ieee.org/stamp/stamp.jsp?arnumber=10707452" TargetMode="External"/><Relationship Id="rId90" Type="http://schemas.openxmlformats.org/officeDocument/2006/relationships/hyperlink" Target="https://ieeexplore.ieee.org/stamp/stamp.jsp?arnumber=9088603" TargetMode="External"/><Relationship Id="rId93" Type="http://schemas.openxmlformats.org/officeDocument/2006/relationships/hyperlink" Target="https://doi.org/10.1145/3575693.3575710" TargetMode="External"/><Relationship Id="rId92" Type="http://schemas.openxmlformats.org/officeDocument/2006/relationships/hyperlink" Target="https://ieeexplore.ieee.org/stamp/stamp.jsp?arnumber=10767204" TargetMode="External"/><Relationship Id="rId217" Type="http://schemas.openxmlformats.org/officeDocument/2006/relationships/table" Target="../tables/table5.xml"/><Relationship Id="rId215" Type="http://schemas.openxmlformats.org/officeDocument/2006/relationships/drawing" Target="../drawings/drawing8.xml"/><Relationship Id="rId214" Type="http://schemas.openxmlformats.org/officeDocument/2006/relationships/hyperlink" Target="https://doi.org/10.1145/3634814.3634838" TargetMode="External"/><Relationship Id="rId213" Type="http://schemas.openxmlformats.org/officeDocument/2006/relationships/hyperlink" Target="https://ieeexplore.ieee.org/stamp/stamp.jsp?arnumber=9105640" TargetMode="External"/><Relationship Id="rId212" Type="http://schemas.openxmlformats.org/officeDocument/2006/relationships/hyperlink" Target="https://www.scopus.com/inward/record.uri?eid=2-s2.0-85191410430&amp;doi=10.3390%2fs24082435&amp;partnerID=40&amp;md5=3d73e116b65ac9a4e5a8404e4105540a" TargetMode="External"/><Relationship Id="rId211" Type="http://schemas.openxmlformats.org/officeDocument/2006/relationships/hyperlink" Target="https://www.scopus.com/inward/record.uri?eid=2-s2.0-85142543242&amp;doi=10.3390%2fapp122211650&amp;partnerID=40&amp;md5=17ee93055dc7642d530e775d0137169a" TargetMode="External"/><Relationship Id="rId210" Type="http://schemas.openxmlformats.org/officeDocument/2006/relationships/hyperlink" Target="https://www.scopus.com/inward/record.uri?eid=2-s2.0-85060914476&amp;doi=10.3390%2fen12030360&amp;partnerID=40&amp;md5=b8d4f3ba862252b7262f00c2d070bd55" TargetMode="External"/><Relationship Id="rId206" Type="http://schemas.openxmlformats.org/officeDocument/2006/relationships/hyperlink" Target="https://doi.org/10.1145/3110355.3110359" TargetMode="External"/><Relationship Id="rId205" Type="http://schemas.openxmlformats.org/officeDocument/2006/relationships/hyperlink" Target="https://ieeexplore.ieee.org/stamp/stamp.jsp?arnumber=9393108" TargetMode="External"/><Relationship Id="rId204" Type="http://schemas.openxmlformats.org/officeDocument/2006/relationships/hyperlink" Target="https://ieeexplore.ieee.org/stamp/stamp.jsp?arnumber=9656872" TargetMode="External"/><Relationship Id="rId203" Type="http://schemas.openxmlformats.org/officeDocument/2006/relationships/hyperlink" Target="https://www.scopus.com/inward/record.uri?eid=2-s2.0-85149714100&amp;doi=10.1007%2fs00607-023-01165-x&amp;partnerID=40&amp;md5=720b945f9f49b870197afeb10e98b919" TargetMode="External"/><Relationship Id="rId209" Type="http://schemas.openxmlformats.org/officeDocument/2006/relationships/hyperlink" Target="https://www.scopus.com/inward/record.uri?eid=2-s2.0-85084170463&amp;doi=10.3390%2fs20082418&amp;partnerID=40&amp;md5=ce4f72616124e49db1ca6d4346d3ec61" TargetMode="External"/><Relationship Id="rId208" Type="http://schemas.openxmlformats.org/officeDocument/2006/relationships/hyperlink" Target="https://ieeexplore.ieee.org/stamp/stamp.jsp?arnumber=8795329" TargetMode="External"/><Relationship Id="rId207" Type="http://schemas.openxmlformats.org/officeDocument/2006/relationships/hyperlink" Target="https://ieeexplore.ieee.org/stamp/stamp.jsp?arnumber=10372327" TargetMode="External"/><Relationship Id="rId202" Type="http://schemas.openxmlformats.org/officeDocument/2006/relationships/hyperlink" Target="https://doi.org/10.1145/3629527.3651844" TargetMode="External"/><Relationship Id="rId201" Type="http://schemas.openxmlformats.org/officeDocument/2006/relationships/hyperlink" Target="https://ieeexplore.ieee.org/stamp/stamp.jsp?arnumber=10724035" TargetMode="External"/><Relationship Id="rId200" Type="http://schemas.openxmlformats.org/officeDocument/2006/relationships/hyperlink" Target="https://ieeexplore.ieee.org/stamp/stamp.jsp?arnumber=8969621" TargetMode="External"/><Relationship Id="rId1" Type="http://schemas.openxmlformats.org/officeDocument/2006/relationships/hyperlink" Target="https://ieeexplore.ieee.org/stamp/stamp.jsp?arnumber=10690844" TargetMode="External"/><Relationship Id="rId2" Type="http://schemas.openxmlformats.org/officeDocument/2006/relationships/hyperlink" Target="https://ieeexplore.ieee.org/stamp/stamp.jsp?arnumber=10749770" TargetMode="External"/><Relationship Id="rId3" Type="http://schemas.openxmlformats.org/officeDocument/2006/relationships/hyperlink" Target="https://ieeexplore.ieee.org/stamp/stamp.jsp?arnumber=10305816" TargetMode="External"/><Relationship Id="rId4" Type="http://schemas.openxmlformats.org/officeDocument/2006/relationships/hyperlink" Target="https://ieeexplore.ieee.org/stamp/stamp.jsp?arnumber=10733735" TargetMode="External"/><Relationship Id="rId9" Type="http://schemas.openxmlformats.org/officeDocument/2006/relationships/hyperlink" Target="https://www.scopus.com/inward/record.uri?eid=2-s2.0-85198449600&amp;doi=10.3390%2fsu16135738&amp;partnerID=40&amp;md5=1ad850b0d978a007606fa8eb5da24200" TargetMode="External"/><Relationship Id="rId5" Type="http://schemas.openxmlformats.org/officeDocument/2006/relationships/hyperlink" Target="https://ieeexplore.ieee.org/stamp/stamp.jsp?arnumber=10128791" TargetMode="External"/><Relationship Id="rId6" Type="http://schemas.openxmlformats.org/officeDocument/2006/relationships/hyperlink" Target="https://ieeexplore.ieee.org/stamp/stamp.jsp?arnumber=10880285" TargetMode="External"/><Relationship Id="rId7" Type="http://schemas.openxmlformats.org/officeDocument/2006/relationships/hyperlink" Target="https://www.scopus.com/inward/record.uri?eid=2-s2.0-85203852902&amp;doi=10.3390%2fapp14177456&amp;partnerID=40&amp;md5=764572cb721393b46c5d6d5cbbf1be5c" TargetMode="External"/><Relationship Id="rId8" Type="http://schemas.openxmlformats.org/officeDocument/2006/relationships/hyperlink" Target="https://ieeexplore.ieee.org/stamp/stamp.jsp?arnumber=9416667" TargetMode="External"/><Relationship Id="rId190" Type="http://schemas.openxmlformats.org/officeDocument/2006/relationships/hyperlink" Target="https://doi.org/10.1145/3624486.3624504" TargetMode="External"/><Relationship Id="rId194" Type="http://schemas.openxmlformats.org/officeDocument/2006/relationships/hyperlink" Target="https://www.scopus.com/inward/record.uri?eid=2-s2.0-85175337178&amp;doi=10.1016%2fj.apenergy.2023.122192&amp;partnerID=40&amp;md5=5d9e4e1f30fd4b720c35fb722285eab5" TargetMode="External"/><Relationship Id="rId193" Type="http://schemas.openxmlformats.org/officeDocument/2006/relationships/hyperlink" Target="https://www.scopus.com/inward/record.uri?eid=2-s2.0-85202025131&amp;doi=10.13336%2fj.1003-6520.hve.20240676&amp;partnerID=40&amp;md5=239bf5121c827a9c1ea00022b5e0b39e" TargetMode="External"/><Relationship Id="rId192" Type="http://schemas.openxmlformats.org/officeDocument/2006/relationships/hyperlink" Target="https://www.scopus.com/inward/record.uri?eid=2-s2.0-85136460397&amp;doi=10.3390%2fen15155516&amp;partnerID=40&amp;md5=6308ccd8a038ff7efa1a6d18f2229463" TargetMode="External"/><Relationship Id="rId191" Type="http://schemas.openxmlformats.org/officeDocument/2006/relationships/hyperlink" Target="https://www.scopus.com/inward/record.uri?eid=2-s2.0-85101538996&amp;doi=10.1109%2fACCESS.2021.3060457&amp;partnerID=40&amp;md5=c2f51f131fc5a2dec766b0731e4857d1" TargetMode="External"/><Relationship Id="rId187" Type="http://schemas.openxmlformats.org/officeDocument/2006/relationships/hyperlink" Target="https://www.scopus.com/inward/record.uri?eid=2-s2.0-85124660496&amp;doi=10.22270%2fJMPAS.V10I5.1594&amp;partnerID=40&amp;md5=7bc7cd48950ecf28a623721bcfb40ae6" TargetMode="External"/><Relationship Id="rId186" Type="http://schemas.openxmlformats.org/officeDocument/2006/relationships/hyperlink" Target="https://ieeexplore.ieee.org/stamp/stamp.jsp?arnumber=10500420" TargetMode="External"/><Relationship Id="rId185" Type="http://schemas.openxmlformats.org/officeDocument/2006/relationships/hyperlink" Target="https://www.scopus.com/inward/record.uri?eid=2-s2.0-85136111175&amp;doi=10.1109%2fACCESS.2022.3197151&amp;partnerID=40&amp;md5=e66742fa92c2548cd30b885e6165bbfc" TargetMode="External"/><Relationship Id="rId184" Type="http://schemas.openxmlformats.org/officeDocument/2006/relationships/hyperlink" Target="https://ieeexplore.ieee.org/stamp/stamp.jsp?arnumber=10627923" TargetMode="External"/><Relationship Id="rId189" Type="http://schemas.openxmlformats.org/officeDocument/2006/relationships/hyperlink" Target="https://doi.org/10.1145/3511094" TargetMode="External"/><Relationship Id="rId188" Type="http://schemas.openxmlformats.org/officeDocument/2006/relationships/hyperlink" Target="https://ieeexplore.ieee.org/stamp/stamp.jsp?arnumber=10092669" TargetMode="External"/><Relationship Id="rId183" Type="http://schemas.openxmlformats.org/officeDocument/2006/relationships/hyperlink" Target="https://doi.org/10.1109/MICRO56248.2022.00063" TargetMode="External"/><Relationship Id="rId182" Type="http://schemas.openxmlformats.org/officeDocument/2006/relationships/hyperlink" Target="https://www.scopus.com/inward/record.uri?eid=2-s2.0-85184187878&amp;doi=10.18517%2fijaseit.13.6.19384&amp;partnerID=40&amp;md5=d20d2dd5bdd762e172132ff2a46f99e4" TargetMode="External"/><Relationship Id="rId181" Type="http://schemas.openxmlformats.org/officeDocument/2006/relationships/hyperlink" Target="https://ieeexplore.ieee.org/stamp/stamp.jsp?arnumber=10743020" TargetMode="External"/><Relationship Id="rId180" Type="http://schemas.openxmlformats.org/officeDocument/2006/relationships/hyperlink" Target="https://ieeexplore.ieee.org/stamp/stamp.jsp?arnumber=9416288" TargetMode="External"/><Relationship Id="rId176" Type="http://schemas.openxmlformats.org/officeDocument/2006/relationships/hyperlink" Target="https://doi.org/10.1145/3520304.3533997" TargetMode="External"/><Relationship Id="rId175" Type="http://schemas.openxmlformats.org/officeDocument/2006/relationships/hyperlink" Target="https://ieeexplore.ieee.org/stamp/stamp.jsp?arnumber=10766556" TargetMode="External"/><Relationship Id="rId174" Type="http://schemas.openxmlformats.org/officeDocument/2006/relationships/hyperlink" Target="https://ieeexplore.ieee.org/stamp/stamp.jsp?arnumber=9592439" TargetMode="External"/><Relationship Id="rId173" Type="http://schemas.openxmlformats.org/officeDocument/2006/relationships/hyperlink" Target="https://ieeexplore.ieee.org/stamp/stamp.jsp?arnumber=9783853" TargetMode="External"/><Relationship Id="rId179" Type="http://schemas.openxmlformats.org/officeDocument/2006/relationships/hyperlink" Target="https://www.scopus.com/inward/record.uri?eid=2-s2.0-85113610426&amp;doi=10.1007%2f978-3-030-84811-8_10&amp;partnerID=40&amp;md5=9119e90b80972b279448c00e5943c41b" TargetMode="External"/><Relationship Id="rId178" Type="http://schemas.openxmlformats.org/officeDocument/2006/relationships/hyperlink" Target="https://www.scopus.com/inward/record.uri?eid=2-s2.0-85120318977&amp;doi=10.3390%2fs21238061&amp;partnerID=40&amp;md5=4a9ad8bf12897c8fa837cc843a82fb64" TargetMode="External"/><Relationship Id="rId177" Type="http://schemas.openxmlformats.org/officeDocument/2006/relationships/hyperlink" Target="https://doi.org/10.1145/3406208" TargetMode="External"/><Relationship Id="rId198" Type="http://schemas.openxmlformats.org/officeDocument/2006/relationships/hyperlink" Target="https://ieeexplore.ieee.org/stamp/stamp.jsp?arnumber=8620159" TargetMode="External"/><Relationship Id="rId197" Type="http://schemas.openxmlformats.org/officeDocument/2006/relationships/hyperlink" Target="https://ieeexplore.ieee.org/stamp/stamp.jsp?arnumber=10092637" TargetMode="External"/><Relationship Id="rId196" Type="http://schemas.openxmlformats.org/officeDocument/2006/relationships/hyperlink" Target="https://doi.org/10.1145/3620665.3640413" TargetMode="External"/><Relationship Id="rId195" Type="http://schemas.openxmlformats.org/officeDocument/2006/relationships/hyperlink" Target="https://www.scopus.com/inward/record.uri?eid=2-s2.0-85112149257&amp;doi=10.14569%2fIJACSA.2021.0120767&amp;partnerID=40&amp;md5=67e568508d179565e131d10d83853e10" TargetMode="External"/><Relationship Id="rId199" Type="http://schemas.openxmlformats.org/officeDocument/2006/relationships/hyperlink" Target="https://ieeexplore.ieee.org/stamp/stamp.jsp?arnumber=10267227" TargetMode="External"/><Relationship Id="rId150" Type="http://schemas.openxmlformats.org/officeDocument/2006/relationships/hyperlink" Target="https://doi.org/10.1109/MICRO56248.2022.00065" TargetMode="External"/><Relationship Id="rId149" Type="http://schemas.openxmlformats.org/officeDocument/2006/relationships/hyperlink" Target="https://ieeexplore.ieee.org/stamp/stamp.jsp?arnumber=10622616" TargetMode="External"/><Relationship Id="rId148" Type="http://schemas.openxmlformats.org/officeDocument/2006/relationships/hyperlink" Target="https://ieeexplore.ieee.org/stamp/stamp.jsp?arnumber=10345945" TargetMode="External"/><Relationship Id="rId143" Type="http://schemas.openxmlformats.org/officeDocument/2006/relationships/hyperlink" Target="https://ieeexplore.ieee.org/stamp/stamp.jsp?arnumber=10287934" TargetMode="External"/><Relationship Id="rId142" Type="http://schemas.openxmlformats.org/officeDocument/2006/relationships/hyperlink" Target="https://ieeexplore.ieee.org/stamp/stamp.jsp?arnumber=9249177" TargetMode="External"/><Relationship Id="rId141" Type="http://schemas.openxmlformats.org/officeDocument/2006/relationships/hyperlink" Target="https://ieeexplore.ieee.org/stamp/stamp.jsp?arnumber=10900136" TargetMode="External"/><Relationship Id="rId140" Type="http://schemas.openxmlformats.org/officeDocument/2006/relationships/hyperlink" Target="https://ieeexplore.ieee.org/stamp/stamp.jsp?arnumber=10824589" TargetMode="External"/><Relationship Id="rId147" Type="http://schemas.openxmlformats.org/officeDocument/2006/relationships/hyperlink" Target="https://ieeexplore.ieee.org/stamp/stamp.jsp?arnumber=9670226" TargetMode="External"/><Relationship Id="rId146" Type="http://schemas.openxmlformats.org/officeDocument/2006/relationships/hyperlink" Target="https://ieeexplore.ieee.org/stamp/stamp.jsp?arnumber=10751106" TargetMode="External"/><Relationship Id="rId145" Type="http://schemas.openxmlformats.org/officeDocument/2006/relationships/hyperlink" Target="https://doi.org/10.1145/3578245.3585331" TargetMode="External"/><Relationship Id="rId144" Type="http://schemas.openxmlformats.org/officeDocument/2006/relationships/hyperlink" Target="https://www.scopus.com/inward/record.uri?eid=2-s2.0-85057173917&amp;doi=10.2495%2fAIR180091&amp;partnerID=40&amp;md5=440effc86f7ecbe53c060bc7a25bd6c7" TargetMode="External"/><Relationship Id="rId139" Type="http://schemas.openxmlformats.org/officeDocument/2006/relationships/hyperlink" Target="https://ieeexplore.ieee.org/stamp/stamp.jsp?arnumber=10520517" TargetMode="External"/><Relationship Id="rId138" Type="http://schemas.openxmlformats.org/officeDocument/2006/relationships/hyperlink" Target="https://ieeexplore.ieee.org/stamp/stamp.jsp?arnumber=10737327" TargetMode="External"/><Relationship Id="rId137" Type="http://schemas.openxmlformats.org/officeDocument/2006/relationships/hyperlink" Target="https://ieeexplore.ieee.org/stamp/stamp.jsp?arnumber=8370519" TargetMode="External"/><Relationship Id="rId132" Type="http://schemas.openxmlformats.org/officeDocument/2006/relationships/hyperlink" Target="https://ieeexplore.ieee.org/stamp/stamp.jsp?arnumber=8924700" TargetMode="External"/><Relationship Id="rId131" Type="http://schemas.openxmlformats.org/officeDocument/2006/relationships/hyperlink" Target="https://ieeexplore.ieee.org/stamp/stamp.jsp?arnumber=9718520" TargetMode="External"/><Relationship Id="rId130" Type="http://schemas.openxmlformats.org/officeDocument/2006/relationships/hyperlink" Target="https://ieeexplore.ieee.org/stamp/stamp.jsp?arnumber=8885519" TargetMode="External"/><Relationship Id="rId136" Type="http://schemas.openxmlformats.org/officeDocument/2006/relationships/hyperlink" Target="https://www.scopus.com/inward/record.uri?eid=2-s2.0-85178382057&amp;doi=10.1155%2f2023%2f6641563&amp;partnerID=40&amp;md5=b82bf9f5745fe6fc92aa92b680196e77" TargetMode="External"/><Relationship Id="rId135" Type="http://schemas.openxmlformats.org/officeDocument/2006/relationships/hyperlink" Target="https://ieeexplore.ieee.org/stamp/stamp.jsp?arnumber=7973566" TargetMode="External"/><Relationship Id="rId134" Type="http://schemas.openxmlformats.org/officeDocument/2006/relationships/hyperlink" Target="https://ieeexplore.ieee.org/stamp/stamp.jsp?arnumber=9960371" TargetMode="External"/><Relationship Id="rId133" Type="http://schemas.openxmlformats.org/officeDocument/2006/relationships/hyperlink" Target="https://ieeexplore.ieee.org/stamp/stamp.jsp?arnumber=10386600" TargetMode="External"/><Relationship Id="rId172" Type="http://schemas.openxmlformats.org/officeDocument/2006/relationships/hyperlink" Target="https://www.scopus.com/inward/record.uri?eid=2-s2.0-85105479171&amp;doi=10.3390%2fs21103349&amp;partnerID=40&amp;md5=f071021b9a40035db59ade6c78a833b1" TargetMode="External"/><Relationship Id="rId171" Type="http://schemas.openxmlformats.org/officeDocument/2006/relationships/hyperlink" Target="https://www.scopus.com/inward/record.uri?eid=2-s2.0-85114800112&amp;doi=10.3390%2fpr9091611&amp;partnerID=40&amp;md5=4d739f7a59f90b159ecdd9113beb3643" TargetMode="External"/><Relationship Id="rId170" Type="http://schemas.openxmlformats.org/officeDocument/2006/relationships/hyperlink" Target="https://ieeexplore.ieee.org/stamp/stamp.jsp?arnumber=10664513" TargetMode="External"/><Relationship Id="rId165" Type="http://schemas.openxmlformats.org/officeDocument/2006/relationships/hyperlink" Target="https://doi.org/10.1145/3139290" TargetMode="External"/><Relationship Id="rId164" Type="http://schemas.openxmlformats.org/officeDocument/2006/relationships/hyperlink" Target="https://ieeexplore.ieee.org/stamp/stamp.jsp?arnumber=9787703" TargetMode="External"/><Relationship Id="rId163" Type="http://schemas.openxmlformats.org/officeDocument/2006/relationships/hyperlink" Target="https://doi.org/10.1145/3652620.3688266" TargetMode="External"/><Relationship Id="rId162" Type="http://schemas.openxmlformats.org/officeDocument/2006/relationships/hyperlink" Target="https://ieeexplore.ieee.org/stamp/stamp.jsp?arnumber=8676374" TargetMode="External"/><Relationship Id="rId169" Type="http://schemas.openxmlformats.org/officeDocument/2006/relationships/hyperlink" Target="https://ieeexplore.ieee.org/stamp/stamp.jsp?arnumber=10015339" TargetMode="External"/><Relationship Id="rId168" Type="http://schemas.openxmlformats.org/officeDocument/2006/relationships/hyperlink" Target="https://www.scopus.com/inward/record.uri?eid=2-s2.0-85108122823&amp;doi=10.3390%2felectronics10121460&amp;partnerID=40&amp;md5=3b8cc0565367055565968a82972bca49" TargetMode="External"/><Relationship Id="rId167" Type="http://schemas.openxmlformats.org/officeDocument/2006/relationships/hyperlink" Target="https://ieeexplore.ieee.org/stamp/stamp.jsp?arnumber=9208938" TargetMode="External"/><Relationship Id="rId166" Type="http://schemas.openxmlformats.org/officeDocument/2006/relationships/hyperlink" Target="https://www.scopus.com/inward/record.uri?eid=2-s2.0-85216975149&amp;doi=10.1016%2fj.iot.2025.101515&amp;partnerID=40&amp;md5=414bee764528de04dbd1e5fc2160d04a" TargetMode="External"/><Relationship Id="rId161" Type="http://schemas.openxmlformats.org/officeDocument/2006/relationships/hyperlink" Target="https://ieeexplore.ieee.org/stamp/stamp.jsp?arnumber=10090468" TargetMode="External"/><Relationship Id="rId160" Type="http://schemas.openxmlformats.org/officeDocument/2006/relationships/hyperlink" Target="https://ieeexplore.ieee.org/stamp/stamp.jsp?arnumber=9280709" TargetMode="External"/><Relationship Id="rId159" Type="http://schemas.openxmlformats.org/officeDocument/2006/relationships/hyperlink" Target="https://www.scopus.com/inward/record.uri?eid=2-s2.0-85134185071&amp;doi=10.1002%2fdac.5296&amp;partnerID=40&amp;md5=5d4d5855a7667b026c48cbf69ff3ab39" TargetMode="External"/><Relationship Id="rId154" Type="http://schemas.openxmlformats.org/officeDocument/2006/relationships/hyperlink" Target="https://www.scopus.com/inward/record.uri?eid=2-s2.0-85218856839&amp;doi=10.1016%2fj.crgsc.2025.100449&amp;partnerID=40&amp;md5=b913cc61a04999d27ac45c37d2edaddd" TargetMode="External"/><Relationship Id="rId153" Type="http://schemas.openxmlformats.org/officeDocument/2006/relationships/hyperlink" Target="https://ieeexplore.ieee.org/stamp/stamp.jsp?arnumber=8124387" TargetMode="External"/><Relationship Id="rId152" Type="http://schemas.openxmlformats.org/officeDocument/2006/relationships/hyperlink" Target="https://ieeexplore.ieee.org/stamp/stamp.jsp?arnumber=10646337" TargetMode="External"/><Relationship Id="rId151" Type="http://schemas.openxmlformats.org/officeDocument/2006/relationships/hyperlink" Target="https://ieeexplore.ieee.org/stamp/stamp.jsp?arnumber=10676402" TargetMode="External"/><Relationship Id="rId158" Type="http://schemas.openxmlformats.org/officeDocument/2006/relationships/hyperlink" Target="https://ieeexplore.ieee.org/stamp/stamp.jsp?arnumber=8861307" TargetMode="External"/><Relationship Id="rId157" Type="http://schemas.openxmlformats.org/officeDocument/2006/relationships/hyperlink" Target="https://ieeexplore.ieee.org/stamp/stamp.jsp?arnumber=10072197" TargetMode="External"/><Relationship Id="rId156" Type="http://schemas.openxmlformats.org/officeDocument/2006/relationships/hyperlink" Target="https://www.scopus.com/inward/record.uri?eid=2-s2.0-85095749343&amp;doi=10.1007%2fs11761-020-00306-w&amp;partnerID=40&amp;md5=e1dc9e283d8e5e9cf6cd8d7e9e16d998" TargetMode="External"/><Relationship Id="rId155" Type="http://schemas.openxmlformats.org/officeDocument/2006/relationships/hyperlink" Target="https://ieeexplore.ieee.org/stamp/stamp.jsp?arnumber=10329947" TargetMode="External"/><Relationship Id="rId107" Type="http://schemas.openxmlformats.org/officeDocument/2006/relationships/hyperlink" Target="https://ieeexplore.ieee.org/stamp/stamp.jsp?arnumber=9369047" TargetMode="External"/><Relationship Id="rId106" Type="http://schemas.openxmlformats.org/officeDocument/2006/relationships/hyperlink" Target="https://www.scopus.com/inward/record.uri?eid=2-s2.0-85202513844&amp;doi=10.1016%2fj.jss.2024.112183&amp;partnerID=40&amp;md5=8b1f6581c9edf2d495918d11ac6527da" TargetMode="External"/><Relationship Id="rId105" Type="http://schemas.openxmlformats.org/officeDocument/2006/relationships/hyperlink" Target="https://www.scopus.com/inward/record.uri?eid=2-s2.0-85196171876&amp;doi=10.1007%2fs00607-024-01305-x&amp;partnerID=40&amp;md5=b5b1962d30b5b522305b7d006316c20a" TargetMode="External"/><Relationship Id="rId104" Type="http://schemas.openxmlformats.org/officeDocument/2006/relationships/hyperlink" Target="https://www.scopus.com/inward/record.uri?eid=2-s2.0-85129245821&amp;doi=10.1016%2fj.future.2022.03.027&amp;partnerID=40&amp;md5=40757b1c56aa2b1db7cb1e5d8175d878" TargetMode="External"/><Relationship Id="rId109" Type="http://schemas.openxmlformats.org/officeDocument/2006/relationships/hyperlink" Target="https://www.scopus.com/inward/record.uri?eid=2-s2.0-85202290186&amp;doi=10.3390%2ffi16080296&amp;partnerID=40&amp;md5=afe75154a8168a5efc000ea5ccffad49" TargetMode="External"/><Relationship Id="rId108" Type="http://schemas.openxmlformats.org/officeDocument/2006/relationships/hyperlink" Target="https://doi.org/10.1145/3528535.3565242" TargetMode="External"/><Relationship Id="rId103" Type="http://schemas.openxmlformats.org/officeDocument/2006/relationships/hyperlink" Target="https://ieeexplore.ieee.org/stamp/stamp.jsp?arnumber=9917529" TargetMode="External"/><Relationship Id="rId102" Type="http://schemas.openxmlformats.org/officeDocument/2006/relationships/hyperlink" Target="https://ieeexplore.ieee.org/stamp/stamp.jsp?arnumber=9446337" TargetMode="External"/><Relationship Id="rId101" Type="http://schemas.openxmlformats.org/officeDocument/2006/relationships/hyperlink" Target="https://doi.org/10.1007/978-3-031-44836-2_3" TargetMode="External"/><Relationship Id="rId100" Type="http://schemas.openxmlformats.org/officeDocument/2006/relationships/hyperlink" Target="https://www.scopus.com/inward/record.uri?eid=2-s2.0-85070725063&amp;doi=10.1007%2f978-3-030-26633-2_5&amp;partnerID=40&amp;md5=e927b4fd36b928c2501d5226b71653e6" TargetMode="External"/><Relationship Id="rId129" Type="http://schemas.openxmlformats.org/officeDocument/2006/relationships/hyperlink" Target="https://www.scopus.com/inward/record.uri?eid=2-s2.0-85096351980&amp;doi=10.1109%2fICNSC48988.2020.9238096&amp;partnerID=40&amp;md5=ea375c6fa1c8d8c7aca1022598543e92" TargetMode="External"/><Relationship Id="rId128" Type="http://schemas.openxmlformats.org/officeDocument/2006/relationships/hyperlink" Target="https://ieeexplore.ieee.org/stamp/stamp.jsp?arnumber=10522167" TargetMode="External"/><Relationship Id="rId127" Type="http://schemas.openxmlformats.org/officeDocument/2006/relationships/hyperlink" Target="https://ieeexplore.ieee.org/stamp/stamp.jsp?arnumber=10539579" TargetMode="External"/><Relationship Id="rId126" Type="http://schemas.openxmlformats.org/officeDocument/2006/relationships/hyperlink" Target="https://www.scopus.com/inward/record.uri?eid=2-s2.0-85076318178&amp;doi=10.1515%2feng-2019-0065&amp;partnerID=40&amp;md5=936abfff4c1b52f79be70f29c0a603e4" TargetMode="External"/><Relationship Id="rId121" Type="http://schemas.openxmlformats.org/officeDocument/2006/relationships/hyperlink" Target="https://www.scopus.com/inward/record.uri?eid=2-s2.0-85145614160&amp;doi=10.3390%2felectronics12010017&amp;partnerID=40&amp;md5=93ec82e35f83fd28bb9e12c5fd6006ad" TargetMode="External"/><Relationship Id="rId120" Type="http://schemas.openxmlformats.org/officeDocument/2006/relationships/hyperlink" Target="https://ieeexplore.ieee.org/stamp/stamp.jsp?arnumber=10234326" TargetMode="External"/><Relationship Id="rId125" Type="http://schemas.openxmlformats.org/officeDocument/2006/relationships/hyperlink" Target="https://ieeexplore.ieee.org/stamp/stamp.jsp?arnumber=8600072" TargetMode="External"/><Relationship Id="rId124" Type="http://schemas.openxmlformats.org/officeDocument/2006/relationships/hyperlink" Target="https://ieeexplore.ieee.org/stamp/stamp.jsp?arnumber=9346986" TargetMode="External"/><Relationship Id="rId123" Type="http://schemas.openxmlformats.org/officeDocument/2006/relationships/hyperlink" Target="https://ieeexplore.ieee.org/stamp/stamp.jsp?arnumber=10407920" TargetMode="External"/><Relationship Id="rId122" Type="http://schemas.openxmlformats.org/officeDocument/2006/relationships/hyperlink" Target="https://ieeexplore.ieee.org/stamp/stamp.jsp?arnumber=9494250" TargetMode="External"/><Relationship Id="rId118" Type="http://schemas.openxmlformats.org/officeDocument/2006/relationships/hyperlink" Target="https://ieeexplore.ieee.org/stamp/stamp.jsp?arnumber=10903029" TargetMode="External"/><Relationship Id="rId117" Type="http://schemas.openxmlformats.org/officeDocument/2006/relationships/hyperlink" Target="https://www.scopus.com/inward/record.uri?eid=2-s2.0-85127333524&amp;doi=10.1016%2fj.compag.2022.106897&amp;partnerID=40&amp;md5=6280b94a3aee1ea99c59d81f4a987e6e" TargetMode="External"/><Relationship Id="rId116" Type="http://schemas.openxmlformats.org/officeDocument/2006/relationships/hyperlink" Target="https://doi.org/10.1145/3539606" TargetMode="External"/><Relationship Id="rId115" Type="http://schemas.openxmlformats.org/officeDocument/2006/relationships/hyperlink" Target="https://www.scopus.com/inward/record.uri?eid=2-s2.0-85151616209&amp;doi=10.1109%2fHPCA56546.2023.10071127&amp;partnerID=40&amp;md5=a2f13d55046f1cb5520622b40ae590be" TargetMode="External"/><Relationship Id="rId119" Type="http://schemas.openxmlformats.org/officeDocument/2006/relationships/hyperlink" Target="https://doi.org/10.1007/978-3-031-18192-4_1" TargetMode="External"/><Relationship Id="rId110" Type="http://schemas.openxmlformats.org/officeDocument/2006/relationships/hyperlink" Target="https://www.scopus.com/inward/record.uri?eid=2-s2.0-85112232025&amp;doi=10.14569%2fIJACSA.2021.0120768&amp;partnerID=40&amp;md5=9655b1a96754b2c48c8add6ba46c1c7f" TargetMode="External"/><Relationship Id="rId114" Type="http://schemas.openxmlformats.org/officeDocument/2006/relationships/hyperlink" Target="https://www.scopus.com/inward/record.uri?eid=2-s2.0-85164845170&amp;doi=10.3390%2fs23136117&amp;partnerID=40&amp;md5=80006687357cf38a0a417c8d22a62c52" TargetMode="External"/><Relationship Id="rId113" Type="http://schemas.openxmlformats.org/officeDocument/2006/relationships/hyperlink" Target="https://ieeexplore.ieee.org/stamp/stamp.jsp?arnumber=10228045" TargetMode="External"/><Relationship Id="rId112" Type="http://schemas.openxmlformats.org/officeDocument/2006/relationships/hyperlink" Target="https://ieeexplore.ieee.org/stamp/stamp.jsp?arnumber=10825075" TargetMode="External"/><Relationship Id="rId111" Type="http://schemas.openxmlformats.org/officeDocument/2006/relationships/hyperlink" Target="https://www.scopus.com/inward/record.uri?eid=2-s2.0-85186336293&amp;doi=10.1016%2fj.enconman.2024.118270&amp;partnerID=40&amp;md5=845f5f11c42eff07af3fff0fc1e8b4b8"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13.xml"/><Relationship Id="rId3" Type="http://schemas.openxmlformats.org/officeDocument/2006/relationships/vmlDrawing" Target="../drawings/vmlDrawing3.v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8.71"/>
    <col customWidth="1" min="2" max="2" width="60.71"/>
    <col customWidth="1" min="3" max="4" width="19.14"/>
    <col customWidth="1" min="5" max="5" width="5.29"/>
    <col customWidth="1" min="6" max="6" width="28.29"/>
    <col customWidth="1" min="7" max="7" width="7.57"/>
    <col customWidth="1" min="8" max="8" width="4.71"/>
    <col customWidth="1" min="9" max="9" width="28.29"/>
  </cols>
  <sheetData>
    <row r="1">
      <c r="A1" s="1" t="s">
        <v>0</v>
      </c>
      <c r="B1" s="2" t="s">
        <v>1</v>
      </c>
      <c r="C1" s="3" t="s">
        <v>2</v>
      </c>
      <c r="D1" s="3" t="s">
        <v>3</v>
      </c>
      <c r="E1" s="2" t="s">
        <v>4</v>
      </c>
      <c r="H1" s="2" t="s">
        <v>5</v>
      </c>
    </row>
    <row r="2">
      <c r="A2" s="4" t="s">
        <v>6</v>
      </c>
      <c r="B2" s="4" t="s">
        <v>7</v>
      </c>
      <c r="C2" s="5">
        <v>5147.0</v>
      </c>
      <c r="D2" s="6">
        <f>COUNTA('Overall Dataset'!E:E)-1</f>
        <v>3146</v>
      </c>
      <c r="E2" s="7" t="s">
        <v>8</v>
      </c>
      <c r="F2" s="7" t="s">
        <v>1</v>
      </c>
      <c r="G2" s="7" t="s">
        <v>9</v>
      </c>
      <c r="H2" s="7" t="s">
        <v>8</v>
      </c>
      <c r="I2" s="7" t="s">
        <v>1</v>
      </c>
    </row>
    <row r="3">
      <c r="E3" s="7" t="s">
        <v>10</v>
      </c>
      <c r="F3" s="8" t="s">
        <v>11</v>
      </c>
      <c r="G3" s="7"/>
      <c r="H3" s="7" t="s">
        <v>12</v>
      </c>
      <c r="I3" s="8" t="s">
        <v>13</v>
      </c>
    </row>
    <row r="4">
      <c r="E4" s="7" t="s">
        <v>14</v>
      </c>
      <c r="F4" s="8" t="s">
        <v>15</v>
      </c>
      <c r="G4" s="7"/>
      <c r="H4" s="7" t="s">
        <v>16</v>
      </c>
      <c r="I4" s="8" t="s">
        <v>17</v>
      </c>
    </row>
    <row r="5">
      <c r="E5" s="7" t="s">
        <v>18</v>
      </c>
      <c r="F5" s="8" t="s">
        <v>19</v>
      </c>
      <c r="G5" s="7"/>
      <c r="H5" s="7"/>
      <c r="I5" s="8"/>
    </row>
    <row r="6">
      <c r="A6" s="9" t="s">
        <v>20</v>
      </c>
      <c r="B6" s="9" t="s">
        <v>21</v>
      </c>
      <c r="C6" s="10">
        <f>D2</f>
        <v>3146</v>
      </c>
      <c r="D6" s="10">
        <v>215.0</v>
      </c>
      <c r="E6" s="11" t="s">
        <v>22</v>
      </c>
      <c r="F6" s="12" t="s">
        <v>23</v>
      </c>
      <c r="G6" s="11"/>
      <c r="H6" s="11" t="s">
        <v>24</v>
      </c>
      <c r="I6" s="12" t="s">
        <v>25</v>
      </c>
    </row>
    <row r="7">
      <c r="A7" s="13" t="s">
        <v>26</v>
      </c>
      <c r="B7" s="13" t="s">
        <v>27</v>
      </c>
      <c r="C7" s="5">
        <v>215.0</v>
      </c>
      <c r="D7" s="5">
        <v>117.0</v>
      </c>
      <c r="E7" s="7" t="s">
        <v>28</v>
      </c>
      <c r="F7" s="8" t="s">
        <v>29</v>
      </c>
      <c r="G7" s="7"/>
      <c r="H7" s="7" t="s">
        <v>30</v>
      </c>
      <c r="I7" s="8" t="s">
        <v>31</v>
      </c>
    </row>
    <row r="8">
      <c r="E8" s="7" t="s">
        <v>32</v>
      </c>
      <c r="F8" s="8" t="s">
        <v>33</v>
      </c>
      <c r="G8" s="7"/>
      <c r="H8" s="7" t="s">
        <v>34</v>
      </c>
      <c r="I8" s="8" t="s">
        <v>35</v>
      </c>
    </row>
    <row r="9">
      <c r="G9" s="7"/>
      <c r="H9" s="7" t="s">
        <v>36</v>
      </c>
      <c r="I9" s="8" t="s">
        <v>37</v>
      </c>
    </row>
    <row r="10" ht="69.75" customHeight="1">
      <c r="A10" s="9" t="s">
        <v>38</v>
      </c>
      <c r="B10" s="9" t="s">
        <v>39</v>
      </c>
      <c r="C10" s="10">
        <f>D7</f>
        <v>117</v>
      </c>
      <c r="D10" s="10">
        <f>SUMIF('Secondary Screening Dataset'!A:A, "1")</f>
        <v>55</v>
      </c>
      <c r="E10" s="14" t="s">
        <v>40</v>
      </c>
      <c r="F10" s="9" t="s">
        <v>41</v>
      </c>
      <c r="G10" s="11" t="s">
        <v>42</v>
      </c>
      <c r="H10" s="11" t="s">
        <v>30</v>
      </c>
      <c r="I10" s="12" t="s">
        <v>43</v>
      </c>
    </row>
    <row r="11" ht="69.75" customHeight="1">
      <c r="E11" s="14" t="s">
        <v>44</v>
      </c>
      <c r="F11" s="9" t="s">
        <v>45</v>
      </c>
      <c r="G11" s="11" t="s">
        <v>46</v>
      </c>
      <c r="H11" s="11" t="s">
        <v>34</v>
      </c>
      <c r="I11" s="12" t="s">
        <v>47</v>
      </c>
    </row>
    <row r="12" ht="69.75" customHeight="1">
      <c r="E12" s="14" t="s">
        <v>48</v>
      </c>
      <c r="F12" s="9" t="s">
        <v>49</v>
      </c>
      <c r="G12" s="11" t="s">
        <v>50</v>
      </c>
      <c r="H12" s="11" t="s">
        <v>51</v>
      </c>
      <c r="I12" s="12" t="s">
        <v>52</v>
      </c>
    </row>
    <row r="13" ht="69.75" customHeight="1">
      <c r="A13" s="13" t="s">
        <v>53</v>
      </c>
      <c r="B13" s="13" t="s">
        <v>54</v>
      </c>
      <c r="C13" s="5">
        <f>D10</f>
        <v>55</v>
      </c>
      <c r="D13" s="5">
        <v>37.0</v>
      </c>
      <c r="E13" s="15" t="s">
        <v>55</v>
      </c>
      <c r="F13" s="13" t="s">
        <v>56</v>
      </c>
      <c r="G13" s="7" t="s">
        <v>57</v>
      </c>
      <c r="H13" s="16"/>
      <c r="I13" s="16"/>
    </row>
    <row r="14">
      <c r="E14" s="17" t="s">
        <v>58</v>
      </c>
      <c r="F14" s="13" t="s">
        <v>59</v>
      </c>
      <c r="G14" s="7" t="s">
        <v>60</v>
      </c>
      <c r="H14" s="7"/>
      <c r="I14" s="8"/>
    </row>
    <row r="15">
      <c r="E15" s="18" t="s">
        <v>61</v>
      </c>
      <c r="F15" s="13" t="s">
        <v>62</v>
      </c>
      <c r="G15" s="7" t="s">
        <v>63</v>
      </c>
      <c r="H15" s="7"/>
      <c r="I15" s="8"/>
    </row>
    <row r="16">
      <c r="E16" s="19" t="s">
        <v>64</v>
      </c>
      <c r="F16" s="13" t="s">
        <v>65</v>
      </c>
      <c r="G16" s="7" t="s">
        <v>66</v>
      </c>
      <c r="H16" s="16"/>
      <c r="I16" s="16"/>
    </row>
    <row r="17">
      <c r="E17" s="20" t="s">
        <v>67</v>
      </c>
      <c r="F17" s="13" t="s">
        <v>68</v>
      </c>
      <c r="G17" s="7" t="s">
        <v>69</v>
      </c>
      <c r="H17" s="7"/>
      <c r="I17" s="8"/>
    </row>
    <row r="18">
      <c r="E18" s="21" t="s">
        <v>70</v>
      </c>
      <c r="F18" s="13" t="s">
        <v>71</v>
      </c>
      <c r="G18" s="7" t="s">
        <v>72</v>
      </c>
      <c r="H18" s="16"/>
      <c r="I18" s="16"/>
    </row>
    <row r="19">
      <c r="E19" s="22" t="s">
        <v>73</v>
      </c>
      <c r="F19" s="13" t="s">
        <v>74</v>
      </c>
      <c r="G19" s="7" t="s">
        <v>75</v>
      </c>
      <c r="H19" s="16"/>
      <c r="I19" s="16"/>
    </row>
    <row r="20">
      <c r="E20" s="23" t="s">
        <v>76</v>
      </c>
      <c r="F20" s="13" t="s">
        <v>77</v>
      </c>
      <c r="G20" s="7" t="s">
        <v>78</v>
      </c>
      <c r="H20" s="16"/>
      <c r="I20" s="16"/>
    </row>
    <row r="21">
      <c r="A21" s="24" t="s">
        <v>79</v>
      </c>
      <c r="B21" s="24"/>
      <c r="C21" s="10">
        <v>37.0</v>
      </c>
      <c r="D21" s="25"/>
      <c r="E21" s="24"/>
      <c r="F21" s="24"/>
      <c r="G21" s="25"/>
      <c r="H21" s="25"/>
      <c r="I21" s="25"/>
    </row>
    <row r="22" ht="45.0" customHeight="1">
      <c r="A22" s="4" t="s">
        <v>80</v>
      </c>
      <c r="B22" s="4" t="s">
        <v>81</v>
      </c>
      <c r="C22" s="6"/>
      <c r="D22" s="6" t="s">
        <v>82</v>
      </c>
      <c r="E22" s="6"/>
      <c r="F22" s="6" t="s">
        <v>82</v>
      </c>
      <c r="G22" s="6"/>
      <c r="H22" s="6"/>
      <c r="I22" s="6"/>
    </row>
  </sheetData>
  <mergeCells count="20">
    <mergeCell ref="D7:D9"/>
    <mergeCell ref="E8:E9"/>
    <mergeCell ref="D10:D12"/>
    <mergeCell ref="E1:G1"/>
    <mergeCell ref="H1:I1"/>
    <mergeCell ref="A2:A5"/>
    <mergeCell ref="B2:B5"/>
    <mergeCell ref="C2:C5"/>
    <mergeCell ref="D2:D5"/>
    <mergeCell ref="A7:A9"/>
    <mergeCell ref="F8:F9"/>
    <mergeCell ref="C13:C20"/>
    <mergeCell ref="D13:D20"/>
    <mergeCell ref="B7:B9"/>
    <mergeCell ref="C7:C9"/>
    <mergeCell ref="A10:A12"/>
    <mergeCell ref="B10:B12"/>
    <mergeCell ref="C10:C12"/>
    <mergeCell ref="A13:A20"/>
    <mergeCell ref="B13:B20"/>
  </mergeCells>
  <printOptions/>
  <pageMargins bottom="1.0" footer="0.0" header="0.0" left="1.0" right="1.0" top="1.0"/>
  <pageSetup fitToHeight="0"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2" width="18.71"/>
    <col customWidth="1" min="3" max="3" width="60.71"/>
    <col customWidth="1" min="4" max="5" width="19.14"/>
    <col customWidth="1" min="6" max="6" width="5.29"/>
    <col customWidth="1" min="7" max="7" width="28.29"/>
    <col customWidth="1" min="8" max="8" width="7.57"/>
    <col customWidth="1" min="9" max="9" width="4.71"/>
    <col customWidth="1" min="10" max="10" width="28.29"/>
    <col customWidth="1" min="11" max="12" width="9.14"/>
    <col customWidth="1" min="13" max="13" width="48.86"/>
    <col customWidth="1" min="14" max="14" width="43.14"/>
    <col customWidth="1" min="15" max="31" width="9.14"/>
  </cols>
  <sheetData>
    <row r="1">
      <c r="A1" s="26" t="s">
        <v>83</v>
      </c>
      <c r="B1" s="1" t="s">
        <v>0</v>
      </c>
      <c r="C1" s="2" t="s">
        <v>1</v>
      </c>
      <c r="D1" s="3" t="s">
        <v>2</v>
      </c>
      <c r="E1" s="3" t="s">
        <v>3</v>
      </c>
      <c r="F1" s="2" t="s">
        <v>4</v>
      </c>
      <c r="I1" s="2" t="s">
        <v>5</v>
      </c>
      <c r="K1" s="27"/>
      <c r="L1" s="27"/>
      <c r="M1" s="28" t="s">
        <v>84</v>
      </c>
      <c r="N1" s="27"/>
      <c r="O1" s="27"/>
      <c r="P1" s="27"/>
      <c r="Q1" s="27"/>
      <c r="R1" s="27"/>
      <c r="S1" s="27"/>
      <c r="T1" s="27"/>
      <c r="U1" s="27"/>
      <c r="V1" s="27"/>
      <c r="W1" s="27"/>
      <c r="X1" s="27"/>
      <c r="Y1" s="27"/>
      <c r="Z1" s="27"/>
      <c r="AA1" s="27"/>
      <c r="AB1" s="27"/>
      <c r="AC1" s="27"/>
      <c r="AD1" s="27"/>
      <c r="AE1" s="27"/>
    </row>
    <row r="2">
      <c r="A2" s="13">
        <v>1.0</v>
      </c>
      <c r="B2" s="4" t="s">
        <v>6</v>
      </c>
      <c r="C2" s="4" t="s">
        <v>7</v>
      </c>
      <c r="D2" s="5" t="s">
        <v>85</v>
      </c>
      <c r="E2" s="5">
        <v>403.0</v>
      </c>
      <c r="F2" s="7" t="s">
        <v>8</v>
      </c>
      <c r="G2" s="7" t="s">
        <v>1</v>
      </c>
      <c r="H2" s="7" t="s">
        <v>9</v>
      </c>
      <c r="I2" s="7" t="s">
        <v>8</v>
      </c>
      <c r="J2" s="7" t="s">
        <v>1</v>
      </c>
      <c r="K2" s="27"/>
      <c r="L2" s="27"/>
      <c r="M2" s="29" t="s">
        <v>86</v>
      </c>
      <c r="N2" s="27"/>
      <c r="O2" s="27"/>
      <c r="P2" s="27"/>
      <c r="Q2" s="27"/>
      <c r="R2" s="27"/>
      <c r="S2" s="27"/>
      <c r="T2" s="27"/>
      <c r="U2" s="27"/>
      <c r="V2" s="27"/>
      <c r="W2" s="27"/>
      <c r="X2" s="27"/>
      <c r="Y2" s="27"/>
      <c r="Z2" s="27"/>
      <c r="AA2" s="27"/>
      <c r="AB2" s="27"/>
      <c r="AC2" s="27"/>
      <c r="AD2" s="27"/>
      <c r="AE2" s="27"/>
    </row>
    <row r="3">
      <c r="F3" s="7" t="s">
        <v>10</v>
      </c>
      <c r="G3" s="8" t="s">
        <v>11</v>
      </c>
      <c r="H3" s="7"/>
      <c r="I3" s="7" t="s">
        <v>12</v>
      </c>
      <c r="J3" s="8" t="s">
        <v>13</v>
      </c>
      <c r="K3" s="27"/>
      <c r="L3" s="27"/>
      <c r="M3" s="29" t="s">
        <v>87</v>
      </c>
      <c r="N3" s="27"/>
      <c r="O3" s="27"/>
      <c r="P3" s="27"/>
      <c r="Q3" s="27"/>
      <c r="R3" s="27"/>
      <c r="S3" s="27"/>
      <c r="T3" s="27"/>
      <c r="U3" s="27"/>
      <c r="V3" s="27"/>
      <c r="W3" s="27"/>
      <c r="X3" s="27"/>
      <c r="Y3" s="27"/>
      <c r="Z3" s="27"/>
      <c r="AA3" s="27"/>
      <c r="AB3" s="27"/>
      <c r="AC3" s="27"/>
      <c r="AD3" s="27"/>
      <c r="AE3" s="27"/>
    </row>
    <row r="4">
      <c r="F4" s="7" t="s">
        <v>14</v>
      </c>
      <c r="G4" s="8" t="s">
        <v>15</v>
      </c>
      <c r="H4" s="7"/>
      <c r="I4" s="7" t="s">
        <v>16</v>
      </c>
      <c r="J4" s="8" t="s">
        <v>17</v>
      </c>
      <c r="K4" s="27"/>
      <c r="L4" s="27"/>
      <c r="M4" s="27"/>
      <c r="N4" s="27"/>
      <c r="O4" s="27"/>
      <c r="P4" s="27"/>
      <c r="Q4" s="27"/>
      <c r="R4" s="27"/>
      <c r="S4" s="27"/>
      <c r="T4" s="27"/>
      <c r="U4" s="27"/>
      <c r="V4" s="27"/>
      <c r="W4" s="27"/>
      <c r="X4" s="27"/>
      <c r="Y4" s="27"/>
      <c r="Z4" s="27"/>
      <c r="AA4" s="27"/>
      <c r="AB4" s="27"/>
      <c r="AC4" s="27"/>
      <c r="AD4" s="27"/>
      <c r="AE4" s="27"/>
    </row>
    <row r="5">
      <c r="F5" s="7" t="s">
        <v>18</v>
      </c>
      <c r="G5" s="8" t="s">
        <v>19</v>
      </c>
      <c r="H5" s="7"/>
      <c r="I5" s="7" t="s">
        <v>24</v>
      </c>
      <c r="J5" s="8" t="s">
        <v>88</v>
      </c>
      <c r="K5" s="27"/>
      <c r="L5" s="27"/>
      <c r="M5" s="27"/>
      <c r="N5" s="27"/>
      <c r="O5" s="27"/>
      <c r="P5" s="27"/>
      <c r="Q5" s="27"/>
      <c r="R5" s="27"/>
      <c r="S5" s="27"/>
      <c r="T5" s="27"/>
      <c r="U5" s="27"/>
      <c r="V5" s="27"/>
      <c r="W5" s="27"/>
      <c r="X5" s="27"/>
      <c r="Y5" s="27"/>
      <c r="Z5" s="27"/>
      <c r="AA5" s="27"/>
      <c r="AB5" s="27"/>
      <c r="AC5" s="27"/>
      <c r="AD5" s="27"/>
      <c r="AE5" s="27"/>
    </row>
    <row r="6">
      <c r="A6" s="9"/>
      <c r="B6" s="9" t="s">
        <v>20</v>
      </c>
      <c r="C6" s="9" t="s">
        <v>89</v>
      </c>
      <c r="D6" s="10">
        <f>E2</f>
        <v>403</v>
      </c>
      <c r="E6" s="10">
        <v>25.0</v>
      </c>
      <c r="F6" s="11" t="s">
        <v>22</v>
      </c>
      <c r="G6" s="12" t="s">
        <v>23</v>
      </c>
      <c r="H6" s="11"/>
      <c r="I6" s="11" t="s">
        <v>24</v>
      </c>
      <c r="J6" s="12" t="s">
        <v>25</v>
      </c>
      <c r="K6" s="27"/>
      <c r="L6" s="27"/>
      <c r="M6" s="30" t="s">
        <v>90</v>
      </c>
      <c r="N6" s="27"/>
      <c r="O6" s="27"/>
      <c r="P6" s="27"/>
      <c r="Q6" s="27"/>
      <c r="R6" s="27"/>
      <c r="S6" s="27"/>
      <c r="T6" s="27"/>
      <c r="U6" s="27"/>
      <c r="V6" s="27"/>
      <c r="W6" s="27"/>
      <c r="X6" s="27"/>
      <c r="Y6" s="27"/>
      <c r="Z6" s="27"/>
      <c r="AA6" s="27"/>
      <c r="AB6" s="27"/>
      <c r="AC6" s="27"/>
      <c r="AD6" s="27"/>
      <c r="AE6" s="27"/>
    </row>
    <row r="7">
      <c r="A7" s="13"/>
      <c r="B7" s="13" t="s">
        <v>26</v>
      </c>
      <c r="C7" s="13" t="s">
        <v>91</v>
      </c>
      <c r="D7" s="5">
        <f>E6</f>
        <v>25</v>
      </c>
      <c r="E7" s="5">
        <v>12.0</v>
      </c>
      <c r="F7" s="7" t="s">
        <v>28</v>
      </c>
      <c r="G7" s="8" t="s">
        <v>29</v>
      </c>
      <c r="H7" s="7"/>
      <c r="I7" s="7" t="s">
        <v>30</v>
      </c>
      <c r="J7" s="8" t="s">
        <v>31</v>
      </c>
      <c r="K7" s="27"/>
      <c r="L7" s="27"/>
      <c r="M7" s="30"/>
      <c r="N7" s="27"/>
      <c r="O7" s="27"/>
      <c r="P7" s="27"/>
      <c r="Q7" s="27"/>
      <c r="R7" s="27"/>
      <c r="S7" s="27"/>
      <c r="T7" s="27"/>
      <c r="U7" s="27"/>
      <c r="V7" s="27"/>
      <c r="W7" s="27"/>
      <c r="X7" s="27"/>
      <c r="Y7" s="27"/>
      <c r="Z7" s="27"/>
      <c r="AA7" s="27"/>
      <c r="AB7" s="27"/>
      <c r="AC7" s="27"/>
      <c r="AD7" s="27"/>
      <c r="AE7" s="27"/>
    </row>
    <row r="8">
      <c r="A8" s="13"/>
      <c r="F8" s="7" t="s">
        <v>32</v>
      </c>
      <c r="G8" s="8" t="s">
        <v>33</v>
      </c>
      <c r="H8" s="7"/>
      <c r="I8" s="7" t="s">
        <v>34</v>
      </c>
      <c r="J8" s="8" t="s">
        <v>35</v>
      </c>
      <c r="K8" s="27"/>
      <c r="L8" s="27"/>
      <c r="M8" s="30"/>
      <c r="N8" s="27"/>
      <c r="O8" s="27"/>
      <c r="P8" s="27"/>
      <c r="Q8" s="27"/>
      <c r="R8" s="27"/>
      <c r="S8" s="27"/>
      <c r="T8" s="27"/>
      <c r="U8" s="27"/>
      <c r="V8" s="27"/>
      <c r="W8" s="27"/>
      <c r="X8" s="27"/>
      <c r="Y8" s="27"/>
      <c r="Z8" s="27"/>
      <c r="AA8" s="27"/>
      <c r="AB8" s="27"/>
      <c r="AC8" s="27"/>
      <c r="AD8" s="27"/>
      <c r="AE8" s="27"/>
    </row>
    <row r="9">
      <c r="A9" s="13"/>
      <c r="H9" s="7"/>
      <c r="I9" s="7" t="s">
        <v>36</v>
      </c>
      <c r="J9" s="8" t="s">
        <v>37</v>
      </c>
      <c r="K9" s="27"/>
      <c r="L9" s="27"/>
      <c r="M9" s="30"/>
      <c r="N9" s="27"/>
      <c r="O9" s="27"/>
      <c r="P9" s="27"/>
      <c r="Q9" s="27"/>
      <c r="R9" s="27"/>
      <c r="S9" s="27"/>
      <c r="T9" s="27"/>
      <c r="U9" s="27"/>
      <c r="V9" s="27"/>
      <c r="W9" s="27"/>
      <c r="X9" s="27"/>
      <c r="Y9" s="27"/>
      <c r="Z9" s="27"/>
      <c r="AA9" s="27"/>
      <c r="AB9" s="27"/>
      <c r="AC9" s="27"/>
      <c r="AD9" s="27"/>
      <c r="AE9" s="27"/>
    </row>
    <row r="10" ht="69.75" customHeight="1">
      <c r="A10" s="9"/>
      <c r="B10" s="9" t="s">
        <v>38</v>
      </c>
      <c r="C10" s="9" t="s">
        <v>39</v>
      </c>
      <c r="D10" s="10">
        <v>12.0</v>
      </c>
      <c r="E10" s="10">
        <v>9.0</v>
      </c>
      <c r="F10" s="14" t="s">
        <v>40</v>
      </c>
      <c r="G10" s="9" t="s">
        <v>41</v>
      </c>
      <c r="H10" s="11" t="s">
        <v>42</v>
      </c>
      <c r="I10" s="11" t="s">
        <v>51</v>
      </c>
      <c r="J10" s="12" t="s">
        <v>43</v>
      </c>
      <c r="K10" s="27"/>
      <c r="L10" s="27"/>
      <c r="M10" s="29" t="s">
        <v>92</v>
      </c>
      <c r="N10" s="27"/>
      <c r="O10" s="27"/>
      <c r="P10" s="27"/>
      <c r="Q10" s="27"/>
      <c r="R10" s="27"/>
      <c r="S10" s="27"/>
      <c r="T10" s="27"/>
      <c r="U10" s="27"/>
      <c r="V10" s="27"/>
      <c r="W10" s="27"/>
      <c r="X10" s="27"/>
      <c r="Y10" s="27"/>
      <c r="Z10" s="27"/>
      <c r="AA10" s="27"/>
      <c r="AB10" s="27"/>
      <c r="AC10" s="27"/>
      <c r="AD10" s="27"/>
      <c r="AE10" s="27"/>
    </row>
    <row r="11" ht="69.75" customHeight="1">
      <c r="A11" s="9"/>
      <c r="F11" s="14" t="s">
        <v>44</v>
      </c>
      <c r="G11" s="9" t="s">
        <v>45</v>
      </c>
      <c r="H11" s="11" t="s">
        <v>46</v>
      </c>
      <c r="I11" s="11" t="s">
        <v>93</v>
      </c>
      <c r="J11" s="12" t="s">
        <v>47</v>
      </c>
      <c r="K11" s="27"/>
      <c r="L11" s="27"/>
      <c r="M11" s="27"/>
      <c r="N11" s="27"/>
      <c r="O11" s="27"/>
      <c r="P11" s="27"/>
      <c r="Q11" s="27"/>
      <c r="R11" s="27"/>
      <c r="S11" s="27"/>
      <c r="T11" s="27"/>
      <c r="U11" s="27"/>
      <c r="V11" s="27"/>
      <c r="W11" s="27"/>
      <c r="X11" s="27"/>
      <c r="Y11" s="27"/>
      <c r="Z11" s="27"/>
      <c r="AA11" s="27"/>
      <c r="AB11" s="27"/>
      <c r="AC11" s="27"/>
      <c r="AD11" s="27"/>
      <c r="AE11" s="27"/>
    </row>
    <row r="12" ht="69.75" customHeight="1">
      <c r="A12" s="9"/>
      <c r="F12" s="14" t="s">
        <v>48</v>
      </c>
      <c r="G12" s="9" t="s">
        <v>49</v>
      </c>
      <c r="H12" s="11" t="s">
        <v>50</v>
      </c>
      <c r="I12" s="11" t="s">
        <v>94</v>
      </c>
      <c r="J12" s="12" t="s">
        <v>52</v>
      </c>
      <c r="K12" s="27"/>
      <c r="L12" s="27"/>
      <c r="M12" s="27"/>
      <c r="N12" s="27"/>
      <c r="O12" s="27"/>
      <c r="P12" s="27"/>
      <c r="Q12" s="27"/>
      <c r="R12" s="27"/>
      <c r="S12" s="27"/>
      <c r="T12" s="27"/>
      <c r="U12" s="27"/>
      <c r="V12" s="27"/>
      <c r="W12" s="27"/>
      <c r="X12" s="27"/>
      <c r="Y12" s="27"/>
      <c r="Z12" s="27"/>
      <c r="AA12" s="27"/>
      <c r="AB12" s="27"/>
      <c r="AC12" s="27"/>
      <c r="AD12" s="27"/>
      <c r="AE12" s="27"/>
    </row>
    <row r="13" ht="69.75" customHeight="1">
      <c r="A13" s="13"/>
      <c r="B13" s="13" t="s">
        <v>53</v>
      </c>
      <c r="C13" s="13"/>
      <c r="D13" s="5">
        <v>9.0</v>
      </c>
      <c r="E13" s="5">
        <v>3.0</v>
      </c>
      <c r="F13" s="15" t="s">
        <v>55</v>
      </c>
      <c r="G13" s="13" t="s">
        <v>95</v>
      </c>
      <c r="H13" s="7" t="s">
        <v>57</v>
      </c>
      <c r="I13" s="16"/>
      <c r="J13" s="16"/>
      <c r="K13" s="27"/>
      <c r="L13" s="31"/>
      <c r="M13" s="29"/>
      <c r="N13" s="29"/>
      <c r="O13" s="27"/>
      <c r="P13" s="27"/>
      <c r="Q13" s="27"/>
      <c r="R13" s="27"/>
      <c r="S13" s="27"/>
      <c r="T13" s="27"/>
      <c r="U13" s="27"/>
      <c r="V13" s="27"/>
      <c r="W13" s="27"/>
      <c r="X13" s="27"/>
      <c r="Y13" s="27"/>
      <c r="Z13" s="27"/>
      <c r="AA13" s="27"/>
      <c r="AB13" s="27"/>
      <c r="AC13" s="27"/>
      <c r="AD13" s="27"/>
      <c r="AE13" s="27"/>
    </row>
    <row r="14">
      <c r="A14" s="13"/>
      <c r="F14" s="17" t="s">
        <v>58</v>
      </c>
      <c r="G14" s="13" t="s">
        <v>96</v>
      </c>
      <c r="H14" s="7" t="s">
        <v>60</v>
      </c>
      <c r="I14" s="7"/>
      <c r="J14" s="8"/>
      <c r="K14" s="27"/>
      <c r="L14" s="31"/>
      <c r="M14" s="29"/>
      <c r="N14" s="29"/>
      <c r="O14" s="27"/>
      <c r="P14" s="27"/>
      <c r="Q14" s="27"/>
      <c r="R14" s="27"/>
      <c r="S14" s="27"/>
      <c r="T14" s="27"/>
      <c r="U14" s="27"/>
      <c r="V14" s="27"/>
      <c r="W14" s="27"/>
      <c r="X14" s="27"/>
      <c r="Y14" s="27"/>
      <c r="Z14" s="27"/>
      <c r="AA14" s="27"/>
      <c r="AB14" s="27"/>
      <c r="AC14" s="27"/>
      <c r="AD14" s="27"/>
      <c r="AE14" s="27"/>
    </row>
    <row r="15">
      <c r="A15" s="13"/>
      <c r="F15" s="18" t="s">
        <v>61</v>
      </c>
      <c r="G15" s="13" t="s">
        <v>97</v>
      </c>
      <c r="H15" s="7" t="s">
        <v>63</v>
      </c>
      <c r="I15" s="7"/>
      <c r="J15" s="8"/>
      <c r="K15" s="27"/>
      <c r="L15" s="31"/>
      <c r="M15" s="29"/>
      <c r="N15" s="29"/>
      <c r="O15" s="27"/>
      <c r="P15" s="27"/>
      <c r="Q15" s="27"/>
      <c r="R15" s="27"/>
      <c r="S15" s="27"/>
      <c r="T15" s="27"/>
      <c r="U15" s="27"/>
      <c r="V15" s="27"/>
      <c r="W15" s="27"/>
      <c r="X15" s="27"/>
      <c r="Y15" s="27"/>
      <c r="Z15" s="27"/>
      <c r="AA15" s="27"/>
      <c r="AB15" s="27"/>
      <c r="AC15" s="27"/>
      <c r="AD15" s="27"/>
      <c r="AE15" s="27"/>
    </row>
    <row r="16">
      <c r="A16" s="13"/>
      <c r="F16" s="19" t="s">
        <v>64</v>
      </c>
      <c r="G16" s="13" t="s">
        <v>98</v>
      </c>
      <c r="H16" s="7" t="s">
        <v>66</v>
      </c>
      <c r="I16" s="16"/>
      <c r="J16" s="16"/>
      <c r="K16" s="27"/>
      <c r="L16" s="31"/>
      <c r="M16" s="29"/>
      <c r="N16" s="29"/>
      <c r="O16" s="27"/>
      <c r="P16" s="27"/>
      <c r="Q16" s="27"/>
      <c r="R16" s="27"/>
      <c r="S16" s="27"/>
      <c r="T16" s="27"/>
      <c r="U16" s="27"/>
      <c r="V16" s="27"/>
      <c r="W16" s="27"/>
      <c r="X16" s="27"/>
      <c r="Y16" s="27"/>
      <c r="Z16" s="27"/>
      <c r="AA16" s="27"/>
      <c r="AB16" s="27"/>
      <c r="AC16" s="27"/>
      <c r="AD16" s="27"/>
      <c r="AE16" s="27"/>
    </row>
    <row r="17">
      <c r="A17" s="13"/>
      <c r="F17" s="20" t="s">
        <v>67</v>
      </c>
      <c r="G17" s="13" t="s">
        <v>99</v>
      </c>
      <c r="H17" s="7" t="s">
        <v>69</v>
      </c>
      <c r="I17" s="7"/>
      <c r="J17" s="8"/>
      <c r="K17" s="27"/>
      <c r="L17" s="31"/>
      <c r="M17" s="29"/>
      <c r="N17" s="29"/>
      <c r="O17" s="27"/>
      <c r="P17" s="27"/>
      <c r="Q17" s="27"/>
      <c r="R17" s="27"/>
      <c r="S17" s="27"/>
      <c r="T17" s="27"/>
      <c r="U17" s="27"/>
      <c r="V17" s="27"/>
      <c r="W17" s="27"/>
      <c r="X17" s="27"/>
      <c r="Y17" s="27"/>
      <c r="Z17" s="27"/>
      <c r="AA17" s="27"/>
      <c r="AB17" s="27"/>
      <c r="AC17" s="27"/>
      <c r="AD17" s="27"/>
      <c r="AE17" s="27"/>
    </row>
    <row r="18">
      <c r="A18" s="13"/>
      <c r="F18" s="21" t="s">
        <v>70</v>
      </c>
      <c r="G18" s="13" t="s">
        <v>100</v>
      </c>
      <c r="H18" s="7" t="s">
        <v>72</v>
      </c>
      <c r="I18" s="16"/>
      <c r="J18" s="16"/>
      <c r="K18" s="27"/>
      <c r="L18" s="31"/>
      <c r="M18" s="29"/>
      <c r="N18" s="29"/>
      <c r="O18" s="27"/>
      <c r="P18" s="27"/>
      <c r="Q18" s="27"/>
      <c r="R18" s="27"/>
      <c r="S18" s="27"/>
      <c r="T18" s="27"/>
      <c r="U18" s="27"/>
      <c r="V18" s="27"/>
      <c r="W18" s="27"/>
      <c r="X18" s="27"/>
      <c r="Y18" s="27"/>
      <c r="Z18" s="27"/>
      <c r="AA18" s="27"/>
      <c r="AB18" s="27"/>
      <c r="AC18" s="27"/>
      <c r="AD18" s="27"/>
      <c r="AE18" s="27"/>
    </row>
    <row r="19">
      <c r="A19" s="13"/>
      <c r="F19" s="22" t="s">
        <v>73</v>
      </c>
      <c r="G19" s="13" t="s">
        <v>101</v>
      </c>
      <c r="H19" s="7" t="s">
        <v>75</v>
      </c>
      <c r="I19" s="16"/>
      <c r="J19" s="16"/>
      <c r="K19" s="27"/>
      <c r="L19" s="31"/>
      <c r="M19" s="29"/>
      <c r="N19" s="29"/>
      <c r="O19" s="27"/>
      <c r="P19" s="27"/>
      <c r="Q19" s="27"/>
      <c r="R19" s="27"/>
      <c r="S19" s="27"/>
      <c r="T19" s="27"/>
      <c r="U19" s="27"/>
      <c r="V19" s="27"/>
      <c r="W19" s="27"/>
      <c r="X19" s="27"/>
      <c r="Y19" s="27"/>
      <c r="Z19" s="27"/>
      <c r="AA19" s="27"/>
      <c r="AB19" s="27"/>
      <c r="AC19" s="27"/>
      <c r="AD19" s="27"/>
      <c r="AE19" s="27"/>
    </row>
    <row r="20">
      <c r="A20" s="13"/>
      <c r="F20" s="23" t="s">
        <v>76</v>
      </c>
      <c r="G20" s="13" t="s">
        <v>102</v>
      </c>
      <c r="H20" s="7" t="s">
        <v>78</v>
      </c>
      <c r="I20" s="16"/>
      <c r="J20" s="16"/>
      <c r="K20" s="27"/>
      <c r="L20" s="31"/>
      <c r="M20" s="29"/>
      <c r="N20" s="29"/>
      <c r="O20" s="27"/>
      <c r="P20" s="27"/>
      <c r="Q20" s="27"/>
      <c r="R20" s="27"/>
      <c r="S20" s="27"/>
      <c r="T20" s="27"/>
      <c r="U20" s="27"/>
      <c r="V20" s="27"/>
      <c r="W20" s="27"/>
      <c r="X20" s="27"/>
      <c r="Y20" s="27"/>
      <c r="Z20" s="27"/>
      <c r="AA20" s="27"/>
      <c r="AB20" s="27"/>
      <c r="AC20" s="27"/>
      <c r="AD20" s="27"/>
      <c r="AE20" s="27"/>
    </row>
    <row r="21">
      <c r="A21" s="24"/>
      <c r="B21" s="24" t="s">
        <v>79</v>
      </c>
      <c r="C21" s="24"/>
      <c r="D21" s="25"/>
      <c r="E21" s="25"/>
      <c r="F21" s="24"/>
      <c r="G21" s="24"/>
      <c r="H21" s="25"/>
      <c r="I21" s="25"/>
      <c r="J21" s="25"/>
      <c r="K21" s="27"/>
      <c r="L21" s="27"/>
      <c r="M21" s="27"/>
      <c r="N21" s="27"/>
      <c r="O21" s="27"/>
      <c r="P21" s="27"/>
      <c r="Q21" s="27"/>
      <c r="R21" s="27"/>
      <c r="S21" s="27"/>
      <c r="T21" s="27"/>
      <c r="U21" s="27"/>
      <c r="V21" s="27"/>
      <c r="W21" s="27"/>
      <c r="X21" s="27"/>
      <c r="Y21" s="27"/>
      <c r="Z21" s="27"/>
      <c r="AA21" s="27"/>
      <c r="AB21" s="27"/>
      <c r="AC21" s="27"/>
      <c r="AD21" s="27"/>
      <c r="AE21" s="27"/>
    </row>
    <row r="22" ht="45.0" customHeight="1">
      <c r="A22" s="4"/>
      <c r="B22" s="4" t="s">
        <v>80</v>
      </c>
      <c r="C22" s="4" t="s">
        <v>81</v>
      </c>
      <c r="D22" s="6"/>
      <c r="E22" s="6" t="s">
        <v>82</v>
      </c>
      <c r="F22" s="6"/>
      <c r="G22" s="6" t="s">
        <v>82</v>
      </c>
      <c r="H22" s="6"/>
      <c r="I22" s="6"/>
      <c r="J22" s="6"/>
      <c r="K22" s="27"/>
      <c r="L22" s="32"/>
      <c r="M22" s="33"/>
      <c r="N22" s="33"/>
      <c r="O22" s="33"/>
      <c r="P22" s="33"/>
      <c r="Q22" s="33"/>
      <c r="R22" s="34"/>
      <c r="S22" s="27"/>
      <c r="T22" s="27"/>
      <c r="U22" s="27"/>
      <c r="V22" s="27"/>
      <c r="W22" s="27"/>
      <c r="X22" s="27"/>
      <c r="Y22" s="27"/>
      <c r="Z22" s="27"/>
      <c r="AA22" s="27"/>
      <c r="AB22" s="27"/>
      <c r="AC22" s="27"/>
      <c r="AD22" s="27"/>
      <c r="AE22" s="27"/>
    </row>
  </sheetData>
  <mergeCells count="22">
    <mergeCell ref="F1:H1"/>
    <mergeCell ref="I1:J1"/>
    <mergeCell ref="A2:A5"/>
    <mergeCell ref="B2:B5"/>
    <mergeCell ref="C2:C5"/>
    <mergeCell ref="D2:D5"/>
    <mergeCell ref="E2:E5"/>
    <mergeCell ref="C10:C12"/>
    <mergeCell ref="D10:D12"/>
    <mergeCell ref="B13:B20"/>
    <mergeCell ref="C13:C20"/>
    <mergeCell ref="D13:D20"/>
    <mergeCell ref="E13:E20"/>
    <mergeCell ref="L22:R22"/>
    <mergeCell ref="B7:B9"/>
    <mergeCell ref="C7:C9"/>
    <mergeCell ref="D7:D9"/>
    <mergeCell ref="E7:E9"/>
    <mergeCell ref="F8:F9"/>
    <mergeCell ref="G8:G9"/>
    <mergeCell ref="B10:B12"/>
    <mergeCell ref="E10:E12"/>
  </mergeCells>
  <printOptions/>
  <pageMargins bottom="0.75" footer="0.0" header="0.0" left="0.7" right="0.7" top="0.75"/>
  <pageSetup fitToWidth="0"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86"/>
    <col customWidth="1" min="2" max="2" width="34.14"/>
    <col customWidth="1" min="3" max="3" width="12.43"/>
    <col customWidth="1" min="4" max="5" width="50.71"/>
    <col customWidth="1" min="6" max="24" width="9.14"/>
  </cols>
  <sheetData>
    <row r="1">
      <c r="A1" s="35" t="s">
        <v>103</v>
      </c>
      <c r="B1" s="35" t="s">
        <v>104</v>
      </c>
      <c r="C1" s="35" t="s">
        <v>105</v>
      </c>
      <c r="D1" s="36" t="s">
        <v>106</v>
      </c>
      <c r="E1" s="37" t="s">
        <v>1</v>
      </c>
      <c r="F1" s="38"/>
      <c r="G1" s="38"/>
      <c r="H1" s="38"/>
      <c r="I1" s="38"/>
      <c r="J1" s="38"/>
      <c r="K1" s="38"/>
      <c r="L1" s="38"/>
      <c r="M1" s="38"/>
      <c r="N1" s="38"/>
      <c r="O1" s="38"/>
      <c r="P1" s="38"/>
      <c r="Q1" s="38"/>
      <c r="R1" s="38"/>
      <c r="S1" s="38"/>
      <c r="T1" s="38"/>
      <c r="U1" s="38"/>
      <c r="V1" s="38"/>
      <c r="W1" s="38"/>
      <c r="X1" s="38"/>
    </row>
    <row r="2" ht="48.0" customHeight="1">
      <c r="A2" s="39" t="s">
        <v>107</v>
      </c>
      <c r="B2" s="40"/>
      <c r="C2" s="40"/>
      <c r="D2" s="40"/>
      <c r="E2" s="41"/>
      <c r="F2" s="42"/>
      <c r="G2" s="42"/>
      <c r="H2" s="42"/>
      <c r="I2" s="42"/>
      <c r="J2" s="42"/>
      <c r="K2" s="42"/>
      <c r="L2" s="42"/>
      <c r="M2" s="42"/>
      <c r="N2" s="42"/>
      <c r="O2" s="42"/>
      <c r="P2" s="42"/>
      <c r="Q2" s="42"/>
      <c r="R2" s="42"/>
      <c r="S2" s="42"/>
      <c r="T2" s="42"/>
      <c r="U2" s="42"/>
      <c r="V2" s="42"/>
      <c r="W2" s="42"/>
      <c r="X2" s="42"/>
    </row>
    <row r="3">
      <c r="A3" s="43" t="s">
        <v>108</v>
      </c>
      <c r="B3" s="40"/>
      <c r="C3" s="40"/>
      <c r="D3" s="40"/>
      <c r="E3" s="41"/>
      <c r="F3" s="42"/>
      <c r="G3" s="42"/>
      <c r="H3" s="42"/>
      <c r="I3" s="42"/>
      <c r="J3" s="42"/>
      <c r="K3" s="42"/>
      <c r="L3" s="42"/>
      <c r="M3" s="42"/>
      <c r="N3" s="42"/>
      <c r="O3" s="42"/>
      <c r="P3" s="42"/>
      <c r="Q3" s="42"/>
      <c r="R3" s="42"/>
      <c r="S3" s="42"/>
      <c r="T3" s="42"/>
      <c r="U3" s="42"/>
      <c r="V3" s="42"/>
      <c r="W3" s="42"/>
      <c r="X3" s="42"/>
    </row>
    <row r="4">
      <c r="A4" s="44" t="s">
        <v>109</v>
      </c>
      <c r="B4" s="45" t="s">
        <v>110</v>
      </c>
      <c r="C4" s="44" t="s">
        <v>111</v>
      </c>
      <c r="D4" s="46" t="s">
        <v>112</v>
      </c>
      <c r="E4" s="47" t="s">
        <v>113</v>
      </c>
      <c r="F4" s="48"/>
      <c r="H4" s="48" t="str">
        <f>IFERROR(__xludf.DUMMYFUNCTION("CONCAT(A4,CONCAT(""_"", REGEXREPLACE(B4, "" "", """")))"),"RQ1.1.P1_EnergyConsiderationStage")</f>
        <v>RQ1.1.P1_EnergyConsiderationStage</v>
      </c>
      <c r="I4" s="48"/>
      <c r="J4" s="48"/>
      <c r="K4" s="48"/>
      <c r="L4" s="48"/>
      <c r="M4" s="48"/>
      <c r="N4" s="48"/>
      <c r="O4" s="48"/>
      <c r="P4" s="48"/>
      <c r="Q4" s="48"/>
      <c r="R4" s="48"/>
      <c r="S4" s="48"/>
      <c r="T4" s="48"/>
      <c r="U4" s="48"/>
      <c r="V4" s="48"/>
      <c r="W4" s="48"/>
      <c r="X4" s="48"/>
    </row>
    <row r="5">
      <c r="A5" s="44" t="s">
        <v>114</v>
      </c>
      <c r="B5" s="45" t="s">
        <v>115</v>
      </c>
      <c r="C5" s="44" t="s">
        <v>111</v>
      </c>
      <c r="D5" s="47" t="s">
        <v>116</v>
      </c>
      <c r="E5" s="47" t="s">
        <v>117</v>
      </c>
      <c r="F5" s="48"/>
      <c r="G5" s="48"/>
      <c r="H5" s="48" t="str">
        <f>IFERROR(__xludf.DUMMYFUNCTION("CONCAT(A5,CONCAT(""_"", REGEXREPLACE(B5, "" "", """")))"),"RQ1.1.P2_EnergyInterventionStage")</f>
        <v>RQ1.1.P2_EnergyInterventionStage</v>
      </c>
      <c r="I5" s="48"/>
      <c r="J5" s="48"/>
      <c r="K5" s="48"/>
      <c r="L5" s="48"/>
      <c r="M5" s="48"/>
      <c r="N5" s="48"/>
      <c r="O5" s="48"/>
      <c r="P5" s="48"/>
      <c r="Q5" s="48"/>
      <c r="R5" s="48"/>
      <c r="S5" s="48"/>
      <c r="T5" s="48"/>
      <c r="U5" s="48"/>
      <c r="V5" s="48"/>
      <c r="W5" s="48"/>
      <c r="X5" s="48"/>
    </row>
    <row r="6">
      <c r="A6" s="44" t="s">
        <v>118</v>
      </c>
      <c r="B6" s="45" t="s">
        <v>119</v>
      </c>
      <c r="C6" s="44" t="s">
        <v>111</v>
      </c>
      <c r="D6" s="47" t="s">
        <v>120</v>
      </c>
      <c r="E6" s="47" t="s">
        <v>121</v>
      </c>
      <c r="F6" s="48"/>
      <c r="G6" s="48"/>
      <c r="H6" s="48" t="str">
        <f>IFERROR(__xludf.DUMMYFUNCTION("CONCAT(A6,CONCAT(""_"", REGEXREPLACE(B6, "" "", """")))"),"RQ1.1.P3_EnergyOptimisationTechnique")</f>
        <v>RQ1.1.P3_EnergyOptimisationTechnique</v>
      </c>
      <c r="I6" s="48"/>
      <c r="J6" s="48"/>
      <c r="K6" s="48"/>
      <c r="L6" s="48"/>
      <c r="M6" s="48"/>
      <c r="N6" s="48"/>
      <c r="O6" s="48"/>
      <c r="P6" s="48"/>
      <c r="Q6" s="48"/>
      <c r="R6" s="48"/>
      <c r="S6" s="48"/>
      <c r="T6" s="48"/>
      <c r="U6" s="48"/>
      <c r="V6" s="48"/>
      <c r="W6" s="48"/>
      <c r="X6" s="48"/>
    </row>
    <row r="7">
      <c r="A7" s="49" t="s">
        <v>122</v>
      </c>
      <c r="B7" s="40"/>
      <c r="C7" s="40"/>
      <c r="D7" s="40"/>
      <c r="E7" s="41"/>
      <c r="F7" s="42"/>
      <c r="G7" s="42"/>
      <c r="H7" s="48"/>
      <c r="I7" s="42"/>
      <c r="J7" s="42"/>
      <c r="K7" s="42"/>
      <c r="L7" s="42"/>
      <c r="M7" s="42"/>
      <c r="N7" s="42"/>
      <c r="O7" s="42"/>
      <c r="P7" s="42"/>
      <c r="Q7" s="42"/>
      <c r="R7" s="42"/>
      <c r="S7" s="42"/>
      <c r="T7" s="42"/>
      <c r="U7" s="42"/>
      <c r="V7" s="42"/>
      <c r="W7" s="42"/>
      <c r="X7" s="42"/>
    </row>
    <row r="8">
      <c r="A8" s="44" t="s">
        <v>123</v>
      </c>
      <c r="B8" s="45" t="s">
        <v>124</v>
      </c>
      <c r="C8" s="44" t="s">
        <v>111</v>
      </c>
      <c r="D8" s="47" t="s">
        <v>125</v>
      </c>
      <c r="E8" s="47" t="s">
        <v>126</v>
      </c>
      <c r="F8" s="48"/>
      <c r="G8" s="48"/>
      <c r="H8" s="48" t="str">
        <f>IFERROR(__xludf.DUMMYFUNCTION("CONCAT(A8,CONCAT(""_"", REGEXREPLACE(B8, "" "", """")))"),"RQ1.2.P1_ComponentType")</f>
        <v>RQ1.2.P1_ComponentType</v>
      </c>
      <c r="I8" s="48"/>
      <c r="J8" s="48"/>
      <c r="K8" s="48"/>
      <c r="L8" s="48"/>
      <c r="M8" s="48"/>
      <c r="N8" s="48"/>
      <c r="O8" s="48"/>
      <c r="P8" s="48"/>
      <c r="Q8" s="48"/>
      <c r="R8" s="48"/>
      <c r="S8" s="48"/>
      <c r="T8" s="48"/>
      <c r="U8" s="48"/>
      <c r="V8" s="48"/>
      <c r="W8" s="48"/>
      <c r="X8" s="48"/>
    </row>
    <row r="9">
      <c r="A9" s="44" t="s">
        <v>127</v>
      </c>
      <c r="B9" s="45" t="s">
        <v>128</v>
      </c>
      <c r="C9" s="44" t="s">
        <v>129</v>
      </c>
      <c r="D9" s="47" t="s">
        <v>130</v>
      </c>
      <c r="E9" s="47" t="s">
        <v>131</v>
      </c>
      <c r="F9" s="48"/>
      <c r="G9" s="48"/>
      <c r="H9" s="48" t="str">
        <f>IFERROR(__xludf.DUMMYFUNCTION("CONCAT(A9,CONCAT(""_"", REGEXREPLACE(B9, "" "", """")))"),"RQ1.2.P2_Energyconsumptionsource")</f>
        <v>RQ1.2.P2_Energyconsumptionsource</v>
      </c>
      <c r="I9" s="48"/>
      <c r="J9" s="48"/>
      <c r="K9" s="48"/>
      <c r="L9" s="48"/>
      <c r="M9" s="48"/>
      <c r="N9" s="48"/>
      <c r="O9" s="48"/>
      <c r="P9" s="48"/>
      <c r="Q9" s="48"/>
      <c r="R9" s="48"/>
      <c r="S9" s="48"/>
      <c r="T9" s="48"/>
      <c r="U9" s="48"/>
      <c r="V9" s="48"/>
      <c r="W9" s="48"/>
      <c r="X9" s="48"/>
    </row>
    <row r="10">
      <c r="A10" s="44" t="s">
        <v>132</v>
      </c>
      <c r="B10" s="45" t="s">
        <v>133</v>
      </c>
      <c r="C10" s="44" t="s">
        <v>111</v>
      </c>
      <c r="D10" s="47" t="s">
        <v>134</v>
      </c>
      <c r="E10" s="47" t="s">
        <v>135</v>
      </c>
      <c r="F10" s="48"/>
      <c r="G10" s="48"/>
      <c r="H10" s="48" t="str">
        <f>IFERROR(__xludf.DUMMYFUNCTION("CONCAT(A10,CONCAT(""_"", REGEXREPLACE(B10, "" "", """")))"),"RQ1.2.P3_ComponentRelationship")</f>
        <v>RQ1.2.P3_ComponentRelationship</v>
      </c>
      <c r="I10" s="48"/>
      <c r="J10" s="48"/>
      <c r="K10" s="48"/>
      <c r="L10" s="48"/>
      <c r="M10" s="48"/>
      <c r="N10" s="48"/>
      <c r="O10" s="48"/>
      <c r="P10" s="48"/>
      <c r="Q10" s="48"/>
      <c r="R10" s="48"/>
      <c r="S10" s="48"/>
      <c r="T10" s="48"/>
      <c r="U10" s="48"/>
      <c r="V10" s="48"/>
      <c r="W10" s="48"/>
      <c r="X10" s="48"/>
    </row>
    <row r="11" ht="48.0" customHeight="1">
      <c r="A11" s="50" t="s">
        <v>136</v>
      </c>
      <c r="B11" s="40"/>
      <c r="C11" s="40"/>
      <c r="D11" s="40"/>
      <c r="E11" s="41"/>
      <c r="F11" s="42"/>
      <c r="G11" s="42"/>
      <c r="H11" s="48"/>
      <c r="I11" s="42"/>
      <c r="J11" s="42"/>
      <c r="K11" s="42"/>
      <c r="L11" s="42"/>
      <c r="M11" s="42"/>
      <c r="N11" s="42"/>
      <c r="O11" s="42"/>
      <c r="P11" s="42"/>
      <c r="Q11" s="42"/>
      <c r="R11" s="42"/>
      <c r="S11" s="42"/>
      <c r="T11" s="42"/>
      <c r="U11" s="42"/>
      <c r="V11" s="42"/>
      <c r="W11" s="42"/>
      <c r="X11" s="42"/>
    </row>
    <row r="12">
      <c r="A12" s="51" t="s">
        <v>137</v>
      </c>
      <c r="B12" s="40"/>
      <c r="C12" s="40"/>
      <c r="D12" s="40"/>
      <c r="E12" s="41"/>
      <c r="F12" s="48"/>
      <c r="G12" s="48"/>
      <c r="H12" s="48"/>
      <c r="I12" s="48"/>
      <c r="J12" s="48"/>
      <c r="K12" s="48"/>
      <c r="L12" s="48"/>
      <c r="M12" s="48"/>
      <c r="N12" s="48"/>
      <c r="O12" s="48"/>
      <c r="P12" s="48"/>
      <c r="Q12" s="48"/>
      <c r="R12" s="48"/>
      <c r="S12" s="48"/>
      <c r="T12" s="48"/>
      <c r="U12" s="48"/>
      <c r="V12" s="48"/>
      <c r="W12" s="48"/>
      <c r="X12" s="48"/>
    </row>
    <row r="13">
      <c r="A13" s="44" t="s">
        <v>138</v>
      </c>
      <c r="B13" s="45" t="s">
        <v>139</v>
      </c>
      <c r="C13" s="44" t="s">
        <v>111</v>
      </c>
      <c r="D13" s="52" t="s">
        <v>140</v>
      </c>
      <c r="E13" s="52" t="s">
        <v>141</v>
      </c>
      <c r="F13" s="48"/>
      <c r="G13" s="48"/>
      <c r="H13" s="48" t="str">
        <f>IFERROR(__xludf.DUMMYFUNCTION("CONCAT(A13,CONCAT(""_"", REGEXREPLACE(B13, "" "", """")))"),"RQ2.1.P1_MeasurementLevel")</f>
        <v>RQ2.1.P1_MeasurementLevel</v>
      </c>
      <c r="I13" s="48"/>
      <c r="J13" s="48"/>
      <c r="K13" s="48"/>
      <c r="L13" s="48"/>
      <c r="M13" s="48"/>
      <c r="N13" s="48"/>
      <c r="O13" s="48"/>
      <c r="P13" s="48"/>
      <c r="Q13" s="48"/>
      <c r="R13" s="48"/>
      <c r="S13" s="48"/>
      <c r="T13" s="48"/>
      <c r="U13" s="48"/>
      <c r="V13" s="48"/>
      <c r="W13" s="48"/>
      <c r="X13" s="48"/>
    </row>
    <row r="14">
      <c r="A14" s="44" t="s">
        <v>142</v>
      </c>
      <c r="B14" s="45" t="s">
        <v>143</v>
      </c>
      <c r="C14" s="44" t="s">
        <v>111</v>
      </c>
      <c r="D14" s="52" t="s">
        <v>144</v>
      </c>
      <c r="E14" s="52" t="s">
        <v>145</v>
      </c>
      <c r="F14" s="48"/>
      <c r="G14" s="48"/>
      <c r="H14" s="48" t="str">
        <f>IFERROR(__xludf.DUMMYFUNCTION("CONCAT(A14,CONCAT(""_"", REGEXREPLACE(B14, "" "", """")))"),"RQ2.1.P2_MeasurementTechnique")</f>
        <v>RQ2.1.P2_MeasurementTechnique</v>
      </c>
      <c r="I14" s="48"/>
      <c r="J14" s="48"/>
      <c r="K14" s="48"/>
      <c r="L14" s="48"/>
      <c r="M14" s="48"/>
      <c r="N14" s="48"/>
      <c r="O14" s="48"/>
      <c r="P14" s="48"/>
      <c r="Q14" s="48"/>
      <c r="R14" s="48"/>
      <c r="S14" s="48"/>
      <c r="T14" s="48"/>
      <c r="U14" s="48"/>
      <c r="V14" s="48"/>
      <c r="W14" s="48"/>
      <c r="X14" s="48"/>
    </row>
    <row r="15">
      <c r="A15" s="44" t="s">
        <v>146</v>
      </c>
      <c r="B15" s="45" t="s">
        <v>147</v>
      </c>
      <c r="C15" s="44" t="s">
        <v>111</v>
      </c>
      <c r="D15" s="52" t="s">
        <v>148</v>
      </c>
      <c r="E15" s="52" t="s">
        <v>149</v>
      </c>
      <c r="F15" s="48"/>
      <c r="G15" s="48"/>
      <c r="H15" s="48" t="str">
        <f>IFERROR(__xludf.DUMMYFUNCTION("CONCAT(A15,CONCAT(""_"", REGEXREPLACE(B15, "" "", """")))"),"RQ2.1.P3_DataCollection")</f>
        <v>RQ2.1.P3_DataCollection</v>
      </c>
      <c r="I15" s="48"/>
      <c r="J15" s="48"/>
      <c r="K15" s="48"/>
      <c r="L15" s="48"/>
      <c r="M15" s="48"/>
      <c r="N15" s="48"/>
      <c r="O15" s="48"/>
      <c r="P15" s="48"/>
      <c r="Q15" s="48"/>
      <c r="R15" s="48"/>
      <c r="S15" s="48"/>
      <c r="T15" s="48"/>
      <c r="U15" s="48"/>
      <c r="V15" s="48"/>
      <c r="W15" s="48"/>
      <c r="X15" s="48"/>
    </row>
    <row r="16">
      <c r="A16" s="44" t="s">
        <v>150</v>
      </c>
      <c r="B16" s="45" t="s">
        <v>151</v>
      </c>
      <c r="C16" s="44" t="s">
        <v>111</v>
      </c>
      <c r="D16" s="52" t="s">
        <v>152</v>
      </c>
      <c r="E16" s="52" t="s">
        <v>153</v>
      </c>
      <c r="F16" s="48"/>
      <c r="G16" s="48"/>
      <c r="H16" s="48" t="str">
        <f>IFERROR(__xludf.DUMMYFUNCTION("CONCAT(A16,CONCAT(""_"", REGEXREPLACE(B16, "" "", """")))"),"RQ2.1.P4_ImplementationApproach")</f>
        <v>RQ2.1.P4_ImplementationApproach</v>
      </c>
      <c r="I16" s="48"/>
      <c r="J16" s="48"/>
      <c r="K16" s="48"/>
      <c r="L16" s="48"/>
      <c r="M16" s="48"/>
      <c r="N16" s="48"/>
      <c r="O16" s="48"/>
      <c r="P16" s="48"/>
      <c r="Q16" s="48"/>
      <c r="R16" s="48"/>
      <c r="S16" s="48"/>
      <c r="T16" s="48"/>
      <c r="U16" s="48"/>
      <c r="V16" s="48"/>
      <c r="W16" s="48"/>
      <c r="X16" s="48"/>
    </row>
    <row r="17">
      <c r="A17" s="43" t="s">
        <v>154</v>
      </c>
      <c r="B17" s="40"/>
      <c r="C17" s="40"/>
      <c r="D17" s="40"/>
      <c r="E17" s="41"/>
      <c r="F17" s="48"/>
      <c r="G17" s="48"/>
      <c r="H17" s="48"/>
      <c r="I17" s="48"/>
      <c r="J17" s="48"/>
      <c r="K17" s="48"/>
      <c r="L17" s="48"/>
      <c r="M17" s="48"/>
      <c r="N17" s="48"/>
      <c r="O17" s="48"/>
      <c r="P17" s="48"/>
      <c r="Q17" s="48"/>
      <c r="R17" s="48"/>
      <c r="S17" s="48"/>
      <c r="T17" s="48"/>
      <c r="U17" s="48"/>
      <c r="V17" s="48"/>
      <c r="W17" s="48"/>
      <c r="X17" s="48"/>
    </row>
    <row r="18">
      <c r="A18" s="44" t="s">
        <v>155</v>
      </c>
      <c r="B18" s="45" t="s">
        <v>156</v>
      </c>
      <c r="C18" s="44" t="s">
        <v>111</v>
      </c>
      <c r="D18" s="52" t="s">
        <v>157</v>
      </c>
      <c r="E18" s="52" t="s">
        <v>158</v>
      </c>
      <c r="F18" s="48"/>
      <c r="G18" s="48"/>
      <c r="H18" s="48" t="str">
        <f>IFERROR(__xludf.DUMMYFUNCTION("CONCAT(A18,CONCAT(""_"", REGEXREPLACE(B18, "" "", """")))"),"RQ2.2.P1_ToolType")</f>
        <v>RQ2.2.P1_ToolType</v>
      </c>
      <c r="I18" s="48"/>
      <c r="J18" s="48"/>
      <c r="K18" s="48"/>
      <c r="L18" s="48"/>
      <c r="M18" s="48"/>
      <c r="N18" s="48"/>
      <c r="O18" s="48"/>
      <c r="P18" s="48"/>
      <c r="Q18" s="48"/>
      <c r="R18" s="48"/>
      <c r="S18" s="48"/>
      <c r="T18" s="48"/>
      <c r="U18" s="48"/>
      <c r="V18" s="48"/>
      <c r="W18" s="48"/>
      <c r="X18" s="48"/>
    </row>
    <row r="19">
      <c r="A19" s="44" t="s">
        <v>159</v>
      </c>
      <c r="B19" s="45" t="s">
        <v>160</v>
      </c>
      <c r="C19" s="44" t="s">
        <v>111</v>
      </c>
      <c r="D19" s="52" t="s">
        <v>161</v>
      </c>
      <c r="E19" s="52" t="s">
        <v>162</v>
      </c>
      <c r="F19" s="48"/>
      <c r="G19" s="48"/>
      <c r="H19" s="48" t="str">
        <f>IFERROR(__xludf.DUMMYFUNCTION("CONCAT(A19,CONCAT(""_"", REGEXREPLACE(B19, "" "", """")))"),"RQ2.2.P2_DeploymentMethod")</f>
        <v>RQ2.2.P2_DeploymentMethod</v>
      </c>
      <c r="I19" s="48"/>
      <c r="J19" s="48"/>
      <c r="K19" s="48"/>
      <c r="L19" s="48"/>
      <c r="M19" s="48"/>
      <c r="N19" s="48"/>
      <c r="O19" s="48"/>
      <c r="P19" s="48"/>
      <c r="Q19" s="48"/>
      <c r="R19" s="48"/>
      <c r="S19" s="48"/>
      <c r="T19" s="48"/>
      <c r="U19" s="48"/>
      <c r="V19" s="48"/>
      <c r="W19" s="48"/>
      <c r="X19" s="48"/>
    </row>
    <row r="20">
      <c r="A20" s="44" t="s">
        <v>163</v>
      </c>
      <c r="B20" s="45" t="s">
        <v>164</v>
      </c>
      <c r="C20" s="44" t="s">
        <v>111</v>
      </c>
      <c r="D20" s="53" t="s">
        <v>165</v>
      </c>
      <c r="E20" s="52" t="s">
        <v>166</v>
      </c>
      <c r="F20" s="48"/>
      <c r="G20" s="48"/>
      <c r="H20" s="48" t="str">
        <f>IFERROR(__xludf.DUMMYFUNCTION("CONCAT(A20,CONCAT(""_"", REGEXREPLACE(B20, "" "", """")))"),"RQ2.2.P3_AnalysisCapability")</f>
        <v>RQ2.2.P3_AnalysisCapability</v>
      </c>
      <c r="I20" s="48"/>
      <c r="J20" s="48"/>
      <c r="K20" s="48"/>
      <c r="L20" s="48"/>
      <c r="M20" s="48"/>
      <c r="N20" s="48"/>
      <c r="O20" s="48"/>
      <c r="P20" s="48"/>
      <c r="Q20" s="48"/>
      <c r="R20" s="48"/>
      <c r="S20" s="48"/>
      <c r="T20" s="48"/>
      <c r="U20" s="48"/>
      <c r="V20" s="48"/>
      <c r="W20" s="48"/>
      <c r="X20" s="48"/>
    </row>
    <row r="21">
      <c r="A21" s="44" t="s">
        <v>167</v>
      </c>
      <c r="B21" s="45" t="s">
        <v>168</v>
      </c>
      <c r="C21" s="44" t="s">
        <v>111</v>
      </c>
      <c r="D21" s="52" t="s">
        <v>169</v>
      </c>
      <c r="E21" s="52" t="s">
        <v>170</v>
      </c>
      <c r="F21" s="48"/>
      <c r="G21" s="48"/>
      <c r="H21" s="48" t="str">
        <f>IFERROR(__xludf.DUMMYFUNCTION("CONCAT(A21,CONCAT(""_"", REGEXREPLACE(B21, "" "", """")))"),"RQ2.2.P4_Granularity")</f>
        <v>RQ2.2.P4_Granularity</v>
      </c>
      <c r="I21" s="48"/>
      <c r="J21" s="48"/>
      <c r="K21" s="48"/>
      <c r="L21" s="48"/>
      <c r="M21" s="48"/>
      <c r="N21" s="48"/>
      <c r="O21" s="48"/>
      <c r="P21" s="48"/>
      <c r="Q21" s="48"/>
      <c r="R21" s="48"/>
      <c r="S21" s="48"/>
      <c r="T21" s="48"/>
      <c r="U21" s="48"/>
      <c r="V21" s="48"/>
      <c r="W21" s="48"/>
      <c r="X21" s="48"/>
    </row>
    <row r="22">
      <c r="A22" s="43" t="s">
        <v>171</v>
      </c>
      <c r="B22" s="40"/>
      <c r="C22" s="40"/>
      <c r="D22" s="40"/>
      <c r="E22" s="41"/>
      <c r="F22" s="48"/>
      <c r="G22" s="48"/>
      <c r="H22" s="48"/>
      <c r="I22" s="48"/>
      <c r="J22" s="48"/>
      <c r="K22" s="48"/>
      <c r="L22" s="48"/>
      <c r="M22" s="48"/>
      <c r="N22" s="48"/>
      <c r="O22" s="48"/>
      <c r="P22" s="48"/>
      <c r="Q22" s="48"/>
      <c r="R22" s="48"/>
      <c r="S22" s="48"/>
      <c r="T22" s="48"/>
      <c r="U22" s="48"/>
      <c r="V22" s="48"/>
      <c r="W22" s="48"/>
      <c r="X22" s="48"/>
    </row>
    <row r="23" ht="15.75" customHeight="1">
      <c r="A23" s="44" t="s">
        <v>172</v>
      </c>
      <c r="B23" s="45" t="s">
        <v>173</v>
      </c>
      <c r="C23" s="44" t="s">
        <v>111</v>
      </c>
      <c r="D23" s="52" t="s">
        <v>174</v>
      </c>
      <c r="E23" s="52" t="s">
        <v>175</v>
      </c>
      <c r="F23" s="48"/>
      <c r="G23" s="48"/>
      <c r="H23" s="48" t="str">
        <f>IFERROR(__xludf.DUMMYFUNCTION("CONCAT(A23,CONCAT(""_"", REGEXREPLACE(B23, "" "", """")))"),"RQ2.3.P1_MetricType")</f>
        <v>RQ2.3.P1_MetricType</v>
      </c>
      <c r="I23" s="48"/>
      <c r="J23" s="48"/>
      <c r="K23" s="48"/>
      <c r="L23" s="48"/>
      <c r="M23" s="48"/>
      <c r="N23" s="48"/>
      <c r="O23" s="48"/>
      <c r="P23" s="48"/>
      <c r="Q23" s="48"/>
      <c r="R23" s="48"/>
      <c r="S23" s="48"/>
      <c r="T23" s="48"/>
      <c r="U23" s="48"/>
      <c r="V23" s="48"/>
      <c r="W23" s="48"/>
      <c r="X23" s="48"/>
    </row>
    <row r="24" ht="15.75" customHeight="1">
      <c r="A24" s="44" t="s">
        <v>176</v>
      </c>
      <c r="B24" s="45" t="s">
        <v>177</v>
      </c>
      <c r="C24" s="44" t="s">
        <v>129</v>
      </c>
      <c r="D24" s="52" t="s">
        <v>178</v>
      </c>
      <c r="E24" s="52" t="s">
        <v>179</v>
      </c>
      <c r="F24" s="48"/>
      <c r="G24" s="48"/>
      <c r="H24" s="48" t="str">
        <f>IFERROR(__xludf.DUMMYFUNCTION("CONCAT(A24,CONCAT(""_"", REGEXREPLACE(B24, "" "", """")))"),"RQ2.3.P2_MeasurementScope")</f>
        <v>RQ2.3.P2_MeasurementScope</v>
      </c>
      <c r="I24" s="48"/>
      <c r="J24" s="48"/>
      <c r="K24" s="48"/>
      <c r="L24" s="48"/>
      <c r="M24" s="48"/>
      <c r="N24" s="48"/>
      <c r="O24" s="48"/>
      <c r="P24" s="48"/>
      <c r="Q24" s="48"/>
      <c r="R24" s="48"/>
      <c r="S24" s="48"/>
      <c r="T24" s="48"/>
      <c r="U24" s="48"/>
      <c r="V24" s="48"/>
      <c r="W24" s="48"/>
      <c r="X24" s="48"/>
    </row>
    <row r="25" ht="15.75" customHeight="1">
      <c r="A25" s="44" t="s">
        <v>180</v>
      </c>
      <c r="B25" s="45" t="s">
        <v>181</v>
      </c>
      <c r="C25" s="44" t="s">
        <v>129</v>
      </c>
      <c r="D25" s="52" t="s">
        <v>182</v>
      </c>
      <c r="E25" s="52" t="s">
        <v>183</v>
      </c>
      <c r="F25" s="48"/>
      <c r="G25" s="48"/>
      <c r="H25" s="48" t="str">
        <f>IFERROR(__xludf.DUMMYFUNCTION("CONCAT(A25,CONCAT(""_"", REGEXREPLACE(B25, "" "", """")))"),"RQ2.3.P3_NormalizationBasis")</f>
        <v>RQ2.3.P3_NormalizationBasis</v>
      </c>
      <c r="I25" s="48"/>
      <c r="J25" s="48"/>
      <c r="K25" s="48"/>
      <c r="L25" s="48"/>
      <c r="M25" s="48"/>
      <c r="N25" s="48"/>
      <c r="O25" s="48"/>
      <c r="P25" s="48"/>
      <c r="Q25" s="48"/>
      <c r="R25" s="48"/>
      <c r="S25" s="48"/>
      <c r="T25" s="48"/>
      <c r="U25" s="48"/>
      <c r="V25" s="48"/>
      <c r="W25" s="48"/>
      <c r="X25" s="48"/>
    </row>
    <row r="26" ht="15.75" customHeight="1">
      <c r="A26" s="44" t="s">
        <v>184</v>
      </c>
      <c r="B26" s="45" t="s">
        <v>185</v>
      </c>
      <c r="C26" s="44" t="s">
        <v>129</v>
      </c>
      <c r="D26" s="52" t="s">
        <v>186</v>
      </c>
      <c r="E26" s="52" t="s">
        <v>187</v>
      </c>
      <c r="F26" s="48"/>
      <c r="G26" s="48"/>
      <c r="H26" s="48" t="str">
        <f>IFERROR(__xludf.DUMMYFUNCTION("CONCAT(A26,CONCAT(""_"", REGEXREPLACE(B26, "" "", """")))"),"RQ2.3.P4_BusinessRelevance")</f>
        <v>RQ2.3.P4_BusinessRelevance</v>
      </c>
      <c r="I26" s="48"/>
      <c r="J26" s="48"/>
      <c r="K26" s="48"/>
      <c r="L26" s="48"/>
      <c r="M26" s="48"/>
      <c r="N26" s="48"/>
      <c r="O26" s="48"/>
      <c r="P26" s="48"/>
      <c r="Q26" s="48"/>
      <c r="R26" s="48"/>
      <c r="S26" s="48"/>
      <c r="T26" s="48"/>
      <c r="U26" s="48"/>
      <c r="V26" s="48"/>
      <c r="W26" s="48"/>
      <c r="X26" s="48"/>
    </row>
    <row r="27" ht="48.0" customHeight="1">
      <c r="A27" s="39" t="s">
        <v>188</v>
      </c>
      <c r="B27" s="40"/>
      <c r="C27" s="40"/>
      <c r="D27" s="40"/>
      <c r="E27" s="41"/>
      <c r="F27" s="48"/>
      <c r="G27" s="48"/>
      <c r="H27" s="48"/>
      <c r="I27" s="48"/>
      <c r="J27" s="48"/>
      <c r="K27" s="48"/>
      <c r="L27" s="48"/>
      <c r="M27" s="48"/>
      <c r="N27" s="48"/>
      <c r="O27" s="48"/>
      <c r="P27" s="48"/>
      <c r="Q27" s="48"/>
      <c r="R27" s="48"/>
      <c r="S27" s="48"/>
      <c r="T27" s="48"/>
      <c r="U27" s="48"/>
      <c r="V27" s="48"/>
      <c r="W27" s="48"/>
      <c r="X27" s="48"/>
    </row>
    <row r="28" ht="15.75" customHeight="1">
      <c r="A28" s="43" t="s">
        <v>189</v>
      </c>
      <c r="B28" s="40"/>
      <c r="C28" s="40"/>
      <c r="D28" s="40"/>
      <c r="E28" s="41"/>
      <c r="F28" s="48"/>
      <c r="G28" s="48"/>
      <c r="H28" s="48"/>
      <c r="I28" s="48"/>
      <c r="J28" s="48"/>
      <c r="K28" s="48"/>
      <c r="L28" s="48"/>
      <c r="M28" s="48"/>
      <c r="N28" s="48"/>
      <c r="O28" s="48"/>
      <c r="P28" s="48"/>
      <c r="Q28" s="48"/>
      <c r="R28" s="48"/>
      <c r="S28" s="48"/>
      <c r="T28" s="48"/>
      <c r="U28" s="48"/>
      <c r="V28" s="48"/>
      <c r="W28" s="48"/>
      <c r="X28" s="48"/>
    </row>
    <row r="29" ht="15.75" customHeight="1">
      <c r="A29" s="44" t="s">
        <v>190</v>
      </c>
      <c r="B29" s="45" t="s">
        <v>191</v>
      </c>
      <c r="C29" s="44" t="s">
        <v>111</v>
      </c>
      <c r="D29" s="52" t="s">
        <v>192</v>
      </c>
      <c r="E29" s="52" t="s">
        <v>193</v>
      </c>
      <c r="F29" s="48"/>
      <c r="G29" s="48"/>
      <c r="H29" s="48" t="str">
        <f>IFERROR(__xludf.DUMMYFUNCTION("CONCAT(A29,CONCAT(""_"", REGEXREPLACE(B29, "" "", """")))"),"RQ3.1.P1_EnergyManagementStrategy")</f>
        <v>RQ3.1.P1_EnergyManagementStrategy</v>
      </c>
      <c r="I29" s="48"/>
      <c r="J29" s="48"/>
      <c r="K29" s="48"/>
      <c r="L29" s="48"/>
      <c r="M29" s="48"/>
      <c r="N29" s="48"/>
      <c r="O29" s="48"/>
      <c r="P29" s="48"/>
      <c r="Q29" s="48"/>
      <c r="R29" s="48"/>
      <c r="S29" s="48"/>
      <c r="T29" s="48"/>
      <c r="U29" s="48"/>
      <c r="V29" s="48"/>
      <c r="W29" s="48"/>
      <c r="X29" s="48"/>
    </row>
    <row r="30" ht="15.75" customHeight="1">
      <c r="A30" s="44" t="s">
        <v>194</v>
      </c>
      <c r="B30" s="45" t="s">
        <v>195</v>
      </c>
      <c r="C30" s="44" t="s">
        <v>111</v>
      </c>
      <c r="D30" s="52" t="s">
        <v>196</v>
      </c>
      <c r="E30" s="52" t="s">
        <v>197</v>
      </c>
      <c r="F30" s="48"/>
      <c r="G30" s="48"/>
      <c r="H30" s="48" t="str">
        <f>IFERROR(__xludf.DUMMYFUNCTION("CONCAT(A30,CONCAT(""_"", REGEXREPLACE(B30, "" "", """")))"),"RQ3.1.P2_TacticCategory")</f>
        <v>RQ3.1.P2_TacticCategory</v>
      </c>
      <c r="I30" s="48"/>
      <c r="J30" s="48"/>
      <c r="K30" s="48"/>
      <c r="L30" s="48"/>
      <c r="M30" s="48"/>
      <c r="N30" s="48"/>
      <c r="O30" s="48"/>
      <c r="P30" s="48"/>
      <c r="Q30" s="48"/>
      <c r="R30" s="48"/>
      <c r="S30" s="48"/>
      <c r="T30" s="48"/>
      <c r="U30" s="48"/>
      <c r="V30" s="48"/>
      <c r="W30" s="48"/>
      <c r="X30" s="48"/>
    </row>
    <row r="31" ht="15.75" customHeight="1">
      <c r="A31" s="44" t="s">
        <v>198</v>
      </c>
      <c r="B31" s="45" t="s">
        <v>199</v>
      </c>
      <c r="C31" s="44" t="s">
        <v>111</v>
      </c>
      <c r="D31" s="52" t="s">
        <v>200</v>
      </c>
      <c r="E31" s="52" t="s">
        <v>201</v>
      </c>
      <c r="F31" s="48"/>
      <c r="G31" s="48"/>
      <c r="H31" s="48" t="str">
        <f>IFERROR(__xludf.DUMMYFUNCTION("CONCAT(A31,CONCAT(""_"", REGEXREPLACE(B31, "" "", """")))"),"RQ3.1.P3_ImplementationTechnologies")</f>
        <v>RQ3.1.P3_ImplementationTechnologies</v>
      </c>
      <c r="I31" s="48"/>
      <c r="J31" s="48"/>
      <c r="K31" s="48"/>
      <c r="L31" s="48"/>
      <c r="M31" s="48"/>
      <c r="N31" s="48"/>
      <c r="O31" s="48"/>
      <c r="P31" s="48"/>
      <c r="Q31" s="48"/>
      <c r="R31" s="48"/>
      <c r="S31" s="48"/>
      <c r="T31" s="48"/>
      <c r="U31" s="48"/>
      <c r="V31" s="48"/>
      <c r="W31" s="48"/>
      <c r="X31" s="48"/>
    </row>
    <row r="32" ht="15.75" customHeight="1">
      <c r="A32" s="43" t="s">
        <v>202</v>
      </c>
      <c r="B32" s="40"/>
      <c r="C32" s="40"/>
      <c r="D32" s="40"/>
      <c r="E32" s="41"/>
      <c r="F32" s="48"/>
      <c r="G32" s="48"/>
      <c r="H32" s="48"/>
      <c r="I32" s="54"/>
      <c r="J32" s="54"/>
      <c r="K32" s="54"/>
      <c r="L32" s="54"/>
      <c r="M32" s="54"/>
      <c r="N32" s="54"/>
      <c r="O32" s="54"/>
      <c r="P32" s="54"/>
      <c r="Q32" s="54"/>
      <c r="R32" s="54"/>
      <c r="S32" s="54"/>
      <c r="T32" s="54"/>
      <c r="U32" s="54"/>
      <c r="V32" s="54"/>
      <c r="W32" s="54"/>
      <c r="X32" s="54"/>
    </row>
    <row r="33" ht="15.75" customHeight="1">
      <c r="A33" s="44" t="s">
        <v>203</v>
      </c>
      <c r="B33" s="45" t="s">
        <v>204</v>
      </c>
      <c r="C33" s="44" t="s">
        <v>129</v>
      </c>
      <c r="D33" s="52" t="s">
        <v>205</v>
      </c>
      <c r="E33" s="52" t="s">
        <v>206</v>
      </c>
      <c r="F33" s="48"/>
      <c r="G33" s="48"/>
      <c r="H33" s="48" t="str">
        <f>IFERROR(__xludf.DUMMYFUNCTION("CONCAT(A33,CONCAT(""_"", REGEXREPLACE(B33, "" "", """")))"),"RQ3.2.P1_QualityAttribute")</f>
        <v>RQ3.2.P1_QualityAttribute</v>
      </c>
      <c r="I33" s="48"/>
      <c r="J33" s="48"/>
      <c r="K33" s="48"/>
      <c r="L33" s="48"/>
      <c r="M33" s="48"/>
      <c r="N33" s="48"/>
      <c r="O33" s="48"/>
      <c r="P33" s="48"/>
      <c r="Q33" s="48"/>
      <c r="R33" s="48"/>
      <c r="S33" s="48"/>
      <c r="T33" s="48"/>
      <c r="U33" s="48"/>
      <c r="V33" s="48"/>
      <c r="W33" s="48"/>
      <c r="X33" s="48"/>
    </row>
    <row r="34" ht="15.75" customHeight="1">
      <c r="A34" s="44" t="s">
        <v>207</v>
      </c>
      <c r="B34" s="45" t="s">
        <v>208</v>
      </c>
      <c r="C34" s="44" t="s">
        <v>111</v>
      </c>
      <c r="D34" s="52" t="s">
        <v>209</v>
      </c>
      <c r="E34" s="52" t="s">
        <v>210</v>
      </c>
      <c r="F34" s="48"/>
      <c r="G34" s="48"/>
      <c r="H34" s="48" t="str">
        <f>IFERROR(__xludf.DUMMYFUNCTION("CONCAT(A34,CONCAT(""_"", REGEXREPLACE(B34, "" "", """")))"),"RQ3.2.P2_Trade-offRelationship")</f>
        <v>RQ3.2.P2_Trade-offRelationship</v>
      </c>
      <c r="I34" s="48"/>
      <c r="J34" s="48"/>
      <c r="K34" s="48"/>
      <c r="L34" s="48"/>
      <c r="M34" s="48"/>
      <c r="N34" s="48"/>
      <c r="O34" s="48"/>
      <c r="P34" s="48"/>
      <c r="Q34" s="48"/>
      <c r="R34" s="48"/>
      <c r="S34" s="48"/>
      <c r="T34" s="48"/>
      <c r="U34" s="48"/>
      <c r="V34" s="48"/>
      <c r="W34" s="48"/>
      <c r="X34" s="48"/>
    </row>
    <row r="35" ht="15.75" customHeight="1">
      <c r="A35" s="44" t="s">
        <v>211</v>
      </c>
      <c r="B35" s="45" t="s">
        <v>212</v>
      </c>
      <c r="C35" s="44" t="s">
        <v>111</v>
      </c>
      <c r="D35" s="52" t="s">
        <v>213</v>
      </c>
      <c r="E35" s="52" t="s">
        <v>214</v>
      </c>
      <c r="F35" s="48"/>
      <c r="G35" s="48"/>
      <c r="H35" s="48" t="str">
        <f>IFERROR(__xludf.DUMMYFUNCTION("CONCAT(A35,CONCAT(""_"", REGEXREPLACE(B35, "" "", """")))"),"RQ3.2.P3_Trade-offStrategy")</f>
        <v>RQ3.2.P3_Trade-offStrategy</v>
      </c>
      <c r="I35" s="48"/>
      <c r="J35" s="48"/>
      <c r="K35" s="48"/>
      <c r="L35" s="48"/>
      <c r="M35" s="48"/>
      <c r="N35" s="48"/>
      <c r="O35" s="48"/>
      <c r="P35" s="48"/>
      <c r="Q35" s="48"/>
      <c r="R35" s="48"/>
      <c r="S35" s="48"/>
      <c r="T35" s="48"/>
      <c r="U35" s="48"/>
      <c r="V35" s="48"/>
      <c r="W35" s="48"/>
      <c r="X35" s="48"/>
    </row>
    <row r="36" ht="15.75" customHeight="1">
      <c r="A36" s="43" t="s">
        <v>215</v>
      </c>
      <c r="B36" s="40"/>
      <c r="C36" s="40"/>
      <c r="D36" s="40"/>
      <c r="E36" s="41"/>
      <c r="F36" s="48"/>
      <c r="G36" s="48"/>
      <c r="H36" s="48"/>
      <c r="I36" s="54"/>
      <c r="J36" s="54"/>
      <c r="K36" s="54"/>
      <c r="L36" s="54"/>
      <c r="M36" s="54"/>
      <c r="N36" s="54"/>
      <c r="O36" s="54"/>
      <c r="P36" s="54"/>
      <c r="Q36" s="54"/>
      <c r="R36" s="54"/>
      <c r="S36" s="54"/>
      <c r="T36" s="54"/>
      <c r="U36" s="54"/>
      <c r="V36" s="54"/>
      <c r="W36" s="54"/>
      <c r="X36" s="54"/>
    </row>
    <row r="37" ht="15.75" customHeight="1">
      <c r="A37" s="44" t="s">
        <v>216</v>
      </c>
      <c r="B37" s="45" t="s">
        <v>217</v>
      </c>
      <c r="C37" s="44" t="s">
        <v>111</v>
      </c>
      <c r="D37" s="52" t="s">
        <v>218</v>
      </c>
      <c r="E37" s="52" t="s">
        <v>219</v>
      </c>
      <c r="F37" s="48"/>
      <c r="G37" s="48"/>
      <c r="H37" s="48" t="str">
        <f>IFERROR(__xludf.DUMMYFUNCTION("CONCAT(A37,CONCAT(""_"", REGEXREPLACE(B37, "" "", """")))"),"RQ3.3.P1_ChallengeType")</f>
        <v>RQ3.3.P1_ChallengeType</v>
      </c>
      <c r="I37" s="48"/>
      <c r="J37" s="48"/>
      <c r="K37" s="48"/>
      <c r="L37" s="48"/>
      <c r="M37" s="48"/>
      <c r="N37" s="48"/>
      <c r="O37" s="48"/>
      <c r="P37" s="48"/>
      <c r="Q37" s="48"/>
      <c r="R37" s="48"/>
      <c r="S37" s="48"/>
      <c r="T37" s="48"/>
      <c r="U37" s="48"/>
      <c r="V37" s="48"/>
      <c r="W37" s="48"/>
      <c r="X37" s="48"/>
    </row>
    <row r="38" ht="15.75" customHeight="1">
      <c r="A38" s="44" t="s">
        <v>220</v>
      </c>
      <c r="B38" s="45" t="s">
        <v>221</v>
      </c>
      <c r="C38" s="44" t="s">
        <v>111</v>
      </c>
      <c r="D38" s="52" t="s">
        <v>222</v>
      </c>
      <c r="E38" s="52" t="s">
        <v>223</v>
      </c>
      <c r="F38" s="48"/>
      <c r="G38" s="48"/>
      <c r="H38" s="48" t="str">
        <f>IFERROR(__xludf.DUMMYFUNCTION("CONCAT(A38,CONCAT(""_"", REGEXREPLACE(B38, "" "", """")))"),"RQ3.3.P2_AdoptionPhase")</f>
        <v>RQ3.3.P2_AdoptionPhase</v>
      </c>
      <c r="I38" s="48"/>
      <c r="J38" s="48"/>
      <c r="K38" s="48"/>
      <c r="L38" s="48"/>
      <c r="M38" s="48"/>
      <c r="N38" s="48"/>
      <c r="O38" s="48"/>
      <c r="P38" s="48"/>
      <c r="Q38" s="48"/>
      <c r="R38" s="48"/>
      <c r="S38" s="48"/>
      <c r="T38" s="48"/>
      <c r="U38" s="48"/>
      <c r="V38" s="48"/>
      <c r="W38" s="48"/>
      <c r="X38" s="48"/>
    </row>
    <row r="39" ht="15.75" customHeight="1">
      <c r="A39" s="44" t="s">
        <v>224</v>
      </c>
      <c r="B39" s="45" t="s">
        <v>225</v>
      </c>
      <c r="C39" s="44" t="s">
        <v>111</v>
      </c>
      <c r="D39" s="55"/>
      <c r="E39" s="52" t="s">
        <v>226</v>
      </c>
      <c r="F39" s="48"/>
      <c r="G39" s="48"/>
      <c r="H39" s="48" t="str">
        <f>IFERROR(__xludf.DUMMYFUNCTION("CONCAT(A39,CONCAT(""_"", REGEXREPLACE(B39, "" "", """")))"),"RQ3.3.P3_ChallengeComplexity")</f>
        <v>RQ3.3.P3_ChallengeComplexity</v>
      </c>
      <c r="I39" s="48"/>
      <c r="J39" s="48"/>
      <c r="K39" s="48"/>
      <c r="L39" s="48"/>
      <c r="M39" s="48"/>
      <c r="N39" s="48"/>
      <c r="O39" s="48"/>
      <c r="P39" s="48"/>
      <c r="Q39" s="48"/>
      <c r="R39" s="48"/>
      <c r="S39" s="48"/>
      <c r="T39" s="48"/>
      <c r="U39" s="48"/>
      <c r="V39" s="48"/>
      <c r="W39" s="48"/>
      <c r="X39" s="48"/>
    </row>
    <row r="40" ht="15.75" customHeight="1">
      <c r="A40" s="44" t="s">
        <v>227</v>
      </c>
      <c r="B40" s="45" t="s">
        <v>228</v>
      </c>
      <c r="C40" s="44" t="s">
        <v>111</v>
      </c>
      <c r="D40" s="52" t="s">
        <v>229</v>
      </c>
      <c r="E40" s="52" t="s">
        <v>230</v>
      </c>
      <c r="F40" s="48"/>
      <c r="G40" s="48"/>
      <c r="H40" s="48" t="str">
        <f>IFERROR(__xludf.DUMMYFUNCTION("CONCAT(A40,CONCAT(""_"", REGEXREPLACE(B40, "" "", """")))"),"RQ3.3.P4_MitigationApproach")</f>
        <v>RQ3.3.P4_MitigationApproach</v>
      </c>
      <c r="I40" s="48"/>
      <c r="J40" s="48"/>
      <c r="K40" s="48"/>
      <c r="L40" s="48"/>
      <c r="M40" s="48"/>
      <c r="N40" s="48"/>
      <c r="O40" s="48"/>
      <c r="P40" s="48"/>
      <c r="Q40" s="48"/>
      <c r="R40" s="48"/>
      <c r="S40" s="48"/>
      <c r="T40" s="48"/>
      <c r="U40" s="48"/>
      <c r="V40" s="48"/>
      <c r="W40" s="48"/>
      <c r="X40" s="48"/>
    </row>
    <row r="41" ht="15.75" customHeight="1">
      <c r="A41" s="56"/>
      <c r="B41" s="48"/>
      <c r="C41" s="48"/>
      <c r="D41" s="27"/>
      <c r="E41" s="27"/>
      <c r="F41" s="48"/>
      <c r="G41" s="48"/>
      <c r="H41" s="48"/>
      <c r="I41" s="48"/>
      <c r="J41" s="48"/>
      <c r="K41" s="48"/>
      <c r="L41" s="48"/>
      <c r="M41" s="48"/>
      <c r="N41" s="48"/>
      <c r="O41" s="48"/>
      <c r="P41" s="48"/>
      <c r="Q41" s="48"/>
      <c r="R41" s="48"/>
      <c r="S41" s="48"/>
      <c r="T41" s="48"/>
      <c r="U41" s="48"/>
      <c r="V41" s="48"/>
      <c r="W41" s="48"/>
      <c r="X41" s="48"/>
    </row>
    <row r="42" ht="15.75" customHeight="1">
      <c r="A42" s="56"/>
      <c r="B42" s="48"/>
      <c r="C42" s="48"/>
      <c r="D42" s="27"/>
      <c r="E42" s="27"/>
      <c r="F42" s="48"/>
      <c r="G42" s="48"/>
      <c r="H42" s="48"/>
      <c r="I42" s="48"/>
      <c r="J42" s="48"/>
      <c r="K42" s="48"/>
      <c r="L42" s="48"/>
      <c r="M42" s="48"/>
      <c r="N42" s="48"/>
      <c r="O42" s="48"/>
      <c r="P42" s="48"/>
      <c r="Q42" s="48"/>
      <c r="R42" s="48"/>
      <c r="S42" s="48"/>
      <c r="T42" s="48"/>
      <c r="U42" s="48"/>
      <c r="V42" s="48"/>
      <c r="W42" s="48"/>
      <c r="X42" s="48"/>
    </row>
    <row r="43" ht="15.75" customHeight="1">
      <c r="A43" s="56"/>
      <c r="B43" s="48"/>
      <c r="C43" s="48"/>
      <c r="D43" s="27"/>
      <c r="E43" s="27"/>
      <c r="F43" s="48"/>
      <c r="G43" s="48"/>
      <c r="H43" s="48"/>
      <c r="I43" s="48"/>
      <c r="J43" s="48"/>
      <c r="K43" s="48"/>
      <c r="L43" s="48"/>
      <c r="M43" s="48"/>
      <c r="N43" s="48"/>
      <c r="O43" s="48"/>
      <c r="P43" s="48"/>
      <c r="Q43" s="48"/>
      <c r="R43" s="48"/>
      <c r="S43" s="48"/>
      <c r="T43" s="48"/>
      <c r="U43" s="48"/>
      <c r="V43" s="48"/>
      <c r="W43" s="48"/>
      <c r="X43" s="48"/>
    </row>
    <row r="44" ht="15.75" customHeight="1">
      <c r="A44" s="56"/>
      <c r="B44" s="48"/>
      <c r="C44" s="48"/>
      <c r="D44" s="27"/>
      <c r="E44" s="27"/>
      <c r="F44" s="48"/>
      <c r="G44" s="48"/>
      <c r="H44" s="48"/>
      <c r="I44" s="48"/>
      <c r="J44" s="48"/>
      <c r="K44" s="48"/>
      <c r="L44" s="48"/>
      <c r="M44" s="48"/>
      <c r="N44" s="48"/>
      <c r="O44" s="48"/>
      <c r="P44" s="48"/>
      <c r="Q44" s="48"/>
      <c r="R44" s="48"/>
      <c r="S44" s="48"/>
      <c r="T44" s="48"/>
      <c r="U44" s="48"/>
      <c r="V44" s="48"/>
      <c r="W44" s="48"/>
      <c r="X44" s="48"/>
    </row>
    <row r="45" ht="15.75" customHeight="1">
      <c r="A45" s="56"/>
      <c r="B45" s="48"/>
      <c r="C45" s="48"/>
      <c r="D45" s="27"/>
      <c r="E45" s="27"/>
      <c r="F45" s="48"/>
      <c r="G45" s="48"/>
      <c r="H45" s="48"/>
      <c r="I45" s="48"/>
      <c r="J45" s="48"/>
      <c r="K45" s="48"/>
      <c r="L45" s="48"/>
      <c r="M45" s="48"/>
      <c r="N45" s="48"/>
      <c r="O45" s="48"/>
      <c r="P45" s="48"/>
      <c r="Q45" s="48"/>
      <c r="R45" s="48"/>
      <c r="S45" s="48"/>
      <c r="T45" s="48"/>
      <c r="U45" s="48"/>
      <c r="V45" s="48"/>
      <c r="W45" s="48"/>
      <c r="X45" s="48"/>
    </row>
    <row r="46" ht="15.75" customHeight="1">
      <c r="A46" s="56"/>
      <c r="B46" s="48"/>
      <c r="C46" s="48"/>
      <c r="D46" s="27"/>
      <c r="E46" s="27"/>
      <c r="F46" s="48"/>
      <c r="G46" s="48"/>
      <c r="H46" s="48"/>
      <c r="I46" s="48"/>
      <c r="J46" s="48"/>
      <c r="K46" s="48"/>
      <c r="L46" s="48"/>
      <c r="M46" s="48"/>
      <c r="N46" s="48"/>
      <c r="O46" s="48"/>
      <c r="P46" s="48"/>
      <c r="Q46" s="48"/>
      <c r="R46" s="48"/>
      <c r="S46" s="48"/>
      <c r="T46" s="48"/>
      <c r="U46" s="48"/>
      <c r="V46" s="48"/>
      <c r="W46" s="48"/>
      <c r="X46" s="48"/>
    </row>
    <row r="47" ht="15.75" customHeight="1">
      <c r="A47" s="56"/>
      <c r="B47" s="48"/>
      <c r="C47" s="48"/>
      <c r="D47" s="27"/>
      <c r="E47" s="27"/>
      <c r="F47" s="48"/>
      <c r="G47" s="48"/>
      <c r="H47" s="48"/>
      <c r="I47" s="48"/>
      <c r="J47" s="48"/>
      <c r="K47" s="48"/>
      <c r="L47" s="48"/>
      <c r="M47" s="48"/>
      <c r="N47" s="48"/>
      <c r="O47" s="48"/>
      <c r="P47" s="48"/>
      <c r="Q47" s="48"/>
      <c r="R47" s="48"/>
      <c r="S47" s="48"/>
      <c r="T47" s="48"/>
      <c r="U47" s="48"/>
      <c r="V47" s="48"/>
      <c r="W47" s="48"/>
      <c r="X47" s="48"/>
    </row>
    <row r="48" ht="15.75" customHeight="1">
      <c r="A48" s="56"/>
      <c r="B48" s="48"/>
      <c r="C48" s="48"/>
      <c r="D48" s="27"/>
      <c r="E48" s="27"/>
      <c r="F48" s="48"/>
      <c r="G48" s="48"/>
      <c r="H48" s="48"/>
      <c r="I48" s="48"/>
      <c r="J48" s="48"/>
      <c r="K48" s="48"/>
      <c r="L48" s="48"/>
      <c r="M48" s="48"/>
      <c r="N48" s="48"/>
      <c r="O48" s="48"/>
      <c r="P48" s="48"/>
      <c r="Q48" s="48"/>
      <c r="R48" s="48"/>
      <c r="S48" s="48"/>
      <c r="T48" s="48"/>
      <c r="U48" s="48"/>
      <c r="V48" s="48"/>
      <c r="W48" s="48"/>
      <c r="X48" s="48"/>
    </row>
    <row r="49" ht="15.75" customHeight="1">
      <c r="A49" s="56"/>
      <c r="B49" s="48"/>
      <c r="C49" s="48"/>
      <c r="D49" s="27"/>
      <c r="E49" s="27"/>
      <c r="F49" s="48"/>
      <c r="G49" s="48"/>
      <c r="H49" s="48"/>
      <c r="I49" s="48"/>
      <c r="J49" s="48"/>
      <c r="K49" s="48"/>
      <c r="L49" s="48"/>
      <c r="M49" s="48"/>
      <c r="N49" s="48"/>
      <c r="O49" s="48"/>
      <c r="P49" s="48"/>
      <c r="Q49" s="48"/>
      <c r="R49" s="48"/>
      <c r="S49" s="48"/>
      <c r="T49" s="48"/>
      <c r="U49" s="48"/>
      <c r="V49" s="48"/>
      <c r="W49" s="48"/>
      <c r="X49" s="48"/>
    </row>
    <row r="50" ht="15.75" customHeight="1">
      <c r="A50" s="56"/>
      <c r="B50" s="48"/>
      <c r="C50" s="48"/>
      <c r="D50" s="27"/>
      <c r="E50" s="27"/>
      <c r="F50" s="48"/>
      <c r="G50" s="48"/>
      <c r="H50" s="48"/>
      <c r="I50" s="48"/>
      <c r="J50" s="48"/>
      <c r="K50" s="48"/>
      <c r="L50" s="48"/>
      <c r="M50" s="48"/>
      <c r="N50" s="48"/>
      <c r="O50" s="48"/>
      <c r="P50" s="48"/>
      <c r="Q50" s="48"/>
      <c r="R50" s="48"/>
      <c r="S50" s="48"/>
      <c r="T50" s="48"/>
      <c r="U50" s="48"/>
      <c r="V50" s="48"/>
      <c r="W50" s="48"/>
      <c r="X50" s="48"/>
    </row>
    <row r="51" ht="15.75" customHeight="1">
      <c r="A51" s="56"/>
      <c r="B51" s="48"/>
      <c r="C51" s="48"/>
      <c r="D51" s="27"/>
      <c r="E51" s="27"/>
      <c r="F51" s="48"/>
      <c r="G51" s="48"/>
      <c r="H51" s="48"/>
      <c r="I51" s="48"/>
      <c r="J51" s="48"/>
      <c r="K51" s="48"/>
      <c r="L51" s="48"/>
      <c r="M51" s="48"/>
      <c r="N51" s="48"/>
      <c r="O51" s="48"/>
      <c r="P51" s="48"/>
      <c r="Q51" s="48"/>
      <c r="R51" s="48"/>
      <c r="S51" s="48"/>
      <c r="T51" s="48"/>
      <c r="U51" s="48"/>
      <c r="V51" s="48"/>
      <c r="W51" s="48"/>
      <c r="X51" s="48"/>
    </row>
    <row r="52" ht="15.75" customHeight="1">
      <c r="A52" s="56"/>
      <c r="B52" s="48"/>
      <c r="C52" s="48"/>
      <c r="D52" s="27"/>
      <c r="E52" s="27"/>
      <c r="F52" s="48"/>
      <c r="G52" s="48"/>
      <c r="H52" s="48"/>
      <c r="I52" s="48"/>
      <c r="J52" s="48"/>
      <c r="K52" s="48"/>
      <c r="L52" s="48"/>
      <c r="M52" s="48"/>
      <c r="N52" s="48"/>
      <c r="O52" s="48"/>
      <c r="P52" s="48"/>
      <c r="Q52" s="48"/>
      <c r="R52" s="48"/>
      <c r="S52" s="48"/>
      <c r="T52" s="48"/>
      <c r="U52" s="48"/>
      <c r="V52" s="48"/>
      <c r="W52" s="48"/>
      <c r="X52" s="48"/>
    </row>
    <row r="53" ht="15.75" customHeight="1">
      <c r="A53" s="56"/>
      <c r="B53" s="48"/>
      <c r="C53" s="48"/>
      <c r="D53" s="27"/>
      <c r="E53" s="27"/>
      <c r="F53" s="48"/>
      <c r="G53" s="48"/>
      <c r="H53" s="48"/>
      <c r="I53" s="48"/>
      <c r="J53" s="48"/>
      <c r="K53" s="48"/>
      <c r="L53" s="48"/>
      <c r="M53" s="48"/>
      <c r="N53" s="48"/>
      <c r="O53" s="48"/>
      <c r="P53" s="48"/>
      <c r="Q53" s="48"/>
      <c r="R53" s="48"/>
      <c r="S53" s="48"/>
      <c r="T53" s="48"/>
      <c r="U53" s="48"/>
      <c r="V53" s="48"/>
      <c r="W53" s="48"/>
      <c r="X53" s="48"/>
    </row>
    <row r="54" ht="15.75" customHeight="1">
      <c r="A54" s="56"/>
      <c r="B54" s="48"/>
      <c r="C54" s="48"/>
      <c r="D54" s="27"/>
      <c r="E54" s="27"/>
      <c r="F54" s="48"/>
      <c r="G54" s="48"/>
      <c r="H54" s="48"/>
      <c r="I54" s="48"/>
      <c r="J54" s="48"/>
      <c r="K54" s="48"/>
      <c r="L54" s="48"/>
      <c r="M54" s="48"/>
      <c r="N54" s="48"/>
      <c r="O54" s="48"/>
      <c r="P54" s="48"/>
      <c r="Q54" s="48"/>
      <c r="R54" s="48"/>
      <c r="S54" s="48"/>
      <c r="T54" s="48"/>
      <c r="U54" s="48"/>
      <c r="V54" s="48"/>
      <c r="W54" s="48"/>
      <c r="X54" s="48"/>
    </row>
    <row r="55" ht="15.75" customHeight="1">
      <c r="A55" s="56"/>
      <c r="B55" s="48"/>
      <c r="C55" s="48"/>
      <c r="D55" s="27"/>
      <c r="E55" s="27"/>
      <c r="F55" s="48"/>
      <c r="G55" s="48"/>
      <c r="H55" s="48"/>
      <c r="I55" s="48"/>
      <c r="J55" s="48"/>
      <c r="K55" s="48"/>
      <c r="L55" s="48"/>
      <c r="M55" s="48"/>
      <c r="N55" s="48"/>
      <c r="O55" s="48"/>
      <c r="P55" s="48"/>
      <c r="Q55" s="48"/>
      <c r="R55" s="48"/>
      <c r="S55" s="48"/>
      <c r="T55" s="48"/>
      <c r="U55" s="48"/>
      <c r="V55" s="48"/>
      <c r="W55" s="48"/>
      <c r="X55" s="48"/>
    </row>
    <row r="56" ht="15.75" customHeight="1">
      <c r="A56" s="56"/>
      <c r="B56" s="48"/>
      <c r="C56" s="48"/>
      <c r="D56" s="27"/>
      <c r="E56" s="27"/>
      <c r="F56" s="48"/>
      <c r="G56" s="48"/>
      <c r="H56" s="48"/>
      <c r="I56" s="48"/>
      <c r="J56" s="48"/>
      <c r="K56" s="48"/>
      <c r="L56" s="48"/>
      <c r="M56" s="48"/>
      <c r="N56" s="48"/>
      <c r="O56" s="48"/>
      <c r="P56" s="48"/>
      <c r="Q56" s="48"/>
      <c r="R56" s="48"/>
      <c r="S56" s="48"/>
      <c r="T56" s="48"/>
      <c r="U56" s="48"/>
      <c r="V56" s="48"/>
      <c r="W56" s="48"/>
      <c r="X56" s="48"/>
    </row>
    <row r="57" ht="15.75" customHeight="1">
      <c r="A57" s="56"/>
      <c r="B57" s="48"/>
      <c r="C57" s="48"/>
      <c r="D57" s="27"/>
      <c r="E57" s="27"/>
      <c r="F57" s="48"/>
      <c r="G57" s="48"/>
      <c r="H57" s="48"/>
      <c r="I57" s="48"/>
      <c r="J57" s="48"/>
      <c r="K57" s="48"/>
      <c r="L57" s="48"/>
      <c r="M57" s="48"/>
      <c r="N57" s="48"/>
      <c r="O57" s="48"/>
      <c r="P57" s="48"/>
      <c r="Q57" s="48"/>
      <c r="R57" s="48"/>
      <c r="S57" s="48"/>
      <c r="T57" s="48"/>
      <c r="U57" s="48"/>
      <c r="V57" s="48"/>
      <c r="W57" s="48"/>
      <c r="X57" s="48"/>
    </row>
    <row r="58" ht="15.75" customHeight="1">
      <c r="A58" s="56"/>
      <c r="B58" s="48"/>
      <c r="C58" s="48"/>
      <c r="D58" s="27"/>
      <c r="E58" s="27"/>
      <c r="F58" s="48"/>
      <c r="G58" s="48"/>
      <c r="H58" s="48"/>
      <c r="I58" s="48"/>
      <c r="J58" s="48"/>
      <c r="K58" s="48"/>
      <c r="L58" s="48"/>
      <c r="M58" s="48"/>
      <c r="N58" s="48"/>
      <c r="O58" s="48"/>
      <c r="P58" s="48"/>
      <c r="Q58" s="48"/>
      <c r="R58" s="48"/>
      <c r="S58" s="48"/>
      <c r="T58" s="48"/>
      <c r="U58" s="48"/>
      <c r="V58" s="48"/>
      <c r="W58" s="48"/>
      <c r="X58" s="48"/>
    </row>
    <row r="59" ht="15.75" customHeight="1">
      <c r="A59" s="56"/>
      <c r="B59" s="48"/>
      <c r="C59" s="48"/>
      <c r="D59" s="27"/>
      <c r="E59" s="27"/>
      <c r="F59" s="48"/>
      <c r="G59" s="48"/>
      <c r="H59" s="48"/>
      <c r="I59" s="48"/>
      <c r="J59" s="48"/>
      <c r="K59" s="48"/>
      <c r="L59" s="48"/>
      <c r="M59" s="48"/>
      <c r="N59" s="48"/>
      <c r="O59" s="48"/>
      <c r="P59" s="48"/>
      <c r="Q59" s="48"/>
      <c r="R59" s="48"/>
      <c r="S59" s="48"/>
      <c r="T59" s="48"/>
      <c r="U59" s="48"/>
      <c r="V59" s="48"/>
      <c r="W59" s="48"/>
      <c r="X59" s="48"/>
    </row>
    <row r="60" ht="15.75" customHeight="1">
      <c r="A60" s="56"/>
      <c r="B60" s="48"/>
      <c r="C60" s="48"/>
      <c r="D60" s="27"/>
      <c r="E60" s="27"/>
      <c r="F60" s="48"/>
      <c r="G60" s="48"/>
      <c r="H60" s="48"/>
      <c r="I60" s="48"/>
      <c r="J60" s="48"/>
      <c r="K60" s="48"/>
      <c r="L60" s="48"/>
      <c r="M60" s="48"/>
      <c r="N60" s="48"/>
      <c r="O60" s="48"/>
      <c r="P60" s="48"/>
      <c r="Q60" s="48"/>
      <c r="R60" s="48"/>
      <c r="S60" s="48"/>
      <c r="T60" s="48"/>
      <c r="U60" s="48"/>
      <c r="V60" s="48"/>
      <c r="W60" s="48"/>
      <c r="X60" s="48"/>
    </row>
    <row r="61" ht="15.75" customHeight="1">
      <c r="A61" s="56"/>
      <c r="B61" s="48"/>
      <c r="C61" s="48"/>
      <c r="D61" s="27"/>
      <c r="E61" s="27"/>
      <c r="F61" s="48"/>
      <c r="G61" s="48"/>
      <c r="H61" s="48"/>
      <c r="I61" s="48"/>
      <c r="J61" s="48"/>
      <c r="K61" s="48"/>
      <c r="L61" s="48"/>
      <c r="M61" s="48"/>
      <c r="N61" s="48"/>
      <c r="O61" s="48"/>
      <c r="P61" s="48"/>
      <c r="Q61" s="48"/>
      <c r="R61" s="48"/>
      <c r="S61" s="48"/>
      <c r="T61" s="48"/>
      <c r="U61" s="48"/>
      <c r="V61" s="48"/>
      <c r="W61" s="48"/>
      <c r="X61" s="48"/>
    </row>
    <row r="62" ht="15.75" customHeight="1">
      <c r="A62" s="56"/>
      <c r="B62" s="48"/>
      <c r="C62" s="48"/>
      <c r="D62" s="27"/>
      <c r="E62" s="27"/>
      <c r="F62" s="48"/>
      <c r="G62" s="48"/>
      <c r="H62" s="48"/>
      <c r="I62" s="48"/>
      <c r="J62" s="48"/>
      <c r="K62" s="48"/>
      <c r="L62" s="48"/>
      <c r="M62" s="48"/>
      <c r="N62" s="48"/>
      <c r="O62" s="48"/>
      <c r="P62" s="48"/>
      <c r="Q62" s="48"/>
      <c r="R62" s="48"/>
      <c r="S62" s="48"/>
      <c r="T62" s="48"/>
      <c r="U62" s="48"/>
      <c r="V62" s="48"/>
      <c r="W62" s="48"/>
      <c r="X62" s="48"/>
    </row>
    <row r="63" ht="15.75" customHeight="1">
      <c r="A63" s="56"/>
      <c r="B63" s="48"/>
      <c r="C63" s="48"/>
      <c r="D63" s="27"/>
      <c r="E63" s="27"/>
      <c r="F63" s="48"/>
      <c r="G63" s="48"/>
      <c r="H63" s="48"/>
      <c r="I63" s="48"/>
      <c r="J63" s="48"/>
      <c r="K63" s="48"/>
      <c r="L63" s="48"/>
      <c r="M63" s="48"/>
      <c r="N63" s="48"/>
      <c r="O63" s="48"/>
      <c r="P63" s="48"/>
      <c r="Q63" s="48"/>
      <c r="R63" s="48"/>
      <c r="S63" s="48"/>
      <c r="T63" s="48"/>
      <c r="U63" s="48"/>
      <c r="V63" s="48"/>
      <c r="W63" s="48"/>
      <c r="X63" s="48"/>
    </row>
    <row r="64" ht="15.75" customHeight="1">
      <c r="A64" s="56"/>
      <c r="B64" s="48"/>
      <c r="C64" s="48"/>
      <c r="D64" s="27"/>
      <c r="E64" s="27"/>
      <c r="F64" s="48"/>
      <c r="G64" s="48"/>
      <c r="H64" s="48"/>
      <c r="I64" s="48"/>
      <c r="J64" s="48"/>
      <c r="K64" s="48"/>
      <c r="L64" s="48"/>
      <c r="M64" s="48"/>
      <c r="N64" s="48"/>
      <c r="O64" s="48"/>
      <c r="P64" s="48"/>
      <c r="Q64" s="48"/>
      <c r="R64" s="48"/>
      <c r="S64" s="48"/>
      <c r="T64" s="48"/>
      <c r="U64" s="48"/>
      <c r="V64" s="48"/>
      <c r="W64" s="48"/>
      <c r="X64" s="48"/>
    </row>
    <row r="65" ht="15.75" customHeight="1">
      <c r="A65" s="56"/>
      <c r="B65" s="48"/>
      <c r="C65" s="48"/>
      <c r="D65" s="27"/>
      <c r="E65" s="27"/>
      <c r="F65" s="48"/>
      <c r="G65" s="48"/>
      <c r="H65" s="48"/>
      <c r="I65" s="48"/>
      <c r="J65" s="48"/>
      <c r="K65" s="48"/>
      <c r="L65" s="48"/>
      <c r="M65" s="48"/>
      <c r="N65" s="48"/>
      <c r="O65" s="48"/>
      <c r="P65" s="48"/>
      <c r="Q65" s="48"/>
      <c r="R65" s="48"/>
      <c r="S65" s="48"/>
      <c r="T65" s="48"/>
      <c r="U65" s="48"/>
      <c r="V65" s="48"/>
      <c r="W65" s="48"/>
      <c r="X65" s="48"/>
    </row>
    <row r="66" ht="15.75" customHeight="1">
      <c r="A66" s="56"/>
      <c r="B66" s="48"/>
      <c r="C66" s="48"/>
      <c r="D66" s="27"/>
      <c r="E66" s="27"/>
      <c r="F66" s="48"/>
      <c r="G66" s="48"/>
      <c r="H66" s="48"/>
      <c r="I66" s="48"/>
      <c r="J66" s="48"/>
      <c r="K66" s="48"/>
      <c r="L66" s="48"/>
      <c r="M66" s="48"/>
      <c r="N66" s="48"/>
      <c r="O66" s="48"/>
      <c r="P66" s="48"/>
      <c r="Q66" s="48"/>
      <c r="R66" s="48"/>
      <c r="S66" s="48"/>
      <c r="T66" s="48"/>
      <c r="U66" s="48"/>
      <c r="V66" s="48"/>
      <c r="W66" s="48"/>
      <c r="X66" s="48"/>
    </row>
    <row r="67" ht="15.75" customHeight="1">
      <c r="A67" s="56"/>
      <c r="B67" s="48"/>
      <c r="C67" s="48"/>
      <c r="D67" s="27"/>
      <c r="E67" s="27"/>
      <c r="F67" s="48"/>
      <c r="G67" s="48"/>
      <c r="H67" s="48"/>
      <c r="I67" s="48"/>
      <c r="J67" s="48"/>
      <c r="K67" s="48"/>
      <c r="L67" s="48"/>
      <c r="M67" s="48"/>
      <c r="N67" s="48"/>
      <c r="O67" s="48"/>
      <c r="P67" s="48"/>
      <c r="Q67" s="48"/>
      <c r="R67" s="48"/>
      <c r="S67" s="48"/>
      <c r="T67" s="48"/>
      <c r="U67" s="48"/>
      <c r="V67" s="48"/>
      <c r="W67" s="48"/>
      <c r="X67" s="48"/>
    </row>
    <row r="68" ht="15.75" customHeight="1">
      <c r="A68" s="56"/>
      <c r="B68" s="48"/>
      <c r="C68" s="48"/>
      <c r="D68" s="27"/>
      <c r="E68" s="27"/>
      <c r="F68" s="48"/>
      <c r="G68" s="48"/>
      <c r="H68" s="48"/>
      <c r="I68" s="48"/>
      <c r="J68" s="48"/>
      <c r="K68" s="48"/>
      <c r="L68" s="48"/>
      <c r="M68" s="48"/>
      <c r="N68" s="48"/>
      <c r="O68" s="48"/>
      <c r="P68" s="48"/>
      <c r="Q68" s="48"/>
      <c r="R68" s="48"/>
      <c r="S68" s="48"/>
      <c r="T68" s="48"/>
      <c r="U68" s="48"/>
      <c r="V68" s="48"/>
      <c r="W68" s="48"/>
      <c r="X68" s="48"/>
    </row>
    <row r="69" ht="15.75" customHeight="1">
      <c r="A69" s="56"/>
      <c r="B69" s="48"/>
      <c r="C69" s="48"/>
      <c r="D69" s="27"/>
      <c r="E69" s="27"/>
      <c r="F69" s="48"/>
      <c r="G69" s="48"/>
      <c r="H69" s="48"/>
      <c r="I69" s="48"/>
      <c r="J69" s="48"/>
      <c r="K69" s="48"/>
      <c r="L69" s="48"/>
      <c r="M69" s="48"/>
      <c r="N69" s="48"/>
      <c r="O69" s="48"/>
      <c r="P69" s="48"/>
      <c r="Q69" s="48"/>
      <c r="R69" s="48"/>
      <c r="S69" s="48"/>
      <c r="T69" s="48"/>
      <c r="U69" s="48"/>
      <c r="V69" s="48"/>
      <c r="W69" s="48"/>
      <c r="X69" s="48"/>
    </row>
    <row r="70" ht="15.75" customHeight="1">
      <c r="A70" s="56"/>
      <c r="B70" s="48"/>
      <c r="C70" s="48"/>
      <c r="D70" s="27"/>
      <c r="E70" s="27"/>
      <c r="F70" s="48"/>
      <c r="G70" s="48"/>
      <c r="H70" s="48"/>
      <c r="I70" s="48"/>
      <c r="J70" s="48"/>
      <c r="K70" s="48"/>
      <c r="L70" s="48"/>
      <c r="M70" s="48"/>
      <c r="N70" s="48"/>
      <c r="O70" s="48"/>
      <c r="P70" s="48"/>
      <c r="Q70" s="48"/>
      <c r="R70" s="48"/>
      <c r="S70" s="48"/>
      <c r="T70" s="48"/>
      <c r="U70" s="48"/>
      <c r="V70" s="48"/>
      <c r="W70" s="48"/>
      <c r="X70" s="48"/>
    </row>
    <row r="71" ht="15.75" customHeight="1">
      <c r="A71" s="56"/>
      <c r="B71" s="48"/>
      <c r="C71" s="48"/>
      <c r="D71" s="27"/>
      <c r="E71" s="27"/>
      <c r="F71" s="48"/>
      <c r="G71" s="48"/>
      <c r="H71" s="48"/>
      <c r="I71" s="48"/>
      <c r="J71" s="48"/>
      <c r="K71" s="48"/>
      <c r="L71" s="48"/>
      <c r="M71" s="48"/>
      <c r="N71" s="48"/>
      <c r="O71" s="48"/>
      <c r="P71" s="48"/>
      <c r="Q71" s="48"/>
      <c r="R71" s="48"/>
      <c r="S71" s="48"/>
      <c r="T71" s="48"/>
      <c r="U71" s="48"/>
      <c r="V71" s="48"/>
      <c r="W71" s="48"/>
      <c r="X71" s="48"/>
    </row>
    <row r="72" ht="15.75" customHeight="1">
      <c r="A72" s="56"/>
      <c r="B72" s="48"/>
      <c r="C72" s="48"/>
      <c r="D72" s="27"/>
      <c r="E72" s="27"/>
      <c r="F72" s="48"/>
      <c r="G72" s="48"/>
      <c r="H72" s="48"/>
      <c r="I72" s="48"/>
      <c r="J72" s="48"/>
      <c r="K72" s="48"/>
      <c r="L72" s="48"/>
      <c r="M72" s="48"/>
      <c r="N72" s="48"/>
      <c r="O72" s="48"/>
      <c r="P72" s="48"/>
      <c r="Q72" s="48"/>
      <c r="R72" s="48"/>
      <c r="S72" s="48"/>
      <c r="T72" s="48"/>
      <c r="U72" s="48"/>
      <c r="V72" s="48"/>
      <c r="W72" s="48"/>
      <c r="X72" s="48"/>
    </row>
    <row r="73" ht="15.75" customHeight="1">
      <c r="A73" s="56"/>
      <c r="B73" s="48"/>
      <c r="C73" s="48"/>
      <c r="D73" s="27"/>
      <c r="E73" s="27"/>
      <c r="F73" s="48"/>
      <c r="G73" s="48"/>
      <c r="H73" s="48"/>
      <c r="I73" s="48"/>
      <c r="J73" s="48"/>
      <c r="K73" s="48"/>
      <c r="L73" s="48"/>
      <c r="M73" s="48"/>
      <c r="N73" s="48"/>
      <c r="O73" s="48"/>
      <c r="P73" s="48"/>
      <c r="Q73" s="48"/>
      <c r="R73" s="48"/>
      <c r="S73" s="48"/>
      <c r="T73" s="48"/>
      <c r="U73" s="48"/>
      <c r="V73" s="48"/>
      <c r="W73" s="48"/>
      <c r="X73" s="48"/>
    </row>
    <row r="74" ht="15.75" customHeight="1">
      <c r="A74" s="56"/>
      <c r="B74" s="48"/>
      <c r="C74" s="48"/>
      <c r="D74" s="27"/>
      <c r="E74" s="27"/>
      <c r="F74" s="48"/>
      <c r="G74" s="48"/>
      <c r="H74" s="48"/>
      <c r="I74" s="48"/>
      <c r="J74" s="48"/>
      <c r="K74" s="48"/>
      <c r="L74" s="48"/>
      <c r="M74" s="48"/>
      <c r="N74" s="48"/>
      <c r="O74" s="48"/>
      <c r="P74" s="48"/>
      <c r="Q74" s="48"/>
      <c r="R74" s="48"/>
      <c r="S74" s="48"/>
      <c r="T74" s="48"/>
      <c r="U74" s="48"/>
      <c r="V74" s="48"/>
      <c r="W74" s="48"/>
      <c r="X74" s="48"/>
    </row>
    <row r="75" ht="15.75" customHeight="1">
      <c r="A75" s="56"/>
      <c r="B75" s="48"/>
      <c r="C75" s="48"/>
      <c r="D75" s="27"/>
      <c r="E75" s="27"/>
      <c r="F75" s="48"/>
      <c r="G75" s="48"/>
      <c r="H75" s="48"/>
      <c r="I75" s="48"/>
      <c r="J75" s="48"/>
      <c r="K75" s="48"/>
      <c r="L75" s="48"/>
      <c r="M75" s="48"/>
      <c r="N75" s="48"/>
      <c r="O75" s="48"/>
      <c r="P75" s="48"/>
      <c r="Q75" s="48"/>
      <c r="R75" s="48"/>
      <c r="S75" s="48"/>
      <c r="T75" s="48"/>
      <c r="U75" s="48"/>
      <c r="V75" s="48"/>
      <c r="W75" s="48"/>
      <c r="X75" s="48"/>
    </row>
    <row r="76" ht="15.75" customHeight="1">
      <c r="A76" s="56"/>
      <c r="B76" s="48"/>
      <c r="C76" s="48"/>
      <c r="D76" s="27"/>
      <c r="E76" s="27"/>
      <c r="F76" s="48"/>
      <c r="G76" s="48"/>
      <c r="H76" s="48"/>
      <c r="I76" s="48"/>
      <c r="J76" s="48"/>
      <c r="K76" s="48"/>
      <c r="L76" s="48"/>
      <c r="M76" s="48"/>
      <c r="N76" s="48"/>
      <c r="O76" s="48"/>
      <c r="P76" s="48"/>
      <c r="Q76" s="48"/>
      <c r="R76" s="48"/>
      <c r="S76" s="48"/>
      <c r="T76" s="48"/>
      <c r="U76" s="48"/>
      <c r="V76" s="48"/>
      <c r="W76" s="48"/>
      <c r="X76" s="48"/>
    </row>
    <row r="77" ht="15.75" customHeight="1">
      <c r="A77" s="56"/>
      <c r="B77" s="48"/>
      <c r="C77" s="48"/>
      <c r="D77" s="27"/>
      <c r="E77" s="27"/>
      <c r="F77" s="48"/>
      <c r="G77" s="48"/>
      <c r="H77" s="48"/>
      <c r="I77" s="48"/>
      <c r="J77" s="48"/>
      <c r="K77" s="48"/>
      <c r="L77" s="48"/>
      <c r="M77" s="48"/>
      <c r="N77" s="48"/>
      <c r="O77" s="48"/>
      <c r="P77" s="48"/>
      <c r="Q77" s="48"/>
      <c r="R77" s="48"/>
      <c r="S77" s="48"/>
      <c r="T77" s="48"/>
      <c r="U77" s="48"/>
      <c r="V77" s="48"/>
      <c r="W77" s="48"/>
      <c r="X77" s="48"/>
    </row>
    <row r="78" ht="15.75" customHeight="1">
      <c r="A78" s="56"/>
      <c r="B78" s="48"/>
      <c r="C78" s="48"/>
      <c r="D78" s="27"/>
      <c r="E78" s="27"/>
      <c r="F78" s="48"/>
      <c r="G78" s="48"/>
      <c r="H78" s="48"/>
      <c r="I78" s="48"/>
      <c r="J78" s="48"/>
      <c r="K78" s="48"/>
      <c r="L78" s="48"/>
      <c r="M78" s="48"/>
      <c r="N78" s="48"/>
      <c r="O78" s="48"/>
      <c r="P78" s="48"/>
      <c r="Q78" s="48"/>
      <c r="R78" s="48"/>
      <c r="S78" s="48"/>
      <c r="T78" s="48"/>
      <c r="U78" s="48"/>
      <c r="V78" s="48"/>
      <c r="W78" s="48"/>
      <c r="X78" s="48"/>
    </row>
    <row r="79" ht="15.75" customHeight="1">
      <c r="A79" s="56"/>
      <c r="B79" s="48"/>
      <c r="C79" s="48"/>
      <c r="D79" s="27"/>
      <c r="E79" s="27"/>
      <c r="F79" s="48"/>
      <c r="G79" s="48"/>
      <c r="H79" s="48"/>
      <c r="I79" s="48"/>
      <c r="J79" s="48"/>
      <c r="K79" s="48"/>
      <c r="L79" s="48"/>
      <c r="M79" s="48"/>
      <c r="N79" s="48"/>
      <c r="O79" s="48"/>
      <c r="P79" s="48"/>
      <c r="Q79" s="48"/>
      <c r="R79" s="48"/>
      <c r="S79" s="48"/>
      <c r="T79" s="48"/>
      <c r="U79" s="48"/>
      <c r="V79" s="48"/>
      <c r="W79" s="48"/>
      <c r="X79" s="48"/>
    </row>
    <row r="80" ht="15.75" customHeight="1">
      <c r="A80" s="56"/>
      <c r="B80" s="48"/>
      <c r="C80" s="48"/>
      <c r="D80" s="27"/>
      <c r="E80" s="27"/>
      <c r="F80" s="48"/>
      <c r="G80" s="48"/>
      <c r="H80" s="48"/>
      <c r="I80" s="48"/>
      <c r="J80" s="48"/>
      <c r="K80" s="48"/>
      <c r="L80" s="48"/>
      <c r="M80" s="48"/>
      <c r="N80" s="48"/>
      <c r="O80" s="48"/>
      <c r="P80" s="48"/>
      <c r="Q80" s="48"/>
      <c r="R80" s="48"/>
      <c r="S80" s="48"/>
      <c r="T80" s="48"/>
      <c r="U80" s="48"/>
      <c r="V80" s="48"/>
      <c r="W80" s="48"/>
      <c r="X80" s="48"/>
    </row>
    <row r="81" ht="15.75" customHeight="1">
      <c r="A81" s="56"/>
      <c r="B81" s="48"/>
      <c r="C81" s="48"/>
      <c r="D81" s="27"/>
      <c r="E81" s="27"/>
      <c r="F81" s="48"/>
      <c r="G81" s="48"/>
      <c r="H81" s="48"/>
      <c r="I81" s="48"/>
      <c r="J81" s="48"/>
      <c r="K81" s="48"/>
      <c r="L81" s="48"/>
      <c r="M81" s="48"/>
      <c r="N81" s="48"/>
      <c r="O81" s="48"/>
      <c r="P81" s="48"/>
      <c r="Q81" s="48"/>
      <c r="R81" s="48"/>
      <c r="S81" s="48"/>
      <c r="T81" s="48"/>
      <c r="U81" s="48"/>
      <c r="V81" s="48"/>
      <c r="W81" s="48"/>
      <c r="X81" s="48"/>
    </row>
    <row r="82" ht="15.75" customHeight="1">
      <c r="A82" s="56"/>
      <c r="B82" s="48"/>
      <c r="C82" s="48"/>
      <c r="D82" s="27"/>
      <c r="E82" s="27"/>
      <c r="F82" s="48"/>
      <c r="G82" s="48"/>
      <c r="H82" s="48"/>
      <c r="I82" s="48"/>
      <c r="J82" s="48"/>
      <c r="K82" s="48"/>
      <c r="L82" s="48"/>
      <c r="M82" s="48"/>
      <c r="N82" s="48"/>
      <c r="O82" s="48"/>
      <c r="P82" s="48"/>
      <c r="Q82" s="48"/>
      <c r="R82" s="48"/>
      <c r="S82" s="48"/>
      <c r="T82" s="48"/>
      <c r="U82" s="48"/>
      <c r="V82" s="48"/>
      <c r="W82" s="48"/>
      <c r="X82" s="48"/>
    </row>
    <row r="83" ht="15.75" customHeight="1">
      <c r="A83" s="56"/>
      <c r="B83" s="48"/>
      <c r="C83" s="48"/>
      <c r="D83" s="27"/>
      <c r="E83" s="27"/>
      <c r="F83" s="48"/>
      <c r="G83" s="48"/>
      <c r="H83" s="48"/>
      <c r="I83" s="48"/>
      <c r="J83" s="48"/>
      <c r="K83" s="48"/>
      <c r="L83" s="48"/>
      <c r="M83" s="48"/>
      <c r="N83" s="48"/>
      <c r="O83" s="48"/>
      <c r="P83" s="48"/>
      <c r="Q83" s="48"/>
      <c r="R83" s="48"/>
      <c r="S83" s="48"/>
      <c r="T83" s="48"/>
      <c r="U83" s="48"/>
      <c r="V83" s="48"/>
      <c r="W83" s="48"/>
      <c r="X83" s="48"/>
    </row>
    <row r="84" ht="15.75" customHeight="1">
      <c r="A84" s="56"/>
      <c r="B84" s="48"/>
      <c r="C84" s="48"/>
      <c r="D84" s="27"/>
      <c r="E84" s="27"/>
      <c r="F84" s="48"/>
      <c r="G84" s="48"/>
      <c r="H84" s="48"/>
      <c r="I84" s="48"/>
      <c r="J84" s="48"/>
      <c r="K84" s="48"/>
      <c r="L84" s="48"/>
      <c r="M84" s="48"/>
      <c r="N84" s="48"/>
      <c r="O84" s="48"/>
      <c r="P84" s="48"/>
      <c r="Q84" s="48"/>
      <c r="R84" s="48"/>
      <c r="S84" s="48"/>
      <c r="T84" s="48"/>
      <c r="U84" s="48"/>
      <c r="V84" s="48"/>
      <c r="W84" s="48"/>
      <c r="X84" s="48"/>
    </row>
    <row r="85" ht="15.75" customHeight="1">
      <c r="A85" s="56"/>
      <c r="B85" s="48"/>
      <c r="C85" s="48"/>
      <c r="D85" s="27"/>
      <c r="E85" s="27"/>
      <c r="F85" s="48"/>
      <c r="G85" s="48"/>
      <c r="H85" s="48"/>
      <c r="I85" s="48"/>
      <c r="J85" s="48"/>
      <c r="K85" s="48"/>
      <c r="L85" s="48"/>
      <c r="M85" s="48"/>
      <c r="N85" s="48"/>
      <c r="O85" s="48"/>
      <c r="P85" s="48"/>
      <c r="Q85" s="48"/>
      <c r="R85" s="48"/>
      <c r="S85" s="48"/>
      <c r="T85" s="48"/>
      <c r="U85" s="48"/>
      <c r="V85" s="48"/>
      <c r="W85" s="48"/>
      <c r="X85" s="48"/>
    </row>
    <row r="86" ht="15.75" customHeight="1">
      <c r="A86" s="56"/>
      <c r="B86" s="48"/>
      <c r="C86" s="48"/>
      <c r="D86" s="27"/>
      <c r="E86" s="27"/>
      <c r="F86" s="48"/>
      <c r="G86" s="48"/>
      <c r="H86" s="48"/>
      <c r="I86" s="48"/>
      <c r="J86" s="48"/>
      <c r="K86" s="48"/>
      <c r="L86" s="48"/>
      <c r="M86" s="48"/>
      <c r="N86" s="48"/>
      <c r="O86" s="48"/>
      <c r="P86" s="48"/>
      <c r="Q86" s="48"/>
      <c r="R86" s="48"/>
      <c r="S86" s="48"/>
      <c r="T86" s="48"/>
      <c r="U86" s="48"/>
      <c r="V86" s="48"/>
      <c r="W86" s="48"/>
      <c r="X86" s="48"/>
    </row>
    <row r="87" ht="15.75" customHeight="1">
      <c r="A87" s="56"/>
      <c r="B87" s="48"/>
      <c r="C87" s="48"/>
      <c r="D87" s="27"/>
      <c r="E87" s="27"/>
      <c r="F87" s="48"/>
      <c r="G87" s="48"/>
      <c r="H87" s="48"/>
      <c r="I87" s="48"/>
      <c r="J87" s="48"/>
      <c r="K87" s="48"/>
      <c r="L87" s="48"/>
      <c r="M87" s="48"/>
      <c r="N87" s="48"/>
      <c r="O87" s="48"/>
      <c r="P87" s="48"/>
      <c r="Q87" s="48"/>
      <c r="R87" s="48"/>
      <c r="S87" s="48"/>
      <c r="T87" s="48"/>
      <c r="U87" s="48"/>
      <c r="V87" s="48"/>
      <c r="W87" s="48"/>
      <c r="X87" s="48"/>
    </row>
    <row r="88" ht="15.75" customHeight="1">
      <c r="A88" s="56"/>
      <c r="B88" s="48"/>
      <c r="C88" s="48"/>
      <c r="D88" s="27"/>
      <c r="E88" s="27"/>
      <c r="F88" s="48"/>
      <c r="G88" s="48"/>
      <c r="H88" s="48"/>
      <c r="I88" s="48"/>
      <c r="J88" s="48"/>
      <c r="K88" s="48"/>
      <c r="L88" s="48"/>
      <c r="M88" s="48"/>
      <c r="N88" s="48"/>
      <c r="O88" s="48"/>
      <c r="P88" s="48"/>
      <c r="Q88" s="48"/>
      <c r="R88" s="48"/>
      <c r="S88" s="48"/>
      <c r="T88" s="48"/>
      <c r="U88" s="48"/>
      <c r="V88" s="48"/>
      <c r="W88" s="48"/>
      <c r="X88" s="48"/>
    </row>
    <row r="89" ht="15.75" customHeight="1">
      <c r="A89" s="56"/>
      <c r="B89" s="48"/>
      <c r="C89" s="48"/>
      <c r="D89" s="27"/>
      <c r="E89" s="27"/>
      <c r="F89" s="48"/>
      <c r="G89" s="48"/>
      <c r="H89" s="48"/>
      <c r="I89" s="48"/>
      <c r="J89" s="48"/>
      <c r="K89" s="48"/>
      <c r="L89" s="48"/>
      <c r="M89" s="48"/>
      <c r="N89" s="48"/>
      <c r="O89" s="48"/>
      <c r="P89" s="48"/>
      <c r="Q89" s="48"/>
      <c r="R89" s="48"/>
      <c r="S89" s="48"/>
      <c r="T89" s="48"/>
      <c r="U89" s="48"/>
      <c r="V89" s="48"/>
      <c r="W89" s="48"/>
      <c r="X89" s="48"/>
    </row>
    <row r="90" ht="15.75" customHeight="1">
      <c r="A90" s="56"/>
      <c r="B90" s="48"/>
      <c r="C90" s="48"/>
      <c r="D90" s="27"/>
      <c r="E90" s="27"/>
      <c r="F90" s="48"/>
      <c r="G90" s="48"/>
      <c r="H90" s="48"/>
      <c r="I90" s="48"/>
      <c r="J90" s="48"/>
      <c r="K90" s="48"/>
      <c r="L90" s="48"/>
      <c r="M90" s="48"/>
      <c r="N90" s="48"/>
      <c r="O90" s="48"/>
      <c r="P90" s="48"/>
      <c r="Q90" s="48"/>
      <c r="R90" s="48"/>
      <c r="S90" s="48"/>
      <c r="T90" s="48"/>
      <c r="U90" s="48"/>
      <c r="V90" s="48"/>
      <c r="W90" s="48"/>
      <c r="X90" s="48"/>
    </row>
    <row r="91" ht="15.75" customHeight="1">
      <c r="A91" s="56"/>
      <c r="B91" s="48"/>
      <c r="C91" s="48"/>
      <c r="D91" s="27"/>
      <c r="E91" s="27"/>
      <c r="F91" s="48"/>
      <c r="G91" s="48"/>
      <c r="H91" s="48"/>
      <c r="I91" s="48"/>
      <c r="J91" s="48"/>
      <c r="K91" s="48"/>
      <c r="L91" s="48"/>
      <c r="M91" s="48"/>
      <c r="N91" s="48"/>
      <c r="O91" s="48"/>
      <c r="P91" s="48"/>
      <c r="Q91" s="48"/>
      <c r="R91" s="48"/>
      <c r="S91" s="48"/>
      <c r="T91" s="48"/>
      <c r="U91" s="48"/>
      <c r="V91" s="48"/>
      <c r="W91" s="48"/>
      <c r="X91" s="48"/>
    </row>
    <row r="92" ht="15.75" customHeight="1">
      <c r="A92" s="56"/>
      <c r="B92" s="48"/>
      <c r="C92" s="48"/>
      <c r="D92" s="27"/>
      <c r="E92" s="27"/>
      <c r="F92" s="48"/>
      <c r="G92" s="48"/>
      <c r="H92" s="48"/>
      <c r="I92" s="48"/>
      <c r="J92" s="48"/>
      <c r="K92" s="48"/>
      <c r="L92" s="48"/>
      <c r="M92" s="48"/>
      <c r="N92" s="48"/>
      <c r="O92" s="48"/>
      <c r="P92" s="48"/>
      <c r="Q92" s="48"/>
      <c r="R92" s="48"/>
      <c r="S92" s="48"/>
      <c r="T92" s="48"/>
      <c r="U92" s="48"/>
      <c r="V92" s="48"/>
      <c r="W92" s="48"/>
      <c r="X92" s="48"/>
    </row>
    <row r="93" ht="15.75" customHeight="1">
      <c r="A93" s="56"/>
      <c r="B93" s="48"/>
      <c r="C93" s="48"/>
      <c r="D93" s="27"/>
      <c r="E93" s="27"/>
      <c r="F93" s="48"/>
      <c r="G93" s="48"/>
      <c r="H93" s="48"/>
      <c r="I93" s="48"/>
      <c r="J93" s="48"/>
      <c r="K93" s="48"/>
      <c r="L93" s="48"/>
      <c r="M93" s="48"/>
      <c r="N93" s="48"/>
      <c r="O93" s="48"/>
      <c r="P93" s="48"/>
      <c r="Q93" s="48"/>
      <c r="R93" s="48"/>
      <c r="S93" s="48"/>
      <c r="T93" s="48"/>
      <c r="U93" s="48"/>
      <c r="V93" s="48"/>
      <c r="W93" s="48"/>
      <c r="X93" s="48"/>
    </row>
    <row r="94" ht="15.75" customHeight="1">
      <c r="A94" s="56"/>
      <c r="B94" s="48"/>
      <c r="C94" s="48"/>
      <c r="D94" s="27"/>
      <c r="E94" s="27"/>
      <c r="F94" s="48"/>
      <c r="G94" s="48"/>
      <c r="H94" s="48"/>
      <c r="I94" s="48"/>
      <c r="J94" s="48"/>
      <c r="K94" s="48"/>
      <c r="L94" s="48"/>
      <c r="M94" s="48"/>
      <c r="N94" s="48"/>
      <c r="O94" s="48"/>
      <c r="P94" s="48"/>
      <c r="Q94" s="48"/>
      <c r="R94" s="48"/>
      <c r="S94" s="48"/>
      <c r="T94" s="48"/>
      <c r="U94" s="48"/>
      <c r="V94" s="48"/>
      <c r="W94" s="48"/>
      <c r="X94" s="48"/>
    </row>
    <row r="95" ht="15.75" customHeight="1">
      <c r="A95" s="56"/>
      <c r="B95" s="48"/>
      <c r="C95" s="48"/>
      <c r="D95" s="27"/>
      <c r="E95" s="27"/>
      <c r="F95" s="48"/>
      <c r="G95" s="48"/>
      <c r="H95" s="48"/>
      <c r="I95" s="48"/>
      <c r="J95" s="48"/>
      <c r="K95" s="48"/>
      <c r="L95" s="48"/>
      <c r="M95" s="48"/>
      <c r="N95" s="48"/>
      <c r="O95" s="48"/>
      <c r="P95" s="48"/>
      <c r="Q95" s="48"/>
      <c r="R95" s="48"/>
      <c r="S95" s="48"/>
      <c r="T95" s="48"/>
      <c r="U95" s="48"/>
      <c r="V95" s="48"/>
      <c r="W95" s="48"/>
      <c r="X95" s="48"/>
    </row>
    <row r="96" ht="15.75" customHeight="1">
      <c r="A96" s="56"/>
      <c r="B96" s="48"/>
      <c r="C96" s="48"/>
      <c r="D96" s="27"/>
      <c r="E96" s="27"/>
      <c r="F96" s="48"/>
      <c r="G96" s="48"/>
      <c r="H96" s="48"/>
      <c r="I96" s="48"/>
      <c r="J96" s="48"/>
      <c r="K96" s="48"/>
      <c r="L96" s="48"/>
      <c r="M96" s="48"/>
      <c r="N96" s="48"/>
      <c r="O96" s="48"/>
      <c r="P96" s="48"/>
      <c r="Q96" s="48"/>
      <c r="R96" s="48"/>
      <c r="S96" s="48"/>
      <c r="T96" s="48"/>
      <c r="U96" s="48"/>
      <c r="V96" s="48"/>
      <c r="W96" s="48"/>
      <c r="X96" s="48"/>
    </row>
    <row r="97" ht="15.75" customHeight="1">
      <c r="A97" s="56"/>
      <c r="B97" s="48"/>
      <c r="C97" s="48"/>
      <c r="D97" s="27"/>
      <c r="E97" s="27"/>
      <c r="F97" s="48"/>
      <c r="G97" s="48"/>
      <c r="H97" s="48"/>
      <c r="I97" s="48"/>
      <c r="J97" s="48"/>
      <c r="K97" s="48"/>
      <c r="L97" s="48"/>
      <c r="M97" s="48"/>
      <c r="N97" s="48"/>
      <c r="O97" s="48"/>
      <c r="P97" s="48"/>
      <c r="Q97" s="48"/>
      <c r="R97" s="48"/>
      <c r="S97" s="48"/>
      <c r="T97" s="48"/>
      <c r="U97" s="48"/>
      <c r="V97" s="48"/>
      <c r="W97" s="48"/>
      <c r="X97" s="48"/>
    </row>
    <row r="98" ht="15.75" customHeight="1">
      <c r="A98" s="56"/>
      <c r="B98" s="48"/>
      <c r="C98" s="48"/>
      <c r="D98" s="27"/>
      <c r="E98" s="27"/>
      <c r="F98" s="48"/>
      <c r="G98" s="48"/>
      <c r="H98" s="48"/>
      <c r="I98" s="48"/>
      <c r="J98" s="48"/>
      <c r="K98" s="48"/>
      <c r="L98" s="48"/>
      <c r="M98" s="48"/>
      <c r="N98" s="48"/>
      <c r="O98" s="48"/>
      <c r="P98" s="48"/>
      <c r="Q98" s="48"/>
      <c r="R98" s="48"/>
      <c r="S98" s="48"/>
      <c r="T98" s="48"/>
      <c r="U98" s="48"/>
      <c r="V98" s="48"/>
      <c r="W98" s="48"/>
      <c r="X98" s="48"/>
    </row>
    <row r="99" ht="15.75" customHeight="1">
      <c r="A99" s="56"/>
      <c r="B99" s="48"/>
      <c r="C99" s="48"/>
      <c r="D99" s="27"/>
      <c r="E99" s="27"/>
      <c r="F99" s="48"/>
      <c r="G99" s="48"/>
      <c r="H99" s="48"/>
      <c r="I99" s="48"/>
      <c r="J99" s="48"/>
      <c r="K99" s="48"/>
      <c r="L99" s="48"/>
      <c r="M99" s="48"/>
      <c r="N99" s="48"/>
      <c r="O99" s="48"/>
      <c r="P99" s="48"/>
      <c r="Q99" s="48"/>
      <c r="R99" s="48"/>
      <c r="S99" s="48"/>
      <c r="T99" s="48"/>
      <c r="U99" s="48"/>
      <c r="V99" s="48"/>
      <c r="W99" s="48"/>
      <c r="X99" s="48"/>
    </row>
    <row r="100" ht="15.75" customHeight="1">
      <c r="A100" s="56"/>
      <c r="B100" s="48"/>
      <c r="C100" s="48"/>
      <c r="D100" s="27"/>
      <c r="E100" s="27"/>
      <c r="F100" s="48"/>
      <c r="G100" s="48"/>
      <c r="H100" s="48"/>
      <c r="I100" s="48"/>
      <c r="J100" s="48"/>
      <c r="K100" s="48"/>
      <c r="L100" s="48"/>
      <c r="M100" s="48"/>
      <c r="N100" s="48"/>
      <c r="O100" s="48"/>
      <c r="P100" s="48"/>
      <c r="Q100" s="48"/>
      <c r="R100" s="48"/>
      <c r="S100" s="48"/>
      <c r="T100" s="48"/>
      <c r="U100" s="48"/>
      <c r="V100" s="48"/>
      <c r="W100" s="48"/>
      <c r="X100" s="48"/>
    </row>
    <row r="101" ht="15.75" customHeight="1">
      <c r="A101" s="56"/>
      <c r="B101" s="48"/>
      <c r="C101" s="48"/>
      <c r="D101" s="27"/>
      <c r="E101" s="27"/>
      <c r="F101" s="48"/>
      <c r="G101" s="48"/>
      <c r="H101" s="48"/>
      <c r="I101" s="48"/>
      <c r="J101" s="48"/>
      <c r="K101" s="48"/>
      <c r="L101" s="48"/>
      <c r="M101" s="48"/>
      <c r="N101" s="48"/>
      <c r="O101" s="48"/>
      <c r="P101" s="48"/>
      <c r="Q101" s="48"/>
      <c r="R101" s="48"/>
      <c r="S101" s="48"/>
      <c r="T101" s="48"/>
      <c r="U101" s="48"/>
      <c r="V101" s="48"/>
      <c r="W101" s="48"/>
      <c r="X101" s="48"/>
    </row>
    <row r="102" ht="15.75" customHeight="1">
      <c r="A102" s="56"/>
      <c r="B102" s="48"/>
      <c r="C102" s="48"/>
      <c r="D102" s="27"/>
      <c r="E102" s="27"/>
      <c r="F102" s="48"/>
      <c r="G102" s="48"/>
      <c r="H102" s="48"/>
      <c r="I102" s="48"/>
      <c r="J102" s="48"/>
      <c r="K102" s="48"/>
      <c r="L102" s="48"/>
      <c r="M102" s="48"/>
      <c r="N102" s="48"/>
      <c r="O102" s="48"/>
      <c r="P102" s="48"/>
      <c r="Q102" s="48"/>
      <c r="R102" s="48"/>
      <c r="S102" s="48"/>
      <c r="T102" s="48"/>
      <c r="U102" s="48"/>
      <c r="V102" s="48"/>
      <c r="W102" s="48"/>
      <c r="X102" s="48"/>
    </row>
    <row r="103" ht="15.75" customHeight="1">
      <c r="A103" s="56"/>
      <c r="B103" s="48"/>
      <c r="C103" s="48"/>
      <c r="D103" s="27"/>
      <c r="E103" s="27"/>
      <c r="F103" s="48"/>
      <c r="G103" s="48"/>
      <c r="H103" s="48"/>
      <c r="I103" s="48"/>
      <c r="J103" s="48"/>
      <c r="K103" s="48"/>
      <c r="L103" s="48"/>
      <c r="M103" s="48"/>
      <c r="N103" s="48"/>
      <c r="O103" s="48"/>
      <c r="P103" s="48"/>
      <c r="Q103" s="48"/>
      <c r="R103" s="48"/>
      <c r="S103" s="48"/>
      <c r="T103" s="48"/>
      <c r="U103" s="48"/>
      <c r="V103" s="48"/>
      <c r="W103" s="48"/>
      <c r="X103" s="48"/>
    </row>
    <row r="104" ht="15.75" customHeight="1">
      <c r="A104" s="56"/>
      <c r="B104" s="48"/>
      <c r="C104" s="48"/>
      <c r="D104" s="27"/>
      <c r="E104" s="27"/>
      <c r="F104" s="48"/>
      <c r="G104" s="48"/>
      <c r="H104" s="48"/>
      <c r="I104" s="48"/>
      <c r="J104" s="48"/>
      <c r="K104" s="48"/>
      <c r="L104" s="48"/>
      <c r="M104" s="48"/>
      <c r="N104" s="48"/>
      <c r="O104" s="48"/>
      <c r="P104" s="48"/>
      <c r="Q104" s="48"/>
      <c r="R104" s="48"/>
      <c r="S104" s="48"/>
      <c r="T104" s="48"/>
      <c r="U104" s="48"/>
      <c r="V104" s="48"/>
      <c r="W104" s="48"/>
      <c r="X104" s="48"/>
    </row>
    <row r="105" ht="15.75" customHeight="1">
      <c r="A105" s="56"/>
      <c r="B105" s="48"/>
      <c r="C105" s="48"/>
      <c r="D105" s="27"/>
      <c r="E105" s="27"/>
      <c r="F105" s="48"/>
      <c r="G105" s="48"/>
      <c r="H105" s="48"/>
      <c r="I105" s="48"/>
      <c r="J105" s="48"/>
      <c r="K105" s="48"/>
      <c r="L105" s="48"/>
      <c r="M105" s="48"/>
      <c r="N105" s="48"/>
      <c r="O105" s="48"/>
      <c r="P105" s="48"/>
      <c r="Q105" s="48"/>
      <c r="R105" s="48"/>
      <c r="S105" s="48"/>
      <c r="T105" s="48"/>
      <c r="U105" s="48"/>
      <c r="V105" s="48"/>
      <c r="W105" s="48"/>
      <c r="X105" s="48"/>
    </row>
    <row r="106" ht="15.75" customHeight="1">
      <c r="A106" s="56"/>
      <c r="B106" s="48"/>
      <c r="C106" s="48"/>
      <c r="D106" s="27"/>
      <c r="E106" s="27"/>
      <c r="F106" s="48"/>
      <c r="G106" s="48"/>
      <c r="H106" s="48"/>
      <c r="I106" s="48"/>
      <c r="J106" s="48"/>
      <c r="K106" s="48"/>
      <c r="L106" s="48"/>
      <c r="M106" s="48"/>
      <c r="N106" s="48"/>
      <c r="O106" s="48"/>
      <c r="P106" s="48"/>
      <c r="Q106" s="48"/>
      <c r="R106" s="48"/>
      <c r="S106" s="48"/>
      <c r="T106" s="48"/>
      <c r="U106" s="48"/>
      <c r="V106" s="48"/>
      <c r="W106" s="48"/>
      <c r="X106" s="48"/>
    </row>
    <row r="107" ht="15.75" customHeight="1">
      <c r="A107" s="56"/>
      <c r="B107" s="48"/>
      <c r="C107" s="48"/>
      <c r="D107" s="27"/>
      <c r="E107" s="27"/>
      <c r="F107" s="48"/>
      <c r="G107" s="48"/>
      <c r="H107" s="48"/>
      <c r="I107" s="48"/>
      <c r="J107" s="48"/>
      <c r="K107" s="48"/>
      <c r="L107" s="48"/>
      <c r="M107" s="48"/>
      <c r="N107" s="48"/>
      <c r="O107" s="48"/>
      <c r="P107" s="48"/>
      <c r="Q107" s="48"/>
      <c r="R107" s="48"/>
      <c r="S107" s="48"/>
      <c r="T107" s="48"/>
      <c r="U107" s="48"/>
      <c r="V107" s="48"/>
      <c r="W107" s="48"/>
      <c r="X107" s="48"/>
    </row>
    <row r="108" ht="15.75" customHeight="1">
      <c r="A108" s="56"/>
      <c r="B108" s="48"/>
      <c r="C108" s="48"/>
      <c r="D108" s="27"/>
      <c r="E108" s="27"/>
      <c r="F108" s="48"/>
      <c r="G108" s="48"/>
      <c r="H108" s="48"/>
      <c r="I108" s="48"/>
      <c r="J108" s="48"/>
      <c r="K108" s="48"/>
      <c r="L108" s="48"/>
      <c r="M108" s="48"/>
      <c r="N108" s="48"/>
      <c r="O108" s="48"/>
      <c r="P108" s="48"/>
      <c r="Q108" s="48"/>
      <c r="R108" s="48"/>
      <c r="S108" s="48"/>
      <c r="T108" s="48"/>
      <c r="U108" s="48"/>
      <c r="V108" s="48"/>
      <c r="W108" s="48"/>
      <c r="X108" s="48"/>
    </row>
    <row r="109" ht="15.75" customHeight="1">
      <c r="A109" s="56"/>
      <c r="B109" s="48"/>
      <c r="C109" s="48"/>
      <c r="D109" s="27"/>
      <c r="E109" s="27"/>
      <c r="F109" s="48"/>
      <c r="G109" s="48"/>
      <c r="H109" s="48"/>
      <c r="I109" s="48"/>
      <c r="J109" s="48"/>
      <c r="K109" s="48"/>
      <c r="L109" s="48"/>
      <c r="M109" s="48"/>
      <c r="N109" s="48"/>
      <c r="O109" s="48"/>
      <c r="P109" s="48"/>
      <c r="Q109" s="48"/>
      <c r="R109" s="48"/>
      <c r="S109" s="48"/>
      <c r="T109" s="48"/>
      <c r="U109" s="48"/>
      <c r="V109" s="48"/>
      <c r="W109" s="48"/>
      <c r="X109" s="48"/>
    </row>
    <row r="110" ht="15.75" customHeight="1">
      <c r="A110" s="56"/>
      <c r="B110" s="48"/>
      <c r="C110" s="48"/>
      <c r="D110" s="27"/>
      <c r="E110" s="27"/>
      <c r="F110" s="48"/>
      <c r="G110" s="48"/>
      <c r="H110" s="48"/>
      <c r="I110" s="48"/>
      <c r="J110" s="48"/>
      <c r="K110" s="48"/>
      <c r="L110" s="48"/>
      <c r="M110" s="48"/>
      <c r="N110" s="48"/>
      <c r="O110" s="48"/>
      <c r="P110" s="48"/>
      <c r="Q110" s="48"/>
      <c r="R110" s="48"/>
      <c r="S110" s="48"/>
      <c r="T110" s="48"/>
      <c r="U110" s="48"/>
      <c r="V110" s="48"/>
      <c r="W110" s="48"/>
      <c r="X110" s="48"/>
    </row>
    <row r="111" ht="15.75" customHeight="1">
      <c r="A111" s="56"/>
      <c r="B111" s="48"/>
      <c r="C111" s="48"/>
      <c r="D111" s="27"/>
      <c r="E111" s="27"/>
      <c r="F111" s="48"/>
      <c r="G111" s="48"/>
      <c r="H111" s="48"/>
      <c r="I111" s="48"/>
      <c r="J111" s="48"/>
      <c r="K111" s="48"/>
      <c r="L111" s="48"/>
      <c r="M111" s="48"/>
      <c r="N111" s="48"/>
      <c r="O111" s="48"/>
      <c r="P111" s="48"/>
      <c r="Q111" s="48"/>
      <c r="R111" s="48"/>
      <c r="S111" s="48"/>
      <c r="T111" s="48"/>
      <c r="U111" s="48"/>
      <c r="V111" s="48"/>
      <c r="W111" s="48"/>
      <c r="X111" s="48"/>
    </row>
    <row r="112" ht="15.75" customHeight="1">
      <c r="A112" s="56"/>
      <c r="B112" s="48"/>
      <c r="C112" s="48"/>
      <c r="D112" s="27"/>
      <c r="E112" s="27"/>
      <c r="F112" s="48"/>
      <c r="G112" s="48"/>
      <c r="H112" s="48"/>
      <c r="I112" s="48"/>
      <c r="J112" s="48"/>
      <c r="K112" s="48"/>
      <c r="L112" s="48"/>
      <c r="M112" s="48"/>
      <c r="N112" s="48"/>
      <c r="O112" s="48"/>
      <c r="P112" s="48"/>
      <c r="Q112" s="48"/>
      <c r="R112" s="48"/>
      <c r="S112" s="48"/>
      <c r="T112" s="48"/>
      <c r="U112" s="48"/>
      <c r="V112" s="48"/>
      <c r="W112" s="48"/>
      <c r="X112" s="48"/>
    </row>
    <row r="113" ht="15.75" customHeight="1">
      <c r="A113" s="56"/>
      <c r="B113" s="48"/>
      <c r="C113" s="48"/>
      <c r="D113" s="27"/>
      <c r="E113" s="27"/>
      <c r="F113" s="48"/>
      <c r="G113" s="48"/>
      <c r="H113" s="48"/>
      <c r="I113" s="48"/>
      <c r="J113" s="48"/>
      <c r="K113" s="48"/>
      <c r="L113" s="48"/>
      <c r="M113" s="48"/>
      <c r="N113" s="48"/>
      <c r="O113" s="48"/>
      <c r="P113" s="48"/>
      <c r="Q113" s="48"/>
      <c r="R113" s="48"/>
      <c r="S113" s="48"/>
      <c r="T113" s="48"/>
      <c r="U113" s="48"/>
      <c r="V113" s="48"/>
      <c r="W113" s="48"/>
      <c r="X113" s="48"/>
    </row>
    <row r="114" ht="15.75" customHeight="1">
      <c r="A114" s="56"/>
      <c r="B114" s="48"/>
      <c r="C114" s="48"/>
      <c r="D114" s="27"/>
      <c r="E114" s="27"/>
      <c r="F114" s="48"/>
      <c r="G114" s="48"/>
      <c r="H114" s="48"/>
      <c r="I114" s="48"/>
      <c r="J114" s="48"/>
      <c r="K114" s="48"/>
      <c r="L114" s="48"/>
      <c r="M114" s="48"/>
      <c r="N114" s="48"/>
      <c r="O114" s="48"/>
      <c r="P114" s="48"/>
      <c r="Q114" s="48"/>
      <c r="R114" s="48"/>
      <c r="S114" s="48"/>
      <c r="T114" s="48"/>
      <c r="U114" s="48"/>
      <c r="V114" s="48"/>
      <c r="W114" s="48"/>
      <c r="X114" s="48"/>
    </row>
    <row r="115" ht="15.75" customHeight="1">
      <c r="A115" s="56"/>
      <c r="B115" s="48"/>
      <c r="C115" s="48"/>
      <c r="D115" s="27"/>
      <c r="E115" s="27"/>
      <c r="F115" s="48"/>
      <c r="G115" s="48"/>
      <c r="H115" s="48"/>
      <c r="I115" s="48"/>
      <c r="J115" s="48"/>
      <c r="K115" s="48"/>
      <c r="L115" s="48"/>
      <c r="M115" s="48"/>
      <c r="N115" s="48"/>
      <c r="O115" s="48"/>
      <c r="P115" s="48"/>
      <c r="Q115" s="48"/>
      <c r="R115" s="48"/>
      <c r="S115" s="48"/>
      <c r="T115" s="48"/>
      <c r="U115" s="48"/>
      <c r="V115" s="48"/>
      <c r="W115" s="48"/>
      <c r="X115" s="48"/>
    </row>
    <row r="116" ht="15.75" customHeight="1">
      <c r="A116" s="56"/>
      <c r="B116" s="48"/>
      <c r="C116" s="48"/>
      <c r="D116" s="27"/>
      <c r="E116" s="27"/>
      <c r="F116" s="48"/>
      <c r="G116" s="48"/>
      <c r="H116" s="48"/>
      <c r="I116" s="48"/>
      <c r="J116" s="48"/>
      <c r="K116" s="48"/>
      <c r="L116" s="48"/>
      <c r="M116" s="48"/>
      <c r="N116" s="48"/>
      <c r="O116" s="48"/>
      <c r="P116" s="48"/>
      <c r="Q116" s="48"/>
      <c r="R116" s="48"/>
      <c r="S116" s="48"/>
      <c r="T116" s="48"/>
      <c r="U116" s="48"/>
      <c r="V116" s="48"/>
      <c r="W116" s="48"/>
      <c r="X116" s="48"/>
    </row>
    <row r="117" ht="15.75" customHeight="1">
      <c r="A117" s="56"/>
      <c r="B117" s="48"/>
      <c r="C117" s="48"/>
      <c r="D117" s="27"/>
      <c r="E117" s="27"/>
      <c r="F117" s="48"/>
      <c r="G117" s="48"/>
      <c r="H117" s="48"/>
      <c r="I117" s="48"/>
      <c r="J117" s="48"/>
      <c r="K117" s="48"/>
      <c r="L117" s="48"/>
      <c r="M117" s="48"/>
      <c r="N117" s="48"/>
      <c r="O117" s="48"/>
      <c r="P117" s="48"/>
      <c r="Q117" s="48"/>
      <c r="R117" s="48"/>
      <c r="S117" s="48"/>
      <c r="T117" s="48"/>
      <c r="U117" s="48"/>
      <c r="V117" s="48"/>
      <c r="W117" s="48"/>
      <c r="X117" s="48"/>
    </row>
    <row r="118" ht="15.75" customHeight="1">
      <c r="A118" s="56"/>
      <c r="B118" s="48"/>
      <c r="C118" s="48"/>
      <c r="D118" s="27"/>
      <c r="E118" s="27"/>
      <c r="F118" s="48"/>
      <c r="G118" s="48"/>
      <c r="H118" s="48"/>
      <c r="I118" s="48"/>
      <c r="J118" s="48"/>
      <c r="K118" s="48"/>
      <c r="L118" s="48"/>
      <c r="M118" s="48"/>
      <c r="N118" s="48"/>
      <c r="O118" s="48"/>
      <c r="P118" s="48"/>
      <c r="Q118" s="48"/>
      <c r="R118" s="48"/>
      <c r="S118" s="48"/>
      <c r="T118" s="48"/>
      <c r="U118" s="48"/>
      <c r="V118" s="48"/>
      <c r="W118" s="48"/>
      <c r="X118" s="48"/>
    </row>
    <row r="119" ht="15.75" customHeight="1">
      <c r="A119" s="56"/>
      <c r="B119" s="48"/>
      <c r="C119" s="48"/>
      <c r="D119" s="27"/>
      <c r="E119" s="27"/>
      <c r="F119" s="48"/>
      <c r="G119" s="48"/>
      <c r="H119" s="48"/>
      <c r="I119" s="48"/>
      <c r="J119" s="48"/>
      <c r="K119" s="48"/>
      <c r="L119" s="48"/>
      <c r="M119" s="48"/>
      <c r="N119" s="48"/>
      <c r="O119" s="48"/>
      <c r="P119" s="48"/>
      <c r="Q119" s="48"/>
      <c r="R119" s="48"/>
      <c r="S119" s="48"/>
      <c r="T119" s="48"/>
      <c r="U119" s="48"/>
      <c r="V119" s="48"/>
      <c r="W119" s="48"/>
      <c r="X119" s="48"/>
    </row>
    <row r="120" ht="15.75" customHeight="1">
      <c r="A120" s="56"/>
      <c r="B120" s="48"/>
      <c r="C120" s="48"/>
      <c r="D120" s="27"/>
      <c r="E120" s="27"/>
      <c r="F120" s="48"/>
      <c r="G120" s="48"/>
      <c r="H120" s="48"/>
      <c r="I120" s="48"/>
      <c r="J120" s="48"/>
      <c r="K120" s="48"/>
      <c r="L120" s="48"/>
      <c r="M120" s="48"/>
      <c r="N120" s="48"/>
      <c r="O120" s="48"/>
      <c r="P120" s="48"/>
      <c r="Q120" s="48"/>
      <c r="R120" s="48"/>
      <c r="S120" s="48"/>
      <c r="T120" s="48"/>
      <c r="U120" s="48"/>
      <c r="V120" s="48"/>
      <c r="W120" s="48"/>
      <c r="X120" s="48"/>
    </row>
    <row r="121" ht="15.75" customHeight="1">
      <c r="A121" s="56"/>
      <c r="B121" s="48"/>
      <c r="C121" s="48"/>
      <c r="D121" s="27"/>
      <c r="E121" s="27"/>
      <c r="F121" s="48"/>
      <c r="G121" s="48"/>
      <c r="H121" s="48"/>
      <c r="I121" s="48"/>
      <c r="J121" s="48"/>
      <c r="K121" s="48"/>
      <c r="L121" s="48"/>
      <c r="M121" s="48"/>
      <c r="N121" s="48"/>
      <c r="O121" s="48"/>
      <c r="P121" s="48"/>
      <c r="Q121" s="48"/>
      <c r="R121" s="48"/>
      <c r="S121" s="48"/>
      <c r="T121" s="48"/>
      <c r="U121" s="48"/>
      <c r="V121" s="48"/>
      <c r="W121" s="48"/>
      <c r="X121" s="48"/>
    </row>
    <row r="122" ht="15.75" customHeight="1">
      <c r="A122" s="56"/>
      <c r="B122" s="48"/>
      <c r="C122" s="48"/>
      <c r="D122" s="27"/>
      <c r="E122" s="27"/>
      <c r="F122" s="48"/>
      <c r="G122" s="48"/>
      <c r="H122" s="48"/>
      <c r="I122" s="48"/>
      <c r="J122" s="48"/>
      <c r="K122" s="48"/>
      <c r="L122" s="48"/>
      <c r="M122" s="48"/>
      <c r="N122" s="48"/>
      <c r="O122" s="48"/>
      <c r="P122" s="48"/>
      <c r="Q122" s="48"/>
      <c r="R122" s="48"/>
      <c r="S122" s="48"/>
      <c r="T122" s="48"/>
      <c r="U122" s="48"/>
      <c r="V122" s="48"/>
      <c r="W122" s="48"/>
      <c r="X122" s="48"/>
    </row>
    <row r="123" ht="15.75" customHeight="1">
      <c r="A123" s="56"/>
      <c r="B123" s="48"/>
      <c r="C123" s="48"/>
      <c r="D123" s="27"/>
      <c r="E123" s="27"/>
      <c r="F123" s="48"/>
      <c r="G123" s="48"/>
      <c r="H123" s="48"/>
      <c r="I123" s="48"/>
      <c r="J123" s="48"/>
      <c r="K123" s="48"/>
      <c r="L123" s="48"/>
      <c r="M123" s="48"/>
      <c r="N123" s="48"/>
      <c r="O123" s="48"/>
      <c r="P123" s="48"/>
      <c r="Q123" s="48"/>
      <c r="R123" s="48"/>
      <c r="S123" s="48"/>
      <c r="T123" s="48"/>
      <c r="U123" s="48"/>
      <c r="V123" s="48"/>
      <c r="W123" s="48"/>
      <c r="X123" s="48"/>
    </row>
    <row r="124" ht="15.75" customHeight="1">
      <c r="A124" s="56"/>
      <c r="B124" s="48"/>
      <c r="C124" s="48"/>
      <c r="D124" s="27"/>
      <c r="E124" s="27"/>
      <c r="F124" s="48"/>
      <c r="G124" s="48"/>
      <c r="H124" s="48"/>
      <c r="I124" s="48"/>
      <c r="J124" s="48"/>
      <c r="K124" s="48"/>
      <c r="L124" s="48"/>
      <c r="M124" s="48"/>
      <c r="N124" s="48"/>
      <c r="O124" s="48"/>
      <c r="P124" s="48"/>
      <c r="Q124" s="48"/>
      <c r="R124" s="48"/>
      <c r="S124" s="48"/>
      <c r="T124" s="48"/>
      <c r="U124" s="48"/>
      <c r="V124" s="48"/>
      <c r="W124" s="48"/>
      <c r="X124" s="48"/>
    </row>
    <row r="125" ht="15.75" customHeight="1">
      <c r="A125" s="56"/>
      <c r="B125" s="48"/>
      <c r="C125" s="48"/>
      <c r="D125" s="27"/>
      <c r="E125" s="27"/>
      <c r="F125" s="48"/>
      <c r="G125" s="48"/>
      <c r="H125" s="48"/>
      <c r="I125" s="48"/>
      <c r="J125" s="48"/>
      <c r="K125" s="48"/>
      <c r="L125" s="48"/>
      <c r="M125" s="48"/>
      <c r="N125" s="48"/>
      <c r="O125" s="48"/>
      <c r="P125" s="48"/>
      <c r="Q125" s="48"/>
      <c r="R125" s="48"/>
      <c r="S125" s="48"/>
      <c r="T125" s="48"/>
      <c r="U125" s="48"/>
      <c r="V125" s="48"/>
      <c r="W125" s="48"/>
      <c r="X125" s="48"/>
    </row>
    <row r="126" ht="15.75" customHeight="1">
      <c r="A126" s="56"/>
      <c r="B126" s="48"/>
      <c r="C126" s="48"/>
      <c r="D126" s="27"/>
      <c r="E126" s="27"/>
      <c r="F126" s="48"/>
      <c r="G126" s="48"/>
      <c r="H126" s="48"/>
      <c r="I126" s="48"/>
      <c r="J126" s="48"/>
      <c r="K126" s="48"/>
      <c r="L126" s="48"/>
      <c r="M126" s="48"/>
      <c r="N126" s="48"/>
      <c r="O126" s="48"/>
      <c r="P126" s="48"/>
      <c r="Q126" s="48"/>
      <c r="R126" s="48"/>
      <c r="S126" s="48"/>
      <c r="T126" s="48"/>
      <c r="U126" s="48"/>
      <c r="V126" s="48"/>
      <c r="W126" s="48"/>
      <c r="X126" s="48"/>
    </row>
    <row r="127" ht="15.75" customHeight="1">
      <c r="A127" s="56"/>
      <c r="B127" s="48"/>
      <c r="C127" s="48"/>
      <c r="D127" s="27"/>
      <c r="E127" s="27"/>
      <c r="F127" s="48"/>
      <c r="G127" s="48"/>
      <c r="H127" s="48"/>
      <c r="I127" s="48"/>
      <c r="J127" s="48"/>
      <c r="K127" s="48"/>
      <c r="L127" s="48"/>
      <c r="M127" s="48"/>
      <c r="N127" s="48"/>
      <c r="O127" s="48"/>
      <c r="P127" s="48"/>
      <c r="Q127" s="48"/>
      <c r="R127" s="48"/>
      <c r="S127" s="48"/>
      <c r="T127" s="48"/>
      <c r="U127" s="48"/>
      <c r="V127" s="48"/>
      <c r="W127" s="48"/>
      <c r="X127" s="48"/>
    </row>
    <row r="128" ht="15.75" customHeight="1">
      <c r="A128" s="56"/>
      <c r="B128" s="48"/>
      <c r="C128" s="48"/>
      <c r="D128" s="27"/>
      <c r="E128" s="27"/>
      <c r="F128" s="48"/>
      <c r="G128" s="48"/>
      <c r="H128" s="48"/>
      <c r="I128" s="48"/>
      <c r="J128" s="48"/>
      <c r="K128" s="48"/>
      <c r="L128" s="48"/>
      <c r="M128" s="48"/>
      <c r="N128" s="48"/>
      <c r="O128" s="48"/>
      <c r="P128" s="48"/>
      <c r="Q128" s="48"/>
      <c r="R128" s="48"/>
      <c r="S128" s="48"/>
      <c r="T128" s="48"/>
      <c r="U128" s="48"/>
      <c r="V128" s="48"/>
      <c r="W128" s="48"/>
      <c r="X128" s="48"/>
    </row>
    <row r="129" ht="15.75" customHeight="1">
      <c r="A129" s="56"/>
      <c r="B129" s="48"/>
      <c r="C129" s="48"/>
      <c r="D129" s="27"/>
      <c r="E129" s="27"/>
      <c r="F129" s="48"/>
      <c r="G129" s="48"/>
      <c r="H129" s="48"/>
      <c r="I129" s="48"/>
      <c r="J129" s="48"/>
      <c r="K129" s="48"/>
      <c r="L129" s="48"/>
      <c r="M129" s="48"/>
      <c r="N129" s="48"/>
      <c r="O129" s="48"/>
      <c r="P129" s="48"/>
      <c r="Q129" s="48"/>
      <c r="R129" s="48"/>
      <c r="S129" s="48"/>
      <c r="T129" s="48"/>
      <c r="U129" s="48"/>
      <c r="V129" s="48"/>
      <c r="W129" s="48"/>
      <c r="X129" s="48"/>
    </row>
    <row r="130" ht="15.75" customHeight="1">
      <c r="A130" s="56"/>
      <c r="B130" s="48"/>
      <c r="C130" s="48"/>
      <c r="D130" s="27"/>
      <c r="E130" s="27"/>
      <c r="F130" s="48"/>
      <c r="G130" s="48"/>
      <c r="H130" s="48"/>
      <c r="I130" s="48"/>
      <c r="J130" s="48"/>
      <c r="K130" s="48"/>
      <c r="L130" s="48"/>
      <c r="M130" s="48"/>
      <c r="N130" s="48"/>
      <c r="O130" s="48"/>
      <c r="P130" s="48"/>
      <c r="Q130" s="48"/>
      <c r="R130" s="48"/>
      <c r="S130" s="48"/>
      <c r="T130" s="48"/>
      <c r="U130" s="48"/>
      <c r="V130" s="48"/>
      <c r="W130" s="48"/>
      <c r="X130" s="48"/>
    </row>
    <row r="131" ht="15.75" customHeight="1">
      <c r="A131" s="56"/>
      <c r="B131" s="48"/>
      <c r="C131" s="48"/>
      <c r="D131" s="27"/>
      <c r="E131" s="27"/>
      <c r="F131" s="48"/>
      <c r="G131" s="48"/>
      <c r="H131" s="48"/>
      <c r="I131" s="48"/>
      <c r="J131" s="48"/>
      <c r="K131" s="48"/>
      <c r="L131" s="48"/>
      <c r="M131" s="48"/>
      <c r="N131" s="48"/>
      <c r="O131" s="48"/>
      <c r="P131" s="48"/>
      <c r="Q131" s="48"/>
      <c r="R131" s="48"/>
      <c r="S131" s="48"/>
      <c r="T131" s="48"/>
      <c r="U131" s="48"/>
      <c r="V131" s="48"/>
      <c r="W131" s="48"/>
      <c r="X131" s="48"/>
    </row>
    <row r="132" ht="15.75" customHeight="1">
      <c r="A132" s="56"/>
      <c r="B132" s="48"/>
      <c r="C132" s="48"/>
      <c r="D132" s="27"/>
      <c r="E132" s="27"/>
      <c r="F132" s="48"/>
      <c r="G132" s="48"/>
      <c r="H132" s="48"/>
      <c r="I132" s="48"/>
      <c r="J132" s="48"/>
      <c r="K132" s="48"/>
      <c r="L132" s="48"/>
      <c r="M132" s="48"/>
      <c r="N132" s="48"/>
      <c r="O132" s="48"/>
      <c r="P132" s="48"/>
      <c r="Q132" s="48"/>
      <c r="R132" s="48"/>
      <c r="S132" s="48"/>
      <c r="T132" s="48"/>
      <c r="U132" s="48"/>
      <c r="V132" s="48"/>
      <c r="W132" s="48"/>
      <c r="X132" s="48"/>
    </row>
    <row r="133" ht="15.75" customHeight="1">
      <c r="A133" s="56"/>
      <c r="B133" s="48"/>
      <c r="C133" s="48"/>
      <c r="D133" s="27"/>
      <c r="E133" s="27"/>
      <c r="F133" s="48"/>
      <c r="G133" s="48"/>
      <c r="H133" s="48"/>
      <c r="I133" s="48"/>
      <c r="J133" s="48"/>
      <c r="K133" s="48"/>
      <c r="L133" s="48"/>
      <c r="M133" s="48"/>
      <c r="N133" s="48"/>
      <c r="O133" s="48"/>
      <c r="P133" s="48"/>
      <c r="Q133" s="48"/>
      <c r="R133" s="48"/>
      <c r="S133" s="48"/>
      <c r="T133" s="48"/>
      <c r="U133" s="48"/>
      <c r="V133" s="48"/>
      <c r="W133" s="48"/>
      <c r="X133" s="48"/>
    </row>
    <row r="134" ht="15.75" customHeight="1">
      <c r="A134" s="56"/>
      <c r="B134" s="48"/>
      <c r="C134" s="48"/>
      <c r="D134" s="27"/>
      <c r="E134" s="27"/>
      <c r="F134" s="48"/>
      <c r="G134" s="48"/>
      <c r="H134" s="48"/>
      <c r="I134" s="48"/>
      <c r="J134" s="48"/>
      <c r="K134" s="48"/>
      <c r="L134" s="48"/>
      <c r="M134" s="48"/>
      <c r="N134" s="48"/>
      <c r="O134" s="48"/>
      <c r="P134" s="48"/>
      <c r="Q134" s="48"/>
      <c r="R134" s="48"/>
      <c r="S134" s="48"/>
      <c r="T134" s="48"/>
      <c r="U134" s="48"/>
      <c r="V134" s="48"/>
      <c r="W134" s="48"/>
      <c r="X134" s="48"/>
    </row>
    <row r="135" ht="15.75" customHeight="1">
      <c r="A135" s="56"/>
      <c r="B135" s="48"/>
      <c r="C135" s="48"/>
      <c r="D135" s="27"/>
      <c r="E135" s="27"/>
      <c r="F135" s="48"/>
      <c r="G135" s="48"/>
      <c r="H135" s="48"/>
      <c r="I135" s="48"/>
      <c r="J135" s="48"/>
      <c r="K135" s="48"/>
      <c r="L135" s="48"/>
      <c r="M135" s="48"/>
      <c r="N135" s="48"/>
      <c r="O135" s="48"/>
      <c r="P135" s="48"/>
      <c r="Q135" s="48"/>
      <c r="R135" s="48"/>
      <c r="S135" s="48"/>
      <c r="T135" s="48"/>
      <c r="U135" s="48"/>
      <c r="V135" s="48"/>
      <c r="W135" s="48"/>
      <c r="X135" s="48"/>
    </row>
    <row r="136" ht="15.75" customHeight="1">
      <c r="A136" s="56"/>
      <c r="B136" s="48"/>
      <c r="C136" s="48"/>
      <c r="D136" s="27"/>
      <c r="E136" s="27"/>
      <c r="F136" s="48"/>
      <c r="G136" s="48"/>
      <c r="H136" s="48"/>
      <c r="I136" s="48"/>
      <c r="J136" s="48"/>
      <c r="K136" s="48"/>
      <c r="L136" s="48"/>
      <c r="M136" s="48"/>
      <c r="N136" s="48"/>
      <c r="O136" s="48"/>
      <c r="P136" s="48"/>
      <c r="Q136" s="48"/>
      <c r="R136" s="48"/>
      <c r="S136" s="48"/>
      <c r="T136" s="48"/>
      <c r="U136" s="48"/>
      <c r="V136" s="48"/>
      <c r="W136" s="48"/>
      <c r="X136" s="48"/>
    </row>
    <row r="137" ht="15.75" customHeight="1">
      <c r="A137" s="56"/>
      <c r="B137" s="48"/>
      <c r="C137" s="48"/>
      <c r="D137" s="27"/>
      <c r="E137" s="27"/>
      <c r="F137" s="48"/>
      <c r="G137" s="48"/>
      <c r="H137" s="48"/>
      <c r="I137" s="48"/>
      <c r="J137" s="48"/>
      <c r="K137" s="48"/>
      <c r="L137" s="48"/>
      <c r="M137" s="48"/>
      <c r="N137" s="48"/>
      <c r="O137" s="48"/>
      <c r="P137" s="48"/>
      <c r="Q137" s="48"/>
      <c r="R137" s="48"/>
      <c r="S137" s="48"/>
      <c r="T137" s="48"/>
      <c r="U137" s="48"/>
      <c r="V137" s="48"/>
      <c r="W137" s="48"/>
      <c r="X137" s="48"/>
    </row>
    <row r="138" ht="15.75" customHeight="1">
      <c r="A138" s="56"/>
      <c r="B138" s="48"/>
      <c r="C138" s="48"/>
      <c r="D138" s="27"/>
      <c r="E138" s="27"/>
      <c r="F138" s="48"/>
      <c r="G138" s="48"/>
      <c r="H138" s="48"/>
      <c r="I138" s="48"/>
      <c r="J138" s="48"/>
      <c r="K138" s="48"/>
      <c r="L138" s="48"/>
      <c r="M138" s="48"/>
      <c r="N138" s="48"/>
      <c r="O138" s="48"/>
      <c r="P138" s="48"/>
      <c r="Q138" s="48"/>
      <c r="R138" s="48"/>
      <c r="S138" s="48"/>
      <c r="T138" s="48"/>
      <c r="U138" s="48"/>
      <c r="V138" s="48"/>
      <c r="W138" s="48"/>
      <c r="X138" s="48"/>
    </row>
    <row r="139" ht="15.75" customHeight="1">
      <c r="A139" s="56"/>
      <c r="B139" s="48"/>
      <c r="C139" s="48"/>
      <c r="D139" s="27"/>
      <c r="E139" s="27"/>
      <c r="F139" s="48"/>
      <c r="G139" s="48"/>
      <c r="H139" s="48"/>
      <c r="I139" s="48"/>
      <c r="J139" s="48"/>
      <c r="K139" s="48"/>
      <c r="L139" s="48"/>
      <c r="M139" s="48"/>
      <c r="N139" s="48"/>
      <c r="O139" s="48"/>
      <c r="P139" s="48"/>
      <c r="Q139" s="48"/>
      <c r="R139" s="48"/>
      <c r="S139" s="48"/>
      <c r="T139" s="48"/>
      <c r="U139" s="48"/>
      <c r="V139" s="48"/>
      <c r="W139" s="48"/>
      <c r="X139" s="48"/>
    </row>
    <row r="140" ht="15.75" customHeight="1">
      <c r="A140" s="56"/>
      <c r="B140" s="48"/>
      <c r="C140" s="48"/>
      <c r="D140" s="27"/>
      <c r="E140" s="27"/>
      <c r="F140" s="48"/>
      <c r="G140" s="48"/>
      <c r="H140" s="48"/>
      <c r="I140" s="48"/>
      <c r="J140" s="48"/>
      <c r="K140" s="48"/>
      <c r="L140" s="48"/>
      <c r="M140" s="48"/>
      <c r="N140" s="48"/>
      <c r="O140" s="48"/>
      <c r="P140" s="48"/>
      <c r="Q140" s="48"/>
      <c r="R140" s="48"/>
      <c r="S140" s="48"/>
      <c r="T140" s="48"/>
      <c r="U140" s="48"/>
      <c r="V140" s="48"/>
      <c r="W140" s="48"/>
      <c r="X140" s="48"/>
    </row>
    <row r="141" ht="15.75" customHeight="1">
      <c r="A141" s="56"/>
      <c r="B141" s="48"/>
      <c r="C141" s="48"/>
      <c r="D141" s="27"/>
      <c r="E141" s="27"/>
      <c r="F141" s="48"/>
      <c r="G141" s="48"/>
      <c r="H141" s="48"/>
      <c r="I141" s="48"/>
      <c r="J141" s="48"/>
      <c r="K141" s="48"/>
      <c r="L141" s="48"/>
      <c r="M141" s="48"/>
      <c r="N141" s="48"/>
      <c r="O141" s="48"/>
      <c r="P141" s="48"/>
      <c r="Q141" s="48"/>
      <c r="R141" s="48"/>
      <c r="S141" s="48"/>
      <c r="T141" s="48"/>
      <c r="U141" s="48"/>
      <c r="V141" s="48"/>
      <c r="W141" s="48"/>
      <c r="X141" s="48"/>
    </row>
    <row r="142" ht="15.75" customHeight="1">
      <c r="A142" s="56"/>
      <c r="B142" s="48"/>
      <c r="C142" s="48"/>
      <c r="D142" s="27"/>
      <c r="E142" s="27"/>
      <c r="F142" s="48"/>
      <c r="G142" s="48"/>
      <c r="H142" s="48"/>
      <c r="I142" s="48"/>
      <c r="J142" s="48"/>
      <c r="K142" s="48"/>
      <c r="L142" s="48"/>
      <c r="M142" s="48"/>
      <c r="N142" s="48"/>
      <c r="O142" s="48"/>
      <c r="P142" s="48"/>
      <c r="Q142" s="48"/>
      <c r="R142" s="48"/>
      <c r="S142" s="48"/>
      <c r="T142" s="48"/>
      <c r="U142" s="48"/>
      <c r="V142" s="48"/>
      <c r="W142" s="48"/>
      <c r="X142" s="48"/>
    </row>
    <row r="143" ht="15.75" customHeight="1">
      <c r="A143" s="56"/>
      <c r="B143" s="48"/>
      <c r="C143" s="48"/>
      <c r="D143" s="27"/>
      <c r="E143" s="27"/>
      <c r="F143" s="48"/>
      <c r="G143" s="48"/>
      <c r="H143" s="48"/>
      <c r="I143" s="48"/>
      <c r="J143" s="48"/>
      <c r="K143" s="48"/>
      <c r="L143" s="48"/>
      <c r="M143" s="48"/>
      <c r="N143" s="48"/>
      <c r="O143" s="48"/>
      <c r="P143" s="48"/>
      <c r="Q143" s="48"/>
      <c r="R143" s="48"/>
      <c r="S143" s="48"/>
      <c r="T143" s="48"/>
      <c r="U143" s="48"/>
      <c r="V143" s="48"/>
      <c r="W143" s="48"/>
      <c r="X143" s="48"/>
    </row>
    <row r="144" ht="15.75" customHeight="1">
      <c r="A144" s="56"/>
      <c r="B144" s="48"/>
      <c r="C144" s="48"/>
      <c r="D144" s="27"/>
      <c r="E144" s="27"/>
      <c r="F144" s="48"/>
      <c r="G144" s="48"/>
      <c r="H144" s="48"/>
      <c r="I144" s="48"/>
      <c r="J144" s="48"/>
      <c r="K144" s="48"/>
      <c r="L144" s="48"/>
      <c r="M144" s="48"/>
      <c r="N144" s="48"/>
      <c r="O144" s="48"/>
      <c r="P144" s="48"/>
      <c r="Q144" s="48"/>
      <c r="R144" s="48"/>
      <c r="S144" s="48"/>
      <c r="T144" s="48"/>
      <c r="U144" s="48"/>
      <c r="V144" s="48"/>
      <c r="W144" s="48"/>
      <c r="X144" s="48"/>
    </row>
    <row r="145" ht="15.75" customHeight="1">
      <c r="A145" s="56"/>
      <c r="B145" s="48"/>
      <c r="C145" s="48"/>
      <c r="D145" s="27"/>
      <c r="E145" s="27"/>
      <c r="F145" s="48"/>
      <c r="G145" s="48"/>
      <c r="H145" s="48"/>
      <c r="I145" s="48"/>
      <c r="J145" s="48"/>
      <c r="K145" s="48"/>
      <c r="L145" s="48"/>
      <c r="M145" s="48"/>
      <c r="N145" s="48"/>
      <c r="O145" s="48"/>
      <c r="P145" s="48"/>
      <c r="Q145" s="48"/>
      <c r="R145" s="48"/>
      <c r="S145" s="48"/>
      <c r="T145" s="48"/>
      <c r="U145" s="48"/>
      <c r="V145" s="48"/>
      <c r="W145" s="48"/>
      <c r="X145" s="48"/>
    </row>
    <row r="146" ht="15.75" customHeight="1">
      <c r="A146" s="56"/>
      <c r="B146" s="48"/>
      <c r="C146" s="48"/>
      <c r="D146" s="27"/>
      <c r="E146" s="27"/>
      <c r="F146" s="48"/>
      <c r="G146" s="48"/>
      <c r="H146" s="48"/>
      <c r="I146" s="48"/>
      <c r="J146" s="48"/>
      <c r="K146" s="48"/>
      <c r="L146" s="48"/>
      <c r="M146" s="48"/>
      <c r="N146" s="48"/>
      <c r="O146" s="48"/>
      <c r="P146" s="48"/>
      <c r="Q146" s="48"/>
      <c r="R146" s="48"/>
      <c r="S146" s="48"/>
      <c r="T146" s="48"/>
      <c r="U146" s="48"/>
      <c r="V146" s="48"/>
      <c r="W146" s="48"/>
      <c r="X146" s="48"/>
    </row>
    <row r="147" ht="15.75" customHeight="1">
      <c r="A147" s="56"/>
      <c r="B147" s="48"/>
      <c r="C147" s="48"/>
      <c r="D147" s="27"/>
      <c r="E147" s="27"/>
      <c r="F147" s="48"/>
      <c r="G147" s="48"/>
      <c r="H147" s="48"/>
      <c r="I147" s="48"/>
      <c r="J147" s="48"/>
      <c r="K147" s="48"/>
      <c r="L147" s="48"/>
      <c r="M147" s="48"/>
      <c r="N147" s="48"/>
      <c r="O147" s="48"/>
      <c r="P147" s="48"/>
      <c r="Q147" s="48"/>
      <c r="R147" s="48"/>
      <c r="S147" s="48"/>
      <c r="T147" s="48"/>
      <c r="U147" s="48"/>
      <c r="V147" s="48"/>
      <c r="W147" s="48"/>
      <c r="X147" s="48"/>
    </row>
    <row r="148" ht="15.75" customHeight="1">
      <c r="A148" s="56"/>
      <c r="B148" s="48"/>
      <c r="C148" s="48"/>
      <c r="D148" s="27"/>
      <c r="E148" s="27"/>
      <c r="F148" s="48"/>
      <c r="G148" s="48"/>
      <c r="H148" s="48"/>
      <c r="I148" s="48"/>
      <c r="J148" s="48"/>
      <c r="K148" s="48"/>
      <c r="L148" s="48"/>
      <c r="M148" s="48"/>
      <c r="N148" s="48"/>
      <c r="O148" s="48"/>
      <c r="P148" s="48"/>
      <c r="Q148" s="48"/>
      <c r="R148" s="48"/>
      <c r="S148" s="48"/>
      <c r="T148" s="48"/>
      <c r="U148" s="48"/>
      <c r="V148" s="48"/>
      <c r="W148" s="48"/>
      <c r="X148" s="48"/>
    </row>
    <row r="149" ht="15.75" customHeight="1">
      <c r="A149" s="56"/>
      <c r="B149" s="48"/>
      <c r="C149" s="48"/>
      <c r="D149" s="27"/>
      <c r="E149" s="27"/>
      <c r="F149" s="48"/>
      <c r="G149" s="48"/>
      <c r="H149" s="48"/>
      <c r="I149" s="48"/>
      <c r="J149" s="48"/>
      <c r="K149" s="48"/>
      <c r="L149" s="48"/>
      <c r="M149" s="48"/>
      <c r="N149" s="48"/>
      <c r="O149" s="48"/>
      <c r="P149" s="48"/>
      <c r="Q149" s="48"/>
      <c r="R149" s="48"/>
      <c r="S149" s="48"/>
      <c r="T149" s="48"/>
      <c r="U149" s="48"/>
      <c r="V149" s="48"/>
      <c r="W149" s="48"/>
      <c r="X149" s="48"/>
    </row>
    <row r="150" ht="15.75" customHeight="1">
      <c r="A150" s="56"/>
      <c r="B150" s="48"/>
      <c r="C150" s="48"/>
      <c r="D150" s="27"/>
      <c r="E150" s="27"/>
      <c r="F150" s="48"/>
      <c r="G150" s="48"/>
      <c r="H150" s="48"/>
      <c r="I150" s="48"/>
      <c r="J150" s="48"/>
      <c r="K150" s="48"/>
      <c r="L150" s="48"/>
      <c r="M150" s="48"/>
      <c r="N150" s="48"/>
      <c r="O150" s="48"/>
      <c r="P150" s="48"/>
      <c r="Q150" s="48"/>
      <c r="R150" s="48"/>
      <c r="S150" s="48"/>
      <c r="T150" s="48"/>
      <c r="U150" s="48"/>
      <c r="V150" s="48"/>
      <c r="W150" s="48"/>
      <c r="X150" s="48"/>
    </row>
    <row r="151" ht="15.75" customHeight="1">
      <c r="A151" s="56"/>
      <c r="B151" s="48"/>
      <c r="C151" s="48"/>
      <c r="D151" s="27"/>
      <c r="E151" s="27"/>
      <c r="F151" s="48"/>
      <c r="G151" s="48"/>
      <c r="H151" s="48"/>
      <c r="I151" s="48"/>
      <c r="J151" s="48"/>
      <c r="K151" s="48"/>
      <c r="L151" s="48"/>
      <c r="M151" s="48"/>
      <c r="N151" s="48"/>
      <c r="O151" s="48"/>
      <c r="P151" s="48"/>
      <c r="Q151" s="48"/>
      <c r="R151" s="48"/>
      <c r="S151" s="48"/>
      <c r="T151" s="48"/>
      <c r="U151" s="48"/>
      <c r="V151" s="48"/>
      <c r="W151" s="48"/>
      <c r="X151" s="48"/>
    </row>
    <row r="152" ht="15.75" customHeight="1">
      <c r="A152" s="56"/>
      <c r="B152" s="48"/>
      <c r="C152" s="48"/>
      <c r="D152" s="27"/>
      <c r="E152" s="27"/>
      <c r="F152" s="48"/>
      <c r="G152" s="48"/>
      <c r="H152" s="48"/>
      <c r="I152" s="48"/>
      <c r="J152" s="48"/>
      <c r="K152" s="48"/>
      <c r="L152" s="48"/>
      <c r="M152" s="48"/>
      <c r="N152" s="48"/>
      <c r="O152" s="48"/>
      <c r="P152" s="48"/>
      <c r="Q152" s="48"/>
      <c r="R152" s="48"/>
      <c r="S152" s="48"/>
      <c r="T152" s="48"/>
      <c r="U152" s="48"/>
      <c r="V152" s="48"/>
      <c r="W152" s="48"/>
      <c r="X152" s="48"/>
    </row>
    <row r="153" ht="15.75" customHeight="1">
      <c r="A153" s="56"/>
      <c r="B153" s="48"/>
      <c r="C153" s="48"/>
      <c r="D153" s="27"/>
      <c r="E153" s="27"/>
      <c r="F153" s="48"/>
      <c r="G153" s="48"/>
      <c r="H153" s="48"/>
      <c r="I153" s="48"/>
      <c r="J153" s="48"/>
      <c r="K153" s="48"/>
      <c r="L153" s="48"/>
      <c r="M153" s="48"/>
      <c r="N153" s="48"/>
      <c r="O153" s="48"/>
      <c r="P153" s="48"/>
      <c r="Q153" s="48"/>
      <c r="R153" s="48"/>
      <c r="S153" s="48"/>
      <c r="T153" s="48"/>
      <c r="U153" s="48"/>
      <c r="V153" s="48"/>
      <c r="W153" s="48"/>
      <c r="X153" s="48"/>
    </row>
    <row r="154" ht="15.75" customHeight="1">
      <c r="A154" s="56"/>
      <c r="B154" s="48"/>
      <c r="C154" s="48"/>
      <c r="D154" s="27"/>
      <c r="E154" s="27"/>
      <c r="F154" s="48"/>
      <c r="G154" s="48"/>
      <c r="H154" s="48"/>
      <c r="I154" s="48"/>
      <c r="J154" s="48"/>
      <c r="K154" s="48"/>
      <c r="L154" s="48"/>
      <c r="M154" s="48"/>
      <c r="N154" s="48"/>
      <c r="O154" s="48"/>
      <c r="P154" s="48"/>
      <c r="Q154" s="48"/>
      <c r="R154" s="48"/>
      <c r="S154" s="48"/>
      <c r="T154" s="48"/>
      <c r="U154" s="48"/>
      <c r="V154" s="48"/>
      <c r="W154" s="48"/>
      <c r="X154" s="48"/>
    </row>
    <row r="155" ht="15.75" customHeight="1">
      <c r="A155" s="56"/>
      <c r="B155" s="48"/>
      <c r="C155" s="48"/>
      <c r="D155" s="27"/>
      <c r="E155" s="27"/>
      <c r="F155" s="48"/>
      <c r="G155" s="48"/>
      <c r="H155" s="48"/>
      <c r="I155" s="48"/>
      <c r="J155" s="48"/>
      <c r="K155" s="48"/>
      <c r="L155" s="48"/>
      <c r="M155" s="48"/>
      <c r="N155" s="48"/>
      <c r="O155" s="48"/>
      <c r="P155" s="48"/>
      <c r="Q155" s="48"/>
      <c r="R155" s="48"/>
      <c r="S155" s="48"/>
      <c r="T155" s="48"/>
      <c r="U155" s="48"/>
      <c r="V155" s="48"/>
      <c r="W155" s="48"/>
      <c r="X155" s="48"/>
    </row>
    <row r="156" ht="15.75" customHeight="1">
      <c r="A156" s="56"/>
      <c r="B156" s="48"/>
      <c r="C156" s="48"/>
      <c r="D156" s="27"/>
      <c r="E156" s="27"/>
      <c r="F156" s="48"/>
      <c r="G156" s="48"/>
      <c r="H156" s="48"/>
      <c r="I156" s="48"/>
      <c r="J156" s="48"/>
      <c r="K156" s="48"/>
      <c r="L156" s="48"/>
      <c r="M156" s="48"/>
      <c r="N156" s="48"/>
      <c r="O156" s="48"/>
      <c r="P156" s="48"/>
      <c r="Q156" s="48"/>
      <c r="R156" s="48"/>
      <c r="S156" s="48"/>
      <c r="T156" s="48"/>
      <c r="U156" s="48"/>
      <c r="V156" s="48"/>
      <c r="W156" s="48"/>
      <c r="X156" s="48"/>
    </row>
    <row r="157" ht="15.75" customHeight="1">
      <c r="A157" s="56"/>
      <c r="B157" s="48"/>
      <c r="C157" s="48"/>
      <c r="D157" s="27"/>
      <c r="E157" s="27"/>
      <c r="F157" s="48"/>
      <c r="G157" s="48"/>
      <c r="H157" s="48"/>
      <c r="I157" s="48"/>
      <c r="J157" s="48"/>
      <c r="K157" s="48"/>
      <c r="L157" s="48"/>
      <c r="M157" s="48"/>
      <c r="N157" s="48"/>
      <c r="O157" s="48"/>
      <c r="P157" s="48"/>
      <c r="Q157" s="48"/>
      <c r="R157" s="48"/>
      <c r="S157" s="48"/>
      <c r="T157" s="48"/>
      <c r="U157" s="48"/>
      <c r="V157" s="48"/>
      <c r="W157" s="48"/>
      <c r="X157" s="48"/>
    </row>
    <row r="158" ht="15.75" customHeight="1">
      <c r="A158" s="56"/>
      <c r="B158" s="48"/>
      <c r="C158" s="48"/>
      <c r="D158" s="27"/>
      <c r="E158" s="27"/>
      <c r="F158" s="48"/>
      <c r="G158" s="48"/>
      <c r="H158" s="48"/>
      <c r="I158" s="48"/>
      <c r="J158" s="48"/>
      <c r="K158" s="48"/>
      <c r="L158" s="48"/>
      <c r="M158" s="48"/>
      <c r="N158" s="48"/>
      <c r="O158" s="48"/>
      <c r="P158" s="48"/>
      <c r="Q158" s="48"/>
      <c r="R158" s="48"/>
      <c r="S158" s="48"/>
      <c r="T158" s="48"/>
      <c r="U158" s="48"/>
      <c r="V158" s="48"/>
      <c r="W158" s="48"/>
      <c r="X158" s="48"/>
    </row>
    <row r="159" ht="15.75" customHeight="1">
      <c r="A159" s="56"/>
      <c r="B159" s="48"/>
      <c r="C159" s="48"/>
      <c r="D159" s="27"/>
      <c r="E159" s="27"/>
      <c r="F159" s="48"/>
      <c r="G159" s="48"/>
      <c r="H159" s="48"/>
      <c r="I159" s="48"/>
      <c r="J159" s="48"/>
      <c r="K159" s="48"/>
      <c r="L159" s="48"/>
      <c r="M159" s="48"/>
      <c r="N159" s="48"/>
      <c r="O159" s="48"/>
      <c r="P159" s="48"/>
      <c r="Q159" s="48"/>
      <c r="R159" s="48"/>
      <c r="S159" s="48"/>
      <c r="T159" s="48"/>
      <c r="U159" s="48"/>
      <c r="V159" s="48"/>
      <c r="W159" s="48"/>
      <c r="X159" s="48"/>
    </row>
    <row r="160" ht="15.75" customHeight="1">
      <c r="A160" s="56"/>
      <c r="B160" s="48"/>
      <c r="C160" s="48"/>
      <c r="D160" s="27"/>
      <c r="E160" s="27"/>
      <c r="F160" s="48"/>
      <c r="G160" s="48"/>
      <c r="H160" s="48"/>
      <c r="I160" s="48"/>
      <c r="J160" s="48"/>
      <c r="K160" s="48"/>
      <c r="L160" s="48"/>
      <c r="M160" s="48"/>
      <c r="N160" s="48"/>
      <c r="O160" s="48"/>
      <c r="P160" s="48"/>
      <c r="Q160" s="48"/>
      <c r="R160" s="48"/>
      <c r="S160" s="48"/>
      <c r="T160" s="48"/>
      <c r="U160" s="48"/>
      <c r="V160" s="48"/>
      <c r="W160" s="48"/>
      <c r="X160" s="48"/>
    </row>
    <row r="161" ht="15.75" customHeight="1">
      <c r="A161" s="56"/>
      <c r="B161" s="48"/>
      <c r="C161" s="48"/>
      <c r="D161" s="27"/>
      <c r="E161" s="27"/>
      <c r="F161" s="48"/>
      <c r="G161" s="48"/>
      <c r="H161" s="48"/>
      <c r="I161" s="48"/>
      <c r="J161" s="48"/>
      <c r="K161" s="48"/>
      <c r="L161" s="48"/>
      <c r="M161" s="48"/>
      <c r="N161" s="48"/>
      <c r="O161" s="48"/>
      <c r="P161" s="48"/>
      <c r="Q161" s="48"/>
      <c r="R161" s="48"/>
      <c r="S161" s="48"/>
      <c r="T161" s="48"/>
      <c r="U161" s="48"/>
      <c r="V161" s="48"/>
      <c r="W161" s="48"/>
      <c r="X161" s="48"/>
    </row>
    <row r="162" ht="15.75" customHeight="1">
      <c r="A162" s="56"/>
      <c r="B162" s="48"/>
      <c r="C162" s="48"/>
      <c r="D162" s="27"/>
      <c r="E162" s="27"/>
      <c r="F162" s="48"/>
      <c r="G162" s="48"/>
      <c r="H162" s="48"/>
      <c r="I162" s="48"/>
      <c r="J162" s="48"/>
      <c r="K162" s="48"/>
      <c r="L162" s="48"/>
      <c r="M162" s="48"/>
      <c r="N162" s="48"/>
      <c r="O162" s="48"/>
      <c r="P162" s="48"/>
      <c r="Q162" s="48"/>
      <c r="R162" s="48"/>
      <c r="S162" s="48"/>
      <c r="T162" s="48"/>
      <c r="U162" s="48"/>
      <c r="V162" s="48"/>
      <c r="W162" s="48"/>
      <c r="X162" s="48"/>
    </row>
    <row r="163" ht="15.75" customHeight="1">
      <c r="A163" s="56"/>
      <c r="B163" s="48"/>
      <c r="C163" s="48"/>
      <c r="D163" s="27"/>
      <c r="E163" s="27"/>
      <c r="F163" s="48"/>
      <c r="G163" s="48"/>
      <c r="H163" s="48"/>
      <c r="I163" s="48"/>
      <c r="J163" s="48"/>
      <c r="K163" s="48"/>
      <c r="L163" s="48"/>
      <c r="M163" s="48"/>
      <c r="N163" s="48"/>
      <c r="O163" s="48"/>
      <c r="P163" s="48"/>
      <c r="Q163" s="48"/>
      <c r="R163" s="48"/>
      <c r="S163" s="48"/>
      <c r="T163" s="48"/>
      <c r="U163" s="48"/>
      <c r="V163" s="48"/>
      <c r="W163" s="48"/>
      <c r="X163" s="48"/>
    </row>
    <row r="164" ht="15.75" customHeight="1">
      <c r="A164" s="56"/>
      <c r="B164" s="48"/>
      <c r="C164" s="48"/>
      <c r="D164" s="27"/>
      <c r="E164" s="27"/>
      <c r="F164" s="48"/>
      <c r="G164" s="48"/>
      <c r="H164" s="48"/>
      <c r="I164" s="48"/>
      <c r="J164" s="48"/>
      <c r="K164" s="48"/>
      <c r="L164" s="48"/>
      <c r="M164" s="48"/>
      <c r="N164" s="48"/>
      <c r="O164" s="48"/>
      <c r="P164" s="48"/>
      <c r="Q164" s="48"/>
      <c r="R164" s="48"/>
      <c r="S164" s="48"/>
      <c r="T164" s="48"/>
      <c r="U164" s="48"/>
      <c r="V164" s="48"/>
      <c r="W164" s="48"/>
      <c r="X164" s="48"/>
    </row>
    <row r="165" ht="15.75" customHeight="1">
      <c r="A165" s="56"/>
      <c r="B165" s="48"/>
      <c r="C165" s="48"/>
      <c r="D165" s="27"/>
      <c r="E165" s="27"/>
      <c r="F165" s="48"/>
      <c r="G165" s="48"/>
      <c r="H165" s="48"/>
      <c r="I165" s="48"/>
      <c r="J165" s="48"/>
      <c r="K165" s="48"/>
      <c r="L165" s="48"/>
      <c r="M165" s="48"/>
      <c r="N165" s="48"/>
      <c r="O165" s="48"/>
      <c r="P165" s="48"/>
      <c r="Q165" s="48"/>
      <c r="R165" s="48"/>
      <c r="S165" s="48"/>
      <c r="T165" s="48"/>
      <c r="U165" s="48"/>
      <c r="V165" s="48"/>
      <c r="W165" s="48"/>
      <c r="X165" s="48"/>
    </row>
    <row r="166" ht="15.75" customHeight="1">
      <c r="A166" s="56"/>
      <c r="B166" s="48"/>
      <c r="C166" s="48"/>
      <c r="D166" s="27"/>
      <c r="E166" s="27"/>
      <c r="F166" s="48"/>
      <c r="G166" s="48"/>
      <c r="H166" s="48"/>
      <c r="I166" s="48"/>
      <c r="J166" s="48"/>
      <c r="K166" s="48"/>
      <c r="L166" s="48"/>
      <c r="M166" s="48"/>
      <c r="N166" s="48"/>
      <c r="O166" s="48"/>
      <c r="P166" s="48"/>
      <c r="Q166" s="48"/>
      <c r="R166" s="48"/>
      <c r="S166" s="48"/>
      <c r="T166" s="48"/>
      <c r="U166" s="48"/>
      <c r="V166" s="48"/>
      <c r="W166" s="48"/>
      <c r="X166" s="48"/>
    </row>
    <row r="167" ht="15.75" customHeight="1">
      <c r="A167" s="56"/>
      <c r="B167" s="48"/>
      <c r="C167" s="48"/>
      <c r="D167" s="27"/>
      <c r="E167" s="27"/>
      <c r="F167" s="48"/>
      <c r="G167" s="48"/>
      <c r="H167" s="48"/>
      <c r="I167" s="48"/>
      <c r="J167" s="48"/>
      <c r="K167" s="48"/>
      <c r="L167" s="48"/>
      <c r="M167" s="48"/>
      <c r="N167" s="48"/>
      <c r="O167" s="48"/>
      <c r="P167" s="48"/>
      <c r="Q167" s="48"/>
      <c r="R167" s="48"/>
      <c r="S167" s="48"/>
      <c r="T167" s="48"/>
      <c r="U167" s="48"/>
      <c r="V167" s="48"/>
      <c r="W167" s="48"/>
      <c r="X167" s="48"/>
    </row>
    <row r="168" ht="15.75" customHeight="1">
      <c r="A168" s="56"/>
      <c r="B168" s="48"/>
      <c r="C168" s="48"/>
      <c r="D168" s="27"/>
      <c r="E168" s="27"/>
      <c r="F168" s="48"/>
      <c r="G168" s="48"/>
      <c r="H168" s="48"/>
      <c r="I168" s="48"/>
      <c r="J168" s="48"/>
      <c r="K168" s="48"/>
      <c r="L168" s="48"/>
      <c r="M168" s="48"/>
      <c r="N168" s="48"/>
      <c r="O168" s="48"/>
      <c r="P168" s="48"/>
      <c r="Q168" s="48"/>
      <c r="R168" s="48"/>
      <c r="S168" s="48"/>
      <c r="T168" s="48"/>
      <c r="U168" s="48"/>
      <c r="V168" s="48"/>
      <c r="W168" s="48"/>
      <c r="X168" s="48"/>
    </row>
    <row r="169" ht="15.75" customHeight="1">
      <c r="A169" s="56"/>
      <c r="B169" s="48"/>
      <c r="C169" s="48"/>
      <c r="D169" s="27"/>
      <c r="E169" s="27"/>
      <c r="F169" s="48"/>
      <c r="G169" s="48"/>
      <c r="H169" s="48"/>
      <c r="I169" s="48"/>
      <c r="J169" s="48"/>
      <c r="K169" s="48"/>
      <c r="L169" s="48"/>
      <c r="M169" s="48"/>
      <c r="N169" s="48"/>
      <c r="O169" s="48"/>
      <c r="P169" s="48"/>
      <c r="Q169" s="48"/>
      <c r="R169" s="48"/>
      <c r="S169" s="48"/>
      <c r="T169" s="48"/>
      <c r="U169" s="48"/>
      <c r="V169" s="48"/>
      <c r="W169" s="48"/>
      <c r="X169" s="48"/>
    </row>
    <row r="170" ht="15.75" customHeight="1">
      <c r="A170" s="56"/>
      <c r="B170" s="48"/>
      <c r="C170" s="48"/>
      <c r="D170" s="27"/>
      <c r="E170" s="27"/>
      <c r="F170" s="48"/>
      <c r="G170" s="48"/>
      <c r="H170" s="48"/>
      <c r="I170" s="48"/>
      <c r="J170" s="48"/>
      <c r="K170" s="48"/>
      <c r="L170" s="48"/>
      <c r="M170" s="48"/>
      <c r="N170" s="48"/>
      <c r="O170" s="48"/>
      <c r="P170" s="48"/>
      <c r="Q170" s="48"/>
      <c r="R170" s="48"/>
      <c r="S170" s="48"/>
      <c r="T170" s="48"/>
      <c r="U170" s="48"/>
      <c r="V170" s="48"/>
      <c r="W170" s="48"/>
      <c r="X170" s="48"/>
    </row>
    <row r="171" ht="15.75" customHeight="1">
      <c r="A171" s="56"/>
      <c r="B171" s="48"/>
      <c r="C171" s="48"/>
      <c r="D171" s="27"/>
      <c r="E171" s="27"/>
      <c r="F171" s="48"/>
      <c r="G171" s="48"/>
      <c r="H171" s="48"/>
      <c r="I171" s="48"/>
      <c r="J171" s="48"/>
      <c r="K171" s="48"/>
      <c r="L171" s="48"/>
      <c r="M171" s="48"/>
      <c r="N171" s="48"/>
      <c r="O171" s="48"/>
      <c r="P171" s="48"/>
      <c r="Q171" s="48"/>
      <c r="R171" s="48"/>
      <c r="S171" s="48"/>
      <c r="T171" s="48"/>
      <c r="U171" s="48"/>
      <c r="V171" s="48"/>
      <c r="W171" s="48"/>
      <c r="X171" s="48"/>
    </row>
    <row r="172" ht="15.75" customHeight="1">
      <c r="A172" s="56"/>
      <c r="B172" s="48"/>
      <c r="C172" s="48"/>
      <c r="D172" s="27"/>
      <c r="E172" s="27"/>
      <c r="F172" s="48"/>
      <c r="G172" s="48"/>
      <c r="H172" s="48"/>
      <c r="I172" s="48"/>
      <c r="J172" s="48"/>
      <c r="K172" s="48"/>
      <c r="L172" s="48"/>
      <c r="M172" s="48"/>
      <c r="N172" s="48"/>
      <c r="O172" s="48"/>
      <c r="P172" s="48"/>
      <c r="Q172" s="48"/>
      <c r="R172" s="48"/>
      <c r="S172" s="48"/>
      <c r="T172" s="48"/>
      <c r="U172" s="48"/>
      <c r="V172" s="48"/>
      <c r="W172" s="48"/>
      <c r="X172" s="48"/>
    </row>
    <row r="173" ht="15.75" customHeight="1">
      <c r="A173" s="56"/>
      <c r="B173" s="48"/>
      <c r="C173" s="48"/>
      <c r="D173" s="27"/>
      <c r="E173" s="27"/>
      <c r="F173" s="48"/>
      <c r="G173" s="48"/>
      <c r="H173" s="48"/>
      <c r="I173" s="48"/>
      <c r="J173" s="48"/>
      <c r="K173" s="48"/>
      <c r="L173" s="48"/>
      <c r="M173" s="48"/>
      <c r="N173" s="48"/>
      <c r="O173" s="48"/>
      <c r="P173" s="48"/>
      <c r="Q173" s="48"/>
      <c r="R173" s="48"/>
      <c r="S173" s="48"/>
      <c r="T173" s="48"/>
      <c r="U173" s="48"/>
      <c r="V173" s="48"/>
      <c r="W173" s="48"/>
      <c r="X173" s="48"/>
    </row>
    <row r="174" ht="15.75" customHeight="1">
      <c r="A174" s="56"/>
      <c r="B174" s="48"/>
      <c r="C174" s="48"/>
      <c r="D174" s="27"/>
      <c r="E174" s="27"/>
      <c r="F174" s="48"/>
      <c r="G174" s="48"/>
      <c r="H174" s="48"/>
      <c r="I174" s="48"/>
      <c r="J174" s="48"/>
      <c r="K174" s="48"/>
      <c r="L174" s="48"/>
      <c r="M174" s="48"/>
      <c r="N174" s="48"/>
      <c r="O174" s="48"/>
      <c r="P174" s="48"/>
      <c r="Q174" s="48"/>
      <c r="R174" s="48"/>
      <c r="S174" s="48"/>
      <c r="T174" s="48"/>
      <c r="U174" s="48"/>
      <c r="V174" s="48"/>
      <c r="W174" s="48"/>
      <c r="X174" s="48"/>
    </row>
    <row r="175" ht="15.75" customHeight="1">
      <c r="A175" s="56"/>
      <c r="B175" s="48"/>
      <c r="C175" s="48"/>
      <c r="D175" s="27"/>
      <c r="E175" s="27"/>
      <c r="F175" s="48"/>
      <c r="G175" s="48"/>
      <c r="H175" s="48"/>
      <c r="I175" s="48"/>
      <c r="J175" s="48"/>
      <c r="K175" s="48"/>
      <c r="L175" s="48"/>
      <c r="M175" s="48"/>
      <c r="N175" s="48"/>
      <c r="O175" s="48"/>
      <c r="P175" s="48"/>
      <c r="Q175" s="48"/>
      <c r="R175" s="48"/>
      <c r="S175" s="48"/>
      <c r="T175" s="48"/>
      <c r="U175" s="48"/>
      <c r="V175" s="48"/>
      <c r="W175" s="48"/>
      <c r="X175" s="48"/>
    </row>
    <row r="176" ht="15.75" customHeight="1">
      <c r="A176" s="56"/>
      <c r="B176" s="48"/>
      <c r="C176" s="48"/>
      <c r="D176" s="27"/>
      <c r="E176" s="27"/>
      <c r="F176" s="48"/>
      <c r="G176" s="48"/>
      <c r="H176" s="48"/>
      <c r="I176" s="48"/>
      <c r="J176" s="48"/>
      <c r="K176" s="48"/>
      <c r="L176" s="48"/>
      <c r="M176" s="48"/>
      <c r="N176" s="48"/>
      <c r="O176" s="48"/>
      <c r="P176" s="48"/>
      <c r="Q176" s="48"/>
      <c r="R176" s="48"/>
      <c r="S176" s="48"/>
      <c r="T176" s="48"/>
      <c r="U176" s="48"/>
      <c r="V176" s="48"/>
      <c r="W176" s="48"/>
      <c r="X176" s="48"/>
    </row>
    <row r="177" ht="15.75" customHeight="1">
      <c r="A177" s="56"/>
      <c r="B177" s="48"/>
      <c r="C177" s="48"/>
      <c r="D177" s="27"/>
      <c r="E177" s="27"/>
      <c r="F177" s="48"/>
      <c r="G177" s="48"/>
      <c r="H177" s="48"/>
      <c r="I177" s="48"/>
      <c r="J177" s="48"/>
      <c r="K177" s="48"/>
      <c r="L177" s="48"/>
      <c r="M177" s="48"/>
      <c r="N177" s="48"/>
      <c r="O177" s="48"/>
      <c r="P177" s="48"/>
      <c r="Q177" s="48"/>
      <c r="R177" s="48"/>
      <c r="S177" s="48"/>
      <c r="T177" s="48"/>
      <c r="U177" s="48"/>
      <c r="V177" s="48"/>
      <c r="W177" s="48"/>
      <c r="X177" s="48"/>
    </row>
    <row r="178" ht="15.75" customHeight="1">
      <c r="A178" s="56"/>
      <c r="B178" s="48"/>
      <c r="C178" s="48"/>
      <c r="D178" s="27"/>
      <c r="E178" s="27"/>
      <c r="F178" s="48"/>
      <c r="G178" s="48"/>
      <c r="H178" s="48"/>
      <c r="I178" s="48"/>
      <c r="J178" s="48"/>
      <c r="K178" s="48"/>
      <c r="L178" s="48"/>
      <c r="M178" s="48"/>
      <c r="N178" s="48"/>
      <c r="O178" s="48"/>
      <c r="P178" s="48"/>
      <c r="Q178" s="48"/>
      <c r="R178" s="48"/>
      <c r="S178" s="48"/>
      <c r="T178" s="48"/>
      <c r="U178" s="48"/>
      <c r="V178" s="48"/>
      <c r="W178" s="48"/>
      <c r="X178" s="48"/>
    </row>
    <row r="179" ht="15.75" customHeight="1">
      <c r="A179" s="56"/>
      <c r="B179" s="48"/>
      <c r="C179" s="48"/>
      <c r="D179" s="27"/>
      <c r="E179" s="27"/>
      <c r="F179" s="48"/>
      <c r="G179" s="48"/>
      <c r="H179" s="48"/>
      <c r="I179" s="48"/>
      <c r="J179" s="48"/>
      <c r="K179" s="48"/>
      <c r="L179" s="48"/>
      <c r="M179" s="48"/>
      <c r="N179" s="48"/>
      <c r="O179" s="48"/>
      <c r="P179" s="48"/>
      <c r="Q179" s="48"/>
      <c r="R179" s="48"/>
      <c r="S179" s="48"/>
      <c r="T179" s="48"/>
      <c r="U179" s="48"/>
      <c r="V179" s="48"/>
      <c r="W179" s="48"/>
      <c r="X179" s="48"/>
    </row>
    <row r="180" ht="15.75" customHeight="1">
      <c r="A180" s="56"/>
      <c r="B180" s="48"/>
      <c r="C180" s="48"/>
      <c r="D180" s="27"/>
      <c r="E180" s="27"/>
      <c r="F180" s="48"/>
      <c r="G180" s="48"/>
      <c r="H180" s="48"/>
      <c r="I180" s="48"/>
      <c r="J180" s="48"/>
      <c r="K180" s="48"/>
      <c r="L180" s="48"/>
      <c r="M180" s="48"/>
      <c r="N180" s="48"/>
      <c r="O180" s="48"/>
      <c r="P180" s="48"/>
      <c r="Q180" s="48"/>
      <c r="R180" s="48"/>
      <c r="S180" s="48"/>
      <c r="T180" s="48"/>
      <c r="U180" s="48"/>
      <c r="V180" s="48"/>
      <c r="W180" s="48"/>
      <c r="X180" s="48"/>
    </row>
    <row r="181" ht="15.75" customHeight="1">
      <c r="A181" s="56"/>
      <c r="B181" s="48"/>
      <c r="C181" s="48"/>
      <c r="D181" s="27"/>
      <c r="E181" s="27"/>
      <c r="F181" s="48"/>
      <c r="G181" s="48"/>
      <c r="H181" s="48"/>
      <c r="I181" s="48"/>
      <c r="J181" s="48"/>
      <c r="K181" s="48"/>
      <c r="L181" s="48"/>
      <c r="M181" s="48"/>
      <c r="N181" s="48"/>
      <c r="O181" s="48"/>
      <c r="P181" s="48"/>
      <c r="Q181" s="48"/>
      <c r="R181" s="48"/>
      <c r="S181" s="48"/>
      <c r="T181" s="48"/>
      <c r="U181" s="48"/>
      <c r="V181" s="48"/>
      <c r="W181" s="48"/>
      <c r="X181" s="48"/>
    </row>
    <row r="182" ht="15.75" customHeight="1">
      <c r="A182" s="56"/>
      <c r="B182" s="48"/>
      <c r="C182" s="48"/>
      <c r="D182" s="27"/>
      <c r="E182" s="27"/>
      <c r="F182" s="48"/>
      <c r="G182" s="48"/>
      <c r="H182" s="48"/>
      <c r="I182" s="48"/>
      <c r="J182" s="48"/>
      <c r="K182" s="48"/>
      <c r="L182" s="48"/>
      <c r="M182" s="48"/>
      <c r="N182" s="48"/>
      <c r="O182" s="48"/>
      <c r="P182" s="48"/>
      <c r="Q182" s="48"/>
      <c r="R182" s="48"/>
      <c r="S182" s="48"/>
      <c r="T182" s="48"/>
      <c r="U182" s="48"/>
      <c r="V182" s="48"/>
      <c r="W182" s="48"/>
      <c r="X182" s="48"/>
    </row>
    <row r="183" ht="15.75" customHeight="1">
      <c r="A183" s="56"/>
      <c r="B183" s="48"/>
      <c r="C183" s="48"/>
      <c r="D183" s="27"/>
      <c r="E183" s="27"/>
      <c r="F183" s="48"/>
      <c r="G183" s="48"/>
      <c r="H183" s="48"/>
      <c r="I183" s="48"/>
      <c r="J183" s="48"/>
      <c r="K183" s="48"/>
      <c r="L183" s="48"/>
      <c r="M183" s="48"/>
      <c r="N183" s="48"/>
      <c r="O183" s="48"/>
      <c r="P183" s="48"/>
      <c r="Q183" s="48"/>
      <c r="R183" s="48"/>
      <c r="S183" s="48"/>
      <c r="T183" s="48"/>
      <c r="U183" s="48"/>
      <c r="V183" s="48"/>
      <c r="W183" s="48"/>
      <c r="X183" s="48"/>
    </row>
    <row r="184" ht="15.75" customHeight="1">
      <c r="A184" s="56"/>
      <c r="B184" s="48"/>
      <c r="C184" s="48"/>
      <c r="D184" s="27"/>
      <c r="E184" s="27"/>
      <c r="F184" s="48"/>
      <c r="G184" s="48"/>
      <c r="H184" s="48"/>
      <c r="I184" s="48"/>
      <c r="J184" s="48"/>
      <c r="K184" s="48"/>
      <c r="L184" s="48"/>
      <c r="M184" s="48"/>
      <c r="N184" s="48"/>
      <c r="O184" s="48"/>
      <c r="P184" s="48"/>
      <c r="Q184" s="48"/>
      <c r="R184" s="48"/>
      <c r="S184" s="48"/>
      <c r="T184" s="48"/>
      <c r="U184" s="48"/>
      <c r="V184" s="48"/>
      <c r="W184" s="48"/>
      <c r="X184" s="48"/>
    </row>
    <row r="185" ht="15.75" customHeight="1">
      <c r="A185" s="56"/>
      <c r="B185" s="48"/>
      <c r="C185" s="48"/>
      <c r="D185" s="27"/>
      <c r="E185" s="27"/>
      <c r="F185" s="48"/>
      <c r="G185" s="48"/>
      <c r="H185" s="48"/>
      <c r="I185" s="48"/>
      <c r="J185" s="48"/>
      <c r="K185" s="48"/>
      <c r="L185" s="48"/>
      <c r="M185" s="48"/>
      <c r="N185" s="48"/>
      <c r="O185" s="48"/>
      <c r="P185" s="48"/>
      <c r="Q185" s="48"/>
      <c r="R185" s="48"/>
      <c r="S185" s="48"/>
      <c r="T185" s="48"/>
      <c r="U185" s="48"/>
      <c r="V185" s="48"/>
      <c r="W185" s="48"/>
      <c r="X185" s="48"/>
    </row>
    <row r="186" ht="15.75" customHeight="1">
      <c r="A186" s="56"/>
      <c r="B186" s="48"/>
      <c r="C186" s="48"/>
      <c r="D186" s="27"/>
      <c r="E186" s="27"/>
      <c r="F186" s="48"/>
      <c r="G186" s="48"/>
      <c r="H186" s="48"/>
      <c r="I186" s="48"/>
      <c r="J186" s="48"/>
      <c r="K186" s="48"/>
      <c r="L186" s="48"/>
      <c r="M186" s="48"/>
      <c r="N186" s="48"/>
      <c r="O186" s="48"/>
      <c r="P186" s="48"/>
      <c r="Q186" s="48"/>
      <c r="R186" s="48"/>
      <c r="S186" s="48"/>
      <c r="T186" s="48"/>
      <c r="U186" s="48"/>
      <c r="V186" s="48"/>
      <c r="W186" s="48"/>
      <c r="X186" s="48"/>
    </row>
    <row r="187" ht="15.75" customHeight="1">
      <c r="A187" s="56"/>
      <c r="B187" s="48"/>
      <c r="C187" s="48"/>
      <c r="D187" s="27"/>
      <c r="E187" s="27"/>
      <c r="F187" s="48"/>
      <c r="G187" s="48"/>
      <c r="H187" s="48"/>
      <c r="I187" s="48"/>
      <c r="J187" s="48"/>
      <c r="K187" s="48"/>
      <c r="L187" s="48"/>
      <c r="M187" s="48"/>
      <c r="N187" s="48"/>
      <c r="O187" s="48"/>
      <c r="P187" s="48"/>
      <c r="Q187" s="48"/>
      <c r="R187" s="48"/>
      <c r="S187" s="48"/>
      <c r="T187" s="48"/>
      <c r="U187" s="48"/>
      <c r="V187" s="48"/>
      <c r="W187" s="48"/>
      <c r="X187" s="48"/>
    </row>
    <row r="188" ht="15.75" customHeight="1">
      <c r="A188" s="56"/>
      <c r="B188" s="48"/>
      <c r="C188" s="48"/>
      <c r="D188" s="27"/>
      <c r="E188" s="27"/>
      <c r="F188" s="48"/>
      <c r="G188" s="48"/>
      <c r="H188" s="48"/>
      <c r="I188" s="48"/>
      <c r="J188" s="48"/>
      <c r="K188" s="48"/>
      <c r="L188" s="48"/>
      <c r="M188" s="48"/>
      <c r="N188" s="48"/>
      <c r="O188" s="48"/>
      <c r="P188" s="48"/>
      <c r="Q188" s="48"/>
      <c r="R188" s="48"/>
      <c r="S188" s="48"/>
      <c r="T188" s="48"/>
      <c r="U188" s="48"/>
      <c r="V188" s="48"/>
      <c r="W188" s="48"/>
      <c r="X188" s="48"/>
    </row>
    <row r="189" ht="15.75" customHeight="1">
      <c r="A189" s="56"/>
      <c r="B189" s="48"/>
      <c r="C189" s="48"/>
      <c r="D189" s="27"/>
      <c r="E189" s="27"/>
      <c r="F189" s="48"/>
      <c r="G189" s="48"/>
      <c r="H189" s="48"/>
      <c r="I189" s="48"/>
      <c r="J189" s="48"/>
      <c r="K189" s="48"/>
      <c r="L189" s="48"/>
      <c r="M189" s="48"/>
      <c r="N189" s="48"/>
      <c r="O189" s="48"/>
      <c r="P189" s="48"/>
      <c r="Q189" s="48"/>
      <c r="R189" s="48"/>
      <c r="S189" s="48"/>
      <c r="T189" s="48"/>
      <c r="U189" s="48"/>
      <c r="V189" s="48"/>
      <c r="W189" s="48"/>
      <c r="X189" s="48"/>
    </row>
    <row r="190" ht="15.75" customHeight="1">
      <c r="A190" s="56"/>
      <c r="B190" s="48"/>
      <c r="C190" s="48"/>
      <c r="D190" s="27"/>
      <c r="E190" s="27"/>
      <c r="F190" s="48"/>
      <c r="G190" s="48"/>
      <c r="H190" s="48"/>
      <c r="I190" s="48"/>
      <c r="J190" s="48"/>
      <c r="K190" s="48"/>
      <c r="L190" s="48"/>
      <c r="M190" s="48"/>
      <c r="N190" s="48"/>
      <c r="O190" s="48"/>
      <c r="P190" s="48"/>
      <c r="Q190" s="48"/>
      <c r="R190" s="48"/>
      <c r="S190" s="48"/>
      <c r="T190" s="48"/>
      <c r="U190" s="48"/>
      <c r="V190" s="48"/>
      <c r="W190" s="48"/>
      <c r="X190" s="48"/>
    </row>
    <row r="191" ht="15.75" customHeight="1">
      <c r="A191" s="56"/>
      <c r="B191" s="48"/>
      <c r="C191" s="48"/>
      <c r="D191" s="27"/>
      <c r="E191" s="27"/>
      <c r="F191" s="48"/>
      <c r="G191" s="48"/>
      <c r="H191" s="48"/>
      <c r="I191" s="48"/>
      <c r="J191" s="48"/>
      <c r="K191" s="48"/>
      <c r="L191" s="48"/>
      <c r="M191" s="48"/>
      <c r="N191" s="48"/>
      <c r="O191" s="48"/>
      <c r="P191" s="48"/>
      <c r="Q191" s="48"/>
      <c r="R191" s="48"/>
      <c r="S191" s="48"/>
      <c r="T191" s="48"/>
      <c r="U191" s="48"/>
      <c r="V191" s="48"/>
      <c r="W191" s="48"/>
      <c r="X191" s="48"/>
    </row>
    <row r="192" ht="15.75" customHeight="1">
      <c r="A192" s="56"/>
      <c r="B192" s="48"/>
      <c r="C192" s="48"/>
      <c r="D192" s="27"/>
      <c r="E192" s="27"/>
      <c r="F192" s="48"/>
      <c r="G192" s="48"/>
      <c r="H192" s="48"/>
      <c r="I192" s="48"/>
      <c r="J192" s="48"/>
      <c r="K192" s="48"/>
      <c r="L192" s="48"/>
      <c r="M192" s="48"/>
      <c r="N192" s="48"/>
      <c r="O192" s="48"/>
      <c r="P192" s="48"/>
      <c r="Q192" s="48"/>
      <c r="R192" s="48"/>
      <c r="S192" s="48"/>
      <c r="T192" s="48"/>
      <c r="U192" s="48"/>
      <c r="V192" s="48"/>
      <c r="W192" s="48"/>
      <c r="X192" s="48"/>
    </row>
    <row r="193" ht="15.75" customHeight="1">
      <c r="A193" s="56"/>
      <c r="B193" s="48"/>
      <c r="C193" s="48"/>
      <c r="D193" s="27"/>
      <c r="E193" s="27"/>
      <c r="F193" s="48"/>
      <c r="G193" s="48"/>
      <c r="H193" s="48"/>
      <c r="I193" s="48"/>
      <c r="J193" s="48"/>
      <c r="K193" s="48"/>
      <c r="L193" s="48"/>
      <c r="M193" s="48"/>
      <c r="N193" s="48"/>
      <c r="O193" s="48"/>
      <c r="P193" s="48"/>
      <c r="Q193" s="48"/>
      <c r="R193" s="48"/>
      <c r="S193" s="48"/>
      <c r="T193" s="48"/>
      <c r="U193" s="48"/>
      <c r="V193" s="48"/>
      <c r="W193" s="48"/>
      <c r="X193" s="48"/>
    </row>
    <row r="194" ht="15.75" customHeight="1">
      <c r="A194" s="56"/>
      <c r="B194" s="48"/>
      <c r="C194" s="48"/>
      <c r="D194" s="27"/>
      <c r="E194" s="27"/>
      <c r="F194" s="48"/>
      <c r="G194" s="48"/>
      <c r="H194" s="48"/>
      <c r="I194" s="48"/>
      <c r="J194" s="48"/>
      <c r="K194" s="48"/>
      <c r="L194" s="48"/>
      <c r="M194" s="48"/>
      <c r="N194" s="48"/>
      <c r="O194" s="48"/>
      <c r="P194" s="48"/>
      <c r="Q194" s="48"/>
      <c r="R194" s="48"/>
      <c r="S194" s="48"/>
      <c r="T194" s="48"/>
      <c r="U194" s="48"/>
      <c r="V194" s="48"/>
      <c r="W194" s="48"/>
      <c r="X194" s="48"/>
    </row>
    <row r="195" ht="15.75" customHeight="1">
      <c r="A195" s="56"/>
      <c r="B195" s="48"/>
      <c r="C195" s="48"/>
      <c r="D195" s="27"/>
      <c r="E195" s="27"/>
      <c r="F195" s="48"/>
      <c r="G195" s="48"/>
      <c r="H195" s="48"/>
      <c r="I195" s="48"/>
      <c r="J195" s="48"/>
      <c r="K195" s="48"/>
      <c r="L195" s="48"/>
      <c r="M195" s="48"/>
      <c r="N195" s="48"/>
      <c r="O195" s="48"/>
      <c r="P195" s="48"/>
      <c r="Q195" s="48"/>
      <c r="R195" s="48"/>
      <c r="S195" s="48"/>
      <c r="T195" s="48"/>
      <c r="U195" s="48"/>
      <c r="V195" s="48"/>
      <c r="W195" s="48"/>
      <c r="X195" s="48"/>
    </row>
    <row r="196" ht="15.75" customHeight="1">
      <c r="A196" s="56"/>
      <c r="B196" s="48"/>
      <c r="C196" s="48"/>
      <c r="D196" s="27"/>
      <c r="E196" s="27"/>
      <c r="F196" s="48"/>
      <c r="G196" s="48"/>
      <c r="H196" s="48"/>
      <c r="I196" s="48"/>
      <c r="J196" s="48"/>
      <c r="K196" s="48"/>
      <c r="L196" s="48"/>
      <c r="M196" s="48"/>
      <c r="N196" s="48"/>
      <c r="O196" s="48"/>
      <c r="P196" s="48"/>
      <c r="Q196" s="48"/>
      <c r="R196" s="48"/>
      <c r="S196" s="48"/>
      <c r="T196" s="48"/>
      <c r="U196" s="48"/>
      <c r="V196" s="48"/>
      <c r="W196" s="48"/>
      <c r="X196" s="48"/>
    </row>
    <row r="197" ht="15.75" customHeight="1">
      <c r="A197" s="56"/>
      <c r="B197" s="48"/>
      <c r="C197" s="48"/>
      <c r="D197" s="27"/>
      <c r="E197" s="27"/>
      <c r="F197" s="48"/>
      <c r="G197" s="48"/>
      <c r="H197" s="48"/>
      <c r="I197" s="48"/>
      <c r="J197" s="48"/>
      <c r="K197" s="48"/>
      <c r="L197" s="48"/>
      <c r="M197" s="48"/>
      <c r="N197" s="48"/>
      <c r="O197" s="48"/>
      <c r="P197" s="48"/>
      <c r="Q197" s="48"/>
      <c r="R197" s="48"/>
      <c r="S197" s="48"/>
      <c r="T197" s="48"/>
      <c r="U197" s="48"/>
      <c r="V197" s="48"/>
      <c r="W197" s="48"/>
      <c r="X197" s="48"/>
    </row>
    <row r="198" ht="15.75" customHeight="1">
      <c r="A198" s="56"/>
      <c r="B198" s="48"/>
      <c r="C198" s="48"/>
      <c r="D198" s="27"/>
      <c r="E198" s="27"/>
      <c r="F198" s="48"/>
      <c r="G198" s="48"/>
      <c r="H198" s="48"/>
      <c r="I198" s="48"/>
      <c r="J198" s="48"/>
      <c r="K198" s="48"/>
      <c r="L198" s="48"/>
      <c r="M198" s="48"/>
      <c r="N198" s="48"/>
      <c r="O198" s="48"/>
      <c r="P198" s="48"/>
      <c r="Q198" s="48"/>
      <c r="R198" s="48"/>
      <c r="S198" s="48"/>
      <c r="T198" s="48"/>
      <c r="U198" s="48"/>
      <c r="V198" s="48"/>
      <c r="W198" s="48"/>
      <c r="X198" s="48"/>
    </row>
    <row r="199" ht="15.75" customHeight="1">
      <c r="A199" s="56"/>
      <c r="B199" s="48"/>
      <c r="C199" s="48"/>
      <c r="D199" s="27"/>
      <c r="E199" s="27"/>
      <c r="F199" s="48"/>
      <c r="G199" s="48"/>
      <c r="H199" s="48"/>
      <c r="I199" s="48"/>
      <c r="J199" s="48"/>
      <c r="K199" s="48"/>
      <c r="L199" s="48"/>
      <c r="M199" s="48"/>
      <c r="N199" s="48"/>
      <c r="O199" s="48"/>
      <c r="P199" s="48"/>
      <c r="Q199" s="48"/>
      <c r="R199" s="48"/>
      <c r="S199" s="48"/>
      <c r="T199" s="48"/>
      <c r="U199" s="48"/>
      <c r="V199" s="48"/>
      <c r="W199" s="48"/>
      <c r="X199" s="48"/>
    </row>
    <row r="200" ht="15.75" customHeight="1">
      <c r="A200" s="56"/>
      <c r="B200" s="48"/>
      <c r="C200" s="48"/>
      <c r="D200" s="27"/>
      <c r="E200" s="27"/>
      <c r="F200" s="48"/>
      <c r="G200" s="48"/>
      <c r="H200" s="48"/>
      <c r="I200" s="48"/>
      <c r="J200" s="48"/>
      <c r="K200" s="48"/>
      <c r="L200" s="48"/>
      <c r="M200" s="48"/>
      <c r="N200" s="48"/>
      <c r="O200" s="48"/>
      <c r="P200" s="48"/>
      <c r="Q200" s="48"/>
      <c r="R200" s="48"/>
      <c r="S200" s="48"/>
      <c r="T200" s="48"/>
      <c r="U200" s="48"/>
      <c r="V200" s="48"/>
      <c r="W200" s="48"/>
      <c r="X200" s="48"/>
    </row>
    <row r="201" ht="15.75" customHeight="1">
      <c r="A201" s="56"/>
      <c r="B201" s="48"/>
      <c r="C201" s="48"/>
      <c r="D201" s="27"/>
      <c r="E201" s="27"/>
      <c r="F201" s="48"/>
      <c r="G201" s="48"/>
      <c r="H201" s="48"/>
      <c r="I201" s="48"/>
      <c r="J201" s="48"/>
      <c r="K201" s="48"/>
      <c r="L201" s="48"/>
      <c r="M201" s="48"/>
      <c r="N201" s="48"/>
      <c r="O201" s="48"/>
      <c r="P201" s="48"/>
      <c r="Q201" s="48"/>
      <c r="R201" s="48"/>
      <c r="S201" s="48"/>
      <c r="T201" s="48"/>
      <c r="U201" s="48"/>
      <c r="V201" s="48"/>
      <c r="W201" s="48"/>
      <c r="X201" s="48"/>
    </row>
    <row r="202" ht="15.75" customHeight="1">
      <c r="A202" s="56"/>
      <c r="B202" s="48"/>
      <c r="C202" s="48"/>
      <c r="D202" s="27"/>
      <c r="E202" s="27"/>
      <c r="F202" s="48"/>
      <c r="G202" s="48"/>
      <c r="H202" s="48"/>
      <c r="I202" s="48"/>
      <c r="J202" s="48"/>
      <c r="K202" s="48"/>
      <c r="L202" s="48"/>
      <c r="M202" s="48"/>
      <c r="N202" s="48"/>
      <c r="O202" s="48"/>
      <c r="P202" s="48"/>
      <c r="Q202" s="48"/>
      <c r="R202" s="48"/>
      <c r="S202" s="48"/>
      <c r="T202" s="48"/>
      <c r="U202" s="48"/>
      <c r="V202" s="48"/>
      <c r="W202" s="48"/>
      <c r="X202" s="48"/>
    </row>
    <row r="203" ht="15.75" customHeight="1">
      <c r="A203" s="56"/>
      <c r="B203" s="48"/>
      <c r="C203" s="48"/>
      <c r="D203" s="27"/>
      <c r="E203" s="27"/>
      <c r="F203" s="48"/>
      <c r="G203" s="48"/>
      <c r="H203" s="48"/>
      <c r="I203" s="48"/>
      <c r="J203" s="48"/>
      <c r="K203" s="48"/>
      <c r="L203" s="48"/>
      <c r="M203" s="48"/>
      <c r="N203" s="48"/>
      <c r="O203" s="48"/>
      <c r="P203" s="48"/>
      <c r="Q203" s="48"/>
      <c r="R203" s="48"/>
      <c r="S203" s="48"/>
      <c r="T203" s="48"/>
      <c r="U203" s="48"/>
      <c r="V203" s="48"/>
      <c r="W203" s="48"/>
      <c r="X203" s="48"/>
    </row>
    <row r="204" ht="15.75" customHeight="1">
      <c r="A204" s="56"/>
      <c r="B204" s="48"/>
      <c r="C204" s="48"/>
      <c r="D204" s="27"/>
      <c r="E204" s="27"/>
      <c r="F204" s="48"/>
      <c r="G204" s="48"/>
      <c r="H204" s="48"/>
      <c r="I204" s="48"/>
      <c r="J204" s="48"/>
      <c r="K204" s="48"/>
      <c r="L204" s="48"/>
      <c r="M204" s="48"/>
      <c r="N204" s="48"/>
      <c r="O204" s="48"/>
      <c r="P204" s="48"/>
      <c r="Q204" s="48"/>
      <c r="R204" s="48"/>
      <c r="S204" s="48"/>
      <c r="T204" s="48"/>
      <c r="U204" s="48"/>
      <c r="V204" s="48"/>
      <c r="W204" s="48"/>
      <c r="X204" s="48"/>
    </row>
    <row r="205" ht="15.75" customHeight="1">
      <c r="A205" s="56"/>
      <c r="B205" s="48"/>
      <c r="C205" s="48"/>
      <c r="D205" s="27"/>
      <c r="E205" s="27"/>
      <c r="F205" s="48"/>
      <c r="G205" s="48"/>
      <c r="H205" s="48"/>
      <c r="I205" s="48"/>
      <c r="J205" s="48"/>
      <c r="K205" s="48"/>
      <c r="L205" s="48"/>
      <c r="M205" s="48"/>
      <c r="N205" s="48"/>
      <c r="O205" s="48"/>
      <c r="P205" s="48"/>
      <c r="Q205" s="48"/>
      <c r="R205" s="48"/>
      <c r="S205" s="48"/>
      <c r="T205" s="48"/>
      <c r="U205" s="48"/>
      <c r="V205" s="48"/>
      <c r="W205" s="48"/>
      <c r="X205" s="48"/>
    </row>
    <row r="206" ht="15.75" customHeight="1">
      <c r="A206" s="56"/>
      <c r="B206" s="48"/>
      <c r="C206" s="48"/>
      <c r="D206" s="27"/>
      <c r="E206" s="27"/>
      <c r="F206" s="48"/>
      <c r="G206" s="48"/>
      <c r="H206" s="48"/>
      <c r="I206" s="48"/>
      <c r="J206" s="48"/>
      <c r="K206" s="48"/>
      <c r="L206" s="48"/>
      <c r="M206" s="48"/>
      <c r="N206" s="48"/>
      <c r="O206" s="48"/>
      <c r="P206" s="48"/>
      <c r="Q206" s="48"/>
      <c r="R206" s="48"/>
      <c r="S206" s="48"/>
      <c r="T206" s="48"/>
      <c r="U206" s="48"/>
      <c r="V206" s="48"/>
      <c r="W206" s="48"/>
      <c r="X206" s="48"/>
    </row>
    <row r="207" ht="15.75" customHeight="1">
      <c r="A207" s="56"/>
      <c r="B207" s="48"/>
      <c r="C207" s="48"/>
      <c r="D207" s="27"/>
      <c r="E207" s="27"/>
      <c r="F207" s="48"/>
      <c r="G207" s="48"/>
      <c r="H207" s="48"/>
      <c r="I207" s="48"/>
      <c r="J207" s="48"/>
      <c r="K207" s="48"/>
      <c r="L207" s="48"/>
      <c r="M207" s="48"/>
      <c r="N207" s="48"/>
      <c r="O207" s="48"/>
      <c r="P207" s="48"/>
      <c r="Q207" s="48"/>
      <c r="R207" s="48"/>
      <c r="S207" s="48"/>
      <c r="T207" s="48"/>
      <c r="U207" s="48"/>
      <c r="V207" s="48"/>
      <c r="W207" s="48"/>
      <c r="X207" s="48"/>
    </row>
    <row r="208" ht="15.75" customHeight="1">
      <c r="A208" s="56"/>
      <c r="B208" s="48"/>
      <c r="C208" s="48"/>
      <c r="D208" s="27"/>
      <c r="E208" s="27"/>
      <c r="F208" s="48"/>
      <c r="G208" s="48"/>
      <c r="H208" s="48"/>
      <c r="I208" s="48"/>
      <c r="J208" s="48"/>
      <c r="K208" s="48"/>
      <c r="L208" s="48"/>
      <c r="M208" s="48"/>
      <c r="N208" s="48"/>
      <c r="O208" s="48"/>
      <c r="P208" s="48"/>
      <c r="Q208" s="48"/>
      <c r="R208" s="48"/>
      <c r="S208" s="48"/>
      <c r="T208" s="48"/>
      <c r="U208" s="48"/>
      <c r="V208" s="48"/>
      <c r="W208" s="48"/>
      <c r="X208" s="48"/>
    </row>
    <row r="209" ht="15.75" customHeight="1">
      <c r="A209" s="56"/>
      <c r="B209" s="48"/>
      <c r="C209" s="48"/>
      <c r="D209" s="27"/>
      <c r="E209" s="27"/>
      <c r="F209" s="48"/>
      <c r="G209" s="48"/>
      <c r="H209" s="48"/>
      <c r="I209" s="48"/>
      <c r="J209" s="48"/>
      <c r="K209" s="48"/>
      <c r="L209" s="48"/>
      <c r="M209" s="48"/>
      <c r="N209" s="48"/>
      <c r="O209" s="48"/>
      <c r="P209" s="48"/>
      <c r="Q209" s="48"/>
      <c r="R209" s="48"/>
      <c r="S209" s="48"/>
      <c r="T209" s="48"/>
      <c r="U209" s="48"/>
      <c r="V209" s="48"/>
      <c r="W209" s="48"/>
      <c r="X209" s="48"/>
    </row>
    <row r="210" ht="15.75" customHeight="1">
      <c r="A210" s="56"/>
      <c r="B210" s="48"/>
      <c r="C210" s="48"/>
      <c r="D210" s="27"/>
      <c r="E210" s="27"/>
      <c r="F210" s="48"/>
      <c r="G210" s="48"/>
      <c r="H210" s="48"/>
      <c r="I210" s="48"/>
      <c r="J210" s="48"/>
      <c r="K210" s="48"/>
      <c r="L210" s="48"/>
      <c r="M210" s="48"/>
      <c r="N210" s="48"/>
      <c r="O210" s="48"/>
      <c r="P210" s="48"/>
      <c r="Q210" s="48"/>
      <c r="R210" s="48"/>
      <c r="S210" s="48"/>
      <c r="T210" s="48"/>
      <c r="U210" s="48"/>
      <c r="V210" s="48"/>
      <c r="W210" s="48"/>
      <c r="X210" s="48"/>
    </row>
    <row r="211" ht="15.75" customHeight="1">
      <c r="A211" s="56"/>
      <c r="B211" s="48"/>
      <c r="C211" s="48"/>
      <c r="D211" s="27"/>
      <c r="E211" s="27"/>
      <c r="F211" s="48"/>
      <c r="G211" s="48"/>
      <c r="H211" s="48"/>
      <c r="I211" s="48"/>
      <c r="J211" s="48"/>
      <c r="K211" s="48"/>
      <c r="L211" s="48"/>
      <c r="M211" s="48"/>
      <c r="N211" s="48"/>
      <c r="O211" s="48"/>
      <c r="P211" s="48"/>
      <c r="Q211" s="48"/>
      <c r="R211" s="48"/>
      <c r="S211" s="48"/>
      <c r="T211" s="48"/>
      <c r="U211" s="48"/>
      <c r="V211" s="48"/>
      <c r="W211" s="48"/>
      <c r="X211" s="48"/>
    </row>
    <row r="212" ht="15.75" customHeight="1">
      <c r="A212" s="56"/>
      <c r="B212" s="48"/>
      <c r="C212" s="48"/>
      <c r="D212" s="27"/>
      <c r="E212" s="27"/>
      <c r="F212" s="48"/>
      <c r="G212" s="48"/>
      <c r="H212" s="48"/>
      <c r="I212" s="48"/>
      <c r="J212" s="48"/>
      <c r="K212" s="48"/>
      <c r="L212" s="48"/>
      <c r="M212" s="48"/>
      <c r="N212" s="48"/>
      <c r="O212" s="48"/>
      <c r="P212" s="48"/>
      <c r="Q212" s="48"/>
      <c r="R212" s="48"/>
      <c r="S212" s="48"/>
      <c r="T212" s="48"/>
      <c r="U212" s="48"/>
      <c r="V212" s="48"/>
      <c r="W212" s="48"/>
      <c r="X212" s="48"/>
    </row>
    <row r="213" ht="15.75" customHeight="1">
      <c r="A213" s="56"/>
      <c r="B213" s="48"/>
      <c r="C213" s="48"/>
      <c r="D213" s="27"/>
      <c r="E213" s="27"/>
      <c r="F213" s="48"/>
      <c r="G213" s="48"/>
      <c r="H213" s="48"/>
      <c r="I213" s="48"/>
      <c r="J213" s="48"/>
      <c r="K213" s="48"/>
      <c r="L213" s="48"/>
      <c r="M213" s="48"/>
      <c r="N213" s="48"/>
      <c r="O213" s="48"/>
      <c r="P213" s="48"/>
      <c r="Q213" s="48"/>
      <c r="R213" s="48"/>
      <c r="S213" s="48"/>
      <c r="T213" s="48"/>
      <c r="U213" s="48"/>
      <c r="V213" s="48"/>
      <c r="W213" s="48"/>
      <c r="X213" s="48"/>
    </row>
    <row r="214" ht="15.75" customHeight="1">
      <c r="A214" s="56"/>
      <c r="B214" s="48"/>
      <c r="C214" s="48"/>
      <c r="D214" s="27"/>
      <c r="E214" s="27"/>
      <c r="F214" s="48"/>
      <c r="G214" s="48"/>
      <c r="H214" s="48"/>
      <c r="I214" s="48"/>
      <c r="J214" s="48"/>
      <c r="K214" s="48"/>
      <c r="L214" s="48"/>
      <c r="M214" s="48"/>
      <c r="N214" s="48"/>
      <c r="O214" s="48"/>
      <c r="P214" s="48"/>
      <c r="Q214" s="48"/>
      <c r="R214" s="48"/>
      <c r="S214" s="48"/>
      <c r="T214" s="48"/>
      <c r="U214" s="48"/>
      <c r="V214" s="48"/>
      <c r="W214" s="48"/>
      <c r="X214" s="48"/>
    </row>
    <row r="215" ht="15.75" customHeight="1">
      <c r="A215" s="56"/>
      <c r="B215" s="48"/>
      <c r="C215" s="48"/>
      <c r="D215" s="27"/>
      <c r="E215" s="27"/>
      <c r="F215" s="48"/>
      <c r="G215" s="48"/>
      <c r="H215" s="48"/>
      <c r="I215" s="48"/>
      <c r="J215" s="48"/>
      <c r="K215" s="48"/>
      <c r="L215" s="48"/>
      <c r="M215" s="48"/>
      <c r="N215" s="48"/>
      <c r="O215" s="48"/>
      <c r="P215" s="48"/>
      <c r="Q215" s="48"/>
      <c r="R215" s="48"/>
      <c r="S215" s="48"/>
      <c r="T215" s="48"/>
      <c r="U215" s="48"/>
      <c r="V215" s="48"/>
      <c r="W215" s="48"/>
      <c r="X215" s="48"/>
    </row>
    <row r="216" ht="15.75" customHeight="1">
      <c r="A216" s="56"/>
      <c r="B216" s="48"/>
      <c r="C216" s="48"/>
      <c r="D216" s="27"/>
      <c r="E216" s="27"/>
      <c r="F216" s="48"/>
      <c r="G216" s="48"/>
      <c r="H216" s="48"/>
      <c r="I216" s="48"/>
      <c r="J216" s="48"/>
      <c r="K216" s="48"/>
      <c r="L216" s="48"/>
      <c r="M216" s="48"/>
      <c r="N216" s="48"/>
      <c r="O216" s="48"/>
      <c r="P216" s="48"/>
      <c r="Q216" s="48"/>
      <c r="R216" s="48"/>
      <c r="S216" s="48"/>
      <c r="T216" s="48"/>
      <c r="U216" s="48"/>
      <c r="V216" s="48"/>
      <c r="W216" s="48"/>
      <c r="X216" s="48"/>
    </row>
    <row r="217" ht="15.75" customHeight="1">
      <c r="A217" s="56"/>
      <c r="B217" s="48"/>
      <c r="C217" s="48"/>
      <c r="D217" s="27"/>
      <c r="E217" s="27"/>
      <c r="F217" s="48"/>
      <c r="G217" s="48"/>
      <c r="H217" s="48"/>
      <c r="I217" s="48"/>
      <c r="J217" s="48"/>
      <c r="K217" s="48"/>
      <c r="L217" s="48"/>
      <c r="M217" s="48"/>
      <c r="N217" s="48"/>
      <c r="O217" s="48"/>
      <c r="P217" s="48"/>
      <c r="Q217" s="48"/>
      <c r="R217" s="48"/>
      <c r="S217" s="48"/>
      <c r="T217" s="48"/>
      <c r="U217" s="48"/>
      <c r="V217" s="48"/>
      <c r="W217" s="48"/>
      <c r="X217" s="48"/>
    </row>
    <row r="218" ht="15.75" customHeight="1">
      <c r="A218" s="56"/>
      <c r="B218" s="48"/>
      <c r="C218" s="48"/>
      <c r="D218" s="27"/>
      <c r="E218" s="27"/>
      <c r="F218" s="48"/>
      <c r="G218" s="48"/>
      <c r="H218" s="48"/>
      <c r="I218" s="48"/>
      <c r="J218" s="48"/>
      <c r="K218" s="48"/>
      <c r="L218" s="48"/>
      <c r="M218" s="48"/>
      <c r="N218" s="48"/>
      <c r="O218" s="48"/>
      <c r="P218" s="48"/>
      <c r="Q218" s="48"/>
      <c r="R218" s="48"/>
      <c r="S218" s="48"/>
      <c r="T218" s="48"/>
      <c r="U218" s="48"/>
      <c r="V218" s="48"/>
      <c r="W218" s="48"/>
      <c r="X218" s="48"/>
    </row>
    <row r="219" ht="15.75" customHeight="1">
      <c r="A219" s="56"/>
      <c r="B219" s="48"/>
      <c r="C219" s="48"/>
      <c r="D219" s="27"/>
      <c r="E219" s="27"/>
      <c r="F219" s="48"/>
      <c r="G219" s="48"/>
      <c r="H219" s="48"/>
      <c r="I219" s="48"/>
      <c r="J219" s="48"/>
      <c r="K219" s="48"/>
      <c r="L219" s="48"/>
      <c r="M219" s="48"/>
      <c r="N219" s="48"/>
      <c r="O219" s="48"/>
      <c r="P219" s="48"/>
      <c r="Q219" s="48"/>
      <c r="R219" s="48"/>
      <c r="S219" s="48"/>
      <c r="T219" s="48"/>
      <c r="U219" s="48"/>
      <c r="V219" s="48"/>
      <c r="W219" s="48"/>
      <c r="X219" s="48"/>
    </row>
    <row r="220" ht="15.75" customHeight="1">
      <c r="A220" s="56"/>
      <c r="B220" s="48"/>
      <c r="C220" s="48"/>
      <c r="D220" s="27"/>
      <c r="E220" s="27"/>
      <c r="F220" s="48"/>
      <c r="G220" s="48"/>
      <c r="H220" s="48"/>
      <c r="I220" s="48"/>
      <c r="J220" s="48"/>
      <c r="K220" s="48"/>
      <c r="L220" s="48"/>
      <c r="M220" s="48"/>
      <c r="N220" s="48"/>
      <c r="O220" s="48"/>
      <c r="P220" s="48"/>
      <c r="Q220" s="48"/>
      <c r="R220" s="48"/>
      <c r="S220" s="48"/>
      <c r="T220" s="48"/>
      <c r="U220" s="48"/>
      <c r="V220" s="48"/>
      <c r="W220" s="48"/>
      <c r="X220" s="48"/>
    </row>
    <row r="221" ht="15.75" customHeight="1">
      <c r="A221" s="56"/>
      <c r="B221" s="48"/>
      <c r="C221" s="48"/>
      <c r="D221" s="27"/>
      <c r="E221" s="27"/>
      <c r="F221" s="48"/>
      <c r="G221" s="48"/>
      <c r="H221" s="48"/>
      <c r="I221" s="48"/>
      <c r="J221" s="48"/>
      <c r="K221" s="48"/>
      <c r="L221" s="48"/>
      <c r="M221" s="48"/>
      <c r="N221" s="48"/>
      <c r="O221" s="48"/>
      <c r="P221" s="48"/>
      <c r="Q221" s="48"/>
      <c r="R221" s="48"/>
      <c r="S221" s="48"/>
      <c r="T221" s="48"/>
      <c r="U221" s="48"/>
      <c r="V221" s="48"/>
      <c r="W221" s="48"/>
      <c r="X221" s="48"/>
    </row>
    <row r="222" ht="15.75" customHeight="1">
      <c r="A222" s="56"/>
      <c r="B222" s="48"/>
      <c r="C222" s="48"/>
      <c r="D222" s="27"/>
      <c r="E222" s="27"/>
      <c r="F222" s="48"/>
      <c r="G222" s="48"/>
      <c r="H222" s="48"/>
      <c r="I222" s="48"/>
      <c r="J222" s="48"/>
      <c r="K222" s="48"/>
      <c r="L222" s="48"/>
      <c r="M222" s="48"/>
      <c r="N222" s="48"/>
      <c r="O222" s="48"/>
      <c r="P222" s="48"/>
      <c r="Q222" s="48"/>
      <c r="R222" s="48"/>
      <c r="S222" s="48"/>
      <c r="T222" s="48"/>
      <c r="U222" s="48"/>
      <c r="V222" s="48"/>
      <c r="W222" s="48"/>
      <c r="X222" s="48"/>
    </row>
    <row r="223" ht="15.75" customHeight="1">
      <c r="A223" s="56"/>
      <c r="B223" s="48"/>
      <c r="C223" s="48"/>
      <c r="D223" s="27"/>
      <c r="E223" s="27"/>
      <c r="F223" s="48"/>
      <c r="G223" s="48"/>
      <c r="H223" s="48"/>
      <c r="I223" s="48"/>
      <c r="J223" s="48"/>
      <c r="K223" s="48"/>
      <c r="L223" s="48"/>
      <c r="M223" s="48"/>
      <c r="N223" s="48"/>
      <c r="O223" s="48"/>
      <c r="P223" s="48"/>
      <c r="Q223" s="48"/>
      <c r="R223" s="48"/>
      <c r="S223" s="48"/>
      <c r="T223" s="48"/>
      <c r="U223" s="48"/>
      <c r="V223" s="48"/>
      <c r="W223" s="48"/>
      <c r="X223" s="48"/>
    </row>
    <row r="224" ht="15.75" customHeight="1">
      <c r="A224" s="56"/>
      <c r="B224" s="48"/>
      <c r="C224" s="48"/>
      <c r="D224" s="27"/>
      <c r="E224" s="27"/>
      <c r="F224" s="48"/>
      <c r="G224" s="48"/>
      <c r="H224" s="48"/>
      <c r="I224" s="48"/>
      <c r="J224" s="48"/>
      <c r="K224" s="48"/>
      <c r="L224" s="48"/>
      <c r="M224" s="48"/>
      <c r="N224" s="48"/>
      <c r="O224" s="48"/>
      <c r="P224" s="48"/>
      <c r="Q224" s="48"/>
      <c r="R224" s="48"/>
      <c r="S224" s="48"/>
      <c r="T224" s="48"/>
      <c r="U224" s="48"/>
      <c r="V224" s="48"/>
      <c r="W224" s="48"/>
      <c r="X224" s="48"/>
    </row>
    <row r="225" ht="15.75" customHeight="1">
      <c r="A225" s="56"/>
      <c r="B225" s="48"/>
      <c r="C225" s="48"/>
      <c r="D225" s="27"/>
      <c r="E225" s="27"/>
      <c r="F225" s="48"/>
      <c r="G225" s="48"/>
      <c r="H225" s="48"/>
      <c r="I225" s="48"/>
      <c r="J225" s="48"/>
      <c r="K225" s="48"/>
      <c r="L225" s="48"/>
      <c r="M225" s="48"/>
      <c r="N225" s="48"/>
      <c r="O225" s="48"/>
      <c r="P225" s="48"/>
      <c r="Q225" s="48"/>
      <c r="R225" s="48"/>
      <c r="S225" s="48"/>
      <c r="T225" s="48"/>
      <c r="U225" s="48"/>
      <c r="V225" s="48"/>
      <c r="W225" s="48"/>
      <c r="X225" s="48"/>
    </row>
    <row r="226" ht="15.75" customHeight="1">
      <c r="A226" s="56"/>
      <c r="B226" s="48"/>
      <c r="C226" s="48"/>
      <c r="D226" s="27"/>
      <c r="E226" s="27"/>
      <c r="F226" s="48"/>
      <c r="G226" s="48"/>
      <c r="H226" s="48"/>
      <c r="I226" s="48"/>
      <c r="J226" s="48"/>
      <c r="K226" s="48"/>
      <c r="L226" s="48"/>
      <c r="M226" s="48"/>
      <c r="N226" s="48"/>
      <c r="O226" s="48"/>
      <c r="P226" s="48"/>
      <c r="Q226" s="48"/>
      <c r="R226" s="48"/>
      <c r="S226" s="48"/>
      <c r="T226" s="48"/>
      <c r="U226" s="48"/>
      <c r="V226" s="48"/>
      <c r="W226" s="48"/>
      <c r="X226" s="48"/>
    </row>
    <row r="227" ht="15.75" customHeight="1">
      <c r="A227" s="56"/>
      <c r="B227" s="48"/>
      <c r="C227" s="48"/>
      <c r="D227" s="27"/>
      <c r="E227" s="27"/>
      <c r="F227" s="48"/>
      <c r="G227" s="48"/>
      <c r="H227" s="48"/>
      <c r="I227" s="48"/>
      <c r="J227" s="48"/>
      <c r="K227" s="48"/>
      <c r="L227" s="48"/>
      <c r="M227" s="48"/>
      <c r="N227" s="48"/>
      <c r="O227" s="48"/>
      <c r="P227" s="48"/>
      <c r="Q227" s="48"/>
      <c r="R227" s="48"/>
      <c r="S227" s="48"/>
      <c r="T227" s="48"/>
      <c r="U227" s="48"/>
      <c r="V227" s="48"/>
      <c r="W227" s="48"/>
      <c r="X227" s="48"/>
    </row>
    <row r="228" ht="15.75" customHeight="1">
      <c r="A228" s="56"/>
      <c r="B228" s="48"/>
      <c r="C228" s="48"/>
      <c r="D228" s="27"/>
      <c r="E228" s="27"/>
      <c r="F228" s="48"/>
      <c r="G228" s="48"/>
      <c r="H228" s="48"/>
      <c r="I228" s="48"/>
      <c r="J228" s="48"/>
      <c r="K228" s="48"/>
      <c r="L228" s="48"/>
      <c r="M228" s="48"/>
      <c r="N228" s="48"/>
      <c r="O228" s="48"/>
      <c r="P228" s="48"/>
      <c r="Q228" s="48"/>
      <c r="R228" s="48"/>
      <c r="S228" s="48"/>
      <c r="T228" s="48"/>
      <c r="U228" s="48"/>
      <c r="V228" s="48"/>
      <c r="W228" s="48"/>
      <c r="X228" s="48"/>
    </row>
    <row r="229" ht="15.75" customHeight="1">
      <c r="A229" s="56"/>
      <c r="B229" s="48"/>
      <c r="C229" s="48"/>
      <c r="D229" s="27"/>
      <c r="E229" s="27"/>
      <c r="F229" s="48"/>
      <c r="G229" s="48"/>
      <c r="H229" s="48"/>
      <c r="I229" s="48"/>
      <c r="J229" s="48"/>
      <c r="K229" s="48"/>
      <c r="L229" s="48"/>
      <c r="M229" s="48"/>
      <c r="N229" s="48"/>
      <c r="O229" s="48"/>
      <c r="P229" s="48"/>
      <c r="Q229" s="48"/>
      <c r="R229" s="48"/>
      <c r="S229" s="48"/>
      <c r="T229" s="48"/>
      <c r="U229" s="48"/>
      <c r="V229" s="48"/>
      <c r="W229" s="48"/>
      <c r="X229" s="48"/>
    </row>
    <row r="230" ht="15.75" customHeight="1">
      <c r="A230" s="56"/>
      <c r="B230" s="48"/>
      <c r="C230" s="48"/>
      <c r="D230" s="27"/>
      <c r="E230" s="27"/>
      <c r="F230" s="48"/>
      <c r="G230" s="48"/>
      <c r="H230" s="48"/>
      <c r="I230" s="48"/>
      <c r="J230" s="48"/>
      <c r="K230" s="48"/>
      <c r="L230" s="48"/>
      <c r="M230" s="48"/>
      <c r="N230" s="48"/>
      <c r="O230" s="48"/>
      <c r="P230" s="48"/>
      <c r="Q230" s="48"/>
      <c r="R230" s="48"/>
      <c r="S230" s="48"/>
      <c r="T230" s="48"/>
      <c r="U230" s="48"/>
      <c r="V230" s="48"/>
      <c r="W230" s="48"/>
      <c r="X230" s="48"/>
    </row>
    <row r="231" ht="15.75" customHeight="1">
      <c r="A231" s="56"/>
      <c r="B231" s="48"/>
      <c r="C231" s="48"/>
      <c r="D231" s="27"/>
      <c r="E231" s="27"/>
      <c r="F231" s="48"/>
      <c r="G231" s="48"/>
      <c r="H231" s="48"/>
      <c r="I231" s="48"/>
      <c r="J231" s="48"/>
      <c r="K231" s="48"/>
      <c r="L231" s="48"/>
      <c r="M231" s="48"/>
      <c r="N231" s="48"/>
      <c r="O231" s="48"/>
      <c r="P231" s="48"/>
      <c r="Q231" s="48"/>
      <c r="R231" s="48"/>
      <c r="S231" s="48"/>
      <c r="T231" s="48"/>
      <c r="U231" s="48"/>
      <c r="V231" s="48"/>
      <c r="W231" s="48"/>
      <c r="X231" s="48"/>
    </row>
    <row r="232" ht="15.75" customHeight="1">
      <c r="A232" s="56"/>
      <c r="B232" s="48"/>
      <c r="C232" s="48"/>
      <c r="D232" s="27"/>
      <c r="E232" s="27"/>
      <c r="F232" s="48"/>
      <c r="G232" s="48"/>
      <c r="H232" s="48"/>
      <c r="I232" s="48"/>
      <c r="J232" s="48"/>
      <c r="K232" s="48"/>
      <c r="L232" s="48"/>
      <c r="M232" s="48"/>
      <c r="N232" s="48"/>
      <c r="O232" s="48"/>
      <c r="P232" s="48"/>
      <c r="Q232" s="48"/>
      <c r="R232" s="48"/>
      <c r="S232" s="48"/>
      <c r="T232" s="48"/>
      <c r="U232" s="48"/>
      <c r="V232" s="48"/>
      <c r="W232" s="48"/>
      <c r="X232" s="48"/>
    </row>
    <row r="233" ht="15.75" customHeight="1">
      <c r="A233" s="56"/>
      <c r="B233" s="48"/>
      <c r="C233" s="48"/>
      <c r="D233" s="27"/>
      <c r="E233" s="27"/>
      <c r="F233" s="48"/>
      <c r="G233" s="48"/>
      <c r="H233" s="48"/>
      <c r="I233" s="48"/>
      <c r="J233" s="48"/>
      <c r="K233" s="48"/>
      <c r="L233" s="48"/>
      <c r="M233" s="48"/>
      <c r="N233" s="48"/>
      <c r="O233" s="48"/>
      <c r="P233" s="48"/>
      <c r="Q233" s="48"/>
      <c r="R233" s="48"/>
      <c r="S233" s="48"/>
      <c r="T233" s="48"/>
      <c r="U233" s="48"/>
      <c r="V233" s="48"/>
      <c r="W233" s="48"/>
      <c r="X233" s="48"/>
    </row>
    <row r="234" ht="15.75" customHeight="1">
      <c r="A234" s="56"/>
      <c r="B234" s="48"/>
      <c r="C234" s="48"/>
      <c r="D234" s="27"/>
      <c r="E234" s="27"/>
      <c r="F234" s="48"/>
      <c r="G234" s="48"/>
      <c r="H234" s="48"/>
      <c r="I234" s="48"/>
      <c r="J234" s="48"/>
      <c r="K234" s="48"/>
      <c r="L234" s="48"/>
      <c r="M234" s="48"/>
      <c r="N234" s="48"/>
      <c r="O234" s="48"/>
      <c r="P234" s="48"/>
      <c r="Q234" s="48"/>
      <c r="R234" s="48"/>
      <c r="S234" s="48"/>
      <c r="T234" s="48"/>
      <c r="U234" s="48"/>
      <c r="V234" s="48"/>
      <c r="W234" s="48"/>
      <c r="X234" s="48"/>
    </row>
    <row r="235" ht="15.75" customHeight="1">
      <c r="A235" s="56"/>
      <c r="B235" s="48"/>
      <c r="C235" s="48"/>
      <c r="D235" s="27"/>
      <c r="E235" s="27"/>
      <c r="F235" s="48"/>
      <c r="G235" s="48"/>
      <c r="H235" s="48"/>
      <c r="I235" s="48"/>
      <c r="J235" s="48"/>
      <c r="K235" s="48"/>
      <c r="L235" s="48"/>
      <c r="M235" s="48"/>
      <c r="N235" s="48"/>
      <c r="O235" s="48"/>
      <c r="P235" s="48"/>
      <c r="Q235" s="48"/>
      <c r="R235" s="48"/>
      <c r="S235" s="48"/>
      <c r="T235" s="48"/>
      <c r="U235" s="48"/>
      <c r="V235" s="48"/>
      <c r="W235" s="48"/>
      <c r="X235" s="48"/>
    </row>
    <row r="236" ht="15.75" customHeight="1">
      <c r="A236" s="56"/>
      <c r="B236" s="48"/>
      <c r="C236" s="48"/>
      <c r="D236" s="27"/>
      <c r="E236" s="27"/>
      <c r="F236" s="48"/>
      <c r="G236" s="48"/>
      <c r="H236" s="48"/>
      <c r="I236" s="48"/>
      <c r="J236" s="48"/>
      <c r="K236" s="48"/>
      <c r="L236" s="48"/>
      <c r="M236" s="48"/>
      <c r="N236" s="48"/>
      <c r="O236" s="48"/>
      <c r="P236" s="48"/>
      <c r="Q236" s="48"/>
      <c r="R236" s="48"/>
      <c r="S236" s="48"/>
      <c r="T236" s="48"/>
      <c r="U236" s="48"/>
      <c r="V236" s="48"/>
      <c r="W236" s="48"/>
      <c r="X236" s="48"/>
    </row>
    <row r="237" ht="15.75" customHeight="1">
      <c r="A237" s="56"/>
      <c r="B237" s="48"/>
      <c r="C237" s="48"/>
      <c r="D237" s="27"/>
      <c r="E237" s="27"/>
      <c r="F237" s="48"/>
      <c r="G237" s="48"/>
      <c r="H237" s="48"/>
      <c r="I237" s="48"/>
      <c r="J237" s="48"/>
      <c r="K237" s="48"/>
      <c r="L237" s="48"/>
      <c r="M237" s="48"/>
      <c r="N237" s="48"/>
      <c r="O237" s="48"/>
      <c r="P237" s="48"/>
      <c r="Q237" s="48"/>
      <c r="R237" s="48"/>
      <c r="S237" s="48"/>
      <c r="T237" s="48"/>
      <c r="U237" s="48"/>
      <c r="V237" s="48"/>
      <c r="W237" s="48"/>
      <c r="X237" s="48"/>
    </row>
    <row r="238" ht="15.75" customHeight="1">
      <c r="A238" s="56"/>
      <c r="B238" s="48"/>
      <c r="C238" s="48"/>
      <c r="D238" s="27"/>
      <c r="E238" s="27"/>
      <c r="F238" s="48"/>
      <c r="G238" s="48"/>
      <c r="H238" s="48"/>
      <c r="I238" s="48"/>
      <c r="J238" s="48"/>
      <c r="K238" s="48"/>
      <c r="L238" s="48"/>
      <c r="M238" s="48"/>
      <c r="N238" s="48"/>
      <c r="O238" s="48"/>
      <c r="P238" s="48"/>
      <c r="Q238" s="48"/>
      <c r="R238" s="48"/>
      <c r="S238" s="48"/>
      <c r="T238" s="48"/>
      <c r="U238" s="48"/>
      <c r="V238" s="48"/>
      <c r="W238" s="48"/>
      <c r="X238" s="48"/>
    </row>
    <row r="239" ht="15.75" customHeight="1">
      <c r="A239" s="56"/>
      <c r="B239" s="48"/>
      <c r="C239" s="48"/>
      <c r="D239" s="27"/>
      <c r="E239" s="27"/>
      <c r="F239" s="48"/>
      <c r="G239" s="48"/>
      <c r="H239" s="48"/>
      <c r="I239" s="48"/>
      <c r="J239" s="48"/>
      <c r="K239" s="48"/>
      <c r="L239" s="48"/>
      <c r="M239" s="48"/>
      <c r="N239" s="48"/>
      <c r="O239" s="48"/>
      <c r="P239" s="48"/>
      <c r="Q239" s="48"/>
      <c r="R239" s="48"/>
      <c r="S239" s="48"/>
      <c r="T239" s="48"/>
      <c r="U239" s="48"/>
      <c r="V239" s="48"/>
      <c r="W239" s="48"/>
      <c r="X239" s="48"/>
    </row>
    <row r="240" ht="15.75" customHeight="1">
      <c r="A240" s="56"/>
      <c r="B240" s="48"/>
      <c r="C240" s="48"/>
      <c r="D240" s="27"/>
      <c r="E240" s="27"/>
      <c r="F240" s="48"/>
      <c r="G240" s="48"/>
      <c r="H240" s="48"/>
      <c r="I240" s="48"/>
      <c r="J240" s="48"/>
      <c r="K240" s="48"/>
      <c r="L240" s="48"/>
      <c r="M240" s="48"/>
      <c r="N240" s="48"/>
      <c r="O240" s="48"/>
      <c r="P240" s="48"/>
      <c r="Q240" s="48"/>
      <c r="R240" s="48"/>
      <c r="S240" s="48"/>
      <c r="T240" s="48"/>
      <c r="U240" s="48"/>
      <c r="V240" s="48"/>
      <c r="W240" s="48"/>
      <c r="X240" s="48"/>
    </row>
    <row r="241" ht="15.75" customHeight="1">
      <c r="A241" s="56"/>
      <c r="B241" s="48"/>
      <c r="C241" s="48"/>
      <c r="D241" s="27"/>
      <c r="E241" s="27"/>
      <c r="F241" s="48"/>
      <c r="G241" s="48"/>
      <c r="H241" s="48"/>
      <c r="I241" s="48"/>
      <c r="J241" s="48"/>
      <c r="K241" s="48"/>
      <c r="L241" s="48"/>
      <c r="M241" s="48"/>
      <c r="N241" s="48"/>
      <c r="O241" s="48"/>
      <c r="P241" s="48"/>
      <c r="Q241" s="48"/>
      <c r="R241" s="48"/>
      <c r="S241" s="48"/>
      <c r="T241" s="48"/>
      <c r="U241" s="48"/>
      <c r="V241" s="48"/>
      <c r="W241" s="48"/>
      <c r="X241" s="48"/>
    </row>
    <row r="242" ht="15.75" customHeight="1">
      <c r="A242" s="56"/>
      <c r="B242" s="48"/>
      <c r="C242" s="48"/>
      <c r="D242" s="27"/>
      <c r="E242" s="27"/>
      <c r="F242" s="48"/>
      <c r="G242" s="48"/>
      <c r="H242" s="48"/>
      <c r="I242" s="48"/>
      <c r="J242" s="48"/>
      <c r="K242" s="48"/>
      <c r="L242" s="48"/>
      <c r="M242" s="48"/>
      <c r="N242" s="48"/>
      <c r="O242" s="48"/>
      <c r="P242" s="48"/>
      <c r="Q242" s="48"/>
      <c r="R242" s="48"/>
      <c r="S242" s="48"/>
      <c r="T242" s="48"/>
      <c r="U242" s="48"/>
      <c r="V242" s="48"/>
      <c r="W242" s="48"/>
      <c r="X242" s="48"/>
    </row>
    <row r="243" ht="15.75" customHeight="1">
      <c r="A243" s="56"/>
      <c r="B243" s="48"/>
      <c r="C243" s="48"/>
      <c r="D243" s="27"/>
      <c r="E243" s="27"/>
      <c r="F243" s="48"/>
      <c r="G243" s="48"/>
      <c r="H243" s="48"/>
      <c r="I243" s="48"/>
      <c r="J243" s="48"/>
      <c r="K243" s="48"/>
      <c r="L243" s="48"/>
      <c r="M243" s="48"/>
      <c r="N243" s="48"/>
      <c r="O243" s="48"/>
      <c r="P243" s="48"/>
      <c r="Q243" s="48"/>
      <c r="R243" s="48"/>
      <c r="S243" s="48"/>
      <c r="T243" s="48"/>
      <c r="U243" s="48"/>
      <c r="V243" s="48"/>
      <c r="W243" s="48"/>
      <c r="X243" s="48"/>
    </row>
    <row r="244" ht="15.75" customHeight="1">
      <c r="A244" s="56"/>
      <c r="B244" s="48"/>
      <c r="C244" s="48"/>
      <c r="D244" s="27"/>
      <c r="E244" s="27"/>
      <c r="F244" s="48"/>
      <c r="G244" s="48"/>
      <c r="H244" s="48"/>
      <c r="I244" s="48"/>
      <c r="J244" s="48"/>
      <c r="K244" s="48"/>
      <c r="L244" s="48"/>
      <c r="M244" s="48"/>
      <c r="N244" s="48"/>
      <c r="O244" s="48"/>
      <c r="P244" s="48"/>
      <c r="Q244" s="48"/>
      <c r="R244" s="48"/>
      <c r="S244" s="48"/>
      <c r="T244" s="48"/>
      <c r="U244" s="48"/>
      <c r="V244" s="48"/>
      <c r="W244" s="48"/>
      <c r="X244" s="48"/>
    </row>
    <row r="245" ht="15.75" customHeight="1">
      <c r="A245" s="56"/>
      <c r="B245" s="48"/>
      <c r="C245" s="48"/>
      <c r="D245" s="27"/>
      <c r="E245" s="27"/>
      <c r="F245" s="48"/>
      <c r="G245" s="48"/>
      <c r="H245" s="48"/>
      <c r="I245" s="48"/>
      <c r="J245" s="48"/>
      <c r="K245" s="48"/>
      <c r="L245" s="48"/>
      <c r="M245" s="48"/>
      <c r="N245" s="48"/>
      <c r="O245" s="48"/>
      <c r="P245" s="48"/>
      <c r="Q245" s="48"/>
      <c r="R245" s="48"/>
      <c r="S245" s="48"/>
      <c r="T245" s="48"/>
      <c r="U245" s="48"/>
      <c r="V245" s="48"/>
      <c r="W245" s="48"/>
      <c r="X245" s="48"/>
    </row>
    <row r="246" ht="15.75" customHeight="1">
      <c r="A246" s="56"/>
      <c r="B246" s="48"/>
      <c r="C246" s="48"/>
      <c r="D246" s="27"/>
      <c r="E246" s="27"/>
      <c r="F246" s="48"/>
      <c r="G246" s="48"/>
      <c r="H246" s="48"/>
      <c r="I246" s="48"/>
      <c r="J246" s="48"/>
      <c r="K246" s="48"/>
      <c r="L246" s="48"/>
      <c r="M246" s="48"/>
      <c r="N246" s="48"/>
      <c r="O246" s="48"/>
      <c r="P246" s="48"/>
      <c r="Q246" s="48"/>
      <c r="R246" s="48"/>
      <c r="S246" s="48"/>
      <c r="T246" s="48"/>
      <c r="U246" s="48"/>
      <c r="V246" s="48"/>
      <c r="W246" s="48"/>
      <c r="X246" s="48"/>
    </row>
    <row r="247" ht="15.75" customHeight="1">
      <c r="A247" s="56"/>
      <c r="B247" s="48"/>
      <c r="C247" s="48"/>
      <c r="D247" s="27"/>
      <c r="E247" s="27"/>
      <c r="F247" s="48"/>
      <c r="G247" s="48"/>
      <c r="H247" s="48"/>
      <c r="I247" s="48"/>
      <c r="J247" s="48"/>
      <c r="K247" s="48"/>
      <c r="L247" s="48"/>
      <c r="M247" s="48"/>
      <c r="N247" s="48"/>
      <c r="O247" s="48"/>
      <c r="P247" s="48"/>
      <c r="Q247" s="48"/>
      <c r="R247" s="48"/>
      <c r="S247" s="48"/>
      <c r="T247" s="48"/>
      <c r="U247" s="48"/>
      <c r="V247" s="48"/>
      <c r="W247" s="48"/>
      <c r="X247" s="48"/>
    </row>
    <row r="248" ht="15.75" customHeight="1">
      <c r="A248" s="56"/>
      <c r="B248" s="48"/>
      <c r="C248" s="48"/>
      <c r="D248" s="27"/>
      <c r="E248" s="27"/>
      <c r="F248" s="48"/>
      <c r="G248" s="48"/>
      <c r="H248" s="48"/>
      <c r="I248" s="48"/>
      <c r="J248" s="48"/>
      <c r="K248" s="48"/>
      <c r="L248" s="48"/>
      <c r="M248" s="48"/>
      <c r="N248" s="48"/>
      <c r="O248" s="48"/>
      <c r="P248" s="48"/>
      <c r="Q248" s="48"/>
      <c r="R248" s="48"/>
      <c r="S248" s="48"/>
      <c r="T248" s="48"/>
      <c r="U248" s="48"/>
      <c r="V248" s="48"/>
      <c r="W248" s="48"/>
      <c r="X248" s="48"/>
    </row>
    <row r="249" ht="15.75" customHeight="1">
      <c r="A249" s="56"/>
      <c r="B249" s="48"/>
      <c r="C249" s="48"/>
      <c r="D249" s="27"/>
      <c r="E249" s="27"/>
      <c r="F249" s="48"/>
      <c r="G249" s="48"/>
      <c r="H249" s="48"/>
      <c r="I249" s="48"/>
      <c r="J249" s="48"/>
      <c r="K249" s="48"/>
      <c r="L249" s="48"/>
      <c r="M249" s="48"/>
      <c r="N249" s="48"/>
      <c r="O249" s="48"/>
      <c r="P249" s="48"/>
      <c r="Q249" s="48"/>
      <c r="R249" s="48"/>
      <c r="S249" s="48"/>
      <c r="T249" s="48"/>
      <c r="U249" s="48"/>
      <c r="V249" s="48"/>
      <c r="W249" s="48"/>
      <c r="X249" s="48"/>
    </row>
    <row r="250" ht="15.75" customHeight="1">
      <c r="A250" s="56"/>
      <c r="B250" s="48"/>
      <c r="C250" s="48"/>
      <c r="D250" s="27"/>
      <c r="E250" s="27"/>
      <c r="F250" s="48"/>
      <c r="G250" s="48"/>
      <c r="H250" s="48"/>
      <c r="I250" s="48"/>
      <c r="J250" s="48"/>
      <c r="K250" s="48"/>
      <c r="L250" s="48"/>
      <c r="M250" s="48"/>
      <c r="N250" s="48"/>
      <c r="O250" s="48"/>
      <c r="P250" s="48"/>
      <c r="Q250" s="48"/>
      <c r="R250" s="48"/>
      <c r="S250" s="48"/>
      <c r="T250" s="48"/>
      <c r="U250" s="48"/>
      <c r="V250" s="48"/>
      <c r="W250" s="48"/>
      <c r="X250" s="48"/>
    </row>
    <row r="251" ht="15.75" customHeight="1">
      <c r="A251" s="56"/>
      <c r="B251" s="48"/>
      <c r="C251" s="48"/>
      <c r="D251" s="27"/>
      <c r="E251" s="27"/>
      <c r="F251" s="48"/>
      <c r="G251" s="48"/>
      <c r="H251" s="48"/>
      <c r="I251" s="48"/>
      <c r="J251" s="48"/>
      <c r="K251" s="48"/>
      <c r="L251" s="48"/>
      <c r="M251" s="48"/>
      <c r="N251" s="48"/>
      <c r="O251" s="48"/>
      <c r="P251" s="48"/>
      <c r="Q251" s="48"/>
      <c r="R251" s="48"/>
      <c r="S251" s="48"/>
      <c r="T251" s="48"/>
      <c r="U251" s="48"/>
      <c r="V251" s="48"/>
      <c r="W251" s="48"/>
      <c r="X251" s="48"/>
    </row>
    <row r="252" ht="15.75" customHeight="1">
      <c r="A252" s="56"/>
      <c r="B252" s="48"/>
      <c r="C252" s="48"/>
      <c r="D252" s="27"/>
      <c r="E252" s="27"/>
      <c r="F252" s="48"/>
      <c r="G252" s="48"/>
      <c r="H252" s="48"/>
      <c r="I252" s="48"/>
      <c r="J252" s="48"/>
      <c r="K252" s="48"/>
      <c r="L252" s="48"/>
      <c r="M252" s="48"/>
      <c r="N252" s="48"/>
      <c r="O252" s="48"/>
      <c r="P252" s="48"/>
      <c r="Q252" s="48"/>
      <c r="R252" s="48"/>
      <c r="S252" s="48"/>
      <c r="T252" s="48"/>
      <c r="U252" s="48"/>
      <c r="V252" s="48"/>
      <c r="W252" s="48"/>
      <c r="X252" s="48"/>
    </row>
    <row r="253" ht="15.75" customHeight="1">
      <c r="A253" s="56"/>
      <c r="B253" s="48"/>
      <c r="C253" s="48"/>
      <c r="D253" s="27"/>
      <c r="E253" s="27"/>
      <c r="F253" s="48"/>
      <c r="G253" s="48"/>
      <c r="H253" s="48"/>
      <c r="I253" s="48"/>
      <c r="J253" s="48"/>
      <c r="K253" s="48"/>
      <c r="L253" s="48"/>
      <c r="M253" s="48"/>
      <c r="N253" s="48"/>
      <c r="O253" s="48"/>
      <c r="P253" s="48"/>
      <c r="Q253" s="48"/>
      <c r="R253" s="48"/>
      <c r="S253" s="48"/>
      <c r="T253" s="48"/>
      <c r="U253" s="48"/>
      <c r="V253" s="48"/>
      <c r="W253" s="48"/>
      <c r="X253" s="48"/>
    </row>
    <row r="254" ht="15.75" customHeight="1">
      <c r="A254" s="56"/>
      <c r="B254" s="48"/>
      <c r="C254" s="48"/>
      <c r="D254" s="27"/>
      <c r="E254" s="27"/>
      <c r="F254" s="48"/>
      <c r="G254" s="48"/>
      <c r="H254" s="48"/>
      <c r="I254" s="48"/>
      <c r="J254" s="48"/>
      <c r="K254" s="48"/>
      <c r="L254" s="48"/>
      <c r="M254" s="48"/>
      <c r="N254" s="48"/>
      <c r="O254" s="48"/>
      <c r="P254" s="48"/>
      <c r="Q254" s="48"/>
      <c r="R254" s="48"/>
      <c r="S254" s="48"/>
      <c r="T254" s="48"/>
      <c r="U254" s="48"/>
      <c r="V254" s="48"/>
      <c r="W254" s="48"/>
      <c r="X254" s="48"/>
    </row>
    <row r="255" ht="15.75" customHeight="1">
      <c r="A255" s="56"/>
      <c r="B255" s="48"/>
      <c r="C255" s="48"/>
      <c r="D255" s="27"/>
      <c r="E255" s="27"/>
      <c r="F255" s="48"/>
      <c r="G255" s="48"/>
      <c r="H255" s="48"/>
      <c r="I255" s="48"/>
      <c r="J255" s="48"/>
      <c r="K255" s="48"/>
      <c r="L255" s="48"/>
      <c r="M255" s="48"/>
      <c r="N255" s="48"/>
      <c r="O255" s="48"/>
      <c r="P255" s="48"/>
      <c r="Q255" s="48"/>
      <c r="R255" s="48"/>
      <c r="S255" s="48"/>
      <c r="T255" s="48"/>
      <c r="U255" s="48"/>
      <c r="V255" s="48"/>
      <c r="W255" s="48"/>
      <c r="X255" s="48"/>
    </row>
    <row r="256" ht="15.75" customHeight="1">
      <c r="A256" s="56"/>
      <c r="B256" s="48"/>
      <c r="C256" s="48"/>
      <c r="D256" s="27"/>
      <c r="E256" s="27"/>
      <c r="F256" s="48"/>
      <c r="G256" s="48"/>
      <c r="H256" s="48"/>
      <c r="I256" s="48"/>
      <c r="J256" s="48"/>
      <c r="K256" s="48"/>
      <c r="L256" s="48"/>
      <c r="M256" s="48"/>
      <c r="N256" s="48"/>
      <c r="O256" s="48"/>
      <c r="P256" s="48"/>
      <c r="Q256" s="48"/>
      <c r="R256" s="48"/>
      <c r="S256" s="48"/>
      <c r="T256" s="48"/>
      <c r="U256" s="48"/>
      <c r="V256" s="48"/>
      <c r="W256" s="48"/>
      <c r="X256" s="48"/>
    </row>
    <row r="257" ht="15.75" customHeight="1">
      <c r="A257" s="56"/>
      <c r="B257" s="48"/>
      <c r="C257" s="48"/>
      <c r="D257" s="27"/>
      <c r="E257" s="27"/>
      <c r="F257" s="48"/>
      <c r="G257" s="48"/>
      <c r="H257" s="48"/>
      <c r="I257" s="48"/>
      <c r="J257" s="48"/>
      <c r="K257" s="48"/>
      <c r="L257" s="48"/>
      <c r="M257" s="48"/>
      <c r="N257" s="48"/>
      <c r="O257" s="48"/>
      <c r="P257" s="48"/>
      <c r="Q257" s="48"/>
      <c r="R257" s="48"/>
      <c r="S257" s="48"/>
      <c r="T257" s="48"/>
      <c r="U257" s="48"/>
      <c r="V257" s="48"/>
      <c r="W257" s="48"/>
      <c r="X257" s="48"/>
    </row>
    <row r="258" ht="15.75" customHeight="1">
      <c r="A258" s="56"/>
      <c r="B258" s="48"/>
      <c r="C258" s="48"/>
      <c r="D258" s="27"/>
      <c r="E258" s="27"/>
      <c r="F258" s="48"/>
      <c r="G258" s="48"/>
      <c r="H258" s="48"/>
      <c r="I258" s="48"/>
      <c r="J258" s="48"/>
      <c r="K258" s="48"/>
      <c r="L258" s="48"/>
      <c r="M258" s="48"/>
      <c r="N258" s="48"/>
      <c r="O258" s="48"/>
      <c r="P258" s="48"/>
      <c r="Q258" s="48"/>
      <c r="R258" s="48"/>
      <c r="S258" s="48"/>
      <c r="T258" s="48"/>
      <c r="U258" s="48"/>
      <c r="V258" s="48"/>
      <c r="W258" s="48"/>
      <c r="X258" s="48"/>
    </row>
    <row r="259" ht="15.75" customHeight="1">
      <c r="A259" s="56"/>
      <c r="B259" s="48"/>
      <c r="C259" s="48"/>
      <c r="D259" s="27"/>
      <c r="E259" s="27"/>
      <c r="F259" s="48"/>
      <c r="G259" s="48"/>
      <c r="H259" s="48"/>
      <c r="I259" s="48"/>
      <c r="J259" s="48"/>
      <c r="K259" s="48"/>
      <c r="L259" s="48"/>
      <c r="M259" s="48"/>
      <c r="N259" s="48"/>
      <c r="O259" s="48"/>
      <c r="P259" s="48"/>
      <c r="Q259" s="48"/>
      <c r="R259" s="48"/>
      <c r="S259" s="48"/>
      <c r="T259" s="48"/>
      <c r="U259" s="48"/>
      <c r="V259" s="48"/>
      <c r="W259" s="48"/>
      <c r="X259" s="48"/>
    </row>
    <row r="260" ht="15.75" customHeight="1">
      <c r="A260" s="56"/>
      <c r="B260" s="48"/>
      <c r="C260" s="48"/>
      <c r="D260" s="27"/>
      <c r="E260" s="27"/>
      <c r="F260" s="48"/>
      <c r="G260" s="48"/>
      <c r="H260" s="48"/>
      <c r="I260" s="48"/>
      <c r="J260" s="48"/>
      <c r="K260" s="48"/>
      <c r="L260" s="48"/>
      <c r="M260" s="48"/>
      <c r="N260" s="48"/>
      <c r="O260" s="48"/>
      <c r="P260" s="48"/>
      <c r="Q260" s="48"/>
      <c r="R260" s="48"/>
      <c r="S260" s="48"/>
      <c r="T260" s="48"/>
      <c r="U260" s="48"/>
      <c r="V260" s="48"/>
      <c r="W260" s="48"/>
      <c r="X260" s="48"/>
    </row>
    <row r="261" ht="15.75" customHeight="1">
      <c r="A261" s="56"/>
      <c r="B261" s="48"/>
      <c r="C261" s="48"/>
      <c r="D261" s="27"/>
      <c r="E261" s="27"/>
      <c r="F261" s="48"/>
      <c r="G261" s="48"/>
      <c r="H261" s="48"/>
      <c r="I261" s="48"/>
      <c r="J261" s="48"/>
      <c r="K261" s="48"/>
      <c r="L261" s="48"/>
      <c r="M261" s="48"/>
      <c r="N261" s="48"/>
      <c r="O261" s="48"/>
      <c r="P261" s="48"/>
      <c r="Q261" s="48"/>
      <c r="R261" s="48"/>
      <c r="S261" s="48"/>
      <c r="T261" s="48"/>
      <c r="U261" s="48"/>
      <c r="V261" s="48"/>
      <c r="W261" s="48"/>
      <c r="X261" s="48"/>
    </row>
    <row r="262" ht="15.75" customHeight="1">
      <c r="A262" s="56"/>
      <c r="B262" s="48"/>
      <c r="C262" s="48"/>
      <c r="D262" s="27"/>
      <c r="E262" s="27"/>
      <c r="F262" s="48"/>
      <c r="G262" s="48"/>
      <c r="H262" s="48"/>
      <c r="I262" s="48"/>
      <c r="J262" s="48"/>
      <c r="K262" s="48"/>
      <c r="L262" s="48"/>
      <c r="M262" s="48"/>
      <c r="N262" s="48"/>
      <c r="O262" s="48"/>
      <c r="P262" s="48"/>
      <c r="Q262" s="48"/>
      <c r="R262" s="48"/>
      <c r="S262" s="48"/>
      <c r="T262" s="48"/>
      <c r="U262" s="48"/>
      <c r="V262" s="48"/>
      <c r="W262" s="48"/>
      <c r="X262" s="48"/>
    </row>
    <row r="263" ht="15.75" customHeight="1">
      <c r="A263" s="56"/>
      <c r="B263" s="48"/>
      <c r="C263" s="48"/>
      <c r="D263" s="27"/>
      <c r="E263" s="27"/>
      <c r="F263" s="48"/>
      <c r="G263" s="48"/>
      <c r="H263" s="48"/>
      <c r="I263" s="48"/>
      <c r="J263" s="48"/>
      <c r="K263" s="48"/>
      <c r="L263" s="48"/>
      <c r="M263" s="48"/>
      <c r="N263" s="48"/>
      <c r="O263" s="48"/>
      <c r="P263" s="48"/>
      <c r="Q263" s="48"/>
      <c r="R263" s="48"/>
      <c r="S263" s="48"/>
      <c r="T263" s="48"/>
      <c r="U263" s="48"/>
      <c r="V263" s="48"/>
      <c r="W263" s="48"/>
      <c r="X263" s="48"/>
    </row>
    <row r="264" ht="15.75" customHeight="1">
      <c r="A264" s="56"/>
      <c r="B264" s="48"/>
      <c r="C264" s="48"/>
      <c r="D264" s="27"/>
      <c r="E264" s="27"/>
      <c r="F264" s="48"/>
      <c r="G264" s="48"/>
      <c r="H264" s="48"/>
      <c r="I264" s="48"/>
      <c r="J264" s="48"/>
      <c r="K264" s="48"/>
      <c r="L264" s="48"/>
      <c r="M264" s="48"/>
      <c r="N264" s="48"/>
      <c r="O264" s="48"/>
      <c r="P264" s="48"/>
      <c r="Q264" s="48"/>
      <c r="R264" s="48"/>
      <c r="S264" s="48"/>
      <c r="T264" s="48"/>
      <c r="U264" s="48"/>
      <c r="V264" s="48"/>
      <c r="W264" s="48"/>
      <c r="X264" s="48"/>
    </row>
    <row r="265" ht="15.75" customHeight="1">
      <c r="A265" s="56"/>
      <c r="B265" s="48"/>
      <c r="C265" s="48"/>
      <c r="D265" s="27"/>
      <c r="E265" s="27"/>
      <c r="F265" s="48"/>
      <c r="G265" s="48"/>
      <c r="H265" s="48"/>
      <c r="I265" s="48"/>
      <c r="J265" s="48"/>
      <c r="K265" s="48"/>
      <c r="L265" s="48"/>
      <c r="M265" s="48"/>
      <c r="N265" s="48"/>
      <c r="O265" s="48"/>
      <c r="P265" s="48"/>
      <c r="Q265" s="48"/>
      <c r="R265" s="48"/>
      <c r="S265" s="48"/>
      <c r="T265" s="48"/>
      <c r="U265" s="48"/>
      <c r="V265" s="48"/>
      <c r="W265" s="48"/>
      <c r="X265" s="48"/>
    </row>
    <row r="266" ht="15.75" customHeight="1">
      <c r="A266" s="56"/>
      <c r="B266" s="48"/>
      <c r="C266" s="48"/>
      <c r="D266" s="27"/>
      <c r="E266" s="27"/>
      <c r="F266" s="48"/>
      <c r="G266" s="48"/>
      <c r="H266" s="48"/>
      <c r="I266" s="48"/>
      <c r="J266" s="48"/>
      <c r="K266" s="48"/>
      <c r="L266" s="48"/>
      <c r="M266" s="48"/>
      <c r="N266" s="48"/>
      <c r="O266" s="48"/>
      <c r="P266" s="48"/>
      <c r="Q266" s="48"/>
      <c r="R266" s="48"/>
      <c r="S266" s="48"/>
      <c r="T266" s="48"/>
      <c r="U266" s="48"/>
      <c r="V266" s="48"/>
      <c r="W266" s="48"/>
      <c r="X266" s="48"/>
    </row>
    <row r="267" ht="15.75" customHeight="1">
      <c r="A267" s="56"/>
      <c r="B267" s="48"/>
      <c r="C267" s="48"/>
      <c r="D267" s="27"/>
      <c r="E267" s="27"/>
      <c r="F267" s="48"/>
      <c r="G267" s="48"/>
      <c r="H267" s="48"/>
      <c r="I267" s="48"/>
      <c r="J267" s="48"/>
      <c r="K267" s="48"/>
      <c r="L267" s="48"/>
      <c r="M267" s="48"/>
      <c r="N267" s="48"/>
      <c r="O267" s="48"/>
      <c r="P267" s="48"/>
      <c r="Q267" s="48"/>
      <c r="R267" s="48"/>
      <c r="S267" s="48"/>
      <c r="T267" s="48"/>
      <c r="U267" s="48"/>
      <c r="V267" s="48"/>
      <c r="W267" s="48"/>
      <c r="X267" s="48"/>
    </row>
    <row r="268" ht="15.75" customHeight="1">
      <c r="A268" s="56"/>
      <c r="B268" s="48"/>
      <c r="C268" s="48"/>
      <c r="D268" s="27"/>
      <c r="E268" s="27"/>
      <c r="F268" s="48"/>
      <c r="G268" s="48"/>
      <c r="H268" s="48"/>
      <c r="I268" s="48"/>
      <c r="J268" s="48"/>
      <c r="K268" s="48"/>
      <c r="L268" s="48"/>
      <c r="M268" s="48"/>
      <c r="N268" s="48"/>
      <c r="O268" s="48"/>
      <c r="P268" s="48"/>
      <c r="Q268" s="48"/>
      <c r="R268" s="48"/>
      <c r="S268" s="48"/>
      <c r="T268" s="48"/>
      <c r="U268" s="48"/>
      <c r="V268" s="48"/>
      <c r="W268" s="48"/>
      <c r="X268" s="48"/>
    </row>
    <row r="269" ht="15.75" customHeight="1">
      <c r="A269" s="56"/>
      <c r="B269" s="48"/>
      <c r="C269" s="48"/>
      <c r="D269" s="27"/>
      <c r="E269" s="27"/>
      <c r="F269" s="48"/>
      <c r="G269" s="48"/>
      <c r="H269" s="48"/>
      <c r="I269" s="48"/>
      <c r="J269" s="48"/>
      <c r="K269" s="48"/>
      <c r="L269" s="48"/>
      <c r="M269" s="48"/>
      <c r="N269" s="48"/>
      <c r="O269" s="48"/>
      <c r="P269" s="48"/>
      <c r="Q269" s="48"/>
      <c r="R269" s="48"/>
      <c r="S269" s="48"/>
      <c r="T269" s="48"/>
      <c r="U269" s="48"/>
      <c r="V269" s="48"/>
      <c r="W269" s="48"/>
      <c r="X269" s="48"/>
    </row>
    <row r="270" ht="15.75" customHeight="1">
      <c r="A270" s="56"/>
      <c r="B270" s="48"/>
      <c r="C270" s="48"/>
      <c r="D270" s="27"/>
      <c r="E270" s="27"/>
      <c r="F270" s="48"/>
      <c r="G270" s="48"/>
      <c r="H270" s="48"/>
      <c r="I270" s="48"/>
      <c r="J270" s="48"/>
      <c r="K270" s="48"/>
      <c r="L270" s="48"/>
      <c r="M270" s="48"/>
      <c r="N270" s="48"/>
      <c r="O270" s="48"/>
      <c r="P270" s="48"/>
      <c r="Q270" s="48"/>
      <c r="R270" s="48"/>
      <c r="S270" s="48"/>
      <c r="T270" s="48"/>
      <c r="U270" s="48"/>
      <c r="V270" s="48"/>
      <c r="W270" s="48"/>
      <c r="X270" s="48"/>
    </row>
    <row r="271" ht="15.75" customHeight="1">
      <c r="A271" s="56"/>
      <c r="B271" s="48"/>
      <c r="C271" s="48"/>
      <c r="D271" s="27"/>
      <c r="E271" s="27"/>
      <c r="F271" s="48"/>
      <c r="G271" s="48"/>
      <c r="H271" s="48"/>
      <c r="I271" s="48"/>
      <c r="J271" s="48"/>
      <c r="K271" s="48"/>
      <c r="L271" s="48"/>
      <c r="M271" s="48"/>
      <c r="N271" s="48"/>
      <c r="O271" s="48"/>
      <c r="P271" s="48"/>
      <c r="Q271" s="48"/>
      <c r="R271" s="48"/>
      <c r="S271" s="48"/>
      <c r="T271" s="48"/>
      <c r="U271" s="48"/>
      <c r="V271" s="48"/>
      <c r="W271" s="48"/>
      <c r="X271" s="48"/>
    </row>
    <row r="272" ht="15.75" customHeight="1">
      <c r="A272" s="56"/>
      <c r="B272" s="48"/>
      <c r="C272" s="48"/>
      <c r="D272" s="27"/>
      <c r="E272" s="27"/>
      <c r="F272" s="48"/>
      <c r="G272" s="48"/>
      <c r="H272" s="48"/>
      <c r="I272" s="48"/>
      <c r="J272" s="48"/>
      <c r="K272" s="48"/>
      <c r="L272" s="48"/>
      <c r="M272" s="48"/>
      <c r="N272" s="48"/>
      <c r="O272" s="48"/>
      <c r="P272" s="48"/>
      <c r="Q272" s="48"/>
      <c r="R272" s="48"/>
      <c r="S272" s="48"/>
      <c r="T272" s="48"/>
      <c r="U272" s="48"/>
      <c r="V272" s="48"/>
      <c r="W272" s="48"/>
      <c r="X272" s="48"/>
    </row>
    <row r="273" ht="15.75" customHeight="1">
      <c r="A273" s="56"/>
      <c r="B273" s="48"/>
      <c r="C273" s="48"/>
      <c r="D273" s="27"/>
      <c r="E273" s="27"/>
      <c r="F273" s="48"/>
      <c r="G273" s="48"/>
      <c r="H273" s="48"/>
      <c r="I273" s="48"/>
      <c r="J273" s="48"/>
      <c r="K273" s="48"/>
      <c r="L273" s="48"/>
      <c r="M273" s="48"/>
      <c r="N273" s="48"/>
      <c r="O273" s="48"/>
      <c r="P273" s="48"/>
      <c r="Q273" s="48"/>
      <c r="R273" s="48"/>
      <c r="S273" s="48"/>
      <c r="T273" s="48"/>
      <c r="U273" s="48"/>
      <c r="V273" s="48"/>
      <c r="W273" s="48"/>
      <c r="X273" s="48"/>
    </row>
    <row r="274" ht="15.75" customHeight="1">
      <c r="A274" s="56"/>
      <c r="B274" s="48"/>
      <c r="C274" s="48"/>
      <c r="D274" s="27"/>
      <c r="E274" s="27"/>
      <c r="F274" s="48"/>
      <c r="G274" s="48"/>
      <c r="H274" s="48"/>
      <c r="I274" s="48"/>
      <c r="J274" s="48"/>
      <c r="K274" s="48"/>
      <c r="L274" s="48"/>
      <c r="M274" s="48"/>
      <c r="N274" s="48"/>
      <c r="O274" s="48"/>
      <c r="P274" s="48"/>
      <c r="Q274" s="48"/>
      <c r="R274" s="48"/>
      <c r="S274" s="48"/>
      <c r="T274" s="48"/>
      <c r="U274" s="48"/>
      <c r="V274" s="48"/>
      <c r="W274" s="48"/>
      <c r="X274" s="48"/>
    </row>
    <row r="275" ht="15.75" customHeight="1">
      <c r="A275" s="56"/>
      <c r="B275" s="48"/>
      <c r="C275" s="48"/>
      <c r="D275" s="27"/>
      <c r="E275" s="27"/>
      <c r="F275" s="48"/>
      <c r="G275" s="48"/>
      <c r="H275" s="48"/>
      <c r="I275" s="48"/>
      <c r="J275" s="48"/>
      <c r="K275" s="48"/>
      <c r="L275" s="48"/>
      <c r="M275" s="48"/>
      <c r="N275" s="48"/>
      <c r="O275" s="48"/>
      <c r="P275" s="48"/>
      <c r="Q275" s="48"/>
      <c r="R275" s="48"/>
      <c r="S275" s="48"/>
      <c r="T275" s="48"/>
      <c r="U275" s="48"/>
      <c r="V275" s="48"/>
      <c r="W275" s="48"/>
      <c r="X275" s="48"/>
    </row>
    <row r="276" ht="15.75" customHeight="1">
      <c r="A276" s="56"/>
      <c r="B276" s="48"/>
      <c r="C276" s="48"/>
      <c r="D276" s="27"/>
      <c r="E276" s="27"/>
      <c r="F276" s="48"/>
      <c r="G276" s="48"/>
      <c r="H276" s="48"/>
      <c r="I276" s="48"/>
      <c r="J276" s="48"/>
      <c r="K276" s="48"/>
      <c r="L276" s="48"/>
      <c r="M276" s="48"/>
      <c r="N276" s="48"/>
      <c r="O276" s="48"/>
      <c r="P276" s="48"/>
      <c r="Q276" s="48"/>
      <c r="R276" s="48"/>
      <c r="S276" s="48"/>
      <c r="T276" s="48"/>
      <c r="U276" s="48"/>
      <c r="V276" s="48"/>
      <c r="W276" s="48"/>
      <c r="X276" s="48"/>
    </row>
    <row r="277" ht="15.75" customHeight="1">
      <c r="A277" s="56"/>
      <c r="B277" s="48"/>
      <c r="C277" s="48"/>
      <c r="D277" s="27"/>
      <c r="E277" s="27"/>
      <c r="F277" s="48"/>
      <c r="G277" s="48"/>
      <c r="H277" s="48"/>
      <c r="I277" s="48"/>
      <c r="J277" s="48"/>
      <c r="K277" s="48"/>
      <c r="L277" s="48"/>
      <c r="M277" s="48"/>
      <c r="N277" s="48"/>
      <c r="O277" s="48"/>
      <c r="P277" s="48"/>
      <c r="Q277" s="48"/>
      <c r="R277" s="48"/>
      <c r="S277" s="48"/>
      <c r="T277" s="48"/>
      <c r="U277" s="48"/>
      <c r="V277" s="48"/>
      <c r="W277" s="48"/>
      <c r="X277" s="48"/>
    </row>
    <row r="278" ht="15.75" customHeight="1">
      <c r="A278" s="56"/>
      <c r="B278" s="48"/>
      <c r="C278" s="48"/>
      <c r="D278" s="27"/>
      <c r="E278" s="27"/>
      <c r="F278" s="48"/>
      <c r="G278" s="48"/>
      <c r="H278" s="48"/>
      <c r="I278" s="48"/>
      <c r="J278" s="48"/>
      <c r="K278" s="48"/>
      <c r="L278" s="48"/>
      <c r="M278" s="48"/>
      <c r="N278" s="48"/>
      <c r="O278" s="48"/>
      <c r="P278" s="48"/>
      <c r="Q278" s="48"/>
      <c r="R278" s="48"/>
      <c r="S278" s="48"/>
      <c r="T278" s="48"/>
      <c r="U278" s="48"/>
      <c r="V278" s="48"/>
      <c r="W278" s="48"/>
      <c r="X278" s="48"/>
    </row>
    <row r="279" ht="15.75" customHeight="1">
      <c r="A279" s="56"/>
      <c r="B279" s="48"/>
      <c r="C279" s="48"/>
      <c r="D279" s="27"/>
      <c r="E279" s="27"/>
      <c r="F279" s="48"/>
      <c r="G279" s="48"/>
      <c r="H279" s="48"/>
      <c r="I279" s="48"/>
      <c r="J279" s="48"/>
      <c r="K279" s="48"/>
      <c r="L279" s="48"/>
      <c r="M279" s="48"/>
      <c r="N279" s="48"/>
      <c r="O279" s="48"/>
      <c r="P279" s="48"/>
      <c r="Q279" s="48"/>
      <c r="R279" s="48"/>
      <c r="S279" s="48"/>
      <c r="T279" s="48"/>
      <c r="U279" s="48"/>
      <c r="V279" s="48"/>
      <c r="W279" s="48"/>
      <c r="X279" s="48"/>
    </row>
    <row r="280" ht="15.75" customHeight="1">
      <c r="A280" s="56"/>
      <c r="B280" s="48"/>
      <c r="C280" s="48"/>
      <c r="D280" s="27"/>
      <c r="E280" s="27"/>
      <c r="F280" s="48"/>
      <c r="G280" s="48"/>
      <c r="H280" s="48"/>
      <c r="I280" s="48"/>
      <c r="J280" s="48"/>
      <c r="K280" s="48"/>
      <c r="L280" s="48"/>
      <c r="M280" s="48"/>
      <c r="N280" s="48"/>
      <c r="O280" s="48"/>
      <c r="P280" s="48"/>
      <c r="Q280" s="48"/>
      <c r="R280" s="48"/>
      <c r="S280" s="48"/>
      <c r="T280" s="48"/>
      <c r="U280" s="48"/>
      <c r="V280" s="48"/>
      <c r="W280" s="48"/>
      <c r="X280" s="48"/>
    </row>
    <row r="281" ht="15.75" customHeight="1">
      <c r="A281" s="56"/>
      <c r="B281" s="48"/>
      <c r="C281" s="48"/>
      <c r="D281" s="27"/>
      <c r="E281" s="27"/>
      <c r="F281" s="48"/>
      <c r="G281" s="48"/>
      <c r="H281" s="48"/>
      <c r="I281" s="48"/>
      <c r="J281" s="48"/>
      <c r="K281" s="48"/>
      <c r="L281" s="48"/>
      <c r="M281" s="48"/>
      <c r="N281" s="48"/>
      <c r="O281" s="48"/>
      <c r="P281" s="48"/>
      <c r="Q281" s="48"/>
      <c r="R281" s="48"/>
      <c r="S281" s="48"/>
      <c r="T281" s="48"/>
      <c r="U281" s="48"/>
      <c r="V281" s="48"/>
      <c r="W281" s="48"/>
      <c r="X281" s="48"/>
    </row>
    <row r="282" ht="15.75" customHeight="1">
      <c r="A282" s="56"/>
      <c r="B282" s="48"/>
      <c r="C282" s="48"/>
      <c r="D282" s="27"/>
      <c r="E282" s="27"/>
      <c r="F282" s="48"/>
      <c r="G282" s="48"/>
      <c r="H282" s="48"/>
      <c r="I282" s="48"/>
      <c r="J282" s="48"/>
      <c r="K282" s="48"/>
      <c r="L282" s="48"/>
      <c r="M282" s="48"/>
      <c r="N282" s="48"/>
      <c r="O282" s="48"/>
      <c r="P282" s="48"/>
      <c r="Q282" s="48"/>
      <c r="R282" s="48"/>
      <c r="S282" s="48"/>
      <c r="T282" s="48"/>
      <c r="U282" s="48"/>
      <c r="V282" s="48"/>
      <c r="W282" s="48"/>
      <c r="X282" s="48"/>
    </row>
    <row r="283" ht="15.75" customHeight="1">
      <c r="A283" s="56"/>
      <c r="B283" s="48"/>
      <c r="C283" s="48"/>
      <c r="D283" s="27"/>
      <c r="E283" s="27"/>
      <c r="F283" s="48"/>
      <c r="G283" s="48"/>
      <c r="H283" s="48"/>
      <c r="I283" s="48"/>
      <c r="J283" s="48"/>
      <c r="K283" s="48"/>
      <c r="L283" s="48"/>
      <c r="M283" s="48"/>
      <c r="N283" s="48"/>
      <c r="O283" s="48"/>
      <c r="P283" s="48"/>
      <c r="Q283" s="48"/>
      <c r="R283" s="48"/>
      <c r="S283" s="48"/>
      <c r="T283" s="48"/>
      <c r="U283" s="48"/>
      <c r="V283" s="48"/>
      <c r="W283" s="48"/>
      <c r="X283" s="48"/>
    </row>
    <row r="284" ht="15.75" customHeight="1">
      <c r="A284" s="56"/>
      <c r="B284" s="48"/>
      <c r="C284" s="48"/>
      <c r="D284" s="27"/>
      <c r="E284" s="27"/>
      <c r="F284" s="48"/>
      <c r="G284" s="48"/>
      <c r="H284" s="48"/>
      <c r="I284" s="48"/>
      <c r="J284" s="48"/>
      <c r="K284" s="48"/>
      <c r="L284" s="48"/>
      <c r="M284" s="48"/>
      <c r="N284" s="48"/>
      <c r="O284" s="48"/>
      <c r="P284" s="48"/>
      <c r="Q284" s="48"/>
      <c r="R284" s="48"/>
      <c r="S284" s="48"/>
      <c r="T284" s="48"/>
      <c r="U284" s="48"/>
      <c r="V284" s="48"/>
      <c r="W284" s="48"/>
      <c r="X284" s="48"/>
    </row>
    <row r="285" ht="15.75" customHeight="1">
      <c r="A285" s="56"/>
      <c r="B285" s="48"/>
      <c r="C285" s="48"/>
      <c r="D285" s="27"/>
      <c r="E285" s="27"/>
      <c r="F285" s="48"/>
      <c r="G285" s="48"/>
      <c r="H285" s="48"/>
      <c r="I285" s="48"/>
      <c r="J285" s="48"/>
      <c r="K285" s="48"/>
      <c r="L285" s="48"/>
      <c r="M285" s="48"/>
      <c r="N285" s="48"/>
      <c r="O285" s="48"/>
      <c r="P285" s="48"/>
      <c r="Q285" s="48"/>
      <c r="R285" s="48"/>
      <c r="S285" s="48"/>
      <c r="T285" s="48"/>
      <c r="U285" s="48"/>
      <c r="V285" s="48"/>
      <c r="W285" s="48"/>
      <c r="X285" s="48"/>
    </row>
    <row r="286" ht="15.75" customHeight="1">
      <c r="A286" s="56"/>
      <c r="B286" s="48"/>
      <c r="C286" s="48"/>
      <c r="D286" s="27"/>
      <c r="E286" s="27"/>
      <c r="F286" s="48"/>
      <c r="G286" s="48"/>
      <c r="H286" s="48"/>
      <c r="I286" s="48"/>
      <c r="J286" s="48"/>
      <c r="K286" s="48"/>
      <c r="L286" s="48"/>
      <c r="M286" s="48"/>
      <c r="N286" s="48"/>
      <c r="O286" s="48"/>
      <c r="P286" s="48"/>
      <c r="Q286" s="48"/>
      <c r="R286" s="48"/>
      <c r="S286" s="48"/>
      <c r="T286" s="48"/>
      <c r="U286" s="48"/>
      <c r="V286" s="48"/>
      <c r="W286" s="48"/>
      <c r="X286" s="48"/>
    </row>
    <row r="287" ht="15.75" customHeight="1">
      <c r="A287" s="56"/>
      <c r="B287" s="48"/>
      <c r="C287" s="48"/>
      <c r="D287" s="27"/>
      <c r="E287" s="27"/>
      <c r="F287" s="48"/>
      <c r="G287" s="48"/>
      <c r="H287" s="48"/>
      <c r="I287" s="48"/>
      <c r="J287" s="48"/>
      <c r="K287" s="48"/>
      <c r="L287" s="48"/>
      <c r="M287" s="48"/>
      <c r="N287" s="48"/>
      <c r="O287" s="48"/>
      <c r="P287" s="48"/>
      <c r="Q287" s="48"/>
      <c r="R287" s="48"/>
      <c r="S287" s="48"/>
      <c r="T287" s="48"/>
      <c r="U287" s="48"/>
      <c r="V287" s="48"/>
      <c r="W287" s="48"/>
      <c r="X287" s="48"/>
    </row>
    <row r="288" ht="15.75" customHeight="1">
      <c r="A288" s="56"/>
      <c r="B288" s="48"/>
      <c r="C288" s="48"/>
      <c r="D288" s="27"/>
      <c r="E288" s="27"/>
      <c r="F288" s="48"/>
      <c r="G288" s="48"/>
      <c r="H288" s="48"/>
      <c r="I288" s="48"/>
      <c r="J288" s="48"/>
      <c r="K288" s="48"/>
      <c r="L288" s="48"/>
      <c r="M288" s="48"/>
      <c r="N288" s="48"/>
      <c r="O288" s="48"/>
      <c r="P288" s="48"/>
      <c r="Q288" s="48"/>
      <c r="R288" s="48"/>
      <c r="S288" s="48"/>
      <c r="T288" s="48"/>
      <c r="U288" s="48"/>
      <c r="V288" s="48"/>
      <c r="W288" s="48"/>
      <c r="X288" s="48"/>
    </row>
    <row r="289" ht="15.75" customHeight="1">
      <c r="A289" s="56"/>
      <c r="B289" s="48"/>
      <c r="C289" s="48"/>
      <c r="D289" s="27"/>
      <c r="E289" s="27"/>
      <c r="F289" s="48"/>
      <c r="G289" s="48"/>
      <c r="H289" s="48"/>
      <c r="I289" s="48"/>
      <c r="J289" s="48"/>
      <c r="K289" s="48"/>
      <c r="L289" s="48"/>
      <c r="M289" s="48"/>
      <c r="N289" s="48"/>
      <c r="O289" s="48"/>
      <c r="P289" s="48"/>
      <c r="Q289" s="48"/>
      <c r="R289" s="48"/>
      <c r="S289" s="48"/>
      <c r="T289" s="48"/>
      <c r="U289" s="48"/>
      <c r="V289" s="48"/>
      <c r="W289" s="48"/>
      <c r="X289" s="48"/>
    </row>
    <row r="290" ht="15.75" customHeight="1">
      <c r="A290" s="56"/>
      <c r="B290" s="48"/>
      <c r="C290" s="48"/>
      <c r="D290" s="27"/>
      <c r="E290" s="27"/>
      <c r="F290" s="48"/>
      <c r="G290" s="48"/>
      <c r="H290" s="48"/>
      <c r="I290" s="48"/>
      <c r="J290" s="48"/>
      <c r="K290" s="48"/>
      <c r="L290" s="48"/>
      <c r="M290" s="48"/>
      <c r="N290" s="48"/>
      <c r="O290" s="48"/>
      <c r="P290" s="48"/>
      <c r="Q290" s="48"/>
      <c r="R290" s="48"/>
      <c r="S290" s="48"/>
      <c r="T290" s="48"/>
      <c r="U290" s="48"/>
      <c r="V290" s="48"/>
      <c r="W290" s="48"/>
      <c r="X290" s="48"/>
    </row>
    <row r="291" ht="15.75" customHeight="1">
      <c r="A291" s="56"/>
      <c r="B291" s="48"/>
      <c r="C291" s="48"/>
      <c r="D291" s="27"/>
      <c r="E291" s="27"/>
      <c r="F291" s="48"/>
      <c r="G291" s="48"/>
      <c r="H291" s="48"/>
      <c r="I291" s="48"/>
      <c r="J291" s="48"/>
      <c r="K291" s="48"/>
      <c r="L291" s="48"/>
      <c r="M291" s="48"/>
      <c r="N291" s="48"/>
      <c r="O291" s="48"/>
      <c r="P291" s="48"/>
      <c r="Q291" s="48"/>
      <c r="R291" s="48"/>
      <c r="S291" s="48"/>
      <c r="T291" s="48"/>
      <c r="U291" s="48"/>
      <c r="V291" s="48"/>
      <c r="W291" s="48"/>
      <c r="X291" s="48"/>
    </row>
    <row r="292" ht="15.75" customHeight="1">
      <c r="A292" s="56"/>
      <c r="B292" s="48"/>
      <c r="C292" s="48"/>
      <c r="D292" s="27"/>
      <c r="E292" s="27"/>
      <c r="F292" s="48"/>
      <c r="G292" s="48"/>
      <c r="H292" s="48"/>
      <c r="I292" s="48"/>
      <c r="J292" s="48"/>
      <c r="K292" s="48"/>
      <c r="L292" s="48"/>
      <c r="M292" s="48"/>
      <c r="N292" s="48"/>
      <c r="O292" s="48"/>
      <c r="P292" s="48"/>
      <c r="Q292" s="48"/>
      <c r="R292" s="48"/>
      <c r="S292" s="48"/>
      <c r="T292" s="48"/>
      <c r="U292" s="48"/>
      <c r="V292" s="48"/>
      <c r="W292" s="48"/>
      <c r="X292" s="48"/>
    </row>
    <row r="293" ht="15.75" customHeight="1">
      <c r="A293" s="56"/>
      <c r="B293" s="48"/>
      <c r="C293" s="48"/>
      <c r="D293" s="27"/>
      <c r="E293" s="27"/>
      <c r="F293" s="48"/>
      <c r="G293" s="48"/>
      <c r="H293" s="48"/>
      <c r="I293" s="48"/>
      <c r="J293" s="48"/>
      <c r="K293" s="48"/>
      <c r="L293" s="48"/>
      <c r="M293" s="48"/>
      <c r="N293" s="48"/>
      <c r="O293" s="48"/>
      <c r="P293" s="48"/>
      <c r="Q293" s="48"/>
      <c r="R293" s="48"/>
      <c r="S293" s="48"/>
      <c r="T293" s="48"/>
      <c r="U293" s="48"/>
      <c r="V293" s="48"/>
      <c r="W293" s="48"/>
      <c r="X293" s="48"/>
    </row>
    <row r="294" ht="15.75" customHeight="1">
      <c r="A294" s="56"/>
      <c r="B294" s="48"/>
      <c r="C294" s="48"/>
      <c r="D294" s="27"/>
      <c r="E294" s="27"/>
      <c r="F294" s="48"/>
      <c r="G294" s="48"/>
      <c r="H294" s="48"/>
      <c r="I294" s="48"/>
      <c r="J294" s="48"/>
      <c r="K294" s="48"/>
      <c r="L294" s="48"/>
      <c r="M294" s="48"/>
      <c r="N294" s="48"/>
      <c r="O294" s="48"/>
      <c r="P294" s="48"/>
      <c r="Q294" s="48"/>
      <c r="R294" s="48"/>
      <c r="S294" s="48"/>
      <c r="T294" s="48"/>
      <c r="U294" s="48"/>
      <c r="V294" s="48"/>
      <c r="W294" s="48"/>
      <c r="X294" s="48"/>
    </row>
    <row r="295" ht="15.75" customHeight="1">
      <c r="A295" s="56"/>
      <c r="B295" s="48"/>
      <c r="C295" s="48"/>
      <c r="D295" s="27"/>
      <c r="E295" s="27"/>
      <c r="F295" s="48"/>
      <c r="G295" s="48"/>
      <c r="H295" s="48"/>
      <c r="I295" s="48"/>
      <c r="J295" s="48"/>
      <c r="K295" s="48"/>
      <c r="L295" s="48"/>
      <c r="M295" s="48"/>
      <c r="N295" s="48"/>
      <c r="O295" s="48"/>
      <c r="P295" s="48"/>
      <c r="Q295" s="48"/>
      <c r="R295" s="48"/>
      <c r="S295" s="48"/>
      <c r="T295" s="48"/>
      <c r="U295" s="48"/>
      <c r="V295" s="48"/>
      <c r="W295" s="48"/>
      <c r="X295" s="48"/>
    </row>
    <row r="296" ht="15.75" customHeight="1">
      <c r="A296" s="56"/>
      <c r="B296" s="48"/>
      <c r="C296" s="48"/>
      <c r="D296" s="27"/>
      <c r="E296" s="27"/>
      <c r="F296" s="48"/>
      <c r="G296" s="48"/>
      <c r="H296" s="48"/>
      <c r="I296" s="48"/>
      <c r="J296" s="48"/>
      <c r="K296" s="48"/>
      <c r="L296" s="48"/>
      <c r="M296" s="48"/>
      <c r="N296" s="48"/>
      <c r="O296" s="48"/>
      <c r="P296" s="48"/>
      <c r="Q296" s="48"/>
      <c r="R296" s="48"/>
      <c r="S296" s="48"/>
      <c r="T296" s="48"/>
      <c r="U296" s="48"/>
      <c r="V296" s="48"/>
      <c r="W296" s="48"/>
      <c r="X296" s="48"/>
    </row>
    <row r="297" ht="15.75" customHeight="1">
      <c r="A297" s="56"/>
      <c r="B297" s="48"/>
      <c r="C297" s="48"/>
      <c r="D297" s="27"/>
      <c r="E297" s="27"/>
      <c r="F297" s="48"/>
      <c r="G297" s="48"/>
      <c r="H297" s="48"/>
      <c r="I297" s="48"/>
      <c r="J297" s="48"/>
      <c r="K297" s="48"/>
      <c r="L297" s="48"/>
      <c r="M297" s="48"/>
      <c r="N297" s="48"/>
      <c r="O297" s="48"/>
      <c r="P297" s="48"/>
      <c r="Q297" s="48"/>
      <c r="R297" s="48"/>
      <c r="S297" s="48"/>
      <c r="T297" s="48"/>
      <c r="U297" s="48"/>
      <c r="V297" s="48"/>
      <c r="W297" s="48"/>
      <c r="X297" s="48"/>
    </row>
    <row r="298" ht="15.75" customHeight="1">
      <c r="A298" s="56"/>
      <c r="B298" s="48"/>
      <c r="C298" s="48"/>
      <c r="D298" s="27"/>
      <c r="E298" s="27"/>
      <c r="F298" s="48"/>
      <c r="G298" s="48"/>
      <c r="H298" s="48"/>
      <c r="I298" s="48"/>
      <c r="J298" s="48"/>
      <c r="K298" s="48"/>
      <c r="L298" s="48"/>
      <c r="M298" s="48"/>
      <c r="N298" s="48"/>
      <c r="O298" s="48"/>
      <c r="P298" s="48"/>
      <c r="Q298" s="48"/>
      <c r="R298" s="48"/>
      <c r="S298" s="48"/>
      <c r="T298" s="48"/>
      <c r="U298" s="48"/>
      <c r="V298" s="48"/>
      <c r="W298" s="48"/>
      <c r="X298" s="48"/>
    </row>
    <row r="299" ht="15.75" customHeight="1">
      <c r="A299" s="56"/>
      <c r="B299" s="48"/>
      <c r="C299" s="48"/>
      <c r="D299" s="27"/>
      <c r="E299" s="27"/>
      <c r="F299" s="48"/>
      <c r="G299" s="48"/>
      <c r="H299" s="48"/>
      <c r="I299" s="48"/>
      <c r="J299" s="48"/>
      <c r="K299" s="48"/>
      <c r="L299" s="48"/>
      <c r="M299" s="48"/>
      <c r="N299" s="48"/>
      <c r="O299" s="48"/>
      <c r="P299" s="48"/>
      <c r="Q299" s="48"/>
      <c r="R299" s="48"/>
      <c r="S299" s="48"/>
      <c r="T299" s="48"/>
      <c r="U299" s="48"/>
      <c r="V299" s="48"/>
      <c r="W299" s="48"/>
      <c r="X299" s="48"/>
    </row>
    <row r="300" ht="15.75" customHeight="1">
      <c r="A300" s="56"/>
      <c r="B300" s="48"/>
      <c r="C300" s="48"/>
      <c r="D300" s="27"/>
      <c r="E300" s="27"/>
      <c r="F300" s="48"/>
      <c r="G300" s="48"/>
      <c r="H300" s="48"/>
      <c r="I300" s="48"/>
      <c r="J300" s="48"/>
      <c r="K300" s="48"/>
      <c r="L300" s="48"/>
      <c r="M300" s="48"/>
      <c r="N300" s="48"/>
      <c r="O300" s="48"/>
      <c r="P300" s="48"/>
      <c r="Q300" s="48"/>
      <c r="R300" s="48"/>
      <c r="S300" s="48"/>
      <c r="T300" s="48"/>
      <c r="U300" s="48"/>
      <c r="V300" s="48"/>
      <c r="W300" s="48"/>
      <c r="X300" s="48"/>
    </row>
    <row r="301" ht="15.75" customHeight="1">
      <c r="A301" s="56"/>
      <c r="B301" s="48"/>
      <c r="C301" s="48"/>
      <c r="D301" s="27"/>
      <c r="E301" s="27"/>
      <c r="F301" s="48"/>
      <c r="G301" s="48"/>
      <c r="H301" s="48"/>
      <c r="I301" s="48"/>
      <c r="J301" s="48"/>
      <c r="K301" s="48"/>
      <c r="L301" s="48"/>
      <c r="M301" s="48"/>
      <c r="N301" s="48"/>
      <c r="O301" s="48"/>
      <c r="P301" s="48"/>
      <c r="Q301" s="48"/>
      <c r="R301" s="48"/>
      <c r="S301" s="48"/>
      <c r="T301" s="48"/>
      <c r="U301" s="48"/>
      <c r="V301" s="48"/>
      <c r="W301" s="48"/>
      <c r="X301" s="48"/>
    </row>
    <row r="302" ht="15.75" customHeight="1">
      <c r="A302" s="56"/>
      <c r="B302" s="48"/>
      <c r="C302" s="48"/>
      <c r="D302" s="27"/>
      <c r="E302" s="27"/>
      <c r="F302" s="48"/>
      <c r="G302" s="48"/>
      <c r="H302" s="48"/>
      <c r="I302" s="48"/>
      <c r="J302" s="48"/>
      <c r="K302" s="48"/>
      <c r="L302" s="48"/>
      <c r="M302" s="48"/>
      <c r="N302" s="48"/>
      <c r="O302" s="48"/>
      <c r="P302" s="48"/>
      <c r="Q302" s="48"/>
      <c r="R302" s="48"/>
      <c r="S302" s="48"/>
      <c r="T302" s="48"/>
      <c r="U302" s="48"/>
      <c r="V302" s="48"/>
      <c r="W302" s="48"/>
      <c r="X302" s="48"/>
    </row>
    <row r="303" ht="15.75" customHeight="1">
      <c r="A303" s="56"/>
      <c r="B303" s="48"/>
      <c r="C303" s="48"/>
      <c r="D303" s="27"/>
      <c r="E303" s="27"/>
      <c r="F303" s="48"/>
      <c r="G303" s="48"/>
      <c r="H303" s="48"/>
      <c r="I303" s="48"/>
      <c r="J303" s="48"/>
      <c r="K303" s="48"/>
      <c r="L303" s="48"/>
      <c r="M303" s="48"/>
      <c r="N303" s="48"/>
      <c r="O303" s="48"/>
      <c r="P303" s="48"/>
      <c r="Q303" s="48"/>
      <c r="R303" s="48"/>
      <c r="S303" s="48"/>
      <c r="T303" s="48"/>
      <c r="U303" s="48"/>
      <c r="V303" s="48"/>
      <c r="W303" s="48"/>
      <c r="X303" s="48"/>
    </row>
    <row r="304" ht="15.75" customHeight="1">
      <c r="A304" s="56"/>
      <c r="B304" s="48"/>
      <c r="C304" s="48"/>
      <c r="D304" s="27"/>
      <c r="E304" s="27"/>
      <c r="F304" s="48"/>
      <c r="G304" s="48"/>
      <c r="H304" s="48"/>
      <c r="I304" s="48"/>
      <c r="J304" s="48"/>
      <c r="K304" s="48"/>
      <c r="L304" s="48"/>
      <c r="M304" s="48"/>
      <c r="N304" s="48"/>
      <c r="O304" s="48"/>
      <c r="P304" s="48"/>
      <c r="Q304" s="48"/>
      <c r="R304" s="48"/>
      <c r="S304" s="48"/>
      <c r="T304" s="48"/>
      <c r="U304" s="48"/>
      <c r="V304" s="48"/>
      <c r="W304" s="48"/>
      <c r="X304" s="48"/>
    </row>
    <row r="305" ht="15.75" customHeight="1">
      <c r="A305" s="56"/>
      <c r="B305" s="48"/>
      <c r="C305" s="48"/>
      <c r="D305" s="27"/>
      <c r="E305" s="27"/>
      <c r="F305" s="48"/>
      <c r="G305" s="48"/>
      <c r="H305" s="48"/>
      <c r="I305" s="48"/>
      <c r="J305" s="48"/>
      <c r="K305" s="48"/>
      <c r="L305" s="48"/>
      <c r="M305" s="48"/>
      <c r="N305" s="48"/>
      <c r="O305" s="48"/>
      <c r="P305" s="48"/>
      <c r="Q305" s="48"/>
      <c r="R305" s="48"/>
      <c r="S305" s="48"/>
      <c r="T305" s="48"/>
      <c r="U305" s="48"/>
      <c r="V305" s="48"/>
      <c r="W305" s="48"/>
      <c r="X305" s="48"/>
    </row>
    <row r="306" ht="15.75" customHeight="1">
      <c r="A306" s="56"/>
      <c r="B306" s="48"/>
      <c r="C306" s="48"/>
      <c r="D306" s="27"/>
      <c r="E306" s="27"/>
      <c r="F306" s="48"/>
      <c r="G306" s="48"/>
      <c r="H306" s="48"/>
      <c r="I306" s="48"/>
      <c r="J306" s="48"/>
      <c r="K306" s="48"/>
      <c r="L306" s="48"/>
      <c r="M306" s="48"/>
      <c r="N306" s="48"/>
      <c r="O306" s="48"/>
      <c r="P306" s="48"/>
      <c r="Q306" s="48"/>
      <c r="R306" s="48"/>
      <c r="S306" s="48"/>
      <c r="T306" s="48"/>
      <c r="U306" s="48"/>
      <c r="V306" s="48"/>
      <c r="W306" s="48"/>
      <c r="X306" s="48"/>
    </row>
    <row r="307" ht="15.75" customHeight="1">
      <c r="A307" s="56"/>
      <c r="B307" s="48"/>
      <c r="C307" s="48"/>
      <c r="D307" s="27"/>
      <c r="E307" s="27"/>
      <c r="F307" s="48"/>
      <c r="G307" s="48"/>
      <c r="H307" s="48"/>
      <c r="I307" s="48"/>
      <c r="J307" s="48"/>
      <c r="K307" s="48"/>
      <c r="L307" s="48"/>
      <c r="M307" s="48"/>
      <c r="N307" s="48"/>
      <c r="O307" s="48"/>
      <c r="P307" s="48"/>
      <c r="Q307" s="48"/>
      <c r="R307" s="48"/>
      <c r="S307" s="48"/>
      <c r="T307" s="48"/>
      <c r="U307" s="48"/>
      <c r="V307" s="48"/>
      <c r="W307" s="48"/>
      <c r="X307" s="48"/>
    </row>
    <row r="308" ht="15.75" customHeight="1">
      <c r="A308" s="56"/>
      <c r="B308" s="48"/>
      <c r="C308" s="48"/>
      <c r="D308" s="27"/>
      <c r="E308" s="27"/>
      <c r="F308" s="48"/>
      <c r="G308" s="48"/>
      <c r="H308" s="48"/>
      <c r="I308" s="48"/>
      <c r="J308" s="48"/>
      <c r="K308" s="48"/>
      <c r="L308" s="48"/>
      <c r="M308" s="48"/>
      <c r="N308" s="48"/>
      <c r="O308" s="48"/>
      <c r="P308" s="48"/>
      <c r="Q308" s="48"/>
      <c r="R308" s="48"/>
      <c r="S308" s="48"/>
      <c r="T308" s="48"/>
      <c r="U308" s="48"/>
      <c r="V308" s="48"/>
      <c r="W308" s="48"/>
      <c r="X308" s="48"/>
    </row>
    <row r="309" ht="15.75" customHeight="1">
      <c r="A309" s="56"/>
      <c r="B309" s="48"/>
      <c r="C309" s="48"/>
      <c r="D309" s="27"/>
      <c r="E309" s="27"/>
      <c r="F309" s="48"/>
      <c r="G309" s="48"/>
      <c r="H309" s="48"/>
      <c r="I309" s="48"/>
      <c r="J309" s="48"/>
      <c r="K309" s="48"/>
      <c r="L309" s="48"/>
      <c r="M309" s="48"/>
      <c r="N309" s="48"/>
      <c r="O309" s="48"/>
      <c r="P309" s="48"/>
      <c r="Q309" s="48"/>
      <c r="R309" s="48"/>
      <c r="S309" s="48"/>
      <c r="T309" s="48"/>
      <c r="U309" s="48"/>
      <c r="V309" s="48"/>
      <c r="W309" s="48"/>
      <c r="X309" s="48"/>
    </row>
    <row r="310" ht="15.75" customHeight="1">
      <c r="A310" s="56"/>
      <c r="B310" s="48"/>
      <c r="C310" s="48"/>
      <c r="D310" s="27"/>
      <c r="E310" s="27"/>
      <c r="F310" s="48"/>
      <c r="G310" s="48"/>
      <c r="H310" s="48"/>
      <c r="I310" s="48"/>
      <c r="J310" s="48"/>
      <c r="K310" s="48"/>
      <c r="L310" s="48"/>
      <c r="M310" s="48"/>
      <c r="N310" s="48"/>
      <c r="O310" s="48"/>
      <c r="P310" s="48"/>
      <c r="Q310" s="48"/>
      <c r="R310" s="48"/>
      <c r="S310" s="48"/>
      <c r="T310" s="48"/>
      <c r="U310" s="48"/>
      <c r="V310" s="48"/>
      <c r="W310" s="48"/>
      <c r="X310" s="48"/>
    </row>
    <row r="311" ht="15.75" customHeight="1">
      <c r="A311" s="56"/>
      <c r="B311" s="48"/>
      <c r="C311" s="48"/>
      <c r="D311" s="27"/>
      <c r="E311" s="27"/>
      <c r="F311" s="48"/>
      <c r="G311" s="48"/>
      <c r="H311" s="48"/>
      <c r="I311" s="48"/>
      <c r="J311" s="48"/>
      <c r="K311" s="48"/>
      <c r="L311" s="48"/>
      <c r="M311" s="48"/>
      <c r="N311" s="48"/>
      <c r="O311" s="48"/>
      <c r="P311" s="48"/>
      <c r="Q311" s="48"/>
      <c r="R311" s="48"/>
      <c r="S311" s="48"/>
      <c r="T311" s="48"/>
      <c r="U311" s="48"/>
      <c r="V311" s="48"/>
      <c r="W311" s="48"/>
      <c r="X311" s="48"/>
    </row>
    <row r="312" ht="15.75" customHeight="1">
      <c r="A312" s="56"/>
      <c r="B312" s="48"/>
      <c r="C312" s="48"/>
      <c r="D312" s="27"/>
      <c r="E312" s="27"/>
      <c r="F312" s="48"/>
      <c r="G312" s="48"/>
      <c r="H312" s="48"/>
      <c r="I312" s="48"/>
      <c r="J312" s="48"/>
      <c r="K312" s="48"/>
      <c r="L312" s="48"/>
      <c r="M312" s="48"/>
      <c r="N312" s="48"/>
      <c r="O312" s="48"/>
      <c r="P312" s="48"/>
      <c r="Q312" s="48"/>
      <c r="R312" s="48"/>
      <c r="S312" s="48"/>
      <c r="T312" s="48"/>
      <c r="U312" s="48"/>
      <c r="V312" s="48"/>
      <c r="W312" s="48"/>
      <c r="X312" s="48"/>
    </row>
    <row r="313" ht="15.75" customHeight="1">
      <c r="A313" s="56"/>
      <c r="B313" s="48"/>
      <c r="C313" s="48"/>
      <c r="D313" s="27"/>
      <c r="E313" s="27"/>
      <c r="F313" s="48"/>
      <c r="G313" s="48"/>
      <c r="H313" s="48"/>
      <c r="I313" s="48"/>
      <c r="J313" s="48"/>
      <c r="K313" s="48"/>
      <c r="L313" s="48"/>
      <c r="M313" s="48"/>
      <c r="N313" s="48"/>
      <c r="O313" s="48"/>
      <c r="P313" s="48"/>
      <c r="Q313" s="48"/>
      <c r="R313" s="48"/>
      <c r="S313" s="48"/>
      <c r="T313" s="48"/>
      <c r="U313" s="48"/>
      <c r="V313" s="48"/>
      <c r="W313" s="48"/>
      <c r="X313" s="48"/>
    </row>
    <row r="314" ht="15.75" customHeight="1">
      <c r="A314" s="56"/>
      <c r="B314" s="48"/>
      <c r="C314" s="48"/>
      <c r="D314" s="27"/>
      <c r="E314" s="27"/>
      <c r="F314" s="48"/>
      <c r="G314" s="48"/>
      <c r="H314" s="48"/>
      <c r="I314" s="48"/>
      <c r="J314" s="48"/>
      <c r="K314" s="48"/>
      <c r="L314" s="48"/>
      <c r="M314" s="48"/>
      <c r="N314" s="48"/>
      <c r="O314" s="48"/>
      <c r="P314" s="48"/>
      <c r="Q314" s="48"/>
      <c r="R314" s="48"/>
      <c r="S314" s="48"/>
      <c r="T314" s="48"/>
      <c r="U314" s="48"/>
      <c r="V314" s="48"/>
      <c r="W314" s="48"/>
      <c r="X314" s="48"/>
    </row>
    <row r="315" ht="15.75" customHeight="1">
      <c r="A315" s="56"/>
      <c r="B315" s="48"/>
      <c r="C315" s="48"/>
      <c r="D315" s="27"/>
      <c r="E315" s="27"/>
      <c r="F315" s="48"/>
      <c r="G315" s="48"/>
      <c r="H315" s="48"/>
      <c r="I315" s="48"/>
      <c r="J315" s="48"/>
      <c r="K315" s="48"/>
      <c r="L315" s="48"/>
      <c r="M315" s="48"/>
      <c r="N315" s="48"/>
      <c r="O315" s="48"/>
      <c r="P315" s="48"/>
      <c r="Q315" s="48"/>
      <c r="R315" s="48"/>
      <c r="S315" s="48"/>
      <c r="T315" s="48"/>
      <c r="U315" s="48"/>
      <c r="V315" s="48"/>
      <c r="W315" s="48"/>
      <c r="X315" s="48"/>
    </row>
    <row r="316" ht="15.75" customHeight="1">
      <c r="A316" s="56"/>
      <c r="B316" s="48"/>
      <c r="C316" s="48"/>
      <c r="D316" s="27"/>
      <c r="E316" s="27"/>
      <c r="F316" s="48"/>
      <c r="G316" s="48"/>
      <c r="H316" s="48"/>
      <c r="I316" s="48"/>
      <c r="J316" s="48"/>
      <c r="K316" s="48"/>
      <c r="L316" s="48"/>
      <c r="M316" s="48"/>
      <c r="N316" s="48"/>
      <c r="O316" s="48"/>
      <c r="P316" s="48"/>
      <c r="Q316" s="48"/>
      <c r="R316" s="48"/>
      <c r="S316" s="48"/>
      <c r="T316" s="48"/>
      <c r="U316" s="48"/>
      <c r="V316" s="48"/>
      <c r="W316" s="48"/>
      <c r="X316" s="48"/>
    </row>
    <row r="317" ht="15.75" customHeight="1">
      <c r="A317" s="56"/>
      <c r="B317" s="48"/>
      <c r="C317" s="48"/>
      <c r="D317" s="27"/>
      <c r="E317" s="27"/>
      <c r="F317" s="48"/>
      <c r="G317" s="48"/>
      <c r="H317" s="48"/>
      <c r="I317" s="48"/>
      <c r="J317" s="48"/>
      <c r="K317" s="48"/>
      <c r="L317" s="48"/>
      <c r="M317" s="48"/>
      <c r="N317" s="48"/>
      <c r="O317" s="48"/>
      <c r="P317" s="48"/>
      <c r="Q317" s="48"/>
      <c r="R317" s="48"/>
      <c r="S317" s="48"/>
      <c r="T317" s="48"/>
      <c r="U317" s="48"/>
      <c r="V317" s="48"/>
      <c r="W317" s="48"/>
      <c r="X317" s="48"/>
    </row>
    <row r="318" ht="15.75" customHeight="1">
      <c r="A318" s="56"/>
      <c r="B318" s="48"/>
      <c r="C318" s="48"/>
      <c r="D318" s="27"/>
      <c r="E318" s="27"/>
      <c r="F318" s="48"/>
      <c r="G318" s="48"/>
      <c r="H318" s="48"/>
      <c r="I318" s="48"/>
      <c r="J318" s="48"/>
      <c r="K318" s="48"/>
      <c r="L318" s="48"/>
      <c r="M318" s="48"/>
      <c r="N318" s="48"/>
      <c r="O318" s="48"/>
      <c r="P318" s="48"/>
      <c r="Q318" s="48"/>
      <c r="R318" s="48"/>
      <c r="S318" s="48"/>
      <c r="T318" s="48"/>
      <c r="U318" s="48"/>
      <c r="V318" s="48"/>
      <c r="W318" s="48"/>
      <c r="X318" s="48"/>
    </row>
    <row r="319" ht="15.75" customHeight="1">
      <c r="A319" s="56"/>
      <c r="B319" s="48"/>
      <c r="C319" s="48"/>
      <c r="D319" s="27"/>
      <c r="E319" s="27"/>
      <c r="F319" s="48"/>
      <c r="G319" s="48"/>
      <c r="H319" s="48"/>
      <c r="I319" s="48"/>
      <c r="J319" s="48"/>
      <c r="K319" s="48"/>
      <c r="L319" s="48"/>
      <c r="M319" s="48"/>
      <c r="N319" s="48"/>
      <c r="O319" s="48"/>
      <c r="P319" s="48"/>
      <c r="Q319" s="48"/>
      <c r="R319" s="48"/>
      <c r="S319" s="48"/>
      <c r="T319" s="48"/>
      <c r="U319" s="48"/>
      <c r="V319" s="48"/>
      <c r="W319" s="48"/>
      <c r="X319" s="48"/>
    </row>
    <row r="320" ht="15.75" customHeight="1">
      <c r="A320" s="56"/>
      <c r="B320" s="48"/>
      <c r="C320" s="48"/>
      <c r="D320" s="27"/>
      <c r="E320" s="27"/>
      <c r="F320" s="48"/>
      <c r="G320" s="48"/>
      <c r="H320" s="48"/>
      <c r="I320" s="48"/>
      <c r="J320" s="48"/>
      <c r="K320" s="48"/>
      <c r="L320" s="48"/>
      <c r="M320" s="48"/>
      <c r="N320" s="48"/>
      <c r="O320" s="48"/>
      <c r="P320" s="48"/>
      <c r="Q320" s="48"/>
      <c r="R320" s="48"/>
      <c r="S320" s="48"/>
      <c r="T320" s="48"/>
      <c r="U320" s="48"/>
      <c r="V320" s="48"/>
      <c r="W320" s="48"/>
      <c r="X320" s="48"/>
    </row>
    <row r="321" ht="15.75" customHeight="1">
      <c r="A321" s="56"/>
      <c r="B321" s="48"/>
      <c r="C321" s="48"/>
      <c r="D321" s="27"/>
      <c r="E321" s="27"/>
      <c r="F321" s="48"/>
      <c r="G321" s="48"/>
      <c r="H321" s="48"/>
      <c r="I321" s="48"/>
      <c r="J321" s="48"/>
      <c r="K321" s="48"/>
      <c r="L321" s="48"/>
      <c r="M321" s="48"/>
      <c r="N321" s="48"/>
      <c r="O321" s="48"/>
      <c r="P321" s="48"/>
      <c r="Q321" s="48"/>
      <c r="R321" s="48"/>
      <c r="S321" s="48"/>
      <c r="T321" s="48"/>
      <c r="U321" s="48"/>
      <c r="V321" s="48"/>
      <c r="W321" s="48"/>
      <c r="X321" s="48"/>
    </row>
    <row r="322" ht="15.75" customHeight="1">
      <c r="A322" s="56"/>
      <c r="B322" s="48"/>
      <c r="C322" s="48"/>
      <c r="D322" s="27"/>
      <c r="E322" s="27"/>
      <c r="F322" s="48"/>
      <c r="G322" s="48"/>
      <c r="H322" s="48"/>
      <c r="I322" s="48"/>
      <c r="J322" s="48"/>
      <c r="K322" s="48"/>
      <c r="L322" s="48"/>
      <c r="M322" s="48"/>
      <c r="N322" s="48"/>
      <c r="O322" s="48"/>
      <c r="P322" s="48"/>
      <c r="Q322" s="48"/>
      <c r="R322" s="48"/>
      <c r="S322" s="48"/>
      <c r="T322" s="48"/>
      <c r="U322" s="48"/>
      <c r="V322" s="48"/>
      <c r="W322" s="48"/>
      <c r="X322" s="48"/>
    </row>
    <row r="323" ht="15.75" customHeight="1">
      <c r="A323" s="56"/>
      <c r="B323" s="48"/>
      <c r="C323" s="48"/>
      <c r="D323" s="27"/>
      <c r="E323" s="27"/>
      <c r="F323" s="48"/>
      <c r="G323" s="48"/>
      <c r="H323" s="48"/>
      <c r="I323" s="48"/>
      <c r="J323" s="48"/>
      <c r="K323" s="48"/>
      <c r="L323" s="48"/>
      <c r="M323" s="48"/>
      <c r="N323" s="48"/>
      <c r="O323" s="48"/>
      <c r="P323" s="48"/>
      <c r="Q323" s="48"/>
      <c r="R323" s="48"/>
      <c r="S323" s="48"/>
      <c r="T323" s="48"/>
      <c r="U323" s="48"/>
      <c r="V323" s="48"/>
      <c r="W323" s="48"/>
      <c r="X323" s="48"/>
    </row>
    <row r="324" ht="15.75" customHeight="1">
      <c r="A324" s="56"/>
      <c r="B324" s="48"/>
      <c r="C324" s="48"/>
      <c r="D324" s="27"/>
      <c r="E324" s="27"/>
      <c r="F324" s="48"/>
      <c r="G324" s="48"/>
      <c r="H324" s="48"/>
      <c r="I324" s="48"/>
      <c r="J324" s="48"/>
      <c r="K324" s="48"/>
      <c r="L324" s="48"/>
      <c r="M324" s="48"/>
      <c r="N324" s="48"/>
      <c r="O324" s="48"/>
      <c r="P324" s="48"/>
      <c r="Q324" s="48"/>
      <c r="R324" s="48"/>
      <c r="S324" s="48"/>
      <c r="T324" s="48"/>
      <c r="U324" s="48"/>
      <c r="V324" s="48"/>
      <c r="W324" s="48"/>
      <c r="X324" s="48"/>
    </row>
    <row r="325" ht="15.75" customHeight="1">
      <c r="A325" s="56"/>
      <c r="B325" s="48"/>
      <c r="C325" s="48"/>
      <c r="D325" s="27"/>
      <c r="E325" s="27"/>
      <c r="F325" s="48"/>
      <c r="G325" s="48"/>
      <c r="H325" s="48"/>
      <c r="I325" s="48"/>
      <c r="J325" s="48"/>
      <c r="K325" s="48"/>
      <c r="L325" s="48"/>
      <c r="M325" s="48"/>
      <c r="N325" s="48"/>
      <c r="O325" s="48"/>
      <c r="P325" s="48"/>
      <c r="Q325" s="48"/>
      <c r="R325" s="48"/>
      <c r="S325" s="48"/>
      <c r="T325" s="48"/>
      <c r="U325" s="48"/>
      <c r="V325" s="48"/>
      <c r="W325" s="48"/>
      <c r="X325" s="48"/>
    </row>
    <row r="326" ht="15.75" customHeight="1">
      <c r="A326" s="56"/>
      <c r="B326" s="48"/>
      <c r="C326" s="48"/>
      <c r="D326" s="27"/>
      <c r="E326" s="27"/>
      <c r="F326" s="48"/>
      <c r="G326" s="48"/>
      <c r="H326" s="48"/>
      <c r="I326" s="48"/>
      <c r="J326" s="48"/>
      <c r="K326" s="48"/>
      <c r="L326" s="48"/>
      <c r="M326" s="48"/>
      <c r="N326" s="48"/>
      <c r="O326" s="48"/>
      <c r="P326" s="48"/>
      <c r="Q326" s="48"/>
      <c r="R326" s="48"/>
      <c r="S326" s="48"/>
      <c r="T326" s="48"/>
      <c r="U326" s="48"/>
      <c r="V326" s="48"/>
      <c r="W326" s="48"/>
      <c r="X326" s="48"/>
    </row>
    <row r="327" ht="15.75" customHeight="1">
      <c r="A327" s="56"/>
      <c r="B327" s="48"/>
      <c r="C327" s="48"/>
      <c r="D327" s="27"/>
      <c r="E327" s="27"/>
      <c r="F327" s="48"/>
      <c r="G327" s="48"/>
      <c r="H327" s="48"/>
      <c r="I327" s="48"/>
      <c r="J327" s="48"/>
      <c r="K327" s="48"/>
      <c r="L327" s="48"/>
      <c r="M327" s="48"/>
      <c r="N327" s="48"/>
      <c r="O327" s="48"/>
      <c r="P327" s="48"/>
      <c r="Q327" s="48"/>
      <c r="R327" s="48"/>
      <c r="S327" s="48"/>
      <c r="T327" s="48"/>
      <c r="U327" s="48"/>
      <c r="V327" s="48"/>
      <c r="W327" s="48"/>
      <c r="X327" s="48"/>
    </row>
    <row r="328" ht="15.75" customHeight="1">
      <c r="A328" s="56"/>
      <c r="B328" s="48"/>
      <c r="C328" s="48"/>
      <c r="D328" s="27"/>
      <c r="E328" s="27"/>
      <c r="F328" s="48"/>
      <c r="G328" s="48"/>
      <c r="H328" s="48"/>
      <c r="I328" s="48"/>
      <c r="J328" s="48"/>
      <c r="K328" s="48"/>
      <c r="L328" s="48"/>
      <c r="M328" s="48"/>
      <c r="N328" s="48"/>
      <c r="O328" s="48"/>
      <c r="P328" s="48"/>
      <c r="Q328" s="48"/>
      <c r="R328" s="48"/>
      <c r="S328" s="48"/>
      <c r="T328" s="48"/>
      <c r="U328" s="48"/>
      <c r="V328" s="48"/>
      <c r="W328" s="48"/>
      <c r="X328" s="48"/>
    </row>
    <row r="329" ht="15.75" customHeight="1">
      <c r="A329" s="56"/>
      <c r="B329" s="48"/>
      <c r="C329" s="48"/>
      <c r="D329" s="27"/>
      <c r="E329" s="27"/>
      <c r="F329" s="48"/>
      <c r="G329" s="48"/>
      <c r="H329" s="48"/>
      <c r="I329" s="48"/>
      <c r="J329" s="48"/>
      <c r="K329" s="48"/>
      <c r="L329" s="48"/>
      <c r="M329" s="48"/>
      <c r="N329" s="48"/>
      <c r="O329" s="48"/>
      <c r="P329" s="48"/>
      <c r="Q329" s="48"/>
      <c r="R329" s="48"/>
      <c r="S329" s="48"/>
      <c r="T329" s="48"/>
      <c r="U329" s="48"/>
      <c r="V329" s="48"/>
      <c r="W329" s="48"/>
      <c r="X329" s="48"/>
    </row>
    <row r="330" ht="15.75" customHeight="1">
      <c r="A330" s="56"/>
      <c r="B330" s="48"/>
      <c r="C330" s="48"/>
      <c r="D330" s="27"/>
      <c r="E330" s="27"/>
      <c r="F330" s="48"/>
      <c r="G330" s="48"/>
      <c r="H330" s="48"/>
      <c r="I330" s="48"/>
      <c r="J330" s="48"/>
      <c r="K330" s="48"/>
      <c r="L330" s="48"/>
      <c r="M330" s="48"/>
      <c r="N330" s="48"/>
      <c r="O330" s="48"/>
      <c r="P330" s="48"/>
      <c r="Q330" s="48"/>
      <c r="R330" s="48"/>
      <c r="S330" s="48"/>
      <c r="T330" s="48"/>
      <c r="U330" s="48"/>
      <c r="V330" s="48"/>
      <c r="W330" s="48"/>
      <c r="X330" s="48"/>
    </row>
    <row r="331" ht="15.75" customHeight="1">
      <c r="A331" s="56"/>
      <c r="B331" s="48"/>
      <c r="C331" s="48"/>
      <c r="D331" s="27"/>
      <c r="E331" s="27"/>
      <c r="F331" s="48"/>
      <c r="G331" s="48"/>
      <c r="H331" s="48"/>
      <c r="I331" s="48"/>
      <c r="J331" s="48"/>
      <c r="K331" s="48"/>
      <c r="L331" s="48"/>
      <c r="M331" s="48"/>
      <c r="N331" s="48"/>
      <c r="O331" s="48"/>
      <c r="P331" s="48"/>
      <c r="Q331" s="48"/>
      <c r="R331" s="48"/>
      <c r="S331" s="48"/>
      <c r="T331" s="48"/>
      <c r="U331" s="48"/>
      <c r="V331" s="48"/>
      <c r="W331" s="48"/>
      <c r="X331" s="48"/>
    </row>
    <row r="332" ht="15.75" customHeight="1">
      <c r="A332" s="56"/>
      <c r="B332" s="48"/>
      <c r="C332" s="48"/>
      <c r="D332" s="27"/>
      <c r="E332" s="27"/>
      <c r="F332" s="48"/>
      <c r="G332" s="48"/>
      <c r="H332" s="48"/>
      <c r="I332" s="48"/>
      <c r="J332" s="48"/>
      <c r="K332" s="48"/>
      <c r="L332" s="48"/>
      <c r="M332" s="48"/>
      <c r="N332" s="48"/>
      <c r="O332" s="48"/>
      <c r="P332" s="48"/>
      <c r="Q332" s="48"/>
      <c r="R332" s="48"/>
      <c r="S332" s="48"/>
      <c r="T332" s="48"/>
      <c r="U332" s="48"/>
      <c r="V332" s="48"/>
      <c r="W332" s="48"/>
      <c r="X332" s="48"/>
    </row>
    <row r="333" ht="15.75" customHeight="1">
      <c r="A333" s="56"/>
      <c r="B333" s="48"/>
      <c r="C333" s="48"/>
      <c r="D333" s="27"/>
      <c r="E333" s="27"/>
      <c r="F333" s="48"/>
      <c r="G333" s="48"/>
      <c r="H333" s="48"/>
      <c r="I333" s="48"/>
      <c r="J333" s="48"/>
      <c r="K333" s="48"/>
      <c r="L333" s="48"/>
      <c r="M333" s="48"/>
      <c r="N333" s="48"/>
      <c r="O333" s="48"/>
      <c r="P333" s="48"/>
      <c r="Q333" s="48"/>
      <c r="R333" s="48"/>
      <c r="S333" s="48"/>
      <c r="T333" s="48"/>
      <c r="U333" s="48"/>
      <c r="V333" s="48"/>
      <c r="W333" s="48"/>
      <c r="X333" s="48"/>
    </row>
    <row r="334" ht="15.75" customHeight="1">
      <c r="A334" s="56"/>
      <c r="B334" s="48"/>
      <c r="C334" s="48"/>
      <c r="D334" s="27"/>
      <c r="E334" s="27"/>
      <c r="F334" s="48"/>
      <c r="G334" s="48"/>
      <c r="H334" s="48"/>
      <c r="I334" s="48"/>
      <c r="J334" s="48"/>
      <c r="K334" s="48"/>
      <c r="L334" s="48"/>
      <c r="M334" s="48"/>
      <c r="N334" s="48"/>
      <c r="O334" s="48"/>
      <c r="P334" s="48"/>
      <c r="Q334" s="48"/>
      <c r="R334" s="48"/>
      <c r="S334" s="48"/>
      <c r="T334" s="48"/>
      <c r="U334" s="48"/>
      <c r="V334" s="48"/>
      <c r="W334" s="48"/>
      <c r="X334" s="48"/>
    </row>
    <row r="335" ht="15.75" customHeight="1">
      <c r="A335" s="56"/>
      <c r="B335" s="48"/>
      <c r="C335" s="48"/>
      <c r="D335" s="27"/>
      <c r="E335" s="27"/>
      <c r="F335" s="48"/>
      <c r="G335" s="48"/>
      <c r="H335" s="48"/>
      <c r="I335" s="48"/>
      <c r="J335" s="48"/>
      <c r="K335" s="48"/>
      <c r="L335" s="48"/>
      <c r="M335" s="48"/>
      <c r="N335" s="48"/>
      <c r="O335" s="48"/>
      <c r="P335" s="48"/>
      <c r="Q335" s="48"/>
      <c r="R335" s="48"/>
      <c r="S335" s="48"/>
      <c r="T335" s="48"/>
      <c r="U335" s="48"/>
      <c r="V335" s="48"/>
      <c r="W335" s="48"/>
      <c r="X335" s="48"/>
    </row>
    <row r="336" ht="15.75" customHeight="1">
      <c r="A336" s="56"/>
      <c r="B336" s="48"/>
      <c r="C336" s="48"/>
      <c r="D336" s="27"/>
      <c r="E336" s="27"/>
      <c r="F336" s="48"/>
      <c r="G336" s="48"/>
      <c r="H336" s="48"/>
      <c r="I336" s="48"/>
      <c r="J336" s="48"/>
      <c r="K336" s="48"/>
      <c r="L336" s="48"/>
      <c r="M336" s="48"/>
      <c r="N336" s="48"/>
      <c r="O336" s="48"/>
      <c r="P336" s="48"/>
      <c r="Q336" s="48"/>
      <c r="R336" s="48"/>
      <c r="S336" s="48"/>
      <c r="T336" s="48"/>
      <c r="U336" s="48"/>
      <c r="V336" s="48"/>
      <c r="W336" s="48"/>
      <c r="X336" s="48"/>
    </row>
    <row r="337" ht="15.75" customHeight="1">
      <c r="A337" s="56"/>
      <c r="B337" s="48"/>
      <c r="C337" s="48"/>
      <c r="D337" s="27"/>
      <c r="E337" s="27"/>
      <c r="F337" s="48"/>
      <c r="G337" s="48"/>
      <c r="H337" s="48"/>
      <c r="I337" s="48"/>
      <c r="J337" s="48"/>
      <c r="K337" s="48"/>
      <c r="L337" s="48"/>
      <c r="M337" s="48"/>
      <c r="N337" s="48"/>
      <c r="O337" s="48"/>
      <c r="P337" s="48"/>
      <c r="Q337" s="48"/>
      <c r="R337" s="48"/>
      <c r="S337" s="48"/>
      <c r="T337" s="48"/>
      <c r="U337" s="48"/>
      <c r="V337" s="48"/>
      <c r="W337" s="48"/>
      <c r="X337" s="48"/>
    </row>
    <row r="338" ht="15.75" customHeight="1">
      <c r="A338" s="56"/>
      <c r="B338" s="48"/>
      <c r="C338" s="48"/>
      <c r="D338" s="27"/>
      <c r="E338" s="27"/>
      <c r="F338" s="48"/>
      <c r="G338" s="48"/>
      <c r="H338" s="48"/>
      <c r="I338" s="48"/>
      <c r="J338" s="48"/>
      <c r="K338" s="48"/>
      <c r="L338" s="48"/>
      <c r="M338" s="48"/>
      <c r="N338" s="48"/>
      <c r="O338" s="48"/>
      <c r="P338" s="48"/>
      <c r="Q338" s="48"/>
      <c r="R338" s="48"/>
      <c r="S338" s="48"/>
      <c r="T338" s="48"/>
      <c r="U338" s="48"/>
      <c r="V338" s="48"/>
      <c r="W338" s="48"/>
      <c r="X338" s="48"/>
    </row>
    <row r="339" ht="15.75" customHeight="1">
      <c r="A339" s="56"/>
      <c r="B339" s="48"/>
      <c r="C339" s="48"/>
      <c r="D339" s="27"/>
      <c r="E339" s="27"/>
      <c r="F339" s="48"/>
      <c r="G339" s="48"/>
      <c r="H339" s="48"/>
      <c r="I339" s="48"/>
      <c r="J339" s="48"/>
      <c r="K339" s="48"/>
      <c r="L339" s="48"/>
      <c r="M339" s="48"/>
      <c r="N339" s="48"/>
      <c r="O339" s="48"/>
      <c r="P339" s="48"/>
      <c r="Q339" s="48"/>
      <c r="R339" s="48"/>
      <c r="S339" s="48"/>
      <c r="T339" s="48"/>
      <c r="U339" s="48"/>
      <c r="V339" s="48"/>
      <c r="W339" s="48"/>
      <c r="X339" s="48"/>
    </row>
    <row r="340" ht="15.75" customHeight="1">
      <c r="A340" s="56"/>
      <c r="B340" s="48"/>
      <c r="C340" s="48"/>
      <c r="D340" s="27"/>
      <c r="E340" s="27"/>
      <c r="F340" s="48"/>
      <c r="G340" s="48"/>
      <c r="H340" s="48"/>
      <c r="I340" s="48"/>
      <c r="J340" s="48"/>
      <c r="K340" s="48"/>
      <c r="L340" s="48"/>
      <c r="M340" s="48"/>
      <c r="N340" s="48"/>
      <c r="O340" s="48"/>
      <c r="P340" s="48"/>
      <c r="Q340" s="48"/>
      <c r="R340" s="48"/>
      <c r="S340" s="48"/>
      <c r="T340" s="48"/>
      <c r="U340" s="48"/>
      <c r="V340" s="48"/>
      <c r="W340" s="48"/>
      <c r="X340" s="48"/>
    </row>
    <row r="341" ht="15.75" customHeight="1">
      <c r="A341" s="56"/>
      <c r="B341" s="48"/>
      <c r="C341" s="48"/>
      <c r="D341" s="27"/>
      <c r="E341" s="27"/>
      <c r="F341" s="48"/>
      <c r="G341" s="48"/>
      <c r="H341" s="48"/>
      <c r="I341" s="48"/>
      <c r="J341" s="48"/>
      <c r="K341" s="48"/>
      <c r="L341" s="48"/>
      <c r="M341" s="48"/>
      <c r="N341" s="48"/>
      <c r="O341" s="48"/>
      <c r="P341" s="48"/>
      <c r="Q341" s="48"/>
      <c r="R341" s="48"/>
      <c r="S341" s="48"/>
      <c r="T341" s="48"/>
      <c r="U341" s="48"/>
      <c r="V341" s="48"/>
      <c r="W341" s="48"/>
      <c r="X341" s="48"/>
    </row>
    <row r="342" ht="15.75" customHeight="1">
      <c r="A342" s="56"/>
      <c r="B342" s="48"/>
      <c r="C342" s="48"/>
      <c r="D342" s="27"/>
      <c r="E342" s="27"/>
      <c r="F342" s="48"/>
      <c r="G342" s="48"/>
      <c r="H342" s="48"/>
      <c r="I342" s="48"/>
      <c r="J342" s="48"/>
      <c r="K342" s="48"/>
      <c r="L342" s="48"/>
      <c r="M342" s="48"/>
      <c r="N342" s="48"/>
      <c r="O342" s="48"/>
      <c r="P342" s="48"/>
      <c r="Q342" s="48"/>
      <c r="R342" s="48"/>
      <c r="S342" s="48"/>
      <c r="T342" s="48"/>
      <c r="U342" s="48"/>
      <c r="V342" s="48"/>
      <c r="W342" s="48"/>
      <c r="X342" s="48"/>
    </row>
    <row r="343" ht="15.75" customHeight="1">
      <c r="A343" s="56"/>
      <c r="B343" s="48"/>
      <c r="C343" s="48"/>
      <c r="D343" s="27"/>
      <c r="E343" s="27"/>
      <c r="F343" s="48"/>
      <c r="G343" s="48"/>
      <c r="H343" s="48"/>
      <c r="I343" s="48"/>
      <c r="J343" s="48"/>
      <c r="K343" s="48"/>
      <c r="L343" s="48"/>
      <c r="M343" s="48"/>
      <c r="N343" s="48"/>
      <c r="O343" s="48"/>
      <c r="P343" s="48"/>
      <c r="Q343" s="48"/>
      <c r="R343" s="48"/>
      <c r="S343" s="48"/>
      <c r="T343" s="48"/>
      <c r="U343" s="48"/>
      <c r="V343" s="48"/>
      <c r="W343" s="48"/>
      <c r="X343" s="48"/>
    </row>
    <row r="344" ht="15.75" customHeight="1">
      <c r="A344" s="56"/>
      <c r="B344" s="48"/>
      <c r="C344" s="48"/>
      <c r="D344" s="27"/>
      <c r="E344" s="27"/>
      <c r="F344" s="48"/>
      <c r="G344" s="48"/>
      <c r="H344" s="48"/>
      <c r="I344" s="48"/>
      <c r="J344" s="48"/>
      <c r="K344" s="48"/>
      <c r="L344" s="48"/>
      <c r="M344" s="48"/>
      <c r="N344" s="48"/>
      <c r="O344" s="48"/>
      <c r="P344" s="48"/>
      <c r="Q344" s="48"/>
      <c r="R344" s="48"/>
      <c r="S344" s="48"/>
      <c r="T344" s="48"/>
      <c r="U344" s="48"/>
      <c r="V344" s="48"/>
      <c r="W344" s="48"/>
      <c r="X344" s="48"/>
    </row>
    <row r="345" ht="15.75" customHeight="1">
      <c r="A345" s="56"/>
      <c r="B345" s="48"/>
      <c r="C345" s="48"/>
      <c r="D345" s="27"/>
      <c r="E345" s="27"/>
      <c r="F345" s="48"/>
      <c r="G345" s="48"/>
      <c r="H345" s="48"/>
      <c r="I345" s="48"/>
      <c r="J345" s="48"/>
      <c r="K345" s="48"/>
      <c r="L345" s="48"/>
      <c r="M345" s="48"/>
      <c r="N345" s="48"/>
      <c r="O345" s="48"/>
      <c r="P345" s="48"/>
      <c r="Q345" s="48"/>
      <c r="R345" s="48"/>
      <c r="S345" s="48"/>
      <c r="T345" s="48"/>
      <c r="U345" s="48"/>
      <c r="V345" s="48"/>
      <c r="W345" s="48"/>
      <c r="X345" s="48"/>
    </row>
    <row r="346" ht="15.75" customHeight="1">
      <c r="A346" s="56"/>
      <c r="B346" s="48"/>
      <c r="C346" s="48"/>
      <c r="D346" s="27"/>
      <c r="E346" s="27"/>
      <c r="F346" s="48"/>
      <c r="G346" s="48"/>
      <c r="H346" s="48"/>
      <c r="I346" s="48"/>
      <c r="J346" s="48"/>
      <c r="K346" s="48"/>
      <c r="L346" s="48"/>
      <c r="M346" s="48"/>
      <c r="N346" s="48"/>
      <c r="O346" s="48"/>
      <c r="P346" s="48"/>
      <c r="Q346" s="48"/>
      <c r="R346" s="48"/>
      <c r="S346" s="48"/>
      <c r="T346" s="48"/>
      <c r="U346" s="48"/>
      <c r="V346" s="48"/>
      <c r="W346" s="48"/>
      <c r="X346" s="48"/>
    </row>
    <row r="347" ht="15.75" customHeight="1">
      <c r="A347" s="56"/>
      <c r="B347" s="48"/>
      <c r="C347" s="48"/>
      <c r="D347" s="27"/>
      <c r="E347" s="27"/>
      <c r="F347" s="48"/>
      <c r="G347" s="48"/>
      <c r="H347" s="48"/>
      <c r="I347" s="48"/>
      <c r="J347" s="48"/>
      <c r="K347" s="48"/>
      <c r="L347" s="48"/>
      <c r="M347" s="48"/>
      <c r="N347" s="48"/>
      <c r="O347" s="48"/>
      <c r="P347" s="48"/>
      <c r="Q347" s="48"/>
      <c r="R347" s="48"/>
      <c r="S347" s="48"/>
      <c r="T347" s="48"/>
      <c r="U347" s="48"/>
      <c r="V347" s="48"/>
      <c r="W347" s="48"/>
      <c r="X347" s="48"/>
    </row>
    <row r="348" ht="15.75" customHeight="1">
      <c r="A348" s="56"/>
      <c r="B348" s="48"/>
      <c r="C348" s="48"/>
      <c r="D348" s="27"/>
      <c r="E348" s="27"/>
      <c r="F348" s="48"/>
      <c r="G348" s="48"/>
      <c r="H348" s="48"/>
      <c r="I348" s="48"/>
      <c r="J348" s="48"/>
      <c r="K348" s="48"/>
      <c r="L348" s="48"/>
      <c r="M348" s="48"/>
      <c r="N348" s="48"/>
      <c r="O348" s="48"/>
      <c r="P348" s="48"/>
      <c r="Q348" s="48"/>
      <c r="R348" s="48"/>
      <c r="S348" s="48"/>
      <c r="T348" s="48"/>
      <c r="U348" s="48"/>
      <c r="V348" s="48"/>
      <c r="W348" s="48"/>
      <c r="X348" s="48"/>
    </row>
    <row r="349" ht="15.75" customHeight="1">
      <c r="A349" s="56"/>
      <c r="B349" s="48"/>
      <c r="C349" s="48"/>
      <c r="D349" s="27"/>
      <c r="E349" s="27"/>
      <c r="F349" s="48"/>
      <c r="G349" s="48"/>
      <c r="H349" s="48"/>
      <c r="I349" s="48"/>
      <c r="J349" s="48"/>
      <c r="K349" s="48"/>
      <c r="L349" s="48"/>
      <c r="M349" s="48"/>
      <c r="N349" s="48"/>
      <c r="O349" s="48"/>
      <c r="P349" s="48"/>
      <c r="Q349" s="48"/>
      <c r="R349" s="48"/>
      <c r="S349" s="48"/>
      <c r="T349" s="48"/>
      <c r="U349" s="48"/>
      <c r="V349" s="48"/>
      <c r="W349" s="48"/>
      <c r="X349" s="48"/>
    </row>
    <row r="350" ht="15.75" customHeight="1">
      <c r="A350" s="56"/>
      <c r="B350" s="48"/>
      <c r="C350" s="48"/>
      <c r="D350" s="27"/>
      <c r="E350" s="27"/>
      <c r="F350" s="48"/>
      <c r="G350" s="48"/>
      <c r="H350" s="48"/>
      <c r="I350" s="48"/>
      <c r="J350" s="48"/>
      <c r="K350" s="48"/>
      <c r="L350" s="48"/>
      <c r="M350" s="48"/>
      <c r="N350" s="48"/>
      <c r="O350" s="48"/>
      <c r="P350" s="48"/>
      <c r="Q350" s="48"/>
      <c r="R350" s="48"/>
      <c r="S350" s="48"/>
      <c r="T350" s="48"/>
      <c r="U350" s="48"/>
      <c r="V350" s="48"/>
      <c r="W350" s="48"/>
      <c r="X350" s="48"/>
    </row>
    <row r="351" ht="15.75" customHeight="1">
      <c r="A351" s="56"/>
      <c r="B351" s="48"/>
      <c r="C351" s="48"/>
      <c r="D351" s="27"/>
      <c r="E351" s="27"/>
      <c r="F351" s="48"/>
      <c r="G351" s="48"/>
      <c r="H351" s="48"/>
      <c r="I351" s="48"/>
      <c r="J351" s="48"/>
      <c r="K351" s="48"/>
      <c r="L351" s="48"/>
      <c r="M351" s="48"/>
      <c r="N351" s="48"/>
      <c r="O351" s="48"/>
      <c r="P351" s="48"/>
      <c r="Q351" s="48"/>
      <c r="R351" s="48"/>
      <c r="S351" s="48"/>
      <c r="T351" s="48"/>
      <c r="U351" s="48"/>
      <c r="V351" s="48"/>
      <c r="W351" s="48"/>
      <c r="X351" s="48"/>
    </row>
    <row r="352" ht="15.75" customHeight="1">
      <c r="A352" s="56"/>
      <c r="B352" s="48"/>
      <c r="C352" s="48"/>
      <c r="D352" s="27"/>
      <c r="E352" s="27"/>
      <c r="F352" s="48"/>
      <c r="G352" s="48"/>
      <c r="H352" s="48"/>
      <c r="I352" s="48"/>
      <c r="J352" s="48"/>
      <c r="K352" s="48"/>
      <c r="L352" s="48"/>
      <c r="M352" s="48"/>
      <c r="N352" s="48"/>
      <c r="O352" s="48"/>
      <c r="P352" s="48"/>
      <c r="Q352" s="48"/>
      <c r="R352" s="48"/>
      <c r="S352" s="48"/>
      <c r="T352" s="48"/>
      <c r="U352" s="48"/>
      <c r="V352" s="48"/>
      <c r="W352" s="48"/>
      <c r="X352" s="48"/>
    </row>
    <row r="353" ht="15.75" customHeight="1">
      <c r="A353" s="56"/>
      <c r="B353" s="48"/>
      <c r="C353" s="48"/>
      <c r="D353" s="27"/>
      <c r="E353" s="27"/>
      <c r="F353" s="48"/>
      <c r="G353" s="48"/>
      <c r="H353" s="48"/>
      <c r="I353" s="48"/>
      <c r="J353" s="48"/>
      <c r="K353" s="48"/>
      <c r="L353" s="48"/>
      <c r="M353" s="48"/>
      <c r="N353" s="48"/>
      <c r="O353" s="48"/>
      <c r="P353" s="48"/>
      <c r="Q353" s="48"/>
      <c r="R353" s="48"/>
      <c r="S353" s="48"/>
      <c r="T353" s="48"/>
      <c r="U353" s="48"/>
      <c r="V353" s="48"/>
      <c r="W353" s="48"/>
      <c r="X353" s="48"/>
    </row>
    <row r="354" ht="15.75" customHeight="1">
      <c r="A354" s="56"/>
      <c r="B354" s="48"/>
      <c r="C354" s="48"/>
      <c r="D354" s="27"/>
      <c r="E354" s="27"/>
      <c r="F354" s="48"/>
      <c r="G354" s="48"/>
      <c r="H354" s="48"/>
      <c r="I354" s="48"/>
      <c r="J354" s="48"/>
      <c r="K354" s="48"/>
      <c r="L354" s="48"/>
      <c r="M354" s="48"/>
      <c r="N354" s="48"/>
      <c r="O354" s="48"/>
      <c r="P354" s="48"/>
      <c r="Q354" s="48"/>
      <c r="R354" s="48"/>
      <c r="S354" s="48"/>
      <c r="T354" s="48"/>
      <c r="U354" s="48"/>
      <c r="V354" s="48"/>
      <c r="W354" s="48"/>
      <c r="X354" s="48"/>
    </row>
    <row r="355" ht="15.75" customHeight="1">
      <c r="A355" s="56"/>
      <c r="B355" s="48"/>
      <c r="C355" s="48"/>
      <c r="D355" s="27"/>
      <c r="E355" s="27"/>
      <c r="F355" s="48"/>
      <c r="G355" s="48"/>
      <c r="H355" s="48"/>
      <c r="I355" s="48"/>
      <c r="J355" s="48"/>
      <c r="K355" s="48"/>
      <c r="L355" s="48"/>
      <c r="M355" s="48"/>
      <c r="N355" s="48"/>
      <c r="O355" s="48"/>
      <c r="P355" s="48"/>
      <c r="Q355" s="48"/>
      <c r="R355" s="48"/>
      <c r="S355" s="48"/>
      <c r="T355" s="48"/>
      <c r="U355" s="48"/>
      <c r="V355" s="48"/>
      <c r="W355" s="48"/>
      <c r="X355" s="48"/>
    </row>
    <row r="356" ht="15.75" customHeight="1">
      <c r="A356" s="56"/>
      <c r="B356" s="48"/>
      <c r="C356" s="48"/>
      <c r="D356" s="27"/>
      <c r="E356" s="27"/>
      <c r="F356" s="48"/>
      <c r="G356" s="48"/>
      <c r="H356" s="48"/>
      <c r="I356" s="48"/>
      <c r="J356" s="48"/>
      <c r="K356" s="48"/>
      <c r="L356" s="48"/>
      <c r="M356" s="48"/>
      <c r="N356" s="48"/>
      <c r="O356" s="48"/>
      <c r="P356" s="48"/>
      <c r="Q356" s="48"/>
      <c r="R356" s="48"/>
      <c r="S356" s="48"/>
      <c r="T356" s="48"/>
      <c r="U356" s="48"/>
      <c r="V356" s="48"/>
      <c r="W356" s="48"/>
      <c r="X356" s="48"/>
    </row>
    <row r="357" ht="15.75" customHeight="1">
      <c r="A357" s="56"/>
      <c r="B357" s="48"/>
      <c r="C357" s="48"/>
      <c r="D357" s="27"/>
      <c r="E357" s="27"/>
      <c r="F357" s="48"/>
      <c r="G357" s="48"/>
      <c r="H357" s="48"/>
      <c r="I357" s="48"/>
      <c r="J357" s="48"/>
      <c r="K357" s="48"/>
      <c r="L357" s="48"/>
      <c r="M357" s="48"/>
      <c r="N357" s="48"/>
      <c r="O357" s="48"/>
      <c r="P357" s="48"/>
      <c r="Q357" s="48"/>
      <c r="R357" s="48"/>
      <c r="S357" s="48"/>
      <c r="T357" s="48"/>
      <c r="U357" s="48"/>
      <c r="V357" s="48"/>
      <c r="W357" s="48"/>
      <c r="X357" s="48"/>
    </row>
    <row r="358" ht="15.75" customHeight="1">
      <c r="A358" s="56"/>
      <c r="B358" s="48"/>
      <c r="C358" s="48"/>
      <c r="D358" s="27"/>
      <c r="E358" s="27"/>
      <c r="F358" s="48"/>
      <c r="G358" s="48"/>
      <c r="H358" s="48"/>
      <c r="I358" s="48"/>
      <c r="J358" s="48"/>
      <c r="K358" s="48"/>
      <c r="L358" s="48"/>
      <c r="M358" s="48"/>
      <c r="N358" s="48"/>
      <c r="O358" s="48"/>
      <c r="P358" s="48"/>
      <c r="Q358" s="48"/>
      <c r="R358" s="48"/>
      <c r="S358" s="48"/>
      <c r="T358" s="48"/>
      <c r="U358" s="48"/>
      <c r="V358" s="48"/>
      <c r="W358" s="48"/>
      <c r="X358" s="48"/>
    </row>
    <row r="359" ht="15.75" customHeight="1">
      <c r="A359" s="56"/>
      <c r="B359" s="48"/>
      <c r="C359" s="48"/>
      <c r="D359" s="27"/>
      <c r="E359" s="27"/>
      <c r="F359" s="48"/>
      <c r="G359" s="48"/>
      <c r="H359" s="48"/>
      <c r="I359" s="48"/>
      <c r="J359" s="48"/>
      <c r="K359" s="48"/>
      <c r="L359" s="48"/>
      <c r="M359" s="48"/>
      <c r="N359" s="48"/>
      <c r="O359" s="48"/>
      <c r="P359" s="48"/>
      <c r="Q359" s="48"/>
      <c r="R359" s="48"/>
      <c r="S359" s="48"/>
      <c r="T359" s="48"/>
      <c r="U359" s="48"/>
      <c r="V359" s="48"/>
      <c r="W359" s="48"/>
      <c r="X359" s="48"/>
    </row>
    <row r="360" ht="15.75" customHeight="1">
      <c r="A360" s="56"/>
      <c r="B360" s="48"/>
      <c r="C360" s="48"/>
      <c r="D360" s="27"/>
      <c r="E360" s="27"/>
      <c r="F360" s="48"/>
      <c r="G360" s="48"/>
      <c r="H360" s="48"/>
      <c r="I360" s="48"/>
      <c r="J360" s="48"/>
      <c r="K360" s="48"/>
      <c r="L360" s="48"/>
      <c r="M360" s="48"/>
      <c r="N360" s="48"/>
      <c r="O360" s="48"/>
      <c r="P360" s="48"/>
      <c r="Q360" s="48"/>
      <c r="R360" s="48"/>
      <c r="S360" s="48"/>
      <c r="T360" s="48"/>
      <c r="U360" s="48"/>
      <c r="V360" s="48"/>
      <c r="W360" s="48"/>
      <c r="X360" s="48"/>
    </row>
    <row r="361" ht="15.75" customHeight="1">
      <c r="A361" s="56"/>
      <c r="B361" s="48"/>
      <c r="C361" s="48"/>
      <c r="D361" s="27"/>
      <c r="E361" s="27"/>
      <c r="F361" s="48"/>
      <c r="G361" s="48"/>
      <c r="H361" s="48"/>
      <c r="I361" s="48"/>
      <c r="J361" s="48"/>
      <c r="K361" s="48"/>
      <c r="L361" s="48"/>
      <c r="M361" s="48"/>
      <c r="N361" s="48"/>
      <c r="O361" s="48"/>
      <c r="P361" s="48"/>
      <c r="Q361" s="48"/>
      <c r="R361" s="48"/>
      <c r="S361" s="48"/>
      <c r="T361" s="48"/>
      <c r="U361" s="48"/>
      <c r="V361" s="48"/>
      <c r="W361" s="48"/>
      <c r="X361" s="48"/>
    </row>
    <row r="362" ht="15.75" customHeight="1">
      <c r="A362" s="56"/>
      <c r="B362" s="48"/>
      <c r="C362" s="48"/>
      <c r="D362" s="27"/>
      <c r="E362" s="27"/>
      <c r="F362" s="48"/>
      <c r="G362" s="48"/>
      <c r="H362" s="48"/>
      <c r="I362" s="48"/>
      <c r="J362" s="48"/>
      <c r="K362" s="48"/>
      <c r="L362" s="48"/>
      <c r="M362" s="48"/>
      <c r="N362" s="48"/>
      <c r="O362" s="48"/>
      <c r="P362" s="48"/>
      <c r="Q362" s="48"/>
      <c r="R362" s="48"/>
      <c r="S362" s="48"/>
      <c r="T362" s="48"/>
      <c r="U362" s="48"/>
      <c r="V362" s="48"/>
      <c r="W362" s="48"/>
      <c r="X362" s="48"/>
    </row>
    <row r="363" ht="15.75" customHeight="1">
      <c r="A363" s="56"/>
      <c r="B363" s="48"/>
      <c r="C363" s="48"/>
      <c r="D363" s="27"/>
      <c r="E363" s="27"/>
      <c r="F363" s="48"/>
      <c r="G363" s="48"/>
      <c r="H363" s="48"/>
      <c r="I363" s="48"/>
      <c r="J363" s="48"/>
      <c r="K363" s="48"/>
      <c r="L363" s="48"/>
      <c r="M363" s="48"/>
      <c r="N363" s="48"/>
      <c r="O363" s="48"/>
      <c r="P363" s="48"/>
      <c r="Q363" s="48"/>
      <c r="R363" s="48"/>
      <c r="S363" s="48"/>
      <c r="T363" s="48"/>
      <c r="U363" s="48"/>
      <c r="V363" s="48"/>
      <c r="W363" s="48"/>
      <c r="X363" s="48"/>
    </row>
    <row r="364" ht="15.75" customHeight="1">
      <c r="A364" s="56"/>
      <c r="B364" s="48"/>
      <c r="C364" s="48"/>
      <c r="D364" s="27"/>
      <c r="E364" s="27"/>
      <c r="F364" s="48"/>
      <c r="G364" s="48"/>
      <c r="H364" s="48"/>
      <c r="I364" s="48"/>
      <c r="J364" s="48"/>
      <c r="K364" s="48"/>
      <c r="L364" s="48"/>
      <c r="M364" s="48"/>
      <c r="N364" s="48"/>
      <c r="O364" s="48"/>
      <c r="P364" s="48"/>
      <c r="Q364" s="48"/>
      <c r="R364" s="48"/>
      <c r="S364" s="48"/>
      <c r="T364" s="48"/>
      <c r="U364" s="48"/>
      <c r="V364" s="48"/>
      <c r="W364" s="48"/>
      <c r="X364" s="48"/>
    </row>
    <row r="365" ht="15.75" customHeight="1">
      <c r="A365" s="56"/>
      <c r="B365" s="48"/>
      <c r="C365" s="48"/>
      <c r="D365" s="27"/>
      <c r="E365" s="27"/>
      <c r="F365" s="48"/>
      <c r="G365" s="48"/>
      <c r="H365" s="48"/>
      <c r="I365" s="48"/>
      <c r="J365" s="48"/>
      <c r="K365" s="48"/>
      <c r="L365" s="48"/>
      <c r="M365" s="48"/>
      <c r="N365" s="48"/>
      <c r="O365" s="48"/>
      <c r="P365" s="48"/>
      <c r="Q365" s="48"/>
      <c r="R365" s="48"/>
      <c r="S365" s="48"/>
      <c r="T365" s="48"/>
      <c r="U365" s="48"/>
      <c r="V365" s="48"/>
      <c r="W365" s="48"/>
      <c r="X365" s="48"/>
    </row>
    <row r="366" ht="15.75" customHeight="1">
      <c r="A366" s="56"/>
      <c r="B366" s="48"/>
      <c r="C366" s="48"/>
      <c r="D366" s="27"/>
      <c r="E366" s="27"/>
      <c r="F366" s="48"/>
      <c r="G366" s="48"/>
      <c r="H366" s="48"/>
      <c r="I366" s="48"/>
      <c r="J366" s="48"/>
      <c r="K366" s="48"/>
      <c r="L366" s="48"/>
      <c r="M366" s="48"/>
      <c r="N366" s="48"/>
      <c r="O366" s="48"/>
      <c r="P366" s="48"/>
      <c r="Q366" s="48"/>
      <c r="R366" s="48"/>
      <c r="S366" s="48"/>
      <c r="T366" s="48"/>
      <c r="U366" s="48"/>
      <c r="V366" s="48"/>
      <c r="W366" s="48"/>
      <c r="X366" s="48"/>
    </row>
    <row r="367" ht="15.75" customHeight="1">
      <c r="A367" s="56"/>
      <c r="B367" s="48"/>
      <c r="C367" s="48"/>
      <c r="D367" s="27"/>
      <c r="E367" s="27"/>
      <c r="F367" s="48"/>
      <c r="G367" s="48"/>
      <c r="H367" s="48"/>
      <c r="I367" s="48"/>
      <c r="J367" s="48"/>
      <c r="K367" s="48"/>
      <c r="L367" s="48"/>
      <c r="M367" s="48"/>
      <c r="N367" s="48"/>
      <c r="O367" s="48"/>
      <c r="P367" s="48"/>
      <c r="Q367" s="48"/>
      <c r="R367" s="48"/>
      <c r="S367" s="48"/>
      <c r="T367" s="48"/>
      <c r="U367" s="48"/>
      <c r="V367" s="48"/>
      <c r="W367" s="48"/>
      <c r="X367" s="48"/>
    </row>
    <row r="368" ht="15.75" customHeight="1">
      <c r="A368" s="56"/>
      <c r="B368" s="48"/>
      <c r="C368" s="48"/>
      <c r="D368" s="27"/>
      <c r="E368" s="27"/>
      <c r="F368" s="48"/>
      <c r="G368" s="48"/>
      <c r="H368" s="48"/>
      <c r="I368" s="48"/>
      <c r="J368" s="48"/>
      <c r="K368" s="48"/>
      <c r="L368" s="48"/>
      <c r="M368" s="48"/>
      <c r="N368" s="48"/>
      <c r="O368" s="48"/>
      <c r="P368" s="48"/>
      <c r="Q368" s="48"/>
      <c r="R368" s="48"/>
      <c r="S368" s="48"/>
      <c r="T368" s="48"/>
      <c r="U368" s="48"/>
      <c r="V368" s="48"/>
      <c r="W368" s="48"/>
      <c r="X368" s="48"/>
    </row>
    <row r="369" ht="15.75" customHeight="1">
      <c r="A369" s="56"/>
      <c r="B369" s="48"/>
      <c r="C369" s="48"/>
      <c r="D369" s="27"/>
      <c r="E369" s="27"/>
      <c r="F369" s="48"/>
      <c r="G369" s="48"/>
      <c r="H369" s="48"/>
      <c r="I369" s="48"/>
      <c r="J369" s="48"/>
      <c r="K369" s="48"/>
      <c r="L369" s="48"/>
      <c r="M369" s="48"/>
      <c r="N369" s="48"/>
      <c r="O369" s="48"/>
      <c r="P369" s="48"/>
      <c r="Q369" s="48"/>
      <c r="R369" s="48"/>
      <c r="S369" s="48"/>
      <c r="T369" s="48"/>
      <c r="U369" s="48"/>
      <c r="V369" s="48"/>
      <c r="W369" s="48"/>
      <c r="X369" s="48"/>
    </row>
    <row r="370" ht="15.75" customHeight="1">
      <c r="A370" s="56"/>
      <c r="B370" s="48"/>
      <c r="C370" s="48"/>
      <c r="D370" s="27"/>
      <c r="E370" s="27"/>
      <c r="F370" s="48"/>
      <c r="G370" s="48"/>
      <c r="H370" s="48"/>
      <c r="I370" s="48"/>
      <c r="J370" s="48"/>
      <c r="K370" s="48"/>
      <c r="L370" s="48"/>
      <c r="M370" s="48"/>
      <c r="N370" s="48"/>
      <c r="O370" s="48"/>
      <c r="P370" s="48"/>
      <c r="Q370" s="48"/>
      <c r="R370" s="48"/>
      <c r="S370" s="48"/>
      <c r="T370" s="48"/>
      <c r="U370" s="48"/>
      <c r="V370" s="48"/>
      <c r="W370" s="48"/>
      <c r="X370" s="48"/>
    </row>
    <row r="371" ht="15.75" customHeight="1">
      <c r="A371" s="56"/>
      <c r="B371" s="48"/>
      <c r="C371" s="48"/>
      <c r="D371" s="27"/>
      <c r="E371" s="27"/>
      <c r="F371" s="48"/>
      <c r="G371" s="48"/>
      <c r="H371" s="48"/>
      <c r="I371" s="48"/>
      <c r="J371" s="48"/>
      <c r="K371" s="48"/>
      <c r="L371" s="48"/>
      <c r="M371" s="48"/>
      <c r="N371" s="48"/>
      <c r="O371" s="48"/>
      <c r="P371" s="48"/>
      <c r="Q371" s="48"/>
      <c r="R371" s="48"/>
      <c r="S371" s="48"/>
      <c r="T371" s="48"/>
      <c r="U371" s="48"/>
      <c r="V371" s="48"/>
      <c r="W371" s="48"/>
      <c r="X371" s="48"/>
    </row>
    <row r="372" ht="15.75" customHeight="1">
      <c r="A372" s="56"/>
      <c r="B372" s="48"/>
      <c r="C372" s="48"/>
      <c r="D372" s="27"/>
      <c r="E372" s="27"/>
      <c r="F372" s="48"/>
      <c r="G372" s="48"/>
      <c r="H372" s="48"/>
      <c r="I372" s="48"/>
      <c r="J372" s="48"/>
      <c r="K372" s="48"/>
      <c r="L372" s="48"/>
      <c r="M372" s="48"/>
      <c r="N372" s="48"/>
      <c r="O372" s="48"/>
      <c r="P372" s="48"/>
      <c r="Q372" s="48"/>
      <c r="R372" s="48"/>
      <c r="S372" s="48"/>
      <c r="T372" s="48"/>
      <c r="U372" s="48"/>
      <c r="V372" s="48"/>
      <c r="W372" s="48"/>
      <c r="X372" s="48"/>
    </row>
    <row r="373" ht="15.75" customHeight="1">
      <c r="A373" s="56"/>
      <c r="B373" s="48"/>
      <c r="C373" s="48"/>
      <c r="D373" s="27"/>
      <c r="E373" s="27"/>
      <c r="F373" s="48"/>
      <c r="G373" s="48"/>
      <c r="H373" s="48"/>
      <c r="I373" s="48"/>
      <c r="J373" s="48"/>
      <c r="K373" s="48"/>
      <c r="L373" s="48"/>
      <c r="M373" s="48"/>
      <c r="N373" s="48"/>
      <c r="O373" s="48"/>
      <c r="P373" s="48"/>
      <c r="Q373" s="48"/>
      <c r="R373" s="48"/>
      <c r="S373" s="48"/>
      <c r="T373" s="48"/>
      <c r="U373" s="48"/>
      <c r="V373" s="48"/>
      <c r="W373" s="48"/>
      <c r="X373" s="48"/>
    </row>
    <row r="374" ht="15.75" customHeight="1">
      <c r="A374" s="56"/>
      <c r="B374" s="48"/>
      <c r="C374" s="48"/>
      <c r="D374" s="27"/>
      <c r="E374" s="27"/>
      <c r="F374" s="48"/>
      <c r="G374" s="48"/>
      <c r="H374" s="48"/>
      <c r="I374" s="48"/>
      <c r="J374" s="48"/>
      <c r="K374" s="48"/>
      <c r="L374" s="48"/>
      <c r="M374" s="48"/>
      <c r="N374" s="48"/>
      <c r="O374" s="48"/>
      <c r="P374" s="48"/>
      <c r="Q374" s="48"/>
      <c r="R374" s="48"/>
      <c r="S374" s="48"/>
      <c r="T374" s="48"/>
      <c r="U374" s="48"/>
      <c r="V374" s="48"/>
      <c r="W374" s="48"/>
      <c r="X374" s="48"/>
    </row>
    <row r="375" ht="15.75" customHeight="1">
      <c r="A375" s="56"/>
      <c r="B375" s="48"/>
      <c r="C375" s="48"/>
      <c r="D375" s="27"/>
      <c r="E375" s="27"/>
      <c r="F375" s="48"/>
      <c r="G375" s="48"/>
      <c r="H375" s="48"/>
      <c r="I375" s="48"/>
      <c r="J375" s="48"/>
      <c r="K375" s="48"/>
      <c r="L375" s="48"/>
      <c r="M375" s="48"/>
      <c r="N375" s="48"/>
      <c r="O375" s="48"/>
      <c r="P375" s="48"/>
      <c r="Q375" s="48"/>
      <c r="R375" s="48"/>
      <c r="S375" s="48"/>
      <c r="T375" s="48"/>
      <c r="U375" s="48"/>
      <c r="V375" s="48"/>
      <c r="W375" s="48"/>
      <c r="X375" s="48"/>
    </row>
    <row r="376" ht="15.75" customHeight="1">
      <c r="A376" s="56"/>
      <c r="B376" s="48"/>
      <c r="C376" s="48"/>
      <c r="D376" s="27"/>
      <c r="E376" s="27"/>
      <c r="F376" s="48"/>
      <c r="G376" s="48"/>
      <c r="H376" s="48"/>
      <c r="I376" s="48"/>
      <c r="J376" s="48"/>
      <c r="K376" s="48"/>
      <c r="L376" s="48"/>
      <c r="M376" s="48"/>
      <c r="N376" s="48"/>
      <c r="O376" s="48"/>
      <c r="P376" s="48"/>
      <c r="Q376" s="48"/>
      <c r="R376" s="48"/>
      <c r="S376" s="48"/>
      <c r="T376" s="48"/>
      <c r="U376" s="48"/>
      <c r="V376" s="48"/>
      <c r="W376" s="48"/>
      <c r="X376" s="48"/>
    </row>
    <row r="377" ht="15.75" customHeight="1">
      <c r="A377" s="56"/>
      <c r="B377" s="48"/>
      <c r="C377" s="48"/>
      <c r="D377" s="27"/>
      <c r="E377" s="27"/>
      <c r="F377" s="48"/>
      <c r="G377" s="48"/>
      <c r="H377" s="48"/>
      <c r="I377" s="48"/>
      <c r="J377" s="48"/>
      <c r="K377" s="48"/>
      <c r="L377" s="48"/>
      <c r="M377" s="48"/>
      <c r="N377" s="48"/>
      <c r="O377" s="48"/>
      <c r="P377" s="48"/>
      <c r="Q377" s="48"/>
      <c r="R377" s="48"/>
      <c r="S377" s="48"/>
      <c r="T377" s="48"/>
      <c r="U377" s="48"/>
      <c r="V377" s="48"/>
      <c r="W377" s="48"/>
      <c r="X377" s="48"/>
    </row>
    <row r="378" ht="15.75" customHeight="1">
      <c r="A378" s="56"/>
      <c r="B378" s="48"/>
      <c r="C378" s="48"/>
      <c r="D378" s="27"/>
      <c r="E378" s="27"/>
      <c r="F378" s="48"/>
      <c r="G378" s="48"/>
      <c r="H378" s="48"/>
      <c r="I378" s="48"/>
      <c r="J378" s="48"/>
      <c r="K378" s="48"/>
      <c r="L378" s="48"/>
      <c r="M378" s="48"/>
      <c r="N378" s="48"/>
      <c r="O378" s="48"/>
      <c r="P378" s="48"/>
      <c r="Q378" s="48"/>
      <c r="R378" s="48"/>
      <c r="S378" s="48"/>
      <c r="T378" s="48"/>
      <c r="U378" s="48"/>
      <c r="V378" s="48"/>
      <c r="W378" s="48"/>
      <c r="X378" s="48"/>
    </row>
    <row r="379" ht="15.75" customHeight="1">
      <c r="A379" s="56"/>
      <c r="B379" s="48"/>
      <c r="C379" s="48"/>
      <c r="D379" s="27"/>
      <c r="E379" s="27"/>
      <c r="F379" s="48"/>
      <c r="G379" s="48"/>
      <c r="H379" s="48"/>
      <c r="I379" s="48"/>
      <c r="J379" s="48"/>
      <c r="K379" s="48"/>
      <c r="L379" s="48"/>
      <c r="M379" s="48"/>
      <c r="N379" s="48"/>
      <c r="O379" s="48"/>
      <c r="P379" s="48"/>
      <c r="Q379" s="48"/>
      <c r="R379" s="48"/>
      <c r="S379" s="48"/>
      <c r="T379" s="48"/>
      <c r="U379" s="48"/>
      <c r="V379" s="48"/>
      <c r="W379" s="48"/>
      <c r="X379" s="48"/>
    </row>
    <row r="380" ht="15.75" customHeight="1">
      <c r="A380" s="56"/>
      <c r="B380" s="48"/>
      <c r="C380" s="48"/>
      <c r="D380" s="27"/>
      <c r="E380" s="27"/>
      <c r="F380" s="48"/>
      <c r="G380" s="48"/>
      <c r="H380" s="48"/>
      <c r="I380" s="48"/>
      <c r="J380" s="48"/>
      <c r="K380" s="48"/>
      <c r="L380" s="48"/>
      <c r="M380" s="48"/>
      <c r="N380" s="48"/>
      <c r="O380" s="48"/>
      <c r="P380" s="48"/>
      <c r="Q380" s="48"/>
      <c r="R380" s="48"/>
      <c r="S380" s="48"/>
      <c r="T380" s="48"/>
      <c r="U380" s="48"/>
      <c r="V380" s="48"/>
      <c r="W380" s="48"/>
      <c r="X380" s="48"/>
    </row>
    <row r="381" ht="15.75" customHeight="1">
      <c r="A381" s="56"/>
      <c r="B381" s="48"/>
      <c r="C381" s="48"/>
      <c r="D381" s="27"/>
      <c r="E381" s="27"/>
      <c r="F381" s="48"/>
      <c r="G381" s="48"/>
      <c r="H381" s="48"/>
      <c r="I381" s="48"/>
      <c r="J381" s="48"/>
      <c r="K381" s="48"/>
      <c r="L381" s="48"/>
      <c r="M381" s="48"/>
      <c r="N381" s="48"/>
      <c r="O381" s="48"/>
      <c r="P381" s="48"/>
      <c r="Q381" s="48"/>
      <c r="R381" s="48"/>
      <c r="S381" s="48"/>
      <c r="T381" s="48"/>
      <c r="U381" s="48"/>
      <c r="V381" s="48"/>
      <c r="W381" s="48"/>
      <c r="X381" s="48"/>
    </row>
    <row r="382" ht="15.75" customHeight="1">
      <c r="A382" s="56"/>
      <c r="B382" s="48"/>
      <c r="C382" s="48"/>
      <c r="D382" s="27"/>
      <c r="E382" s="27"/>
      <c r="F382" s="48"/>
      <c r="G382" s="48"/>
      <c r="H382" s="48"/>
      <c r="I382" s="48"/>
      <c r="J382" s="48"/>
      <c r="K382" s="48"/>
      <c r="L382" s="48"/>
      <c r="M382" s="48"/>
      <c r="N382" s="48"/>
      <c r="O382" s="48"/>
      <c r="P382" s="48"/>
      <c r="Q382" s="48"/>
      <c r="R382" s="48"/>
      <c r="S382" s="48"/>
      <c r="T382" s="48"/>
      <c r="U382" s="48"/>
      <c r="V382" s="48"/>
      <c r="W382" s="48"/>
      <c r="X382" s="48"/>
    </row>
    <row r="383" ht="15.75" customHeight="1">
      <c r="A383" s="56"/>
      <c r="B383" s="48"/>
      <c r="C383" s="48"/>
      <c r="D383" s="27"/>
      <c r="E383" s="27"/>
      <c r="F383" s="48"/>
      <c r="G383" s="48"/>
      <c r="H383" s="48"/>
      <c r="I383" s="48"/>
      <c r="J383" s="48"/>
      <c r="K383" s="48"/>
      <c r="L383" s="48"/>
      <c r="M383" s="48"/>
      <c r="N383" s="48"/>
      <c r="O383" s="48"/>
      <c r="P383" s="48"/>
      <c r="Q383" s="48"/>
      <c r="R383" s="48"/>
      <c r="S383" s="48"/>
      <c r="T383" s="48"/>
      <c r="U383" s="48"/>
      <c r="V383" s="48"/>
      <c r="W383" s="48"/>
      <c r="X383" s="48"/>
    </row>
    <row r="384" ht="15.75" customHeight="1">
      <c r="A384" s="56"/>
      <c r="B384" s="48"/>
      <c r="C384" s="48"/>
      <c r="D384" s="27"/>
      <c r="E384" s="27"/>
      <c r="F384" s="48"/>
      <c r="G384" s="48"/>
      <c r="H384" s="48"/>
      <c r="I384" s="48"/>
      <c r="J384" s="48"/>
      <c r="K384" s="48"/>
      <c r="L384" s="48"/>
      <c r="M384" s="48"/>
      <c r="N384" s="48"/>
      <c r="O384" s="48"/>
      <c r="P384" s="48"/>
      <c r="Q384" s="48"/>
      <c r="R384" s="48"/>
      <c r="S384" s="48"/>
      <c r="T384" s="48"/>
      <c r="U384" s="48"/>
      <c r="V384" s="48"/>
      <c r="W384" s="48"/>
      <c r="X384" s="48"/>
    </row>
    <row r="385" ht="15.75" customHeight="1">
      <c r="A385" s="56"/>
      <c r="B385" s="48"/>
      <c r="C385" s="48"/>
      <c r="D385" s="27"/>
      <c r="E385" s="27"/>
      <c r="F385" s="48"/>
      <c r="G385" s="48"/>
      <c r="H385" s="48"/>
      <c r="I385" s="48"/>
      <c r="J385" s="48"/>
      <c r="K385" s="48"/>
      <c r="L385" s="48"/>
      <c r="M385" s="48"/>
      <c r="N385" s="48"/>
      <c r="O385" s="48"/>
      <c r="P385" s="48"/>
      <c r="Q385" s="48"/>
      <c r="R385" s="48"/>
      <c r="S385" s="48"/>
      <c r="T385" s="48"/>
      <c r="U385" s="48"/>
      <c r="V385" s="48"/>
      <c r="W385" s="48"/>
      <c r="X385" s="48"/>
    </row>
    <row r="386" ht="15.75" customHeight="1">
      <c r="A386" s="56"/>
      <c r="B386" s="48"/>
      <c r="C386" s="48"/>
      <c r="D386" s="27"/>
      <c r="E386" s="27"/>
      <c r="F386" s="48"/>
      <c r="G386" s="48"/>
      <c r="H386" s="48"/>
      <c r="I386" s="48"/>
      <c r="J386" s="48"/>
      <c r="K386" s="48"/>
      <c r="L386" s="48"/>
      <c r="M386" s="48"/>
      <c r="N386" s="48"/>
      <c r="O386" s="48"/>
      <c r="P386" s="48"/>
      <c r="Q386" s="48"/>
      <c r="R386" s="48"/>
      <c r="S386" s="48"/>
      <c r="T386" s="48"/>
      <c r="U386" s="48"/>
      <c r="V386" s="48"/>
      <c r="W386" s="48"/>
      <c r="X386" s="48"/>
    </row>
    <row r="387" ht="15.75" customHeight="1">
      <c r="A387" s="56"/>
      <c r="B387" s="48"/>
      <c r="C387" s="48"/>
      <c r="D387" s="27"/>
      <c r="E387" s="27"/>
      <c r="F387" s="48"/>
      <c r="G387" s="48"/>
      <c r="H387" s="48"/>
      <c r="I387" s="48"/>
      <c r="J387" s="48"/>
      <c r="K387" s="48"/>
      <c r="L387" s="48"/>
      <c r="M387" s="48"/>
      <c r="N387" s="48"/>
      <c r="O387" s="48"/>
      <c r="P387" s="48"/>
      <c r="Q387" s="48"/>
      <c r="R387" s="48"/>
      <c r="S387" s="48"/>
      <c r="T387" s="48"/>
      <c r="U387" s="48"/>
      <c r="V387" s="48"/>
      <c r="W387" s="48"/>
      <c r="X387" s="48"/>
    </row>
    <row r="388" ht="15.75" customHeight="1">
      <c r="A388" s="56"/>
      <c r="B388" s="48"/>
      <c r="C388" s="48"/>
      <c r="D388" s="27"/>
      <c r="E388" s="27"/>
      <c r="F388" s="48"/>
      <c r="G388" s="48"/>
      <c r="H388" s="48"/>
      <c r="I388" s="48"/>
      <c r="J388" s="48"/>
      <c r="K388" s="48"/>
      <c r="L388" s="48"/>
      <c r="M388" s="48"/>
      <c r="N388" s="48"/>
      <c r="O388" s="48"/>
      <c r="P388" s="48"/>
      <c r="Q388" s="48"/>
      <c r="R388" s="48"/>
      <c r="S388" s="48"/>
      <c r="T388" s="48"/>
      <c r="U388" s="48"/>
      <c r="V388" s="48"/>
      <c r="W388" s="48"/>
      <c r="X388" s="48"/>
    </row>
    <row r="389" ht="15.75" customHeight="1">
      <c r="A389" s="56"/>
      <c r="B389" s="48"/>
      <c r="C389" s="48"/>
      <c r="D389" s="27"/>
      <c r="E389" s="27"/>
      <c r="F389" s="48"/>
      <c r="G389" s="48"/>
      <c r="H389" s="48"/>
      <c r="I389" s="48"/>
      <c r="J389" s="48"/>
      <c r="K389" s="48"/>
      <c r="L389" s="48"/>
      <c r="M389" s="48"/>
      <c r="N389" s="48"/>
      <c r="O389" s="48"/>
      <c r="P389" s="48"/>
      <c r="Q389" s="48"/>
      <c r="R389" s="48"/>
      <c r="S389" s="48"/>
      <c r="T389" s="48"/>
      <c r="U389" s="48"/>
      <c r="V389" s="48"/>
      <c r="W389" s="48"/>
      <c r="X389" s="48"/>
    </row>
    <row r="390" ht="15.75" customHeight="1">
      <c r="A390" s="56"/>
      <c r="B390" s="48"/>
      <c r="C390" s="48"/>
      <c r="D390" s="27"/>
      <c r="E390" s="27"/>
      <c r="F390" s="48"/>
      <c r="G390" s="48"/>
      <c r="H390" s="48"/>
      <c r="I390" s="48"/>
      <c r="J390" s="48"/>
      <c r="K390" s="48"/>
      <c r="L390" s="48"/>
      <c r="M390" s="48"/>
      <c r="N390" s="48"/>
      <c r="O390" s="48"/>
      <c r="P390" s="48"/>
      <c r="Q390" s="48"/>
      <c r="R390" s="48"/>
      <c r="S390" s="48"/>
      <c r="T390" s="48"/>
      <c r="U390" s="48"/>
      <c r="V390" s="48"/>
      <c r="W390" s="48"/>
      <c r="X390" s="48"/>
    </row>
    <row r="391" ht="15.75" customHeight="1">
      <c r="A391" s="56"/>
      <c r="B391" s="48"/>
      <c r="C391" s="48"/>
      <c r="D391" s="27"/>
      <c r="E391" s="27"/>
      <c r="F391" s="48"/>
      <c r="G391" s="48"/>
      <c r="H391" s="48"/>
      <c r="I391" s="48"/>
      <c r="J391" s="48"/>
      <c r="K391" s="48"/>
      <c r="L391" s="48"/>
      <c r="M391" s="48"/>
      <c r="N391" s="48"/>
      <c r="O391" s="48"/>
      <c r="P391" s="48"/>
      <c r="Q391" s="48"/>
      <c r="R391" s="48"/>
      <c r="S391" s="48"/>
      <c r="T391" s="48"/>
      <c r="U391" s="48"/>
      <c r="V391" s="48"/>
      <c r="W391" s="48"/>
      <c r="X391" s="48"/>
    </row>
    <row r="392" ht="15.75" customHeight="1">
      <c r="A392" s="56"/>
      <c r="B392" s="48"/>
      <c r="C392" s="48"/>
      <c r="D392" s="27"/>
      <c r="E392" s="27"/>
      <c r="F392" s="48"/>
      <c r="G392" s="48"/>
      <c r="H392" s="48"/>
      <c r="I392" s="48"/>
      <c r="J392" s="48"/>
      <c r="K392" s="48"/>
      <c r="L392" s="48"/>
      <c r="M392" s="48"/>
      <c r="N392" s="48"/>
      <c r="O392" s="48"/>
      <c r="P392" s="48"/>
      <c r="Q392" s="48"/>
      <c r="R392" s="48"/>
      <c r="S392" s="48"/>
      <c r="T392" s="48"/>
      <c r="U392" s="48"/>
      <c r="V392" s="48"/>
      <c r="W392" s="48"/>
      <c r="X392" s="48"/>
    </row>
    <row r="393" ht="15.75" customHeight="1">
      <c r="A393" s="56"/>
      <c r="B393" s="48"/>
      <c r="C393" s="48"/>
      <c r="D393" s="27"/>
      <c r="E393" s="27"/>
      <c r="F393" s="48"/>
      <c r="G393" s="48"/>
      <c r="H393" s="48"/>
      <c r="I393" s="48"/>
      <c r="J393" s="48"/>
      <c r="K393" s="48"/>
      <c r="L393" s="48"/>
      <c r="M393" s="48"/>
      <c r="N393" s="48"/>
      <c r="O393" s="48"/>
      <c r="P393" s="48"/>
      <c r="Q393" s="48"/>
      <c r="R393" s="48"/>
      <c r="S393" s="48"/>
      <c r="T393" s="48"/>
      <c r="U393" s="48"/>
      <c r="V393" s="48"/>
      <c r="W393" s="48"/>
      <c r="X393" s="48"/>
    </row>
    <row r="394" ht="15.75" customHeight="1">
      <c r="A394" s="56"/>
      <c r="B394" s="48"/>
      <c r="C394" s="48"/>
      <c r="D394" s="27"/>
      <c r="E394" s="27"/>
      <c r="F394" s="48"/>
      <c r="G394" s="48"/>
      <c r="H394" s="48"/>
      <c r="I394" s="48"/>
      <c r="J394" s="48"/>
      <c r="K394" s="48"/>
      <c r="L394" s="48"/>
      <c r="M394" s="48"/>
      <c r="N394" s="48"/>
      <c r="O394" s="48"/>
      <c r="P394" s="48"/>
      <c r="Q394" s="48"/>
      <c r="R394" s="48"/>
      <c r="S394" s="48"/>
      <c r="T394" s="48"/>
      <c r="U394" s="48"/>
      <c r="V394" s="48"/>
      <c r="W394" s="48"/>
      <c r="X394" s="48"/>
    </row>
    <row r="395" ht="15.75" customHeight="1">
      <c r="A395" s="56"/>
      <c r="B395" s="48"/>
      <c r="C395" s="48"/>
      <c r="D395" s="27"/>
      <c r="E395" s="27"/>
      <c r="F395" s="48"/>
      <c r="G395" s="48"/>
      <c r="H395" s="48"/>
      <c r="I395" s="48"/>
      <c r="J395" s="48"/>
      <c r="K395" s="48"/>
      <c r="L395" s="48"/>
      <c r="M395" s="48"/>
      <c r="N395" s="48"/>
      <c r="O395" s="48"/>
      <c r="P395" s="48"/>
      <c r="Q395" s="48"/>
      <c r="R395" s="48"/>
      <c r="S395" s="48"/>
      <c r="T395" s="48"/>
      <c r="U395" s="48"/>
      <c r="V395" s="48"/>
      <c r="W395" s="48"/>
      <c r="X395" s="48"/>
    </row>
    <row r="396" ht="15.75" customHeight="1">
      <c r="A396" s="56"/>
      <c r="B396" s="48"/>
      <c r="C396" s="48"/>
      <c r="D396" s="27"/>
      <c r="E396" s="27"/>
      <c r="F396" s="48"/>
      <c r="G396" s="48"/>
      <c r="H396" s="48"/>
      <c r="I396" s="48"/>
      <c r="J396" s="48"/>
      <c r="K396" s="48"/>
      <c r="L396" s="48"/>
      <c r="M396" s="48"/>
      <c r="N396" s="48"/>
      <c r="O396" s="48"/>
      <c r="P396" s="48"/>
      <c r="Q396" s="48"/>
      <c r="R396" s="48"/>
      <c r="S396" s="48"/>
      <c r="T396" s="48"/>
      <c r="U396" s="48"/>
      <c r="V396" s="48"/>
      <c r="W396" s="48"/>
      <c r="X396" s="48"/>
    </row>
    <row r="397" ht="15.75" customHeight="1">
      <c r="A397" s="56"/>
      <c r="B397" s="48"/>
      <c r="C397" s="48"/>
      <c r="D397" s="27"/>
      <c r="E397" s="27"/>
      <c r="F397" s="48"/>
      <c r="G397" s="48"/>
      <c r="H397" s="48"/>
      <c r="I397" s="48"/>
      <c r="J397" s="48"/>
      <c r="K397" s="48"/>
      <c r="L397" s="48"/>
      <c r="M397" s="48"/>
      <c r="N397" s="48"/>
      <c r="O397" s="48"/>
      <c r="P397" s="48"/>
      <c r="Q397" s="48"/>
      <c r="R397" s="48"/>
      <c r="S397" s="48"/>
      <c r="T397" s="48"/>
      <c r="U397" s="48"/>
      <c r="V397" s="48"/>
      <c r="W397" s="48"/>
      <c r="X397" s="48"/>
    </row>
    <row r="398" ht="15.75" customHeight="1">
      <c r="A398" s="56"/>
      <c r="B398" s="48"/>
      <c r="C398" s="48"/>
      <c r="D398" s="27"/>
      <c r="E398" s="27"/>
      <c r="F398" s="48"/>
      <c r="G398" s="48"/>
      <c r="H398" s="48"/>
      <c r="I398" s="48"/>
      <c r="J398" s="48"/>
      <c r="K398" s="48"/>
      <c r="L398" s="48"/>
      <c r="M398" s="48"/>
      <c r="N398" s="48"/>
      <c r="O398" s="48"/>
      <c r="P398" s="48"/>
      <c r="Q398" s="48"/>
      <c r="R398" s="48"/>
      <c r="S398" s="48"/>
      <c r="T398" s="48"/>
      <c r="U398" s="48"/>
      <c r="V398" s="48"/>
      <c r="W398" s="48"/>
      <c r="X398" s="48"/>
    </row>
    <row r="399" ht="15.75" customHeight="1">
      <c r="A399" s="56"/>
      <c r="B399" s="48"/>
      <c r="C399" s="48"/>
      <c r="D399" s="27"/>
      <c r="E399" s="27"/>
      <c r="F399" s="48"/>
      <c r="G399" s="48"/>
      <c r="H399" s="48"/>
      <c r="I399" s="48"/>
      <c r="J399" s="48"/>
      <c r="K399" s="48"/>
      <c r="L399" s="48"/>
      <c r="M399" s="48"/>
      <c r="N399" s="48"/>
      <c r="O399" s="48"/>
      <c r="P399" s="48"/>
      <c r="Q399" s="48"/>
      <c r="R399" s="48"/>
      <c r="S399" s="48"/>
      <c r="T399" s="48"/>
      <c r="U399" s="48"/>
      <c r="V399" s="48"/>
      <c r="W399" s="48"/>
      <c r="X399" s="48"/>
    </row>
    <row r="400" ht="15.75" customHeight="1">
      <c r="A400" s="56"/>
      <c r="B400" s="48"/>
      <c r="C400" s="48"/>
      <c r="D400" s="27"/>
      <c r="E400" s="27"/>
      <c r="F400" s="48"/>
      <c r="G400" s="48"/>
      <c r="H400" s="48"/>
      <c r="I400" s="48"/>
      <c r="J400" s="48"/>
      <c r="K400" s="48"/>
      <c r="L400" s="48"/>
      <c r="M400" s="48"/>
      <c r="N400" s="48"/>
      <c r="O400" s="48"/>
      <c r="P400" s="48"/>
      <c r="Q400" s="48"/>
      <c r="R400" s="48"/>
      <c r="S400" s="48"/>
      <c r="T400" s="48"/>
      <c r="U400" s="48"/>
      <c r="V400" s="48"/>
      <c r="W400" s="48"/>
      <c r="X400" s="48"/>
    </row>
    <row r="401" ht="15.75" customHeight="1">
      <c r="A401" s="56"/>
      <c r="B401" s="48"/>
      <c r="C401" s="48"/>
      <c r="D401" s="27"/>
      <c r="E401" s="27"/>
      <c r="F401" s="48"/>
      <c r="G401" s="48"/>
      <c r="H401" s="48"/>
      <c r="I401" s="48"/>
      <c r="J401" s="48"/>
      <c r="K401" s="48"/>
      <c r="L401" s="48"/>
      <c r="M401" s="48"/>
      <c r="N401" s="48"/>
      <c r="O401" s="48"/>
      <c r="P401" s="48"/>
      <c r="Q401" s="48"/>
      <c r="R401" s="48"/>
      <c r="S401" s="48"/>
      <c r="T401" s="48"/>
      <c r="U401" s="48"/>
      <c r="V401" s="48"/>
      <c r="W401" s="48"/>
      <c r="X401" s="48"/>
    </row>
    <row r="402" ht="15.75" customHeight="1">
      <c r="A402" s="56"/>
      <c r="B402" s="48"/>
      <c r="C402" s="48"/>
      <c r="D402" s="27"/>
      <c r="E402" s="27"/>
      <c r="F402" s="48"/>
      <c r="G402" s="48"/>
      <c r="H402" s="48"/>
      <c r="I402" s="48"/>
      <c r="J402" s="48"/>
      <c r="K402" s="48"/>
      <c r="L402" s="48"/>
      <c r="M402" s="48"/>
      <c r="N402" s="48"/>
      <c r="O402" s="48"/>
      <c r="P402" s="48"/>
      <c r="Q402" s="48"/>
      <c r="R402" s="48"/>
      <c r="S402" s="48"/>
      <c r="T402" s="48"/>
      <c r="U402" s="48"/>
      <c r="V402" s="48"/>
      <c r="W402" s="48"/>
      <c r="X402" s="48"/>
    </row>
    <row r="403" ht="15.75" customHeight="1">
      <c r="A403" s="56"/>
      <c r="B403" s="48"/>
      <c r="C403" s="48"/>
      <c r="D403" s="27"/>
      <c r="E403" s="27"/>
      <c r="F403" s="48"/>
      <c r="G403" s="48"/>
      <c r="H403" s="48"/>
      <c r="I403" s="48"/>
      <c r="J403" s="48"/>
      <c r="K403" s="48"/>
      <c r="L403" s="48"/>
      <c r="M403" s="48"/>
      <c r="N403" s="48"/>
      <c r="O403" s="48"/>
      <c r="P403" s="48"/>
      <c r="Q403" s="48"/>
      <c r="R403" s="48"/>
      <c r="S403" s="48"/>
      <c r="T403" s="48"/>
      <c r="U403" s="48"/>
      <c r="V403" s="48"/>
      <c r="W403" s="48"/>
      <c r="X403" s="48"/>
    </row>
    <row r="404" ht="15.75" customHeight="1">
      <c r="A404" s="56"/>
      <c r="B404" s="48"/>
      <c r="C404" s="48"/>
      <c r="D404" s="27"/>
      <c r="E404" s="27"/>
      <c r="F404" s="48"/>
      <c r="G404" s="48"/>
      <c r="H404" s="48"/>
      <c r="I404" s="48"/>
      <c r="J404" s="48"/>
      <c r="K404" s="48"/>
      <c r="L404" s="48"/>
      <c r="M404" s="48"/>
      <c r="N404" s="48"/>
      <c r="O404" s="48"/>
      <c r="P404" s="48"/>
      <c r="Q404" s="48"/>
      <c r="R404" s="48"/>
      <c r="S404" s="48"/>
      <c r="T404" s="48"/>
      <c r="U404" s="48"/>
      <c r="V404" s="48"/>
      <c r="W404" s="48"/>
      <c r="X404" s="48"/>
    </row>
    <row r="405" ht="15.75" customHeight="1">
      <c r="A405" s="56"/>
      <c r="B405" s="48"/>
      <c r="C405" s="48"/>
      <c r="D405" s="27"/>
      <c r="E405" s="27"/>
      <c r="F405" s="48"/>
      <c r="G405" s="48"/>
      <c r="H405" s="48"/>
      <c r="I405" s="48"/>
      <c r="J405" s="48"/>
      <c r="K405" s="48"/>
      <c r="L405" s="48"/>
      <c r="M405" s="48"/>
      <c r="N405" s="48"/>
      <c r="O405" s="48"/>
      <c r="P405" s="48"/>
      <c r="Q405" s="48"/>
      <c r="R405" s="48"/>
      <c r="S405" s="48"/>
      <c r="T405" s="48"/>
      <c r="U405" s="48"/>
      <c r="V405" s="48"/>
      <c r="W405" s="48"/>
      <c r="X405" s="48"/>
    </row>
    <row r="406" ht="15.75" customHeight="1">
      <c r="A406" s="56"/>
      <c r="B406" s="48"/>
      <c r="C406" s="48"/>
      <c r="D406" s="27"/>
      <c r="E406" s="27"/>
      <c r="F406" s="48"/>
      <c r="G406" s="48"/>
      <c r="H406" s="48"/>
      <c r="I406" s="48"/>
      <c r="J406" s="48"/>
      <c r="K406" s="48"/>
      <c r="L406" s="48"/>
      <c r="M406" s="48"/>
      <c r="N406" s="48"/>
      <c r="O406" s="48"/>
      <c r="P406" s="48"/>
      <c r="Q406" s="48"/>
      <c r="R406" s="48"/>
      <c r="S406" s="48"/>
      <c r="T406" s="48"/>
      <c r="U406" s="48"/>
      <c r="V406" s="48"/>
      <c r="W406" s="48"/>
      <c r="X406" s="48"/>
    </row>
    <row r="407" ht="15.75" customHeight="1">
      <c r="A407" s="56"/>
      <c r="B407" s="48"/>
      <c r="C407" s="48"/>
      <c r="D407" s="27"/>
      <c r="E407" s="27"/>
      <c r="F407" s="48"/>
      <c r="G407" s="48"/>
      <c r="H407" s="48"/>
      <c r="I407" s="48"/>
      <c r="J407" s="48"/>
      <c r="K407" s="48"/>
      <c r="L407" s="48"/>
      <c r="M407" s="48"/>
      <c r="N407" s="48"/>
      <c r="O407" s="48"/>
      <c r="P407" s="48"/>
      <c r="Q407" s="48"/>
      <c r="R407" s="48"/>
      <c r="S407" s="48"/>
      <c r="T407" s="48"/>
      <c r="U407" s="48"/>
      <c r="V407" s="48"/>
      <c r="W407" s="48"/>
      <c r="X407" s="48"/>
    </row>
    <row r="408" ht="15.75" customHeight="1">
      <c r="A408" s="56"/>
      <c r="B408" s="48"/>
      <c r="C408" s="48"/>
      <c r="D408" s="27"/>
      <c r="E408" s="27"/>
      <c r="F408" s="48"/>
      <c r="G408" s="48"/>
      <c r="H408" s="48"/>
      <c r="I408" s="48"/>
      <c r="J408" s="48"/>
      <c r="K408" s="48"/>
      <c r="L408" s="48"/>
      <c r="M408" s="48"/>
      <c r="N408" s="48"/>
      <c r="O408" s="48"/>
      <c r="P408" s="48"/>
      <c r="Q408" s="48"/>
      <c r="R408" s="48"/>
      <c r="S408" s="48"/>
      <c r="T408" s="48"/>
      <c r="U408" s="48"/>
      <c r="V408" s="48"/>
      <c r="W408" s="48"/>
      <c r="X408" s="48"/>
    </row>
    <row r="409" ht="15.75" customHeight="1">
      <c r="A409" s="56"/>
      <c r="B409" s="48"/>
      <c r="C409" s="48"/>
      <c r="D409" s="27"/>
      <c r="E409" s="27"/>
      <c r="F409" s="48"/>
      <c r="G409" s="48"/>
      <c r="H409" s="48"/>
      <c r="I409" s="48"/>
      <c r="J409" s="48"/>
      <c r="K409" s="48"/>
      <c r="L409" s="48"/>
      <c r="M409" s="48"/>
      <c r="N409" s="48"/>
      <c r="O409" s="48"/>
      <c r="P409" s="48"/>
      <c r="Q409" s="48"/>
      <c r="R409" s="48"/>
      <c r="S409" s="48"/>
      <c r="T409" s="48"/>
      <c r="U409" s="48"/>
      <c r="V409" s="48"/>
      <c r="W409" s="48"/>
      <c r="X409" s="48"/>
    </row>
    <row r="410" ht="15.75" customHeight="1">
      <c r="A410" s="56"/>
      <c r="B410" s="48"/>
      <c r="C410" s="48"/>
      <c r="D410" s="27"/>
      <c r="E410" s="27"/>
      <c r="F410" s="48"/>
      <c r="G410" s="48"/>
      <c r="H410" s="48"/>
      <c r="I410" s="48"/>
      <c r="J410" s="48"/>
      <c r="K410" s="48"/>
      <c r="L410" s="48"/>
      <c r="M410" s="48"/>
      <c r="N410" s="48"/>
      <c r="O410" s="48"/>
      <c r="P410" s="48"/>
      <c r="Q410" s="48"/>
      <c r="R410" s="48"/>
      <c r="S410" s="48"/>
      <c r="T410" s="48"/>
      <c r="U410" s="48"/>
      <c r="V410" s="48"/>
      <c r="W410" s="48"/>
      <c r="X410" s="48"/>
    </row>
    <row r="411" ht="15.75" customHeight="1">
      <c r="A411" s="56"/>
      <c r="B411" s="48"/>
      <c r="C411" s="48"/>
      <c r="D411" s="27"/>
      <c r="E411" s="27"/>
      <c r="F411" s="48"/>
      <c r="G411" s="48"/>
      <c r="H411" s="48"/>
      <c r="I411" s="48"/>
      <c r="J411" s="48"/>
      <c r="K411" s="48"/>
      <c r="L411" s="48"/>
      <c r="M411" s="48"/>
      <c r="N411" s="48"/>
      <c r="O411" s="48"/>
      <c r="P411" s="48"/>
      <c r="Q411" s="48"/>
      <c r="R411" s="48"/>
      <c r="S411" s="48"/>
      <c r="T411" s="48"/>
      <c r="U411" s="48"/>
      <c r="V411" s="48"/>
      <c r="W411" s="48"/>
      <c r="X411" s="48"/>
    </row>
    <row r="412" ht="15.75" customHeight="1">
      <c r="A412" s="56"/>
      <c r="B412" s="48"/>
      <c r="C412" s="48"/>
      <c r="D412" s="27"/>
      <c r="E412" s="27"/>
      <c r="F412" s="48"/>
      <c r="G412" s="48"/>
      <c r="H412" s="48"/>
      <c r="I412" s="48"/>
      <c r="J412" s="48"/>
      <c r="K412" s="48"/>
      <c r="L412" s="48"/>
      <c r="M412" s="48"/>
      <c r="N412" s="48"/>
      <c r="O412" s="48"/>
      <c r="P412" s="48"/>
      <c r="Q412" s="48"/>
      <c r="R412" s="48"/>
      <c r="S412" s="48"/>
      <c r="T412" s="48"/>
      <c r="U412" s="48"/>
      <c r="V412" s="48"/>
      <c r="W412" s="48"/>
      <c r="X412" s="48"/>
    </row>
    <row r="413" ht="15.75" customHeight="1">
      <c r="A413" s="56"/>
      <c r="B413" s="48"/>
      <c r="C413" s="48"/>
      <c r="D413" s="27"/>
      <c r="E413" s="27"/>
      <c r="F413" s="48"/>
      <c r="G413" s="48"/>
      <c r="H413" s="48"/>
      <c r="I413" s="48"/>
      <c r="J413" s="48"/>
      <c r="K413" s="48"/>
      <c r="L413" s="48"/>
      <c r="M413" s="48"/>
      <c r="N413" s="48"/>
      <c r="O413" s="48"/>
      <c r="P413" s="48"/>
      <c r="Q413" s="48"/>
      <c r="R413" s="48"/>
      <c r="S413" s="48"/>
      <c r="T413" s="48"/>
      <c r="U413" s="48"/>
      <c r="V413" s="48"/>
      <c r="W413" s="48"/>
      <c r="X413" s="48"/>
    </row>
    <row r="414" ht="15.75" customHeight="1">
      <c r="A414" s="56"/>
      <c r="B414" s="48"/>
      <c r="C414" s="48"/>
      <c r="D414" s="27"/>
      <c r="E414" s="27"/>
      <c r="F414" s="48"/>
      <c r="G414" s="48"/>
      <c r="H414" s="48"/>
      <c r="I414" s="48"/>
      <c r="J414" s="48"/>
      <c r="K414" s="48"/>
      <c r="L414" s="48"/>
      <c r="M414" s="48"/>
      <c r="N414" s="48"/>
      <c r="O414" s="48"/>
      <c r="P414" s="48"/>
      <c r="Q414" s="48"/>
      <c r="R414" s="48"/>
      <c r="S414" s="48"/>
      <c r="T414" s="48"/>
      <c r="U414" s="48"/>
      <c r="V414" s="48"/>
      <c r="W414" s="48"/>
      <c r="X414" s="48"/>
    </row>
    <row r="415" ht="15.75" customHeight="1">
      <c r="A415" s="56"/>
      <c r="B415" s="48"/>
      <c r="C415" s="48"/>
      <c r="D415" s="27"/>
      <c r="E415" s="27"/>
      <c r="F415" s="48"/>
      <c r="G415" s="48"/>
      <c r="H415" s="48"/>
      <c r="I415" s="48"/>
      <c r="J415" s="48"/>
      <c r="K415" s="48"/>
      <c r="L415" s="48"/>
      <c r="M415" s="48"/>
      <c r="N415" s="48"/>
      <c r="O415" s="48"/>
      <c r="P415" s="48"/>
      <c r="Q415" s="48"/>
      <c r="R415" s="48"/>
      <c r="S415" s="48"/>
      <c r="T415" s="48"/>
      <c r="U415" s="48"/>
      <c r="V415" s="48"/>
      <c r="W415" s="48"/>
      <c r="X415" s="48"/>
    </row>
    <row r="416" ht="15.75" customHeight="1">
      <c r="A416" s="56"/>
      <c r="B416" s="48"/>
      <c r="C416" s="48"/>
      <c r="D416" s="27"/>
      <c r="E416" s="27"/>
      <c r="F416" s="48"/>
      <c r="G416" s="48"/>
      <c r="H416" s="48"/>
      <c r="I416" s="48"/>
      <c r="J416" s="48"/>
      <c r="K416" s="48"/>
      <c r="L416" s="48"/>
      <c r="M416" s="48"/>
      <c r="N416" s="48"/>
      <c r="O416" s="48"/>
      <c r="P416" s="48"/>
      <c r="Q416" s="48"/>
      <c r="R416" s="48"/>
      <c r="S416" s="48"/>
      <c r="T416" s="48"/>
      <c r="U416" s="48"/>
      <c r="V416" s="48"/>
      <c r="W416" s="48"/>
      <c r="X416" s="48"/>
    </row>
    <row r="417" ht="15.75" customHeight="1">
      <c r="A417" s="56"/>
      <c r="B417" s="48"/>
      <c r="C417" s="48"/>
      <c r="D417" s="27"/>
      <c r="E417" s="27"/>
      <c r="F417" s="48"/>
      <c r="G417" s="48"/>
      <c r="H417" s="48"/>
      <c r="I417" s="48"/>
      <c r="J417" s="48"/>
      <c r="K417" s="48"/>
      <c r="L417" s="48"/>
      <c r="M417" s="48"/>
      <c r="N417" s="48"/>
      <c r="O417" s="48"/>
      <c r="P417" s="48"/>
      <c r="Q417" s="48"/>
      <c r="R417" s="48"/>
      <c r="S417" s="48"/>
      <c r="T417" s="48"/>
      <c r="U417" s="48"/>
      <c r="V417" s="48"/>
      <c r="W417" s="48"/>
      <c r="X417" s="48"/>
    </row>
    <row r="418" ht="15.75" customHeight="1">
      <c r="A418" s="56"/>
      <c r="B418" s="48"/>
      <c r="C418" s="48"/>
      <c r="D418" s="27"/>
      <c r="E418" s="27"/>
      <c r="F418" s="48"/>
      <c r="G418" s="48"/>
      <c r="H418" s="48"/>
      <c r="I418" s="48"/>
      <c r="J418" s="48"/>
      <c r="K418" s="48"/>
      <c r="L418" s="48"/>
      <c r="M418" s="48"/>
      <c r="N418" s="48"/>
      <c r="O418" s="48"/>
      <c r="P418" s="48"/>
      <c r="Q418" s="48"/>
      <c r="R418" s="48"/>
      <c r="S418" s="48"/>
      <c r="T418" s="48"/>
      <c r="U418" s="48"/>
      <c r="V418" s="48"/>
      <c r="W418" s="48"/>
      <c r="X418" s="48"/>
    </row>
    <row r="419" ht="15.75" customHeight="1">
      <c r="A419" s="56"/>
      <c r="B419" s="48"/>
      <c r="C419" s="48"/>
      <c r="D419" s="27"/>
      <c r="E419" s="27"/>
      <c r="F419" s="48"/>
      <c r="G419" s="48"/>
      <c r="H419" s="48"/>
      <c r="I419" s="48"/>
      <c r="J419" s="48"/>
      <c r="K419" s="48"/>
      <c r="L419" s="48"/>
      <c r="M419" s="48"/>
      <c r="N419" s="48"/>
      <c r="O419" s="48"/>
      <c r="P419" s="48"/>
      <c r="Q419" s="48"/>
      <c r="R419" s="48"/>
      <c r="S419" s="48"/>
      <c r="T419" s="48"/>
      <c r="U419" s="48"/>
      <c r="V419" s="48"/>
      <c r="W419" s="48"/>
      <c r="X419" s="48"/>
    </row>
    <row r="420" ht="15.75" customHeight="1">
      <c r="A420" s="56"/>
      <c r="B420" s="48"/>
      <c r="C420" s="48"/>
      <c r="D420" s="27"/>
      <c r="E420" s="27"/>
      <c r="F420" s="48"/>
      <c r="G420" s="48"/>
      <c r="H420" s="48"/>
      <c r="I420" s="48"/>
      <c r="J420" s="48"/>
      <c r="K420" s="48"/>
      <c r="L420" s="48"/>
      <c r="M420" s="48"/>
      <c r="N420" s="48"/>
      <c r="O420" s="48"/>
      <c r="P420" s="48"/>
      <c r="Q420" s="48"/>
      <c r="R420" s="48"/>
      <c r="S420" s="48"/>
      <c r="T420" s="48"/>
      <c r="U420" s="48"/>
      <c r="V420" s="48"/>
      <c r="W420" s="48"/>
      <c r="X420" s="48"/>
    </row>
    <row r="421" ht="15.75" customHeight="1">
      <c r="A421" s="56"/>
      <c r="B421" s="48"/>
      <c r="C421" s="48"/>
      <c r="D421" s="27"/>
      <c r="E421" s="27"/>
      <c r="F421" s="48"/>
      <c r="G421" s="48"/>
      <c r="H421" s="48"/>
      <c r="I421" s="48"/>
      <c r="J421" s="48"/>
      <c r="K421" s="48"/>
      <c r="L421" s="48"/>
      <c r="M421" s="48"/>
      <c r="N421" s="48"/>
      <c r="O421" s="48"/>
      <c r="P421" s="48"/>
      <c r="Q421" s="48"/>
      <c r="R421" s="48"/>
      <c r="S421" s="48"/>
      <c r="T421" s="48"/>
      <c r="U421" s="48"/>
      <c r="V421" s="48"/>
      <c r="W421" s="48"/>
      <c r="X421" s="48"/>
    </row>
    <row r="422" ht="15.75" customHeight="1">
      <c r="A422" s="56"/>
      <c r="B422" s="48"/>
      <c r="C422" s="48"/>
      <c r="D422" s="27"/>
      <c r="E422" s="27"/>
      <c r="F422" s="48"/>
      <c r="G422" s="48"/>
      <c r="H422" s="48"/>
      <c r="I422" s="48"/>
      <c r="J422" s="48"/>
      <c r="K422" s="48"/>
      <c r="L422" s="48"/>
      <c r="M422" s="48"/>
      <c r="N422" s="48"/>
      <c r="O422" s="48"/>
      <c r="P422" s="48"/>
      <c r="Q422" s="48"/>
      <c r="R422" s="48"/>
      <c r="S422" s="48"/>
      <c r="T422" s="48"/>
      <c r="U422" s="48"/>
      <c r="V422" s="48"/>
      <c r="W422" s="48"/>
      <c r="X422" s="48"/>
    </row>
    <row r="423" ht="15.75" customHeight="1">
      <c r="A423" s="56"/>
      <c r="B423" s="48"/>
      <c r="C423" s="48"/>
      <c r="D423" s="27"/>
      <c r="E423" s="27"/>
      <c r="F423" s="48"/>
      <c r="G423" s="48"/>
      <c r="H423" s="48"/>
      <c r="I423" s="48"/>
      <c r="J423" s="48"/>
      <c r="K423" s="48"/>
      <c r="L423" s="48"/>
      <c r="M423" s="48"/>
      <c r="N423" s="48"/>
      <c r="O423" s="48"/>
      <c r="P423" s="48"/>
      <c r="Q423" s="48"/>
      <c r="R423" s="48"/>
      <c r="S423" s="48"/>
      <c r="T423" s="48"/>
      <c r="U423" s="48"/>
      <c r="V423" s="48"/>
      <c r="W423" s="48"/>
      <c r="X423" s="48"/>
    </row>
    <row r="424" ht="15.75" customHeight="1">
      <c r="A424" s="56"/>
      <c r="B424" s="48"/>
      <c r="C424" s="48"/>
      <c r="D424" s="27"/>
      <c r="E424" s="27"/>
      <c r="F424" s="48"/>
      <c r="G424" s="48"/>
      <c r="H424" s="48"/>
      <c r="I424" s="48"/>
      <c r="J424" s="48"/>
      <c r="K424" s="48"/>
      <c r="L424" s="48"/>
      <c r="M424" s="48"/>
      <c r="N424" s="48"/>
      <c r="O424" s="48"/>
      <c r="P424" s="48"/>
      <c r="Q424" s="48"/>
      <c r="R424" s="48"/>
      <c r="S424" s="48"/>
      <c r="T424" s="48"/>
      <c r="U424" s="48"/>
      <c r="V424" s="48"/>
      <c r="W424" s="48"/>
      <c r="X424" s="48"/>
    </row>
    <row r="425" ht="15.75" customHeight="1">
      <c r="A425" s="56"/>
      <c r="B425" s="48"/>
      <c r="C425" s="48"/>
      <c r="D425" s="27"/>
      <c r="E425" s="27"/>
      <c r="F425" s="48"/>
      <c r="G425" s="48"/>
      <c r="H425" s="48"/>
      <c r="I425" s="48"/>
      <c r="J425" s="48"/>
      <c r="K425" s="48"/>
      <c r="L425" s="48"/>
      <c r="M425" s="48"/>
      <c r="N425" s="48"/>
      <c r="O425" s="48"/>
      <c r="P425" s="48"/>
      <c r="Q425" s="48"/>
      <c r="R425" s="48"/>
      <c r="S425" s="48"/>
      <c r="T425" s="48"/>
      <c r="U425" s="48"/>
      <c r="V425" s="48"/>
      <c r="W425" s="48"/>
      <c r="X425" s="48"/>
    </row>
    <row r="426" ht="15.75" customHeight="1">
      <c r="A426" s="56"/>
      <c r="B426" s="48"/>
      <c r="C426" s="48"/>
      <c r="D426" s="27"/>
      <c r="E426" s="27"/>
      <c r="F426" s="48"/>
      <c r="G426" s="48"/>
      <c r="H426" s="48"/>
      <c r="I426" s="48"/>
      <c r="J426" s="48"/>
      <c r="K426" s="48"/>
      <c r="L426" s="48"/>
      <c r="M426" s="48"/>
      <c r="N426" s="48"/>
      <c r="O426" s="48"/>
      <c r="P426" s="48"/>
      <c r="Q426" s="48"/>
      <c r="R426" s="48"/>
      <c r="S426" s="48"/>
      <c r="T426" s="48"/>
      <c r="U426" s="48"/>
      <c r="V426" s="48"/>
      <c r="W426" s="48"/>
      <c r="X426" s="48"/>
    </row>
    <row r="427" ht="15.75" customHeight="1">
      <c r="A427" s="56"/>
      <c r="B427" s="48"/>
      <c r="C427" s="48"/>
      <c r="D427" s="27"/>
      <c r="E427" s="27"/>
      <c r="F427" s="48"/>
      <c r="G427" s="48"/>
      <c r="H427" s="48"/>
      <c r="I427" s="48"/>
      <c r="J427" s="48"/>
      <c r="K427" s="48"/>
      <c r="L427" s="48"/>
      <c r="M427" s="48"/>
      <c r="N427" s="48"/>
      <c r="O427" s="48"/>
      <c r="P427" s="48"/>
      <c r="Q427" s="48"/>
      <c r="R427" s="48"/>
      <c r="S427" s="48"/>
      <c r="T427" s="48"/>
      <c r="U427" s="48"/>
      <c r="V427" s="48"/>
      <c r="W427" s="48"/>
      <c r="X427" s="48"/>
    </row>
    <row r="428" ht="15.75" customHeight="1">
      <c r="A428" s="56"/>
      <c r="B428" s="48"/>
      <c r="C428" s="48"/>
      <c r="D428" s="27"/>
      <c r="E428" s="27"/>
      <c r="F428" s="48"/>
      <c r="G428" s="48"/>
      <c r="H428" s="48"/>
      <c r="I428" s="48"/>
      <c r="J428" s="48"/>
      <c r="K428" s="48"/>
      <c r="L428" s="48"/>
      <c r="M428" s="48"/>
      <c r="N428" s="48"/>
      <c r="O428" s="48"/>
      <c r="P428" s="48"/>
      <c r="Q428" s="48"/>
      <c r="R428" s="48"/>
      <c r="S428" s="48"/>
      <c r="T428" s="48"/>
      <c r="U428" s="48"/>
      <c r="V428" s="48"/>
      <c r="W428" s="48"/>
      <c r="X428" s="48"/>
    </row>
    <row r="429" ht="15.75" customHeight="1">
      <c r="A429" s="56"/>
      <c r="B429" s="48"/>
      <c r="C429" s="48"/>
      <c r="D429" s="27"/>
      <c r="E429" s="27"/>
      <c r="F429" s="48"/>
      <c r="G429" s="48"/>
      <c r="H429" s="48"/>
      <c r="I429" s="48"/>
      <c r="J429" s="48"/>
      <c r="K429" s="48"/>
      <c r="L429" s="48"/>
      <c r="M429" s="48"/>
      <c r="N429" s="48"/>
      <c r="O429" s="48"/>
      <c r="P429" s="48"/>
      <c r="Q429" s="48"/>
      <c r="R429" s="48"/>
      <c r="S429" s="48"/>
      <c r="T429" s="48"/>
      <c r="U429" s="48"/>
      <c r="V429" s="48"/>
      <c r="W429" s="48"/>
      <c r="X429" s="48"/>
    </row>
    <row r="430" ht="15.75" customHeight="1">
      <c r="A430" s="56"/>
      <c r="B430" s="48"/>
      <c r="C430" s="48"/>
      <c r="D430" s="27"/>
      <c r="E430" s="27"/>
      <c r="F430" s="48"/>
      <c r="G430" s="48"/>
      <c r="H430" s="48"/>
      <c r="I430" s="48"/>
      <c r="J430" s="48"/>
      <c r="K430" s="48"/>
      <c r="L430" s="48"/>
      <c r="M430" s="48"/>
      <c r="N430" s="48"/>
      <c r="O430" s="48"/>
      <c r="P430" s="48"/>
      <c r="Q430" s="48"/>
      <c r="R430" s="48"/>
      <c r="S430" s="48"/>
      <c r="T430" s="48"/>
      <c r="U430" s="48"/>
      <c r="V430" s="48"/>
      <c r="W430" s="48"/>
      <c r="X430" s="48"/>
    </row>
    <row r="431" ht="15.75" customHeight="1">
      <c r="A431" s="56"/>
      <c r="B431" s="48"/>
      <c r="C431" s="48"/>
      <c r="D431" s="27"/>
      <c r="E431" s="27"/>
      <c r="F431" s="48"/>
      <c r="G431" s="48"/>
      <c r="H431" s="48"/>
      <c r="I431" s="48"/>
      <c r="J431" s="48"/>
      <c r="K431" s="48"/>
      <c r="L431" s="48"/>
      <c r="M431" s="48"/>
      <c r="N431" s="48"/>
      <c r="O431" s="48"/>
      <c r="P431" s="48"/>
      <c r="Q431" s="48"/>
      <c r="R431" s="48"/>
      <c r="S431" s="48"/>
      <c r="T431" s="48"/>
      <c r="U431" s="48"/>
      <c r="V431" s="48"/>
      <c r="W431" s="48"/>
      <c r="X431" s="48"/>
    </row>
    <row r="432" ht="15.75" customHeight="1">
      <c r="A432" s="56"/>
      <c r="B432" s="48"/>
      <c r="C432" s="48"/>
      <c r="D432" s="27"/>
      <c r="E432" s="27"/>
      <c r="F432" s="48"/>
      <c r="G432" s="48"/>
      <c r="H432" s="48"/>
      <c r="I432" s="48"/>
      <c r="J432" s="48"/>
      <c r="K432" s="48"/>
      <c r="L432" s="48"/>
      <c r="M432" s="48"/>
      <c r="N432" s="48"/>
      <c r="O432" s="48"/>
      <c r="P432" s="48"/>
      <c r="Q432" s="48"/>
      <c r="R432" s="48"/>
      <c r="S432" s="48"/>
      <c r="T432" s="48"/>
      <c r="U432" s="48"/>
      <c r="V432" s="48"/>
      <c r="W432" s="48"/>
      <c r="X432" s="48"/>
    </row>
    <row r="433" ht="15.75" customHeight="1">
      <c r="A433" s="56"/>
      <c r="B433" s="48"/>
      <c r="C433" s="48"/>
      <c r="D433" s="27"/>
      <c r="E433" s="27"/>
      <c r="F433" s="48"/>
      <c r="G433" s="48"/>
      <c r="H433" s="48"/>
      <c r="I433" s="48"/>
      <c r="J433" s="48"/>
      <c r="K433" s="48"/>
      <c r="L433" s="48"/>
      <c r="M433" s="48"/>
      <c r="N433" s="48"/>
      <c r="O433" s="48"/>
      <c r="P433" s="48"/>
      <c r="Q433" s="48"/>
      <c r="R433" s="48"/>
      <c r="S433" s="48"/>
      <c r="T433" s="48"/>
      <c r="U433" s="48"/>
      <c r="V433" s="48"/>
      <c r="W433" s="48"/>
      <c r="X433" s="48"/>
    </row>
    <row r="434" ht="15.75" customHeight="1">
      <c r="A434" s="56"/>
      <c r="B434" s="48"/>
      <c r="C434" s="48"/>
      <c r="D434" s="27"/>
      <c r="E434" s="27"/>
      <c r="F434" s="48"/>
      <c r="G434" s="48"/>
      <c r="H434" s="48"/>
      <c r="I434" s="48"/>
      <c r="J434" s="48"/>
      <c r="K434" s="48"/>
      <c r="L434" s="48"/>
      <c r="M434" s="48"/>
      <c r="N434" s="48"/>
      <c r="O434" s="48"/>
      <c r="P434" s="48"/>
      <c r="Q434" s="48"/>
      <c r="R434" s="48"/>
      <c r="S434" s="48"/>
      <c r="T434" s="48"/>
      <c r="U434" s="48"/>
      <c r="V434" s="48"/>
      <c r="W434" s="48"/>
      <c r="X434" s="48"/>
    </row>
    <row r="435" ht="15.75" customHeight="1">
      <c r="A435" s="56"/>
      <c r="B435" s="48"/>
      <c r="C435" s="48"/>
      <c r="D435" s="27"/>
      <c r="E435" s="27"/>
      <c r="F435" s="48"/>
      <c r="G435" s="48"/>
      <c r="H435" s="48"/>
      <c r="I435" s="48"/>
      <c r="J435" s="48"/>
      <c r="K435" s="48"/>
      <c r="L435" s="48"/>
      <c r="M435" s="48"/>
      <c r="N435" s="48"/>
      <c r="O435" s="48"/>
      <c r="P435" s="48"/>
      <c r="Q435" s="48"/>
      <c r="R435" s="48"/>
      <c r="S435" s="48"/>
      <c r="T435" s="48"/>
      <c r="U435" s="48"/>
      <c r="V435" s="48"/>
      <c r="W435" s="48"/>
      <c r="X435" s="48"/>
    </row>
    <row r="436" ht="15.75" customHeight="1">
      <c r="A436" s="56"/>
      <c r="B436" s="48"/>
      <c r="C436" s="48"/>
      <c r="D436" s="27"/>
      <c r="E436" s="27"/>
      <c r="F436" s="48"/>
      <c r="G436" s="48"/>
      <c r="H436" s="48"/>
      <c r="I436" s="48"/>
      <c r="J436" s="48"/>
      <c r="K436" s="48"/>
      <c r="L436" s="48"/>
      <c r="M436" s="48"/>
      <c r="N436" s="48"/>
      <c r="O436" s="48"/>
      <c r="P436" s="48"/>
      <c r="Q436" s="48"/>
      <c r="R436" s="48"/>
      <c r="S436" s="48"/>
      <c r="T436" s="48"/>
      <c r="U436" s="48"/>
      <c r="V436" s="48"/>
      <c r="W436" s="48"/>
      <c r="X436" s="48"/>
    </row>
    <row r="437" ht="15.75" customHeight="1">
      <c r="A437" s="56"/>
      <c r="B437" s="48"/>
      <c r="C437" s="48"/>
      <c r="D437" s="27"/>
      <c r="E437" s="27"/>
      <c r="F437" s="48"/>
      <c r="G437" s="48"/>
      <c r="H437" s="48"/>
      <c r="I437" s="48"/>
      <c r="J437" s="48"/>
      <c r="K437" s="48"/>
      <c r="L437" s="48"/>
      <c r="M437" s="48"/>
      <c r="N437" s="48"/>
      <c r="O437" s="48"/>
      <c r="P437" s="48"/>
      <c r="Q437" s="48"/>
      <c r="R437" s="48"/>
      <c r="S437" s="48"/>
      <c r="T437" s="48"/>
      <c r="U437" s="48"/>
      <c r="V437" s="48"/>
      <c r="W437" s="48"/>
      <c r="X437" s="48"/>
    </row>
    <row r="438" ht="15.75" customHeight="1">
      <c r="A438" s="56"/>
      <c r="B438" s="48"/>
      <c r="C438" s="48"/>
      <c r="D438" s="27"/>
      <c r="E438" s="27"/>
      <c r="F438" s="48"/>
      <c r="G438" s="48"/>
      <c r="H438" s="48"/>
      <c r="I438" s="48"/>
      <c r="J438" s="48"/>
      <c r="K438" s="48"/>
      <c r="L438" s="48"/>
      <c r="M438" s="48"/>
      <c r="N438" s="48"/>
      <c r="O438" s="48"/>
      <c r="P438" s="48"/>
      <c r="Q438" s="48"/>
      <c r="R438" s="48"/>
      <c r="S438" s="48"/>
      <c r="T438" s="48"/>
      <c r="U438" s="48"/>
      <c r="V438" s="48"/>
      <c r="W438" s="48"/>
      <c r="X438" s="48"/>
    </row>
    <row r="439" ht="15.75" customHeight="1">
      <c r="A439" s="56"/>
      <c r="B439" s="48"/>
      <c r="C439" s="48"/>
      <c r="D439" s="27"/>
      <c r="E439" s="27"/>
      <c r="F439" s="48"/>
      <c r="G439" s="48"/>
      <c r="H439" s="48"/>
      <c r="I439" s="48"/>
      <c r="J439" s="48"/>
      <c r="K439" s="48"/>
      <c r="L439" s="48"/>
      <c r="M439" s="48"/>
      <c r="N439" s="48"/>
      <c r="O439" s="48"/>
      <c r="P439" s="48"/>
      <c r="Q439" s="48"/>
      <c r="R439" s="48"/>
      <c r="S439" s="48"/>
      <c r="T439" s="48"/>
      <c r="U439" s="48"/>
      <c r="V439" s="48"/>
      <c r="W439" s="48"/>
      <c r="X439" s="48"/>
    </row>
    <row r="440" ht="15.75" customHeight="1">
      <c r="A440" s="56"/>
      <c r="B440" s="48"/>
      <c r="C440" s="48"/>
      <c r="D440" s="27"/>
      <c r="E440" s="27"/>
      <c r="F440" s="48"/>
      <c r="G440" s="48"/>
      <c r="H440" s="48"/>
      <c r="I440" s="48"/>
      <c r="J440" s="48"/>
      <c r="K440" s="48"/>
      <c r="L440" s="48"/>
      <c r="M440" s="48"/>
      <c r="N440" s="48"/>
      <c r="O440" s="48"/>
      <c r="P440" s="48"/>
      <c r="Q440" s="48"/>
      <c r="R440" s="48"/>
      <c r="S440" s="48"/>
      <c r="T440" s="48"/>
      <c r="U440" s="48"/>
      <c r="V440" s="48"/>
      <c r="W440" s="48"/>
      <c r="X440" s="48"/>
    </row>
    <row r="441" ht="15.75" customHeight="1">
      <c r="A441" s="56"/>
      <c r="B441" s="48"/>
      <c r="C441" s="48"/>
      <c r="D441" s="27"/>
      <c r="E441" s="27"/>
      <c r="F441" s="48"/>
      <c r="G441" s="48"/>
      <c r="H441" s="48"/>
      <c r="I441" s="48"/>
      <c r="J441" s="48"/>
      <c r="K441" s="48"/>
      <c r="L441" s="48"/>
      <c r="M441" s="48"/>
      <c r="N441" s="48"/>
      <c r="O441" s="48"/>
      <c r="P441" s="48"/>
      <c r="Q441" s="48"/>
      <c r="R441" s="48"/>
      <c r="S441" s="48"/>
      <c r="T441" s="48"/>
      <c r="U441" s="48"/>
      <c r="V441" s="48"/>
      <c r="W441" s="48"/>
      <c r="X441" s="48"/>
    </row>
    <row r="442" ht="15.75" customHeight="1">
      <c r="A442" s="56"/>
      <c r="B442" s="48"/>
      <c r="C442" s="48"/>
      <c r="D442" s="27"/>
      <c r="E442" s="27"/>
      <c r="F442" s="48"/>
      <c r="G442" s="48"/>
      <c r="H442" s="48"/>
      <c r="I442" s="48"/>
      <c r="J442" s="48"/>
      <c r="K442" s="48"/>
      <c r="L442" s="48"/>
      <c r="M442" s="48"/>
      <c r="N442" s="48"/>
      <c r="O442" s="48"/>
      <c r="P442" s="48"/>
      <c r="Q442" s="48"/>
      <c r="R442" s="48"/>
      <c r="S442" s="48"/>
      <c r="T442" s="48"/>
      <c r="U442" s="48"/>
      <c r="V442" s="48"/>
      <c r="W442" s="48"/>
      <c r="X442" s="48"/>
    </row>
    <row r="443" ht="15.75" customHeight="1">
      <c r="A443" s="56"/>
      <c r="B443" s="48"/>
      <c r="C443" s="48"/>
      <c r="D443" s="27"/>
      <c r="E443" s="27"/>
      <c r="F443" s="48"/>
      <c r="G443" s="48"/>
      <c r="H443" s="48"/>
      <c r="I443" s="48"/>
      <c r="J443" s="48"/>
      <c r="K443" s="48"/>
      <c r="L443" s="48"/>
      <c r="M443" s="48"/>
      <c r="N443" s="48"/>
      <c r="O443" s="48"/>
      <c r="P443" s="48"/>
      <c r="Q443" s="48"/>
      <c r="R443" s="48"/>
      <c r="S443" s="48"/>
      <c r="T443" s="48"/>
      <c r="U443" s="48"/>
      <c r="V443" s="48"/>
      <c r="W443" s="48"/>
      <c r="X443" s="48"/>
    </row>
    <row r="444" ht="15.75" customHeight="1">
      <c r="A444" s="56"/>
      <c r="B444" s="48"/>
      <c r="C444" s="48"/>
      <c r="D444" s="27"/>
      <c r="E444" s="27"/>
      <c r="F444" s="48"/>
      <c r="G444" s="48"/>
      <c r="H444" s="48"/>
      <c r="I444" s="48"/>
      <c r="J444" s="48"/>
      <c r="K444" s="48"/>
      <c r="L444" s="48"/>
      <c r="M444" s="48"/>
      <c r="N444" s="48"/>
      <c r="O444" s="48"/>
      <c r="P444" s="48"/>
      <c r="Q444" s="48"/>
      <c r="R444" s="48"/>
      <c r="S444" s="48"/>
      <c r="T444" s="48"/>
      <c r="U444" s="48"/>
      <c r="V444" s="48"/>
      <c r="W444" s="48"/>
      <c r="X444" s="48"/>
    </row>
    <row r="445" ht="15.75" customHeight="1">
      <c r="A445" s="56"/>
      <c r="B445" s="48"/>
      <c r="C445" s="48"/>
      <c r="D445" s="27"/>
      <c r="E445" s="27"/>
      <c r="F445" s="48"/>
      <c r="G445" s="48"/>
      <c r="H445" s="48"/>
      <c r="I445" s="48"/>
      <c r="J445" s="48"/>
      <c r="K445" s="48"/>
      <c r="L445" s="48"/>
      <c r="M445" s="48"/>
      <c r="N445" s="48"/>
      <c r="O445" s="48"/>
      <c r="P445" s="48"/>
      <c r="Q445" s="48"/>
      <c r="R445" s="48"/>
      <c r="S445" s="48"/>
      <c r="T445" s="48"/>
      <c r="U445" s="48"/>
      <c r="V445" s="48"/>
      <c r="W445" s="48"/>
      <c r="X445" s="48"/>
    </row>
    <row r="446" ht="15.75" customHeight="1">
      <c r="A446" s="56"/>
      <c r="B446" s="48"/>
      <c r="C446" s="48"/>
      <c r="D446" s="27"/>
      <c r="E446" s="27"/>
      <c r="F446" s="48"/>
      <c r="G446" s="48"/>
      <c r="H446" s="48"/>
      <c r="I446" s="48"/>
      <c r="J446" s="48"/>
      <c r="K446" s="48"/>
      <c r="L446" s="48"/>
      <c r="M446" s="48"/>
      <c r="N446" s="48"/>
      <c r="O446" s="48"/>
      <c r="P446" s="48"/>
      <c r="Q446" s="48"/>
      <c r="R446" s="48"/>
      <c r="S446" s="48"/>
      <c r="T446" s="48"/>
      <c r="U446" s="48"/>
      <c r="V446" s="48"/>
      <c r="W446" s="48"/>
      <c r="X446" s="48"/>
    </row>
    <row r="447" ht="15.75" customHeight="1">
      <c r="A447" s="56"/>
      <c r="B447" s="48"/>
      <c r="C447" s="48"/>
      <c r="D447" s="27"/>
      <c r="E447" s="27"/>
      <c r="F447" s="48"/>
      <c r="G447" s="48"/>
      <c r="H447" s="48"/>
      <c r="I447" s="48"/>
      <c r="J447" s="48"/>
      <c r="K447" s="48"/>
      <c r="L447" s="48"/>
      <c r="M447" s="48"/>
      <c r="N447" s="48"/>
      <c r="O447" s="48"/>
      <c r="P447" s="48"/>
      <c r="Q447" s="48"/>
      <c r="R447" s="48"/>
      <c r="S447" s="48"/>
      <c r="T447" s="48"/>
      <c r="U447" s="48"/>
      <c r="V447" s="48"/>
      <c r="W447" s="48"/>
      <c r="X447" s="48"/>
    </row>
    <row r="448" ht="15.75" customHeight="1">
      <c r="A448" s="56"/>
      <c r="B448" s="48"/>
      <c r="C448" s="48"/>
      <c r="D448" s="27"/>
      <c r="E448" s="27"/>
      <c r="F448" s="48"/>
      <c r="G448" s="48"/>
      <c r="H448" s="48"/>
      <c r="I448" s="48"/>
      <c r="J448" s="48"/>
      <c r="K448" s="48"/>
      <c r="L448" s="48"/>
      <c r="M448" s="48"/>
      <c r="N448" s="48"/>
      <c r="O448" s="48"/>
      <c r="P448" s="48"/>
      <c r="Q448" s="48"/>
      <c r="R448" s="48"/>
      <c r="S448" s="48"/>
      <c r="T448" s="48"/>
      <c r="U448" s="48"/>
      <c r="V448" s="48"/>
      <c r="W448" s="48"/>
      <c r="X448" s="48"/>
    </row>
    <row r="449" ht="15.75" customHeight="1">
      <c r="A449" s="56"/>
      <c r="B449" s="48"/>
      <c r="C449" s="48"/>
      <c r="D449" s="27"/>
      <c r="E449" s="27"/>
      <c r="F449" s="48"/>
      <c r="G449" s="48"/>
      <c r="H449" s="48"/>
      <c r="I449" s="48"/>
      <c r="J449" s="48"/>
      <c r="K449" s="48"/>
      <c r="L449" s="48"/>
      <c r="M449" s="48"/>
      <c r="N449" s="48"/>
      <c r="O449" s="48"/>
      <c r="P449" s="48"/>
      <c r="Q449" s="48"/>
      <c r="R449" s="48"/>
      <c r="S449" s="48"/>
      <c r="T449" s="48"/>
      <c r="U449" s="48"/>
      <c r="V449" s="48"/>
      <c r="W449" s="48"/>
      <c r="X449" s="48"/>
    </row>
    <row r="450" ht="15.75" customHeight="1">
      <c r="A450" s="56"/>
      <c r="B450" s="48"/>
      <c r="C450" s="48"/>
      <c r="D450" s="27"/>
      <c r="E450" s="27"/>
      <c r="F450" s="48"/>
      <c r="G450" s="48"/>
      <c r="H450" s="48"/>
      <c r="I450" s="48"/>
      <c r="J450" s="48"/>
      <c r="K450" s="48"/>
      <c r="L450" s="48"/>
      <c r="M450" s="48"/>
      <c r="N450" s="48"/>
      <c r="O450" s="48"/>
      <c r="P450" s="48"/>
      <c r="Q450" s="48"/>
      <c r="R450" s="48"/>
      <c r="S450" s="48"/>
      <c r="T450" s="48"/>
      <c r="U450" s="48"/>
      <c r="V450" s="48"/>
      <c r="W450" s="48"/>
      <c r="X450" s="48"/>
    </row>
    <row r="451" ht="15.75" customHeight="1">
      <c r="A451" s="56"/>
      <c r="B451" s="48"/>
      <c r="C451" s="48"/>
      <c r="D451" s="27"/>
      <c r="E451" s="27"/>
      <c r="F451" s="48"/>
      <c r="G451" s="48"/>
      <c r="H451" s="48"/>
      <c r="I451" s="48"/>
      <c r="J451" s="48"/>
      <c r="K451" s="48"/>
      <c r="L451" s="48"/>
      <c r="M451" s="48"/>
      <c r="N451" s="48"/>
      <c r="O451" s="48"/>
      <c r="P451" s="48"/>
      <c r="Q451" s="48"/>
      <c r="R451" s="48"/>
      <c r="S451" s="48"/>
      <c r="T451" s="48"/>
      <c r="U451" s="48"/>
      <c r="V451" s="48"/>
      <c r="W451" s="48"/>
      <c r="X451" s="48"/>
    </row>
    <row r="452" ht="15.75" customHeight="1">
      <c r="A452" s="56"/>
      <c r="B452" s="48"/>
      <c r="C452" s="48"/>
      <c r="D452" s="27"/>
      <c r="E452" s="27"/>
      <c r="F452" s="48"/>
      <c r="G452" s="48"/>
      <c r="H452" s="48"/>
      <c r="I452" s="48"/>
      <c r="J452" s="48"/>
      <c r="K452" s="48"/>
      <c r="L452" s="48"/>
      <c r="M452" s="48"/>
      <c r="N452" s="48"/>
      <c r="O452" s="48"/>
      <c r="P452" s="48"/>
      <c r="Q452" s="48"/>
      <c r="R452" s="48"/>
      <c r="S452" s="48"/>
      <c r="T452" s="48"/>
      <c r="U452" s="48"/>
      <c r="V452" s="48"/>
      <c r="W452" s="48"/>
      <c r="X452" s="48"/>
    </row>
    <row r="453" ht="15.75" customHeight="1">
      <c r="A453" s="56"/>
      <c r="B453" s="48"/>
      <c r="C453" s="48"/>
      <c r="D453" s="27"/>
      <c r="E453" s="27"/>
      <c r="F453" s="48"/>
      <c r="G453" s="48"/>
      <c r="H453" s="48"/>
      <c r="I453" s="48"/>
      <c r="J453" s="48"/>
      <c r="K453" s="48"/>
      <c r="L453" s="48"/>
      <c r="M453" s="48"/>
      <c r="N453" s="48"/>
      <c r="O453" s="48"/>
      <c r="P453" s="48"/>
      <c r="Q453" s="48"/>
      <c r="R453" s="48"/>
      <c r="S453" s="48"/>
      <c r="T453" s="48"/>
      <c r="U453" s="48"/>
      <c r="V453" s="48"/>
      <c r="W453" s="48"/>
      <c r="X453" s="48"/>
    </row>
    <row r="454" ht="15.75" customHeight="1">
      <c r="A454" s="56"/>
      <c r="B454" s="48"/>
      <c r="C454" s="48"/>
      <c r="D454" s="27"/>
      <c r="E454" s="27"/>
      <c r="F454" s="48"/>
      <c r="G454" s="48"/>
      <c r="H454" s="48"/>
      <c r="I454" s="48"/>
      <c r="J454" s="48"/>
      <c r="K454" s="48"/>
      <c r="L454" s="48"/>
      <c r="M454" s="48"/>
      <c r="N454" s="48"/>
      <c r="O454" s="48"/>
      <c r="P454" s="48"/>
      <c r="Q454" s="48"/>
      <c r="R454" s="48"/>
      <c r="S454" s="48"/>
      <c r="T454" s="48"/>
      <c r="U454" s="48"/>
      <c r="V454" s="48"/>
      <c r="W454" s="48"/>
      <c r="X454" s="48"/>
    </row>
    <row r="455" ht="15.75" customHeight="1">
      <c r="A455" s="56"/>
      <c r="B455" s="48"/>
      <c r="C455" s="48"/>
      <c r="D455" s="27"/>
      <c r="E455" s="27"/>
      <c r="F455" s="48"/>
      <c r="G455" s="48"/>
      <c r="H455" s="48"/>
      <c r="I455" s="48"/>
      <c r="J455" s="48"/>
      <c r="K455" s="48"/>
      <c r="L455" s="48"/>
      <c r="M455" s="48"/>
      <c r="N455" s="48"/>
      <c r="O455" s="48"/>
      <c r="P455" s="48"/>
      <c r="Q455" s="48"/>
      <c r="R455" s="48"/>
      <c r="S455" s="48"/>
      <c r="T455" s="48"/>
      <c r="U455" s="48"/>
      <c r="V455" s="48"/>
      <c r="W455" s="48"/>
      <c r="X455" s="48"/>
    </row>
    <row r="456" ht="15.75" customHeight="1">
      <c r="A456" s="56"/>
      <c r="B456" s="48"/>
      <c r="C456" s="48"/>
      <c r="D456" s="27"/>
      <c r="E456" s="27"/>
      <c r="F456" s="48"/>
      <c r="G456" s="48"/>
      <c r="H456" s="48"/>
      <c r="I456" s="48"/>
      <c r="J456" s="48"/>
      <c r="K456" s="48"/>
      <c r="L456" s="48"/>
      <c r="M456" s="48"/>
      <c r="N456" s="48"/>
      <c r="O456" s="48"/>
      <c r="P456" s="48"/>
      <c r="Q456" s="48"/>
      <c r="R456" s="48"/>
      <c r="S456" s="48"/>
      <c r="T456" s="48"/>
      <c r="U456" s="48"/>
      <c r="V456" s="48"/>
      <c r="W456" s="48"/>
      <c r="X456" s="48"/>
    </row>
    <row r="457" ht="15.75" customHeight="1">
      <c r="A457" s="56"/>
      <c r="B457" s="48"/>
      <c r="C457" s="48"/>
      <c r="D457" s="27"/>
      <c r="E457" s="27"/>
      <c r="F457" s="48"/>
      <c r="G457" s="48"/>
      <c r="H457" s="48"/>
      <c r="I457" s="48"/>
      <c r="J457" s="48"/>
      <c r="K457" s="48"/>
      <c r="L457" s="48"/>
      <c r="M457" s="48"/>
      <c r="N457" s="48"/>
      <c r="O457" s="48"/>
      <c r="P457" s="48"/>
      <c r="Q457" s="48"/>
      <c r="R457" s="48"/>
      <c r="S457" s="48"/>
      <c r="T457" s="48"/>
      <c r="U457" s="48"/>
      <c r="V457" s="48"/>
      <c r="W457" s="48"/>
      <c r="X457" s="48"/>
    </row>
    <row r="458" ht="15.75" customHeight="1">
      <c r="A458" s="56"/>
      <c r="B458" s="48"/>
      <c r="C458" s="48"/>
      <c r="D458" s="27"/>
      <c r="E458" s="27"/>
      <c r="F458" s="48"/>
      <c r="G458" s="48"/>
      <c r="H458" s="48"/>
      <c r="I458" s="48"/>
      <c r="J458" s="48"/>
      <c r="K458" s="48"/>
      <c r="L458" s="48"/>
      <c r="M458" s="48"/>
      <c r="N458" s="48"/>
      <c r="O458" s="48"/>
      <c r="P458" s="48"/>
      <c r="Q458" s="48"/>
      <c r="R458" s="48"/>
      <c r="S458" s="48"/>
      <c r="T458" s="48"/>
      <c r="U458" s="48"/>
      <c r="V458" s="48"/>
      <c r="W458" s="48"/>
      <c r="X458" s="48"/>
    </row>
    <row r="459" ht="15.75" customHeight="1">
      <c r="A459" s="56"/>
      <c r="B459" s="48"/>
      <c r="C459" s="48"/>
      <c r="D459" s="27"/>
      <c r="E459" s="27"/>
      <c r="F459" s="48"/>
      <c r="G459" s="48"/>
      <c r="H459" s="48"/>
      <c r="I459" s="48"/>
      <c r="J459" s="48"/>
      <c r="K459" s="48"/>
      <c r="L459" s="48"/>
      <c r="M459" s="48"/>
      <c r="N459" s="48"/>
      <c r="O459" s="48"/>
      <c r="P459" s="48"/>
      <c r="Q459" s="48"/>
      <c r="R459" s="48"/>
      <c r="S459" s="48"/>
      <c r="T459" s="48"/>
      <c r="U459" s="48"/>
      <c r="V459" s="48"/>
      <c r="W459" s="48"/>
      <c r="X459" s="48"/>
    </row>
    <row r="460" ht="15.75" customHeight="1">
      <c r="A460" s="56"/>
      <c r="B460" s="48"/>
      <c r="C460" s="48"/>
      <c r="D460" s="27"/>
      <c r="E460" s="27"/>
      <c r="F460" s="48"/>
      <c r="G460" s="48"/>
      <c r="H460" s="48"/>
      <c r="I460" s="48"/>
      <c r="J460" s="48"/>
      <c r="K460" s="48"/>
      <c r="L460" s="48"/>
      <c r="M460" s="48"/>
      <c r="N460" s="48"/>
      <c r="O460" s="48"/>
      <c r="P460" s="48"/>
      <c r="Q460" s="48"/>
      <c r="R460" s="48"/>
      <c r="S460" s="48"/>
      <c r="T460" s="48"/>
      <c r="U460" s="48"/>
      <c r="V460" s="48"/>
      <c r="W460" s="48"/>
      <c r="X460" s="48"/>
    </row>
    <row r="461" ht="15.75" customHeight="1">
      <c r="A461" s="56"/>
      <c r="B461" s="48"/>
      <c r="C461" s="48"/>
      <c r="D461" s="27"/>
      <c r="E461" s="27"/>
      <c r="F461" s="48"/>
      <c r="G461" s="48"/>
      <c r="H461" s="48"/>
      <c r="I461" s="48"/>
      <c r="J461" s="48"/>
      <c r="K461" s="48"/>
      <c r="L461" s="48"/>
      <c r="M461" s="48"/>
      <c r="N461" s="48"/>
      <c r="O461" s="48"/>
      <c r="P461" s="48"/>
      <c r="Q461" s="48"/>
      <c r="R461" s="48"/>
      <c r="S461" s="48"/>
      <c r="T461" s="48"/>
      <c r="U461" s="48"/>
      <c r="V461" s="48"/>
      <c r="W461" s="48"/>
      <c r="X461" s="48"/>
    </row>
    <row r="462" ht="15.75" customHeight="1">
      <c r="A462" s="56"/>
      <c r="B462" s="48"/>
      <c r="C462" s="48"/>
      <c r="D462" s="27"/>
      <c r="E462" s="27"/>
      <c r="F462" s="48"/>
      <c r="G462" s="48"/>
      <c r="H462" s="48"/>
      <c r="I462" s="48"/>
      <c r="J462" s="48"/>
      <c r="K462" s="48"/>
      <c r="L462" s="48"/>
      <c r="M462" s="48"/>
      <c r="N462" s="48"/>
      <c r="O462" s="48"/>
      <c r="P462" s="48"/>
      <c r="Q462" s="48"/>
      <c r="R462" s="48"/>
      <c r="S462" s="48"/>
      <c r="T462" s="48"/>
      <c r="U462" s="48"/>
      <c r="V462" s="48"/>
      <c r="W462" s="48"/>
      <c r="X462" s="48"/>
    </row>
    <row r="463" ht="15.75" customHeight="1">
      <c r="A463" s="56"/>
      <c r="B463" s="48"/>
      <c r="C463" s="48"/>
      <c r="D463" s="27"/>
      <c r="E463" s="27"/>
      <c r="F463" s="48"/>
      <c r="G463" s="48"/>
      <c r="H463" s="48"/>
      <c r="I463" s="48"/>
      <c r="J463" s="48"/>
      <c r="K463" s="48"/>
      <c r="L463" s="48"/>
      <c r="M463" s="48"/>
      <c r="N463" s="48"/>
      <c r="O463" s="48"/>
      <c r="P463" s="48"/>
      <c r="Q463" s="48"/>
      <c r="R463" s="48"/>
      <c r="S463" s="48"/>
      <c r="T463" s="48"/>
      <c r="U463" s="48"/>
      <c r="V463" s="48"/>
      <c r="W463" s="48"/>
      <c r="X463" s="48"/>
    </row>
    <row r="464" ht="15.75" customHeight="1">
      <c r="A464" s="56"/>
      <c r="B464" s="48"/>
      <c r="C464" s="48"/>
      <c r="D464" s="27"/>
      <c r="E464" s="27"/>
      <c r="F464" s="48"/>
      <c r="G464" s="48"/>
      <c r="H464" s="48"/>
      <c r="I464" s="48"/>
      <c r="J464" s="48"/>
      <c r="K464" s="48"/>
      <c r="L464" s="48"/>
      <c r="M464" s="48"/>
      <c r="N464" s="48"/>
      <c r="O464" s="48"/>
      <c r="P464" s="48"/>
      <c r="Q464" s="48"/>
      <c r="R464" s="48"/>
      <c r="S464" s="48"/>
      <c r="T464" s="48"/>
      <c r="U464" s="48"/>
      <c r="V464" s="48"/>
      <c r="W464" s="48"/>
      <c r="X464" s="48"/>
    </row>
    <row r="465" ht="15.75" customHeight="1">
      <c r="A465" s="56"/>
      <c r="B465" s="48"/>
      <c r="C465" s="48"/>
      <c r="D465" s="27"/>
      <c r="E465" s="27"/>
      <c r="F465" s="48"/>
      <c r="G465" s="48"/>
      <c r="H465" s="48"/>
      <c r="I465" s="48"/>
      <c r="J465" s="48"/>
      <c r="K465" s="48"/>
      <c r="L465" s="48"/>
      <c r="M465" s="48"/>
      <c r="N465" s="48"/>
      <c r="O465" s="48"/>
      <c r="P465" s="48"/>
      <c r="Q465" s="48"/>
      <c r="R465" s="48"/>
      <c r="S465" s="48"/>
      <c r="T465" s="48"/>
      <c r="U465" s="48"/>
      <c r="V465" s="48"/>
      <c r="W465" s="48"/>
      <c r="X465" s="48"/>
    </row>
    <row r="466" ht="15.75" customHeight="1">
      <c r="A466" s="56"/>
      <c r="B466" s="48"/>
      <c r="C466" s="48"/>
      <c r="D466" s="27"/>
      <c r="E466" s="27"/>
      <c r="F466" s="48"/>
      <c r="G466" s="48"/>
      <c r="H466" s="48"/>
      <c r="I466" s="48"/>
      <c r="J466" s="48"/>
      <c r="K466" s="48"/>
      <c r="L466" s="48"/>
      <c r="M466" s="48"/>
      <c r="N466" s="48"/>
      <c r="O466" s="48"/>
      <c r="P466" s="48"/>
      <c r="Q466" s="48"/>
      <c r="R466" s="48"/>
      <c r="S466" s="48"/>
      <c r="T466" s="48"/>
      <c r="U466" s="48"/>
      <c r="V466" s="48"/>
      <c r="W466" s="48"/>
      <c r="X466" s="48"/>
    </row>
    <row r="467" ht="15.75" customHeight="1">
      <c r="A467" s="56"/>
      <c r="B467" s="48"/>
      <c r="C467" s="48"/>
      <c r="D467" s="27"/>
      <c r="E467" s="27"/>
      <c r="F467" s="48"/>
      <c r="G467" s="48"/>
      <c r="H467" s="48"/>
      <c r="I467" s="48"/>
      <c r="J467" s="48"/>
      <c r="K467" s="48"/>
      <c r="L467" s="48"/>
      <c r="M467" s="48"/>
      <c r="N467" s="48"/>
      <c r="O467" s="48"/>
      <c r="P467" s="48"/>
      <c r="Q467" s="48"/>
      <c r="R467" s="48"/>
      <c r="S467" s="48"/>
      <c r="T467" s="48"/>
      <c r="U467" s="48"/>
      <c r="V467" s="48"/>
      <c r="W467" s="48"/>
      <c r="X467" s="48"/>
    </row>
    <row r="468" ht="15.75" customHeight="1">
      <c r="A468" s="56"/>
      <c r="B468" s="48"/>
      <c r="C468" s="48"/>
      <c r="D468" s="27"/>
      <c r="E468" s="27"/>
      <c r="F468" s="48"/>
      <c r="G468" s="48"/>
      <c r="H468" s="48"/>
      <c r="I468" s="48"/>
      <c r="J468" s="48"/>
      <c r="K468" s="48"/>
      <c r="L468" s="48"/>
      <c r="M468" s="48"/>
      <c r="N468" s="48"/>
      <c r="O468" s="48"/>
      <c r="P468" s="48"/>
      <c r="Q468" s="48"/>
      <c r="R468" s="48"/>
      <c r="S468" s="48"/>
      <c r="T468" s="48"/>
      <c r="U468" s="48"/>
      <c r="V468" s="48"/>
      <c r="W468" s="48"/>
      <c r="X468" s="48"/>
    </row>
    <row r="469" ht="15.75" customHeight="1">
      <c r="A469" s="56"/>
      <c r="B469" s="48"/>
      <c r="C469" s="48"/>
      <c r="D469" s="27"/>
      <c r="E469" s="27"/>
      <c r="F469" s="48"/>
      <c r="G469" s="48"/>
      <c r="H469" s="48"/>
      <c r="I469" s="48"/>
      <c r="J469" s="48"/>
      <c r="K469" s="48"/>
      <c r="L469" s="48"/>
      <c r="M469" s="48"/>
      <c r="N469" s="48"/>
      <c r="O469" s="48"/>
      <c r="P469" s="48"/>
      <c r="Q469" s="48"/>
      <c r="R469" s="48"/>
      <c r="S469" s="48"/>
      <c r="T469" s="48"/>
      <c r="U469" s="48"/>
      <c r="V469" s="48"/>
      <c r="W469" s="48"/>
      <c r="X469" s="48"/>
    </row>
    <row r="470" ht="15.75" customHeight="1">
      <c r="A470" s="56"/>
      <c r="B470" s="48"/>
      <c r="C470" s="48"/>
      <c r="D470" s="27"/>
      <c r="E470" s="27"/>
      <c r="F470" s="48"/>
      <c r="G470" s="48"/>
      <c r="H470" s="48"/>
      <c r="I470" s="48"/>
      <c r="J470" s="48"/>
      <c r="K470" s="48"/>
      <c r="L470" s="48"/>
      <c r="M470" s="48"/>
      <c r="N470" s="48"/>
      <c r="O470" s="48"/>
      <c r="P470" s="48"/>
      <c r="Q470" s="48"/>
      <c r="R470" s="48"/>
      <c r="S470" s="48"/>
      <c r="T470" s="48"/>
      <c r="U470" s="48"/>
      <c r="V470" s="48"/>
      <c r="W470" s="48"/>
      <c r="X470" s="48"/>
    </row>
    <row r="471" ht="15.75" customHeight="1">
      <c r="A471" s="56"/>
      <c r="B471" s="48"/>
      <c r="C471" s="48"/>
      <c r="D471" s="27"/>
      <c r="E471" s="27"/>
      <c r="F471" s="48"/>
      <c r="G471" s="48"/>
      <c r="H471" s="48"/>
      <c r="I471" s="48"/>
      <c r="J471" s="48"/>
      <c r="K471" s="48"/>
      <c r="L471" s="48"/>
      <c r="M471" s="48"/>
      <c r="N471" s="48"/>
      <c r="O471" s="48"/>
      <c r="P471" s="48"/>
      <c r="Q471" s="48"/>
      <c r="R471" s="48"/>
      <c r="S471" s="48"/>
      <c r="T471" s="48"/>
      <c r="U471" s="48"/>
      <c r="V471" s="48"/>
      <c r="W471" s="48"/>
      <c r="X471" s="48"/>
    </row>
    <row r="472" ht="15.75" customHeight="1">
      <c r="A472" s="56"/>
      <c r="B472" s="48"/>
      <c r="C472" s="48"/>
      <c r="D472" s="27"/>
      <c r="E472" s="27"/>
      <c r="F472" s="48"/>
      <c r="G472" s="48"/>
      <c r="H472" s="48"/>
      <c r="I472" s="48"/>
      <c r="J472" s="48"/>
      <c r="K472" s="48"/>
      <c r="L472" s="48"/>
      <c r="M472" s="48"/>
      <c r="N472" s="48"/>
      <c r="O472" s="48"/>
      <c r="P472" s="48"/>
      <c r="Q472" s="48"/>
      <c r="R472" s="48"/>
      <c r="S472" s="48"/>
      <c r="T472" s="48"/>
      <c r="U472" s="48"/>
      <c r="V472" s="48"/>
      <c r="W472" s="48"/>
      <c r="X472" s="48"/>
    </row>
    <row r="473" ht="15.75" customHeight="1">
      <c r="A473" s="56"/>
      <c r="B473" s="48"/>
      <c r="C473" s="48"/>
      <c r="D473" s="27"/>
      <c r="E473" s="27"/>
      <c r="F473" s="48"/>
      <c r="G473" s="48"/>
      <c r="H473" s="48"/>
      <c r="I473" s="48"/>
      <c r="J473" s="48"/>
      <c r="K473" s="48"/>
      <c r="L473" s="48"/>
      <c r="M473" s="48"/>
      <c r="N473" s="48"/>
      <c r="O473" s="48"/>
      <c r="P473" s="48"/>
      <c r="Q473" s="48"/>
      <c r="R473" s="48"/>
      <c r="S473" s="48"/>
      <c r="T473" s="48"/>
      <c r="U473" s="48"/>
      <c r="V473" s="48"/>
      <c r="W473" s="48"/>
      <c r="X473" s="48"/>
    </row>
    <row r="474" ht="15.75" customHeight="1">
      <c r="A474" s="56"/>
      <c r="B474" s="48"/>
      <c r="C474" s="48"/>
      <c r="D474" s="27"/>
      <c r="E474" s="27"/>
      <c r="F474" s="48"/>
      <c r="G474" s="48"/>
      <c r="H474" s="48"/>
      <c r="I474" s="48"/>
      <c r="J474" s="48"/>
      <c r="K474" s="48"/>
      <c r="L474" s="48"/>
      <c r="M474" s="48"/>
      <c r="N474" s="48"/>
      <c r="O474" s="48"/>
      <c r="P474" s="48"/>
      <c r="Q474" s="48"/>
      <c r="R474" s="48"/>
      <c r="S474" s="48"/>
      <c r="T474" s="48"/>
      <c r="U474" s="48"/>
      <c r="V474" s="48"/>
      <c r="W474" s="48"/>
      <c r="X474" s="48"/>
    </row>
    <row r="475" ht="15.75" customHeight="1">
      <c r="A475" s="56"/>
      <c r="B475" s="48"/>
      <c r="C475" s="48"/>
      <c r="D475" s="27"/>
      <c r="E475" s="27"/>
      <c r="F475" s="48"/>
      <c r="G475" s="48"/>
      <c r="H475" s="48"/>
      <c r="I475" s="48"/>
      <c r="J475" s="48"/>
      <c r="K475" s="48"/>
      <c r="L475" s="48"/>
      <c r="M475" s="48"/>
      <c r="N475" s="48"/>
      <c r="O475" s="48"/>
      <c r="P475" s="48"/>
      <c r="Q475" s="48"/>
      <c r="R475" s="48"/>
      <c r="S475" s="48"/>
      <c r="T475" s="48"/>
      <c r="U475" s="48"/>
      <c r="V475" s="48"/>
      <c r="W475" s="48"/>
      <c r="X475" s="48"/>
    </row>
    <row r="476" ht="15.75" customHeight="1">
      <c r="A476" s="56"/>
      <c r="B476" s="48"/>
      <c r="C476" s="48"/>
      <c r="D476" s="27"/>
      <c r="E476" s="27"/>
      <c r="F476" s="48"/>
      <c r="G476" s="48"/>
      <c r="H476" s="48"/>
      <c r="I476" s="48"/>
      <c r="J476" s="48"/>
      <c r="K476" s="48"/>
      <c r="L476" s="48"/>
      <c r="M476" s="48"/>
      <c r="N476" s="48"/>
      <c r="O476" s="48"/>
      <c r="P476" s="48"/>
      <c r="Q476" s="48"/>
      <c r="R476" s="48"/>
      <c r="S476" s="48"/>
      <c r="T476" s="48"/>
      <c r="U476" s="48"/>
      <c r="V476" s="48"/>
      <c r="W476" s="48"/>
      <c r="X476" s="48"/>
    </row>
    <row r="477" ht="15.75" customHeight="1">
      <c r="A477" s="56"/>
      <c r="B477" s="48"/>
      <c r="C477" s="48"/>
      <c r="D477" s="27"/>
      <c r="E477" s="27"/>
      <c r="F477" s="48"/>
      <c r="G477" s="48"/>
      <c r="H477" s="48"/>
      <c r="I477" s="48"/>
      <c r="J477" s="48"/>
      <c r="K477" s="48"/>
      <c r="L477" s="48"/>
      <c r="M477" s="48"/>
      <c r="N477" s="48"/>
      <c r="O477" s="48"/>
      <c r="P477" s="48"/>
      <c r="Q477" s="48"/>
      <c r="R477" s="48"/>
      <c r="S477" s="48"/>
      <c r="T477" s="48"/>
      <c r="U477" s="48"/>
      <c r="V477" s="48"/>
      <c r="W477" s="48"/>
      <c r="X477" s="48"/>
    </row>
    <row r="478" ht="15.75" customHeight="1">
      <c r="A478" s="56"/>
      <c r="B478" s="48"/>
      <c r="C478" s="48"/>
      <c r="D478" s="27"/>
      <c r="E478" s="27"/>
      <c r="F478" s="48"/>
      <c r="G478" s="48"/>
      <c r="H478" s="48"/>
      <c r="I478" s="48"/>
      <c r="J478" s="48"/>
      <c r="K478" s="48"/>
      <c r="L478" s="48"/>
      <c r="M478" s="48"/>
      <c r="N478" s="48"/>
      <c r="O478" s="48"/>
      <c r="P478" s="48"/>
      <c r="Q478" s="48"/>
      <c r="R478" s="48"/>
      <c r="S478" s="48"/>
      <c r="T478" s="48"/>
      <c r="U478" s="48"/>
      <c r="V478" s="48"/>
      <c r="W478" s="48"/>
      <c r="X478" s="48"/>
    </row>
    <row r="479" ht="15.75" customHeight="1">
      <c r="A479" s="56"/>
      <c r="B479" s="48"/>
      <c r="C479" s="48"/>
      <c r="D479" s="27"/>
      <c r="E479" s="27"/>
      <c r="F479" s="48"/>
      <c r="G479" s="48"/>
      <c r="H479" s="48"/>
      <c r="I479" s="48"/>
      <c r="J479" s="48"/>
      <c r="K479" s="48"/>
      <c r="L479" s="48"/>
      <c r="M479" s="48"/>
      <c r="N479" s="48"/>
      <c r="O479" s="48"/>
      <c r="P479" s="48"/>
      <c r="Q479" s="48"/>
      <c r="R479" s="48"/>
      <c r="S479" s="48"/>
      <c r="T479" s="48"/>
      <c r="U479" s="48"/>
      <c r="V479" s="48"/>
      <c r="W479" s="48"/>
      <c r="X479" s="48"/>
    </row>
    <row r="480" ht="15.75" customHeight="1">
      <c r="A480" s="56"/>
      <c r="B480" s="48"/>
      <c r="C480" s="48"/>
      <c r="D480" s="27"/>
      <c r="E480" s="27"/>
      <c r="F480" s="48"/>
      <c r="G480" s="48"/>
      <c r="H480" s="48"/>
      <c r="I480" s="48"/>
      <c r="J480" s="48"/>
      <c r="K480" s="48"/>
      <c r="L480" s="48"/>
      <c r="M480" s="48"/>
      <c r="N480" s="48"/>
      <c r="O480" s="48"/>
      <c r="P480" s="48"/>
      <c r="Q480" s="48"/>
      <c r="R480" s="48"/>
      <c r="S480" s="48"/>
      <c r="T480" s="48"/>
      <c r="U480" s="48"/>
      <c r="V480" s="48"/>
      <c r="W480" s="48"/>
      <c r="X480" s="48"/>
    </row>
    <row r="481" ht="15.75" customHeight="1">
      <c r="A481" s="56"/>
      <c r="B481" s="48"/>
      <c r="C481" s="48"/>
      <c r="D481" s="27"/>
      <c r="E481" s="27"/>
      <c r="F481" s="48"/>
      <c r="G481" s="48"/>
      <c r="H481" s="48"/>
      <c r="I481" s="48"/>
      <c r="J481" s="48"/>
      <c r="K481" s="48"/>
      <c r="L481" s="48"/>
      <c r="M481" s="48"/>
      <c r="N481" s="48"/>
      <c r="O481" s="48"/>
      <c r="P481" s="48"/>
      <c r="Q481" s="48"/>
      <c r="R481" s="48"/>
      <c r="S481" s="48"/>
      <c r="T481" s="48"/>
      <c r="U481" s="48"/>
      <c r="V481" s="48"/>
      <c r="W481" s="48"/>
      <c r="X481" s="48"/>
    </row>
    <row r="482" ht="15.75" customHeight="1">
      <c r="A482" s="56"/>
      <c r="B482" s="48"/>
      <c r="C482" s="48"/>
      <c r="D482" s="27"/>
      <c r="E482" s="27"/>
      <c r="F482" s="48"/>
      <c r="G482" s="48"/>
      <c r="H482" s="48"/>
      <c r="I482" s="48"/>
      <c r="J482" s="48"/>
      <c r="K482" s="48"/>
      <c r="L482" s="48"/>
      <c r="M482" s="48"/>
      <c r="N482" s="48"/>
      <c r="O482" s="48"/>
      <c r="P482" s="48"/>
      <c r="Q482" s="48"/>
      <c r="R482" s="48"/>
      <c r="S482" s="48"/>
      <c r="T482" s="48"/>
      <c r="U482" s="48"/>
      <c r="V482" s="48"/>
      <c r="W482" s="48"/>
      <c r="X482" s="48"/>
    </row>
    <row r="483" ht="15.75" customHeight="1">
      <c r="A483" s="56"/>
      <c r="B483" s="48"/>
      <c r="C483" s="48"/>
      <c r="D483" s="27"/>
      <c r="E483" s="27"/>
      <c r="F483" s="48"/>
      <c r="G483" s="48"/>
      <c r="H483" s="48"/>
      <c r="I483" s="48"/>
      <c r="J483" s="48"/>
      <c r="K483" s="48"/>
      <c r="L483" s="48"/>
      <c r="M483" s="48"/>
      <c r="N483" s="48"/>
      <c r="O483" s="48"/>
      <c r="P483" s="48"/>
      <c r="Q483" s="48"/>
      <c r="R483" s="48"/>
      <c r="S483" s="48"/>
      <c r="T483" s="48"/>
      <c r="U483" s="48"/>
      <c r="V483" s="48"/>
      <c r="W483" s="48"/>
      <c r="X483" s="48"/>
    </row>
    <row r="484" ht="15.75" customHeight="1">
      <c r="A484" s="56"/>
      <c r="B484" s="48"/>
      <c r="C484" s="48"/>
      <c r="D484" s="27"/>
      <c r="E484" s="27"/>
      <c r="F484" s="48"/>
      <c r="G484" s="48"/>
      <c r="H484" s="48"/>
      <c r="I484" s="48"/>
      <c r="J484" s="48"/>
      <c r="K484" s="48"/>
      <c r="L484" s="48"/>
      <c r="M484" s="48"/>
      <c r="N484" s="48"/>
      <c r="O484" s="48"/>
      <c r="P484" s="48"/>
      <c r="Q484" s="48"/>
      <c r="R484" s="48"/>
      <c r="S484" s="48"/>
      <c r="T484" s="48"/>
      <c r="U484" s="48"/>
      <c r="V484" s="48"/>
      <c r="W484" s="48"/>
      <c r="X484" s="48"/>
    </row>
    <row r="485" ht="15.75" customHeight="1">
      <c r="A485" s="56"/>
      <c r="B485" s="48"/>
      <c r="C485" s="48"/>
      <c r="D485" s="27"/>
      <c r="E485" s="27"/>
      <c r="F485" s="48"/>
      <c r="G485" s="48"/>
      <c r="H485" s="48"/>
      <c r="I485" s="48"/>
      <c r="J485" s="48"/>
      <c r="K485" s="48"/>
      <c r="L485" s="48"/>
      <c r="M485" s="48"/>
      <c r="N485" s="48"/>
      <c r="O485" s="48"/>
      <c r="P485" s="48"/>
      <c r="Q485" s="48"/>
      <c r="R485" s="48"/>
      <c r="S485" s="48"/>
      <c r="T485" s="48"/>
      <c r="U485" s="48"/>
      <c r="V485" s="48"/>
      <c r="W485" s="48"/>
      <c r="X485" s="48"/>
    </row>
    <row r="486" ht="15.75" customHeight="1">
      <c r="A486" s="56"/>
      <c r="B486" s="48"/>
      <c r="C486" s="48"/>
      <c r="D486" s="27"/>
      <c r="E486" s="27"/>
      <c r="F486" s="48"/>
      <c r="G486" s="48"/>
      <c r="H486" s="48"/>
      <c r="I486" s="48"/>
      <c r="J486" s="48"/>
      <c r="K486" s="48"/>
      <c r="L486" s="48"/>
      <c r="M486" s="48"/>
      <c r="N486" s="48"/>
      <c r="O486" s="48"/>
      <c r="P486" s="48"/>
      <c r="Q486" s="48"/>
      <c r="R486" s="48"/>
      <c r="S486" s="48"/>
      <c r="T486" s="48"/>
      <c r="U486" s="48"/>
      <c r="V486" s="48"/>
      <c r="W486" s="48"/>
      <c r="X486" s="48"/>
    </row>
    <row r="487" ht="15.75" customHeight="1">
      <c r="A487" s="56"/>
      <c r="B487" s="48"/>
      <c r="C487" s="48"/>
      <c r="D487" s="27"/>
      <c r="E487" s="27"/>
      <c r="F487" s="48"/>
      <c r="G487" s="48"/>
      <c r="H487" s="48"/>
      <c r="I487" s="48"/>
      <c r="J487" s="48"/>
      <c r="K487" s="48"/>
      <c r="L487" s="48"/>
      <c r="M487" s="48"/>
      <c r="N487" s="48"/>
      <c r="O487" s="48"/>
      <c r="P487" s="48"/>
      <c r="Q487" s="48"/>
      <c r="R487" s="48"/>
      <c r="S487" s="48"/>
      <c r="T487" s="48"/>
      <c r="U487" s="48"/>
      <c r="V487" s="48"/>
      <c r="W487" s="48"/>
      <c r="X487" s="48"/>
    </row>
    <row r="488" ht="15.75" customHeight="1">
      <c r="A488" s="56"/>
      <c r="B488" s="48"/>
      <c r="C488" s="48"/>
      <c r="D488" s="27"/>
      <c r="E488" s="27"/>
      <c r="F488" s="48"/>
      <c r="G488" s="48"/>
      <c r="H488" s="48"/>
      <c r="I488" s="48"/>
      <c r="J488" s="48"/>
      <c r="K488" s="48"/>
      <c r="L488" s="48"/>
      <c r="M488" s="48"/>
      <c r="N488" s="48"/>
      <c r="O488" s="48"/>
      <c r="P488" s="48"/>
      <c r="Q488" s="48"/>
      <c r="R488" s="48"/>
      <c r="S488" s="48"/>
      <c r="T488" s="48"/>
      <c r="U488" s="48"/>
      <c r="V488" s="48"/>
      <c r="W488" s="48"/>
      <c r="X488" s="48"/>
    </row>
    <row r="489" ht="15.75" customHeight="1">
      <c r="A489" s="56"/>
      <c r="B489" s="48"/>
      <c r="C489" s="48"/>
      <c r="D489" s="27"/>
      <c r="E489" s="27"/>
      <c r="F489" s="48"/>
      <c r="G489" s="48"/>
      <c r="H489" s="48"/>
      <c r="I489" s="48"/>
      <c r="J489" s="48"/>
      <c r="K489" s="48"/>
      <c r="L489" s="48"/>
      <c r="M489" s="48"/>
      <c r="N489" s="48"/>
      <c r="O489" s="48"/>
      <c r="P489" s="48"/>
      <c r="Q489" s="48"/>
      <c r="R489" s="48"/>
      <c r="S489" s="48"/>
      <c r="T489" s="48"/>
      <c r="U489" s="48"/>
      <c r="V489" s="48"/>
      <c r="W489" s="48"/>
      <c r="X489" s="48"/>
    </row>
    <row r="490" ht="15.75" customHeight="1">
      <c r="A490" s="56"/>
      <c r="B490" s="48"/>
      <c r="C490" s="48"/>
      <c r="D490" s="27"/>
      <c r="E490" s="27"/>
      <c r="F490" s="48"/>
      <c r="G490" s="48"/>
      <c r="H490" s="48"/>
      <c r="I490" s="48"/>
      <c r="J490" s="48"/>
      <c r="K490" s="48"/>
      <c r="L490" s="48"/>
      <c r="M490" s="48"/>
      <c r="N490" s="48"/>
      <c r="O490" s="48"/>
      <c r="P490" s="48"/>
      <c r="Q490" s="48"/>
      <c r="R490" s="48"/>
      <c r="S490" s="48"/>
      <c r="T490" s="48"/>
      <c r="U490" s="48"/>
      <c r="V490" s="48"/>
      <c r="W490" s="48"/>
      <c r="X490" s="48"/>
    </row>
    <row r="491" ht="15.75" customHeight="1">
      <c r="A491" s="56"/>
      <c r="B491" s="48"/>
      <c r="C491" s="48"/>
      <c r="D491" s="27"/>
      <c r="E491" s="27"/>
      <c r="F491" s="48"/>
      <c r="G491" s="48"/>
      <c r="H491" s="48"/>
      <c r="I491" s="48"/>
      <c r="J491" s="48"/>
      <c r="K491" s="48"/>
      <c r="L491" s="48"/>
      <c r="M491" s="48"/>
      <c r="N491" s="48"/>
      <c r="O491" s="48"/>
      <c r="P491" s="48"/>
      <c r="Q491" s="48"/>
      <c r="R491" s="48"/>
      <c r="S491" s="48"/>
      <c r="T491" s="48"/>
      <c r="U491" s="48"/>
      <c r="V491" s="48"/>
      <c r="W491" s="48"/>
      <c r="X491" s="48"/>
    </row>
    <row r="492" ht="15.75" customHeight="1">
      <c r="A492" s="56"/>
      <c r="B492" s="48"/>
      <c r="C492" s="48"/>
      <c r="D492" s="27"/>
      <c r="E492" s="27"/>
      <c r="F492" s="48"/>
      <c r="G492" s="48"/>
      <c r="H492" s="48"/>
      <c r="I492" s="48"/>
      <c r="J492" s="48"/>
      <c r="K492" s="48"/>
      <c r="L492" s="48"/>
      <c r="M492" s="48"/>
      <c r="N492" s="48"/>
      <c r="O492" s="48"/>
      <c r="P492" s="48"/>
      <c r="Q492" s="48"/>
      <c r="R492" s="48"/>
      <c r="S492" s="48"/>
      <c r="T492" s="48"/>
      <c r="U492" s="48"/>
      <c r="V492" s="48"/>
      <c r="W492" s="48"/>
      <c r="X492" s="48"/>
    </row>
    <row r="493" ht="15.75" customHeight="1">
      <c r="A493" s="56"/>
      <c r="B493" s="48"/>
      <c r="C493" s="48"/>
      <c r="D493" s="27"/>
      <c r="E493" s="27"/>
      <c r="F493" s="48"/>
      <c r="G493" s="48"/>
      <c r="H493" s="48"/>
      <c r="I493" s="48"/>
      <c r="J493" s="48"/>
      <c r="K493" s="48"/>
      <c r="L493" s="48"/>
      <c r="M493" s="48"/>
      <c r="N493" s="48"/>
      <c r="O493" s="48"/>
      <c r="P493" s="48"/>
      <c r="Q493" s="48"/>
      <c r="R493" s="48"/>
      <c r="S493" s="48"/>
      <c r="T493" s="48"/>
      <c r="U493" s="48"/>
      <c r="V493" s="48"/>
      <c r="W493" s="48"/>
      <c r="X493" s="48"/>
    </row>
    <row r="494" ht="15.75" customHeight="1">
      <c r="A494" s="56"/>
      <c r="B494" s="48"/>
      <c r="C494" s="48"/>
      <c r="D494" s="27"/>
      <c r="E494" s="27"/>
      <c r="F494" s="48"/>
      <c r="G494" s="48"/>
      <c r="H494" s="48"/>
      <c r="I494" s="48"/>
      <c r="J494" s="48"/>
      <c r="K494" s="48"/>
      <c r="L494" s="48"/>
      <c r="M494" s="48"/>
      <c r="N494" s="48"/>
      <c r="O494" s="48"/>
      <c r="P494" s="48"/>
      <c r="Q494" s="48"/>
      <c r="R494" s="48"/>
      <c r="S494" s="48"/>
      <c r="T494" s="48"/>
      <c r="U494" s="48"/>
      <c r="V494" s="48"/>
      <c r="W494" s="48"/>
      <c r="X494" s="48"/>
    </row>
    <row r="495" ht="15.75" customHeight="1">
      <c r="A495" s="56"/>
      <c r="B495" s="48"/>
      <c r="C495" s="48"/>
      <c r="D495" s="27"/>
      <c r="E495" s="27"/>
      <c r="F495" s="48"/>
      <c r="G495" s="48"/>
      <c r="H495" s="48"/>
      <c r="I495" s="48"/>
      <c r="J495" s="48"/>
      <c r="K495" s="48"/>
      <c r="L495" s="48"/>
      <c r="M495" s="48"/>
      <c r="N495" s="48"/>
      <c r="O495" s="48"/>
      <c r="P495" s="48"/>
      <c r="Q495" s="48"/>
      <c r="R495" s="48"/>
      <c r="S495" s="48"/>
      <c r="T495" s="48"/>
      <c r="U495" s="48"/>
      <c r="V495" s="48"/>
      <c r="W495" s="48"/>
      <c r="X495" s="48"/>
    </row>
    <row r="496" ht="15.75" customHeight="1">
      <c r="A496" s="56"/>
      <c r="B496" s="48"/>
      <c r="C496" s="48"/>
      <c r="D496" s="27"/>
      <c r="E496" s="27"/>
      <c r="F496" s="48"/>
      <c r="G496" s="48"/>
      <c r="H496" s="48"/>
      <c r="I496" s="48"/>
      <c r="J496" s="48"/>
      <c r="K496" s="48"/>
      <c r="L496" s="48"/>
      <c r="M496" s="48"/>
      <c r="N496" s="48"/>
      <c r="O496" s="48"/>
      <c r="P496" s="48"/>
      <c r="Q496" s="48"/>
      <c r="R496" s="48"/>
      <c r="S496" s="48"/>
      <c r="T496" s="48"/>
      <c r="U496" s="48"/>
      <c r="V496" s="48"/>
      <c r="W496" s="48"/>
      <c r="X496" s="48"/>
    </row>
    <row r="497" ht="15.75" customHeight="1">
      <c r="A497" s="56"/>
      <c r="B497" s="48"/>
      <c r="C497" s="48"/>
      <c r="D497" s="27"/>
      <c r="E497" s="27"/>
      <c r="F497" s="48"/>
      <c r="G497" s="48"/>
      <c r="H497" s="48"/>
      <c r="I497" s="48"/>
      <c r="J497" s="48"/>
      <c r="K497" s="48"/>
      <c r="L497" s="48"/>
      <c r="M497" s="48"/>
      <c r="N497" s="48"/>
      <c r="O497" s="48"/>
      <c r="P497" s="48"/>
      <c r="Q497" s="48"/>
      <c r="R497" s="48"/>
      <c r="S497" s="48"/>
      <c r="T497" s="48"/>
      <c r="U497" s="48"/>
      <c r="V497" s="48"/>
      <c r="W497" s="48"/>
      <c r="X497" s="48"/>
    </row>
    <row r="498" ht="15.75" customHeight="1">
      <c r="A498" s="56"/>
      <c r="B498" s="48"/>
      <c r="C498" s="48"/>
      <c r="D498" s="27"/>
      <c r="E498" s="27"/>
      <c r="F498" s="48"/>
      <c r="G498" s="48"/>
      <c r="H498" s="48"/>
      <c r="I498" s="48"/>
      <c r="J498" s="48"/>
      <c r="K498" s="48"/>
      <c r="L498" s="48"/>
      <c r="M498" s="48"/>
      <c r="N498" s="48"/>
      <c r="O498" s="48"/>
      <c r="P498" s="48"/>
      <c r="Q498" s="48"/>
      <c r="R498" s="48"/>
      <c r="S498" s="48"/>
      <c r="T498" s="48"/>
      <c r="U498" s="48"/>
      <c r="V498" s="48"/>
      <c r="W498" s="48"/>
      <c r="X498" s="48"/>
    </row>
    <row r="499" ht="15.75" customHeight="1">
      <c r="A499" s="56"/>
      <c r="B499" s="48"/>
      <c r="C499" s="48"/>
      <c r="D499" s="27"/>
      <c r="E499" s="27"/>
      <c r="F499" s="48"/>
      <c r="G499" s="48"/>
      <c r="H499" s="48"/>
      <c r="I499" s="48"/>
      <c r="J499" s="48"/>
      <c r="K499" s="48"/>
      <c r="L499" s="48"/>
      <c r="M499" s="48"/>
      <c r="N499" s="48"/>
      <c r="O499" s="48"/>
      <c r="P499" s="48"/>
      <c r="Q499" s="48"/>
      <c r="R499" s="48"/>
      <c r="S499" s="48"/>
      <c r="T499" s="48"/>
      <c r="U499" s="48"/>
      <c r="V499" s="48"/>
      <c r="W499" s="48"/>
      <c r="X499" s="48"/>
    </row>
    <row r="500" ht="15.75" customHeight="1">
      <c r="A500" s="56"/>
      <c r="B500" s="48"/>
      <c r="C500" s="48"/>
      <c r="D500" s="27"/>
      <c r="E500" s="27"/>
      <c r="F500" s="48"/>
      <c r="G500" s="48"/>
      <c r="H500" s="48"/>
      <c r="I500" s="48"/>
      <c r="J500" s="48"/>
      <c r="K500" s="48"/>
      <c r="L500" s="48"/>
      <c r="M500" s="48"/>
      <c r="N500" s="48"/>
      <c r="O500" s="48"/>
      <c r="P500" s="48"/>
      <c r="Q500" s="48"/>
      <c r="R500" s="48"/>
      <c r="S500" s="48"/>
      <c r="T500" s="48"/>
      <c r="U500" s="48"/>
      <c r="V500" s="48"/>
      <c r="W500" s="48"/>
      <c r="X500" s="48"/>
    </row>
    <row r="501" ht="15.75" customHeight="1">
      <c r="A501" s="56"/>
      <c r="B501" s="48"/>
      <c r="C501" s="48"/>
      <c r="D501" s="27"/>
      <c r="E501" s="27"/>
      <c r="F501" s="48"/>
      <c r="G501" s="48"/>
      <c r="H501" s="48"/>
      <c r="I501" s="48"/>
      <c r="J501" s="48"/>
      <c r="K501" s="48"/>
      <c r="L501" s="48"/>
      <c r="M501" s="48"/>
      <c r="N501" s="48"/>
      <c r="O501" s="48"/>
      <c r="P501" s="48"/>
      <c r="Q501" s="48"/>
      <c r="R501" s="48"/>
      <c r="S501" s="48"/>
      <c r="T501" s="48"/>
      <c r="U501" s="48"/>
      <c r="V501" s="48"/>
      <c r="W501" s="48"/>
      <c r="X501" s="48"/>
    </row>
    <row r="502" ht="15.75" customHeight="1">
      <c r="A502" s="56"/>
      <c r="B502" s="48"/>
      <c r="C502" s="48"/>
      <c r="D502" s="27"/>
      <c r="E502" s="27"/>
      <c r="F502" s="48"/>
      <c r="G502" s="48"/>
      <c r="H502" s="48"/>
      <c r="I502" s="48"/>
      <c r="J502" s="48"/>
      <c r="K502" s="48"/>
      <c r="L502" s="48"/>
      <c r="M502" s="48"/>
      <c r="N502" s="48"/>
      <c r="O502" s="48"/>
      <c r="P502" s="48"/>
      <c r="Q502" s="48"/>
      <c r="R502" s="48"/>
      <c r="S502" s="48"/>
      <c r="T502" s="48"/>
      <c r="U502" s="48"/>
      <c r="V502" s="48"/>
      <c r="W502" s="48"/>
      <c r="X502" s="48"/>
    </row>
    <row r="503" ht="15.75" customHeight="1">
      <c r="A503" s="56"/>
      <c r="B503" s="48"/>
      <c r="C503" s="48"/>
      <c r="D503" s="27"/>
      <c r="E503" s="27"/>
      <c r="F503" s="48"/>
      <c r="G503" s="48"/>
      <c r="H503" s="48"/>
      <c r="I503" s="48"/>
      <c r="J503" s="48"/>
      <c r="K503" s="48"/>
      <c r="L503" s="48"/>
      <c r="M503" s="48"/>
      <c r="N503" s="48"/>
      <c r="O503" s="48"/>
      <c r="P503" s="48"/>
      <c r="Q503" s="48"/>
      <c r="R503" s="48"/>
      <c r="S503" s="48"/>
      <c r="T503" s="48"/>
      <c r="U503" s="48"/>
      <c r="V503" s="48"/>
      <c r="W503" s="48"/>
      <c r="X503" s="48"/>
    </row>
    <row r="504" ht="15.75" customHeight="1">
      <c r="A504" s="56"/>
      <c r="B504" s="48"/>
      <c r="C504" s="48"/>
      <c r="D504" s="27"/>
      <c r="E504" s="27"/>
      <c r="F504" s="48"/>
      <c r="G504" s="48"/>
      <c r="H504" s="48"/>
      <c r="I504" s="48"/>
      <c r="J504" s="48"/>
      <c r="K504" s="48"/>
      <c r="L504" s="48"/>
      <c r="M504" s="48"/>
      <c r="N504" s="48"/>
      <c r="O504" s="48"/>
      <c r="P504" s="48"/>
      <c r="Q504" s="48"/>
      <c r="R504" s="48"/>
      <c r="S504" s="48"/>
      <c r="T504" s="48"/>
      <c r="U504" s="48"/>
      <c r="V504" s="48"/>
      <c r="W504" s="48"/>
      <c r="X504" s="48"/>
    </row>
    <row r="505" ht="15.75" customHeight="1">
      <c r="A505" s="56"/>
      <c r="B505" s="48"/>
      <c r="C505" s="48"/>
      <c r="D505" s="27"/>
      <c r="E505" s="27"/>
      <c r="F505" s="48"/>
      <c r="G505" s="48"/>
      <c r="H505" s="48"/>
      <c r="I505" s="48"/>
      <c r="J505" s="48"/>
      <c r="K505" s="48"/>
      <c r="L505" s="48"/>
      <c r="M505" s="48"/>
      <c r="N505" s="48"/>
      <c r="O505" s="48"/>
      <c r="P505" s="48"/>
      <c r="Q505" s="48"/>
      <c r="R505" s="48"/>
      <c r="S505" s="48"/>
      <c r="T505" s="48"/>
      <c r="U505" s="48"/>
      <c r="V505" s="48"/>
      <c r="W505" s="48"/>
      <c r="X505" s="48"/>
    </row>
    <row r="506" ht="15.75" customHeight="1">
      <c r="A506" s="56"/>
      <c r="B506" s="48"/>
      <c r="C506" s="48"/>
      <c r="D506" s="27"/>
      <c r="E506" s="27"/>
      <c r="F506" s="48"/>
      <c r="G506" s="48"/>
      <c r="H506" s="48"/>
      <c r="I506" s="48"/>
      <c r="J506" s="48"/>
      <c r="K506" s="48"/>
      <c r="L506" s="48"/>
      <c r="M506" s="48"/>
      <c r="N506" s="48"/>
      <c r="O506" s="48"/>
      <c r="P506" s="48"/>
      <c r="Q506" s="48"/>
      <c r="R506" s="48"/>
      <c r="S506" s="48"/>
      <c r="T506" s="48"/>
      <c r="U506" s="48"/>
      <c r="V506" s="48"/>
      <c r="W506" s="48"/>
      <c r="X506" s="48"/>
    </row>
    <row r="507" ht="15.75" customHeight="1">
      <c r="A507" s="56"/>
      <c r="B507" s="48"/>
      <c r="C507" s="48"/>
      <c r="D507" s="27"/>
      <c r="E507" s="27"/>
      <c r="F507" s="48"/>
      <c r="G507" s="48"/>
      <c r="H507" s="48"/>
      <c r="I507" s="48"/>
      <c r="J507" s="48"/>
      <c r="K507" s="48"/>
      <c r="L507" s="48"/>
      <c r="M507" s="48"/>
      <c r="N507" s="48"/>
      <c r="O507" s="48"/>
      <c r="P507" s="48"/>
      <c r="Q507" s="48"/>
      <c r="R507" s="48"/>
      <c r="S507" s="48"/>
      <c r="T507" s="48"/>
      <c r="U507" s="48"/>
      <c r="V507" s="48"/>
      <c r="W507" s="48"/>
      <c r="X507" s="48"/>
    </row>
    <row r="508" ht="15.75" customHeight="1">
      <c r="A508" s="56"/>
      <c r="B508" s="48"/>
      <c r="C508" s="48"/>
      <c r="D508" s="27"/>
      <c r="E508" s="27"/>
      <c r="F508" s="48"/>
      <c r="G508" s="48"/>
      <c r="H508" s="48"/>
      <c r="I508" s="48"/>
      <c r="J508" s="48"/>
      <c r="K508" s="48"/>
      <c r="L508" s="48"/>
      <c r="M508" s="48"/>
      <c r="N508" s="48"/>
      <c r="O508" s="48"/>
      <c r="P508" s="48"/>
      <c r="Q508" s="48"/>
      <c r="R508" s="48"/>
      <c r="S508" s="48"/>
      <c r="T508" s="48"/>
      <c r="U508" s="48"/>
      <c r="V508" s="48"/>
      <c r="W508" s="48"/>
      <c r="X508" s="48"/>
    </row>
    <row r="509" ht="15.75" customHeight="1">
      <c r="A509" s="56"/>
      <c r="B509" s="48"/>
      <c r="C509" s="48"/>
      <c r="D509" s="27"/>
      <c r="E509" s="27"/>
      <c r="F509" s="48"/>
      <c r="G509" s="48"/>
      <c r="H509" s="48"/>
      <c r="I509" s="48"/>
      <c r="J509" s="48"/>
      <c r="K509" s="48"/>
      <c r="L509" s="48"/>
      <c r="M509" s="48"/>
      <c r="N509" s="48"/>
      <c r="O509" s="48"/>
      <c r="P509" s="48"/>
      <c r="Q509" s="48"/>
      <c r="R509" s="48"/>
      <c r="S509" s="48"/>
      <c r="T509" s="48"/>
      <c r="U509" s="48"/>
      <c r="V509" s="48"/>
      <c r="W509" s="48"/>
      <c r="X509" s="48"/>
    </row>
    <row r="510" ht="15.75" customHeight="1">
      <c r="A510" s="56"/>
      <c r="B510" s="48"/>
      <c r="C510" s="48"/>
      <c r="D510" s="27"/>
      <c r="E510" s="27"/>
      <c r="F510" s="48"/>
      <c r="G510" s="48"/>
      <c r="H510" s="48"/>
      <c r="I510" s="48"/>
      <c r="J510" s="48"/>
      <c r="K510" s="48"/>
      <c r="L510" s="48"/>
      <c r="M510" s="48"/>
      <c r="N510" s="48"/>
      <c r="O510" s="48"/>
      <c r="P510" s="48"/>
      <c r="Q510" s="48"/>
      <c r="R510" s="48"/>
      <c r="S510" s="48"/>
      <c r="T510" s="48"/>
      <c r="U510" s="48"/>
      <c r="V510" s="48"/>
      <c r="W510" s="48"/>
      <c r="X510" s="48"/>
    </row>
    <row r="511" ht="15.75" customHeight="1">
      <c r="A511" s="56"/>
      <c r="B511" s="48"/>
      <c r="C511" s="48"/>
      <c r="D511" s="27"/>
      <c r="E511" s="27"/>
      <c r="F511" s="48"/>
      <c r="G511" s="48"/>
      <c r="H511" s="48"/>
      <c r="I511" s="48"/>
      <c r="J511" s="48"/>
      <c r="K511" s="48"/>
      <c r="L511" s="48"/>
      <c r="M511" s="48"/>
      <c r="N511" s="48"/>
      <c r="O511" s="48"/>
      <c r="P511" s="48"/>
      <c r="Q511" s="48"/>
      <c r="R511" s="48"/>
      <c r="S511" s="48"/>
      <c r="T511" s="48"/>
      <c r="U511" s="48"/>
      <c r="V511" s="48"/>
      <c r="W511" s="48"/>
      <c r="X511" s="48"/>
    </row>
    <row r="512" ht="15.75" customHeight="1">
      <c r="A512" s="56"/>
      <c r="B512" s="48"/>
      <c r="C512" s="48"/>
      <c r="D512" s="27"/>
      <c r="E512" s="27"/>
      <c r="F512" s="48"/>
      <c r="G512" s="48"/>
      <c r="H512" s="48"/>
      <c r="I512" s="48"/>
      <c r="J512" s="48"/>
      <c r="K512" s="48"/>
      <c r="L512" s="48"/>
      <c r="M512" s="48"/>
      <c r="N512" s="48"/>
      <c r="O512" s="48"/>
      <c r="P512" s="48"/>
      <c r="Q512" s="48"/>
      <c r="R512" s="48"/>
      <c r="S512" s="48"/>
      <c r="T512" s="48"/>
      <c r="U512" s="48"/>
      <c r="V512" s="48"/>
      <c r="W512" s="48"/>
      <c r="X512" s="48"/>
    </row>
    <row r="513" ht="15.75" customHeight="1">
      <c r="A513" s="56"/>
      <c r="B513" s="48"/>
      <c r="C513" s="48"/>
      <c r="D513" s="27"/>
      <c r="E513" s="27"/>
      <c r="F513" s="48"/>
      <c r="G513" s="48"/>
      <c r="H513" s="48"/>
      <c r="I513" s="48"/>
      <c r="J513" s="48"/>
      <c r="K513" s="48"/>
      <c r="L513" s="48"/>
      <c r="M513" s="48"/>
      <c r="N513" s="48"/>
      <c r="O513" s="48"/>
      <c r="P513" s="48"/>
      <c r="Q513" s="48"/>
      <c r="R513" s="48"/>
      <c r="S513" s="48"/>
      <c r="T513" s="48"/>
      <c r="U513" s="48"/>
      <c r="V513" s="48"/>
      <c r="W513" s="48"/>
      <c r="X513" s="48"/>
    </row>
    <row r="514" ht="15.75" customHeight="1">
      <c r="A514" s="56"/>
      <c r="B514" s="48"/>
      <c r="C514" s="48"/>
      <c r="D514" s="27"/>
      <c r="E514" s="27"/>
      <c r="F514" s="48"/>
      <c r="G514" s="48"/>
      <c r="H514" s="48"/>
      <c r="I514" s="48"/>
      <c r="J514" s="48"/>
      <c r="K514" s="48"/>
      <c r="L514" s="48"/>
      <c r="M514" s="48"/>
      <c r="N514" s="48"/>
      <c r="O514" s="48"/>
      <c r="P514" s="48"/>
      <c r="Q514" s="48"/>
      <c r="R514" s="48"/>
      <c r="S514" s="48"/>
      <c r="T514" s="48"/>
      <c r="U514" s="48"/>
      <c r="V514" s="48"/>
      <c r="W514" s="48"/>
      <c r="X514" s="48"/>
    </row>
    <row r="515" ht="15.75" customHeight="1">
      <c r="A515" s="56"/>
      <c r="B515" s="48"/>
      <c r="C515" s="48"/>
      <c r="D515" s="27"/>
      <c r="E515" s="27"/>
      <c r="F515" s="48"/>
      <c r="G515" s="48"/>
      <c r="H515" s="48"/>
      <c r="I515" s="48"/>
      <c r="J515" s="48"/>
      <c r="K515" s="48"/>
      <c r="L515" s="48"/>
      <c r="M515" s="48"/>
      <c r="N515" s="48"/>
      <c r="O515" s="48"/>
      <c r="P515" s="48"/>
      <c r="Q515" s="48"/>
      <c r="R515" s="48"/>
      <c r="S515" s="48"/>
      <c r="T515" s="48"/>
      <c r="U515" s="48"/>
      <c r="V515" s="48"/>
      <c r="W515" s="48"/>
      <c r="X515" s="48"/>
    </row>
    <row r="516" ht="15.75" customHeight="1">
      <c r="A516" s="56"/>
      <c r="B516" s="48"/>
      <c r="C516" s="48"/>
      <c r="D516" s="27"/>
      <c r="E516" s="27"/>
      <c r="F516" s="48"/>
      <c r="G516" s="48"/>
      <c r="H516" s="48"/>
      <c r="I516" s="48"/>
      <c r="J516" s="48"/>
      <c r="K516" s="48"/>
      <c r="L516" s="48"/>
      <c r="M516" s="48"/>
      <c r="N516" s="48"/>
      <c r="O516" s="48"/>
      <c r="P516" s="48"/>
      <c r="Q516" s="48"/>
      <c r="R516" s="48"/>
      <c r="S516" s="48"/>
      <c r="T516" s="48"/>
      <c r="U516" s="48"/>
      <c r="V516" s="48"/>
      <c r="W516" s="48"/>
      <c r="X516" s="48"/>
    </row>
    <row r="517" ht="15.75" customHeight="1">
      <c r="A517" s="56"/>
      <c r="B517" s="48"/>
      <c r="C517" s="48"/>
      <c r="D517" s="27"/>
      <c r="E517" s="27"/>
      <c r="F517" s="48"/>
      <c r="G517" s="48"/>
      <c r="H517" s="48"/>
      <c r="I517" s="48"/>
      <c r="J517" s="48"/>
      <c r="K517" s="48"/>
      <c r="L517" s="48"/>
      <c r="M517" s="48"/>
      <c r="N517" s="48"/>
      <c r="O517" s="48"/>
      <c r="P517" s="48"/>
      <c r="Q517" s="48"/>
      <c r="R517" s="48"/>
      <c r="S517" s="48"/>
      <c r="T517" s="48"/>
      <c r="U517" s="48"/>
      <c r="V517" s="48"/>
      <c r="W517" s="48"/>
      <c r="X517" s="48"/>
    </row>
    <row r="518" ht="15.75" customHeight="1">
      <c r="A518" s="56"/>
      <c r="B518" s="48"/>
      <c r="C518" s="48"/>
      <c r="D518" s="27"/>
      <c r="E518" s="27"/>
      <c r="F518" s="48"/>
      <c r="G518" s="48"/>
      <c r="H518" s="48"/>
      <c r="I518" s="48"/>
      <c r="J518" s="48"/>
      <c r="K518" s="48"/>
      <c r="L518" s="48"/>
      <c r="M518" s="48"/>
      <c r="N518" s="48"/>
      <c r="O518" s="48"/>
      <c r="P518" s="48"/>
      <c r="Q518" s="48"/>
      <c r="R518" s="48"/>
      <c r="S518" s="48"/>
      <c r="T518" s="48"/>
      <c r="U518" s="48"/>
      <c r="V518" s="48"/>
      <c r="W518" s="48"/>
      <c r="X518" s="48"/>
    </row>
    <row r="519" ht="15.75" customHeight="1">
      <c r="A519" s="56"/>
      <c r="B519" s="48"/>
      <c r="C519" s="48"/>
      <c r="D519" s="27"/>
      <c r="E519" s="27"/>
      <c r="F519" s="48"/>
      <c r="G519" s="48"/>
      <c r="H519" s="48"/>
      <c r="I519" s="48"/>
      <c r="J519" s="48"/>
      <c r="K519" s="48"/>
      <c r="L519" s="48"/>
      <c r="M519" s="48"/>
      <c r="N519" s="48"/>
      <c r="O519" s="48"/>
      <c r="P519" s="48"/>
      <c r="Q519" s="48"/>
      <c r="R519" s="48"/>
      <c r="S519" s="48"/>
      <c r="T519" s="48"/>
      <c r="U519" s="48"/>
      <c r="V519" s="48"/>
      <c r="W519" s="48"/>
      <c r="X519" s="48"/>
    </row>
    <row r="520" ht="15.75" customHeight="1">
      <c r="A520" s="56"/>
      <c r="B520" s="48"/>
      <c r="C520" s="48"/>
      <c r="D520" s="27"/>
      <c r="E520" s="27"/>
      <c r="F520" s="48"/>
      <c r="G520" s="48"/>
      <c r="H520" s="48"/>
      <c r="I520" s="48"/>
      <c r="J520" s="48"/>
      <c r="K520" s="48"/>
      <c r="L520" s="48"/>
      <c r="M520" s="48"/>
      <c r="N520" s="48"/>
      <c r="O520" s="48"/>
      <c r="P520" s="48"/>
      <c r="Q520" s="48"/>
      <c r="R520" s="48"/>
      <c r="S520" s="48"/>
      <c r="T520" s="48"/>
      <c r="U520" s="48"/>
      <c r="V520" s="48"/>
      <c r="W520" s="48"/>
      <c r="X520" s="48"/>
    </row>
    <row r="521" ht="15.75" customHeight="1">
      <c r="A521" s="56"/>
      <c r="B521" s="48"/>
      <c r="C521" s="48"/>
      <c r="D521" s="27"/>
      <c r="E521" s="27"/>
      <c r="F521" s="48"/>
      <c r="G521" s="48"/>
      <c r="H521" s="48"/>
      <c r="I521" s="48"/>
      <c r="J521" s="48"/>
      <c r="K521" s="48"/>
      <c r="L521" s="48"/>
      <c r="M521" s="48"/>
      <c r="N521" s="48"/>
      <c r="O521" s="48"/>
      <c r="P521" s="48"/>
      <c r="Q521" s="48"/>
      <c r="R521" s="48"/>
      <c r="S521" s="48"/>
      <c r="T521" s="48"/>
      <c r="U521" s="48"/>
      <c r="V521" s="48"/>
      <c r="W521" s="48"/>
      <c r="X521" s="48"/>
    </row>
    <row r="522" ht="15.75" customHeight="1">
      <c r="A522" s="56"/>
      <c r="B522" s="48"/>
      <c r="C522" s="48"/>
      <c r="D522" s="27"/>
      <c r="E522" s="27"/>
      <c r="F522" s="48"/>
      <c r="G522" s="48"/>
      <c r="H522" s="48"/>
      <c r="I522" s="48"/>
      <c r="J522" s="48"/>
      <c r="K522" s="48"/>
      <c r="L522" s="48"/>
      <c r="M522" s="48"/>
      <c r="N522" s="48"/>
      <c r="O522" s="48"/>
      <c r="P522" s="48"/>
      <c r="Q522" s="48"/>
      <c r="R522" s="48"/>
      <c r="S522" s="48"/>
      <c r="T522" s="48"/>
      <c r="U522" s="48"/>
      <c r="V522" s="48"/>
      <c r="W522" s="48"/>
      <c r="X522" s="48"/>
    </row>
    <row r="523" ht="15.75" customHeight="1">
      <c r="A523" s="56"/>
      <c r="B523" s="48"/>
      <c r="C523" s="48"/>
      <c r="D523" s="27"/>
      <c r="E523" s="27"/>
      <c r="F523" s="48"/>
      <c r="G523" s="48"/>
      <c r="H523" s="48"/>
      <c r="I523" s="48"/>
      <c r="J523" s="48"/>
      <c r="K523" s="48"/>
      <c r="L523" s="48"/>
      <c r="M523" s="48"/>
      <c r="N523" s="48"/>
      <c r="O523" s="48"/>
      <c r="P523" s="48"/>
      <c r="Q523" s="48"/>
      <c r="R523" s="48"/>
      <c r="S523" s="48"/>
      <c r="T523" s="48"/>
      <c r="U523" s="48"/>
      <c r="V523" s="48"/>
      <c r="W523" s="48"/>
      <c r="X523" s="48"/>
    </row>
    <row r="524" ht="15.75" customHeight="1">
      <c r="A524" s="56"/>
      <c r="B524" s="48"/>
      <c r="C524" s="48"/>
      <c r="D524" s="27"/>
      <c r="E524" s="27"/>
      <c r="F524" s="48"/>
      <c r="G524" s="48"/>
      <c r="H524" s="48"/>
      <c r="I524" s="48"/>
      <c r="J524" s="48"/>
      <c r="K524" s="48"/>
      <c r="L524" s="48"/>
      <c r="M524" s="48"/>
      <c r="N524" s="48"/>
      <c r="O524" s="48"/>
      <c r="P524" s="48"/>
      <c r="Q524" s="48"/>
      <c r="R524" s="48"/>
      <c r="S524" s="48"/>
      <c r="T524" s="48"/>
      <c r="U524" s="48"/>
      <c r="V524" s="48"/>
      <c r="W524" s="48"/>
      <c r="X524" s="48"/>
    </row>
    <row r="525" ht="15.75" customHeight="1">
      <c r="A525" s="56"/>
      <c r="B525" s="48"/>
      <c r="C525" s="48"/>
      <c r="D525" s="27"/>
      <c r="E525" s="27"/>
      <c r="F525" s="48"/>
      <c r="G525" s="48"/>
      <c r="H525" s="48"/>
      <c r="I525" s="48"/>
      <c r="J525" s="48"/>
      <c r="K525" s="48"/>
      <c r="L525" s="48"/>
      <c r="M525" s="48"/>
      <c r="N525" s="48"/>
      <c r="O525" s="48"/>
      <c r="P525" s="48"/>
      <c r="Q525" s="48"/>
      <c r="R525" s="48"/>
      <c r="S525" s="48"/>
      <c r="T525" s="48"/>
      <c r="U525" s="48"/>
      <c r="V525" s="48"/>
      <c r="W525" s="48"/>
      <c r="X525" s="48"/>
    </row>
    <row r="526" ht="15.75" customHeight="1">
      <c r="A526" s="56"/>
      <c r="B526" s="48"/>
      <c r="C526" s="48"/>
      <c r="D526" s="27"/>
      <c r="E526" s="27"/>
      <c r="F526" s="48"/>
      <c r="G526" s="48"/>
      <c r="H526" s="48"/>
      <c r="I526" s="48"/>
      <c r="J526" s="48"/>
      <c r="K526" s="48"/>
      <c r="L526" s="48"/>
      <c r="M526" s="48"/>
      <c r="N526" s="48"/>
      <c r="O526" s="48"/>
      <c r="P526" s="48"/>
      <c r="Q526" s="48"/>
      <c r="R526" s="48"/>
      <c r="S526" s="48"/>
      <c r="T526" s="48"/>
      <c r="U526" s="48"/>
      <c r="V526" s="48"/>
      <c r="W526" s="48"/>
      <c r="X526" s="48"/>
    </row>
    <row r="527" ht="15.75" customHeight="1">
      <c r="A527" s="56"/>
      <c r="B527" s="48"/>
      <c r="C527" s="48"/>
      <c r="D527" s="27"/>
      <c r="E527" s="27"/>
      <c r="F527" s="48"/>
      <c r="G527" s="48"/>
      <c r="H527" s="48"/>
      <c r="I527" s="48"/>
      <c r="J527" s="48"/>
      <c r="K527" s="48"/>
      <c r="L527" s="48"/>
      <c r="M527" s="48"/>
      <c r="N527" s="48"/>
      <c r="O527" s="48"/>
      <c r="P527" s="48"/>
      <c r="Q527" s="48"/>
      <c r="R527" s="48"/>
      <c r="S527" s="48"/>
      <c r="T527" s="48"/>
      <c r="U527" s="48"/>
      <c r="V527" s="48"/>
      <c r="W527" s="48"/>
      <c r="X527" s="48"/>
    </row>
    <row r="528" ht="15.75" customHeight="1">
      <c r="A528" s="56"/>
      <c r="B528" s="48"/>
      <c r="C528" s="48"/>
      <c r="D528" s="27"/>
      <c r="E528" s="27"/>
      <c r="F528" s="48"/>
      <c r="G528" s="48"/>
      <c r="H528" s="48"/>
      <c r="I528" s="48"/>
      <c r="J528" s="48"/>
      <c r="K528" s="48"/>
      <c r="L528" s="48"/>
      <c r="M528" s="48"/>
      <c r="N528" s="48"/>
      <c r="O528" s="48"/>
      <c r="P528" s="48"/>
      <c r="Q528" s="48"/>
      <c r="R528" s="48"/>
      <c r="S528" s="48"/>
      <c r="T528" s="48"/>
      <c r="U528" s="48"/>
      <c r="V528" s="48"/>
      <c r="W528" s="48"/>
      <c r="X528" s="48"/>
    </row>
    <row r="529" ht="15.75" customHeight="1">
      <c r="A529" s="56"/>
      <c r="B529" s="48"/>
      <c r="C529" s="48"/>
      <c r="D529" s="27"/>
      <c r="E529" s="27"/>
      <c r="F529" s="48"/>
      <c r="G529" s="48"/>
      <c r="H529" s="48"/>
      <c r="I529" s="48"/>
      <c r="J529" s="48"/>
      <c r="K529" s="48"/>
      <c r="L529" s="48"/>
      <c r="M529" s="48"/>
      <c r="N529" s="48"/>
      <c r="O529" s="48"/>
      <c r="P529" s="48"/>
      <c r="Q529" s="48"/>
      <c r="R529" s="48"/>
      <c r="S529" s="48"/>
      <c r="T529" s="48"/>
      <c r="U529" s="48"/>
      <c r="V529" s="48"/>
      <c r="W529" s="48"/>
      <c r="X529" s="48"/>
    </row>
    <row r="530" ht="15.75" customHeight="1">
      <c r="A530" s="56"/>
      <c r="B530" s="48"/>
      <c r="C530" s="48"/>
      <c r="D530" s="27"/>
      <c r="E530" s="27"/>
      <c r="F530" s="48"/>
      <c r="G530" s="48"/>
      <c r="H530" s="48"/>
      <c r="I530" s="48"/>
      <c r="J530" s="48"/>
      <c r="K530" s="48"/>
      <c r="L530" s="48"/>
      <c r="M530" s="48"/>
      <c r="N530" s="48"/>
      <c r="O530" s="48"/>
      <c r="P530" s="48"/>
      <c r="Q530" s="48"/>
      <c r="R530" s="48"/>
      <c r="S530" s="48"/>
      <c r="T530" s="48"/>
      <c r="U530" s="48"/>
      <c r="V530" s="48"/>
      <c r="W530" s="48"/>
      <c r="X530" s="48"/>
    </row>
    <row r="531" ht="15.75" customHeight="1">
      <c r="A531" s="56"/>
      <c r="B531" s="48"/>
      <c r="C531" s="48"/>
      <c r="D531" s="27"/>
      <c r="E531" s="27"/>
      <c r="F531" s="48"/>
      <c r="G531" s="48"/>
      <c r="H531" s="48"/>
      <c r="I531" s="48"/>
      <c r="J531" s="48"/>
      <c r="K531" s="48"/>
      <c r="L531" s="48"/>
      <c r="M531" s="48"/>
      <c r="N531" s="48"/>
      <c r="O531" s="48"/>
      <c r="P531" s="48"/>
      <c r="Q531" s="48"/>
      <c r="R531" s="48"/>
      <c r="S531" s="48"/>
      <c r="T531" s="48"/>
      <c r="U531" s="48"/>
      <c r="V531" s="48"/>
      <c r="W531" s="48"/>
      <c r="X531" s="48"/>
    </row>
    <row r="532" ht="15.75" customHeight="1">
      <c r="A532" s="56"/>
      <c r="B532" s="48"/>
      <c r="C532" s="48"/>
      <c r="D532" s="27"/>
      <c r="E532" s="27"/>
      <c r="F532" s="48"/>
      <c r="G532" s="48"/>
      <c r="H532" s="48"/>
      <c r="I532" s="48"/>
      <c r="J532" s="48"/>
      <c r="K532" s="48"/>
      <c r="L532" s="48"/>
      <c r="M532" s="48"/>
      <c r="N532" s="48"/>
      <c r="O532" s="48"/>
      <c r="P532" s="48"/>
      <c r="Q532" s="48"/>
      <c r="R532" s="48"/>
      <c r="S532" s="48"/>
      <c r="T532" s="48"/>
      <c r="U532" s="48"/>
      <c r="V532" s="48"/>
      <c r="W532" s="48"/>
      <c r="X532" s="48"/>
    </row>
    <row r="533" ht="15.75" customHeight="1">
      <c r="A533" s="56"/>
      <c r="B533" s="48"/>
      <c r="C533" s="48"/>
      <c r="D533" s="27"/>
      <c r="E533" s="27"/>
      <c r="F533" s="48"/>
      <c r="G533" s="48"/>
      <c r="H533" s="48"/>
      <c r="I533" s="48"/>
      <c r="J533" s="48"/>
      <c r="K533" s="48"/>
      <c r="L533" s="48"/>
      <c r="M533" s="48"/>
      <c r="N533" s="48"/>
      <c r="O533" s="48"/>
      <c r="P533" s="48"/>
      <c r="Q533" s="48"/>
      <c r="R533" s="48"/>
      <c r="S533" s="48"/>
      <c r="T533" s="48"/>
      <c r="U533" s="48"/>
      <c r="V533" s="48"/>
      <c r="W533" s="48"/>
      <c r="X533" s="48"/>
    </row>
    <row r="534" ht="15.75" customHeight="1">
      <c r="A534" s="56"/>
      <c r="B534" s="48"/>
      <c r="C534" s="48"/>
      <c r="D534" s="27"/>
      <c r="E534" s="27"/>
      <c r="F534" s="48"/>
      <c r="G534" s="48"/>
      <c r="H534" s="48"/>
      <c r="I534" s="48"/>
      <c r="J534" s="48"/>
      <c r="K534" s="48"/>
      <c r="L534" s="48"/>
      <c r="M534" s="48"/>
      <c r="N534" s="48"/>
      <c r="O534" s="48"/>
      <c r="P534" s="48"/>
      <c r="Q534" s="48"/>
      <c r="R534" s="48"/>
      <c r="S534" s="48"/>
      <c r="T534" s="48"/>
      <c r="U534" s="48"/>
      <c r="V534" s="48"/>
      <c r="W534" s="48"/>
      <c r="X534" s="48"/>
    </row>
    <row r="535" ht="15.75" customHeight="1">
      <c r="A535" s="56"/>
      <c r="B535" s="48"/>
      <c r="C535" s="48"/>
      <c r="D535" s="27"/>
      <c r="E535" s="27"/>
      <c r="F535" s="48"/>
      <c r="G535" s="48"/>
      <c r="H535" s="48"/>
      <c r="I535" s="48"/>
      <c r="J535" s="48"/>
      <c r="K535" s="48"/>
      <c r="L535" s="48"/>
      <c r="M535" s="48"/>
      <c r="N535" s="48"/>
      <c r="O535" s="48"/>
      <c r="P535" s="48"/>
      <c r="Q535" s="48"/>
      <c r="R535" s="48"/>
      <c r="S535" s="48"/>
      <c r="T535" s="48"/>
      <c r="U535" s="48"/>
      <c r="V535" s="48"/>
      <c r="W535" s="48"/>
      <c r="X535" s="48"/>
    </row>
    <row r="536" ht="15.75" customHeight="1">
      <c r="A536" s="56"/>
      <c r="B536" s="48"/>
      <c r="C536" s="48"/>
      <c r="D536" s="27"/>
      <c r="E536" s="27"/>
      <c r="F536" s="48"/>
      <c r="G536" s="48"/>
      <c r="H536" s="48"/>
      <c r="I536" s="48"/>
      <c r="J536" s="48"/>
      <c r="K536" s="48"/>
      <c r="L536" s="48"/>
      <c r="M536" s="48"/>
      <c r="N536" s="48"/>
      <c r="O536" s="48"/>
      <c r="P536" s="48"/>
      <c r="Q536" s="48"/>
      <c r="R536" s="48"/>
      <c r="S536" s="48"/>
      <c r="T536" s="48"/>
      <c r="U536" s="48"/>
      <c r="V536" s="48"/>
      <c r="W536" s="48"/>
      <c r="X536" s="48"/>
    </row>
    <row r="537" ht="15.75" customHeight="1">
      <c r="A537" s="56"/>
      <c r="B537" s="48"/>
      <c r="C537" s="48"/>
      <c r="D537" s="27"/>
      <c r="E537" s="27"/>
      <c r="F537" s="48"/>
      <c r="G537" s="48"/>
      <c r="H537" s="48"/>
      <c r="I537" s="48"/>
      <c r="J537" s="48"/>
      <c r="K537" s="48"/>
      <c r="L537" s="48"/>
      <c r="M537" s="48"/>
      <c r="N537" s="48"/>
      <c r="O537" s="48"/>
      <c r="P537" s="48"/>
      <c r="Q537" s="48"/>
      <c r="R537" s="48"/>
      <c r="S537" s="48"/>
      <c r="T537" s="48"/>
      <c r="U537" s="48"/>
      <c r="V537" s="48"/>
      <c r="W537" s="48"/>
      <c r="X537" s="48"/>
    </row>
    <row r="538" ht="15.75" customHeight="1">
      <c r="A538" s="56"/>
      <c r="B538" s="48"/>
      <c r="C538" s="48"/>
      <c r="D538" s="27"/>
      <c r="E538" s="27"/>
      <c r="F538" s="48"/>
      <c r="G538" s="48"/>
      <c r="H538" s="48"/>
      <c r="I538" s="48"/>
      <c r="J538" s="48"/>
      <c r="K538" s="48"/>
      <c r="L538" s="48"/>
      <c r="M538" s="48"/>
      <c r="N538" s="48"/>
      <c r="O538" s="48"/>
      <c r="P538" s="48"/>
      <c r="Q538" s="48"/>
      <c r="R538" s="48"/>
      <c r="S538" s="48"/>
      <c r="T538" s="48"/>
      <c r="U538" s="48"/>
      <c r="V538" s="48"/>
      <c r="W538" s="48"/>
      <c r="X538" s="48"/>
    </row>
    <row r="539" ht="15.75" customHeight="1">
      <c r="A539" s="56"/>
      <c r="B539" s="48"/>
      <c r="C539" s="48"/>
      <c r="D539" s="27"/>
      <c r="E539" s="27"/>
      <c r="F539" s="48"/>
      <c r="G539" s="48"/>
      <c r="H539" s="48"/>
      <c r="I539" s="48"/>
      <c r="J539" s="48"/>
      <c r="K539" s="48"/>
      <c r="L539" s="48"/>
      <c r="M539" s="48"/>
      <c r="N539" s="48"/>
      <c r="O539" s="48"/>
      <c r="P539" s="48"/>
      <c r="Q539" s="48"/>
      <c r="R539" s="48"/>
      <c r="S539" s="48"/>
      <c r="T539" s="48"/>
      <c r="U539" s="48"/>
      <c r="V539" s="48"/>
      <c r="W539" s="48"/>
      <c r="X539" s="48"/>
    </row>
    <row r="540" ht="15.75" customHeight="1">
      <c r="A540" s="56"/>
      <c r="B540" s="48"/>
      <c r="C540" s="48"/>
      <c r="D540" s="27"/>
      <c r="E540" s="27"/>
      <c r="F540" s="48"/>
      <c r="G540" s="48"/>
      <c r="H540" s="48"/>
      <c r="I540" s="48"/>
      <c r="J540" s="48"/>
      <c r="K540" s="48"/>
      <c r="L540" s="48"/>
      <c r="M540" s="48"/>
      <c r="N540" s="48"/>
      <c r="O540" s="48"/>
      <c r="P540" s="48"/>
      <c r="Q540" s="48"/>
      <c r="R540" s="48"/>
      <c r="S540" s="48"/>
      <c r="T540" s="48"/>
      <c r="U540" s="48"/>
      <c r="V540" s="48"/>
      <c r="W540" s="48"/>
      <c r="X540" s="48"/>
    </row>
    <row r="541" ht="15.75" customHeight="1">
      <c r="A541" s="56"/>
      <c r="B541" s="48"/>
      <c r="C541" s="48"/>
      <c r="D541" s="27"/>
      <c r="E541" s="27"/>
      <c r="F541" s="48"/>
      <c r="G541" s="48"/>
      <c r="H541" s="48"/>
      <c r="I541" s="48"/>
      <c r="J541" s="48"/>
      <c r="K541" s="48"/>
      <c r="L541" s="48"/>
      <c r="M541" s="48"/>
      <c r="N541" s="48"/>
      <c r="O541" s="48"/>
      <c r="P541" s="48"/>
      <c r="Q541" s="48"/>
      <c r="R541" s="48"/>
      <c r="S541" s="48"/>
      <c r="T541" s="48"/>
      <c r="U541" s="48"/>
      <c r="V541" s="48"/>
      <c r="W541" s="48"/>
      <c r="X541" s="48"/>
    </row>
    <row r="542" ht="15.75" customHeight="1">
      <c r="A542" s="56"/>
      <c r="B542" s="48"/>
      <c r="C542" s="48"/>
      <c r="D542" s="27"/>
      <c r="E542" s="27"/>
      <c r="F542" s="48"/>
      <c r="G542" s="48"/>
      <c r="H542" s="48"/>
      <c r="I542" s="48"/>
      <c r="J542" s="48"/>
      <c r="K542" s="48"/>
      <c r="L542" s="48"/>
      <c r="M542" s="48"/>
      <c r="N542" s="48"/>
      <c r="O542" s="48"/>
      <c r="P542" s="48"/>
      <c r="Q542" s="48"/>
      <c r="R542" s="48"/>
      <c r="S542" s="48"/>
      <c r="T542" s="48"/>
      <c r="U542" s="48"/>
      <c r="V542" s="48"/>
      <c r="W542" s="48"/>
      <c r="X542" s="48"/>
    </row>
    <row r="543" ht="15.75" customHeight="1">
      <c r="A543" s="56"/>
      <c r="B543" s="48"/>
      <c r="C543" s="48"/>
      <c r="D543" s="27"/>
      <c r="E543" s="27"/>
      <c r="F543" s="48"/>
      <c r="G543" s="48"/>
      <c r="H543" s="48"/>
      <c r="I543" s="48"/>
      <c r="J543" s="48"/>
      <c r="K543" s="48"/>
      <c r="L543" s="48"/>
      <c r="M543" s="48"/>
      <c r="N543" s="48"/>
      <c r="O543" s="48"/>
      <c r="P543" s="48"/>
      <c r="Q543" s="48"/>
      <c r="R543" s="48"/>
      <c r="S543" s="48"/>
      <c r="T543" s="48"/>
      <c r="U543" s="48"/>
      <c r="V543" s="48"/>
      <c r="W543" s="48"/>
      <c r="X543" s="48"/>
    </row>
    <row r="544" ht="15.75" customHeight="1">
      <c r="A544" s="56"/>
      <c r="B544" s="48"/>
      <c r="C544" s="48"/>
      <c r="D544" s="27"/>
      <c r="E544" s="27"/>
      <c r="F544" s="48"/>
      <c r="G544" s="48"/>
      <c r="H544" s="48"/>
      <c r="I544" s="48"/>
      <c r="J544" s="48"/>
      <c r="K544" s="48"/>
      <c r="L544" s="48"/>
      <c r="M544" s="48"/>
      <c r="N544" s="48"/>
      <c r="O544" s="48"/>
      <c r="P544" s="48"/>
      <c r="Q544" s="48"/>
      <c r="R544" s="48"/>
      <c r="S544" s="48"/>
      <c r="T544" s="48"/>
      <c r="U544" s="48"/>
      <c r="V544" s="48"/>
      <c r="W544" s="48"/>
      <c r="X544" s="48"/>
    </row>
    <row r="545" ht="15.75" customHeight="1">
      <c r="A545" s="56"/>
      <c r="B545" s="48"/>
      <c r="C545" s="48"/>
      <c r="D545" s="27"/>
      <c r="E545" s="27"/>
      <c r="F545" s="48"/>
      <c r="G545" s="48"/>
      <c r="H545" s="48"/>
      <c r="I545" s="48"/>
      <c r="J545" s="48"/>
      <c r="K545" s="48"/>
      <c r="L545" s="48"/>
      <c r="M545" s="48"/>
      <c r="N545" s="48"/>
      <c r="O545" s="48"/>
      <c r="P545" s="48"/>
      <c r="Q545" s="48"/>
      <c r="R545" s="48"/>
      <c r="S545" s="48"/>
      <c r="T545" s="48"/>
      <c r="U545" s="48"/>
      <c r="V545" s="48"/>
      <c r="W545" s="48"/>
      <c r="X545" s="48"/>
    </row>
    <row r="546" ht="15.75" customHeight="1">
      <c r="A546" s="56"/>
      <c r="B546" s="48"/>
      <c r="C546" s="48"/>
      <c r="D546" s="27"/>
      <c r="E546" s="27"/>
      <c r="F546" s="48"/>
      <c r="G546" s="48"/>
      <c r="H546" s="48"/>
      <c r="I546" s="48"/>
      <c r="J546" s="48"/>
      <c r="K546" s="48"/>
      <c r="L546" s="48"/>
      <c r="M546" s="48"/>
      <c r="N546" s="48"/>
      <c r="O546" s="48"/>
      <c r="P546" s="48"/>
      <c r="Q546" s="48"/>
      <c r="R546" s="48"/>
      <c r="S546" s="48"/>
      <c r="T546" s="48"/>
      <c r="U546" s="48"/>
      <c r="V546" s="48"/>
      <c r="W546" s="48"/>
      <c r="X546" s="48"/>
    </row>
    <row r="547" ht="15.75" customHeight="1">
      <c r="A547" s="56"/>
      <c r="B547" s="48"/>
      <c r="C547" s="48"/>
      <c r="D547" s="27"/>
      <c r="E547" s="27"/>
      <c r="F547" s="48"/>
      <c r="G547" s="48"/>
      <c r="H547" s="48"/>
      <c r="I547" s="48"/>
      <c r="J547" s="48"/>
      <c r="K547" s="48"/>
      <c r="L547" s="48"/>
      <c r="M547" s="48"/>
      <c r="N547" s="48"/>
      <c r="O547" s="48"/>
      <c r="P547" s="48"/>
      <c r="Q547" s="48"/>
      <c r="R547" s="48"/>
      <c r="S547" s="48"/>
      <c r="T547" s="48"/>
      <c r="U547" s="48"/>
      <c r="V547" s="48"/>
      <c r="W547" s="48"/>
      <c r="X547" s="48"/>
    </row>
    <row r="548" ht="15.75" customHeight="1">
      <c r="A548" s="56"/>
      <c r="B548" s="48"/>
      <c r="C548" s="48"/>
      <c r="D548" s="27"/>
      <c r="E548" s="27"/>
      <c r="F548" s="48"/>
      <c r="G548" s="48"/>
      <c r="H548" s="48"/>
      <c r="I548" s="48"/>
      <c r="J548" s="48"/>
      <c r="K548" s="48"/>
      <c r="L548" s="48"/>
      <c r="M548" s="48"/>
      <c r="N548" s="48"/>
      <c r="O548" s="48"/>
      <c r="P548" s="48"/>
      <c r="Q548" s="48"/>
      <c r="R548" s="48"/>
      <c r="S548" s="48"/>
      <c r="T548" s="48"/>
      <c r="U548" s="48"/>
      <c r="V548" s="48"/>
      <c r="W548" s="48"/>
      <c r="X548" s="48"/>
    </row>
    <row r="549" ht="15.75" customHeight="1">
      <c r="A549" s="56"/>
      <c r="B549" s="48"/>
      <c r="C549" s="48"/>
      <c r="D549" s="27"/>
      <c r="E549" s="27"/>
      <c r="F549" s="48"/>
      <c r="G549" s="48"/>
      <c r="H549" s="48"/>
      <c r="I549" s="48"/>
      <c r="J549" s="48"/>
      <c r="K549" s="48"/>
      <c r="L549" s="48"/>
      <c r="M549" s="48"/>
      <c r="N549" s="48"/>
      <c r="O549" s="48"/>
      <c r="P549" s="48"/>
      <c r="Q549" s="48"/>
      <c r="R549" s="48"/>
      <c r="S549" s="48"/>
      <c r="T549" s="48"/>
      <c r="U549" s="48"/>
      <c r="V549" s="48"/>
      <c r="W549" s="48"/>
      <c r="X549" s="48"/>
    </row>
    <row r="550" ht="15.75" customHeight="1">
      <c r="A550" s="56"/>
      <c r="B550" s="48"/>
      <c r="C550" s="48"/>
      <c r="D550" s="27"/>
      <c r="E550" s="27"/>
      <c r="F550" s="48"/>
      <c r="G550" s="48"/>
      <c r="H550" s="48"/>
      <c r="I550" s="48"/>
      <c r="J550" s="48"/>
      <c r="K550" s="48"/>
      <c r="L550" s="48"/>
      <c r="M550" s="48"/>
      <c r="N550" s="48"/>
      <c r="O550" s="48"/>
      <c r="P550" s="48"/>
      <c r="Q550" s="48"/>
      <c r="R550" s="48"/>
      <c r="S550" s="48"/>
      <c r="T550" s="48"/>
      <c r="U550" s="48"/>
      <c r="V550" s="48"/>
      <c r="W550" s="48"/>
      <c r="X550" s="48"/>
    </row>
    <row r="551" ht="15.75" customHeight="1">
      <c r="A551" s="56"/>
      <c r="B551" s="48"/>
      <c r="C551" s="48"/>
      <c r="D551" s="27"/>
      <c r="E551" s="27"/>
      <c r="F551" s="48"/>
      <c r="G551" s="48"/>
      <c r="H551" s="48"/>
      <c r="I551" s="48"/>
      <c r="J551" s="48"/>
      <c r="K551" s="48"/>
      <c r="L551" s="48"/>
      <c r="M551" s="48"/>
      <c r="N551" s="48"/>
      <c r="O551" s="48"/>
      <c r="P551" s="48"/>
      <c r="Q551" s="48"/>
      <c r="R551" s="48"/>
      <c r="S551" s="48"/>
      <c r="T551" s="48"/>
      <c r="U551" s="48"/>
      <c r="V551" s="48"/>
      <c r="W551" s="48"/>
      <c r="X551" s="48"/>
    </row>
    <row r="552" ht="15.75" customHeight="1">
      <c r="A552" s="56"/>
      <c r="B552" s="48"/>
      <c r="C552" s="48"/>
      <c r="D552" s="27"/>
      <c r="E552" s="27"/>
      <c r="F552" s="48"/>
      <c r="G552" s="48"/>
      <c r="H552" s="48"/>
      <c r="I552" s="48"/>
      <c r="J552" s="48"/>
      <c r="K552" s="48"/>
      <c r="L552" s="48"/>
      <c r="M552" s="48"/>
      <c r="N552" s="48"/>
      <c r="O552" s="48"/>
      <c r="P552" s="48"/>
      <c r="Q552" s="48"/>
      <c r="R552" s="48"/>
      <c r="S552" s="48"/>
      <c r="T552" s="48"/>
      <c r="U552" s="48"/>
      <c r="V552" s="48"/>
      <c r="W552" s="48"/>
      <c r="X552" s="48"/>
    </row>
    <row r="553" ht="15.75" customHeight="1">
      <c r="A553" s="56"/>
      <c r="B553" s="48"/>
      <c r="C553" s="48"/>
      <c r="D553" s="27"/>
      <c r="E553" s="27"/>
      <c r="F553" s="48"/>
      <c r="G553" s="48"/>
      <c r="H553" s="48"/>
      <c r="I553" s="48"/>
      <c r="J553" s="48"/>
      <c r="K553" s="48"/>
      <c r="L553" s="48"/>
      <c r="M553" s="48"/>
      <c r="N553" s="48"/>
      <c r="O553" s="48"/>
      <c r="P553" s="48"/>
      <c r="Q553" s="48"/>
      <c r="R553" s="48"/>
      <c r="S553" s="48"/>
      <c r="T553" s="48"/>
      <c r="U553" s="48"/>
      <c r="V553" s="48"/>
      <c r="W553" s="48"/>
      <c r="X553" s="48"/>
    </row>
    <row r="554" ht="15.75" customHeight="1">
      <c r="A554" s="56"/>
      <c r="B554" s="48"/>
      <c r="C554" s="48"/>
      <c r="D554" s="27"/>
      <c r="E554" s="27"/>
      <c r="F554" s="48"/>
      <c r="G554" s="48"/>
      <c r="H554" s="48"/>
      <c r="I554" s="48"/>
      <c r="J554" s="48"/>
      <c r="K554" s="48"/>
      <c r="L554" s="48"/>
      <c r="M554" s="48"/>
      <c r="N554" s="48"/>
      <c r="O554" s="48"/>
      <c r="P554" s="48"/>
      <c r="Q554" s="48"/>
      <c r="R554" s="48"/>
      <c r="S554" s="48"/>
      <c r="T554" s="48"/>
      <c r="U554" s="48"/>
      <c r="V554" s="48"/>
      <c r="W554" s="48"/>
      <c r="X554" s="48"/>
    </row>
    <row r="555" ht="15.75" customHeight="1">
      <c r="A555" s="56"/>
      <c r="B555" s="48"/>
      <c r="C555" s="48"/>
      <c r="D555" s="27"/>
      <c r="E555" s="27"/>
      <c r="F555" s="48"/>
      <c r="G555" s="48"/>
      <c r="H555" s="48"/>
      <c r="I555" s="48"/>
      <c r="J555" s="48"/>
      <c r="K555" s="48"/>
      <c r="L555" s="48"/>
      <c r="M555" s="48"/>
      <c r="N555" s="48"/>
      <c r="O555" s="48"/>
      <c r="P555" s="48"/>
      <c r="Q555" s="48"/>
      <c r="R555" s="48"/>
      <c r="S555" s="48"/>
      <c r="T555" s="48"/>
      <c r="U555" s="48"/>
      <c r="V555" s="48"/>
      <c r="W555" s="48"/>
      <c r="X555" s="48"/>
    </row>
    <row r="556" ht="15.75" customHeight="1">
      <c r="A556" s="56"/>
      <c r="B556" s="48"/>
      <c r="C556" s="48"/>
      <c r="D556" s="27"/>
      <c r="E556" s="27"/>
      <c r="F556" s="48"/>
      <c r="G556" s="48"/>
      <c r="H556" s="48"/>
      <c r="I556" s="48"/>
      <c r="J556" s="48"/>
      <c r="K556" s="48"/>
      <c r="L556" s="48"/>
      <c r="M556" s="48"/>
      <c r="N556" s="48"/>
      <c r="O556" s="48"/>
      <c r="P556" s="48"/>
      <c r="Q556" s="48"/>
      <c r="R556" s="48"/>
      <c r="S556" s="48"/>
      <c r="T556" s="48"/>
      <c r="U556" s="48"/>
      <c r="V556" s="48"/>
      <c r="W556" s="48"/>
      <c r="X556" s="48"/>
    </row>
    <row r="557" ht="15.75" customHeight="1">
      <c r="A557" s="56"/>
      <c r="B557" s="48"/>
      <c r="C557" s="48"/>
      <c r="D557" s="27"/>
      <c r="E557" s="27"/>
      <c r="F557" s="48"/>
      <c r="G557" s="48"/>
      <c r="H557" s="48"/>
      <c r="I557" s="48"/>
      <c r="J557" s="48"/>
      <c r="K557" s="48"/>
      <c r="L557" s="48"/>
      <c r="M557" s="48"/>
      <c r="N557" s="48"/>
      <c r="O557" s="48"/>
      <c r="P557" s="48"/>
      <c r="Q557" s="48"/>
      <c r="R557" s="48"/>
      <c r="S557" s="48"/>
      <c r="T557" s="48"/>
      <c r="U557" s="48"/>
      <c r="V557" s="48"/>
      <c r="W557" s="48"/>
      <c r="X557" s="48"/>
    </row>
    <row r="558" ht="15.75" customHeight="1">
      <c r="A558" s="56"/>
      <c r="B558" s="48"/>
      <c r="C558" s="48"/>
      <c r="D558" s="27"/>
      <c r="E558" s="27"/>
      <c r="F558" s="48"/>
      <c r="G558" s="48"/>
      <c r="H558" s="48"/>
      <c r="I558" s="48"/>
      <c r="J558" s="48"/>
      <c r="K558" s="48"/>
      <c r="L558" s="48"/>
      <c r="M558" s="48"/>
      <c r="N558" s="48"/>
      <c r="O558" s="48"/>
      <c r="P558" s="48"/>
      <c r="Q558" s="48"/>
      <c r="R558" s="48"/>
      <c r="S558" s="48"/>
      <c r="T558" s="48"/>
      <c r="U558" s="48"/>
      <c r="V558" s="48"/>
      <c r="W558" s="48"/>
      <c r="X558" s="48"/>
    </row>
    <row r="559" ht="15.75" customHeight="1">
      <c r="A559" s="56"/>
      <c r="B559" s="48"/>
      <c r="C559" s="48"/>
      <c r="D559" s="27"/>
      <c r="E559" s="27"/>
      <c r="F559" s="48"/>
      <c r="G559" s="48"/>
      <c r="H559" s="48"/>
      <c r="I559" s="48"/>
      <c r="J559" s="48"/>
      <c r="K559" s="48"/>
      <c r="L559" s="48"/>
      <c r="M559" s="48"/>
      <c r="N559" s="48"/>
      <c r="O559" s="48"/>
      <c r="P559" s="48"/>
      <c r="Q559" s="48"/>
      <c r="R559" s="48"/>
      <c r="S559" s="48"/>
      <c r="T559" s="48"/>
      <c r="U559" s="48"/>
      <c r="V559" s="48"/>
      <c r="W559" s="48"/>
      <c r="X559" s="48"/>
    </row>
    <row r="560" ht="15.75" customHeight="1">
      <c r="A560" s="56"/>
      <c r="B560" s="48"/>
      <c r="C560" s="48"/>
      <c r="D560" s="27"/>
      <c r="E560" s="27"/>
      <c r="F560" s="48"/>
      <c r="G560" s="48"/>
      <c r="H560" s="48"/>
      <c r="I560" s="48"/>
      <c r="J560" s="48"/>
      <c r="K560" s="48"/>
      <c r="L560" s="48"/>
      <c r="M560" s="48"/>
      <c r="N560" s="48"/>
      <c r="O560" s="48"/>
      <c r="P560" s="48"/>
      <c r="Q560" s="48"/>
      <c r="R560" s="48"/>
      <c r="S560" s="48"/>
      <c r="T560" s="48"/>
      <c r="U560" s="48"/>
      <c r="V560" s="48"/>
      <c r="W560" s="48"/>
      <c r="X560" s="48"/>
    </row>
    <row r="561" ht="15.75" customHeight="1">
      <c r="A561" s="56"/>
      <c r="B561" s="48"/>
      <c r="C561" s="48"/>
      <c r="D561" s="27"/>
      <c r="E561" s="27"/>
      <c r="F561" s="48"/>
      <c r="G561" s="48"/>
      <c r="H561" s="48"/>
      <c r="I561" s="48"/>
      <c r="J561" s="48"/>
      <c r="K561" s="48"/>
      <c r="L561" s="48"/>
      <c r="M561" s="48"/>
      <c r="N561" s="48"/>
      <c r="O561" s="48"/>
      <c r="P561" s="48"/>
      <c r="Q561" s="48"/>
      <c r="R561" s="48"/>
      <c r="S561" s="48"/>
      <c r="T561" s="48"/>
      <c r="U561" s="48"/>
      <c r="V561" s="48"/>
      <c r="W561" s="48"/>
      <c r="X561" s="48"/>
    </row>
    <row r="562" ht="15.75" customHeight="1">
      <c r="A562" s="56"/>
      <c r="B562" s="48"/>
      <c r="C562" s="48"/>
      <c r="D562" s="27"/>
      <c r="E562" s="27"/>
      <c r="F562" s="48"/>
      <c r="G562" s="48"/>
      <c r="H562" s="48"/>
      <c r="I562" s="48"/>
      <c r="J562" s="48"/>
      <c r="K562" s="48"/>
      <c r="L562" s="48"/>
      <c r="M562" s="48"/>
      <c r="N562" s="48"/>
      <c r="O562" s="48"/>
      <c r="P562" s="48"/>
      <c r="Q562" s="48"/>
      <c r="R562" s="48"/>
      <c r="S562" s="48"/>
      <c r="T562" s="48"/>
      <c r="U562" s="48"/>
      <c r="V562" s="48"/>
      <c r="W562" s="48"/>
      <c r="X562" s="48"/>
    </row>
    <row r="563" ht="15.75" customHeight="1">
      <c r="A563" s="56"/>
      <c r="B563" s="48"/>
      <c r="C563" s="48"/>
      <c r="D563" s="27"/>
      <c r="E563" s="27"/>
      <c r="F563" s="48"/>
      <c r="G563" s="48"/>
      <c r="H563" s="48"/>
      <c r="I563" s="48"/>
      <c r="J563" s="48"/>
      <c r="K563" s="48"/>
      <c r="L563" s="48"/>
      <c r="M563" s="48"/>
      <c r="N563" s="48"/>
      <c r="O563" s="48"/>
      <c r="P563" s="48"/>
      <c r="Q563" s="48"/>
      <c r="R563" s="48"/>
      <c r="S563" s="48"/>
      <c r="T563" s="48"/>
      <c r="U563" s="48"/>
      <c r="V563" s="48"/>
      <c r="W563" s="48"/>
      <c r="X563" s="48"/>
    </row>
    <row r="564" ht="15.75" customHeight="1">
      <c r="A564" s="56"/>
      <c r="B564" s="48"/>
      <c r="C564" s="48"/>
      <c r="D564" s="27"/>
      <c r="E564" s="27"/>
      <c r="F564" s="48"/>
      <c r="G564" s="48"/>
      <c r="H564" s="48"/>
      <c r="I564" s="48"/>
      <c r="J564" s="48"/>
      <c r="K564" s="48"/>
      <c r="L564" s="48"/>
      <c r="M564" s="48"/>
      <c r="N564" s="48"/>
      <c r="O564" s="48"/>
      <c r="P564" s="48"/>
      <c r="Q564" s="48"/>
      <c r="R564" s="48"/>
      <c r="S564" s="48"/>
      <c r="T564" s="48"/>
      <c r="U564" s="48"/>
      <c r="V564" s="48"/>
      <c r="W564" s="48"/>
      <c r="X564" s="48"/>
    </row>
    <row r="565" ht="15.75" customHeight="1">
      <c r="A565" s="56"/>
      <c r="B565" s="48"/>
      <c r="C565" s="48"/>
      <c r="D565" s="27"/>
      <c r="E565" s="27"/>
      <c r="F565" s="48"/>
      <c r="G565" s="48"/>
      <c r="H565" s="48"/>
      <c r="I565" s="48"/>
      <c r="J565" s="48"/>
      <c r="K565" s="48"/>
      <c r="L565" s="48"/>
      <c r="M565" s="48"/>
      <c r="N565" s="48"/>
      <c r="O565" s="48"/>
      <c r="P565" s="48"/>
      <c r="Q565" s="48"/>
      <c r="R565" s="48"/>
      <c r="S565" s="48"/>
      <c r="T565" s="48"/>
      <c r="U565" s="48"/>
      <c r="V565" s="48"/>
      <c r="W565" s="48"/>
      <c r="X565" s="48"/>
    </row>
    <row r="566" ht="15.75" customHeight="1">
      <c r="A566" s="56"/>
      <c r="B566" s="48"/>
      <c r="C566" s="48"/>
      <c r="D566" s="27"/>
      <c r="E566" s="27"/>
      <c r="F566" s="48"/>
      <c r="G566" s="48"/>
      <c r="H566" s="48"/>
      <c r="I566" s="48"/>
      <c r="J566" s="48"/>
      <c r="K566" s="48"/>
      <c r="L566" s="48"/>
      <c r="M566" s="48"/>
      <c r="N566" s="48"/>
      <c r="O566" s="48"/>
      <c r="P566" s="48"/>
      <c r="Q566" s="48"/>
      <c r="R566" s="48"/>
      <c r="S566" s="48"/>
      <c r="T566" s="48"/>
      <c r="U566" s="48"/>
      <c r="V566" s="48"/>
      <c r="W566" s="48"/>
      <c r="X566" s="48"/>
    </row>
    <row r="567" ht="15.75" customHeight="1">
      <c r="A567" s="56"/>
      <c r="B567" s="48"/>
      <c r="C567" s="48"/>
      <c r="D567" s="27"/>
      <c r="E567" s="27"/>
      <c r="F567" s="48"/>
      <c r="G567" s="48"/>
      <c r="H567" s="48"/>
      <c r="I567" s="48"/>
      <c r="J567" s="48"/>
      <c r="K567" s="48"/>
      <c r="L567" s="48"/>
      <c r="M567" s="48"/>
      <c r="N567" s="48"/>
      <c r="O567" s="48"/>
      <c r="P567" s="48"/>
      <c r="Q567" s="48"/>
      <c r="R567" s="48"/>
      <c r="S567" s="48"/>
      <c r="T567" s="48"/>
      <c r="U567" s="48"/>
      <c r="V567" s="48"/>
      <c r="W567" s="48"/>
      <c r="X567" s="48"/>
    </row>
    <row r="568" ht="15.75" customHeight="1">
      <c r="A568" s="56"/>
      <c r="B568" s="48"/>
      <c r="C568" s="48"/>
      <c r="D568" s="27"/>
      <c r="E568" s="27"/>
      <c r="F568" s="48"/>
      <c r="G568" s="48"/>
      <c r="H568" s="48"/>
      <c r="I568" s="48"/>
      <c r="J568" s="48"/>
      <c r="K568" s="48"/>
      <c r="L568" s="48"/>
      <c r="M568" s="48"/>
      <c r="N568" s="48"/>
      <c r="O568" s="48"/>
      <c r="P568" s="48"/>
      <c r="Q568" s="48"/>
      <c r="R568" s="48"/>
      <c r="S568" s="48"/>
      <c r="T568" s="48"/>
      <c r="U568" s="48"/>
      <c r="V568" s="48"/>
      <c r="W568" s="48"/>
      <c r="X568" s="48"/>
    </row>
    <row r="569" ht="15.75" customHeight="1">
      <c r="A569" s="56"/>
      <c r="B569" s="48"/>
      <c r="C569" s="48"/>
      <c r="D569" s="27"/>
      <c r="E569" s="27"/>
      <c r="F569" s="48"/>
      <c r="G569" s="48"/>
      <c r="H569" s="48"/>
      <c r="I569" s="48"/>
      <c r="J569" s="48"/>
      <c r="K569" s="48"/>
      <c r="L569" s="48"/>
      <c r="M569" s="48"/>
      <c r="N569" s="48"/>
      <c r="O569" s="48"/>
      <c r="P569" s="48"/>
      <c r="Q569" s="48"/>
      <c r="R569" s="48"/>
      <c r="S569" s="48"/>
      <c r="T569" s="48"/>
      <c r="U569" s="48"/>
      <c r="V569" s="48"/>
      <c r="W569" s="48"/>
      <c r="X569" s="48"/>
    </row>
    <row r="570" ht="15.75" customHeight="1">
      <c r="A570" s="56"/>
      <c r="B570" s="48"/>
      <c r="C570" s="48"/>
      <c r="D570" s="27"/>
      <c r="E570" s="27"/>
      <c r="F570" s="48"/>
      <c r="G570" s="48"/>
      <c r="H570" s="48"/>
      <c r="I570" s="48"/>
      <c r="J570" s="48"/>
      <c r="K570" s="48"/>
      <c r="L570" s="48"/>
      <c r="M570" s="48"/>
      <c r="N570" s="48"/>
      <c r="O570" s="48"/>
      <c r="P570" s="48"/>
      <c r="Q570" s="48"/>
      <c r="R570" s="48"/>
      <c r="S570" s="48"/>
      <c r="T570" s="48"/>
      <c r="U570" s="48"/>
      <c r="V570" s="48"/>
      <c r="W570" s="48"/>
      <c r="X570" s="48"/>
    </row>
    <row r="571" ht="15.75" customHeight="1">
      <c r="A571" s="56"/>
      <c r="B571" s="48"/>
      <c r="C571" s="48"/>
      <c r="D571" s="27"/>
      <c r="E571" s="27"/>
      <c r="F571" s="48"/>
      <c r="G571" s="48"/>
      <c r="H571" s="48"/>
      <c r="I571" s="48"/>
      <c r="J571" s="48"/>
      <c r="K571" s="48"/>
      <c r="L571" s="48"/>
      <c r="M571" s="48"/>
      <c r="N571" s="48"/>
      <c r="O571" s="48"/>
      <c r="P571" s="48"/>
      <c r="Q571" s="48"/>
      <c r="R571" s="48"/>
      <c r="S571" s="48"/>
      <c r="T571" s="48"/>
      <c r="U571" s="48"/>
      <c r="V571" s="48"/>
      <c r="W571" s="48"/>
      <c r="X571" s="48"/>
    </row>
    <row r="572" ht="15.75" customHeight="1">
      <c r="A572" s="56"/>
      <c r="B572" s="48"/>
      <c r="C572" s="48"/>
      <c r="D572" s="27"/>
      <c r="E572" s="27"/>
      <c r="F572" s="48"/>
      <c r="G572" s="48"/>
      <c r="H572" s="48"/>
      <c r="I572" s="48"/>
      <c r="J572" s="48"/>
      <c r="K572" s="48"/>
      <c r="L572" s="48"/>
      <c r="M572" s="48"/>
      <c r="N572" s="48"/>
      <c r="O572" s="48"/>
      <c r="P572" s="48"/>
      <c r="Q572" s="48"/>
      <c r="R572" s="48"/>
      <c r="S572" s="48"/>
      <c r="T572" s="48"/>
      <c r="U572" s="48"/>
      <c r="V572" s="48"/>
      <c r="W572" s="48"/>
      <c r="X572" s="48"/>
    </row>
    <row r="573" ht="15.75" customHeight="1">
      <c r="A573" s="56"/>
      <c r="B573" s="48"/>
      <c r="C573" s="48"/>
      <c r="D573" s="27"/>
      <c r="E573" s="27"/>
      <c r="F573" s="48"/>
      <c r="G573" s="48"/>
      <c r="H573" s="48"/>
      <c r="I573" s="48"/>
      <c r="J573" s="48"/>
      <c r="K573" s="48"/>
      <c r="L573" s="48"/>
      <c r="M573" s="48"/>
      <c r="N573" s="48"/>
      <c r="O573" s="48"/>
      <c r="P573" s="48"/>
      <c r="Q573" s="48"/>
      <c r="R573" s="48"/>
      <c r="S573" s="48"/>
      <c r="T573" s="48"/>
      <c r="U573" s="48"/>
      <c r="V573" s="48"/>
      <c r="W573" s="48"/>
      <c r="X573" s="48"/>
    </row>
    <row r="574" ht="15.75" customHeight="1">
      <c r="A574" s="56"/>
      <c r="B574" s="48"/>
      <c r="C574" s="48"/>
      <c r="D574" s="27"/>
      <c r="E574" s="27"/>
      <c r="F574" s="48"/>
      <c r="G574" s="48"/>
      <c r="H574" s="48"/>
      <c r="I574" s="48"/>
      <c r="J574" s="48"/>
      <c r="K574" s="48"/>
      <c r="L574" s="48"/>
      <c r="M574" s="48"/>
      <c r="N574" s="48"/>
      <c r="O574" s="48"/>
      <c r="P574" s="48"/>
      <c r="Q574" s="48"/>
      <c r="R574" s="48"/>
      <c r="S574" s="48"/>
      <c r="T574" s="48"/>
      <c r="U574" s="48"/>
      <c r="V574" s="48"/>
      <c r="W574" s="48"/>
      <c r="X574" s="48"/>
    </row>
    <row r="575" ht="15.75" customHeight="1">
      <c r="A575" s="56"/>
      <c r="B575" s="48"/>
      <c r="C575" s="48"/>
      <c r="D575" s="27"/>
      <c r="E575" s="27"/>
      <c r="F575" s="48"/>
      <c r="G575" s="48"/>
      <c r="H575" s="48"/>
      <c r="I575" s="48"/>
      <c r="J575" s="48"/>
      <c r="K575" s="48"/>
      <c r="L575" s="48"/>
      <c r="M575" s="48"/>
      <c r="N575" s="48"/>
      <c r="O575" s="48"/>
      <c r="P575" s="48"/>
      <c r="Q575" s="48"/>
      <c r="R575" s="48"/>
      <c r="S575" s="48"/>
      <c r="T575" s="48"/>
      <c r="U575" s="48"/>
      <c r="V575" s="48"/>
      <c r="W575" s="48"/>
      <c r="X575" s="48"/>
    </row>
    <row r="576" ht="15.75" customHeight="1">
      <c r="A576" s="56"/>
      <c r="B576" s="48"/>
      <c r="C576" s="48"/>
      <c r="D576" s="27"/>
      <c r="E576" s="27"/>
      <c r="F576" s="48"/>
      <c r="G576" s="48"/>
      <c r="H576" s="48"/>
      <c r="I576" s="48"/>
      <c r="J576" s="48"/>
      <c r="K576" s="48"/>
      <c r="L576" s="48"/>
      <c r="M576" s="48"/>
      <c r="N576" s="48"/>
      <c r="O576" s="48"/>
      <c r="P576" s="48"/>
      <c r="Q576" s="48"/>
      <c r="R576" s="48"/>
      <c r="S576" s="48"/>
      <c r="T576" s="48"/>
      <c r="U576" s="48"/>
      <c r="V576" s="48"/>
      <c r="W576" s="48"/>
      <c r="X576" s="48"/>
    </row>
    <row r="577" ht="15.75" customHeight="1">
      <c r="A577" s="56"/>
      <c r="B577" s="48"/>
      <c r="C577" s="48"/>
      <c r="D577" s="27"/>
      <c r="E577" s="27"/>
      <c r="F577" s="48"/>
      <c r="G577" s="48"/>
      <c r="H577" s="48"/>
      <c r="I577" s="48"/>
      <c r="J577" s="48"/>
      <c r="K577" s="48"/>
      <c r="L577" s="48"/>
      <c r="M577" s="48"/>
      <c r="N577" s="48"/>
      <c r="O577" s="48"/>
      <c r="P577" s="48"/>
      <c r="Q577" s="48"/>
      <c r="R577" s="48"/>
      <c r="S577" s="48"/>
      <c r="T577" s="48"/>
      <c r="U577" s="48"/>
      <c r="V577" s="48"/>
      <c r="W577" s="48"/>
      <c r="X577" s="48"/>
    </row>
    <row r="578" ht="15.75" customHeight="1">
      <c r="A578" s="56"/>
      <c r="B578" s="48"/>
      <c r="C578" s="48"/>
      <c r="D578" s="27"/>
      <c r="E578" s="27"/>
      <c r="F578" s="48"/>
      <c r="G578" s="48"/>
      <c r="H578" s="48"/>
      <c r="I578" s="48"/>
      <c r="J578" s="48"/>
      <c r="K578" s="48"/>
      <c r="L578" s="48"/>
      <c r="M578" s="48"/>
      <c r="N578" s="48"/>
      <c r="O578" s="48"/>
      <c r="P578" s="48"/>
      <c r="Q578" s="48"/>
      <c r="R578" s="48"/>
      <c r="S578" s="48"/>
      <c r="T578" s="48"/>
      <c r="U578" s="48"/>
      <c r="V578" s="48"/>
      <c r="W578" s="48"/>
      <c r="X578" s="48"/>
    </row>
    <row r="579" ht="15.75" customHeight="1">
      <c r="A579" s="56"/>
      <c r="B579" s="48"/>
      <c r="C579" s="48"/>
      <c r="D579" s="27"/>
      <c r="E579" s="27"/>
      <c r="F579" s="48"/>
      <c r="G579" s="48"/>
      <c r="H579" s="48"/>
      <c r="I579" s="48"/>
      <c r="J579" s="48"/>
      <c r="K579" s="48"/>
      <c r="L579" s="48"/>
      <c r="M579" s="48"/>
      <c r="N579" s="48"/>
      <c r="O579" s="48"/>
      <c r="P579" s="48"/>
      <c r="Q579" s="48"/>
      <c r="R579" s="48"/>
      <c r="S579" s="48"/>
      <c r="T579" s="48"/>
      <c r="U579" s="48"/>
      <c r="V579" s="48"/>
      <c r="W579" s="48"/>
      <c r="X579" s="48"/>
    </row>
    <row r="580" ht="15.75" customHeight="1">
      <c r="A580" s="56"/>
      <c r="B580" s="48"/>
      <c r="C580" s="48"/>
      <c r="D580" s="27"/>
      <c r="E580" s="27"/>
      <c r="F580" s="48"/>
      <c r="G580" s="48"/>
      <c r="H580" s="48"/>
      <c r="I580" s="48"/>
      <c r="J580" s="48"/>
      <c r="K580" s="48"/>
      <c r="L580" s="48"/>
      <c r="M580" s="48"/>
      <c r="N580" s="48"/>
      <c r="O580" s="48"/>
      <c r="P580" s="48"/>
      <c r="Q580" s="48"/>
      <c r="R580" s="48"/>
      <c r="S580" s="48"/>
      <c r="T580" s="48"/>
      <c r="U580" s="48"/>
      <c r="V580" s="48"/>
      <c r="W580" s="48"/>
      <c r="X580" s="48"/>
    </row>
    <row r="581" ht="15.75" customHeight="1">
      <c r="A581" s="56"/>
      <c r="B581" s="48"/>
      <c r="C581" s="48"/>
      <c r="D581" s="27"/>
      <c r="E581" s="27"/>
      <c r="F581" s="48"/>
      <c r="G581" s="48"/>
      <c r="H581" s="48"/>
      <c r="I581" s="48"/>
      <c r="J581" s="48"/>
      <c r="K581" s="48"/>
      <c r="L581" s="48"/>
      <c r="M581" s="48"/>
      <c r="N581" s="48"/>
      <c r="O581" s="48"/>
      <c r="P581" s="48"/>
      <c r="Q581" s="48"/>
      <c r="R581" s="48"/>
      <c r="S581" s="48"/>
      <c r="T581" s="48"/>
      <c r="U581" s="48"/>
      <c r="V581" s="48"/>
      <c r="W581" s="48"/>
      <c r="X581" s="48"/>
    </row>
    <row r="582" ht="15.75" customHeight="1">
      <c r="A582" s="56"/>
      <c r="B582" s="48"/>
      <c r="C582" s="48"/>
      <c r="D582" s="27"/>
      <c r="E582" s="27"/>
      <c r="F582" s="48"/>
      <c r="G582" s="48"/>
      <c r="H582" s="48"/>
      <c r="I582" s="48"/>
      <c r="J582" s="48"/>
      <c r="K582" s="48"/>
      <c r="L582" s="48"/>
      <c r="M582" s="48"/>
      <c r="N582" s="48"/>
      <c r="O582" s="48"/>
      <c r="P582" s="48"/>
      <c r="Q582" s="48"/>
      <c r="R582" s="48"/>
      <c r="S582" s="48"/>
      <c r="T582" s="48"/>
      <c r="U582" s="48"/>
      <c r="V582" s="48"/>
      <c r="W582" s="48"/>
      <c r="X582" s="48"/>
    </row>
    <row r="583" ht="15.75" customHeight="1">
      <c r="A583" s="56"/>
      <c r="B583" s="48"/>
      <c r="C583" s="48"/>
      <c r="D583" s="27"/>
      <c r="E583" s="27"/>
      <c r="F583" s="48"/>
      <c r="G583" s="48"/>
      <c r="H583" s="48"/>
      <c r="I583" s="48"/>
      <c r="J583" s="48"/>
      <c r="K583" s="48"/>
      <c r="L583" s="48"/>
      <c r="M583" s="48"/>
      <c r="N583" s="48"/>
      <c r="O583" s="48"/>
      <c r="P583" s="48"/>
      <c r="Q583" s="48"/>
      <c r="R583" s="48"/>
      <c r="S583" s="48"/>
      <c r="T583" s="48"/>
      <c r="U583" s="48"/>
      <c r="V583" s="48"/>
      <c r="W583" s="48"/>
      <c r="X583" s="48"/>
    </row>
    <row r="584" ht="15.75" customHeight="1">
      <c r="A584" s="56"/>
      <c r="B584" s="48"/>
      <c r="C584" s="48"/>
      <c r="D584" s="27"/>
      <c r="E584" s="27"/>
      <c r="F584" s="48"/>
      <c r="G584" s="48"/>
      <c r="H584" s="48"/>
      <c r="I584" s="48"/>
      <c r="J584" s="48"/>
      <c r="K584" s="48"/>
      <c r="L584" s="48"/>
      <c r="M584" s="48"/>
      <c r="N584" s="48"/>
      <c r="O584" s="48"/>
      <c r="P584" s="48"/>
      <c r="Q584" s="48"/>
      <c r="R584" s="48"/>
      <c r="S584" s="48"/>
      <c r="T584" s="48"/>
      <c r="U584" s="48"/>
      <c r="V584" s="48"/>
      <c r="W584" s="48"/>
      <c r="X584" s="48"/>
    </row>
    <row r="585" ht="15.75" customHeight="1">
      <c r="A585" s="56"/>
      <c r="B585" s="48"/>
      <c r="C585" s="48"/>
      <c r="D585" s="27"/>
      <c r="E585" s="27"/>
      <c r="F585" s="48"/>
      <c r="G585" s="48"/>
      <c r="H585" s="48"/>
      <c r="I585" s="48"/>
      <c r="J585" s="48"/>
      <c r="K585" s="48"/>
      <c r="L585" s="48"/>
      <c r="M585" s="48"/>
      <c r="N585" s="48"/>
      <c r="O585" s="48"/>
      <c r="P585" s="48"/>
      <c r="Q585" s="48"/>
      <c r="R585" s="48"/>
      <c r="S585" s="48"/>
      <c r="T585" s="48"/>
      <c r="U585" s="48"/>
      <c r="V585" s="48"/>
      <c r="W585" s="48"/>
      <c r="X585" s="48"/>
    </row>
    <row r="586" ht="15.75" customHeight="1">
      <c r="A586" s="56"/>
      <c r="B586" s="48"/>
      <c r="C586" s="48"/>
      <c r="D586" s="27"/>
      <c r="E586" s="27"/>
      <c r="F586" s="48"/>
      <c r="G586" s="48"/>
      <c r="H586" s="48"/>
      <c r="I586" s="48"/>
      <c r="J586" s="48"/>
      <c r="K586" s="48"/>
      <c r="L586" s="48"/>
      <c r="M586" s="48"/>
      <c r="N586" s="48"/>
      <c r="O586" s="48"/>
      <c r="P586" s="48"/>
      <c r="Q586" s="48"/>
      <c r="R586" s="48"/>
      <c r="S586" s="48"/>
      <c r="T586" s="48"/>
      <c r="U586" s="48"/>
      <c r="V586" s="48"/>
      <c r="W586" s="48"/>
      <c r="X586" s="48"/>
    </row>
    <row r="587" ht="15.75" customHeight="1">
      <c r="A587" s="56"/>
      <c r="B587" s="48"/>
      <c r="C587" s="48"/>
      <c r="D587" s="27"/>
      <c r="E587" s="27"/>
      <c r="F587" s="48"/>
      <c r="G587" s="48"/>
      <c r="H587" s="48"/>
      <c r="I587" s="48"/>
      <c r="J587" s="48"/>
      <c r="K587" s="48"/>
      <c r="L587" s="48"/>
      <c r="M587" s="48"/>
      <c r="N587" s="48"/>
      <c r="O587" s="48"/>
      <c r="P587" s="48"/>
      <c r="Q587" s="48"/>
      <c r="R587" s="48"/>
      <c r="S587" s="48"/>
      <c r="T587" s="48"/>
      <c r="U587" s="48"/>
      <c r="V587" s="48"/>
      <c r="W587" s="48"/>
      <c r="X587" s="48"/>
    </row>
    <row r="588" ht="15.75" customHeight="1">
      <c r="A588" s="56"/>
      <c r="B588" s="48"/>
      <c r="C588" s="48"/>
      <c r="D588" s="27"/>
      <c r="E588" s="27"/>
      <c r="F588" s="48"/>
      <c r="G588" s="48"/>
      <c r="H588" s="48"/>
      <c r="I588" s="48"/>
      <c r="J588" s="48"/>
      <c r="K588" s="48"/>
      <c r="L588" s="48"/>
      <c r="M588" s="48"/>
      <c r="N588" s="48"/>
      <c r="O588" s="48"/>
      <c r="P588" s="48"/>
      <c r="Q588" s="48"/>
      <c r="R588" s="48"/>
      <c r="S588" s="48"/>
      <c r="T588" s="48"/>
      <c r="U588" s="48"/>
      <c r="V588" s="48"/>
      <c r="W588" s="48"/>
      <c r="X588" s="48"/>
    </row>
    <row r="589" ht="15.75" customHeight="1">
      <c r="A589" s="56"/>
      <c r="B589" s="48"/>
      <c r="C589" s="48"/>
      <c r="D589" s="27"/>
      <c r="E589" s="27"/>
      <c r="F589" s="48"/>
      <c r="G589" s="48"/>
      <c r="H589" s="48"/>
      <c r="I589" s="48"/>
      <c r="J589" s="48"/>
      <c r="K589" s="48"/>
      <c r="L589" s="48"/>
      <c r="M589" s="48"/>
      <c r="N589" s="48"/>
      <c r="O589" s="48"/>
      <c r="P589" s="48"/>
      <c r="Q589" s="48"/>
      <c r="R589" s="48"/>
      <c r="S589" s="48"/>
      <c r="T589" s="48"/>
      <c r="U589" s="48"/>
      <c r="V589" s="48"/>
      <c r="W589" s="48"/>
      <c r="X589" s="48"/>
    </row>
    <row r="590" ht="15.75" customHeight="1">
      <c r="A590" s="56"/>
      <c r="B590" s="48"/>
      <c r="C590" s="48"/>
      <c r="D590" s="27"/>
      <c r="E590" s="27"/>
      <c r="F590" s="48"/>
      <c r="G590" s="48"/>
      <c r="H590" s="48"/>
      <c r="I590" s="48"/>
      <c r="J590" s="48"/>
      <c r="K590" s="48"/>
      <c r="L590" s="48"/>
      <c r="M590" s="48"/>
      <c r="N590" s="48"/>
      <c r="O590" s="48"/>
      <c r="P590" s="48"/>
      <c r="Q590" s="48"/>
      <c r="R590" s="48"/>
      <c r="S590" s="48"/>
      <c r="T590" s="48"/>
      <c r="U590" s="48"/>
      <c r="V590" s="48"/>
      <c r="W590" s="48"/>
      <c r="X590" s="48"/>
    </row>
    <row r="591" ht="15.75" customHeight="1">
      <c r="A591" s="56"/>
      <c r="B591" s="48"/>
      <c r="C591" s="48"/>
      <c r="D591" s="27"/>
      <c r="E591" s="27"/>
      <c r="F591" s="48"/>
      <c r="G591" s="48"/>
      <c r="H591" s="48"/>
      <c r="I591" s="48"/>
      <c r="J591" s="48"/>
      <c r="K591" s="48"/>
      <c r="L591" s="48"/>
      <c r="M591" s="48"/>
      <c r="N591" s="48"/>
      <c r="O591" s="48"/>
      <c r="P591" s="48"/>
      <c r="Q591" s="48"/>
      <c r="R591" s="48"/>
      <c r="S591" s="48"/>
      <c r="T591" s="48"/>
      <c r="U591" s="48"/>
      <c r="V591" s="48"/>
      <c r="W591" s="48"/>
      <c r="X591" s="48"/>
    </row>
    <row r="592" ht="15.75" customHeight="1">
      <c r="A592" s="56"/>
      <c r="B592" s="48"/>
      <c r="C592" s="48"/>
      <c r="D592" s="27"/>
      <c r="E592" s="27"/>
      <c r="F592" s="48"/>
      <c r="G592" s="48"/>
      <c r="H592" s="48"/>
      <c r="I592" s="48"/>
      <c r="J592" s="48"/>
      <c r="K592" s="48"/>
      <c r="L592" s="48"/>
      <c r="M592" s="48"/>
      <c r="N592" s="48"/>
      <c r="O592" s="48"/>
      <c r="P592" s="48"/>
      <c r="Q592" s="48"/>
      <c r="R592" s="48"/>
      <c r="S592" s="48"/>
      <c r="T592" s="48"/>
      <c r="U592" s="48"/>
      <c r="V592" s="48"/>
      <c r="W592" s="48"/>
      <c r="X592" s="48"/>
    </row>
    <row r="593" ht="15.75" customHeight="1">
      <c r="A593" s="56"/>
      <c r="B593" s="48"/>
      <c r="C593" s="48"/>
      <c r="D593" s="27"/>
      <c r="E593" s="27"/>
      <c r="F593" s="48"/>
      <c r="G593" s="48"/>
      <c r="H593" s="48"/>
      <c r="I593" s="48"/>
      <c r="J593" s="48"/>
      <c r="K593" s="48"/>
      <c r="L593" s="48"/>
      <c r="M593" s="48"/>
      <c r="N593" s="48"/>
      <c r="O593" s="48"/>
      <c r="P593" s="48"/>
      <c r="Q593" s="48"/>
      <c r="R593" s="48"/>
      <c r="S593" s="48"/>
      <c r="T593" s="48"/>
      <c r="U593" s="48"/>
      <c r="V593" s="48"/>
      <c r="W593" s="48"/>
      <c r="X593" s="48"/>
    </row>
    <row r="594" ht="15.75" customHeight="1">
      <c r="A594" s="56"/>
      <c r="B594" s="48"/>
      <c r="C594" s="48"/>
      <c r="D594" s="27"/>
      <c r="E594" s="27"/>
      <c r="F594" s="48"/>
      <c r="G594" s="48"/>
      <c r="H594" s="48"/>
      <c r="I594" s="48"/>
      <c r="J594" s="48"/>
      <c r="K594" s="48"/>
      <c r="L594" s="48"/>
      <c r="M594" s="48"/>
      <c r="N594" s="48"/>
      <c r="O594" s="48"/>
      <c r="P594" s="48"/>
      <c r="Q594" s="48"/>
      <c r="R594" s="48"/>
      <c r="S594" s="48"/>
      <c r="T594" s="48"/>
      <c r="U594" s="48"/>
      <c r="V594" s="48"/>
      <c r="W594" s="48"/>
      <c r="X594" s="48"/>
    </row>
    <row r="595" ht="15.75" customHeight="1">
      <c r="A595" s="56"/>
      <c r="B595" s="48"/>
      <c r="C595" s="48"/>
      <c r="D595" s="27"/>
      <c r="E595" s="27"/>
      <c r="F595" s="48"/>
      <c r="G595" s="48"/>
      <c r="H595" s="48"/>
      <c r="I595" s="48"/>
      <c r="J595" s="48"/>
      <c r="K595" s="48"/>
      <c r="L595" s="48"/>
      <c r="M595" s="48"/>
      <c r="N595" s="48"/>
      <c r="O595" s="48"/>
      <c r="P595" s="48"/>
      <c r="Q595" s="48"/>
      <c r="R595" s="48"/>
      <c r="S595" s="48"/>
      <c r="T595" s="48"/>
      <c r="U595" s="48"/>
      <c r="V595" s="48"/>
      <c r="W595" s="48"/>
      <c r="X595" s="48"/>
    </row>
    <row r="596" ht="15.75" customHeight="1">
      <c r="A596" s="56"/>
      <c r="B596" s="48"/>
      <c r="C596" s="48"/>
      <c r="D596" s="27"/>
      <c r="E596" s="27"/>
      <c r="F596" s="48"/>
      <c r="G596" s="48"/>
      <c r="H596" s="48"/>
      <c r="I596" s="48"/>
      <c r="J596" s="48"/>
      <c r="K596" s="48"/>
      <c r="L596" s="48"/>
      <c r="M596" s="48"/>
      <c r="N596" s="48"/>
      <c r="O596" s="48"/>
      <c r="P596" s="48"/>
      <c r="Q596" s="48"/>
      <c r="R596" s="48"/>
      <c r="S596" s="48"/>
      <c r="T596" s="48"/>
      <c r="U596" s="48"/>
      <c r="V596" s="48"/>
      <c r="W596" s="48"/>
      <c r="X596" s="48"/>
    </row>
    <row r="597" ht="15.75" customHeight="1">
      <c r="A597" s="56"/>
      <c r="B597" s="48"/>
      <c r="C597" s="48"/>
      <c r="D597" s="27"/>
      <c r="E597" s="27"/>
      <c r="F597" s="48"/>
      <c r="G597" s="48"/>
      <c r="H597" s="48"/>
      <c r="I597" s="48"/>
      <c r="J597" s="48"/>
      <c r="K597" s="48"/>
      <c r="L597" s="48"/>
      <c r="M597" s="48"/>
      <c r="N597" s="48"/>
      <c r="O597" s="48"/>
      <c r="P597" s="48"/>
      <c r="Q597" s="48"/>
      <c r="R597" s="48"/>
      <c r="S597" s="48"/>
      <c r="T597" s="48"/>
      <c r="U597" s="48"/>
      <c r="V597" s="48"/>
      <c r="W597" s="48"/>
      <c r="X597" s="48"/>
    </row>
    <row r="598" ht="15.75" customHeight="1">
      <c r="A598" s="56"/>
      <c r="B598" s="48"/>
      <c r="C598" s="48"/>
      <c r="D598" s="27"/>
      <c r="E598" s="27"/>
      <c r="F598" s="48"/>
      <c r="G598" s="48"/>
      <c r="H598" s="48"/>
      <c r="I598" s="48"/>
      <c r="J598" s="48"/>
      <c r="K598" s="48"/>
      <c r="L598" s="48"/>
      <c r="M598" s="48"/>
      <c r="N598" s="48"/>
      <c r="O598" s="48"/>
      <c r="P598" s="48"/>
      <c r="Q598" s="48"/>
      <c r="R598" s="48"/>
      <c r="S598" s="48"/>
      <c r="T598" s="48"/>
      <c r="U598" s="48"/>
      <c r="V598" s="48"/>
      <c r="W598" s="48"/>
      <c r="X598" s="48"/>
    </row>
    <row r="599" ht="15.75" customHeight="1">
      <c r="A599" s="56"/>
      <c r="B599" s="48"/>
      <c r="C599" s="48"/>
      <c r="D599" s="27"/>
      <c r="E599" s="27"/>
      <c r="F599" s="48"/>
      <c r="G599" s="48"/>
      <c r="H599" s="48"/>
      <c r="I599" s="48"/>
      <c r="J599" s="48"/>
      <c r="K599" s="48"/>
      <c r="L599" s="48"/>
      <c r="M599" s="48"/>
      <c r="N599" s="48"/>
      <c r="O599" s="48"/>
      <c r="P599" s="48"/>
      <c r="Q599" s="48"/>
      <c r="R599" s="48"/>
      <c r="S599" s="48"/>
      <c r="T599" s="48"/>
      <c r="U599" s="48"/>
      <c r="V599" s="48"/>
      <c r="W599" s="48"/>
      <c r="X599" s="48"/>
    </row>
    <row r="600" ht="15.75" customHeight="1">
      <c r="A600" s="56"/>
      <c r="B600" s="48"/>
      <c r="C600" s="48"/>
      <c r="D600" s="27"/>
      <c r="E600" s="27"/>
      <c r="F600" s="48"/>
      <c r="G600" s="48"/>
      <c r="H600" s="48"/>
      <c r="I600" s="48"/>
      <c r="J600" s="48"/>
      <c r="K600" s="48"/>
      <c r="L600" s="48"/>
      <c r="M600" s="48"/>
      <c r="N600" s="48"/>
      <c r="O600" s="48"/>
      <c r="P600" s="48"/>
      <c r="Q600" s="48"/>
      <c r="R600" s="48"/>
      <c r="S600" s="48"/>
      <c r="T600" s="48"/>
      <c r="U600" s="48"/>
      <c r="V600" s="48"/>
      <c r="W600" s="48"/>
      <c r="X600" s="48"/>
    </row>
    <row r="601" ht="15.75" customHeight="1">
      <c r="A601" s="56"/>
      <c r="B601" s="48"/>
      <c r="C601" s="48"/>
      <c r="D601" s="27"/>
      <c r="E601" s="27"/>
      <c r="F601" s="48"/>
      <c r="G601" s="48"/>
      <c r="H601" s="48"/>
      <c r="I601" s="48"/>
      <c r="J601" s="48"/>
      <c r="K601" s="48"/>
      <c r="L601" s="48"/>
      <c r="M601" s="48"/>
      <c r="N601" s="48"/>
      <c r="O601" s="48"/>
      <c r="P601" s="48"/>
      <c r="Q601" s="48"/>
      <c r="R601" s="48"/>
      <c r="S601" s="48"/>
      <c r="T601" s="48"/>
      <c r="U601" s="48"/>
      <c r="V601" s="48"/>
      <c r="W601" s="48"/>
      <c r="X601" s="48"/>
    </row>
    <row r="602" ht="15.75" customHeight="1">
      <c r="A602" s="56"/>
      <c r="B602" s="48"/>
      <c r="C602" s="48"/>
      <c r="D602" s="27"/>
      <c r="E602" s="27"/>
      <c r="F602" s="48"/>
      <c r="G602" s="48"/>
      <c r="H602" s="48"/>
      <c r="I602" s="48"/>
      <c r="J602" s="48"/>
      <c r="K602" s="48"/>
      <c r="L602" s="48"/>
      <c r="M602" s="48"/>
      <c r="N602" s="48"/>
      <c r="O602" s="48"/>
      <c r="P602" s="48"/>
      <c r="Q602" s="48"/>
      <c r="R602" s="48"/>
      <c r="S602" s="48"/>
      <c r="T602" s="48"/>
      <c r="U602" s="48"/>
      <c r="V602" s="48"/>
      <c r="W602" s="48"/>
      <c r="X602" s="48"/>
    </row>
    <row r="603" ht="15.75" customHeight="1">
      <c r="A603" s="56"/>
      <c r="B603" s="48"/>
      <c r="C603" s="48"/>
      <c r="D603" s="27"/>
      <c r="E603" s="27"/>
      <c r="F603" s="48"/>
      <c r="G603" s="48"/>
      <c r="H603" s="48"/>
      <c r="I603" s="48"/>
      <c r="J603" s="48"/>
      <c r="K603" s="48"/>
      <c r="L603" s="48"/>
      <c r="M603" s="48"/>
      <c r="N603" s="48"/>
      <c r="O603" s="48"/>
      <c r="P603" s="48"/>
      <c r="Q603" s="48"/>
      <c r="R603" s="48"/>
      <c r="S603" s="48"/>
      <c r="T603" s="48"/>
      <c r="U603" s="48"/>
      <c r="V603" s="48"/>
      <c r="W603" s="48"/>
      <c r="X603" s="48"/>
    </row>
    <row r="604" ht="15.75" customHeight="1">
      <c r="A604" s="56"/>
      <c r="B604" s="48"/>
      <c r="C604" s="48"/>
      <c r="D604" s="27"/>
      <c r="E604" s="27"/>
      <c r="F604" s="48"/>
      <c r="G604" s="48"/>
      <c r="H604" s="48"/>
      <c r="I604" s="48"/>
      <c r="J604" s="48"/>
      <c r="K604" s="48"/>
      <c r="L604" s="48"/>
      <c r="M604" s="48"/>
      <c r="N604" s="48"/>
      <c r="O604" s="48"/>
      <c r="P604" s="48"/>
      <c r="Q604" s="48"/>
      <c r="R604" s="48"/>
      <c r="S604" s="48"/>
      <c r="T604" s="48"/>
      <c r="U604" s="48"/>
      <c r="V604" s="48"/>
      <c r="W604" s="48"/>
      <c r="X604" s="48"/>
    </row>
    <row r="605" ht="15.75" customHeight="1">
      <c r="A605" s="56"/>
      <c r="B605" s="48"/>
      <c r="C605" s="48"/>
      <c r="D605" s="27"/>
      <c r="E605" s="27"/>
      <c r="F605" s="48"/>
      <c r="G605" s="48"/>
      <c r="H605" s="48"/>
      <c r="I605" s="48"/>
      <c r="J605" s="48"/>
      <c r="K605" s="48"/>
      <c r="L605" s="48"/>
      <c r="M605" s="48"/>
      <c r="N605" s="48"/>
      <c r="O605" s="48"/>
      <c r="P605" s="48"/>
      <c r="Q605" s="48"/>
      <c r="R605" s="48"/>
      <c r="S605" s="48"/>
      <c r="T605" s="48"/>
      <c r="U605" s="48"/>
      <c r="V605" s="48"/>
      <c r="W605" s="48"/>
      <c r="X605" s="48"/>
    </row>
    <row r="606" ht="15.75" customHeight="1">
      <c r="A606" s="56"/>
      <c r="B606" s="48"/>
      <c r="C606" s="48"/>
      <c r="D606" s="27"/>
      <c r="E606" s="27"/>
      <c r="F606" s="48"/>
      <c r="G606" s="48"/>
      <c r="H606" s="48"/>
      <c r="I606" s="48"/>
      <c r="J606" s="48"/>
      <c r="K606" s="48"/>
      <c r="L606" s="48"/>
      <c r="M606" s="48"/>
      <c r="N606" s="48"/>
      <c r="O606" s="48"/>
      <c r="P606" s="48"/>
      <c r="Q606" s="48"/>
      <c r="R606" s="48"/>
      <c r="S606" s="48"/>
      <c r="T606" s="48"/>
      <c r="U606" s="48"/>
      <c r="V606" s="48"/>
      <c r="W606" s="48"/>
      <c r="X606" s="48"/>
    </row>
    <row r="607" ht="15.75" customHeight="1">
      <c r="A607" s="56"/>
      <c r="B607" s="48"/>
      <c r="C607" s="48"/>
      <c r="D607" s="27"/>
      <c r="E607" s="27"/>
      <c r="F607" s="48"/>
      <c r="G607" s="48"/>
      <c r="H607" s="48"/>
      <c r="I607" s="48"/>
      <c r="J607" s="48"/>
      <c r="K607" s="48"/>
      <c r="L607" s="48"/>
      <c r="M607" s="48"/>
      <c r="N607" s="48"/>
      <c r="O607" s="48"/>
      <c r="P607" s="48"/>
      <c r="Q607" s="48"/>
      <c r="R607" s="48"/>
      <c r="S607" s="48"/>
      <c r="T607" s="48"/>
      <c r="U607" s="48"/>
      <c r="V607" s="48"/>
      <c r="W607" s="48"/>
      <c r="X607" s="48"/>
    </row>
    <row r="608" ht="15.75" customHeight="1">
      <c r="A608" s="56"/>
      <c r="B608" s="48"/>
      <c r="C608" s="48"/>
      <c r="D608" s="27"/>
      <c r="E608" s="27"/>
      <c r="F608" s="48"/>
      <c r="G608" s="48"/>
      <c r="H608" s="48"/>
      <c r="I608" s="48"/>
      <c r="J608" s="48"/>
      <c r="K608" s="48"/>
      <c r="L608" s="48"/>
      <c r="M608" s="48"/>
      <c r="N608" s="48"/>
      <c r="O608" s="48"/>
      <c r="P608" s="48"/>
      <c r="Q608" s="48"/>
      <c r="R608" s="48"/>
      <c r="S608" s="48"/>
      <c r="T608" s="48"/>
      <c r="U608" s="48"/>
      <c r="V608" s="48"/>
      <c r="W608" s="48"/>
      <c r="X608" s="48"/>
    </row>
    <row r="609" ht="15.75" customHeight="1">
      <c r="A609" s="56"/>
      <c r="B609" s="48"/>
      <c r="C609" s="48"/>
      <c r="D609" s="27"/>
      <c r="E609" s="27"/>
      <c r="F609" s="48"/>
      <c r="G609" s="48"/>
      <c r="H609" s="48"/>
      <c r="I609" s="48"/>
      <c r="J609" s="48"/>
      <c r="K609" s="48"/>
      <c r="L609" s="48"/>
      <c r="M609" s="48"/>
      <c r="N609" s="48"/>
      <c r="O609" s="48"/>
      <c r="P609" s="48"/>
      <c r="Q609" s="48"/>
      <c r="R609" s="48"/>
      <c r="S609" s="48"/>
      <c r="T609" s="48"/>
      <c r="U609" s="48"/>
      <c r="V609" s="48"/>
      <c r="W609" s="48"/>
      <c r="X609" s="48"/>
    </row>
    <row r="610" ht="15.75" customHeight="1">
      <c r="A610" s="56"/>
      <c r="B610" s="48"/>
      <c r="C610" s="48"/>
      <c r="D610" s="27"/>
      <c r="E610" s="27"/>
      <c r="F610" s="48"/>
      <c r="G610" s="48"/>
      <c r="H610" s="48"/>
      <c r="I610" s="48"/>
      <c r="J610" s="48"/>
      <c r="K610" s="48"/>
      <c r="L610" s="48"/>
      <c r="M610" s="48"/>
      <c r="N610" s="48"/>
      <c r="O610" s="48"/>
      <c r="P610" s="48"/>
      <c r="Q610" s="48"/>
      <c r="R610" s="48"/>
      <c r="S610" s="48"/>
      <c r="T610" s="48"/>
      <c r="U610" s="48"/>
      <c r="V610" s="48"/>
      <c r="W610" s="48"/>
      <c r="X610" s="48"/>
    </row>
    <row r="611" ht="15.75" customHeight="1">
      <c r="A611" s="56"/>
      <c r="B611" s="48"/>
      <c r="C611" s="48"/>
      <c r="D611" s="27"/>
      <c r="E611" s="27"/>
      <c r="F611" s="48"/>
      <c r="G611" s="48"/>
      <c r="H611" s="48"/>
      <c r="I611" s="48"/>
      <c r="J611" s="48"/>
      <c r="K611" s="48"/>
      <c r="L611" s="48"/>
      <c r="M611" s="48"/>
      <c r="N611" s="48"/>
      <c r="O611" s="48"/>
      <c r="P611" s="48"/>
      <c r="Q611" s="48"/>
      <c r="R611" s="48"/>
      <c r="S611" s="48"/>
      <c r="T611" s="48"/>
      <c r="U611" s="48"/>
      <c r="V611" s="48"/>
      <c r="W611" s="48"/>
      <c r="X611" s="48"/>
    </row>
    <row r="612" ht="15.75" customHeight="1">
      <c r="A612" s="56"/>
      <c r="B612" s="48"/>
      <c r="C612" s="48"/>
      <c r="D612" s="27"/>
      <c r="E612" s="27"/>
      <c r="F612" s="48"/>
      <c r="G612" s="48"/>
      <c r="H612" s="48"/>
      <c r="I612" s="48"/>
      <c r="J612" s="48"/>
      <c r="K612" s="48"/>
      <c r="L612" s="48"/>
      <c r="M612" s="48"/>
      <c r="N612" s="48"/>
      <c r="O612" s="48"/>
      <c r="P612" s="48"/>
      <c r="Q612" s="48"/>
      <c r="R612" s="48"/>
      <c r="S612" s="48"/>
      <c r="T612" s="48"/>
      <c r="U612" s="48"/>
      <c r="V612" s="48"/>
      <c r="W612" s="48"/>
      <c r="X612" s="48"/>
    </row>
    <row r="613" ht="15.75" customHeight="1">
      <c r="A613" s="56"/>
      <c r="B613" s="48"/>
      <c r="C613" s="48"/>
      <c r="D613" s="27"/>
      <c r="E613" s="27"/>
      <c r="F613" s="48"/>
      <c r="G613" s="48"/>
      <c r="H613" s="48"/>
      <c r="I613" s="48"/>
      <c r="J613" s="48"/>
      <c r="K613" s="48"/>
      <c r="L613" s="48"/>
      <c r="M613" s="48"/>
      <c r="N613" s="48"/>
      <c r="O613" s="48"/>
      <c r="P613" s="48"/>
      <c r="Q613" s="48"/>
      <c r="R613" s="48"/>
      <c r="S613" s="48"/>
      <c r="T613" s="48"/>
      <c r="U613" s="48"/>
      <c r="V613" s="48"/>
      <c r="W613" s="48"/>
      <c r="X613" s="48"/>
    </row>
    <row r="614" ht="15.75" customHeight="1">
      <c r="A614" s="56"/>
      <c r="B614" s="48"/>
      <c r="C614" s="48"/>
      <c r="D614" s="27"/>
      <c r="E614" s="27"/>
      <c r="F614" s="48"/>
      <c r="G614" s="48"/>
      <c r="H614" s="48"/>
      <c r="I614" s="48"/>
      <c r="J614" s="48"/>
      <c r="K614" s="48"/>
      <c r="L614" s="48"/>
      <c r="M614" s="48"/>
      <c r="N614" s="48"/>
      <c r="O614" s="48"/>
      <c r="P614" s="48"/>
      <c r="Q614" s="48"/>
      <c r="R614" s="48"/>
      <c r="S614" s="48"/>
      <c r="T614" s="48"/>
      <c r="U614" s="48"/>
      <c r="V614" s="48"/>
      <c r="W614" s="48"/>
      <c r="X614" s="48"/>
    </row>
    <row r="615" ht="15.75" customHeight="1">
      <c r="A615" s="56"/>
      <c r="B615" s="48"/>
      <c r="C615" s="48"/>
      <c r="D615" s="27"/>
      <c r="E615" s="27"/>
      <c r="F615" s="48"/>
      <c r="G615" s="48"/>
      <c r="H615" s="48"/>
      <c r="I615" s="48"/>
      <c r="J615" s="48"/>
      <c r="K615" s="48"/>
      <c r="L615" s="48"/>
      <c r="M615" s="48"/>
      <c r="N615" s="48"/>
      <c r="O615" s="48"/>
      <c r="P615" s="48"/>
      <c r="Q615" s="48"/>
      <c r="R615" s="48"/>
      <c r="S615" s="48"/>
      <c r="T615" s="48"/>
      <c r="U615" s="48"/>
      <c r="V615" s="48"/>
      <c r="W615" s="48"/>
      <c r="X615" s="48"/>
    </row>
    <row r="616" ht="15.75" customHeight="1">
      <c r="A616" s="56"/>
      <c r="B616" s="48"/>
      <c r="C616" s="48"/>
      <c r="D616" s="27"/>
      <c r="E616" s="27"/>
      <c r="F616" s="48"/>
      <c r="G616" s="48"/>
      <c r="H616" s="48"/>
      <c r="I616" s="48"/>
      <c r="J616" s="48"/>
      <c r="K616" s="48"/>
      <c r="L616" s="48"/>
      <c r="M616" s="48"/>
      <c r="N616" s="48"/>
      <c r="O616" s="48"/>
      <c r="P616" s="48"/>
      <c r="Q616" s="48"/>
      <c r="R616" s="48"/>
      <c r="S616" s="48"/>
      <c r="T616" s="48"/>
      <c r="U616" s="48"/>
      <c r="V616" s="48"/>
      <c r="W616" s="48"/>
      <c r="X616" s="48"/>
    </row>
    <row r="617" ht="15.75" customHeight="1">
      <c r="A617" s="56"/>
      <c r="B617" s="48"/>
      <c r="C617" s="48"/>
      <c r="D617" s="27"/>
      <c r="E617" s="27"/>
      <c r="F617" s="48"/>
      <c r="G617" s="48"/>
      <c r="H617" s="48"/>
      <c r="I617" s="48"/>
      <c r="J617" s="48"/>
      <c r="K617" s="48"/>
      <c r="L617" s="48"/>
      <c r="M617" s="48"/>
      <c r="N617" s="48"/>
      <c r="O617" s="48"/>
      <c r="P617" s="48"/>
      <c r="Q617" s="48"/>
      <c r="R617" s="48"/>
      <c r="S617" s="48"/>
      <c r="T617" s="48"/>
      <c r="U617" s="48"/>
      <c r="V617" s="48"/>
      <c r="W617" s="48"/>
      <c r="X617" s="48"/>
    </row>
    <row r="618" ht="15.75" customHeight="1">
      <c r="A618" s="56"/>
      <c r="B618" s="48"/>
      <c r="C618" s="48"/>
      <c r="D618" s="27"/>
      <c r="E618" s="27"/>
      <c r="F618" s="48"/>
      <c r="G618" s="48"/>
      <c r="H618" s="48"/>
      <c r="I618" s="48"/>
      <c r="J618" s="48"/>
      <c r="K618" s="48"/>
      <c r="L618" s="48"/>
      <c r="M618" s="48"/>
      <c r="N618" s="48"/>
      <c r="O618" s="48"/>
      <c r="P618" s="48"/>
      <c r="Q618" s="48"/>
      <c r="R618" s="48"/>
      <c r="S618" s="48"/>
      <c r="T618" s="48"/>
      <c r="U618" s="48"/>
      <c r="V618" s="48"/>
      <c r="W618" s="48"/>
      <c r="X618" s="48"/>
    </row>
    <row r="619" ht="15.75" customHeight="1">
      <c r="A619" s="56"/>
      <c r="B619" s="48"/>
      <c r="C619" s="48"/>
      <c r="D619" s="27"/>
      <c r="E619" s="27"/>
      <c r="F619" s="48"/>
      <c r="G619" s="48"/>
      <c r="H619" s="48"/>
      <c r="I619" s="48"/>
      <c r="J619" s="48"/>
      <c r="K619" s="48"/>
      <c r="L619" s="48"/>
      <c r="M619" s="48"/>
      <c r="N619" s="48"/>
      <c r="O619" s="48"/>
      <c r="P619" s="48"/>
      <c r="Q619" s="48"/>
      <c r="R619" s="48"/>
      <c r="S619" s="48"/>
      <c r="T619" s="48"/>
      <c r="U619" s="48"/>
      <c r="V619" s="48"/>
      <c r="W619" s="48"/>
      <c r="X619" s="48"/>
    </row>
    <row r="620" ht="15.75" customHeight="1">
      <c r="A620" s="56"/>
      <c r="B620" s="48"/>
      <c r="C620" s="48"/>
      <c r="D620" s="27"/>
      <c r="E620" s="27"/>
      <c r="F620" s="48"/>
      <c r="G620" s="48"/>
      <c r="H620" s="48"/>
      <c r="I620" s="48"/>
      <c r="J620" s="48"/>
      <c r="K620" s="48"/>
      <c r="L620" s="48"/>
      <c r="M620" s="48"/>
      <c r="N620" s="48"/>
      <c r="O620" s="48"/>
      <c r="P620" s="48"/>
      <c r="Q620" s="48"/>
      <c r="R620" s="48"/>
      <c r="S620" s="48"/>
      <c r="T620" s="48"/>
      <c r="U620" s="48"/>
      <c r="V620" s="48"/>
      <c r="W620" s="48"/>
      <c r="X620" s="48"/>
    </row>
    <row r="621" ht="15.75" customHeight="1">
      <c r="A621" s="56"/>
      <c r="B621" s="48"/>
      <c r="C621" s="48"/>
      <c r="D621" s="27"/>
      <c r="E621" s="27"/>
      <c r="F621" s="48"/>
      <c r="G621" s="48"/>
      <c r="H621" s="48"/>
      <c r="I621" s="48"/>
      <c r="J621" s="48"/>
      <c r="K621" s="48"/>
      <c r="L621" s="48"/>
      <c r="M621" s="48"/>
      <c r="N621" s="48"/>
      <c r="O621" s="48"/>
      <c r="P621" s="48"/>
      <c r="Q621" s="48"/>
      <c r="R621" s="48"/>
      <c r="S621" s="48"/>
      <c r="T621" s="48"/>
      <c r="U621" s="48"/>
      <c r="V621" s="48"/>
      <c r="W621" s="48"/>
      <c r="X621" s="48"/>
    </row>
    <row r="622" ht="15.75" customHeight="1">
      <c r="A622" s="56"/>
      <c r="B622" s="48"/>
      <c r="C622" s="48"/>
      <c r="D622" s="27"/>
      <c r="E622" s="27"/>
      <c r="F622" s="48"/>
      <c r="G622" s="48"/>
      <c r="H622" s="48"/>
      <c r="I622" s="48"/>
      <c r="J622" s="48"/>
      <c r="K622" s="48"/>
      <c r="L622" s="48"/>
      <c r="M622" s="48"/>
      <c r="N622" s="48"/>
      <c r="O622" s="48"/>
      <c r="P622" s="48"/>
      <c r="Q622" s="48"/>
      <c r="R622" s="48"/>
      <c r="S622" s="48"/>
      <c r="T622" s="48"/>
      <c r="U622" s="48"/>
      <c r="V622" s="48"/>
      <c r="W622" s="48"/>
      <c r="X622" s="48"/>
    </row>
    <row r="623" ht="15.75" customHeight="1">
      <c r="A623" s="56"/>
      <c r="B623" s="48"/>
      <c r="C623" s="48"/>
      <c r="D623" s="27"/>
      <c r="E623" s="27"/>
      <c r="F623" s="48"/>
      <c r="G623" s="48"/>
      <c r="H623" s="48"/>
      <c r="I623" s="48"/>
      <c r="J623" s="48"/>
      <c r="K623" s="48"/>
      <c r="L623" s="48"/>
      <c r="M623" s="48"/>
      <c r="N623" s="48"/>
      <c r="O623" s="48"/>
      <c r="P623" s="48"/>
      <c r="Q623" s="48"/>
      <c r="R623" s="48"/>
      <c r="S623" s="48"/>
      <c r="T623" s="48"/>
      <c r="U623" s="48"/>
      <c r="V623" s="48"/>
      <c r="W623" s="48"/>
      <c r="X623" s="48"/>
    </row>
    <row r="624" ht="15.75" customHeight="1">
      <c r="A624" s="56"/>
      <c r="B624" s="48"/>
      <c r="C624" s="48"/>
      <c r="D624" s="27"/>
      <c r="E624" s="27"/>
      <c r="F624" s="48"/>
      <c r="G624" s="48"/>
      <c r="H624" s="48"/>
      <c r="I624" s="48"/>
      <c r="J624" s="48"/>
      <c r="K624" s="48"/>
      <c r="L624" s="48"/>
      <c r="M624" s="48"/>
      <c r="N624" s="48"/>
      <c r="O624" s="48"/>
      <c r="P624" s="48"/>
      <c r="Q624" s="48"/>
      <c r="R624" s="48"/>
      <c r="S624" s="48"/>
      <c r="T624" s="48"/>
      <c r="U624" s="48"/>
      <c r="V624" s="48"/>
      <c r="W624" s="48"/>
      <c r="X624" s="48"/>
    </row>
    <row r="625" ht="15.75" customHeight="1">
      <c r="A625" s="56"/>
      <c r="B625" s="48"/>
      <c r="C625" s="48"/>
      <c r="D625" s="27"/>
      <c r="E625" s="27"/>
      <c r="F625" s="48"/>
      <c r="G625" s="48"/>
      <c r="H625" s="48"/>
      <c r="I625" s="48"/>
      <c r="J625" s="48"/>
      <c r="K625" s="48"/>
      <c r="L625" s="48"/>
      <c r="M625" s="48"/>
      <c r="N625" s="48"/>
      <c r="O625" s="48"/>
      <c r="P625" s="48"/>
      <c r="Q625" s="48"/>
      <c r="R625" s="48"/>
      <c r="S625" s="48"/>
      <c r="T625" s="48"/>
      <c r="U625" s="48"/>
      <c r="V625" s="48"/>
      <c r="W625" s="48"/>
      <c r="X625" s="48"/>
    </row>
    <row r="626" ht="15.75" customHeight="1">
      <c r="A626" s="56"/>
      <c r="B626" s="48"/>
      <c r="C626" s="48"/>
      <c r="D626" s="27"/>
      <c r="E626" s="27"/>
      <c r="F626" s="48"/>
      <c r="G626" s="48"/>
      <c r="H626" s="48"/>
      <c r="I626" s="48"/>
      <c r="J626" s="48"/>
      <c r="K626" s="48"/>
      <c r="L626" s="48"/>
      <c r="M626" s="48"/>
      <c r="N626" s="48"/>
      <c r="O626" s="48"/>
      <c r="P626" s="48"/>
      <c r="Q626" s="48"/>
      <c r="R626" s="48"/>
      <c r="S626" s="48"/>
      <c r="T626" s="48"/>
      <c r="U626" s="48"/>
      <c r="V626" s="48"/>
      <c r="W626" s="48"/>
      <c r="X626" s="48"/>
    </row>
    <row r="627" ht="15.75" customHeight="1">
      <c r="A627" s="56"/>
      <c r="B627" s="48"/>
      <c r="C627" s="48"/>
      <c r="D627" s="27"/>
      <c r="E627" s="27"/>
      <c r="F627" s="48"/>
      <c r="G627" s="48"/>
      <c r="H627" s="48"/>
      <c r="I627" s="48"/>
      <c r="J627" s="48"/>
      <c r="K627" s="48"/>
      <c r="L627" s="48"/>
      <c r="M627" s="48"/>
      <c r="N627" s="48"/>
      <c r="O627" s="48"/>
      <c r="P627" s="48"/>
      <c r="Q627" s="48"/>
      <c r="R627" s="48"/>
      <c r="S627" s="48"/>
      <c r="T627" s="48"/>
      <c r="U627" s="48"/>
      <c r="V627" s="48"/>
      <c r="W627" s="48"/>
      <c r="X627" s="48"/>
    </row>
    <row r="628" ht="15.75" customHeight="1">
      <c r="A628" s="56"/>
      <c r="B628" s="48"/>
      <c r="C628" s="48"/>
      <c r="D628" s="27"/>
      <c r="E628" s="27"/>
      <c r="F628" s="48"/>
      <c r="G628" s="48"/>
      <c r="H628" s="48"/>
      <c r="I628" s="48"/>
      <c r="J628" s="48"/>
      <c r="K628" s="48"/>
      <c r="L628" s="48"/>
      <c r="M628" s="48"/>
      <c r="N628" s="48"/>
      <c r="O628" s="48"/>
      <c r="P628" s="48"/>
      <c r="Q628" s="48"/>
      <c r="R628" s="48"/>
      <c r="S628" s="48"/>
      <c r="T628" s="48"/>
      <c r="U628" s="48"/>
      <c r="V628" s="48"/>
      <c r="W628" s="48"/>
      <c r="X628" s="48"/>
    </row>
    <row r="629" ht="15.75" customHeight="1">
      <c r="A629" s="56"/>
      <c r="B629" s="48"/>
      <c r="C629" s="48"/>
      <c r="D629" s="27"/>
      <c r="E629" s="27"/>
      <c r="F629" s="48"/>
      <c r="G629" s="48"/>
      <c r="H629" s="48"/>
      <c r="I629" s="48"/>
      <c r="J629" s="48"/>
      <c r="K629" s="48"/>
      <c r="L629" s="48"/>
      <c r="M629" s="48"/>
      <c r="N629" s="48"/>
      <c r="O629" s="48"/>
      <c r="P629" s="48"/>
      <c r="Q629" s="48"/>
      <c r="R629" s="48"/>
      <c r="S629" s="48"/>
      <c r="T629" s="48"/>
      <c r="U629" s="48"/>
      <c r="V629" s="48"/>
      <c r="W629" s="48"/>
      <c r="X629" s="48"/>
    </row>
    <row r="630" ht="15.75" customHeight="1">
      <c r="A630" s="56"/>
      <c r="B630" s="48"/>
      <c r="C630" s="48"/>
      <c r="D630" s="27"/>
      <c r="E630" s="27"/>
      <c r="F630" s="48"/>
      <c r="G630" s="48"/>
      <c r="H630" s="48"/>
      <c r="I630" s="48"/>
      <c r="J630" s="48"/>
      <c r="K630" s="48"/>
      <c r="L630" s="48"/>
      <c r="M630" s="48"/>
      <c r="N630" s="48"/>
      <c r="O630" s="48"/>
      <c r="P630" s="48"/>
      <c r="Q630" s="48"/>
      <c r="R630" s="48"/>
      <c r="S630" s="48"/>
      <c r="T630" s="48"/>
      <c r="U630" s="48"/>
      <c r="V630" s="48"/>
      <c r="W630" s="48"/>
      <c r="X630" s="48"/>
    </row>
    <row r="631" ht="15.75" customHeight="1">
      <c r="A631" s="56"/>
      <c r="B631" s="48"/>
      <c r="C631" s="48"/>
      <c r="D631" s="27"/>
      <c r="E631" s="27"/>
      <c r="F631" s="48"/>
      <c r="G631" s="48"/>
      <c r="H631" s="48"/>
      <c r="I631" s="48"/>
      <c r="J631" s="48"/>
      <c r="K631" s="48"/>
      <c r="L631" s="48"/>
      <c r="M631" s="48"/>
      <c r="N631" s="48"/>
      <c r="O631" s="48"/>
      <c r="P631" s="48"/>
      <c r="Q631" s="48"/>
      <c r="R631" s="48"/>
      <c r="S631" s="48"/>
      <c r="T631" s="48"/>
      <c r="U631" s="48"/>
      <c r="V631" s="48"/>
      <c r="W631" s="48"/>
      <c r="X631" s="48"/>
    </row>
    <row r="632" ht="15.75" customHeight="1">
      <c r="A632" s="56"/>
      <c r="B632" s="48"/>
      <c r="C632" s="48"/>
      <c r="D632" s="27"/>
      <c r="E632" s="27"/>
      <c r="F632" s="48"/>
      <c r="G632" s="48"/>
      <c r="H632" s="48"/>
      <c r="I632" s="48"/>
      <c r="J632" s="48"/>
      <c r="K632" s="48"/>
      <c r="L632" s="48"/>
      <c r="M632" s="48"/>
      <c r="N632" s="48"/>
      <c r="O632" s="48"/>
      <c r="P632" s="48"/>
      <c r="Q632" s="48"/>
      <c r="R632" s="48"/>
      <c r="S632" s="48"/>
      <c r="T632" s="48"/>
      <c r="U632" s="48"/>
      <c r="V632" s="48"/>
      <c r="W632" s="48"/>
      <c r="X632" s="48"/>
    </row>
    <row r="633" ht="15.75" customHeight="1">
      <c r="A633" s="56"/>
      <c r="B633" s="48"/>
      <c r="C633" s="48"/>
      <c r="D633" s="27"/>
      <c r="E633" s="27"/>
      <c r="F633" s="48"/>
      <c r="G633" s="48"/>
      <c r="H633" s="48"/>
      <c r="I633" s="48"/>
      <c r="J633" s="48"/>
      <c r="K633" s="48"/>
      <c r="L633" s="48"/>
      <c r="M633" s="48"/>
      <c r="N633" s="48"/>
      <c r="O633" s="48"/>
      <c r="P633" s="48"/>
      <c r="Q633" s="48"/>
      <c r="R633" s="48"/>
      <c r="S633" s="48"/>
      <c r="T633" s="48"/>
      <c r="U633" s="48"/>
      <c r="V633" s="48"/>
      <c r="W633" s="48"/>
      <c r="X633" s="48"/>
    </row>
    <row r="634" ht="15.75" customHeight="1">
      <c r="A634" s="56"/>
      <c r="B634" s="48"/>
      <c r="C634" s="48"/>
      <c r="D634" s="27"/>
      <c r="E634" s="27"/>
      <c r="F634" s="48"/>
      <c r="G634" s="48"/>
      <c r="H634" s="48"/>
      <c r="I634" s="48"/>
      <c r="J634" s="48"/>
      <c r="K634" s="48"/>
      <c r="L634" s="48"/>
      <c r="M634" s="48"/>
      <c r="N634" s="48"/>
      <c r="O634" s="48"/>
      <c r="P634" s="48"/>
      <c r="Q634" s="48"/>
      <c r="R634" s="48"/>
      <c r="S634" s="48"/>
      <c r="T634" s="48"/>
      <c r="U634" s="48"/>
      <c r="V634" s="48"/>
      <c r="W634" s="48"/>
      <c r="X634" s="48"/>
    </row>
    <row r="635" ht="15.75" customHeight="1">
      <c r="A635" s="56"/>
      <c r="B635" s="48"/>
      <c r="C635" s="48"/>
      <c r="D635" s="27"/>
      <c r="E635" s="27"/>
      <c r="F635" s="48"/>
      <c r="G635" s="48"/>
      <c r="H635" s="48"/>
      <c r="I635" s="48"/>
      <c r="J635" s="48"/>
      <c r="K635" s="48"/>
      <c r="L635" s="48"/>
      <c r="M635" s="48"/>
      <c r="N635" s="48"/>
      <c r="O635" s="48"/>
      <c r="P635" s="48"/>
      <c r="Q635" s="48"/>
      <c r="R635" s="48"/>
      <c r="S635" s="48"/>
      <c r="T635" s="48"/>
      <c r="U635" s="48"/>
      <c r="V635" s="48"/>
      <c r="W635" s="48"/>
      <c r="X635" s="48"/>
    </row>
    <row r="636" ht="15.75" customHeight="1">
      <c r="A636" s="56"/>
      <c r="B636" s="48"/>
      <c r="C636" s="48"/>
      <c r="D636" s="27"/>
      <c r="E636" s="27"/>
      <c r="F636" s="48"/>
      <c r="G636" s="48"/>
      <c r="H636" s="48"/>
      <c r="I636" s="48"/>
      <c r="J636" s="48"/>
      <c r="K636" s="48"/>
      <c r="L636" s="48"/>
      <c r="M636" s="48"/>
      <c r="N636" s="48"/>
      <c r="O636" s="48"/>
      <c r="P636" s="48"/>
      <c r="Q636" s="48"/>
      <c r="R636" s="48"/>
      <c r="S636" s="48"/>
      <c r="T636" s="48"/>
      <c r="U636" s="48"/>
      <c r="V636" s="48"/>
      <c r="W636" s="48"/>
      <c r="X636" s="48"/>
    </row>
    <row r="637" ht="15.75" customHeight="1">
      <c r="A637" s="56"/>
      <c r="B637" s="48"/>
      <c r="C637" s="48"/>
      <c r="D637" s="27"/>
      <c r="E637" s="27"/>
      <c r="F637" s="48"/>
      <c r="G637" s="48"/>
      <c r="H637" s="48"/>
      <c r="I637" s="48"/>
      <c r="J637" s="48"/>
      <c r="K637" s="48"/>
      <c r="L637" s="48"/>
      <c r="M637" s="48"/>
      <c r="N637" s="48"/>
      <c r="O637" s="48"/>
      <c r="P637" s="48"/>
      <c r="Q637" s="48"/>
      <c r="R637" s="48"/>
      <c r="S637" s="48"/>
      <c r="T637" s="48"/>
      <c r="U637" s="48"/>
      <c r="V637" s="48"/>
      <c r="W637" s="48"/>
      <c r="X637" s="48"/>
    </row>
    <row r="638" ht="15.75" customHeight="1">
      <c r="A638" s="56"/>
      <c r="B638" s="48"/>
      <c r="C638" s="48"/>
      <c r="D638" s="27"/>
      <c r="E638" s="27"/>
      <c r="F638" s="48"/>
      <c r="G638" s="48"/>
      <c r="H638" s="48"/>
      <c r="I638" s="48"/>
      <c r="J638" s="48"/>
      <c r="K638" s="48"/>
      <c r="L638" s="48"/>
      <c r="M638" s="48"/>
      <c r="N638" s="48"/>
      <c r="O638" s="48"/>
      <c r="P638" s="48"/>
      <c r="Q638" s="48"/>
      <c r="R638" s="48"/>
      <c r="S638" s="48"/>
      <c r="T638" s="48"/>
      <c r="U638" s="48"/>
      <c r="V638" s="48"/>
      <c r="W638" s="48"/>
      <c r="X638" s="48"/>
    </row>
    <row r="639" ht="15.75" customHeight="1">
      <c r="A639" s="56"/>
      <c r="B639" s="48"/>
      <c r="C639" s="48"/>
      <c r="D639" s="27"/>
      <c r="E639" s="27"/>
      <c r="F639" s="48"/>
      <c r="G639" s="48"/>
      <c r="H639" s="48"/>
      <c r="I639" s="48"/>
      <c r="J639" s="48"/>
      <c r="K639" s="48"/>
      <c r="L639" s="48"/>
      <c r="M639" s="48"/>
      <c r="N639" s="48"/>
      <c r="O639" s="48"/>
      <c r="P639" s="48"/>
      <c r="Q639" s="48"/>
      <c r="R639" s="48"/>
      <c r="S639" s="48"/>
      <c r="T639" s="48"/>
      <c r="U639" s="48"/>
      <c r="V639" s="48"/>
      <c r="W639" s="48"/>
      <c r="X639" s="48"/>
    </row>
    <row r="640" ht="15.75" customHeight="1">
      <c r="A640" s="56"/>
      <c r="B640" s="48"/>
      <c r="C640" s="48"/>
      <c r="D640" s="27"/>
      <c r="E640" s="27"/>
      <c r="F640" s="48"/>
      <c r="G640" s="48"/>
      <c r="H640" s="48"/>
      <c r="I640" s="48"/>
      <c r="J640" s="48"/>
      <c r="K640" s="48"/>
      <c r="L640" s="48"/>
      <c r="M640" s="48"/>
      <c r="N640" s="48"/>
      <c r="O640" s="48"/>
      <c r="P640" s="48"/>
      <c r="Q640" s="48"/>
      <c r="R640" s="48"/>
      <c r="S640" s="48"/>
      <c r="T640" s="48"/>
      <c r="U640" s="48"/>
      <c r="V640" s="48"/>
      <c r="W640" s="48"/>
      <c r="X640" s="48"/>
    </row>
    <row r="641" ht="15.75" customHeight="1">
      <c r="A641" s="56"/>
      <c r="B641" s="48"/>
      <c r="C641" s="48"/>
      <c r="D641" s="27"/>
      <c r="E641" s="27"/>
      <c r="F641" s="48"/>
      <c r="G641" s="48"/>
      <c r="H641" s="48"/>
      <c r="I641" s="48"/>
      <c r="J641" s="48"/>
      <c r="K641" s="48"/>
      <c r="L641" s="48"/>
      <c r="M641" s="48"/>
      <c r="N641" s="48"/>
      <c r="O641" s="48"/>
      <c r="P641" s="48"/>
      <c r="Q641" s="48"/>
      <c r="R641" s="48"/>
      <c r="S641" s="48"/>
      <c r="T641" s="48"/>
      <c r="U641" s="48"/>
      <c r="V641" s="48"/>
      <c r="W641" s="48"/>
      <c r="X641" s="48"/>
    </row>
    <row r="642" ht="15.75" customHeight="1">
      <c r="A642" s="56"/>
      <c r="B642" s="48"/>
      <c r="C642" s="48"/>
      <c r="D642" s="27"/>
      <c r="E642" s="27"/>
      <c r="F642" s="48"/>
      <c r="G642" s="48"/>
      <c r="H642" s="48"/>
      <c r="I642" s="48"/>
      <c r="J642" s="48"/>
      <c r="K642" s="48"/>
      <c r="L642" s="48"/>
      <c r="M642" s="48"/>
      <c r="N642" s="48"/>
      <c r="O642" s="48"/>
      <c r="P642" s="48"/>
      <c r="Q642" s="48"/>
      <c r="R642" s="48"/>
      <c r="S642" s="48"/>
      <c r="T642" s="48"/>
      <c r="U642" s="48"/>
      <c r="V642" s="48"/>
      <c r="W642" s="48"/>
      <c r="X642" s="48"/>
    </row>
    <row r="643" ht="15.75" customHeight="1">
      <c r="A643" s="56"/>
      <c r="B643" s="48"/>
      <c r="C643" s="48"/>
      <c r="D643" s="27"/>
      <c r="E643" s="27"/>
      <c r="F643" s="48"/>
      <c r="G643" s="48"/>
      <c r="H643" s="48"/>
      <c r="I643" s="48"/>
      <c r="J643" s="48"/>
      <c r="K643" s="48"/>
      <c r="L643" s="48"/>
      <c r="M643" s="48"/>
      <c r="N643" s="48"/>
      <c r="O643" s="48"/>
      <c r="P643" s="48"/>
      <c r="Q643" s="48"/>
      <c r="R643" s="48"/>
      <c r="S643" s="48"/>
      <c r="T643" s="48"/>
      <c r="U643" s="48"/>
      <c r="V643" s="48"/>
      <c r="W643" s="48"/>
      <c r="X643" s="48"/>
    </row>
    <row r="644" ht="15.75" customHeight="1">
      <c r="A644" s="56"/>
      <c r="B644" s="48"/>
      <c r="C644" s="48"/>
      <c r="D644" s="27"/>
      <c r="E644" s="27"/>
      <c r="F644" s="48"/>
      <c r="G644" s="48"/>
      <c r="H644" s="48"/>
      <c r="I644" s="48"/>
      <c r="J644" s="48"/>
      <c r="K644" s="48"/>
      <c r="L644" s="48"/>
      <c r="M644" s="48"/>
      <c r="N644" s="48"/>
      <c r="O644" s="48"/>
      <c r="P644" s="48"/>
      <c r="Q644" s="48"/>
      <c r="R644" s="48"/>
      <c r="S644" s="48"/>
      <c r="T644" s="48"/>
      <c r="U644" s="48"/>
      <c r="V644" s="48"/>
      <c r="W644" s="48"/>
      <c r="X644" s="48"/>
    </row>
    <row r="645" ht="15.75" customHeight="1">
      <c r="A645" s="56"/>
      <c r="B645" s="48"/>
      <c r="C645" s="48"/>
      <c r="D645" s="27"/>
      <c r="E645" s="27"/>
      <c r="F645" s="48"/>
      <c r="G645" s="48"/>
      <c r="H645" s="48"/>
      <c r="I645" s="48"/>
      <c r="J645" s="48"/>
      <c r="K645" s="48"/>
      <c r="L645" s="48"/>
      <c r="M645" s="48"/>
      <c r="N645" s="48"/>
      <c r="O645" s="48"/>
      <c r="P645" s="48"/>
      <c r="Q645" s="48"/>
      <c r="R645" s="48"/>
      <c r="S645" s="48"/>
      <c r="T645" s="48"/>
      <c r="U645" s="48"/>
      <c r="V645" s="48"/>
      <c r="W645" s="48"/>
      <c r="X645" s="48"/>
    </row>
    <row r="646" ht="15.75" customHeight="1">
      <c r="A646" s="56"/>
      <c r="B646" s="48"/>
      <c r="C646" s="48"/>
      <c r="D646" s="27"/>
      <c r="E646" s="27"/>
      <c r="F646" s="48"/>
      <c r="G646" s="48"/>
      <c r="H646" s="48"/>
      <c r="I646" s="48"/>
      <c r="J646" s="48"/>
      <c r="K646" s="48"/>
      <c r="L646" s="48"/>
      <c r="M646" s="48"/>
      <c r="N646" s="48"/>
      <c r="O646" s="48"/>
      <c r="P646" s="48"/>
      <c r="Q646" s="48"/>
      <c r="R646" s="48"/>
      <c r="S646" s="48"/>
      <c r="T646" s="48"/>
      <c r="U646" s="48"/>
      <c r="V646" s="48"/>
      <c r="W646" s="48"/>
      <c r="X646" s="48"/>
    </row>
    <row r="647" ht="15.75" customHeight="1">
      <c r="A647" s="56"/>
      <c r="B647" s="48"/>
      <c r="C647" s="48"/>
      <c r="D647" s="27"/>
      <c r="E647" s="27"/>
      <c r="F647" s="48"/>
      <c r="G647" s="48"/>
      <c r="H647" s="48"/>
      <c r="I647" s="48"/>
      <c r="J647" s="48"/>
      <c r="K647" s="48"/>
      <c r="L647" s="48"/>
      <c r="M647" s="48"/>
      <c r="N647" s="48"/>
      <c r="O647" s="48"/>
      <c r="P647" s="48"/>
      <c r="Q647" s="48"/>
      <c r="R647" s="48"/>
      <c r="S647" s="48"/>
      <c r="T647" s="48"/>
      <c r="U647" s="48"/>
      <c r="V647" s="48"/>
      <c r="W647" s="48"/>
      <c r="X647" s="48"/>
    </row>
    <row r="648" ht="15.75" customHeight="1">
      <c r="A648" s="56"/>
      <c r="B648" s="48"/>
      <c r="C648" s="48"/>
      <c r="D648" s="27"/>
      <c r="E648" s="27"/>
      <c r="F648" s="48"/>
      <c r="G648" s="48"/>
      <c r="H648" s="48"/>
      <c r="I648" s="48"/>
      <c r="J648" s="48"/>
      <c r="K648" s="48"/>
      <c r="L648" s="48"/>
      <c r="M648" s="48"/>
      <c r="N648" s="48"/>
      <c r="O648" s="48"/>
      <c r="P648" s="48"/>
      <c r="Q648" s="48"/>
      <c r="R648" s="48"/>
      <c r="S648" s="48"/>
      <c r="T648" s="48"/>
      <c r="U648" s="48"/>
      <c r="V648" s="48"/>
      <c r="W648" s="48"/>
      <c r="X648" s="48"/>
    </row>
    <row r="649" ht="15.75" customHeight="1">
      <c r="A649" s="56"/>
      <c r="B649" s="48"/>
      <c r="C649" s="48"/>
      <c r="D649" s="27"/>
      <c r="E649" s="27"/>
      <c r="F649" s="48"/>
      <c r="G649" s="48"/>
      <c r="H649" s="48"/>
      <c r="I649" s="48"/>
      <c r="J649" s="48"/>
      <c r="K649" s="48"/>
      <c r="L649" s="48"/>
      <c r="M649" s="48"/>
      <c r="N649" s="48"/>
      <c r="O649" s="48"/>
      <c r="P649" s="48"/>
      <c r="Q649" s="48"/>
      <c r="R649" s="48"/>
      <c r="S649" s="48"/>
      <c r="T649" s="48"/>
      <c r="U649" s="48"/>
      <c r="V649" s="48"/>
      <c r="W649" s="48"/>
      <c r="X649" s="48"/>
    </row>
    <row r="650" ht="15.75" customHeight="1">
      <c r="A650" s="56"/>
      <c r="B650" s="48"/>
      <c r="C650" s="48"/>
      <c r="D650" s="27"/>
      <c r="E650" s="27"/>
      <c r="F650" s="48"/>
      <c r="G650" s="48"/>
      <c r="H650" s="48"/>
      <c r="I650" s="48"/>
      <c r="J650" s="48"/>
      <c r="K650" s="48"/>
      <c r="L650" s="48"/>
      <c r="M650" s="48"/>
      <c r="N650" s="48"/>
      <c r="O650" s="48"/>
      <c r="P650" s="48"/>
      <c r="Q650" s="48"/>
      <c r="R650" s="48"/>
      <c r="S650" s="48"/>
      <c r="T650" s="48"/>
      <c r="U650" s="48"/>
      <c r="V650" s="48"/>
      <c r="W650" s="48"/>
      <c r="X650" s="48"/>
    </row>
    <row r="651" ht="15.75" customHeight="1">
      <c r="A651" s="56"/>
      <c r="B651" s="48"/>
      <c r="C651" s="48"/>
      <c r="D651" s="27"/>
      <c r="E651" s="27"/>
      <c r="F651" s="48"/>
      <c r="G651" s="48"/>
      <c r="H651" s="48"/>
      <c r="I651" s="48"/>
      <c r="J651" s="48"/>
      <c r="K651" s="48"/>
      <c r="L651" s="48"/>
      <c r="M651" s="48"/>
      <c r="N651" s="48"/>
      <c r="O651" s="48"/>
      <c r="P651" s="48"/>
      <c r="Q651" s="48"/>
      <c r="R651" s="48"/>
      <c r="S651" s="48"/>
      <c r="T651" s="48"/>
      <c r="U651" s="48"/>
      <c r="V651" s="48"/>
      <c r="W651" s="48"/>
      <c r="X651" s="48"/>
    </row>
    <row r="652" ht="15.75" customHeight="1">
      <c r="A652" s="56"/>
      <c r="B652" s="48"/>
      <c r="C652" s="48"/>
      <c r="D652" s="27"/>
      <c r="E652" s="27"/>
      <c r="F652" s="48"/>
      <c r="G652" s="48"/>
      <c r="H652" s="48"/>
      <c r="I652" s="48"/>
      <c r="J652" s="48"/>
      <c r="K652" s="48"/>
      <c r="L652" s="48"/>
      <c r="M652" s="48"/>
      <c r="N652" s="48"/>
      <c r="O652" s="48"/>
      <c r="P652" s="48"/>
      <c r="Q652" s="48"/>
      <c r="R652" s="48"/>
      <c r="S652" s="48"/>
      <c r="T652" s="48"/>
      <c r="U652" s="48"/>
      <c r="V652" s="48"/>
      <c r="W652" s="48"/>
      <c r="X652" s="48"/>
    </row>
    <row r="653" ht="15.75" customHeight="1">
      <c r="A653" s="56"/>
      <c r="B653" s="48"/>
      <c r="C653" s="48"/>
      <c r="D653" s="27"/>
      <c r="E653" s="27"/>
      <c r="F653" s="48"/>
      <c r="G653" s="48"/>
      <c r="H653" s="48"/>
      <c r="I653" s="48"/>
      <c r="J653" s="48"/>
      <c r="K653" s="48"/>
      <c r="L653" s="48"/>
      <c r="M653" s="48"/>
      <c r="N653" s="48"/>
      <c r="O653" s="48"/>
      <c r="P653" s="48"/>
      <c r="Q653" s="48"/>
      <c r="R653" s="48"/>
      <c r="S653" s="48"/>
      <c r="T653" s="48"/>
      <c r="U653" s="48"/>
      <c r="V653" s="48"/>
      <c r="W653" s="48"/>
      <c r="X653" s="48"/>
    </row>
    <row r="654" ht="15.75" customHeight="1">
      <c r="A654" s="56"/>
      <c r="B654" s="48"/>
      <c r="C654" s="48"/>
      <c r="D654" s="27"/>
      <c r="E654" s="27"/>
      <c r="F654" s="48"/>
      <c r="G654" s="48"/>
      <c r="H654" s="48"/>
      <c r="I654" s="48"/>
      <c r="J654" s="48"/>
      <c r="K654" s="48"/>
      <c r="L654" s="48"/>
      <c r="M654" s="48"/>
      <c r="N654" s="48"/>
      <c r="O654" s="48"/>
      <c r="P654" s="48"/>
      <c r="Q654" s="48"/>
      <c r="R654" s="48"/>
      <c r="S654" s="48"/>
      <c r="T654" s="48"/>
      <c r="U654" s="48"/>
      <c r="V654" s="48"/>
      <c r="W654" s="48"/>
      <c r="X654" s="48"/>
    </row>
    <row r="655" ht="15.75" customHeight="1">
      <c r="A655" s="56"/>
      <c r="B655" s="48"/>
      <c r="C655" s="48"/>
      <c r="D655" s="27"/>
      <c r="E655" s="27"/>
      <c r="F655" s="48"/>
      <c r="G655" s="48"/>
      <c r="H655" s="48"/>
      <c r="I655" s="48"/>
      <c r="J655" s="48"/>
      <c r="K655" s="48"/>
      <c r="L655" s="48"/>
      <c r="M655" s="48"/>
      <c r="N655" s="48"/>
      <c r="O655" s="48"/>
      <c r="P655" s="48"/>
      <c r="Q655" s="48"/>
      <c r="R655" s="48"/>
      <c r="S655" s="48"/>
      <c r="T655" s="48"/>
      <c r="U655" s="48"/>
      <c r="V655" s="48"/>
      <c r="W655" s="48"/>
      <c r="X655" s="48"/>
    </row>
    <row r="656" ht="15.75" customHeight="1">
      <c r="A656" s="56"/>
      <c r="B656" s="48"/>
      <c r="C656" s="48"/>
      <c r="D656" s="27"/>
      <c r="E656" s="27"/>
      <c r="F656" s="48"/>
      <c r="G656" s="48"/>
      <c r="H656" s="48"/>
      <c r="I656" s="48"/>
      <c r="J656" s="48"/>
      <c r="K656" s="48"/>
      <c r="L656" s="48"/>
      <c r="M656" s="48"/>
      <c r="N656" s="48"/>
      <c r="O656" s="48"/>
      <c r="P656" s="48"/>
      <c r="Q656" s="48"/>
      <c r="R656" s="48"/>
      <c r="S656" s="48"/>
      <c r="T656" s="48"/>
      <c r="U656" s="48"/>
      <c r="V656" s="48"/>
      <c r="W656" s="48"/>
      <c r="X656" s="48"/>
    </row>
    <row r="657" ht="15.75" customHeight="1">
      <c r="A657" s="56"/>
      <c r="B657" s="48"/>
      <c r="C657" s="48"/>
      <c r="D657" s="27"/>
      <c r="E657" s="27"/>
      <c r="F657" s="48"/>
      <c r="G657" s="48"/>
      <c r="H657" s="48"/>
      <c r="I657" s="48"/>
      <c r="J657" s="48"/>
      <c r="K657" s="48"/>
      <c r="L657" s="48"/>
      <c r="M657" s="48"/>
      <c r="N657" s="48"/>
      <c r="O657" s="48"/>
      <c r="P657" s="48"/>
      <c r="Q657" s="48"/>
      <c r="R657" s="48"/>
      <c r="S657" s="48"/>
      <c r="T657" s="48"/>
      <c r="U657" s="48"/>
      <c r="V657" s="48"/>
      <c r="W657" s="48"/>
      <c r="X657" s="48"/>
    </row>
    <row r="658" ht="15.75" customHeight="1">
      <c r="A658" s="56"/>
      <c r="B658" s="48"/>
      <c r="C658" s="48"/>
      <c r="D658" s="27"/>
      <c r="E658" s="27"/>
      <c r="F658" s="48"/>
      <c r="G658" s="48"/>
      <c r="H658" s="48"/>
      <c r="I658" s="48"/>
      <c r="J658" s="48"/>
      <c r="K658" s="48"/>
      <c r="L658" s="48"/>
      <c r="M658" s="48"/>
      <c r="N658" s="48"/>
      <c r="O658" s="48"/>
      <c r="P658" s="48"/>
      <c r="Q658" s="48"/>
      <c r="R658" s="48"/>
      <c r="S658" s="48"/>
      <c r="T658" s="48"/>
      <c r="U658" s="48"/>
      <c r="V658" s="48"/>
      <c r="W658" s="48"/>
      <c r="X658" s="48"/>
    </row>
    <row r="659" ht="15.75" customHeight="1">
      <c r="A659" s="56"/>
      <c r="B659" s="48"/>
      <c r="C659" s="48"/>
      <c r="D659" s="27"/>
      <c r="E659" s="27"/>
      <c r="F659" s="48"/>
      <c r="G659" s="48"/>
      <c r="H659" s="48"/>
      <c r="I659" s="48"/>
      <c r="J659" s="48"/>
      <c r="K659" s="48"/>
      <c r="L659" s="48"/>
      <c r="M659" s="48"/>
      <c r="N659" s="48"/>
      <c r="O659" s="48"/>
      <c r="P659" s="48"/>
      <c r="Q659" s="48"/>
      <c r="R659" s="48"/>
      <c r="S659" s="48"/>
      <c r="T659" s="48"/>
      <c r="U659" s="48"/>
      <c r="V659" s="48"/>
      <c r="W659" s="48"/>
      <c r="X659" s="48"/>
    </row>
    <row r="660" ht="15.75" customHeight="1">
      <c r="A660" s="56"/>
      <c r="B660" s="48"/>
      <c r="C660" s="48"/>
      <c r="D660" s="27"/>
      <c r="E660" s="27"/>
      <c r="F660" s="48"/>
      <c r="G660" s="48"/>
      <c r="H660" s="48"/>
      <c r="I660" s="48"/>
      <c r="J660" s="48"/>
      <c r="K660" s="48"/>
      <c r="L660" s="48"/>
      <c r="M660" s="48"/>
      <c r="N660" s="48"/>
      <c r="O660" s="48"/>
      <c r="P660" s="48"/>
      <c r="Q660" s="48"/>
      <c r="R660" s="48"/>
      <c r="S660" s="48"/>
      <c r="T660" s="48"/>
      <c r="U660" s="48"/>
      <c r="V660" s="48"/>
      <c r="W660" s="48"/>
      <c r="X660" s="48"/>
    </row>
    <row r="661" ht="15.75" customHeight="1">
      <c r="A661" s="56"/>
      <c r="B661" s="48"/>
      <c r="C661" s="48"/>
      <c r="D661" s="27"/>
      <c r="E661" s="27"/>
      <c r="F661" s="48"/>
      <c r="G661" s="48"/>
      <c r="H661" s="48"/>
      <c r="I661" s="48"/>
      <c r="J661" s="48"/>
      <c r="K661" s="48"/>
      <c r="L661" s="48"/>
      <c r="M661" s="48"/>
      <c r="N661" s="48"/>
      <c r="O661" s="48"/>
      <c r="P661" s="48"/>
      <c r="Q661" s="48"/>
      <c r="R661" s="48"/>
      <c r="S661" s="48"/>
      <c r="T661" s="48"/>
      <c r="U661" s="48"/>
      <c r="V661" s="48"/>
      <c r="W661" s="48"/>
      <c r="X661" s="48"/>
    </row>
    <row r="662" ht="15.75" customHeight="1">
      <c r="A662" s="56"/>
      <c r="B662" s="48"/>
      <c r="C662" s="48"/>
      <c r="D662" s="27"/>
      <c r="E662" s="27"/>
      <c r="F662" s="48"/>
      <c r="G662" s="48"/>
      <c r="H662" s="48"/>
      <c r="I662" s="48"/>
      <c r="J662" s="48"/>
      <c r="K662" s="48"/>
      <c r="L662" s="48"/>
      <c r="M662" s="48"/>
      <c r="N662" s="48"/>
      <c r="O662" s="48"/>
      <c r="P662" s="48"/>
      <c r="Q662" s="48"/>
      <c r="R662" s="48"/>
      <c r="S662" s="48"/>
      <c r="T662" s="48"/>
      <c r="U662" s="48"/>
      <c r="V662" s="48"/>
      <c r="W662" s="48"/>
      <c r="X662" s="48"/>
    </row>
    <row r="663" ht="15.75" customHeight="1">
      <c r="A663" s="56"/>
      <c r="B663" s="48"/>
      <c r="C663" s="48"/>
      <c r="D663" s="27"/>
      <c r="E663" s="27"/>
      <c r="F663" s="48"/>
      <c r="G663" s="48"/>
      <c r="H663" s="48"/>
      <c r="I663" s="48"/>
      <c r="J663" s="48"/>
      <c r="K663" s="48"/>
      <c r="L663" s="48"/>
      <c r="M663" s="48"/>
      <c r="N663" s="48"/>
      <c r="O663" s="48"/>
      <c r="P663" s="48"/>
      <c r="Q663" s="48"/>
      <c r="R663" s="48"/>
      <c r="S663" s="48"/>
      <c r="T663" s="48"/>
      <c r="U663" s="48"/>
      <c r="V663" s="48"/>
      <c r="W663" s="48"/>
      <c r="X663" s="48"/>
    </row>
    <row r="664" ht="15.75" customHeight="1">
      <c r="A664" s="56"/>
      <c r="B664" s="48"/>
      <c r="C664" s="48"/>
      <c r="D664" s="27"/>
      <c r="E664" s="27"/>
      <c r="F664" s="48"/>
      <c r="G664" s="48"/>
      <c r="H664" s="48"/>
      <c r="I664" s="48"/>
      <c r="J664" s="48"/>
      <c r="K664" s="48"/>
      <c r="L664" s="48"/>
      <c r="M664" s="48"/>
      <c r="N664" s="48"/>
      <c r="O664" s="48"/>
      <c r="P664" s="48"/>
      <c r="Q664" s="48"/>
      <c r="R664" s="48"/>
      <c r="S664" s="48"/>
      <c r="T664" s="48"/>
      <c r="U664" s="48"/>
      <c r="V664" s="48"/>
      <c r="W664" s="48"/>
      <c r="X664" s="48"/>
    </row>
    <row r="665" ht="15.75" customHeight="1">
      <c r="A665" s="56"/>
      <c r="B665" s="48"/>
      <c r="C665" s="48"/>
      <c r="D665" s="27"/>
      <c r="E665" s="27"/>
      <c r="F665" s="48"/>
      <c r="G665" s="48"/>
      <c r="H665" s="48"/>
      <c r="I665" s="48"/>
      <c r="J665" s="48"/>
      <c r="K665" s="48"/>
      <c r="L665" s="48"/>
      <c r="M665" s="48"/>
      <c r="N665" s="48"/>
      <c r="O665" s="48"/>
      <c r="P665" s="48"/>
      <c r="Q665" s="48"/>
      <c r="R665" s="48"/>
      <c r="S665" s="48"/>
      <c r="T665" s="48"/>
      <c r="U665" s="48"/>
      <c r="V665" s="48"/>
      <c r="W665" s="48"/>
      <c r="X665" s="48"/>
    </row>
    <row r="666" ht="15.75" customHeight="1">
      <c r="A666" s="56"/>
      <c r="B666" s="48"/>
      <c r="C666" s="48"/>
      <c r="D666" s="27"/>
      <c r="E666" s="27"/>
      <c r="F666" s="48"/>
      <c r="G666" s="48"/>
      <c r="H666" s="48"/>
      <c r="I666" s="48"/>
      <c r="J666" s="48"/>
      <c r="K666" s="48"/>
      <c r="L666" s="48"/>
      <c r="M666" s="48"/>
      <c r="N666" s="48"/>
      <c r="O666" s="48"/>
      <c r="P666" s="48"/>
      <c r="Q666" s="48"/>
      <c r="R666" s="48"/>
      <c r="S666" s="48"/>
      <c r="T666" s="48"/>
      <c r="U666" s="48"/>
      <c r="V666" s="48"/>
      <c r="W666" s="48"/>
      <c r="X666" s="48"/>
    </row>
    <row r="667" ht="15.75" customHeight="1">
      <c r="A667" s="56"/>
      <c r="B667" s="48"/>
      <c r="C667" s="48"/>
      <c r="D667" s="27"/>
      <c r="E667" s="27"/>
      <c r="F667" s="48"/>
      <c r="G667" s="48"/>
      <c r="H667" s="48"/>
      <c r="I667" s="48"/>
      <c r="J667" s="48"/>
      <c r="K667" s="48"/>
      <c r="L667" s="48"/>
      <c r="M667" s="48"/>
      <c r="N667" s="48"/>
      <c r="O667" s="48"/>
      <c r="P667" s="48"/>
      <c r="Q667" s="48"/>
      <c r="R667" s="48"/>
      <c r="S667" s="48"/>
      <c r="T667" s="48"/>
      <c r="U667" s="48"/>
      <c r="V667" s="48"/>
      <c r="W667" s="48"/>
      <c r="X667" s="48"/>
    </row>
    <row r="668" ht="15.75" customHeight="1">
      <c r="A668" s="56"/>
      <c r="B668" s="48"/>
      <c r="C668" s="48"/>
      <c r="D668" s="27"/>
      <c r="E668" s="27"/>
      <c r="F668" s="48"/>
      <c r="G668" s="48"/>
      <c r="H668" s="48"/>
      <c r="I668" s="48"/>
      <c r="J668" s="48"/>
      <c r="K668" s="48"/>
      <c r="L668" s="48"/>
      <c r="M668" s="48"/>
      <c r="N668" s="48"/>
      <c r="O668" s="48"/>
      <c r="P668" s="48"/>
      <c r="Q668" s="48"/>
      <c r="R668" s="48"/>
      <c r="S668" s="48"/>
      <c r="T668" s="48"/>
      <c r="U668" s="48"/>
      <c r="V668" s="48"/>
      <c r="W668" s="48"/>
      <c r="X668" s="48"/>
    </row>
    <row r="669" ht="15.75" customHeight="1">
      <c r="A669" s="56"/>
      <c r="B669" s="48"/>
      <c r="C669" s="48"/>
      <c r="D669" s="27"/>
      <c r="E669" s="27"/>
      <c r="F669" s="48"/>
      <c r="G669" s="48"/>
      <c r="H669" s="48"/>
      <c r="I669" s="48"/>
      <c r="J669" s="48"/>
      <c r="K669" s="48"/>
      <c r="L669" s="48"/>
      <c r="M669" s="48"/>
      <c r="N669" s="48"/>
      <c r="O669" s="48"/>
      <c r="P669" s="48"/>
      <c r="Q669" s="48"/>
      <c r="R669" s="48"/>
      <c r="S669" s="48"/>
      <c r="T669" s="48"/>
      <c r="U669" s="48"/>
      <c r="V669" s="48"/>
      <c r="W669" s="48"/>
      <c r="X669" s="48"/>
    </row>
    <row r="670" ht="15.75" customHeight="1">
      <c r="A670" s="56"/>
      <c r="B670" s="48"/>
      <c r="C670" s="48"/>
      <c r="D670" s="27"/>
      <c r="E670" s="27"/>
      <c r="F670" s="48"/>
      <c r="G670" s="48"/>
      <c r="H670" s="48"/>
      <c r="I670" s="48"/>
      <c r="J670" s="48"/>
      <c r="K670" s="48"/>
      <c r="L670" s="48"/>
      <c r="M670" s="48"/>
      <c r="N670" s="48"/>
      <c r="O670" s="48"/>
      <c r="P670" s="48"/>
      <c r="Q670" s="48"/>
      <c r="R670" s="48"/>
      <c r="S670" s="48"/>
      <c r="T670" s="48"/>
      <c r="U670" s="48"/>
      <c r="V670" s="48"/>
      <c r="W670" s="48"/>
      <c r="X670" s="48"/>
    </row>
    <row r="671" ht="15.75" customHeight="1">
      <c r="A671" s="56"/>
      <c r="B671" s="48"/>
      <c r="C671" s="48"/>
      <c r="D671" s="27"/>
      <c r="E671" s="27"/>
      <c r="F671" s="48"/>
      <c r="G671" s="48"/>
      <c r="H671" s="48"/>
      <c r="I671" s="48"/>
      <c r="J671" s="48"/>
      <c r="K671" s="48"/>
      <c r="L671" s="48"/>
      <c r="M671" s="48"/>
      <c r="N671" s="48"/>
      <c r="O671" s="48"/>
      <c r="P671" s="48"/>
      <c r="Q671" s="48"/>
      <c r="R671" s="48"/>
      <c r="S671" s="48"/>
      <c r="T671" s="48"/>
      <c r="U671" s="48"/>
      <c r="V671" s="48"/>
      <c r="W671" s="48"/>
      <c r="X671" s="48"/>
    </row>
    <row r="672" ht="15.75" customHeight="1">
      <c r="A672" s="56"/>
      <c r="B672" s="48"/>
      <c r="C672" s="48"/>
      <c r="D672" s="27"/>
      <c r="E672" s="27"/>
      <c r="F672" s="48"/>
      <c r="G672" s="48"/>
      <c r="H672" s="48"/>
      <c r="I672" s="48"/>
      <c r="J672" s="48"/>
      <c r="K672" s="48"/>
      <c r="L672" s="48"/>
      <c r="M672" s="48"/>
      <c r="N672" s="48"/>
      <c r="O672" s="48"/>
      <c r="P672" s="48"/>
      <c r="Q672" s="48"/>
      <c r="R672" s="48"/>
      <c r="S672" s="48"/>
      <c r="T672" s="48"/>
      <c r="U672" s="48"/>
      <c r="V672" s="48"/>
      <c r="W672" s="48"/>
      <c r="X672" s="48"/>
    </row>
    <row r="673" ht="15.75" customHeight="1">
      <c r="A673" s="56"/>
      <c r="B673" s="48"/>
      <c r="C673" s="48"/>
      <c r="D673" s="27"/>
      <c r="E673" s="27"/>
      <c r="F673" s="48"/>
      <c r="G673" s="48"/>
      <c r="H673" s="48"/>
      <c r="I673" s="48"/>
      <c r="J673" s="48"/>
      <c r="K673" s="48"/>
      <c r="L673" s="48"/>
      <c r="M673" s="48"/>
      <c r="N673" s="48"/>
      <c r="O673" s="48"/>
      <c r="P673" s="48"/>
      <c r="Q673" s="48"/>
      <c r="R673" s="48"/>
      <c r="S673" s="48"/>
      <c r="T673" s="48"/>
      <c r="U673" s="48"/>
      <c r="V673" s="48"/>
      <c r="W673" s="48"/>
      <c r="X673" s="48"/>
    </row>
    <row r="674" ht="15.75" customHeight="1">
      <c r="A674" s="56"/>
      <c r="B674" s="48"/>
      <c r="C674" s="48"/>
      <c r="D674" s="27"/>
      <c r="E674" s="27"/>
      <c r="F674" s="48"/>
      <c r="G674" s="48"/>
      <c r="H674" s="48"/>
      <c r="I674" s="48"/>
      <c r="J674" s="48"/>
      <c r="K674" s="48"/>
      <c r="L674" s="48"/>
      <c r="M674" s="48"/>
      <c r="N674" s="48"/>
      <c r="O674" s="48"/>
      <c r="P674" s="48"/>
      <c r="Q674" s="48"/>
      <c r="R674" s="48"/>
      <c r="S674" s="48"/>
      <c r="T674" s="48"/>
      <c r="U674" s="48"/>
      <c r="V674" s="48"/>
      <c r="W674" s="48"/>
      <c r="X674" s="48"/>
    </row>
    <row r="675" ht="15.75" customHeight="1">
      <c r="A675" s="56"/>
      <c r="B675" s="48"/>
      <c r="C675" s="48"/>
      <c r="D675" s="27"/>
      <c r="E675" s="27"/>
      <c r="F675" s="48"/>
      <c r="G675" s="48"/>
      <c r="H675" s="48"/>
      <c r="I675" s="48"/>
      <c r="J675" s="48"/>
      <c r="K675" s="48"/>
      <c r="L675" s="48"/>
      <c r="M675" s="48"/>
      <c r="N675" s="48"/>
      <c r="O675" s="48"/>
      <c r="P675" s="48"/>
      <c r="Q675" s="48"/>
      <c r="R675" s="48"/>
      <c r="S675" s="48"/>
      <c r="T675" s="48"/>
      <c r="U675" s="48"/>
      <c r="V675" s="48"/>
      <c r="W675" s="48"/>
      <c r="X675" s="48"/>
    </row>
    <row r="676" ht="15.75" customHeight="1">
      <c r="A676" s="56"/>
      <c r="B676" s="48"/>
      <c r="C676" s="48"/>
      <c r="D676" s="27"/>
      <c r="E676" s="27"/>
      <c r="F676" s="48"/>
      <c r="G676" s="48"/>
      <c r="H676" s="48"/>
      <c r="I676" s="48"/>
      <c r="J676" s="48"/>
      <c r="K676" s="48"/>
      <c r="L676" s="48"/>
      <c r="M676" s="48"/>
      <c r="N676" s="48"/>
      <c r="O676" s="48"/>
      <c r="P676" s="48"/>
      <c r="Q676" s="48"/>
      <c r="R676" s="48"/>
      <c r="S676" s="48"/>
      <c r="T676" s="48"/>
      <c r="U676" s="48"/>
      <c r="V676" s="48"/>
      <c r="W676" s="48"/>
      <c r="X676" s="48"/>
    </row>
    <row r="677" ht="15.75" customHeight="1">
      <c r="A677" s="56"/>
      <c r="B677" s="48"/>
      <c r="C677" s="48"/>
      <c r="D677" s="27"/>
      <c r="E677" s="27"/>
      <c r="F677" s="48"/>
      <c r="G677" s="48"/>
      <c r="H677" s="48"/>
      <c r="I677" s="48"/>
      <c r="J677" s="48"/>
      <c r="K677" s="48"/>
      <c r="L677" s="48"/>
      <c r="M677" s="48"/>
      <c r="N677" s="48"/>
      <c r="O677" s="48"/>
      <c r="P677" s="48"/>
      <c r="Q677" s="48"/>
      <c r="R677" s="48"/>
      <c r="S677" s="48"/>
      <c r="T677" s="48"/>
      <c r="U677" s="48"/>
      <c r="V677" s="48"/>
      <c r="W677" s="48"/>
      <c r="X677" s="48"/>
    </row>
    <row r="678" ht="15.75" customHeight="1">
      <c r="A678" s="56"/>
      <c r="B678" s="48"/>
      <c r="C678" s="48"/>
      <c r="D678" s="27"/>
      <c r="E678" s="27"/>
      <c r="F678" s="48"/>
      <c r="G678" s="48"/>
      <c r="H678" s="48"/>
      <c r="I678" s="48"/>
      <c r="J678" s="48"/>
      <c r="K678" s="48"/>
      <c r="L678" s="48"/>
      <c r="M678" s="48"/>
      <c r="N678" s="48"/>
      <c r="O678" s="48"/>
      <c r="P678" s="48"/>
      <c r="Q678" s="48"/>
      <c r="R678" s="48"/>
      <c r="S678" s="48"/>
      <c r="T678" s="48"/>
      <c r="U678" s="48"/>
      <c r="V678" s="48"/>
      <c r="W678" s="48"/>
      <c r="X678" s="48"/>
    </row>
    <row r="679" ht="15.75" customHeight="1">
      <c r="A679" s="56"/>
      <c r="B679" s="48"/>
      <c r="C679" s="48"/>
      <c r="D679" s="27"/>
      <c r="E679" s="27"/>
      <c r="F679" s="48"/>
      <c r="G679" s="48"/>
      <c r="H679" s="48"/>
      <c r="I679" s="48"/>
      <c r="J679" s="48"/>
      <c r="K679" s="48"/>
      <c r="L679" s="48"/>
      <c r="M679" s="48"/>
      <c r="N679" s="48"/>
      <c r="O679" s="48"/>
      <c r="P679" s="48"/>
      <c r="Q679" s="48"/>
      <c r="R679" s="48"/>
      <c r="S679" s="48"/>
      <c r="T679" s="48"/>
      <c r="U679" s="48"/>
      <c r="V679" s="48"/>
      <c r="W679" s="48"/>
      <c r="X679" s="48"/>
    </row>
    <row r="680" ht="15.75" customHeight="1">
      <c r="A680" s="56"/>
      <c r="B680" s="48"/>
      <c r="C680" s="48"/>
      <c r="D680" s="27"/>
      <c r="E680" s="27"/>
      <c r="F680" s="48"/>
      <c r="G680" s="48"/>
      <c r="H680" s="48"/>
      <c r="I680" s="48"/>
      <c r="J680" s="48"/>
      <c r="K680" s="48"/>
      <c r="L680" s="48"/>
      <c r="M680" s="48"/>
      <c r="N680" s="48"/>
      <c r="O680" s="48"/>
      <c r="P680" s="48"/>
      <c r="Q680" s="48"/>
      <c r="R680" s="48"/>
      <c r="S680" s="48"/>
      <c r="T680" s="48"/>
      <c r="U680" s="48"/>
      <c r="V680" s="48"/>
      <c r="W680" s="48"/>
      <c r="X680" s="48"/>
    </row>
    <row r="681" ht="15.75" customHeight="1">
      <c r="A681" s="56"/>
      <c r="B681" s="48"/>
      <c r="C681" s="48"/>
      <c r="D681" s="27"/>
      <c r="E681" s="27"/>
      <c r="F681" s="48"/>
      <c r="G681" s="48"/>
      <c r="H681" s="48"/>
      <c r="I681" s="48"/>
      <c r="J681" s="48"/>
      <c r="K681" s="48"/>
      <c r="L681" s="48"/>
      <c r="M681" s="48"/>
      <c r="N681" s="48"/>
      <c r="O681" s="48"/>
      <c r="P681" s="48"/>
      <c r="Q681" s="48"/>
      <c r="R681" s="48"/>
      <c r="S681" s="48"/>
      <c r="T681" s="48"/>
      <c r="U681" s="48"/>
      <c r="V681" s="48"/>
      <c r="W681" s="48"/>
      <c r="X681" s="48"/>
    </row>
    <row r="682" ht="15.75" customHeight="1">
      <c r="A682" s="56"/>
      <c r="B682" s="48"/>
      <c r="C682" s="48"/>
      <c r="D682" s="27"/>
      <c r="E682" s="27"/>
      <c r="F682" s="48"/>
      <c r="G682" s="48"/>
      <c r="H682" s="48"/>
      <c r="I682" s="48"/>
      <c r="J682" s="48"/>
      <c r="K682" s="48"/>
      <c r="L682" s="48"/>
      <c r="M682" s="48"/>
      <c r="N682" s="48"/>
      <c r="O682" s="48"/>
      <c r="P682" s="48"/>
      <c r="Q682" s="48"/>
      <c r="R682" s="48"/>
      <c r="S682" s="48"/>
      <c r="T682" s="48"/>
      <c r="U682" s="48"/>
      <c r="V682" s="48"/>
      <c r="W682" s="48"/>
      <c r="X682" s="48"/>
    </row>
    <row r="683" ht="15.75" customHeight="1">
      <c r="A683" s="56"/>
      <c r="B683" s="48"/>
      <c r="C683" s="48"/>
      <c r="D683" s="27"/>
      <c r="E683" s="27"/>
      <c r="F683" s="48"/>
      <c r="G683" s="48"/>
      <c r="H683" s="48"/>
      <c r="I683" s="48"/>
      <c r="J683" s="48"/>
      <c r="K683" s="48"/>
      <c r="L683" s="48"/>
      <c r="M683" s="48"/>
      <c r="N683" s="48"/>
      <c r="O683" s="48"/>
      <c r="P683" s="48"/>
      <c r="Q683" s="48"/>
      <c r="R683" s="48"/>
      <c r="S683" s="48"/>
      <c r="T683" s="48"/>
      <c r="U683" s="48"/>
      <c r="V683" s="48"/>
      <c r="W683" s="48"/>
      <c r="X683" s="48"/>
    </row>
    <row r="684" ht="15.75" customHeight="1">
      <c r="A684" s="56"/>
      <c r="B684" s="48"/>
      <c r="C684" s="48"/>
      <c r="D684" s="27"/>
      <c r="E684" s="27"/>
      <c r="F684" s="48"/>
      <c r="G684" s="48"/>
      <c r="H684" s="48"/>
      <c r="I684" s="48"/>
      <c r="J684" s="48"/>
      <c r="K684" s="48"/>
      <c r="L684" s="48"/>
      <c r="M684" s="48"/>
      <c r="N684" s="48"/>
      <c r="O684" s="48"/>
      <c r="P684" s="48"/>
      <c r="Q684" s="48"/>
      <c r="R684" s="48"/>
      <c r="S684" s="48"/>
      <c r="T684" s="48"/>
      <c r="U684" s="48"/>
      <c r="V684" s="48"/>
      <c r="W684" s="48"/>
      <c r="X684" s="48"/>
    </row>
    <row r="685" ht="15.75" customHeight="1">
      <c r="A685" s="56"/>
      <c r="B685" s="48"/>
      <c r="C685" s="48"/>
      <c r="D685" s="27"/>
      <c r="E685" s="27"/>
      <c r="F685" s="48"/>
      <c r="G685" s="48"/>
      <c r="H685" s="48"/>
      <c r="I685" s="48"/>
      <c r="J685" s="48"/>
      <c r="K685" s="48"/>
      <c r="L685" s="48"/>
      <c r="M685" s="48"/>
      <c r="N685" s="48"/>
      <c r="O685" s="48"/>
      <c r="P685" s="48"/>
      <c r="Q685" s="48"/>
      <c r="R685" s="48"/>
      <c r="S685" s="48"/>
      <c r="T685" s="48"/>
      <c r="U685" s="48"/>
      <c r="V685" s="48"/>
      <c r="W685" s="48"/>
      <c r="X685" s="48"/>
    </row>
    <row r="686" ht="15.75" customHeight="1">
      <c r="A686" s="56"/>
      <c r="B686" s="48"/>
      <c r="C686" s="48"/>
      <c r="D686" s="27"/>
      <c r="E686" s="27"/>
      <c r="F686" s="48"/>
      <c r="G686" s="48"/>
      <c r="H686" s="48"/>
      <c r="I686" s="48"/>
      <c r="J686" s="48"/>
      <c r="K686" s="48"/>
      <c r="L686" s="48"/>
      <c r="M686" s="48"/>
      <c r="N686" s="48"/>
      <c r="O686" s="48"/>
      <c r="P686" s="48"/>
      <c r="Q686" s="48"/>
      <c r="R686" s="48"/>
      <c r="S686" s="48"/>
      <c r="T686" s="48"/>
      <c r="U686" s="48"/>
      <c r="V686" s="48"/>
      <c r="W686" s="48"/>
      <c r="X686" s="48"/>
    </row>
    <row r="687" ht="15.75" customHeight="1">
      <c r="A687" s="56"/>
      <c r="B687" s="48"/>
      <c r="C687" s="48"/>
      <c r="D687" s="27"/>
      <c r="E687" s="27"/>
      <c r="F687" s="48"/>
      <c r="G687" s="48"/>
      <c r="H687" s="48"/>
      <c r="I687" s="48"/>
      <c r="J687" s="48"/>
      <c r="K687" s="48"/>
      <c r="L687" s="48"/>
      <c r="M687" s="48"/>
      <c r="N687" s="48"/>
      <c r="O687" s="48"/>
      <c r="P687" s="48"/>
      <c r="Q687" s="48"/>
      <c r="R687" s="48"/>
      <c r="S687" s="48"/>
      <c r="T687" s="48"/>
      <c r="U687" s="48"/>
      <c r="V687" s="48"/>
      <c r="W687" s="48"/>
      <c r="X687" s="48"/>
    </row>
    <row r="688" ht="15.75" customHeight="1">
      <c r="A688" s="56"/>
      <c r="B688" s="48"/>
      <c r="C688" s="48"/>
      <c r="D688" s="27"/>
      <c r="E688" s="27"/>
      <c r="F688" s="48"/>
      <c r="G688" s="48"/>
      <c r="H688" s="48"/>
      <c r="I688" s="48"/>
      <c r="J688" s="48"/>
      <c r="K688" s="48"/>
      <c r="L688" s="48"/>
      <c r="M688" s="48"/>
      <c r="N688" s="48"/>
      <c r="O688" s="48"/>
      <c r="P688" s="48"/>
      <c r="Q688" s="48"/>
      <c r="R688" s="48"/>
      <c r="S688" s="48"/>
      <c r="T688" s="48"/>
      <c r="U688" s="48"/>
      <c r="V688" s="48"/>
      <c r="W688" s="48"/>
      <c r="X688" s="48"/>
    </row>
    <row r="689" ht="15.75" customHeight="1">
      <c r="A689" s="56"/>
      <c r="B689" s="48"/>
      <c r="C689" s="48"/>
      <c r="D689" s="27"/>
      <c r="E689" s="27"/>
      <c r="F689" s="48"/>
      <c r="G689" s="48"/>
      <c r="H689" s="48"/>
      <c r="I689" s="48"/>
      <c r="J689" s="48"/>
      <c r="K689" s="48"/>
      <c r="L689" s="48"/>
      <c r="M689" s="48"/>
      <c r="N689" s="48"/>
      <c r="O689" s="48"/>
      <c r="P689" s="48"/>
      <c r="Q689" s="48"/>
      <c r="R689" s="48"/>
      <c r="S689" s="48"/>
      <c r="T689" s="48"/>
      <c r="U689" s="48"/>
      <c r="V689" s="48"/>
      <c r="W689" s="48"/>
      <c r="X689" s="48"/>
    </row>
    <row r="690" ht="15.75" customHeight="1">
      <c r="A690" s="56"/>
      <c r="B690" s="48"/>
      <c r="C690" s="48"/>
      <c r="D690" s="27"/>
      <c r="E690" s="27"/>
      <c r="F690" s="48"/>
      <c r="G690" s="48"/>
      <c r="H690" s="48"/>
      <c r="I690" s="48"/>
      <c r="J690" s="48"/>
      <c r="K690" s="48"/>
      <c r="L690" s="48"/>
      <c r="M690" s="48"/>
      <c r="N690" s="48"/>
      <c r="O690" s="48"/>
      <c r="P690" s="48"/>
      <c r="Q690" s="48"/>
      <c r="R690" s="48"/>
      <c r="S690" s="48"/>
      <c r="T690" s="48"/>
      <c r="U690" s="48"/>
      <c r="V690" s="48"/>
      <c r="W690" s="48"/>
      <c r="X690" s="48"/>
    </row>
    <row r="691" ht="15.75" customHeight="1">
      <c r="A691" s="56"/>
      <c r="B691" s="48"/>
      <c r="C691" s="48"/>
      <c r="D691" s="27"/>
      <c r="E691" s="27"/>
      <c r="F691" s="48"/>
      <c r="G691" s="48"/>
      <c r="H691" s="48"/>
      <c r="I691" s="48"/>
      <c r="J691" s="48"/>
      <c r="K691" s="48"/>
      <c r="L691" s="48"/>
      <c r="M691" s="48"/>
      <c r="N691" s="48"/>
      <c r="O691" s="48"/>
      <c r="P691" s="48"/>
      <c r="Q691" s="48"/>
      <c r="R691" s="48"/>
      <c r="S691" s="48"/>
      <c r="T691" s="48"/>
      <c r="U691" s="48"/>
      <c r="V691" s="48"/>
      <c r="W691" s="48"/>
      <c r="X691" s="48"/>
    </row>
    <row r="692" ht="15.75" customHeight="1">
      <c r="A692" s="56"/>
      <c r="B692" s="48"/>
      <c r="C692" s="48"/>
      <c r="D692" s="27"/>
      <c r="E692" s="27"/>
      <c r="F692" s="48"/>
      <c r="G692" s="48"/>
      <c r="H692" s="48"/>
      <c r="I692" s="48"/>
      <c r="J692" s="48"/>
      <c r="K692" s="48"/>
      <c r="L692" s="48"/>
      <c r="M692" s="48"/>
      <c r="N692" s="48"/>
      <c r="O692" s="48"/>
      <c r="P692" s="48"/>
      <c r="Q692" s="48"/>
      <c r="R692" s="48"/>
      <c r="S692" s="48"/>
      <c r="T692" s="48"/>
      <c r="U692" s="48"/>
      <c r="V692" s="48"/>
      <c r="W692" s="48"/>
      <c r="X692" s="48"/>
    </row>
    <row r="693" ht="15.75" customHeight="1">
      <c r="A693" s="56"/>
      <c r="B693" s="48"/>
      <c r="C693" s="48"/>
      <c r="D693" s="27"/>
      <c r="E693" s="27"/>
      <c r="F693" s="48"/>
      <c r="G693" s="48"/>
      <c r="H693" s="48"/>
      <c r="I693" s="48"/>
      <c r="J693" s="48"/>
      <c r="K693" s="48"/>
      <c r="L693" s="48"/>
      <c r="M693" s="48"/>
      <c r="N693" s="48"/>
      <c r="O693" s="48"/>
      <c r="P693" s="48"/>
      <c r="Q693" s="48"/>
      <c r="R693" s="48"/>
      <c r="S693" s="48"/>
      <c r="T693" s="48"/>
      <c r="U693" s="48"/>
      <c r="V693" s="48"/>
      <c r="W693" s="48"/>
      <c r="X693" s="48"/>
    </row>
    <row r="694" ht="15.75" customHeight="1">
      <c r="A694" s="56"/>
      <c r="B694" s="48"/>
      <c r="C694" s="48"/>
      <c r="D694" s="27"/>
      <c r="E694" s="27"/>
      <c r="F694" s="48"/>
      <c r="G694" s="48"/>
      <c r="H694" s="48"/>
      <c r="I694" s="48"/>
      <c r="J694" s="48"/>
      <c r="K694" s="48"/>
      <c r="L694" s="48"/>
      <c r="M694" s="48"/>
      <c r="N694" s="48"/>
      <c r="O694" s="48"/>
      <c r="P694" s="48"/>
      <c r="Q694" s="48"/>
      <c r="R694" s="48"/>
      <c r="S694" s="48"/>
      <c r="T694" s="48"/>
      <c r="U694" s="48"/>
      <c r="V694" s="48"/>
      <c r="W694" s="48"/>
      <c r="X694" s="48"/>
    </row>
    <row r="695" ht="15.75" customHeight="1">
      <c r="A695" s="56"/>
      <c r="B695" s="48"/>
      <c r="C695" s="48"/>
      <c r="D695" s="27"/>
      <c r="E695" s="27"/>
      <c r="F695" s="48"/>
      <c r="G695" s="48"/>
      <c r="H695" s="48"/>
      <c r="I695" s="48"/>
      <c r="J695" s="48"/>
      <c r="K695" s="48"/>
      <c r="L695" s="48"/>
      <c r="M695" s="48"/>
      <c r="N695" s="48"/>
      <c r="O695" s="48"/>
      <c r="P695" s="48"/>
      <c r="Q695" s="48"/>
      <c r="R695" s="48"/>
      <c r="S695" s="48"/>
      <c r="T695" s="48"/>
      <c r="U695" s="48"/>
      <c r="V695" s="48"/>
      <c r="W695" s="48"/>
      <c r="X695" s="48"/>
    </row>
    <row r="696" ht="15.75" customHeight="1">
      <c r="A696" s="56"/>
      <c r="B696" s="48"/>
      <c r="C696" s="48"/>
      <c r="D696" s="27"/>
      <c r="E696" s="27"/>
      <c r="F696" s="48"/>
      <c r="G696" s="48"/>
      <c r="H696" s="48"/>
      <c r="I696" s="48"/>
      <c r="J696" s="48"/>
      <c r="K696" s="48"/>
      <c r="L696" s="48"/>
      <c r="M696" s="48"/>
      <c r="N696" s="48"/>
      <c r="O696" s="48"/>
      <c r="P696" s="48"/>
      <c r="Q696" s="48"/>
      <c r="R696" s="48"/>
      <c r="S696" s="48"/>
      <c r="T696" s="48"/>
      <c r="U696" s="48"/>
      <c r="V696" s="48"/>
      <c r="W696" s="48"/>
      <c r="X696" s="48"/>
    </row>
    <row r="697" ht="15.75" customHeight="1">
      <c r="A697" s="56"/>
      <c r="B697" s="48"/>
      <c r="C697" s="48"/>
      <c r="D697" s="27"/>
      <c r="E697" s="27"/>
      <c r="F697" s="48"/>
      <c r="G697" s="48"/>
      <c r="H697" s="48"/>
      <c r="I697" s="48"/>
      <c r="J697" s="48"/>
      <c r="K697" s="48"/>
      <c r="L697" s="48"/>
      <c r="M697" s="48"/>
      <c r="N697" s="48"/>
      <c r="O697" s="48"/>
      <c r="P697" s="48"/>
      <c r="Q697" s="48"/>
      <c r="R697" s="48"/>
      <c r="S697" s="48"/>
      <c r="T697" s="48"/>
      <c r="U697" s="48"/>
      <c r="V697" s="48"/>
      <c r="W697" s="48"/>
      <c r="X697" s="48"/>
    </row>
    <row r="698" ht="15.75" customHeight="1">
      <c r="A698" s="56"/>
      <c r="B698" s="48"/>
      <c r="C698" s="48"/>
      <c r="D698" s="27"/>
      <c r="E698" s="27"/>
      <c r="F698" s="48"/>
      <c r="G698" s="48"/>
      <c r="H698" s="48"/>
      <c r="I698" s="48"/>
      <c r="J698" s="48"/>
      <c r="K698" s="48"/>
      <c r="L698" s="48"/>
      <c r="M698" s="48"/>
      <c r="N698" s="48"/>
      <c r="O698" s="48"/>
      <c r="P698" s="48"/>
      <c r="Q698" s="48"/>
      <c r="R698" s="48"/>
      <c r="S698" s="48"/>
      <c r="T698" s="48"/>
      <c r="U698" s="48"/>
      <c r="V698" s="48"/>
      <c r="W698" s="48"/>
      <c r="X698" s="48"/>
    </row>
    <row r="699" ht="15.75" customHeight="1">
      <c r="A699" s="56"/>
      <c r="B699" s="48"/>
      <c r="C699" s="48"/>
      <c r="D699" s="27"/>
      <c r="E699" s="27"/>
      <c r="F699" s="48"/>
      <c r="G699" s="48"/>
      <c r="H699" s="48"/>
      <c r="I699" s="48"/>
      <c r="J699" s="48"/>
      <c r="K699" s="48"/>
      <c r="L699" s="48"/>
      <c r="M699" s="48"/>
      <c r="N699" s="48"/>
      <c r="O699" s="48"/>
      <c r="P699" s="48"/>
      <c r="Q699" s="48"/>
      <c r="R699" s="48"/>
      <c r="S699" s="48"/>
      <c r="T699" s="48"/>
      <c r="U699" s="48"/>
      <c r="V699" s="48"/>
      <c r="W699" s="48"/>
      <c r="X699" s="48"/>
    </row>
    <row r="700" ht="15.75" customHeight="1">
      <c r="A700" s="56"/>
      <c r="B700" s="48"/>
      <c r="C700" s="48"/>
      <c r="D700" s="27"/>
      <c r="E700" s="27"/>
      <c r="F700" s="48"/>
      <c r="G700" s="48"/>
      <c r="H700" s="48"/>
      <c r="I700" s="48"/>
      <c r="J700" s="48"/>
      <c r="K700" s="48"/>
      <c r="L700" s="48"/>
      <c r="M700" s="48"/>
      <c r="N700" s="48"/>
      <c r="O700" s="48"/>
      <c r="P700" s="48"/>
      <c r="Q700" s="48"/>
      <c r="R700" s="48"/>
      <c r="S700" s="48"/>
      <c r="T700" s="48"/>
      <c r="U700" s="48"/>
      <c r="V700" s="48"/>
      <c r="W700" s="48"/>
      <c r="X700" s="48"/>
    </row>
    <row r="701" ht="15.75" customHeight="1">
      <c r="A701" s="56"/>
      <c r="B701" s="48"/>
      <c r="C701" s="48"/>
      <c r="D701" s="27"/>
      <c r="E701" s="27"/>
      <c r="F701" s="48"/>
      <c r="G701" s="48"/>
      <c r="H701" s="48"/>
      <c r="I701" s="48"/>
      <c r="J701" s="48"/>
      <c r="K701" s="48"/>
      <c r="L701" s="48"/>
      <c r="M701" s="48"/>
      <c r="N701" s="48"/>
      <c r="O701" s="48"/>
      <c r="P701" s="48"/>
      <c r="Q701" s="48"/>
      <c r="R701" s="48"/>
      <c r="S701" s="48"/>
      <c r="T701" s="48"/>
      <c r="U701" s="48"/>
      <c r="V701" s="48"/>
      <c r="W701" s="48"/>
      <c r="X701" s="48"/>
    </row>
    <row r="702" ht="15.75" customHeight="1">
      <c r="A702" s="56"/>
      <c r="B702" s="48"/>
      <c r="C702" s="48"/>
      <c r="D702" s="27"/>
      <c r="E702" s="27"/>
      <c r="F702" s="48"/>
      <c r="G702" s="48"/>
      <c r="H702" s="48"/>
      <c r="I702" s="48"/>
      <c r="J702" s="48"/>
      <c r="K702" s="48"/>
      <c r="L702" s="48"/>
      <c r="M702" s="48"/>
      <c r="N702" s="48"/>
      <c r="O702" s="48"/>
      <c r="P702" s="48"/>
      <c r="Q702" s="48"/>
      <c r="R702" s="48"/>
      <c r="S702" s="48"/>
      <c r="T702" s="48"/>
      <c r="U702" s="48"/>
      <c r="V702" s="48"/>
      <c r="W702" s="48"/>
      <c r="X702" s="48"/>
    </row>
    <row r="703" ht="15.75" customHeight="1">
      <c r="A703" s="56"/>
      <c r="B703" s="48"/>
      <c r="C703" s="48"/>
      <c r="D703" s="27"/>
      <c r="E703" s="27"/>
      <c r="F703" s="48"/>
      <c r="G703" s="48"/>
      <c r="H703" s="48"/>
      <c r="I703" s="48"/>
      <c r="J703" s="48"/>
      <c r="K703" s="48"/>
      <c r="L703" s="48"/>
      <c r="M703" s="48"/>
      <c r="N703" s="48"/>
      <c r="O703" s="48"/>
      <c r="P703" s="48"/>
      <c r="Q703" s="48"/>
      <c r="R703" s="48"/>
      <c r="S703" s="48"/>
      <c r="T703" s="48"/>
      <c r="U703" s="48"/>
      <c r="V703" s="48"/>
      <c r="W703" s="48"/>
      <c r="X703" s="48"/>
    </row>
    <row r="704" ht="15.75" customHeight="1">
      <c r="A704" s="56"/>
      <c r="B704" s="48"/>
      <c r="C704" s="48"/>
      <c r="D704" s="27"/>
      <c r="E704" s="27"/>
      <c r="F704" s="48"/>
      <c r="G704" s="48"/>
      <c r="H704" s="48"/>
      <c r="I704" s="48"/>
      <c r="J704" s="48"/>
      <c r="K704" s="48"/>
      <c r="L704" s="48"/>
      <c r="M704" s="48"/>
      <c r="N704" s="48"/>
      <c r="O704" s="48"/>
      <c r="P704" s="48"/>
      <c r="Q704" s="48"/>
      <c r="R704" s="48"/>
      <c r="S704" s="48"/>
      <c r="T704" s="48"/>
      <c r="U704" s="48"/>
      <c r="V704" s="48"/>
      <c r="W704" s="48"/>
      <c r="X704" s="48"/>
    </row>
    <row r="705" ht="15.75" customHeight="1">
      <c r="A705" s="56"/>
      <c r="B705" s="48"/>
      <c r="C705" s="48"/>
      <c r="D705" s="27"/>
      <c r="E705" s="27"/>
      <c r="F705" s="48"/>
      <c r="G705" s="48"/>
      <c r="H705" s="48"/>
      <c r="I705" s="48"/>
      <c r="J705" s="48"/>
      <c r="K705" s="48"/>
      <c r="L705" s="48"/>
      <c r="M705" s="48"/>
      <c r="N705" s="48"/>
      <c r="O705" s="48"/>
      <c r="P705" s="48"/>
      <c r="Q705" s="48"/>
      <c r="R705" s="48"/>
      <c r="S705" s="48"/>
      <c r="T705" s="48"/>
      <c r="U705" s="48"/>
      <c r="V705" s="48"/>
      <c r="W705" s="48"/>
      <c r="X705" s="48"/>
    </row>
    <row r="706" ht="15.75" customHeight="1">
      <c r="A706" s="56"/>
      <c r="B706" s="48"/>
      <c r="C706" s="48"/>
      <c r="D706" s="27"/>
      <c r="E706" s="27"/>
      <c r="F706" s="48"/>
      <c r="G706" s="48"/>
      <c r="H706" s="48"/>
      <c r="I706" s="48"/>
      <c r="J706" s="48"/>
      <c r="K706" s="48"/>
      <c r="L706" s="48"/>
      <c r="M706" s="48"/>
      <c r="N706" s="48"/>
      <c r="O706" s="48"/>
      <c r="P706" s="48"/>
      <c r="Q706" s="48"/>
      <c r="R706" s="48"/>
      <c r="S706" s="48"/>
      <c r="T706" s="48"/>
      <c r="U706" s="48"/>
      <c r="V706" s="48"/>
      <c r="W706" s="48"/>
      <c r="X706" s="48"/>
    </row>
    <row r="707" ht="15.75" customHeight="1">
      <c r="A707" s="56"/>
      <c r="B707" s="48"/>
      <c r="C707" s="48"/>
      <c r="D707" s="27"/>
      <c r="E707" s="27"/>
      <c r="F707" s="48"/>
      <c r="G707" s="48"/>
      <c r="H707" s="48"/>
      <c r="I707" s="48"/>
      <c r="J707" s="48"/>
      <c r="K707" s="48"/>
      <c r="L707" s="48"/>
      <c r="M707" s="48"/>
      <c r="N707" s="48"/>
      <c r="O707" s="48"/>
      <c r="P707" s="48"/>
      <c r="Q707" s="48"/>
      <c r="R707" s="48"/>
      <c r="S707" s="48"/>
      <c r="T707" s="48"/>
      <c r="U707" s="48"/>
      <c r="V707" s="48"/>
      <c r="W707" s="48"/>
      <c r="X707" s="48"/>
    </row>
    <row r="708" ht="15.75" customHeight="1">
      <c r="A708" s="56"/>
      <c r="B708" s="48"/>
      <c r="C708" s="48"/>
      <c r="D708" s="27"/>
      <c r="E708" s="27"/>
      <c r="F708" s="48"/>
      <c r="G708" s="48"/>
      <c r="H708" s="48"/>
      <c r="I708" s="48"/>
      <c r="J708" s="48"/>
      <c r="K708" s="48"/>
      <c r="L708" s="48"/>
      <c r="M708" s="48"/>
      <c r="N708" s="48"/>
      <c r="O708" s="48"/>
      <c r="P708" s="48"/>
      <c r="Q708" s="48"/>
      <c r="R708" s="48"/>
      <c r="S708" s="48"/>
      <c r="T708" s="48"/>
      <c r="U708" s="48"/>
      <c r="V708" s="48"/>
      <c r="W708" s="48"/>
      <c r="X708" s="48"/>
    </row>
    <row r="709" ht="15.75" customHeight="1">
      <c r="A709" s="56"/>
      <c r="B709" s="48"/>
      <c r="C709" s="48"/>
      <c r="D709" s="27"/>
      <c r="E709" s="27"/>
      <c r="F709" s="48"/>
      <c r="G709" s="48"/>
      <c r="H709" s="48"/>
      <c r="I709" s="48"/>
      <c r="J709" s="48"/>
      <c r="K709" s="48"/>
      <c r="L709" s="48"/>
      <c r="M709" s="48"/>
      <c r="N709" s="48"/>
      <c r="O709" s="48"/>
      <c r="P709" s="48"/>
      <c r="Q709" s="48"/>
      <c r="R709" s="48"/>
      <c r="S709" s="48"/>
      <c r="T709" s="48"/>
      <c r="U709" s="48"/>
      <c r="V709" s="48"/>
      <c r="W709" s="48"/>
      <c r="X709" s="48"/>
    </row>
    <row r="710" ht="15.75" customHeight="1">
      <c r="A710" s="56"/>
      <c r="B710" s="48"/>
      <c r="C710" s="48"/>
      <c r="D710" s="27"/>
      <c r="E710" s="27"/>
      <c r="F710" s="48"/>
      <c r="G710" s="48"/>
      <c r="H710" s="48"/>
      <c r="I710" s="48"/>
      <c r="J710" s="48"/>
      <c r="K710" s="48"/>
      <c r="L710" s="48"/>
      <c r="M710" s="48"/>
      <c r="N710" s="48"/>
      <c r="O710" s="48"/>
      <c r="P710" s="48"/>
      <c r="Q710" s="48"/>
      <c r="R710" s="48"/>
      <c r="S710" s="48"/>
      <c r="T710" s="48"/>
      <c r="U710" s="48"/>
      <c r="V710" s="48"/>
      <c r="W710" s="48"/>
      <c r="X710" s="48"/>
    </row>
    <row r="711" ht="15.75" customHeight="1">
      <c r="A711" s="56"/>
      <c r="B711" s="48"/>
      <c r="C711" s="48"/>
      <c r="D711" s="27"/>
      <c r="E711" s="27"/>
      <c r="F711" s="48"/>
      <c r="G711" s="48"/>
      <c r="H711" s="48"/>
      <c r="I711" s="48"/>
      <c r="J711" s="48"/>
      <c r="K711" s="48"/>
      <c r="L711" s="48"/>
      <c r="M711" s="48"/>
      <c r="N711" s="48"/>
      <c r="O711" s="48"/>
      <c r="P711" s="48"/>
      <c r="Q711" s="48"/>
      <c r="R711" s="48"/>
      <c r="S711" s="48"/>
      <c r="T711" s="48"/>
      <c r="U711" s="48"/>
      <c r="V711" s="48"/>
      <c r="W711" s="48"/>
      <c r="X711" s="48"/>
    </row>
    <row r="712" ht="15.75" customHeight="1">
      <c r="A712" s="56"/>
      <c r="B712" s="48"/>
      <c r="C712" s="48"/>
      <c r="D712" s="27"/>
      <c r="E712" s="27"/>
      <c r="F712" s="48"/>
      <c r="G712" s="48"/>
      <c r="H712" s="48"/>
      <c r="I712" s="48"/>
      <c r="J712" s="48"/>
      <c r="K712" s="48"/>
      <c r="L712" s="48"/>
      <c r="M712" s="48"/>
      <c r="N712" s="48"/>
      <c r="O712" s="48"/>
      <c r="P712" s="48"/>
      <c r="Q712" s="48"/>
      <c r="R712" s="48"/>
      <c r="S712" s="48"/>
      <c r="T712" s="48"/>
      <c r="U712" s="48"/>
      <c r="V712" s="48"/>
      <c r="W712" s="48"/>
      <c r="X712" s="48"/>
    </row>
    <row r="713" ht="15.75" customHeight="1">
      <c r="A713" s="56"/>
      <c r="B713" s="48"/>
      <c r="C713" s="48"/>
      <c r="D713" s="27"/>
      <c r="E713" s="27"/>
      <c r="F713" s="48"/>
      <c r="G713" s="48"/>
      <c r="H713" s="48"/>
      <c r="I713" s="48"/>
      <c r="J713" s="48"/>
      <c r="K713" s="48"/>
      <c r="L713" s="48"/>
      <c r="M713" s="48"/>
      <c r="N713" s="48"/>
      <c r="O713" s="48"/>
      <c r="P713" s="48"/>
      <c r="Q713" s="48"/>
      <c r="R713" s="48"/>
      <c r="S713" s="48"/>
      <c r="T713" s="48"/>
      <c r="U713" s="48"/>
      <c r="V713" s="48"/>
      <c r="W713" s="48"/>
      <c r="X713" s="48"/>
    </row>
    <row r="714" ht="15.75" customHeight="1">
      <c r="A714" s="56"/>
      <c r="B714" s="48"/>
      <c r="C714" s="48"/>
      <c r="D714" s="27"/>
      <c r="E714" s="27"/>
      <c r="F714" s="48"/>
      <c r="G714" s="48"/>
      <c r="H714" s="48"/>
      <c r="I714" s="48"/>
      <c r="J714" s="48"/>
      <c r="K714" s="48"/>
      <c r="L714" s="48"/>
      <c r="M714" s="48"/>
      <c r="N714" s="48"/>
      <c r="O714" s="48"/>
      <c r="P714" s="48"/>
      <c r="Q714" s="48"/>
      <c r="R714" s="48"/>
      <c r="S714" s="48"/>
      <c r="T714" s="48"/>
      <c r="U714" s="48"/>
      <c r="V714" s="48"/>
      <c r="W714" s="48"/>
      <c r="X714" s="48"/>
    </row>
    <row r="715" ht="15.75" customHeight="1">
      <c r="A715" s="56"/>
      <c r="B715" s="48"/>
      <c r="C715" s="48"/>
      <c r="D715" s="27"/>
      <c r="E715" s="27"/>
      <c r="F715" s="48"/>
      <c r="G715" s="48"/>
      <c r="H715" s="48"/>
      <c r="I715" s="48"/>
      <c r="J715" s="48"/>
      <c r="K715" s="48"/>
      <c r="L715" s="48"/>
      <c r="M715" s="48"/>
      <c r="N715" s="48"/>
      <c r="O715" s="48"/>
      <c r="P715" s="48"/>
      <c r="Q715" s="48"/>
      <c r="R715" s="48"/>
      <c r="S715" s="48"/>
      <c r="T715" s="48"/>
      <c r="U715" s="48"/>
      <c r="V715" s="48"/>
      <c r="W715" s="48"/>
      <c r="X715" s="48"/>
    </row>
    <row r="716" ht="15.75" customHeight="1">
      <c r="A716" s="56"/>
      <c r="B716" s="48"/>
      <c r="C716" s="48"/>
      <c r="D716" s="27"/>
      <c r="E716" s="27"/>
      <c r="F716" s="48"/>
      <c r="G716" s="48"/>
      <c r="H716" s="48"/>
      <c r="I716" s="48"/>
      <c r="J716" s="48"/>
      <c r="K716" s="48"/>
      <c r="L716" s="48"/>
      <c r="M716" s="48"/>
      <c r="N716" s="48"/>
      <c r="O716" s="48"/>
      <c r="P716" s="48"/>
      <c r="Q716" s="48"/>
      <c r="R716" s="48"/>
      <c r="S716" s="48"/>
      <c r="T716" s="48"/>
      <c r="U716" s="48"/>
      <c r="V716" s="48"/>
      <c r="W716" s="48"/>
      <c r="X716" s="48"/>
    </row>
    <row r="717" ht="15.75" customHeight="1">
      <c r="A717" s="56"/>
      <c r="B717" s="48"/>
      <c r="C717" s="48"/>
      <c r="D717" s="27"/>
      <c r="E717" s="27"/>
      <c r="F717" s="48"/>
      <c r="G717" s="48"/>
      <c r="H717" s="48"/>
      <c r="I717" s="48"/>
      <c r="J717" s="48"/>
      <c r="K717" s="48"/>
      <c r="L717" s="48"/>
      <c r="M717" s="48"/>
      <c r="N717" s="48"/>
      <c r="O717" s="48"/>
      <c r="P717" s="48"/>
      <c r="Q717" s="48"/>
      <c r="R717" s="48"/>
      <c r="S717" s="48"/>
      <c r="T717" s="48"/>
      <c r="U717" s="48"/>
      <c r="V717" s="48"/>
      <c r="W717" s="48"/>
      <c r="X717" s="48"/>
    </row>
    <row r="718" ht="15.75" customHeight="1">
      <c r="A718" s="56"/>
      <c r="B718" s="48"/>
      <c r="C718" s="48"/>
      <c r="D718" s="27"/>
      <c r="E718" s="27"/>
      <c r="F718" s="48"/>
      <c r="G718" s="48"/>
      <c r="H718" s="48"/>
      <c r="I718" s="48"/>
      <c r="J718" s="48"/>
      <c r="K718" s="48"/>
      <c r="L718" s="48"/>
      <c r="M718" s="48"/>
      <c r="N718" s="48"/>
      <c r="O718" s="48"/>
      <c r="P718" s="48"/>
      <c r="Q718" s="48"/>
      <c r="R718" s="48"/>
      <c r="S718" s="48"/>
      <c r="T718" s="48"/>
      <c r="U718" s="48"/>
      <c r="V718" s="48"/>
      <c r="W718" s="48"/>
      <c r="X718" s="48"/>
    </row>
    <row r="719" ht="15.75" customHeight="1">
      <c r="A719" s="56"/>
      <c r="B719" s="48"/>
      <c r="C719" s="48"/>
      <c r="D719" s="27"/>
      <c r="E719" s="27"/>
      <c r="F719" s="48"/>
      <c r="G719" s="48"/>
      <c r="H719" s="48"/>
      <c r="I719" s="48"/>
      <c r="J719" s="48"/>
      <c r="K719" s="48"/>
      <c r="L719" s="48"/>
      <c r="M719" s="48"/>
      <c r="N719" s="48"/>
      <c r="O719" s="48"/>
      <c r="P719" s="48"/>
      <c r="Q719" s="48"/>
      <c r="R719" s="48"/>
      <c r="S719" s="48"/>
      <c r="T719" s="48"/>
      <c r="U719" s="48"/>
      <c r="V719" s="48"/>
      <c r="W719" s="48"/>
      <c r="X719" s="48"/>
    </row>
    <row r="720" ht="15.75" customHeight="1">
      <c r="A720" s="56"/>
      <c r="B720" s="48"/>
      <c r="C720" s="48"/>
      <c r="D720" s="27"/>
      <c r="E720" s="27"/>
      <c r="F720" s="48"/>
      <c r="G720" s="48"/>
      <c r="H720" s="48"/>
      <c r="I720" s="48"/>
      <c r="J720" s="48"/>
      <c r="K720" s="48"/>
      <c r="L720" s="48"/>
      <c r="M720" s="48"/>
      <c r="N720" s="48"/>
      <c r="O720" s="48"/>
      <c r="P720" s="48"/>
      <c r="Q720" s="48"/>
      <c r="R720" s="48"/>
      <c r="S720" s="48"/>
      <c r="T720" s="48"/>
      <c r="U720" s="48"/>
      <c r="V720" s="48"/>
      <c r="W720" s="48"/>
      <c r="X720" s="48"/>
    </row>
    <row r="721" ht="15.75" customHeight="1">
      <c r="A721" s="56"/>
      <c r="B721" s="48"/>
      <c r="C721" s="48"/>
      <c r="D721" s="27"/>
      <c r="E721" s="27"/>
      <c r="F721" s="48"/>
      <c r="G721" s="48"/>
      <c r="H721" s="48"/>
      <c r="I721" s="48"/>
      <c r="J721" s="48"/>
      <c r="K721" s="48"/>
      <c r="L721" s="48"/>
      <c r="M721" s="48"/>
      <c r="N721" s="48"/>
      <c r="O721" s="48"/>
      <c r="P721" s="48"/>
      <c r="Q721" s="48"/>
      <c r="R721" s="48"/>
      <c r="S721" s="48"/>
      <c r="T721" s="48"/>
      <c r="U721" s="48"/>
      <c r="V721" s="48"/>
      <c r="W721" s="48"/>
      <c r="X721" s="48"/>
    </row>
    <row r="722" ht="15.75" customHeight="1">
      <c r="A722" s="56"/>
      <c r="B722" s="48"/>
      <c r="C722" s="48"/>
      <c r="D722" s="27"/>
      <c r="E722" s="27"/>
      <c r="F722" s="48"/>
      <c r="G722" s="48"/>
      <c r="H722" s="48"/>
      <c r="I722" s="48"/>
      <c r="J722" s="48"/>
      <c r="K722" s="48"/>
      <c r="L722" s="48"/>
      <c r="M722" s="48"/>
      <c r="N722" s="48"/>
      <c r="O722" s="48"/>
      <c r="P722" s="48"/>
      <c r="Q722" s="48"/>
      <c r="R722" s="48"/>
      <c r="S722" s="48"/>
      <c r="T722" s="48"/>
      <c r="U722" s="48"/>
      <c r="V722" s="48"/>
      <c r="W722" s="48"/>
      <c r="X722" s="48"/>
    </row>
    <row r="723" ht="15.75" customHeight="1">
      <c r="A723" s="56"/>
      <c r="B723" s="48"/>
      <c r="C723" s="48"/>
      <c r="D723" s="27"/>
      <c r="E723" s="27"/>
      <c r="F723" s="48"/>
      <c r="G723" s="48"/>
      <c r="H723" s="48"/>
      <c r="I723" s="48"/>
      <c r="J723" s="48"/>
      <c r="K723" s="48"/>
      <c r="L723" s="48"/>
      <c r="M723" s="48"/>
      <c r="N723" s="48"/>
      <c r="O723" s="48"/>
      <c r="P723" s="48"/>
      <c r="Q723" s="48"/>
      <c r="R723" s="48"/>
      <c r="S723" s="48"/>
      <c r="T723" s="48"/>
      <c r="U723" s="48"/>
      <c r="V723" s="48"/>
      <c r="W723" s="48"/>
      <c r="X723" s="48"/>
    </row>
    <row r="724" ht="15.75" customHeight="1">
      <c r="A724" s="56"/>
      <c r="B724" s="48"/>
      <c r="C724" s="48"/>
      <c r="D724" s="27"/>
      <c r="E724" s="27"/>
      <c r="F724" s="48"/>
      <c r="G724" s="48"/>
      <c r="H724" s="48"/>
      <c r="I724" s="48"/>
      <c r="J724" s="48"/>
      <c r="K724" s="48"/>
      <c r="L724" s="48"/>
      <c r="M724" s="48"/>
      <c r="N724" s="48"/>
      <c r="O724" s="48"/>
      <c r="P724" s="48"/>
      <c r="Q724" s="48"/>
      <c r="R724" s="48"/>
      <c r="S724" s="48"/>
      <c r="T724" s="48"/>
      <c r="U724" s="48"/>
      <c r="V724" s="48"/>
      <c r="W724" s="48"/>
      <c r="X724" s="48"/>
    </row>
    <row r="725" ht="15.75" customHeight="1">
      <c r="A725" s="56"/>
      <c r="B725" s="48"/>
      <c r="C725" s="48"/>
      <c r="D725" s="27"/>
      <c r="E725" s="27"/>
      <c r="F725" s="48"/>
      <c r="G725" s="48"/>
      <c r="H725" s="48"/>
      <c r="I725" s="48"/>
      <c r="J725" s="48"/>
      <c r="K725" s="48"/>
      <c r="L725" s="48"/>
      <c r="M725" s="48"/>
      <c r="N725" s="48"/>
      <c r="O725" s="48"/>
      <c r="P725" s="48"/>
      <c r="Q725" s="48"/>
      <c r="R725" s="48"/>
      <c r="S725" s="48"/>
      <c r="T725" s="48"/>
      <c r="U725" s="48"/>
      <c r="V725" s="48"/>
      <c r="W725" s="48"/>
      <c r="X725" s="48"/>
    </row>
    <row r="726" ht="15.75" customHeight="1">
      <c r="A726" s="56"/>
      <c r="B726" s="48"/>
      <c r="C726" s="48"/>
      <c r="D726" s="27"/>
      <c r="E726" s="27"/>
      <c r="F726" s="48"/>
      <c r="G726" s="48"/>
      <c r="H726" s="48"/>
      <c r="I726" s="48"/>
      <c r="J726" s="48"/>
      <c r="K726" s="48"/>
      <c r="L726" s="48"/>
      <c r="M726" s="48"/>
      <c r="N726" s="48"/>
      <c r="O726" s="48"/>
      <c r="P726" s="48"/>
      <c r="Q726" s="48"/>
      <c r="R726" s="48"/>
      <c r="S726" s="48"/>
      <c r="T726" s="48"/>
      <c r="U726" s="48"/>
      <c r="V726" s="48"/>
      <c r="W726" s="48"/>
      <c r="X726" s="48"/>
    </row>
    <row r="727" ht="15.75" customHeight="1">
      <c r="A727" s="56"/>
      <c r="B727" s="48"/>
      <c r="C727" s="48"/>
      <c r="D727" s="27"/>
      <c r="E727" s="27"/>
      <c r="F727" s="48"/>
      <c r="G727" s="48"/>
      <c r="H727" s="48"/>
      <c r="I727" s="48"/>
      <c r="J727" s="48"/>
      <c r="K727" s="48"/>
      <c r="L727" s="48"/>
      <c r="M727" s="48"/>
      <c r="N727" s="48"/>
      <c r="O727" s="48"/>
      <c r="P727" s="48"/>
      <c r="Q727" s="48"/>
      <c r="R727" s="48"/>
      <c r="S727" s="48"/>
      <c r="T727" s="48"/>
      <c r="U727" s="48"/>
      <c r="V727" s="48"/>
      <c r="W727" s="48"/>
      <c r="X727" s="48"/>
    </row>
    <row r="728" ht="15.75" customHeight="1">
      <c r="A728" s="56"/>
      <c r="B728" s="48"/>
      <c r="C728" s="48"/>
      <c r="D728" s="27"/>
      <c r="E728" s="27"/>
      <c r="F728" s="48"/>
      <c r="G728" s="48"/>
      <c r="H728" s="48"/>
      <c r="I728" s="48"/>
      <c r="J728" s="48"/>
      <c r="K728" s="48"/>
      <c r="L728" s="48"/>
      <c r="M728" s="48"/>
      <c r="N728" s="48"/>
      <c r="O728" s="48"/>
      <c r="P728" s="48"/>
      <c r="Q728" s="48"/>
      <c r="R728" s="48"/>
      <c r="S728" s="48"/>
      <c r="T728" s="48"/>
      <c r="U728" s="48"/>
      <c r="V728" s="48"/>
      <c r="W728" s="48"/>
      <c r="X728" s="48"/>
    </row>
    <row r="729" ht="15.75" customHeight="1">
      <c r="A729" s="56"/>
      <c r="B729" s="48"/>
      <c r="C729" s="48"/>
      <c r="D729" s="27"/>
      <c r="E729" s="27"/>
      <c r="F729" s="48"/>
      <c r="G729" s="48"/>
      <c r="H729" s="48"/>
      <c r="I729" s="48"/>
      <c r="J729" s="48"/>
      <c r="K729" s="48"/>
      <c r="L729" s="48"/>
      <c r="M729" s="48"/>
      <c r="N729" s="48"/>
      <c r="O729" s="48"/>
      <c r="P729" s="48"/>
      <c r="Q729" s="48"/>
      <c r="R729" s="48"/>
      <c r="S729" s="48"/>
      <c r="T729" s="48"/>
      <c r="U729" s="48"/>
      <c r="V729" s="48"/>
      <c r="W729" s="48"/>
      <c r="X729" s="48"/>
    </row>
    <row r="730" ht="15.75" customHeight="1">
      <c r="A730" s="56"/>
      <c r="B730" s="48"/>
      <c r="C730" s="48"/>
      <c r="D730" s="27"/>
      <c r="E730" s="27"/>
      <c r="F730" s="48"/>
      <c r="G730" s="48"/>
      <c r="H730" s="48"/>
      <c r="I730" s="48"/>
      <c r="J730" s="48"/>
      <c r="K730" s="48"/>
      <c r="L730" s="48"/>
      <c r="M730" s="48"/>
      <c r="N730" s="48"/>
      <c r="O730" s="48"/>
      <c r="P730" s="48"/>
      <c r="Q730" s="48"/>
      <c r="R730" s="48"/>
      <c r="S730" s="48"/>
      <c r="T730" s="48"/>
      <c r="U730" s="48"/>
      <c r="V730" s="48"/>
      <c r="W730" s="48"/>
      <c r="X730" s="48"/>
    </row>
    <row r="731" ht="15.75" customHeight="1">
      <c r="A731" s="56"/>
      <c r="B731" s="48"/>
      <c r="C731" s="48"/>
      <c r="D731" s="27"/>
      <c r="E731" s="27"/>
      <c r="F731" s="48"/>
      <c r="G731" s="48"/>
      <c r="H731" s="48"/>
      <c r="I731" s="48"/>
      <c r="J731" s="48"/>
      <c r="K731" s="48"/>
      <c r="L731" s="48"/>
      <c r="M731" s="48"/>
      <c r="N731" s="48"/>
      <c r="O731" s="48"/>
      <c r="P731" s="48"/>
      <c r="Q731" s="48"/>
      <c r="R731" s="48"/>
      <c r="S731" s="48"/>
      <c r="T731" s="48"/>
      <c r="U731" s="48"/>
      <c r="V731" s="48"/>
      <c r="W731" s="48"/>
      <c r="X731" s="48"/>
    </row>
    <row r="732" ht="15.75" customHeight="1">
      <c r="A732" s="56"/>
      <c r="B732" s="48"/>
      <c r="C732" s="48"/>
      <c r="D732" s="27"/>
      <c r="E732" s="27"/>
      <c r="F732" s="48"/>
      <c r="G732" s="48"/>
      <c r="H732" s="48"/>
      <c r="I732" s="48"/>
      <c r="J732" s="48"/>
      <c r="K732" s="48"/>
      <c r="L732" s="48"/>
      <c r="M732" s="48"/>
      <c r="N732" s="48"/>
      <c r="O732" s="48"/>
      <c r="P732" s="48"/>
      <c r="Q732" s="48"/>
      <c r="R732" s="48"/>
      <c r="S732" s="48"/>
      <c r="T732" s="48"/>
      <c r="U732" s="48"/>
      <c r="V732" s="48"/>
      <c r="W732" s="48"/>
      <c r="X732" s="48"/>
    </row>
    <row r="733" ht="15.75" customHeight="1">
      <c r="A733" s="56"/>
      <c r="B733" s="48"/>
      <c r="C733" s="48"/>
      <c r="D733" s="27"/>
      <c r="E733" s="27"/>
      <c r="F733" s="48"/>
      <c r="G733" s="48"/>
      <c r="H733" s="48"/>
      <c r="I733" s="48"/>
      <c r="J733" s="48"/>
      <c r="K733" s="48"/>
      <c r="L733" s="48"/>
      <c r="M733" s="48"/>
      <c r="N733" s="48"/>
      <c r="O733" s="48"/>
      <c r="P733" s="48"/>
      <c r="Q733" s="48"/>
      <c r="R733" s="48"/>
      <c r="S733" s="48"/>
      <c r="T733" s="48"/>
      <c r="U733" s="48"/>
      <c r="V733" s="48"/>
      <c r="W733" s="48"/>
      <c r="X733" s="48"/>
    </row>
    <row r="734" ht="15.75" customHeight="1">
      <c r="A734" s="56"/>
      <c r="B734" s="48"/>
      <c r="C734" s="48"/>
      <c r="D734" s="27"/>
      <c r="E734" s="27"/>
      <c r="F734" s="48"/>
      <c r="G734" s="48"/>
      <c r="H734" s="48"/>
      <c r="I734" s="48"/>
      <c r="J734" s="48"/>
      <c r="K734" s="48"/>
      <c r="L734" s="48"/>
      <c r="M734" s="48"/>
      <c r="N734" s="48"/>
      <c r="O734" s="48"/>
      <c r="P734" s="48"/>
      <c r="Q734" s="48"/>
      <c r="R734" s="48"/>
      <c r="S734" s="48"/>
      <c r="T734" s="48"/>
      <c r="U734" s="48"/>
      <c r="V734" s="48"/>
      <c r="W734" s="48"/>
      <c r="X734" s="48"/>
    </row>
    <row r="735" ht="15.75" customHeight="1">
      <c r="A735" s="56"/>
      <c r="B735" s="48"/>
      <c r="C735" s="48"/>
      <c r="D735" s="27"/>
      <c r="E735" s="27"/>
      <c r="F735" s="48"/>
      <c r="G735" s="48"/>
      <c r="H735" s="48"/>
      <c r="I735" s="48"/>
      <c r="J735" s="48"/>
      <c r="K735" s="48"/>
      <c r="L735" s="48"/>
      <c r="M735" s="48"/>
      <c r="N735" s="48"/>
      <c r="O735" s="48"/>
      <c r="P735" s="48"/>
      <c r="Q735" s="48"/>
      <c r="R735" s="48"/>
      <c r="S735" s="48"/>
      <c r="T735" s="48"/>
      <c r="U735" s="48"/>
      <c r="V735" s="48"/>
      <c r="W735" s="48"/>
      <c r="X735" s="48"/>
    </row>
    <row r="736" ht="15.75" customHeight="1">
      <c r="A736" s="56"/>
      <c r="B736" s="48"/>
      <c r="C736" s="48"/>
      <c r="D736" s="27"/>
      <c r="E736" s="27"/>
      <c r="F736" s="48"/>
      <c r="G736" s="48"/>
      <c r="H736" s="48"/>
      <c r="I736" s="48"/>
      <c r="J736" s="48"/>
      <c r="K736" s="48"/>
      <c r="L736" s="48"/>
      <c r="M736" s="48"/>
      <c r="N736" s="48"/>
      <c r="O736" s="48"/>
      <c r="P736" s="48"/>
      <c r="Q736" s="48"/>
      <c r="R736" s="48"/>
      <c r="S736" s="48"/>
      <c r="T736" s="48"/>
      <c r="U736" s="48"/>
      <c r="V736" s="48"/>
      <c r="W736" s="48"/>
      <c r="X736" s="48"/>
    </row>
    <row r="737" ht="15.75" customHeight="1">
      <c r="A737" s="56"/>
      <c r="B737" s="48"/>
      <c r="C737" s="48"/>
      <c r="D737" s="27"/>
      <c r="E737" s="27"/>
      <c r="F737" s="48"/>
      <c r="G737" s="48"/>
      <c r="H737" s="48"/>
      <c r="I737" s="48"/>
      <c r="J737" s="48"/>
      <c r="K737" s="48"/>
      <c r="L737" s="48"/>
      <c r="M737" s="48"/>
      <c r="N737" s="48"/>
      <c r="O737" s="48"/>
      <c r="P737" s="48"/>
      <c r="Q737" s="48"/>
      <c r="R737" s="48"/>
      <c r="S737" s="48"/>
      <c r="T737" s="48"/>
      <c r="U737" s="48"/>
      <c r="V737" s="48"/>
      <c r="W737" s="48"/>
      <c r="X737" s="48"/>
    </row>
    <row r="738" ht="15.75" customHeight="1">
      <c r="A738" s="56"/>
      <c r="B738" s="48"/>
      <c r="C738" s="48"/>
      <c r="D738" s="27"/>
      <c r="E738" s="27"/>
      <c r="F738" s="48"/>
      <c r="G738" s="48"/>
      <c r="H738" s="48"/>
      <c r="I738" s="48"/>
      <c r="J738" s="48"/>
      <c r="K738" s="48"/>
      <c r="L738" s="48"/>
      <c r="M738" s="48"/>
      <c r="N738" s="48"/>
      <c r="O738" s="48"/>
      <c r="P738" s="48"/>
      <c r="Q738" s="48"/>
      <c r="R738" s="48"/>
      <c r="S738" s="48"/>
      <c r="T738" s="48"/>
      <c r="U738" s="48"/>
      <c r="V738" s="48"/>
      <c r="W738" s="48"/>
      <c r="X738" s="48"/>
    </row>
    <row r="739" ht="15.75" customHeight="1">
      <c r="A739" s="56"/>
      <c r="B739" s="48"/>
      <c r="C739" s="48"/>
      <c r="D739" s="27"/>
      <c r="E739" s="27"/>
      <c r="F739" s="48"/>
      <c r="G739" s="48"/>
      <c r="H739" s="48"/>
      <c r="I739" s="48"/>
      <c r="J739" s="48"/>
      <c r="K739" s="48"/>
      <c r="L739" s="48"/>
      <c r="M739" s="48"/>
      <c r="N739" s="48"/>
      <c r="O739" s="48"/>
      <c r="P739" s="48"/>
      <c r="Q739" s="48"/>
      <c r="R739" s="48"/>
      <c r="S739" s="48"/>
      <c r="T739" s="48"/>
      <c r="U739" s="48"/>
      <c r="V739" s="48"/>
      <c r="W739" s="48"/>
      <c r="X739" s="48"/>
    </row>
    <row r="740" ht="15.75" customHeight="1">
      <c r="A740" s="56"/>
      <c r="B740" s="48"/>
      <c r="C740" s="48"/>
      <c r="D740" s="27"/>
      <c r="E740" s="27"/>
      <c r="F740" s="48"/>
      <c r="G740" s="48"/>
      <c r="H740" s="48"/>
      <c r="I740" s="48"/>
      <c r="J740" s="48"/>
      <c r="K740" s="48"/>
      <c r="L740" s="48"/>
      <c r="M740" s="48"/>
      <c r="N740" s="48"/>
      <c r="O740" s="48"/>
      <c r="P740" s="48"/>
      <c r="Q740" s="48"/>
      <c r="R740" s="48"/>
      <c r="S740" s="48"/>
      <c r="T740" s="48"/>
      <c r="U740" s="48"/>
      <c r="V740" s="48"/>
      <c r="W740" s="48"/>
      <c r="X740" s="48"/>
    </row>
    <row r="741" ht="15.75" customHeight="1">
      <c r="A741" s="56"/>
      <c r="B741" s="48"/>
      <c r="C741" s="48"/>
      <c r="D741" s="27"/>
      <c r="E741" s="27"/>
      <c r="F741" s="48"/>
      <c r="G741" s="48"/>
      <c r="H741" s="48"/>
      <c r="I741" s="48"/>
      <c r="J741" s="48"/>
      <c r="K741" s="48"/>
      <c r="L741" s="48"/>
      <c r="M741" s="48"/>
      <c r="N741" s="48"/>
      <c r="O741" s="48"/>
      <c r="P741" s="48"/>
      <c r="Q741" s="48"/>
      <c r="R741" s="48"/>
      <c r="S741" s="48"/>
      <c r="T741" s="48"/>
      <c r="U741" s="48"/>
      <c r="V741" s="48"/>
      <c r="W741" s="48"/>
      <c r="X741" s="48"/>
    </row>
    <row r="742" ht="15.75" customHeight="1">
      <c r="A742" s="56"/>
      <c r="B742" s="48"/>
      <c r="C742" s="48"/>
      <c r="D742" s="27"/>
      <c r="E742" s="27"/>
      <c r="F742" s="48"/>
      <c r="G742" s="48"/>
      <c r="H742" s="48"/>
      <c r="I742" s="48"/>
      <c r="J742" s="48"/>
      <c r="K742" s="48"/>
      <c r="L742" s="48"/>
      <c r="M742" s="48"/>
      <c r="N742" s="48"/>
      <c r="O742" s="48"/>
      <c r="P742" s="48"/>
      <c r="Q742" s="48"/>
      <c r="R742" s="48"/>
      <c r="S742" s="48"/>
      <c r="T742" s="48"/>
      <c r="U742" s="48"/>
      <c r="V742" s="48"/>
      <c r="W742" s="48"/>
      <c r="X742" s="48"/>
    </row>
    <row r="743" ht="15.75" customHeight="1">
      <c r="A743" s="56"/>
      <c r="B743" s="48"/>
      <c r="C743" s="48"/>
      <c r="D743" s="27"/>
      <c r="E743" s="27"/>
      <c r="F743" s="48"/>
      <c r="G743" s="48"/>
      <c r="H743" s="48"/>
      <c r="I743" s="48"/>
      <c r="J743" s="48"/>
      <c r="K743" s="48"/>
      <c r="L743" s="48"/>
      <c r="M743" s="48"/>
      <c r="N743" s="48"/>
      <c r="O743" s="48"/>
      <c r="P743" s="48"/>
      <c r="Q743" s="48"/>
      <c r="R743" s="48"/>
      <c r="S743" s="48"/>
      <c r="T743" s="48"/>
      <c r="U743" s="48"/>
      <c r="V743" s="48"/>
      <c r="W743" s="48"/>
      <c r="X743" s="48"/>
    </row>
    <row r="744" ht="15.75" customHeight="1">
      <c r="A744" s="56"/>
      <c r="B744" s="48"/>
      <c r="C744" s="48"/>
      <c r="D744" s="27"/>
      <c r="E744" s="27"/>
      <c r="F744" s="48"/>
      <c r="G744" s="48"/>
      <c r="H744" s="48"/>
      <c r="I744" s="48"/>
      <c r="J744" s="48"/>
      <c r="K744" s="48"/>
      <c r="L744" s="48"/>
      <c r="M744" s="48"/>
      <c r="N744" s="48"/>
      <c r="O744" s="48"/>
      <c r="P744" s="48"/>
      <c r="Q744" s="48"/>
      <c r="R744" s="48"/>
      <c r="S744" s="48"/>
      <c r="T744" s="48"/>
      <c r="U744" s="48"/>
      <c r="V744" s="48"/>
      <c r="W744" s="48"/>
      <c r="X744" s="48"/>
    </row>
    <row r="745" ht="15.75" customHeight="1">
      <c r="A745" s="56"/>
      <c r="B745" s="48"/>
      <c r="C745" s="48"/>
      <c r="D745" s="27"/>
      <c r="E745" s="27"/>
      <c r="F745" s="48"/>
      <c r="G745" s="48"/>
      <c r="H745" s="48"/>
      <c r="I745" s="48"/>
      <c r="J745" s="48"/>
      <c r="K745" s="48"/>
      <c r="L745" s="48"/>
      <c r="M745" s="48"/>
      <c r="N745" s="48"/>
      <c r="O745" s="48"/>
      <c r="P745" s="48"/>
      <c r="Q745" s="48"/>
      <c r="R745" s="48"/>
      <c r="S745" s="48"/>
      <c r="T745" s="48"/>
      <c r="U745" s="48"/>
      <c r="V745" s="48"/>
      <c r="W745" s="48"/>
      <c r="X745" s="48"/>
    </row>
    <row r="746" ht="15.75" customHeight="1">
      <c r="A746" s="56"/>
      <c r="B746" s="48"/>
      <c r="C746" s="48"/>
      <c r="D746" s="27"/>
      <c r="E746" s="27"/>
      <c r="F746" s="48"/>
      <c r="G746" s="48"/>
      <c r="H746" s="48"/>
      <c r="I746" s="48"/>
      <c r="J746" s="48"/>
      <c r="K746" s="48"/>
      <c r="L746" s="48"/>
      <c r="M746" s="48"/>
      <c r="N746" s="48"/>
      <c r="O746" s="48"/>
      <c r="P746" s="48"/>
      <c r="Q746" s="48"/>
      <c r="R746" s="48"/>
      <c r="S746" s="48"/>
      <c r="T746" s="48"/>
      <c r="U746" s="48"/>
      <c r="V746" s="48"/>
      <c r="W746" s="48"/>
      <c r="X746" s="48"/>
    </row>
    <row r="747" ht="15.75" customHeight="1">
      <c r="A747" s="56"/>
      <c r="B747" s="48"/>
      <c r="C747" s="48"/>
      <c r="D747" s="27"/>
      <c r="E747" s="27"/>
      <c r="F747" s="48"/>
      <c r="G747" s="48"/>
      <c r="H747" s="48"/>
      <c r="I747" s="48"/>
      <c r="J747" s="48"/>
      <c r="K747" s="48"/>
      <c r="L747" s="48"/>
      <c r="M747" s="48"/>
      <c r="N747" s="48"/>
      <c r="O747" s="48"/>
      <c r="P747" s="48"/>
      <c r="Q747" s="48"/>
      <c r="R747" s="48"/>
      <c r="S747" s="48"/>
      <c r="T747" s="48"/>
      <c r="U747" s="48"/>
      <c r="V747" s="48"/>
      <c r="W747" s="48"/>
      <c r="X747" s="48"/>
    </row>
    <row r="748" ht="15.75" customHeight="1">
      <c r="A748" s="56"/>
      <c r="B748" s="48"/>
      <c r="C748" s="48"/>
      <c r="D748" s="27"/>
      <c r="E748" s="27"/>
      <c r="F748" s="48"/>
      <c r="G748" s="48"/>
      <c r="H748" s="48"/>
      <c r="I748" s="48"/>
      <c r="J748" s="48"/>
      <c r="K748" s="48"/>
      <c r="L748" s="48"/>
      <c r="M748" s="48"/>
      <c r="N748" s="48"/>
      <c r="O748" s="48"/>
      <c r="P748" s="48"/>
      <c r="Q748" s="48"/>
      <c r="R748" s="48"/>
      <c r="S748" s="48"/>
      <c r="T748" s="48"/>
      <c r="U748" s="48"/>
      <c r="V748" s="48"/>
      <c r="W748" s="48"/>
      <c r="X748" s="48"/>
    </row>
    <row r="749" ht="15.75" customHeight="1">
      <c r="A749" s="56"/>
      <c r="B749" s="48"/>
      <c r="C749" s="48"/>
      <c r="D749" s="27"/>
      <c r="E749" s="27"/>
      <c r="F749" s="48"/>
      <c r="G749" s="48"/>
      <c r="H749" s="48"/>
      <c r="I749" s="48"/>
      <c r="J749" s="48"/>
      <c r="K749" s="48"/>
      <c r="L749" s="48"/>
      <c r="M749" s="48"/>
      <c r="N749" s="48"/>
      <c r="O749" s="48"/>
      <c r="P749" s="48"/>
      <c r="Q749" s="48"/>
      <c r="R749" s="48"/>
      <c r="S749" s="48"/>
      <c r="T749" s="48"/>
      <c r="U749" s="48"/>
      <c r="V749" s="48"/>
      <c r="W749" s="48"/>
      <c r="X749" s="48"/>
    </row>
    <row r="750" ht="15.75" customHeight="1">
      <c r="A750" s="56"/>
      <c r="B750" s="48"/>
      <c r="C750" s="48"/>
      <c r="D750" s="27"/>
      <c r="E750" s="27"/>
      <c r="F750" s="48"/>
      <c r="G750" s="48"/>
      <c r="H750" s="48"/>
      <c r="I750" s="48"/>
      <c r="J750" s="48"/>
      <c r="K750" s="48"/>
      <c r="L750" s="48"/>
      <c r="M750" s="48"/>
      <c r="N750" s="48"/>
      <c r="O750" s="48"/>
      <c r="P750" s="48"/>
      <c r="Q750" s="48"/>
      <c r="R750" s="48"/>
      <c r="S750" s="48"/>
      <c r="T750" s="48"/>
      <c r="U750" s="48"/>
      <c r="V750" s="48"/>
      <c r="W750" s="48"/>
      <c r="X750" s="48"/>
    </row>
    <row r="751" ht="15.75" customHeight="1">
      <c r="A751" s="56"/>
      <c r="B751" s="48"/>
      <c r="C751" s="48"/>
      <c r="D751" s="27"/>
      <c r="E751" s="27"/>
      <c r="F751" s="48"/>
      <c r="G751" s="48"/>
      <c r="H751" s="48"/>
      <c r="I751" s="48"/>
      <c r="J751" s="48"/>
      <c r="K751" s="48"/>
      <c r="L751" s="48"/>
      <c r="M751" s="48"/>
      <c r="N751" s="48"/>
      <c r="O751" s="48"/>
      <c r="P751" s="48"/>
      <c r="Q751" s="48"/>
      <c r="R751" s="48"/>
      <c r="S751" s="48"/>
      <c r="T751" s="48"/>
      <c r="U751" s="48"/>
      <c r="V751" s="48"/>
      <c r="W751" s="48"/>
      <c r="X751" s="48"/>
    </row>
    <row r="752" ht="15.75" customHeight="1">
      <c r="A752" s="56"/>
      <c r="B752" s="48"/>
      <c r="C752" s="48"/>
      <c r="D752" s="27"/>
      <c r="E752" s="27"/>
      <c r="F752" s="48"/>
      <c r="G752" s="48"/>
      <c r="H752" s="48"/>
      <c r="I752" s="48"/>
      <c r="J752" s="48"/>
      <c r="K752" s="48"/>
      <c r="L752" s="48"/>
      <c r="M752" s="48"/>
      <c r="N752" s="48"/>
      <c r="O752" s="48"/>
      <c r="P752" s="48"/>
      <c r="Q752" s="48"/>
      <c r="R752" s="48"/>
      <c r="S752" s="48"/>
      <c r="T752" s="48"/>
      <c r="U752" s="48"/>
      <c r="V752" s="48"/>
      <c r="W752" s="48"/>
      <c r="X752" s="48"/>
    </row>
    <row r="753" ht="15.75" customHeight="1">
      <c r="A753" s="56"/>
      <c r="B753" s="48"/>
      <c r="C753" s="48"/>
      <c r="D753" s="27"/>
      <c r="E753" s="27"/>
      <c r="F753" s="48"/>
      <c r="G753" s="48"/>
      <c r="H753" s="48"/>
      <c r="I753" s="48"/>
      <c r="J753" s="48"/>
      <c r="K753" s="48"/>
      <c r="L753" s="48"/>
      <c r="M753" s="48"/>
      <c r="N753" s="48"/>
      <c r="O753" s="48"/>
      <c r="P753" s="48"/>
      <c r="Q753" s="48"/>
      <c r="R753" s="48"/>
      <c r="S753" s="48"/>
      <c r="T753" s="48"/>
      <c r="U753" s="48"/>
      <c r="V753" s="48"/>
      <c r="W753" s="48"/>
      <c r="X753" s="48"/>
    </row>
    <row r="754" ht="15.75" customHeight="1">
      <c r="A754" s="56"/>
      <c r="B754" s="48"/>
      <c r="C754" s="48"/>
      <c r="D754" s="27"/>
      <c r="E754" s="27"/>
      <c r="F754" s="48"/>
      <c r="G754" s="48"/>
      <c r="H754" s="48"/>
      <c r="I754" s="48"/>
      <c r="J754" s="48"/>
      <c r="K754" s="48"/>
      <c r="L754" s="48"/>
      <c r="M754" s="48"/>
      <c r="N754" s="48"/>
      <c r="O754" s="48"/>
      <c r="P754" s="48"/>
      <c r="Q754" s="48"/>
      <c r="R754" s="48"/>
      <c r="S754" s="48"/>
      <c r="T754" s="48"/>
      <c r="U754" s="48"/>
      <c r="V754" s="48"/>
      <c r="W754" s="48"/>
      <c r="X754" s="48"/>
    </row>
    <row r="755" ht="15.75" customHeight="1">
      <c r="A755" s="56"/>
      <c r="B755" s="48"/>
      <c r="C755" s="48"/>
      <c r="D755" s="27"/>
      <c r="E755" s="27"/>
      <c r="F755" s="48"/>
      <c r="G755" s="48"/>
      <c r="H755" s="48"/>
      <c r="I755" s="48"/>
      <c r="J755" s="48"/>
      <c r="K755" s="48"/>
      <c r="L755" s="48"/>
      <c r="M755" s="48"/>
      <c r="N755" s="48"/>
      <c r="O755" s="48"/>
      <c r="P755" s="48"/>
      <c r="Q755" s="48"/>
      <c r="R755" s="48"/>
      <c r="S755" s="48"/>
      <c r="T755" s="48"/>
      <c r="U755" s="48"/>
      <c r="V755" s="48"/>
      <c r="W755" s="48"/>
      <c r="X755" s="48"/>
    </row>
    <row r="756" ht="15.75" customHeight="1">
      <c r="A756" s="56"/>
      <c r="B756" s="48"/>
      <c r="C756" s="48"/>
      <c r="D756" s="27"/>
      <c r="E756" s="27"/>
      <c r="F756" s="48"/>
      <c r="G756" s="48"/>
      <c r="H756" s="48"/>
      <c r="I756" s="48"/>
      <c r="J756" s="48"/>
      <c r="K756" s="48"/>
      <c r="L756" s="48"/>
      <c r="M756" s="48"/>
      <c r="N756" s="48"/>
      <c r="O756" s="48"/>
      <c r="P756" s="48"/>
      <c r="Q756" s="48"/>
      <c r="R756" s="48"/>
      <c r="S756" s="48"/>
      <c r="T756" s="48"/>
      <c r="U756" s="48"/>
      <c r="V756" s="48"/>
      <c r="W756" s="48"/>
      <c r="X756" s="48"/>
    </row>
    <row r="757" ht="15.75" customHeight="1">
      <c r="A757" s="56"/>
      <c r="B757" s="48"/>
      <c r="C757" s="48"/>
      <c r="D757" s="27"/>
      <c r="E757" s="27"/>
      <c r="F757" s="48"/>
      <c r="G757" s="48"/>
      <c r="H757" s="48"/>
      <c r="I757" s="48"/>
      <c r="J757" s="48"/>
      <c r="K757" s="48"/>
      <c r="L757" s="48"/>
      <c r="M757" s="48"/>
      <c r="N757" s="48"/>
      <c r="O757" s="48"/>
      <c r="P757" s="48"/>
      <c r="Q757" s="48"/>
      <c r="R757" s="48"/>
      <c r="S757" s="48"/>
      <c r="T757" s="48"/>
      <c r="U757" s="48"/>
      <c r="V757" s="48"/>
      <c r="W757" s="48"/>
      <c r="X757" s="48"/>
    </row>
    <row r="758" ht="15.75" customHeight="1">
      <c r="A758" s="56"/>
      <c r="B758" s="48"/>
      <c r="C758" s="48"/>
      <c r="D758" s="27"/>
      <c r="E758" s="27"/>
      <c r="F758" s="48"/>
      <c r="G758" s="48"/>
      <c r="H758" s="48"/>
      <c r="I758" s="48"/>
      <c r="J758" s="48"/>
      <c r="K758" s="48"/>
      <c r="L758" s="48"/>
      <c r="M758" s="48"/>
      <c r="N758" s="48"/>
      <c r="O758" s="48"/>
      <c r="P758" s="48"/>
      <c r="Q758" s="48"/>
      <c r="R758" s="48"/>
      <c r="S758" s="48"/>
      <c r="T758" s="48"/>
      <c r="U758" s="48"/>
      <c r="V758" s="48"/>
      <c r="W758" s="48"/>
      <c r="X758" s="48"/>
    </row>
    <row r="759" ht="15.75" customHeight="1">
      <c r="A759" s="56"/>
      <c r="B759" s="48"/>
      <c r="C759" s="48"/>
      <c r="D759" s="27"/>
      <c r="E759" s="27"/>
      <c r="F759" s="48"/>
      <c r="G759" s="48"/>
      <c r="H759" s="48"/>
      <c r="I759" s="48"/>
      <c r="J759" s="48"/>
      <c r="K759" s="48"/>
      <c r="L759" s="48"/>
      <c r="M759" s="48"/>
      <c r="N759" s="48"/>
      <c r="O759" s="48"/>
      <c r="P759" s="48"/>
      <c r="Q759" s="48"/>
      <c r="R759" s="48"/>
      <c r="S759" s="48"/>
      <c r="T759" s="48"/>
      <c r="U759" s="48"/>
      <c r="V759" s="48"/>
      <c r="W759" s="48"/>
      <c r="X759" s="48"/>
    </row>
    <row r="760" ht="15.75" customHeight="1">
      <c r="A760" s="56"/>
      <c r="B760" s="48"/>
      <c r="C760" s="48"/>
      <c r="D760" s="27"/>
      <c r="E760" s="27"/>
      <c r="F760" s="48"/>
      <c r="G760" s="48"/>
      <c r="H760" s="48"/>
      <c r="I760" s="48"/>
      <c r="J760" s="48"/>
      <c r="K760" s="48"/>
      <c r="L760" s="48"/>
      <c r="M760" s="48"/>
      <c r="N760" s="48"/>
      <c r="O760" s="48"/>
      <c r="P760" s="48"/>
      <c r="Q760" s="48"/>
      <c r="R760" s="48"/>
      <c r="S760" s="48"/>
      <c r="T760" s="48"/>
      <c r="U760" s="48"/>
      <c r="V760" s="48"/>
      <c r="W760" s="48"/>
      <c r="X760" s="48"/>
    </row>
    <row r="761" ht="15.75" customHeight="1">
      <c r="A761" s="56"/>
      <c r="B761" s="48"/>
      <c r="C761" s="48"/>
      <c r="D761" s="27"/>
      <c r="E761" s="27"/>
      <c r="F761" s="48"/>
      <c r="G761" s="48"/>
      <c r="H761" s="48"/>
      <c r="I761" s="48"/>
      <c r="J761" s="48"/>
      <c r="K761" s="48"/>
      <c r="L761" s="48"/>
      <c r="M761" s="48"/>
      <c r="N761" s="48"/>
      <c r="O761" s="48"/>
      <c r="P761" s="48"/>
      <c r="Q761" s="48"/>
      <c r="R761" s="48"/>
      <c r="S761" s="48"/>
      <c r="T761" s="48"/>
      <c r="U761" s="48"/>
      <c r="V761" s="48"/>
      <c r="W761" s="48"/>
      <c r="X761" s="48"/>
    </row>
    <row r="762" ht="15.75" customHeight="1">
      <c r="A762" s="56"/>
      <c r="B762" s="48"/>
      <c r="C762" s="48"/>
      <c r="D762" s="27"/>
      <c r="E762" s="27"/>
      <c r="F762" s="48"/>
      <c r="G762" s="48"/>
      <c r="H762" s="48"/>
      <c r="I762" s="48"/>
      <c r="J762" s="48"/>
      <c r="K762" s="48"/>
      <c r="L762" s="48"/>
      <c r="M762" s="48"/>
      <c r="N762" s="48"/>
      <c r="O762" s="48"/>
      <c r="P762" s="48"/>
      <c r="Q762" s="48"/>
      <c r="R762" s="48"/>
      <c r="S762" s="48"/>
      <c r="T762" s="48"/>
      <c r="U762" s="48"/>
      <c r="V762" s="48"/>
      <c r="W762" s="48"/>
      <c r="X762" s="48"/>
    </row>
    <row r="763" ht="15.75" customHeight="1">
      <c r="A763" s="56"/>
      <c r="B763" s="48"/>
      <c r="C763" s="48"/>
      <c r="D763" s="27"/>
      <c r="E763" s="27"/>
      <c r="F763" s="48"/>
      <c r="G763" s="48"/>
      <c r="H763" s="48"/>
      <c r="I763" s="48"/>
      <c r="J763" s="48"/>
      <c r="K763" s="48"/>
      <c r="L763" s="48"/>
      <c r="M763" s="48"/>
      <c r="N763" s="48"/>
      <c r="O763" s="48"/>
      <c r="P763" s="48"/>
      <c r="Q763" s="48"/>
      <c r="R763" s="48"/>
      <c r="S763" s="48"/>
      <c r="T763" s="48"/>
      <c r="U763" s="48"/>
      <c r="V763" s="48"/>
      <c r="W763" s="48"/>
      <c r="X763" s="48"/>
    </row>
    <row r="764" ht="15.75" customHeight="1">
      <c r="A764" s="56"/>
      <c r="B764" s="48"/>
      <c r="C764" s="48"/>
      <c r="D764" s="27"/>
      <c r="E764" s="27"/>
      <c r="F764" s="48"/>
      <c r="G764" s="48"/>
      <c r="H764" s="48"/>
      <c r="I764" s="48"/>
      <c r="J764" s="48"/>
      <c r="K764" s="48"/>
      <c r="L764" s="48"/>
      <c r="M764" s="48"/>
      <c r="N764" s="48"/>
      <c r="O764" s="48"/>
      <c r="P764" s="48"/>
      <c r="Q764" s="48"/>
      <c r="R764" s="48"/>
      <c r="S764" s="48"/>
      <c r="T764" s="48"/>
      <c r="U764" s="48"/>
      <c r="V764" s="48"/>
      <c r="W764" s="48"/>
      <c r="X764" s="48"/>
    </row>
    <row r="765" ht="15.75" customHeight="1">
      <c r="A765" s="56"/>
      <c r="B765" s="48"/>
      <c r="C765" s="48"/>
      <c r="D765" s="27"/>
      <c r="E765" s="27"/>
      <c r="F765" s="48"/>
      <c r="G765" s="48"/>
      <c r="H765" s="48"/>
      <c r="I765" s="48"/>
      <c r="J765" s="48"/>
      <c r="K765" s="48"/>
      <c r="L765" s="48"/>
      <c r="M765" s="48"/>
      <c r="N765" s="48"/>
      <c r="O765" s="48"/>
      <c r="P765" s="48"/>
      <c r="Q765" s="48"/>
      <c r="R765" s="48"/>
      <c r="S765" s="48"/>
      <c r="T765" s="48"/>
      <c r="U765" s="48"/>
      <c r="V765" s="48"/>
      <c r="W765" s="48"/>
      <c r="X765" s="48"/>
    </row>
    <row r="766" ht="15.75" customHeight="1">
      <c r="A766" s="56"/>
      <c r="B766" s="48"/>
      <c r="C766" s="48"/>
      <c r="D766" s="27"/>
      <c r="E766" s="27"/>
      <c r="F766" s="48"/>
      <c r="G766" s="48"/>
      <c r="H766" s="48"/>
      <c r="I766" s="48"/>
      <c r="J766" s="48"/>
      <c r="K766" s="48"/>
      <c r="L766" s="48"/>
      <c r="M766" s="48"/>
      <c r="N766" s="48"/>
      <c r="O766" s="48"/>
      <c r="P766" s="48"/>
      <c r="Q766" s="48"/>
      <c r="R766" s="48"/>
      <c r="S766" s="48"/>
      <c r="T766" s="48"/>
      <c r="U766" s="48"/>
      <c r="V766" s="48"/>
      <c r="W766" s="48"/>
      <c r="X766" s="48"/>
    </row>
    <row r="767" ht="15.75" customHeight="1">
      <c r="A767" s="56"/>
      <c r="B767" s="48"/>
      <c r="C767" s="48"/>
      <c r="D767" s="27"/>
      <c r="E767" s="27"/>
      <c r="F767" s="48"/>
      <c r="G767" s="48"/>
      <c r="H767" s="48"/>
      <c r="I767" s="48"/>
      <c r="J767" s="48"/>
      <c r="K767" s="48"/>
      <c r="L767" s="48"/>
      <c r="M767" s="48"/>
      <c r="N767" s="48"/>
      <c r="O767" s="48"/>
      <c r="P767" s="48"/>
      <c r="Q767" s="48"/>
      <c r="R767" s="48"/>
      <c r="S767" s="48"/>
      <c r="T767" s="48"/>
      <c r="U767" s="48"/>
      <c r="V767" s="48"/>
      <c r="W767" s="48"/>
      <c r="X767" s="48"/>
    </row>
    <row r="768" ht="15.75" customHeight="1">
      <c r="A768" s="56"/>
      <c r="B768" s="48"/>
      <c r="C768" s="48"/>
      <c r="D768" s="27"/>
      <c r="E768" s="27"/>
      <c r="F768" s="48"/>
      <c r="G768" s="48"/>
      <c r="H768" s="48"/>
      <c r="I768" s="48"/>
      <c r="J768" s="48"/>
      <c r="K768" s="48"/>
      <c r="L768" s="48"/>
      <c r="M768" s="48"/>
      <c r="N768" s="48"/>
      <c r="O768" s="48"/>
      <c r="P768" s="48"/>
      <c r="Q768" s="48"/>
      <c r="R768" s="48"/>
      <c r="S768" s="48"/>
      <c r="T768" s="48"/>
      <c r="U768" s="48"/>
      <c r="V768" s="48"/>
      <c r="W768" s="48"/>
      <c r="X768" s="48"/>
    </row>
    <row r="769" ht="15.75" customHeight="1">
      <c r="A769" s="56"/>
      <c r="B769" s="48"/>
      <c r="C769" s="48"/>
      <c r="D769" s="27"/>
      <c r="E769" s="27"/>
      <c r="F769" s="48"/>
      <c r="G769" s="48"/>
      <c r="H769" s="48"/>
      <c r="I769" s="48"/>
      <c r="J769" s="48"/>
      <c r="K769" s="48"/>
      <c r="L769" s="48"/>
      <c r="M769" s="48"/>
      <c r="N769" s="48"/>
      <c r="O769" s="48"/>
      <c r="P769" s="48"/>
      <c r="Q769" s="48"/>
      <c r="R769" s="48"/>
      <c r="S769" s="48"/>
      <c r="T769" s="48"/>
      <c r="U769" s="48"/>
      <c r="V769" s="48"/>
      <c r="W769" s="48"/>
      <c r="X769" s="48"/>
    </row>
    <row r="770" ht="15.75" customHeight="1">
      <c r="A770" s="56"/>
      <c r="B770" s="48"/>
      <c r="C770" s="48"/>
      <c r="D770" s="27"/>
      <c r="E770" s="27"/>
      <c r="F770" s="48"/>
      <c r="G770" s="48"/>
      <c r="H770" s="48"/>
      <c r="I770" s="48"/>
      <c r="J770" s="48"/>
      <c r="K770" s="48"/>
      <c r="L770" s="48"/>
      <c r="M770" s="48"/>
      <c r="N770" s="48"/>
      <c r="O770" s="48"/>
      <c r="P770" s="48"/>
      <c r="Q770" s="48"/>
      <c r="R770" s="48"/>
      <c r="S770" s="48"/>
      <c r="T770" s="48"/>
      <c r="U770" s="48"/>
      <c r="V770" s="48"/>
      <c r="W770" s="48"/>
      <c r="X770" s="48"/>
    </row>
    <row r="771" ht="15.75" customHeight="1">
      <c r="A771" s="56"/>
      <c r="B771" s="48"/>
      <c r="C771" s="48"/>
      <c r="D771" s="27"/>
      <c r="E771" s="27"/>
      <c r="F771" s="48"/>
      <c r="G771" s="48"/>
      <c r="H771" s="48"/>
      <c r="I771" s="48"/>
      <c r="J771" s="48"/>
      <c r="K771" s="48"/>
      <c r="L771" s="48"/>
      <c r="M771" s="48"/>
      <c r="N771" s="48"/>
      <c r="O771" s="48"/>
      <c r="P771" s="48"/>
      <c r="Q771" s="48"/>
      <c r="R771" s="48"/>
      <c r="S771" s="48"/>
      <c r="T771" s="48"/>
      <c r="U771" s="48"/>
      <c r="V771" s="48"/>
      <c r="W771" s="48"/>
      <c r="X771" s="48"/>
    </row>
    <row r="772" ht="15.75" customHeight="1">
      <c r="A772" s="56"/>
      <c r="B772" s="48"/>
      <c r="C772" s="48"/>
      <c r="D772" s="27"/>
      <c r="E772" s="27"/>
      <c r="F772" s="48"/>
      <c r="G772" s="48"/>
      <c r="H772" s="48"/>
      <c r="I772" s="48"/>
      <c r="J772" s="48"/>
      <c r="K772" s="48"/>
      <c r="L772" s="48"/>
      <c r="M772" s="48"/>
      <c r="N772" s="48"/>
      <c r="O772" s="48"/>
      <c r="P772" s="48"/>
      <c r="Q772" s="48"/>
      <c r="R772" s="48"/>
      <c r="S772" s="48"/>
      <c r="T772" s="48"/>
      <c r="U772" s="48"/>
      <c r="V772" s="48"/>
      <c r="W772" s="48"/>
      <c r="X772" s="48"/>
    </row>
    <row r="773" ht="15.75" customHeight="1">
      <c r="A773" s="56"/>
      <c r="B773" s="48"/>
      <c r="C773" s="48"/>
      <c r="D773" s="27"/>
      <c r="E773" s="27"/>
      <c r="F773" s="48"/>
      <c r="G773" s="48"/>
      <c r="H773" s="48"/>
      <c r="I773" s="48"/>
      <c r="J773" s="48"/>
      <c r="K773" s="48"/>
      <c r="L773" s="48"/>
      <c r="M773" s="48"/>
      <c r="N773" s="48"/>
      <c r="O773" s="48"/>
      <c r="P773" s="48"/>
      <c r="Q773" s="48"/>
      <c r="R773" s="48"/>
      <c r="S773" s="48"/>
      <c r="T773" s="48"/>
      <c r="U773" s="48"/>
      <c r="V773" s="48"/>
      <c r="W773" s="48"/>
      <c r="X773" s="48"/>
    </row>
    <row r="774" ht="15.75" customHeight="1">
      <c r="A774" s="56"/>
      <c r="B774" s="48"/>
      <c r="C774" s="48"/>
      <c r="D774" s="27"/>
      <c r="E774" s="27"/>
      <c r="F774" s="48"/>
      <c r="G774" s="48"/>
      <c r="H774" s="48"/>
      <c r="I774" s="48"/>
      <c r="J774" s="48"/>
      <c r="K774" s="48"/>
      <c r="L774" s="48"/>
      <c r="M774" s="48"/>
      <c r="N774" s="48"/>
      <c r="O774" s="48"/>
      <c r="P774" s="48"/>
      <c r="Q774" s="48"/>
      <c r="R774" s="48"/>
      <c r="S774" s="48"/>
      <c r="T774" s="48"/>
      <c r="U774" s="48"/>
      <c r="V774" s="48"/>
      <c r="W774" s="48"/>
      <c r="X774" s="48"/>
    </row>
    <row r="775" ht="15.75" customHeight="1">
      <c r="A775" s="56"/>
      <c r="B775" s="48"/>
      <c r="C775" s="48"/>
      <c r="D775" s="27"/>
      <c r="E775" s="27"/>
      <c r="F775" s="48"/>
      <c r="G775" s="48"/>
      <c r="H775" s="48"/>
      <c r="I775" s="48"/>
      <c r="J775" s="48"/>
      <c r="K775" s="48"/>
      <c r="L775" s="48"/>
      <c r="M775" s="48"/>
      <c r="N775" s="48"/>
      <c r="O775" s="48"/>
      <c r="P775" s="48"/>
      <c r="Q775" s="48"/>
      <c r="R775" s="48"/>
      <c r="S775" s="48"/>
      <c r="T775" s="48"/>
      <c r="U775" s="48"/>
      <c r="V775" s="48"/>
      <c r="W775" s="48"/>
      <c r="X775" s="48"/>
    </row>
    <row r="776" ht="15.75" customHeight="1">
      <c r="A776" s="56"/>
      <c r="B776" s="48"/>
      <c r="C776" s="48"/>
      <c r="D776" s="27"/>
      <c r="E776" s="27"/>
      <c r="F776" s="48"/>
      <c r="G776" s="48"/>
      <c r="H776" s="48"/>
      <c r="I776" s="48"/>
      <c r="J776" s="48"/>
      <c r="K776" s="48"/>
      <c r="L776" s="48"/>
      <c r="M776" s="48"/>
      <c r="N776" s="48"/>
      <c r="O776" s="48"/>
      <c r="P776" s="48"/>
      <c r="Q776" s="48"/>
      <c r="R776" s="48"/>
      <c r="S776" s="48"/>
      <c r="T776" s="48"/>
      <c r="U776" s="48"/>
      <c r="V776" s="48"/>
      <c r="W776" s="48"/>
      <c r="X776" s="48"/>
    </row>
    <row r="777" ht="15.75" customHeight="1">
      <c r="A777" s="56"/>
      <c r="B777" s="48"/>
      <c r="C777" s="48"/>
      <c r="D777" s="27"/>
      <c r="E777" s="27"/>
      <c r="F777" s="48"/>
      <c r="G777" s="48"/>
      <c r="H777" s="48"/>
      <c r="I777" s="48"/>
      <c r="J777" s="48"/>
      <c r="K777" s="48"/>
      <c r="L777" s="48"/>
      <c r="M777" s="48"/>
      <c r="N777" s="48"/>
      <c r="O777" s="48"/>
      <c r="P777" s="48"/>
      <c r="Q777" s="48"/>
      <c r="R777" s="48"/>
      <c r="S777" s="48"/>
      <c r="T777" s="48"/>
      <c r="U777" s="48"/>
      <c r="V777" s="48"/>
      <c r="W777" s="48"/>
      <c r="X777" s="48"/>
    </row>
    <row r="778" ht="15.75" customHeight="1">
      <c r="A778" s="56"/>
      <c r="B778" s="48"/>
      <c r="C778" s="48"/>
      <c r="D778" s="27"/>
      <c r="E778" s="27"/>
      <c r="F778" s="48"/>
      <c r="G778" s="48"/>
      <c r="H778" s="48"/>
      <c r="I778" s="48"/>
      <c r="J778" s="48"/>
      <c r="K778" s="48"/>
      <c r="L778" s="48"/>
      <c r="M778" s="48"/>
      <c r="N778" s="48"/>
      <c r="O778" s="48"/>
      <c r="P778" s="48"/>
      <c r="Q778" s="48"/>
      <c r="R778" s="48"/>
      <c r="S778" s="48"/>
      <c r="T778" s="48"/>
      <c r="U778" s="48"/>
      <c r="V778" s="48"/>
      <c r="W778" s="48"/>
      <c r="X778" s="48"/>
    </row>
    <row r="779" ht="15.75" customHeight="1">
      <c r="A779" s="56"/>
      <c r="B779" s="48"/>
      <c r="C779" s="48"/>
      <c r="D779" s="27"/>
      <c r="E779" s="27"/>
      <c r="F779" s="48"/>
      <c r="G779" s="48"/>
      <c r="H779" s="48"/>
      <c r="I779" s="48"/>
      <c r="J779" s="48"/>
      <c r="K779" s="48"/>
      <c r="L779" s="48"/>
      <c r="M779" s="48"/>
      <c r="N779" s="48"/>
      <c r="O779" s="48"/>
      <c r="P779" s="48"/>
      <c r="Q779" s="48"/>
      <c r="R779" s="48"/>
      <c r="S779" s="48"/>
      <c r="T779" s="48"/>
      <c r="U779" s="48"/>
      <c r="V779" s="48"/>
      <c r="W779" s="48"/>
      <c r="X779" s="48"/>
    </row>
    <row r="780" ht="15.75" customHeight="1">
      <c r="A780" s="56"/>
      <c r="B780" s="48"/>
      <c r="C780" s="48"/>
      <c r="D780" s="27"/>
      <c r="E780" s="27"/>
      <c r="F780" s="48"/>
      <c r="G780" s="48"/>
      <c r="H780" s="48"/>
      <c r="I780" s="48"/>
      <c r="J780" s="48"/>
      <c r="K780" s="48"/>
      <c r="L780" s="48"/>
      <c r="M780" s="48"/>
      <c r="N780" s="48"/>
      <c r="O780" s="48"/>
      <c r="P780" s="48"/>
      <c r="Q780" s="48"/>
      <c r="R780" s="48"/>
      <c r="S780" s="48"/>
      <c r="T780" s="48"/>
      <c r="U780" s="48"/>
      <c r="V780" s="48"/>
      <c r="W780" s="48"/>
      <c r="X780" s="48"/>
    </row>
    <row r="781" ht="15.75" customHeight="1">
      <c r="A781" s="56"/>
      <c r="B781" s="48"/>
      <c r="C781" s="48"/>
      <c r="D781" s="27"/>
      <c r="E781" s="27"/>
      <c r="F781" s="48"/>
      <c r="G781" s="48"/>
      <c r="H781" s="48"/>
      <c r="I781" s="48"/>
      <c r="J781" s="48"/>
      <c r="K781" s="48"/>
      <c r="L781" s="48"/>
      <c r="M781" s="48"/>
      <c r="N781" s="48"/>
      <c r="O781" s="48"/>
      <c r="P781" s="48"/>
      <c r="Q781" s="48"/>
      <c r="R781" s="48"/>
      <c r="S781" s="48"/>
      <c r="T781" s="48"/>
      <c r="U781" s="48"/>
      <c r="V781" s="48"/>
      <c r="W781" s="48"/>
      <c r="X781" s="48"/>
    </row>
    <row r="782" ht="15.75" customHeight="1">
      <c r="A782" s="56"/>
      <c r="B782" s="48"/>
      <c r="C782" s="48"/>
      <c r="D782" s="27"/>
      <c r="E782" s="27"/>
      <c r="F782" s="48"/>
      <c r="G782" s="48"/>
      <c r="H782" s="48"/>
      <c r="I782" s="48"/>
      <c r="J782" s="48"/>
      <c r="K782" s="48"/>
      <c r="L782" s="48"/>
      <c r="M782" s="48"/>
      <c r="N782" s="48"/>
      <c r="O782" s="48"/>
      <c r="P782" s="48"/>
      <c r="Q782" s="48"/>
      <c r="R782" s="48"/>
      <c r="S782" s="48"/>
      <c r="T782" s="48"/>
      <c r="U782" s="48"/>
      <c r="V782" s="48"/>
      <c r="W782" s="48"/>
      <c r="X782" s="48"/>
    </row>
    <row r="783" ht="15.75" customHeight="1">
      <c r="A783" s="56"/>
      <c r="B783" s="48"/>
      <c r="C783" s="48"/>
      <c r="D783" s="27"/>
      <c r="E783" s="27"/>
      <c r="F783" s="48"/>
      <c r="G783" s="48"/>
      <c r="H783" s="48"/>
      <c r="I783" s="48"/>
      <c r="J783" s="48"/>
      <c r="K783" s="48"/>
      <c r="L783" s="48"/>
      <c r="M783" s="48"/>
      <c r="N783" s="48"/>
      <c r="O783" s="48"/>
      <c r="P783" s="48"/>
      <c r="Q783" s="48"/>
      <c r="R783" s="48"/>
      <c r="S783" s="48"/>
      <c r="T783" s="48"/>
      <c r="U783" s="48"/>
      <c r="V783" s="48"/>
      <c r="W783" s="48"/>
      <c r="X783" s="48"/>
    </row>
    <row r="784" ht="15.75" customHeight="1">
      <c r="A784" s="56"/>
      <c r="B784" s="48"/>
      <c r="C784" s="48"/>
      <c r="D784" s="27"/>
      <c r="E784" s="27"/>
      <c r="F784" s="48"/>
      <c r="G784" s="48"/>
      <c r="H784" s="48"/>
      <c r="I784" s="48"/>
      <c r="J784" s="48"/>
      <c r="K784" s="48"/>
      <c r="L784" s="48"/>
      <c r="M784" s="48"/>
      <c r="N784" s="48"/>
      <c r="O784" s="48"/>
      <c r="P784" s="48"/>
      <c r="Q784" s="48"/>
      <c r="R784" s="48"/>
      <c r="S784" s="48"/>
      <c r="T784" s="48"/>
      <c r="U784" s="48"/>
      <c r="V784" s="48"/>
      <c r="W784" s="48"/>
      <c r="X784" s="48"/>
    </row>
    <row r="785" ht="15.75" customHeight="1">
      <c r="A785" s="56"/>
      <c r="B785" s="48"/>
      <c r="C785" s="48"/>
      <c r="D785" s="27"/>
      <c r="E785" s="27"/>
      <c r="F785" s="48"/>
      <c r="G785" s="48"/>
      <c r="H785" s="48"/>
      <c r="I785" s="48"/>
      <c r="J785" s="48"/>
      <c r="K785" s="48"/>
      <c r="L785" s="48"/>
      <c r="M785" s="48"/>
      <c r="N785" s="48"/>
      <c r="O785" s="48"/>
      <c r="P785" s="48"/>
      <c r="Q785" s="48"/>
      <c r="R785" s="48"/>
      <c r="S785" s="48"/>
      <c r="T785" s="48"/>
      <c r="U785" s="48"/>
      <c r="V785" s="48"/>
      <c r="W785" s="48"/>
      <c r="X785" s="48"/>
    </row>
    <row r="786" ht="15.75" customHeight="1">
      <c r="A786" s="56"/>
      <c r="B786" s="48"/>
      <c r="C786" s="48"/>
      <c r="D786" s="27"/>
      <c r="E786" s="27"/>
      <c r="F786" s="48"/>
      <c r="G786" s="48"/>
      <c r="H786" s="48"/>
      <c r="I786" s="48"/>
      <c r="J786" s="48"/>
      <c r="K786" s="48"/>
      <c r="L786" s="48"/>
      <c r="M786" s="48"/>
      <c r="N786" s="48"/>
      <c r="O786" s="48"/>
      <c r="P786" s="48"/>
      <c r="Q786" s="48"/>
      <c r="R786" s="48"/>
      <c r="S786" s="48"/>
      <c r="T786" s="48"/>
      <c r="U786" s="48"/>
      <c r="V786" s="48"/>
      <c r="W786" s="48"/>
      <c r="X786" s="48"/>
    </row>
    <row r="787" ht="15.75" customHeight="1">
      <c r="A787" s="56"/>
      <c r="B787" s="48"/>
      <c r="C787" s="48"/>
      <c r="D787" s="27"/>
      <c r="E787" s="27"/>
      <c r="F787" s="48"/>
      <c r="G787" s="48"/>
      <c r="H787" s="48"/>
      <c r="I787" s="48"/>
      <c r="J787" s="48"/>
      <c r="K787" s="48"/>
      <c r="L787" s="48"/>
      <c r="M787" s="48"/>
      <c r="N787" s="48"/>
      <c r="O787" s="48"/>
      <c r="P787" s="48"/>
      <c r="Q787" s="48"/>
      <c r="R787" s="48"/>
      <c r="S787" s="48"/>
      <c r="T787" s="48"/>
      <c r="U787" s="48"/>
      <c r="V787" s="48"/>
      <c r="W787" s="48"/>
      <c r="X787" s="48"/>
    </row>
    <row r="788" ht="15.75" customHeight="1">
      <c r="A788" s="56"/>
      <c r="B788" s="48"/>
      <c r="C788" s="48"/>
      <c r="D788" s="27"/>
      <c r="E788" s="27"/>
      <c r="F788" s="48"/>
      <c r="G788" s="48"/>
      <c r="H788" s="48"/>
      <c r="I788" s="48"/>
      <c r="J788" s="48"/>
      <c r="K788" s="48"/>
      <c r="L788" s="48"/>
      <c r="M788" s="48"/>
      <c r="N788" s="48"/>
      <c r="O788" s="48"/>
      <c r="P788" s="48"/>
      <c r="Q788" s="48"/>
      <c r="R788" s="48"/>
      <c r="S788" s="48"/>
      <c r="T788" s="48"/>
      <c r="U788" s="48"/>
      <c r="V788" s="48"/>
      <c r="W788" s="48"/>
      <c r="X788" s="48"/>
    </row>
    <row r="789" ht="15.75" customHeight="1">
      <c r="A789" s="56"/>
      <c r="B789" s="48"/>
      <c r="C789" s="48"/>
      <c r="D789" s="27"/>
      <c r="E789" s="27"/>
      <c r="F789" s="48"/>
      <c r="G789" s="48"/>
      <c r="H789" s="48"/>
      <c r="I789" s="48"/>
      <c r="J789" s="48"/>
      <c r="K789" s="48"/>
      <c r="L789" s="48"/>
      <c r="M789" s="48"/>
      <c r="N789" s="48"/>
      <c r="O789" s="48"/>
      <c r="P789" s="48"/>
      <c r="Q789" s="48"/>
      <c r="R789" s="48"/>
      <c r="S789" s="48"/>
      <c r="T789" s="48"/>
      <c r="U789" s="48"/>
      <c r="V789" s="48"/>
      <c r="W789" s="48"/>
      <c r="X789" s="48"/>
    </row>
    <row r="790" ht="15.75" customHeight="1">
      <c r="A790" s="56"/>
      <c r="B790" s="48"/>
      <c r="C790" s="48"/>
      <c r="D790" s="27"/>
      <c r="E790" s="27"/>
      <c r="F790" s="48"/>
      <c r="G790" s="48"/>
      <c r="H790" s="48"/>
      <c r="I790" s="48"/>
      <c r="J790" s="48"/>
      <c r="K790" s="48"/>
      <c r="L790" s="48"/>
      <c r="M790" s="48"/>
      <c r="N790" s="48"/>
      <c r="O790" s="48"/>
      <c r="P790" s="48"/>
      <c r="Q790" s="48"/>
      <c r="R790" s="48"/>
      <c r="S790" s="48"/>
      <c r="T790" s="48"/>
      <c r="U790" s="48"/>
      <c r="V790" s="48"/>
      <c r="W790" s="48"/>
      <c r="X790" s="48"/>
    </row>
    <row r="791" ht="15.75" customHeight="1">
      <c r="A791" s="56"/>
      <c r="B791" s="48"/>
      <c r="C791" s="48"/>
      <c r="D791" s="27"/>
      <c r="E791" s="27"/>
      <c r="F791" s="48"/>
      <c r="G791" s="48"/>
      <c r="H791" s="48"/>
      <c r="I791" s="48"/>
      <c r="J791" s="48"/>
      <c r="K791" s="48"/>
      <c r="L791" s="48"/>
      <c r="M791" s="48"/>
      <c r="N791" s="48"/>
      <c r="O791" s="48"/>
      <c r="P791" s="48"/>
      <c r="Q791" s="48"/>
      <c r="R791" s="48"/>
      <c r="S791" s="48"/>
      <c r="T791" s="48"/>
      <c r="U791" s="48"/>
      <c r="V791" s="48"/>
      <c r="W791" s="48"/>
      <c r="X791" s="48"/>
    </row>
    <row r="792" ht="15.75" customHeight="1">
      <c r="A792" s="56"/>
      <c r="B792" s="48"/>
      <c r="C792" s="48"/>
      <c r="D792" s="27"/>
      <c r="E792" s="27"/>
      <c r="F792" s="48"/>
      <c r="G792" s="48"/>
      <c r="H792" s="48"/>
      <c r="I792" s="48"/>
      <c r="J792" s="48"/>
      <c r="K792" s="48"/>
      <c r="L792" s="48"/>
      <c r="M792" s="48"/>
      <c r="N792" s="48"/>
      <c r="O792" s="48"/>
      <c r="P792" s="48"/>
      <c r="Q792" s="48"/>
      <c r="R792" s="48"/>
      <c r="S792" s="48"/>
      <c r="T792" s="48"/>
      <c r="U792" s="48"/>
      <c r="V792" s="48"/>
      <c r="W792" s="48"/>
      <c r="X792" s="48"/>
    </row>
    <row r="793" ht="15.75" customHeight="1">
      <c r="A793" s="56"/>
      <c r="B793" s="48"/>
      <c r="C793" s="48"/>
      <c r="D793" s="27"/>
      <c r="E793" s="27"/>
      <c r="F793" s="48"/>
      <c r="G793" s="48"/>
      <c r="H793" s="48"/>
      <c r="I793" s="48"/>
      <c r="J793" s="48"/>
      <c r="K793" s="48"/>
      <c r="L793" s="48"/>
      <c r="M793" s="48"/>
      <c r="N793" s="48"/>
      <c r="O793" s="48"/>
      <c r="P793" s="48"/>
      <c r="Q793" s="48"/>
      <c r="R793" s="48"/>
      <c r="S793" s="48"/>
      <c r="T793" s="48"/>
      <c r="U793" s="48"/>
      <c r="V793" s="48"/>
      <c r="W793" s="48"/>
      <c r="X793" s="48"/>
    </row>
    <row r="794" ht="15.75" customHeight="1">
      <c r="A794" s="56"/>
      <c r="B794" s="48"/>
      <c r="C794" s="48"/>
      <c r="D794" s="27"/>
      <c r="E794" s="27"/>
      <c r="F794" s="48"/>
      <c r="G794" s="48"/>
      <c r="H794" s="48"/>
      <c r="I794" s="48"/>
      <c r="J794" s="48"/>
      <c r="K794" s="48"/>
      <c r="L794" s="48"/>
      <c r="M794" s="48"/>
      <c r="N794" s="48"/>
      <c r="O794" s="48"/>
      <c r="P794" s="48"/>
      <c r="Q794" s="48"/>
      <c r="R794" s="48"/>
      <c r="S794" s="48"/>
      <c r="T794" s="48"/>
      <c r="U794" s="48"/>
      <c r="V794" s="48"/>
      <c r="W794" s="48"/>
      <c r="X794" s="48"/>
    </row>
    <row r="795" ht="15.75" customHeight="1">
      <c r="A795" s="56"/>
      <c r="B795" s="48"/>
      <c r="C795" s="48"/>
      <c r="D795" s="27"/>
      <c r="E795" s="27"/>
      <c r="F795" s="48"/>
      <c r="G795" s="48"/>
      <c r="H795" s="48"/>
      <c r="I795" s="48"/>
      <c r="J795" s="48"/>
      <c r="K795" s="48"/>
      <c r="L795" s="48"/>
      <c r="M795" s="48"/>
      <c r="N795" s="48"/>
      <c r="O795" s="48"/>
      <c r="P795" s="48"/>
      <c r="Q795" s="48"/>
      <c r="R795" s="48"/>
      <c r="S795" s="48"/>
      <c r="T795" s="48"/>
      <c r="U795" s="48"/>
      <c r="V795" s="48"/>
      <c r="W795" s="48"/>
      <c r="X795" s="48"/>
    </row>
    <row r="796" ht="15.75" customHeight="1">
      <c r="A796" s="56"/>
      <c r="B796" s="48"/>
      <c r="C796" s="48"/>
      <c r="D796" s="27"/>
      <c r="E796" s="27"/>
      <c r="F796" s="48"/>
      <c r="G796" s="48"/>
      <c r="H796" s="48"/>
      <c r="I796" s="48"/>
      <c r="J796" s="48"/>
      <c r="K796" s="48"/>
      <c r="L796" s="48"/>
      <c r="M796" s="48"/>
      <c r="N796" s="48"/>
      <c r="O796" s="48"/>
      <c r="P796" s="48"/>
      <c r="Q796" s="48"/>
      <c r="R796" s="48"/>
      <c r="S796" s="48"/>
      <c r="T796" s="48"/>
      <c r="U796" s="48"/>
      <c r="V796" s="48"/>
      <c r="W796" s="48"/>
      <c r="X796" s="48"/>
    </row>
    <row r="797" ht="15.75" customHeight="1">
      <c r="A797" s="56"/>
      <c r="B797" s="48"/>
      <c r="C797" s="48"/>
      <c r="D797" s="27"/>
      <c r="E797" s="27"/>
      <c r="F797" s="48"/>
      <c r="G797" s="48"/>
      <c r="H797" s="48"/>
      <c r="I797" s="48"/>
      <c r="J797" s="48"/>
      <c r="K797" s="48"/>
      <c r="L797" s="48"/>
      <c r="M797" s="48"/>
      <c r="N797" s="48"/>
      <c r="O797" s="48"/>
      <c r="P797" s="48"/>
      <c r="Q797" s="48"/>
      <c r="R797" s="48"/>
      <c r="S797" s="48"/>
      <c r="T797" s="48"/>
      <c r="U797" s="48"/>
      <c r="V797" s="48"/>
      <c r="W797" s="48"/>
      <c r="X797" s="48"/>
    </row>
    <row r="798" ht="15.75" customHeight="1">
      <c r="A798" s="56"/>
      <c r="B798" s="48"/>
      <c r="C798" s="48"/>
      <c r="D798" s="27"/>
      <c r="E798" s="27"/>
      <c r="F798" s="48"/>
      <c r="G798" s="48"/>
      <c r="H798" s="48"/>
      <c r="I798" s="48"/>
      <c r="J798" s="48"/>
      <c r="K798" s="48"/>
      <c r="L798" s="48"/>
      <c r="M798" s="48"/>
      <c r="N798" s="48"/>
      <c r="O798" s="48"/>
      <c r="P798" s="48"/>
      <c r="Q798" s="48"/>
      <c r="R798" s="48"/>
      <c r="S798" s="48"/>
      <c r="T798" s="48"/>
      <c r="U798" s="48"/>
      <c r="V798" s="48"/>
      <c r="W798" s="48"/>
      <c r="X798" s="48"/>
    </row>
    <row r="799" ht="15.75" customHeight="1">
      <c r="A799" s="56"/>
      <c r="B799" s="48"/>
      <c r="C799" s="48"/>
      <c r="D799" s="27"/>
      <c r="E799" s="27"/>
      <c r="F799" s="48"/>
      <c r="G799" s="48"/>
      <c r="H799" s="48"/>
      <c r="I799" s="48"/>
      <c r="J799" s="48"/>
      <c r="K799" s="48"/>
      <c r="L799" s="48"/>
      <c r="M799" s="48"/>
      <c r="N799" s="48"/>
      <c r="O799" s="48"/>
      <c r="P799" s="48"/>
      <c r="Q799" s="48"/>
      <c r="R799" s="48"/>
      <c r="S799" s="48"/>
      <c r="T799" s="48"/>
      <c r="U799" s="48"/>
      <c r="V799" s="48"/>
      <c r="W799" s="48"/>
      <c r="X799" s="48"/>
    </row>
    <row r="800" ht="15.75" customHeight="1">
      <c r="A800" s="56"/>
      <c r="B800" s="48"/>
      <c r="C800" s="48"/>
      <c r="D800" s="27"/>
      <c r="E800" s="27"/>
      <c r="F800" s="48"/>
      <c r="G800" s="48"/>
      <c r="H800" s="48"/>
      <c r="I800" s="48"/>
      <c r="J800" s="48"/>
      <c r="K800" s="48"/>
      <c r="L800" s="48"/>
      <c r="M800" s="48"/>
      <c r="N800" s="48"/>
      <c r="O800" s="48"/>
      <c r="P800" s="48"/>
      <c r="Q800" s="48"/>
      <c r="R800" s="48"/>
      <c r="S800" s="48"/>
      <c r="T800" s="48"/>
      <c r="U800" s="48"/>
      <c r="V800" s="48"/>
      <c r="W800" s="48"/>
      <c r="X800" s="48"/>
    </row>
    <row r="801" ht="15.75" customHeight="1">
      <c r="A801" s="56"/>
      <c r="B801" s="48"/>
      <c r="C801" s="48"/>
      <c r="D801" s="27"/>
      <c r="E801" s="27"/>
      <c r="F801" s="48"/>
      <c r="G801" s="48"/>
      <c r="H801" s="48"/>
      <c r="I801" s="48"/>
      <c r="J801" s="48"/>
      <c r="K801" s="48"/>
      <c r="L801" s="48"/>
      <c r="M801" s="48"/>
      <c r="N801" s="48"/>
      <c r="O801" s="48"/>
      <c r="P801" s="48"/>
      <c r="Q801" s="48"/>
      <c r="R801" s="48"/>
      <c r="S801" s="48"/>
      <c r="T801" s="48"/>
      <c r="U801" s="48"/>
      <c r="V801" s="48"/>
      <c r="W801" s="48"/>
      <c r="X801" s="48"/>
    </row>
    <row r="802" ht="15.75" customHeight="1">
      <c r="A802" s="56"/>
      <c r="B802" s="48"/>
      <c r="C802" s="48"/>
      <c r="D802" s="27"/>
      <c r="E802" s="27"/>
      <c r="F802" s="48"/>
      <c r="G802" s="48"/>
      <c r="H802" s="48"/>
      <c r="I802" s="48"/>
      <c r="J802" s="48"/>
      <c r="K802" s="48"/>
      <c r="L802" s="48"/>
      <c r="M802" s="48"/>
      <c r="N802" s="48"/>
      <c r="O802" s="48"/>
      <c r="P802" s="48"/>
      <c r="Q802" s="48"/>
      <c r="R802" s="48"/>
      <c r="S802" s="48"/>
      <c r="T802" s="48"/>
      <c r="U802" s="48"/>
      <c r="V802" s="48"/>
      <c r="W802" s="48"/>
      <c r="X802" s="48"/>
    </row>
    <row r="803" ht="15.75" customHeight="1">
      <c r="A803" s="56"/>
      <c r="B803" s="48"/>
      <c r="C803" s="48"/>
      <c r="D803" s="27"/>
      <c r="E803" s="27"/>
      <c r="F803" s="48"/>
      <c r="G803" s="48"/>
      <c r="H803" s="48"/>
      <c r="I803" s="48"/>
      <c r="J803" s="48"/>
      <c r="K803" s="48"/>
      <c r="L803" s="48"/>
      <c r="M803" s="48"/>
      <c r="N803" s="48"/>
      <c r="O803" s="48"/>
      <c r="P803" s="48"/>
      <c r="Q803" s="48"/>
      <c r="R803" s="48"/>
      <c r="S803" s="48"/>
      <c r="T803" s="48"/>
      <c r="U803" s="48"/>
      <c r="V803" s="48"/>
      <c r="W803" s="48"/>
      <c r="X803" s="48"/>
    </row>
    <row r="804" ht="15.75" customHeight="1">
      <c r="A804" s="56"/>
      <c r="B804" s="48"/>
      <c r="C804" s="48"/>
      <c r="D804" s="27"/>
      <c r="E804" s="27"/>
      <c r="F804" s="48"/>
      <c r="G804" s="48"/>
      <c r="H804" s="48"/>
      <c r="I804" s="48"/>
      <c r="J804" s="48"/>
      <c r="K804" s="48"/>
      <c r="L804" s="48"/>
      <c r="M804" s="48"/>
      <c r="N804" s="48"/>
      <c r="O804" s="48"/>
      <c r="P804" s="48"/>
      <c r="Q804" s="48"/>
      <c r="R804" s="48"/>
      <c r="S804" s="48"/>
      <c r="T804" s="48"/>
      <c r="U804" s="48"/>
      <c r="V804" s="48"/>
      <c r="W804" s="48"/>
      <c r="X804" s="48"/>
    </row>
    <row r="805" ht="15.75" customHeight="1">
      <c r="A805" s="56"/>
      <c r="B805" s="48"/>
      <c r="C805" s="48"/>
      <c r="D805" s="27"/>
      <c r="E805" s="27"/>
      <c r="F805" s="48"/>
      <c r="G805" s="48"/>
      <c r="H805" s="48"/>
      <c r="I805" s="48"/>
      <c r="J805" s="48"/>
      <c r="K805" s="48"/>
      <c r="L805" s="48"/>
      <c r="M805" s="48"/>
      <c r="N805" s="48"/>
      <c r="O805" s="48"/>
      <c r="P805" s="48"/>
      <c r="Q805" s="48"/>
      <c r="R805" s="48"/>
      <c r="S805" s="48"/>
      <c r="T805" s="48"/>
      <c r="U805" s="48"/>
      <c r="V805" s="48"/>
      <c r="W805" s="48"/>
      <c r="X805" s="48"/>
    </row>
    <row r="806" ht="15.75" customHeight="1">
      <c r="A806" s="56"/>
      <c r="B806" s="48"/>
      <c r="C806" s="48"/>
      <c r="D806" s="27"/>
      <c r="E806" s="27"/>
      <c r="F806" s="48"/>
      <c r="G806" s="48"/>
      <c r="H806" s="48"/>
      <c r="I806" s="48"/>
      <c r="J806" s="48"/>
      <c r="K806" s="48"/>
      <c r="L806" s="48"/>
      <c r="M806" s="48"/>
      <c r="N806" s="48"/>
      <c r="O806" s="48"/>
      <c r="P806" s="48"/>
      <c r="Q806" s="48"/>
      <c r="R806" s="48"/>
      <c r="S806" s="48"/>
      <c r="T806" s="48"/>
      <c r="U806" s="48"/>
      <c r="V806" s="48"/>
      <c r="W806" s="48"/>
      <c r="X806" s="48"/>
    </row>
    <row r="807" ht="15.75" customHeight="1">
      <c r="A807" s="56"/>
      <c r="B807" s="48"/>
      <c r="C807" s="48"/>
      <c r="D807" s="27"/>
      <c r="E807" s="27"/>
      <c r="F807" s="48"/>
      <c r="G807" s="48"/>
      <c r="H807" s="48"/>
      <c r="I807" s="48"/>
      <c r="J807" s="48"/>
      <c r="K807" s="48"/>
      <c r="L807" s="48"/>
      <c r="M807" s="48"/>
      <c r="N807" s="48"/>
      <c r="O807" s="48"/>
      <c r="P807" s="48"/>
      <c r="Q807" s="48"/>
      <c r="R807" s="48"/>
      <c r="S807" s="48"/>
      <c r="T807" s="48"/>
      <c r="U807" s="48"/>
      <c r="V807" s="48"/>
      <c r="W807" s="48"/>
      <c r="X807" s="48"/>
    </row>
    <row r="808" ht="15.75" customHeight="1">
      <c r="A808" s="56"/>
      <c r="B808" s="48"/>
      <c r="C808" s="48"/>
      <c r="D808" s="27"/>
      <c r="E808" s="27"/>
      <c r="F808" s="48"/>
      <c r="G808" s="48"/>
      <c r="H808" s="48"/>
      <c r="I808" s="48"/>
      <c r="J808" s="48"/>
      <c r="K808" s="48"/>
      <c r="L808" s="48"/>
      <c r="M808" s="48"/>
      <c r="N808" s="48"/>
      <c r="O808" s="48"/>
      <c r="P808" s="48"/>
      <c r="Q808" s="48"/>
      <c r="R808" s="48"/>
      <c r="S808" s="48"/>
      <c r="T808" s="48"/>
      <c r="U808" s="48"/>
      <c r="V808" s="48"/>
      <c r="W808" s="48"/>
      <c r="X808" s="48"/>
    </row>
    <row r="809" ht="15.75" customHeight="1">
      <c r="A809" s="56"/>
      <c r="B809" s="48"/>
      <c r="C809" s="48"/>
      <c r="D809" s="27"/>
      <c r="E809" s="27"/>
      <c r="F809" s="48"/>
      <c r="G809" s="48"/>
      <c r="H809" s="48"/>
      <c r="I809" s="48"/>
      <c r="J809" s="48"/>
      <c r="K809" s="48"/>
      <c r="L809" s="48"/>
      <c r="M809" s="48"/>
      <c r="N809" s="48"/>
      <c r="O809" s="48"/>
      <c r="P809" s="48"/>
      <c r="Q809" s="48"/>
      <c r="R809" s="48"/>
      <c r="S809" s="48"/>
      <c r="T809" s="48"/>
      <c r="U809" s="48"/>
      <c r="V809" s="48"/>
      <c r="W809" s="48"/>
      <c r="X809" s="48"/>
    </row>
    <row r="810" ht="15.75" customHeight="1">
      <c r="A810" s="56"/>
      <c r="B810" s="48"/>
      <c r="C810" s="48"/>
      <c r="D810" s="27"/>
      <c r="E810" s="27"/>
      <c r="F810" s="48"/>
      <c r="G810" s="48"/>
      <c r="H810" s="48"/>
      <c r="I810" s="48"/>
      <c r="J810" s="48"/>
      <c r="K810" s="48"/>
      <c r="L810" s="48"/>
      <c r="M810" s="48"/>
      <c r="N810" s="48"/>
      <c r="O810" s="48"/>
      <c r="P810" s="48"/>
      <c r="Q810" s="48"/>
      <c r="R810" s="48"/>
      <c r="S810" s="48"/>
      <c r="T810" s="48"/>
      <c r="U810" s="48"/>
      <c r="V810" s="48"/>
      <c r="W810" s="48"/>
      <c r="X810" s="48"/>
    </row>
    <row r="811" ht="15.75" customHeight="1">
      <c r="A811" s="56"/>
      <c r="B811" s="48"/>
      <c r="C811" s="48"/>
      <c r="D811" s="27"/>
      <c r="E811" s="27"/>
      <c r="F811" s="48"/>
      <c r="G811" s="48"/>
      <c r="H811" s="48"/>
      <c r="I811" s="48"/>
      <c r="J811" s="48"/>
      <c r="K811" s="48"/>
      <c r="L811" s="48"/>
      <c r="M811" s="48"/>
      <c r="N811" s="48"/>
      <c r="O811" s="48"/>
      <c r="P811" s="48"/>
      <c r="Q811" s="48"/>
      <c r="R811" s="48"/>
      <c r="S811" s="48"/>
      <c r="T811" s="48"/>
      <c r="U811" s="48"/>
      <c r="V811" s="48"/>
      <c r="W811" s="48"/>
      <c r="X811" s="48"/>
    </row>
    <row r="812" ht="15.75" customHeight="1">
      <c r="A812" s="56"/>
      <c r="B812" s="48"/>
      <c r="C812" s="48"/>
      <c r="D812" s="27"/>
      <c r="E812" s="27"/>
      <c r="F812" s="48"/>
      <c r="G812" s="48"/>
      <c r="H812" s="48"/>
      <c r="I812" s="48"/>
      <c r="J812" s="48"/>
      <c r="K812" s="48"/>
      <c r="L812" s="48"/>
      <c r="M812" s="48"/>
      <c r="N812" s="48"/>
      <c r="O812" s="48"/>
      <c r="P812" s="48"/>
      <c r="Q812" s="48"/>
      <c r="R812" s="48"/>
      <c r="S812" s="48"/>
      <c r="T812" s="48"/>
      <c r="U812" s="48"/>
      <c r="V812" s="48"/>
      <c r="W812" s="48"/>
      <c r="X812" s="48"/>
    </row>
    <row r="813" ht="15.75" customHeight="1">
      <c r="A813" s="56"/>
      <c r="B813" s="48"/>
      <c r="C813" s="48"/>
      <c r="D813" s="27"/>
      <c r="E813" s="27"/>
      <c r="F813" s="48"/>
      <c r="G813" s="48"/>
      <c r="H813" s="48"/>
      <c r="I813" s="48"/>
      <c r="J813" s="48"/>
      <c r="K813" s="48"/>
      <c r="L813" s="48"/>
      <c r="M813" s="48"/>
      <c r="N813" s="48"/>
      <c r="O813" s="48"/>
      <c r="P813" s="48"/>
      <c r="Q813" s="48"/>
      <c r="R813" s="48"/>
      <c r="S813" s="48"/>
      <c r="T813" s="48"/>
      <c r="U813" s="48"/>
      <c r="V813" s="48"/>
      <c r="W813" s="48"/>
      <c r="X813" s="48"/>
    </row>
    <row r="814" ht="15.75" customHeight="1">
      <c r="A814" s="56"/>
      <c r="B814" s="48"/>
      <c r="C814" s="48"/>
      <c r="D814" s="27"/>
      <c r="E814" s="27"/>
      <c r="F814" s="48"/>
      <c r="G814" s="48"/>
      <c r="H814" s="48"/>
      <c r="I814" s="48"/>
      <c r="J814" s="48"/>
      <c r="K814" s="48"/>
      <c r="L814" s="48"/>
      <c r="M814" s="48"/>
      <c r="N814" s="48"/>
      <c r="O814" s="48"/>
      <c r="P814" s="48"/>
      <c r="Q814" s="48"/>
      <c r="R814" s="48"/>
      <c r="S814" s="48"/>
      <c r="T814" s="48"/>
      <c r="U814" s="48"/>
      <c r="V814" s="48"/>
      <c r="W814" s="48"/>
      <c r="X814" s="48"/>
    </row>
    <row r="815" ht="15.75" customHeight="1">
      <c r="A815" s="56"/>
      <c r="B815" s="48"/>
      <c r="C815" s="48"/>
      <c r="D815" s="27"/>
      <c r="E815" s="27"/>
      <c r="F815" s="48"/>
      <c r="G815" s="48"/>
      <c r="H815" s="48"/>
      <c r="I815" s="48"/>
      <c r="J815" s="48"/>
      <c r="K815" s="48"/>
      <c r="L815" s="48"/>
      <c r="M815" s="48"/>
      <c r="N815" s="48"/>
      <c r="O815" s="48"/>
      <c r="P815" s="48"/>
      <c r="Q815" s="48"/>
      <c r="R815" s="48"/>
      <c r="S815" s="48"/>
      <c r="T815" s="48"/>
      <c r="U815" s="48"/>
      <c r="V815" s="48"/>
      <c r="W815" s="48"/>
      <c r="X815" s="48"/>
    </row>
    <row r="816" ht="15.75" customHeight="1">
      <c r="A816" s="56"/>
      <c r="B816" s="48"/>
      <c r="C816" s="48"/>
      <c r="D816" s="27"/>
      <c r="E816" s="27"/>
      <c r="F816" s="48"/>
      <c r="G816" s="48"/>
      <c r="H816" s="48"/>
      <c r="I816" s="48"/>
      <c r="J816" s="48"/>
      <c r="K816" s="48"/>
      <c r="L816" s="48"/>
      <c r="M816" s="48"/>
      <c r="N816" s="48"/>
      <c r="O816" s="48"/>
      <c r="P816" s="48"/>
      <c r="Q816" s="48"/>
      <c r="R816" s="48"/>
      <c r="S816" s="48"/>
      <c r="T816" s="48"/>
      <c r="U816" s="48"/>
      <c r="V816" s="48"/>
      <c r="W816" s="48"/>
      <c r="X816" s="48"/>
    </row>
    <row r="817" ht="15.75" customHeight="1">
      <c r="A817" s="56"/>
      <c r="B817" s="48"/>
      <c r="C817" s="48"/>
      <c r="D817" s="27"/>
      <c r="E817" s="27"/>
      <c r="F817" s="48"/>
      <c r="G817" s="48"/>
      <c r="H817" s="48"/>
      <c r="I817" s="48"/>
      <c r="J817" s="48"/>
      <c r="K817" s="48"/>
      <c r="L817" s="48"/>
      <c r="M817" s="48"/>
      <c r="N817" s="48"/>
      <c r="O817" s="48"/>
      <c r="P817" s="48"/>
      <c r="Q817" s="48"/>
      <c r="R817" s="48"/>
      <c r="S817" s="48"/>
      <c r="T817" s="48"/>
      <c r="U817" s="48"/>
      <c r="V817" s="48"/>
      <c r="W817" s="48"/>
      <c r="X817" s="48"/>
    </row>
    <row r="818" ht="15.75" customHeight="1">
      <c r="A818" s="56"/>
      <c r="B818" s="48"/>
      <c r="C818" s="48"/>
      <c r="D818" s="27"/>
      <c r="E818" s="27"/>
      <c r="F818" s="48"/>
      <c r="G818" s="48"/>
      <c r="H818" s="48"/>
      <c r="I818" s="48"/>
      <c r="J818" s="48"/>
      <c r="K818" s="48"/>
      <c r="L818" s="48"/>
      <c r="M818" s="48"/>
      <c r="N818" s="48"/>
      <c r="O818" s="48"/>
      <c r="P818" s="48"/>
      <c r="Q818" s="48"/>
      <c r="R818" s="48"/>
      <c r="S818" s="48"/>
      <c r="T818" s="48"/>
      <c r="U818" s="48"/>
      <c r="V818" s="48"/>
      <c r="W818" s="48"/>
      <c r="X818" s="48"/>
    </row>
    <row r="819" ht="15.75" customHeight="1">
      <c r="A819" s="56"/>
      <c r="B819" s="48"/>
      <c r="C819" s="48"/>
      <c r="D819" s="27"/>
      <c r="E819" s="27"/>
      <c r="F819" s="48"/>
      <c r="G819" s="48"/>
      <c r="H819" s="48"/>
      <c r="I819" s="48"/>
      <c r="J819" s="48"/>
      <c r="K819" s="48"/>
      <c r="L819" s="48"/>
      <c r="M819" s="48"/>
      <c r="N819" s="48"/>
      <c r="O819" s="48"/>
      <c r="P819" s="48"/>
      <c r="Q819" s="48"/>
      <c r="R819" s="48"/>
      <c r="S819" s="48"/>
      <c r="T819" s="48"/>
      <c r="U819" s="48"/>
      <c r="V819" s="48"/>
      <c r="W819" s="48"/>
      <c r="X819" s="48"/>
    </row>
    <row r="820" ht="15.75" customHeight="1">
      <c r="A820" s="56"/>
      <c r="B820" s="48"/>
      <c r="C820" s="48"/>
      <c r="D820" s="27"/>
      <c r="E820" s="27"/>
      <c r="F820" s="48"/>
      <c r="G820" s="48"/>
      <c r="H820" s="48"/>
      <c r="I820" s="48"/>
      <c r="J820" s="48"/>
      <c r="K820" s="48"/>
      <c r="L820" s="48"/>
      <c r="M820" s="48"/>
      <c r="N820" s="48"/>
      <c r="O820" s="48"/>
      <c r="P820" s="48"/>
      <c r="Q820" s="48"/>
      <c r="R820" s="48"/>
      <c r="S820" s="48"/>
      <c r="T820" s="48"/>
      <c r="U820" s="48"/>
      <c r="V820" s="48"/>
      <c r="W820" s="48"/>
      <c r="X820" s="48"/>
    </row>
    <row r="821" ht="15.75" customHeight="1">
      <c r="A821" s="56"/>
      <c r="B821" s="48"/>
      <c r="C821" s="48"/>
      <c r="D821" s="27"/>
      <c r="E821" s="27"/>
      <c r="F821" s="48"/>
      <c r="G821" s="48"/>
      <c r="H821" s="48"/>
      <c r="I821" s="48"/>
      <c r="J821" s="48"/>
      <c r="K821" s="48"/>
      <c r="L821" s="48"/>
      <c r="M821" s="48"/>
      <c r="N821" s="48"/>
      <c r="O821" s="48"/>
      <c r="P821" s="48"/>
      <c r="Q821" s="48"/>
      <c r="R821" s="48"/>
      <c r="S821" s="48"/>
      <c r="T821" s="48"/>
      <c r="U821" s="48"/>
      <c r="V821" s="48"/>
      <c r="W821" s="48"/>
      <c r="X821" s="48"/>
    </row>
    <row r="822" ht="15.75" customHeight="1">
      <c r="A822" s="56"/>
      <c r="B822" s="48"/>
      <c r="C822" s="48"/>
      <c r="D822" s="27"/>
      <c r="E822" s="27"/>
      <c r="F822" s="48"/>
      <c r="G822" s="48"/>
      <c r="H822" s="48"/>
      <c r="I822" s="48"/>
      <c r="J822" s="48"/>
      <c r="K822" s="48"/>
      <c r="L822" s="48"/>
      <c r="M822" s="48"/>
      <c r="N822" s="48"/>
      <c r="O822" s="48"/>
      <c r="P822" s="48"/>
      <c r="Q822" s="48"/>
      <c r="R822" s="48"/>
      <c r="S822" s="48"/>
      <c r="T822" s="48"/>
      <c r="U822" s="48"/>
      <c r="V822" s="48"/>
      <c r="W822" s="48"/>
      <c r="X822" s="48"/>
    </row>
    <row r="823" ht="15.75" customHeight="1">
      <c r="A823" s="56"/>
      <c r="B823" s="48"/>
      <c r="C823" s="48"/>
      <c r="D823" s="27"/>
      <c r="E823" s="27"/>
      <c r="F823" s="48"/>
      <c r="G823" s="48"/>
      <c r="H823" s="48"/>
      <c r="I823" s="48"/>
      <c r="J823" s="48"/>
      <c r="K823" s="48"/>
      <c r="L823" s="48"/>
      <c r="M823" s="48"/>
      <c r="N823" s="48"/>
      <c r="O823" s="48"/>
      <c r="P823" s="48"/>
      <c r="Q823" s="48"/>
      <c r="R823" s="48"/>
      <c r="S823" s="48"/>
      <c r="T823" s="48"/>
      <c r="U823" s="48"/>
      <c r="V823" s="48"/>
      <c r="W823" s="48"/>
      <c r="X823" s="48"/>
    </row>
    <row r="824" ht="15.75" customHeight="1">
      <c r="A824" s="56"/>
      <c r="B824" s="48"/>
      <c r="C824" s="48"/>
      <c r="D824" s="27"/>
      <c r="E824" s="27"/>
      <c r="F824" s="48"/>
      <c r="G824" s="48"/>
      <c r="H824" s="48"/>
      <c r="I824" s="48"/>
      <c r="J824" s="48"/>
      <c r="K824" s="48"/>
      <c r="L824" s="48"/>
      <c r="M824" s="48"/>
      <c r="N824" s="48"/>
      <c r="O824" s="48"/>
      <c r="P824" s="48"/>
      <c r="Q824" s="48"/>
      <c r="R824" s="48"/>
      <c r="S824" s="48"/>
      <c r="T824" s="48"/>
      <c r="U824" s="48"/>
      <c r="V824" s="48"/>
      <c r="W824" s="48"/>
      <c r="X824" s="48"/>
    </row>
    <row r="825" ht="15.75" customHeight="1">
      <c r="A825" s="56"/>
      <c r="B825" s="48"/>
      <c r="C825" s="48"/>
      <c r="D825" s="27"/>
      <c r="E825" s="27"/>
      <c r="F825" s="48"/>
      <c r="G825" s="48"/>
      <c r="H825" s="48"/>
      <c r="I825" s="48"/>
      <c r="J825" s="48"/>
      <c r="K825" s="48"/>
      <c r="L825" s="48"/>
      <c r="M825" s="48"/>
      <c r="N825" s="48"/>
      <c r="O825" s="48"/>
      <c r="P825" s="48"/>
      <c r="Q825" s="48"/>
      <c r="R825" s="48"/>
      <c r="S825" s="48"/>
      <c r="T825" s="48"/>
      <c r="U825" s="48"/>
      <c r="V825" s="48"/>
      <c r="W825" s="48"/>
      <c r="X825" s="48"/>
    </row>
    <row r="826" ht="15.75" customHeight="1">
      <c r="A826" s="56"/>
      <c r="B826" s="48"/>
      <c r="C826" s="48"/>
      <c r="D826" s="27"/>
      <c r="E826" s="27"/>
      <c r="F826" s="48"/>
      <c r="G826" s="48"/>
      <c r="H826" s="48"/>
      <c r="I826" s="48"/>
      <c r="J826" s="48"/>
      <c r="K826" s="48"/>
      <c r="L826" s="48"/>
      <c r="M826" s="48"/>
      <c r="N826" s="48"/>
      <c r="O826" s="48"/>
      <c r="P826" s="48"/>
      <c r="Q826" s="48"/>
      <c r="R826" s="48"/>
      <c r="S826" s="48"/>
      <c r="T826" s="48"/>
      <c r="U826" s="48"/>
      <c r="V826" s="48"/>
      <c r="W826" s="48"/>
      <c r="X826" s="48"/>
    </row>
    <row r="827" ht="15.75" customHeight="1">
      <c r="A827" s="56"/>
      <c r="B827" s="48"/>
      <c r="C827" s="48"/>
      <c r="D827" s="27"/>
      <c r="E827" s="27"/>
      <c r="F827" s="48"/>
      <c r="G827" s="48"/>
      <c r="H827" s="48"/>
      <c r="I827" s="48"/>
      <c r="J827" s="48"/>
      <c r="K827" s="48"/>
      <c r="L827" s="48"/>
      <c r="M827" s="48"/>
      <c r="N827" s="48"/>
      <c r="O827" s="48"/>
      <c r="P827" s="48"/>
      <c r="Q827" s="48"/>
      <c r="R827" s="48"/>
      <c r="S827" s="48"/>
      <c r="T827" s="48"/>
      <c r="U827" s="48"/>
      <c r="V827" s="48"/>
      <c r="W827" s="48"/>
      <c r="X827" s="48"/>
    </row>
    <row r="828" ht="15.75" customHeight="1">
      <c r="A828" s="56"/>
      <c r="B828" s="48"/>
      <c r="C828" s="48"/>
      <c r="D828" s="27"/>
      <c r="E828" s="27"/>
      <c r="F828" s="48"/>
      <c r="G828" s="48"/>
      <c r="H828" s="48"/>
      <c r="I828" s="48"/>
      <c r="J828" s="48"/>
      <c r="K828" s="48"/>
      <c r="L828" s="48"/>
      <c r="M828" s="48"/>
      <c r="N828" s="48"/>
      <c r="O828" s="48"/>
      <c r="P828" s="48"/>
      <c r="Q828" s="48"/>
      <c r="R828" s="48"/>
      <c r="S828" s="48"/>
      <c r="T828" s="48"/>
      <c r="U828" s="48"/>
      <c r="V828" s="48"/>
      <c r="W828" s="48"/>
      <c r="X828" s="48"/>
    </row>
    <row r="829" ht="15.75" customHeight="1">
      <c r="A829" s="56"/>
      <c r="B829" s="48"/>
      <c r="C829" s="48"/>
      <c r="D829" s="27"/>
      <c r="E829" s="27"/>
      <c r="F829" s="48"/>
      <c r="G829" s="48"/>
      <c r="H829" s="48"/>
      <c r="I829" s="48"/>
      <c r="J829" s="48"/>
      <c r="K829" s="48"/>
      <c r="L829" s="48"/>
      <c r="M829" s="48"/>
      <c r="N829" s="48"/>
      <c r="O829" s="48"/>
      <c r="P829" s="48"/>
      <c r="Q829" s="48"/>
      <c r="R829" s="48"/>
      <c r="S829" s="48"/>
      <c r="T829" s="48"/>
      <c r="U829" s="48"/>
      <c r="V829" s="48"/>
      <c r="W829" s="48"/>
      <c r="X829" s="48"/>
    </row>
    <row r="830" ht="15.75" customHeight="1">
      <c r="A830" s="56"/>
      <c r="B830" s="48"/>
      <c r="C830" s="48"/>
      <c r="D830" s="27"/>
      <c r="E830" s="27"/>
      <c r="F830" s="48"/>
      <c r="G830" s="48"/>
      <c r="H830" s="48"/>
      <c r="I830" s="48"/>
      <c r="J830" s="48"/>
      <c r="K830" s="48"/>
      <c r="L830" s="48"/>
      <c r="M830" s="48"/>
      <c r="N830" s="48"/>
      <c r="O830" s="48"/>
      <c r="P830" s="48"/>
      <c r="Q830" s="48"/>
      <c r="R830" s="48"/>
      <c r="S830" s="48"/>
      <c r="T830" s="48"/>
      <c r="U830" s="48"/>
      <c r="V830" s="48"/>
      <c r="W830" s="48"/>
      <c r="X830" s="48"/>
    </row>
    <row r="831" ht="15.75" customHeight="1">
      <c r="A831" s="56"/>
      <c r="B831" s="48"/>
      <c r="C831" s="48"/>
      <c r="D831" s="27"/>
      <c r="E831" s="27"/>
      <c r="F831" s="48"/>
      <c r="G831" s="48"/>
      <c r="H831" s="48"/>
      <c r="I831" s="48"/>
      <c r="J831" s="48"/>
      <c r="K831" s="48"/>
      <c r="L831" s="48"/>
      <c r="M831" s="48"/>
      <c r="N831" s="48"/>
      <c r="O831" s="48"/>
      <c r="P831" s="48"/>
      <c r="Q831" s="48"/>
      <c r="R831" s="48"/>
      <c r="S831" s="48"/>
      <c r="T831" s="48"/>
      <c r="U831" s="48"/>
      <c r="V831" s="48"/>
      <c r="W831" s="48"/>
      <c r="X831" s="48"/>
    </row>
    <row r="832" ht="15.75" customHeight="1">
      <c r="A832" s="56"/>
      <c r="B832" s="48"/>
      <c r="C832" s="48"/>
      <c r="D832" s="27"/>
      <c r="E832" s="27"/>
      <c r="F832" s="48"/>
      <c r="G832" s="48"/>
      <c r="H832" s="48"/>
      <c r="I832" s="48"/>
      <c r="J832" s="48"/>
      <c r="K832" s="48"/>
      <c r="L832" s="48"/>
      <c r="M832" s="48"/>
      <c r="N832" s="48"/>
      <c r="O832" s="48"/>
      <c r="P832" s="48"/>
      <c r="Q832" s="48"/>
      <c r="R832" s="48"/>
      <c r="S832" s="48"/>
      <c r="T832" s="48"/>
      <c r="U832" s="48"/>
      <c r="V832" s="48"/>
      <c r="W832" s="48"/>
      <c r="X832" s="48"/>
    </row>
    <row r="833" ht="15.75" customHeight="1">
      <c r="A833" s="56"/>
      <c r="B833" s="48"/>
      <c r="C833" s="48"/>
      <c r="D833" s="27"/>
      <c r="E833" s="27"/>
      <c r="F833" s="48"/>
      <c r="G833" s="48"/>
      <c r="H833" s="48"/>
      <c r="I833" s="48"/>
      <c r="J833" s="48"/>
      <c r="K833" s="48"/>
      <c r="L833" s="48"/>
      <c r="M833" s="48"/>
      <c r="N833" s="48"/>
      <c r="O833" s="48"/>
      <c r="P833" s="48"/>
      <c r="Q833" s="48"/>
      <c r="R833" s="48"/>
      <c r="S833" s="48"/>
      <c r="T833" s="48"/>
      <c r="U833" s="48"/>
      <c r="V833" s="48"/>
      <c r="W833" s="48"/>
      <c r="X833" s="48"/>
    </row>
    <row r="834" ht="15.75" customHeight="1">
      <c r="A834" s="56"/>
      <c r="B834" s="48"/>
      <c r="C834" s="48"/>
      <c r="D834" s="27"/>
      <c r="E834" s="27"/>
      <c r="F834" s="48"/>
      <c r="G834" s="48"/>
      <c r="H834" s="48"/>
      <c r="I834" s="48"/>
      <c r="J834" s="48"/>
      <c r="K834" s="48"/>
      <c r="L834" s="48"/>
      <c r="M834" s="48"/>
      <c r="N834" s="48"/>
      <c r="O834" s="48"/>
      <c r="P834" s="48"/>
      <c r="Q834" s="48"/>
      <c r="R834" s="48"/>
      <c r="S834" s="48"/>
      <c r="T834" s="48"/>
      <c r="U834" s="48"/>
      <c r="V834" s="48"/>
      <c r="W834" s="48"/>
      <c r="X834" s="48"/>
    </row>
    <row r="835" ht="15.75" customHeight="1">
      <c r="A835" s="56"/>
      <c r="B835" s="48"/>
      <c r="C835" s="48"/>
      <c r="D835" s="27"/>
      <c r="E835" s="27"/>
      <c r="F835" s="48"/>
      <c r="G835" s="48"/>
      <c r="H835" s="48"/>
      <c r="I835" s="48"/>
      <c r="J835" s="48"/>
      <c r="K835" s="48"/>
      <c r="L835" s="48"/>
      <c r="M835" s="48"/>
      <c r="N835" s="48"/>
      <c r="O835" s="48"/>
      <c r="P835" s="48"/>
      <c r="Q835" s="48"/>
      <c r="R835" s="48"/>
      <c r="S835" s="48"/>
      <c r="T835" s="48"/>
      <c r="U835" s="48"/>
      <c r="V835" s="48"/>
      <c r="W835" s="48"/>
      <c r="X835" s="48"/>
    </row>
    <row r="836" ht="15.75" customHeight="1">
      <c r="A836" s="56"/>
      <c r="B836" s="48"/>
      <c r="C836" s="48"/>
      <c r="D836" s="27"/>
      <c r="E836" s="27"/>
      <c r="F836" s="48"/>
      <c r="G836" s="48"/>
      <c r="H836" s="48"/>
      <c r="I836" s="48"/>
      <c r="J836" s="48"/>
      <c r="K836" s="48"/>
      <c r="L836" s="48"/>
      <c r="M836" s="48"/>
      <c r="N836" s="48"/>
      <c r="O836" s="48"/>
      <c r="P836" s="48"/>
      <c r="Q836" s="48"/>
      <c r="R836" s="48"/>
      <c r="S836" s="48"/>
      <c r="T836" s="48"/>
      <c r="U836" s="48"/>
      <c r="V836" s="48"/>
      <c r="W836" s="48"/>
      <c r="X836" s="48"/>
    </row>
    <row r="837" ht="15.75" customHeight="1">
      <c r="A837" s="56"/>
      <c r="B837" s="48"/>
      <c r="C837" s="48"/>
      <c r="D837" s="27"/>
      <c r="E837" s="27"/>
      <c r="F837" s="48"/>
      <c r="G837" s="48"/>
      <c r="H837" s="48"/>
      <c r="I837" s="48"/>
      <c r="J837" s="48"/>
      <c r="K837" s="48"/>
      <c r="L837" s="48"/>
      <c r="M837" s="48"/>
      <c r="N837" s="48"/>
      <c r="O837" s="48"/>
      <c r="P837" s="48"/>
      <c r="Q837" s="48"/>
      <c r="R837" s="48"/>
      <c r="S837" s="48"/>
      <c r="T837" s="48"/>
      <c r="U837" s="48"/>
      <c r="V837" s="48"/>
      <c r="W837" s="48"/>
      <c r="X837" s="48"/>
    </row>
    <row r="838" ht="15.75" customHeight="1">
      <c r="A838" s="56"/>
      <c r="B838" s="48"/>
      <c r="C838" s="48"/>
      <c r="D838" s="27"/>
      <c r="E838" s="27"/>
      <c r="F838" s="48"/>
      <c r="G838" s="48"/>
      <c r="H838" s="48"/>
      <c r="I838" s="48"/>
      <c r="J838" s="48"/>
      <c r="K838" s="48"/>
      <c r="L838" s="48"/>
      <c r="M838" s="48"/>
      <c r="N838" s="48"/>
      <c r="O838" s="48"/>
      <c r="P838" s="48"/>
      <c r="Q838" s="48"/>
      <c r="R838" s="48"/>
      <c r="S838" s="48"/>
      <c r="T838" s="48"/>
      <c r="U838" s="48"/>
      <c r="V838" s="48"/>
      <c r="W838" s="48"/>
      <c r="X838" s="48"/>
    </row>
    <row r="839" ht="15.75" customHeight="1">
      <c r="A839" s="56"/>
      <c r="B839" s="48"/>
      <c r="C839" s="48"/>
      <c r="D839" s="27"/>
      <c r="E839" s="27"/>
      <c r="F839" s="48"/>
      <c r="G839" s="48"/>
      <c r="H839" s="48"/>
      <c r="I839" s="48"/>
      <c r="J839" s="48"/>
      <c r="K839" s="48"/>
      <c r="L839" s="48"/>
      <c r="M839" s="48"/>
      <c r="N839" s="48"/>
      <c r="O839" s="48"/>
      <c r="P839" s="48"/>
      <c r="Q839" s="48"/>
      <c r="R839" s="48"/>
      <c r="S839" s="48"/>
      <c r="T839" s="48"/>
      <c r="U839" s="48"/>
      <c r="V839" s="48"/>
      <c r="W839" s="48"/>
      <c r="X839" s="48"/>
    </row>
    <row r="840" ht="15.75" customHeight="1">
      <c r="A840" s="56"/>
      <c r="B840" s="48"/>
      <c r="C840" s="48"/>
      <c r="D840" s="27"/>
      <c r="E840" s="27"/>
      <c r="F840" s="48"/>
      <c r="G840" s="48"/>
      <c r="H840" s="48"/>
      <c r="I840" s="48"/>
      <c r="J840" s="48"/>
      <c r="K840" s="48"/>
      <c r="L840" s="48"/>
      <c r="M840" s="48"/>
      <c r="N840" s="48"/>
      <c r="O840" s="48"/>
      <c r="P840" s="48"/>
      <c r="Q840" s="48"/>
      <c r="R840" s="48"/>
      <c r="S840" s="48"/>
      <c r="T840" s="48"/>
      <c r="U840" s="48"/>
      <c r="V840" s="48"/>
      <c r="W840" s="48"/>
      <c r="X840" s="48"/>
    </row>
    <row r="841" ht="15.75" customHeight="1">
      <c r="A841" s="56"/>
      <c r="B841" s="48"/>
      <c r="C841" s="48"/>
      <c r="D841" s="27"/>
      <c r="E841" s="27"/>
      <c r="F841" s="48"/>
      <c r="G841" s="48"/>
      <c r="H841" s="48"/>
      <c r="I841" s="48"/>
      <c r="J841" s="48"/>
      <c r="K841" s="48"/>
      <c r="L841" s="48"/>
      <c r="M841" s="48"/>
      <c r="N841" s="48"/>
      <c r="O841" s="48"/>
      <c r="P841" s="48"/>
      <c r="Q841" s="48"/>
      <c r="R841" s="48"/>
      <c r="S841" s="48"/>
      <c r="T841" s="48"/>
      <c r="U841" s="48"/>
      <c r="V841" s="48"/>
      <c r="W841" s="48"/>
      <c r="X841" s="48"/>
    </row>
    <row r="842" ht="15.75" customHeight="1">
      <c r="A842" s="56"/>
      <c r="B842" s="48"/>
      <c r="C842" s="48"/>
      <c r="D842" s="27"/>
      <c r="E842" s="27"/>
      <c r="F842" s="48"/>
      <c r="G842" s="48"/>
      <c r="H842" s="48"/>
      <c r="I842" s="48"/>
      <c r="J842" s="48"/>
      <c r="K842" s="48"/>
      <c r="L842" s="48"/>
      <c r="M842" s="48"/>
      <c r="N842" s="48"/>
      <c r="O842" s="48"/>
      <c r="P842" s="48"/>
      <c r="Q842" s="48"/>
      <c r="R842" s="48"/>
      <c r="S842" s="48"/>
      <c r="T842" s="48"/>
      <c r="U842" s="48"/>
      <c r="V842" s="48"/>
      <c r="W842" s="48"/>
      <c r="X842" s="48"/>
    </row>
    <row r="843" ht="15.75" customHeight="1">
      <c r="A843" s="56"/>
      <c r="B843" s="48"/>
      <c r="C843" s="48"/>
      <c r="D843" s="27"/>
      <c r="E843" s="27"/>
      <c r="F843" s="48"/>
      <c r="G843" s="48"/>
      <c r="H843" s="48"/>
      <c r="I843" s="48"/>
      <c r="J843" s="48"/>
      <c r="K843" s="48"/>
      <c r="L843" s="48"/>
      <c r="M843" s="48"/>
      <c r="N843" s="48"/>
      <c r="O843" s="48"/>
      <c r="P843" s="48"/>
      <c r="Q843" s="48"/>
      <c r="R843" s="48"/>
      <c r="S843" s="48"/>
      <c r="T843" s="48"/>
      <c r="U843" s="48"/>
      <c r="V843" s="48"/>
      <c r="W843" s="48"/>
      <c r="X843" s="48"/>
    </row>
    <row r="844" ht="15.75" customHeight="1">
      <c r="A844" s="56"/>
      <c r="B844" s="48"/>
      <c r="C844" s="48"/>
      <c r="D844" s="27"/>
      <c r="E844" s="27"/>
      <c r="F844" s="48"/>
      <c r="G844" s="48"/>
      <c r="H844" s="48"/>
      <c r="I844" s="48"/>
      <c r="J844" s="48"/>
      <c r="K844" s="48"/>
      <c r="L844" s="48"/>
      <c r="M844" s="48"/>
      <c r="N844" s="48"/>
      <c r="O844" s="48"/>
      <c r="P844" s="48"/>
      <c r="Q844" s="48"/>
      <c r="R844" s="48"/>
      <c r="S844" s="48"/>
      <c r="T844" s="48"/>
      <c r="U844" s="48"/>
      <c r="V844" s="48"/>
      <c r="W844" s="48"/>
      <c r="X844" s="48"/>
    </row>
    <row r="845" ht="15.75" customHeight="1">
      <c r="A845" s="56"/>
      <c r="B845" s="48"/>
      <c r="C845" s="48"/>
      <c r="D845" s="27"/>
      <c r="E845" s="27"/>
      <c r="F845" s="48"/>
      <c r="G845" s="48"/>
      <c r="H845" s="48"/>
      <c r="I845" s="48"/>
      <c r="J845" s="48"/>
      <c r="K845" s="48"/>
      <c r="L845" s="48"/>
      <c r="M845" s="48"/>
      <c r="N845" s="48"/>
      <c r="O845" s="48"/>
      <c r="P845" s="48"/>
      <c r="Q845" s="48"/>
      <c r="R845" s="48"/>
      <c r="S845" s="48"/>
      <c r="T845" s="48"/>
      <c r="U845" s="48"/>
      <c r="V845" s="48"/>
      <c r="W845" s="48"/>
      <c r="X845" s="48"/>
    </row>
    <row r="846" ht="15.75" customHeight="1">
      <c r="A846" s="56"/>
      <c r="B846" s="48"/>
      <c r="C846" s="48"/>
      <c r="D846" s="27"/>
      <c r="E846" s="27"/>
      <c r="F846" s="48"/>
      <c r="G846" s="48"/>
      <c r="H846" s="48"/>
      <c r="I846" s="48"/>
      <c r="J846" s="48"/>
      <c r="K846" s="48"/>
      <c r="L846" s="48"/>
      <c r="M846" s="48"/>
      <c r="N846" s="48"/>
      <c r="O846" s="48"/>
      <c r="P846" s="48"/>
      <c r="Q846" s="48"/>
      <c r="R846" s="48"/>
      <c r="S846" s="48"/>
      <c r="T846" s="48"/>
      <c r="U846" s="48"/>
      <c r="V846" s="48"/>
      <c r="W846" s="48"/>
      <c r="X846" s="48"/>
    </row>
    <row r="847" ht="15.75" customHeight="1">
      <c r="A847" s="56"/>
      <c r="B847" s="48"/>
      <c r="C847" s="48"/>
      <c r="D847" s="27"/>
      <c r="E847" s="27"/>
      <c r="F847" s="48"/>
      <c r="G847" s="48"/>
      <c r="H847" s="48"/>
      <c r="I847" s="48"/>
      <c r="J847" s="48"/>
      <c r="K847" s="48"/>
      <c r="L847" s="48"/>
      <c r="M847" s="48"/>
      <c r="N847" s="48"/>
      <c r="O847" s="48"/>
      <c r="P847" s="48"/>
      <c r="Q847" s="48"/>
      <c r="R847" s="48"/>
      <c r="S847" s="48"/>
      <c r="T847" s="48"/>
      <c r="U847" s="48"/>
      <c r="V847" s="48"/>
      <c r="W847" s="48"/>
      <c r="X847" s="48"/>
    </row>
    <row r="848" ht="15.75" customHeight="1">
      <c r="A848" s="56"/>
      <c r="B848" s="48"/>
      <c r="C848" s="48"/>
      <c r="D848" s="27"/>
      <c r="E848" s="27"/>
      <c r="F848" s="48"/>
      <c r="G848" s="48"/>
      <c r="H848" s="48"/>
      <c r="I848" s="48"/>
      <c r="J848" s="48"/>
      <c r="K848" s="48"/>
      <c r="L848" s="48"/>
      <c r="M848" s="48"/>
      <c r="N848" s="48"/>
      <c r="O848" s="48"/>
      <c r="P848" s="48"/>
      <c r="Q848" s="48"/>
      <c r="R848" s="48"/>
      <c r="S848" s="48"/>
      <c r="T848" s="48"/>
      <c r="U848" s="48"/>
      <c r="V848" s="48"/>
      <c r="W848" s="48"/>
      <c r="X848" s="48"/>
    </row>
    <row r="849" ht="15.75" customHeight="1">
      <c r="A849" s="56"/>
      <c r="B849" s="48"/>
      <c r="C849" s="48"/>
      <c r="D849" s="27"/>
      <c r="E849" s="27"/>
      <c r="F849" s="48"/>
      <c r="G849" s="48"/>
      <c r="H849" s="48"/>
      <c r="I849" s="48"/>
      <c r="J849" s="48"/>
      <c r="K849" s="48"/>
      <c r="L849" s="48"/>
      <c r="M849" s="48"/>
      <c r="N849" s="48"/>
      <c r="O849" s="48"/>
      <c r="P849" s="48"/>
      <c r="Q849" s="48"/>
      <c r="R849" s="48"/>
      <c r="S849" s="48"/>
      <c r="T849" s="48"/>
      <c r="U849" s="48"/>
      <c r="V849" s="48"/>
      <c r="W849" s="48"/>
      <c r="X849" s="48"/>
    </row>
    <row r="850" ht="15.75" customHeight="1">
      <c r="A850" s="56"/>
      <c r="B850" s="48"/>
      <c r="C850" s="48"/>
      <c r="D850" s="27"/>
      <c r="E850" s="27"/>
      <c r="F850" s="48"/>
      <c r="G850" s="48"/>
      <c r="H850" s="48"/>
      <c r="I850" s="48"/>
      <c r="J850" s="48"/>
      <c r="K850" s="48"/>
      <c r="L850" s="48"/>
      <c r="M850" s="48"/>
      <c r="N850" s="48"/>
      <c r="O850" s="48"/>
      <c r="P850" s="48"/>
      <c r="Q850" s="48"/>
      <c r="R850" s="48"/>
      <c r="S850" s="48"/>
      <c r="T850" s="48"/>
      <c r="U850" s="48"/>
      <c r="V850" s="48"/>
      <c r="W850" s="48"/>
      <c r="X850" s="48"/>
    </row>
    <row r="851" ht="15.75" customHeight="1">
      <c r="A851" s="56"/>
      <c r="B851" s="48"/>
      <c r="C851" s="48"/>
      <c r="D851" s="27"/>
      <c r="E851" s="27"/>
      <c r="F851" s="48"/>
      <c r="G851" s="48"/>
      <c r="H851" s="48"/>
      <c r="I851" s="48"/>
      <c r="J851" s="48"/>
      <c r="K851" s="48"/>
      <c r="L851" s="48"/>
      <c r="M851" s="48"/>
      <c r="N851" s="48"/>
      <c r="O851" s="48"/>
      <c r="P851" s="48"/>
      <c r="Q851" s="48"/>
      <c r="R851" s="48"/>
      <c r="S851" s="48"/>
      <c r="T851" s="48"/>
      <c r="U851" s="48"/>
      <c r="V851" s="48"/>
      <c r="W851" s="48"/>
      <c r="X851" s="48"/>
    </row>
    <row r="852" ht="15.75" customHeight="1">
      <c r="A852" s="56"/>
      <c r="B852" s="48"/>
      <c r="C852" s="48"/>
      <c r="D852" s="27"/>
      <c r="E852" s="27"/>
      <c r="F852" s="48"/>
      <c r="G852" s="48"/>
      <c r="H852" s="48"/>
      <c r="I852" s="48"/>
      <c r="J852" s="48"/>
      <c r="K852" s="48"/>
      <c r="L852" s="48"/>
      <c r="M852" s="48"/>
      <c r="N852" s="48"/>
      <c r="O852" s="48"/>
      <c r="P852" s="48"/>
      <c r="Q852" s="48"/>
      <c r="R852" s="48"/>
      <c r="S852" s="48"/>
      <c r="T852" s="48"/>
      <c r="U852" s="48"/>
      <c r="V852" s="48"/>
      <c r="W852" s="48"/>
      <c r="X852" s="48"/>
    </row>
    <row r="853" ht="15.75" customHeight="1">
      <c r="A853" s="56"/>
      <c r="B853" s="48"/>
      <c r="C853" s="48"/>
      <c r="D853" s="27"/>
      <c r="E853" s="27"/>
      <c r="F853" s="48"/>
      <c r="G853" s="48"/>
      <c r="H853" s="48"/>
      <c r="I853" s="48"/>
      <c r="J853" s="48"/>
      <c r="K853" s="48"/>
      <c r="L853" s="48"/>
      <c r="M853" s="48"/>
      <c r="N853" s="48"/>
      <c r="O853" s="48"/>
      <c r="P853" s="48"/>
      <c r="Q853" s="48"/>
      <c r="R853" s="48"/>
      <c r="S853" s="48"/>
      <c r="T853" s="48"/>
      <c r="U853" s="48"/>
      <c r="V853" s="48"/>
      <c r="W853" s="48"/>
      <c r="X853" s="48"/>
    </row>
    <row r="854" ht="15.75" customHeight="1">
      <c r="A854" s="56"/>
      <c r="B854" s="48"/>
      <c r="C854" s="48"/>
      <c r="D854" s="27"/>
      <c r="E854" s="27"/>
      <c r="F854" s="48"/>
      <c r="G854" s="48"/>
      <c r="H854" s="48"/>
      <c r="I854" s="48"/>
      <c r="J854" s="48"/>
      <c r="K854" s="48"/>
      <c r="L854" s="48"/>
      <c r="M854" s="48"/>
      <c r="N854" s="48"/>
      <c r="O854" s="48"/>
      <c r="P854" s="48"/>
      <c r="Q854" s="48"/>
      <c r="R854" s="48"/>
      <c r="S854" s="48"/>
      <c r="T854" s="48"/>
      <c r="U854" s="48"/>
      <c r="V854" s="48"/>
      <c r="W854" s="48"/>
      <c r="X854" s="48"/>
    </row>
    <row r="855" ht="15.75" customHeight="1">
      <c r="A855" s="56"/>
      <c r="B855" s="48"/>
      <c r="C855" s="48"/>
      <c r="D855" s="27"/>
      <c r="E855" s="27"/>
      <c r="F855" s="48"/>
      <c r="G855" s="48"/>
      <c r="H855" s="48"/>
      <c r="I855" s="48"/>
      <c r="J855" s="48"/>
      <c r="K855" s="48"/>
      <c r="L855" s="48"/>
      <c r="M855" s="48"/>
      <c r="N855" s="48"/>
      <c r="O855" s="48"/>
      <c r="P855" s="48"/>
      <c r="Q855" s="48"/>
      <c r="R855" s="48"/>
      <c r="S855" s="48"/>
      <c r="T855" s="48"/>
      <c r="U855" s="48"/>
      <c r="V855" s="48"/>
      <c r="W855" s="48"/>
      <c r="X855" s="48"/>
    </row>
    <row r="856" ht="15.75" customHeight="1">
      <c r="A856" s="56"/>
      <c r="B856" s="48"/>
      <c r="C856" s="48"/>
      <c r="D856" s="27"/>
      <c r="E856" s="27"/>
      <c r="F856" s="48"/>
      <c r="G856" s="48"/>
      <c r="H856" s="48"/>
      <c r="I856" s="48"/>
      <c r="J856" s="48"/>
      <c r="K856" s="48"/>
      <c r="L856" s="48"/>
      <c r="M856" s="48"/>
      <c r="N856" s="48"/>
      <c r="O856" s="48"/>
      <c r="P856" s="48"/>
      <c r="Q856" s="48"/>
      <c r="R856" s="48"/>
      <c r="S856" s="48"/>
      <c r="T856" s="48"/>
      <c r="U856" s="48"/>
      <c r="V856" s="48"/>
      <c r="W856" s="48"/>
      <c r="X856" s="48"/>
    </row>
    <row r="857" ht="15.75" customHeight="1">
      <c r="A857" s="56"/>
      <c r="B857" s="48"/>
      <c r="C857" s="48"/>
      <c r="D857" s="27"/>
      <c r="E857" s="27"/>
      <c r="F857" s="48"/>
      <c r="G857" s="48"/>
      <c r="H857" s="48"/>
      <c r="I857" s="48"/>
      <c r="J857" s="48"/>
      <c r="K857" s="48"/>
      <c r="L857" s="48"/>
      <c r="M857" s="48"/>
      <c r="N857" s="48"/>
      <c r="O857" s="48"/>
      <c r="P857" s="48"/>
      <c r="Q857" s="48"/>
      <c r="R857" s="48"/>
      <c r="S857" s="48"/>
      <c r="T857" s="48"/>
      <c r="U857" s="48"/>
      <c r="V857" s="48"/>
      <c r="W857" s="48"/>
      <c r="X857" s="48"/>
    </row>
    <row r="858" ht="15.75" customHeight="1">
      <c r="A858" s="56"/>
      <c r="B858" s="48"/>
      <c r="C858" s="48"/>
      <c r="D858" s="27"/>
      <c r="E858" s="27"/>
      <c r="F858" s="48"/>
      <c r="G858" s="48"/>
      <c r="H858" s="48"/>
      <c r="I858" s="48"/>
      <c r="J858" s="48"/>
      <c r="K858" s="48"/>
      <c r="L858" s="48"/>
      <c r="M858" s="48"/>
      <c r="N858" s="48"/>
      <c r="O858" s="48"/>
      <c r="P858" s="48"/>
      <c r="Q858" s="48"/>
      <c r="R858" s="48"/>
      <c r="S858" s="48"/>
      <c r="T858" s="48"/>
      <c r="U858" s="48"/>
      <c r="V858" s="48"/>
      <c r="W858" s="48"/>
      <c r="X858" s="48"/>
    </row>
    <row r="859" ht="15.75" customHeight="1">
      <c r="A859" s="56"/>
      <c r="B859" s="48"/>
      <c r="C859" s="48"/>
      <c r="D859" s="27"/>
      <c r="E859" s="27"/>
      <c r="F859" s="48"/>
      <c r="G859" s="48"/>
      <c r="H859" s="48"/>
      <c r="I859" s="48"/>
      <c r="J859" s="48"/>
      <c r="K859" s="48"/>
      <c r="L859" s="48"/>
      <c r="M859" s="48"/>
      <c r="N859" s="48"/>
      <c r="O859" s="48"/>
      <c r="P859" s="48"/>
      <c r="Q859" s="48"/>
      <c r="R859" s="48"/>
      <c r="S859" s="48"/>
      <c r="T859" s="48"/>
      <c r="U859" s="48"/>
      <c r="V859" s="48"/>
      <c r="W859" s="48"/>
      <c r="X859" s="48"/>
    </row>
    <row r="860" ht="15.75" customHeight="1">
      <c r="A860" s="56"/>
      <c r="B860" s="48"/>
      <c r="C860" s="48"/>
      <c r="D860" s="27"/>
      <c r="E860" s="27"/>
      <c r="F860" s="48"/>
      <c r="G860" s="48"/>
      <c r="H860" s="48"/>
      <c r="I860" s="48"/>
      <c r="J860" s="48"/>
      <c r="K860" s="48"/>
      <c r="L860" s="48"/>
      <c r="M860" s="48"/>
      <c r="N860" s="48"/>
      <c r="O860" s="48"/>
      <c r="P860" s="48"/>
      <c r="Q860" s="48"/>
      <c r="R860" s="48"/>
      <c r="S860" s="48"/>
      <c r="T860" s="48"/>
      <c r="U860" s="48"/>
      <c r="V860" s="48"/>
      <c r="W860" s="48"/>
      <c r="X860" s="48"/>
    </row>
    <row r="861" ht="15.75" customHeight="1">
      <c r="A861" s="56"/>
      <c r="B861" s="48"/>
      <c r="C861" s="48"/>
      <c r="D861" s="27"/>
      <c r="E861" s="27"/>
      <c r="F861" s="48"/>
      <c r="G861" s="48"/>
      <c r="H861" s="48"/>
      <c r="I861" s="48"/>
      <c r="J861" s="48"/>
      <c r="K861" s="48"/>
      <c r="L861" s="48"/>
      <c r="M861" s="48"/>
      <c r="N861" s="48"/>
      <c r="O861" s="48"/>
      <c r="P861" s="48"/>
      <c r="Q861" s="48"/>
      <c r="R861" s="48"/>
      <c r="S861" s="48"/>
      <c r="T861" s="48"/>
      <c r="U861" s="48"/>
      <c r="V861" s="48"/>
      <c r="W861" s="48"/>
      <c r="X861" s="48"/>
    </row>
    <row r="862" ht="15.75" customHeight="1">
      <c r="A862" s="56"/>
      <c r="B862" s="48"/>
      <c r="C862" s="48"/>
      <c r="D862" s="27"/>
      <c r="E862" s="27"/>
      <c r="F862" s="48"/>
      <c r="G862" s="48"/>
      <c r="H862" s="48"/>
      <c r="I862" s="48"/>
      <c r="J862" s="48"/>
      <c r="K862" s="48"/>
      <c r="L862" s="48"/>
      <c r="M862" s="48"/>
      <c r="N862" s="48"/>
      <c r="O862" s="48"/>
      <c r="P862" s="48"/>
      <c r="Q862" s="48"/>
      <c r="R862" s="48"/>
      <c r="S862" s="48"/>
      <c r="T862" s="48"/>
      <c r="U862" s="48"/>
      <c r="V862" s="48"/>
      <c r="W862" s="48"/>
      <c r="X862" s="48"/>
    </row>
    <row r="863" ht="15.75" customHeight="1">
      <c r="A863" s="56"/>
      <c r="B863" s="48"/>
      <c r="C863" s="48"/>
      <c r="D863" s="27"/>
      <c r="E863" s="27"/>
      <c r="F863" s="48"/>
      <c r="G863" s="48"/>
      <c r="H863" s="48"/>
      <c r="I863" s="48"/>
      <c r="J863" s="48"/>
      <c r="K863" s="48"/>
      <c r="L863" s="48"/>
      <c r="M863" s="48"/>
      <c r="N863" s="48"/>
      <c r="O863" s="48"/>
      <c r="P863" s="48"/>
      <c r="Q863" s="48"/>
      <c r="R863" s="48"/>
      <c r="S863" s="48"/>
      <c r="T863" s="48"/>
      <c r="U863" s="48"/>
      <c r="V863" s="48"/>
      <c r="W863" s="48"/>
      <c r="X863" s="48"/>
    </row>
    <row r="864" ht="15.75" customHeight="1">
      <c r="A864" s="56"/>
      <c r="B864" s="48"/>
      <c r="C864" s="48"/>
      <c r="D864" s="27"/>
      <c r="E864" s="27"/>
      <c r="F864" s="48"/>
      <c r="G864" s="48"/>
      <c r="H864" s="48"/>
      <c r="I864" s="48"/>
      <c r="J864" s="48"/>
      <c r="K864" s="48"/>
      <c r="L864" s="48"/>
      <c r="M864" s="48"/>
      <c r="N864" s="48"/>
      <c r="O864" s="48"/>
      <c r="P864" s="48"/>
      <c r="Q864" s="48"/>
      <c r="R864" s="48"/>
      <c r="S864" s="48"/>
      <c r="T864" s="48"/>
      <c r="U864" s="48"/>
      <c r="V864" s="48"/>
      <c r="W864" s="48"/>
      <c r="X864" s="48"/>
    </row>
    <row r="865" ht="15.75" customHeight="1">
      <c r="A865" s="56"/>
      <c r="B865" s="48"/>
      <c r="C865" s="48"/>
      <c r="D865" s="27"/>
      <c r="E865" s="27"/>
      <c r="F865" s="48"/>
      <c r="G865" s="48"/>
      <c r="H865" s="48"/>
      <c r="I865" s="48"/>
      <c r="J865" s="48"/>
      <c r="K865" s="48"/>
      <c r="L865" s="48"/>
      <c r="M865" s="48"/>
      <c r="N865" s="48"/>
      <c r="O865" s="48"/>
      <c r="P865" s="48"/>
      <c r="Q865" s="48"/>
      <c r="R865" s="48"/>
      <c r="S865" s="48"/>
      <c r="T865" s="48"/>
      <c r="U865" s="48"/>
      <c r="V865" s="48"/>
      <c r="W865" s="48"/>
      <c r="X865" s="48"/>
    </row>
    <row r="866" ht="15.75" customHeight="1">
      <c r="A866" s="56"/>
      <c r="B866" s="48"/>
      <c r="C866" s="48"/>
      <c r="D866" s="27"/>
      <c r="E866" s="27"/>
      <c r="F866" s="48"/>
      <c r="G866" s="48"/>
      <c r="H866" s="48"/>
      <c r="I866" s="48"/>
      <c r="J866" s="48"/>
      <c r="K866" s="48"/>
      <c r="L866" s="48"/>
      <c r="M866" s="48"/>
      <c r="N866" s="48"/>
      <c r="O866" s="48"/>
      <c r="P866" s="48"/>
      <c r="Q866" s="48"/>
      <c r="R866" s="48"/>
      <c r="S866" s="48"/>
      <c r="T866" s="48"/>
      <c r="U866" s="48"/>
      <c r="V866" s="48"/>
      <c r="W866" s="48"/>
      <c r="X866" s="48"/>
    </row>
    <row r="867" ht="15.75" customHeight="1">
      <c r="A867" s="56"/>
      <c r="B867" s="48"/>
      <c r="C867" s="48"/>
      <c r="D867" s="27"/>
      <c r="E867" s="27"/>
      <c r="F867" s="48"/>
      <c r="G867" s="48"/>
      <c r="H867" s="48"/>
      <c r="I867" s="48"/>
      <c r="J867" s="48"/>
      <c r="K867" s="48"/>
      <c r="L867" s="48"/>
      <c r="M867" s="48"/>
      <c r="N867" s="48"/>
      <c r="O867" s="48"/>
      <c r="P867" s="48"/>
      <c r="Q867" s="48"/>
      <c r="R867" s="48"/>
      <c r="S867" s="48"/>
      <c r="T867" s="48"/>
      <c r="U867" s="48"/>
      <c r="V867" s="48"/>
      <c r="W867" s="48"/>
      <c r="X867" s="48"/>
    </row>
    <row r="868" ht="15.75" customHeight="1">
      <c r="A868" s="56"/>
      <c r="B868" s="48"/>
      <c r="C868" s="48"/>
      <c r="D868" s="27"/>
      <c r="E868" s="27"/>
      <c r="F868" s="48"/>
      <c r="G868" s="48"/>
      <c r="H868" s="48"/>
      <c r="I868" s="48"/>
      <c r="J868" s="48"/>
      <c r="K868" s="48"/>
      <c r="L868" s="48"/>
      <c r="M868" s="48"/>
      <c r="N868" s="48"/>
      <c r="O868" s="48"/>
      <c r="P868" s="48"/>
      <c r="Q868" s="48"/>
      <c r="R868" s="48"/>
      <c r="S868" s="48"/>
      <c r="T868" s="48"/>
      <c r="U868" s="48"/>
      <c r="V868" s="48"/>
      <c r="W868" s="48"/>
      <c r="X868" s="48"/>
    </row>
    <row r="869" ht="15.75" customHeight="1">
      <c r="A869" s="56"/>
      <c r="B869" s="48"/>
      <c r="C869" s="48"/>
      <c r="D869" s="27"/>
      <c r="E869" s="27"/>
      <c r="F869" s="48"/>
      <c r="G869" s="48"/>
      <c r="H869" s="48"/>
      <c r="I869" s="48"/>
      <c r="J869" s="48"/>
      <c r="K869" s="48"/>
      <c r="L869" s="48"/>
      <c r="M869" s="48"/>
      <c r="N869" s="48"/>
      <c r="O869" s="48"/>
      <c r="P869" s="48"/>
      <c r="Q869" s="48"/>
      <c r="R869" s="48"/>
      <c r="S869" s="48"/>
      <c r="T869" s="48"/>
      <c r="U869" s="48"/>
      <c r="V869" s="48"/>
      <c r="W869" s="48"/>
      <c r="X869" s="48"/>
    </row>
    <row r="870" ht="15.75" customHeight="1">
      <c r="A870" s="56"/>
      <c r="B870" s="48"/>
      <c r="C870" s="48"/>
      <c r="D870" s="27"/>
      <c r="E870" s="27"/>
      <c r="F870" s="48"/>
      <c r="G870" s="48"/>
      <c r="H870" s="48"/>
      <c r="I870" s="48"/>
      <c r="J870" s="48"/>
      <c r="K870" s="48"/>
      <c r="L870" s="48"/>
      <c r="M870" s="48"/>
      <c r="N870" s="48"/>
      <c r="O870" s="48"/>
      <c r="P870" s="48"/>
      <c r="Q870" s="48"/>
      <c r="R870" s="48"/>
      <c r="S870" s="48"/>
      <c r="T870" s="48"/>
      <c r="U870" s="48"/>
      <c r="V870" s="48"/>
      <c r="W870" s="48"/>
      <c r="X870" s="48"/>
    </row>
    <row r="871" ht="15.75" customHeight="1">
      <c r="A871" s="56"/>
      <c r="B871" s="48"/>
      <c r="C871" s="48"/>
      <c r="D871" s="27"/>
      <c r="E871" s="27"/>
      <c r="F871" s="48"/>
      <c r="G871" s="48"/>
      <c r="H871" s="48"/>
      <c r="I871" s="48"/>
      <c r="J871" s="48"/>
      <c r="K871" s="48"/>
      <c r="L871" s="48"/>
      <c r="M871" s="48"/>
      <c r="N871" s="48"/>
      <c r="O871" s="48"/>
      <c r="P871" s="48"/>
      <c r="Q871" s="48"/>
      <c r="R871" s="48"/>
      <c r="S871" s="48"/>
      <c r="T871" s="48"/>
      <c r="U871" s="48"/>
      <c r="V871" s="48"/>
      <c r="W871" s="48"/>
      <c r="X871" s="48"/>
    </row>
    <row r="872" ht="15.75" customHeight="1">
      <c r="A872" s="56"/>
      <c r="B872" s="48"/>
      <c r="C872" s="48"/>
      <c r="D872" s="27"/>
      <c r="E872" s="27"/>
      <c r="F872" s="48"/>
      <c r="G872" s="48"/>
      <c r="H872" s="48"/>
      <c r="I872" s="48"/>
      <c r="J872" s="48"/>
      <c r="K872" s="48"/>
      <c r="L872" s="48"/>
      <c r="M872" s="48"/>
      <c r="N872" s="48"/>
      <c r="O872" s="48"/>
      <c r="P872" s="48"/>
      <c r="Q872" s="48"/>
      <c r="R872" s="48"/>
      <c r="S872" s="48"/>
      <c r="T872" s="48"/>
      <c r="U872" s="48"/>
      <c r="V872" s="48"/>
      <c r="W872" s="48"/>
      <c r="X872" s="48"/>
    </row>
    <row r="873" ht="15.75" customHeight="1">
      <c r="A873" s="56"/>
      <c r="B873" s="48"/>
      <c r="C873" s="48"/>
      <c r="D873" s="27"/>
      <c r="E873" s="27"/>
      <c r="F873" s="48"/>
      <c r="G873" s="48"/>
      <c r="H873" s="48"/>
      <c r="I873" s="48"/>
      <c r="J873" s="48"/>
      <c r="K873" s="48"/>
      <c r="L873" s="48"/>
      <c r="M873" s="48"/>
      <c r="N873" s="48"/>
      <c r="O873" s="48"/>
      <c r="P873" s="48"/>
      <c r="Q873" s="48"/>
      <c r="R873" s="48"/>
      <c r="S873" s="48"/>
      <c r="T873" s="48"/>
      <c r="U873" s="48"/>
      <c r="V873" s="48"/>
      <c r="W873" s="48"/>
      <c r="X873" s="48"/>
    </row>
    <row r="874" ht="15.75" customHeight="1">
      <c r="A874" s="56"/>
      <c r="B874" s="48"/>
      <c r="C874" s="48"/>
      <c r="D874" s="27"/>
      <c r="E874" s="27"/>
      <c r="F874" s="48"/>
      <c r="G874" s="48"/>
      <c r="H874" s="48"/>
      <c r="I874" s="48"/>
      <c r="J874" s="48"/>
      <c r="K874" s="48"/>
      <c r="L874" s="48"/>
      <c r="M874" s="48"/>
      <c r="N874" s="48"/>
      <c r="O874" s="48"/>
      <c r="P874" s="48"/>
      <c r="Q874" s="48"/>
      <c r="R874" s="48"/>
      <c r="S874" s="48"/>
      <c r="T874" s="48"/>
      <c r="U874" s="48"/>
      <c r="V874" s="48"/>
      <c r="W874" s="48"/>
      <c r="X874" s="48"/>
    </row>
    <row r="875" ht="15.75" customHeight="1">
      <c r="A875" s="56"/>
      <c r="B875" s="48"/>
      <c r="C875" s="48"/>
      <c r="D875" s="27"/>
      <c r="E875" s="27"/>
      <c r="F875" s="48"/>
      <c r="G875" s="48"/>
      <c r="H875" s="48"/>
      <c r="I875" s="48"/>
      <c r="J875" s="48"/>
      <c r="K875" s="48"/>
      <c r="L875" s="48"/>
      <c r="M875" s="48"/>
      <c r="N875" s="48"/>
      <c r="O875" s="48"/>
      <c r="P875" s="48"/>
      <c r="Q875" s="48"/>
      <c r="R875" s="48"/>
      <c r="S875" s="48"/>
      <c r="T875" s="48"/>
      <c r="U875" s="48"/>
      <c r="V875" s="48"/>
      <c r="W875" s="48"/>
      <c r="X875" s="48"/>
    </row>
    <row r="876" ht="15.75" customHeight="1">
      <c r="A876" s="56"/>
      <c r="B876" s="48"/>
      <c r="C876" s="48"/>
      <c r="D876" s="27"/>
      <c r="E876" s="27"/>
      <c r="F876" s="48"/>
      <c r="G876" s="48"/>
      <c r="H876" s="48"/>
      <c r="I876" s="48"/>
      <c r="J876" s="48"/>
      <c r="K876" s="48"/>
      <c r="L876" s="48"/>
      <c r="M876" s="48"/>
      <c r="N876" s="48"/>
      <c r="O876" s="48"/>
      <c r="P876" s="48"/>
      <c r="Q876" s="48"/>
      <c r="R876" s="48"/>
      <c r="S876" s="48"/>
      <c r="T876" s="48"/>
      <c r="U876" s="48"/>
      <c r="V876" s="48"/>
      <c r="W876" s="48"/>
      <c r="X876" s="48"/>
    </row>
    <row r="877" ht="15.75" customHeight="1">
      <c r="A877" s="56"/>
      <c r="B877" s="48"/>
      <c r="C877" s="48"/>
      <c r="D877" s="27"/>
      <c r="E877" s="27"/>
      <c r="F877" s="48"/>
      <c r="G877" s="48"/>
      <c r="H877" s="48"/>
      <c r="I877" s="48"/>
      <c r="J877" s="48"/>
      <c r="K877" s="48"/>
      <c r="L877" s="48"/>
      <c r="M877" s="48"/>
      <c r="N877" s="48"/>
      <c r="O877" s="48"/>
      <c r="P877" s="48"/>
      <c r="Q877" s="48"/>
      <c r="R877" s="48"/>
      <c r="S877" s="48"/>
      <c r="T877" s="48"/>
      <c r="U877" s="48"/>
      <c r="V877" s="48"/>
      <c r="W877" s="48"/>
      <c r="X877" s="48"/>
    </row>
    <row r="878" ht="15.75" customHeight="1">
      <c r="A878" s="56"/>
      <c r="B878" s="48"/>
      <c r="C878" s="48"/>
      <c r="D878" s="27"/>
      <c r="E878" s="27"/>
      <c r="F878" s="48"/>
      <c r="G878" s="48"/>
      <c r="H878" s="48"/>
      <c r="I878" s="48"/>
      <c r="J878" s="48"/>
      <c r="K878" s="48"/>
      <c r="L878" s="48"/>
      <c r="M878" s="48"/>
      <c r="N878" s="48"/>
      <c r="O878" s="48"/>
      <c r="P878" s="48"/>
      <c r="Q878" s="48"/>
      <c r="R878" s="48"/>
      <c r="S878" s="48"/>
      <c r="T878" s="48"/>
      <c r="U878" s="48"/>
      <c r="V878" s="48"/>
      <c r="W878" s="48"/>
      <c r="X878" s="48"/>
    </row>
    <row r="879" ht="15.75" customHeight="1">
      <c r="A879" s="56"/>
      <c r="B879" s="48"/>
      <c r="C879" s="48"/>
      <c r="D879" s="27"/>
      <c r="E879" s="27"/>
      <c r="F879" s="48"/>
      <c r="G879" s="48"/>
      <c r="H879" s="48"/>
      <c r="I879" s="48"/>
      <c r="J879" s="48"/>
      <c r="K879" s="48"/>
      <c r="L879" s="48"/>
      <c r="M879" s="48"/>
      <c r="N879" s="48"/>
      <c r="O879" s="48"/>
      <c r="P879" s="48"/>
      <c r="Q879" s="48"/>
      <c r="R879" s="48"/>
      <c r="S879" s="48"/>
      <c r="T879" s="48"/>
      <c r="U879" s="48"/>
      <c r="V879" s="48"/>
      <c r="W879" s="48"/>
      <c r="X879" s="48"/>
    </row>
    <row r="880" ht="15.75" customHeight="1">
      <c r="A880" s="56"/>
      <c r="B880" s="48"/>
      <c r="C880" s="48"/>
      <c r="D880" s="27"/>
      <c r="E880" s="27"/>
      <c r="F880" s="48"/>
      <c r="G880" s="48"/>
      <c r="H880" s="48"/>
      <c r="I880" s="48"/>
      <c r="J880" s="48"/>
      <c r="K880" s="48"/>
      <c r="L880" s="48"/>
      <c r="M880" s="48"/>
      <c r="N880" s="48"/>
      <c r="O880" s="48"/>
      <c r="P880" s="48"/>
      <c r="Q880" s="48"/>
      <c r="R880" s="48"/>
      <c r="S880" s="48"/>
      <c r="T880" s="48"/>
      <c r="U880" s="48"/>
      <c r="V880" s="48"/>
      <c r="W880" s="48"/>
      <c r="X880" s="48"/>
    </row>
    <row r="881" ht="15.75" customHeight="1">
      <c r="A881" s="56"/>
      <c r="B881" s="48"/>
      <c r="C881" s="48"/>
      <c r="D881" s="27"/>
      <c r="E881" s="27"/>
      <c r="F881" s="48"/>
      <c r="G881" s="48"/>
      <c r="H881" s="48"/>
      <c r="I881" s="48"/>
      <c r="J881" s="48"/>
      <c r="K881" s="48"/>
      <c r="L881" s="48"/>
      <c r="M881" s="48"/>
      <c r="N881" s="48"/>
      <c r="O881" s="48"/>
      <c r="P881" s="48"/>
      <c r="Q881" s="48"/>
      <c r="R881" s="48"/>
      <c r="S881" s="48"/>
      <c r="T881" s="48"/>
      <c r="U881" s="48"/>
      <c r="V881" s="48"/>
      <c r="W881" s="48"/>
      <c r="X881" s="48"/>
    </row>
    <row r="882" ht="15.75" customHeight="1">
      <c r="A882" s="56"/>
      <c r="B882" s="48"/>
      <c r="C882" s="48"/>
      <c r="D882" s="27"/>
      <c r="E882" s="27"/>
      <c r="F882" s="48"/>
      <c r="G882" s="48"/>
      <c r="H882" s="48"/>
      <c r="I882" s="48"/>
      <c r="J882" s="48"/>
      <c r="K882" s="48"/>
      <c r="L882" s="48"/>
      <c r="M882" s="48"/>
      <c r="N882" s="48"/>
      <c r="O882" s="48"/>
      <c r="P882" s="48"/>
      <c r="Q882" s="48"/>
      <c r="R882" s="48"/>
      <c r="S882" s="48"/>
      <c r="T882" s="48"/>
      <c r="U882" s="48"/>
      <c r="V882" s="48"/>
      <c r="W882" s="48"/>
      <c r="X882" s="48"/>
    </row>
    <row r="883" ht="15.75" customHeight="1">
      <c r="A883" s="56"/>
      <c r="B883" s="48"/>
      <c r="C883" s="48"/>
      <c r="D883" s="27"/>
      <c r="E883" s="27"/>
      <c r="F883" s="48"/>
      <c r="G883" s="48"/>
      <c r="H883" s="48"/>
      <c r="I883" s="48"/>
      <c r="J883" s="48"/>
      <c r="K883" s="48"/>
      <c r="L883" s="48"/>
      <c r="M883" s="48"/>
      <c r="N883" s="48"/>
      <c r="O883" s="48"/>
      <c r="P883" s="48"/>
      <c r="Q883" s="48"/>
      <c r="R883" s="48"/>
      <c r="S883" s="48"/>
      <c r="T883" s="48"/>
      <c r="U883" s="48"/>
      <c r="V883" s="48"/>
      <c r="W883" s="48"/>
      <c r="X883" s="48"/>
    </row>
    <row r="884" ht="15.75" customHeight="1">
      <c r="A884" s="56"/>
      <c r="B884" s="48"/>
      <c r="C884" s="48"/>
      <c r="D884" s="27"/>
      <c r="E884" s="27"/>
      <c r="F884" s="48"/>
      <c r="G884" s="48"/>
      <c r="H884" s="48"/>
      <c r="I884" s="48"/>
      <c r="J884" s="48"/>
      <c r="K884" s="48"/>
      <c r="L884" s="48"/>
      <c r="M884" s="48"/>
      <c r="N884" s="48"/>
      <c r="O884" s="48"/>
      <c r="P884" s="48"/>
      <c r="Q884" s="48"/>
      <c r="R884" s="48"/>
      <c r="S884" s="48"/>
      <c r="T884" s="48"/>
      <c r="U884" s="48"/>
      <c r="V884" s="48"/>
      <c r="W884" s="48"/>
      <c r="X884" s="48"/>
    </row>
    <row r="885" ht="15.75" customHeight="1">
      <c r="A885" s="56"/>
      <c r="B885" s="48"/>
      <c r="C885" s="48"/>
      <c r="D885" s="27"/>
      <c r="E885" s="27"/>
      <c r="F885" s="48"/>
      <c r="G885" s="48"/>
      <c r="H885" s="48"/>
      <c r="I885" s="48"/>
      <c r="J885" s="48"/>
      <c r="K885" s="48"/>
      <c r="L885" s="48"/>
      <c r="M885" s="48"/>
      <c r="N885" s="48"/>
      <c r="O885" s="48"/>
      <c r="P885" s="48"/>
      <c r="Q885" s="48"/>
      <c r="R885" s="48"/>
      <c r="S885" s="48"/>
      <c r="T885" s="48"/>
      <c r="U885" s="48"/>
      <c r="V885" s="48"/>
      <c r="W885" s="48"/>
      <c r="X885" s="48"/>
    </row>
    <row r="886" ht="15.75" customHeight="1">
      <c r="A886" s="56"/>
      <c r="B886" s="48"/>
      <c r="C886" s="48"/>
      <c r="D886" s="27"/>
      <c r="E886" s="27"/>
      <c r="F886" s="48"/>
      <c r="G886" s="48"/>
      <c r="H886" s="48"/>
      <c r="I886" s="48"/>
      <c r="J886" s="48"/>
      <c r="K886" s="48"/>
      <c r="L886" s="48"/>
      <c r="M886" s="48"/>
      <c r="N886" s="48"/>
      <c r="O886" s="48"/>
      <c r="P886" s="48"/>
      <c r="Q886" s="48"/>
      <c r="R886" s="48"/>
      <c r="S886" s="48"/>
      <c r="T886" s="48"/>
      <c r="U886" s="48"/>
      <c r="V886" s="48"/>
      <c r="W886" s="48"/>
      <c r="X886" s="48"/>
    </row>
    <row r="887" ht="15.75" customHeight="1">
      <c r="A887" s="56"/>
      <c r="B887" s="48"/>
      <c r="C887" s="48"/>
      <c r="D887" s="27"/>
      <c r="E887" s="27"/>
      <c r="F887" s="48"/>
      <c r="G887" s="48"/>
      <c r="H887" s="48"/>
      <c r="I887" s="48"/>
      <c r="J887" s="48"/>
      <c r="K887" s="48"/>
      <c r="L887" s="48"/>
      <c r="M887" s="48"/>
      <c r="N887" s="48"/>
      <c r="O887" s="48"/>
      <c r="P887" s="48"/>
      <c r="Q887" s="48"/>
      <c r="R887" s="48"/>
      <c r="S887" s="48"/>
      <c r="T887" s="48"/>
      <c r="U887" s="48"/>
      <c r="V887" s="48"/>
      <c r="W887" s="48"/>
      <c r="X887" s="48"/>
    </row>
    <row r="888" ht="15.75" customHeight="1">
      <c r="A888" s="56"/>
      <c r="B888" s="48"/>
      <c r="C888" s="48"/>
      <c r="D888" s="27"/>
      <c r="E888" s="27"/>
      <c r="F888" s="48"/>
      <c r="G888" s="48"/>
      <c r="H888" s="48"/>
      <c r="I888" s="48"/>
      <c r="J888" s="48"/>
      <c r="K888" s="48"/>
      <c r="L888" s="48"/>
      <c r="M888" s="48"/>
      <c r="N888" s="48"/>
      <c r="O888" s="48"/>
      <c r="P888" s="48"/>
      <c r="Q888" s="48"/>
      <c r="R888" s="48"/>
      <c r="S888" s="48"/>
      <c r="T888" s="48"/>
      <c r="U888" s="48"/>
      <c r="V888" s="48"/>
      <c r="W888" s="48"/>
      <c r="X888" s="48"/>
    </row>
    <row r="889" ht="15.75" customHeight="1">
      <c r="A889" s="56"/>
      <c r="B889" s="48"/>
      <c r="C889" s="48"/>
      <c r="D889" s="27"/>
      <c r="E889" s="27"/>
      <c r="F889" s="48"/>
      <c r="G889" s="48"/>
      <c r="H889" s="48"/>
      <c r="I889" s="48"/>
      <c r="J889" s="48"/>
      <c r="K889" s="48"/>
      <c r="L889" s="48"/>
      <c r="M889" s="48"/>
      <c r="N889" s="48"/>
      <c r="O889" s="48"/>
      <c r="P889" s="48"/>
      <c r="Q889" s="48"/>
      <c r="R889" s="48"/>
      <c r="S889" s="48"/>
      <c r="T889" s="48"/>
      <c r="U889" s="48"/>
      <c r="V889" s="48"/>
      <c r="W889" s="48"/>
      <c r="X889" s="48"/>
    </row>
    <row r="890" ht="15.75" customHeight="1">
      <c r="A890" s="56"/>
      <c r="B890" s="48"/>
      <c r="C890" s="48"/>
      <c r="D890" s="27"/>
      <c r="E890" s="27"/>
      <c r="F890" s="48"/>
      <c r="G890" s="48"/>
      <c r="H890" s="48"/>
      <c r="I890" s="48"/>
      <c r="J890" s="48"/>
      <c r="K890" s="48"/>
      <c r="L890" s="48"/>
      <c r="M890" s="48"/>
      <c r="N890" s="48"/>
      <c r="O890" s="48"/>
      <c r="P890" s="48"/>
      <c r="Q890" s="48"/>
      <c r="R890" s="48"/>
      <c r="S890" s="48"/>
      <c r="T890" s="48"/>
      <c r="U890" s="48"/>
      <c r="V890" s="48"/>
      <c r="W890" s="48"/>
      <c r="X890" s="48"/>
    </row>
    <row r="891" ht="15.75" customHeight="1">
      <c r="A891" s="56"/>
      <c r="B891" s="48"/>
      <c r="C891" s="48"/>
      <c r="D891" s="27"/>
      <c r="E891" s="27"/>
      <c r="F891" s="48"/>
      <c r="G891" s="48"/>
      <c r="H891" s="48"/>
      <c r="I891" s="48"/>
      <c r="J891" s="48"/>
      <c r="K891" s="48"/>
      <c r="L891" s="48"/>
      <c r="M891" s="48"/>
      <c r="N891" s="48"/>
      <c r="O891" s="48"/>
      <c r="P891" s="48"/>
      <c r="Q891" s="48"/>
      <c r="R891" s="48"/>
      <c r="S891" s="48"/>
      <c r="T891" s="48"/>
      <c r="U891" s="48"/>
      <c r="V891" s="48"/>
      <c r="W891" s="48"/>
      <c r="X891" s="48"/>
    </row>
    <row r="892" ht="15.75" customHeight="1">
      <c r="A892" s="56"/>
      <c r="B892" s="48"/>
      <c r="C892" s="48"/>
      <c r="D892" s="27"/>
      <c r="E892" s="27"/>
      <c r="F892" s="48"/>
      <c r="G892" s="48"/>
      <c r="H892" s="48"/>
      <c r="I892" s="48"/>
      <c r="J892" s="48"/>
      <c r="K892" s="48"/>
      <c r="L892" s="48"/>
      <c r="M892" s="48"/>
      <c r="N892" s="48"/>
      <c r="O892" s="48"/>
      <c r="P892" s="48"/>
      <c r="Q892" s="48"/>
      <c r="R892" s="48"/>
      <c r="S892" s="48"/>
      <c r="T892" s="48"/>
      <c r="U892" s="48"/>
      <c r="V892" s="48"/>
      <c r="W892" s="48"/>
      <c r="X892" s="48"/>
    </row>
    <row r="893" ht="15.75" customHeight="1">
      <c r="A893" s="56"/>
      <c r="B893" s="48"/>
      <c r="C893" s="48"/>
      <c r="D893" s="27"/>
      <c r="E893" s="27"/>
      <c r="F893" s="48"/>
      <c r="G893" s="48"/>
      <c r="H893" s="48"/>
      <c r="I893" s="48"/>
      <c r="J893" s="48"/>
      <c r="K893" s="48"/>
      <c r="L893" s="48"/>
      <c r="M893" s="48"/>
      <c r="N893" s="48"/>
      <c r="O893" s="48"/>
      <c r="P893" s="48"/>
      <c r="Q893" s="48"/>
      <c r="R893" s="48"/>
      <c r="S893" s="48"/>
      <c r="T893" s="48"/>
      <c r="U893" s="48"/>
      <c r="V893" s="48"/>
      <c r="W893" s="48"/>
      <c r="X893" s="48"/>
    </row>
    <row r="894" ht="15.75" customHeight="1">
      <c r="A894" s="56"/>
      <c r="B894" s="48"/>
      <c r="C894" s="48"/>
      <c r="D894" s="27"/>
      <c r="E894" s="27"/>
      <c r="F894" s="48"/>
      <c r="G894" s="48"/>
      <c r="H894" s="48"/>
      <c r="I894" s="48"/>
      <c r="J894" s="48"/>
      <c r="K894" s="48"/>
      <c r="L894" s="48"/>
      <c r="M894" s="48"/>
      <c r="N894" s="48"/>
      <c r="O894" s="48"/>
      <c r="P894" s="48"/>
      <c r="Q894" s="48"/>
      <c r="R894" s="48"/>
      <c r="S894" s="48"/>
      <c r="T894" s="48"/>
      <c r="U894" s="48"/>
      <c r="V894" s="48"/>
      <c r="W894" s="48"/>
      <c r="X894" s="48"/>
    </row>
    <row r="895" ht="15.75" customHeight="1">
      <c r="A895" s="56"/>
      <c r="B895" s="48"/>
      <c r="C895" s="48"/>
      <c r="D895" s="27"/>
      <c r="E895" s="27"/>
      <c r="F895" s="48"/>
      <c r="G895" s="48"/>
      <c r="H895" s="48"/>
      <c r="I895" s="48"/>
      <c r="J895" s="48"/>
      <c r="K895" s="48"/>
      <c r="L895" s="48"/>
      <c r="M895" s="48"/>
      <c r="N895" s="48"/>
      <c r="O895" s="48"/>
      <c r="P895" s="48"/>
      <c r="Q895" s="48"/>
      <c r="R895" s="48"/>
      <c r="S895" s="48"/>
      <c r="T895" s="48"/>
      <c r="U895" s="48"/>
      <c r="V895" s="48"/>
      <c r="W895" s="48"/>
      <c r="X895" s="48"/>
    </row>
    <row r="896" ht="15.75" customHeight="1">
      <c r="A896" s="56"/>
      <c r="B896" s="48"/>
      <c r="C896" s="48"/>
      <c r="D896" s="27"/>
      <c r="E896" s="27"/>
      <c r="F896" s="48"/>
      <c r="G896" s="48"/>
      <c r="H896" s="48"/>
      <c r="I896" s="48"/>
      <c r="J896" s="48"/>
      <c r="K896" s="48"/>
      <c r="L896" s="48"/>
      <c r="M896" s="48"/>
      <c r="N896" s="48"/>
      <c r="O896" s="48"/>
      <c r="P896" s="48"/>
      <c r="Q896" s="48"/>
      <c r="R896" s="48"/>
      <c r="S896" s="48"/>
      <c r="T896" s="48"/>
      <c r="U896" s="48"/>
      <c r="V896" s="48"/>
      <c r="W896" s="48"/>
      <c r="X896" s="48"/>
    </row>
    <row r="897" ht="15.75" customHeight="1">
      <c r="A897" s="56"/>
      <c r="B897" s="48"/>
      <c r="C897" s="48"/>
      <c r="D897" s="27"/>
      <c r="E897" s="27"/>
      <c r="F897" s="48"/>
      <c r="G897" s="48"/>
      <c r="H897" s="48"/>
      <c r="I897" s="48"/>
      <c r="J897" s="48"/>
      <c r="K897" s="48"/>
      <c r="L897" s="48"/>
      <c r="M897" s="48"/>
      <c r="N897" s="48"/>
      <c r="O897" s="48"/>
      <c r="P897" s="48"/>
      <c r="Q897" s="48"/>
      <c r="R897" s="48"/>
      <c r="S897" s="48"/>
      <c r="T897" s="48"/>
      <c r="U897" s="48"/>
      <c r="V897" s="48"/>
      <c r="W897" s="48"/>
      <c r="X897" s="48"/>
    </row>
    <row r="898" ht="15.75" customHeight="1">
      <c r="A898" s="56"/>
      <c r="B898" s="48"/>
      <c r="C898" s="48"/>
      <c r="D898" s="27"/>
      <c r="E898" s="27"/>
      <c r="F898" s="48"/>
      <c r="G898" s="48"/>
      <c r="H898" s="48"/>
      <c r="I898" s="48"/>
      <c r="J898" s="48"/>
      <c r="K898" s="48"/>
      <c r="L898" s="48"/>
      <c r="M898" s="48"/>
      <c r="N898" s="48"/>
      <c r="O898" s="48"/>
      <c r="P898" s="48"/>
      <c r="Q898" s="48"/>
      <c r="R898" s="48"/>
      <c r="S898" s="48"/>
      <c r="T898" s="48"/>
      <c r="U898" s="48"/>
      <c r="V898" s="48"/>
      <c r="W898" s="48"/>
      <c r="X898" s="48"/>
    </row>
    <row r="899" ht="15.75" customHeight="1">
      <c r="A899" s="56"/>
      <c r="B899" s="48"/>
      <c r="C899" s="48"/>
      <c r="D899" s="27"/>
      <c r="E899" s="27"/>
      <c r="F899" s="48"/>
      <c r="G899" s="48"/>
      <c r="H899" s="48"/>
      <c r="I899" s="48"/>
      <c r="J899" s="48"/>
      <c r="K899" s="48"/>
      <c r="L899" s="48"/>
      <c r="M899" s="48"/>
      <c r="N899" s="48"/>
      <c r="O899" s="48"/>
      <c r="P899" s="48"/>
      <c r="Q899" s="48"/>
      <c r="R899" s="48"/>
      <c r="S899" s="48"/>
      <c r="T899" s="48"/>
      <c r="U899" s="48"/>
      <c r="V899" s="48"/>
      <c r="W899" s="48"/>
      <c r="X899" s="48"/>
    </row>
    <row r="900" ht="15.75" customHeight="1">
      <c r="A900" s="56"/>
      <c r="B900" s="48"/>
      <c r="C900" s="48"/>
      <c r="D900" s="27"/>
      <c r="E900" s="27"/>
      <c r="F900" s="48"/>
      <c r="G900" s="48"/>
      <c r="H900" s="48"/>
      <c r="I900" s="48"/>
      <c r="J900" s="48"/>
      <c r="K900" s="48"/>
      <c r="L900" s="48"/>
      <c r="M900" s="48"/>
      <c r="N900" s="48"/>
      <c r="O900" s="48"/>
      <c r="P900" s="48"/>
      <c r="Q900" s="48"/>
      <c r="R900" s="48"/>
      <c r="S900" s="48"/>
      <c r="T900" s="48"/>
      <c r="U900" s="48"/>
      <c r="V900" s="48"/>
      <c r="W900" s="48"/>
      <c r="X900" s="48"/>
    </row>
    <row r="901" ht="15.75" customHeight="1">
      <c r="A901" s="56"/>
      <c r="B901" s="48"/>
      <c r="C901" s="48"/>
      <c r="D901" s="27"/>
      <c r="E901" s="27"/>
      <c r="F901" s="48"/>
      <c r="G901" s="48"/>
      <c r="H901" s="48"/>
      <c r="I901" s="48"/>
      <c r="J901" s="48"/>
      <c r="K901" s="48"/>
      <c r="L901" s="48"/>
      <c r="M901" s="48"/>
      <c r="N901" s="48"/>
      <c r="O901" s="48"/>
      <c r="P901" s="48"/>
      <c r="Q901" s="48"/>
      <c r="R901" s="48"/>
      <c r="S901" s="48"/>
      <c r="T901" s="48"/>
      <c r="U901" s="48"/>
      <c r="V901" s="48"/>
      <c r="W901" s="48"/>
      <c r="X901" s="48"/>
    </row>
    <row r="902" ht="15.75" customHeight="1">
      <c r="A902" s="56"/>
      <c r="B902" s="48"/>
      <c r="C902" s="48"/>
      <c r="D902" s="27"/>
      <c r="E902" s="27"/>
      <c r="F902" s="48"/>
      <c r="G902" s="48"/>
      <c r="H902" s="48"/>
      <c r="I902" s="48"/>
      <c r="J902" s="48"/>
      <c r="K902" s="48"/>
      <c r="L902" s="48"/>
      <c r="M902" s="48"/>
      <c r="N902" s="48"/>
      <c r="O902" s="48"/>
      <c r="P902" s="48"/>
      <c r="Q902" s="48"/>
      <c r="R902" s="48"/>
      <c r="S902" s="48"/>
      <c r="T902" s="48"/>
      <c r="U902" s="48"/>
      <c r="V902" s="48"/>
      <c r="W902" s="48"/>
      <c r="X902" s="48"/>
    </row>
    <row r="903" ht="15.75" customHeight="1">
      <c r="A903" s="56"/>
      <c r="B903" s="48"/>
      <c r="C903" s="48"/>
      <c r="D903" s="27"/>
      <c r="E903" s="27"/>
      <c r="F903" s="48"/>
      <c r="G903" s="48"/>
      <c r="H903" s="48"/>
      <c r="I903" s="48"/>
      <c r="J903" s="48"/>
      <c r="K903" s="48"/>
      <c r="L903" s="48"/>
      <c r="M903" s="48"/>
      <c r="N903" s="48"/>
      <c r="O903" s="48"/>
      <c r="P903" s="48"/>
      <c r="Q903" s="48"/>
      <c r="R903" s="48"/>
      <c r="S903" s="48"/>
      <c r="T903" s="48"/>
      <c r="U903" s="48"/>
      <c r="V903" s="48"/>
      <c r="W903" s="48"/>
      <c r="X903" s="48"/>
    </row>
    <row r="904" ht="15.75" customHeight="1">
      <c r="A904" s="56"/>
      <c r="B904" s="48"/>
      <c r="C904" s="48"/>
      <c r="D904" s="27"/>
      <c r="E904" s="27"/>
      <c r="F904" s="48"/>
      <c r="G904" s="48"/>
      <c r="H904" s="48"/>
      <c r="I904" s="48"/>
      <c r="J904" s="48"/>
      <c r="K904" s="48"/>
      <c r="L904" s="48"/>
      <c r="M904" s="48"/>
      <c r="N904" s="48"/>
      <c r="O904" s="48"/>
      <c r="P904" s="48"/>
      <c r="Q904" s="48"/>
      <c r="R904" s="48"/>
      <c r="S904" s="48"/>
      <c r="T904" s="48"/>
      <c r="U904" s="48"/>
      <c r="V904" s="48"/>
      <c r="W904" s="48"/>
      <c r="X904" s="48"/>
    </row>
    <row r="905" ht="15.75" customHeight="1">
      <c r="A905" s="56"/>
      <c r="B905" s="48"/>
      <c r="C905" s="48"/>
      <c r="D905" s="27"/>
      <c r="E905" s="27"/>
      <c r="F905" s="48"/>
      <c r="G905" s="48"/>
      <c r="H905" s="48"/>
      <c r="I905" s="48"/>
      <c r="J905" s="48"/>
      <c r="K905" s="48"/>
      <c r="L905" s="48"/>
      <c r="M905" s="48"/>
      <c r="N905" s="48"/>
      <c r="O905" s="48"/>
      <c r="P905" s="48"/>
      <c r="Q905" s="48"/>
      <c r="R905" s="48"/>
      <c r="S905" s="48"/>
      <c r="T905" s="48"/>
      <c r="U905" s="48"/>
      <c r="V905" s="48"/>
      <c r="W905" s="48"/>
      <c r="X905" s="48"/>
    </row>
    <row r="906" ht="15.75" customHeight="1">
      <c r="A906" s="56"/>
      <c r="B906" s="48"/>
      <c r="C906" s="48"/>
      <c r="D906" s="27"/>
      <c r="E906" s="27"/>
      <c r="F906" s="48"/>
      <c r="G906" s="48"/>
      <c r="H906" s="48"/>
      <c r="I906" s="48"/>
      <c r="J906" s="48"/>
      <c r="K906" s="48"/>
      <c r="L906" s="48"/>
      <c r="M906" s="48"/>
      <c r="N906" s="48"/>
      <c r="O906" s="48"/>
      <c r="P906" s="48"/>
      <c r="Q906" s="48"/>
      <c r="R906" s="48"/>
      <c r="S906" s="48"/>
      <c r="T906" s="48"/>
      <c r="U906" s="48"/>
      <c r="V906" s="48"/>
      <c r="W906" s="48"/>
      <c r="X906" s="48"/>
    </row>
    <row r="907" ht="15.75" customHeight="1">
      <c r="A907" s="56"/>
      <c r="B907" s="48"/>
      <c r="C907" s="48"/>
      <c r="D907" s="27"/>
      <c r="E907" s="27"/>
      <c r="F907" s="48"/>
      <c r="G907" s="48"/>
      <c r="H907" s="48"/>
      <c r="I907" s="48"/>
      <c r="J907" s="48"/>
      <c r="K907" s="48"/>
      <c r="L907" s="48"/>
      <c r="M907" s="48"/>
      <c r="N907" s="48"/>
      <c r="O907" s="48"/>
      <c r="P907" s="48"/>
      <c r="Q907" s="48"/>
      <c r="R907" s="48"/>
      <c r="S907" s="48"/>
      <c r="T907" s="48"/>
      <c r="U907" s="48"/>
      <c r="V907" s="48"/>
      <c r="W907" s="48"/>
      <c r="X907" s="48"/>
    </row>
    <row r="908" ht="15.75" customHeight="1">
      <c r="A908" s="56"/>
      <c r="B908" s="48"/>
      <c r="C908" s="48"/>
      <c r="D908" s="27"/>
      <c r="E908" s="27"/>
      <c r="F908" s="48"/>
      <c r="G908" s="48"/>
      <c r="H908" s="48"/>
      <c r="I908" s="48"/>
      <c r="J908" s="48"/>
      <c r="K908" s="48"/>
      <c r="L908" s="48"/>
      <c r="M908" s="48"/>
      <c r="N908" s="48"/>
      <c r="O908" s="48"/>
      <c r="P908" s="48"/>
      <c r="Q908" s="48"/>
      <c r="R908" s="48"/>
      <c r="S908" s="48"/>
      <c r="T908" s="48"/>
      <c r="U908" s="48"/>
      <c r="V908" s="48"/>
      <c r="W908" s="48"/>
      <c r="X908" s="48"/>
    </row>
    <row r="909" ht="15.75" customHeight="1">
      <c r="A909" s="56"/>
      <c r="B909" s="48"/>
      <c r="C909" s="48"/>
      <c r="D909" s="27"/>
      <c r="E909" s="27"/>
      <c r="F909" s="48"/>
      <c r="G909" s="48"/>
      <c r="H909" s="48"/>
      <c r="I909" s="48"/>
      <c r="J909" s="48"/>
      <c r="K909" s="48"/>
      <c r="L909" s="48"/>
      <c r="M909" s="48"/>
      <c r="N909" s="48"/>
      <c r="O909" s="48"/>
      <c r="P909" s="48"/>
      <c r="Q909" s="48"/>
      <c r="R909" s="48"/>
      <c r="S909" s="48"/>
      <c r="T909" s="48"/>
      <c r="U909" s="48"/>
      <c r="V909" s="48"/>
      <c r="W909" s="48"/>
      <c r="X909" s="48"/>
    </row>
    <row r="910" ht="15.75" customHeight="1">
      <c r="A910" s="56"/>
      <c r="B910" s="48"/>
      <c r="C910" s="48"/>
      <c r="D910" s="27"/>
      <c r="E910" s="27"/>
      <c r="F910" s="48"/>
      <c r="G910" s="48"/>
      <c r="H910" s="48"/>
      <c r="I910" s="48"/>
      <c r="J910" s="48"/>
      <c r="K910" s="48"/>
      <c r="L910" s="48"/>
      <c r="M910" s="48"/>
      <c r="N910" s="48"/>
      <c r="O910" s="48"/>
      <c r="P910" s="48"/>
      <c r="Q910" s="48"/>
      <c r="R910" s="48"/>
      <c r="S910" s="48"/>
      <c r="T910" s="48"/>
      <c r="U910" s="48"/>
      <c r="V910" s="48"/>
      <c r="W910" s="48"/>
      <c r="X910" s="48"/>
    </row>
    <row r="911" ht="15.75" customHeight="1">
      <c r="A911" s="56"/>
      <c r="B911" s="48"/>
      <c r="C911" s="48"/>
      <c r="D911" s="27"/>
      <c r="E911" s="27"/>
      <c r="F911" s="48"/>
      <c r="G911" s="48"/>
      <c r="H911" s="48"/>
      <c r="I911" s="48"/>
      <c r="J911" s="48"/>
      <c r="K911" s="48"/>
      <c r="L911" s="48"/>
      <c r="M911" s="48"/>
      <c r="N911" s="48"/>
      <c r="O911" s="48"/>
      <c r="P911" s="48"/>
      <c r="Q911" s="48"/>
      <c r="R911" s="48"/>
      <c r="S911" s="48"/>
      <c r="T911" s="48"/>
      <c r="U911" s="48"/>
      <c r="V911" s="48"/>
      <c r="W911" s="48"/>
      <c r="X911" s="48"/>
    </row>
    <row r="912" ht="15.75" customHeight="1">
      <c r="A912" s="56"/>
      <c r="B912" s="48"/>
      <c r="C912" s="48"/>
      <c r="D912" s="27"/>
      <c r="E912" s="27"/>
      <c r="F912" s="48"/>
      <c r="G912" s="48"/>
      <c r="H912" s="48"/>
      <c r="I912" s="48"/>
      <c r="J912" s="48"/>
      <c r="K912" s="48"/>
      <c r="L912" s="48"/>
      <c r="M912" s="48"/>
      <c r="N912" s="48"/>
      <c r="O912" s="48"/>
      <c r="P912" s="48"/>
      <c r="Q912" s="48"/>
      <c r="R912" s="48"/>
      <c r="S912" s="48"/>
      <c r="T912" s="48"/>
      <c r="U912" s="48"/>
      <c r="V912" s="48"/>
      <c r="W912" s="48"/>
      <c r="X912" s="48"/>
    </row>
    <row r="913" ht="15.75" customHeight="1">
      <c r="A913" s="56"/>
      <c r="B913" s="48"/>
      <c r="C913" s="48"/>
      <c r="D913" s="27"/>
      <c r="E913" s="27"/>
      <c r="F913" s="48"/>
      <c r="G913" s="48"/>
      <c r="H913" s="48"/>
      <c r="I913" s="48"/>
      <c r="J913" s="48"/>
      <c r="K913" s="48"/>
      <c r="L913" s="48"/>
      <c r="M913" s="48"/>
      <c r="N913" s="48"/>
      <c r="O913" s="48"/>
      <c r="P913" s="48"/>
      <c r="Q913" s="48"/>
      <c r="R913" s="48"/>
      <c r="S913" s="48"/>
      <c r="T913" s="48"/>
      <c r="U913" s="48"/>
      <c r="V913" s="48"/>
      <c r="W913" s="48"/>
      <c r="X913" s="48"/>
    </row>
    <row r="914" ht="15.75" customHeight="1">
      <c r="A914" s="56"/>
      <c r="B914" s="48"/>
      <c r="C914" s="48"/>
      <c r="D914" s="27"/>
      <c r="E914" s="27"/>
      <c r="F914" s="48"/>
      <c r="G914" s="48"/>
      <c r="H914" s="48"/>
      <c r="I914" s="48"/>
      <c r="J914" s="48"/>
      <c r="K914" s="48"/>
      <c r="L914" s="48"/>
      <c r="M914" s="48"/>
      <c r="N914" s="48"/>
      <c r="O914" s="48"/>
      <c r="P914" s="48"/>
      <c r="Q914" s="48"/>
      <c r="R914" s="48"/>
      <c r="S914" s="48"/>
      <c r="T914" s="48"/>
      <c r="U914" s="48"/>
      <c r="V914" s="48"/>
      <c r="W914" s="48"/>
      <c r="X914" s="48"/>
    </row>
    <row r="915" ht="15.75" customHeight="1">
      <c r="A915" s="56"/>
      <c r="B915" s="48"/>
      <c r="C915" s="48"/>
      <c r="D915" s="27"/>
      <c r="E915" s="27"/>
      <c r="F915" s="48"/>
      <c r="G915" s="48"/>
      <c r="H915" s="48"/>
      <c r="I915" s="48"/>
      <c r="J915" s="48"/>
      <c r="K915" s="48"/>
      <c r="L915" s="48"/>
      <c r="M915" s="48"/>
      <c r="N915" s="48"/>
      <c r="O915" s="48"/>
      <c r="P915" s="48"/>
      <c r="Q915" s="48"/>
      <c r="R915" s="48"/>
      <c r="S915" s="48"/>
      <c r="T915" s="48"/>
      <c r="U915" s="48"/>
      <c r="V915" s="48"/>
      <c r="W915" s="48"/>
      <c r="X915" s="48"/>
    </row>
    <row r="916" ht="15.75" customHeight="1">
      <c r="A916" s="56"/>
      <c r="B916" s="48"/>
      <c r="C916" s="48"/>
      <c r="D916" s="27"/>
      <c r="E916" s="27"/>
      <c r="F916" s="48"/>
      <c r="G916" s="48"/>
      <c r="H916" s="48"/>
      <c r="I916" s="48"/>
      <c r="J916" s="48"/>
      <c r="K916" s="48"/>
      <c r="L916" s="48"/>
      <c r="M916" s="48"/>
      <c r="N916" s="48"/>
      <c r="O916" s="48"/>
      <c r="P916" s="48"/>
      <c r="Q916" s="48"/>
      <c r="R916" s="48"/>
      <c r="S916" s="48"/>
      <c r="T916" s="48"/>
      <c r="U916" s="48"/>
      <c r="V916" s="48"/>
      <c r="W916" s="48"/>
      <c r="X916" s="48"/>
    </row>
    <row r="917" ht="15.75" customHeight="1">
      <c r="A917" s="56"/>
      <c r="B917" s="48"/>
      <c r="C917" s="48"/>
      <c r="D917" s="27"/>
      <c r="E917" s="27"/>
      <c r="F917" s="48"/>
      <c r="G917" s="48"/>
      <c r="H917" s="48"/>
      <c r="I917" s="48"/>
      <c r="J917" s="48"/>
      <c r="K917" s="48"/>
      <c r="L917" s="48"/>
      <c r="M917" s="48"/>
      <c r="N917" s="48"/>
      <c r="O917" s="48"/>
      <c r="P917" s="48"/>
      <c r="Q917" s="48"/>
      <c r="R917" s="48"/>
      <c r="S917" s="48"/>
      <c r="T917" s="48"/>
      <c r="U917" s="48"/>
      <c r="V917" s="48"/>
      <c r="W917" s="48"/>
      <c r="X917" s="48"/>
    </row>
    <row r="918" ht="15.75" customHeight="1">
      <c r="A918" s="56"/>
      <c r="B918" s="48"/>
      <c r="C918" s="48"/>
      <c r="D918" s="27"/>
      <c r="E918" s="27"/>
      <c r="F918" s="48"/>
      <c r="G918" s="48"/>
      <c r="H918" s="48"/>
      <c r="I918" s="48"/>
      <c r="J918" s="48"/>
      <c r="K918" s="48"/>
      <c r="L918" s="48"/>
      <c r="M918" s="48"/>
      <c r="N918" s="48"/>
      <c r="O918" s="48"/>
      <c r="P918" s="48"/>
      <c r="Q918" s="48"/>
      <c r="R918" s="48"/>
      <c r="S918" s="48"/>
      <c r="T918" s="48"/>
      <c r="U918" s="48"/>
      <c r="V918" s="48"/>
      <c r="W918" s="48"/>
      <c r="X918" s="48"/>
    </row>
    <row r="919" ht="15.75" customHeight="1">
      <c r="A919" s="56"/>
      <c r="B919" s="48"/>
      <c r="C919" s="48"/>
      <c r="D919" s="27"/>
      <c r="E919" s="27"/>
      <c r="F919" s="48"/>
      <c r="G919" s="48"/>
      <c r="H919" s="48"/>
      <c r="I919" s="48"/>
      <c r="J919" s="48"/>
      <c r="K919" s="48"/>
      <c r="L919" s="48"/>
      <c r="M919" s="48"/>
      <c r="N919" s="48"/>
      <c r="O919" s="48"/>
      <c r="P919" s="48"/>
      <c r="Q919" s="48"/>
      <c r="R919" s="48"/>
      <c r="S919" s="48"/>
      <c r="T919" s="48"/>
      <c r="U919" s="48"/>
      <c r="V919" s="48"/>
      <c r="W919" s="48"/>
      <c r="X919" s="48"/>
    </row>
    <row r="920" ht="15.75" customHeight="1">
      <c r="A920" s="56"/>
      <c r="B920" s="48"/>
      <c r="C920" s="48"/>
      <c r="D920" s="27"/>
      <c r="E920" s="27"/>
      <c r="F920" s="48"/>
      <c r="G920" s="48"/>
      <c r="H920" s="48"/>
      <c r="I920" s="48"/>
      <c r="J920" s="48"/>
      <c r="K920" s="48"/>
      <c r="L920" s="48"/>
      <c r="M920" s="48"/>
      <c r="N920" s="48"/>
      <c r="O920" s="48"/>
      <c r="P920" s="48"/>
      <c r="Q920" s="48"/>
      <c r="R920" s="48"/>
      <c r="S920" s="48"/>
      <c r="T920" s="48"/>
      <c r="U920" s="48"/>
      <c r="V920" s="48"/>
      <c r="W920" s="48"/>
      <c r="X920" s="48"/>
    </row>
    <row r="921" ht="15.75" customHeight="1">
      <c r="A921" s="56"/>
      <c r="B921" s="48"/>
      <c r="C921" s="48"/>
      <c r="D921" s="27"/>
      <c r="E921" s="27"/>
      <c r="F921" s="48"/>
      <c r="G921" s="48"/>
      <c r="H921" s="48"/>
      <c r="I921" s="48"/>
      <c r="J921" s="48"/>
      <c r="K921" s="48"/>
      <c r="L921" s="48"/>
      <c r="M921" s="48"/>
      <c r="N921" s="48"/>
      <c r="O921" s="48"/>
      <c r="P921" s="48"/>
      <c r="Q921" s="48"/>
      <c r="R921" s="48"/>
      <c r="S921" s="48"/>
      <c r="T921" s="48"/>
      <c r="U921" s="48"/>
      <c r="V921" s="48"/>
      <c r="W921" s="48"/>
      <c r="X921" s="48"/>
    </row>
    <row r="922" ht="15.75" customHeight="1">
      <c r="A922" s="56"/>
      <c r="B922" s="48"/>
      <c r="C922" s="48"/>
      <c r="D922" s="27"/>
      <c r="E922" s="27"/>
      <c r="F922" s="48"/>
      <c r="G922" s="48"/>
      <c r="H922" s="48"/>
      <c r="I922" s="48"/>
      <c r="J922" s="48"/>
      <c r="K922" s="48"/>
      <c r="L922" s="48"/>
      <c r="M922" s="48"/>
      <c r="N922" s="48"/>
      <c r="O922" s="48"/>
      <c r="P922" s="48"/>
      <c r="Q922" s="48"/>
      <c r="R922" s="48"/>
      <c r="S922" s="48"/>
      <c r="T922" s="48"/>
      <c r="U922" s="48"/>
      <c r="V922" s="48"/>
      <c r="W922" s="48"/>
      <c r="X922" s="48"/>
    </row>
    <row r="923" ht="15.75" customHeight="1">
      <c r="A923" s="56"/>
      <c r="B923" s="48"/>
      <c r="C923" s="48"/>
      <c r="D923" s="27"/>
      <c r="E923" s="27"/>
      <c r="F923" s="48"/>
      <c r="G923" s="48"/>
      <c r="H923" s="48"/>
      <c r="I923" s="48"/>
      <c r="J923" s="48"/>
      <c r="K923" s="48"/>
      <c r="L923" s="48"/>
      <c r="M923" s="48"/>
      <c r="N923" s="48"/>
      <c r="O923" s="48"/>
      <c r="P923" s="48"/>
      <c r="Q923" s="48"/>
      <c r="R923" s="48"/>
      <c r="S923" s="48"/>
      <c r="T923" s="48"/>
      <c r="U923" s="48"/>
      <c r="V923" s="48"/>
      <c r="W923" s="48"/>
      <c r="X923" s="48"/>
    </row>
    <row r="924" ht="15.75" customHeight="1">
      <c r="A924" s="56"/>
      <c r="B924" s="48"/>
      <c r="C924" s="48"/>
      <c r="D924" s="27"/>
      <c r="E924" s="27"/>
      <c r="F924" s="48"/>
      <c r="G924" s="48"/>
      <c r="H924" s="48"/>
      <c r="I924" s="48"/>
      <c r="J924" s="48"/>
      <c r="K924" s="48"/>
      <c r="L924" s="48"/>
      <c r="M924" s="48"/>
      <c r="N924" s="48"/>
      <c r="O924" s="48"/>
      <c r="P924" s="48"/>
      <c r="Q924" s="48"/>
      <c r="R924" s="48"/>
      <c r="S924" s="48"/>
      <c r="T924" s="48"/>
      <c r="U924" s="48"/>
      <c r="V924" s="48"/>
      <c r="W924" s="48"/>
      <c r="X924" s="48"/>
    </row>
    <row r="925" ht="15.75" customHeight="1">
      <c r="A925" s="56"/>
      <c r="B925" s="48"/>
      <c r="C925" s="48"/>
      <c r="D925" s="27"/>
      <c r="E925" s="27"/>
      <c r="F925" s="48"/>
      <c r="G925" s="48"/>
      <c r="H925" s="48"/>
      <c r="I925" s="48"/>
      <c r="J925" s="48"/>
      <c r="K925" s="48"/>
      <c r="L925" s="48"/>
      <c r="M925" s="48"/>
      <c r="N925" s="48"/>
      <c r="O925" s="48"/>
      <c r="P925" s="48"/>
      <c r="Q925" s="48"/>
      <c r="R925" s="48"/>
      <c r="S925" s="48"/>
      <c r="T925" s="48"/>
      <c r="U925" s="48"/>
      <c r="V925" s="48"/>
      <c r="W925" s="48"/>
      <c r="X925" s="48"/>
    </row>
    <row r="926" ht="15.75" customHeight="1">
      <c r="A926" s="56"/>
      <c r="B926" s="48"/>
      <c r="C926" s="48"/>
      <c r="D926" s="27"/>
      <c r="E926" s="27"/>
      <c r="F926" s="48"/>
      <c r="G926" s="48"/>
      <c r="H926" s="48"/>
      <c r="I926" s="48"/>
      <c r="J926" s="48"/>
      <c r="K926" s="48"/>
      <c r="L926" s="48"/>
      <c r="M926" s="48"/>
      <c r="N926" s="48"/>
      <c r="O926" s="48"/>
      <c r="P926" s="48"/>
      <c r="Q926" s="48"/>
      <c r="R926" s="48"/>
      <c r="S926" s="48"/>
      <c r="T926" s="48"/>
      <c r="U926" s="48"/>
      <c r="V926" s="48"/>
      <c r="W926" s="48"/>
      <c r="X926" s="48"/>
    </row>
    <row r="927" ht="15.75" customHeight="1">
      <c r="A927" s="56"/>
      <c r="B927" s="48"/>
      <c r="C927" s="48"/>
      <c r="D927" s="27"/>
      <c r="E927" s="27"/>
      <c r="F927" s="48"/>
      <c r="G927" s="48"/>
      <c r="H927" s="48"/>
      <c r="I927" s="48"/>
      <c r="J927" s="48"/>
      <c r="K927" s="48"/>
      <c r="L927" s="48"/>
      <c r="M927" s="48"/>
      <c r="N927" s="48"/>
      <c r="O927" s="48"/>
      <c r="P927" s="48"/>
      <c r="Q927" s="48"/>
      <c r="R927" s="48"/>
      <c r="S927" s="48"/>
      <c r="T927" s="48"/>
      <c r="U927" s="48"/>
      <c r="V927" s="48"/>
      <c r="W927" s="48"/>
      <c r="X927" s="48"/>
    </row>
    <row r="928" ht="15.75" customHeight="1">
      <c r="A928" s="56"/>
      <c r="B928" s="48"/>
      <c r="C928" s="48"/>
      <c r="D928" s="27"/>
      <c r="E928" s="27"/>
      <c r="F928" s="48"/>
      <c r="G928" s="48"/>
      <c r="H928" s="48"/>
      <c r="I928" s="48"/>
      <c r="J928" s="48"/>
      <c r="K928" s="48"/>
      <c r="L928" s="48"/>
      <c r="M928" s="48"/>
      <c r="N928" s="48"/>
      <c r="O928" s="48"/>
      <c r="P928" s="48"/>
      <c r="Q928" s="48"/>
      <c r="R928" s="48"/>
      <c r="S928" s="48"/>
      <c r="T928" s="48"/>
      <c r="U928" s="48"/>
      <c r="V928" s="48"/>
      <c r="W928" s="48"/>
      <c r="X928" s="48"/>
    </row>
    <row r="929" ht="15.75" customHeight="1">
      <c r="A929" s="56"/>
      <c r="B929" s="48"/>
      <c r="C929" s="48"/>
      <c r="D929" s="27"/>
      <c r="E929" s="27"/>
      <c r="F929" s="48"/>
      <c r="G929" s="48"/>
      <c r="H929" s="48"/>
      <c r="I929" s="48"/>
      <c r="J929" s="48"/>
      <c r="K929" s="48"/>
      <c r="L929" s="48"/>
      <c r="M929" s="48"/>
      <c r="N929" s="48"/>
      <c r="O929" s="48"/>
      <c r="P929" s="48"/>
      <c r="Q929" s="48"/>
      <c r="R929" s="48"/>
      <c r="S929" s="48"/>
      <c r="T929" s="48"/>
      <c r="U929" s="48"/>
      <c r="V929" s="48"/>
      <c r="W929" s="48"/>
      <c r="X929" s="48"/>
    </row>
    <row r="930" ht="15.75" customHeight="1">
      <c r="A930" s="56"/>
      <c r="B930" s="48"/>
      <c r="C930" s="48"/>
      <c r="D930" s="27"/>
      <c r="E930" s="27"/>
      <c r="F930" s="48"/>
      <c r="G930" s="48"/>
      <c r="H930" s="48"/>
      <c r="I930" s="48"/>
      <c r="J930" s="48"/>
      <c r="K930" s="48"/>
      <c r="L930" s="48"/>
      <c r="M930" s="48"/>
      <c r="N930" s="48"/>
      <c r="O930" s="48"/>
      <c r="P930" s="48"/>
      <c r="Q930" s="48"/>
      <c r="R930" s="48"/>
      <c r="S930" s="48"/>
      <c r="T930" s="48"/>
      <c r="U930" s="48"/>
      <c r="V930" s="48"/>
      <c r="W930" s="48"/>
      <c r="X930" s="48"/>
    </row>
    <row r="931" ht="15.75" customHeight="1">
      <c r="A931" s="56"/>
      <c r="B931" s="48"/>
      <c r="C931" s="48"/>
      <c r="D931" s="27"/>
      <c r="E931" s="27"/>
      <c r="F931" s="48"/>
      <c r="G931" s="48"/>
      <c r="H931" s="48"/>
      <c r="I931" s="48"/>
      <c r="J931" s="48"/>
      <c r="K931" s="48"/>
      <c r="L931" s="48"/>
      <c r="M931" s="48"/>
      <c r="N931" s="48"/>
      <c r="O931" s="48"/>
      <c r="P931" s="48"/>
      <c r="Q931" s="48"/>
      <c r="R931" s="48"/>
      <c r="S931" s="48"/>
      <c r="T931" s="48"/>
      <c r="U931" s="48"/>
      <c r="V931" s="48"/>
      <c r="W931" s="48"/>
      <c r="X931" s="48"/>
    </row>
    <row r="932" ht="15.75" customHeight="1">
      <c r="A932" s="56"/>
      <c r="B932" s="48"/>
      <c r="C932" s="48"/>
      <c r="D932" s="27"/>
      <c r="E932" s="27"/>
      <c r="F932" s="48"/>
      <c r="G932" s="48"/>
      <c r="H932" s="48"/>
      <c r="I932" s="48"/>
      <c r="J932" s="48"/>
      <c r="K932" s="48"/>
      <c r="L932" s="48"/>
      <c r="M932" s="48"/>
      <c r="N932" s="48"/>
      <c r="O932" s="48"/>
      <c r="P932" s="48"/>
      <c r="Q932" s="48"/>
      <c r="R932" s="48"/>
      <c r="S932" s="48"/>
      <c r="T932" s="48"/>
      <c r="U932" s="48"/>
      <c r="V932" s="48"/>
      <c r="W932" s="48"/>
      <c r="X932" s="48"/>
    </row>
    <row r="933" ht="15.75" customHeight="1">
      <c r="A933" s="56"/>
      <c r="B933" s="48"/>
      <c r="C933" s="48"/>
      <c r="D933" s="27"/>
      <c r="E933" s="27"/>
      <c r="F933" s="48"/>
      <c r="G933" s="48"/>
      <c r="H933" s="48"/>
      <c r="I933" s="48"/>
      <c r="J933" s="48"/>
      <c r="K933" s="48"/>
      <c r="L933" s="48"/>
      <c r="M933" s="48"/>
      <c r="N933" s="48"/>
      <c r="O933" s="48"/>
      <c r="P933" s="48"/>
      <c r="Q933" s="48"/>
      <c r="R933" s="48"/>
      <c r="S933" s="48"/>
      <c r="T933" s="48"/>
      <c r="U933" s="48"/>
      <c r="V933" s="48"/>
      <c r="W933" s="48"/>
      <c r="X933" s="48"/>
    </row>
    <row r="934" ht="15.75" customHeight="1">
      <c r="A934" s="56"/>
      <c r="B934" s="48"/>
      <c r="C934" s="48"/>
      <c r="D934" s="27"/>
      <c r="E934" s="27"/>
      <c r="F934" s="48"/>
      <c r="G934" s="48"/>
      <c r="H934" s="48"/>
      <c r="I934" s="48"/>
      <c r="J934" s="48"/>
      <c r="K934" s="48"/>
      <c r="L934" s="48"/>
      <c r="M934" s="48"/>
      <c r="N934" s="48"/>
      <c r="O934" s="48"/>
      <c r="P934" s="48"/>
      <c r="Q934" s="48"/>
      <c r="R934" s="48"/>
      <c r="S934" s="48"/>
      <c r="T934" s="48"/>
      <c r="U934" s="48"/>
      <c r="V934" s="48"/>
      <c r="W934" s="48"/>
      <c r="X934" s="48"/>
    </row>
    <row r="935" ht="15.75" customHeight="1">
      <c r="A935" s="56"/>
      <c r="B935" s="48"/>
      <c r="C935" s="48"/>
      <c r="D935" s="27"/>
      <c r="E935" s="27"/>
      <c r="F935" s="48"/>
      <c r="G935" s="48"/>
      <c r="H935" s="48"/>
      <c r="I935" s="48"/>
      <c r="J935" s="48"/>
      <c r="K935" s="48"/>
      <c r="L935" s="48"/>
      <c r="M935" s="48"/>
      <c r="N935" s="48"/>
      <c r="O935" s="48"/>
      <c r="P935" s="48"/>
      <c r="Q935" s="48"/>
      <c r="R935" s="48"/>
      <c r="S935" s="48"/>
      <c r="T935" s="48"/>
      <c r="U935" s="48"/>
      <c r="V935" s="48"/>
      <c r="W935" s="48"/>
      <c r="X935" s="48"/>
    </row>
    <row r="936" ht="15.75" customHeight="1">
      <c r="A936" s="56"/>
      <c r="B936" s="48"/>
      <c r="C936" s="48"/>
      <c r="D936" s="27"/>
      <c r="E936" s="27"/>
      <c r="F936" s="48"/>
      <c r="G936" s="48"/>
      <c r="H936" s="48"/>
      <c r="I936" s="48"/>
      <c r="J936" s="48"/>
      <c r="K936" s="48"/>
      <c r="L936" s="48"/>
      <c r="M936" s="48"/>
      <c r="N936" s="48"/>
      <c r="O936" s="48"/>
      <c r="P936" s="48"/>
      <c r="Q936" s="48"/>
      <c r="R936" s="48"/>
      <c r="S936" s="48"/>
      <c r="T936" s="48"/>
      <c r="U936" s="48"/>
      <c r="V936" s="48"/>
      <c r="W936" s="48"/>
      <c r="X936" s="48"/>
    </row>
    <row r="937" ht="15.75" customHeight="1">
      <c r="A937" s="56"/>
      <c r="B937" s="48"/>
      <c r="C937" s="48"/>
      <c r="D937" s="27"/>
      <c r="E937" s="27"/>
      <c r="F937" s="48"/>
      <c r="G937" s="48"/>
      <c r="H937" s="48"/>
      <c r="I937" s="48"/>
      <c r="J937" s="48"/>
      <c r="K937" s="48"/>
      <c r="L937" s="48"/>
      <c r="M937" s="48"/>
      <c r="N937" s="48"/>
      <c r="O937" s="48"/>
      <c r="P937" s="48"/>
      <c r="Q937" s="48"/>
      <c r="R937" s="48"/>
      <c r="S937" s="48"/>
      <c r="T937" s="48"/>
      <c r="U937" s="48"/>
      <c r="V937" s="48"/>
      <c r="W937" s="48"/>
      <c r="X937" s="48"/>
    </row>
    <row r="938" ht="15.75" customHeight="1">
      <c r="A938" s="56"/>
      <c r="B938" s="48"/>
      <c r="C938" s="48"/>
      <c r="D938" s="27"/>
      <c r="E938" s="27"/>
      <c r="F938" s="48"/>
      <c r="G938" s="48"/>
      <c r="H938" s="48"/>
      <c r="I938" s="48"/>
      <c r="J938" s="48"/>
      <c r="K938" s="48"/>
      <c r="L938" s="48"/>
      <c r="M938" s="48"/>
      <c r="N938" s="48"/>
      <c r="O938" s="48"/>
      <c r="P938" s="48"/>
      <c r="Q938" s="48"/>
      <c r="R938" s="48"/>
      <c r="S938" s="48"/>
      <c r="T938" s="48"/>
      <c r="U938" s="48"/>
      <c r="V938" s="48"/>
      <c r="W938" s="48"/>
      <c r="X938" s="48"/>
    </row>
    <row r="939" ht="15.75" customHeight="1">
      <c r="A939" s="56"/>
      <c r="B939" s="48"/>
      <c r="C939" s="48"/>
      <c r="D939" s="27"/>
      <c r="E939" s="27"/>
      <c r="F939" s="48"/>
      <c r="G939" s="48"/>
      <c r="H939" s="48"/>
      <c r="I939" s="48"/>
      <c r="J939" s="48"/>
      <c r="K939" s="48"/>
      <c r="L939" s="48"/>
      <c r="M939" s="48"/>
      <c r="N939" s="48"/>
      <c r="O939" s="48"/>
      <c r="P939" s="48"/>
      <c r="Q939" s="48"/>
      <c r="R939" s="48"/>
      <c r="S939" s="48"/>
      <c r="T939" s="48"/>
      <c r="U939" s="48"/>
      <c r="V939" s="48"/>
      <c r="W939" s="48"/>
      <c r="X939" s="48"/>
    </row>
    <row r="940" ht="15.75" customHeight="1">
      <c r="A940" s="56"/>
      <c r="B940" s="48"/>
      <c r="C940" s="48"/>
      <c r="D940" s="27"/>
      <c r="E940" s="27"/>
      <c r="F940" s="48"/>
      <c r="G940" s="48"/>
      <c r="H940" s="48"/>
      <c r="I940" s="48"/>
      <c r="J940" s="48"/>
      <c r="K940" s="48"/>
      <c r="L940" s="48"/>
      <c r="M940" s="48"/>
      <c r="N940" s="48"/>
      <c r="O940" s="48"/>
      <c r="P940" s="48"/>
      <c r="Q940" s="48"/>
      <c r="R940" s="48"/>
      <c r="S940" s="48"/>
      <c r="T940" s="48"/>
      <c r="U940" s="48"/>
      <c r="V940" s="48"/>
      <c r="W940" s="48"/>
      <c r="X940" s="48"/>
    </row>
    <row r="941" ht="15.75" customHeight="1">
      <c r="A941" s="56"/>
      <c r="B941" s="48"/>
      <c r="C941" s="48"/>
      <c r="D941" s="27"/>
      <c r="E941" s="27"/>
      <c r="F941" s="48"/>
      <c r="G941" s="48"/>
      <c r="H941" s="48"/>
      <c r="I941" s="48"/>
      <c r="J941" s="48"/>
      <c r="K941" s="48"/>
      <c r="L941" s="48"/>
      <c r="M941" s="48"/>
      <c r="N941" s="48"/>
      <c r="O941" s="48"/>
      <c r="P941" s="48"/>
      <c r="Q941" s="48"/>
      <c r="R941" s="48"/>
      <c r="S941" s="48"/>
      <c r="T941" s="48"/>
      <c r="U941" s="48"/>
      <c r="V941" s="48"/>
      <c r="W941" s="48"/>
      <c r="X941" s="48"/>
    </row>
    <row r="942" ht="15.75" customHeight="1">
      <c r="A942" s="56"/>
      <c r="B942" s="48"/>
      <c r="C942" s="48"/>
      <c r="D942" s="27"/>
      <c r="E942" s="27"/>
      <c r="F942" s="48"/>
      <c r="G942" s="48"/>
      <c r="H942" s="48"/>
      <c r="I942" s="48"/>
      <c r="J942" s="48"/>
      <c r="K942" s="48"/>
      <c r="L942" s="48"/>
      <c r="M942" s="48"/>
      <c r="N942" s="48"/>
      <c r="O942" s="48"/>
      <c r="P942" s="48"/>
      <c r="Q942" s="48"/>
      <c r="R942" s="48"/>
      <c r="S942" s="48"/>
      <c r="T942" s="48"/>
      <c r="U942" s="48"/>
      <c r="V942" s="48"/>
      <c r="W942" s="48"/>
      <c r="X942" s="48"/>
    </row>
    <row r="943" ht="15.75" customHeight="1">
      <c r="A943" s="56"/>
      <c r="B943" s="48"/>
      <c r="C943" s="48"/>
      <c r="D943" s="27"/>
      <c r="E943" s="27"/>
      <c r="F943" s="48"/>
      <c r="G943" s="48"/>
      <c r="H943" s="48"/>
      <c r="I943" s="48"/>
      <c r="J943" s="48"/>
      <c r="K943" s="48"/>
      <c r="L943" s="48"/>
      <c r="M943" s="48"/>
      <c r="N943" s="48"/>
      <c r="O943" s="48"/>
      <c r="P943" s="48"/>
      <c r="Q943" s="48"/>
      <c r="R943" s="48"/>
      <c r="S943" s="48"/>
      <c r="T943" s="48"/>
      <c r="U943" s="48"/>
      <c r="V943" s="48"/>
      <c r="W943" s="48"/>
      <c r="X943" s="48"/>
    </row>
    <row r="944" ht="15.75" customHeight="1">
      <c r="A944" s="56"/>
      <c r="B944" s="48"/>
      <c r="C944" s="48"/>
      <c r="D944" s="27"/>
      <c r="E944" s="27"/>
      <c r="F944" s="48"/>
      <c r="G944" s="48"/>
      <c r="H944" s="48"/>
      <c r="I944" s="48"/>
      <c r="J944" s="48"/>
      <c r="K944" s="48"/>
      <c r="L944" s="48"/>
      <c r="M944" s="48"/>
      <c r="N944" s="48"/>
      <c r="O944" s="48"/>
      <c r="P944" s="48"/>
      <c r="Q944" s="48"/>
      <c r="R944" s="48"/>
      <c r="S944" s="48"/>
      <c r="T944" s="48"/>
      <c r="U944" s="48"/>
      <c r="V944" s="48"/>
      <c r="W944" s="48"/>
      <c r="X944" s="48"/>
    </row>
    <row r="945" ht="15.75" customHeight="1">
      <c r="A945" s="56"/>
      <c r="B945" s="48"/>
      <c r="C945" s="48"/>
      <c r="D945" s="27"/>
      <c r="E945" s="27"/>
      <c r="F945" s="48"/>
      <c r="G945" s="48"/>
      <c r="H945" s="48"/>
      <c r="I945" s="48"/>
      <c r="J945" s="48"/>
      <c r="K945" s="48"/>
      <c r="L945" s="48"/>
      <c r="M945" s="48"/>
      <c r="N945" s="48"/>
      <c r="O945" s="48"/>
      <c r="P945" s="48"/>
      <c r="Q945" s="48"/>
      <c r="R945" s="48"/>
      <c r="S945" s="48"/>
      <c r="T945" s="48"/>
      <c r="U945" s="48"/>
      <c r="V945" s="48"/>
      <c r="W945" s="48"/>
      <c r="X945" s="48"/>
    </row>
    <row r="946" ht="15.75" customHeight="1">
      <c r="A946" s="56"/>
      <c r="B946" s="48"/>
      <c r="C946" s="48"/>
      <c r="D946" s="27"/>
      <c r="E946" s="27"/>
      <c r="F946" s="48"/>
      <c r="G946" s="48"/>
      <c r="H946" s="48"/>
      <c r="I946" s="48"/>
      <c r="J946" s="48"/>
      <c r="K946" s="48"/>
      <c r="L946" s="48"/>
      <c r="M946" s="48"/>
      <c r="N946" s="48"/>
      <c r="O946" s="48"/>
      <c r="P946" s="48"/>
      <c r="Q946" s="48"/>
      <c r="R946" s="48"/>
      <c r="S946" s="48"/>
      <c r="T946" s="48"/>
      <c r="U946" s="48"/>
      <c r="V946" s="48"/>
      <c r="W946" s="48"/>
      <c r="X946" s="48"/>
    </row>
    <row r="947" ht="15.75" customHeight="1">
      <c r="A947" s="56"/>
      <c r="B947" s="48"/>
      <c r="C947" s="48"/>
      <c r="D947" s="27"/>
      <c r="E947" s="27"/>
      <c r="F947" s="48"/>
      <c r="G947" s="48"/>
      <c r="H947" s="48"/>
      <c r="I947" s="48"/>
      <c r="J947" s="48"/>
      <c r="K947" s="48"/>
      <c r="L947" s="48"/>
      <c r="M947" s="48"/>
      <c r="N947" s="48"/>
      <c r="O947" s="48"/>
      <c r="P947" s="48"/>
      <c r="Q947" s="48"/>
      <c r="R947" s="48"/>
      <c r="S947" s="48"/>
      <c r="T947" s="48"/>
      <c r="U947" s="48"/>
      <c r="V947" s="48"/>
      <c r="W947" s="48"/>
      <c r="X947" s="48"/>
    </row>
    <row r="948" ht="15.75" customHeight="1">
      <c r="A948" s="56"/>
      <c r="B948" s="48"/>
      <c r="C948" s="48"/>
      <c r="D948" s="27"/>
      <c r="E948" s="27"/>
      <c r="F948" s="48"/>
      <c r="G948" s="48"/>
      <c r="H948" s="48"/>
      <c r="I948" s="48"/>
      <c r="J948" s="48"/>
      <c r="K948" s="48"/>
      <c r="L948" s="48"/>
      <c r="M948" s="48"/>
      <c r="N948" s="48"/>
      <c r="O948" s="48"/>
      <c r="P948" s="48"/>
      <c r="Q948" s="48"/>
      <c r="R948" s="48"/>
      <c r="S948" s="48"/>
      <c r="T948" s="48"/>
      <c r="U948" s="48"/>
      <c r="V948" s="48"/>
      <c r="W948" s="48"/>
      <c r="X948" s="48"/>
    </row>
    <row r="949" ht="15.75" customHeight="1">
      <c r="A949" s="56"/>
      <c r="B949" s="48"/>
      <c r="C949" s="48"/>
      <c r="D949" s="27"/>
      <c r="E949" s="27"/>
      <c r="F949" s="48"/>
      <c r="G949" s="48"/>
      <c r="H949" s="48"/>
      <c r="I949" s="48"/>
      <c r="J949" s="48"/>
      <c r="K949" s="48"/>
      <c r="L949" s="48"/>
      <c r="M949" s="48"/>
      <c r="N949" s="48"/>
      <c r="O949" s="48"/>
      <c r="P949" s="48"/>
      <c r="Q949" s="48"/>
      <c r="R949" s="48"/>
      <c r="S949" s="48"/>
      <c r="T949" s="48"/>
      <c r="U949" s="48"/>
      <c r="V949" s="48"/>
      <c r="W949" s="48"/>
      <c r="X949" s="48"/>
    </row>
    <row r="950" ht="15.75" customHeight="1">
      <c r="A950" s="56"/>
      <c r="B950" s="48"/>
      <c r="C950" s="48"/>
      <c r="D950" s="27"/>
      <c r="E950" s="27"/>
      <c r="F950" s="48"/>
      <c r="G950" s="48"/>
      <c r="H950" s="48"/>
      <c r="I950" s="48"/>
      <c r="J950" s="48"/>
      <c r="K950" s="48"/>
      <c r="L950" s="48"/>
      <c r="M950" s="48"/>
      <c r="N950" s="48"/>
      <c r="O950" s="48"/>
      <c r="P950" s="48"/>
      <c r="Q950" s="48"/>
      <c r="R950" s="48"/>
      <c r="S950" s="48"/>
      <c r="T950" s="48"/>
      <c r="U950" s="48"/>
      <c r="V950" s="48"/>
      <c r="W950" s="48"/>
      <c r="X950" s="48"/>
    </row>
    <row r="951" ht="15.75" customHeight="1">
      <c r="A951" s="56"/>
      <c r="B951" s="48"/>
      <c r="C951" s="48"/>
      <c r="D951" s="27"/>
      <c r="E951" s="27"/>
      <c r="F951" s="48"/>
      <c r="G951" s="48"/>
      <c r="H951" s="48"/>
      <c r="I951" s="48"/>
      <c r="J951" s="48"/>
      <c r="K951" s="48"/>
      <c r="L951" s="48"/>
      <c r="M951" s="48"/>
      <c r="N951" s="48"/>
      <c r="O951" s="48"/>
      <c r="P951" s="48"/>
      <c r="Q951" s="48"/>
      <c r="R951" s="48"/>
      <c r="S951" s="48"/>
      <c r="T951" s="48"/>
      <c r="U951" s="48"/>
      <c r="V951" s="48"/>
      <c r="W951" s="48"/>
      <c r="X951" s="48"/>
    </row>
    <row r="952" ht="15.75" customHeight="1">
      <c r="A952" s="56"/>
      <c r="B952" s="48"/>
      <c r="C952" s="48"/>
      <c r="D952" s="27"/>
      <c r="E952" s="27"/>
      <c r="F952" s="48"/>
      <c r="G952" s="48"/>
      <c r="H952" s="48"/>
      <c r="I952" s="48"/>
      <c r="J952" s="48"/>
      <c r="K952" s="48"/>
      <c r="L952" s="48"/>
      <c r="M952" s="48"/>
      <c r="N952" s="48"/>
      <c r="O952" s="48"/>
      <c r="P952" s="48"/>
      <c r="Q952" s="48"/>
      <c r="R952" s="48"/>
      <c r="S952" s="48"/>
      <c r="T952" s="48"/>
      <c r="U952" s="48"/>
      <c r="V952" s="48"/>
      <c r="W952" s="48"/>
      <c r="X952" s="48"/>
    </row>
    <row r="953" ht="15.75" customHeight="1">
      <c r="A953" s="56"/>
      <c r="B953" s="48"/>
      <c r="C953" s="48"/>
      <c r="D953" s="27"/>
      <c r="E953" s="27"/>
      <c r="F953" s="48"/>
      <c r="G953" s="48"/>
      <c r="H953" s="48"/>
      <c r="I953" s="48"/>
      <c r="J953" s="48"/>
      <c r="K953" s="48"/>
      <c r="L953" s="48"/>
      <c r="M953" s="48"/>
      <c r="N953" s="48"/>
      <c r="O953" s="48"/>
      <c r="P953" s="48"/>
      <c r="Q953" s="48"/>
      <c r="R953" s="48"/>
      <c r="S953" s="48"/>
      <c r="T953" s="48"/>
      <c r="U953" s="48"/>
      <c r="V953" s="48"/>
      <c r="W953" s="48"/>
      <c r="X953" s="48"/>
    </row>
    <row r="954" ht="15.75" customHeight="1">
      <c r="A954" s="56"/>
      <c r="B954" s="48"/>
      <c r="C954" s="48"/>
      <c r="D954" s="27"/>
      <c r="E954" s="27"/>
      <c r="F954" s="48"/>
      <c r="G954" s="48"/>
      <c r="H954" s="48"/>
      <c r="I954" s="48"/>
      <c r="J954" s="48"/>
      <c r="K954" s="48"/>
      <c r="L954" s="48"/>
      <c r="M954" s="48"/>
      <c r="N954" s="48"/>
      <c r="O954" s="48"/>
      <c r="P954" s="48"/>
      <c r="Q954" s="48"/>
      <c r="R954" s="48"/>
      <c r="S954" s="48"/>
      <c r="T954" s="48"/>
      <c r="U954" s="48"/>
      <c r="V954" s="48"/>
      <c r="W954" s="48"/>
      <c r="X954" s="48"/>
    </row>
    <row r="955" ht="15.75" customHeight="1">
      <c r="A955" s="56"/>
      <c r="B955" s="48"/>
      <c r="C955" s="48"/>
      <c r="D955" s="27"/>
      <c r="E955" s="27"/>
      <c r="F955" s="48"/>
      <c r="G955" s="48"/>
      <c r="H955" s="48"/>
      <c r="I955" s="48"/>
      <c r="J955" s="48"/>
      <c r="K955" s="48"/>
      <c r="L955" s="48"/>
      <c r="M955" s="48"/>
      <c r="N955" s="48"/>
      <c r="O955" s="48"/>
      <c r="P955" s="48"/>
      <c r="Q955" s="48"/>
      <c r="R955" s="48"/>
      <c r="S955" s="48"/>
      <c r="T955" s="48"/>
      <c r="U955" s="48"/>
      <c r="V955" s="48"/>
      <c r="W955" s="48"/>
      <c r="X955" s="48"/>
    </row>
    <row r="956" ht="15.75" customHeight="1">
      <c r="A956" s="56"/>
      <c r="B956" s="48"/>
      <c r="C956" s="48"/>
      <c r="D956" s="27"/>
      <c r="E956" s="27"/>
      <c r="F956" s="48"/>
      <c r="G956" s="48"/>
      <c r="H956" s="48"/>
      <c r="I956" s="48"/>
      <c r="J956" s="48"/>
      <c r="K956" s="48"/>
      <c r="L956" s="48"/>
      <c r="M956" s="48"/>
      <c r="N956" s="48"/>
      <c r="O956" s="48"/>
      <c r="P956" s="48"/>
      <c r="Q956" s="48"/>
      <c r="R956" s="48"/>
      <c r="S956" s="48"/>
      <c r="T956" s="48"/>
      <c r="U956" s="48"/>
      <c r="V956" s="48"/>
      <c r="W956" s="48"/>
      <c r="X956" s="48"/>
    </row>
    <row r="957" ht="15.75" customHeight="1">
      <c r="A957" s="56"/>
      <c r="B957" s="48"/>
      <c r="C957" s="48"/>
      <c r="D957" s="27"/>
      <c r="E957" s="27"/>
      <c r="F957" s="48"/>
      <c r="G957" s="48"/>
      <c r="H957" s="48"/>
      <c r="I957" s="48"/>
      <c r="J957" s="48"/>
      <c r="K957" s="48"/>
      <c r="L957" s="48"/>
      <c r="M957" s="48"/>
      <c r="N957" s="48"/>
      <c r="O957" s="48"/>
      <c r="P957" s="48"/>
      <c r="Q957" s="48"/>
      <c r="R957" s="48"/>
      <c r="S957" s="48"/>
      <c r="T957" s="48"/>
      <c r="U957" s="48"/>
      <c r="V957" s="48"/>
      <c r="W957" s="48"/>
      <c r="X957" s="48"/>
    </row>
    <row r="958" ht="15.75" customHeight="1">
      <c r="A958" s="56"/>
      <c r="B958" s="48"/>
      <c r="C958" s="48"/>
      <c r="D958" s="27"/>
      <c r="E958" s="27"/>
      <c r="F958" s="48"/>
      <c r="G958" s="48"/>
      <c r="H958" s="48"/>
      <c r="I958" s="48"/>
      <c r="J958" s="48"/>
      <c r="K958" s="48"/>
      <c r="L958" s="48"/>
      <c r="M958" s="48"/>
      <c r="N958" s="48"/>
      <c r="O958" s="48"/>
      <c r="P958" s="48"/>
      <c r="Q958" s="48"/>
      <c r="R958" s="48"/>
      <c r="S958" s="48"/>
      <c r="T958" s="48"/>
      <c r="U958" s="48"/>
      <c r="V958" s="48"/>
      <c r="W958" s="48"/>
      <c r="X958" s="48"/>
    </row>
    <row r="959" ht="15.75" customHeight="1">
      <c r="A959" s="56"/>
      <c r="B959" s="48"/>
      <c r="C959" s="48"/>
      <c r="D959" s="27"/>
      <c r="E959" s="27"/>
      <c r="F959" s="48"/>
      <c r="G959" s="48"/>
      <c r="H959" s="48"/>
      <c r="I959" s="48"/>
      <c r="J959" s="48"/>
      <c r="K959" s="48"/>
      <c r="L959" s="48"/>
      <c r="M959" s="48"/>
      <c r="N959" s="48"/>
      <c r="O959" s="48"/>
      <c r="P959" s="48"/>
      <c r="Q959" s="48"/>
      <c r="R959" s="48"/>
      <c r="S959" s="48"/>
      <c r="T959" s="48"/>
      <c r="U959" s="48"/>
      <c r="V959" s="48"/>
      <c r="W959" s="48"/>
      <c r="X959" s="48"/>
    </row>
    <row r="960" ht="15.75" customHeight="1">
      <c r="A960" s="56"/>
      <c r="B960" s="48"/>
      <c r="C960" s="48"/>
      <c r="D960" s="27"/>
      <c r="E960" s="27"/>
      <c r="F960" s="48"/>
      <c r="G960" s="48"/>
      <c r="H960" s="48"/>
      <c r="I960" s="48"/>
      <c r="J960" s="48"/>
      <c r="K960" s="48"/>
      <c r="L960" s="48"/>
      <c r="M960" s="48"/>
      <c r="N960" s="48"/>
      <c r="O960" s="48"/>
      <c r="P960" s="48"/>
      <c r="Q960" s="48"/>
      <c r="R960" s="48"/>
      <c r="S960" s="48"/>
      <c r="T960" s="48"/>
      <c r="U960" s="48"/>
      <c r="V960" s="48"/>
      <c r="W960" s="48"/>
      <c r="X960" s="48"/>
    </row>
    <row r="961" ht="15.75" customHeight="1">
      <c r="A961" s="56"/>
      <c r="B961" s="48"/>
      <c r="C961" s="48"/>
      <c r="D961" s="27"/>
      <c r="E961" s="27"/>
      <c r="F961" s="48"/>
      <c r="G961" s="48"/>
      <c r="H961" s="48"/>
      <c r="I961" s="48"/>
      <c r="J961" s="48"/>
      <c r="K961" s="48"/>
      <c r="L961" s="48"/>
      <c r="M961" s="48"/>
      <c r="N961" s="48"/>
      <c r="O961" s="48"/>
      <c r="P961" s="48"/>
      <c r="Q961" s="48"/>
      <c r="R961" s="48"/>
      <c r="S961" s="48"/>
      <c r="T961" s="48"/>
      <c r="U961" s="48"/>
      <c r="V961" s="48"/>
      <c r="W961" s="48"/>
      <c r="X961" s="48"/>
    </row>
    <row r="962" ht="15.75" customHeight="1">
      <c r="A962" s="56"/>
      <c r="B962" s="48"/>
      <c r="C962" s="48"/>
      <c r="D962" s="27"/>
      <c r="E962" s="27"/>
      <c r="F962" s="48"/>
      <c r="G962" s="48"/>
      <c r="H962" s="48"/>
      <c r="I962" s="48"/>
      <c r="J962" s="48"/>
      <c r="K962" s="48"/>
      <c r="L962" s="48"/>
      <c r="M962" s="48"/>
      <c r="N962" s="48"/>
      <c r="O962" s="48"/>
      <c r="P962" s="48"/>
      <c r="Q962" s="48"/>
      <c r="R962" s="48"/>
      <c r="S962" s="48"/>
      <c r="T962" s="48"/>
      <c r="U962" s="48"/>
      <c r="V962" s="48"/>
      <c r="W962" s="48"/>
      <c r="X962" s="48"/>
    </row>
    <row r="963" ht="15.75" customHeight="1">
      <c r="A963" s="56"/>
      <c r="B963" s="48"/>
      <c r="C963" s="48"/>
      <c r="D963" s="27"/>
      <c r="E963" s="27"/>
      <c r="F963" s="48"/>
      <c r="G963" s="48"/>
      <c r="H963" s="48"/>
      <c r="I963" s="48"/>
      <c r="J963" s="48"/>
      <c r="K963" s="48"/>
      <c r="L963" s="48"/>
      <c r="M963" s="48"/>
      <c r="N963" s="48"/>
      <c r="O963" s="48"/>
      <c r="P963" s="48"/>
      <c r="Q963" s="48"/>
      <c r="R963" s="48"/>
      <c r="S963" s="48"/>
      <c r="T963" s="48"/>
      <c r="U963" s="48"/>
      <c r="V963" s="48"/>
      <c r="W963" s="48"/>
      <c r="X963" s="48"/>
    </row>
    <row r="964" ht="15.75" customHeight="1">
      <c r="A964" s="56"/>
      <c r="B964" s="48"/>
      <c r="C964" s="48"/>
      <c r="D964" s="27"/>
      <c r="E964" s="27"/>
      <c r="F964" s="48"/>
      <c r="G964" s="48"/>
      <c r="H964" s="48"/>
      <c r="I964" s="48"/>
      <c r="J964" s="48"/>
      <c r="K964" s="48"/>
      <c r="L964" s="48"/>
      <c r="M964" s="48"/>
      <c r="N964" s="48"/>
      <c r="O964" s="48"/>
      <c r="P964" s="48"/>
      <c r="Q964" s="48"/>
      <c r="R964" s="48"/>
      <c r="S964" s="48"/>
      <c r="T964" s="48"/>
      <c r="U964" s="48"/>
      <c r="V964" s="48"/>
      <c r="W964" s="48"/>
      <c r="X964" s="48"/>
    </row>
    <row r="965" ht="15.75" customHeight="1">
      <c r="A965" s="56"/>
      <c r="B965" s="48"/>
      <c r="C965" s="48"/>
      <c r="D965" s="27"/>
      <c r="E965" s="27"/>
      <c r="F965" s="48"/>
      <c r="G965" s="48"/>
      <c r="H965" s="48"/>
      <c r="I965" s="48"/>
      <c r="J965" s="48"/>
      <c r="K965" s="48"/>
      <c r="L965" s="48"/>
      <c r="M965" s="48"/>
      <c r="N965" s="48"/>
      <c r="O965" s="48"/>
      <c r="P965" s="48"/>
      <c r="Q965" s="48"/>
      <c r="R965" s="48"/>
      <c r="S965" s="48"/>
      <c r="T965" s="48"/>
      <c r="U965" s="48"/>
      <c r="V965" s="48"/>
      <c r="W965" s="48"/>
      <c r="X965" s="48"/>
    </row>
    <row r="966" ht="15.75" customHeight="1">
      <c r="A966" s="56"/>
      <c r="B966" s="48"/>
      <c r="C966" s="48"/>
      <c r="D966" s="27"/>
      <c r="E966" s="27"/>
      <c r="F966" s="48"/>
      <c r="G966" s="48"/>
      <c r="H966" s="48"/>
      <c r="I966" s="48"/>
      <c r="J966" s="48"/>
      <c r="K966" s="48"/>
      <c r="L966" s="48"/>
      <c r="M966" s="48"/>
      <c r="N966" s="48"/>
      <c r="O966" s="48"/>
      <c r="P966" s="48"/>
      <c r="Q966" s="48"/>
      <c r="R966" s="48"/>
      <c r="S966" s="48"/>
      <c r="T966" s="48"/>
      <c r="U966" s="48"/>
      <c r="V966" s="48"/>
      <c r="W966" s="48"/>
      <c r="X966" s="48"/>
    </row>
    <row r="967" ht="15.75" customHeight="1">
      <c r="A967" s="56"/>
      <c r="B967" s="48"/>
      <c r="C967" s="48"/>
      <c r="D967" s="27"/>
      <c r="E967" s="27"/>
      <c r="F967" s="48"/>
      <c r="G967" s="48"/>
      <c r="H967" s="48"/>
      <c r="I967" s="48"/>
      <c r="J967" s="48"/>
      <c r="K967" s="48"/>
      <c r="L967" s="48"/>
      <c r="M967" s="48"/>
      <c r="N967" s="48"/>
      <c r="O967" s="48"/>
      <c r="P967" s="48"/>
      <c r="Q967" s="48"/>
      <c r="R967" s="48"/>
      <c r="S967" s="48"/>
      <c r="T967" s="48"/>
      <c r="U967" s="48"/>
      <c r="V967" s="48"/>
      <c r="W967" s="48"/>
      <c r="X967" s="48"/>
    </row>
    <row r="968" ht="15.75" customHeight="1">
      <c r="A968" s="56"/>
      <c r="B968" s="48"/>
      <c r="C968" s="48"/>
      <c r="D968" s="27"/>
      <c r="E968" s="27"/>
      <c r="F968" s="48"/>
      <c r="G968" s="48"/>
      <c r="H968" s="48"/>
      <c r="I968" s="48"/>
      <c r="J968" s="48"/>
      <c r="K968" s="48"/>
      <c r="L968" s="48"/>
      <c r="M968" s="48"/>
      <c r="N968" s="48"/>
      <c r="O968" s="48"/>
      <c r="P968" s="48"/>
      <c r="Q968" s="48"/>
      <c r="R968" s="48"/>
      <c r="S968" s="48"/>
      <c r="T968" s="48"/>
      <c r="U968" s="48"/>
      <c r="V968" s="48"/>
      <c r="W968" s="48"/>
      <c r="X968" s="48"/>
    </row>
    <row r="969" ht="15.75" customHeight="1">
      <c r="A969" s="56"/>
      <c r="B969" s="48"/>
      <c r="C969" s="48"/>
      <c r="D969" s="27"/>
      <c r="E969" s="27"/>
      <c r="F969" s="48"/>
      <c r="G969" s="48"/>
      <c r="H969" s="48"/>
      <c r="I969" s="48"/>
      <c r="J969" s="48"/>
      <c r="K969" s="48"/>
      <c r="L969" s="48"/>
      <c r="M969" s="48"/>
      <c r="N969" s="48"/>
      <c r="O969" s="48"/>
      <c r="P969" s="48"/>
      <c r="Q969" s="48"/>
      <c r="R969" s="48"/>
      <c r="S969" s="48"/>
      <c r="T969" s="48"/>
      <c r="U969" s="48"/>
      <c r="V969" s="48"/>
      <c r="W969" s="48"/>
      <c r="X969" s="48"/>
    </row>
    <row r="970" ht="15.75" customHeight="1">
      <c r="A970" s="56"/>
      <c r="B970" s="48"/>
      <c r="C970" s="48"/>
      <c r="D970" s="27"/>
      <c r="E970" s="27"/>
      <c r="F970" s="48"/>
      <c r="G970" s="48"/>
      <c r="H970" s="48"/>
      <c r="I970" s="48"/>
      <c r="J970" s="48"/>
      <c r="K970" s="48"/>
      <c r="L970" s="48"/>
      <c r="M970" s="48"/>
      <c r="N970" s="48"/>
      <c r="O970" s="48"/>
      <c r="P970" s="48"/>
      <c r="Q970" s="48"/>
      <c r="R970" s="48"/>
      <c r="S970" s="48"/>
      <c r="T970" s="48"/>
      <c r="U970" s="48"/>
      <c r="V970" s="48"/>
      <c r="W970" s="48"/>
      <c r="X970" s="48"/>
    </row>
    <row r="971" ht="15.75" customHeight="1">
      <c r="A971" s="56"/>
      <c r="B971" s="48"/>
      <c r="C971" s="48"/>
      <c r="D971" s="27"/>
      <c r="E971" s="27"/>
      <c r="F971" s="48"/>
      <c r="G971" s="48"/>
      <c r="H971" s="48"/>
      <c r="I971" s="48"/>
      <c r="J971" s="48"/>
      <c r="K971" s="48"/>
      <c r="L971" s="48"/>
      <c r="M971" s="48"/>
      <c r="N971" s="48"/>
      <c r="O971" s="48"/>
      <c r="P971" s="48"/>
      <c r="Q971" s="48"/>
      <c r="R971" s="48"/>
      <c r="S971" s="48"/>
      <c r="T971" s="48"/>
      <c r="U971" s="48"/>
      <c r="V971" s="48"/>
      <c r="W971" s="48"/>
      <c r="X971" s="48"/>
    </row>
    <row r="972" ht="15.75" customHeight="1">
      <c r="A972" s="56"/>
      <c r="B972" s="48"/>
      <c r="C972" s="48"/>
      <c r="D972" s="27"/>
      <c r="E972" s="27"/>
      <c r="F972" s="48"/>
      <c r="G972" s="48"/>
      <c r="H972" s="48"/>
      <c r="I972" s="48"/>
      <c r="J972" s="48"/>
      <c r="K972" s="48"/>
      <c r="L972" s="48"/>
      <c r="M972" s="48"/>
      <c r="N972" s="48"/>
      <c r="O972" s="48"/>
      <c r="P972" s="48"/>
      <c r="Q972" s="48"/>
      <c r="R972" s="48"/>
      <c r="S972" s="48"/>
      <c r="T972" s="48"/>
      <c r="U972" s="48"/>
      <c r="V972" s="48"/>
      <c r="W972" s="48"/>
      <c r="X972" s="48"/>
    </row>
    <row r="973" ht="15.75" customHeight="1">
      <c r="A973" s="56"/>
      <c r="B973" s="48"/>
      <c r="C973" s="48"/>
      <c r="D973" s="27"/>
      <c r="E973" s="27"/>
      <c r="F973" s="48"/>
      <c r="G973" s="48"/>
      <c r="H973" s="48"/>
      <c r="I973" s="48"/>
      <c r="J973" s="48"/>
      <c r="K973" s="48"/>
      <c r="L973" s="48"/>
      <c r="M973" s="48"/>
      <c r="N973" s="48"/>
      <c r="O973" s="48"/>
      <c r="P973" s="48"/>
      <c r="Q973" s="48"/>
      <c r="R973" s="48"/>
      <c r="S973" s="48"/>
      <c r="T973" s="48"/>
      <c r="U973" s="48"/>
      <c r="V973" s="48"/>
      <c r="W973" s="48"/>
      <c r="X973" s="48"/>
    </row>
    <row r="974" ht="15.75" customHeight="1">
      <c r="A974" s="56"/>
      <c r="B974" s="48"/>
      <c r="C974" s="48"/>
      <c r="D974" s="27"/>
      <c r="E974" s="27"/>
      <c r="F974" s="48"/>
      <c r="G974" s="48"/>
      <c r="H974" s="48"/>
      <c r="I974" s="48"/>
      <c r="J974" s="48"/>
      <c r="K974" s="48"/>
      <c r="L974" s="48"/>
      <c r="M974" s="48"/>
      <c r="N974" s="48"/>
      <c r="O974" s="48"/>
      <c r="P974" s="48"/>
      <c r="Q974" s="48"/>
      <c r="R974" s="48"/>
      <c r="S974" s="48"/>
      <c r="T974" s="48"/>
      <c r="U974" s="48"/>
      <c r="V974" s="48"/>
      <c r="W974" s="48"/>
      <c r="X974" s="48"/>
    </row>
    <row r="975" ht="15.75" customHeight="1">
      <c r="A975" s="56"/>
      <c r="B975" s="48"/>
      <c r="C975" s="48"/>
      <c r="D975" s="27"/>
      <c r="E975" s="27"/>
      <c r="F975" s="48"/>
      <c r="G975" s="48"/>
      <c r="H975" s="48"/>
      <c r="I975" s="48"/>
      <c r="J975" s="48"/>
      <c r="K975" s="48"/>
      <c r="L975" s="48"/>
      <c r="M975" s="48"/>
      <c r="N975" s="48"/>
      <c r="O975" s="48"/>
      <c r="P975" s="48"/>
      <c r="Q975" s="48"/>
      <c r="R975" s="48"/>
      <c r="S975" s="48"/>
      <c r="T975" s="48"/>
      <c r="U975" s="48"/>
      <c r="V975" s="48"/>
      <c r="W975" s="48"/>
      <c r="X975" s="48"/>
    </row>
    <row r="976" ht="15.75" customHeight="1">
      <c r="A976" s="56"/>
      <c r="B976" s="48"/>
      <c r="C976" s="48"/>
      <c r="D976" s="27"/>
      <c r="E976" s="27"/>
      <c r="F976" s="48"/>
      <c r="G976" s="48"/>
      <c r="H976" s="48"/>
      <c r="I976" s="48"/>
      <c r="J976" s="48"/>
      <c r="K976" s="48"/>
      <c r="L976" s="48"/>
      <c r="M976" s="48"/>
      <c r="N976" s="48"/>
      <c r="O976" s="48"/>
      <c r="P976" s="48"/>
      <c r="Q976" s="48"/>
      <c r="R976" s="48"/>
      <c r="S976" s="48"/>
      <c r="T976" s="48"/>
      <c r="U976" s="48"/>
      <c r="V976" s="48"/>
      <c r="W976" s="48"/>
      <c r="X976" s="48"/>
    </row>
    <row r="977" ht="15.75" customHeight="1">
      <c r="A977" s="56"/>
      <c r="B977" s="48"/>
      <c r="C977" s="48"/>
      <c r="D977" s="27"/>
      <c r="E977" s="27"/>
      <c r="F977" s="48"/>
      <c r="G977" s="48"/>
      <c r="H977" s="48"/>
      <c r="I977" s="48"/>
      <c r="J977" s="48"/>
      <c r="K977" s="48"/>
      <c r="L977" s="48"/>
      <c r="M977" s="48"/>
      <c r="N977" s="48"/>
      <c r="O977" s="48"/>
      <c r="P977" s="48"/>
      <c r="Q977" s="48"/>
      <c r="R977" s="48"/>
      <c r="S977" s="48"/>
      <c r="T977" s="48"/>
      <c r="U977" s="48"/>
      <c r="V977" s="48"/>
      <c r="W977" s="48"/>
      <c r="X977" s="48"/>
    </row>
    <row r="978" ht="15.75" customHeight="1">
      <c r="A978" s="56"/>
      <c r="B978" s="48"/>
      <c r="C978" s="48"/>
      <c r="D978" s="27"/>
      <c r="E978" s="27"/>
      <c r="F978" s="48"/>
      <c r="G978" s="48"/>
      <c r="H978" s="48"/>
      <c r="I978" s="48"/>
      <c r="J978" s="48"/>
      <c r="K978" s="48"/>
      <c r="L978" s="48"/>
      <c r="M978" s="48"/>
      <c r="N978" s="48"/>
      <c r="O978" s="48"/>
      <c r="P978" s="48"/>
      <c r="Q978" s="48"/>
      <c r="R978" s="48"/>
      <c r="S978" s="48"/>
      <c r="T978" s="48"/>
      <c r="U978" s="48"/>
      <c r="V978" s="48"/>
      <c r="W978" s="48"/>
      <c r="X978" s="48"/>
    </row>
    <row r="979" ht="15.75" customHeight="1">
      <c r="A979" s="56"/>
      <c r="B979" s="48"/>
      <c r="C979" s="48"/>
      <c r="D979" s="27"/>
      <c r="E979" s="27"/>
      <c r="F979" s="48"/>
      <c r="G979" s="48"/>
      <c r="H979" s="48"/>
      <c r="I979" s="48"/>
      <c r="J979" s="48"/>
      <c r="K979" s="48"/>
      <c r="L979" s="48"/>
      <c r="M979" s="48"/>
      <c r="N979" s="48"/>
      <c r="O979" s="48"/>
      <c r="P979" s="48"/>
      <c r="Q979" s="48"/>
      <c r="R979" s="48"/>
      <c r="S979" s="48"/>
      <c r="T979" s="48"/>
      <c r="U979" s="48"/>
      <c r="V979" s="48"/>
      <c r="W979" s="48"/>
      <c r="X979" s="48"/>
    </row>
    <row r="980" ht="15.75" customHeight="1">
      <c r="A980" s="56"/>
      <c r="B980" s="48"/>
      <c r="C980" s="48"/>
      <c r="D980" s="27"/>
      <c r="E980" s="27"/>
      <c r="F980" s="48"/>
      <c r="G980" s="48"/>
      <c r="H980" s="48"/>
      <c r="I980" s="48"/>
      <c r="J980" s="48"/>
      <c r="K980" s="48"/>
      <c r="L980" s="48"/>
      <c r="M980" s="48"/>
      <c r="N980" s="48"/>
      <c r="O980" s="48"/>
      <c r="P980" s="48"/>
      <c r="Q980" s="48"/>
      <c r="R980" s="48"/>
      <c r="S980" s="48"/>
      <c r="T980" s="48"/>
      <c r="U980" s="48"/>
      <c r="V980" s="48"/>
      <c r="W980" s="48"/>
      <c r="X980" s="48"/>
    </row>
    <row r="981" ht="15.75" customHeight="1">
      <c r="A981" s="56"/>
      <c r="B981" s="48"/>
      <c r="C981" s="48"/>
      <c r="D981" s="27"/>
      <c r="E981" s="27"/>
      <c r="F981" s="48"/>
      <c r="G981" s="48"/>
      <c r="H981" s="48"/>
      <c r="I981" s="48"/>
      <c r="J981" s="48"/>
      <c r="K981" s="48"/>
      <c r="L981" s="48"/>
      <c r="M981" s="48"/>
      <c r="N981" s="48"/>
      <c r="O981" s="48"/>
      <c r="P981" s="48"/>
      <c r="Q981" s="48"/>
      <c r="R981" s="48"/>
      <c r="S981" s="48"/>
      <c r="T981" s="48"/>
      <c r="U981" s="48"/>
      <c r="V981" s="48"/>
      <c r="W981" s="48"/>
      <c r="X981" s="48"/>
    </row>
    <row r="982" ht="15.75" customHeight="1">
      <c r="A982" s="56"/>
      <c r="B982" s="48"/>
      <c r="C982" s="48"/>
      <c r="D982" s="27"/>
      <c r="E982" s="27"/>
      <c r="F982" s="48"/>
      <c r="G982" s="48"/>
      <c r="H982" s="48"/>
      <c r="I982" s="48"/>
      <c r="J982" s="48"/>
      <c r="K982" s="48"/>
      <c r="L982" s="48"/>
      <c r="M982" s="48"/>
      <c r="N982" s="48"/>
      <c r="O982" s="48"/>
      <c r="P982" s="48"/>
      <c r="Q982" s="48"/>
      <c r="R982" s="48"/>
      <c r="S982" s="48"/>
      <c r="T982" s="48"/>
      <c r="U982" s="48"/>
      <c r="V982" s="48"/>
      <c r="W982" s="48"/>
      <c r="X982" s="48"/>
    </row>
    <row r="983" ht="15.75" customHeight="1">
      <c r="A983" s="56"/>
      <c r="B983" s="48"/>
      <c r="C983" s="48"/>
      <c r="D983" s="27"/>
      <c r="E983" s="27"/>
      <c r="F983" s="48"/>
      <c r="G983" s="48"/>
      <c r="H983" s="48"/>
      <c r="I983" s="48"/>
      <c r="J983" s="48"/>
      <c r="K983" s="48"/>
      <c r="L983" s="48"/>
      <c r="M983" s="48"/>
      <c r="N983" s="48"/>
      <c r="O983" s="48"/>
      <c r="P983" s="48"/>
      <c r="Q983" s="48"/>
      <c r="R983" s="48"/>
      <c r="S983" s="48"/>
      <c r="T983" s="48"/>
      <c r="U983" s="48"/>
      <c r="V983" s="48"/>
      <c r="W983" s="48"/>
      <c r="X983" s="48"/>
    </row>
    <row r="984" ht="15.75" customHeight="1">
      <c r="A984" s="56"/>
      <c r="B984" s="48"/>
      <c r="C984" s="48"/>
      <c r="D984" s="27"/>
      <c r="E984" s="27"/>
      <c r="F984" s="48"/>
      <c r="G984" s="48"/>
      <c r="H984" s="48"/>
      <c r="I984" s="48"/>
      <c r="J984" s="48"/>
      <c r="K984" s="48"/>
      <c r="L984" s="48"/>
      <c r="M984" s="48"/>
      <c r="N984" s="48"/>
      <c r="O984" s="48"/>
      <c r="P984" s="48"/>
      <c r="Q984" s="48"/>
      <c r="R984" s="48"/>
      <c r="S984" s="48"/>
      <c r="T984" s="48"/>
      <c r="U984" s="48"/>
      <c r="V984" s="48"/>
      <c r="W984" s="48"/>
      <c r="X984" s="48"/>
    </row>
    <row r="985" ht="15.75" customHeight="1">
      <c r="A985" s="56"/>
      <c r="B985" s="48"/>
      <c r="C985" s="48"/>
      <c r="D985" s="27"/>
      <c r="E985" s="27"/>
      <c r="F985" s="48"/>
      <c r="G985" s="48"/>
      <c r="H985" s="48"/>
      <c r="I985" s="48"/>
      <c r="J985" s="48"/>
      <c r="K985" s="48"/>
      <c r="L985" s="48"/>
      <c r="M985" s="48"/>
      <c r="N985" s="48"/>
      <c r="O985" s="48"/>
      <c r="P985" s="48"/>
      <c r="Q985" s="48"/>
      <c r="R985" s="48"/>
      <c r="S985" s="48"/>
      <c r="T985" s="48"/>
      <c r="U985" s="48"/>
      <c r="V985" s="48"/>
      <c r="W985" s="48"/>
      <c r="X985" s="48"/>
    </row>
    <row r="986" ht="15.75" customHeight="1">
      <c r="A986" s="56"/>
      <c r="B986" s="48"/>
      <c r="C986" s="48"/>
      <c r="D986" s="27"/>
      <c r="E986" s="27"/>
      <c r="F986" s="48"/>
      <c r="G986" s="48"/>
      <c r="H986" s="48"/>
      <c r="I986" s="48"/>
      <c r="J986" s="48"/>
      <c r="K986" s="48"/>
      <c r="L986" s="48"/>
      <c r="M986" s="48"/>
      <c r="N986" s="48"/>
      <c r="O986" s="48"/>
      <c r="P986" s="48"/>
      <c r="Q986" s="48"/>
      <c r="R986" s="48"/>
      <c r="S986" s="48"/>
      <c r="T986" s="48"/>
      <c r="U986" s="48"/>
      <c r="V986" s="48"/>
      <c r="W986" s="48"/>
      <c r="X986" s="48"/>
    </row>
    <row r="987" ht="15.75" customHeight="1">
      <c r="A987" s="56"/>
      <c r="B987" s="48"/>
      <c r="C987" s="48"/>
      <c r="D987" s="27"/>
      <c r="E987" s="27"/>
      <c r="F987" s="48"/>
      <c r="G987" s="48"/>
      <c r="H987" s="48"/>
      <c r="I987" s="48"/>
      <c r="J987" s="48"/>
      <c r="K987" s="48"/>
      <c r="L987" s="48"/>
      <c r="M987" s="48"/>
      <c r="N987" s="48"/>
      <c r="O987" s="48"/>
      <c r="P987" s="48"/>
      <c r="Q987" s="48"/>
      <c r="R987" s="48"/>
      <c r="S987" s="48"/>
      <c r="T987" s="48"/>
      <c r="U987" s="48"/>
      <c r="V987" s="48"/>
      <c r="W987" s="48"/>
      <c r="X987" s="48"/>
    </row>
    <row r="988" ht="15.75" customHeight="1">
      <c r="A988" s="56"/>
      <c r="B988" s="48"/>
      <c r="C988" s="48"/>
      <c r="D988" s="27"/>
      <c r="E988" s="27"/>
      <c r="F988" s="48"/>
      <c r="G988" s="48"/>
      <c r="H988" s="48"/>
      <c r="I988" s="48"/>
      <c r="J988" s="48"/>
      <c r="K988" s="48"/>
      <c r="L988" s="48"/>
      <c r="M988" s="48"/>
      <c r="N988" s="48"/>
      <c r="O988" s="48"/>
      <c r="P988" s="48"/>
      <c r="Q988" s="48"/>
      <c r="R988" s="48"/>
      <c r="S988" s="48"/>
      <c r="T988" s="48"/>
      <c r="U988" s="48"/>
      <c r="V988" s="48"/>
      <c r="W988" s="48"/>
      <c r="X988" s="48"/>
    </row>
    <row r="989" ht="15.75" customHeight="1">
      <c r="A989" s="56"/>
      <c r="B989" s="48"/>
      <c r="C989" s="48"/>
      <c r="D989" s="27"/>
      <c r="E989" s="27"/>
      <c r="F989" s="48"/>
      <c r="G989" s="48"/>
      <c r="H989" s="48"/>
      <c r="I989" s="48"/>
      <c r="J989" s="48"/>
      <c r="K989" s="48"/>
      <c r="L989" s="48"/>
      <c r="M989" s="48"/>
      <c r="N989" s="48"/>
      <c r="O989" s="48"/>
      <c r="P989" s="48"/>
      <c r="Q989" s="48"/>
      <c r="R989" s="48"/>
      <c r="S989" s="48"/>
      <c r="T989" s="48"/>
      <c r="U989" s="48"/>
      <c r="V989" s="48"/>
      <c r="W989" s="48"/>
      <c r="X989" s="48"/>
    </row>
    <row r="990" ht="15.75" customHeight="1">
      <c r="A990" s="56"/>
      <c r="B990" s="48"/>
      <c r="C990" s="48"/>
      <c r="D990" s="27"/>
      <c r="E990" s="27"/>
      <c r="F990" s="48"/>
      <c r="G990" s="48"/>
      <c r="H990" s="48"/>
      <c r="I990" s="48"/>
      <c r="J990" s="48"/>
      <c r="K990" s="48"/>
      <c r="L990" s="48"/>
      <c r="M990" s="48"/>
      <c r="N990" s="48"/>
      <c r="O990" s="48"/>
      <c r="P990" s="48"/>
      <c r="Q990" s="48"/>
      <c r="R990" s="48"/>
      <c r="S990" s="48"/>
      <c r="T990" s="48"/>
      <c r="U990" s="48"/>
      <c r="V990" s="48"/>
      <c r="W990" s="48"/>
      <c r="X990" s="48"/>
    </row>
    <row r="991" ht="15.75" customHeight="1">
      <c r="A991" s="56"/>
      <c r="B991" s="48"/>
      <c r="C991" s="48"/>
      <c r="D991" s="27"/>
      <c r="E991" s="27"/>
      <c r="F991" s="48"/>
      <c r="G991" s="48"/>
      <c r="H991" s="48"/>
      <c r="I991" s="48"/>
      <c r="J991" s="48"/>
      <c r="K991" s="48"/>
      <c r="L991" s="48"/>
      <c r="M991" s="48"/>
      <c r="N991" s="48"/>
      <c r="O991" s="48"/>
      <c r="P991" s="48"/>
      <c r="Q991" s="48"/>
      <c r="R991" s="48"/>
      <c r="S991" s="48"/>
      <c r="T991" s="48"/>
      <c r="U991" s="48"/>
      <c r="V991" s="48"/>
      <c r="W991" s="48"/>
      <c r="X991" s="48"/>
    </row>
    <row r="992" ht="15.75" customHeight="1">
      <c r="A992" s="56"/>
      <c r="B992" s="48"/>
      <c r="C992" s="48"/>
      <c r="D992" s="27"/>
      <c r="E992" s="27"/>
      <c r="F992" s="48"/>
      <c r="G992" s="48"/>
      <c r="H992" s="48"/>
      <c r="I992" s="48"/>
      <c r="J992" s="48"/>
      <c r="K992" s="48"/>
      <c r="L992" s="48"/>
      <c r="M992" s="48"/>
      <c r="N992" s="48"/>
      <c r="O992" s="48"/>
      <c r="P992" s="48"/>
      <c r="Q992" s="48"/>
      <c r="R992" s="48"/>
      <c r="S992" s="48"/>
      <c r="T992" s="48"/>
      <c r="U992" s="48"/>
      <c r="V992" s="48"/>
      <c r="W992" s="48"/>
      <c r="X992" s="48"/>
    </row>
    <row r="993" ht="15.75" customHeight="1">
      <c r="A993" s="56"/>
      <c r="B993" s="48"/>
      <c r="C993" s="48"/>
      <c r="D993" s="27"/>
      <c r="E993" s="27"/>
      <c r="F993" s="48"/>
      <c r="G993" s="48"/>
      <c r="H993" s="48"/>
      <c r="I993" s="48"/>
      <c r="J993" s="48"/>
      <c r="K993" s="48"/>
      <c r="L993" s="48"/>
      <c r="M993" s="48"/>
      <c r="N993" s="48"/>
      <c r="O993" s="48"/>
      <c r="P993" s="48"/>
      <c r="Q993" s="48"/>
      <c r="R993" s="48"/>
      <c r="S993" s="48"/>
      <c r="T993" s="48"/>
      <c r="U993" s="48"/>
      <c r="V993" s="48"/>
      <c r="W993" s="48"/>
      <c r="X993" s="48"/>
    </row>
    <row r="994" ht="15.75" customHeight="1">
      <c r="A994" s="56"/>
      <c r="B994" s="48"/>
      <c r="C994" s="48"/>
      <c r="D994" s="27"/>
      <c r="E994" s="27"/>
      <c r="F994" s="48"/>
      <c r="G994" s="48"/>
      <c r="H994" s="48"/>
      <c r="I994" s="48"/>
      <c r="J994" s="48"/>
      <c r="K994" s="48"/>
      <c r="L994" s="48"/>
      <c r="M994" s="48"/>
      <c r="N994" s="48"/>
      <c r="O994" s="48"/>
      <c r="P994" s="48"/>
      <c r="Q994" s="48"/>
      <c r="R994" s="48"/>
      <c r="S994" s="48"/>
      <c r="T994" s="48"/>
      <c r="U994" s="48"/>
      <c r="V994" s="48"/>
      <c r="W994" s="48"/>
      <c r="X994" s="48"/>
    </row>
    <row r="995" ht="15.75" customHeight="1">
      <c r="A995" s="56"/>
      <c r="B995" s="48"/>
      <c r="C995" s="48"/>
      <c r="D995" s="27"/>
      <c r="E995" s="27"/>
      <c r="F995" s="48"/>
      <c r="G995" s="48"/>
      <c r="H995" s="48"/>
      <c r="I995" s="48"/>
      <c r="J995" s="48"/>
      <c r="K995" s="48"/>
      <c r="L995" s="48"/>
      <c r="M995" s="48"/>
      <c r="N995" s="48"/>
      <c r="O995" s="48"/>
      <c r="P995" s="48"/>
      <c r="Q995" s="48"/>
      <c r="R995" s="48"/>
      <c r="S995" s="48"/>
      <c r="T995" s="48"/>
      <c r="U995" s="48"/>
      <c r="V995" s="48"/>
      <c r="W995" s="48"/>
      <c r="X995" s="48"/>
    </row>
    <row r="996" ht="15.75" customHeight="1">
      <c r="A996" s="56"/>
      <c r="B996" s="48"/>
      <c r="C996" s="48"/>
      <c r="D996" s="27"/>
      <c r="E996" s="27"/>
      <c r="F996" s="48"/>
      <c r="G996" s="48"/>
      <c r="H996" s="48"/>
      <c r="I996" s="48"/>
      <c r="J996" s="48"/>
      <c r="K996" s="48"/>
      <c r="L996" s="48"/>
      <c r="M996" s="48"/>
      <c r="N996" s="48"/>
      <c r="O996" s="48"/>
      <c r="P996" s="48"/>
      <c r="Q996" s="48"/>
      <c r="R996" s="48"/>
      <c r="S996" s="48"/>
      <c r="T996" s="48"/>
      <c r="U996" s="48"/>
      <c r="V996" s="48"/>
      <c r="W996" s="48"/>
      <c r="X996" s="48"/>
    </row>
    <row r="997" ht="15.75" customHeight="1">
      <c r="A997" s="56"/>
      <c r="B997" s="48"/>
      <c r="C997" s="48"/>
      <c r="D997" s="27"/>
      <c r="E997" s="27"/>
      <c r="F997" s="48"/>
      <c r="G997" s="48"/>
      <c r="H997" s="48"/>
      <c r="I997" s="48"/>
      <c r="J997" s="48"/>
      <c r="K997" s="48"/>
      <c r="L997" s="48"/>
      <c r="M997" s="48"/>
      <c r="N997" s="48"/>
      <c r="O997" s="48"/>
      <c r="P997" s="48"/>
      <c r="Q997" s="48"/>
      <c r="R997" s="48"/>
      <c r="S997" s="48"/>
      <c r="T997" s="48"/>
      <c r="U997" s="48"/>
      <c r="V997" s="48"/>
      <c r="W997" s="48"/>
      <c r="X997" s="48"/>
    </row>
    <row r="998" ht="15.75" customHeight="1">
      <c r="A998" s="56"/>
      <c r="B998" s="48"/>
      <c r="C998" s="48"/>
      <c r="D998" s="27"/>
      <c r="E998" s="27"/>
      <c r="F998" s="48"/>
      <c r="G998" s="48"/>
      <c r="H998" s="48"/>
      <c r="I998" s="48"/>
      <c r="J998" s="48"/>
      <c r="K998" s="48"/>
      <c r="L998" s="48"/>
      <c r="M998" s="48"/>
      <c r="N998" s="48"/>
      <c r="O998" s="48"/>
      <c r="P998" s="48"/>
      <c r="Q998" s="48"/>
      <c r="R998" s="48"/>
      <c r="S998" s="48"/>
      <c r="T998" s="48"/>
      <c r="U998" s="48"/>
      <c r="V998" s="48"/>
      <c r="W998" s="48"/>
      <c r="X998" s="48"/>
    </row>
    <row r="999" ht="15.75" customHeight="1">
      <c r="A999" s="56"/>
      <c r="B999" s="48"/>
      <c r="C999" s="48"/>
      <c r="D999" s="27"/>
      <c r="E999" s="27"/>
      <c r="F999" s="48"/>
      <c r="G999" s="48"/>
      <c r="H999" s="48"/>
      <c r="I999" s="48"/>
      <c r="J999" s="48"/>
      <c r="K999" s="48"/>
      <c r="L999" s="48"/>
      <c r="M999" s="48"/>
      <c r="N999" s="48"/>
      <c r="O999" s="48"/>
      <c r="P999" s="48"/>
      <c r="Q999" s="48"/>
      <c r="R999" s="48"/>
      <c r="S999" s="48"/>
      <c r="T999" s="48"/>
      <c r="U999" s="48"/>
      <c r="V999" s="48"/>
      <c r="W999" s="48"/>
      <c r="X999" s="48"/>
    </row>
    <row r="1000" ht="15.75" customHeight="1">
      <c r="A1000" s="56"/>
      <c r="B1000" s="48"/>
      <c r="C1000" s="48"/>
      <c r="D1000" s="27"/>
      <c r="E1000" s="27"/>
      <c r="F1000" s="48"/>
      <c r="G1000" s="48"/>
      <c r="H1000" s="48"/>
      <c r="I1000" s="48"/>
      <c r="J1000" s="48"/>
      <c r="K1000" s="48"/>
      <c r="L1000" s="48"/>
      <c r="M1000" s="48"/>
      <c r="N1000" s="48"/>
      <c r="O1000" s="48"/>
      <c r="P1000" s="48"/>
      <c r="Q1000" s="48"/>
      <c r="R1000" s="48"/>
      <c r="S1000" s="48"/>
      <c r="T1000" s="48"/>
      <c r="U1000" s="48"/>
      <c r="V1000" s="48"/>
      <c r="W1000" s="48"/>
      <c r="X1000" s="48"/>
    </row>
    <row r="1001" ht="15.75" customHeight="1">
      <c r="A1001" s="56"/>
      <c r="B1001" s="48"/>
      <c r="C1001" s="48"/>
      <c r="D1001" s="27"/>
      <c r="E1001" s="27"/>
      <c r="F1001" s="48"/>
      <c r="G1001" s="48"/>
      <c r="H1001" s="48"/>
      <c r="I1001" s="48"/>
      <c r="J1001" s="48"/>
      <c r="K1001" s="48"/>
      <c r="L1001" s="48"/>
      <c r="M1001" s="48"/>
      <c r="N1001" s="48"/>
      <c r="O1001" s="48"/>
      <c r="P1001" s="48"/>
      <c r="Q1001" s="48"/>
      <c r="R1001" s="48"/>
      <c r="S1001" s="48"/>
      <c r="T1001" s="48"/>
      <c r="U1001" s="48"/>
      <c r="V1001" s="48"/>
      <c r="W1001" s="48"/>
      <c r="X1001" s="48"/>
    </row>
    <row r="1002" ht="15.75" customHeight="1">
      <c r="A1002" s="56"/>
      <c r="B1002" s="48"/>
      <c r="C1002" s="48"/>
      <c r="D1002" s="27"/>
      <c r="E1002" s="27"/>
      <c r="F1002" s="48"/>
      <c r="G1002" s="48"/>
      <c r="H1002" s="48"/>
      <c r="I1002" s="48"/>
      <c r="J1002" s="48"/>
      <c r="K1002" s="48"/>
      <c r="L1002" s="48"/>
      <c r="M1002" s="48"/>
      <c r="N1002" s="48"/>
      <c r="O1002" s="48"/>
      <c r="P1002" s="48"/>
      <c r="Q1002" s="48"/>
      <c r="R1002" s="48"/>
      <c r="S1002" s="48"/>
      <c r="T1002" s="48"/>
      <c r="U1002" s="48"/>
      <c r="V1002" s="48"/>
      <c r="W1002" s="48"/>
      <c r="X1002" s="48"/>
    </row>
    <row r="1003" ht="15.75" customHeight="1">
      <c r="A1003" s="56"/>
      <c r="B1003" s="48"/>
      <c r="C1003" s="48"/>
      <c r="D1003" s="27"/>
      <c r="E1003" s="27"/>
      <c r="F1003" s="48"/>
      <c r="G1003" s="48"/>
      <c r="H1003" s="48"/>
      <c r="I1003" s="48"/>
      <c r="J1003" s="48"/>
      <c r="K1003" s="48"/>
      <c r="L1003" s="48"/>
      <c r="M1003" s="48"/>
      <c r="N1003" s="48"/>
      <c r="O1003" s="48"/>
      <c r="P1003" s="48"/>
      <c r="Q1003" s="48"/>
      <c r="R1003" s="48"/>
      <c r="S1003" s="48"/>
      <c r="T1003" s="48"/>
      <c r="U1003" s="48"/>
      <c r="V1003" s="48"/>
      <c r="W1003" s="48"/>
      <c r="X1003" s="48"/>
    </row>
    <row r="1004" ht="15.75" customHeight="1">
      <c r="A1004" s="56"/>
      <c r="B1004" s="48"/>
      <c r="C1004" s="48"/>
      <c r="D1004" s="27"/>
      <c r="E1004" s="27"/>
      <c r="F1004" s="48"/>
      <c r="G1004" s="48"/>
      <c r="H1004" s="48"/>
      <c r="I1004" s="48"/>
      <c r="J1004" s="48"/>
      <c r="K1004" s="48"/>
      <c r="L1004" s="48"/>
      <c r="M1004" s="48"/>
      <c r="N1004" s="48"/>
      <c r="O1004" s="48"/>
      <c r="P1004" s="48"/>
      <c r="Q1004" s="48"/>
      <c r="R1004" s="48"/>
      <c r="S1004" s="48"/>
      <c r="T1004" s="48"/>
      <c r="U1004" s="48"/>
      <c r="V1004" s="48"/>
      <c r="W1004" s="48"/>
      <c r="X1004" s="48"/>
    </row>
    <row r="1005" ht="15.75" customHeight="1">
      <c r="A1005" s="56"/>
      <c r="B1005" s="48"/>
      <c r="C1005" s="48"/>
      <c r="D1005" s="27"/>
      <c r="E1005" s="27"/>
      <c r="F1005" s="48"/>
      <c r="G1005" s="48"/>
      <c r="H1005" s="48"/>
      <c r="I1005" s="48"/>
      <c r="J1005" s="48"/>
      <c r="K1005" s="48"/>
      <c r="L1005" s="48"/>
      <c r="M1005" s="48"/>
      <c r="N1005" s="48"/>
      <c r="O1005" s="48"/>
      <c r="P1005" s="48"/>
      <c r="Q1005" s="48"/>
      <c r="R1005" s="48"/>
      <c r="S1005" s="48"/>
      <c r="T1005" s="48"/>
      <c r="U1005" s="48"/>
      <c r="V1005" s="48"/>
      <c r="W1005" s="48"/>
      <c r="X1005" s="48"/>
    </row>
    <row r="1006" ht="15.75" customHeight="1">
      <c r="A1006" s="56"/>
      <c r="B1006" s="48"/>
      <c r="C1006" s="48"/>
      <c r="D1006" s="27"/>
      <c r="E1006" s="27"/>
      <c r="F1006" s="48"/>
      <c r="G1006" s="48"/>
      <c r="H1006" s="48"/>
      <c r="I1006" s="48"/>
      <c r="J1006" s="48"/>
      <c r="K1006" s="48"/>
      <c r="L1006" s="48"/>
      <c r="M1006" s="48"/>
      <c r="N1006" s="48"/>
      <c r="O1006" s="48"/>
      <c r="P1006" s="48"/>
      <c r="Q1006" s="48"/>
      <c r="R1006" s="48"/>
      <c r="S1006" s="48"/>
      <c r="T1006" s="48"/>
      <c r="U1006" s="48"/>
      <c r="V1006" s="48"/>
      <c r="W1006" s="48"/>
      <c r="X1006" s="48"/>
    </row>
    <row r="1007" ht="15.75" customHeight="1">
      <c r="A1007" s="56"/>
      <c r="B1007" s="48"/>
      <c r="C1007" s="48"/>
      <c r="D1007" s="27"/>
      <c r="E1007" s="27"/>
      <c r="F1007" s="48"/>
      <c r="G1007" s="48"/>
      <c r="H1007" s="48"/>
      <c r="I1007" s="48"/>
      <c r="J1007" s="48"/>
      <c r="K1007" s="48"/>
      <c r="L1007" s="48"/>
      <c r="M1007" s="48"/>
      <c r="N1007" s="48"/>
      <c r="O1007" s="48"/>
      <c r="P1007" s="48"/>
      <c r="Q1007" s="48"/>
      <c r="R1007" s="48"/>
      <c r="S1007" s="48"/>
      <c r="T1007" s="48"/>
      <c r="U1007" s="48"/>
      <c r="V1007" s="48"/>
      <c r="W1007" s="48"/>
      <c r="X1007" s="48"/>
    </row>
    <row r="1008" ht="15.75" customHeight="1">
      <c r="A1008" s="56"/>
      <c r="B1008" s="48"/>
      <c r="C1008" s="48"/>
      <c r="D1008" s="27"/>
      <c r="E1008" s="27"/>
      <c r="F1008" s="48"/>
      <c r="G1008" s="48"/>
      <c r="H1008" s="48"/>
      <c r="I1008" s="48"/>
      <c r="J1008" s="48"/>
      <c r="K1008" s="48"/>
      <c r="L1008" s="48"/>
      <c r="M1008" s="48"/>
      <c r="N1008" s="48"/>
      <c r="O1008" s="48"/>
      <c r="P1008" s="48"/>
      <c r="Q1008" s="48"/>
      <c r="R1008" s="48"/>
      <c r="S1008" s="48"/>
      <c r="T1008" s="48"/>
      <c r="U1008" s="48"/>
      <c r="V1008" s="48"/>
      <c r="W1008" s="48"/>
      <c r="X1008" s="48"/>
    </row>
    <row r="1009" ht="15.75" customHeight="1">
      <c r="A1009" s="56"/>
      <c r="B1009" s="48"/>
      <c r="C1009" s="48"/>
      <c r="D1009" s="27"/>
      <c r="E1009" s="27"/>
      <c r="F1009" s="48"/>
      <c r="G1009" s="48"/>
      <c r="H1009" s="48"/>
      <c r="I1009" s="48"/>
      <c r="J1009" s="48"/>
      <c r="K1009" s="48"/>
      <c r="L1009" s="48"/>
      <c r="M1009" s="48"/>
      <c r="N1009" s="48"/>
      <c r="O1009" s="48"/>
      <c r="P1009" s="48"/>
      <c r="Q1009" s="48"/>
      <c r="R1009" s="48"/>
      <c r="S1009" s="48"/>
      <c r="T1009" s="48"/>
      <c r="U1009" s="48"/>
      <c r="V1009" s="48"/>
      <c r="W1009" s="48"/>
      <c r="X1009" s="48"/>
    </row>
    <row r="1010" ht="15.75" customHeight="1">
      <c r="A1010" s="56"/>
      <c r="B1010" s="48"/>
      <c r="C1010" s="48"/>
      <c r="D1010" s="27"/>
      <c r="E1010" s="27"/>
      <c r="F1010" s="48"/>
      <c r="G1010" s="48"/>
      <c r="H1010" s="48"/>
      <c r="I1010" s="48"/>
      <c r="J1010" s="48"/>
      <c r="K1010" s="48"/>
      <c r="L1010" s="48"/>
      <c r="M1010" s="48"/>
      <c r="N1010" s="48"/>
      <c r="O1010" s="48"/>
      <c r="P1010" s="48"/>
      <c r="Q1010" s="48"/>
      <c r="R1010" s="48"/>
      <c r="S1010" s="48"/>
      <c r="T1010" s="48"/>
      <c r="U1010" s="48"/>
      <c r="V1010" s="48"/>
      <c r="W1010" s="48"/>
      <c r="X1010" s="48"/>
    </row>
    <row r="1011" ht="15.75" customHeight="1">
      <c r="A1011" s="56"/>
      <c r="B1011" s="48"/>
      <c r="C1011" s="48"/>
      <c r="D1011" s="27"/>
      <c r="E1011" s="27"/>
      <c r="F1011" s="48"/>
      <c r="G1011" s="48"/>
      <c r="H1011" s="48"/>
      <c r="I1011" s="48"/>
      <c r="J1011" s="48"/>
      <c r="K1011" s="48"/>
      <c r="L1011" s="48"/>
      <c r="M1011" s="48"/>
      <c r="N1011" s="48"/>
      <c r="O1011" s="48"/>
      <c r="P1011" s="48"/>
      <c r="Q1011" s="48"/>
      <c r="R1011" s="48"/>
      <c r="S1011" s="48"/>
      <c r="T1011" s="48"/>
      <c r="U1011" s="48"/>
      <c r="V1011" s="48"/>
      <c r="W1011" s="48"/>
      <c r="X1011" s="48"/>
    </row>
  </sheetData>
  <mergeCells count="11">
    <mergeCell ref="A27:E27"/>
    <mergeCell ref="A28:E28"/>
    <mergeCell ref="A32:E32"/>
    <mergeCell ref="A36:E36"/>
    <mergeCell ref="A2:E2"/>
    <mergeCell ref="A3:E3"/>
    <mergeCell ref="A7:E7"/>
    <mergeCell ref="A11:E11"/>
    <mergeCell ref="A12:E12"/>
    <mergeCell ref="A17:E17"/>
    <mergeCell ref="A22:E22"/>
  </mergeCells>
  <dataValidations>
    <dataValidation type="list" allowBlank="1" showErrorMessage="1" sqref="C4:C6 C8:C10 C13:C16 C18:C21 C23:C26 C29:C31 C33:C35 C37:C40">
      <formula1>"Single,Multiple"</formula1>
    </dataValidation>
  </dataValidations>
  <printOptions/>
  <pageMargins bottom="0.75" footer="0.0" header="0.0" left="0.7" right="0.7" top="0.75"/>
  <pageSetup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134.57"/>
    <col customWidth="1" min="3" max="26" width="10.71"/>
  </cols>
  <sheetData>
    <row r="1">
      <c r="A1" s="57" t="s">
        <v>231</v>
      </c>
      <c r="B1" s="57" t="s">
        <v>232</v>
      </c>
      <c r="C1" s="57" t="s">
        <v>105</v>
      </c>
      <c r="D1" s="57" t="s">
        <v>233</v>
      </c>
    </row>
    <row r="2">
      <c r="A2" s="58">
        <v>5.0</v>
      </c>
      <c r="B2" s="58" t="s">
        <v>234</v>
      </c>
      <c r="C2" s="58" t="s">
        <v>235</v>
      </c>
    </row>
    <row r="3">
      <c r="B3" s="58" t="s">
        <v>236</v>
      </c>
      <c r="C3" s="58" t="s">
        <v>237</v>
      </c>
    </row>
    <row r="4">
      <c r="B4" s="59" t="s">
        <v>238</v>
      </c>
      <c r="C4" s="58" t="s">
        <v>239</v>
      </c>
    </row>
    <row r="5">
      <c r="D5" s="57" t="s">
        <v>240</v>
      </c>
      <c r="E5" s="57" t="s">
        <v>241</v>
      </c>
      <c r="F5" s="57" t="s">
        <v>242</v>
      </c>
    </row>
    <row r="6">
      <c r="D6" s="58" t="s">
        <v>243</v>
      </c>
      <c r="E6" s="58">
        <v>564.0</v>
      </c>
      <c r="F6" s="58">
        <v>554.0</v>
      </c>
    </row>
    <row r="7">
      <c r="D7" s="58" t="s">
        <v>244</v>
      </c>
      <c r="E7" s="60">
        <v>1052.0</v>
      </c>
      <c r="F7" s="58">
        <v>589.0</v>
      </c>
    </row>
    <row r="8">
      <c r="D8" s="58" t="s">
        <v>239</v>
      </c>
      <c r="E8" s="60">
        <v>1285.0</v>
      </c>
      <c r="F8" s="58">
        <v>1041.0</v>
      </c>
    </row>
    <row r="9">
      <c r="D9" s="58" t="s">
        <v>237</v>
      </c>
      <c r="E9" s="58">
        <v>307.0</v>
      </c>
      <c r="F9" s="58">
        <v>215.0</v>
      </c>
    </row>
    <row r="10">
      <c r="D10" s="58" t="s">
        <v>245</v>
      </c>
      <c r="E10" s="58">
        <v>622.0</v>
      </c>
      <c r="F10" s="58">
        <v>407.0</v>
      </c>
    </row>
    <row r="12">
      <c r="A12" s="61" t="s">
        <v>246</v>
      </c>
      <c r="B12" s="62" t="s">
        <v>247</v>
      </c>
      <c r="C12" s="63" t="s">
        <v>235</v>
      </c>
      <c r="D12" s="63"/>
      <c r="E12" s="63"/>
      <c r="F12" s="63"/>
      <c r="G12" s="64"/>
    </row>
    <row r="13">
      <c r="A13" s="65"/>
      <c r="B13" s="58" t="s">
        <v>248</v>
      </c>
      <c r="C13" s="58" t="s">
        <v>237</v>
      </c>
      <c r="G13" s="66"/>
    </row>
    <row r="14">
      <c r="A14" s="65"/>
      <c r="B14" s="58" t="s">
        <v>249</v>
      </c>
      <c r="C14" s="58" t="s">
        <v>239</v>
      </c>
      <c r="G14" s="66"/>
    </row>
    <row r="15">
      <c r="A15" s="65"/>
      <c r="D15" s="57" t="s">
        <v>240</v>
      </c>
      <c r="E15" s="57" t="s">
        <v>241</v>
      </c>
      <c r="F15" s="57" t="s">
        <v>242</v>
      </c>
      <c r="G15" s="66"/>
    </row>
    <row r="16">
      <c r="A16" s="65"/>
      <c r="D16" s="58" t="s">
        <v>243</v>
      </c>
      <c r="E16" s="58">
        <v>739.0</v>
      </c>
      <c r="F16" s="58">
        <v>720.0</v>
      </c>
      <c r="G16" s="58">
        <v>720.0</v>
      </c>
    </row>
    <row r="17">
      <c r="A17" s="65"/>
      <c r="D17" s="58" t="s">
        <v>244</v>
      </c>
      <c r="E17" s="58">
        <v>1495.0</v>
      </c>
      <c r="F17" s="58" t="s">
        <v>250</v>
      </c>
      <c r="G17" s="53">
        <v>806.0</v>
      </c>
    </row>
    <row r="18">
      <c r="A18" s="65"/>
      <c r="D18" s="58" t="s">
        <v>239</v>
      </c>
      <c r="E18" s="58">
        <v>2459.0</v>
      </c>
      <c r="F18" s="58" t="s">
        <v>251</v>
      </c>
      <c r="G18" s="53">
        <v>2107.0</v>
      </c>
    </row>
    <row r="19">
      <c r="A19" s="65"/>
      <c r="D19" s="58" t="s">
        <v>237</v>
      </c>
      <c r="E19" s="58">
        <v>1031.0</v>
      </c>
      <c r="F19" s="58">
        <v>804.0</v>
      </c>
      <c r="G19" s="58">
        <v>804.0</v>
      </c>
    </row>
    <row r="20">
      <c r="A20" s="67"/>
      <c r="B20" s="68"/>
      <c r="C20" s="68"/>
      <c r="D20" s="68" t="s">
        <v>245</v>
      </c>
      <c r="E20" s="68">
        <v>1020.0</v>
      </c>
      <c r="F20" s="68">
        <v>710.0</v>
      </c>
      <c r="G20" s="68">
        <v>710.0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3" max="3" width="19.43"/>
    <col customWidth="1" min="4" max="4" width="18.86"/>
    <col customWidth="1" min="5" max="5" width="43.0"/>
  </cols>
  <sheetData>
    <row r="1" ht="22.5" customHeight="1">
      <c r="A1" s="69" t="s">
        <v>252</v>
      </c>
      <c r="B1" s="69" t="s">
        <v>253</v>
      </c>
      <c r="C1" s="69" t="s">
        <v>254</v>
      </c>
      <c r="D1" s="69" t="s">
        <v>255</v>
      </c>
      <c r="E1" s="69" t="s">
        <v>256</v>
      </c>
    </row>
    <row r="2" ht="22.5" customHeight="1">
      <c r="A2" s="70" t="s">
        <v>257</v>
      </c>
      <c r="B2" s="71">
        <v>45748.0</v>
      </c>
      <c r="C2" s="70">
        <v>142.0</v>
      </c>
      <c r="D2" s="70">
        <v>1664.0</v>
      </c>
      <c r="E2" s="70" t="s">
        <v>258</v>
      </c>
    </row>
    <row r="3" ht="22.5" customHeight="1">
      <c r="A3" s="70" t="s">
        <v>259</v>
      </c>
      <c r="B3" s="71">
        <v>45798.0</v>
      </c>
      <c r="C3" s="70">
        <v>156.0</v>
      </c>
      <c r="D3" s="70">
        <v>2291.0</v>
      </c>
      <c r="E3" s="70" t="s">
        <v>260</v>
      </c>
    </row>
    <row r="4" ht="22.5" customHeight="1">
      <c r="A4" s="70" t="s">
        <v>261</v>
      </c>
      <c r="B4" s="71">
        <v>45798.0</v>
      </c>
      <c r="C4" s="70">
        <v>199.0</v>
      </c>
      <c r="D4" s="70">
        <v>3146.0</v>
      </c>
      <c r="E4" s="70" t="s">
        <v>260</v>
      </c>
    </row>
    <row r="5" ht="22.5" customHeight="1">
      <c r="A5" s="70" t="s">
        <v>262</v>
      </c>
      <c r="B5" s="71">
        <v>45798.0</v>
      </c>
      <c r="C5" s="70">
        <v>190.0</v>
      </c>
      <c r="D5" s="70">
        <v>2102.0</v>
      </c>
      <c r="E5" s="70" t="s">
        <v>263</v>
      </c>
    </row>
    <row r="6" ht="22.5" customHeight="1">
      <c r="A6" s="70" t="s">
        <v>264</v>
      </c>
      <c r="B6" s="71">
        <v>45798.0</v>
      </c>
      <c r="C6" s="70">
        <v>193.0</v>
      </c>
      <c r="D6" s="70">
        <v>2292.0</v>
      </c>
      <c r="E6" s="70" t="s">
        <v>263</v>
      </c>
    </row>
    <row r="9" ht="22.5" customHeight="1">
      <c r="A9" s="69" t="s">
        <v>252</v>
      </c>
      <c r="B9" s="69" t="s">
        <v>253</v>
      </c>
      <c r="C9" s="69" t="s">
        <v>254</v>
      </c>
      <c r="D9" s="69" t="s">
        <v>255</v>
      </c>
      <c r="E9" s="69" t="s">
        <v>256</v>
      </c>
    </row>
    <row r="10" ht="22.5" customHeight="1">
      <c r="A10" s="70" t="s">
        <v>257</v>
      </c>
      <c r="B10" s="71">
        <v>45957.0</v>
      </c>
      <c r="C10" s="70">
        <v>25.0</v>
      </c>
      <c r="D10" s="70">
        <v>403.0</v>
      </c>
      <c r="E10" s="70" t="s">
        <v>258</v>
      </c>
    </row>
    <row r="11" ht="22.5" customHeight="1">
      <c r="A11" s="70" t="s">
        <v>259</v>
      </c>
      <c r="B11" s="71">
        <v>45957.0</v>
      </c>
      <c r="C11" s="70">
        <v>25.0</v>
      </c>
      <c r="D11" s="70">
        <v>403.0</v>
      </c>
      <c r="E11" s="70" t="s">
        <v>260</v>
      </c>
    </row>
  </sheetData>
  <dataValidations>
    <dataValidation type="custom" allowBlank="1" showDropDown="1" sqref="B2:B6 B10:B11">
      <formula1>OR(NOT(ISERROR(DATEVALUE(B2))), AND(ISNUMBER(B2), LEFT(CELL("format", B2))="D"))</formula1>
    </dataValidation>
  </dataValidations>
  <drawing r:id="rId1"/>
  <tableParts count="2">
    <tablePart r:id="rId4"/>
    <tablePart r:id="rId5"/>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16" width="10.71"/>
  </cols>
  <sheetData>
    <row r="1">
      <c r="A1" s="57" t="s">
        <v>265</v>
      </c>
      <c r="B1" s="57" t="s">
        <v>266</v>
      </c>
      <c r="C1" s="57" t="s">
        <v>267</v>
      </c>
      <c r="D1" s="57" t="s">
        <v>268</v>
      </c>
      <c r="E1" s="57" t="s">
        <v>269</v>
      </c>
      <c r="F1" s="57" t="s">
        <v>270</v>
      </c>
      <c r="G1" s="57" t="s">
        <v>271</v>
      </c>
      <c r="H1" s="57" t="s">
        <v>272</v>
      </c>
      <c r="I1" s="57" t="s">
        <v>273</v>
      </c>
      <c r="J1" s="57" t="s">
        <v>274</v>
      </c>
      <c r="K1" s="57" t="s">
        <v>253</v>
      </c>
      <c r="L1" s="57" t="s">
        <v>275</v>
      </c>
      <c r="M1" s="57" t="s">
        <v>276</v>
      </c>
      <c r="N1" s="57" t="s">
        <v>277</v>
      </c>
      <c r="O1" s="57" t="s">
        <v>278</v>
      </c>
      <c r="P1" s="57" t="s">
        <v>279</v>
      </c>
      <c r="Q1" s="57" t="s">
        <v>280</v>
      </c>
      <c r="R1" s="57" t="s">
        <v>281</v>
      </c>
      <c r="S1" s="57" t="s">
        <v>282</v>
      </c>
      <c r="T1" s="57" t="s">
        <v>283</v>
      </c>
      <c r="U1" s="57" t="s">
        <v>284</v>
      </c>
      <c r="V1" s="57" t="s">
        <v>285</v>
      </c>
      <c r="W1" s="57" t="s">
        <v>286</v>
      </c>
      <c r="X1" s="57" t="s">
        <v>287</v>
      </c>
      <c r="Y1" s="57" t="s">
        <v>288</v>
      </c>
      <c r="Z1" s="57" t="s">
        <v>289</v>
      </c>
      <c r="AA1" s="57" t="s">
        <v>290</v>
      </c>
      <c r="AB1" s="57" t="s">
        <v>291</v>
      </c>
      <c r="AC1" s="57" t="s">
        <v>292</v>
      </c>
      <c r="AD1" s="57" t="s">
        <v>105</v>
      </c>
      <c r="AE1" s="57" t="s">
        <v>293</v>
      </c>
      <c r="AF1" s="57" t="s">
        <v>294</v>
      </c>
      <c r="AG1" s="57" t="s">
        <v>295</v>
      </c>
      <c r="AH1" s="57" t="s">
        <v>296</v>
      </c>
      <c r="AI1" s="57" t="s">
        <v>297</v>
      </c>
      <c r="AJ1" s="57" t="s">
        <v>256</v>
      </c>
      <c r="AK1" s="57" t="s">
        <v>298</v>
      </c>
      <c r="AL1" s="57" t="s">
        <v>299</v>
      </c>
      <c r="AM1" s="57" t="s">
        <v>300</v>
      </c>
      <c r="AN1" s="57" t="s">
        <v>301</v>
      </c>
      <c r="AO1" s="57" t="s">
        <v>302</v>
      </c>
      <c r="AP1" s="57" t="s">
        <v>303</v>
      </c>
      <c r="AQ1" s="57" t="s">
        <v>304</v>
      </c>
      <c r="AR1" s="57" t="s">
        <v>305</v>
      </c>
      <c r="AS1" s="57" t="s">
        <v>306</v>
      </c>
      <c r="AT1" s="57" t="s">
        <v>307</v>
      </c>
      <c r="AU1" s="57" t="s">
        <v>308</v>
      </c>
      <c r="AV1" s="57" t="s">
        <v>309</v>
      </c>
      <c r="AW1" s="57" t="s">
        <v>310</v>
      </c>
      <c r="AX1" s="57" t="s">
        <v>311</v>
      </c>
      <c r="AY1" s="57" t="s">
        <v>312</v>
      </c>
      <c r="AZ1" s="57" t="s">
        <v>313</v>
      </c>
      <c r="BA1" s="57" t="s">
        <v>314</v>
      </c>
      <c r="BB1" s="57" t="s">
        <v>315</v>
      </c>
      <c r="BC1" s="57" t="s">
        <v>316</v>
      </c>
      <c r="BD1" s="57" t="s">
        <v>317</v>
      </c>
      <c r="BE1" s="57" t="s">
        <v>318</v>
      </c>
      <c r="BF1" s="57" t="s">
        <v>319</v>
      </c>
      <c r="BG1" s="57" t="s">
        <v>320</v>
      </c>
      <c r="BH1" s="57" t="s">
        <v>321</v>
      </c>
      <c r="BI1" s="57" t="s">
        <v>322</v>
      </c>
      <c r="BJ1" s="57" t="s">
        <v>323</v>
      </c>
      <c r="BK1" s="57" t="s">
        <v>324</v>
      </c>
      <c r="BL1" s="57" t="s">
        <v>325</v>
      </c>
      <c r="BM1" s="57" t="s">
        <v>326</v>
      </c>
      <c r="BN1" s="57" t="s">
        <v>327</v>
      </c>
      <c r="BO1" s="57" t="s">
        <v>328</v>
      </c>
      <c r="BP1" s="57" t="s">
        <v>329</v>
      </c>
      <c r="BQ1" s="57" t="s">
        <v>330</v>
      </c>
      <c r="BR1" s="57" t="s">
        <v>331</v>
      </c>
      <c r="BS1" s="57" t="s">
        <v>332</v>
      </c>
      <c r="BT1" s="57" t="s">
        <v>333</v>
      </c>
      <c r="BU1" s="57" t="s">
        <v>334</v>
      </c>
      <c r="BV1" s="57" t="s">
        <v>335</v>
      </c>
      <c r="BW1" s="57" t="s">
        <v>336</v>
      </c>
      <c r="BX1" s="57" t="s">
        <v>337</v>
      </c>
      <c r="BY1" s="57" t="s">
        <v>338</v>
      </c>
      <c r="BZ1" s="57" t="s">
        <v>339</v>
      </c>
      <c r="CA1" s="57" t="s">
        <v>340</v>
      </c>
      <c r="CB1" s="57" t="s">
        <v>341</v>
      </c>
      <c r="CC1" s="57" t="s">
        <v>342</v>
      </c>
      <c r="CD1" s="57" t="s">
        <v>343</v>
      </c>
      <c r="CE1" s="57" t="s">
        <v>344</v>
      </c>
      <c r="CF1" s="57" t="s">
        <v>345</v>
      </c>
      <c r="CG1" s="57" t="s">
        <v>346</v>
      </c>
      <c r="CH1" s="57" t="s">
        <v>347</v>
      </c>
      <c r="CI1" s="57" t="s">
        <v>348</v>
      </c>
      <c r="CJ1" s="57" t="s">
        <v>349</v>
      </c>
      <c r="CK1" s="57" t="s">
        <v>350</v>
      </c>
      <c r="CL1" s="57" t="s">
        <v>351</v>
      </c>
      <c r="CM1" s="57" t="s">
        <v>352</v>
      </c>
      <c r="CN1" s="57" t="s">
        <v>353</v>
      </c>
      <c r="CO1" s="57" t="s">
        <v>354</v>
      </c>
      <c r="CP1" s="57" t="s">
        <v>355</v>
      </c>
      <c r="CQ1" s="57" t="s">
        <v>356</v>
      </c>
      <c r="CR1" s="57" t="s">
        <v>357</v>
      </c>
      <c r="CS1" s="57" t="s">
        <v>358</v>
      </c>
      <c r="CT1" s="57" t="s">
        <v>359</v>
      </c>
      <c r="CU1" s="57" t="s">
        <v>360</v>
      </c>
      <c r="CV1" s="57" t="s">
        <v>361</v>
      </c>
      <c r="CW1" s="57" t="s">
        <v>362</v>
      </c>
      <c r="CX1" s="57" t="s">
        <v>363</v>
      </c>
      <c r="CY1" s="57" t="s">
        <v>364</v>
      </c>
      <c r="CZ1" s="57" t="s">
        <v>365</v>
      </c>
      <c r="DA1" s="57" t="s">
        <v>366</v>
      </c>
      <c r="DB1" s="57" t="s">
        <v>367</v>
      </c>
      <c r="DC1" s="57" t="s">
        <v>368</v>
      </c>
      <c r="DD1" s="57" t="s">
        <v>369</v>
      </c>
      <c r="DE1" s="57" t="s">
        <v>370</v>
      </c>
      <c r="DF1" s="57" t="s">
        <v>371</v>
      </c>
      <c r="DG1" s="57" t="s">
        <v>372</v>
      </c>
      <c r="DH1" s="57" t="s">
        <v>373</v>
      </c>
      <c r="DI1" s="57" t="s">
        <v>374</v>
      </c>
      <c r="DJ1" s="57" t="s">
        <v>375</v>
      </c>
      <c r="DK1" s="57" t="s">
        <v>376</v>
      </c>
      <c r="DL1" s="57" t="s">
        <v>377</v>
      </c>
    </row>
    <row r="2">
      <c r="A2" s="58" t="s">
        <v>378</v>
      </c>
      <c r="B2" s="58" t="s">
        <v>379</v>
      </c>
      <c r="C2" s="58">
        <v>2024.0</v>
      </c>
      <c r="D2" s="58" t="s">
        <v>380</v>
      </c>
      <c r="E2" s="58" t="s">
        <v>381</v>
      </c>
      <c r="F2" s="58" t="s">
        <v>382</v>
      </c>
      <c r="G2" s="58" t="s">
        <v>383</v>
      </c>
      <c r="I2" s="58" t="s">
        <v>384</v>
      </c>
      <c r="J2" s="58" t="s">
        <v>385</v>
      </c>
      <c r="K2" s="58">
        <v>2024.0</v>
      </c>
      <c r="L2" s="72">
        <v>45734.379282407404</v>
      </c>
      <c r="M2" s="72">
        <v>45734.379282407404</v>
      </c>
      <c r="O2" s="58" t="s">
        <v>386</v>
      </c>
      <c r="Z2" s="58" t="s">
        <v>387</v>
      </c>
      <c r="AA2" s="58" t="s">
        <v>388</v>
      </c>
      <c r="AI2" s="58" t="s">
        <v>389</v>
      </c>
      <c r="CL2" s="58" t="s">
        <v>390</v>
      </c>
      <c r="DL2" s="58" t="s">
        <v>391</v>
      </c>
    </row>
    <row r="3">
      <c r="A3" s="58" t="s">
        <v>392</v>
      </c>
      <c r="B3" s="58" t="s">
        <v>379</v>
      </c>
      <c r="C3" s="58">
        <v>2024.0</v>
      </c>
      <c r="D3" s="58" t="s">
        <v>393</v>
      </c>
      <c r="E3" s="58" t="s">
        <v>394</v>
      </c>
      <c r="F3" s="58" t="s">
        <v>395</v>
      </c>
      <c r="G3" s="58" t="s">
        <v>396</v>
      </c>
      <c r="I3" s="58" t="s">
        <v>397</v>
      </c>
      <c r="J3" s="58" t="s">
        <v>398</v>
      </c>
      <c r="K3" s="58">
        <v>2024.0</v>
      </c>
      <c r="L3" s="72">
        <v>45734.379282407404</v>
      </c>
      <c r="M3" s="72">
        <v>45734.379282407404</v>
      </c>
      <c r="O3" s="58" t="s">
        <v>399</v>
      </c>
      <c r="V3" s="58" t="s">
        <v>400</v>
      </c>
      <c r="Z3" s="58" t="s">
        <v>401</v>
      </c>
      <c r="AA3" s="58" t="s">
        <v>402</v>
      </c>
      <c r="AI3" s="58" t="s">
        <v>403</v>
      </c>
      <c r="CL3" s="58" t="s">
        <v>404</v>
      </c>
    </row>
    <row r="4">
      <c r="A4" s="58" t="s">
        <v>405</v>
      </c>
      <c r="B4" s="58" t="s">
        <v>379</v>
      </c>
      <c r="C4" s="58">
        <v>2022.0</v>
      </c>
      <c r="D4" s="58" t="s">
        <v>406</v>
      </c>
      <c r="E4" s="58" t="s">
        <v>407</v>
      </c>
      <c r="F4" s="58" t="s">
        <v>408</v>
      </c>
      <c r="G4" s="58" t="s">
        <v>409</v>
      </c>
      <c r="I4" s="58" t="s">
        <v>410</v>
      </c>
      <c r="J4" s="58" t="s">
        <v>411</v>
      </c>
      <c r="K4" s="58">
        <v>2022.0</v>
      </c>
      <c r="L4" s="72">
        <v>45734.379282407404</v>
      </c>
      <c r="M4" s="72">
        <v>45734.379282407404</v>
      </c>
      <c r="O4" s="58" t="s">
        <v>412</v>
      </c>
      <c r="Z4" s="58" t="s">
        <v>387</v>
      </c>
      <c r="AA4" s="58" t="s">
        <v>388</v>
      </c>
      <c r="AI4" s="58" t="s">
        <v>413</v>
      </c>
      <c r="CL4" s="58" t="s">
        <v>414</v>
      </c>
      <c r="DL4" s="58" t="s">
        <v>415</v>
      </c>
    </row>
    <row r="5">
      <c r="A5" s="58" t="s">
        <v>416</v>
      </c>
      <c r="B5" s="58" t="s">
        <v>379</v>
      </c>
      <c r="C5" s="58">
        <v>2023.0</v>
      </c>
      <c r="D5" s="58" t="s">
        <v>417</v>
      </c>
      <c r="E5" s="58" t="s">
        <v>418</v>
      </c>
      <c r="F5" s="58" t="s">
        <v>419</v>
      </c>
      <c r="G5" s="58" t="s">
        <v>420</v>
      </c>
      <c r="I5" s="58" t="s">
        <v>421</v>
      </c>
      <c r="J5" s="58" t="s">
        <v>422</v>
      </c>
      <c r="K5" s="58">
        <v>2023.0</v>
      </c>
      <c r="L5" s="72">
        <v>45734.379282407404</v>
      </c>
      <c r="M5" s="72">
        <v>45734.379282407404</v>
      </c>
      <c r="V5" s="58" t="s">
        <v>423</v>
      </c>
      <c r="Z5" s="58" t="s">
        <v>401</v>
      </c>
      <c r="AA5" s="58" t="s">
        <v>402</v>
      </c>
      <c r="AI5" s="58" t="s">
        <v>424</v>
      </c>
      <c r="CL5" s="58" t="s">
        <v>425</v>
      </c>
      <c r="DL5" s="58" t="s">
        <v>426</v>
      </c>
    </row>
    <row r="6">
      <c r="A6" s="58" t="s">
        <v>427</v>
      </c>
      <c r="B6" s="58" t="s">
        <v>379</v>
      </c>
      <c r="C6" s="58">
        <v>2019.0</v>
      </c>
      <c r="D6" s="58" t="s">
        <v>428</v>
      </c>
      <c r="E6" s="58" t="s">
        <v>429</v>
      </c>
      <c r="F6" s="58" t="s">
        <v>430</v>
      </c>
      <c r="G6" s="58" t="s">
        <v>431</v>
      </c>
      <c r="I6" s="58" t="s">
        <v>432</v>
      </c>
      <c r="J6" s="58" t="s">
        <v>433</v>
      </c>
      <c r="K6" s="58">
        <v>2019.0</v>
      </c>
      <c r="L6" s="72">
        <v>45734.379282407404</v>
      </c>
      <c r="M6" s="72">
        <v>45734.379282407404</v>
      </c>
      <c r="O6" s="58" t="s">
        <v>434</v>
      </c>
      <c r="V6" s="58" t="s">
        <v>435</v>
      </c>
      <c r="Z6" s="58" t="s">
        <v>401</v>
      </c>
      <c r="AA6" s="58" t="s">
        <v>402</v>
      </c>
      <c r="AI6" s="58" t="s">
        <v>436</v>
      </c>
      <c r="CL6" s="58" t="s">
        <v>437</v>
      </c>
      <c r="DL6" s="58" t="s">
        <v>438</v>
      </c>
    </row>
    <row r="7">
      <c r="A7" s="58" t="s">
        <v>439</v>
      </c>
      <c r="B7" s="58" t="s">
        <v>379</v>
      </c>
      <c r="C7" s="58">
        <v>2019.0</v>
      </c>
      <c r="D7" s="58" t="s">
        <v>440</v>
      </c>
      <c r="E7" s="58" t="s">
        <v>441</v>
      </c>
      <c r="F7" s="58" t="s">
        <v>442</v>
      </c>
      <c r="G7" s="58" t="s">
        <v>443</v>
      </c>
      <c r="I7" s="58" t="s">
        <v>444</v>
      </c>
      <c r="J7" s="58" t="s">
        <v>445</v>
      </c>
      <c r="K7" s="58">
        <v>2019.0</v>
      </c>
      <c r="L7" s="72">
        <v>45734.379282407404</v>
      </c>
      <c r="M7" s="72">
        <v>45734.379282407404</v>
      </c>
      <c r="O7" s="58" t="s">
        <v>446</v>
      </c>
      <c r="V7" s="58" t="s">
        <v>447</v>
      </c>
      <c r="Z7" s="58" t="s">
        <v>401</v>
      </c>
      <c r="AA7" s="58" t="s">
        <v>402</v>
      </c>
      <c r="AI7" s="58" t="s">
        <v>448</v>
      </c>
      <c r="CL7" s="58" t="s">
        <v>449</v>
      </c>
      <c r="DL7" s="58" t="s">
        <v>450</v>
      </c>
    </row>
    <row r="8">
      <c r="A8" s="58" t="s">
        <v>451</v>
      </c>
      <c r="B8" s="58" t="s">
        <v>379</v>
      </c>
      <c r="C8" s="58">
        <v>2022.0</v>
      </c>
      <c r="D8" s="58" t="s">
        <v>452</v>
      </c>
      <c r="E8" s="58" t="s">
        <v>453</v>
      </c>
      <c r="F8" s="58" t="s">
        <v>454</v>
      </c>
      <c r="G8" s="58" t="s">
        <v>455</v>
      </c>
      <c r="I8" s="58" t="s">
        <v>456</v>
      </c>
      <c r="J8" s="58" t="s">
        <v>457</v>
      </c>
      <c r="K8" s="58">
        <v>2022.0</v>
      </c>
      <c r="L8" s="72">
        <v>45734.379282407404</v>
      </c>
      <c r="M8" s="72">
        <v>45734.379282407404</v>
      </c>
      <c r="O8" s="58" t="s">
        <v>458</v>
      </c>
      <c r="V8" s="58" t="s">
        <v>459</v>
      </c>
      <c r="Z8" s="58" t="s">
        <v>401</v>
      </c>
      <c r="AA8" s="58" t="s">
        <v>402</v>
      </c>
      <c r="AI8" s="58" t="s">
        <v>460</v>
      </c>
      <c r="CL8" s="58" t="s">
        <v>461</v>
      </c>
      <c r="DL8" s="58" t="s">
        <v>462</v>
      </c>
    </row>
    <row r="9">
      <c r="A9" s="58" t="s">
        <v>463</v>
      </c>
      <c r="B9" s="58" t="s">
        <v>379</v>
      </c>
      <c r="C9" s="58">
        <v>2021.0</v>
      </c>
      <c r="D9" s="58" t="s">
        <v>464</v>
      </c>
      <c r="E9" s="58" t="s">
        <v>465</v>
      </c>
      <c r="F9" s="58" t="s">
        <v>466</v>
      </c>
      <c r="G9" s="58" t="s">
        <v>467</v>
      </c>
      <c r="I9" s="58" t="s">
        <v>468</v>
      </c>
      <c r="J9" s="58" t="s">
        <v>469</v>
      </c>
      <c r="K9" s="58">
        <v>2021.0</v>
      </c>
      <c r="L9" s="72">
        <v>45734.379282407404</v>
      </c>
      <c r="M9" s="72">
        <v>45734.379282407404</v>
      </c>
      <c r="O9" s="58" t="s">
        <v>470</v>
      </c>
      <c r="V9" s="58" t="s">
        <v>471</v>
      </c>
      <c r="Z9" s="58" t="s">
        <v>401</v>
      </c>
      <c r="AA9" s="58" t="s">
        <v>402</v>
      </c>
      <c r="AI9" s="58" t="s">
        <v>472</v>
      </c>
      <c r="CL9" s="58" t="s">
        <v>473</v>
      </c>
      <c r="DL9" s="58" t="s">
        <v>474</v>
      </c>
    </row>
    <row r="10">
      <c r="A10" s="58" t="s">
        <v>475</v>
      </c>
      <c r="B10" s="58" t="s">
        <v>379</v>
      </c>
      <c r="C10" s="58">
        <v>2023.0</v>
      </c>
      <c r="D10" s="58" t="s">
        <v>476</v>
      </c>
      <c r="E10" s="58" t="s">
        <v>477</v>
      </c>
      <c r="F10" s="58" t="s">
        <v>478</v>
      </c>
      <c r="G10" s="58" t="s">
        <v>479</v>
      </c>
      <c r="I10" s="58" t="s">
        <v>480</v>
      </c>
      <c r="J10" s="58" t="s">
        <v>481</v>
      </c>
      <c r="K10" s="58">
        <v>2023.0</v>
      </c>
      <c r="L10" s="72">
        <v>45734.379282407404</v>
      </c>
      <c r="M10" s="72">
        <v>45734.379282407404</v>
      </c>
      <c r="O10" s="58" t="s">
        <v>482</v>
      </c>
      <c r="Z10" s="58" t="s">
        <v>387</v>
      </c>
      <c r="AA10" s="58" t="s">
        <v>388</v>
      </c>
      <c r="AI10" s="58" t="s">
        <v>483</v>
      </c>
      <c r="CL10" s="58" t="s">
        <v>484</v>
      </c>
      <c r="DL10" s="58" t="s">
        <v>485</v>
      </c>
    </row>
    <row r="11">
      <c r="A11" s="58" t="s">
        <v>486</v>
      </c>
      <c r="B11" s="58" t="s">
        <v>379</v>
      </c>
      <c r="C11" s="58">
        <v>2024.0</v>
      </c>
      <c r="D11" s="58" t="s">
        <v>487</v>
      </c>
      <c r="E11" s="58" t="s">
        <v>488</v>
      </c>
      <c r="F11" s="58" t="s">
        <v>489</v>
      </c>
      <c r="G11" s="58" t="s">
        <v>490</v>
      </c>
      <c r="I11" s="58" t="s">
        <v>491</v>
      </c>
      <c r="J11" s="58" t="s">
        <v>492</v>
      </c>
      <c r="K11" s="58">
        <v>2024.0</v>
      </c>
      <c r="L11" s="72">
        <v>45734.379282407404</v>
      </c>
      <c r="M11" s="72">
        <v>45734.379282407404</v>
      </c>
      <c r="O11" s="58" t="s">
        <v>493</v>
      </c>
      <c r="V11" s="58" t="s">
        <v>494</v>
      </c>
      <c r="Z11" s="58" t="s">
        <v>401</v>
      </c>
      <c r="AA11" s="58" t="s">
        <v>402</v>
      </c>
      <c r="AI11" s="58" t="s">
        <v>495</v>
      </c>
      <c r="CL11" s="58" t="s">
        <v>496</v>
      </c>
      <c r="DL11" s="58" t="s">
        <v>497</v>
      </c>
    </row>
    <row r="12">
      <c r="A12" s="58" t="s">
        <v>498</v>
      </c>
      <c r="B12" s="58" t="s">
        <v>379</v>
      </c>
      <c r="C12" s="58">
        <v>2023.0</v>
      </c>
      <c r="D12" s="58" t="s">
        <v>499</v>
      </c>
      <c r="E12" s="58" t="s">
        <v>500</v>
      </c>
      <c r="F12" s="58" t="s">
        <v>501</v>
      </c>
      <c r="K12" s="58">
        <v>2023.0</v>
      </c>
      <c r="L12" s="72">
        <v>45734.379282407404</v>
      </c>
      <c r="M12" s="72">
        <v>45734.379282407404</v>
      </c>
      <c r="O12" s="58" t="s">
        <v>502</v>
      </c>
      <c r="V12" s="58" t="s">
        <v>503</v>
      </c>
      <c r="Z12" s="58" t="s">
        <v>401</v>
      </c>
      <c r="AA12" s="58" t="s">
        <v>402</v>
      </c>
      <c r="AI12" s="58" t="s">
        <v>504</v>
      </c>
      <c r="CL12" s="58" t="s">
        <v>505</v>
      </c>
      <c r="DL12" s="58" t="s">
        <v>506</v>
      </c>
    </row>
    <row r="13">
      <c r="A13" s="58" t="s">
        <v>507</v>
      </c>
      <c r="B13" s="58" t="s">
        <v>379</v>
      </c>
      <c r="C13" s="58">
        <v>2024.0</v>
      </c>
      <c r="D13" s="58" t="s">
        <v>508</v>
      </c>
      <c r="E13" s="58" t="s">
        <v>509</v>
      </c>
      <c r="F13" s="58" t="s">
        <v>510</v>
      </c>
      <c r="G13" s="58" t="s">
        <v>511</v>
      </c>
      <c r="I13" s="58" t="s">
        <v>512</v>
      </c>
      <c r="J13" s="58" t="s">
        <v>513</v>
      </c>
      <c r="K13" s="58">
        <v>2024.0</v>
      </c>
      <c r="L13" s="72">
        <v>45734.379282407404</v>
      </c>
      <c r="M13" s="72">
        <v>45734.379282407404</v>
      </c>
      <c r="O13" s="58" t="s">
        <v>514</v>
      </c>
      <c r="Z13" s="58" t="s">
        <v>387</v>
      </c>
      <c r="AA13" s="58" t="s">
        <v>388</v>
      </c>
      <c r="AI13" s="58" t="s">
        <v>515</v>
      </c>
      <c r="CL13" s="58" t="s">
        <v>516</v>
      </c>
      <c r="DL13" s="58" t="s">
        <v>517</v>
      </c>
    </row>
    <row r="14">
      <c r="A14" s="58" t="s">
        <v>518</v>
      </c>
      <c r="B14" s="58" t="s">
        <v>379</v>
      </c>
      <c r="C14" s="58">
        <v>2024.0</v>
      </c>
      <c r="D14" s="58" t="s">
        <v>519</v>
      </c>
      <c r="E14" s="58" t="s">
        <v>520</v>
      </c>
      <c r="F14" s="58" t="s">
        <v>521</v>
      </c>
      <c r="G14" s="58" t="s">
        <v>522</v>
      </c>
      <c r="I14" s="58" t="s">
        <v>523</v>
      </c>
      <c r="J14" s="58" t="s">
        <v>524</v>
      </c>
      <c r="K14" s="58">
        <v>2024.0</v>
      </c>
      <c r="L14" s="72">
        <v>45734.379282407404</v>
      </c>
      <c r="M14" s="72">
        <v>45734.379282407404</v>
      </c>
      <c r="V14" s="58" t="s">
        <v>525</v>
      </c>
      <c r="Z14" s="58" t="s">
        <v>401</v>
      </c>
      <c r="AA14" s="58" t="s">
        <v>402</v>
      </c>
      <c r="AI14" s="58" t="s">
        <v>526</v>
      </c>
      <c r="CL14" s="58" t="s">
        <v>527</v>
      </c>
      <c r="DL14" s="58" t="s">
        <v>528</v>
      </c>
    </row>
    <row r="15">
      <c r="A15" s="58" t="s">
        <v>529</v>
      </c>
      <c r="B15" s="58" t="s">
        <v>379</v>
      </c>
      <c r="C15" s="58">
        <v>2024.0</v>
      </c>
      <c r="D15" s="58" t="s">
        <v>530</v>
      </c>
      <c r="E15" s="58" t="s">
        <v>531</v>
      </c>
      <c r="F15" s="58" t="s">
        <v>521</v>
      </c>
      <c r="G15" s="58" t="s">
        <v>522</v>
      </c>
      <c r="I15" s="58" t="s">
        <v>532</v>
      </c>
      <c r="J15" s="58" t="s">
        <v>533</v>
      </c>
      <c r="K15" s="58">
        <v>2024.0</v>
      </c>
      <c r="L15" s="72">
        <v>45734.379282407404</v>
      </c>
      <c r="M15" s="72">
        <v>45734.379282407404</v>
      </c>
      <c r="V15" s="58" t="s">
        <v>525</v>
      </c>
      <c r="Z15" s="58" t="s">
        <v>401</v>
      </c>
      <c r="AA15" s="58" t="s">
        <v>402</v>
      </c>
      <c r="AI15" s="58" t="s">
        <v>526</v>
      </c>
      <c r="CL15" s="58" t="s">
        <v>534</v>
      </c>
      <c r="DL15" s="58" t="s">
        <v>535</v>
      </c>
    </row>
    <row r="16">
      <c r="A16" s="58" t="s">
        <v>536</v>
      </c>
      <c r="B16" s="58" t="s">
        <v>379</v>
      </c>
      <c r="C16" s="58">
        <v>2023.0</v>
      </c>
      <c r="D16" s="58" t="s">
        <v>537</v>
      </c>
      <c r="E16" s="58" t="s">
        <v>538</v>
      </c>
      <c r="F16" s="58" t="s">
        <v>539</v>
      </c>
      <c r="G16" s="58" t="s">
        <v>540</v>
      </c>
      <c r="I16" s="58" t="s">
        <v>541</v>
      </c>
      <c r="J16" s="58" t="s">
        <v>542</v>
      </c>
      <c r="K16" s="58">
        <v>2023.0</v>
      </c>
      <c r="L16" s="72">
        <v>45734.379282407404</v>
      </c>
      <c r="M16" s="72">
        <v>45734.379282407404</v>
      </c>
      <c r="O16" s="58" t="s">
        <v>543</v>
      </c>
      <c r="Z16" s="58" t="s">
        <v>387</v>
      </c>
      <c r="AA16" s="58" t="s">
        <v>388</v>
      </c>
      <c r="AI16" s="58" t="s">
        <v>544</v>
      </c>
      <c r="CL16" s="58" t="s">
        <v>545</v>
      </c>
    </row>
    <row r="17">
      <c r="A17" s="58" t="s">
        <v>546</v>
      </c>
      <c r="B17" s="58" t="s">
        <v>379</v>
      </c>
      <c r="C17" s="58">
        <v>2023.0</v>
      </c>
      <c r="D17" s="58" t="s">
        <v>547</v>
      </c>
      <c r="E17" s="58" t="s">
        <v>548</v>
      </c>
      <c r="F17" s="58" t="s">
        <v>549</v>
      </c>
      <c r="G17" s="58" t="s">
        <v>550</v>
      </c>
      <c r="I17" s="58" t="s">
        <v>551</v>
      </c>
      <c r="J17" s="58" t="s">
        <v>552</v>
      </c>
      <c r="K17" s="58">
        <v>2023.0</v>
      </c>
      <c r="L17" s="72">
        <v>45734.379282407404</v>
      </c>
      <c r="M17" s="72">
        <v>45734.379282407404</v>
      </c>
      <c r="O17" s="58" t="s">
        <v>553</v>
      </c>
      <c r="V17" s="58" t="s">
        <v>554</v>
      </c>
      <c r="Z17" s="58" t="s">
        <v>555</v>
      </c>
      <c r="AA17" s="58" t="s">
        <v>556</v>
      </c>
      <c r="CL17" s="58" t="s">
        <v>557</v>
      </c>
      <c r="DL17" s="58" t="s">
        <v>558</v>
      </c>
    </row>
    <row r="18">
      <c r="A18" s="58" t="s">
        <v>559</v>
      </c>
      <c r="B18" s="58" t="s">
        <v>379</v>
      </c>
      <c r="C18" s="58">
        <v>2023.0</v>
      </c>
      <c r="D18" s="58" t="s">
        <v>560</v>
      </c>
      <c r="E18" s="58" t="s">
        <v>561</v>
      </c>
      <c r="F18" s="58" t="s">
        <v>562</v>
      </c>
      <c r="G18" s="58" t="s">
        <v>563</v>
      </c>
      <c r="I18" s="58" t="s">
        <v>564</v>
      </c>
      <c r="J18" s="58" t="s">
        <v>565</v>
      </c>
      <c r="K18" s="58">
        <v>2023.0</v>
      </c>
      <c r="L18" s="72">
        <v>45734.379282407404</v>
      </c>
      <c r="M18" s="72">
        <v>45734.379282407404</v>
      </c>
      <c r="O18" s="58" t="s">
        <v>566</v>
      </c>
      <c r="V18" s="58" t="s">
        <v>567</v>
      </c>
      <c r="Z18" s="58" t="s">
        <v>401</v>
      </c>
      <c r="AA18" s="58" t="s">
        <v>402</v>
      </c>
      <c r="AI18" s="58" t="s">
        <v>568</v>
      </c>
      <c r="CL18" s="58" t="s">
        <v>569</v>
      </c>
      <c r="DL18" s="58" t="s">
        <v>570</v>
      </c>
    </row>
    <row r="19">
      <c r="A19" s="58" t="s">
        <v>571</v>
      </c>
      <c r="B19" s="58" t="s">
        <v>379</v>
      </c>
      <c r="C19" s="58">
        <v>2024.0</v>
      </c>
      <c r="D19" s="58" t="s">
        <v>572</v>
      </c>
      <c r="E19" s="58" t="s">
        <v>573</v>
      </c>
      <c r="F19" s="58" t="s">
        <v>574</v>
      </c>
      <c r="G19" s="58" t="s">
        <v>575</v>
      </c>
      <c r="I19" s="58" t="s">
        <v>576</v>
      </c>
      <c r="J19" s="58" t="s">
        <v>577</v>
      </c>
      <c r="K19" s="58">
        <v>2024.0</v>
      </c>
      <c r="L19" s="72">
        <v>45734.379282407404</v>
      </c>
      <c r="M19" s="72">
        <v>45734.379282407404</v>
      </c>
      <c r="O19" s="58" t="s">
        <v>578</v>
      </c>
      <c r="V19" s="58" t="s">
        <v>579</v>
      </c>
      <c r="Z19" s="58" t="s">
        <v>401</v>
      </c>
      <c r="AA19" s="58" t="s">
        <v>402</v>
      </c>
      <c r="AI19" s="58" t="s">
        <v>580</v>
      </c>
      <c r="CL19" s="58" t="s">
        <v>581</v>
      </c>
      <c r="DL19" s="58" t="s">
        <v>582</v>
      </c>
    </row>
    <row r="20">
      <c r="A20" s="58" t="s">
        <v>583</v>
      </c>
      <c r="B20" s="58" t="s">
        <v>379</v>
      </c>
      <c r="C20" s="58">
        <v>2021.0</v>
      </c>
      <c r="D20" s="58" t="s">
        <v>584</v>
      </c>
      <c r="E20" s="58" t="s">
        <v>585</v>
      </c>
      <c r="F20" s="58" t="s">
        <v>586</v>
      </c>
      <c r="G20" s="58" t="s">
        <v>587</v>
      </c>
      <c r="I20" s="58" t="s">
        <v>588</v>
      </c>
      <c r="J20" s="58" t="s">
        <v>589</v>
      </c>
      <c r="K20" s="58">
        <v>2021.0</v>
      </c>
      <c r="L20" s="72">
        <v>45734.379282407404</v>
      </c>
      <c r="M20" s="72">
        <v>45734.379282407404</v>
      </c>
      <c r="O20" s="58" t="s">
        <v>590</v>
      </c>
      <c r="Z20" s="58" t="s">
        <v>387</v>
      </c>
      <c r="AA20" s="58" t="s">
        <v>388</v>
      </c>
      <c r="AI20" s="58" t="s">
        <v>591</v>
      </c>
      <c r="CL20" s="58" t="s">
        <v>592</v>
      </c>
      <c r="DL20" s="58" t="s">
        <v>593</v>
      </c>
    </row>
    <row r="21" ht="15.75" customHeight="1">
      <c r="A21" s="58" t="s">
        <v>594</v>
      </c>
      <c r="B21" s="58" t="s">
        <v>379</v>
      </c>
      <c r="C21" s="58">
        <v>2024.0</v>
      </c>
      <c r="D21" s="58" t="s">
        <v>595</v>
      </c>
      <c r="E21" s="58" t="s">
        <v>596</v>
      </c>
      <c r="F21" s="58" t="s">
        <v>597</v>
      </c>
      <c r="G21" s="58" t="s">
        <v>598</v>
      </c>
      <c r="I21" s="58" t="s">
        <v>599</v>
      </c>
      <c r="J21" s="58" t="s">
        <v>600</v>
      </c>
      <c r="K21" s="58">
        <v>2024.0</v>
      </c>
      <c r="L21" s="72">
        <v>45734.379282407404</v>
      </c>
      <c r="M21" s="72">
        <v>45734.379282407404</v>
      </c>
      <c r="V21" s="58" t="s">
        <v>601</v>
      </c>
      <c r="Z21" s="58" t="s">
        <v>555</v>
      </c>
      <c r="AA21" s="58" t="s">
        <v>602</v>
      </c>
      <c r="CL21" s="58" t="s">
        <v>603</v>
      </c>
      <c r="DL21" s="58" t="s">
        <v>604</v>
      </c>
    </row>
    <row r="22" ht="15.75" customHeight="1">
      <c r="A22" s="58" t="s">
        <v>605</v>
      </c>
      <c r="B22" s="58" t="s">
        <v>379</v>
      </c>
      <c r="C22" s="58">
        <v>2022.0</v>
      </c>
      <c r="D22" s="58" t="s">
        <v>606</v>
      </c>
      <c r="E22" s="58" t="s">
        <v>607</v>
      </c>
      <c r="F22" s="58" t="s">
        <v>608</v>
      </c>
      <c r="G22" s="58" t="s">
        <v>609</v>
      </c>
      <c r="I22" s="58" t="s">
        <v>610</v>
      </c>
      <c r="J22" s="58" t="s">
        <v>611</v>
      </c>
      <c r="K22" s="58">
        <v>2022.0</v>
      </c>
      <c r="L22" s="72">
        <v>45734.379282407404</v>
      </c>
      <c r="M22" s="72">
        <v>45734.379282407404</v>
      </c>
      <c r="O22" s="58" t="s">
        <v>612</v>
      </c>
      <c r="Z22" s="58" t="s">
        <v>387</v>
      </c>
      <c r="AA22" s="58" t="s">
        <v>388</v>
      </c>
      <c r="AI22" s="58" t="s">
        <v>613</v>
      </c>
      <c r="CL22" s="58" t="s">
        <v>614</v>
      </c>
      <c r="DL22" s="58" t="s">
        <v>615</v>
      </c>
    </row>
    <row r="23" ht="15.75" customHeight="1">
      <c r="A23" s="58" t="s">
        <v>616</v>
      </c>
      <c r="B23" s="58" t="s">
        <v>379</v>
      </c>
      <c r="C23" s="58">
        <v>2019.0</v>
      </c>
      <c r="D23" s="58" t="s">
        <v>617</v>
      </c>
      <c r="E23" s="58" t="s">
        <v>618</v>
      </c>
      <c r="F23" s="58" t="s">
        <v>619</v>
      </c>
      <c r="G23" s="58" t="s">
        <v>620</v>
      </c>
      <c r="I23" s="58" t="s">
        <v>621</v>
      </c>
      <c r="J23" s="58" t="s">
        <v>622</v>
      </c>
      <c r="K23" s="58">
        <v>2019.0</v>
      </c>
      <c r="L23" s="72">
        <v>45734.379282407404</v>
      </c>
      <c r="M23" s="72">
        <v>45734.379282407404</v>
      </c>
      <c r="O23" s="58" t="s">
        <v>623</v>
      </c>
      <c r="V23" s="58" t="s">
        <v>624</v>
      </c>
      <c r="Z23" s="58" t="s">
        <v>401</v>
      </c>
      <c r="AA23" s="58" t="s">
        <v>402</v>
      </c>
      <c r="AI23" s="58" t="s">
        <v>625</v>
      </c>
      <c r="CL23" s="58" t="s">
        <v>626</v>
      </c>
      <c r="DL23" s="58" t="s">
        <v>627</v>
      </c>
    </row>
    <row r="24" ht="15.75" customHeight="1">
      <c r="A24" s="58" t="s">
        <v>628</v>
      </c>
      <c r="B24" s="58" t="s">
        <v>379</v>
      </c>
      <c r="C24" s="58">
        <v>2022.0</v>
      </c>
      <c r="D24" s="58" t="s">
        <v>629</v>
      </c>
      <c r="E24" s="58" t="s">
        <v>630</v>
      </c>
      <c r="F24" s="58" t="s">
        <v>631</v>
      </c>
      <c r="G24" s="58" t="s">
        <v>632</v>
      </c>
      <c r="I24" s="58" t="s">
        <v>633</v>
      </c>
      <c r="J24" s="58" t="s">
        <v>634</v>
      </c>
      <c r="K24" s="58">
        <v>2022.0</v>
      </c>
      <c r="L24" s="72">
        <v>45734.379282407404</v>
      </c>
      <c r="M24" s="72">
        <v>45734.379282407404</v>
      </c>
      <c r="O24" s="58" t="s">
        <v>635</v>
      </c>
      <c r="V24" s="58" t="s">
        <v>636</v>
      </c>
      <c r="Z24" s="58" t="s">
        <v>401</v>
      </c>
      <c r="AA24" s="58" t="s">
        <v>402</v>
      </c>
      <c r="AI24" s="58" t="s">
        <v>637</v>
      </c>
      <c r="CL24" s="58" t="s">
        <v>638</v>
      </c>
      <c r="DL24" s="58" t="s">
        <v>639</v>
      </c>
    </row>
    <row r="25" ht="15.75" customHeight="1">
      <c r="A25" s="58" t="s">
        <v>640</v>
      </c>
      <c r="B25" s="58" t="s">
        <v>379</v>
      </c>
      <c r="C25" s="58">
        <v>2024.0</v>
      </c>
      <c r="D25" s="58" t="s">
        <v>641</v>
      </c>
      <c r="E25" s="58" t="s">
        <v>642</v>
      </c>
      <c r="F25" s="58" t="s">
        <v>643</v>
      </c>
      <c r="G25" s="58" t="s">
        <v>644</v>
      </c>
      <c r="I25" s="58" t="s">
        <v>645</v>
      </c>
      <c r="J25" s="58" t="s">
        <v>646</v>
      </c>
      <c r="K25" s="58">
        <v>2024.0</v>
      </c>
      <c r="L25" s="72">
        <v>45734.379282407404</v>
      </c>
      <c r="M25" s="72">
        <v>45734.379282407404</v>
      </c>
      <c r="O25" s="58" t="s">
        <v>647</v>
      </c>
      <c r="V25" s="58" t="s">
        <v>648</v>
      </c>
      <c r="Z25" s="58" t="s">
        <v>401</v>
      </c>
      <c r="AA25" s="58" t="s">
        <v>402</v>
      </c>
      <c r="AI25" s="58" t="s">
        <v>649</v>
      </c>
      <c r="CL25" s="58" t="s">
        <v>650</v>
      </c>
      <c r="DL25" s="58" t="s">
        <v>651</v>
      </c>
    </row>
    <row r="26" ht="15.75" customHeight="1">
      <c r="A26" s="58" t="s">
        <v>652</v>
      </c>
      <c r="B26" s="58" t="s">
        <v>379</v>
      </c>
      <c r="C26" s="58">
        <v>2024.0</v>
      </c>
      <c r="D26" s="58" t="s">
        <v>653</v>
      </c>
      <c r="E26" s="58" t="s">
        <v>654</v>
      </c>
      <c r="F26" s="58" t="s">
        <v>655</v>
      </c>
      <c r="G26" s="58" t="s">
        <v>656</v>
      </c>
      <c r="I26" s="58" t="s">
        <v>657</v>
      </c>
      <c r="J26" s="58" t="s">
        <v>658</v>
      </c>
      <c r="K26" s="58">
        <v>2024.0</v>
      </c>
      <c r="L26" s="72">
        <v>45734.379282407404</v>
      </c>
      <c r="M26" s="72">
        <v>45734.379282407404</v>
      </c>
      <c r="V26" s="58" t="s">
        <v>659</v>
      </c>
      <c r="Z26" s="58" t="s">
        <v>401</v>
      </c>
      <c r="AA26" s="58" t="s">
        <v>402</v>
      </c>
      <c r="AI26" s="58" t="s">
        <v>660</v>
      </c>
      <c r="CL26" s="58" t="s">
        <v>661</v>
      </c>
    </row>
    <row r="27" ht="15.75" customHeight="1">
      <c r="A27" s="58" t="s">
        <v>662</v>
      </c>
      <c r="B27" s="58" t="s">
        <v>379</v>
      </c>
      <c r="C27" s="58">
        <v>2024.0</v>
      </c>
      <c r="D27" s="58" t="s">
        <v>663</v>
      </c>
      <c r="E27" s="58" t="s">
        <v>664</v>
      </c>
      <c r="F27" s="58" t="s">
        <v>665</v>
      </c>
      <c r="G27" s="58" t="s">
        <v>666</v>
      </c>
      <c r="I27" s="58" t="s">
        <v>667</v>
      </c>
      <c r="J27" s="58" t="s">
        <v>668</v>
      </c>
      <c r="K27" s="58">
        <v>2024.0</v>
      </c>
      <c r="L27" s="72">
        <v>45734.379282407404</v>
      </c>
      <c r="M27" s="72">
        <v>45734.379282407404</v>
      </c>
      <c r="O27" s="58" t="s">
        <v>669</v>
      </c>
      <c r="V27" s="58" t="s">
        <v>670</v>
      </c>
      <c r="Z27" s="58" t="s">
        <v>401</v>
      </c>
      <c r="AA27" s="58" t="s">
        <v>402</v>
      </c>
      <c r="AI27" s="58" t="s">
        <v>671</v>
      </c>
      <c r="CL27" s="58" t="s">
        <v>672</v>
      </c>
      <c r="DL27" s="58" t="s">
        <v>673</v>
      </c>
    </row>
    <row r="28" ht="15.75" customHeight="1">
      <c r="A28" s="58" t="s">
        <v>674</v>
      </c>
      <c r="B28" s="58" t="s">
        <v>379</v>
      </c>
      <c r="C28" s="58">
        <v>2016.0</v>
      </c>
      <c r="D28" s="58" t="s">
        <v>675</v>
      </c>
      <c r="E28" s="58" t="s">
        <v>676</v>
      </c>
      <c r="F28" s="58" t="s">
        <v>677</v>
      </c>
      <c r="G28" s="58" t="s">
        <v>678</v>
      </c>
      <c r="I28" s="58" t="s">
        <v>679</v>
      </c>
      <c r="J28" s="58" t="s">
        <v>680</v>
      </c>
      <c r="K28" s="58">
        <v>2016.0</v>
      </c>
      <c r="L28" s="72">
        <v>45734.379282407404</v>
      </c>
      <c r="M28" s="72">
        <v>45734.379282407404</v>
      </c>
      <c r="O28" s="58" t="s">
        <v>681</v>
      </c>
      <c r="V28" s="58" t="s">
        <v>682</v>
      </c>
      <c r="Z28" s="58" t="s">
        <v>401</v>
      </c>
      <c r="AA28" s="58" t="s">
        <v>402</v>
      </c>
      <c r="AI28" s="58" t="s">
        <v>683</v>
      </c>
      <c r="CL28" s="58" t="s">
        <v>684</v>
      </c>
      <c r="DL28" s="58" t="s">
        <v>685</v>
      </c>
    </row>
    <row r="29" ht="15.75" customHeight="1">
      <c r="A29" s="58" t="s">
        <v>686</v>
      </c>
      <c r="B29" s="58" t="s">
        <v>379</v>
      </c>
      <c r="C29" s="58">
        <v>2024.0</v>
      </c>
      <c r="D29" s="58" t="s">
        <v>687</v>
      </c>
      <c r="E29" s="58" t="s">
        <v>688</v>
      </c>
      <c r="F29" s="58" t="s">
        <v>689</v>
      </c>
      <c r="G29" s="58" t="s">
        <v>690</v>
      </c>
      <c r="I29" s="58" t="s">
        <v>691</v>
      </c>
      <c r="J29" s="58" t="s">
        <v>692</v>
      </c>
      <c r="K29" s="58">
        <v>2024.0</v>
      </c>
      <c r="L29" s="72">
        <v>45734.379282407404</v>
      </c>
      <c r="M29" s="72">
        <v>45734.379282407404</v>
      </c>
      <c r="O29" s="58" t="s">
        <v>693</v>
      </c>
      <c r="V29" s="58" t="s">
        <v>694</v>
      </c>
      <c r="Z29" s="58" t="s">
        <v>401</v>
      </c>
      <c r="AA29" s="58" t="s">
        <v>402</v>
      </c>
      <c r="AI29" s="58" t="s">
        <v>403</v>
      </c>
      <c r="CL29" s="58" t="s">
        <v>695</v>
      </c>
      <c r="DL29" s="58" t="s">
        <v>696</v>
      </c>
    </row>
    <row r="30" ht="15.75" customHeight="1">
      <c r="A30" s="58" t="s">
        <v>697</v>
      </c>
      <c r="B30" s="58" t="s">
        <v>379</v>
      </c>
      <c r="C30" s="58">
        <v>2019.0</v>
      </c>
      <c r="D30" s="58" t="s">
        <v>698</v>
      </c>
      <c r="E30" s="58" t="s">
        <v>699</v>
      </c>
      <c r="F30" s="58" t="s">
        <v>700</v>
      </c>
      <c r="G30" s="58" t="s">
        <v>701</v>
      </c>
      <c r="I30" s="58" t="s">
        <v>702</v>
      </c>
      <c r="J30" s="58" t="s">
        <v>703</v>
      </c>
      <c r="K30" s="58">
        <v>2019.0</v>
      </c>
      <c r="L30" s="72">
        <v>45734.379282407404</v>
      </c>
      <c r="M30" s="72">
        <v>45734.379282407404</v>
      </c>
      <c r="V30" s="58" t="s">
        <v>704</v>
      </c>
      <c r="Z30" s="58" t="s">
        <v>401</v>
      </c>
      <c r="AA30" s="58" t="s">
        <v>402</v>
      </c>
      <c r="AI30" s="58" t="s">
        <v>705</v>
      </c>
      <c r="CL30" s="58" t="s">
        <v>706</v>
      </c>
      <c r="DL30" s="58" t="s">
        <v>707</v>
      </c>
    </row>
    <row r="31" ht="15.75" customHeight="1">
      <c r="A31" s="58" t="s">
        <v>708</v>
      </c>
      <c r="B31" s="58" t="s">
        <v>379</v>
      </c>
      <c r="C31" s="58">
        <v>2024.0</v>
      </c>
      <c r="D31" s="58" t="s">
        <v>709</v>
      </c>
      <c r="E31" s="58" t="s">
        <v>710</v>
      </c>
      <c r="F31" s="58" t="s">
        <v>521</v>
      </c>
      <c r="G31" s="58" t="s">
        <v>522</v>
      </c>
      <c r="I31" s="58" t="s">
        <v>711</v>
      </c>
      <c r="J31" s="58" t="s">
        <v>712</v>
      </c>
      <c r="K31" s="58">
        <v>2024.0</v>
      </c>
      <c r="L31" s="72">
        <v>45734.379282407404</v>
      </c>
      <c r="M31" s="72">
        <v>45734.379282407404</v>
      </c>
      <c r="V31" s="58" t="s">
        <v>525</v>
      </c>
      <c r="Z31" s="58" t="s">
        <v>401</v>
      </c>
      <c r="AA31" s="58" t="s">
        <v>402</v>
      </c>
      <c r="AI31" s="58" t="s">
        <v>526</v>
      </c>
      <c r="CL31" s="58" t="s">
        <v>713</v>
      </c>
      <c r="DL31" s="58" t="s">
        <v>714</v>
      </c>
    </row>
    <row r="32" ht="15.75" customHeight="1">
      <c r="A32" s="58" t="s">
        <v>715</v>
      </c>
      <c r="B32" s="58" t="s">
        <v>379</v>
      </c>
      <c r="C32" s="58">
        <v>2017.0</v>
      </c>
      <c r="D32" s="58" t="s">
        <v>716</v>
      </c>
      <c r="E32" s="58" t="s">
        <v>717</v>
      </c>
      <c r="F32" s="58" t="s">
        <v>718</v>
      </c>
      <c r="G32" s="58" t="s">
        <v>719</v>
      </c>
      <c r="I32" s="58" t="s">
        <v>720</v>
      </c>
      <c r="J32" s="58" t="s">
        <v>721</v>
      </c>
      <c r="K32" s="58">
        <v>2017.0</v>
      </c>
      <c r="L32" s="72">
        <v>45734.379282407404</v>
      </c>
      <c r="M32" s="72">
        <v>45734.379282407404</v>
      </c>
      <c r="O32" s="58" t="s">
        <v>722</v>
      </c>
      <c r="V32" s="58" t="s">
        <v>723</v>
      </c>
      <c r="Z32" s="58" t="s">
        <v>401</v>
      </c>
      <c r="AA32" s="58" t="s">
        <v>402</v>
      </c>
      <c r="AI32" s="58" t="s">
        <v>724</v>
      </c>
      <c r="CL32" s="58" t="s">
        <v>725</v>
      </c>
      <c r="DL32" s="58" t="s">
        <v>726</v>
      </c>
    </row>
    <row r="33" ht="15.75" customHeight="1">
      <c r="A33" s="58" t="s">
        <v>727</v>
      </c>
      <c r="B33" s="58" t="s">
        <v>379</v>
      </c>
      <c r="C33" s="58">
        <v>2023.0</v>
      </c>
      <c r="D33" s="58" t="s">
        <v>728</v>
      </c>
      <c r="E33" s="58" t="s">
        <v>729</v>
      </c>
      <c r="F33" s="58" t="s">
        <v>730</v>
      </c>
      <c r="G33" s="58" t="s">
        <v>731</v>
      </c>
      <c r="I33" s="58" t="s">
        <v>732</v>
      </c>
      <c r="J33" s="58" t="s">
        <v>733</v>
      </c>
      <c r="K33" s="58">
        <v>2023.0</v>
      </c>
      <c r="L33" s="72">
        <v>45734.379282407404</v>
      </c>
      <c r="M33" s="72">
        <v>45734.379282407404</v>
      </c>
      <c r="V33" s="58" t="s">
        <v>734</v>
      </c>
      <c r="Z33" s="58" t="s">
        <v>401</v>
      </c>
      <c r="AA33" s="58" t="s">
        <v>402</v>
      </c>
      <c r="AI33" s="58" t="s">
        <v>735</v>
      </c>
      <c r="CL33" s="58" t="s">
        <v>736</v>
      </c>
      <c r="DL33" s="58" t="s">
        <v>737</v>
      </c>
    </row>
    <row r="34" ht="15.75" customHeight="1">
      <c r="A34" s="58" t="s">
        <v>738</v>
      </c>
      <c r="B34" s="58" t="s">
        <v>379</v>
      </c>
      <c r="C34" s="58">
        <v>2024.0</v>
      </c>
      <c r="D34" s="58" t="s">
        <v>739</v>
      </c>
      <c r="E34" s="58" t="s">
        <v>740</v>
      </c>
      <c r="F34" s="58" t="s">
        <v>741</v>
      </c>
      <c r="G34" s="58" t="s">
        <v>742</v>
      </c>
      <c r="I34" s="58" t="s">
        <v>743</v>
      </c>
      <c r="J34" s="58" t="s">
        <v>744</v>
      </c>
      <c r="K34" s="58">
        <v>2024.0</v>
      </c>
      <c r="L34" s="72">
        <v>45734.379282407404</v>
      </c>
      <c r="M34" s="72">
        <v>45734.379282407404</v>
      </c>
      <c r="V34" s="58" t="s">
        <v>745</v>
      </c>
      <c r="Z34" s="58" t="s">
        <v>401</v>
      </c>
      <c r="AA34" s="58" t="s">
        <v>402</v>
      </c>
      <c r="AI34" s="58" t="s">
        <v>746</v>
      </c>
      <c r="CL34" s="58" t="s">
        <v>747</v>
      </c>
      <c r="DL34" s="58" t="s">
        <v>748</v>
      </c>
    </row>
    <row r="35" ht="15.75" customHeight="1">
      <c r="A35" s="58" t="s">
        <v>749</v>
      </c>
      <c r="B35" s="58" t="s">
        <v>379</v>
      </c>
      <c r="C35" s="58">
        <v>2025.0</v>
      </c>
      <c r="D35" s="58" t="s">
        <v>750</v>
      </c>
      <c r="E35" s="58" t="s">
        <v>751</v>
      </c>
      <c r="F35" s="58" t="s">
        <v>752</v>
      </c>
      <c r="G35" s="58" t="s">
        <v>753</v>
      </c>
      <c r="I35" s="58" t="s">
        <v>754</v>
      </c>
      <c r="J35" s="58" t="s">
        <v>755</v>
      </c>
      <c r="K35" s="58">
        <v>2025.0</v>
      </c>
      <c r="L35" s="72">
        <v>45734.379282407404</v>
      </c>
      <c r="M35" s="72">
        <v>45734.379282407404</v>
      </c>
      <c r="O35" s="58" t="s">
        <v>756</v>
      </c>
      <c r="V35" s="58" t="s">
        <v>757</v>
      </c>
      <c r="Z35" s="58" t="s">
        <v>401</v>
      </c>
      <c r="AA35" s="58" t="s">
        <v>402</v>
      </c>
      <c r="CL35" s="58" t="s">
        <v>758</v>
      </c>
      <c r="DL35" s="58" t="s">
        <v>759</v>
      </c>
    </row>
    <row r="36" ht="15.75" customHeight="1">
      <c r="A36" s="58" t="s">
        <v>760</v>
      </c>
      <c r="B36" s="58" t="s">
        <v>379</v>
      </c>
      <c r="C36" s="58">
        <v>2022.0</v>
      </c>
      <c r="D36" s="58" t="s">
        <v>761</v>
      </c>
      <c r="E36" s="58" t="s">
        <v>762</v>
      </c>
      <c r="F36" s="58" t="s">
        <v>763</v>
      </c>
      <c r="G36" s="58" t="s">
        <v>764</v>
      </c>
      <c r="I36" s="58" t="s">
        <v>765</v>
      </c>
      <c r="J36" s="58" t="s">
        <v>766</v>
      </c>
      <c r="K36" s="58">
        <v>2022.0</v>
      </c>
      <c r="L36" s="72">
        <v>45734.379282407404</v>
      </c>
      <c r="M36" s="72">
        <v>45734.379282407404</v>
      </c>
      <c r="O36" s="58" t="s">
        <v>767</v>
      </c>
      <c r="V36" s="58" t="s">
        <v>768</v>
      </c>
      <c r="Z36" s="58" t="s">
        <v>401</v>
      </c>
      <c r="AA36" s="58" t="s">
        <v>402</v>
      </c>
      <c r="AI36" s="58" t="s">
        <v>769</v>
      </c>
      <c r="CL36" s="58" t="s">
        <v>770</v>
      </c>
      <c r="DL36" s="58" t="s">
        <v>771</v>
      </c>
    </row>
    <row r="37" ht="15.75" customHeight="1">
      <c r="A37" s="58" t="s">
        <v>772</v>
      </c>
      <c r="B37" s="58" t="s">
        <v>379</v>
      </c>
      <c r="C37" s="58">
        <v>2024.0</v>
      </c>
      <c r="D37" s="58" t="s">
        <v>773</v>
      </c>
      <c r="E37" s="58" t="s">
        <v>774</v>
      </c>
      <c r="F37" s="58" t="s">
        <v>775</v>
      </c>
      <c r="G37" s="58" t="s">
        <v>776</v>
      </c>
      <c r="I37" s="58" t="s">
        <v>777</v>
      </c>
      <c r="J37" s="58" t="s">
        <v>778</v>
      </c>
      <c r="K37" s="58">
        <v>2024.0</v>
      </c>
      <c r="L37" s="72">
        <v>45734.379282407404</v>
      </c>
      <c r="M37" s="72">
        <v>45734.379282407404</v>
      </c>
      <c r="O37" s="58" t="s">
        <v>779</v>
      </c>
      <c r="Z37" s="58" t="s">
        <v>387</v>
      </c>
      <c r="AA37" s="58" t="s">
        <v>388</v>
      </c>
      <c r="AI37" s="58" t="s">
        <v>780</v>
      </c>
      <c r="CL37" s="58" t="s">
        <v>781</v>
      </c>
      <c r="DL37" s="58" t="s">
        <v>782</v>
      </c>
    </row>
    <row r="38" ht="15.75" customHeight="1">
      <c r="A38" s="58" t="s">
        <v>783</v>
      </c>
      <c r="B38" s="58" t="s">
        <v>379</v>
      </c>
      <c r="C38" s="58">
        <v>2022.0</v>
      </c>
      <c r="D38" s="58" t="s">
        <v>784</v>
      </c>
      <c r="E38" s="58" t="s">
        <v>785</v>
      </c>
      <c r="F38" s="58" t="s">
        <v>786</v>
      </c>
      <c r="G38" s="58" t="s">
        <v>787</v>
      </c>
      <c r="I38" s="58" t="s">
        <v>788</v>
      </c>
      <c r="J38" s="58" t="s">
        <v>789</v>
      </c>
      <c r="K38" s="58">
        <v>2022.0</v>
      </c>
      <c r="L38" s="72">
        <v>45734.379282407404</v>
      </c>
      <c r="M38" s="72">
        <v>45734.379282407404</v>
      </c>
      <c r="O38" s="58" t="s">
        <v>790</v>
      </c>
      <c r="Z38" s="58" t="s">
        <v>387</v>
      </c>
      <c r="AA38" s="58" t="s">
        <v>388</v>
      </c>
      <c r="AI38" s="58" t="s">
        <v>791</v>
      </c>
      <c r="CL38" s="58" t="s">
        <v>792</v>
      </c>
      <c r="DL38" s="58" t="s">
        <v>793</v>
      </c>
    </row>
    <row r="39" ht="15.75" customHeight="1">
      <c r="A39" s="58" t="s">
        <v>794</v>
      </c>
      <c r="B39" s="58" t="s">
        <v>379</v>
      </c>
      <c r="C39" s="58">
        <v>2018.0</v>
      </c>
      <c r="D39" s="58" t="s">
        <v>795</v>
      </c>
      <c r="E39" s="58" t="s">
        <v>796</v>
      </c>
      <c r="F39" s="58" t="s">
        <v>797</v>
      </c>
      <c r="G39" s="58" t="s">
        <v>798</v>
      </c>
      <c r="I39" s="58" t="s">
        <v>799</v>
      </c>
      <c r="J39" s="58" t="s">
        <v>800</v>
      </c>
      <c r="K39" s="58">
        <v>2018.0</v>
      </c>
      <c r="L39" s="72">
        <v>45734.379282407404</v>
      </c>
      <c r="M39" s="72">
        <v>45734.379282407404</v>
      </c>
      <c r="O39" s="58" t="s">
        <v>801</v>
      </c>
      <c r="V39" s="58" t="s">
        <v>802</v>
      </c>
      <c r="Z39" s="58" t="s">
        <v>401</v>
      </c>
      <c r="AA39" s="58" t="s">
        <v>402</v>
      </c>
      <c r="AI39" s="58" t="s">
        <v>803</v>
      </c>
      <c r="CL39" s="58" t="s">
        <v>804</v>
      </c>
      <c r="DL39" s="58" t="s">
        <v>805</v>
      </c>
    </row>
    <row r="40" ht="15.75" customHeight="1">
      <c r="A40" s="58" t="s">
        <v>806</v>
      </c>
      <c r="B40" s="58" t="s">
        <v>379</v>
      </c>
      <c r="C40" s="58">
        <v>2024.0</v>
      </c>
      <c r="D40" s="58" t="s">
        <v>807</v>
      </c>
      <c r="E40" s="58" t="s">
        <v>808</v>
      </c>
      <c r="F40" s="58" t="s">
        <v>809</v>
      </c>
      <c r="G40" s="58" t="s">
        <v>810</v>
      </c>
      <c r="I40" s="58" t="s">
        <v>811</v>
      </c>
      <c r="J40" s="58" t="s">
        <v>812</v>
      </c>
      <c r="K40" s="58">
        <v>2024.0</v>
      </c>
      <c r="L40" s="72">
        <v>45734.379282407404</v>
      </c>
      <c r="M40" s="72">
        <v>45734.379282407404</v>
      </c>
      <c r="O40" s="58" t="s">
        <v>813</v>
      </c>
      <c r="V40" s="58" t="s">
        <v>814</v>
      </c>
      <c r="Z40" s="58" t="s">
        <v>401</v>
      </c>
      <c r="AA40" s="58" t="s">
        <v>402</v>
      </c>
      <c r="AI40" s="58" t="s">
        <v>815</v>
      </c>
      <c r="CL40" s="58" t="s">
        <v>816</v>
      </c>
    </row>
    <row r="41" ht="15.75" customHeight="1">
      <c r="A41" s="58" t="s">
        <v>817</v>
      </c>
      <c r="B41" s="58" t="s">
        <v>379</v>
      </c>
      <c r="C41" s="58">
        <v>2023.0</v>
      </c>
      <c r="D41" s="58" t="s">
        <v>818</v>
      </c>
      <c r="E41" s="58" t="s">
        <v>819</v>
      </c>
      <c r="F41" s="58" t="s">
        <v>820</v>
      </c>
      <c r="G41" s="58" t="s">
        <v>821</v>
      </c>
      <c r="I41" s="58" t="s">
        <v>822</v>
      </c>
      <c r="J41" s="58" t="s">
        <v>823</v>
      </c>
      <c r="K41" s="58">
        <v>2023.0</v>
      </c>
      <c r="L41" s="72">
        <v>45734.379282407404</v>
      </c>
      <c r="M41" s="72">
        <v>45734.379282407404</v>
      </c>
      <c r="O41" s="58" t="s">
        <v>824</v>
      </c>
      <c r="V41" s="58" t="s">
        <v>825</v>
      </c>
      <c r="Z41" s="58" t="s">
        <v>401</v>
      </c>
      <c r="AA41" s="58" t="s">
        <v>402</v>
      </c>
      <c r="AI41" s="58" t="s">
        <v>826</v>
      </c>
      <c r="CL41" s="58" t="s">
        <v>827</v>
      </c>
      <c r="DL41" s="58" t="s">
        <v>828</v>
      </c>
    </row>
    <row r="42" ht="15.75" customHeight="1">
      <c r="A42" s="58" t="s">
        <v>829</v>
      </c>
      <c r="B42" s="58" t="s">
        <v>379</v>
      </c>
      <c r="C42" s="58">
        <v>2017.0</v>
      </c>
      <c r="D42" s="58" t="s">
        <v>830</v>
      </c>
      <c r="E42" s="58" t="s">
        <v>831</v>
      </c>
      <c r="F42" s="58" t="s">
        <v>832</v>
      </c>
      <c r="G42" s="58" t="s">
        <v>833</v>
      </c>
      <c r="I42" s="58" t="s">
        <v>834</v>
      </c>
      <c r="J42" s="58" t="s">
        <v>835</v>
      </c>
      <c r="K42" s="58">
        <v>2017.0</v>
      </c>
      <c r="L42" s="72">
        <v>45734.379282407404</v>
      </c>
      <c r="M42" s="72">
        <v>45734.379282407404</v>
      </c>
      <c r="O42" s="58" t="s">
        <v>836</v>
      </c>
      <c r="V42" s="58" t="s">
        <v>837</v>
      </c>
      <c r="Z42" s="58" t="s">
        <v>401</v>
      </c>
      <c r="AA42" s="58" t="s">
        <v>402</v>
      </c>
      <c r="AI42" s="58" t="s">
        <v>838</v>
      </c>
      <c r="CL42" s="58" t="s">
        <v>839</v>
      </c>
      <c r="DL42" s="58" t="s">
        <v>840</v>
      </c>
    </row>
    <row r="43" ht="15.75" customHeight="1">
      <c r="A43" s="58" t="s">
        <v>841</v>
      </c>
      <c r="B43" s="58" t="s">
        <v>379</v>
      </c>
      <c r="C43" s="58">
        <v>2023.0</v>
      </c>
      <c r="D43" s="58" t="s">
        <v>842</v>
      </c>
      <c r="E43" s="58" t="s">
        <v>843</v>
      </c>
      <c r="F43" s="58" t="s">
        <v>844</v>
      </c>
      <c r="G43" s="58" t="s">
        <v>845</v>
      </c>
      <c r="I43" s="58" t="s">
        <v>846</v>
      </c>
      <c r="J43" s="58" t="s">
        <v>847</v>
      </c>
      <c r="K43" s="58">
        <v>2023.0</v>
      </c>
      <c r="L43" s="72">
        <v>45734.379282407404</v>
      </c>
      <c r="M43" s="72">
        <v>45734.379282407404</v>
      </c>
      <c r="O43" s="58" t="s">
        <v>848</v>
      </c>
      <c r="V43" s="58" t="s">
        <v>849</v>
      </c>
      <c r="Z43" s="58" t="s">
        <v>401</v>
      </c>
      <c r="AA43" s="58" t="s">
        <v>402</v>
      </c>
      <c r="AI43" s="58" t="s">
        <v>850</v>
      </c>
      <c r="CL43" s="58" t="s">
        <v>851</v>
      </c>
      <c r="DL43" s="58" t="s">
        <v>852</v>
      </c>
    </row>
    <row r="44" ht="15.75" customHeight="1">
      <c r="A44" s="58" t="s">
        <v>853</v>
      </c>
      <c r="B44" s="58" t="s">
        <v>379</v>
      </c>
      <c r="C44" s="58">
        <v>2021.0</v>
      </c>
      <c r="D44" s="58" t="s">
        <v>854</v>
      </c>
      <c r="E44" s="58" t="s">
        <v>855</v>
      </c>
      <c r="F44" s="58" t="s">
        <v>856</v>
      </c>
      <c r="G44" s="58" t="s">
        <v>857</v>
      </c>
      <c r="I44" s="58" t="s">
        <v>858</v>
      </c>
      <c r="J44" s="58" t="s">
        <v>859</v>
      </c>
      <c r="K44" s="58">
        <v>2021.0</v>
      </c>
      <c r="L44" s="72">
        <v>45734.379282407404</v>
      </c>
      <c r="M44" s="72">
        <v>45734.379282407404</v>
      </c>
      <c r="O44" s="58" t="s">
        <v>860</v>
      </c>
      <c r="V44" s="58" t="s">
        <v>861</v>
      </c>
      <c r="Z44" s="58" t="s">
        <v>401</v>
      </c>
      <c r="AA44" s="58" t="s">
        <v>402</v>
      </c>
      <c r="AI44" s="58" t="s">
        <v>862</v>
      </c>
      <c r="CL44" s="58" t="s">
        <v>863</v>
      </c>
      <c r="DL44" s="58" t="s">
        <v>864</v>
      </c>
    </row>
    <row r="45" ht="15.75" customHeight="1">
      <c r="A45" s="58" t="s">
        <v>865</v>
      </c>
      <c r="B45" s="58" t="s">
        <v>379</v>
      </c>
      <c r="C45" s="58">
        <v>2023.0</v>
      </c>
      <c r="D45" s="58" t="s">
        <v>866</v>
      </c>
      <c r="E45" s="58" t="s">
        <v>867</v>
      </c>
      <c r="F45" s="58" t="s">
        <v>539</v>
      </c>
      <c r="G45" s="58" t="s">
        <v>540</v>
      </c>
      <c r="I45" s="58" t="s">
        <v>868</v>
      </c>
      <c r="J45" s="58" t="s">
        <v>869</v>
      </c>
      <c r="K45" s="58">
        <v>2023.0</v>
      </c>
      <c r="L45" s="72">
        <v>45734.379282407404</v>
      </c>
      <c r="M45" s="72">
        <v>45734.379282407404</v>
      </c>
      <c r="O45" s="58" t="s">
        <v>870</v>
      </c>
      <c r="Z45" s="58" t="s">
        <v>387</v>
      </c>
      <c r="AA45" s="58" t="s">
        <v>388</v>
      </c>
      <c r="AI45" s="58" t="s">
        <v>544</v>
      </c>
      <c r="CL45" s="58" t="s">
        <v>871</v>
      </c>
      <c r="DL45" s="58" t="s">
        <v>872</v>
      </c>
    </row>
    <row r="46" ht="15.75" customHeight="1">
      <c r="A46" s="58" t="s">
        <v>873</v>
      </c>
      <c r="B46" s="58" t="s">
        <v>379</v>
      </c>
      <c r="C46" s="58">
        <v>2024.0</v>
      </c>
      <c r="D46" s="58" t="s">
        <v>874</v>
      </c>
      <c r="E46" s="58" t="s">
        <v>875</v>
      </c>
      <c r="F46" s="58" t="s">
        <v>876</v>
      </c>
      <c r="G46" s="58" t="s">
        <v>877</v>
      </c>
      <c r="I46" s="58" t="s">
        <v>878</v>
      </c>
      <c r="J46" s="58" t="s">
        <v>879</v>
      </c>
      <c r="K46" s="58">
        <v>2024.0</v>
      </c>
      <c r="L46" s="72">
        <v>45734.379282407404</v>
      </c>
      <c r="M46" s="72">
        <v>45734.379282407404</v>
      </c>
      <c r="O46" s="58" t="s">
        <v>880</v>
      </c>
      <c r="V46" s="58" t="s">
        <v>881</v>
      </c>
      <c r="Z46" s="58" t="s">
        <v>401</v>
      </c>
      <c r="AA46" s="58" t="s">
        <v>402</v>
      </c>
      <c r="AI46" s="58" t="s">
        <v>882</v>
      </c>
      <c r="CL46" s="58" t="s">
        <v>883</v>
      </c>
      <c r="DL46" s="58" t="s">
        <v>884</v>
      </c>
    </row>
    <row r="47" ht="15.75" customHeight="1">
      <c r="A47" s="58" t="s">
        <v>885</v>
      </c>
      <c r="B47" s="58" t="s">
        <v>379</v>
      </c>
      <c r="C47" s="58">
        <v>2022.0</v>
      </c>
      <c r="D47" s="58" t="s">
        <v>886</v>
      </c>
      <c r="E47" s="58" t="s">
        <v>887</v>
      </c>
      <c r="F47" s="58" t="s">
        <v>888</v>
      </c>
      <c r="G47" s="58" t="s">
        <v>889</v>
      </c>
      <c r="I47" s="58" t="s">
        <v>890</v>
      </c>
      <c r="J47" s="58" t="s">
        <v>891</v>
      </c>
      <c r="K47" s="58">
        <v>2022.0</v>
      </c>
      <c r="L47" s="72">
        <v>45734.379282407404</v>
      </c>
      <c r="M47" s="72">
        <v>45734.379282407404</v>
      </c>
      <c r="O47" s="58" t="s">
        <v>892</v>
      </c>
      <c r="Z47" s="58" t="s">
        <v>387</v>
      </c>
      <c r="AA47" s="58" t="s">
        <v>388</v>
      </c>
      <c r="AI47" s="58" t="s">
        <v>613</v>
      </c>
      <c r="CL47" s="58" t="s">
        <v>893</v>
      </c>
    </row>
    <row r="48" ht="15.75" customHeight="1">
      <c r="A48" s="58" t="s">
        <v>894</v>
      </c>
      <c r="B48" s="58" t="s">
        <v>379</v>
      </c>
      <c r="C48" s="58">
        <v>2021.0</v>
      </c>
      <c r="D48" s="58" t="s">
        <v>895</v>
      </c>
      <c r="E48" s="58" t="s">
        <v>896</v>
      </c>
      <c r="F48" s="58" t="s">
        <v>897</v>
      </c>
      <c r="G48" s="58" t="s">
        <v>898</v>
      </c>
      <c r="I48" s="58" t="s">
        <v>899</v>
      </c>
      <c r="J48" s="58" t="s">
        <v>900</v>
      </c>
      <c r="K48" s="58">
        <v>2021.0</v>
      </c>
      <c r="L48" s="72">
        <v>45734.379282407404</v>
      </c>
      <c r="M48" s="72">
        <v>45734.379282407404</v>
      </c>
      <c r="O48" s="58" t="s">
        <v>901</v>
      </c>
      <c r="Z48" s="58" t="s">
        <v>387</v>
      </c>
      <c r="AA48" s="58" t="s">
        <v>388</v>
      </c>
      <c r="CL48" s="58" t="s">
        <v>902</v>
      </c>
      <c r="DL48" s="58" t="s">
        <v>903</v>
      </c>
    </row>
    <row r="49" ht="15.75" customHeight="1">
      <c r="A49" s="58" t="s">
        <v>904</v>
      </c>
      <c r="B49" s="58" t="s">
        <v>379</v>
      </c>
      <c r="C49" s="58">
        <v>2019.0</v>
      </c>
      <c r="D49" s="58" t="s">
        <v>905</v>
      </c>
      <c r="E49" s="58" t="s">
        <v>906</v>
      </c>
      <c r="F49" s="58" t="s">
        <v>907</v>
      </c>
      <c r="G49" s="58" t="s">
        <v>908</v>
      </c>
      <c r="I49" s="58" t="s">
        <v>909</v>
      </c>
      <c r="J49" s="58" t="s">
        <v>910</v>
      </c>
      <c r="K49" s="58">
        <v>2019.0</v>
      </c>
      <c r="L49" s="72">
        <v>45734.379282407404</v>
      </c>
      <c r="M49" s="72">
        <v>45734.379282407404</v>
      </c>
      <c r="O49" s="58" t="s">
        <v>911</v>
      </c>
      <c r="V49" s="58" t="s">
        <v>912</v>
      </c>
      <c r="Z49" s="58" t="s">
        <v>401</v>
      </c>
      <c r="AA49" s="58" t="s">
        <v>402</v>
      </c>
      <c r="AI49" s="58" t="s">
        <v>913</v>
      </c>
      <c r="CL49" s="58" t="s">
        <v>914</v>
      </c>
      <c r="DL49" s="58" t="s">
        <v>915</v>
      </c>
    </row>
    <row r="50" ht="15.75" customHeight="1">
      <c r="A50" s="58" t="s">
        <v>916</v>
      </c>
      <c r="B50" s="58" t="s">
        <v>379</v>
      </c>
      <c r="C50" s="58">
        <v>2023.0</v>
      </c>
      <c r="D50" s="58" t="s">
        <v>917</v>
      </c>
      <c r="E50" s="58" t="s">
        <v>918</v>
      </c>
      <c r="F50" s="58" t="s">
        <v>549</v>
      </c>
      <c r="G50" s="58" t="s">
        <v>550</v>
      </c>
      <c r="I50" s="58" t="s">
        <v>919</v>
      </c>
      <c r="J50" s="58" t="s">
        <v>920</v>
      </c>
      <c r="K50" s="58">
        <v>2023.0</v>
      </c>
      <c r="L50" s="72">
        <v>45734.379282407404</v>
      </c>
      <c r="M50" s="72">
        <v>45734.379282407404</v>
      </c>
      <c r="O50" s="58" t="s">
        <v>921</v>
      </c>
      <c r="V50" s="58" t="s">
        <v>554</v>
      </c>
      <c r="Z50" s="58" t="s">
        <v>555</v>
      </c>
      <c r="AA50" s="58" t="s">
        <v>556</v>
      </c>
      <c r="CL50" s="58" t="s">
        <v>922</v>
      </c>
    </row>
    <row r="51" ht="15.75" customHeight="1">
      <c r="A51" s="58" t="s">
        <v>923</v>
      </c>
      <c r="B51" s="58" t="s">
        <v>379</v>
      </c>
      <c r="C51" s="58">
        <v>2024.0</v>
      </c>
      <c r="D51" s="58" t="s">
        <v>924</v>
      </c>
      <c r="E51" s="58" t="s">
        <v>925</v>
      </c>
      <c r="F51" s="58" t="s">
        <v>926</v>
      </c>
      <c r="G51" s="58" t="s">
        <v>927</v>
      </c>
      <c r="I51" s="58" t="s">
        <v>928</v>
      </c>
      <c r="J51" s="58" t="s">
        <v>929</v>
      </c>
      <c r="K51" s="58">
        <v>2024.0</v>
      </c>
      <c r="L51" s="72">
        <v>45734.379282407404</v>
      </c>
      <c r="M51" s="72">
        <v>45734.379282407404</v>
      </c>
      <c r="O51" s="58" t="s">
        <v>930</v>
      </c>
      <c r="V51" s="58" t="s">
        <v>931</v>
      </c>
      <c r="Z51" s="58" t="s">
        <v>401</v>
      </c>
      <c r="AA51" s="58" t="s">
        <v>402</v>
      </c>
      <c r="AI51" s="58" t="s">
        <v>932</v>
      </c>
      <c r="CL51" s="58" t="s">
        <v>933</v>
      </c>
      <c r="DL51" s="58" t="s">
        <v>934</v>
      </c>
    </row>
    <row r="52" ht="15.75" customHeight="1">
      <c r="A52" s="58" t="s">
        <v>935</v>
      </c>
      <c r="B52" s="58" t="s">
        <v>379</v>
      </c>
      <c r="C52" s="58">
        <v>2022.0</v>
      </c>
      <c r="D52" s="58" t="s">
        <v>936</v>
      </c>
      <c r="E52" s="58" t="s">
        <v>937</v>
      </c>
      <c r="F52" s="58" t="s">
        <v>938</v>
      </c>
      <c r="G52" s="58" t="s">
        <v>939</v>
      </c>
      <c r="I52" s="58" t="s">
        <v>940</v>
      </c>
      <c r="J52" s="58" t="s">
        <v>941</v>
      </c>
      <c r="K52" s="58">
        <v>2022.0</v>
      </c>
      <c r="L52" s="72">
        <v>45734.379282407404</v>
      </c>
      <c r="M52" s="72">
        <v>45734.379282407404</v>
      </c>
      <c r="O52" s="58" t="s">
        <v>942</v>
      </c>
      <c r="V52" s="58" t="s">
        <v>943</v>
      </c>
      <c r="Z52" s="58" t="s">
        <v>401</v>
      </c>
      <c r="AA52" s="58" t="s">
        <v>402</v>
      </c>
      <c r="AI52" s="58" t="s">
        <v>544</v>
      </c>
      <c r="CL52" s="58" t="s">
        <v>944</v>
      </c>
      <c r="DL52" s="58" t="s">
        <v>945</v>
      </c>
    </row>
    <row r="53" ht="15.75" customHeight="1">
      <c r="A53" s="58" t="s">
        <v>946</v>
      </c>
      <c r="B53" s="58" t="s">
        <v>379</v>
      </c>
      <c r="C53" s="58">
        <v>2023.0</v>
      </c>
      <c r="D53" s="58" t="s">
        <v>947</v>
      </c>
      <c r="E53" s="58" t="s">
        <v>948</v>
      </c>
      <c r="F53" s="58" t="s">
        <v>949</v>
      </c>
      <c r="G53" s="58" t="s">
        <v>950</v>
      </c>
      <c r="I53" s="58" t="s">
        <v>951</v>
      </c>
      <c r="J53" s="58" t="s">
        <v>952</v>
      </c>
      <c r="K53" s="58">
        <v>2023.0</v>
      </c>
      <c r="L53" s="72">
        <v>45734.379282407404</v>
      </c>
      <c r="M53" s="72">
        <v>45734.379282407404</v>
      </c>
      <c r="O53" s="58" t="s">
        <v>953</v>
      </c>
      <c r="Z53" s="58" t="s">
        <v>387</v>
      </c>
      <c r="AA53" s="58" t="s">
        <v>388</v>
      </c>
      <c r="AI53" s="58" t="s">
        <v>954</v>
      </c>
      <c r="CL53" s="58" t="s">
        <v>955</v>
      </c>
      <c r="DL53" s="58" t="s">
        <v>956</v>
      </c>
    </row>
    <row r="54" ht="15.75" customHeight="1">
      <c r="A54" s="58" t="s">
        <v>957</v>
      </c>
      <c r="B54" s="58" t="s">
        <v>379</v>
      </c>
      <c r="C54" s="58">
        <v>2024.0</v>
      </c>
      <c r="D54" s="58" t="s">
        <v>958</v>
      </c>
      <c r="E54" s="58" t="s">
        <v>959</v>
      </c>
      <c r="F54" s="58" t="s">
        <v>960</v>
      </c>
      <c r="G54" s="58" t="s">
        <v>961</v>
      </c>
      <c r="I54" s="58" t="s">
        <v>962</v>
      </c>
      <c r="J54" s="58" t="s">
        <v>963</v>
      </c>
      <c r="K54" s="58">
        <v>2024.0</v>
      </c>
      <c r="L54" s="72">
        <v>45734.379282407404</v>
      </c>
      <c r="M54" s="72">
        <v>45734.379282407404</v>
      </c>
      <c r="V54" s="58" t="s">
        <v>964</v>
      </c>
      <c r="Z54" s="58" t="s">
        <v>401</v>
      </c>
      <c r="AA54" s="58" t="s">
        <v>402</v>
      </c>
      <c r="CL54" s="58" t="s">
        <v>965</v>
      </c>
      <c r="DL54" s="58" t="s">
        <v>966</v>
      </c>
    </row>
    <row r="55" ht="15.75" customHeight="1">
      <c r="A55" s="58" t="s">
        <v>967</v>
      </c>
      <c r="B55" s="58" t="s">
        <v>379</v>
      </c>
      <c r="C55" s="58">
        <v>2021.0</v>
      </c>
      <c r="D55" s="58" t="s">
        <v>968</v>
      </c>
      <c r="E55" s="58" t="s">
        <v>969</v>
      </c>
      <c r="F55" s="58" t="s">
        <v>970</v>
      </c>
      <c r="G55" s="58" t="s">
        <v>971</v>
      </c>
      <c r="I55" s="58" t="s">
        <v>972</v>
      </c>
      <c r="J55" s="58" t="s">
        <v>973</v>
      </c>
      <c r="K55" s="58">
        <v>2021.0</v>
      </c>
      <c r="L55" s="72">
        <v>45734.379282407404</v>
      </c>
      <c r="M55" s="72">
        <v>45734.379282407404</v>
      </c>
      <c r="O55" s="58" t="s">
        <v>974</v>
      </c>
      <c r="V55" s="58" t="s">
        <v>975</v>
      </c>
      <c r="Z55" s="58" t="s">
        <v>401</v>
      </c>
      <c r="AA55" s="58" t="s">
        <v>402</v>
      </c>
      <c r="AI55" s="58" t="s">
        <v>976</v>
      </c>
      <c r="CL55" s="58" t="s">
        <v>977</v>
      </c>
      <c r="DL55" s="58" t="s">
        <v>978</v>
      </c>
    </row>
    <row r="56" ht="15.75" customHeight="1">
      <c r="A56" s="58" t="s">
        <v>979</v>
      </c>
      <c r="B56" s="58" t="s">
        <v>379</v>
      </c>
      <c r="C56" s="58">
        <v>2024.0</v>
      </c>
      <c r="D56" s="58" t="s">
        <v>980</v>
      </c>
      <c r="E56" s="58" t="s">
        <v>981</v>
      </c>
      <c r="F56" s="58" t="s">
        <v>982</v>
      </c>
      <c r="G56" s="58" t="s">
        <v>983</v>
      </c>
      <c r="I56" s="58" t="s">
        <v>984</v>
      </c>
      <c r="J56" s="58" t="s">
        <v>985</v>
      </c>
      <c r="K56" s="58">
        <v>2024.0</v>
      </c>
      <c r="L56" s="72">
        <v>45734.379282407404</v>
      </c>
      <c r="M56" s="72">
        <v>45734.379282407404</v>
      </c>
      <c r="O56" s="58" t="s">
        <v>986</v>
      </c>
      <c r="V56" s="58" t="s">
        <v>987</v>
      </c>
      <c r="Z56" s="58" t="s">
        <v>401</v>
      </c>
      <c r="AA56" s="58" t="s">
        <v>402</v>
      </c>
      <c r="AI56" s="58" t="s">
        <v>988</v>
      </c>
      <c r="CL56" s="58" t="s">
        <v>989</v>
      </c>
      <c r="DL56" s="58" t="s">
        <v>990</v>
      </c>
    </row>
    <row r="57" ht="15.75" customHeight="1">
      <c r="A57" s="58" t="s">
        <v>991</v>
      </c>
      <c r="B57" s="58" t="s">
        <v>379</v>
      </c>
      <c r="C57" s="58">
        <v>2019.0</v>
      </c>
      <c r="D57" s="58" t="s">
        <v>992</v>
      </c>
      <c r="E57" s="58" t="s">
        <v>993</v>
      </c>
      <c r="F57" s="58" t="s">
        <v>994</v>
      </c>
      <c r="G57" s="58" t="s">
        <v>995</v>
      </c>
      <c r="I57" s="58" t="s">
        <v>996</v>
      </c>
      <c r="J57" s="58" t="s">
        <v>997</v>
      </c>
      <c r="K57" s="58">
        <v>2019.0</v>
      </c>
      <c r="L57" s="72">
        <v>45734.379282407404</v>
      </c>
      <c r="M57" s="72">
        <v>45734.379282407404</v>
      </c>
      <c r="V57" s="58" t="s">
        <v>998</v>
      </c>
      <c r="Z57" s="58" t="s">
        <v>401</v>
      </c>
      <c r="AA57" s="58" t="s">
        <v>402</v>
      </c>
      <c r="AI57" s="58" t="s">
        <v>999</v>
      </c>
      <c r="CL57" s="58" t="s">
        <v>1000</v>
      </c>
      <c r="DL57" s="58" t="s">
        <v>1001</v>
      </c>
    </row>
    <row r="58" ht="15.75" customHeight="1">
      <c r="A58" s="58" t="s">
        <v>1002</v>
      </c>
      <c r="B58" s="58" t="s">
        <v>379</v>
      </c>
      <c r="C58" s="58">
        <v>2020.0</v>
      </c>
      <c r="D58" s="58" t="s">
        <v>1003</v>
      </c>
      <c r="E58" s="58" t="s">
        <v>1004</v>
      </c>
      <c r="F58" s="58" t="s">
        <v>1005</v>
      </c>
      <c r="G58" s="58" t="s">
        <v>1006</v>
      </c>
      <c r="I58" s="58" t="s">
        <v>1007</v>
      </c>
      <c r="J58" s="58" t="s">
        <v>1008</v>
      </c>
      <c r="K58" s="58">
        <v>2020.0</v>
      </c>
      <c r="L58" s="72">
        <v>45734.379282407404</v>
      </c>
      <c r="M58" s="72">
        <v>45734.379282407404</v>
      </c>
      <c r="O58" s="58" t="s">
        <v>1009</v>
      </c>
      <c r="Z58" s="58" t="s">
        <v>387</v>
      </c>
      <c r="AA58" s="58" t="s">
        <v>388</v>
      </c>
      <c r="AI58" s="58" t="s">
        <v>1010</v>
      </c>
      <c r="CL58" s="58" t="s">
        <v>1011</v>
      </c>
    </row>
    <row r="59" ht="15.75" customHeight="1">
      <c r="A59" s="58" t="s">
        <v>1012</v>
      </c>
      <c r="B59" s="58" t="s">
        <v>379</v>
      </c>
      <c r="C59" s="58">
        <v>2024.0</v>
      </c>
      <c r="D59" s="58" t="s">
        <v>1013</v>
      </c>
      <c r="E59" s="58" t="s">
        <v>1014</v>
      </c>
      <c r="F59" s="58" t="s">
        <v>1015</v>
      </c>
      <c r="G59" s="58" t="s">
        <v>1016</v>
      </c>
      <c r="I59" s="58" t="s">
        <v>1017</v>
      </c>
      <c r="J59" s="58" t="s">
        <v>1018</v>
      </c>
      <c r="K59" s="58">
        <v>2024.0</v>
      </c>
      <c r="L59" s="72">
        <v>45734.37929398148</v>
      </c>
      <c r="M59" s="72">
        <v>45734.37929398148</v>
      </c>
      <c r="O59" s="58" t="s">
        <v>1019</v>
      </c>
      <c r="V59" s="58" t="s">
        <v>1020</v>
      </c>
      <c r="Z59" s="58" t="s">
        <v>401</v>
      </c>
      <c r="AA59" s="58" t="s">
        <v>402</v>
      </c>
      <c r="CL59" s="58" t="s">
        <v>1021</v>
      </c>
      <c r="DL59" s="58" t="s">
        <v>1022</v>
      </c>
    </row>
    <row r="60" ht="15.75" customHeight="1">
      <c r="A60" s="58" t="s">
        <v>1023</v>
      </c>
      <c r="B60" s="58" t="s">
        <v>379</v>
      </c>
      <c r="C60" s="58">
        <v>2024.0</v>
      </c>
      <c r="D60" s="58" t="s">
        <v>1024</v>
      </c>
      <c r="E60" s="58" t="s">
        <v>1025</v>
      </c>
      <c r="F60" s="58" t="s">
        <v>960</v>
      </c>
      <c r="G60" s="58" t="s">
        <v>961</v>
      </c>
      <c r="I60" s="58" t="s">
        <v>1026</v>
      </c>
      <c r="J60" s="58" t="s">
        <v>1027</v>
      </c>
      <c r="K60" s="58">
        <v>2024.0</v>
      </c>
      <c r="L60" s="72">
        <v>45734.37929398148</v>
      </c>
      <c r="M60" s="72">
        <v>45734.37929398148</v>
      </c>
      <c r="V60" s="58" t="s">
        <v>964</v>
      </c>
      <c r="Z60" s="58" t="s">
        <v>401</v>
      </c>
      <c r="AA60" s="58" t="s">
        <v>402</v>
      </c>
      <c r="CL60" s="58" t="s">
        <v>1028</v>
      </c>
      <c r="DL60" s="58" t="s">
        <v>1029</v>
      </c>
    </row>
    <row r="61" ht="15.75" customHeight="1">
      <c r="A61" s="58" t="s">
        <v>1030</v>
      </c>
      <c r="B61" s="58" t="s">
        <v>379</v>
      </c>
      <c r="C61" s="58">
        <v>2020.0</v>
      </c>
      <c r="D61" s="58" t="s">
        <v>1031</v>
      </c>
      <c r="E61" s="58" t="s">
        <v>1032</v>
      </c>
      <c r="F61" s="58" t="s">
        <v>1033</v>
      </c>
      <c r="G61" s="58" t="s">
        <v>1034</v>
      </c>
      <c r="I61" s="58" t="s">
        <v>1035</v>
      </c>
      <c r="J61" s="58" t="s">
        <v>1036</v>
      </c>
      <c r="K61" s="58">
        <v>2020.0</v>
      </c>
      <c r="L61" s="72">
        <v>45734.37929398148</v>
      </c>
      <c r="M61" s="72">
        <v>45734.37929398148</v>
      </c>
      <c r="V61" s="58" t="s">
        <v>1037</v>
      </c>
      <c r="Z61" s="58" t="s">
        <v>401</v>
      </c>
      <c r="AA61" s="58" t="s">
        <v>402</v>
      </c>
      <c r="AI61" s="58" t="s">
        <v>1038</v>
      </c>
      <c r="CL61" s="58" t="s">
        <v>1039</v>
      </c>
    </row>
    <row r="62" ht="15.75" customHeight="1">
      <c r="A62" s="58" t="s">
        <v>1040</v>
      </c>
      <c r="B62" s="58" t="s">
        <v>379</v>
      </c>
      <c r="C62" s="58">
        <v>2025.0</v>
      </c>
      <c r="D62" s="58" t="s">
        <v>1041</v>
      </c>
      <c r="E62" s="58" t="s">
        <v>1042</v>
      </c>
      <c r="F62" s="58" t="s">
        <v>1043</v>
      </c>
      <c r="G62" s="58" t="s">
        <v>1044</v>
      </c>
      <c r="I62" s="58" t="s">
        <v>1045</v>
      </c>
      <c r="J62" s="58" t="s">
        <v>1046</v>
      </c>
      <c r="K62" s="58">
        <v>2025.0</v>
      </c>
      <c r="L62" s="72">
        <v>45734.37929398148</v>
      </c>
      <c r="M62" s="72">
        <v>45734.37929398148</v>
      </c>
      <c r="O62" s="58" t="s">
        <v>1047</v>
      </c>
      <c r="Z62" s="58" t="s">
        <v>387</v>
      </c>
      <c r="AA62" s="58" t="s">
        <v>388</v>
      </c>
      <c r="AI62" s="58" t="s">
        <v>1048</v>
      </c>
      <c r="CL62" s="58" t="s">
        <v>1049</v>
      </c>
      <c r="DL62" s="58" t="s">
        <v>1050</v>
      </c>
    </row>
    <row r="63" ht="15.75" customHeight="1">
      <c r="A63" s="58" t="s">
        <v>1051</v>
      </c>
      <c r="B63" s="58" t="s">
        <v>379</v>
      </c>
      <c r="C63" s="58">
        <v>2019.0</v>
      </c>
      <c r="D63" s="58" t="s">
        <v>1052</v>
      </c>
      <c r="E63" s="58" t="s">
        <v>1053</v>
      </c>
      <c r="F63" s="58" t="s">
        <v>1054</v>
      </c>
      <c r="G63" s="58" t="s">
        <v>1055</v>
      </c>
      <c r="I63" s="58" t="s">
        <v>1056</v>
      </c>
      <c r="J63" s="58" t="s">
        <v>1057</v>
      </c>
      <c r="K63" s="58">
        <v>2019.0</v>
      </c>
      <c r="L63" s="72">
        <v>45734.37929398148</v>
      </c>
      <c r="M63" s="72">
        <v>45734.37929398148</v>
      </c>
      <c r="O63" s="58" t="s">
        <v>1058</v>
      </c>
      <c r="V63" s="58" t="s">
        <v>1059</v>
      </c>
      <c r="Z63" s="58" t="s">
        <v>401</v>
      </c>
      <c r="AA63" s="58" t="s">
        <v>402</v>
      </c>
      <c r="AI63" s="58" t="s">
        <v>1060</v>
      </c>
      <c r="CL63" s="58" t="s">
        <v>1061</v>
      </c>
      <c r="DL63" s="58" t="s">
        <v>1062</v>
      </c>
    </row>
    <row r="64" ht="15.75" customHeight="1">
      <c r="A64" s="58" t="s">
        <v>1063</v>
      </c>
      <c r="B64" s="58" t="s">
        <v>379</v>
      </c>
      <c r="C64" s="58">
        <v>2019.0</v>
      </c>
      <c r="D64" s="58" t="s">
        <v>1064</v>
      </c>
      <c r="E64" s="58" t="s">
        <v>1065</v>
      </c>
      <c r="F64" s="58" t="s">
        <v>1066</v>
      </c>
      <c r="G64" s="58" t="s">
        <v>1067</v>
      </c>
      <c r="I64" s="58" t="s">
        <v>1068</v>
      </c>
      <c r="J64" s="58" t="s">
        <v>1069</v>
      </c>
      <c r="K64" s="58">
        <v>2019.0</v>
      </c>
      <c r="L64" s="72">
        <v>45734.37929398148</v>
      </c>
      <c r="M64" s="72">
        <v>45734.37929398148</v>
      </c>
      <c r="O64" s="58" t="s">
        <v>1070</v>
      </c>
      <c r="V64" s="58" t="s">
        <v>1071</v>
      </c>
      <c r="Z64" s="58" t="s">
        <v>401</v>
      </c>
      <c r="AA64" s="58" t="s">
        <v>402</v>
      </c>
      <c r="AI64" s="58" t="s">
        <v>1072</v>
      </c>
      <c r="CL64" s="58" t="s">
        <v>1073</v>
      </c>
      <c r="DL64" s="58" t="s">
        <v>1074</v>
      </c>
    </row>
    <row r="65" ht="15.75" customHeight="1">
      <c r="A65" s="58" t="s">
        <v>1075</v>
      </c>
      <c r="B65" s="58" t="s">
        <v>379</v>
      </c>
      <c r="C65" s="58">
        <v>2018.0</v>
      </c>
      <c r="D65" s="58" t="s">
        <v>1076</v>
      </c>
      <c r="E65" s="58" t="s">
        <v>1077</v>
      </c>
      <c r="F65" s="58" t="s">
        <v>1078</v>
      </c>
      <c r="G65" s="58" t="s">
        <v>1079</v>
      </c>
      <c r="I65" s="58" t="s">
        <v>1080</v>
      </c>
      <c r="J65" s="58" t="s">
        <v>1081</v>
      </c>
      <c r="K65" s="58">
        <v>2018.0</v>
      </c>
      <c r="L65" s="72">
        <v>45734.37929398148</v>
      </c>
      <c r="M65" s="72">
        <v>45734.37929398148</v>
      </c>
      <c r="V65" s="58" t="s">
        <v>1082</v>
      </c>
      <c r="Z65" s="58" t="s">
        <v>401</v>
      </c>
      <c r="AA65" s="58" t="s">
        <v>402</v>
      </c>
      <c r="AI65" s="58" t="s">
        <v>1083</v>
      </c>
      <c r="CL65" s="58" t="s">
        <v>1084</v>
      </c>
      <c r="DL65" s="58" t="s">
        <v>1085</v>
      </c>
    </row>
    <row r="66" ht="15.75" customHeight="1">
      <c r="A66" s="58" t="s">
        <v>1086</v>
      </c>
      <c r="B66" s="58" t="s">
        <v>379</v>
      </c>
      <c r="C66" s="58">
        <v>2023.0</v>
      </c>
      <c r="D66" s="58" t="s">
        <v>1087</v>
      </c>
      <c r="E66" s="58" t="s">
        <v>1088</v>
      </c>
      <c r="F66" s="58" t="s">
        <v>1089</v>
      </c>
      <c r="G66" s="58" t="s">
        <v>1090</v>
      </c>
      <c r="I66" s="58" t="s">
        <v>1091</v>
      </c>
      <c r="J66" s="58" t="s">
        <v>1092</v>
      </c>
      <c r="K66" s="58">
        <v>2023.0</v>
      </c>
      <c r="L66" s="72">
        <v>45734.37929398148</v>
      </c>
      <c r="M66" s="72">
        <v>45734.37929398148</v>
      </c>
      <c r="O66" s="58" t="s">
        <v>1093</v>
      </c>
      <c r="V66" s="58" t="s">
        <v>1094</v>
      </c>
      <c r="Z66" s="58" t="s">
        <v>401</v>
      </c>
      <c r="AA66" s="58" t="s">
        <v>402</v>
      </c>
      <c r="AI66" s="58" t="s">
        <v>1095</v>
      </c>
      <c r="CL66" s="58" t="s">
        <v>1096</v>
      </c>
      <c r="DL66" s="58" t="s">
        <v>1097</v>
      </c>
    </row>
    <row r="67" ht="15.75" customHeight="1">
      <c r="A67" s="58" t="s">
        <v>1098</v>
      </c>
      <c r="B67" s="58" t="s">
        <v>379</v>
      </c>
      <c r="C67" s="58">
        <v>2024.0</v>
      </c>
      <c r="D67" s="58" t="s">
        <v>1099</v>
      </c>
      <c r="E67" s="58" t="s">
        <v>1100</v>
      </c>
      <c r="F67" s="58" t="s">
        <v>489</v>
      </c>
      <c r="G67" s="58" t="s">
        <v>490</v>
      </c>
      <c r="I67" s="58" t="s">
        <v>1101</v>
      </c>
      <c r="J67" s="58" t="s">
        <v>1102</v>
      </c>
      <c r="K67" s="58">
        <v>2024.0</v>
      </c>
      <c r="L67" s="72">
        <v>45734.37929398148</v>
      </c>
      <c r="M67" s="72">
        <v>45734.37929398148</v>
      </c>
      <c r="O67" s="58" t="s">
        <v>1103</v>
      </c>
      <c r="V67" s="58" t="s">
        <v>494</v>
      </c>
      <c r="Z67" s="58" t="s">
        <v>401</v>
      </c>
      <c r="AA67" s="58" t="s">
        <v>402</v>
      </c>
      <c r="AI67" s="58" t="s">
        <v>495</v>
      </c>
      <c r="CL67" s="58" t="s">
        <v>1104</v>
      </c>
      <c r="DL67" s="58" t="s">
        <v>1105</v>
      </c>
    </row>
    <row r="68" ht="15.75" customHeight="1">
      <c r="A68" s="58" t="s">
        <v>1106</v>
      </c>
      <c r="B68" s="58" t="s">
        <v>379</v>
      </c>
      <c r="C68" s="58">
        <v>2017.0</v>
      </c>
      <c r="D68" s="58" t="s">
        <v>1107</v>
      </c>
      <c r="E68" s="58" t="s">
        <v>1108</v>
      </c>
      <c r="F68" s="58" t="s">
        <v>1109</v>
      </c>
      <c r="G68" s="58" t="s">
        <v>1110</v>
      </c>
      <c r="I68" s="58" t="s">
        <v>1111</v>
      </c>
      <c r="J68" s="58" t="s">
        <v>1112</v>
      </c>
      <c r="K68" s="58">
        <v>2017.0</v>
      </c>
      <c r="L68" s="72">
        <v>45734.37929398148</v>
      </c>
      <c r="M68" s="72">
        <v>45734.37929398148</v>
      </c>
      <c r="O68" s="58" t="s">
        <v>1113</v>
      </c>
      <c r="V68" s="58" t="s">
        <v>1114</v>
      </c>
      <c r="Z68" s="58" t="s">
        <v>401</v>
      </c>
      <c r="AA68" s="58" t="s">
        <v>402</v>
      </c>
      <c r="AI68" s="58" t="s">
        <v>838</v>
      </c>
      <c r="CL68" s="58" t="s">
        <v>1115</v>
      </c>
      <c r="DL68" s="58" t="s">
        <v>1116</v>
      </c>
    </row>
    <row r="69" ht="15.75" customHeight="1">
      <c r="A69" s="58" t="s">
        <v>1117</v>
      </c>
      <c r="B69" s="58" t="s">
        <v>379</v>
      </c>
      <c r="C69" s="58">
        <v>2023.0</v>
      </c>
      <c r="D69" s="58" t="s">
        <v>1118</v>
      </c>
      <c r="E69" s="58" t="s">
        <v>1119</v>
      </c>
      <c r="F69" s="58" t="s">
        <v>562</v>
      </c>
      <c r="G69" s="58" t="s">
        <v>563</v>
      </c>
      <c r="I69" s="58" t="s">
        <v>1120</v>
      </c>
      <c r="J69" s="58" t="s">
        <v>1121</v>
      </c>
      <c r="K69" s="58">
        <v>2023.0</v>
      </c>
      <c r="L69" s="72">
        <v>45734.37929398148</v>
      </c>
      <c r="M69" s="72">
        <v>45734.37929398148</v>
      </c>
      <c r="O69" s="58" t="s">
        <v>1122</v>
      </c>
      <c r="V69" s="58" t="s">
        <v>567</v>
      </c>
      <c r="Z69" s="58" t="s">
        <v>401</v>
      </c>
      <c r="AA69" s="58" t="s">
        <v>402</v>
      </c>
      <c r="AI69" s="58" t="s">
        <v>568</v>
      </c>
      <c r="CL69" s="58" t="s">
        <v>1123</v>
      </c>
      <c r="DL69" s="58" t="s">
        <v>1124</v>
      </c>
    </row>
    <row r="70" ht="15.75" customHeight="1">
      <c r="A70" s="58" t="s">
        <v>1125</v>
      </c>
      <c r="B70" s="58" t="s">
        <v>379</v>
      </c>
      <c r="C70" s="58">
        <v>2018.0</v>
      </c>
      <c r="D70" s="58" t="s">
        <v>1126</v>
      </c>
      <c r="E70" s="58" t="s">
        <v>1127</v>
      </c>
      <c r="F70" s="58" t="s">
        <v>1128</v>
      </c>
      <c r="G70" s="58" t="s">
        <v>1129</v>
      </c>
      <c r="I70" s="58" t="s">
        <v>1130</v>
      </c>
      <c r="J70" s="58" t="s">
        <v>1131</v>
      </c>
      <c r="K70" s="58">
        <v>2018.0</v>
      </c>
      <c r="L70" s="72">
        <v>45734.37929398148</v>
      </c>
      <c r="M70" s="72">
        <v>45734.37929398148</v>
      </c>
      <c r="O70" s="58" t="s">
        <v>1132</v>
      </c>
      <c r="V70" s="58" t="s">
        <v>1133</v>
      </c>
      <c r="Z70" s="58" t="s">
        <v>401</v>
      </c>
      <c r="AA70" s="58" t="s">
        <v>402</v>
      </c>
      <c r="AI70" s="58" t="s">
        <v>1134</v>
      </c>
      <c r="CL70" s="58" t="s">
        <v>1135</v>
      </c>
      <c r="DL70" s="58" t="s">
        <v>1136</v>
      </c>
    </row>
    <row r="71" ht="15.75" customHeight="1">
      <c r="A71" s="58" t="s">
        <v>1137</v>
      </c>
      <c r="B71" s="58" t="s">
        <v>379</v>
      </c>
      <c r="C71" s="58">
        <v>2018.0</v>
      </c>
      <c r="D71" s="58" t="s">
        <v>1138</v>
      </c>
      <c r="E71" s="58" t="s">
        <v>1139</v>
      </c>
      <c r="F71" s="58" t="s">
        <v>1140</v>
      </c>
      <c r="G71" s="58" t="s">
        <v>1141</v>
      </c>
      <c r="I71" s="58" t="s">
        <v>1142</v>
      </c>
      <c r="J71" s="58" t="s">
        <v>1143</v>
      </c>
      <c r="K71" s="58">
        <v>2018.0</v>
      </c>
      <c r="L71" s="72">
        <v>45734.37929398148</v>
      </c>
      <c r="M71" s="72">
        <v>45734.37929398148</v>
      </c>
      <c r="V71" s="58" t="s">
        <v>1144</v>
      </c>
      <c r="Z71" s="58" t="s">
        <v>401</v>
      </c>
      <c r="AA71" s="58" t="s">
        <v>402</v>
      </c>
      <c r="AI71" s="58" t="s">
        <v>1145</v>
      </c>
      <c r="CL71" s="58" t="s">
        <v>1146</v>
      </c>
      <c r="DL71" s="58" t="s">
        <v>1147</v>
      </c>
    </row>
    <row r="72" ht="15.75" customHeight="1">
      <c r="A72" s="58" t="s">
        <v>1148</v>
      </c>
      <c r="B72" s="58" t="s">
        <v>379</v>
      </c>
      <c r="C72" s="58">
        <v>2023.0</v>
      </c>
      <c r="D72" s="58" t="s">
        <v>1149</v>
      </c>
      <c r="E72" s="58" t="s">
        <v>1150</v>
      </c>
      <c r="F72" s="58" t="s">
        <v>1151</v>
      </c>
      <c r="G72" s="58" t="s">
        <v>1152</v>
      </c>
      <c r="I72" s="58" t="s">
        <v>1153</v>
      </c>
      <c r="J72" s="58" t="s">
        <v>1154</v>
      </c>
      <c r="K72" s="58">
        <v>2023.0</v>
      </c>
      <c r="L72" s="72">
        <v>45734.37929398148</v>
      </c>
      <c r="M72" s="72">
        <v>45734.37929398148</v>
      </c>
      <c r="O72" s="58" t="s">
        <v>1155</v>
      </c>
      <c r="V72" s="58" t="s">
        <v>1156</v>
      </c>
      <c r="Z72" s="58" t="s">
        <v>401</v>
      </c>
      <c r="AA72" s="58" t="s">
        <v>402</v>
      </c>
      <c r="AI72" s="58" t="s">
        <v>1157</v>
      </c>
      <c r="CL72" s="58" t="s">
        <v>1158</v>
      </c>
      <c r="DL72" s="58" t="s">
        <v>1159</v>
      </c>
    </row>
    <row r="73" ht="15.75" customHeight="1">
      <c r="A73" s="58" t="s">
        <v>1160</v>
      </c>
      <c r="B73" s="58" t="s">
        <v>379</v>
      </c>
      <c r="C73" s="58">
        <v>2020.0</v>
      </c>
      <c r="D73" s="58" t="s">
        <v>1161</v>
      </c>
      <c r="E73" s="58" t="s">
        <v>1162</v>
      </c>
      <c r="F73" s="58" t="s">
        <v>1163</v>
      </c>
      <c r="G73" s="58" t="s">
        <v>1164</v>
      </c>
      <c r="I73" s="58" t="s">
        <v>1165</v>
      </c>
      <c r="J73" s="58" t="s">
        <v>1166</v>
      </c>
      <c r="K73" s="58">
        <v>2020.0</v>
      </c>
      <c r="L73" s="72">
        <v>45734.37929398148</v>
      </c>
      <c r="M73" s="72">
        <v>45734.37929398148</v>
      </c>
      <c r="O73" s="58" t="s">
        <v>1167</v>
      </c>
      <c r="Z73" s="58" t="s">
        <v>387</v>
      </c>
      <c r="AA73" s="58" t="s">
        <v>388</v>
      </c>
      <c r="AI73" s="58" t="s">
        <v>1168</v>
      </c>
      <c r="CL73" s="58" t="s">
        <v>1169</v>
      </c>
      <c r="DL73" s="58" t="s">
        <v>1170</v>
      </c>
    </row>
    <row r="74" ht="15.75" customHeight="1">
      <c r="A74" s="58" t="s">
        <v>1171</v>
      </c>
      <c r="B74" s="58" t="s">
        <v>379</v>
      </c>
      <c r="C74" s="58">
        <v>2024.0</v>
      </c>
      <c r="D74" s="58" t="s">
        <v>1172</v>
      </c>
      <c r="E74" s="58" t="s">
        <v>1173</v>
      </c>
      <c r="F74" s="58" t="s">
        <v>395</v>
      </c>
      <c r="G74" s="58" t="s">
        <v>396</v>
      </c>
      <c r="I74" s="58" t="s">
        <v>1174</v>
      </c>
      <c r="J74" s="58" t="s">
        <v>1175</v>
      </c>
      <c r="K74" s="58">
        <v>2024.0</v>
      </c>
      <c r="L74" s="72">
        <v>45734.37929398148</v>
      </c>
      <c r="M74" s="72">
        <v>45734.37929398148</v>
      </c>
      <c r="O74" s="58" t="s">
        <v>1176</v>
      </c>
      <c r="V74" s="58" t="s">
        <v>400</v>
      </c>
      <c r="Z74" s="58" t="s">
        <v>401</v>
      </c>
      <c r="AA74" s="58" t="s">
        <v>402</v>
      </c>
      <c r="AI74" s="58" t="s">
        <v>403</v>
      </c>
      <c r="CL74" s="58" t="s">
        <v>1177</v>
      </c>
      <c r="DL74" s="58" t="s">
        <v>1178</v>
      </c>
    </row>
    <row r="75" ht="15.75" customHeight="1">
      <c r="A75" s="58" t="s">
        <v>1179</v>
      </c>
      <c r="B75" s="58" t="s">
        <v>379</v>
      </c>
      <c r="C75" s="58">
        <v>2023.0</v>
      </c>
      <c r="D75" s="58" t="s">
        <v>1180</v>
      </c>
      <c r="E75" s="58" t="s">
        <v>1181</v>
      </c>
      <c r="F75" s="58" t="s">
        <v>549</v>
      </c>
      <c r="G75" s="58" t="s">
        <v>550</v>
      </c>
      <c r="I75" s="58" t="s">
        <v>1182</v>
      </c>
      <c r="J75" s="58" t="s">
        <v>1183</v>
      </c>
      <c r="K75" s="58">
        <v>2023.0</v>
      </c>
      <c r="L75" s="72">
        <v>45734.37929398148</v>
      </c>
      <c r="M75" s="72">
        <v>45734.37929398148</v>
      </c>
      <c r="O75" s="58" t="s">
        <v>1184</v>
      </c>
      <c r="V75" s="58" t="s">
        <v>554</v>
      </c>
      <c r="Z75" s="58" t="s">
        <v>555</v>
      </c>
      <c r="AA75" s="58" t="s">
        <v>556</v>
      </c>
      <c r="CL75" s="58" t="s">
        <v>1185</v>
      </c>
    </row>
    <row r="76" ht="15.75" customHeight="1">
      <c r="A76" s="58" t="s">
        <v>1186</v>
      </c>
      <c r="B76" s="58" t="s">
        <v>379</v>
      </c>
      <c r="C76" s="58">
        <v>2023.0</v>
      </c>
      <c r="D76" s="58" t="s">
        <v>1187</v>
      </c>
      <c r="E76" s="58" t="s">
        <v>1188</v>
      </c>
      <c r="F76" s="58" t="s">
        <v>1189</v>
      </c>
      <c r="G76" s="58" t="s">
        <v>1190</v>
      </c>
      <c r="I76" s="58" t="s">
        <v>1191</v>
      </c>
      <c r="J76" s="58" t="s">
        <v>1192</v>
      </c>
      <c r="K76" s="58">
        <v>2023.0</v>
      </c>
      <c r="L76" s="72">
        <v>45734.37929398148</v>
      </c>
      <c r="M76" s="72">
        <v>45734.37929398148</v>
      </c>
      <c r="O76" s="58" t="s">
        <v>1193</v>
      </c>
      <c r="Z76" s="58" t="s">
        <v>387</v>
      </c>
      <c r="AA76" s="58" t="s">
        <v>388</v>
      </c>
      <c r="AI76" s="58" t="s">
        <v>1194</v>
      </c>
      <c r="CL76" s="58" t="s">
        <v>1195</v>
      </c>
      <c r="DL76" s="58" t="s">
        <v>1196</v>
      </c>
    </row>
    <row r="77" ht="15.75" customHeight="1">
      <c r="A77" s="58" t="s">
        <v>1197</v>
      </c>
      <c r="B77" s="58" t="s">
        <v>379</v>
      </c>
      <c r="C77" s="58">
        <v>2020.0</v>
      </c>
      <c r="D77" s="58" t="s">
        <v>1198</v>
      </c>
      <c r="E77" s="58" t="s">
        <v>1199</v>
      </c>
      <c r="F77" s="58" t="s">
        <v>1200</v>
      </c>
      <c r="G77" s="58" t="s">
        <v>1201</v>
      </c>
      <c r="I77" s="58" t="s">
        <v>1202</v>
      </c>
      <c r="J77" s="58" t="s">
        <v>1203</v>
      </c>
      <c r="K77" s="58">
        <v>2020.0</v>
      </c>
      <c r="L77" s="72">
        <v>45734.37929398148</v>
      </c>
      <c r="M77" s="72">
        <v>45734.37929398148</v>
      </c>
      <c r="O77" s="58" t="s">
        <v>1204</v>
      </c>
      <c r="V77" s="58" t="s">
        <v>1205</v>
      </c>
      <c r="Z77" s="58" t="s">
        <v>401</v>
      </c>
      <c r="AA77" s="58" t="s">
        <v>402</v>
      </c>
      <c r="AI77" s="58" t="s">
        <v>1206</v>
      </c>
      <c r="CL77" s="58" t="s">
        <v>1207</v>
      </c>
      <c r="DL77" s="58" t="s">
        <v>1208</v>
      </c>
    </row>
    <row r="78" ht="15.75" customHeight="1">
      <c r="A78" s="58" t="s">
        <v>1209</v>
      </c>
      <c r="B78" s="58" t="s">
        <v>379</v>
      </c>
      <c r="C78" s="58">
        <v>2019.0</v>
      </c>
      <c r="D78" s="58" t="s">
        <v>1210</v>
      </c>
      <c r="E78" s="58" t="s">
        <v>1211</v>
      </c>
      <c r="F78" s="58" t="s">
        <v>1212</v>
      </c>
      <c r="G78" s="58" t="s">
        <v>1213</v>
      </c>
      <c r="I78" s="58" t="s">
        <v>1214</v>
      </c>
      <c r="J78" s="58" t="s">
        <v>1215</v>
      </c>
      <c r="K78" s="58">
        <v>2019.0</v>
      </c>
      <c r="L78" s="72">
        <v>45734.37929398148</v>
      </c>
      <c r="M78" s="72">
        <v>45734.37929398148</v>
      </c>
      <c r="V78" s="58" t="s">
        <v>1216</v>
      </c>
      <c r="Z78" s="58" t="s">
        <v>401</v>
      </c>
      <c r="AA78" s="58" t="s">
        <v>402</v>
      </c>
      <c r="AI78" s="58" t="s">
        <v>1217</v>
      </c>
      <c r="CL78" s="58" t="s">
        <v>1218</v>
      </c>
    </row>
    <row r="79" ht="15.75" customHeight="1">
      <c r="A79" s="58" t="s">
        <v>1219</v>
      </c>
      <c r="B79" s="58" t="s">
        <v>379</v>
      </c>
      <c r="C79" s="58">
        <v>2019.0</v>
      </c>
      <c r="D79" s="58" t="s">
        <v>1220</v>
      </c>
      <c r="E79" s="58" t="s">
        <v>1221</v>
      </c>
      <c r="F79" s="58" t="s">
        <v>1222</v>
      </c>
      <c r="G79" s="58" t="s">
        <v>1223</v>
      </c>
      <c r="I79" s="58" t="s">
        <v>1224</v>
      </c>
      <c r="J79" s="58" t="s">
        <v>1225</v>
      </c>
      <c r="K79" s="58">
        <v>2019.0</v>
      </c>
      <c r="L79" s="72">
        <v>45734.37929398148</v>
      </c>
      <c r="M79" s="72">
        <v>45734.37929398148</v>
      </c>
      <c r="O79" s="58" t="s">
        <v>1226</v>
      </c>
      <c r="Z79" s="58" t="s">
        <v>387</v>
      </c>
      <c r="AA79" s="58" t="s">
        <v>388</v>
      </c>
      <c r="AI79" s="58" t="s">
        <v>1227</v>
      </c>
      <c r="CL79" s="58" t="s">
        <v>1228</v>
      </c>
      <c r="DL79" s="58" t="s">
        <v>1229</v>
      </c>
    </row>
    <row r="80" ht="15.75" customHeight="1">
      <c r="A80" s="58" t="s">
        <v>1230</v>
      </c>
      <c r="B80" s="58" t="s">
        <v>379</v>
      </c>
      <c r="C80" s="58">
        <v>2018.0</v>
      </c>
      <c r="D80" s="58" t="s">
        <v>1231</v>
      </c>
      <c r="E80" s="58" t="s">
        <v>1232</v>
      </c>
      <c r="F80" s="58" t="s">
        <v>1233</v>
      </c>
      <c r="G80" s="58" t="s">
        <v>1234</v>
      </c>
      <c r="I80" s="58" t="s">
        <v>1235</v>
      </c>
      <c r="J80" s="58" t="s">
        <v>1236</v>
      </c>
      <c r="K80" s="58">
        <v>2018.0</v>
      </c>
      <c r="L80" s="72">
        <v>45734.37929398148</v>
      </c>
      <c r="M80" s="72">
        <v>45734.37929398148</v>
      </c>
      <c r="V80" s="58" t="s">
        <v>1237</v>
      </c>
      <c r="Z80" s="58" t="s">
        <v>401</v>
      </c>
      <c r="AA80" s="58" t="s">
        <v>402</v>
      </c>
      <c r="AI80" s="58" t="s">
        <v>735</v>
      </c>
      <c r="CL80" s="58" t="s">
        <v>1238</v>
      </c>
      <c r="DL80" s="58" t="s">
        <v>1239</v>
      </c>
    </row>
    <row r="81" ht="15.75" customHeight="1">
      <c r="A81" s="58" t="s">
        <v>1240</v>
      </c>
      <c r="B81" s="58" t="s">
        <v>379</v>
      </c>
      <c r="C81" s="58">
        <v>2020.0</v>
      </c>
      <c r="D81" s="58" t="s">
        <v>1241</v>
      </c>
      <c r="E81" s="58" t="s">
        <v>1242</v>
      </c>
      <c r="F81" s="58" t="s">
        <v>1033</v>
      </c>
      <c r="G81" s="58" t="s">
        <v>1034</v>
      </c>
      <c r="I81" s="58" t="s">
        <v>1243</v>
      </c>
      <c r="J81" s="58" t="s">
        <v>1244</v>
      </c>
      <c r="K81" s="58">
        <v>2020.0</v>
      </c>
      <c r="L81" s="72">
        <v>45734.37929398148</v>
      </c>
      <c r="M81" s="72">
        <v>45734.37929398148</v>
      </c>
      <c r="V81" s="58" t="s">
        <v>1037</v>
      </c>
      <c r="Z81" s="58" t="s">
        <v>401</v>
      </c>
      <c r="AA81" s="58" t="s">
        <v>402</v>
      </c>
      <c r="AI81" s="58" t="s">
        <v>1038</v>
      </c>
      <c r="CL81" s="58" t="s">
        <v>1245</v>
      </c>
      <c r="DL81" s="58" t="s">
        <v>1246</v>
      </c>
    </row>
    <row r="82" ht="15.75" customHeight="1">
      <c r="A82" s="58" t="s">
        <v>1247</v>
      </c>
      <c r="B82" s="58" t="s">
        <v>379</v>
      </c>
      <c r="C82" s="58">
        <v>2019.0</v>
      </c>
      <c r="D82" s="58" t="s">
        <v>1248</v>
      </c>
      <c r="E82" s="58" t="s">
        <v>1249</v>
      </c>
      <c r="F82" s="58" t="s">
        <v>1250</v>
      </c>
      <c r="G82" s="58" t="s">
        <v>1251</v>
      </c>
      <c r="I82" s="58" t="s">
        <v>1252</v>
      </c>
      <c r="J82" s="58" t="s">
        <v>1253</v>
      </c>
      <c r="K82" s="58">
        <v>2019.0</v>
      </c>
      <c r="L82" s="72">
        <v>45734.37929398148</v>
      </c>
      <c r="M82" s="72">
        <v>45734.37929398148</v>
      </c>
      <c r="O82" s="58" t="s">
        <v>1254</v>
      </c>
      <c r="V82" s="58" t="s">
        <v>1255</v>
      </c>
      <c r="Z82" s="58" t="s">
        <v>401</v>
      </c>
      <c r="AA82" s="58" t="s">
        <v>402</v>
      </c>
      <c r="AI82" s="58" t="s">
        <v>389</v>
      </c>
      <c r="CL82" s="58" t="s">
        <v>1256</v>
      </c>
      <c r="DL82" s="58" t="s">
        <v>1257</v>
      </c>
    </row>
    <row r="83" ht="15.75" customHeight="1">
      <c r="A83" s="58" t="s">
        <v>1258</v>
      </c>
      <c r="B83" s="58" t="s">
        <v>379</v>
      </c>
      <c r="C83" s="58">
        <v>2021.0</v>
      </c>
      <c r="D83" s="58" t="s">
        <v>1259</v>
      </c>
      <c r="E83" s="58" t="s">
        <v>1260</v>
      </c>
      <c r="F83" s="58" t="s">
        <v>1261</v>
      </c>
      <c r="G83" s="58" t="s">
        <v>1262</v>
      </c>
      <c r="I83" s="58" t="s">
        <v>1263</v>
      </c>
      <c r="J83" s="58" t="s">
        <v>1264</v>
      </c>
      <c r="K83" s="58">
        <v>2021.0</v>
      </c>
      <c r="L83" s="72">
        <v>45734.37929398148</v>
      </c>
      <c r="M83" s="72">
        <v>45734.37929398148</v>
      </c>
      <c r="O83" s="58" t="s">
        <v>1265</v>
      </c>
      <c r="V83" s="58" t="s">
        <v>1266</v>
      </c>
      <c r="Z83" s="58" t="s">
        <v>401</v>
      </c>
      <c r="AA83" s="58" t="s">
        <v>402</v>
      </c>
      <c r="AI83" s="58" t="s">
        <v>1267</v>
      </c>
      <c r="CL83" s="58" t="s">
        <v>1268</v>
      </c>
      <c r="DL83" s="58" t="s">
        <v>1269</v>
      </c>
    </row>
    <row r="84" ht="15.75" customHeight="1">
      <c r="A84" s="58" t="s">
        <v>1270</v>
      </c>
      <c r="B84" s="58" t="s">
        <v>379</v>
      </c>
      <c r="C84" s="58">
        <v>2020.0</v>
      </c>
      <c r="D84" s="58" t="s">
        <v>1271</v>
      </c>
      <c r="E84" s="58" t="s">
        <v>1272</v>
      </c>
      <c r="F84" s="58" t="s">
        <v>1273</v>
      </c>
      <c r="G84" s="58" t="s">
        <v>1274</v>
      </c>
      <c r="I84" s="58" t="s">
        <v>1275</v>
      </c>
      <c r="J84" s="58" t="s">
        <v>1276</v>
      </c>
      <c r="K84" s="58">
        <v>2020.0</v>
      </c>
      <c r="L84" s="72">
        <v>45734.37929398148</v>
      </c>
      <c r="M84" s="72">
        <v>45734.37929398148</v>
      </c>
      <c r="O84" s="58" t="s">
        <v>1277</v>
      </c>
      <c r="V84" s="58" t="s">
        <v>1278</v>
      </c>
      <c r="Z84" s="58" t="s">
        <v>401</v>
      </c>
      <c r="AA84" s="58" t="s">
        <v>402</v>
      </c>
      <c r="AI84" s="58" t="s">
        <v>1095</v>
      </c>
      <c r="CL84" s="58" t="s">
        <v>1279</v>
      </c>
      <c r="DL84" s="58" t="s">
        <v>1280</v>
      </c>
    </row>
    <row r="85" ht="15.75" customHeight="1">
      <c r="A85" s="58" t="s">
        <v>1281</v>
      </c>
      <c r="B85" s="58" t="s">
        <v>379</v>
      </c>
      <c r="C85" s="58">
        <v>2024.0</v>
      </c>
      <c r="D85" s="58" t="s">
        <v>1282</v>
      </c>
      <c r="E85" s="58" t="s">
        <v>1283</v>
      </c>
      <c r="F85" s="58" t="s">
        <v>382</v>
      </c>
      <c r="G85" s="58" t="s">
        <v>383</v>
      </c>
      <c r="I85" s="58" t="s">
        <v>1284</v>
      </c>
      <c r="J85" s="58" t="s">
        <v>1285</v>
      </c>
      <c r="K85" s="58">
        <v>2024.0</v>
      </c>
      <c r="L85" s="72">
        <v>45734.37929398148</v>
      </c>
      <c r="M85" s="72">
        <v>45734.37929398148</v>
      </c>
      <c r="O85" s="58" t="s">
        <v>1286</v>
      </c>
      <c r="Z85" s="58" t="s">
        <v>387</v>
      </c>
      <c r="AA85" s="58" t="s">
        <v>388</v>
      </c>
      <c r="AI85" s="58" t="s">
        <v>389</v>
      </c>
      <c r="CL85" s="58" t="s">
        <v>1287</v>
      </c>
      <c r="DL85" s="58" t="s">
        <v>1288</v>
      </c>
    </row>
    <row r="86" ht="15.75" customHeight="1">
      <c r="A86" s="58" t="s">
        <v>1289</v>
      </c>
      <c r="B86" s="58" t="s">
        <v>379</v>
      </c>
      <c r="C86" s="58">
        <v>2019.0</v>
      </c>
      <c r="D86" s="58" t="s">
        <v>1290</v>
      </c>
      <c r="E86" s="58" t="s">
        <v>1291</v>
      </c>
      <c r="F86" s="58" t="s">
        <v>1292</v>
      </c>
      <c r="G86" s="58" t="s">
        <v>1293</v>
      </c>
      <c r="I86" s="58" t="s">
        <v>1294</v>
      </c>
      <c r="J86" s="58" t="s">
        <v>1295</v>
      </c>
      <c r="K86" s="58">
        <v>2019.0</v>
      </c>
      <c r="L86" s="72">
        <v>45734.37929398148</v>
      </c>
      <c r="M86" s="72">
        <v>45734.37929398148</v>
      </c>
      <c r="O86" s="58" t="s">
        <v>1296</v>
      </c>
      <c r="Z86" s="58" t="s">
        <v>387</v>
      </c>
      <c r="AA86" s="58" t="s">
        <v>388</v>
      </c>
      <c r="AI86" s="58" t="s">
        <v>1297</v>
      </c>
      <c r="CL86" s="58" t="s">
        <v>1298</v>
      </c>
      <c r="DL86" s="58" t="s">
        <v>1299</v>
      </c>
    </row>
    <row r="87" ht="15.75" customHeight="1">
      <c r="A87" s="58" t="s">
        <v>1300</v>
      </c>
      <c r="B87" s="58" t="s">
        <v>379</v>
      </c>
      <c r="C87" s="58">
        <v>2021.0</v>
      </c>
      <c r="D87" s="58" t="s">
        <v>1301</v>
      </c>
      <c r="E87" s="58" t="s">
        <v>1302</v>
      </c>
      <c r="F87" s="58" t="s">
        <v>1303</v>
      </c>
      <c r="G87" s="58" t="s">
        <v>1304</v>
      </c>
      <c r="I87" s="58" t="s">
        <v>1305</v>
      </c>
      <c r="J87" s="58" t="s">
        <v>1306</v>
      </c>
      <c r="K87" s="58">
        <v>2021.0</v>
      </c>
      <c r="L87" s="72">
        <v>45734.37929398148</v>
      </c>
      <c r="M87" s="72">
        <v>45734.37929398148</v>
      </c>
      <c r="O87" s="58" t="s">
        <v>1307</v>
      </c>
      <c r="V87" s="58" t="s">
        <v>1308</v>
      </c>
      <c r="Z87" s="58" t="s">
        <v>401</v>
      </c>
      <c r="AA87" s="58" t="s">
        <v>402</v>
      </c>
      <c r="AI87" s="58" t="s">
        <v>1309</v>
      </c>
      <c r="CL87" s="58" t="s">
        <v>1310</v>
      </c>
      <c r="DL87" s="58" t="s">
        <v>1311</v>
      </c>
    </row>
    <row r="88" ht="15.75" customHeight="1">
      <c r="A88" s="58" t="s">
        <v>1312</v>
      </c>
      <c r="B88" s="58" t="s">
        <v>379</v>
      </c>
      <c r="C88" s="58">
        <v>2020.0</v>
      </c>
      <c r="D88" s="58" t="s">
        <v>1313</v>
      </c>
      <c r="E88" s="58" t="s">
        <v>1314</v>
      </c>
      <c r="F88" s="58" t="s">
        <v>1315</v>
      </c>
      <c r="G88" s="58" t="s">
        <v>1316</v>
      </c>
      <c r="I88" s="58" t="s">
        <v>1317</v>
      </c>
      <c r="J88" s="58" t="s">
        <v>1318</v>
      </c>
      <c r="K88" s="58">
        <v>2020.0</v>
      </c>
      <c r="L88" s="72">
        <v>45734.37929398148</v>
      </c>
      <c r="M88" s="72">
        <v>45734.37929398148</v>
      </c>
      <c r="O88" s="58" t="s">
        <v>1319</v>
      </c>
      <c r="Z88" s="58" t="s">
        <v>387</v>
      </c>
      <c r="AA88" s="58" t="s">
        <v>388</v>
      </c>
      <c r="AI88" s="58" t="s">
        <v>1320</v>
      </c>
      <c r="CL88" s="58" t="s">
        <v>1321</v>
      </c>
      <c r="DL88" s="58" t="s">
        <v>1322</v>
      </c>
    </row>
    <row r="89" ht="15.75" customHeight="1">
      <c r="A89" s="58" t="s">
        <v>1323</v>
      </c>
      <c r="B89" s="58" t="s">
        <v>379</v>
      </c>
      <c r="C89" s="58">
        <v>2020.0</v>
      </c>
      <c r="D89" s="58" t="s">
        <v>1324</v>
      </c>
      <c r="E89" s="58" t="s">
        <v>1325</v>
      </c>
      <c r="F89" s="58" t="s">
        <v>1326</v>
      </c>
      <c r="G89" s="58" t="s">
        <v>1327</v>
      </c>
      <c r="I89" s="58" t="s">
        <v>1328</v>
      </c>
      <c r="J89" s="58" t="s">
        <v>1329</v>
      </c>
      <c r="K89" s="58">
        <v>2020.0</v>
      </c>
      <c r="L89" s="72">
        <v>45734.37929398148</v>
      </c>
      <c r="M89" s="72">
        <v>45734.37929398148</v>
      </c>
      <c r="O89" s="58" t="s">
        <v>1330</v>
      </c>
      <c r="V89" s="58" t="s">
        <v>1331</v>
      </c>
      <c r="Z89" s="58" t="s">
        <v>401</v>
      </c>
      <c r="AA89" s="58" t="s">
        <v>402</v>
      </c>
      <c r="AI89" s="58" t="s">
        <v>495</v>
      </c>
      <c r="CL89" s="58" t="s">
        <v>1332</v>
      </c>
      <c r="DL89" s="58" t="s">
        <v>1333</v>
      </c>
    </row>
    <row r="90" ht="15.75" customHeight="1">
      <c r="A90" s="58" t="s">
        <v>1334</v>
      </c>
      <c r="B90" s="58" t="s">
        <v>379</v>
      </c>
      <c r="C90" s="58">
        <v>2020.0</v>
      </c>
      <c r="D90" s="58" t="s">
        <v>1335</v>
      </c>
      <c r="E90" s="58" t="s">
        <v>1336</v>
      </c>
      <c r="F90" s="58" t="s">
        <v>1337</v>
      </c>
      <c r="G90" s="58" t="s">
        <v>1338</v>
      </c>
      <c r="I90" s="58" t="s">
        <v>1339</v>
      </c>
      <c r="J90" s="58" t="s">
        <v>1340</v>
      </c>
      <c r="K90" s="58">
        <v>2020.0</v>
      </c>
      <c r="L90" s="72">
        <v>45734.37929398148</v>
      </c>
      <c r="M90" s="72">
        <v>45734.37929398148</v>
      </c>
      <c r="O90" s="58" t="s">
        <v>1341</v>
      </c>
      <c r="Z90" s="58" t="s">
        <v>387</v>
      </c>
      <c r="AA90" s="58" t="s">
        <v>388</v>
      </c>
      <c r="AI90" s="58" t="s">
        <v>1342</v>
      </c>
      <c r="CL90" s="58" t="s">
        <v>1343</v>
      </c>
      <c r="DL90" s="58" t="s">
        <v>1344</v>
      </c>
    </row>
    <row r="91" ht="15.75" customHeight="1">
      <c r="A91" s="58" t="s">
        <v>1345</v>
      </c>
      <c r="B91" s="58" t="s">
        <v>379</v>
      </c>
      <c r="C91" s="58">
        <v>2018.0</v>
      </c>
      <c r="D91" s="58" t="s">
        <v>1346</v>
      </c>
      <c r="E91" s="58" t="s">
        <v>1347</v>
      </c>
      <c r="F91" s="58" t="s">
        <v>1348</v>
      </c>
      <c r="G91" s="58" t="s">
        <v>1349</v>
      </c>
      <c r="I91" s="58" t="s">
        <v>1350</v>
      </c>
      <c r="J91" s="58" t="s">
        <v>1351</v>
      </c>
      <c r="K91" s="58">
        <v>2018.0</v>
      </c>
      <c r="L91" s="72">
        <v>45734.37929398148</v>
      </c>
      <c r="M91" s="72">
        <v>45734.37929398148</v>
      </c>
      <c r="O91" s="58" t="s">
        <v>1352</v>
      </c>
      <c r="V91" s="58" t="s">
        <v>1353</v>
      </c>
      <c r="Z91" s="58" t="s">
        <v>401</v>
      </c>
      <c r="AA91" s="58" t="s">
        <v>402</v>
      </c>
      <c r="AI91" s="58" t="s">
        <v>1354</v>
      </c>
      <c r="CL91" s="58" t="s">
        <v>1355</v>
      </c>
    </row>
    <row r="92" ht="15.75" customHeight="1">
      <c r="A92" s="58" t="s">
        <v>1356</v>
      </c>
      <c r="B92" s="58" t="s">
        <v>379</v>
      </c>
      <c r="C92" s="58">
        <v>2024.0</v>
      </c>
      <c r="D92" s="58" t="s">
        <v>1357</v>
      </c>
      <c r="E92" s="58" t="s">
        <v>1358</v>
      </c>
      <c r="F92" s="58" t="s">
        <v>1359</v>
      </c>
      <c r="G92" s="58" t="s">
        <v>1360</v>
      </c>
      <c r="I92" s="58" t="s">
        <v>1361</v>
      </c>
      <c r="J92" s="58" t="s">
        <v>1362</v>
      </c>
      <c r="K92" s="58">
        <v>2024.0</v>
      </c>
      <c r="L92" s="72">
        <v>45734.37929398148</v>
      </c>
      <c r="M92" s="72">
        <v>45734.37929398148</v>
      </c>
      <c r="O92" s="58" t="s">
        <v>1363</v>
      </c>
      <c r="Z92" s="58" t="s">
        <v>387</v>
      </c>
      <c r="AA92" s="58" t="s">
        <v>388</v>
      </c>
      <c r="AI92" s="58" t="s">
        <v>1364</v>
      </c>
      <c r="CL92" s="58" t="s">
        <v>1365</v>
      </c>
      <c r="DL92" s="58" t="s">
        <v>1366</v>
      </c>
    </row>
    <row r="93" ht="15.75" customHeight="1">
      <c r="A93" s="58" t="s">
        <v>1367</v>
      </c>
      <c r="B93" s="58" t="s">
        <v>379</v>
      </c>
      <c r="C93" s="58">
        <v>2020.0</v>
      </c>
      <c r="D93" s="58" t="s">
        <v>1368</v>
      </c>
      <c r="E93" s="58" t="s">
        <v>1369</v>
      </c>
      <c r="F93" s="58" t="s">
        <v>1370</v>
      </c>
      <c r="G93" s="58" t="s">
        <v>1371</v>
      </c>
      <c r="I93" s="58" t="s">
        <v>1372</v>
      </c>
      <c r="J93" s="58" t="s">
        <v>1373</v>
      </c>
      <c r="K93" s="58">
        <v>2020.0</v>
      </c>
      <c r="L93" s="72">
        <v>45734.37929398148</v>
      </c>
      <c r="M93" s="72">
        <v>45734.37929398148</v>
      </c>
      <c r="O93" s="58" t="s">
        <v>1374</v>
      </c>
      <c r="V93" s="58" t="s">
        <v>1375</v>
      </c>
      <c r="Z93" s="58" t="s">
        <v>401</v>
      </c>
      <c r="AA93" s="58" t="s">
        <v>402</v>
      </c>
      <c r="AI93" s="58" t="s">
        <v>1376</v>
      </c>
      <c r="CL93" s="58" t="s">
        <v>1377</v>
      </c>
      <c r="DL93" s="58" t="s">
        <v>1378</v>
      </c>
    </row>
    <row r="94" ht="15.75" customHeight="1">
      <c r="A94" s="58" t="s">
        <v>1379</v>
      </c>
      <c r="B94" s="58" t="s">
        <v>379</v>
      </c>
      <c r="C94" s="58">
        <v>2022.0</v>
      </c>
      <c r="D94" s="58" t="s">
        <v>1380</v>
      </c>
      <c r="E94" s="58" t="s">
        <v>1381</v>
      </c>
      <c r="F94" s="58" t="s">
        <v>1382</v>
      </c>
      <c r="G94" s="58" t="s">
        <v>1383</v>
      </c>
      <c r="I94" s="58" t="s">
        <v>1384</v>
      </c>
      <c r="J94" s="58" t="s">
        <v>1385</v>
      </c>
      <c r="K94" s="58">
        <v>2022.0</v>
      </c>
      <c r="L94" s="72">
        <v>45734.37929398148</v>
      </c>
      <c r="M94" s="72">
        <v>45734.37929398148</v>
      </c>
      <c r="O94" s="58" t="s">
        <v>1386</v>
      </c>
      <c r="V94" s="58" t="s">
        <v>1387</v>
      </c>
      <c r="Z94" s="58" t="s">
        <v>401</v>
      </c>
      <c r="AA94" s="58" t="s">
        <v>402</v>
      </c>
      <c r="AI94" s="58" t="s">
        <v>1388</v>
      </c>
      <c r="CL94" s="58" t="s">
        <v>1389</v>
      </c>
      <c r="DL94" s="58" t="s">
        <v>1390</v>
      </c>
    </row>
    <row r="95" ht="15.75" customHeight="1">
      <c r="A95" s="58" t="s">
        <v>1391</v>
      </c>
      <c r="B95" s="58" t="s">
        <v>379</v>
      </c>
      <c r="C95" s="58">
        <v>2019.0</v>
      </c>
      <c r="D95" s="58" t="s">
        <v>716</v>
      </c>
      <c r="E95" s="58" t="s">
        <v>1392</v>
      </c>
      <c r="F95" s="58" t="s">
        <v>1393</v>
      </c>
      <c r="G95" s="58" t="s">
        <v>1394</v>
      </c>
      <c r="I95" s="58" t="s">
        <v>1395</v>
      </c>
      <c r="J95" s="58" t="s">
        <v>1396</v>
      </c>
      <c r="K95" s="58">
        <v>2019.0</v>
      </c>
      <c r="L95" s="72">
        <v>45734.37929398148</v>
      </c>
      <c r="M95" s="72">
        <v>45734.37929398148</v>
      </c>
      <c r="O95" s="58" t="s">
        <v>1397</v>
      </c>
      <c r="V95" s="58" t="s">
        <v>1398</v>
      </c>
      <c r="Z95" s="58" t="s">
        <v>401</v>
      </c>
      <c r="AA95" s="58" t="s">
        <v>402</v>
      </c>
      <c r="AI95" s="58" t="s">
        <v>1399</v>
      </c>
      <c r="CL95" s="58" t="s">
        <v>1400</v>
      </c>
      <c r="DL95" s="58" t="s">
        <v>1401</v>
      </c>
    </row>
    <row r="96" ht="15.75" customHeight="1">
      <c r="A96" s="58" t="s">
        <v>1402</v>
      </c>
      <c r="B96" s="58" t="s">
        <v>379</v>
      </c>
      <c r="C96" s="58">
        <v>2021.0</v>
      </c>
      <c r="D96" s="58" t="s">
        <v>1403</v>
      </c>
      <c r="E96" s="58" t="s">
        <v>1404</v>
      </c>
      <c r="F96" s="58" t="s">
        <v>1405</v>
      </c>
      <c r="G96" s="58" t="s">
        <v>1406</v>
      </c>
      <c r="I96" s="58" t="s">
        <v>1407</v>
      </c>
      <c r="J96" s="58" t="s">
        <v>1408</v>
      </c>
      <c r="K96" s="58">
        <v>2021.0</v>
      </c>
      <c r="L96" s="72">
        <v>45734.37929398148</v>
      </c>
      <c r="M96" s="72">
        <v>45734.37929398148</v>
      </c>
      <c r="V96" s="58" t="s">
        <v>1409</v>
      </c>
      <c r="Z96" s="58" t="s">
        <v>401</v>
      </c>
      <c r="AA96" s="58" t="s">
        <v>402</v>
      </c>
      <c r="AI96" s="58" t="s">
        <v>1410</v>
      </c>
      <c r="CL96" s="58" t="s">
        <v>1411</v>
      </c>
      <c r="DL96" s="58" t="s">
        <v>1412</v>
      </c>
    </row>
    <row r="97" ht="15.75" customHeight="1">
      <c r="A97" s="58" t="s">
        <v>1413</v>
      </c>
      <c r="B97" s="58" t="s">
        <v>379</v>
      </c>
      <c r="C97" s="58">
        <v>2023.0</v>
      </c>
      <c r="D97" s="58" t="s">
        <v>1414</v>
      </c>
      <c r="E97" s="58" t="s">
        <v>1415</v>
      </c>
      <c r="F97" s="58" t="s">
        <v>1416</v>
      </c>
      <c r="G97" s="58" t="s">
        <v>1417</v>
      </c>
      <c r="I97" s="58" t="s">
        <v>1418</v>
      </c>
      <c r="J97" s="58" t="s">
        <v>1419</v>
      </c>
      <c r="K97" s="58">
        <v>2023.0</v>
      </c>
      <c r="L97" s="72">
        <v>45734.37929398148</v>
      </c>
      <c r="M97" s="72">
        <v>45734.37929398148</v>
      </c>
      <c r="O97" s="58" t="s">
        <v>1420</v>
      </c>
      <c r="V97" s="58" t="s">
        <v>1421</v>
      </c>
      <c r="Z97" s="58" t="s">
        <v>401</v>
      </c>
      <c r="AA97" s="58" t="s">
        <v>402</v>
      </c>
      <c r="AI97" s="58" t="s">
        <v>1422</v>
      </c>
      <c r="CL97" s="58" t="s">
        <v>1423</v>
      </c>
      <c r="DL97" s="58" t="s">
        <v>1424</v>
      </c>
    </row>
    <row r="98" ht="15.75" customHeight="1">
      <c r="A98" s="58" t="s">
        <v>1425</v>
      </c>
      <c r="B98" s="58" t="s">
        <v>379</v>
      </c>
      <c r="C98" s="58">
        <v>2024.0</v>
      </c>
      <c r="D98" s="58" t="s">
        <v>1426</v>
      </c>
      <c r="E98" s="58" t="s">
        <v>1427</v>
      </c>
      <c r="F98" s="58" t="s">
        <v>1428</v>
      </c>
      <c r="G98" s="58" t="s">
        <v>1429</v>
      </c>
      <c r="I98" s="58" t="s">
        <v>1430</v>
      </c>
      <c r="J98" s="58" t="s">
        <v>1431</v>
      </c>
      <c r="K98" s="58">
        <v>2024.0</v>
      </c>
      <c r="L98" s="72">
        <v>45734.37929398148</v>
      </c>
      <c r="M98" s="72">
        <v>45734.37929398148</v>
      </c>
      <c r="O98" s="58" t="s">
        <v>1432</v>
      </c>
      <c r="V98" s="58" t="s">
        <v>1433</v>
      </c>
      <c r="Z98" s="58" t="s">
        <v>401</v>
      </c>
      <c r="AA98" s="58" t="s">
        <v>402</v>
      </c>
      <c r="AI98" s="58" t="s">
        <v>1434</v>
      </c>
      <c r="CL98" s="58" t="s">
        <v>1435</v>
      </c>
      <c r="DL98" s="58" t="s">
        <v>1436</v>
      </c>
    </row>
    <row r="99" ht="15.75" customHeight="1">
      <c r="A99" s="58" t="s">
        <v>1437</v>
      </c>
      <c r="B99" s="58" t="s">
        <v>379</v>
      </c>
      <c r="C99" s="58">
        <v>2021.0</v>
      </c>
      <c r="D99" s="58" t="s">
        <v>1438</v>
      </c>
      <c r="E99" s="58" t="s">
        <v>1439</v>
      </c>
      <c r="F99" s="58" t="s">
        <v>1440</v>
      </c>
      <c r="G99" s="58" t="s">
        <v>1441</v>
      </c>
      <c r="I99" s="58" t="s">
        <v>1442</v>
      </c>
      <c r="J99" s="58" t="s">
        <v>1443</v>
      </c>
      <c r="K99" s="58">
        <v>2021.0</v>
      </c>
      <c r="L99" s="72">
        <v>45734.37929398148</v>
      </c>
      <c r="M99" s="72">
        <v>45734.37929398148</v>
      </c>
      <c r="O99" s="58" t="s">
        <v>1444</v>
      </c>
      <c r="Z99" s="58" t="s">
        <v>387</v>
      </c>
      <c r="AA99" s="58" t="s">
        <v>388</v>
      </c>
      <c r="AI99" s="58" t="s">
        <v>1445</v>
      </c>
      <c r="CL99" s="58" t="s">
        <v>1446</v>
      </c>
      <c r="DL99" s="58" t="s">
        <v>1447</v>
      </c>
    </row>
    <row r="100" ht="15.75" customHeight="1">
      <c r="A100" s="58" t="s">
        <v>1448</v>
      </c>
      <c r="B100" s="58" t="s">
        <v>379</v>
      </c>
      <c r="C100" s="58">
        <v>2023.0</v>
      </c>
      <c r="D100" s="58" t="s">
        <v>1449</v>
      </c>
      <c r="E100" s="58" t="s">
        <v>1450</v>
      </c>
      <c r="F100" s="58" t="s">
        <v>1451</v>
      </c>
      <c r="G100" s="58" t="s">
        <v>1452</v>
      </c>
      <c r="I100" s="58" t="s">
        <v>1453</v>
      </c>
      <c r="J100" s="58" t="s">
        <v>1454</v>
      </c>
      <c r="K100" s="58">
        <v>2023.0</v>
      </c>
      <c r="L100" s="72">
        <v>45734.37929398148</v>
      </c>
      <c r="M100" s="72">
        <v>45734.37929398148</v>
      </c>
      <c r="O100" s="58" t="s">
        <v>1455</v>
      </c>
      <c r="V100" s="58" t="s">
        <v>1456</v>
      </c>
      <c r="Z100" s="58" t="s">
        <v>401</v>
      </c>
      <c r="AA100" s="58" t="s">
        <v>402</v>
      </c>
      <c r="AI100" s="58" t="s">
        <v>1457</v>
      </c>
      <c r="CL100" s="58" t="s">
        <v>1458</v>
      </c>
      <c r="DL100" s="58" t="s">
        <v>1459</v>
      </c>
    </row>
    <row r="101" ht="15.75" customHeight="1">
      <c r="A101" s="58" t="s">
        <v>1460</v>
      </c>
      <c r="B101" s="58" t="s">
        <v>379</v>
      </c>
      <c r="C101" s="58">
        <v>2021.0</v>
      </c>
      <c r="D101" s="58" t="s">
        <v>1461</v>
      </c>
      <c r="E101" s="58" t="s">
        <v>1462</v>
      </c>
      <c r="F101" s="58" t="s">
        <v>1463</v>
      </c>
      <c r="G101" s="58" t="s">
        <v>1464</v>
      </c>
      <c r="I101" s="58" t="s">
        <v>1465</v>
      </c>
      <c r="J101" s="58" t="s">
        <v>1466</v>
      </c>
      <c r="K101" s="58">
        <v>2021.0</v>
      </c>
      <c r="L101" s="72">
        <v>45734.37929398148</v>
      </c>
      <c r="M101" s="72">
        <v>45734.37929398148</v>
      </c>
      <c r="O101" s="58" t="s">
        <v>1467</v>
      </c>
      <c r="V101" s="58" t="s">
        <v>1468</v>
      </c>
      <c r="Z101" s="58" t="s">
        <v>401</v>
      </c>
      <c r="AA101" s="58" t="s">
        <v>402</v>
      </c>
      <c r="AI101" s="58" t="s">
        <v>1469</v>
      </c>
      <c r="CL101" s="58" t="s">
        <v>1470</v>
      </c>
      <c r="DL101" s="58" t="s">
        <v>1471</v>
      </c>
    </row>
    <row r="102" ht="15.75" customHeight="1">
      <c r="A102" s="58" t="s">
        <v>1472</v>
      </c>
      <c r="B102" s="58" t="s">
        <v>379</v>
      </c>
      <c r="C102" s="58">
        <v>2020.0</v>
      </c>
      <c r="D102" s="58" t="s">
        <v>1473</v>
      </c>
      <c r="E102" s="58" t="s">
        <v>1474</v>
      </c>
      <c r="F102" s="58" t="s">
        <v>1475</v>
      </c>
      <c r="G102" s="58" t="s">
        <v>1476</v>
      </c>
      <c r="I102" s="58" t="s">
        <v>1477</v>
      </c>
      <c r="J102" s="58" t="s">
        <v>1478</v>
      </c>
      <c r="K102" s="58">
        <v>2020.0</v>
      </c>
      <c r="L102" s="72">
        <v>45734.37929398148</v>
      </c>
      <c r="M102" s="72">
        <v>45734.37929398148</v>
      </c>
      <c r="O102" s="58" t="s">
        <v>1479</v>
      </c>
      <c r="Z102" s="58" t="s">
        <v>387</v>
      </c>
      <c r="AA102" s="58" t="s">
        <v>388</v>
      </c>
      <c r="AI102" s="58" t="s">
        <v>483</v>
      </c>
      <c r="CL102" s="58" t="s">
        <v>1480</v>
      </c>
      <c r="DL102" s="58" t="s">
        <v>1481</v>
      </c>
    </row>
    <row r="103" ht="15.75" customHeight="1">
      <c r="A103" s="58" t="s">
        <v>1482</v>
      </c>
      <c r="B103" s="58" t="s">
        <v>379</v>
      </c>
      <c r="C103" s="58">
        <v>2021.0</v>
      </c>
      <c r="D103" s="58" t="s">
        <v>1483</v>
      </c>
      <c r="E103" s="58" t="s">
        <v>1484</v>
      </c>
      <c r="F103" s="58" t="s">
        <v>1485</v>
      </c>
      <c r="G103" s="58" t="s">
        <v>1486</v>
      </c>
      <c r="I103" s="58" t="s">
        <v>1487</v>
      </c>
      <c r="J103" s="58" t="s">
        <v>1488</v>
      </c>
      <c r="K103" s="58">
        <v>2021.0</v>
      </c>
      <c r="L103" s="72">
        <v>45734.37929398148</v>
      </c>
      <c r="M103" s="72">
        <v>45734.37929398148</v>
      </c>
      <c r="V103" s="58" t="s">
        <v>1489</v>
      </c>
      <c r="Z103" s="58" t="s">
        <v>401</v>
      </c>
      <c r="AA103" s="58" t="s">
        <v>402</v>
      </c>
      <c r="AI103" s="58" t="s">
        <v>1490</v>
      </c>
      <c r="CL103" s="58" t="s">
        <v>1491</v>
      </c>
      <c r="DL103" s="58" t="s">
        <v>1492</v>
      </c>
    </row>
    <row r="104" ht="15.75" customHeight="1">
      <c r="A104" s="58" t="s">
        <v>1493</v>
      </c>
      <c r="B104" s="58" t="s">
        <v>379</v>
      </c>
      <c r="C104" s="58">
        <v>2024.0</v>
      </c>
      <c r="D104" s="58" t="s">
        <v>1494</v>
      </c>
      <c r="E104" s="58" t="s">
        <v>1495</v>
      </c>
      <c r="F104" s="58" t="s">
        <v>1496</v>
      </c>
      <c r="G104" s="58" t="s">
        <v>1497</v>
      </c>
      <c r="I104" s="58" t="s">
        <v>1498</v>
      </c>
      <c r="J104" s="58" t="s">
        <v>1499</v>
      </c>
      <c r="K104" s="58">
        <v>2024.0</v>
      </c>
      <c r="L104" s="72">
        <v>45734.37929398148</v>
      </c>
      <c r="M104" s="72">
        <v>45734.37929398148</v>
      </c>
      <c r="O104" s="58" t="s">
        <v>1500</v>
      </c>
      <c r="V104" s="58" t="s">
        <v>1501</v>
      </c>
      <c r="Z104" s="58" t="s">
        <v>401</v>
      </c>
      <c r="AA104" s="58" t="s">
        <v>402</v>
      </c>
      <c r="AI104" s="58" t="s">
        <v>1502</v>
      </c>
      <c r="CL104" s="58" t="s">
        <v>1503</v>
      </c>
      <c r="DL104" s="58" t="s">
        <v>1504</v>
      </c>
    </row>
    <row r="105" ht="15.75" customHeight="1">
      <c r="A105" s="58" t="s">
        <v>1505</v>
      </c>
      <c r="B105" s="58" t="s">
        <v>379</v>
      </c>
      <c r="C105" s="58">
        <v>2022.0</v>
      </c>
      <c r="D105" s="58" t="s">
        <v>1506</v>
      </c>
      <c r="E105" s="58" t="s">
        <v>1507</v>
      </c>
      <c r="F105" s="58" t="s">
        <v>1508</v>
      </c>
      <c r="G105" s="58" t="s">
        <v>1509</v>
      </c>
      <c r="I105" s="58" t="s">
        <v>1510</v>
      </c>
      <c r="J105" s="58" t="s">
        <v>1511</v>
      </c>
      <c r="K105" s="58">
        <v>2022.0</v>
      </c>
      <c r="L105" s="72">
        <v>45734.37929398148</v>
      </c>
      <c r="M105" s="72">
        <v>45734.37929398148</v>
      </c>
      <c r="O105" s="58" t="s">
        <v>1512</v>
      </c>
      <c r="V105" s="58" t="s">
        <v>1513</v>
      </c>
      <c r="Z105" s="58" t="s">
        <v>401</v>
      </c>
      <c r="AA105" s="58" t="s">
        <v>402</v>
      </c>
      <c r="AI105" s="58" t="s">
        <v>1514</v>
      </c>
      <c r="CL105" s="58" t="s">
        <v>1515</v>
      </c>
      <c r="DL105" s="58" t="s">
        <v>1516</v>
      </c>
    </row>
    <row r="106" ht="15.75" customHeight="1">
      <c r="A106" s="58" t="s">
        <v>1517</v>
      </c>
      <c r="B106" s="58" t="s">
        <v>379</v>
      </c>
      <c r="C106" s="58">
        <v>2024.0</v>
      </c>
      <c r="D106" s="58" t="s">
        <v>1518</v>
      </c>
      <c r="E106" s="58" t="s">
        <v>1519</v>
      </c>
      <c r="F106" s="58" t="s">
        <v>1520</v>
      </c>
      <c r="G106" s="58" t="s">
        <v>1521</v>
      </c>
      <c r="I106" s="58" t="s">
        <v>1522</v>
      </c>
      <c r="J106" s="58" t="s">
        <v>1523</v>
      </c>
      <c r="K106" s="58">
        <v>2024.0</v>
      </c>
      <c r="L106" s="72">
        <v>45734.37929398148</v>
      </c>
      <c r="M106" s="72">
        <v>45734.37929398148</v>
      </c>
      <c r="O106" s="58" t="s">
        <v>635</v>
      </c>
      <c r="V106" s="58" t="s">
        <v>1524</v>
      </c>
      <c r="Z106" s="58" t="s">
        <v>401</v>
      </c>
      <c r="AA106" s="58" t="s">
        <v>402</v>
      </c>
      <c r="AI106" s="58" t="s">
        <v>1525</v>
      </c>
      <c r="CL106" s="58" t="s">
        <v>1526</v>
      </c>
      <c r="DL106" s="58" t="s">
        <v>1527</v>
      </c>
    </row>
    <row r="107" ht="15.75" customHeight="1">
      <c r="A107" s="58" t="s">
        <v>1528</v>
      </c>
      <c r="B107" s="58" t="s">
        <v>379</v>
      </c>
      <c r="C107" s="58">
        <v>2024.0</v>
      </c>
      <c r="D107" s="58" t="s">
        <v>1529</v>
      </c>
      <c r="E107" s="58" t="s">
        <v>1530</v>
      </c>
      <c r="F107" s="58" t="s">
        <v>1531</v>
      </c>
      <c r="G107" s="58" t="s">
        <v>1532</v>
      </c>
      <c r="I107" s="58" t="s">
        <v>1533</v>
      </c>
      <c r="J107" s="58" t="s">
        <v>1534</v>
      </c>
      <c r="K107" s="58">
        <v>2024.0</v>
      </c>
      <c r="L107" s="72">
        <v>45734.37929398148</v>
      </c>
      <c r="M107" s="72">
        <v>45734.37929398148</v>
      </c>
      <c r="O107" s="58" t="s">
        <v>1535</v>
      </c>
      <c r="V107" s="58" t="s">
        <v>1536</v>
      </c>
      <c r="Z107" s="58" t="s">
        <v>401</v>
      </c>
      <c r="AA107" s="58" t="s">
        <v>402</v>
      </c>
      <c r="AI107" s="58" t="s">
        <v>1157</v>
      </c>
      <c r="CL107" s="58" t="s">
        <v>1537</v>
      </c>
      <c r="DL107" s="58" t="s">
        <v>1538</v>
      </c>
    </row>
    <row r="108" ht="15.75" customHeight="1">
      <c r="A108" s="58" t="s">
        <v>1539</v>
      </c>
      <c r="B108" s="58" t="s">
        <v>379</v>
      </c>
      <c r="C108" s="58">
        <v>2019.0</v>
      </c>
      <c r="D108" s="58" t="s">
        <v>1540</v>
      </c>
      <c r="E108" s="58" t="s">
        <v>1541</v>
      </c>
      <c r="F108" s="58" t="s">
        <v>1542</v>
      </c>
      <c r="G108" s="58" t="s">
        <v>1543</v>
      </c>
      <c r="I108" s="58" t="s">
        <v>1544</v>
      </c>
      <c r="J108" s="58" t="s">
        <v>1545</v>
      </c>
      <c r="K108" s="58">
        <v>2019.0</v>
      </c>
      <c r="L108" s="72">
        <v>45734.37929398148</v>
      </c>
      <c r="M108" s="72">
        <v>45734.37929398148</v>
      </c>
      <c r="O108" s="58" t="s">
        <v>1546</v>
      </c>
      <c r="V108" s="58" t="s">
        <v>1547</v>
      </c>
      <c r="Z108" s="58" t="s">
        <v>401</v>
      </c>
      <c r="AA108" s="58" t="s">
        <v>402</v>
      </c>
      <c r="AI108" s="58" t="s">
        <v>403</v>
      </c>
      <c r="CL108" s="58" t="s">
        <v>1548</v>
      </c>
      <c r="DL108" s="58" t="s">
        <v>1549</v>
      </c>
    </row>
    <row r="109" ht="15.75" customHeight="1">
      <c r="A109" s="58" t="s">
        <v>1550</v>
      </c>
      <c r="B109" s="58" t="s">
        <v>379</v>
      </c>
      <c r="C109" s="58">
        <v>2023.0</v>
      </c>
      <c r="D109" s="58" t="s">
        <v>1551</v>
      </c>
      <c r="E109" s="58" t="s">
        <v>1552</v>
      </c>
      <c r="F109" s="58" t="s">
        <v>1553</v>
      </c>
      <c r="G109" s="58" t="s">
        <v>1554</v>
      </c>
      <c r="I109" s="58" t="s">
        <v>1555</v>
      </c>
      <c r="J109" s="58" t="s">
        <v>1556</v>
      </c>
      <c r="K109" s="58">
        <v>2023.0</v>
      </c>
      <c r="L109" s="72">
        <v>45734.37929398148</v>
      </c>
      <c r="M109" s="72">
        <v>45734.37929398148</v>
      </c>
      <c r="O109" s="58" t="s">
        <v>1557</v>
      </c>
      <c r="Z109" s="58" t="s">
        <v>387</v>
      </c>
      <c r="AA109" s="58" t="s">
        <v>388</v>
      </c>
      <c r="AI109" s="58" t="s">
        <v>591</v>
      </c>
      <c r="CL109" s="58" t="s">
        <v>1558</v>
      </c>
      <c r="DL109" s="58" t="s">
        <v>1559</v>
      </c>
    </row>
    <row r="110" ht="15.75" customHeight="1">
      <c r="A110" s="58" t="s">
        <v>1560</v>
      </c>
      <c r="B110" s="58" t="s">
        <v>379</v>
      </c>
      <c r="C110" s="58">
        <v>2024.0</v>
      </c>
      <c r="D110" s="58" t="s">
        <v>1561</v>
      </c>
      <c r="E110" s="58" t="s">
        <v>1562</v>
      </c>
      <c r="F110" s="58" t="s">
        <v>1563</v>
      </c>
      <c r="G110" s="58" t="s">
        <v>1564</v>
      </c>
      <c r="I110" s="58" t="s">
        <v>1565</v>
      </c>
      <c r="J110" s="58" t="s">
        <v>1566</v>
      </c>
      <c r="K110" s="58">
        <v>2024.0</v>
      </c>
      <c r="L110" s="72">
        <v>45734.37929398148</v>
      </c>
      <c r="M110" s="72">
        <v>45734.37929398148</v>
      </c>
      <c r="O110" s="58" t="s">
        <v>1567</v>
      </c>
      <c r="V110" s="58" t="s">
        <v>1568</v>
      </c>
      <c r="Z110" s="58" t="s">
        <v>401</v>
      </c>
      <c r="AA110" s="58" t="s">
        <v>402</v>
      </c>
      <c r="AI110" s="58" t="s">
        <v>1569</v>
      </c>
      <c r="CL110" s="58" t="s">
        <v>1570</v>
      </c>
    </row>
    <row r="111" ht="15.75" customHeight="1">
      <c r="A111" s="58" t="s">
        <v>1571</v>
      </c>
      <c r="B111" s="58" t="s">
        <v>379</v>
      </c>
      <c r="C111" s="58">
        <v>2022.0</v>
      </c>
      <c r="D111" s="58" t="s">
        <v>1572</v>
      </c>
      <c r="E111" s="58" t="s">
        <v>1573</v>
      </c>
      <c r="F111" s="58" t="s">
        <v>1574</v>
      </c>
      <c r="G111" s="58" t="s">
        <v>1575</v>
      </c>
      <c r="I111" s="58" t="s">
        <v>1576</v>
      </c>
      <c r="J111" s="58" t="s">
        <v>1577</v>
      </c>
      <c r="K111" s="58">
        <v>2022.0</v>
      </c>
      <c r="L111" s="72">
        <v>45734.37929398148</v>
      </c>
      <c r="M111" s="72">
        <v>45734.37929398148</v>
      </c>
      <c r="O111" s="58" t="s">
        <v>1578</v>
      </c>
      <c r="Z111" s="58" t="s">
        <v>387</v>
      </c>
      <c r="AA111" s="58" t="s">
        <v>388</v>
      </c>
      <c r="AI111" s="58" t="s">
        <v>1579</v>
      </c>
      <c r="CL111" s="58" t="s">
        <v>1580</v>
      </c>
      <c r="DL111" s="58" t="s">
        <v>1581</v>
      </c>
    </row>
    <row r="112" ht="15.75" customHeight="1">
      <c r="A112" s="58" t="s">
        <v>1582</v>
      </c>
      <c r="B112" s="58" t="s">
        <v>379</v>
      </c>
      <c r="C112" s="58">
        <v>2017.0</v>
      </c>
      <c r="D112" s="58" t="s">
        <v>1583</v>
      </c>
      <c r="E112" s="58" t="s">
        <v>1584</v>
      </c>
      <c r="F112" s="58" t="s">
        <v>1585</v>
      </c>
      <c r="G112" s="58" t="s">
        <v>1586</v>
      </c>
      <c r="I112" s="58" t="s">
        <v>1587</v>
      </c>
      <c r="J112" s="58" t="s">
        <v>1588</v>
      </c>
      <c r="K112" s="58">
        <v>2017.0</v>
      </c>
      <c r="L112" s="72">
        <v>45734.37929398148</v>
      </c>
      <c r="M112" s="72">
        <v>45734.37929398148</v>
      </c>
      <c r="O112" s="58" t="s">
        <v>1589</v>
      </c>
      <c r="Z112" s="58" t="s">
        <v>387</v>
      </c>
      <c r="AA112" s="58" t="s">
        <v>388</v>
      </c>
      <c r="AI112" s="58" t="s">
        <v>1590</v>
      </c>
      <c r="CL112" s="58" t="s">
        <v>1591</v>
      </c>
      <c r="DL112" s="58" t="s">
        <v>1592</v>
      </c>
    </row>
    <row r="113" ht="15.75" customHeight="1">
      <c r="A113" s="58" t="s">
        <v>1593</v>
      </c>
      <c r="B113" s="58" t="s">
        <v>379</v>
      </c>
      <c r="C113" s="58">
        <v>2023.0</v>
      </c>
      <c r="D113" s="58" t="s">
        <v>1594</v>
      </c>
      <c r="E113" s="58" t="s">
        <v>1595</v>
      </c>
      <c r="F113" s="58" t="s">
        <v>1596</v>
      </c>
      <c r="G113" s="58" t="s">
        <v>1597</v>
      </c>
      <c r="I113" s="58" t="s">
        <v>1598</v>
      </c>
      <c r="J113" s="58" t="s">
        <v>1599</v>
      </c>
      <c r="K113" s="58">
        <v>2023.0</v>
      </c>
      <c r="L113" s="72">
        <v>45734.37929398148</v>
      </c>
      <c r="M113" s="72">
        <v>45734.37929398148</v>
      </c>
      <c r="V113" s="58" t="s">
        <v>1600</v>
      </c>
      <c r="Z113" s="58" t="s">
        <v>401</v>
      </c>
      <c r="AA113" s="58" t="s">
        <v>402</v>
      </c>
      <c r="AI113" s="58" t="s">
        <v>850</v>
      </c>
      <c r="CL113" s="58" t="s">
        <v>1601</v>
      </c>
      <c r="DL113" s="58" t="s">
        <v>1602</v>
      </c>
    </row>
    <row r="114" ht="15.75" customHeight="1">
      <c r="A114" s="58" t="s">
        <v>1603</v>
      </c>
      <c r="B114" s="58" t="s">
        <v>379</v>
      </c>
      <c r="C114" s="58">
        <v>2020.0</v>
      </c>
      <c r="D114" s="58" t="s">
        <v>1604</v>
      </c>
      <c r="E114" s="58" t="s">
        <v>1605</v>
      </c>
      <c r="F114" s="58" t="s">
        <v>1606</v>
      </c>
      <c r="G114" s="58" t="s">
        <v>1607</v>
      </c>
      <c r="I114" s="58" t="s">
        <v>1608</v>
      </c>
      <c r="J114" s="58" t="s">
        <v>1609</v>
      </c>
      <c r="K114" s="58">
        <v>2020.0</v>
      </c>
      <c r="L114" s="72">
        <v>45734.37929398148</v>
      </c>
      <c r="M114" s="72">
        <v>45734.37929398148</v>
      </c>
      <c r="O114" s="58" t="s">
        <v>1610</v>
      </c>
      <c r="V114" s="58" t="s">
        <v>1611</v>
      </c>
      <c r="Z114" s="58" t="s">
        <v>401</v>
      </c>
      <c r="AA114" s="58" t="s">
        <v>402</v>
      </c>
      <c r="AI114" s="58" t="s">
        <v>1612</v>
      </c>
      <c r="CL114" s="58" t="s">
        <v>1613</v>
      </c>
      <c r="DL114" s="58" t="s">
        <v>1614</v>
      </c>
    </row>
    <row r="115" ht="15.75" customHeight="1">
      <c r="A115" s="58" t="s">
        <v>1615</v>
      </c>
      <c r="B115" s="58" t="s">
        <v>379</v>
      </c>
      <c r="C115" s="58">
        <v>2023.0</v>
      </c>
      <c r="D115" s="58" t="s">
        <v>1616</v>
      </c>
      <c r="E115" s="58" t="s">
        <v>1617</v>
      </c>
      <c r="F115" s="58" t="s">
        <v>1618</v>
      </c>
      <c r="G115" s="58" t="s">
        <v>1619</v>
      </c>
      <c r="I115" s="58" t="s">
        <v>1620</v>
      </c>
      <c r="J115" s="58" t="s">
        <v>1621</v>
      </c>
      <c r="K115" s="58">
        <v>2023.0</v>
      </c>
      <c r="L115" s="72">
        <v>45734.37929398148</v>
      </c>
      <c r="M115" s="72">
        <v>45734.37929398148</v>
      </c>
      <c r="O115" s="58" t="s">
        <v>1622</v>
      </c>
      <c r="V115" s="58" t="s">
        <v>1623</v>
      </c>
      <c r="Z115" s="58" t="s">
        <v>555</v>
      </c>
      <c r="AA115" s="58" t="s">
        <v>1624</v>
      </c>
      <c r="CL115" s="58" t="s">
        <v>1625</v>
      </c>
      <c r="DL115" s="58" t="s">
        <v>1626</v>
      </c>
    </row>
    <row r="116" ht="15.75" customHeight="1">
      <c r="A116" s="58" t="s">
        <v>1627</v>
      </c>
      <c r="B116" s="58" t="s">
        <v>379</v>
      </c>
      <c r="C116" s="58">
        <v>2024.0</v>
      </c>
      <c r="D116" s="58" t="s">
        <v>1628</v>
      </c>
      <c r="E116" s="58" t="s">
        <v>1629</v>
      </c>
      <c r="F116" s="58" t="s">
        <v>1630</v>
      </c>
      <c r="G116" s="58" t="s">
        <v>1631</v>
      </c>
      <c r="I116" s="58" t="s">
        <v>1632</v>
      </c>
      <c r="J116" s="58" t="s">
        <v>1633</v>
      </c>
      <c r="K116" s="58">
        <v>2024.0</v>
      </c>
      <c r="L116" s="72">
        <v>45734.37929398148</v>
      </c>
      <c r="M116" s="72">
        <v>45734.37929398148</v>
      </c>
      <c r="O116" s="58" t="s">
        <v>1634</v>
      </c>
      <c r="Z116" s="58" t="s">
        <v>387</v>
      </c>
      <c r="AA116" s="58" t="s">
        <v>388</v>
      </c>
      <c r="AI116" s="58" t="s">
        <v>1635</v>
      </c>
      <c r="CL116" s="58" t="s">
        <v>1636</v>
      </c>
      <c r="DL116" s="58" t="s">
        <v>1637</v>
      </c>
    </row>
    <row r="117" ht="15.75" customHeight="1">
      <c r="A117" s="58" t="s">
        <v>1638</v>
      </c>
      <c r="B117" s="58" t="s">
        <v>379</v>
      </c>
      <c r="C117" s="58">
        <v>2024.0</v>
      </c>
      <c r="D117" s="58" t="s">
        <v>1639</v>
      </c>
      <c r="E117" s="58" t="s">
        <v>1640</v>
      </c>
      <c r="F117" s="58" t="s">
        <v>521</v>
      </c>
      <c r="G117" s="58" t="s">
        <v>522</v>
      </c>
      <c r="I117" s="58" t="s">
        <v>1641</v>
      </c>
      <c r="J117" s="58" t="s">
        <v>1642</v>
      </c>
      <c r="K117" s="58">
        <v>2024.0</v>
      </c>
      <c r="L117" s="72">
        <v>45734.37929398148</v>
      </c>
      <c r="M117" s="72">
        <v>45734.37929398148</v>
      </c>
      <c r="V117" s="58" t="s">
        <v>525</v>
      </c>
      <c r="Z117" s="58" t="s">
        <v>401</v>
      </c>
      <c r="AA117" s="58" t="s">
        <v>402</v>
      </c>
      <c r="AI117" s="58" t="s">
        <v>526</v>
      </c>
      <c r="CL117" s="58" t="s">
        <v>1643</v>
      </c>
      <c r="DL117" s="58" t="s">
        <v>1644</v>
      </c>
    </row>
    <row r="118" ht="15.75" customHeight="1">
      <c r="A118" s="58" t="s">
        <v>1645</v>
      </c>
      <c r="B118" s="58" t="s">
        <v>379</v>
      </c>
      <c r="C118" s="58">
        <v>2023.0</v>
      </c>
      <c r="D118" s="58" t="s">
        <v>1646</v>
      </c>
      <c r="E118" s="58" t="s">
        <v>1647</v>
      </c>
      <c r="F118" s="58" t="s">
        <v>1648</v>
      </c>
      <c r="G118" s="58" t="s">
        <v>1649</v>
      </c>
      <c r="I118" s="58" t="s">
        <v>1650</v>
      </c>
      <c r="J118" s="58" t="s">
        <v>1651</v>
      </c>
      <c r="K118" s="58">
        <v>2023.0</v>
      </c>
      <c r="L118" s="72">
        <v>45734.37929398148</v>
      </c>
      <c r="M118" s="72">
        <v>45734.37929398148</v>
      </c>
      <c r="V118" s="58" t="s">
        <v>1652</v>
      </c>
      <c r="Z118" s="58" t="s">
        <v>401</v>
      </c>
      <c r="AA118" s="58" t="s">
        <v>402</v>
      </c>
      <c r="AI118" s="58" t="s">
        <v>1653</v>
      </c>
      <c r="CL118" s="58" t="s">
        <v>1654</v>
      </c>
      <c r="DL118" s="58" t="s">
        <v>1655</v>
      </c>
    </row>
    <row r="119" ht="15.75" customHeight="1">
      <c r="A119" s="58" t="s">
        <v>1656</v>
      </c>
      <c r="B119" s="58" t="s">
        <v>379</v>
      </c>
      <c r="C119" s="58">
        <v>2024.0</v>
      </c>
      <c r="D119" s="58" t="s">
        <v>1657</v>
      </c>
      <c r="E119" s="58" t="s">
        <v>1658</v>
      </c>
      <c r="F119" s="58" t="s">
        <v>1659</v>
      </c>
      <c r="G119" s="58" t="s">
        <v>1660</v>
      </c>
      <c r="I119" s="58" t="s">
        <v>1661</v>
      </c>
      <c r="J119" s="58" t="s">
        <v>1662</v>
      </c>
      <c r="K119" s="58">
        <v>2024.0</v>
      </c>
      <c r="L119" s="72">
        <v>45734.37929398148</v>
      </c>
      <c r="M119" s="72">
        <v>45734.37929398148</v>
      </c>
      <c r="V119" s="58" t="s">
        <v>1663</v>
      </c>
      <c r="Z119" s="58" t="s">
        <v>401</v>
      </c>
      <c r="AA119" s="58" t="s">
        <v>402</v>
      </c>
      <c r="AI119" s="58" t="s">
        <v>1664</v>
      </c>
      <c r="CL119" s="58" t="s">
        <v>1665</v>
      </c>
      <c r="DL119" s="58" t="s">
        <v>1666</v>
      </c>
    </row>
    <row r="120" ht="15.75" customHeight="1">
      <c r="A120" s="58" t="s">
        <v>1667</v>
      </c>
      <c r="B120" s="58" t="s">
        <v>379</v>
      </c>
      <c r="C120" s="58">
        <v>2019.0</v>
      </c>
      <c r="D120" s="58" t="s">
        <v>1668</v>
      </c>
      <c r="E120" s="58" t="s">
        <v>1669</v>
      </c>
      <c r="F120" s="58" t="s">
        <v>619</v>
      </c>
      <c r="G120" s="58" t="s">
        <v>620</v>
      </c>
      <c r="I120" s="58" t="s">
        <v>1670</v>
      </c>
      <c r="J120" s="58" t="s">
        <v>1671</v>
      </c>
      <c r="K120" s="58">
        <v>2019.0</v>
      </c>
      <c r="L120" s="72">
        <v>45734.37929398148</v>
      </c>
      <c r="M120" s="72">
        <v>45734.37929398148</v>
      </c>
      <c r="O120" s="58" t="s">
        <v>1672</v>
      </c>
      <c r="V120" s="58" t="s">
        <v>624</v>
      </c>
      <c r="Z120" s="58" t="s">
        <v>401</v>
      </c>
      <c r="AA120" s="58" t="s">
        <v>402</v>
      </c>
      <c r="AI120" s="58" t="s">
        <v>625</v>
      </c>
      <c r="CL120" s="58" t="s">
        <v>1673</v>
      </c>
    </row>
    <row r="121" ht="15.75" customHeight="1">
      <c r="A121" s="58" t="s">
        <v>1674</v>
      </c>
      <c r="B121" s="58" t="s">
        <v>379</v>
      </c>
      <c r="C121" s="58">
        <v>2019.0</v>
      </c>
      <c r="D121" s="58" t="s">
        <v>1675</v>
      </c>
      <c r="E121" s="58" t="s">
        <v>1676</v>
      </c>
      <c r="F121" s="58" t="s">
        <v>619</v>
      </c>
      <c r="G121" s="58" t="s">
        <v>620</v>
      </c>
      <c r="I121" s="58" t="s">
        <v>1677</v>
      </c>
      <c r="J121" s="58" t="s">
        <v>1678</v>
      </c>
      <c r="K121" s="58">
        <v>2019.0</v>
      </c>
      <c r="L121" s="72">
        <v>45734.37929398148</v>
      </c>
      <c r="M121" s="72">
        <v>45734.37929398148</v>
      </c>
      <c r="O121" s="58" t="s">
        <v>1679</v>
      </c>
      <c r="V121" s="58" t="s">
        <v>624</v>
      </c>
      <c r="Z121" s="58" t="s">
        <v>401</v>
      </c>
      <c r="AA121" s="58" t="s">
        <v>402</v>
      </c>
      <c r="AI121" s="58" t="s">
        <v>625</v>
      </c>
      <c r="CL121" s="58" t="s">
        <v>1680</v>
      </c>
      <c r="DL121" s="58" t="s">
        <v>1681</v>
      </c>
    </row>
    <row r="122" ht="15.75" customHeight="1">
      <c r="A122" s="58" t="s">
        <v>1682</v>
      </c>
      <c r="B122" s="58" t="s">
        <v>379</v>
      </c>
      <c r="C122" s="58">
        <v>2023.0</v>
      </c>
      <c r="D122" s="58" t="s">
        <v>1683</v>
      </c>
      <c r="E122" s="58" t="s">
        <v>1684</v>
      </c>
      <c r="F122" s="58" t="s">
        <v>1685</v>
      </c>
      <c r="G122" s="58" t="s">
        <v>1686</v>
      </c>
      <c r="I122" s="58" t="s">
        <v>1687</v>
      </c>
      <c r="J122" s="58" t="s">
        <v>1688</v>
      </c>
      <c r="K122" s="58">
        <v>2023.0</v>
      </c>
      <c r="L122" s="72">
        <v>45734.37929398148</v>
      </c>
      <c r="M122" s="72">
        <v>45734.37929398148</v>
      </c>
      <c r="V122" s="58" t="s">
        <v>1689</v>
      </c>
      <c r="Z122" s="58" t="s">
        <v>401</v>
      </c>
      <c r="AA122" s="58" t="s">
        <v>402</v>
      </c>
      <c r="AI122" s="58" t="s">
        <v>1690</v>
      </c>
      <c r="CL122" s="58" t="s">
        <v>1691</v>
      </c>
    </row>
    <row r="123" ht="15.75" customHeight="1">
      <c r="A123" s="58" t="s">
        <v>1692</v>
      </c>
      <c r="B123" s="58" t="s">
        <v>379</v>
      </c>
      <c r="C123" s="58">
        <v>2021.0</v>
      </c>
      <c r="D123" s="58" t="s">
        <v>1693</v>
      </c>
      <c r="E123" s="58" t="s">
        <v>1694</v>
      </c>
      <c r="F123" s="58" t="s">
        <v>1695</v>
      </c>
      <c r="G123" s="58" t="s">
        <v>1696</v>
      </c>
      <c r="I123" s="58" t="s">
        <v>1697</v>
      </c>
      <c r="J123" s="58" t="s">
        <v>1698</v>
      </c>
      <c r="K123" s="58">
        <v>2021.0</v>
      </c>
      <c r="L123" s="72">
        <v>45734.37929398148</v>
      </c>
      <c r="M123" s="72">
        <v>45734.37929398148</v>
      </c>
      <c r="V123" s="58" t="s">
        <v>1699</v>
      </c>
      <c r="Z123" s="58" t="s">
        <v>401</v>
      </c>
      <c r="AA123" s="58" t="s">
        <v>402</v>
      </c>
      <c r="AI123" s="58" t="s">
        <v>1700</v>
      </c>
      <c r="CL123" s="58" t="s">
        <v>1701</v>
      </c>
      <c r="DL123" s="58" t="s">
        <v>1702</v>
      </c>
    </row>
    <row r="124" ht="15.75" customHeight="1">
      <c r="A124" s="58" t="s">
        <v>1703</v>
      </c>
      <c r="B124" s="58" t="s">
        <v>379</v>
      </c>
      <c r="C124" s="58">
        <v>2019.0</v>
      </c>
      <c r="D124" s="58" t="s">
        <v>1704</v>
      </c>
      <c r="E124" s="58" t="s">
        <v>1705</v>
      </c>
      <c r="F124" s="58" t="s">
        <v>1706</v>
      </c>
      <c r="G124" s="58" t="s">
        <v>1707</v>
      </c>
      <c r="I124" s="58" t="s">
        <v>1708</v>
      </c>
      <c r="J124" s="58" t="s">
        <v>1709</v>
      </c>
      <c r="K124" s="58">
        <v>2019.0</v>
      </c>
      <c r="L124" s="72">
        <v>45734.37929398148</v>
      </c>
      <c r="M124" s="72">
        <v>45734.37929398148</v>
      </c>
      <c r="O124" s="58" t="s">
        <v>1710</v>
      </c>
      <c r="V124" s="58" t="s">
        <v>1711</v>
      </c>
      <c r="Z124" s="58" t="s">
        <v>401</v>
      </c>
      <c r="AA124" s="58" t="s">
        <v>402</v>
      </c>
      <c r="AI124" s="58" t="s">
        <v>1712</v>
      </c>
      <c r="CL124" s="58" t="s">
        <v>1713</v>
      </c>
      <c r="DL124" s="58" t="s">
        <v>1714</v>
      </c>
    </row>
    <row r="125" ht="15.75" customHeight="1">
      <c r="A125" s="58" t="s">
        <v>1715</v>
      </c>
      <c r="B125" s="58" t="s">
        <v>379</v>
      </c>
      <c r="C125" s="58">
        <v>2022.0</v>
      </c>
      <c r="D125" s="58" t="s">
        <v>1716</v>
      </c>
      <c r="E125" s="58" t="s">
        <v>1717</v>
      </c>
      <c r="F125" s="58" t="s">
        <v>1718</v>
      </c>
      <c r="G125" s="58" t="s">
        <v>1719</v>
      </c>
      <c r="I125" s="58" t="s">
        <v>1720</v>
      </c>
      <c r="J125" s="58" t="s">
        <v>1721</v>
      </c>
      <c r="K125" s="58">
        <v>2022.0</v>
      </c>
      <c r="L125" s="72">
        <v>45734.37929398148</v>
      </c>
      <c r="M125" s="72">
        <v>45734.37929398148</v>
      </c>
      <c r="O125" s="58" t="s">
        <v>1722</v>
      </c>
      <c r="V125" s="58" t="s">
        <v>1723</v>
      </c>
      <c r="Z125" s="58" t="s">
        <v>401</v>
      </c>
      <c r="AA125" s="58" t="s">
        <v>402</v>
      </c>
      <c r="AI125" s="58" t="s">
        <v>1724</v>
      </c>
      <c r="CL125" s="58" t="s">
        <v>1725</v>
      </c>
    </row>
    <row r="126" ht="15.75" customHeight="1">
      <c r="A126" s="58" t="s">
        <v>1726</v>
      </c>
      <c r="B126" s="58" t="s">
        <v>379</v>
      </c>
      <c r="C126" s="58">
        <v>2020.0</v>
      </c>
      <c r="D126" s="58" t="s">
        <v>1727</v>
      </c>
      <c r="E126" s="58" t="s">
        <v>1728</v>
      </c>
      <c r="F126" s="58" t="s">
        <v>1729</v>
      </c>
      <c r="G126" s="58" t="s">
        <v>1730</v>
      </c>
      <c r="I126" s="58" t="s">
        <v>1731</v>
      </c>
      <c r="J126" s="58" t="s">
        <v>1732</v>
      </c>
      <c r="K126" s="58">
        <v>2020.0</v>
      </c>
      <c r="L126" s="72">
        <v>45734.37929398148</v>
      </c>
      <c r="M126" s="72">
        <v>45734.37929398148</v>
      </c>
      <c r="O126" s="58" t="s">
        <v>1733</v>
      </c>
      <c r="V126" s="58" t="s">
        <v>1734</v>
      </c>
      <c r="Z126" s="58" t="s">
        <v>401</v>
      </c>
      <c r="AA126" s="58" t="s">
        <v>402</v>
      </c>
      <c r="AI126" s="58" t="s">
        <v>1735</v>
      </c>
      <c r="CL126" s="58" t="s">
        <v>1736</v>
      </c>
      <c r="DL126" s="58" t="s">
        <v>1737</v>
      </c>
    </row>
    <row r="127" ht="15.75" customHeight="1">
      <c r="A127" s="58" t="s">
        <v>1738</v>
      </c>
      <c r="B127" s="58" t="s">
        <v>379</v>
      </c>
      <c r="C127" s="58">
        <v>2023.0</v>
      </c>
      <c r="D127" s="58" t="s">
        <v>1739</v>
      </c>
      <c r="E127" s="58" t="s">
        <v>1740</v>
      </c>
      <c r="F127" s="58" t="s">
        <v>1741</v>
      </c>
      <c r="G127" s="58" t="s">
        <v>1742</v>
      </c>
      <c r="I127" s="58" t="s">
        <v>1743</v>
      </c>
      <c r="J127" s="58" t="s">
        <v>1744</v>
      </c>
      <c r="K127" s="58">
        <v>2023.0</v>
      </c>
      <c r="L127" s="72">
        <v>45734.37929398148</v>
      </c>
      <c r="M127" s="72">
        <v>45734.37929398148</v>
      </c>
      <c r="O127" s="58" t="s">
        <v>1745</v>
      </c>
      <c r="V127" s="58" t="s">
        <v>1746</v>
      </c>
      <c r="Z127" s="58" t="s">
        <v>401</v>
      </c>
      <c r="AA127" s="58" t="s">
        <v>402</v>
      </c>
      <c r="AI127" s="58" t="s">
        <v>1399</v>
      </c>
      <c r="CL127" s="58" t="s">
        <v>1747</v>
      </c>
      <c r="DL127" s="58" t="s">
        <v>1748</v>
      </c>
    </row>
    <row r="128" ht="15.75" customHeight="1">
      <c r="A128" s="58" t="s">
        <v>1749</v>
      </c>
      <c r="B128" s="58" t="s">
        <v>379</v>
      </c>
      <c r="C128" s="58">
        <v>2025.0</v>
      </c>
      <c r="D128" s="58" t="s">
        <v>1750</v>
      </c>
      <c r="E128" s="58" t="s">
        <v>1751</v>
      </c>
      <c r="F128" s="58" t="s">
        <v>1752</v>
      </c>
      <c r="G128" s="58" t="s">
        <v>1753</v>
      </c>
      <c r="I128" s="58" t="s">
        <v>1754</v>
      </c>
      <c r="J128" s="58" t="s">
        <v>1755</v>
      </c>
      <c r="K128" s="58">
        <v>2025.0</v>
      </c>
      <c r="L128" s="72">
        <v>45734.37929398148</v>
      </c>
      <c r="M128" s="72">
        <v>45734.37929398148</v>
      </c>
      <c r="O128" s="58" t="s">
        <v>1756</v>
      </c>
      <c r="V128" s="58" t="s">
        <v>1757</v>
      </c>
      <c r="Z128" s="58" t="s">
        <v>555</v>
      </c>
      <c r="AA128" s="58" t="s">
        <v>602</v>
      </c>
      <c r="CL128" s="58" t="s">
        <v>1758</v>
      </c>
      <c r="DL128" s="58" t="s">
        <v>1759</v>
      </c>
    </row>
    <row r="129" ht="15.75" customHeight="1">
      <c r="A129" s="58" t="s">
        <v>1760</v>
      </c>
      <c r="B129" s="58" t="s">
        <v>379</v>
      </c>
      <c r="C129" s="58">
        <v>2019.0</v>
      </c>
      <c r="D129" s="58" t="s">
        <v>1761</v>
      </c>
      <c r="E129" s="58" t="s">
        <v>1762</v>
      </c>
      <c r="F129" s="58" t="s">
        <v>1763</v>
      </c>
      <c r="G129" s="58" t="s">
        <v>1764</v>
      </c>
      <c r="I129" s="58" t="s">
        <v>1765</v>
      </c>
      <c r="J129" s="58" t="s">
        <v>1766</v>
      </c>
      <c r="K129" s="58">
        <v>2019.0</v>
      </c>
      <c r="L129" s="72">
        <v>45734.37929398148</v>
      </c>
      <c r="M129" s="72">
        <v>45734.37929398148</v>
      </c>
      <c r="O129" s="58" t="s">
        <v>1767</v>
      </c>
      <c r="V129" s="58" t="s">
        <v>1768</v>
      </c>
      <c r="Z129" s="58" t="s">
        <v>401</v>
      </c>
      <c r="AA129" s="58" t="s">
        <v>402</v>
      </c>
      <c r="AI129" s="58" t="s">
        <v>1769</v>
      </c>
      <c r="CL129" s="58" t="s">
        <v>1770</v>
      </c>
      <c r="DL129" s="58" t="s">
        <v>1771</v>
      </c>
    </row>
    <row r="130" ht="15.75" customHeight="1">
      <c r="A130" s="58" t="s">
        <v>1772</v>
      </c>
      <c r="B130" s="58" t="s">
        <v>379</v>
      </c>
      <c r="C130" s="58">
        <v>2024.0</v>
      </c>
      <c r="D130" s="58" t="s">
        <v>1773</v>
      </c>
      <c r="E130" s="58" t="s">
        <v>1774</v>
      </c>
      <c r="F130" s="58" t="s">
        <v>1775</v>
      </c>
      <c r="G130" s="58" t="s">
        <v>1776</v>
      </c>
      <c r="I130" s="58" t="s">
        <v>1777</v>
      </c>
      <c r="J130" s="58" t="s">
        <v>1778</v>
      </c>
      <c r="K130" s="58">
        <v>2024.0</v>
      </c>
      <c r="L130" s="72">
        <v>45734.37929398148</v>
      </c>
      <c r="M130" s="72">
        <v>45734.37929398148</v>
      </c>
      <c r="O130" s="58" t="s">
        <v>1779</v>
      </c>
      <c r="V130" s="58" t="s">
        <v>1780</v>
      </c>
      <c r="Z130" s="58" t="s">
        <v>401</v>
      </c>
      <c r="AA130" s="58" t="s">
        <v>402</v>
      </c>
      <c r="AI130" s="58" t="s">
        <v>1781</v>
      </c>
      <c r="CL130" s="58" t="s">
        <v>1782</v>
      </c>
      <c r="DL130" s="58" t="s">
        <v>1783</v>
      </c>
    </row>
    <row r="131" ht="15.75" customHeight="1">
      <c r="A131" s="58" t="s">
        <v>1784</v>
      </c>
      <c r="B131" s="58" t="s">
        <v>379</v>
      </c>
      <c r="C131" s="58">
        <v>2024.0</v>
      </c>
      <c r="D131" s="58" t="s">
        <v>1785</v>
      </c>
      <c r="E131" s="58" t="s">
        <v>1786</v>
      </c>
      <c r="F131" s="58" t="s">
        <v>1787</v>
      </c>
      <c r="G131" s="58" t="s">
        <v>1788</v>
      </c>
      <c r="I131" s="58" t="s">
        <v>1789</v>
      </c>
      <c r="J131" s="58" t="s">
        <v>1790</v>
      </c>
      <c r="K131" s="58">
        <v>2024.0</v>
      </c>
      <c r="L131" s="72">
        <v>45734.37929398148</v>
      </c>
      <c r="M131" s="72">
        <v>45734.37929398148</v>
      </c>
      <c r="O131" s="58" t="s">
        <v>1791</v>
      </c>
      <c r="V131" s="58" t="s">
        <v>1792</v>
      </c>
      <c r="Z131" s="58" t="s">
        <v>401</v>
      </c>
      <c r="AA131" s="58" t="s">
        <v>402</v>
      </c>
      <c r="AI131" s="58" t="s">
        <v>1793</v>
      </c>
      <c r="CL131" s="58" t="s">
        <v>1794</v>
      </c>
      <c r="DL131" s="58" t="s">
        <v>1795</v>
      </c>
    </row>
    <row r="132" ht="15.75" customHeight="1">
      <c r="A132" s="58" t="s">
        <v>1796</v>
      </c>
      <c r="B132" s="58" t="s">
        <v>379</v>
      </c>
      <c r="C132" s="58">
        <v>2024.0</v>
      </c>
      <c r="D132" s="58" t="s">
        <v>1797</v>
      </c>
      <c r="E132" s="58" t="s">
        <v>1798</v>
      </c>
      <c r="F132" s="58" t="s">
        <v>1799</v>
      </c>
      <c r="G132" s="58" t="s">
        <v>1800</v>
      </c>
      <c r="I132" s="58" t="s">
        <v>1801</v>
      </c>
      <c r="J132" s="58" t="s">
        <v>1802</v>
      </c>
      <c r="K132" s="58">
        <v>2024.0</v>
      </c>
      <c r="L132" s="72">
        <v>45734.37929398148</v>
      </c>
      <c r="M132" s="72">
        <v>45734.37929398148</v>
      </c>
      <c r="O132" s="58" t="s">
        <v>1803</v>
      </c>
      <c r="V132" s="58" t="s">
        <v>1804</v>
      </c>
      <c r="Z132" s="58" t="s">
        <v>401</v>
      </c>
      <c r="AA132" s="58" t="s">
        <v>402</v>
      </c>
      <c r="AI132" s="58" t="s">
        <v>1805</v>
      </c>
      <c r="CL132" s="58" t="s">
        <v>1806</v>
      </c>
      <c r="DL132" s="58" t="s">
        <v>1807</v>
      </c>
    </row>
    <row r="133" ht="15.75" customHeight="1">
      <c r="A133" s="58" t="s">
        <v>1808</v>
      </c>
      <c r="B133" s="58" t="s">
        <v>379</v>
      </c>
      <c r="C133" s="58">
        <v>2022.0</v>
      </c>
      <c r="D133" s="58" t="s">
        <v>1809</v>
      </c>
      <c r="E133" s="58" t="s">
        <v>1810</v>
      </c>
      <c r="F133" s="58" t="s">
        <v>1811</v>
      </c>
      <c r="G133" s="58" t="s">
        <v>1812</v>
      </c>
      <c r="I133" s="58" t="s">
        <v>1813</v>
      </c>
      <c r="J133" s="58" t="s">
        <v>1814</v>
      </c>
      <c r="K133" s="58">
        <v>2022.0</v>
      </c>
      <c r="L133" s="72">
        <v>45734.37929398148</v>
      </c>
      <c r="M133" s="72">
        <v>45734.37929398148</v>
      </c>
      <c r="O133" s="58" t="s">
        <v>1815</v>
      </c>
      <c r="Z133" s="58" t="s">
        <v>387</v>
      </c>
      <c r="AA133" s="58" t="s">
        <v>388</v>
      </c>
      <c r="CL133" s="58" t="s">
        <v>1816</v>
      </c>
      <c r="DL133" s="58" t="s">
        <v>1817</v>
      </c>
    </row>
    <row r="134" ht="15.75" customHeight="1">
      <c r="A134" s="58" t="s">
        <v>1818</v>
      </c>
      <c r="B134" s="58" t="s">
        <v>379</v>
      </c>
      <c r="C134" s="58">
        <v>2017.0</v>
      </c>
      <c r="D134" s="58" t="s">
        <v>1819</v>
      </c>
      <c r="E134" s="58" t="s">
        <v>1820</v>
      </c>
      <c r="F134" s="58" t="s">
        <v>1821</v>
      </c>
      <c r="G134" s="58" t="s">
        <v>1822</v>
      </c>
      <c r="I134" s="58" t="s">
        <v>1823</v>
      </c>
      <c r="J134" s="58" t="s">
        <v>1824</v>
      </c>
      <c r="K134" s="58">
        <v>2017.0</v>
      </c>
      <c r="L134" s="72">
        <v>45734.37929398148</v>
      </c>
      <c r="M134" s="72">
        <v>45734.37929398148</v>
      </c>
      <c r="O134" s="58" t="s">
        <v>1825</v>
      </c>
      <c r="V134" s="58" t="s">
        <v>1826</v>
      </c>
      <c r="Z134" s="58" t="s">
        <v>401</v>
      </c>
      <c r="AA134" s="58" t="s">
        <v>402</v>
      </c>
      <c r="AI134" s="58" t="s">
        <v>1827</v>
      </c>
      <c r="CL134" s="58" t="s">
        <v>1828</v>
      </c>
      <c r="DL134" s="58" t="s">
        <v>1829</v>
      </c>
    </row>
    <row r="135" ht="15.75" customHeight="1">
      <c r="A135" s="58" t="s">
        <v>1830</v>
      </c>
      <c r="B135" s="58" t="s">
        <v>379</v>
      </c>
      <c r="C135" s="58">
        <v>2023.0</v>
      </c>
      <c r="D135" s="58" t="s">
        <v>1831</v>
      </c>
      <c r="E135" s="58" t="s">
        <v>1832</v>
      </c>
      <c r="F135" s="58" t="s">
        <v>1833</v>
      </c>
      <c r="G135" s="58" t="s">
        <v>1834</v>
      </c>
      <c r="I135" s="58" t="s">
        <v>1835</v>
      </c>
      <c r="J135" s="58" t="s">
        <v>1836</v>
      </c>
      <c r="K135" s="58">
        <v>2023.0</v>
      </c>
      <c r="L135" s="72">
        <v>45734.37929398148</v>
      </c>
      <c r="M135" s="72">
        <v>45734.37929398148</v>
      </c>
      <c r="O135" s="58" t="s">
        <v>1837</v>
      </c>
      <c r="V135" s="58" t="s">
        <v>1838</v>
      </c>
      <c r="Z135" s="58" t="s">
        <v>401</v>
      </c>
      <c r="AA135" s="58" t="s">
        <v>402</v>
      </c>
      <c r="AI135" s="58" t="s">
        <v>1839</v>
      </c>
      <c r="CL135" s="58" t="s">
        <v>1840</v>
      </c>
      <c r="DL135" s="58" t="s">
        <v>1841</v>
      </c>
    </row>
    <row r="136" ht="15.75" customHeight="1">
      <c r="A136" s="58" t="s">
        <v>1842</v>
      </c>
      <c r="B136" s="58" t="s">
        <v>379</v>
      </c>
      <c r="C136" s="58">
        <v>2022.0</v>
      </c>
      <c r="D136" s="58" t="s">
        <v>1843</v>
      </c>
      <c r="E136" s="58" t="s">
        <v>1844</v>
      </c>
      <c r="F136" s="58" t="s">
        <v>1845</v>
      </c>
      <c r="G136" s="58" t="s">
        <v>1846</v>
      </c>
      <c r="I136" s="58" t="s">
        <v>1847</v>
      </c>
      <c r="J136" s="58" t="s">
        <v>1848</v>
      </c>
      <c r="K136" s="58">
        <v>2022.0</v>
      </c>
      <c r="L136" s="72">
        <v>45734.37929398148</v>
      </c>
      <c r="M136" s="72">
        <v>45734.37929398148</v>
      </c>
      <c r="V136" s="58" t="s">
        <v>1849</v>
      </c>
      <c r="Z136" s="58" t="s">
        <v>401</v>
      </c>
      <c r="AA136" s="58" t="s">
        <v>402</v>
      </c>
      <c r="AI136" s="58" t="s">
        <v>1850</v>
      </c>
      <c r="CL136" s="58" t="s">
        <v>1851</v>
      </c>
      <c r="DL136" s="58" t="s">
        <v>1852</v>
      </c>
    </row>
    <row r="137" ht="15.75" customHeight="1">
      <c r="A137" s="58" t="s">
        <v>1853</v>
      </c>
      <c r="B137" s="58" t="s">
        <v>379</v>
      </c>
      <c r="C137" s="58">
        <v>2024.0</v>
      </c>
      <c r="D137" s="58" t="s">
        <v>1854</v>
      </c>
      <c r="E137" s="58" t="s">
        <v>1855</v>
      </c>
      <c r="F137" s="58" t="s">
        <v>1856</v>
      </c>
      <c r="G137" s="58" t="s">
        <v>1857</v>
      </c>
      <c r="I137" s="58" t="s">
        <v>1858</v>
      </c>
      <c r="J137" s="58" t="s">
        <v>1859</v>
      </c>
      <c r="K137" s="58">
        <v>2024.0</v>
      </c>
      <c r="L137" s="72">
        <v>45734.37929398148</v>
      </c>
      <c r="M137" s="72">
        <v>45734.37929398148</v>
      </c>
      <c r="O137" s="58" t="s">
        <v>1860</v>
      </c>
      <c r="V137" s="58" t="s">
        <v>1861</v>
      </c>
      <c r="Z137" s="58" t="s">
        <v>401</v>
      </c>
      <c r="AA137" s="58" t="s">
        <v>402</v>
      </c>
      <c r="AI137" s="58" t="s">
        <v>1793</v>
      </c>
      <c r="CL137" s="58" t="s">
        <v>1862</v>
      </c>
      <c r="DL137" s="58" t="s">
        <v>1863</v>
      </c>
    </row>
    <row r="138" ht="15.75" customHeight="1">
      <c r="A138" s="58" t="s">
        <v>1864</v>
      </c>
      <c r="B138" s="58" t="s">
        <v>379</v>
      </c>
      <c r="C138" s="58">
        <v>2024.0</v>
      </c>
      <c r="D138" s="58" t="s">
        <v>1865</v>
      </c>
      <c r="E138" s="58" t="s">
        <v>1866</v>
      </c>
      <c r="F138" s="58" t="s">
        <v>1867</v>
      </c>
      <c r="G138" s="58" t="s">
        <v>1868</v>
      </c>
      <c r="I138" s="58" t="s">
        <v>1869</v>
      </c>
      <c r="J138" s="58" t="s">
        <v>1870</v>
      </c>
      <c r="K138" s="58">
        <v>2024.0</v>
      </c>
      <c r="L138" s="72">
        <v>45734.37929398148</v>
      </c>
      <c r="M138" s="72">
        <v>45734.37929398148</v>
      </c>
      <c r="O138" s="58" t="s">
        <v>1871</v>
      </c>
      <c r="Z138" s="58" t="s">
        <v>387</v>
      </c>
      <c r="AA138" s="58" t="s">
        <v>388</v>
      </c>
      <c r="AI138" s="58" t="s">
        <v>1872</v>
      </c>
      <c r="CL138" s="58" t="s">
        <v>1873</v>
      </c>
      <c r="DL138" s="58" t="s">
        <v>1874</v>
      </c>
    </row>
    <row r="139" ht="15.75" customHeight="1">
      <c r="A139" s="58" t="s">
        <v>1875</v>
      </c>
      <c r="B139" s="58" t="s">
        <v>379</v>
      </c>
      <c r="C139" s="58">
        <v>2019.0</v>
      </c>
      <c r="D139" s="58" t="s">
        <v>1876</v>
      </c>
      <c r="E139" s="58" t="s">
        <v>1877</v>
      </c>
      <c r="F139" s="58" t="s">
        <v>1878</v>
      </c>
      <c r="G139" s="58" t="s">
        <v>1879</v>
      </c>
      <c r="I139" s="58" t="s">
        <v>1880</v>
      </c>
      <c r="J139" s="58" t="s">
        <v>1881</v>
      </c>
      <c r="K139" s="58">
        <v>2019.0</v>
      </c>
      <c r="L139" s="72">
        <v>45734.37929398148</v>
      </c>
      <c r="M139" s="72">
        <v>45734.37929398148</v>
      </c>
      <c r="O139" s="58" t="s">
        <v>1882</v>
      </c>
      <c r="Z139" s="58" t="s">
        <v>387</v>
      </c>
      <c r="AA139" s="58" t="s">
        <v>388</v>
      </c>
      <c r="AI139" s="58" t="s">
        <v>1883</v>
      </c>
      <c r="CL139" s="58" t="s">
        <v>1884</v>
      </c>
      <c r="DL139" s="58" t="s">
        <v>1885</v>
      </c>
    </row>
    <row r="140" ht="15.75" customHeight="1">
      <c r="A140" s="58" t="s">
        <v>1886</v>
      </c>
      <c r="B140" s="58" t="s">
        <v>379</v>
      </c>
      <c r="C140" s="58">
        <v>2017.0</v>
      </c>
      <c r="D140" s="58" t="s">
        <v>1887</v>
      </c>
      <c r="E140" s="58" t="s">
        <v>1888</v>
      </c>
      <c r="F140" s="58" t="s">
        <v>1889</v>
      </c>
      <c r="G140" s="58" t="s">
        <v>1890</v>
      </c>
      <c r="I140" s="58" t="s">
        <v>1891</v>
      </c>
      <c r="J140" s="58" t="s">
        <v>1892</v>
      </c>
      <c r="K140" s="58">
        <v>2017.0</v>
      </c>
      <c r="L140" s="72">
        <v>45734.37929398148</v>
      </c>
      <c r="M140" s="72">
        <v>45734.37929398148</v>
      </c>
      <c r="V140" s="58" t="s">
        <v>1893</v>
      </c>
      <c r="Z140" s="58" t="s">
        <v>401</v>
      </c>
      <c r="AA140" s="58" t="s">
        <v>402</v>
      </c>
      <c r="AI140" s="58" t="s">
        <v>1894</v>
      </c>
      <c r="CL140" s="58" t="s">
        <v>1895</v>
      </c>
      <c r="DL140" s="58" t="s">
        <v>1896</v>
      </c>
    </row>
    <row r="141" ht="15.75" customHeight="1">
      <c r="A141" s="58" t="s">
        <v>1897</v>
      </c>
      <c r="B141" s="58" t="s">
        <v>379</v>
      </c>
      <c r="C141" s="58">
        <v>2024.0</v>
      </c>
      <c r="D141" s="58" t="s">
        <v>1898</v>
      </c>
      <c r="E141" s="58" t="s">
        <v>1899</v>
      </c>
      <c r="F141" s="58" t="s">
        <v>1900</v>
      </c>
      <c r="G141" s="58" t="s">
        <v>1901</v>
      </c>
      <c r="I141" s="58" t="s">
        <v>1902</v>
      </c>
      <c r="J141" s="58" t="s">
        <v>1903</v>
      </c>
      <c r="K141" s="58">
        <v>2024.0</v>
      </c>
      <c r="L141" s="72">
        <v>45734.37929398148</v>
      </c>
      <c r="M141" s="72">
        <v>45734.37929398148</v>
      </c>
      <c r="O141" s="58" t="s">
        <v>1904</v>
      </c>
      <c r="Z141" s="58" t="s">
        <v>387</v>
      </c>
      <c r="AA141" s="58" t="s">
        <v>388</v>
      </c>
      <c r="AI141" s="58" t="s">
        <v>1590</v>
      </c>
      <c r="CL141" s="58" t="s">
        <v>1905</v>
      </c>
      <c r="DL141" s="58" t="s">
        <v>1906</v>
      </c>
    </row>
    <row r="142" ht="15.75" customHeight="1">
      <c r="A142" s="58" t="s">
        <v>1907</v>
      </c>
      <c r="B142" s="58" t="s">
        <v>379</v>
      </c>
      <c r="C142" s="58">
        <v>2020.0</v>
      </c>
      <c r="D142" s="58" t="s">
        <v>1908</v>
      </c>
      <c r="E142" s="58" t="s">
        <v>1909</v>
      </c>
      <c r="F142" s="58" t="s">
        <v>1370</v>
      </c>
      <c r="G142" s="58" t="s">
        <v>1371</v>
      </c>
      <c r="I142" s="58" t="s">
        <v>1910</v>
      </c>
      <c r="J142" s="58" t="s">
        <v>1911</v>
      </c>
      <c r="K142" s="58">
        <v>2020.0</v>
      </c>
      <c r="L142" s="72">
        <v>45734.37929398148</v>
      </c>
      <c r="M142" s="72">
        <v>45734.37929398148</v>
      </c>
      <c r="O142" s="58" t="s">
        <v>1912</v>
      </c>
      <c r="V142" s="58" t="s">
        <v>1375</v>
      </c>
      <c r="Z142" s="58" t="s">
        <v>401</v>
      </c>
      <c r="AA142" s="58" t="s">
        <v>402</v>
      </c>
      <c r="AI142" s="58" t="s">
        <v>1376</v>
      </c>
      <c r="CL142" s="58" t="s">
        <v>1913</v>
      </c>
      <c r="DL142" s="58" t="s">
        <v>1914</v>
      </c>
    </row>
    <row r="143" ht="15.75" customHeight="1">
      <c r="A143" s="58" t="s">
        <v>1915</v>
      </c>
      <c r="B143" s="58" t="s">
        <v>379</v>
      </c>
      <c r="C143" s="58">
        <v>2021.0</v>
      </c>
      <c r="D143" s="58" t="s">
        <v>1916</v>
      </c>
      <c r="E143" s="58" t="s">
        <v>1917</v>
      </c>
      <c r="F143" s="58" t="s">
        <v>1918</v>
      </c>
      <c r="G143" s="58" t="s">
        <v>1919</v>
      </c>
      <c r="I143" s="58" t="s">
        <v>1920</v>
      </c>
      <c r="J143" s="58" t="s">
        <v>1921</v>
      </c>
      <c r="K143" s="58">
        <v>2021.0</v>
      </c>
      <c r="L143" s="72">
        <v>45734.37929398148</v>
      </c>
      <c r="M143" s="72">
        <v>45734.37929398148</v>
      </c>
      <c r="O143" s="58" t="s">
        <v>1922</v>
      </c>
      <c r="V143" s="58" t="s">
        <v>1923</v>
      </c>
      <c r="Z143" s="58" t="s">
        <v>401</v>
      </c>
      <c r="AA143" s="58" t="s">
        <v>402</v>
      </c>
      <c r="AI143" s="58" t="s">
        <v>862</v>
      </c>
      <c r="CL143" s="58" t="s">
        <v>1924</v>
      </c>
      <c r="DL143" s="58" t="s">
        <v>1925</v>
      </c>
    </row>
    <row r="144" ht="15.75" customHeight="1">
      <c r="A144" s="58" t="s">
        <v>1926</v>
      </c>
      <c r="B144" s="58" t="s">
        <v>379</v>
      </c>
      <c r="C144" s="58">
        <v>2016.0</v>
      </c>
      <c r="D144" s="58" t="s">
        <v>1927</v>
      </c>
      <c r="E144" s="58" t="s">
        <v>1928</v>
      </c>
      <c r="F144" s="58" t="s">
        <v>1929</v>
      </c>
      <c r="G144" s="58" t="s">
        <v>1930</v>
      </c>
      <c r="I144" s="58" t="s">
        <v>1931</v>
      </c>
      <c r="J144" s="58" t="s">
        <v>1932</v>
      </c>
      <c r="K144" s="58">
        <v>2016.0</v>
      </c>
      <c r="L144" s="72">
        <v>45734.37929398148</v>
      </c>
      <c r="M144" s="72">
        <v>45734.37929398148</v>
      </c>
      <c r="V144" s="58" t="s">
        <v>1933</v>
      </c>
      <c r="Z144" s="58" t="s">
        <v>401</v>
      </c>
      <c r="AA144" s="58" t="s">
        <v>402</v>
      </c>
      <c r="AI144" s="58" t="s">
        <v>1320</v>
      </c>
      <c r="CL144" s="58" t="s">
        <v>1934</v>
      </c>
      <c r="DL144" s="58" t="s">
        <v>1935</v>
      </c>
    </row>
    <row r="145" ht="15.75" customHeight="1">
      <c r="A145" s="58" t="s">
        <v>1936</v>
      </c>
      <c r="B145" s="58" t="s">
        <v>379</v>
      </c>
      <c r="C145" s="58">
        <v>2018.0</v>
      </c>
      <c r="D145" s="58" t="s">
        <v>1937</v>
      </c>
      <c r="E145" s="58" t="s">
        <v>1938</v>
      </c>
      <c r="F145" s="58" t="s">
        <v>1939</v>
      </c>
      <c r="G145" s="58" t="s">
        <v>1940</v>
      </c>
      <c r="I145" s="58" t="s">
        <v>1941</v>
      </c>
      <c r="J145" s="58" t="s">
        <v>1942</v>
      </c>
      <c r="K145" s="58">
        <v>2018.0</v>
      </c>
      <c r="L145" s="72">
        <v>45734.37929398148</v>
      </c>
      <c r="M145" s="72">
        <v>45734.37929398148</v>
      </c>
      <c r="V145" s="58" t="s">
        <v>1943</v>
      </c>
      <c r="Z145" s="58" t="s">
        <v>401</v>
      </c>
      <c r="AA145" s="58" t="s">
        <v>402</v>
      </c>
      <c r="AI145" s="58" t="s">
        <v>1944</v>
      </c>
      <c r="CL145" s="58" t="s">
        <v>1945</v>
      </c>
      <c r="DL145" s="58" t="s">
        <v>1946</v>
      </c>
    </row>
    <row r="146" ht="15.75" customHeight="1">
      <c r="A146" s="58" t="s">
        <v>1947</v>
      </c>
      <c r="B146" s="58" t="s">
        <v>379</v>
      </c>
      <c r="C146" s="58">
        <v>2022.0</v>
      </c>
      <c r="D146" s="58" t="s">
        <v>1948</v>
      </c>
      <c r="E146" s="58" t="s">
        <v>1949</v>
      </c>
      <c r="F146" s="58" t="s">
        <v>1950</v>
      </c>
      <c r="G146" s="58" t="s">
        <v>1951</v>
      </c>
      <c r="I146" s="58" t="s">
        <v>1952</v>
      </c>
      <c r="J146" s="58" t="s">
        <v>1953</v>
      </c>
      <c r="K146" s="58">
        <v>2022.0</v>
      </c>
      <c r="L146" s="72">
        <v>45734.37929398148</v>
      </c>
      <c r="M146" s="72">
        <v>45734.37929398148</v>
      </c>
      <c r="O146" s="58" t="s">
        <v>1954</v>
      </c>
      <c r="V146" s="58" t="s">
        <v>1955</v>
      </c>
      <c r="Z146" s="58" t="s">
        <v>401</v>
      </c>
      <c r="AA146" s="58" t="s">
        <v>402</v>
      </c>
      <c r="AI146" s="58" t="s">
        <v>1956</v>
      </c>
      <c r="CL146" s="58" t="s">
        <v>1957</v>
      </c>
      <c r="DL146" s="58" t="s">
        <v>1958</v>
      </c>
    </row>
    <row r="147" ht="15.75" customHeight="1">
      <c r="A147" s="58" t="s">
        <v>1959</v>
      </c>
      <c r="B147" s="58" t="s">
        <v>379</v>
      </c>
      <c r="C147" s="58">
        <v>2024.0</v>
      </c>
      <c r="D147" s="58" t="s">
        <v>1960</v>
      </c>
      <c r="E147" s="58" t="s">
        <v>1961</v>
      </c>
      <c r="F147" s="58" t="s">
        <v>1962</v>
      </c>
      <c r="G147" s="58" t="s">
        <v>1963</v>
      </c>
      <c r="I147" s="58" t="s">
        <v>1964</v>
      </c>
      <c r="J147" s="58" t="s">
        <v>1965</v>
      </c>
      <c r="K147" s="58">
        <v>2024.0</v>
      </c>
      <c r="L147" s="72">
        <v>45734.37929398148</v>
      </c>
      <c r="M147" s="72">
        <v>45734.37929398148</v>
      </c>
      <c r="O147" s="58" t="s">
        <v>1966</v>
      </c>
      <c r="V147" s="58" t="s">
        <v>1967</v>
      </c>
      <c r="Z147" s="58" t="s">
        <v>401</v>
      </c>
      <c r="AA147" s="58" t="s">
        <v>402</v>
      </c>
      <c r="AI147" s="58" t="s">
        <v>448</v>
      </c>
      <c r="CL147" s="58" t="s">
        <v>1968</v>
      </c>
    </row>
    <row r="148" ht="15.75" customHeight="1">
      <c r="A148" s="58" t="s">
        <v>1969</v>
      </c>
      <c r="B148" s="58" t="s">
        <v>379</v>
      </c>
      <c r="C148" s="58">
        <v>2021.0</v>
      </c>
      <c r="D148" s="58" t="s">
        <v>1970</v>
      </c>
      <c r="E148" s="58" t="s">
        <v>1971</v>
      </c>
      <c r="F148" s="58" t="s">
        <v>1972</v>
      </c>
      <c r="G148" s="58" t="s">
        <v>1973</v>
      </c>
      <c r="I148" s="58" t="s">
        <v>1974</v>
      </c>
      <c r="J148" s="58" t="s">
        <v>1975</v>
      </c>
      <c r="K148" s="58">
        <v>2021.0</v>
      </c>
      <c r="L148" s="72">
        <v>45734.37929398148</v>
      </c>
      <c r="M148" s="72">
        <v>45734.37929398148</v>
      </c>
      <c r="O148" s="58" t="s">
        <v>1976</v>
      </c>
      <c r="V148" s="58" t="s">
        <v>1977</v>
      </c>
      <c r="Z148" s="58" t="s">
        <v>401</v>
      </c>
      <c r="AA148" s="58" t="s">
        <v>402</v>
      </c>
      <c r="AI148" s="58" t="s">
        <v>1978</v>
      </c>
      <c r="CL148" s="58" t="s">
        <v>1979</v>
      </c>
      <c r="DL148" s="58" t="s">
        <v>1280</v>
      </c>
    </row>
    <row r="149" ht="15.75" customHeight="1">
      <c r="A149" s="58" t="s">
        <v>1980</v>
      </c>
      <c r="B149" s="58" t="s">
        <v>379</v>
      </c>
      <c r="C149" s="58">
        <v>2023.0</v>
      </c>
      <c r="D149" s="58" t="s">
        <v>1981</v>
      </c>
      <c r="E149" s="58" t="s">
        <v>1982</v>
      </c>
      <c r="F149" s="58" t="s">
        <v>1983</v>
      </c>
      <c r="G149" s="58" t="s">
        <v>1984</v>
      </c>
      <c r="I149" s="58" t="s">
        <v>1985</v>
      </c>
      <c r="J149" s="58" t="s">
        <v>1986</v>
      </c>
      <c r="K149" s="58">
        <v>2023.0</v>
      </c>
      <c r="L149" s="72">
        <v>45734.37930555556</v>
      </c>
      <c r="M149" s="72">
        <v>45734.37930555556</v>
      </c>
      <c r="O149" s="58" t="s">
        <v>1987</v>
      </c>
      <c r="V149" s="58" t="s">
        <v>1988</v>
      </c>
      <c r="Z149" s="58" t="s">
        <v>401</v>
      </c>
      <c r="AA149" s="58" t="s">
        <v>402</v>
      </c>
      <c r="AI149" s="58" t="s">
        <v>1989</v>
      </c>
      <c r="CL149" s="58" t="s">
        <v>1990</v>
      </c>
      <c r="DL149" s="58" t="s">
        <v>1991</v>
      </c>
    </row>
    <row r="150" ht="15.75" customHeight="1">
      <c r="A150" s="58" t="s">
        <v>1992</v>
      </c>
      <c r="B150" s="58" t="s">
        <v>379</v>
      </c>
      <c r="C150" s="58">
        <v>2022.0</v>
      </c>
      <c r="D150" s="58" t="s">
        <v>1993</v>
      </c>
      <c r="E150" s="58" t="s">
        <v>1994</v>
      </c>
      <c r="F150" s="58" t="s">
        <v>1995</v>
      </c>
      <c r="G150" s="58" t="s">
        <v>1996</v>
      </c>
      <c r="I150" s="58" t="s">
        <v>1997</v>
      </c>
      <c r="J150" s="58" t="s">
        <v>1998</v>
      </c>
      <c r="K150" s="58">
        <v>2022.0</v>
      </c>
      <c r="L150" s="72">
        <v>45734.37930555556</v>
      </c>
      <c r="M150" s="72">
        <v>45734.37930555556</v>
      </c>
      <c r="O150" s="58" t="s">
        <v>1999</v>
      </c>
      <c r="Z150" s="58" t="s">
        <v>387</v>
      </c>
      <c r="AA150" s="58" t="s">
        <v>388</v>
      </c>
      <c r="AI150" s="58" t="s">
        <v>2000</v>
      </c>
      <c r="CL150" s="58" t="s">
        <v>2001</v>
      </c>
      <c r="DL150" s="58" t="s">
        <v>2002</v>
      </c>
    </row>
    <row r="151" ht="15.75" customHeight="1">
      <c r="A151" s="58" t="s">
        <v>2003</v>
      </c>
      <c r="B151" s="58" t="s">
        <v>379</v>
      </c>
      <c r="C151" s="58">
        <v>2022.0</v>
      </c>
      <c r="D151" s="58" t="s">
        <v>2004</v>
      </c>
      <c r="E151" s="58" t="s">
        <v>2005</v>
      </c>
      <c r="F151" s="58" t="s">
        <v>2006</v>
      </c>
      <c r="G151" s="58" t="s">
        <v>2007</v>
      </c>
      <c r="I151" s="58" t="s">
        <v>2008</v>
      </c>
      <c r="J151" s="58" t="s">
        <v>2009</v>
      </c>
      <c r="K151" s="58">
        <v>2022.0</v>
      </c>
      <c r="L151" s="72">
        <v>45734.37930555556</v>
      </c>
      <c r="M151" s="72">
        <v>45734.37930555556</v>
      </c>
      <c r="O151" s="58" t="s">
        <v>2010</v>
      </c>
      <c r="Z151" s="58" t="s">
        <v>387</v>
      </c>
      <c r="AA151" s="58" t="s">
        <v>388</v>
      </c>
      <c r="AI151" s="58" t="s">
        <v>2011</v>
      </c>
      <c r="CL151" s="58" t="s">
        <v>2012</v>
      </c>
      <c r="DL151" s="58" t="s">
        <v>2013</v>
      </c>
    </row>
    <row r="152" ht="15.75" customHeight="1">
      <c r="A152" s="58" t="s">
        <v>2014</v>
      </c>
      <c r="B152" s="58" t="s">
        <v>379</v>
      </c>
      <c r="C152" s="58">
        <v>2018.0</v>
      </c>
      <c r="D152" s="58" t="s">
        <v>2015</v>
      </c>
      <c r="E152" s="58" t="s">
        <v>2016</v>
      </c>
      <c r="F152" s="58" t="s">
        <v>2017</v>
      </c>
      <c r="G152" s="58" t="s">
        <v>2018</v>
      </c>
      <c r="I152" s="58" t="s">
        <v>2019</v>
      </c>
      <c r="J152" s="58" t="s">
        <v>2020</v>
      </c>
      <c r="K152" s="58">
        <v>2018.0</v>
      </c>
      <c r="L152" s="72">
        <v>45734.37930555556</v>
      </c>
      <c r="M152" s="72">
        <v>45734.37930555556</v>
      </c>
      <c r="V152" s="58" t="s">
        <v>2021</v>
      </c>
      <c r="Z152" s="58" t="s">
        <v>401</v>
      </c>
      <c r="AA152" s="58" t="s">
        <v>402</v>
      </c>
      <c r="AI152" s="58" t="s">
        <v>2022</v>
      </c>
      <c r="CL152" s="58" t="s">
        <v>2023</v>
      </c>
      <c r="DL152" s="58" t="s">
        <v>2024</v>
      </c>
    </row>
    <row r="153" ht="15.75" customHeight="1">
      <c r="A153" s="58" t="s">
        <v>2025</v>
      </c>
      <c r="B153" s="58" t="s">
        <v>379</v>
      </c>
      <c r="C153" s="58">
        <v>2025.0</v>
      </c>
      <c r="D153" s="58" t="s">
        <v>2026</v>
      </c>
      <c r="E153" s="58" t="s">
        <v>2027</v>
      </c>
      <c r="F153" s="58" t="s">
        <v>2028</v>
      </c>
      <c r="G153" s="58" t="s">
        <v>2029</v>
      </c>
      <c r="I153" s="58" t="s">
        <v>2030</v>
      </c>
      <c r="J153" s="58" t="s">
        <v>2031</v>
      </c>
      <c r="K153" s="58">
        <v>2025.0</v>
      </c>
      <c r="L153" s="72">
        <v>45734.37930555556</v>
      </c>
      <c r="M153" s="72">
        <v>45734.37930555556</v>
      </c>
      <c r="O153" s="58" t="s">
        <v>2032</v>
      </c>
      <c r="Z153" s="58" t="s">
        <v>387</v>
      </c>
      <c r="AA153" s="58" t="s">
        <v>388</v>
      </c>
      <c r="AI153" s="58" t="s">
        <v>1083</v>
      </c>
      <c r="CL153" s="58" t="s">
        <v>2033</v>
      </c>
      <c r="DL153" s="58" t="s">
        <v>2034</v>
      </c>
    </row>
    <row r="154" ht="15.75" customHeight="1">
      <c r="A154" s="58" t="s">
        <v>2035</v>
      </c>
      <c r="B154" s="58" t="s">
        <v>379</v>
      </c>
      <c r="C154" s="58">
        <v>2024.0</v>
      </c>
      <c r="D154" s="58" t="s">
        <v>2036</v>
      </c>
      <c r="E154" s="58" t="s">
        <v>2037</v>
      </c>
      <c r="F154" s="58" t="s">
        <v>2038</v>
      </c>
      <c r="G154" s="58" t="s">
        <v>2039</v>
      </c>
      <c r="I154" s="58" t="s">
        <v>2040</v>
      </c>
      <c r="J154" s="58" t="s">
        <v>2041</v>
      </c>
      <c r="K154" s="58">
        <v>2024.0</v>
      </c>
      <c r="L154" s="72">
        <v>45734.37930555556</v>
      </c>
      <c r="M154" s="72">
        <v>45734.37930555556</v>
      </c>
      <c r="O154" s="58" t="s">
        <v>2042</v>
      </c>
      <c r="V154" s="58" t="s">
        <v>2043</v>
      </c>
      <c r="Z154" s="58" t="s">
        <v>401</v>
      </c>
      <c r="AA154" s="58" t="s">
        <v>402</v>
      </c>
      <c r="AI154" s="58" t="s">
        <v>2044</v>
      </c>
      <c r="CL154" s="58" t="s">
        <v>2045</v>
      </c>
    </row>
    <row r="155" ht="15.75" customHeight="1">
      <c r="A155" s="58" t="s">
        <v>2046</v>
      </c>
      <c r="B155" s="58" t="s">
        <v>379</v>
      </c>
      <c r="C155" s="58">
        <v>2024.0</v>
      </c>
      <c r="D155" s="58" t="s">
        <v>2047</v>
      </c>
      <c r="E155" s="58" t="s">
        <v>2048</v>
      </c>
      <c r="F155" s="58" t="s">
        <v>2049</v>
      </c>
      <c r="G155" s="58" t="s">
        <v>2050</v>
      </c>
      <c r="I155" s="58" t="s">
        <v>2051</v>
      </c>
      <c r="J155" s="58" t="s">
        <v>2052</v>
      </c>
      <c r="K155" s="58">
        <v>2024.0</v>
      </c>
      <c r="L155" s="72">
        <v>45734.37930555556</v>
      </c>
      <c r="M155" s="72">
        <v>45734.37930555556</v>
      </c>
      <c r="O155" s="58" t="s">
        <v>2053</v>
      </c>
      <c r="V155" s="58" t="s">
        <v>2054</v>
      </c>
      <c r="Z155" s="58" t="s">
        <v>401</v>
      </c>
      <c r="AA155" s="58" t="s">
        <v>402</v>
      </c>
      <c r="AI155" s="58" t="s">
        <v>1793</v>
      </c>
      <c r="CL155" s="58" t="s">
        <v>2055</v>
      </c>
      <c r="DL155" s="58" t="s">
        <v>2056</v>
      </c>
    </row>
    <row r="156" ht="15.75" customHeight="1">
      <c r="A156" s="58" t="s">
        <v>2057</v>
      </c>
      <c r="B156" s="58" t="s">
        <v>379</v>
      </c>
      <c r="C156" s="58">
        <v>2024.0</v>
      </c>
      <c r="D156" s="58" t="s">
        <v>2058</v>
      </c>
      <c r="E156" s="58" t="s">
        <v>2059</v>
      </c>
      <c r="F156" s="58" t="s">
        <v>2060</v>
      </c>
      <c r="G156" s="58" t="s">
        <v>2061</v>
      </c>
      <c r="I156" s="58" t="s">
        <v>2062</v>
      </c>
      <c r="J156" s="58" t="s">
        <v>2063</v>
      </c>
      <c r="K156" s="58">
        <v>2024.0</v>
      </c>
      <c r="L156" s="72">
        <v>45734.37930555556</v>
      </c>
      <c r="M156" s="72">
        <v>45734.37930555556</v>
      </c>
      <c r="O156" s="58" t="s">
        <v>2064</v>
      </c>
      <c r="V156" s="58" t="s">
        <v>2065</v>
      </c>
      <c r="Z156" s="58" t="s">
        <v>401</v>
      </c>
      <c r="AA156" s="58" t="s">
        <v>402</v>
      </c>
      <c r="AI156" s="58" t="s">
        <v>2066</v>
      </c>
      <c r="CL156" s="58" t="s">
        <v>2067</v>
      </c>
      <c r="DL156" s="58" t="s">
        <v>2068</v>
      </c>
    </row>
    <row r="157" ht="15.75" customHeight="1">
      <c r="A157" s="58" t="s">
        <v>2069</v>
      </c>
      <c r="B157" s="58" t="s">
        <v>379</v>
      </c>
      <c r="C157" s="58">
        <v>2024.0</v>
      </c>
      <c r="D157" s="58" t="s">
        <v>2070</v>
      </c>
      <c r="E157" s="58" t="s">
        <v>2071</v>
      </c>
      <c r="F157" s="58" t="s">
        <v>2072</v>
      </c>
      <c r="G157" s="58" t="s">
        <v>2073</v>
      </c>
      <c r="I157" s="58" t="s">
        <v>2074</v>
      </c>
      <c r="J157" s="58" t="s">
        <v>2075</v>
      </c>
      <c r="K157" s="58">
        <v>2024.0</v>
      </c>
      <c r="L157" s="72">
        <v>45734.37930555556</v>
      </c>
      <c r="M157" s="72">
        <v>45734.37930555556</v>
      </c>
      <c r="O157" s="58" t="s">
        <v>2076</v>
      </c>
      <c r="V157" s="58" t="s">
        <v>2077</v>
      </c>
      <c r="Z157" s="58" t="s">
        <v>401</v>
      </c>
      <c r="AA157" s="58" t="s">
        <v>402</v>
      </c>
      <c r="AI157" s="58" t="s">
        <v>1434</v>
      </c>
      <c r="CL157" s="58" t="s">
        <v>2078</v>
      </c>
      <c r="DL157" s="58" t="s">
        <v>2079</v>
      </c>
    </row>
    <row r="158" ht="15.75" customHeight="1">
      <c r="A158" s="58" t="s">
        <v>2080</v>
      </c>
      <c r="B158" s="58" t="s">
        <v>379</v>
      </c>
      <c r="C158" s="58">
        <v>2024.0</v>
      </c>
      <c r="D158" s="58" t="s">
        <v>2081</v>
      </c>
      <c r="E158" s="58" t="s">
        <v>2082</v>
      </c>
      <c r="F158" s="58" t="s">
        <v>2083</v>
      </c>
      <c r="G158" s="58" t="s">
        <v>2084</v>
      </c>
      <c r="I158" s="58" t="s">
        <v>2085</v>
      </c>
      <c r="J158" s="58" t="s">
        <v>2086</v>
      </c>
      <c r="K158" s="58">
        <v>2024.0</v>
      </c>
      <c r="L158" s="72">
        <v>45734.37930555556</v>
      </c>
      <c r="M158" s="72">
        <v>45734.37930555556</v>
      </c>
      <c r="O158" s="58" t="s">
        <v>2087</v>
      </c>
      <c r="V158" s="58" t="s">
        <v>2088</v>
      </c>
      <c r="Z158" s="58" t="s">
        <v>401</v>
      </c>
      <c r="AA158" s="58" t="s">
        <v>402</v>
      </c>
      <c r="AI158" s="58" t="s">
        <v>1157</v>
      </c>
      <c r="CL158" s="58" t="s">
        <v>2089</v>
      </c>
      <c r="DL158" s="58" t="s">
        <v>2090</v>
      </c>
    </row>
    <row r="159" ht="15.75" customHeight="1">
      <c r="A159" s="58" t="s">
        <v>2091</v>
      </c>
      <c r="B159" s="58" t="s">
        <v>379</v>
      </c>
      <c r="C159" s="58">
        <v>2024.0</v>
      </c>
      <c r="D159" s="58" t="s">
        <v>2092</v>
      </c>
      <c r="E159" s="58" t="s">
        <v>2093</v>
      </c>
      <c r="F159" s="58" t="s">
        <v>2094</v>
      </c>
      <c r="G159" s="58" t="s">
        <v>2095</v>
      </c>
      <c r="I159" s="58" t="s">
        <v>2096</v>
      </c>
      <c r="J159" s="58" t="s">
        <v>2097</v>
      </c>
      <c r="K159" s="58">
        <v>2024.0</v>
      </c>
      <c r="L159" s="72">
        <v>45734.37930555556</v>
      </c>
      <c r="M159" s="72">
        <v>45734.37930555556</v>
      </c>
      <c r="O159" s="58" t="s">
        <v>2098</v>
      </c>
      <c r="V159" s="58" t="s">
        <v>2099</v>
      </c>
      <c r="Z159" s="58" t="s">
        <v>401</v>
      </c>
      <c r="AA159" s="58" t="s">
        <v>402</v>
      </c>
      <c r="AI159" s="58" t="s">
        <v>1525</v>
      </c>
      <c r="CL159" s="58" t="s">
        <v>2100</v>
      </c>
      <c r="DL159" s="58" t="s">
        <v>2101</v>
      </c>
    </row>
    <row r="160" ht="15.75" customHeight="1">
      <c r="A160" s="58" t="s">
        <v>2102</v>
      </c>
      <c r="B160" s="58" t="s">
        <v>379</v>
      </c>
      <c r="C160" s="58">
        <v>2017.0</v>
      </c>
      <c r="D160" s="58" t="s">
        <v>2103</v>
      </c>
      <c r="E160" s="58" t="s">
        <v>2104</v>
      </c>
      <c r="F160" s="58" t="s">
        <v>2105</v>
      </c>
      <c r="G160" s="58" t="s">
        <v>2106</v>
      </c>
      <c r="I160" s="58" t="s">
        <v>2107</v>
      </c>
      <c r="J160" s="58" t="s">
        <v>2108</v>
      </c>
      <c r="K160" s="58">
        <v>2017.0</v>
      </c>
      <c r="L160" s="72">
        <v>45734.37930555556</v>
      </c>
      <c r="M160" s="72">
        <v>45734.37930555556</v>
      </c>
      <c r="V160" s="58" t="s">
        <v>2109</v>
      </c>
      <c r="Z160" s="58" t="s">
        <v>401</v>
      </c>
      <c r="AA160" s="58" t="s">
        <v>402</v>
      </c>
      <c r="AI160" s="58" t="s">
        <v>1095</v>
      </c>
      <c r="CL160" s="58" t="s">
        <v>2110</v>
      </c>
      <c r="DL160" s="58" t="s">
        <v>2111</v>
      </c>
    </row>
    <row r="161" ht="15.75" customHeight="1">
      <c r="A161" s="58" t="s">
        <v>2112</v>
      </c>
      <c r="B161" s="58" t="s">
        <v>379</v>
      </c>
      <c r="C161" s="58">
        <v>2023.0</v>
      </c>
      <c r="D161" s="58" t="s">
        <v>2113</v>
      </c>
      <c r="E161" s="58" t="s">
        <v>2114</v>
      </c>
      <c r="F161" s="58" t="s">
        <v>1189</v>
      </c>
      <c r="G161" s="58" t="s">
        <v>1190</v>
      </c>
      <c r="I161" s="58" t="s">
        <v>2115</v>
      </c>
      <c r="J161" s="58" t="s">
        <v>2116</v>
      </c>
      <c r="K161" s="58">
        <v>2023.0</v>
      </c>
      <c r="L161" s="72">
        <v>45734.37930555556</v>
      </c>
      <c r="M161" s="72">
        <v>45734.37930555556</v>
      </c>
      <c r="O161" s="58" t="s">
        <v>2117</v>
      </c>
      <c r="Z161" s="58" t="s">
        <v>387</v>
      </c>
      <c r="AA161" s="58" t="s">
        <v>388</v>
      </c>
      <c r="AI161" s="58" t="s">
        <v>1194</v>
      </c>
      <c r="CL161" s="58" t="s">
        <v>2118</v>
      </c>
      <c r="DL161" s="58" t="s">
        <v>2119</v>
      </c>
    </row>
    <row r="162" ht="15.75" customHeight="1">
      <c r="A162" s="58" t="s">
        <v>2120</v>
      </c>
      <c r="B162" s="58" t="s">
        <v>379</v>
      </c>
      <c r="C162" s="58">
        <v>2020.0</v>
      </c>
      <c r="D162" s="58" t="s">
        <v>2121</v>
      </c>
      <c r="E162" s="58" t="s">
        <v>2122</v>
      </c>
      <c r="F162" s="58" t="s">
        <v>2123</v>
      </c>
      <c r="G162" s="58" t="s">
        <v>2124</v>
      </c>
      <c r="I162" s="58" t="s">
        <v>2125</v>
      </c>
      <c r="J162" s="58" t="s">
        <v>2126</v>
      </c>
      <c r="K162" s="58">
        <v>2020.0</v>
      </c>
      <c r="L162" s="72">
        <v>45734.37930555556</v>
      </c>
      <c r="M162" s="72">
        <v>45734.37930555556</v>
      </c>
      <c r="O162" s="58" t="s">
        <v>2127</v>
      </c>
      <c r="Z162" s="58" t="s">
        <v>387</v>
      </c>
      <c r="AA162" s="58" t="s">
        <v>388</v>
      </c>
      <c r="AI162" s="58" t="s">
        <v>413</v>
      </c>
      <c r="CL162" s="58" t="s">
        <v>2128</v>
      </c>
      <c r="DL162" s="58" t="s">
        <v>2129</v>
      </c>
    </row>
    <row r="163" ht="15.75" customHeight="1">
      <c r="A163" s="58" t="s">
        <v>2130</v>
      </c>
      <c r="B163" s="58" t="s">
        <v>379</v>
      </c>
      <c r="C163" s="58">
        <v>2023.0</v>
      </c>
      <c r="D163" s="58" t="s">
        <v>2131</v>
      </c>
      <c r="E163" s="58" t="s">
        <v>2132</v>
      </c>
      <c r="F163" s="58" t="s">
        <v>2133</v>
      </c>
      <c r="G163" s="58" t="s">
        <v>2134</v>
      </c>
      <c r="I163" s="58" t="s">
        <v>2135</v>
      </c>
      <c r="J163" s="58" t="s">
        <v>2136</v>
      </c>
      <c r="K163" s="58">
        <v>2023.0</v>
      </c>
      <c r="L163" s="72">
        <v>45734.37930555556</v>
      </c>
      <c r="M163" s="72">
        <v>45734.37930555556</v>
      </c>
      <c r="O163" s="58" t="s">
        <v>2137</v>
      </c>
      <c r="Z163" s="58" t="s">
        <v>387</v>
      </c>
      <c r="AA163" s="58" t="s">
        <v>388</v>
      </c>
      <c r="AI163" s="58" t="s">
        <v>2138</v>
      </c>
      <c r="CL163" s="58" t="s">
        <v>2139</v>
      </c>
      <c r="DL163" s="58" t="s">
        <v>2140</v>
      </c>
    </row>
    <row r="164" ht="15.75" customHeight="1">
      <c r="A164" s="58" t="s">
        <v>2141</v>
      </c>
      <c r="B164" s="58" t="s">
        <v>379</v>
      </c>
      <c r="C164" s="58">
        <v>2024.0</v>
      </c>
      <c r="D164" s="58" t="s">
        <v>2142</v>
      </c>
      <c r="E164" s="58" t="s">
        <v>2143</v>
      </c>
      <c r="F164" s="58" t="s">
        <v>1659</v>
      </c>
      <c r="G164" s="58" t="s">
        <v>1660</v>
      </c>
      <c r="I164" s="58" t="s">
        <v>2144</v>
      </c>
      <c r="J164" s="58" t="s">
        <v>2145</v>
      </c>
      <c r="K164" s="58">
        <v>2024.0</v>
      </c>
      <c r="L164" s="72">
        <v>45734.37930555556</v>
      </c>
      <c r="M164" s="72">
        <v>45734.37930555556</v>
      </c>
      <c r="V164" s="58" t="s">
        <v>1663</v>
      </c>
      <c r="Z164" s="58" t="s">
        <v>401</v>
      </c>
      <c r="AA164" s="58" t="s">
        <v>402</v>
      </c>
      <c r="AI164" s="58" t="s">
        <v>1664</v>
      </c>
      <c r="CL164" s="58" t="s">
        <v>2146</v>
      </c>
      <c r="DL164" s="58" t="s">
        <v>2147</v>
      </c>
    </row>
    <row r="165" ht="15.75" customHeight="1">
      <c r="A165" s="58" t="s">
        <v>2148</v>
      </c>
      <c r="B165" s="58" t="s">
        <v>379</v>
      </c>
      <c r="C165" s="58">
        <v>2019.0</v>
      </c>
      <c r="D165" s="58" t="s">
        <v>2149</v>
      </c>
      <c r="E165" s="58" t="s">
        <v>2150</v>
      </c>
      <c r="F165" s="58" t="s">
        <v>2151</v>
      </c>
      <c r="G165" s="58" t="s">
        <v>2152</v>
      </c>
      <c r="I165" s="58" t="s">
        <v>2153</v>
      </c>
      <c r="J165" s="58" t="s">
        <v>2154</v>
      </c>
      <c r="K165" s="58">
        <v>2019.0</v>
      </c>
      <c r="L165" s="72">
        <v>45734.37930555556</v>
      </c>
      <c r="M165" s="72">
        <v>45734.37930555556</v>
      </c>
      <c r="V165" s="58" t="s">
        <v>2155</v>
      </c>
      <c r="Z165" s="58" t="s">
        <v>401</v>
      </c>
      <c r="AA165" s="58" t="s">
        <v>402</v>
      </c>
      <c r="AI165" s="58" t="s">
        <v>2156</v>
      </c>
      <c r="CL165" s="58" t="s">
        <v>2157</v>
      </c>
      <c r="DL165" s="58" t="s">
        <v>2158</v>
      </c>
    </row>
    <row r="166" ht="15.75" customHeight="1">
      <c r="A166" s="58" t="s">
        <v>2159</v>
      </c>
      <c r="B166" s="58" t="s">
        <v>379</v>
      </c>
      <c r="C166" s="58">
        <v>2022.0</v>
      </c>
      <c r="D166" s="58" t="s">
        <v>2160</v>
      </c>
      <c r="E166" s="58" t="s">
        <v>2161</v>
      </c>
      <c r="F166" s="58" t="s">
        <v>2162</v>
      </c>
      <c r="G166" s="58" t="s">
        <v>2163</v>
      </c>
      <c r="I166" s="58" t="s">
        <v>2164</v>
      </c>
      <c r="J166" s="58" t="s">
        <v>2165</v>
      </c>
      <c r="K166" s="58">
        <v>2022.0</v>
      </c>
      <c r="L166" s="72">
        <v>45734.37930555556</v>
      </c>
      <c r="M166" s="72">
        <v>45734.37930555556</v>
      </c>
      <c r="O166" s="58" t="s">
        <v>2166</v>
      </c>
      <c r="V166" s="58" t="s">
        <v>2167</v>
      </c>
      <c r="Z166" s="58" t="s">
        <v>401</v>
      </c>
      <c r="AA166" s="58" t="s">
        <v>402</v>
      </c>
      <c r="AI166" s="58" t="s">
        <v>2168</v>
      </c>
      <c r="CL166" s="58" t="s">
        <v>2169</v>
      </c>
    </row>
    <row r="167" ht="15.75" customHeight="1">
      <c r="A167" s="58" t="s">
        <v>2170</v>
      </c>
      <c r="B167" s="58" t="s">
        <v>379</v>
      </c>
      <c r="C167" s="58">
        <v>2022.0</v>
      </c>
      <c r="D167" s="58" t="s">
        <v>2171</v>
      </c>
      <c r="E167" s="58" t="s">
        <v>2172</v>
      </c>
      <c r="F167" s="58" t="s">
        <v>454</v>
      </c>
      <c r="G167" s="58" t="s">
        <v>455</v>
      </c>
      <c r="I167" s="58" t="s">
        <v>2173</v>
      </c>
      <c r="J167" s="58" t="s">
        <v>2174</v>
      </c>
      <c r="K167" s="58">
        <v>2022.0</v>
      </c>
      <c r="L167" s="72">
        <v>45734.37930555556</v>
      </c>
      <c r="M167" s="72">
        <v>45734.37930555556</v>
      </c>
      <c r="O167" s="58" t="s">
        <v>2175</v>
      </c>
      <c r="V167" s="58" t="s">
        <v>459</v>
      </c>
      <c r="Z167" s="58" t="s">
        <v>401</v>
      </c>
      <c r="AA167" s="58" t="s">
        <v>402</v>
      </c>
      <c r="AI167" s="58" t="s">
        <v>460</v>
      </c>
      <c r="CL167" s="58" t="s">
        <v>2176</v>
      </c>
      <c r="DL167" s="58" t="s">
        <v>2177</v>
      </c>
    </row>
    <row r="168" ht="15.75" customHeight="1">
      <c r="A168" s="58" t="s">
        <v>2178</v>
      </c>
      <c r="B168" s="58" t="s">
        <v>379</v>
      </c>
      <c r="C168" s="58">
        <v>2017.0</v>
      </c>
      <c r="D168" s="58" t="s">
        <v>2179</v>
      </c>
      <c r="E168" s="58" t="s">
        <v>2180</v>
      </c>
      <c r="F168" s="58" t="s">
        <v>2181</v>
      </c>
      <c r="G168" s="58" t="s">
        <v>2182</v>
      </c>
      <c r="I168" s="58" t="s">
        <v>2183</v>
      </c>
      <c r="J168" s="58" t="s">
        <v>2184</v>
      </c>
      <c r="K168" s="58">
        <v>2017.0</v>
      </c>
      <c r="L168" s="72">
        <v>45734.37930555556</v>
      </c>
      <c r="M168" s="72">
        <v>45734.37930555556</v>
      </c>
      <c r="O168" s="58" t="s">
        <v>2185</v>
      </c>
      <c r="V168" s="58" t="s">
        <v>2186</v>
      </c>
      <c r="Z168" s="58" t="s">
        <v>2187</v>
      </c>
      <c r="AA168" s="58" t="s">
        <v>2188</v>
      </c>
      <c r="AI168" s="58" t="s">
        <v>2189</v>
      </c>
      <c r="CL168" s="58" t="s">
        <v>2190</v>
      </c>
      <c r="DL168" s="58" t="s">
        <v>2191</v>
      </c>
    </row>
    <row r="169" ht="15.75" customHeight="1">
      <c r="A169" s="58" t="s">
        <v>2192</v>
      </c>
      <c r="B169" s="58" t="s">
        <v>379</v>
      </c>
      <c r="C169" s="58">
        <v>2023.0</v>
      </c>
      <c r="D169" s="58" t="s">
        <v>2193</v>
      </c>
      <c r="E169" s="58" t="s">
        <v>2194</v>
      </c>
      <c r="F169" s="58" t="s">
        <v>2195</v>
      </c>
      <c r="G169" s="58" t="s">
        <v>2196</v>
      </c>
      <c r="I169" s="58" t="s">
        <v>2197</v>
      </c>
      <c r="J169" s="58" t="s">
        <v>2198</v>
      </c>
      <c r="K169" s="58">
        <v>2023.0</v>
      </c>
      <c r="L169" s="72">
        <v>45734.37930555556</v>
      </c>
      <c r="M169" s="72">
        <v>45734.37930555556</v>
      </c>
      <c r="O169" s="58" t="s">
        <v>2199</v>
      </c>
      <c r="V169" s="58" t="s">
        <v>2200</v>
      </c>
      <c r="Z169" s="58" t="s">
        <v>401</v>
      </c>
      <c r="AA169" s="58" t="s">
        <v>402</v>
      </c>
      <c r="AI169" s="58" t="s">
        <v>2201</v>
      </c>
      <c r="CL169" s="58" t="s">
        <v>2202</v>
      </c>
      <c r="DL169" s="58" t="s">
        <v>2203</v>
      </c>
    </row>
    <row r="170" ht="15.75" customHeight="1">
      <c r="A170" s="58" t="s">
        <v>2204</v>
      </c>
      <c r="B170" s="58" t="s">
        <v>379</v>
      </c>
      <c r="C170" s="58">
        <v>2024.0</v>
      </c>
      <c r="D170" s="58" t="s">
        <v>2205</v>
      </c>
      <c r="E170" s="58" t="s">
        <v>2206</v>
      </c>
      <c r="F170" s="58" t="s">
        <v>2207</v>
      </c>
      <c r="G170" s="58" t="s">
        <v>2208</v>
      </c>
      <c r="I170" s="58" t="s">
        <v>2209</v>
      </c>
      <c r="J170" s="58" t="s">
        <v>2210</v>
      </c>
      <c r="K170" s="58">
        <v>2024.0</v>
      </c>
      <c r="L170" s="72">
        <v>45734.37930555556</v>
      </c>
      <c r="M170" s="72">
        <v>45734.37930555556</v>
      </c>
      <c r="O170" s="58" t="s">
        <v>2211</v>
      </c>
      <c r="Z170" s="58" t="s">
        <v>387</v>
      </c>
      <c r="AA170" s="58" t="s">
        <v>388</v>
      </c>
      <c r="AI170" s="58" t="s">
        <v>2212</v>
      </c>
      <c r="CL170" s="58" t="s">
        <v>2213</v>
      </c>
    </row>
    <row r="171" ht="15.75" customHeight="1">
      <c r="A171" s="58" t="s">
        <v>2214</v>
      </c>
      <c r="B171" s="58" t="s">
        <v>379</v>
      </c>
      <c r="C171" s="58">
        <v>2023.0</v>
      </c>
      <c r="D171" s="58" t="s">
        <v>2215</v>
      </c>
      <c r="E171" s="58" t="s">
        <v>2216</v>
      </c>
      <c r="F171" s="58" t="s">
        <v>2217</v>
      </c>
      <c r="G171" s="58" t="s">
        <v>2218</v>
      </c>
      <c r="I171" s="58" t="s">
        <v>2219</v>
      </c>
      <c r="J171" s="58" t="s">
        <v>2220</v>
      </c>
      <c r="K171" s="58">
        <v>2023.0</v>
      </c>
      <c r="L171" s="72">
        <v>45734.37930555556</v>
      </c>
      <c r="M171" s="72">
        <v>45734.37930555556</v>
      </c>
      <c r="O171" s="58" t="s">
        <v>2221</v>
      </c>
      <c r="V171" s="58" t="s">
        <v>2222</v>
      </c>
      <c r="Z171" s="58" t="s">
        <v>401</v>
      </c>
      <c r="AA171" s="58" t="s">
        <v>402</v>
      </c>
      <c r="AI171" s="58" t="s">
        <v>2223</v>
      </c>
      <c r="CL171" s="58" t="s">
        <v>2224</v>
      </c>
      <c r="DL171" s="58" t="s">
        <v>2225</v>
      </c>
    </row>
    <row r="172" ht="15.75" customHeight="1">
      <c r="A172" s="58" t="s">
        <v>2226</v>
      </c>
      <c r="B172" s="58" t="s">
        <v>379</v>
      </c>
      <c r="C172" s="58">
        <v>2021.0</v>
      </c>
      <c r="D172" s="58" t="s">
        <v>2227</v>
      </c>
      <c r="E172" s="58" t="s">
        <v>2228</v>
      </c>
      <c r="F172" s="58" t="s">
        <v>655</v>
      </c>
      <c r="G172" s="58" t="s">
        <v>2229</v>
      </c>
      <c r="I172" s="58" t="s">
        <v>2230</v>
      </c>
      <c r="J172" s="58" t="s">
        <v>2231</v>
      </c>
      <c r="K172" s="58">
        <v>2021.0</v>
      </c>
      <c r="L172" s="72">
        <v>45734.37930555556</v>
      </c>
      <c r="M172" s="72">
        <v>45734.37930555556</v>
      </c>
      <c r="V172" s="58" t="s">
        <v>2232</v>
      </c>
      <c r="Z172" s="58" t="s">
        <v>401</v>
      </c>
      <c r="AA172" s="58" t="s">
        <v>402</v>
      </c>
      <c r="AI172" s="58" t="s">
        <v>1850</v>
      </c>
      <c r="CL172" s="58" t="s">
        <v>2233</v>
      </c>
      <c r="DL172" s="58" t="s">
        <v>2234</v>
      </c>
    </row>
    <row r="173" ht="15.75" customHeight="1">
      <c r="A173" s="58" t="s">
        <v>2235</v>
      </c>
      <c r="B173" s="58" t="s">
        <v>379</v>
      </c>
      <c r="C173" s="58">
        <v>2020.0</v>
      </c>
      <c r="D173" s="58" t="s">
        <v>2236</v>
      </c>
      <c r="E173" s="58" t="s">
        <v>2237</v>
      </c>
      <c r="F173" s="58" t="s">
        <v>2238</v>
      </c>
      <c r="G173" s="58" t="s">
        <v>2239</v>
      </c>
      <c r="I173" s="58" t="s">
        <v>2240</v>
      </c>
      <c r="J173" s="58" t="s">
        <v>2241</v>
      </c>
      <c r="K173" s="58">
        <v>2020.0</v>
      </c>
      <c r="L173" s="72">
        <v>45734.37930555556</v>
      </c>
      <c r="M173" s="72">
        <v>45734.37930555556</v>
      </c>
      <c r="V173" s="58" t="s">
        <v>2242</v>
      </c>
      <c r="Z173" s="58" t="s">
        <v>401</v>
      </c>
      <c r="AA173" s="58" t="s">
        <v>402</v>
      </c>
      <c r="AI173" s="58" t="s">
        <v>2243</v>
      </c>
      <c r="CL173" s="58" t="s">
        <v>2244</v>
      </c>
    </row>
    <row r="174" ht="15.75" customHeight="1">
      <c r="A174" s="58" t="s">
        <v>2245</v>
      </c>
      <c r="B174" s="58" t="s">
        <v>379</v>
      </c>
      <c r="C174" s="58">
        <v>2020.0</v>
      </c>
      <c r="D174" s="58" t="s">
        <v>2246</v>
      </c>
      <c r="E174" s="58" t="s">
        <v>2247</v>
      </c>
      <c r="F174" s="58" t="s">
        <v>2248</v>
      </c>
      <c r="G174" s="58" t="s">
        <v>2249</v>
      </c>
      <c r="I174" s="58" t="s">
        <v>2250</v>
      </c>
      <c r="J174" s="58" t="s">
        <v>2251</v>
      </c>
      <c r="K174" s="58">
        <v>2020.0</v>
      </c>
      <c r="L174" s="72">
        <v>45734.37930555556</v>
      </c>
      <c r="M174" s="72">
        <v>45734.37930555556</v>
      </c>
      <c r="O174" s="58" t="s">
        <v>2252</v>
      </c>
      <c r="Z174" s="58" t="s">
        <v>387</v>
      </c>
      <c r="AA174" s="58" t="s">
        <v>388</v>
      </c>
      <c r="AI174" s="58" t="s">
        <v>1664</v>
      </c>
      <c r="CL174" s="58" t="s">
        <v>2253</v>
      </c>
      <c r="DL174" s="58" t="s">
        <v>2254</v>
      </c>
    </row>
    <row r="175" ht="15.75" customHeight="1">
      <c r="A175" s="58" t="s">
        <v>2255</v>
      </c>
      <c r="B175" s="58" t="s">
        <v>379</v>
      </c>
      <c r="C175" s="58">
        <v>2022.0</v>
      </c>
      <c r="D175" s="58" t="s">
        <v>2256</v>
      </c>
      <c r="E175" s="58" t="s">
        <v>2257</v>
      </c>
      <c r="F175" s="58" t="s">
        <v>454</v>
      </c>
      <c r="G175" s="58" t="s">
        <v>455</v>
      </c>
      <c r="I175" s="58" t="s">
        <v>2258</v>
      </c>
      <c r="J175" s="58" t="s">
        <v>2259</v>
      </c>
      <c r="K175" s="58">
        <v>2022.0</v>
      </c>
      <c r="L175" s="72">
        <v>45734.37930555556</v>
      </c>
      <c r="M175" s="72">
        <v>45734.37930555556</v>
      </c>
      <c r="O175" s="58" t="s">
        <v>2260</v>
      </c>
      <c r="V175" s="58" t="s">
        <v>459</v>
      </c>
      <c r="Z175" s="58" t="s">
        <v>401</v>
      </c>
      <c r="AA175" s="58" t="s">
        <v>402</v>
      </c>
      <c r="AI175" s="58" t="s">
        <v>460</v>
      </c>
      <c r="CL175" s="58" t="s">
        <v>2261</v>
      </c>
      <c r="DL175" s="58" t="s">
        <v>2262</v>
      </c>
    </row>
    <row r="176" ht="15.75" customHeight="1">
      <c r="A176" s="58" t="s">
        <v>2263</v>
      </c>
      <c r="B176" s="58" t="s">
        <v>379</v>
      </c>
      <c r="C176" s="58">
        <v>2022.0</v>
      </c>
      <c r="D176" s="58" t="s">
        <v>2264</v>
      </c>
      <c r="E176" s="58" t="s">
        <v>2265</v>
      </c>
      <c r="F176" s="58" t="s">
        <v>2266</v>
      </c>
      <c r="G176" s="58" t="s">
        <v>2267</v>
      </c>
      <c r="I176" s="58" t="s">
        <v>2268</v>
      </c>
      <c r="J176" s="58" t="s">
        <v>2269</v>
      </c>
      <c r="K176" s="58">
        <v>2022.0</v>
      </c>
      <c r="L176" s="72">
        <v>45734.37930555556</v>
      </c>
      <c r="M176" s="72">
        <v>45734.37930555556</v>
      </c>
      <c r="O176" s="58" t="s">
        <v>2270</v>
      </c>
      <c r="Z176" s="58" t="s">
        <v>387</v>
      </c>
      <c r="AA176" s="58" t="s">
        <v>388</v>
      </c>
      <c r="AI176" s="58" t="s">
        <v>2271</v>
      </c>
      <c r="CL176" s="58" t="s">
        <v>2272</v>
      </c>
      <c r="DL176" s="58" t="s">
        <v>2273</v>
      </c>
    </row>
    <row r="177" ht="15.75" customHeight="1">
      <c r="A177" s="58" t="s">
        <v>2274</v>
      </c>
      <c r="B177" s="58" t="s">
        <v>379</v>
      </c>
      <c r="C177" s="58">
        <v>2023.0</v>
      </c>
      <c r="D177" s="58" t="s">
        <v>2275</v>
      </c>
      <c r="E177" s="58" t="s">
        <v>2276</v>
      </c>
      <c r="F177" s="58" t="s">
        <v>2277</v>
      </c>
      <c r="G177" s="58" t="s">
        <v>2278</v>
      </c>
      <c r="I177" s="58" t="s">
        <v>2279</v>
      </c>
      <c r="J177" s="58" t="s">
        <v>2280</v>
      </c>
      <c r="K177" s="58">
        <v>2023.0</v>
      </c>
      <c r="L177" s="72">
        <v>45734.37930555556</v>
      </c>
      <c r="M177" s="72">
        <v>45734.37930555556</v>
      </c>
      <c r="O177" s="58" t="s">
        <v>2281</v>
      </c>
      <c r="V177" s="58" t="s">
        <v>2282</v>
      </c>
      <c r="Z177" s="58" t="s">
        <v>401</v>
      </c>
      <c r="AA177" s="58" t="s">
        <v>402</v>
      </c>
      <c r="AI177" s="58" t="s">
        <v>403</v>
      </c>
      <c r="CL177" s="58" t="s">
        <v>2283</v>
      </c>
      <c r="DL177" s="58" t="s">
        <v>2284</v>
      </c>
    </row>
    <row r="178" ht="15.75" customHeight="1">
      <c r="A178" s="58" t="s">
        <v>2285</v>
      </c>
      <c r="B178" s="58" t="s">
        <v>379</v>
      </c>
      <c r="C178" s="58">
        <v>2024.0</v>
      </c>
      <c r="D178" s="58" t="s">
        <v>2286</v>
      </c>
      <c r="E178" s="58" t="s">
        <v>2287</v>
      </c>
      <c r="F178" s="58" t="s">
        <v>2288</v>
      </c>
      <c r="G178" s="58" t="s">
        <v>2289</v>
      </c>
      <c r="I178" s="58" t="s">
        <v>2290</v>
      </c>
      <c r="J178" s="58" t="s">
        <v>2291</v>
      </c>
      <c r="K178" s="58">
        <v>2024.0</v>
      </c>
      <c r="L178" s="72">
        <v>45734.37930555556</v>
      </c>
      <c r="M178" s="72">
        <v>45734.37930555556</v>
      </c>
      <c r="O178" s="58" t="s">
        <v>2292</v>
      </c>
      <c r="V178" s="58" t="s">
        <v>2293</v>
      </c>
      <c r="Z178" s="58" t="s">
        <v>401</v>
      </c>
      <c r="AA178" s="58" t="s">
        <v>402</v>
      </c>
      <c r="AI178" s="58" t="s">
        <v>2156</v>
      </c>
      <c r="CL178" s="58" t="s">
        <v>2294</v>
      </c>
      <c r="DL178" s="58" t="s">
        <v>2295</v>
      </c>
    </row>
    <row r="179" ht="15.75" customHeight="1">
      <c r="A179" s="58" t="s">
        <v>2296</v>
      </c>
      <c r="B179" s="58" t="s">
        <v>379</v>
      </c>
      <c r="C179" s="58">
        <v>2019.0</v>
      </c>
      <c r="D179" s="58" t="s">
        <v>2297</v>
      </c>
      <c r="E179" s="58" t="s">
        <v>2298</v>
      </c>
      <c r="F179" s="58" t="s">
        <v>1763</v>
      </c>
      <c r="G179" s="58" t="s">
        <v>1764</v>
      </c>
      <c r="I179" s="58" t="s">
        <v>2299</v>
      </c>
      <c r="J179" s="58" t="s">
        <v>2300</v>
      </c>
      <c r="K179" s="58">
        <v>2019.0</v>
      </c>
      <c r="L179" s="72">
        <v>45734.37930555556</v>
      </c>
      <c r="M179" s="72">
        <v>45734.37930555556</v>
      </c>
      <c r="O179" s="58" t="s">
        <v>2301</v>
      </c>
      <c r="V179" s="58" t="s">
        <v>1768</v>
      </c>
      <c r="Z179" s="58" t="s">
        <v>401</v>
      </c>
      <c r="AA179" s="58" t="s">
        <v>402</v>
      </c>
      <c r="AI179" s="58" t="s">
        <v>1769</v>
      </c>
      <c r="CL179" s="58" t="s">
        <v>2302</v>
      </c>
      <c r="DL179" s="58" t="s">
        <v>2303</v>
      </c>
    </row>
    <row r="180" ht="15.75" customHeight="1">
      <c r="A180" s="58" t="s">
        <v>2304</v>
      </c>
      <c r="B180" s="58" t="s">
        <v>379</v>
      </c>
      <c r="C180" s="58">
        <v>2023.0</v>
      </c>
      <c r="D180" s="58" t="s">
        <v>2305</v>
      </c>
      <c r="E180" s="58" t="s">
        <v>2306</v>
      </c>
      <c r="F180" s="58" t="s">
        <v>2307</v>
      </c>
      <c r="G180" s="58" t="s">
        <v>2308</v>
      </c>
      <c r="I180" s="58" t="s">
        <v>2309</v>
      </c>
      <c r="J180" s="58" t="s">
        <v>2310</v>
      </c>
      <c r="K180" s="58">
        <v>2023.0</v>
      </c>
      <c r="L180" s="72">
        <v>45734.37930555556</v>
      </c>
      <c r="M180" s="72">
        <v>45734.37930555556</v>
      </c>
      <c r="O180" s="58" t="s">
        <v>2311</v>
      </c>
      <c r="V180" s="58" t="s">
        <v>2312</v>
      </c>
      <c r="Z180" s="58" t="s">
        <v>401</v>
      </c>
      <c r="AA180" s="58" t="s">
        <v>402</v>
      </c>
      <c r="AI180" s="58" t="s">
        <v>2313</v>
      </c>
      <c r="CL180" s="58" t="s">
        <v>2314</v>
      </c>
      <c r="DL180" s="58" t="s">
        <v>2315</v>
      </c>
    </row>
    <row r="181" ht="15.75" customHeight="1">
      <c r="A181" s="58" t="s">
        <v>2316</v>
      </c>
      <c r="B181" s="58" t="s">
        <v>379</v>
      </c>
      <c r="C181" s="58">
        <v>2024.0</v>
      </c>
      <c r="D181" s="58" t="s">
        <v>2317</v>
      </c>
      <c r="E181" s="58" t="s">
        <v>2318</v>
      </c>
      <c r="F181" s="58" t="s">
        <v>2319</v>
      </c>
      <c r="G181" s="58" t="s">
        <v>2320</v>
      </c>
      <c r="I181" s="58" t="s">
        <v>2321</v>
      </c>
      <c r="J181" s="58" t="s">
        <v>2322</v>
      </c>
      <c r="K181" s="58">
        <v>2024.0</v>
      </c>
      <c r="L181" s="72">
        <v>45734.37930555556</v>
      </c>
      <c r="M181" s="72">
        <v>45734.37930555556</v>
      </c>
      <c r="O181" s="58" t="s">
        <v>2323</v>
      </c>
      <c r="V181" s="58" t="s">
        <v>2324</v>
      </c>
      <c r="Z181" s="58" t="s">
        <v>401</v>
      </c>
      <c r="AA181" s="58" t="s">
        <v>402</v>
      </c>
      <c r="AI181" s="58" t="s">
        <v>2325</v>
      </c>
      <c r="CL181" s="58" t="s">
        <v>2326</v>
      </c>
      <c r="DL181" s="58" t="s">
        <v>2327</v>
      </c>
    </row>
    <row r="182" ht="15.75" customHeight="1">
      <c r="A182" s="58" t="s">
        <v>2328</v>
      </c>
      <c r="B182" s="58" t="s">
        <v>379</v>
      </c>
      <c r="C182" s="58">
        <v>2023.0</v>
      </c>
      <c r="D182" s="58" t="s">
        <v>2329</v>
      </c>
      <c r="E182" s="58" t="s">
        <v>2330</v>
      </c>
      <c r="F182" s="58" t="s">
        <v>2331</v>
      </c>
      <c r="G182" s="58" t="s">
        <v>2332</v>
      </c>
      <c r="I182" s="58" t="s">
        <v>2333</v>
      </c>
      <c r="J182" s="58" t="s">
        <v>2334</v>
      </c>
      <c r="K182" s="58">
        <v>2023.0</v>
      </c>
      <c r="L182" s="72">
        <v>45734.37930555556</v>
      </c>
      <c r="M182" s="72">
        <v>45734.37930555556</v>
      </c>
      <c r="O182" s="58" t="s">
        <v>2335</v>
      </c>
      <c r="Z182" s="58" t="s">
        <v>387</v>
      </c>
      <c r="AA182" s="58" t="s">
        <v>388</v>
      </c>
      <c r="AI182" s="58" t="s">
        <v>2336</v>
      </c>
      <c r="CL182" s="58" t="s">
        <v>2337</v>
      </c>
      <c r="DL182" s="58" t="s">
        <v>2338</v>
      </c>
    </row>
    <row r="183" ht="15.75" customHeight="1">
      <c r="A183" s="58" t="s">
        <v>2339</v>
      </c>
      <c r="B183" s="58" t="s">
        <v>379</v>
      </c>
      <c r="C183" s="58">
        <v>2019.0</v>
      </c>
      <c r="D183" s="58" t="s">
        <v>2340</v>
      </c>
      <c r="E183" s="58" t="s">
        <v>2341</v>
      </c>
      <c r="F183" s="58" t="s">
        <v>2342</v>
      </c>
      <c r="G183" s="58" t="s">
        <v>2343</v>
      </c>
      <c r="I183" s="58" t="s">
        <v>2344</v>
      </c>
      <c r="J183" s="58" t="s">
        <v>2345</v>
      </c>
      <c r="K183" s="58">
        <v>2019.0</v>
      </c>
      <c r="L183" s="72">
        <v>45734.37930555556</v>
      </c>
      <c r="M183" s="72">
        <v>45734.37930555556</v>
      </c>
      <c r="O183" s="58" t="s">
        <v>2346</v>
      </c>
      <c r="V183" s="58" t="s">
        <v>2347</v>
      </c>
      <c r="Z183" s="58" t="s">
        <v>401</v>
      </c>
      <c r="AA183" s="58" t="s">
        <v>402</v>
      </c>
      <c r="AI183" s="58" t="s">
        <v>2348</v>
      </c>
      <c r="CL183" s="58" t="s">
        <v>2349</v>
      </c>
    </row>
    <row r="184" ht="15.75" customHeight="1">
      <c r="A184" s="58" t="s">
        <v>2350</v>
      </c>
      <c r="B184" s="58" t="s">
        <v>379</v>
      </c>
      <c r="C184" s="58">
        <v>2021.0</v>
      </c>
      <c r="D184" s="58" t="s">
        <v>2351</v>
      </c>
      <c r="E184" s="58" t="s">
        <v>2352</v>
      </c>
      <c r="F184" s="58" t="s">
        <v>2353</v>
      </c>
      <c r="G184" s="58" t="s">
        <v>2354</v>
      </c>
      <c r="I184" s="58" t="s">
        <v>2355</v>
      </c>
      <c r="J184" s="58" t="s">
        <v>2356</v>
      </c>
      <c r="K184" s="58">
        <v>2021.0</v>
      </c>
      <c r="L184" s="72">
        <v>45734.37930555556</v>
      </c>
      <c r="M184" s="72">
        <v>45734.37930555556</v>
      </c>
      <c r="O184" s="58" t="s">
        <v>2357</v>
      </c>
      <c r="V184" s="58" t="s">
        <v>2358</v>
      </c>
      <c r="Z184" s="58" t="s">
        <v>401</v>
      </c>
      <c r="AA184" s="58" t="s">
        <v>402</v>
      </c>
      <c r="AI184" s="58" t="s">
        <v>1612</v>
      </c>
      <c r="CL184" s="58" t="s">
        <v>2359</v>
      </c>
      <c r="DL184" s="58" t="s">
        <v>2360</v>
      </c>
    </row>
    <row r="185" ht="15.75" customHeight="1">
      <c r="A185" s="58" t="s">
        <v>2361</v>
      </c>
      <c r="B185" s="58" t="s">
        <v>379</v>
      </c>
      <c r="C185" s="58">
        <v>2022.0</v>
      </c>
      <c r="D185" s="58" t="s">
        <v>2362</v>
      </c>
      <c r="E185" s="58" t="s">
        <v>2363</v>
      </c>
      <c r="F185" s="58" t="s">
        <v>2364</v>
      </c>
      <c r="G185" s="58" t="s">
        <v>2365</v>
      </c>
      <c r="I185" s="58" t="s">
        <v>2366</v>
      </c>
      <c r="J185" s="58" t="s">
        <v>2367</v>
      </c>
      <c r="K185" s="58">
        <v>2022.0</v>
      </c>
      <c r="L185" s="72">
        <v>45734.37930555556</v>
      </c>
      <c r="M185" s="72">
        <v>45734.37930555556</v>
      </c>
      <c r="O185" s="58" t="s">
        <v>2368</v>
      </c>
      <c r="Z185" s="58" t="s">
        <v>387</v>
      </c>
      <c r="AA185" s="58" t="s">
        <v>388</v>
      </c>
      <c r="CL185" s="58" t="s">
        <v>2369</v>
      </c>
      <c r="DL185" s="58" t="s">
        <v>2370</v>
      </c>
    </row>
    <row r="186" ht="15.75" customHeight="1">
      <c r="A186" s="58" t="s">
        <v>2371</v>
      </c>
      <c r="B186" s="58" t="s">
        <v>379</v>
      </c>
      <c r="C186" s="58">
        <v>2024.0</v>
      </c>
      <c r="D186" s="58" t="s">
        <v>2372</v>
      </c>
      <c r="E186" s="58" t="s">
        <v>2373</v>
      </c>
      <c r="F186" s="58" t="s">
        <v>2374</v>
      </c>
      <c r="G186" s="58" t="s">
        <v>2375</v>
      </c>
      <c r="I186" s="58" t="s">
        <v>2376</v>
      </c>
      <c r="J186" s="58" t="s">
        <v>2377</v>
      </c>
      <c r="K186" s="58">
        <v>2024.0</v>
      </c>
      <c r="L186" s="72">
        <v>45734.37930555556</v>
      </c>
      <c r="M186" s="72">
        <v>45734.37930555556</v>
      </c>
      <c r="O186" s="58" t="s">
        <v>2378</v>
      </c>
      <c r="Z186" s="58" t="s">
        <v>387</v>
      </c>
      <c r="AA186" s="58" t="s">
        <v>388</v>
      </c>
      <c r="AI186" s="58" t="s">
        <v>1635</v>
      </c>
      <c r="CL186" s="58" t="s">
        <v>2379</v>
      </c>
      <c r="DL186" s="58" t="s">
        <v>2380</v>
      </c>
    </row>
    <row r="187" ht="15.75" customHeight="1">
      <c r="A187" s="58" t="s">
        <v>2381</v>
      </c>
      <c r="B187" s="58" t="s">
        <v>379</v>
      </c>
      <c r="C187" s="58">
        <v>2025.0</v>
      </c>
      <c r="D187" s="58" t="s">
        <v>2382</v>
      </c>
      <c r="E187" s="58" t="s">
        <v>2383</v>
      </c>
      <c r="F187" s="58" t="s">
        <v>2384</v>
      </c>
      <c r="G187" s="58" t="s">
        <v>2385</v>
      </c>
      <c r="I187" s="58" t="s">
        <v>2386</v>
      </c>
      <c r="J187" s="58" t="s">
        <v>2387</v>
      </c>
      <c r="K187" s="58">
        <v>2025.0</v>
      </c>
      <c r="L187" s="72">
        <v>45734.37930555556</v>
      </c>
      <c r="M187" s="72">
        <v>45734.37930555556</v>
      </c>
      <c r="O187" s="58" t="s">
        <v>2388</v>
      </c>
      <c r="V187" s="58" t="s">
        <v>2389</v>
      </c>
      <c r="Z187" s="58" t="s">
        <v>401</v>
      </c>
      <c r="AA187" s="58" t="s">
        <v>402</v>
      </c>
      <c r="CL187" s="58" t="s">
        <v>2390</v>
      </c>
      <c r="DL187" s="58" t="s">
        <v>2391</v>
      </c>
    </row>
    <row r="188" ht="15.75" customHeight="1">
      <c r="A188" s="58" t="s">
        <v>2392</v>
      </c>
      <c r="B188" s="58" t="s">
        <v>379</v>
      </c>
      <c r="C188" s="58">
        <v>2021.0</v>
      </c>
      <c r="D188" s="58" t="s">
        <v>2393</v>
      </c>
      <c r="E188" s="58" t="s">
        <v>2394</v>
      </c>
      <c r="F188" s="58" t="s">
        <v>2395</v>
      </c>
      <c r="G188" s="58" t="s">
        <v>2396</v>
      </c>
      <c r="I188" s="58" t="s">
        <v>2397</v>
      </c>
      <c r="J188" s="58" t="s">
        <v>2398</v>
      </c>
      <c r="K188" s="58">
        <v>2021.0</v>
      </c>
      <c r="L188" s="72">
        <v>45734.37930555556</v>
      </c>
      <c r="M188" s="72">
        <v>45734.37930555556</v>
      </c>
      <c r="O188" s="58" t="s">
        <v>2399</v>
      </c>
      <c r="Z188" s="58" t="s">
        <v>387</v>
      </c>
      <c r="AA188" s="58" t="s">
        <v>388</v>
      </c>
      <c r="AI188" s="58" t="s">
        <v>1168</v>
      </c>
      <c r="CL188" s="58" t="s">
        <v>2400</v>
      </c>
      <c r="DL188" s="58" t="s">
        <v>2401</v>
      </c>
    </row>
    <row r="189" ht="15.75" customHeight="1">
      <c r="A189" s="58" t="s">
        <v>2402</v>
      </c>
      <c r="B189" s="58" t="s">
        <v>379</v>
      </c>
      <c r="C189" s="58">
        <v>2023.0</v>
      </c>
      <c r="D189" s="58" t="s">
        <v>2403</v>
      </c>
      <c r="E189" s="58" t="s">
        <v>2404</v>
      </c>
      <c r="F189" s="58" t="s">
        <v>2217</v>
      </c>
      <c r="G189" s="58" t="s">
        <v>2218</v>
      </c>
      <c r="I189" s="58" t="s">
        <v>2405</v>
      </c>
      <c r="J189" s="58" t="s">
        <v>2406</v>
      </c>
      <c r="K189" s="58">
        <v>2023.0</v>
      </c>
      <c r="L189" s="72">
        <v>45734.37930555556</v>
      </c>
      <c r="M189" s="72">
        <v>45734.37930555556</v>
      </c>
      <c r="O189" s="58" t="s">
        <v>2407</v>
      </c>
      <c r="V189" s="58" t="s">
        <v>2222</v>
      </c>
      <c r="Z189" s="58" t="s">
        <v>401</v>
      </c>
      <c r="AA189" s="58" t="s">
        <v>402</v>
      </c>
      <c r="AI189" s="58" t="s">
        <v>2223</v>
      </c>
      <c r="CL189" s="58" t="s">
        <v>2408</v>
      </c>
      <c r="DL189" s="58" t="s">
        <v>2409</v>
      </c>
    </row>
    <row r="190" ht="15.75" customHeight="1">
      <c r="A190" s="58" t="s">
        <v>2410</v>
      </c>
      <c r="B190" s="58" t="s">
        <v>379</v>
      </c>
      <c r="C190" s="58">
        <v>2016.0</v>
      </c>
      <c r="D190" s="58" t="s">
        <v>2411</v>
      </c>
      <c r="E190" s="58" t="s">
        <v>2412</v>
      </c>
      <c r="F190" s="58" t="s">
        <v>2413</v>
      </c>
      <c r="G190" s="58" t="s">
        <v>2414</v>
      </c>
      <c r="I190" s="58" t="s">
        <v>2415</v>
      </c>
      <c r="J190" s="58" t="s">
        <v>2416</v>
      </c>
      <c r="K190" s="58">
        <v>2016.0</v>
      </c>
      <c r="L190" s="72">
        <v>45734.37930555556</v>
      </c>
      <c r="M190" s="72">
        <v>45734.37930555556</v>
      </c>
      <c r="O190" s="58" t="s">
        <v>2417</v>
      </c>
      <c r="V190" s="58" t="s">
        <v>2418</v>
      </c>
      <c r="Z190" s="58" t="s">
        <v>401</v>
      </c>
      <c r="AA190" s="58" t="s">
        <v>402</v>
      </c>
      <c r="AI190" s="58" t="s">
        <v>2419</v>
      </c>
      <c r="CL190" s="58" t="s">
        <v>2420</v>
      </c>
      <c r="DL190" s="58" t="s">
        <v>2421</v>
      </c>
    </row>
    <row r="191" ht="15.75" customHeight="1">
      <c r="A191" s="58" t="s">
        <v>2422</v>
      </c>
      <c r="B191" s="58" t="s">
        <v>379</v>
      </c>
      <c r="C191" s="58">
        <v>2021.0</v>
      </c>
      <c r="D191" s="58" t="s">
        <v>2423</v>
      </c>
      <c r="E191" s="58" t="s">
        <v>2424</v>
      </c>
      <c r="F191" s="58" t="s">
        <v>466</v>
      </c>
      <c r="G191" s="58" t="s">
        <v>467</v>
      </c>
      <c r="I191" s="58" t="s">
        <v>2425</v>
      </c>
      <c r="J191" s="58" t="s">
        <v>2426</v>
      </c>
      <c r="K191" s="58">
        <v>2021.0</v>
      </c>
      <c r="L191" s="72">
        <v>45734.37930555556</v>
      </c>
      <c r="M191" s="72">
        <v>45734.37930555556</v>
      </c>
      <c r="O191" s="58" t="s">
        <v>2427</v>
      </c>
      <c r="V191" s="58" t="s">
        <v>471</v>
      </c>
      <c r="Z191" s="58" t="s">
        <v>401</v>
      </c>
      <c r="AA191" s="58" t="s">
        <v>402</v>
      </c>
      <c r="AI191" s="58" t="s">
        <v>472</v>
      </c>
      <c r="CL191" s="58" t="s">
        <v>2428</v>
      </c>
      <c r="DL191" s="58" t="s">
        <v>2429</v>
      </c>
    </row>
    <row r="192" ht="15.75" customHeight="1">
      <c r="A192" s="58" t="s">
        <v>2430</v>
      </c>
      <c r="B192" s="58" t="s">
        <v>379</v>
      </c>
      <c r="C192" s="58">
        <v>2021.0</v>
      </c>
      <c r="D192" s="58" t="s">
        <v>2431</v>
      </c>
      <c r="E192" s="58" t="s">
        <v>2432</v>
      </c>
      <c r="F192" s="58" t="s">
        <v>2433</v>
      </c>
      <c r="G192" s="58" t="s">
        <v>2434</v>
      </c>
      <c r="I192" s="58" t="s">
        <v>2435</v>
      </c>
      <c r="J192" s="58" t="s">
        <v>2436</v>
      </c>
      <c r="K192" s="58">
        <v>2021.0</v>
      </c>
      <c r="L192" s="72">
        <v>45734.37930555556</v>
      </c>
      <c r="M192" s="72">
        <v>45734.37930555556</v>
      </c>
      <c r="O192" s="58" t="s">
        <v>2437</v>
      </c>
      <c r="V192" s="58" t="s">
        <v>2438</v>
      </c>
      <c r="Z192" s="58" t="s">
        <v>401</v>
      </c>
      <c r="AA192" s="58" t="s">
        <v>402</v>
      </c>
      <c r="AI192" s="58" t="s">
        <v>2439</v>
      </c>
      <c r="CL192" s="58" t="s">
        <v>2440</v>
      </c>
      <c r="DL192" s="58" t="s">
        <v>2441</v>
      </c>
    </row>
    <row r="193" ht="15.75" customHeight="1">
      <c r="A193" s="58" t="s">
        <v>2442</v>
      </c>
      <c r="B193" s="58" t="s">
        <v>379</v>
      </c>
      <c r="C193" s="58">
        <v>2024.0</v>
      </c>
      <c r="D193" s="58" t="s">
        <v>2443</v>
      </c>
      <c r="E193" s="58" t="s">
        <v>2444</v>
      </c>
      <c r="F193" s="58" t="s">
        <v>2445</v>
      </c>
      <c r="G193" s="58" t="s">
        <v>2446</v>
      </c>
      <c r="I193" s="58" t="s">
        <v>2447</v>
      </c>
      <c r="J193" s="58" t="s">
        <v>2448</v>
      </c>
      <c r="K193" s="58">
        <v>2024.0</v>
      </c>
      <c r="L193" s="72">
        <v>45734.37930555556</v>
      </c>
      <c r="M193" s="72">
        <v>45734.37930555556</v>
      </c>
      <c r="O193" s="58" t="s">
        <v>2449</v>
      </c>
      <c r="Z193" s="58" t="s">
        <v>387</v>
      </c>
      <c r="AA193" s="58" t="s">
        <v>388</v>
      </c>
      <c r="AI193" s="58" t="s">
        <v>2450</v>
      </c>
      <c r="CL193" s="58" t="s">
        <v>2451</v>
      </c>
      <c r="DL193" s="58" t="s">
        <v>2452</v>
      </c>
    </row>
    <row r="194" ht="15.75" customHeight="1">
      <c r="A194" s="58" t="s">
        <v>2453</v>
      </c>
      <c r="B194" s="58" t="s">
        <v>379</v>
      </c>
      <c r="C194" s="58">
        <v>2024.0</v>
      </c>
      <c r="D194" s="58" t="s">
        <v>2454</v>
      </c>
      <c r="E194" s="58" t="s">
        <v>2455</v>
      </c>
      <c r="F194" s="58" t="s">
        <v>2456</v>
      </c>
      <c r="G194" s="58" t="s">
        <v>2457</v>
      </c>
      <c r="I194" s="58" t="s">
        <v>2458</v>
      </c>
      <c r="J194" s="58" t="s">
        <v>2459</v>
      </c>
      <c r="K194" s="58">
        <v>2024.0</v>
      </c>
      <c r="L194" s="72">
        <v>45734.37930555556</v>
      </c>
      <c r="M194" s="72">
        <v>45734.37930555556</v>
      </c>
      <c r="O194" s="58" t="s">
        <v>2460</v>
      </c>
      <c r="V194" s="58" t="s">
        <v>2461</v>
      </c>
      <c r="Z194" s="58" t="s">
        <v>401</v>
      </c>
      <c r="AA194" s="58" t="s">
        <v>402</v>
      </c>
      <c r="AI194" s="58" t="s">
        <v>2462</v>
      </c>
      <c r="CL194" s="58" t="s">
        <v>2463</v>
      </c>
      <c r="DL194" s="58" t="s">
        <v>2464</v>
      </c>
    </row>
    <row r="195" ht="15.75" customHeight="1">
      <c r="A195" s="58" t="s">
        <v>2465</v>
      </c>
      <c r="B195" s="58" t="s">
        <v>379</v>
      </c>
      <c r="C195" s="58">
        <v>2019.0</v>
      </c>
      <c r="D195" s="58" t="s">
        <v>2466</v>
      </c>
      <c r="E195" s="58" t="s">
        <v>2467</v>
      </c>
      <c r="F195" s="58" t="s">
        <v>1972</v>
      </c>
      <c r="G195" s="58" t="s">
        <v>2468</v>
      </c>
      <c r="I195" s="58" t="s">
        <v>2469</v>
      </c>
      <c r="J195" s="58" t="s">
        <v>2470</v>
      </c>
      <c r="K195" s="58">
        <v>2019.0</v>
      </c>
      <c r="L195" s="72">
        <v>45734.37930555556</v>
      </c>
      <c r="M195" s="72">
        <v>45734.37930555556</v>
      </c>
      <c r="O195" s="58" t="s">
        <v>2471</v>
      </c>
      <c r="V195" s="58" t="s">
        <v>2472</v>
      </c>
      <c r="Z195" s="58" t="s">
        <v>401</v>
      </c>
      <c r="AA195" s="58" t="s">
        <v>402</v>
      </c>
      <c r="AI195" s="58" t="s">
        <v>568</v>
      </c>
      <c r="CL195" s="58" t="s">
        <v>2473</v>
      </c>
      <c r="DL195" s="58" t="s">
        <v>2474</v>
      </c>
    </row>
    <row r="196" ht="15.75" customHeight="1">
      <c r="A196" s="58" t="s">
        <v>2475</v>
      </c>
      <c r="B196" s="58" t="s">
        <v>379</v>
      </c>
      <c r="C196" s="58">
        <v>2020.0</v>
      </c>
      <c r="D196" s="58" t="s">
        <v>2476</v>
      </c>
      <c r="E196" s="58" t="s">
        <v>2477</v>
      </c>
      <c r="F196" s="58" t="s">
        <v>2478</v>
      </c>
      <c r="G196" s="58" t="s">
        <v>2479</v>
      </c>
      <c r="I196" s="58" t="s">
        <v>2480</v>
      </c>
      <c r="J196" s="58" t="s">
        <v>2481</v>
      </c>
      <c r="K196" s="58">
        <v>2020.0</v>
      </c>
      <c r="L196" s="72">
        <v>45734.37930555556</v>
      </c>
      <c r="M196" s="72">
        <v>45734.37930555556</v>
      </c>
      <c r="O196" s="58" t="s">
        <v>2482</v>
      </c>
      <c r="V196" s="58" t="s">
        <v>2483</v>
      </c>
      <c r="Z196" s="58" t="s">
        <v>401</v>
      </c>
      <c r="AA196" s="58" t="s">
        <v>402</v>
      </c>
      <c r="AI196" s="58" t="s">
        <v>495</v>
      </c>
      <c r="CL196" s="58" t="s">
        <v>2484</v>
      </c>
      <c r="DL196" s="58" t="s">
        <v>2485</v>
      </c>
    </row>
    <row r="197" ht="15.75" customHeight="1">
      <c r="A197" s="58" t="s">
        <v>2486</v>
      </c>
      <c r="B197" s="58" t="s">
        <v>379</v>
      </c>
      <c r="C197" s="58">
        <v>2024.0</v>
      </c>
      <c r="D197" s="58" t="s">
        <v>2487</v>
      </c>
      <c r="E197" s="58" t="s">
        <v>2488</v>
      </c>
      <c r="F197" s="58" t="s">
        <v>2489</v>
      </c>
      <c r="G197" s="58" t="s">
        <v>2490</v>
      </c>
      <c r="I197" s="58" t="s">
        <v>2491</v>
      </c>
      <c r="J197" s="58" t="s">
        <v>2492</v>
      </c>
      <c r="K197" s="58">
        <v>2024.0</v>
      </c>
      <c r="L197" s="72">
        <v>45734.37930555556</v>
      </c>
      <c r="M197" s="72">
        <v>45734.37930555556</v>
      </c>
      <c r="O197" s="58" t="s">
        <v>2493</v>
      </c>
      <c r="V197" s="58" t="s">
        <v>2494</v>
      </c>
      <c r="Z197" s="58" t="s">
        <v>401</v>
      </c>
      <c r="AA197" s="58" t="s">
        <v>402</v>
      </c>
      <c r="AI197" s="58" t="s">
        <v>1157</v>
      </c>
      <c r="CL197" s="58" t="s">
        <v>2495</v>
      </c>
      <c r="DL197" s="58" t="s">
        <v>2496</v>
      </c>
    </row>
    <row r="198" ht="15.75" customHeight="1">
      <c r="A198" s="58" t="s">
        <v>2497</v>
      </c>
      <c r="B198" s="58" t="s">
        <v>379</v>
      </c>
      <c r="C198" s="58">
        <v>2024.0</v>
      </c>
      <c r="D198" s="58" t="s">
        <v>2498</v>
      </c>
      <c r="E198" s="58" t="s">
        <v>2499</v>
      </c>
      <c r="F198" s="58" t="s">
        <v>2500</v>
      </c>
      <c r="G198" s="58" t="s">
        <v>2501</v>
      </c>
      <c r="I198" s="58" t="s">
        <v>2502</v>
      </c>
      <c r="J198" s="58" t="s">
        <v>2503</v>
      </c>
      <c r="K198" s="58">
        <v>2024.0</v>
      </c>
      <c r="L198" s="72">
        <v>45734.37930555556</v>
      </c>
      <c r="M198" s="72">
        <v>45734.37930555556</v>
      </c>
      <c r="O198" s="58" t="s">
        <v>2504</v>
      </c>
      <c r="V198" s="58" t="s">
        <v>2505</v>
      </c>
      <c r="Z198" s="58" t="s">
        <v>401</v>
      </c>
      <c r="AA198" s="58" t="s">
        <v>402</v>
      </c>
      <c r="AI198" s="58" t="s">
        <v>2506</v>
      </c>
      <c r="CL198" s="58" t="s">
        <v>2507</v>
      </c>
    </row>
    <row r="199" ht="15.75" customHeight="1">
      <c r="A199" s="58" t="s">
        <v>2508</v>
      </c>
      <c r="B199" s="58" t="s">
        <v>379</v>
      </c>
      <c r="C199" s="58">
        <v>2023.0</v>
      </c>
      <c r="D199" s="58" t="s">
        <v>2509</v>
      </c>
      <c r="E199" s="58" t="s">
        <v>2510</v>
      </c>
      <c r="F199" s="58" t="s">
        <v>2511</v>
      </c>
      <c r="G199" s="58" t="s">
        <v>2512</v>
      </c>
      <c r="I199" s="58" t="s">
        <v>2513</v>
      </c>
      <c r="J199" s="58" t="s">
        <v>2514</v>
      </c>
      <c r="K199" s="58">
        <v>2023.0</v>
      </c>
      <c r="L199" s="72">
        <v>45734.37930555556</v>
      </c>
      <c r="M199" s="72">
        <v>45734.37930555556</v>
      </c>
      <c r="O199" s="58" t="s">
        <v>2515</v>
      </c>
      <c r="V199" s="58" t="s">
        <v>2516</v>
      </c>
      <c r="Z199" s="58" t="s">
        <v>401</v>
      </c>
      <c r="AA199" s="58" t="s">
        <v>402</v>
      </c>
      <c r="AI199" s="58" t="s">
        <v>2517</v>
      </c>
      <c r="CL199" s="58" t="s">
        <v>2518</v>
      </c>
      <c r="DL199" s="58" t="s">
        <v>2519</v>
      </c>
    </row>
    <row r="200" ht="15.75" customHeight="1">
      <c r="A200" s="58" t="s">
        <v>2520</v>
      </c>
      <c r="B200" s="58" t="s">
        <v>379</v>
      </c>
      <c r="C200" s="58">
        <v>2024.0</v>
      </c>
      <c r="D200" s="58" t="s">
        <v>2521</v>
      </c>
      <c r="E200" s="58" t="s">
        <v>2522</v>
      </c>
      <c r="F200" s="58" t="s">
        <v>2523</v>
      </c>
      <c r="G200" s="58" t="s">
        <v>2524</v>
      </c>
      <c r="I200" s="58" t="s">
        <v>2525</v>
      </c>
      <c r="J200" s="58" t="s">
        <v>2526</v>
      </c>
      <c r="K200" s="58">
        <v>2024.0</v>
      </c>
      <c r="L200" s="72">
        <v>45734.37930555556</v>
      </c>
      <c r="M200" s="72">
        <v>45734.37930555556</v>
      </c>
      <c r="O200" s="58" t="s">
        <v>2527</v>
      </c>
      <c r="V200" s="58" t="s">
        <v>2528</v>
      </c>
      <c r="Z200" s="58" t="s">
        <v>401</v>
      </c>
      <c r="AA200" s="58" t="s">
        <v>402</v>
      </c>
      <c r="AI200" s="58" t="s">
        <v>2529</v>
      </c>
      <c r="CL200" s="58" t="s">
        <v>2530</v>
      </c>
      <c r="DL200" s="58" t="s">
        <v>2531</v>
      </c>
    </row>
    <row r="201" ht="15.75" customHeight="1">
      <c r="A201" s="58" t="s">
        <v>2532</v>
      </c>
      <c r="B201" s="58" t="s">
        <v>379</v>
      </c>
      <c r="C201" s="58">
        <v>2024.0</v>
      </c>
      <c r="D201" s="58" t="s">
        <v>2533</v>
      </c>
      <c r="E201" s="58" t="s">
        <v>2534</v>
      </c>
      <c r="F201" s="58" t="s">
        <v>2535</v>
      </c>
      <c r="G201" s="58" t="s">
        <v>2536</v>
      </c>
      <c r="I201" s="58" t="s">
        <v>2537</v>
      </c>
      <c r="J201" s="58" t="s">
        <v>2538</v>
      </c>
      <c r="K201" s="58">
        <v>2024.0</v>
      </c>
      <c r="L201" s="72">
        <v>45734.37930555556</v>
      </c>
      <c r="M201" s="72">
        <v>45734.37930555556</v>
      </c>
      <c r="O201" s="58" t="s">
        <v>2539</v>
      </c>
      <c r="V201" s="58" t="s">
        <v>2540</v>
      </c>
      <c r="Z201" s="58" t="s">
        <v>401</v>
      </c>
      <c r="AA201" s="58" t="s">
        <v>402</v>
      </c>
      <c r="AI201" s="58" t="s">
        <v>403</v>
      </c>
      <c r="CL201" s="58" t="s">
        <v>2541</v>
      </c>
      <c r="DL201" s="58" t="s">
        <v>2542</v>
      </c>
    </row>
    <row r="202" ht="15.75" customHeight="1">
      <c r="A202" s="58" t="s">
        <v>2543</v>
      </c>
      <c r="B202" s="58" t="s">
        <v>379</v>
      </c>
      <c r="C202" s="58">
        <v>2022.0</v>
      </c>
      <c r="D202" s="58" t="s">
        <v>2544</v>
      </c>
      <c r="E202" s="58" t="s">
        <v>2545</v>
      </c>
      <c r="F202" s="58" t="s">
        <v>2162</v>
      </c>
      <c r="G202" s="58" t="s">
        <v>2163</v>
      </c>
      <c r="I202" s="58" t="s">
        <v>2546</v>
      </c>
      <c r="J202" s="58" t="s">
        <v>2547</v>
      </c>
      <c r="K202" s="58">
        <v>2022.0</v>
      </c>
      <c r="L202" s="72">
        <v>45734.37930555556</v>
      </c>
      <c r="M202" s="72">
        <v>45734.37930555556</v>
      </c>
      <c r="O202" s="58" t="s">
        <v>2548</v>
      </c>
      <c r="V202" s="58" t="s">
        <v>2167</v>
      </c>
      <c r="Z202" s="58" t="s">
        <v>401</v>
      </c>
      <c r="AA202" s="58" t="s">
        <v>402</v>
      </c>
      <c r="AI202" s="58" t="s">
        <v>2168</v>
      </c>
      <c r="CL202" s="58" t="s">
        <v>2549</v>
      </c>
      <c r="DL202" s="58" t="s">
        <v>2550</v>
      </c>
    </row>
    <row r="203" ht="15.75" customHeight="1">
      <c r="A203" s="58" t="s">
        <v>2551</v>
      </c>
      <c r="B203" s="58" t="s">
        <v>379</v>
      </c>
      <c r="C203" s="58">
        <v>2024.0</v>
      </c>
      <c r="D203" s="58" t="s">
        <v>2552</v>
      </c>
      <c r="E203" s="58" t="s">
        <v>2553</v>
      </c>
      <c r="F203" s="58" t="s">
        <v>2554</v>
      </c>
      <c r="G203" s="58" t="s">
        <v>2555</v>
      </c>
      <c r="I203" s="58" t="s">
        <v>2556</v>
      </c>
      <c r="J203" s="58" t="s">
        <v>2557</v>
      </c>
      <c r="K203" s="58">
        <v>2024.0</v>
      </c>
      <c r="L203" s="72">
        <v>45734.37930555556</v>
      </c>
      <c r="M203" s="72">
        <v>45734.37930555556</v>
      </c>
      <c r="O203" s="58" t="s">
        <v>2558</v>
      </c>
      <c r="V203" s="58" t="s">
        <v>2559</v>
      </c>
      <c r="Z203" s="58" t="s">
        <v>401</v>
      </c>
      <c r="AA203" s="58" t="s">
        <v>402</v>
      </c>
      <c r="AI203" s="58" t="s">
        <v>2560</v>
      </c>
      <c r="CL203" s="58" t="s">
        <v>2561</v>
      </c>
      <c r="DL203" s="58" t="s">
        <v>2562</v>
      </c>
    </row>
    <row r="204" ht="15.75" customHeight="1">
      <c r="A204" s="58" t="s">
        <v>2563</v>
      </c>
      <c r="B204" s="58" t="s">
        <v>379</v>
      </c>
      <c r="C204" s="58">
        <v>2020.0</v>
      </c>
      <c r="D204" s="58" t="s">
        <v>2564</v>
      </c>
      <c r="E204" s="58" t="s">
        <v>2565</v>
      </c>
      <c r="F204" s="58" t="s">
        <v>2566</v>
      </c>
      <c r="G204" s="58" t="s">
        <v>2567</v>
      </c>
      <c r="I204" s="58" t="s">
        <v>2568</v>
      </c>
      <c r="J204" s="58" t="s">
        <v>2569</v>
      </c>
      <c r="K204" s="58">
        <v>2020.0</v>
      </c>
      <c r="L204" s="72">
        <v>45734.37930555556</v>
      </c>
      <c r="M204" s="72">
        <v>45734.37930555556</v>
      </c>
      <c r="V204" s="58" t="s">
        <v>2570</v>
      </c>
      <c r="Z204" s="58" t="s">
        <v>401</v>
      </c>
      <c r="AA204" s="58" t="s">
        <v>402</v>
      </c>
      <c r="AI204" s="58" t="s">
        <v>2156</v>
      </c>
      <c r="CL204" s="58" t="s">
        <v>2571</v>
      </c>
      <c r="DL204" s="58" t="s">
        <v>2572</v>
      </c>
    </row>
    <row r="205" ht="15.75" customHeight="1">
      <c r="A205" s="58" t="s">
        <v>2573</v>
      </c>
      <c r="B205" s="58" t="s">
        <v>379</v>
      </c>
      <c r="C205" s="58">
        <v>2023.0</v>
      </c>
      <c r="D205" s="58" t="s">
        <v>2574</v>
      </c>
      <c r="E205" s="58" t="s">
        <v>2575</v>
      </c>
      <c r="F205" s="58" t="s">
        <v>2576</v>
      </c>
      <c r="G205" s="58" t="s">
        <v>2577</v>
      </c>
      <c r="I205" s="58" t="s">
        <v>2578</v>
      </c>
      <c r="J205" s="58" t="s">
        <v>2579</v>
      </c>
      <c r="K205" s="58">
        <v>2023.0</v>
      </c>
      <c r="L205" s="72">
        <v>45734.37930555556</v>
      </c>
      <c r="M205" s="72">
        <v>45734.37930555556</v>
      </c>
      <c r="O205" s="58" t="s">
        <v>2580</v>
      </c>
      <c r="Z205" s="58" t="s">
        <v>387</v>
      </c>
      <c r="AA205" s="58" t="s">
        <v>388</v>
      </c>
      <c r="AI205" s="58" t="s">
        <v>2581</v>
      </c>
      <c r="CL205" s="58" t="s">
        <v>2582</v>
      </c>
      <c r="DL205" s="58" t="s">
        <v>2583</v>
      </c>
    </row>
    <row r="206" ht="15.75" customHeight="1">
      <c r="A206" s="58" t="s">
        <v>2584</v>
      </c>
      <c r="B206" s="58" t="s">
        <v>379</v>
      </c>
      <c r="C206" s="58">
        <v>2019.0</v>
      </c>
      <c r="D206" s="58" t="s">
        <v>2585</v>
      </c>
      <c r="E206" s="58" t="s">
        <v>2586</v>
      </c>
      <c r="F206" s="58" t="s">
        <v>1292</v>
      </c>
      <c r="G206" s="58" t="s">
        <v>1293</v>
      </c>
      <c r="I206" s="58" t="s">
        <v>2587</v>
      </c>
      <c r="J206" s="58" t="s">
        <v>2588</v>
      </c>
      <c r="K206" s="58">
        <v>2019.0</v>
      </c>
      <c r="L206" s="72">
        <v>45734.37930555556</v>
      </c>
      <c r="M206" s="72">
        <v>45734.37930555556</v>
      </c>
      <c r="O206" s="58" t="s">
        <v>2589</v>
      </c>
      <c r="Z206" s="58" t="s">
        <v>387</v>
      </c>
      <c r="AA206" s="58" t="s">
        <v>388</v>
      </c>
      <c r="AI206" s="58" t="s">
        <v>1297</v>
      </c>
      <c r="CL206" s="58" t="s">
        <v>2590</v>
      </c>
      <c r="DL206" s="58" t="s">
        <v>2591</v>
      </c>
    </row>
    <row r="207" ht="15.75" customHeight="1">
      <c r="A207" s="58" t="s">
        <v>2592</v>
      </c>
      <c r="B207" s="58" t="s">
        <v>379</v>
      </c>
      <c r="C207" s="58">
        <v>2021.0</v>
      </c>
      <c r="D207" s="58" t="s">
        <v>2593</v>
      </c>
      <c r="E207" s="58" t="s">
        <v>2594</v>
      </c>
      <c r="F207" s="58" t="s">
        <v>2595</v>
      </c>
      <c r="G207" s="58" t="s">
        <v>2596</v>
      </c>
      <c r="I207" s="58" t="s">
        <v>2597</v>
      </c>
      <c r="J207" s="58" t="s">
        <v>2598</v>
      </c>
      <c r="K207" s="58">
        <v>2021.0</v>
      </c>
      <c r="L207" s="72">
        <v>45734.37930555556</v>
      </c>
      <c r="M207" s="72">
        <v>45734.37930555556</v>
      </c>
      <c r="O207" s="58" t="s">
        <v>2599</v>
      </c>
      <c r="V207" s="58" t="s">
        <v>1468</v>
      </c>
      <c r="Z207" s="58" t="s">
        <v>401</v>
      </c>
      <c r="AA207" s="58" t="s">
        <v>402</v>
      </c>
      <c r="AI207" s="58" t="s">
        <v>1469</v>
      </c>
      <c r="CL207" s="58" t="s">
        <v>2600</v>
      </c>
      <c r="DL207" s="58" t="s">
        <v>2601</v>
      </c>
    </row>
    <row r="208" ht="15.75" customHeight="1">
      <c r="A208" s="58" t="s">
        <v>2602</v>
      </c>
      <c r="B208" s="58" t="s">
        <v>379</v>
      </c>
      <c r="C208" s="58">
        <v>2024.0</v>
      </c>
      <c r="D208" s="58" t="s">
        <v>2603</v>
      </c>
      <c r="E208" s="58" t="s">
        <v>2604</v>
      </c>
      <c r="F208" s="58" t="s">
        <v>2094</v>
      </c>
      <c r="G208" s="58" t="s">
        <v>2095</v>
      </c>
      <c r="I208" s="58" t="s">
        <v>2605</v>
      </c>
      <c r="J208" s="58" t="s">
        <v>2606</v>
      </c>
      <c r="K208" s="58">
        <v>2024.0</v>
      </c>
      <c r="L208" s="72">
        <v>45734.37930555556</v>
      </c>
      <c r="M208" s="72">
        <v>45734.37930555556</v>
      </c>
      <c r="O208" s="58" t="s">
        <v>2607</v>
      </c>
      <c r="V208" s="58" t="s">
        <v>2099</v>
      </c>
      <c r="Z208" s="58" t="s">
        <v>401</v>
      </c>
      <c r="AA208" s="58" t="s">
        <v>402</v>
      </c>
      <c r="AI208" s="58" t="s">
        <v>1525</v>
      </c>
      <c r="CL208" s="58" t="s">
        <v>2608</v>
      </c>
    </row>
    <row r="209" ht="15.75" customHeight="1">
      <c r="A209" s="58" t="s">
        <v>2609</v>
      </c>
      <c r="B209" s="58" t="s">
        <v>379</v>
      </c>
      <c r="C209" s="58">
        <v>2022.0</v>
      </c>
      <c r="D209" s="58" t="s">
        <v>2610</v>
      </c>
      <c r="E209" s="58" t="s">
        <v>2611</v>
      </c>
      <c r="F209" s="58" t="s">
        <v>608</v>
      </c>
      <c r="G209" s="58" t="s">
        <v>609</v>
      </c>
      <c r="I209" s="58" t="s">
        <v>2612</v>
      </c>
      <c r="J209" s="58" t="s">
        <v>2613</v>
      </c>
      <c r="K209" s="58">
        <v>2022.0</v>
      </c>
      <c r="L209" s="72">
        <v>45734.37930555556</v>
      </c>
      <c r="M209" s="72">
        <v>45734.37930555556</v>
      </c>
      <c r="O209" s="58" t="s">
        <v>2614</v>
      </c>
      <c r="Z209" s="58" t="s">
        <v>387</v>
      </c>
      <c r="AA209" s="58" t="s">
        <v>388</v>
      </c>
      <c r="AI209" s="58" t="s">
        <v>613</v>
      </c>
      <c r="CL209" s="58" t="s">
        <v>2615</v>
      </c>
      <c r="DL209" s="58" t="s">
        <v>2616</v>
      </c>
    </row>
    <row r="210" ht="15.75" customHeight="1">
      <c r="A210" s="58" t="s">
        <v>2617</v>
      </c>
      <c r="B210" s="58" t="s">
        <v>379</v>
      </c>
      <c r="C210" s="58">
        <v>2019.0</v>
      </c>
      <c r="D210" s="58" t="s">
        <v>2618</v>
      </c>
      <c r="E210" s="58" t="s">
        <v>2619</v>
      </c>
      <c r="F210" s="58" t="s">
        <v>2620</v>
      </c>
      <c r="I210" s="58" t="s">
        <v>2621</v>
      </c>
      <c r="J210" s="58" t="s">
        <v>2622</v>
      </c>
      <c r="K210" s="58">
        <v>2019.0</v>
      </c>
      <c r="L210" s="72">
        <v>45734.37930555556</v>
      </c>
      <c r="M210" s="72">
        <v>45734.37930555556</v>
      </c>
      <c r="O210" s="58" t="s">
        <v>2623</v>
      </c>
      <c r="V210" s="58" t="s">
        <v>2624</v>
      </c>
      <c r="Z210" s="58" t="s">
        <v>555</v>
      </c>
      <c r="AA210" s="58" t="s">
        <v>2625</v>
      </c>
      <c r="CL210" s="58" t="s">
        <v>2626</v>
      </c>
    </row>
    <row r="211" ht="15.75" customHeight="1">
      <c r="A211" s="58" t="s">
        <v>2627</v>
      </c>
      <c r="B211" s="58" t="s">
        <v>379</v>
      </c>
      <c r="C211" s="58">
        <v>2017.0</v>
      </c>
      <c r="D211" s="58" t="s">
        <v>2628</v>
      </c>
      <c r="E211" s="58" t="s">
        <v>2629</v>
      </c>
      <c r="F211" s="58" t="s">
        <v>832</v>
      </c>
      <c r="G211" s="58" t="s">
        <v>833</v>
      </c>
      <c r="I211" s="58" t="s">
        <v>2630</v>
      </c>
      <c r="J211" s="58" t="s">
        <v>2631</v>
      </c>
      <c r="K211" s="58">
        <v>2017.0</v>
      </c>
      <c r="L211" s="72">
        <v>45734.37930555556</v>
      </c>
      <c r="M211" s="72">
        <v>45734.37930555556</v>
      </c>
      <c r="O211" s="58" t="s">
        <v>2632</v>
      </c>
      <c r="V211" s="58" t="s">
        <v>837</v>
      </c>
      <c r="Z211" s="58" t="s">
        <v>401</v>
      </c>
      <c r="AA211" s="58" t="s">
        <v>402</v>
      </c>
      <c r="AI211" s="58" t="s">
        <v>838</v>
      </c>
      <c r="CL211" s="58" t="s">
        <v>2633</v>
      </c>
      <c r="DL211" s="58" t="s">
        <v>2634</v>
      </c>
    </row>
    <row r="212" ht="15.75" customHeight="1">
      <c r="A212" s="58" t="s">
        <v>2635</v>
      </c>
      <c r="B212" s="58" t="s">
        <v>379</v>
      </c>
      <c r="C212" s="58">
        <v>2024.0</v>
      </c>
      <c r="D212" s="58" t="s">
        <v>2636</v>
      </c>
      <c r="E212" s="58" t="s">
        <v>2637</v>
      </c>
      <c r="F212" s="58" t="s">
        <v>2638</v>
      </c>
      <c r="G212" s="58" t="s">
        <v>2639</v>
      </c>
      <c r="I212" s="58" t="s">
        <v>2640</v>
      </c>
      <c r="J212" s="58" t="s">
        <v>2641</v>
      </c>
      <c r="K212" s="58">
        <v>2024.0</v>
      </c>
      <c r="L212" s="72">
        <v>45734.37930555556</v>
      </c>
      <c r="M212" s="72">
        <v>45734.37930555556</v>
      </c>
      <c r="O212" s="58" t="s">
        <v>1420</v>
      </c>
      <c r="V212" s="58" t="s">
        <v>2642</v>
      </c>
      <c r="Z212" s="58" t="s">
        <v>401</v>
      </c>
      <c r="AA212" s="58" t="s">
        <v>402</v>
      </c>
      <c r="AI212" s="58" t="s">
        <v>403</v>
      </c>
      <c r="CL212" s="58" t="s">
        <v>2643</v>
      </c>
      <c r="DL212" s="58" t="s">
        <v>2644</v>
      </c>
    </row>
    <row r="213" ht="15.75" customHeight="1">
      <c r="A213" s="58" t="s">
        <v>2645</v>
      </c>
      <c r="B213" s="58" t="s">
        <v>379</v>
      </c>
      <c r="C213" s="58">
        <v>2022.0</v>
      </c>
      <c r="D213" s="58" t="s">
        <v>2646</v>
      </c>
      <c r="E213" s="58" t="s">
        <v>2647</v>
      </c>
      <c r="F213" s="58" t="s">
        <v>2648</v>
      </c>
      <c r="G213" s="58" t="s">
        <v>2649</v>
      </c>
      <c r="I213" s="58" t="s">
        <v>2650</v>
      </c>
      <c r="J213" s="58" t="s">
        <v>2651</v>
      </c>
      <c r="K213" s="58">
        <v>2022.0</v>
      </c>
      <c r="L213" s="72">
        <v>45734.37930555556</v>
      </c>
      <c r="M213" s="72">
        <v>45734.37930555556</v>
      </c>
      <c r="O213" s="58" t="s">
        <v>2652</v>
      </c>
      <c r="V213" s="58" t="s">
        <v>2653</v>
      </c>
      <c r="Z213" s="58" t="s">
        <v>401</v>
      </c>
      <c r="AA213" s="58" t="s">
        <v>402</v>
      </c>
      <c r="AI213" s="58" t="s">
        <v>389</v>
      </c>
      <c r="CL213" s="58" t="s">
        <v>2654</v>
      </c>
      <c r="DL213" s="58" t="s">
        <v>2655</v>
      </c>
    </row>
    <row r="214" ht="15.75" customHeight="1">
      <c r="A214" s="58" t="s">
        <v>2656</v>
      </c>
      <c r="B214" s="58" t="s">
        <v>379</v>
      </c>
      <c r="C214" s="58">
        <v>2023.0</v>
      </c>
      <c r="D214" s="58" t="s">
        <v>2657</v>
      </c>
      <c r="E214" s="58" t="s">
        <v>2658</v>
      </c>
      <c r="F214" s="58" t="s">
        <v>2659</v>
      </c>
      <c r="G214" s="58" t="s">
        <v>2660</v>
      </c>
      <c r="I214" s="58" t="s">
        <v>2661</v>
      </c>
      <c r="J214" s="58" t="s">
        <v>2662</v>
      </c>
      <c r="K214" s="58">
        <v>2023.0</v>
      </c>
      <c r="L214" s="72">
        <v>45734.37930555556</v>
      </c>
      <c r="M214" s="72">
        <v>45734.37930555556</v>
      </c>
      <c r="O214" s="58" t="s">
        <v>2663</v>
      </c>
      <c r="Z214" s="58" t="s">
        <v>387</v>
      </c>
      <c r="AA214" s="58" t="s">
        <v>388</v>
      </c>
      <c r="AI214" s="58" t="s">
        <v>2664</v>
      </c>
      <c r="CL214" s="58" t="s">
        <v>2665</v>
      </c>
      <c r="DL214" s="58" t="s">
        <v>2666</v>
      </c>
    </row>
    <row r="215" ht="15.75" customHeight="1">
      <c r="A215" s="58" t="s">
        <v>2667</v>
      </c>
      <c r="B215" s="58" t="s">
        <v>379</v>
      </c>
      <c r="C215" s="58">
        <v>2024.0</v>
      </c>
      <c r="D215" s="58" t="s">
        <v>2668</v>
      </c>
      <c r="E215" s="58" t="s">
        <v>2669</v>
      </c>
      <c r="F215" s="58" t="s">
        <v>2456</v>
      </c>
      <c r="G215" s="58" t="s">
        <v>2457</v>
      </c>
      <c r="I215" s="58" t="s">
        <v>2670</v>
      </c>
      <c r="J215" s="58" t="s">
        <v>2671</v>
      </c>
      <c r="K215" s="58">
        <v>2024.0</v>
      </c>
      <c r="L215" s="72">
        <v>45734.37930555556</v>
      </c>
      <c r="M215" s="72">
        <v>45734.37930555556</v>
      </c>
      <c r="O215" s="58" t="s">
        <v>2672</v>
      </c>
      <c r="V215" s="58" t="s">
        <v>2461</v>
      </c>
      <c r="Z215" s="58" t="s">
        <v>401</v>
      </c>
      <c r="AA215" s="58" t="s">
        <v>402</v>
      </c>
      <c r="AI215" s="58" t="s">
        <v>2462</v>
      </c>
      <c r="CL215" s="58" t="s">
        <v>2673</v>
      </c>
      <c r="DL215" s="58" t="s">
        <v>2674</v>
      </c>
    </row>
    <row r="216" ht="15.75" customHeight="1">
      <c r="A216" s="58" t="s">
        <v>2675</v>
      </c>
      <c r="B216" s="58" t="s">
        <v>379</v>
      </c>
      <c r="C216" s="58">
        <v>2024.0</v>
      </c>
      <c r="D216" s="58" t="s">
        <v>2676</v>
      </c>
      <c r="E216" s="58" t="s">
        <v>2677</v>
      </c>
      <c r="F216" s="58" t="s">
        <v>2678</v>
      </c>
      <c r="G216" s="58" t="s">
        <v>2679</v>
      </c>
      <c r="I216" s="58" t="s">
        <v>2680</v>
      </c>
      <c r="J216" s="58" t="s">
        <v>2681</v>
      </c>
      <c r="K216" s="58">
        <v>2024.0</v>
      </c>
      <c r="L216" s="72">
        <v>45734.37930555556</v>
      </c>
      <c r="M216" s="72">
        <v>45734.37930555556</v>
      </c>
      <c r="O216" s="58" t="s">
        <v>2682</v>
      </c>
      <c r="V216" s="58" t="s">
        <v>2683</v>
      </c>
      <c r="Z216" s="58" t="s">
        <v>401</v>
      </c>
      <c r="AA216" s="58" t="s">
        <v>402</v>
      </c>
      <c r="AI216" s="58" t="s">
        <v>1793</v>
      </c>
      <c r="CL216" s="58" t="s">
        <v>2684</v>
      </c>
      <c r="DL216" s="58" t="s">
        <v>2685</v>
      </c>
    </row>
    <row r="217" ht="15.75" customHeight="1">
      <c r="A217" s="58" t="s">
        <v>2686</v>
      </c>
      <c r="B217" s="58" t="s">
        <v>379</v>
      </c>
      <c r="C217" s="58">
        <v>2020.0</v>
      </c>
      <c r="D217" s="58" t="s">
        <v>2687</v>
      </c>
      <c r="E217" s="58" t="s">
        <v>2688</v>
      </c>
      <c r="F217" s="58" t="s">
        <v>2689</v>
      </c>
      <c r="G217" s="58" t="s">
        <v>2690</v>
      </c>
      <c r="I217" s="58" t="s">
        <v>2691</v>
      </c>
      <c r="J217" s="58" t="s">
        <v>2692</v>
      </c>
      <c r="K217" s="58">
        <v>2020.0</v>
      </c>
      <c r="L217" s="72">
        <v>45734.37930555556</v>
      </c>
      <c r="M217" s="72">
        <v>45734.37930555556</v>
      </c>
      <c r="V217" s="58" t="s">
        <v>2693</v>
      </c>
      <c r="Z217" s="58" t="s">
        <v>401</v>
      </c>
      <c r="AA217" s="58" t="s">
        <v>402</v>
      </c>
      <c r="AI217" s="58" t="s">
        <v>2694</v>
      </c>
      <c r="CL217" s="58" t="s">
        <v>2695</v>
      </c>
      <c r="DL217" s="58" t="s">
        <v>2696</v>
      </c>
    </row>
    <row r="218" ht="15.75" customHeight="1">
      <c r="A218" s="58" t="s">
        <v>2697</v>
      </c>
      <c r="B218" s="58" t="s">
        <v>379</v>
      </c>
      <c r="C218" s="58">
        <v>2024.0</v>
      </c>
      <c r="D218" s="58" t="s">
        <v>2698</v>
      </c>
      <c r="E218" s="58" t="s">
        <v>2699</v>
      </c>
      <c r="F218" s="58" t="s">
        <v>2700</v>
      </c>
      <c r="G218" s="58" t="s">
        <v>2701</v>
      </c>
      <c r="I218" s="58" t="s">
        <v>2702</v>
      </c>
      <c r="J218" s="58" t="s">
        <v>2703</v>
      </c>
      <c r="K218" s="58">
        <v>2024.0</v>
      </c>
      <c r="L218" s="72">
        <v>45734.37930555556</v>
      </c>
      <c r="M218" s="72">
        <v>45734.37930555556</v>
      </c>
      <c r="O218" s="58" t="s">
        <v>2704</v>
      </c>
      <c r="V218" s="58" t="s">
        <v>2705</v>
      </c>
      <c r="Z218" s="58" t="s">
        <v>401</v>
      </c>
      <c r="AA218" s="58" t="s">
        <v>402</v>
      </c>
      <c r="AI218" s="58" t="s">
        <v>2706</v>
      </c>
      <c r="CL218" s="58" t="s">
        <v>2707</v>
      </c>
      <c r="DL218" s="58" t="s">
        <v>2708</v>
      </c>
    </row>
    <row r="219" ht="15.75" customHeight="1">
      <c r="A219" s="58" t="s">
        <v>2709</v>
      </c>
      <c r="B219" s="58" t="s">
        <v>379</v>
      </c>
      <c r="C219" s="58">
        <v>2024.0</v>
      </c>
      <c r="D219" s="58" t="s">
        <v>2710</v>
      </c>
      <c r="E219" s="58" t="s">
        <v>2711</v>
      </c>
      <c r="F219" s="58" t="s">
        <v>2712</v>
      </c>
      <c r="G219" s="58" t="s">
        <v>2713</v>
      </c>
      <c r="I219" s="58" t="s">
        <v>2714</v>
      </c>
      <c r="J219" s="58" t="s">
        <v>2715</v>
      </c>
      <c r="K219" s="58">
        <v>2024.0</v>
      </c>
      <c r="L219" s="72">
        <v>45734.37930555556</v>
      </c>
      <c r="M219" s="72">
        <v>45734.37930555556</v>
      </c>
      <c r="O219" s="58" t="s">
        <v>2716</v>
      </c>
      <c r="Z219" s="58" t="s">
        <v>387</v>
      </c>
      <c r="AA219" s="58" t="s">
        <v>388</v>
      </c>
      <c r="AI219" s="58" t="s">
        <v>2717</v>
      </c>
      <c r="CL219" s="58" t="s">
        <v>2718</v>
      </c>
      <c r="DL219" s="58" t="s">
        <v>2719</v>
      </c>
    </row>
    <row r="220" ht="15.75" customHeight="1">
      <c r="A220" s="58" t="s">
        <v>2720</v>
      </c>
      <c r="B220" s="58" t="s">
        <v>379</v>
      </c>
      <c r="C220" s="58">
        <v>2017.0</v>
      </c>
      <c r="D220" s="58" t="s">
        <v>2721</v>
      </c>
      <c r="E220" s="58" t="s">
        <v>2722</v>
      </c>
      <c r="F220" s="58" t="s">
        <v>2723</v>
      </c>
      <c r="G220" s="58" t="s">
        <v>2724</v>
      </c>
      <c r="I220" s="58" t="s">
        <v>2725</v>
      </c>
      <c r="J220" s="58" t="s">
        <v>2726</v>
      </c>
      <c r="K220" s="58">
        <v>2017.0</v>
      </c>
      <c r="L220" s="72">
        <v>45734.37930555556</v>
      </c>
      <c r="M220" s="72">
        <v>45734.37930555556</v>
      </c>
      <c r="V220" s="58" t="s">
        <v>2727</v>
      </c>
      <c r="Z220" s="58" t="s">
        <v>401</v>
      </c>
      <c r="AA220" s="58" t="s">
        <v>402</v>
      </c>
      <c r="AI220" s="58" t="s">
        <v>2728</v>
      </c>
      <c r="CL220" s="58" t="s">
        <v>2729</v>
      </c>
      <c r="DL220" s="58" t="s">
        <v>2730</v>
      </c>
    </row>
    <row r="221" ht="15.75" customHeight="1">
      <c r="A221" s="58" t="s">
        <v>2731</v>
      </c>
      <c r="B221" s="58" t="s">
        <v>379</v>
      </c>
      <c r="C221" s="58">
        <v>2020.0</v>
      </c>
      <c r="D221" s="58" t="s">
        <v>2732</v>
      </c>
      <c r="E221" s="58" t="s">
        <v>2733</v>
      </c>
      <c r="F221" s="58" t="s">
        <v>2734</v>
      </c>
      <c r="G221" s="58" t="s">
        <v>2735</v>
      </c>
      <c r="I221" s="58" t="s">
        <v>2736</v>
      </c>
      <c r="J221" s="58" t="s">
        <v>2737</v>
      </c>
      <c r="K221" s="58">
        <v>2020.0</v>
      </c>
      <c r="L221" s="72">
        <v>45734.37930555556</v>
      </c>
      <c r="M221" s="72">
        <v>45734.37930555556</v>
      </c>
      <c r="V221" s="58" t="s">
        <v>2738</v>
      </c>
      <c r="Z221" s="58" t="s">
        <v>401</v>
      </c>
      <c r="AA221" s="58" t="s">
        <v>402</v>
      </c>
      <c r="AI221" s="58" t="s">
        <v>2739</v>
      </c>
      <c r="CL221" s="58" t="s">
        <v>2740</v>
      </c>
      <c r="DL221" s="58" t="s">
        <v>2741</v>
      </c>
    </row>
    <row r="222" ht="15.75" customHeight="1">
      <c r="A222" s="58" t="s">
        <v>2742</v>
      </c>
      <c r="B222" s="58" t="s">
        <v>379</v>
      </c>
      <c r="C222" s="58">
        <v>2023.0</v>
      </c>
      <c r="D222" s="58" t="s">
        <v>2743</v>
      </c>
      <c r="E222" s="58" t="s">
        <v>2744</v>
      </c>
      <c r="F222" s="58" t="s">
        <v>2745</v>
      </c>
      <c r="G222" s="58" t="s">
        <v>2746</v>
      </c>
      <c r="I222" s="58" t="s">
        <v>2747</v>
      </c>
      <c r="J222" s="58" t="s">
        <v>2748</v>
      </c>
      <c r="K222" s="58">
        <v>2023.0</v>
      </c>
      <c r="L222" s="72">
        <v>45734.37930555556</v>
      </c>
      <c r="M222" s="72">
        <v>45734.37930555556</v>
      </c>
      <c r="O222" s="58" t="s">
        <v>2749</v>
      </c>
      <c r="Z222" s="58" t="s">
        <v>387</v>
      </c>
      <c r="AA222" s="58" t="s">
        <v>388</v>
      </c>
      <c r="AI222" s="58" t="s">
        <v>2750</v>
      </c>
      <c r="CL222" s="58" t="s">
        <v>2751</v>
      </c>
      <c r="DL222" s="58" t="s">
        <v>2752</v>
      </c>
    </row>
    <row r="223" ht="15.75" customHeight="1">
      <c r="A223" s="58" t="s">
        <v>2753</v>
      </c>
      <c r="B223" s="58" t="s">
        <v>379</v>
      </c>
      <c r="C223" s="58">
        <v>2017.0</v>
      </c>
      <c r="D223" s="58" t="s">
        <v>2754</v>
      </c>
      <c r="E223" s="58" t="s">
        <v>2755</v>
      </c>
      <c r="F223" s="58" t="s">
        <v>2756</v>
      </c>
      <c r="G223" s="58" t="s">
        <v>2757</v>
      </c>
      <c r="I223" s="58" t="s">
        <v>2758</v>
      </c>
      <c r="J223" s="58" t="s">
        <v>2759</v>
      </c>
      <c r="K223" s="58">
        <v>2017.0</v>
      </c>
      <c r="L223" s="72">
        <v>45734.37930555556</v>
      </c>
      <c r="M223" s="72">
        <v>45734.37930555556</v>
      </c>
      <c r="O223" s="58" t="s">
        <v>2760</v>
      </c>
      <c r="V223" s="58" t="s">
        <v>2761</v>
      </c>
      <c r="Z223" s="58" t="s">
        <v>401</v>
      </c>
      <c r="AA223" s="58" t="s">
        <v>402</v>
      </c>
      <c r="AI223" s="58" t="s">
        <v>2762</v>
      </c>
      <c r="CL223" s="58" t="s">
        <v>2763</v>
      </c>
      <c r="DL223" s="58" t="s">
        <v>2764</v>
      </c>
    </row>
    <row r="224" ht="15.75" customHeight="1">
      <c r="A224" s="58" t="s">
        <v>2765</v>
      </c>
      <c r="B224" s="58" t="s">
        <v>379</v>
      </c>
      <c r="C224" s="58">
        <v>2023.0</v>
      </c>
      <c r="D224" s="58" t="s">
        <v>2766</v>
      </c>
      <c r="E224" s="58" t="s">
        <v>2767</v>
      </c>
      <c r="F224" s="58" t="s">
        <v>2768</v>
      </c>
      <c r="G224" s="58" t="s">
        <v>2769</v>
      </c>
      <c r="I224" s="58" t="s">
        <v>2770</v>
      </c>
      <c r="J224" s="58" t="s">
        <v>2771</v>
      </c>
      <c r="K224" s="58">
        <v>2023.0</v>
      </c>
      <c r="L224" s="72">
        <v>45734.37930555556</v>
      </c>
      <c r="M224" s="72">
        <v>45734.37930555556</v>
      </c>
      <c r="O224" s="58" t="s">
        <v>2772</v>
      </c>
      <c r="Z224" s="58" t="s">
        <v>387</v>
      </c>
      <c r="AA224" s="58" t="s">
        <v>388</v>
      </c>
      <c r="AI224" s="58" t="s">
        <v>2773</v>
      </c>
      <c r="CL224" s="58" t="s">
        <v>2774</v>
      </c>
      <c r="DL224" s="58" t="s">
        <v>2775</v>
      </c>
    </row>
    <row r="225" ht="15.75" customHeight="1">
      <c r="A225" s="58" t="s">
        <v>2776</v>
      </c>
      <c r="B225" s="58" t="s">
        <v>379</v>
      </c>
      <c r="C225" s="58">
        <v>2019.0</v>
      </c>
      <c r="D225" s="58" t="s">
        <v>2777</v>
      </c>
      <c r="E225" s="58" t="s">
        <v>2778</v>
      </c>
      <c r="F225" s="58" t="s">
        <v>2779</v>
      </c>
      <c r="G225" s="58" t="s">
        <v>2780</v>
      </c>
      <c r="I225" s="58" t="s">
        <v>2781</v>
      </c>
      <c r="J225" s="58" t="s">
        <v>2782</v>
      </c>
      <c r="K225" s="58">
        <v>2019.0</v>
      </c>
      <c r="L225" s="72">
        <v>45734.37930555556</v>
      </c>
      <c r="M225" s="72">
        <v>45734.37930555556</v>
      </c>
      <c r="O225" s="58" t="s">
        <v>2783</v>
      </c>
      <c r="Z225" s="58" t="s">
        <v>387</v>
      </c>
      <c r="AA225" s="58" t="s">
        <v>388</v>
      </c>
      <c r="AI225" s="58" t="s">
        <v>2784</v>
      </c>
      <c r="CL225" s="58" t="s">
        <v>2785</v>
      </c>
      <c r="DL225" s="58" t="s">
        <v>2786</v>
      </c>
    </row>
    <row r="226" ht="15.75" customHeight="1">
      <c r="A226" s="58" t="s">
        <v>2787</v>
      </c>
      <c r="B226" s="58" t="s">
        <v>379</v>
      </c>
      <c r="C226" s="58">
        <v>2023.0</v>
      </c>
      <c r="D226" s="58" t="s">
        <v>2788</v>
      </c>
      <c r="E226" s="58" t="s">
        <v>2789</v>
      </c>
      <c r="F226" s="58" t="s">
        <v>2790</v>
      </c>
      <c r="G226" s="58" t="s">
        <v>2791</v>
      </c>
      <c r="I226" s="58" t="s">
        <v>2792</v>
      </c>
      <c r="J226" s="58" t="s">
        <v>2793</v>
      </c>
      <c r="K226" s="58">
        <v>2023.0</v>
      </c>
      <c r="L226" s="72">
        <v>45734.37930555556</v>
      </c>
      <c r="M226" s="72">
        <v>45734.37930555556</v>
      </c>
      <c r="V226" s="58" t="s">
        <v>2794</v>
      </c>
      <c r="Z226" s="58" t="s">
        <v>401</v>
      </c>
      <c r="AA226" s="58" t="s">
        <v>402</v>
      </c>
      <c r="AI226" s="58" t="s">
        <v>2795</v>
      </c>
      <c r="CL226" s="58" t="s">
        <v>2796</v>
      </c>
      <c r="DL226" s="58" t="s">
        <v>2797</v>
      </c>
    </row>
    <row r="227" ht="15.75" customHeight="1">
      <c r="A227" s="58" t="s">
        <v>2798</v>
      </c>
      <c r="B227" s="58" t="s">
        <v>379</v>
      </c>
      <c r="C227" s="58">
        <v>2020.0</v>
      </c>
      <c r="D227" s="58" t="s">
        <v>2799</v>
      </c>
      <c r="E227" s="58" t="s">
        <v>2800</v>
      </c>
      <c r="F227" s="58" t="s">
        <v>2801</v>
      </c>
      <c r="G227" s="58" t="s">
        <v>2802</v>
      </c>
      <c r="I227" s="58" t="s">
        <v>2803</v>
      </c>
      <c r="J227" s="58" t="s">
        <v>2804</v>
      </c>
      <c r="K227" s="58">
        <v>2020.0</v>
      </c>
      <c r="L227" s="72">
        <v>45734.37931712963</v>
      </c>
      <c r="M227" s="72">
        <v>45734.37931712963</v>
      </c>
      <c r="O227" s="58" t="s">
        <v>2805</v>
      </c>
      <c r="V227" s="58" t="s">
        <v>2806</v>
      </c>
      <c r="Z227" s="58" t="s">
        <v>401</v>
      </c>
      <c r="AA227" s="58" t="s">
        <v>402</v>
      </c>
      <c r="AI227" s="58" t="s">
        <v>2784</v>
      </c>
      <c r="CL227" s="58" t="s">
        <v>2807</v>
      </c>
      <c r="DL227" s="58" t="s">
        <v>2808</v>
      </c>
    </row>
    <row r="228" ht="15.75" customHeight="1">
      <c r="A228" s="58" t="s">
        <v>2809</v>
      </c>
      <c r="B228" s="58" t="s">
        <v>379</v>
      </c>
      <c r="C228" s="58">
        <v>2022.0</v>
      </c>
      <c r="D228" s="58" t="s">
        <v>2810</v>
      </c>
      <c r="E228" s="58" t="s">
        <v>2811</v>
      </c>
      <c r="F228" s="58" t="s">
        <v>2812</v>
      </c>
      <c r="G228" s="58" t="s">
        <v>2813</v>
      </c>
      <c r="I228" s="58" t="s">
        <v>2814</v>
      </c>
      <c r="J228" s="58" t="s">
        <v>2815</v>
      </c>
      <c r="K228" s="58">
        <v>2022.0</v>
      </c>
      <c r="L228" s="72">
        <v>45734.37931712963</v>
      </c>
      <c r="M228" s="72">
        <v>45734.37931712963</v>
      </c>
      <c r="O228" s="58" t="s">
        <v>2816</v>
      </c>
      <c r="Z228" s="58" t="s">
        <v>387</v>
      </c>
      <c r="AA228" s="58" t="s">
        <v>388</v>
      </c>
      <c r="AI228" s="58" t="s">
        <v>1010</v>
      </c>
      <c r="CL228" s="58" t="s">
        <v>2817</v>
      </c>
      <c r="DL228" s="58" t="s">
        <v>2818</v>
      </c>
    </row>
    <row r="229" ht="15.75" customHeight="1">
      <c r="A229" s="58" t="s">
        <v>2819</v>
      </c>
      <c r="B229" s="58" t="s">
        <v>379</v>
      </c>
      <c r="C229" s="58">
        <v>2023.0</v>
      </c>
      <c r="D229" s="58" t="s">
        <v>2820</v>
      </c>
      <c r="E229" s="58" t="s">
        <v>2821</v>
      </c>
      <c r="F229" s="58" t="s">
        <v>2822</v>
      </c>
      <c r="G229" s="58" t="s">
        <v>2823</v>
      </c>
      <c r="I229" s="58" t="s">
        <v>2824</v>
      </c>
      <c r="J229" s="58" t="s">
        <v>2825</v>
      </c>
      <c r="K229" s="58">
        <v>2023.0</v>
      </c>
      <c r="L229" s="72">
        <v>45734.37931712963</v>
      </c>
      <c r="M229" s="72">
        <v>45734.37931712963</v>
      </c>
      <c r="O229" s="58" t="s">
        <v>2826</v>
      </c>
      <c r="V229" s="58" t="s">
        <v>2827</v>
      </c>
      <c r="Z229" s="58" t="s">
        <v>401</v>
      </c>
      <c r="AA229" s="58" t="s">
        <v>402</v>
      </c>
      <c r="AI229" s="58" t="s">
        <v>2828</v>
      </c>
      <c r="CL229" s="58" t="s">
        <v>2829</v>
      </c>
      <c r="DL229" s="58" t="s">
        <v>2830</v>
      </c>
    </row>
    <row r="230" ht="15.75" customHeight="1">
      <c r="A230" s="58" t="s">
        <v>2831</v>
      </c>
      <c r="B230" s="58" t="s">
        <v>379</v>
      </c>
      <c r="C230" s="58">
        <v>2024.0</v>
      </c>
      <c r="D230" s="58" t="s">
        <v>2832</v>
      </c>
      <c r="E230" s="58" t="s">
        <v>2833</v>
      </c>
      <c r="F230" s="58" t="s">
        <v>2834</v>
      </c>
      <c r="G230" s="58" t="s">
        <v>2835</v>
      </c>
      <c r="I230" s="58" t="s">
        <v>2836</v>
      </c>
      <c r="J230" s="58" t="s">
        <v>2837</v>
      </c>
      <c r="K230" s="58">
        <v>2024.0</v>
      </c>
      <c r="L230" s="72">
        <v>45734.37931712963</v>
      </c>
      <c r="M230" s="72">
        <v>45734.37931712963</v>
      </c>
      <c r="O230" s="58" t="s">
        <v>2838</v>
      </c>
      <c r="Z230" s="58" t="s">
        <v>387</v>
      </c>
      <c r="AA230" s="58" t="s">
        <v>388</v>
      </c>
      <c r="AI230" s="58" t="s">
        <v>2839</v>
      </c>
      <c r="CL230" s="58" t="s">
        <v>2840</v>
      </c>
      <c r="DL230" s="58" t="s">
        <v>2841</v>
      </c>
    </row>
    <row r="231" ht="15.75" customHeight="1">
      <c r="A231" s="58" t="s">
        <v>2842</v>
      </c>
      <c r="B231" s="58" t="s">
        <v>379</v>
      </c>
      <c r="C231" s="58">
        <v>2023.0</v>
      </c>
      <c r="D231" s="58" t="s">
        <v>2843</v>
      </c>
      <c r="E231" s="58" t="s">
        <v>2844</v>
      </c>
      <c r="F231" s="58" t="s">
        <v>562</v>
      </c>
      <c r="G231" s="58" t="s">
        <v>563</v>
      </c>
      <c r="I231" s="58" t="s">
        <v>2845</v>
      </c>
      <c r="J231" s="58" t="s">
        <v>2846</v>
      </c>
      <c r="K231" s="58">
        <v>2023.0</v>
      </c>
      <c r="L231" s="72">
        <v>45734.37931712963</v>
      </c>
      <c r="M231" s="72">
        <v>45734.37931712963</v>
      </c>
      <c r="O231" s="58" t="s">
        <v>2847</v>
      </c>
      <c r="V231" s="58" t="s">
        <v>567</v>
      </c>
      <c r="Z231" s="58" t="s">
        <v>401</v>
      </c>
      <c r="AA231" s="58" t="s">
        <v>402</v>
      </c>
      <c r="AI231" s="58" t="s">
        <v>568</v>
      </c>
      <c r="CL231" s="58" t="s">
        <v>2848</v>
      </c>
      <c r="DL231" s="58" t="s">
        <v>2849</v>
      </c>
    </row>
    <row r="232" ht="15.75" customHeight="1">
      <c r="A232" s="58" t="s">
        <v>2850</v>
      </c>
      <c r="B232" s="58" t="s">
        <v>379</v>
      </c>
      <c r="C232" s="58">
        <v>2019.0</v>
      </c>
      <c r="D232" s="58" t="s">
        <v>2851</v>
      </c>
      <c r="E232" s="58" t="s">
        <v>2852</v>
      </c>
      <c r="F232" s="58" t="s">
        <v>2853</v>
      </c>
      <c r="I232" s="58" t="s">
        <v>2854</v>
      </c>
      <c r="J232" s="58" t="s">
        <v>2855</v>
      </c>
      <c r="K232" s="58">
        <v>2019.0</v>
      </c>
      <c r="L232" s="72">
        <v>45734.37931712963</v>
      </c>
      <c r="M232" s="72">
        <v>45734.37931712963</v>
      </c>
      <c r="O232" s="58" t="s">
        <v>2053</v>
      </c>
      <c r="V232" s="58" t="s">
        <v>2856</v>
      </c>
      <c r="Z232" s="58" t="s">
        <v>555</v>
      </c>
      <c r="AA232" s="58" t="s">
        <v>2625</v>
      </c>
      <c r="CL232" s="58" t="s">
        <v>2857</v>
      </c>
      <c r="DL232" s="58" t="s">
        <v>2858</v>
      </c>
    </row>
    <row r="233" ht="15.75" customHeight="1">
      <c r="A233" s="58" t="s">
        <v>2859</v>
      </c>
      <c r="B233" s="58" t="s">
        <v>379</v>
      </c>
      <c r="C233" s="58">
        <v>2023.0</v>
      </c>
      <c r="D233" s="58" t="s">
        <v>2860</v>
      </c>
      <c r="E233" s="58" t="s">
        <v>2861</v>
      </c>
      <c r="F233" s="58" t="s">
        <v>2862</v>
      </c>
      <c r="G233" s="58" t="s">
        <v>2863</v>
      </c>
      <c r="I233" s="58" t="s">
        <v>2864</v>
      </c>
      <c r="J233" s="58" t="s">
        <v>2865</v>
      </c>
      <c r="K233" s="58">
        <v>2023.0</v>
      </c>
      <c r="L233" s="72">
        <v>45734.37931712963</v>
      </c>
      <c r="M233" s="72">
        <v>45734.37931712963</v>
      </c>
      <c r="O233" s="58" t="s">
        <v>2866</v>
      </c>
      <c r="V233" s="58" t="s">
        <v>2867</v>
      </c>
      <c r="Z233" s="58" t="s">
        <v>401</v>
      </c>
      <c r="AA233" s="58" t="s">
        <v>402</v>
      </c>
      <c r="AI233" s="58" t="s">
        <v>544</v>
      </c>
      <c r="CL233" s="58" t="s">
        <v>2868</v>
      </c>
      <c r="DL233" s="58" t="s">
        <v>2869</v>
      </c>
    </row>
    <row r="234" ht="15.75" customHeight="1">
      <c r="A234" s="58" t="s">
        <v>2870</v>
      </c>
      <c r="B234" s="58" t="s">
        <v>379</v>
      </c>
      <c r="C234" s="58">
        <v>2018.0</v>
      </c>
      <c r="D234" s="58" t="s">
        <v>2871</v>
      </c>
      <c r="E234" s="58" t="s">
        <v>2872</v>
      </c>
      <c r="F234" s="58" t="s">
        <v>2873</v>
      </c>
      <c r="G234" s="58" t="s">
        <v>2874</v>
      </c>
      <c r="I234" s="58" t="s">
        <v>2875</v>
      </c>
      <c r="J234" s="58" t="s">
        <v>2876</v>
      </c>
      <c r="K234" s="58">
        <v>2018.0</v>
      </c>
      <c r="L234" s="72">
        <v>45734.37931712963</v>
      </c>
      <c r="M234" s="72">
        <v>45734.37931712963</v>
      </c>
      <c r="O234" s="58" t="s">
        <v>2877</v>
      </c>
      <c r="V234" s="58" t="s">
        <v>2878</v>
      </c>
      <c r="Z234" s="58" t="s">
        <v>401</v>
      </c>
      <c r="AA234" s="58" t="s">
        <v>402</v>
      </c>
      <c r="AI234" s="58" t="s">
        <v>2879</v>
      </c>
      <c r="CL234" s="58" t="s">
        <v>2880</v>
      </c>
      <c r="DL234" s="58" t="s">
        <v>2881</v>
      </c>
    </row>
    <row r="235" ht="15.75" customHeight="1">
      <c r="A235" s="58" t="s">
        <v>2882</v>
      </c>
      <c r="B235" s="58" t="s">
        <v>379</v>
      </c>
      <c r="C235" s="58">
        <v>2021.0</v>
      </c>
      <c r="D235" s="58" t="s">
        <v>2883</v>
      </c>
      <c r="E235" s="58" t="s">
        <v>2884</v>
      </c>
      <c r="F235" s="58" t="s">
        <v>2433</v>
      </c>
      <c r="G235" s="58" t="s">
        <v>2434</v>
      </c>
      <c r="I235" s="58" t="s">
        <v>2885</v>
      </c>
      <c r="J235" s="58" t="s">
        <v>2886</v>
      </c>
      <c r="K235" s="58">
        <v>2021.0</v>
      </c>
      <c r="L235" s="72">
        <v>45734.37931712963</v>
      </c>
      <c r="M235" s="72">
        <v>45734.37931712963</v>
      </c>
      <c r="O235" s="58" t="s">
        <v>2887</v>
      </c>
      <c r="V235" s="58" t="s">
        <v>2438</v>
      </c>
      <c r="Z235" s="58" t="s">
        <v>401</v>
      </c>
      <c r="AA235" s="58" t="s">
        <v>402</v>
      </c>
      <c r="AI235" s="58" t="s">
        <v>2439</v>
      </c>
      <c r="CL235" s="58" t="s">
        <v>2888</v>
      </c>
    </row>
    <row r="236" ht="15.75" customHeight="1">
      <c r="A236" s="58" t="s">
        <v>2889</v>
      </c>
      <c r="B236" s="58" t="s">
        <v>379</v>
      </c>
      <c r="C236" s="58">
        <v>2023.0</v>
      </c>
      <c r="D236" s="58" t="s">
        <v>2890</v>
      </c>
      <c r="E236" s="58" t="s">
        <v>2891</v>
      </c>
      <c r="F236" s="58" t="s">
        <v>2892</v>
      </c>
      <c r="G236" s="58" t="s">
        <v>2893</v>
      </c>
      <c r="I236" s="58" t="s">
        <v>2894</v>
      </c>
      <c r="J236" s="58" t="s">
        <v>2895</v>
      </c>
      <c r="K236" s="58">
        <v>2023.0</v>
      </c>
      <c r="L236" s="72">
        <v>45734.37931712963</v>
      </c>
      <c r="M236" s="72">
        <v>45734.37931712963</v>
      </c>
      <c r="O236" s="58" t="s">
        <v>2896</v>
      </c>
      <c r="V236" s="58" t="s">
        <v>2897</v>
      </c>
      <c r="Z236" s="58" t="s">
        <v>555</v>
      </c>
      <c r="AA236" s="58" t="s">
        <v>1624</v>
      </c>
      <c r="CL236" s="58" t="s">
        <v>2898</v>
      </c>
      <c r="DL236" s="58" t="s">
        <v>2899</v>
      </c>
    </row>
    <row r="237" ht="15.75" customHeight="1">
      <c r="A237" s="58" t="s">
        <v>2900</v>
      </c>
      <c r="B237" s="58" t="s">
        <v>379</v>
      </c>
      <c r="C237" s="58">
        <v>2024.0</v>
      </c>
      <c r="D237" s="58" t="s">
        <v>2901</v>
      </c>
      <c r="E237" s="58" t="s">
        <v>2902</v>
      </c>
      <c r="F237" s="58" t="s">
        <v>2903</v>
      </c>
      <c r="G237" s="58" t="s">
        <v>2904</v>
      </c>
      <c r="I237" s="58" t="s">
        <v>2905</v>
      </c>
      <c r="J237" s="58" t="s">
        <v>2906</v>
      </c>
      <c r="K237" s="58">
        <v>2024.0</v>
      </c>
      <c r="L237" s="72">
        <v>45734.37931712963</v>
      </c>
      <c r="M237" s="72">
        <v>45734.37931712963</v>
      </c>
      <c r="O237" s="58" t="s">
        <v>2907</v>
      </c>
      <c r="V237" s="58" t="s">
        <v>2908</v>
      </c>
      <c r="Z237" s="58" t="s">
        <v>401</v>
      </c>
      <c r="AA237" s="58" t="s">
        <v>402</v>
      </c>
      <c r="AI237" s="58" t="s">
        <v>2909</v>
      </c>
      <c r="CL237" s="58" t="s">
        <v>2910</v>
      </c>
    </row>
    <row r="238" ht="15.75" customHeight="1">
      <c r="A238" s="58" t="s">
        <v>2911</v>
      </c>
      <c r="B238" s="58" t="s">
        <v>379</v>
      </c>
      <c r="C238" s="58">
        <v>2017.0</v>
      </c>
      <c r="D238" s="58" t="s">
        <v>2912</v>
      </c>
      <c r="E238" s="58" t="s">
        <v>2913</v>
      </c>
      <c r="F238" s="58" t="s">
        <v>2914</v>
      </c>
      <c r="G238" s="58" t="s">
        <v>2915</v>
      </c>
      <c r="I238" s="58" t="s">
        <v>2916</v>
      </c>
      <c r="J238" s="58" t="s">
        <v>2917</v>
      </c>
      <c r="K238" s="58">
        <v>2017.0</v>
      </c>
      <c r="L238" s="72">
        <v>45734.37931712963</v>
      </c>
      <c r="M238" s="72">
        <v>45734.37931712963</v>
      </c>
      <c r="O238" s="58" t="s">
        <v>2918</v>
      </c>
      <c r="V238" s="58" t="s">
        <v>2919</v>
      </c>
      <c r="Z238" s="58" t="s">
        <v>401</v>
      </c>
      <c r="AA238" s="58" t="s">
        <v>402</v>
      </c>
      <c r="AI238" s="58" t="s">
        <v>2920</v>
      </c>
      <c r="CL238" s="58" t="s">
        <v>2921</v>
      </c>
      <c r="DL238" s="58" t="s">
        <v>2922</v>
      </c>
    </row>
    <row r="239" ht="15.75" customHeight="1">
      <c r="A239" s="58" t="s">
        <v>2923</v>
      </c>
      <c r="B239" s="58" t="s">
        <v>379</v>
      </c>
      <c r="C239" s="58">
        <v>2020.0</v>
      </c>
      <c r="D239" s="58" t="s">
        <v>2924</v>
      </c>
      <c r="E239" s="58" t="s">
        <v>2925</v>
      </c>
      <c r="F239" s="58" t="s">
        <v>2926</v>
      </c>
      <c r="G239" s="58" t="s">
        <v>2927</v>
      </c>
      <c r="I239" s="58" t="s">
        <v>2928</v>
      </c>
      <c r="J239" s="58" t="s">
        <v>2929</v>
      </c>
      <c r="K239" s="58">
        <v>2020.0</v>
      </c>
      <c r="L239" s="72">
        <v>45734.37931712963</v>
      </c>
      <c r="M239" s="72">
        <v>45734.37931712963</v>
      </c>
      <c r="O239" s="58" t="s">
        <v>2930</v>
      </c>
      <c r="V239" s="58" t="s">
        <v>2931</v>
      </c>
      <c r="Z239" s="58" t="s">
        <v>555</v>
      </c>
      <c r="AA239" s="58" t="s">
        <v>2932</v>
      </c>
      <c r="CL239" s="58" t="s">
        <v>2933</v>
      </c>
    </row>
    <row r="240" ht="15.75" customHeight="1">
      <c r="A240" s="58" t="s">
        <v>2934</v>
      </c>
      <c r="B240" s="58" t="s">
        <v>379</v>
      </c>
      <c r="C240" s="58">
        <v>2024.0</v>
      </c>
      <c r="D240" s="58" t="s">
        <v>2935</v>
      </c>
      <c r="E240" s="58" t="s">
        <v>2936</v>
      </c>
      <c r="F240" s="58" t="s">
        <v>2937</v>
      </c>
      <c r="G240" s="58" t="s">
        <v>2938</v>
      </c>
      <c r="I240" s="58" t="s">
        <v>2939</v>
      </c>
      <c r="J240" s="58" t="s">
        <v>2940</v>
      </c>
      <c r="K240" s="58">
        <v>2024.0</v>
      </c>
      <c r="L240" s="72">
        <v>45734.37931712963</v>
      </c>
      <c r="M240" s="72">
        <v>45734.37931712963</v>
      </c>
      <c r="O240" s="58" t="s">
        <v>2941</v>
      </c>
      <c r="V240" s="58" t="s">
        <v>2942</v>
      </c>
      <c r="Z240" s="58" t="s">
        <v>401</v>
      </c>
      <c r="AA240" s="58" t="s">
        <v>402</v>
      </c>
      <c r="AI240" s="58" t="s">
        <v>2943</v>
      </c>
      <c r="CL240" s="58" t="s">
        <v>2944</v>
      </c>
      <c r="DL240" s="58" t="s">
        <v>2945</v>
      </c>
    </row>
    <row r="241" ht="15.75" customHeight="1">
      <c r="A241" s="58" t="s">
        <v>2946</v>
      </c>
      <c r="B241" s="58" t="s">
        <v>379</v>
      </c>
      <c r="C241" s="58">
        <v>2017.0</v>
      </c>
      <c r="D241" s="58" t="s">
        <v>2947</v>
      </c>
      <c r="E241" s="58" t="s">
        <v>2948</v>
      </c>
      <c r="F241" s="58" t="s">
        <v>2949</v>
      </c>
      <c r="G241" s="58" t="s">
        <v>2950</v>
      </c>
      <c r="I241" s="58" t="s">
        <v>2951</v>
      </c>
      <c r="J241" s="58" t="s">
        <v>2952</v>
      </c>
      <c r="K241" s="58">
        <v>2017.0</v>
      </c>
      <c r="L241" s="72">
        <v>45734.37931712963</v>
      </c>
      <c r="M241" s="72">
        <v>45734.37931712963</v>
      </c>
      <c r="O241" s="58" t="s">
        <v>2953</v>
      </c>
      <c r="V241" s="58" t="s">
        <v>2954</v>
      </c>
      <c r="Z241" s="58" t="s">
        <v>401</v>
      </c>
      <c r="AA241" s="58" t="s">
        <v>402</v>
      </c>
      <c r="AI241" s="58" t="s">
        <v>2955</v>
      </c>
      <c r="CL241" s="58" t="s">
        <v>2956</v>
      </c>
      <c r="DL241" s="58" t="s">
        <v>2957</v>
      </c>
    </row>
    <row r="242" ht="15.75" customHeight="1">
      <c r="A242" s="58" t="s">
        <v>2958</v>
      </c>
      <c r="B242" s="58" t="s">
        <v>379</v>
      </c>
      <c r="C242" s="58">
        <v>2023.0</v>
      </c>
      <c r="D242" s="58" t="s">
        <v>2959</v>
      </c>
      <c r="E242" s="58" t="s">
        <v>2960</v>
      </c>
      <c r="F242" s="58" t="s">
        <v>2961</v>
      </c>
      <c r="G242" s="58" t="s">
        <v>2962</v>
      </c>
      <c r="I242" s="58" t="s">
        <v>2963</v>
      </c>
      <c r="J242" s="58" t="s">
        <v>2964</v>
      </c>
      <c r="K242" s="58">
        <v>2023.0</v>
      </c>
      <c r="L242" s="72">
        <v>45734.37931712963</v>
      </c>
      <c r="M242" s="72">
        <v>45734.37931712963</v>
      </c>
      <c r="O242" s="58" t="s">
        <v>2965</v>
      </c>
      <c r="Z242" s="58" t="s">
        <v>387</v>
      </c>
      <c r="AA242" s="58" t="s">
        <v>388</v>
      </c>
      <c r="AI242" s="58" t="s">
        <v>2966</v>
      </c>
      <c r="CL242" s="58" t="s">
        <v>2967</v>
      </c>
      <c r="DL242" s="58" t="s">
        <v>2968</v>
      </c>
    </row>
    <row r="243" ht="15.75" customHeight="1">
      <c r="A243" s="58" t="s">
        <v>2969</v>
      </c>
      <c r="B243" s="58" t="s">
        <v>379</v>
      </c>
      <c r="C243" s="58">
        <v>2023.0</v>
      </c>
      <c r="D243" s="58" t="s">
        <v>2970</v>
      </c>
      <c r="E243" s="58" t="s">
        <v>2971</v>
      </c>
      <c r="F243" s="58" t="s">
        <v>2972</v>
      </c>
      <c r="G243" s="58" t="s">
        <v>2973</v>
      </c>
      <c r="I243" s="58" t="s">
        <v>2974</v>
      </c>
      <c r="J243" s="58" t="s">
        <v>2975</v>
      </c>
      <c r="K243" s="58">
        <v>2023.0</v>
      </c>
      <c r="L243" s="72">
        <v>45734.37931712963</v>
      </c>
      <c r="M243" s="72">
        <v>45734.37931712963</v>
      </c>
      <c r="O243" s="58" t="s">
        <v>2976</v>
      </c>
      <c r="V243" s="58" t="s">
        <v>2977</v>
      </c>
      <c r="Z243" s="58" t="s">
        <v>401</v>
      </c>
      <c r="AA243" s="58" t="s">
        <v>402</v>
      </c>
      <c r="AI243" s="58" t="s">
        <v>2978</v>
      </c>
      <c r="CL243" s="58" t="s">
        <v>2979</v>
      </c>
      <c r="DL243" s="58" t="s">
        <v>2980</v>
      </c>
    </row>
    <row r="244" ht="15.75" customHeight="1">
      <c r="A244" s="58" t="s">
        <v>2981</v>
      </c>
      <c r="B244" s="58" t="s">
        <v>379</v>
      </c>
      <c r="C244" s="58">
        <v>2018.0</v>
      </c>
      <c r="D244" s="58" t="s">
        <v>2982</v>
      </c>
      <c r="E244" s="58" t="s">
        <v>2983</v>
      </c>
      <c r="F244" s="58" t="s">
        <v>2984</v>
      </c>
      <c r="G244" s="58" t="s">
        <v>2985</v>
      </c>
      <c r="I244" s="58" t="s">
        <v>2986</v>
      </c>
      <c r="J244" s="58" t="s">
        <v>2987</v>
      </c>
      <c r="K244" s="58">
        <v>2018.0</v>
      </c>
      <c r="L244" s="72">
        <v>45734.37931712963</v>
      </c>
      <c r="M244" s="72">
        <v>45734.37931712963</v>
      </c>
      <c r="O244" s="58" t="s">
        <v>2988</v>
      </c>
      <c r="V244" s="58" t="s">
        <v>2989</v>
      </c>
      <c r="Z244" s="58" t="s">
        <v>401</v>
      </c>
      <c r="AA244" s="58" t="s">
        <v>402</v>
      </c>
      <c r="AI244" s="58" t="s">
        <v>2990</v>
      </c>
      <c r="CL244" s="58" t="s">
        <v>2991</v>
      </c>
      <c r="DL244" s="58" t="s">
        <v>2992</v>
      </c>
    </row>
    <row r="245" ht="15.75" customHeight="1">
      <c r="A245" s="58" t="s">
        <v>2993</v>
      </c>
      <c r="B245" s="58" t="s">
        <v>379</v>
      </c>
      <c r="C245" s="58">
        <v>2021.0</v>
      </c>
      <c r="D245" s="58" t="s">
        <v>2994</v>
      </c>
      <c r="E245" s="58" t="s">
        <v>2995</v>
      </c>
      <c r="F245" s="58" t="s">
        <v>2996</v>
      </c>
      <c r="G245" s="58" t="s">
        <v>2997</v>
      </c>
      <c r="I245" s="58" t="s">
        <v>2998</v>
      </c>
      <c r="J245" s="58" t="s">
        <v>2999</v>
      </c>
      <c r="K245" s="58">
        <v>2021.0</v>
      </c>
      <c r="L245" s="72">
        <v>45734.37931712963</v>
      </c>
      <c r="M245" s="72">
        <v>45734.37931712963</v>
      </c>
      <c r="V245" s="58" t="s">
        <v>3000</v>
      </c>
      <c r="Z245" s="58" t="s">
        <v>401</v>
      </c>
      <c r="AA245" s="58" t="s">
        <v>402</v>
      </c>
      <c r="AI245" s="58" t="s">
        <v>3001</v>
      </c>
      <c r="CL245" s="58" t="s">
        <v>3002</v>
      </c>
      <c r="DL245" s="58" t="s">
        <v>3003</v>
      </c>
    </row>
    <row r="246" ht="15.75" customHeight="1">
      <c r="A246" s="58" t="s">
        <v>3004</v>
      </c>
      <c r="B246" s="58" t="s">
        <v>379</v>
      </c>
      <c r="C246" s="58">
        <v>2024.0</v>
      </c>
      <c r="D246" s="58" t="s">
        <v>3005</v>
      </c>
      <c r="E246" s="58" t="s">
        <v>3006</v>
      </c>
      <c r="F246" s="58" t="s">
        <v>643</v>
      </c>
      <c r="G246" s="58" t="s">
        <v>3007</v>
      </c>
      <c r="I246" s="58" t="s">
        <v>3008</v>
      </c>
      <c r="J246" s="58" t="s">
        <v>3009</v>
      </c>
      <c r="K246" s="58">
        <v>2024.0</v>
      </c>
      <c r="L246" s="72">
        <v>45734.37931712963</v>
      </c>
      <c r="M246" s="72">
        <v>45734.37931712963</v>
      </c>
      <c r="O246" s="58" t="s">
        <v>3010</v>
      </c>
      <c r="V246" s="58" t="s">
        <v>3011</v>
      </c>
      <c r="Z246" s="58" t="s">
        <v>401</v>
      </c>
      <c r="AA246" s="58" t="s">
        <v>402</v>
      </c>
      <c r="AI246" s="58" t="s">
        <v>649</v>
      </c>
      <c r="CL246" s="58" t="s">
        <v>3012</v>
      </c>
      <c r="DL246" s="58" t="s">
        <v>3013</v>
      </c>
    </row>
    <row r="247" ht="15.75" customHeight="1">
      <c r="A247" s="58" t="s">
        <v>3014</v>
      </c>
      <c r="B247" s="58" t="s">
        <v>379</v>
      </c>
      <c r="C247" s="58">
        <v>2017.0</v>
      </c>
      <c r="D247" s="58" t="s">
        <v>3015</v>
      </c>
      <c r="E247" s="58" t="s">
        <v>3016</v>
      </c>
      <c r="F247" s="58" t="s">
        <v>3017</v>
      </c>
      <c r="G247" s="58" t="s">
        <v>3018</v>
      </c>
      <c r="I247" s="58" t="s">
        <v>3019</v>
      </c>
      <c r="J247" s="58" t="s">
        <v>3020</v>
      </c>
      <c r="K247" s="58">
        <v>2017.0</v>
      </c>
      <c r="L247" s="72">
        <v>45734.37931712963</v>
      </c>
      <c r="M247" s="72">
        <v>45734.37931712963</v>
      </c>
      <c r="O247" s="58" t="s">
        <v>3021</v>
      </c>
      <c r="V247" s="58" t="s">
        <v>3022</v>
      </c>
      <c r="Z247" s="58" t="s">
        <v>401</v>
      </c>
      <c r="AA247" s="58" t="s">
        <v>402</v>
      </c>
      <c r="AI247" s="58" t="s">
        <v>3023</v>
      </c>
      <c r="CL247" s="58" t="s">
        <v>3024</v>
      </c>
      <c r="DL247" s="58" t="s">
        <v>3025</v>
      </c>
    </row>
    <row r="248" ht="15.75" customHeight="1">
      <c r="A248" s="58" t="s">
        <v>3026</v>
      </c>
      <c r="B248" s="58" t="s">
        <v>379</v>
      </c>
      <c r="C248" s="58">
        <v>2020.0</v>
      </c>
      <c r="D248" s="58" t="s">
        <v>3027</v>
      </c>
      <c r="E248" s="58" t="s">
        <v>3028</v>
      </c>
      <c r="F248" s="58" t="s">
        <v>3029</v>
      </c>
      <c r="G248" s="58" t="s">
        <v>3030</v>
      </c>
      <c r="I248" s="58" t="s">
        <v>3031</v>
      </c>
      <c r="J248" s="58" t="s">
        <v>3032</v>
      </c>
      <c r="K248" s="58">
        <v>2020.0</v>
      </c>
      <c r="L248" s="72">
        <v>45734.37931712963</v>
      </c>
      <c r="M248" s="72">
        <v>45734.37931712963</v>
      </c>
      <c r="O248" s="58" t="s">
        <v>3033</v>
      </c>
      <c r="V248" s="58" t="s">
        <v>3034</v>
      </c>
      <c r="Z248" s="58" t="s">
        <v>555</v>
      </c>
      <c r="AA248" s="58" t="s">
        <v>3035</v>
      </c>
      <c r="CL248" s="58" t="s">
        <v>3036</v>
      </c>
    </row>
    <row r="249" ht="15.75" customHeight="1">
      <c r="A249" s="58" t="s">
        <v>3037</v>
      </c>
      <c r="B249" s="58" t="s">
        <v>379</v>
      </c>
      <c r="C249" s="58">
        <v>2023.0</v>
      </c>
      <c r="D249" s="58" t="s">
        <v>3038</v>
      </c>
      <c r="E249" s="58" t="s">
        <v>3039</v>
      </c>
      <c r="F249" s="58" t="s">
        <v>3040</v>
      </c>
      <c r="G249" s="58" t="s">
        <v>3041</v>
      </c>
      <c r="I249" s="58" t="s">
        <v>3042</v>
      </c>
      <c r="J249" s="58" t="s">
        <v>3043</v>
      </c>
      <c r="K249" s="58">
        <v>2023.0</v>
      </c>
      <c r="L249" s="72">
        <v>45734.37931712963</v>
      </c>
      <c r="M249" s="72">
        <v>45734.37931712963</v>
      </c>
      <c r="O249" s="58" t="s">
        <v>3044</v>
      </c>
      <c r="Z249" s="58" t="s">
        <v>387</v>
      </c>
      <c r="AA249" s="58" t="s">
        <v>388</v>
      </c>
      <c r="AI249" s="58" t="s">
        <v>389</v>
      </c>
      <c r="CL249" s="58" t="s">
        <v>3045</v>
      </c>
      <c r="DL249" s="58" t="s">
        <v>3046</v>
      </c>
    </row>
    <row r="250" ht="15.75" customHeight="1">
      <c r="A250" s="58" t="s">
        <v>3047</v>
      </c>
      <c r="B250" s="58" t="s">
        <v>379</v>
      </c>
      <c r="C250" s="58">
        <v>2021.0</v>
      </c>
      <c r="D250" s="58" t="s">
        <v>3048</v>
      </c>
      <c r="E250" s="58" t="s">
        <v>3049</v>
      </c>
      <c r="F250" s="58" t="s">
        <v>3050</v>
      </c>
      <c r="G250" s="58" t="s">
        <v>3051</v>
      </c>
      <c r="I250" s="58" t="s">
        <v>3052</v>
      </c>
      <c r="J250" s="58" t="s">
        <v>3053</v>
      </c>
      <c r="K250" s="58">
        <v>2021.0</v>
      </c>
      <c r="L250" s="72">
        <v>45734.37931712963</v>
      </c>
      <c r="M250" s="72">
        <v>45734.37931712963</v>
      </c>
      <c r="V250" s="58" t="s">
        <v>3054</v>
      </c>
      <c r="Z250" s="58" t="s">
        <v>401</v>
      </c>
      <c r="AA250" s="58" t="s">
        <v>402</v>
      </c>
      <c r="AI250" s="58" t="s">
        <v>3055</v>
      </c>
      <c r="CL250" s="58" t="s">
        <v>3056</v>
      </c>
      <c r="DL250" s="58" t="s">
        <v>3057</v>
      </c>
    </row>
    <row r="251" ht="15.75" customHeight="1">
      <c r="A251" s="58" t="s">
        <v>3058</v>
      </c>
      <c r="B251" s="58" t="s">
        <v>379</v>
      </c>
      <c r="C251" s="58">
        <v>2019.0</v>
      </c>
      <c r="D251" s="58" t="s">
        <v>3059</v>
      </c>
      <c r="E251" s="58" t="s">
        <v>3060</v>
      </c>
      <c r="F251" s="58" t="s">
        <v>3061</v>
      </c>
      <c r="G251" s="58" t="s">
        <v>3062</v>
      </c>
      <c r="I251" s="58" t="s">
        <v>3063</v>
      </c>
      <c r="J251" s="58" t="s">
        <v>3064</v>
      </c>
      <c r="K251" s="58">
        <v>2019.0</v>
      </c>
      <c r="L251" s="72">
        <v>45734.37931712963</v>
      </c>
      <c r="M251" s="72">
        <v>45734.37931712963</v>
      </c>
      <c r="O251" s="58" t="s">
        <v>3065</v>
      </c>
      <c r="V251" s="58" t="s">
        <v>3066</v>
      </c>
      <c r="Z251" s="58" t="s">
        <v>401</v>
      </c>
      <c r="AA251" s="58" t="s">
        <v>402</v>
      </c>
      <c r="AI251" s="58" t="s">
        <v>1060</v>
      </c>
      <c r="CL251" s="58" t="s">
        <v>3067</v>
      </c>
      <c r="DL251" s="58" t="s">
        <v>3068</v>
      </c>
    </row>
    <row r="252" ht="15.75" customHeight="1">
      <c r="A252" s="58" t="s">
        <v>3069</v>
      </c>
      <c r="B252" s="58" t="s">
        <v>379</v>
      </c>
      <c r="C252" s="58">
        <v>2024.0</v>
      </c>
      <c r="D252" s="58" t="s">
        <v>3070</v>
      </c>
      <c r="E252" s="58" t="s">
        <v>3071</v>
      </c>
      <c r="F252" s="58" t="s">
        <v>3072</v>
      </c>
      <c r="G252" s="58" t="s">
        <v>3073</v>
      </c>
      <c r="I252" s="58" t="s">
        <v>3074</v>
      </c>
      <c r="J252" s="58" t="s">
        <v>3075</v>
      </c>
      <c r="K252" s="58">
        <v>2024.0</v>
      </c>
      <c r="L252" s="72">
        <v>45734.37931712963</v>
      </c>
      <c r="M252" s="72">
        <v>45734.37931712963</v>
      </c>
      <c r="O252" s="58" t="s">
        <v>3076</v>
      </c>
      <c r="V252" s="58" t="s">
        <v>3077</v>
      </c>
      <c r="Z252" s="58" t="s">
        <v>401</v>
      </c>
      <c r="AA252" s="58" t="s">
        <v>402</v>
      </c>
      <c r="AI252" s="58" t="s">
        <v>3078</v>
      </c>
      <c r="CL252" s="58" t="s">
        <v>3079</v>
      </c>
      <c r="DL252" s="58" t="s">
        <v>3080</v>
      </c>
    </row>
    <row r="253" ht="15.75" customHeight="1">
      <c r="A253" s="58" t="s">
        <v>3081</v>
      </c>
      <c r="B253" s="58" t="s">
        <v>379</v>
      </c>
      <c r="C253" s="58">
        <v>2018.0</v>
      </c>
      <c r="D253" s="58" t="s">
        <v>3082</v>
      </c>
      <c r="E253" s="58" t="s">
        <v>3083</v>
      </c>
      <c r="F253" s="58" t="s">
        <v>3084</v>
      </c>
      <c r="G253" s="58" t="s">
        <v>3085</v>
      </c>
      <c r="I253" s="58" t="s">
        <v>3086</v>
      </c>
      <c r="J253" s="58" t="s">
        <v>3087</v>
      </c>
      <c r="K253" s="58">
        <v>2018.0</v>
      </c>
      <c r="L253" s="72">
        <v>45734.37931712963</v>
      </c>
      <c r="M253" s="72">
        <v>45734.37931712963</v>
      </c>
      <c r="O253" s="58" t="s">
        <v>1825</v>
      </c>
      <c r="V253" s="58" t="s">
        <v>3088</v>
      </c>
      <c r="Z253" s="58" t="s">
        <v>555</v>
      </c>
      <c r="AA253" s="58" t="s">
        <v>3089</v>
      </c>
      <c r="CL253" s="58" t="s">
        <v>3090</v>
      </c>
      <c r="DL253" s="58" t="s">
        <v>3091</v>
      </c>
    </row>
    <row r="254" ht="15.75" customHeight="1">
      <c r="A254" s="58" t="s">
        <v>3092</v>
      </c>
      <c r="B254" s="58" t="s">
        <v>379</v>
      </c>
      <c r="C254" s="58">
        <v>2017.0</v>
      </c>
      <c r="D254" s="58" t="s">
        <v>3093</v>
      </c>
      <c r="E254" s="58" t="s">
        <v>3094</v>
      </c>
      <c r="F254" s="58" t="s">
        <v>1585</v>
      </c>
      <c r="G254" s="58" t="s">
        <v>1586</v>
      </c>
      <c r="I254" s="58" t="s">
        <v>3095</v>
      </c>
      <c r="J254" s="58" t="s">
        <v>3096</v>
      </c>
      <c r="K254" s="58">
        <v>2017.0</v>
      </c>
      <c r="L254" s="72">
        <v>45734.37931712963</v>
      </c>
      <c r="M254" s="72">
        <v>45734.37931712963</v>
      </c>
      <c r="O254" s="58" t="s">
        <v>3097</v>
      </c>
      <c r="Z254" s="58" t="s">
        <v>387</v>
      </c>
      <c r="AA254" s="58" t="s">
        <v>388</v>
      </c>
      <c r="AI254" s="58" t="s">
        <v>1590</v>
      </c>
      <c r="CL254" s="58" t="s">
        <v>3098</v>
      </c>
    </row>
    <row r="255" ht="15.75" customHeight="1">
      <c r="A255" s="58" t="s">
        <v>3099</v>
      </c>
      <c r="B255" s="58" t="s">
        <v>379</v>
      </c>
      <c r="C255" s="58">
        <v>2023.0</v>
      </c>
      <c r="D255" s="58" t="s">
        <v>3100</v>
      </c>
      <c r="E255" s="58" t="s">
        <v>3101</v>
      </c>
      <c r="F255" s="58" t="s">
        <v>3102</v>
      </c>
      <c r="G255" s="58" t="s">
        <v>3103</v>
      </c>
      <c r="I255" s="58" t="s">
        <v>3104</v>
      </c>
      <c r="J255" s="58" t="s">
        <v>3105</v>
      </c>
      <c r="K255" s="58">
        <v>2023.0</v>
      </c>
      <c r="L255" s="72">
        <v>45734.37931712963</v>
      </c>
      <c r="M255" s="72">
        <v>45734.37931712963</v>
      </c>
      <c r="O255" s="58" t="s">
        <v>3106</v>
      </c>
      <c r="V255" s="58" t="s">
        <v>3107</v>
      </c>
      <c r="Z255" s="58" t="s">
        <v>401</v>
      </c>
      <c r="AA255" s="58" t="s">
        <v>402</v>
      </c>
      <c r="AI255" s="58" t="s">
        <v>3108</v>
      </c>
      <c r="CL255" s="58" t="s">
        <v>3109</v>
      </c>
    </row>
    <row r="256" ht="15.75" customHeight="1">
      <c r="A256" s="58" t="s">
        <v>3110</v>
      </c>
      <c r="B256" s="58" t="s">
        <v>379</v>
      </c>
      <c r="C256" s="58">
        <v>2021.0</v>
      </c>
      <c r="D256" s="58" t="s">
        <v>3111</v>
      </c>
      <c r="E256" s="58" t="s">
        <v>3112</v>
      </c>
      <c r="F256" s="58" t="s">
        <v>1485</v>
      </c>
      <c r="G256" s="58" t="s">
        <v>1486</v>
      </c>
      <c r="I256" s="58" t="s">
        <v>3113</v>
      </c>
      <c r="J256" s="58" t="s">
        <v>3114</v>
      </c>
      <c r="K256" s="58">
        <v>2021.0</v>
      </c>
      <c r="L256" s="72">
        <v>45734.37931712963</v>
      </c>
      <c r="M256" s="72">
        <v>45734.37931712963</v>
      </c>
      <c r="V256" s="58" t="s">
        <v>1489</v>
      </c>
      <c r="Z256" s="58" t="s">
        <v>401</v>
      </c>
      <c r="AA256" s="58" t="s">
        <v>402</v>
      </c>
      <c r="AI256" s="58" t="s">
        <v>1490</v>
      </c>
      <c r="CL256" s="58" t="s">
        <v>3115</v>
      </c>
    </row>
    <row r="257" ht="15.75" customHeight="1">
      <c r="A257" s="58" t="s">
        <v>3116</v>
      </c>
      <c r="B257" s="58" t="s">
        <v>379</v>
      </c>
      <c r="C257" s="58">
        <v>2024.0</v>
      </c>
      <c r="D257" s="58" t="s">
        <v>3117</v>
      </c>
      <c r="E257" s="58" t="s">
        <v>3118</v>
      </c>
      <c r="F257" s="58" t="s">
        <v>3119</v>
      </c>
      <c r="G257" s="58" t="s">
        <v>3120</v>
      </c>
      <c r="I257" s="58" t="s">
        <v>3121</v>
      </c>
      <c r="J257" s="58" t="s">
        <v>3122</v>
      </c>
      <c r="K257" s="58">
        <v>2024.0</v>
      </c>
      <c r="L257" s="72">
        <v>45734.37931712963</v>
      </c>
      <c r="M257" s="72">
        <v>45734.37931712963</v>
      </c>
      <c r="O257" s="58" t="s">
        <v>3123</v>
      </c>
      <c r="Z257" s="58" t="s">
        <v>387</v>
      </c>
      <c r="AA257" s="58" t="s">
        <v>388</v>
      </c>
      <c r="AI257" s="58" t="s">
        <v>3124</v>
      </c>
      <c r="CL257" s="58" t="s">
        <v>3125</v>
      </c>
      <c r="DL257" s="58" t="s">
        <v>3126</v>
      </c>
    </row>
    <row r="258" ht="15.75" customHeight="1">
      <c r="A258" s="58" t="s">
        <v>3127</v>
      </c>
      <c r="B258" s="58" t="s">
        <v>379</v>
      </c>
      <c r="C258" s="58">
        <v>2024.0</v>
      </c>
      <c r="D258" s="58" t="s">
        <v>3128</v>
      </c>
      <c r="E258" s="58" t="s">
        <v>3129</v>
      </c>
      <c r="F258" s="58" t="s">
        <v>3130</v>
      </c>
      <c r="G258" s="58" t="s">
        <v>3131</v>
      </c>
      <c r="I258" s="58" t="s">
        <v>3132</v>
      </c>
      <c r="J258" s="58" t="s">
        <v>3133</v>
      </c>
      <c r="K258" s="58">
        <v>2024.0</v>
      </c>
      <c r="L258" s="72">
        <v>45734.37931712963</v>
      </c>
      <c r="M258" s="72">
        <v>45734.37931712963</v>
      </c>
      <c r="O258" s="58" t="s">
        <v>3134</v>
      </c>
      <c r="V258" s="58" t="s">
        <v>3135</v>
      </c>
      <c r="Z258" s="58" t="s">
        <v>401</v>
      </c>
      <c r="AA258" s="58" t="s">
        <v>402</v>
      </c>
      <c r="AI258" s="58" t="s">
        <v>1083</v>
      </c>
      <c r="CL258" s="58" t="s">
        <v>3136</v>
      </c>
      <c r="DL258" s="58" t="s">
        <v>3137</v>
      </c>
    </row>
    <row r="259" ht="15.75" customHeight="1">
      <c r="A259" s="58" t="s">
        <v>3138</v>
      </c>
      <c r="B259" s="58" t="s">
        <v>379</v>
      </c>
      <c r="C259" s="58">
        <v>2017.0</v>
      </c>
      <c r="D259" s="58" t="s">
        <v>3139</v>
      </c>
      <c r="E259" s="58" t="s">
        <v>3140</v>
      </c>
      <c r="F259" s="58" t="s">
        <v>3141</v>
      </c>
      <c r="G259" s="58" t="s">
        <v>3142</v>
      </c>
      <c r="I259" s="58" t="s">
        <v>3143</v>
      </c>
      <c r="J259" s="58" t="s">
        <v>3144</v>
      </c>
      <c r="K259" s="58">
        <v>2017.0</v>
      </c>
      <c r="L259" s="72">
        <v>45734.37931712963</v>
      </c>
      <c r="M259" s="72">
        <v>45734.37931712963</v>
      </c>
      <c r="V259" s="58" t="s">
        <v>3145</v>
      </c>
      <c r="Z259" s="58" t="s">
        <v>401</v>
      </c>
      <c r="AA259" s="58" t="s">
        <v>402</v>
      </c>
      <c r="AI259" s="58" t="s">
        <v>3146</v>
      </c>
      <c r="CL259" s="58" t="s">
        <v>3147</v>
      </c>
      <c r="DL259" s="58" t="s">
        <v>3148</v>
      </c>
    </row>
    <row r="260" ht="15.75" customHeight="1">
      <c r="A260" s="58" t="s">
        <v>3149</v>
      </c>
      <c r="B260" s="58" t="s">
        <v>379</v>
      </c>
      <c r="C260" s="58">
        <v>2015.0</v>
      </c>
      <c r="D260" s="58" t="s">
        <v>3150</v>
      </c>
      <c r="E260" s="58" t="s">
        <v>3151</v>
      </c>
      <c r="F260" s="58" t="s">
        <v>3152</v>
      </c>
      <c r="G260" s="58" t="s">
        <v>3153</v>
      </c>
      <c r="I260" s="58" t="s">
        <v>3154</v>
      </c>
      <c r="J260" s="58" t="s">
        <v>3155</v>
      </c>
      <c r="K260" s="58">
        <v>2015.0</v>
      </c>
      <c r="L260" s="72">
        <v>45734.37931712963</v>
      </c>
      <c r="M260" s="72">
        <v>45734.37931712963</v>
      </c>
      <c r="V260" s="58" t="s">
        <v>3156</v>
      </c>
      <c r="Z260" s="58" t="s">
        <v>401</v>
      </c>
      <c r="AA260" s="58" t="s">
        <v>402</v>
      </c>
      <c r="AI260" s="58" t="s">
        <v>3157</v>
      </c>
      <c r="CL260" s="58" t="s">
        <v>3158</v>
      </c>
      <c r="DL260" s="58" t="s">
        <v>3159</v>
      </c>
    </row>
    <row r="261" ht="15.75" customHeight="1">
      <c r="A261" s="58" t="s">
        <v>3160</v>
      </c>
      <c r="B261" s="58" t="s">
        <v>379</v>
      </c>
      <c r="C261" s="58">
        <v>2019.0</v>
      </c>
      <c r="D261" s="58" t="s">
        <v>3161</v>
      </c>
      <c r="E261" s="58" t="s">
        <v>3162</v>
      </c>
      <c r="F261" s="58" t="s">
        <v>3163</v>
      </c>
      <c r="G261" s="58" t="s">
        <v>3164</v>
      </c>
      <c r="I261" s="58" t="s">
        <v>3165</v>
      </c>
      <c r="J261" s="58" t="s">
        <v>3166</v>
      </c>
      <c r="K261" s="58">
        <v>2019.0</v>
      </c>
      <c r="L261" s="72">
        <v>45734.37931712963</v>
      </c>
      <c r="M261" s="72">
        <v>45734.37931712963</v>
      </c>
      <c r="O261" s="58" t="s">
        <v>3167</v>
      </c>
      <c r="V261" s="58" t="s">
        <v>3168</v>
      </c>
      <c r="Z261" s="58" t="s">
        <v>401</v>
      </c>
      <c r="AA261" s="58" t="s">
        <v>402</v>
      </c>
      <c r="AI261" s="58" t="s">
        <v>3169</v>
      </c>
      <c r="CL261" s="58" t="s">
        <v>3170</v>
      </c>
      <c r="DL261" s="58" t="s">
        <v>3171</v>
      </c>
    </row>
    <row r="262" ht="15.75" customHeight="1">
      <c r="A262" s="58" t="s">
        <v>3172</v>
      </c>
      <c r="B262" s="58" t="s">
        <v>379</v>
      </c>
      <c r="C262" s="58">
        <v>2025.0</v>
      </c>
      <c r="D262" s="58" t="s">
        <v>3173</v>
      </c>
      <c r="E262" s="58" t="s">
        <v>3174</v>
      </c>
      <c r="F262" s="58" t="s">
        <v>1752</v>
      </c>
      <c r="G262" s="58" t="s">
        <v>1753</v>
      </c>
      <c r="I262" s="58" t="s">
        <v>3175</v>
      </c>
      <c r="J262" s="58" t="s">
        <v>3176</v>
      </c>
      <c r="K262" s="58">
        <v>2025.0</v>
      </c>
      <c r="L262" s="72">
        <v>45734.37931712963</v>
      </c>
      <c r="M262" s="72">
        <v>45734.37931712963</v>
      </c>
      <c r="O262" s="58" t="s">
        <v>3177</v>
      </c>
      <c r="V262" s="58" t="s">
        <v>1757</v>
      </c>
      <c r="Z262" s="58" t="s">
        <v>555</v>
      </c>
      <c r="AA262" s="58" t="s">
        <v>602</v>
      </c>
      <c r="CL262" s="58" t="s">
        <v>3178</v>
      </c>
      <c r="DL262" s="58" t="s">
        <v>3179</v>
      </c>
    </row>
    <row r="263" ht="15.75" customHeight="1">
      <c r="A263" s="58" t="s">
        <v>3180</v>
      </c>
      <c r="B263" s="58" t="s">
        <v>379</v>
      </c>
      <c r="C263" s="58">
        <v>2024.0</v>
      </c>
      <c r="D263" s="58" t="s">
        <v>3181</v>
      </c>
      <c r="E263" s="58" t="s">
        <v>3182</v>
      </c>
      <c r="F263" s="58" t="s">
        <v>3183</v>
      </c>
      <c r="G263" s="58" t="s">
        <v>3184</v>
      </c>
      <c r="I263" s="58" t="s">
        <v>3185</v>
      </c>
      <c r="J263" s="58" t="s">
        <v>3186</v>
      </c>
      <c r="K263" s="58">
        <v>2024.0</v>
      </c>
      <c r="L263" s="72">
        <v>45734.37931712963</v>
      </c>
      <c r="M263" s="72">
        <v>45734.37931712963</v>
      </c>
      <c r="O263" s="58" t="s">
        <v>3187</v>
      </c>
      <c r="V263" s="58" t="s">
        <v>3188</v>
      </c>
      <c r="Z263" s="58" t="s">
        <v>401</v>
      </c>
      <c r="AA263" s="58" t="s">
        <v>402</v>
      </c>
      <c r="AI263" s="58" t="s">
        <v>3189</v>
      </c>
      <c r="CL263" s="58" t="s">
        <v>3190</v>
      </c>
      <c r="DL263" s="58" t="s">
        <v>3191</v>
      </c>
    </row>
    <row r="264" ht="15.75" customHeight="1">
      <c r="A264" s="58" t="s">
        <v>3192</v>
      </c>
      <c r="B264" s="58" t="s">
        <v>379</v>
      </c>
      <c r="C264" s="58">
        <v>2021.0</v>
      </c>
      <c r="D264" s="58" t="s">
        <v>3193</v>
      </c>
      <c r="E264" s="58" t="s">
        <v>3194</v>
      </c>
      <c r="F264" s="58" t="s">
        <v>3195</v>
      </c>
      <c r="G264" s="58" t="s">
        <v>3196</v>
      </c>
      <c r="I264" s="58" t="s">
        <v>3197</v>
      </c>
      <c r="J264" s="58" t="s">
        <v>3198</v>
      </c>
      <c r="K264" s="58">
        <v>2021.0</v>
      </c>
      <c r="L264" s="72">
        <v>45734.37931712963</v>
      </c>
      <c r="M264" s="72">
        <v>45734.37931712963</v>
      </c>
      <c r="O264" s="58" t="s">
        <v>3199</v>
      </c>
      <c r="Z264" s="58" t="s">
        <v>387</v>
      </c>
      <c r="AA264" s="58" t="s">
        <v>388</v>
      </c>
      <c r="AI264" s="58" t="s">
        <v>1168</v>
      </c>
      <c r="CL264" s="58" t="s">
        <v>3200</v>
      </c>
      <c r="DL264" s="58" t="s">
        <v>3201</v>
      </c>
    </row>
    <row r="265" ht="15.75" customHeight="1">
      <c r="A265" s="58" t="s">
        <v>3202</v>
      </c>
      <c r="B265" s="58" t="s">
        <v>379</v>
      </c>
      <c r="C265" s="58">
        <v>2020.0</v>
      </c>
      <c r="D265" s="58" t="s">
        <v>3203</v>
      </c>
      <c r="E265" s="58" t="s">
        <v>3204</v>
      </c>
      <c r="F265" s="58" t="s">
        <v>3205</v>
      </c>
      <c r="G265" s="58" t="s">
        <v>3206</v>
      </c>
      <c r="I265" s="58" t="s">
        <v>3207</v>
      </c>
      <c r="J265" s="58" t="s">
        <v>3208</v>
      </c>
      <c r="K265" s="58">
        <v>2020.0</v>
      </c>
      <c r="L265" s="72">
        <v>45734.37931712963</v>
      </c>
      <c r="M265" s="72">
        <v>45734.37931712963</v>
      </c>
      <c r="O265" s="58" t="s">
        <v>3209</v>
      </c>
      <c r="V265" s="58" t="s">
        <v>3210</v>
      </c>
      <c r="Z265" s="58" t="s">
        <v>401</v>
      </c>
      <c r="AA265" s="58" t="s">
        <v>402</v>
      </c>
      <c r="AI265" s="58" t="s">
        <v>862</v>
      </c>
      <c r="CL265" s="58" t="s">
        <v>3211</v>
      </c>
      <c r="DL265" s="58" t="s">
        <v>3212</v>
      </c>
    </row>
    <row r="266" ht="15.75" customHeight="1">
      <c r="A266" s="58" t="s">
        <v>3213</v>
      </c>
      <c r="B266" s="58" t="s">
        <v>379</v>
      </c>
      <c r="C266" s="58">
        <v>2016.0</v>
      </c>
      <c r="D266" s="58" t="s">
        <v>3214</v>
      </c>
      <c r="E266" s="58" t="s">
        <v>3215</v>
      </c>
      <c r="F266" s="58" t="s">
        <v>3216</v>
      </c>
      <c r="G266" s="58" t="s">
        <v>3217</v>
      </c>
      <c r="I266" s="58" t="s">
        <v>3218</v>
      </c>
      <c r="J266" s="58" t="s">
        <v>3219</v>
      </c>
      <c r="K266" s="58">
        <v>2016.0</v>
      </c>
      <c r="L266" s="72">
        <v>45734.37931712963</v>
      </c>
      <c r="M266" s="72">
        <v>45734.37931712963</v>
      </c>
      <c r="O266" s="58" t="s">
        <v>1070</v>
      </c>
      <c r="V266" s="58" t="s">
        <v>3220</v>
      </c>
      <c r="Z266" s="58" t="s">
        <v>401</v>
      </c>
      <c r="AA266" s="58" t="s">
        <v>402</v>
      </c>
      <c r="AI266" s="58" t="s">
        <v>3221</v>
      </c>
      <c r="CL266" s="58" t="s">
        <v>3222</v>
      </c>
      <c r="DL266" s="58" t="s">
        <v>3223</v>
      </c>
    </row>
    <row r="267" ht="15.75" customHeight="1">
      <c r="A267" s="58" t="s">
        <v>3224</v>
      </c>
      <c r="B267" s="58" t="s">
        <v>379</v>
      </c>
      <c r="C267" s="58">
        <v>2022.0</v>
      </c>
      <c r="D267" s="58" t="s">
        <v>3225</v>
      </c>
      <c r="E267" s="58" t="s">
        <v>3226</v>
      </c>
      <c r="F267" s="58" t="s">
        <v>3227</v>
      </c>
      <c r="G267" s="58" t="s">
        <v>3228</v>
      </c>
      <c r="I267" s="58" t="s">
        <v>3229</v>
      </c>
      <c r="J267" s="58" t="s">
        <v>3230</v>
      </c>
      <c r="K267" s="58">
        <v>2022.0</v>
      </c>
      <c r="L267" s="72">
        <v>45734.37931712963</v>
      </c>
      <c r="M267" s="72">
        <v>45734.37931712963</v>
      </c>
      <c r="O267" s="58" t="s">
        <v>3231</v>
      </c>
      <c r="V267" s="58" t="s">
        <v>3232</v>
      </c>
      <c r="Z267" s="58" t="s">
        <v>401</v>
      </c>
      <c r="AA267" s="58" t="s">
        <v>402</v>
      </c>
      <c r="AI267" s="58" t="s">
        <v>1724</v>
      </c>
      <c r="CL267" s="58" t="s">
        <v>3233</v>
      </c>
      <c r="DL267" s="58" t="s">
        <v>3234</v>
      </c>
    </row>
    <row r="268" ht="15.75" customHeight="1">
      <c r="A268" s="58" t="s">
        <v>3235</v>
      </c>
      <c r="B268" s="58" t="s">
        <v>379</v>
      </c>
      <c r="C268" s="58">
        <v>2022.0</v>
      </c>
      <c r="D268" s="58" t="s">
        <v>3236</v>
      </c>
      <c r="E268" s="58" t="s">
        <v>3237</v>
      </c>
      <c r="F268" s="58" t="s">
        <v>3238</v>
      </c>
      <c r="G268" s="58" t="s">
        <v>3239</v>
      </c>
      <c r="I268" s="58" t="s">
        <v>3240</v>
      </c>
      <c r="J268" s="58" t="s">
        <v>3241</v>
      </c>
      <c r="K268" s="58">
        <v>2022.0</v>
      </c>
      <c r="L268" s="72">
        <v>45734.37931712963</v>
      </c>
      <c r="M268" s="72">
        <v>45734.37931712963</v>
      </c>
      <c r="O268" s="58" t="s">
        <v>3242</v>
      </c>
      <c r="V268" s="58" t="s">
        <v>3243</v>
      </c>
      <c r="Z268" s="58" t="s">
        <v>401</v>
      </c>
      <c r="AA268" s="58" t="s">
        <v>402</v>
      </c>
      <c r="AI268" s="58" t="s">
        <v>3244</v>
      </c>
      <c r="CL268" s="58" t="s">
        <v>3245</v>
      </c>
      <c r="DL268" s="58" t="s">
        <v>3246</v>
      </c>
    </row>
    <row r="269" ht="15.75" customHeight="1">
      <c r="A269" s="58" t="s">
        <v>3247</v>
      </c>
      <c r="B269" s="58" t="s">
        <v>379</v>
      </c>
      <c r="C269" s="58">
        <v>2024.0</v>
      </c>
      <c r="D269" s="58" t="s">
        <v>3248</v>
      </c>
      <c r="E269" s="58" t="s">
        <v>3249</v>
      </c>
      <c r="F269" s="58" t="s">
        <v>3250</v>
      </c>
      <c r="G269" s="58" t="s">
        <v>3251</v>
      </c>
      <c r="I269" s="58" t="s">
        <v>3252</v>
      </c>
      <c r="J269" s="58" t="s">
        <v>3253</v>
      </c>
      <c r="K269" s="58">
        <v>2024.0</v>
      </c>
      <c r="L269" s="72">
        <v>45734.37931712963</v>
      </c>
      <c r="M269" s="72">
        <v>45734.37931712963</v>
      </c>
      <c r="O269" s="58" t="s">
        <v>3254</v>
      </c>
      <c r="V269" s="58" t="s">
        <v>3255</v>
      </c>
      <c r="Z269" s="58" t="s">
        <v>401</v>
      </c>
      <c r="AA269" s="58" t="s">
        <v>402</v>
      </c>
      <c r="AI269" s="58" t="s">
        <v>3256</v>
      </c>
      <c r="CL269" s="58" t="s">
        <v>3257</v>
      </c>
      <c r="DL269" s="58" t="s">
        <v>3258</v>
      </c>
    </row>
    <row r="270" ht="15.75" customHeight="1">
      <c r="A270" s="58" t="s">
        <v>3259</v>
      </c>
      <c r="B270" s="58" t="s">
        <v>379</v>
      </c>
      <c r="C270" s="58">
        <v>2015.0</v>
      </c>
      <c r="D270" s="58" t="s">
        <v>3260</v>
      </c>
      <c r="E270" s="58" t="s">
        <v>3261</v>
      </c>
      <c r="F270" s="58" t="s">
        <v>3262</v>
      </c>
      <c r="G270" s="58" t="s">
        <v>3263</v>
      </c>
      <c r="I270" s="58" t="s">
        <v>3264</v>
      </c>
      <c r="J270" s="58" t="s">
        <v>3265</v>
      </c>
      <c r="K270" s="58">
        <v>2015.0</v>
      </c>
      <c r="L270" s="72">
        <v>45734.37931712963</v>
      </c>
      <c r="M270" s="72">
        <v>45734.37931712963</v>
      </c>
      <c r="V270" s="58" t="s">
        <v>3266</v>
      </c>
      <c r="Z270" s="58" t="s">
        <v>401</v>
      </c>
      <c r="AA270" s="58" t="s">
        <v>402</v>
      </c>
      <c r="AI270" s="58" t="s">
        <v>1502</v>
      </c>
      <c r="CL270" s="58" t="s">
        <v>3267</v>
      </c>
      <c r="DL270" s="58" t="s">
        <v>3268</v>
      </c>
    </row>
    <row r="271" ht="15.75" customHeight="1">
      <c r="A271" s="58" t="s">
        <v>3269</v>
      </c>
      <c r="B271" s="58" t="s">
        <v>379</v>
      </c>
      <c r="C271" s="58">
        <v>2022.0</v>
      </c>
      <c r="D271" s="58" t="s">
        <v>3270</v>
      </c>
      <c r="E271" s="58" t="s">
        <v>3271</v>
      </c>
      <c r="F271" s="58" t="s">
        <v>3272</v>
      </c>
      <c r="G271" s="58" t="s">
        <v>3273</v>
      </c>
      <c r="I271" s="58" t="s">
        <v>3274</v>
      </c>
      <c r="J271" s="58" t="s">
        <v>3275</v>
      </c>
      <c r="K271" s="58">
        <v>2022.0</v>
      </c>
      <c r="L271" s="72">
        <v>45734.37931712963</v>
      </c>
      <c r="M271" s="72">
        <v>45734.37931712963</v>
      </c>
      <c r="O271" s="58" t="s">
        <v>3276</v>
      </c>
      <c r="V271" s="58" t="s">
        <v>3277</v>
      </c>
      <c r="Z271" s="58" t="s">
        <v>401</v>
      </c>
      <c r="AA271" s="58" t="s">
        <v>402</v>
      </c>
      <c r="AI271" s="58" t="s">
        <v>649</v>
      </c>
      <c r="CL271" s="58" t="s">
        <v>3278</v>
      </c>
      <c r="DL271" s="58" t="s">
        <v>3279</v>
      </c>
    </row>
    <row r="272" ht="15.75" customHeight="1">
      <c r="A272" s="58" t="s">
        <v>3280</v>
      </c>
      <c r="B272" s="58" t="s">
        <v>379</v>
      </c>
      <c r="C272" s="58">
        <v>2019.0</v>
      </c>
      <c r="D272" s="58" t="s">
        <v>3281</v>
      </c>
      <c r="E272" s="58" t="s">
        <v>3282</v>
      </c>
      <c r="F272" s="58" t="s">
        <v>3283</v>
      </c>
      <c r="G272" s="58" t="s">
        <v>3284</v>
      </c>
      <c r="I272" s="58" t="s">
        <v>3285</v>
      </c>
      <c r="J272" s="58" t="s">
        <v>3286</v>
      </c>
      <c r="K272" s="58">
        <v>2019.0</v>
      </c>
      <c r="L272" s="72">
        <v>45734.37931712963</v>
      </c>
      <c r="M272" s="72">
        <v>45734.37931712963</v>
      </c>
      <c r="O272" s="58" t="s">
        <v>3287</v>
      </c>
      <c r="V272" s="58" t="s">
        <v>3288</v>
      </c>
      <c r="Z272" s="58" t="s">
        <v>401</v>
      </c>
      <c r="AA272" s="58" t="s">
        <v>402</v>
      </c>
      <c r="AI272" s="58" t="s">
        <v>3289</v>
      </c>
      <c r="CL272" s="58" t="s">
        <v>3290</v>
      </c>
      <c r="DL272" s="58" t="s">
        <v>3291</v>
      </c>
    </row>
    <row r="273" ht="15.75" customHeight="1">
      <c r="A273" s="58" t="s">
        <v>3292</v>
      </c>
      <c r="B273" s="58" t="s">
        <v>379</v>
      </c>
      <c r="C273" s="58">
        <v>2021.0</v>
      </c>
      <c r="D273" s="58" t="s">
        <v>3293</v>
      </c>
      <c r="E273" s="58" t="s">
        <v>3294</v>
      </c>
      <c r="F273" s="58" t="s">
        <v>3295</v>
      </c>
      <c r="G273" s="58" t="s">
        <v>3296</v>
      </c>
      <c r="I273" s="58" t="s">
        <v>3297</v>
      </c>
      <c r="J273" s="58" t="s">
        <v>3298</v>
      </c>
      <c r="K273" s="58">
        <v>2021.0</v>
      </c>
      <c r="L273" s="72">
        <v>45734.37931712963</v>
      </c>
      <c r="M273" s="72">
        <v>45734.37931712963</v>
      </c>
      <c r="O273" s="58" t="s">
        <v>3299</v>
      </c>
      <c r="Z273" s="58" t="s">
        <v>387</v>
      </c>
      <c r="AA273" s="58" t="s">
        <v>388</v>
      </c>
      <c r="AI273" s="58" t="s">
        <v>2909</v>
      </c>
      <c r="CL273" s="58" t="s">
        <v>3300</v>
      </c>
      <c r="DL273" s="58" t="s">
        <v>3301</v>
      </c>
    </row>
    <row r="274" ht="15.75" customHeight="1">
      <c r="A274" s="58" t="s">
        <v>3302</v>
      </c>
      <c r="B274" s="58" t="s">
        <v>379</v>
      </c>
      <c r="C274" s="58">
        <v>2018.0</v>
      </c>
      <c r="D274" s="58" t="s">
        <v>3303</v>
      </c>
      <c r="E274" s="58" t="s">
        <v>3304</v>
      </c>
      <c r="F274" s="58" t="s">
        <v>3305</v>
      </c>
      <c r="G274" s="58" t="s">
        <v>3306</v>
      </c>
      <c r="I274" s="58" t="s">
        <v>3307</v>
      </c>
      <c r="J274" s="58" t="s">
        <v>3308</v>
      </c>
      <c r="K274" s="58">
        <v>2018.0</v>
      </c>
      <c r="L274" s="72">
        <v>45734.37931712963</v>
      </c>
      <c r="M274" s="72">
        <v>45734.37931712963</v>
      </c>
      <c r="O274" s="58" t="s">
        <v>3309</v>
      </c>
      <c r="V274" s="58" t="s">
        <v>3310</v>
      </c>
      <c r="Z274" s="58" t="s">
        <v>401</v>
      </c>
      <c r="AA274" s="58" t="s">
        <v>402</v>
      </c>
      <c r="AI274" s="58" t="s">
        <v>3311</v>
      </c>
      <c r="CL274" s="58" t="s">
        <v>3312</v>
      </c>
      <c r="DL274" s="58" t="s">
        <v>3313</v>
      </c>
    </row>
    <row r="275" ht="15.75" customHeight="1">
      <c r="A275" s="58" t="s">
        <v>3314</v>
      </c>
      <c r="B275" s="58" t="s">
        <v>379</v>
      </c>
      <c r="C275" s="58">
        <v>2020.0</v>
      </c>
      <c r="D275" s="58" t="s">
        <v>3315</v>
      </c>
      <c r="E275" s="58" t="s">
        <v>3316</v>
      </c>
      <c r="F275" s="58" t="s">
        <v>2926</v>
      </c>
      <c r="G275" s="58" t="s">
        <v>2927</v>
      </c>
      <c r="I275" s="58" t="s">
        <v>3317</v>
      </c>
      <c r="J275" s="58" t="s">
        <v>3318</v>
      </c>
      <c r="K275" s="58">
        <v>2020.0</v>
      </c>
      <c r="L275" s="72">
        <v>45734.37931712963</v>
      </c>
      <c r="M275" s="72">
        <v>45734.37931712963</v>
      </c>
      <c r="O275" s="58" t="s">
        <v>3319</v>
      </c>
      <c r="V275" s="58" t="s">
        <v>2931</v>
      </c>
      <c r="Z275" s="58" t="s">
        <v>555</v>
      </c>
      <c r="AA275" s="58" t="s">
        <v>2932</v>
      </c>
      <c r="CL275" s="58" t="s">
        <v>3320</v>
      </c>
    </row>
    <row r="276" ht="15.75" customHeight="1">
      <c r="A276" s="58" t="s">
        <v>3321</v>
      </c>
      <c r="B276" s="58" t="s">
        <v>379</v>
      </c>
      <c r="C276" s="58">
        <v>2022.0</v>
      </c>
      <c r="D276" s="58" t="s">
        <v>3322</v>
      </c>
      <c r="E276" s="58" t="s">
        <v>3323</v>
      </c>
      <c r="F276" s="58" t="s">
        <v>3324</v>
      </c>
      <c r="G276" s="58" t="s">
        <v>3325</v>
      </c>
      <c r="I276" s="58" t="s">
        <v>3326</v>
      </c>
      <c r="J276" s="58" t="s">
        <v>3327</v>
      </c>
      <c r="K276" s="58">
        <v>2022.0</v>
      </c>
      <c r="L276" s="72">
        <v>45734.37931712963</v>
      </c>
      <c r="M276" s="72">
        <v>45734.37931712963</v>
      </c>
      <c r="O276" s="58" t="s">
        <v>3328</v>
      </c>
      <c r="V276" s="58" t="s">
        <v>3329</v>
      </c>
      <c r="Z276" s="58" t="s">
        <v>401</v>
      </c>
      <c r="AA276" s="58" t="s">
        <v>402</v>
      </c>
      <c r="AI276" s="58" t="s">
        <v>3330</v>
      </c>
      <c r="CL276" s="58" t="s">
        <v>3331</v>
      </c>
      <c r="DL276" s="58" t="s">
        <v>3332</v>
      </c>
    </row>
    <row r="277" ht="15.75" customHeight="1">
      <c r="A277" s="58" t="s">
        <v>3333</v>
      </c>
      <c r="B277" s="58" t="s">
        <v>379</v>
      </c>
      <c r="C277" s="58">
        <v>2023.0</v>
      </c>
      <c r="D277" s="58" t="s">
        <v>3334</v>
      </c>
      <c r="E277" s="58" t="s">
        <v>3335</v>
      </c>
      <c r="F277" s="58" t="s">
        <v>3336</v>
      </c>
      <c r="G277" s="58" t="s">
        <v>3337</v>
      </c>
      <c r="I277" s="58" t="s">
        <v>3338</v>
      </c>
      <c r="J277" s="58" t="s">
        <v>3339</v>
      </c>
      <c r="K277" s="58">
        <v>2023.0</v>
      </c>
      <c r="L277" s="72">
        <v>45734.37931712963</v>
      </c>
      <c r="M277" s="72">
        <v>45734.37931712963</v>
      </c>
      <c r="O277" s="58" t="s">
        <v>3340</v>
      </c>
      <c r="V277" s="58" t="s">
        <v>3341</v>
      </c>
      <c r="Z277" s="58" t="s">
        <v>401</v>
      </c>
      <c r="AA277" s="58" t="s">
        <v>402</v>
      </c>
      <c r="AI277" s="58" t="s">
        <v>1978</v>
      </c>
      <c r="CL277" s="58" t="s">
        <v>3342</v>
      </c>
      <c r="DL277" s="58" t="s">
        <v>3343</v>
      </c>
    </row>
    <row r="278" ht="15.75" customHeight="1">
      <c r="A278" s="58" t="s">
        <v>3344</v>
      </c>
      <c r="B278" s="58" t="s">
        <v>379</v>
      </c>
      <c r="C278" s="58">
        <v>2019.0</v>
      </c>
      <c r="D278" s="58" t="s">
        <v>3345</v>
      </c>
      <c r="E278" s="58" t="s">
        <v>3346</v>
      </c>
      <c r="F278" s="58" t="s">
        <v>1763</v>
      </c>
      <c r="G278" s="58" t="s">
        <v>1764</v>
      </c>
      <c r="I278" s="58" t="s">
        <v>3347</v>
      </c>
      <c r="J278" s="58" t="s">
        <v>3348</v>
      </c>
      <c r="K278" s="58">
        <v>2019.0</v>
      </c>
      <c r="L278" s="72">
        <v>45734.37931712963</v>
      </c>
      <c r="M278" s="72">
        <v>45734.37931712963</v>
      </c>
      <c r="O278" s="58" t="s">
        <v>3349</v>
      </c>
      <c r="V278" s="58" t="s">
        <v>1768</v>
      </c>
      <c r="Z278" s="58" t="s">
        <v>401</v>
      </c>
      <c r="AA278" s="58" t="s">
        <v>402</v>
      </c>
      <c r="AI278" s="58" t="s">
        <v>1769</v>
      </c>
      <c r="CL278" s="58" t="s">
        <v>3350</v>
      </c>
      <c r="DL278" s="58" t="s">
        <v>3351</v>
      </c>
    </row>
    <row r="279" ht="15.75" customHeight="1">
      <c r="A279" s="58" t="s">
        <v>3352</v>
      </c>
      <c r="B279" s="58" t="s">
        <v>379</v>
      </c>
      <c r="C279" s="58">
        <v>2022.0</v>
      </c>
      <c r="D279" s="58" t="s">
        <v>3353</v>
      </c>
      <c r="E279" s="58" t="s">
        <v>3354</v>
      </c>
      <c r="F279" s="58" t="s">
        <v>2006</v>
      </c>
      <c r="G279" s="58" t="s">
        <v>2007</v>
      </c>
      <c r="I279" s="58" t="s">
        <v>3355</v>
      </c>
      <c r="J279" s="58" t="s">
        <v>3356</v>
      </c>
      <c r="K279" s="58">
        <v>2022.0</v>
      </c>
      <c r="L279" s="72">
        <v>45734.37931712963</v>
      </c>
      <c r="M279" s="72">
        <v>45734.37931712963</v>
      </c>
      <c r="O279" s="58" t="s">
        <v>3357</v>
      </c>
      <c r="Z279" s="58" t="s">
        <v>387</v>
      </c>
      <c r="AA279" s="58" t="s">
        <v>388</v>
      </c>
      <c r="AI279" s="58" t="s">
        <v>2011</v>
      </c>
      <c r="CL279" s="58" t="s">
        <v>3358</v>
      </c>
      <c r="DL279" s="58" t="s">
        <v>3359</v>
      </c>
    </row>
    <row r="280" ht="15.75" customHeight="1">
      <c r="A280" s="58" t="s">
        <v>3360</v>
      </c>
      <c r="B280" s="58" t="s">
        <v>379</v>
      </c>
      <c r="C280" s="58">
        <v>2021.0</v>
      </c>
      <c r="D280" s="58" t="s">
        <v>3361</v>
      </c>
      <c r="E280" s="58" t="s">
        <v>3362</v>
      </c>
      <c r="F280" s="58" t="s">
        <v>3363</v>
      </c>
      <c r="G280" s="58" t="s">
        <v>3364</v>
      </c>
      <c r="I280" s="58" t="s">
        <v>3365</v>
      </c>
      <c r="J280" s="58" t="s">
        <v>3366</v>
      </c>
      <c r="K280" s="58">
        <v>2021.0</v>
      </c>
      <c r="L280" s="72">
        <v>45734.37931712963</v>
      </c>
      <c r="M280" s="72">
        <v>45734.37931712963</v>
      </c>
      <c r="V280" s="58" t="s">
        <v>3367</v>
      </c>
      <c r="Z280" s="58" t="s">
        <v>401</v>
      </c>
      <c r="AA280" s="58" t="s">
        <v>402</v>
      </c>
      <c r="AI280" s="58" t="s">
        <v>3368</v>
      </c>
      <c r="CL280" s="58" t="s">
        <v>3369</v>
      </c>
    </row>
    <row r="281" ht="15.75" customHeight="1">
      <c r="A281" s="58" t="s">
        <v>3370</v>
      </c>
      <c r="B281" s="58" t="s">
        <v>379</v>
      </c>
      <c r="C281" s="58">
        <v>2022.0</v>
      </c>
      <c r="D281" s="58" t="s">
        <v>3371</v>
      </c>
      <c r="E281" s="58" t="s">
        <v>3372</v>
      </c>
      <c r="F281" s="58" t="s">
        <v>3373</v>
      </c>
      <c r="G281" s="58" t="s">
        <v>3374</v>
      </c>
      <c r="I281" s="58" t="s">
        <v>3375</v>
      </c>
      <c r="J281" s="58" t="s">
        <v>3376</v>
      </c>
      <c r="K281" s="58">
        <v>2022.0</v>
      </c>
      <c r="L281" s="72">
        <v>45734.37931712963</v>
      </c>
      <c r="M281" s="72">
        <v>45734.37931712963</v>
      </c>
      <c r="O281" s="58" t="s">
        <v>3377</v>
      </c>
      <c r="Z281" s="58" t="s">
        <v>387</v>
      </c>
      <c r="AA281" s="58" t="s">
        <v>388</v>
      </c>
      <c r="AI281" s="58" t="s">
        <v>483</v>
      </c>
      <c r="CL281" s="58" t="s">
        <v>3378</v>
      </c>
      <c r="DL281" s="58" t="s">
        <v>3379</v>
      </c>
    </row>
    <row r="282" ht="15.75" customHeight="1">
      <c r="A282" s="58" t="s">
        <v>3380</v>
      </c>
      <c r="B282" s="58" t="s">
        <v>379</v>
      </c>
      <c r="C282" s="58">
        <v>2017.0</v>
      </c>
      <c r="D282" s="58" t="s">
        <v>3381</v>
      </c>
      <c r="E282" s="58" t="s">
        <v>3382</v>
      </c>
      <c r="F282" s="58" t="s">
        <v>3383</v>
      </c>
      <c r="G282" s="58" t="s">
        <v>3384</v>
      </c>
      <c r="I282" s="58" t="s">
        <v>3385</v>
      </c>
      <c r="J282" s="58" t="s">
        <v>3386</v>
      </c>
      <c r="K282" s="58">
        <v>2017.0</v>
      </c>
      <c r="L282" s="72">
        <v>45734.37931712963</v>
      </c>
      <c r="M282" s="72">
        <v>45734.37931712963</v>
      </c>
      <c r="O282" s="58" t="s">
        <v>3387</v>
      </c>
      <c r="V282" s="58" t="s">
        <v>3388</v>
      </c>
      <c r="Z282" s="58" t="s">
        <v>401</v>
      </c>
      <c r="AA282" s="58" t="s">
        <v>402</v>
      </c>
      <c r="AI282" s="58" t="s">
        <v>1010</v>
      </c>
      <c r="CL282" s="58" t="s">
        <v>3389</v>
      </c>
      <c r="DL282" s="58" t="s">
        <v>3390</v>
      </c>
    </row>
    <row r="283" ht="15.75" customHeight="1">
      <c r="A283" s="58" t="s">
        <v>3391</v>
      </c>
      <c r="B283" s="58" t="s">
        <v>379</v>
      </c>
      <c r="C283" s="58">
        <v>2020.0</v>
      </c>
      <c r="D283" s="58" t="s">
        <v>3392</v>
      </c>
      <c r="E283" s="58" t="s">
        <v>3393</v>
      </c>
      <c r="F283" s="58" t="s">
        <v>3394</v>
      </c>
      <c r="G283" s="58" t="s">
        <v>3395</v>
      </c>
      <c r="I283" s="58" t="s">
        <v>3396</v>
      </c>
      <c r="J283" s="58" t="s">
        <v>3397</v>
      </c>
      <c r="K283" s="58">
        <v>2020.0</v>
      </c>
      <c r="L283" s="72">
        <v>45734.37931712963</v>
      </c>
      <c r="M283" s="72">
        <v>45734.37931712963</v>
      </c>
      <c r="O283" s="58" t="s">
        <v>3398</v>
      </c>
      <c r="V283" s="58" t="s">
        <v>3399</v>
      </c>
      <c r="Z283" s="58" t="s">
        <v>401</v>
      </c>
      <c r="AA283" s="58" t="s">
        <v>402</v>
      </c>
      <c r="AI283" s="58" t="s">
        <v>862</v>
      </c>
      <c r="CL283" s="58" t="s">
        <v>3400</v>
      </c>
      <c r="DL283" s="58" t="s">
        <v>3401</v>
      </c>
    </row>
    <row r="284" ht="15.75" customHeight="1">
      <c r="A284" s="58" t="s">
        <v>3402</v>
      </c>
      <c r="B284" s="58" t="s">
        <v>379</v>
      </c>
      <c r="C284" s="58">
        <v>2022.0</v>
      </c>
      <c r="D284" s="58" t="s">
        <v>3403</v>
      </c>
      <c r="E284" s="58" t="s">
        <v>3404</v>
      </c>
      <c r="F284" s="58" t="s">
        <v>3405</v>
      </c>
      <c r="G284" s="58" t="s">
        <v>3406</v>
      </c>
      <c r="I284" s="58" t="s">
        <v>3407</v>
      </c>
      <c r="J284" s="58" t="s">
        <v>3408</v>
      </c>
      <c r="K284" s="58">
        <v>2022.0</v>
      </c>
      <c r="L284" s="72">
        <v>45734.37931712963</v>
      </c>
      <c r="M284" s="72">
        <v>45734.37931712963</v>
      </c>
      <c r="O284" s="58" t="s">
        <v>3409</v>
      </c>
      <c r="V284" s="58" t="s">
        <v>3410</v>
      </c>
      <c r="Z284" s="58" t="s">
        <v>401</v>
      </c>
      <c r="AA284" s="58" t="s">
        <v>402</v>
      </c>
      <c r="AI284" s="58" t="s">
        <v>3411</v>
      </c>
      <c r="CL284" s="58" t="s">
        <v>3412</v>
      </c>
      <c r="DL284" s="58" t="s">
        <v>3413</v>
      </c>
    </row>
    <row r="285" ht="15.75" customHeight="1">
      <c r="A285" s="58" t="s">
        <v>3414</v>
      </c>
      <c r="B285" s="58" t="s">
        <v>379</v>
      </c>
      <c r="C285" s="58">
        <v>2018.0</v>
      </c>
      <c r="D285" s="58" t="s">
        <v>3415</v>
      </c>
      <c r="E285" s="58" t="s">
        <v>3416</v>
      </c>
      <c r="F285" s="58" t="s">
        <v>3305</v>
      </c>
      <c r="G285" s="58" t="s">
        <v>3306</v>
      </c>
      <c r="I285" s="58" t="s">
        <v>3417</v>
      </c>
      <c r="J285" s="58" t="s">
        <v>3418</v>
      </c>
      <c r="K285" s="58">
        <v>2018.0</v>
      </c>
      <c r="L285" s="72">
        <v>45734.37931712963</v>
      </c>
      <c r="M285" s="72">
        <v>45734.37931712963</v>
      </c>
      <c r="O285" s="58" t="s">
        <v>3419</v>
      </c>
      <c r="V285" s="58" t="s">
        <v>3310</v>
      </c>
      <c r="Z285" s="58" t="s">
        <v>401</v>
      </c>
      <c r="AA285" s="58" t="s">
        <v>402</v>
      </c>
      <c r="AI285" s="58" t="s">
        <v>3311</v>
      </c>
      <c r="CL285" s="58" t="s">
        <v>3420</v>
      </c>
      <c r="DL285" s="58" t="s">
        <v>3421</v>
      </c>
    </row>
    <row r="286" ht="15.75" customHeight="1">
      <c r="A286" s="58" t="s">
        <v>3422</v>
      </c>
      <c r="B286" s="58" t="s">
        <v>379</v>
      </c>
      <c r="C286" s="58">
        <v>2023.0</v>
      </c>
      <c r="D286" s="58" t="s">
        <v>3423</v>
      </c>
      <c r="E286" s="58" t="s">
        <v>3424</v>
      </c>
      <c r="F286" s="58" t="s">
        <v>3425</v>
      </c>
      <c r="G286" s="58" t="s">
        <v>3426</v>
      </c>
      <c r="I286" s="58" t="s">
        <v>3427</v>
      </c>
      <c r="J286" s="58" t="s">
        <v>3428</v>
      </c>
      <c r="K286" s="58">
        <v>2023.0</v>
      </c>
      <c r="L286" s="72">
        <v>45734.37931712963</v>
      </c>
      <c r="M286" s="72">
        <v>45734.37931712963</v>
      </c>
      <c r="V286" s="58" t="s">
        <v>3429</v>
      </c>
      <c r="Z286" s="58" t="s">
        <v>401</v>
      </c>
      <c r="AA286" s="58" t="s">
        <v>402</v>
      </c>
      <c r="AI286" s="58" t="s">
        <v>3430</v>
      </c>
      <c r="CL286" s="58" t="s">
        <v>3431</v>
      </c>
      <c r="DL286" s="58" t="s">
        <v>3432</v>
      </c>
    </row>
    <row r="287" ht="15.75" customHeight="1">
      <c r="A287" s="58" t="s">
        <v>3433</v>
      </c>
      <c r="B287" s="58" t="s">
        <v>379</v>
      </c>
      <c r="C287" s="58">
        <v>2022.0</v>
      </c>
      <c r="D287" s="58" t="s">
        <v>3434</v>
      </c>
      <c r="E287" s="58" t="s">
        <v>3435</v>
      </c>
      <c r="F287" s="58" t="s">
        <v>3436</v>
      </c>
      <c r="G287" s="58" t="s">
        <v>3437</v>
      </c>
      <c r="I287" s="58" t="s">
        <v>3438</v>
      </c>
      <c r="J287" s="58" t="s">
        <v>3439</v>
      </c>
      <c r="K287" s="58">
        <v>2022.0</v>
      </c>
      <c r="L287" s="72">
        <v>45734.37931712963</v>
      </c>
      <c r="M287" s="72">
        <v>45734.37931712963</v>
      </c>
      <c r="O287" s="58" t="s">
        <v>3440</v>
      </c>
      <c r="Z287" s="58" t="s">
        <v>387</v>
      </c>
      <c r="AA287" s="58" t="s">
        <v>388</v>
      </c>
      <c r="CL287" s="58" t="s">
        <v>3441</v>
      </c>
      <c r="DL287" s="58" t="s">
        <v>3442</v>
      </c>
    </row>
    <row r="288" ht="15.75" customHeight="1">
      <c r="A288" s="58" t="s">
        <v>3443</v>
      </c>
      <c r="B288" s="58" t="s">
        <v>379</v>
      </c>
      <c r="C288" s="58">
        <v>2019.0</v>
      </c>
      <c r="D288" s="58" t="s">
        <v>3444</v>
      </c>
      <c r="E288" s="58" t="s">
        <v>3445</v>
      </c>
      <c r="F288" s="58" t="s">
        <v>3446</v>
      </c>
      <c r="G288" s="58" t="s">
        <v>3447</v>
      </c>
      <c r="I288" s="58" t="s">
        <v>3448</v>
      </c>
      <c r="J288" s="58" t="s">
        <v>3449</v>
      </c>
      <c r="K288" s="58">
        <v>2019.0</v>
      </c>
      <c r="L288" s="72">
        <v>45734.37931712963</v>
      </c>
      <c r="M288" s="72">
        <v>45734.37931712963</v>
      </c>
      <c r="O288" s="58" t="s">
        <v>3450</v>
      </c>
      <c r="Z288" s="58" t="s">
        <v>387</v>
      </c>
      <c r="AA288" s="58" t="s">
        <v>388</v>
      </c>
      <c r="AI288" s="58" t="s">
        <v>3451</v>
      </c>
      <c r="CL288" s="58" t="s">
        <v>3452</v>
      </c>
    </row>
    <row r="289" ht="15.75" customHeight="1">
      <c r="A289" s="58" t="s">
        <v>3453</v>
      </c>
      <c r="B289" s="58" t="s">
        <v>379</v>
      </c>
      <c r="C289" s="58">
        <v>2019.0</v>
      </c>
      <c r="D289" s="58" t="s">
        <v>3454</v>
      </c>
      <c r="E289" s="58" t="s">
        <v>3455</v>
      </c>
      <c r="F289" s="58" t="s">
        <v>619</v>
      </c>
      <c r="G289" s="58" t="s">
        <v>620</v>
      </c>
      <c r="I289" s="58" t="s">
        <v>3456</v>
      </c>
      <c r="J289" s="58" t="s">
        <v>3457</v>
      </c>
      <c r="K289" s="58">
        <v>2019.0</v>
      </c>
      <c r="L289" s="72">
        <v>45734.37931712963</v>
      </c>
      <c r="M289" s="72">
        <v>45734.37931712963</v>
      </c>
      <c r="O289" s="58" t="s">
        <v>3458</v>
      </c>
      <c r="V289" s="58" t="s">
        <v>624</v>
      </c>
      <c r="Z289" s="58" t="s">
        <v>401</v>
      </c>
      <c r="AA289" s="58" t="s">
        <v>402</v>
      </c>
      <c r="AI289" s="58" t="s">
        <v>625</v>
      </c>
      <c r="CL289" s="58" t="s">
        <v>3459</v>
      </c>
      <c r="DL289" s="58" t="s">
        <v>3460</v>
      </c>
    </row>
    <row r="290" ht="15.75" customHeight="1">
      <c r="A290" s="58" t="s">
        <v>3461</v>
      </c>
      <c r="B290" s="58" t="s">
        <v>379</v>
      </c>
      <c r="C290" s="58">
        <v>2020.0</v>
      </c>
      <c r="D290" s="58" t="s">
        <v>3462</v>
      </c>
      <c r="E290" s="58" t="s">
        <v>3463</v>
      </c>
      <c r="F290" s="58" t="s">
        <v>3464</v>
      </c>
      <c r="G290" s="58" t="s">
        <v>3465</v>
      </c>
      <c r="I290" s="58" t="s">
        <v>3466</v>
      </c>
      <c r="J290" s="58" t="s">
        <v>3467</v>
      </c>
      <c r="K290" s="58">
        <v>2020.0</v>
      </c>
      <c r="L290" s="72">
        <v>45734.37931712963</v>
      </c>
      <c r="M290" s="72">
        <v>45734.37931712963</v>
      </c>
      <c r="V290" s="58" t="s">
        <v>3468</v>
      </c>
      <c r="Z290" s="58" t="s">
        <v>401</v>
      </c>
      <c r="AA290" s="58" t="s">
        <v>402</v>
      </c>
      <c r="AI290" s="58" t="s">
        <v>3469</v>
      </c>
      <c r="CL290" s="58" t="s">
        <v>3470</v>
      </c>
      <c r="DL290" s="58" t="s">
        <v>3471</v>
      </c>
    </row>
    <row r="291" ht="15.75" customHeight="1">
      <c r="A291" s="58" t="s">
        <v>3472</v>
      </c>
      <c r="B291" s="58" t="s">
        <v>379</v>
      </c>
      <c r="C291" s="58">
        <v>2018.0</v>
      </c>
      <c r="D291" s="58" t="s">
        <v>3473</v>
      </c>
      <c r="E291" s="58" t="s">
        <v>3474</v>
      </c>
      <c r="F291" s="58" t="s">
        <v>3475</v>
      </c>
      <c r="G291" s="58" t="s">
        <v>3476</v>
      </c>
      <c r="I291" s="58" t="s">
        <v>3477</v>
      </c>
      <c r="J291" s="58" t="s">
        <v>3478</v>
      </c>
      <c r="K291" s="58">
        <v>2018.0</v>
      </c>
      <c r="L291" s="72">
        <v>45734.37931712963</v>
      </c>
      <c r="M291" s="72">
        <v>45734.37931712963</v>
      </c>
      <c r="O291" s="58" t="s">
        <v>3479</v>
      </c>
      <c r="V291" s="58" t="s">
        <v>3480</v>
      </c>
      <c r="Z291" s="58" t="s">
        <v>401</v>
      </c>
      <c r="AA291" s="58" t="s">
        <v>402</v>
      </c>
      <c r="AI291" s="58" t="s">
        <v>3481</v>
      </c>
      <c r="CL291" s="58" t="s">
        <v>3482</v>
      </c>
      <c r="DL291" s="58" t="s">
        <v>3483</v>
      </c>
    </row>
    <row r="292" ht="15.75" customHeight="1">
      <c r="A292" s="58" t="s">
        <v>3484</v>
      </c>
      <c r="B292" s="58" t="s">
        <v>379</v>
      </c>
      <c r="C292" s="58">
        <v>2021.0</v>
      </c>
      <c r="D292" s="58" t="s">
        <v>3485</v>
      </c>
      <c r="E292" s="58" t="s">
        <v>3486</v>
      </c>
      <c r="F292" s="58" t="s">
        <v>3487</v>
      </c>
      <c r="G292" s="58" t="s">
        <v>3488</v>
      </c>
      <c r="I292" s="58" t="s">
        <v>3489</v>
      </c>
      <c r="J292" s="58" t="s">
        <v>3490</v>
      </c>
      <c r="K292" s="58">
        <v>2021.0</v>
      </c>
      <c r="L292" s="72">
        <v>45734.37931712963</v>
      </c>
      <c r="M292" s="72">
        <v>45734.37931712963</v>
      </c>
      <c r="O292" s="58" t="s">
        <v>3491</v>
      </c>
      <c r="Z292" s="58" t="s">
        <v>387</v>
      </c>
      <c r="AA292" s="58" t="s">
        <v>388</v>
      </c>
      <c r="CL292" s="58" t="s">
        <v>3492</v>
      </c>
      <c r="DL292" s="58" t="s">
        <v>3493</v>
      </c>
    </row>
    <row r="293" ht="15.75" customHeight="1">
      <c r="A293" s="58" t="s">
        <v>3494</v>
      </c>
      <c r="B293" s="58" t="s">
        <v>379</v>
      </c>
      <c r="C293" s="58">
        <v>2019.0</v>
      </c>
      <c r="D293" s="58" t="s">
        <v>3495</v>
      </c>
      <c r="E293" s="58" t="s">
        <v>3496</v>
      </c>
      <c r="F293" s="58" t="s">
        <v>3497</v>
      </c>
      <c r="G293" s="58" t="s">
        <v>3498</v>
      </c>
      <c r="I293" s="58" t="s">
        <v>3499</v>
      </c>
      <c r="J293" s="58" t="s">
        <v>3500</v>
      </c>
      <c r="K293" s="58">
        <v>2019.0</v>
      </c>
      <c r="L293" s="72">
        <v>45734.37931712963</v>
      </c>
      <c r="M293" s="72">
        <v>45734.37931712963</v>
      </c>
      <c r="O293" s="58" t="s">
        <v>3501</v>
      </c>
      <c r="V293" s="58" t="s">
        <v>3502</v>
      </c>
      <c r="Z293" s="58" t="s">
        <v>401</v>
      </c>
      <c r="AA293" s="58" t="s">
        <v>402</v>
      </c>
      <c r="AI293" s="58" t="s">
        <v>1769</v>
      </c>
      <c r="CL293" s="58" t="s">
        <v>3503</v>
      </c>
      <c r="DL293" s="58" t="s">
        <v>3504</v>
      </c>
    </row>
    <row r="294" ht="15.75" customHeight="1">
      <c r="A294" s="58" t="s">
        <v>3505</v>
      </c>
      <c r="B294" s="58" t="s">
        <v>379</v>
      </c>
      <c r="C294" s="58">
        <v>2016.0</v>
      </c>
      <c r="D294" s="58" t="s">
        <v>3506</v>
      </c>
      <c r="E294" s="58" t="s">
        <v>3507</v>
      </c>
      <c r="F294" s="58" t="s">
        <v>3508</v>
      </c>
      <c r="G294" s="58" t="s">
        <v>3509</v>
      </c>
      <c r="I294" s="58" t="s">
        <v>3510</v>
      </c>
      <c r="J294" s="58" t="s">
        <v>3511</v>
      </c>
      <c r="K294" s="58">
        <v>2016.0</v>
      </c>
      <c r="L294" s="72">
        <v>45734.37931712963</v>
      </c>
      <c r="M294" s="72">
        <v>45734.37931712963</v>
      </c>
      <c r="V294" s="58" t="s">
        <v>3512</v>
      </c>
      <c r="Z294" s="58" t="s">
        <v>401</v>
      </c>
      <c r="AA294" s="58" t="s">
        <v>402</v>
      </c>
      <c r="AI294" s="58" t="s">
        <v>3513</v>
      </c>
      <c r="CL294" s="58" t="s">
        <v>3514</v>
      </c>
      <c r="DL294" s="58" t="s">
        <v>3515</v>
      </c>
    </row>
    <row r="295" ht="15.75" customHeight="1">
      <c r="A295" s="58" t="s">
        <v>3516</v>
      </c>
      <c r="B295" s="58" t="s">
        <v>379</v>
      </c>
      <c r="C295" s="58">
        <v>2019.0</v>
      </c>
      <c r="D295" s="58" t="s">
        <v>3517</v>
      </c>
      <c r="E295" s="58" t="s">
        <v>3518</v>
      </c>
      <c r="F295" s="58" t="s">
        <v>3519</v>
      </c>
      <c r="G295" s="58" t="s">
        <v>3520</v>
      </c>
      <c r="I295" s="58" t="s">
        <v>3521</v>
      </c>
      <c r="J295" s="58" t="s">
        <v>3522</v>
      </c>
      <c r="K295" s="58">
        <v>2019.0</v>
      </c>
      <c r="L295" s="72">
        <v>45734.379328703704</v>
      </c>
      <c r="M295" s="72">
        <v>45734.379328703704</v>
      </c>
      <c r="O295" s="58" t="s">
        <v>3523</v>
      </c>
      <c r="Z295" s="58" t="s">
        <v>387</v>
      </c>
      <c r="AA295" s="58" t="s">
        <v>388</v>
      </c>
      <c r="AI295" s="58" t="s">
        <v>649</v>
      </c>
      <c r="CL295" s="58" t="s">
        <v>3524</v>
      </c>
      <c r="DL295" s="58" t="s">
        <v>3525</v>
      </c>
    </row>
    <row r="296" ht="15.75" customHeight="1">
      <c r="A296" s="58" t="s">
        <v>3526</v>
      </c>
      <c r="B296" s="58" t="s">
        <v>379</v>
      </c>
      <c r="C296" s="58">
        <v>2017.0</v>
      </c>
      <c r="D296" s="58" t="s">
        <v>3527</v>
      </c>
      <c r="E296" s="58" t="s">
        <v>3528</v>
      </c>
      <c r="F296" s="58" t="s">
        <v>3529</v>
      </c>
      <c r="G296" s="58" t="s">
        <v>3530</v>
      </c>
      <c r="I296" s="58" t="s">
        <v>3531</v>
      </c>
      <c r="J296" s="58" t="s">
        <v>3532</v>
      </c>
      <c r="K296" s="58">
        <v>2017.0</v>
      </c>
      <c r="L296" s="72">
        <v>45734.379328703704</v>
      </c>
      <c r="M296" s="72">
        <v>45734.379328703704</v>
      </c>
      <c r="O296" s="58" t="s">
        <v>3533</v>
      </c>
      <c r="V296" s="58" t="s">
        <v>3534</v>
      </c>
      <c r="Z296" s="58" t="s">
        <v>401</v>
      </c>
      <c r="AA296" s="58" t="s">
        <v>402</v>
      </c>
      <c r="AI296" s="58" t="s">
        <v>1399</v>
      </c>
      <c r="CL296" s="58" t="s">
        <v>3535</v>
      </c>
      <c r="DL296" s="58" t="s">
        <v>3536</v>
      </c>
    </row>
    <row r="297" ht="15.75" customHeight="1">
      <c r="A297" s="58" t="s">
        <v>3537</v>
      </c>
      <c r="B297" s="58" t="s">
        <v>379</v>
      </c>
      <c r="C297" s="58">
        <v>2019.0</v>
      </c>
      <c r="D297" s="58" t="s">
        <v>3538</v>
      </c>
      <c r="E297" s="58" t="s">
        <v>3539</v>
      </c>
      <c r="F297" s="58" t="s">
        <v>3540</v>
      </c>
      <c r="G297" s="58" t="s">
        <v>3541</v>
      </c>
      <c r="I297" s="58" t="s">
        <v>3542</v>
      </c>
      <c r="J297" s="58" t="s">
        <v>3543</v>
      </c>
      <c r="K297" s="58">
        <v>2019.0</v>
      </c>
      <c r="L297" s="72">
        <v>45734.379328703704</v>
      </c>
      <c r="M297" s="72">
        <v>45734.379328703704</v>
      </c>
      <c r="O297" s="58" t="s">
        <v>3544</v>
      </c>
      <c r="Z297" s="58" t="s">
        <v>387</v>
      </c>
      <c r="AA297" s="58" t="s">
        <v>388</v>
      </c>
      <c r="AI297" s="58" t="s">
        <v>2839</v>
      </c>
      <c r="CL297" s="58" t="s">
        <v>3545</v>
      </c>
      <c r="DL297" s="58" t="s">
        <v>3546</v>
      </c>
    </row>
    <row r="298" ht="15.75" customHeight="1">
      <c r="A298" s="58" t="s">
        <v>3547</v>
      </c>
      <c r="B298" s="58" t="s">
        <v>379</v>
      </c>
      <c r="C298" s="58">
        <v>2018.0</v>
      </c>
      <c r="D298" s="58" t="s">
        <v>3548</v>
      </c>
      <c r="E298" s="58" t="s">
        <v>3549</v>
      </c>
      <c r="F298" s="58" t="s">
        <v>1128</v>
      </c>
      <c r="G298" s="58" t="s">
        <v>1129</v>
      </c>
      <c r="I298" s="58" t="s">
        <v>3550</v>
      </c>
      <c r="J298" s="58" t="s">
        <v>3551</v>
      </c>
      <c r="K298" s="58">
        <v>2018.0</v>
      </c>
      <c r="L298" s="72">
        <v>45734.379328703704</v>
      </c>
      <c r="M298" s="72">
        <v>45734.379328703704</v>
      </c>
      <c r="O298" s="58" t="s">
        <v>3552</v>
      </c>
      <c r="V298" s="58" t="s">
        <v>1133</v>
      </c>
      <c r="Z298" s="58" t="s">
        <v>401</v>
      </c>
      <c r="AA298" s="58" t="s">
        <v>402</v>
      </c>
      <c r="AI298" s="58" t="s">
        <v>1134</v>
      </c>
      <c r="CL298" s="58" t="s">
        <v>3553</v>
      </c>
      <c r="DL298" s="58" t="s">
        <v>3554</v>
      </c>
    </row>
    <row r="299" ht="15.75" customHeight="1">
      <c r="A299" s="58" t="s">
        <v>3555</v>
      </c>
      <c r="B299" s="58" t="s">
        <v>379</v>
      </c>
      <c r="C299" s="58">
        <v>2022.0</v>
      </c>
      <c r="D299" s="58" t="s">
        <v>3556</v>
      </c>
      <c r="E299" s="58" t="s">
        <v>3557</v>
      </c>
      <c r="F299" s="58" t="s">
        <v>3558</v>
      </c>
      <c r="G299" s="58" t="s">
        <v>3559</v>
      </c>
      <c r="I299" s="58" t="s">
        <v>3560</v>
      </c>
      <c r="J299" s="58" t="s">
        <v>3561</v>
      </c>
      <c r="K299" s="58">
        <v>2022.0</v>
      </c>
      <c r="L299" s="72">
        <v>45734.379328703704</v>
      </c>
      <c r="M299" s="72">
        <v>45734.379328703704</v>
      </c>
      <c r="O299" s="58" t="s">
        <v>3562</v>
      </c>
      <c r="V299" s="58" t="s">
        <v>3563</v>
      </c>
      <c r="Z299" s="58" t="s">
        <v>401</v>
      </c>
      <c r="AA299" s="58" t="s">
        <v>402</v>
      </c>
      <c r="AI299" s="58" t="s">
        <v>3564</v>
      </c>
      <c r="CL299" s="58" t="s">
        <v>3565</v>
      </c>
      <c r="DL299" s="58" t="s">
        <v>3566</v>
      </c>
    </row>
    <row r="300" ht="15.75" customHeight="1">
      <c r="A300" s="58" t="s">
        <v>3567</v>
      </c>
      <c r="B300" s="58" t="s">
        <v>379</v>
      </c>
      <c r="C300" s="58">
        <v>2021.0</v>
      </c>
      <c r="D300" s="58" t="s">
        <v>3568</v>
      </c>
      <c r="E300" s="58" t="s">
        <v>3569</v>
      </c>
      <c r="F300" s="58" t="s">
        <v>3570</v>
      </c>
      <c r="G300" s="58" t="s">
        <v>3571</v>
      </c>
      <c r="I300" s="58" t="s">
        <v>3572</v>
      </c>
      <c r="J300" s="58" t="s">
        <v>3573</v>
      </c>
      <c r="K300" s="58">
        <v>2021.0</v>
      </c>
      <c r="L300" s="72">
        <v>45734.379328703704</v>
      </c>
      <c r="M300" s="72">
        <v>45734.379328703704</v>
      </c>
      <c r="O300" s="58" t="s">
        <v>3574</v>
      </c>
      <c r="V300" s="58" t="s">
        <v>3575</v>
      </c>
      <c r="Z300" s="58" t="s">
        <v>401</v>
      </c>
      <c r="AA300" s="58" t="s">
        <v>402</v>
      </c>
      <c r="AI300" s="58" t="s">
        <v>403</v>
      </c>
      <c r="CL300" s="58" t="s">
        <v>3576</v>
      </c>
      <c r="DL300" s="58" t="s">
        <v>3577</v>
      </c>
    </row>
    <row r="301" ht="15.75" customHeight="1">
      <c r="A301" s="58" t="s">
        <v>3578</v>
      </c>
      <c r="B301" s="58" t="s">
        <v>379</v>
      </c>
      <c r="C301" s="58">
        <v>2019.0</v>
      </c>
      <c r="D301" s="58" t="s">
        <v>3579</v>
      </c>
      <c r="E301" s="58" t="s">
        <v>3580</v>
      </c>
      <c r="F301" s="58" t="s">
        <v>3581</v>
      </c>
      <c r="G301" s="58" t="s">
        <v>3582</v>
      </c>
      <c r="I301" s="58" t="s">
        <v>3583</v>
      </c>
      <c r="J301" s="58" t="s">
        <v>3584</v>
      </c>
      <c r="K301" s="58">
        <v>2019.0</v>
      </c>
      <c r="L301" s="72">
        <v>45734.379328703704</v>
      </c>
      <c r="M301" s="72">
        <v>45734.379328703704</v>
      </c>
      <c r="V301" s="58" t="s">
        <v>3585</v>
      </c>
      <c r="Z301" s="58" t="s">
        <v>401</v>
      </c>
      <c r="AA301" s="58" t="s">
        <v>402</v>
      </c>
      <c r="AI301" s="58" t="s">
        <v>613</v>
      </c>
      <c r="CL301" s="58" t="s">
        <v>3586</v>
      </c>
      <c r="DL301" s="58" t="s">
        <v>3587</v>
      </c>
    </row>
    <row r="302" ht="15.75" customHeight="1">
      <c r="A302" s="58" t="s">
        <v>3588</v>
      </c>
      <c r="B302" s="58" t="s">
        <v>379</v>
      </c>
      <c r="C302" s="58">
        <v>2020.0</v>
      </c>
      <c r="D302" s="58" t="s">
        <v>3589</v>
      </c>
      <c r="E302" s="58" t="s">
        <v>3590</v>
      </c>
      <c r="F302" s="58" t="s">
        <v>3591</v>
      </c>
      <c r="G302" s="58" t="s">
        <v>3592</v>
      </c>
      <c r="I302" s="58" t="s">
        <v>3593</v>
      </c>
      <c r="J302" s="58" t="s">
        <v>3594</v>
      </c>
      <c r="K302" s="58">
        <v>2020.0</v>
      </c>
      <c r="L302" s="72">
        <v>45734.379328703704</v>
      </c>
      <c r="M302" s="72">
        <v>45734.379328703704</v>
      </c>
      <c r="O302" s="58" t="s">
        <v>3595</v>
      </c>
      <c r="Z302" s="58" t="s">
        <v>387</v>
      </c>
      <c r="AA302" s="58" t="s">
        <v>388</v>
      </c>
      <c r="AI302" s="58" t="s">
        <v>3596</v>
      </c>
      <c r="CL302" s="58" t="s">
        <v>3597</v>
      </c>
      <c r="DL302" s="58" t="s">
        <v>3598</v>
      </c>
    </row>
    <row r="303" ht="15.75" customHeight="1">
      <c r="A303" s="58" t="s">
        <v>3599</v>
      </c>
      <c r="B303" s="58" t="s">
        <v>379</v>
      </c>
      <c r="C303" s="58">
        <v>2019.0</v>
      </c>
      <c r="D303" s="58" t="s">
        <v>3600</v>
      </c>
      <c r="E303" s="58" t="s">
        <v>3601</v>
      </c>
      <c r="F303" s="58" t="s">
        <v>1596</v>
      </c>
      <c r="G303" s="58" t="s">
        <v>3602</v>
      </c>
      <c r="I303" s="58" t="s">
        <v>3603</v>
      </c>
      <c r="J303" s="58" t="s">
        <v>3604</v>
      </c>
      <c r="K303" s="58">
        <v>2019.0</v>
      </c>
      <c r="L303" s="72">
        <v>45734.379328703704</v>
      </c>
      <c r="M303" s="72">
        <v>45734.379328703704</v>
      </c>
      <c r="V303" s="58" t="s">
        <v>3605</v>
      </c>
      <c r="Z303" s="58" t="s">
        <v>401</v>
      </c>
      <c r="AA303" s="58" t="s">
        <v>402</v>
      </c>
      <c r="AI303" s="58" t="s">
        <v>3606</v>
      </c>
      <c r="CL303" s="58" t="s">
        <v>3607</v>
      </c>
    </row>
    <row r="304" ht="15.75" customHeight="1">
      <c r="A304" s="58" t="s">
        <v>3608</v>
      </c>
      <c r="B304" s="58" t="s">
        <v>379</v>
      </c>
      <c r="C304" s="58">
        <v>2017.0</v>
      </c>
      <c r="D304" s="58" t="s">
        <v>3609</v>
      </c>
      <c r="E304" s="58" t="s">
        <v>3610</v>
      </c>
      <c r="F304" s="58" t="s">
        <v>3611</v>
      </c>
      <c r="G304" s="58" t="s">
        <v>3612</v>
      </c>
      <c r="I304" s="58" t="s">
        <v>3613</v>
      </c>
      <c r="J304" s="58" t="s">
        <v>3614</v>
      </c>
      <c r="K304" s="58">
        <v>2017.0</v>
      </c>
      <c r="L304" s="72">
        <v>45734.379328703704</v>
      </c>
      <c r="M304" s="72">
        <v>45734.379328703704</v>
      </c>
      <c r="O304" s="58" t="s">
        <v>3615</v>
      </c>
      <c r="V304" s="58" t="s">
        <v>3616</v>
      </c>
      <c r="Z304" s="58" t="s">
        <v>401</v>
      </c>
      <c r="AA304" s="58" t="s">
        <v>402</v>
      </c>
      <c r="AI304" s="58" t="s">
        <v>1134</v>
      </c>
      <c r="CL304" s="58" t="s">
        <v>3617</v>
      </c>
      <c r="DL304" s="58" t="s">
        <v>3618</v>
      </c>
    </row>
    <row r="305" ht="15.75" customHeight="1">
      <c r="A305" s="58" t="s">
        <v>3619</v>
      </c>
      <c r="B305" s="58" t="s">
        <v>379</v>
      </c>
      <c r="C305" s="58">
        <v>2015.0</v>
      </c>
      <c r="D305" s="58" t="s">
        <v>3620</v>
      </c>
      <c r="E305" s="58" t="s">
        <v>3621</v>
      </c>
      <c r="F305" s="58" t="s">
        <v>3622</v>
      </c>
      <c r="G305" s="58" t="s">
        <v>3623</v>
      </c>
      <c r="I305" s="58" t="s">
        <v>3624</v>
      </c>
      <c r="J305" s="58" t="s">
        <v>3625</v>
      </c>
      <c r="K305" s="58">
        <v>2015.0</v>
      </c>
      <c r="L305" s="72">
        <v>45734.379328703704</v>
      </c>
      <c r="M305" s="72">
        <v>45734.379328703704</v>
      </c>
      <c r="O305" s="58" t="s">
        <v>3626</v>
      </c>
      <c r="V305" s="58" t="s">
        <v>3627</v>
      </c>
      <c r="Z305" s="58" t="s">
        <v>401</v>
      </c>
      <c r="AA305" s="58" t="s">
        <v>402</v>
      </c>
      <c r="AI305" s="58" t="s">
        <v>3628</v>
      </c>
      <c r="CL305" s="58" t="s">
        <v>3629</v>
      </c>
      <c r="DL305" s="58" t="s">
        <v>3630</v>
      </c>
    </row>
    <row r="306" ht="15.75" customHeight="1">
      <c r="A306" s="58" t="s">
        <v>3631</v>
      </c>
      <c r="B306" s="58" t="s">
        <v>3632</v>
      </c>
      <c r="C306" s="58">
        <v>2025.0</v>
      </c>
      <c r="D306" s="58" t="s">
        <v>3633</v>
      </c>
      <c r="E306" s="58" t="s">
        <v>3634</v>
      </c>
      <c r="F306" s="58" t="s">
        <v>3635</v>
      </c>
      <c r="H306" s="58" t="s">
        <v>3636</v>
      </c>
      <c r="I306" s="58" t="s">
        <v>3637</v>
      </c>
      <c r="J306" s="58" t="s">
        <v>3638</v>
      </c>
      <c r="K306" s="58" t="s">
        <v>3639</v>
      </c>
      <c r="L306" s="72">
        <v>45734.38261574074</v>
      </c>
      <c r="M306" s="72">
        <v>45734.38261574074</v>
      </c>
      <c r="Q306" s="58">
        <v>8.0</v>
      </c>
      <c r="R306" s="58">
        <v>57.0</v>
      </c>
      <c r="AI306" s="58" t="s">
        <v>3640</v>
      </c>
      <c r="CL306" s="58" t="s">
        <v>3641</v>
      </c>
      <c r="DL306" s="58" t="s">
        <v>3642</v>
      </c>
    </row>
    <row r="307" ht="15.75" customHeight="1">
      <c r="A307" s="58" t="s">
        <v>3643</v>
      </c>
      <c r="B307" s="58" t="s">
        <v>3632</v>
      </c>
      <c r="C307" s="58">
        <v>2022.0</v>
      </c>
      <c r="D307" s="58" t="s">
        <v>3644</v>
      </c>
      <c r="E307" s="58" t="s">
        <v>3645</v>
      </c>
      <c r="F307" s="58" t="s">
        <v>3635</v>
      </c>
      <c r="H307" s="58" t="s">
        <v>3636</v>
      </c>
      <c r="I307" s="58" t="s">
        <v>3646</v>
      </c>
      <c r="J307" s="58" t="s">
        <v>3647</v>
      </c>
      <c r="K307" s="58" t="s">
        <v>3648</v>
      </c>
      <c r="L307" s="72">
        <v>45734.38261574074</v>
      </c>
      <c r="M307" s="72">
        <v>45734.38261574074</v>
      </c>
      <c r="Q307" s="58" t="s">
        <v>3649</v>
      </c>
      <c r="R307" s="58">
        <v>54.0</v>
      </c>
      <c r="AI307" s="58" t="s">
        <v>3640</v>
      </c>
      <c r="CL307" s="58" t="s">
        <v>3650</v>
      </c>
      <c r="DL307" s="58" t="s">
        <v>3651</v>
      </c>
    </row>
    <row r="308" ht="15.75" customHeight="1">
      <c r="A308" s="58" t="s">
        <v>3652</v>
      </c>
      <c r="B308" s="58" t="s">
        <v>3632</v>
      </c>
      <c r="C308" s="58">
        <v>2020.0</v>
      </c>
      <c r="D308" s="58" t="s">
        <v>3653</v>
      </c>
      <c r="E308" s="58" t="s">
        <v>3654</v>
      </c>
      <c r="F308" s="58" t="s">
        <v>3655</v>
      </c>
      <c r="H308" s="58" t="s">
        <v>3656</v>
      </c>
      <c r="I308" s="58" t="s">
        <v>3657</v>
      </c>
      <c r="J308" s="58" t="s">
        <v>3658</v>
      </c>
      <c r="K308" s="58" t="s">
        <v>3659</v>
      </c>
      <c r="L308" s="72">
        <v>45734.38261574074</v>
      </c>
      <c r="M308" s="72">
        <v>45734.38261574074</v>
      </c>
      <c r="Q308" s="58">
        <v>4.0</v>
      </c>
      <c r="R308" s="58">
        <v>17.0</v>
      </c>
      <c r="AI308" s="58" t="s">
        <v>3640</v>
      </c>
      <c r="CL308" s="58" t="s">
        <v>3660</v>
      </c>
      <c r="DL308" s="58" t="s">
        <v>3661</v>
      </c>
    </row>
    <row r="309" ht="15.75" customHeight="1">
      <c r="A309" s="58" t="s">
        <v>3662</v>
      </c>
      <c r="B309" s="58" t="s">
        <v>3632</v>
      </c>
      <c r="C309" s="58">
        <v>2020.0</v>
      </c>
      <c r="D309" s="58" t="s">
        <v>3663</v>
      </c>
      <c r="E309" s="58" t="s">
        <v>3664</v>
      </c>
      <c r="F309" s="58" t="s">
        <v>3635</v>
      </c>
      <c r="H309" s="58" t="s">
        <v>3636</v>
      </c>
      <c r="I309" s="58" t="s">
        <v>3665</v>
      </c>
      <c r="J309" s="58" t="s">
        <v>3666</v>
      </c>
      <c r="K309" s="58" t="s">
        <v>3667</v>
      </c>
      <c r="L309" s="72">
        <v>45734.38261574074</v>
      </c>
      <c r="M309" s="72">
        <v>45734.38261574074</v>
      </c>
      <c r="Q309" s="58">
        <v>5.0</v>
      </c>
      <c r="R309" s="58">
        <v>53.0</v>
      </c>
      <c r="AI309" s="58" t="s">
        <v>3640</v>
      </c>
      <c r="CL309" s="58" t="s">
        <v>3668</v>
      </c>
      <c r="DL309" s="58" t="s">
        <v>3669</v>
      </c>
    </row>
    <row r="310" ht="15.75" customHeight="1">
      <c r="A310" s="58" t="s">
        <v>3670</v>
      </c>
      <c r="B310" s="58" t="s">
        <v>3632</v>
      </c>
      <c r="C310" s="58">
        <v>2025.0</v>
      </c>
      <c r="D310" s="58" t="s">
        <v>3671</v>
      </c>
      <c r="E310" s="58" t="s">
        <v>3672</v>
      </c>
      <c r="F310" s="58" t="s">
        <v>3673</v>
      </c>
      <c r="H310" s="58" t="s">
        <v>3674</v>
      </c>
      <c r="I310" s="58" t="s">
        <v>3675</v>
      </c>
      <c r="J310" s="58" t="s">
        <v>3676</v>
      </c>
      <c r="K310" s="58" t="s">
        <v>3677</v>
      </c>
      <c r="L310" s="72">
        <v>45734.38261574074</v>
      </c>
      <c r="M310" s="72">
        <v>45734.38261574074</v>
      </c>
      <c r="AI310" s="58" t="s">
        <v>3640</v>
      </c>
      <c r="CL310" s="58" t="s">
        <v>3678</v>
      </c>
      <c r="DL310" s="58" t="s">
        <v>3679</v>
      </c>
    </row>
    <row r="311" ht="15.75" customHeight="1">
      <c r="A311" s="58" t="s">
        <v>3680</v>
      </c>
      <c r="B311" s="58" t="s">
        <v>3632</v>
      </c>
      <c r="C311" s="58">
        <v>2024.0</v>
      </c>
      <c r="D311" s="58" t="s">
        <v>3681</v>
      </c>
      <c r="E311" s="58" t="s">
        <v>3682</v>
      </c>
      <c r="F311" s="58" t="s">
        <v>3655</v>
      </c>
      <c r="H311" s="58" t="s">
        <v>3656</v>
      </c>
      <c r="I311" s="58" t="s">
        <v>3683</v>
      </c>
      <c r="J311" s="58" t="s">
        <v>3684</v>
      </c>
      <c r="K311" s="58" t="s">
        <v>3685</v>
      </c>
      <c r="L311" s="72">
        <v>45734.38261574074</v>
      </c>
      <c r="M311" s="72">
        <v>45734.38261574074</v>
      </c>
      <c r="Q311" s="58">
        <v>4.0</v>
      </c>
      <c r="R311" s="58">
        <v>21.0</v>
      </c>
      <c r="AI311" s="58" t="s">
        <v>3640</v>
      </c>
      <c r="CL311" s="58" t="s">
        <v>3686</v>
      </c>
      <c r="DL311" s="58" t="s">
        <v>3687</v>
      </c>
    </row>
    <row r="312" ht="15.75" customHeight="1">
      <c r="A312" s="58" t="s">
        <v>3688</v>
      </c>
      <c r="B312" s="58" t="s">
        <v>3632</v>
      </c>
      <c r="C312" s="58">
        <v>2024.0</v>
      </c>
      <c r="D312" s="58" t="s">
        <v>3689</v>
      </c>
      <c r="E312" s="58" t="s">
        <v>3690</v>
      </c>
      <c r="F312" s="58" t="s">
        <v>3691</v>
      </c>
      <c r="H312" s="58" t="s">
        <v>3692</v>
      </c>
      <c r="I312" s="58" t="s">
        <v>3693</v>
      </c>
      <c r="J312" s="58" t="s">
        <v>3694</v>
      </c>
      <c r="K312" s="58" t="s">
        <v>3695</v>
      </c>
      <c r="L312" s="72">
        <v>45734.38261574074</v>
      </c>
      <c r="M312" s="72">
        <v>45734.38261574074</v>
      </c>
      <c r="O312" s="58" t="s">
        <v>3696</v>
      </c>
      <c r="Q312" s="58">
        <v>5.0</v>
      </c>
      <c r="R312" s="58">
        <v>32.0</v>
      </c>
      <c r="AI312" s="58" t="s">
        <v>3697</v>
      </c>
      <c r="CL312" s="58" t="s">
        <v>3698</v>
      </c>
    </row>
    <row r="313" ht="15.75" customHeight="1">
      <c r="A313" s="58" t="s">
        <v>3699</v>
      </c>
      <c r="B313" s="58" t="s">
        <v>3632</v>
      </c>
      <c r="C313" s="58">
        <v>2023.0</v>
      </c>
      <c r="D313" s="58" t="s">
        <v>3700</v>
      </c>
      <c r="E313" s="58" t="s">
        <v>3701</v>
      </c>
      <c r="F313" s="58" t="s">
        <v>3635</v>
      </c>
      <c r="H313" s="58" t="s">
        <v>3636</v>
      </c>
      <c r="I313" s="58" t="s">
        <v>3702</v>
      </c>
      <c r="J313" s="58" t="s">
        <v>3703</v>
      </c>
      <c r="K313" s="58" t="s">
        <v>3704</v>
      </c>
      <c r="L313" s="72">
        <v>45734.38261574074</v>
      </c>
      <c r="M313" s="72">
        <v>45734.38261574074</v>
      </c>
      <c r="Q313" s="58" t="s">
        <v>3705</v>
      </c>
      <c r="R313" s="58">
        <v>55.0</v>
      </c>
      <c r="AI313" s="58" t="s">
        <v>3640</v>
      </c>
      <c r="CL313" s="58" t="s">
        <v>3706</v>
      </c>
      <c r="DL313" s="58" t="s">
        <v>3707</v>
      </c>
    </row>
    <row r="314" ht="15.75" customHeight="1">
      <c r="A314" s="58" t="s">
        <v>3708</v>
      </c>
      <c r="B314" s="58" t="s">
        <v>3632</v>
      </c>
      <c r="C314" s="58">
        <v>2024.0</v>
      </c>
      <c r="D314" s="58" t="s">
        <v>3709</v>
      </c>
      <c r="E314" s="58" t="s">
        <v>3710</v>
      </c>
      <c r="F314" s="58" t="s">
        <v>3635</v>
      </c>
      <c r="H314" s="58" t="s">
        <v>3636</v>
      </c>
      <c r="I314" s="58" t="s">
        <v>3711</v>
      </c>
      <c r="J314" s="58" t="s">
        <v>3712</v>
      </c>
      <c r="K314" s="58" t="s">
        <v>3713</v>
      </c>
      <c r="L314" s="72">
        <v>45734.38261574074</v>
      </c>
      <c r="M314" s="72">
        <v>45734.38261574074</v>
      </c>
      <c r="Q314" s="58">
        <v>4.0</v>
      </c>
      <c r="R314" s="58">
        <v>57.0</v>
      </c>
      <c r="AI314" s="58" t="s">
        <v>3640</v>
      </c>
      <c r="CL314" s="58" t="s">
        <v>3714</v>
      </c>
      <c r="DL314" s="58" t="s">
        <v>3715</v>
      </c>
    </row>
    <row r="315" ht="15.75" customHeight="1">
      <c r="A315" s="58" t="s">
        <v>3716</v>
      </c>
      <c r="B315" s="58" t="s">
        <v>3632</v>
      </c>
      <c r="C315" s="58">
        <v>2024.0</v>
      </c>
      <c r="D315" s="58" t="s">
        <v>3717</v>
      </c>
      <c r="E315" s="58" t="s">
        <v>3718</v>
      </c>
      <c r="F315" s="58" t="s">
        <v>3719</v>
      </c>
      <c r="H315" s="58" t="s">
        <v>3720</v>
      </c>
      <c r="I315" s="58" t="s">
        <v>3721</v>
      </c>
      <c r="J315" s="58" t="s">
        <v>3722</v>
      </c>
      <c r="K315" s="58" t="s">
        <v>3685</v>
      </c>
      <c r="L315" s="72">
        <v>45734.38261574074</v>
      </c>
      <c r="M315" s="72">
        <v>45734.38261574074</v>
      </c>
      <c r="Q315" s="58">
        <v>8.0</v>
      </c>
      <c r="R315" s="58">
        <v>33.0</v>
      </c>
      <c r="AI315" s="58" t="s">
        <v>3640</v>
      </c>
      <c r="CL315" s="58" t="s">
        <v>3723</v>
      </c>
      <c r="DL315" s="58" t="s">
        <v>3724</v>
      </c>
    </row>
    <row r="316" ht="15.75" customHeight="1">
      <c r="A316" s="58" t="s">
        <v>3725</v>
      </c>
      <c r="B316" s="58" t="s">
        <v>3632</v>
      </c>
      <c r="C316" s="58">
        <v>2024.0</v>
      </c>
      <c r="D316" s="58" t="s">
        <v>3726</v>
      </c>
      <c r="E316" s="58" t="s">
        <v>3727</v>
      </c>
      <c r="F316" s="58" t="s">
        <v>3655</v>
      </c>
      <c r="H316" s="58" t="s">
        <v>3656</v>
      </c>
      <c r="I316" s="58" t="s">
        <v>3728</v>
      </c>
      <c r="J316" s="58" t="s">
        <v>3729</v>
      </c>
      <c r="K316" s="58" t="s">
        <v>3730</v>
      </c>
      <c r="L316" s="72">
        <v>45734.38261574074</v>
      </c>
      <c r="M316" s="72">
        <v>45734.38261574074</v>
      </c>
      <c r="Q316" s="58">
        <v>3.0</v>
      </c>
      <c r="R316" s="58">
        <v>21.0</v>
      </c>
      <c r="AI316" s="58" t="s">
        <v>3640</v>
      </c>
      <c r="CL316" s="58" t="s">
        <v>3731</v>
      </c>
      <c r="DL316" s="58" t="s">
        <v>3732</v>
      </c>
    </row>
    <row r="317" ht="15.75" customHeight="1">
      <c r="A317" s="58" t="s">
        <v>3733</v>
      </c>
      <c r="B317" s="58" t="s">
        <v>3632</v>
      </c>
      <c r="C317" s="58">
        <v>2024.0</v>
      </c>
      <c r="D317" s="58" t="s">
        <v>2160</v>
      </c>
      <c r="E317" s="58" t="s">
        <v>3734</v>
      </c>
      <c r="F317" s="58" t="s">
        <v>3673</v>
      </c>
      <c r="H317" s="58" t="s">
        <v>3674</v>
      </c>
      <c r="I317" s="58" t="s">
        <v>3735</v>
      </c>
      <c r="J317" s="58" t="s">
        <v>3736</v>
      </c>
      <c r="K317" s="58" t="s">
        <v>3737</v>
      </c>
      <c r="L317" s="72">
        <v>45734.38261574074</v>
      </c>
      <c r="M317" s="72">
        <v>45734.38261574074</v>
      </c>
      <c r="Q317" s="58">
        <v>1.0</v>
      </c>
      <c r="R317" s="58">
        <v>19.0</v>
      </c>
      <c r="AI317" s="58" t="s">
        <v>3640</v>
      </c>
      <c r="CL317" s="58" t="s">
        <v>3738</v>
      </c>
      <c r="DL317" s="58" t="s">
        <v>3739</v>
      </c>
    </row>
    <row r="318" ht="15.75" customHeight="1">
      <c r="A318" s="58" t="s">
        <v>3740</v>
      </c>
      <c r="B318" s="58" t="s">
        <v>3632</v>
      </c>
      <c r="C318" s="58">
        <v>2022.0</v>
      </c>
      <c r="D318" s="58" t="s">
        <v>3741</v>
      </c>
      <c r="E318" s="58" t="s">
        <v>3742</v>
      </c>
      <c r="F318" s="58" t="s">
        <v>3743</v>
      </c>
      <c r="H318" s="58" t="s">
        <v>3744</v>
      </c>
      <c r="I318" s="58" t="s">
        <v>3745</v>
      </c>
      <c r="J318" s="58" t="s">
        <v>3746</v>
      </c>
      <c r="K318" s="58" t="s">
        <v>3747</v>
      </c>
      <c r="L318" s="72">
        <v>45734.38261574074</v>
      </c>
      <c r="M318" s="72">
        <v>45734.38261574074</v>
      </c>
      <c r="Q318" s="58">
        <v>4.0</v>
      </c>
      <c r="R318" s="58">
        <v>18.0</v>
      </c>
      <c r="AI318" s="58" t="s">
        <v>3640</v>
      </c>
      <c r="CL318" s="58" t="s">
        <v>3748</v>
      </c>
      <c r="DL318" s="58" t="s">
        <v>3749</v>
      </c>
    </row>
    <row r="319" ht="15.75" customHeight="1">
      <c r="A319" s="58" t="s">
        <v>3750</v>
      </c>
      <c r="B319" s="58" t="s">
        <v>3632</v>
      </c>
      <c r="C319" s="58">
        <v>2022.0</v>
      </c>
      <c r="D319" s="58" t="s">
        <v>3751</v>
      </c>
      <c r="E319" s="58" t="s">
        <v>3752</v>
      </c>
      <c r="F319" s="58" t="s">
        <v>3635</v>
      </c>
      <c r="H319" s="58" t="s">
        <v>3636</v>
      </c>
      <c r="I319" s="58" t="s">
        <v>3753</v>
      </c>
      <c r="J319" s="58" t="s">
        <v>3754</v>
      </c>
      <c r="K319" s="58" t="s">
        <v>3755</v>
      </c>
      <c r="L319" s="72">
        <v>45734.38261574074</v>
      </c>
      <c r="M319" s="72">
        <v>45734.38261574074</v>
      </c>
      <c r="Q319" s="58">
        <v>7.0</v>
      </c>
      <c r="R319" s="58">
        <v>55.0</v>
      </c>
      <c r="AI319" s="58" t="s">
        <v>3640</v>
      </c>
      <c r="CL319" s="58" t="s">
        <v>3756</v>
      </c>
      <c r="DL319" s="58" t="s">
        <v>3757</v>
      </c>
    </row>
    <row r="320" ht="15.75" customHeight="1">
      <c r="A320" s="58" t="s">
        <v>3758</v>
      </c>
      <c r="B320" s="58" t="s">
        <v>3632</v>
      </c>
      <c r="C320" s="58">
        <v>2023.0</v>
      </c>
      <c r="D320" s="58" t="s">
        <v>3759</v>
      </c>
      <c r="E320" s="58" t="s">
        <v>3760</v>
      </c>
      <c r="F320" s="58" t="s">
        <v>3761</v>
      </c>
      <c r="H320" s="58" t="s">
        <v>3762</v>
      </c>
      <c r="I320" s="58" t="s">
        <v>3763</v>
      </c>
      <c r="J320" s="58" t="s">
        <v>3764</v>
      </c>
      <c r="K320" s="58" t="s">
        <v>3704</v>
      </c>
      <c r="L320" s="72">
        <v>45734.38261574074</v>
      </c>
      <c r="M320" s="72">
        <v>45734.38261574074</v>
      </c>
      <c r="Q320" s="58">
        <v>4.0</v>
      </c>
      <c r="R320" s="58">
        <v>8.0</v>
      </c>
      <c r="AI320" s="58" t="s">
        <v>3640</v>
      </c>
      <c r="CL320" s="58" t="s">
        <v>3765</v>
      </c>
      <c r="DL320" s="58" t="s">
        <v>3766</v>
      </c>
    </row>
    <row r="321" ht="15.75" customHeight="1">
      <c r="A321" s="58" t="s">
        <v>3767</v>
      </c>
      <c r="B321" s="58" t="s">
        <v>3632</v>
      </c>
      <c r="C321" s="58">
        <v>2020.0</v>
      </c>
      <c r="D321" s="58" t="s">
        <v>3768</v>
      </c>
      <c r="E321" s="58" t="s">
        <v>3769</v>
      </c>
      <c r="F321" s="58" t="s">
        <v>3691</v>
      </c>
      <c r="H321" s="58" t="s">
        <v>3692</v>
      </c>
      <c r="I321" s="58" t="s">
        <v>3770</v>
      </c>
      <c r="J321" s="58" t="s">
        <v>3771</v>
      </c>
      <c r="K321" s="58" t="s">
        <v>3772</v>
      </c>
      <c r="L321" s="72">
        <v>45734.38261574074</v>
      </c>
      <c r="M321" s="72">
        <v>45734.38261574074</v>
      </c>
      <c r="O321" s="58" t="s">
        <v>2663</v>
      </c>
      <c r="Q321" s="58">
        <v>1.0</v>
      </c>
      <c r="R321" s="58">
        <v>28.0</v>
      </c>
      <c r="AI321" s="58" t="s">
        <v>3697</v>
      </c>
      <c r="CL321" s="58" t="s">
        <v>3773</v>
      </c>
    </row>
    <row r="322" ht="15.75" customHeight="1">
      <c r="A322" s="58" t="s">
        <v>3774</v>
      </c>
      <c r="B322" s="58" t="s">
        <v>3632</v>
      </c>
      <c r="C322" s="58">
        <v>2024.0</v>
      </c>
      <c r="D322" s="58" t="s">
        <v>3775</v>
      </c>
      <c r="E322" s="58" t="s">
        <v>3776</v>
      </c>
      <c r="F322" s="58" t="s">
        <v>3635</v>
      </c>
      <c r="H322" s="58" t="s">
        <v>3636</v>
      </c>
      <c r="I322" s="58" t="s">
        <v>3777</v>
      </c>
      <c r="J322" s="58" t="s">
        <v>3778</v>
      </c>
      <c r="K322" s="58" t="s">
        <v>3779</v>
      </c>
      <c r="L322" s="72">
        <v>45734.38261574074</v>
      </c>
      <c r="M322" s="72">
        <v>45734.38261574074</v>
      </c>
      <c r="Q322" s="58">
        <v>8.0</v>
      </c>
      <c r="R322" s="58">
        <v>56.0</v>
      </c>
      <c r="AI322" s="58" t="s">
        <v>3640</v>
      </c>
      <c r="CL322" s="58" t="s">
        <v>3780</v>
      </c>
      <c r="DL322" s="58" t="s">
        <v>3781</v>
      </c>
    </row>
    <row r="323" ht="15.75" customHeight="1">
      <c r="A323" s="58" t="s">
        <v>3782</v>
      </c>
      <c r="B323" s="58" t="s">
        <v>3632</v>
      </c>
      <c r="C323" s="58">
        <v>2023.0</v>
      </c>
      <c r="D323" s="58" t="s">
        <v>3783</v>
      </c>
      <c r="E323" s="58" t="s">
        <v>3784</v>
      </c>
      <c r="F323" s="58" t="s">
        <v>3635</v>
      </c>
      <c r="H323" s="58" t="s">
        <v>3636</v>
      </c>
      <c r="I323" s="58" t="s">
        <v>3785</v>
      </c>
      <c r="J323" s="58" t="s">
        <v>3786</v>
      </c>
      <c r="K323" s="58" t="s">
        <v>3787</v>
      </c>
      <c r="L323" s="72">
        <v>45734.38261574074</v>
      </c>
      <c r="M323" s="72">
        <v>45734.38261574074</v>
      </c>
      <c r="Q323" s="58">
        <v>3.0</v>
      </c>
      <c r="R323" s="58">
        <v>56.0</v>
      </c>
      <c r="AI323" s="58" t="s">
        <v>3640</v>
      </c>
      <c r="CL323" s="58" t="s">
        <v>3788</v>
      </c>
      <c r="DL323" s="58" t="s">
        <v>3789</v>
      </c>
    </row>
    <row r="324" ht="15.75" customHeight="1">
      <c r="A324" s="58" t="s">
        <v>3790</v>
      </c>
      <c r="B324" s="58" t="s">
        <v>3632</v>
      </c>
      <c r="C324" s="58">
        <v>2024.0</v>
      </c>
      <c r="D324" s="58" t="s">
        <v>3791</v>
      </c>
      <c r="E324" s="58" t="s">
        <v>3792</v>
      </c>
      <c r="F324" s="58" t="s">
        <v>3793</v>
      </c>
      <c r="I324" s="58" t="s">
        <v>3794</v>
      </c>
      <c r="J324" s="58" t="s">
        <v>3795</v>
      </c>
      <c r="K324" s="58" t="s">
        <v>3730</v>
      </c>
      <c r="L324" s="72">
        <v>45734.38261574074</v>
      </c>
      <c r="M324" s="72">
        <v>45734.38261574074</v>
      </c>
      <c r="Q324" s="58">
        <v>3.0</v>
      </c>
      <c r="R324" s="58">
        <v>2.0</v>
      </c>
      <c r="AI324" s="58" t="s">
        <v>3640</v>
      </c>
      <c r="CL324" s="58" t="s">
        <v>3796</v>
      </c>
      <c r="DL324" s="58" t="s">
        <v>3797</v>
      </c>
    </row>
    <row r="325" ht="15.75" customHeight="1">
      <c r="A325" s="58" t="s">
        <v>3798</v>
      </c>
      <c r="B325" s="58" t="s">
        <v>3632</v>
      </c>
      <c r="C325" s="58">
        <v>2018.0</v>
      </c>
      <c r="D325" s="58" t="s">
        <v>3799</v>
      </c>
      <c r="E325" s="58" t="s">
        <v>3800</v>
      </c>
      <c r="F325" s="58" t="s">
        <v>3761</v>
      </c>
      <c r="H325" s="58" t="s">
        <v>3762</v>
      </c>
      <c r="I325" s="58" t="s">
        <v>3801</v>
      </c>
      <c r="J325" s="58" t="s">
        <v>3802</v>
      </c>
      <c r="K325" s="58" t="s">
        <v>3803</v>
      </c>
      <c r="L325" s="72">
        <v>45734.38261574074</v>
      </c>
      <c r="M325" s="72">
        <v>45734.38261574074</v>
      </c>
      <c r="Q325" s="58">
        <v>4.0</v>
      </c>
      <c r="R325" s="58">
        <v>3.0</v>
      </c>
      <c r="AI325" s="58" t="s">
        <v>3640</v>
      </c>
      <c r="CL325" s="58" t="s">
        <v>3804</v>
      </c>
      <c r="DL325" s="58" t="s">
        <v>3805</v>
      </c>
    </row>
    <row r="326" ht="15.75" customHeight="1">
      <c r="A326" s="58" t="s">
        <v>3806</v>
      </c>
      <c r="B326" s="58" t="s">
        <v>3632</v>
      </c>
      <c r="C326" s="58">
        <v>2024.0</v>
      </c>
      <c r="D326" s="58" t="s">
        <v>3807</v>
      </c>
      <c r="E326" s="58" t="s">
        <v>3808</v>
      </c>
      <c r="F326" s="58" t="s">
        <v>3743</v>
      </c>
      <c r="H326" s="58" t="s">
        <v>3744</v>
      </c>
      <c r="I326" s="58" t="s">
        <v>3809</v>
      </c>
      <c r="J326" s="58" t="s">
        <v>3810</v>
      </c>
      <c r="K326" s="58" t="s">
        <v>3811</v>
      </c>
      <c r="L326" s="72">
        <v>45734.38261574074</v>
      </c>
      <c r="M326" s="72">
        <v>45734.38261574074</v>
      </c>
      <c r="AI326" s="58" t="s">
        <v>3640</v>
      </c>
      <c r="CL326" s="58" t="s">
        <v>3812</v>
      </c>
      <c r="DL326" s="58" t="s">
        <v>3813</v>
      </c>
    </row>
    <row r="327" ht="15.75" customHeight="1">
      <c r="A327" s="58" t="s">
        <v>3814</v>
      </c>
      <c r="B327" s="58" t="s">
        <v>3632</v>
      </c>
      <c r="C327" s="58">
        <v>2023.0</v>
      </c>
      <c r="D327" s="58" t="s">
        <v>3815</v>
      </c>
      <c r="E327" s="58" t="s">
        <v>3816</v>
      </c>
      <c r="F327" s="58" t="s">
        <v>3635</v>
      </c>
      <c r="H327" s="58" t="s">
        <v>3636</v>
      </c>
      <c r="I327" s="58" t="s">
        <v>3817</v>
      </c>
      <c r="J327" s="58" t="s">
        <v>3818</v>
      </c>
      <c r="K327" s="58" t="s">
        <v>3819</v>
      </c>
      <c r="L327" s="72">
        <v>45734.38261574074</v>
      </c>
      <c r="M327" s="72">
        <v>45734.38261574074</v>
      </c>
      <c r="Q327" s="58">
        <v>11.0</v>
      </c>
      <c r="R327" s="58">
        <v>55.0</v>
      </c>
      <c r="AI327" s="58" t="s">
        <v>3640</v>
      </c>
      <c r="CL327" s="58" t="s">
        <v>3820</v>
      </c>
      <c r="DL327" s="58" t="s">
        <v>3821</v>
      </c>
    </row>
    <row r="328" ht="15.75" customHeight="1">
      <c r="A328" s="58" t="s">
        <v>3822</v>
      </c>
      <c r="B328" s="58" t="s">
        <v>3632</v>
      </c>
      <c r="C328" s="58">
        <v>2024.0</v>
      </c>
      <c r="D328" s="58" t="s">
        <v>3823</v>
      </c>
      <c r="E328" s="58" t="s">
        <v>3824</v>
      </c>
      <c r="F328" s="58" t="s">
        <v>3825</v>
      </c>
      <c r="H328" s="58" t="s">
        <v>3826</v>
      </c>
      <c r="I328" s="58" t="s">
        <v>3827</v>
      </c>
      <c r="J328" s="58" t="s">
        <v>3828</v>
      </c>
      <c r="K328" s="58" t="s">
        <v>3811</v>
      </c>
      <c r="L328" s="72">
        <v>45734.38261574074</v>
      </c>
      <c r="M328" s="72">
        <v>45734.38261574074</v>
      </c>
      <c r="Q328" s="58">
        <v>5.0</v>
      </c>
      <c r="R328" s="58">
        <v>23.0</v>
      </c>
      <c r="AI328" s="58" t="s">
        <v>3640</v>
      </c>
      <c r="CL328" s="58" t="s">
        <v>3829</v>
      </c>
      <c r="DL328" s="58" t="s">
        <v>3830</v>
      </c>
    </row>
    <row r="329" ht="15.75" customHeight="1">
      <c r="A329" s="58" t="s">
        <v>3831</v>
      </c>
      <c r="B329" s="58" t="s">
        <v>3632</v>
      </c>
      <c r="C329" s="58">
        <v>2024.0</v>
      </c>
      <c r="D329" s="58" t="s">
        <v>3832</v>
      </c>
      <c r="E329" s="58" t="s">
        <v>3833</v>
      </c>
      <c r="F329" s="58" t="s">
        <v>3834</v>
      </c>
      <c r="H329" s="58" t="s">
        <v>3835</v>
      </c>
      <c r="I329" s="58" t="s">
        <v>3836</v>
      </c>
      <c r="J329" s="58" t="s">
        <v>3837</v>
      </c>
      <c r="K329" s="58" t="s">
        <v>3737</v>
      </c>
      <c r="L329" s="72">
        <v>45734.38261574074</v>
      </c>
      <c r="M329" s="72">
        <v>45734.38261574074</v>
      </c>
      <c r="Q329" s="58" t="s">
        <v>3838</v>
      </c>
      <c r="R329" s="58">
        <v>42.0</v>
      </c>
      <c r="AI329" s="58" t="s">
        <v>3640</v>
      </c>
      <c r="CL329" s="58" t="s">
        <v>3839</v>
      </c>
      <c r="DL329" s="58" t="s">
        <v>3840</v>
      </c>
    </row>
    <row r="330" ht="15.75" customHeight="1">
      <c r="A330" s="58" t="s">
        <v>3841</v>
      </c>
      <c r="B330" s="58" t="s">
        <v>3632</v>
      </c>
      <c r="C330" s="58">
        <v>2023.0</v>
      </c>
      <c r="D330" s="58" t="s">
        <v>3842</v>
      </c>
      <c r="E330" s="58" t="s">
        <v>3843</v>
      </c>
      <c r="F330" s="58" t="s">
        <v>3635</v>
      </c>
      <c r="H330" s="58" t="s">
        <v>3636</v>
      </c>
      <c r="I330" s="58" t="s">
        <v>3844</v>
      </c>
      <c r="J330" s="58" t="s">
        <v>3845</v>
      </c>
      <c r="K330" s="58" t="s">
        <v>3846</v>
      </c>
      <c r="L330" s="72">
        <v>45734.38261574074</v>
      </c>
      <c r="M330" s="72">
        <v>45734.38261574074</v>
      </c>
      <c r="Q330" s="58">
        <v>12.0</v>
      </c>
      <c r="R330" s="58">
        <v>55.0</v>
      </c>
      <c r="AI330" s="58" t="s">
        <v>3640</v>
      </c>
      <c r="CL330" s="58" t="s">
        <v>3847</v>
      </c>
      <c r="DL330" s="58" t="s">
        <v>3848</v>
      </c>
    </row>
    <row r="331" ht="15.75" customHeight="1">
      <c r="A331" s="58" t="s">
        <v>3849</v>
      </c>
      <c r="B331" s="58" t="s">
        <v>3632</v>
      </c>
      <c r="C331" s="58">
        <v>2023.0</v>
      </c>
      <c r="D331" s="58" t="s">
        <v>3850</v>
      </c>
      <c r="E331" s="58" t="s">
        <v>3851</v>
      </c>
      <c r="F331" s="58" t="s">
        <v>3635</v>
      </c>
      <c r="H331" s="58" t="s">
        <v>3636</v>
      </c>
      <c r="I331" s="58" t="s">
        <v>3852</v>
      </c>
      <c r="J331" s="58" t="s">
        <v>3853</v>
      </c>
      <c r="K331" s="58" t="s">
        <v>3854</v>
      </c>
      <c r="L331" s="72">
        <v>45734.38261574074</v>
      </c>
      <c r="M331" s="72">
        <v>45734.38261574074</v>
      </c>
      <c r="Q331" s="58">
        <v>1.0</v>
      </c>
      <c r="R331" s="58">
        <v>56.0</v>
      </c>
      <c r="AI331" s="58" t="s">
        <v>3640</v>
      </c>
      <c r="CL331" s="58" t="s">
        <v>3855</v>
      </c>
      <c r="DL331" s="58" t="s">
        <v>3856</v>
      </c>
    </row>
    <row r="332" ht="15.75" customHeight="1">
      <c r="A332" s="58" t="s">
        <v>3857</v>
      </c>
      <c r="B332" s="58" t="s">
        <v>3632</v>
      </c>
      <c r="C332" s="58">
        <v>2023.0</v>
      </c>
      <c r="D332" s="58" t="s">
        <v>3858</v>
      </c>
      <c r="E332" s="58" t="s">
        <v>3859</v>
      </c>
      <c r="F332" s="58" t="s">
        <v>3860</v>
      </c>
      <c r="H332" s="58" t="s">
        <v>3861</v>
      </c>
      <c r="I332" s="58" t="s">
        <v>3862</v>
      </c>
      <c r="J332" s="58" t="s">
        <v>3863</v>
      </c>
      <c r="K332" s="58" t="s">
        <v>3864</v>
      </c>
      <c r="L332" s="72">
        <v>45734.38261574074</v>
      </c>
      <c r="M332" s="72">
        <v>45734.38261574074</v>
      </c>
      <c r="Q332" s="58">
        <v>4.0</v>
      </c>
      <c r="R332" s="58">
        <v>23.0</v>
      </c>
      <c r="AI332" s="58" t="s">
        <v>3640</v>
      </c>
      <c r="CL332" s="58" t="s">
        <v>3865</v>
      </c>
      <c r="DL332" s="58" t="s">
        <v>3866</v>
      </c>
    </row>
    <row r="333" ht="15.75" customHeight="1">
      <c r="A333" s="58" t="s">
        <v>3867</v>
      </c>
      <c r="B333" s="58" t="s">
        <v>3632</v>
      </c>
      <c r="C333" s="58">
        <v>2022.0</v>
      </c>
      <c r="D333" s="58" t="s">
        <v>3868</v>
      </c>
      <c r="E333" s="58" t="s">
        <v>3869</v>
      </c>
      <c r="F333" s="58" t="s">
        <v>3719</v>
      </c>
      <c r="H333" s="58" t="s">
        <v>3720</v>
      </c>
      <c r="I333" s="58" t="s">
        <v>3870</v>
      </c>
      <c r="J333" s="58" t="s">
        <v>3871</v>
      </c>
      <c r="K333" s="58" t="s">
        <v>3872</v>
      </c>
      <c r="L333" s="72">
        <v>45734.38261574074</v>
      </c>
      <c r="M333" s="72">
        <v>45734.38261574074</v>
      </c>
      <c r="Q333" s="58">
        <v>3.0</v>
      </c>
      <c r="R333" s="58">
        <v>31.0</v>
      </c>
      <c r="AI333" s="58" t="s">
        <v>3640</v>
      </c>
      <c r="CL333" s="58" t="s">
        <v>3873</v>
      </c>
      <c r="DL333" s="58" t="s">
        <v>3874</v>
      </c>
    </row>
    <row r="334" ht="15.75" customHeight="1">
      <c r="A334" s="58" t="s">
        <v>3875</v>
      </c>
      <c r="B334" s="58" t="s">
        <v>3632</v>
      </c>
      <c r="C334" s="58">
        <v>2025.0</v>
      </c>
      <c r="D334" s="58" t="s">
        <v>3876</v>
      </c>
      <c r="E334" s="58" t="s">
        <v>3877</v>
      </c>
      <c r="F334" s="58" t="s">
        <v>3719</v>
      </c>
      <c r="H334" s="58" t="s">
        <v>3720</v>
      </c>
      <c r="I334" s="58" t="s">
        <v>3878</v>
      </c>
      <c r="J334" s="58" t="s">
        <v>3879</v>
      </c>
      <c r="K334" s="58" t="s">
        <v>3677</v>
      </c>
      <c r="L334" s="72">
        <v>45734.38261574074</v>
      </c>
      <c r="M334" s="72">
        <v>45734.38261574074</v>
      </c>
      <c r="AI334" s="58" t="s">
        <v>3640</v>
      </c>
      <c r="CL334" s="58" t="s">
        <v>3880</v>
      </c>
      <c r="DL334" s="58" t="s">
        <v>3881</v>
      </c>
    </row>
    <row r="335" ht="15.75" customHeight="1">
      <c r="A335" s="58" t="s">
        <v>3882</v>
      </c>
      <c r="B335" s="58" t="s">
        <v>3632</v>
      </c>
      <c r="C335" s="58">
        <v>2022.0</v>
      </c>
      <c r="D335" s="58" t="s">
        <v>3883</v>
      </c>
      <c r="E335" s="58" t="s">
        <v>3884</v>
      </c>
      <c r="F335" s="58" t="s">
        <v>3635</v>
      </c>
      <c r="H335" s="58" t="s">
        <v>3636</v>
      </c>
      <c r="I335" s="58" t="s">
        <v>3885</v>
      </c>
      <c r="J335" s="58" t="s">
        <v>3886</v>
      </c>
      <c r="K335" s="58" t="s">
        <v>3887</v>
      </c>
      <c r="L335" s="72">
        <v>45734.38261574074</v>
      </c>
      <c r="M335" s="72">
        <v>45734.38261574074</v>
      </c>
      <c r="Q335" s="58">
        <v>2.0</v>
      </c>
      <c r="R335" s="58">
        <v>55.0</v>
      </c>
      <c r="AI335" s="58" t="s">
        <v>3640</v>
      </c>
      <c r="CL335" s="58" t="s">
        <v>3888</v>
      </c>
      <c r="DL335" s="58" t="s">
        <v>3889</v>
      </c>
    </row>
    <row r="336" ht="15.75" customHeight="1">
      <c r="A336" s="58" t="s">
        <v>3890</v>
      </c>
      <c r="B336" s="58" t="s">
        <v>3632</v>
      </c>
      <c r="C336" s="58">
        <v>2024.0</v>
      </c>
      <c r="D336" s="58" t="s">
        <v>3891</v>
      </c>
      <c r="E336" s="58" t="s">
        <v>3892</v>
      </c>
      <c r="F336" s="58" t="s">
        <v>3635</v>
      </c>
      <c r="H336" s="58" t="s">
        <v>3636</v>
      </c>
      <c r="I336" s="58" t="s">
        <v>3893</v>
      </c>
      <c r="J336" s="58" t="s">
        <v>3894</v>
      </c>
      <c r="K336" s="58" t="s">
        <v>3895</v>
      </c>
      <c r="L336" s="72">
        <v>45734.38261574074</v>
      </c>
      <c r="M336" s="72">
        <v>45734.38261574074</v>
      </c>
      <c r="Q336" s="58">
        <v>1.0</v>
      </c>
      <c r="R336" s="58">
        <v>57.0</v>
      </c>
      <c r="AI336" s="58" t="s">
        <v>3640</v>
      </c>
      <c r="CL336" s="58" t="s">
        <v>3896</v>
      </c>
      <c r="DL336" s="58" t="s">
        <v>3897</v>
      </c>
    </row>
    <row r="337" ht="15.75" customHeight="1">
      <c r="A337" s="58" t="s">
        <v>3898</v>
      </c>
      <c r="B337" s="58" t="s">
        <v>3632</v>
      </c>
      <c r="C337" s="58">
        <v>2022.0</v>
      </c>
      <c r="D337" s="58" t="s">
        <v>3899</v>
      </c>
      <c r="E337" s="58" t="s">
        <v>3900</v>
      </c>
      <c r="F337" s="58" t="s">
        <v>3635</v>
      </c>
      <c r="H337" s="58" t="s">
        <v>3636</v>
      </c>
      <c r="I337" s="58" t="s">
        <v>3901</v>
      </c>
      <c r="J337" s="58" t="s">
        <v>3902</v>
      </c>
      <c r="K337" s="58" t="s">
        <v>3648</v>
      </c>
      <c r="L337" s="72">
        <v>45734.38261574074</v>
      </c>
      <c r="M337" s="72">
        <v>45734.38261574074</v>
      </c>
      <c r="Q337" s="58" t="s">
        <v>3903</v>
      </c>
      <c r="R337" s="58">
        <v>54.0</v>
      </c>
      <c r="AI337" s="58" t="s">
        <v>3640</v>
      </c>
      <c r="CL337" s="58" t="s">
        <v>3904</v>
      </c>
      <c r="DL337" s="58" t="s">
        <v>3905</v>
      </c>
    </row>
    <row r="338" ht="15.75" customHeight="1">
      <c r="A338" s="58" t="s">
        <v>3906</v>
      </c>
      <c r="B338" s="58" t="s">
        <v>3632</v>
      </c>
      <c r="C338" s="58">
        <v>2022.0</v>
      </c>
      <c r="D338" s="58" t="s">
        <v>3907</v>
      </c>
      <c r="E338" s="58" t="s">
        <v>3908</v>
      </c>
      <c r="F338" s="58" t="s">
        <v>3635</v>
      </c>
      <c r="H338" s="58" t="s">
        <v>3636</v>
      </c>
      <c r="I338" s="58" t="s">
        <v>3909</v>
      </c>
      <c r="J338" s="58" t="s">
        <v>3910</v>
      </c>
      <c r="K338" s="58" t="s">
        <v>3911</v>
      </c>
      <c r="L338" s="72">
        <v>45734.38261574074</v>
      </c>
      <c r="M338" s="72">
        <v>45734.38261574074</v>
      </c>
      <c r="Q338" s="58">
        <v>3.0</v>
      </c>
      <c r="R338" s="58">
        <v>55.0</v>
      </c>
      <c r="AI338" s="58" t="s">
        <v>3640</v>
      </c>
      <c r="CL338" s="58" t="s">
        <v>3912</v>
      </c>
      <c r="DL338" s="58" t="s">
        <v>3913</v>
      </c>
    </row>
    <row r="339" ht="15.75" customHeight="1">
      <c r="A339" s="58" t="s">
        <v>3914</v>
      </c>
      <c r="B339" s="58" t="s">
        <v>3632</v>
      </c>
      <c r="C339" s="58">
        <v>2021.0</v>
      </c>
      <c r="D339" s="58" t="s">
        <v>3915</v>
      </c>
      <c r="E339" s="58" t="s">
        <v>3916</v>
      </c>
      <c r="F339" s="58" t="s">
        <v>3635</v>
      </c>
      <c r="H339" s="58" t="s">
        <v>3636</v>
      </c>
      <c r="I339" s="58" t="s">
        <v>3917</v>
      </c>
      <c r="J339" s="58" t="s">
        <v>3918</v>
      </c>
      <c r="K339" s="58" t="s">
        <v>3919</v>
      </c>
      <c r="L339" s="72">
        <v>45734.38261574074</v>
      </c>
      <c r="M339" s="72">
        <v>45734.38261574074</v>
      </c>
      <c r="Q339" s="58">
        <v>9.0</v>
      </c>
      <c r="R339" s="58">
        <v>54.0</v>
      </c>
      <c r="AI339" s="58" t="s">
        <v>3640</v>
      </c>
      <c r="CL339" s="58" t="s">
        <v>3920</v>
      </c>
      <c r="DL339" s="58" t="s">
        <v>3921</v>
      </c>
    </row>
    <row r="340" ht="15.75" customHeight="1">
      <c r="A340" s="58" t="s">
        <v>3922</v>
      </c>
      <c r="B340" s="58" t="s">
        <v>3632</v>
      </c>
      <c r="C340" s="58">
        <v>2020.0</v>
      </c>
      <c r="D340" s="58" t="s">
        <v>3923</v>
      </c>
      <c r="E340" s="58" t="s">
        <v>3924</v>
      </c>
      <c r="F340" s="58" t="s">
        <v>3635</v>
      </c>
      <c r="H340" s="58" t="s">
        <v>3636</v>
      </c>
      <c r="I340" s="58" t="s">
        <v>3925</v>
      </c>
      <c r="J340" s="58" t="s">
        <v>3926</v>
      </c>
      <c r="K340" s="58" t="s">
        <v>3927</v>
      </c>
      <c r="L340" s="72">
        <v>45734.38261574074</v>
      </c>
      <c r="M340" s="72">
        <v>45734.38261574074</v>
      </c>
      <c r="Q340" s="58">
        <v>4.0</v>
      </c>
      <c r="R340" s="58">
        <v>53.0</v>
      </c>
      <c r="AI340" s="58" t="s">
        <v>3640</v>
      </c>
      <c r="CL340" s="58" t="s">
        <v>3928</v>
      </c>
      <c r="DL340" s="58" t="s">
        <v>3929</v>
      </c>
    </row>
    <row r="341" ht="15.75" customHeight="1">
      <c r="A341" s="58" t="s">
        <v>3930</v>
      </c>
      <c r="B341" s="58" t="s">
        <v>3632</v>
      </c>
      <c r="C341" s="58">
        <v>2024.0</v>
      </c>
      <c r="D341" s="58" t="s">
        <v>3931</v>
      </c>
      <c r="E341" s="58" t="s">
        <v>3932</v>
      </c>
      <c r="F341" s="58" t="s">
        <v>3933</v>
      </c>
      <c r="I341" s="58" t="s">
        <v>3934</v>
      </c>
      <c r="J341" s="58" t="s">
        <v>3935</v>
      </c>
      <c r="K341" s="58" t="s">
        <v>3685</v>
      </c>
      <c r="L341" s="72">
        <v>45734.38261574074</v>
      </c>
      <c r="M341" s="72">
        <v>45734.38261574074</v>
      </c>
      <c r="Q341" s="58" t="s">
        <v>3936</v>
      </c>
      <c r="R341" s="58">
        <v>2.0</v>
      </c>
      <c r="AI341" s="58" t="s">
        <v>3640</v>
      </c>
      <c r="CL341" s="58" t="s">
        <v>3937</v>
      </c>
      <c r="DL341" s="58" t="s">
        <v>3938</v>
      </c>
    </row>
    <row r="342" ht="15.75" customHeight="1">
      <c r="A342" s="58" t="s">
        <v>3939</v>
      </c>
      <c r="B342" s="58" t="s">
        <v>3632</v>
      </c>
      <c r="C342" s="58">
        <v>2024.0</v>
      </c>
      <c r="D342" s="58" t="s">
        <v>3940</v>
      </c>
      <c r="E342" s="58" t="s">
        <v>3941</v>
      </c>
      <c r="F342" s="58" t="s">
        <v>3673</v>
      </c>
      <c r="H342" s="58" t="s">
        <v>3674</v>
      </c>
      <c r="I342" s="58" t="s">
        <v>3942</v>
      </c>
      <c r="J342" s="58" t="s">
        <v>3943</v>
      </c>
      <c r="K342" s="58" t="s">
        <v>3730</v>
      </c>
      <c r="L342" s="72">
        <v>45734.38261574074</v>
      </c>
      <c r="M342" s="72">
        <v>45734.38261574074</v>
      </c>
      <c r="Q342" s="58">
        <v>3.0</v>
      </c>
      <c r="R342" s="58">
        <v>19.0</v>
      </c>
      <c r="AI342" s="58" t="s">
        <v>3640</v>
      </c>
      <c r="CL342" s="58" t="s">
        <v>3944</v>
      </c>
      <c r="DL342" s="58" t="s">
        <v>3945</v>
      </c>
    </row>
    <row r="343" ht="15.75" customHeight="1">
      <c r="A343" s="58" t="s">
        <v>3946</v>
      </c>
      <c r="B343" s="58" t="s">
        <v>3632</v>
      </c>
      <c r="C343" s="58">
        <v>2022.0</v>
      </c>
      <c r="D343" s="58" t="s">
        <v>3947</v>
      </c>
      <c r="E343" s="58" t="s">
        <v>3948</v>
      </c>
      <c r="F343" s="58" t="s">
        <v>3635</v>
      </c>
      <c r="H343" s="58" t="s">
        <v>3636</v>
      </c>
      <c r="I343" s="58" t="s">
        <v>3949</v>
      </c>
      <c r="J343" s="58" t="s">
        <v>3950</v>
      </c>
      <c r="K343" s="58" t="s">
        <v>3648</v>
      </c>
      <c r="L343" s="72">
        <v>45734.38261574074</v>
      </c>
      <c r="M343" s="72">
        <v>45734.38261574074</v>
      </c>
      <c r="Q343" s="58" t="s">
        <v>3649</v>
      </c>
      <c r="R343" s="58">
        <v>54.0</v>
      </c>
      <c r="AI343" s="58" t="s">
        <v>3640</v>
      </c>
      <c r="CL343" s="58" t="s">
        <v>3951</v>
      </c>
      <c r="DL343" s="58" t="s">
        <v>3952</v>
      </c>
    </row>
    <row r="344" ht="15.75" customHeight="1">
      <c r="A344" s="58" t="s">
        <v>3953</v>
      </c>
      <c r="B344" s="58" t="s">
        <v>3632</v>
      </c>
      <c r="C344" s="58">
        <v>2021.0</v>
      </c>
      <c r="D344" s="58" t="s">
        <v>3954</v>
      </c>
      <c r="E344" s="58" t="s">
        <v>3955</v>
      </c>
      <c r="F344" s="58" t="s">
        <v>3635</v>
      </c>
      <c r="H344" s="58" t="s">
        <v>3636</v>
      </c>
      <c r="I344" s="58" t="s">
        <v>3956</v>
      </c>
      <c r="J344" s="58" t="s">
        <v>3957</v>
      </c>
      <c r="K344" s="58" t="s">
        <v>3958</v>
      </c>
      <c r="L344" s="72">
        <v>45734.38261574074</v>
      </c>
      <c r="M344" s="72">
        <v>45734.38261574074</v>
      </c>
      <c r="Q344" s="58">
        <v>3.0</v>
      </c>
      <c r="R344" s="58">
        <v>54.0</v>
      </c>
      <c r="AI344" s="58" t="s">
        <v>3640</v>
      </c>
      <c r="CL344" s="58" t="s">
        <v>3959</v>
      </c>
      <c r="DL344" s="58" t="s">
        <v>3960</v>
      </c>
    </row>
    <row r="345" ht="15.75" customHeight="1">
      <c r="A345" s="58" t="s">
        <v>3961</v>
      </c>
      <c r="B345" s="58" t="s">
        <v>3632</v>
      </c>
      <c r="C345" s="58">
        <v>2025.0</v>
      </c>
      <c r="D345" s="58" t="s">
        <v>3962</v>
      </c>
      <c r="E345" s="58" t="s">
        <v>3963</v>
      </c>
      <c r="F345" s="58" t="s">
        <v>3635</v>
      </c>
      <c r="H345" s="58" t="s">
        <v>3636</v>
      </c>
      <c r="I345" s="58" t="s">
        <v>3964</v>
      </c>
      <c r="J345" s="58" t="s">
        <v>3965</v>
      </c>
      <c r="K345" s="58" t="s">
        <v>3677</v>
      </c>
      <c r="L345" s="72">
        <v>45734.38261574074</v>
      </c>
      <c r="M345" s="72">
        <v>45734.38261574074</v>
      </c>
      <c r="AI345" s="58" t="s">
        <v>3640</v>
      </c>
      <c r="CL345" s="58" t="s">
        <v>3966</v>
      </c>
      <c r="DL345" s="58" t="s">
        <v>3967</v>
      </c>
    </row>
    <row r="346" ht="15.75" customHeight="1">
      <c r="A346" s="58" t="s">
        <v>3968</v>
      </c>
      <c r="B346" s="58" t="s">
        <v>3632</v>
      </c>
      <c r="C346" s="58">
        <v>2018.0</v>
      </c>
      <c r="D346" s="58" t="s">
        <v>3969</v>
      </c>
      <c r="E346" s="58" t="s">
        <v>3970</v>
      </c>
      <c r="F346" s="58" t="s">
        <v>3635</v>
      </c>
      <c r="H346" s="58" t="s">
        <v>3636</v>
      </c>
      <c r="I346" s="58" t="s">
        <v>3971</v>
      </c>
      <c r="J346" s="58" t="s">
        <v>3972</v>
      </c>
      <c r="K346" s="58" t="s">
        <v>3973</v>
      </c>
      <c r="L346" s="72">
        <v>45734.38261574074</v>
      </c>
      <c r="M346" s="72">
        <v>45734.38261574074</v>
      </c>
      <c r="Q346" s="58">
        <v>5.0</v>
      </c>
      <c r="R346" s="58">
        <v>51.0</v>
      </c>
      <c r="AI346" s="58" t="s">
        <v>3640</v>
      </c>
      <c r="CL346" s="58" t="s">
        <v>3974</v>
      </c>
      <c r="DL346" s="58" t="s">
        <v>3975</v>
      </c>
    </row>
    <row r="347" ht="15.75" customHeight="1">
      <c r="A347" s="58" t="s">
        <v>3976</v>
      </c>
      <c r="B347" s="58" t="s">
        <v>3632</v>
      </c>
      <c r="C347" s="58">
        <v>2023.0</v>
      </c>
      <c r="D347" s="58" t="s">
        <v>3977</v>
      </c>
      <c r="E347" s="58" t="s">
        <v>3978</v>
      </c>
      <c r="F347" s="58" t="s">
        <v>3635</v>
      </c>
      <c r="H347" s="58" t="s">
        <v>3636</v>
      </c>
      <c r="I347" s="58" t="s">
        <v>3979</v>
      </c>
      <c r="J347" s="58" t="s">
        <v>3980</v>
      </c>
      <c r="K347" s="58" t="s">
        <v>3981</v>
      </c>
      <c r="L347" s="72">
        <v>45734.38261574074</v>
      </c>
      <c r="M347" s="72">
        <v>45734.38261574074</v>
      </c>
      <c r="Q347" s="58">
        <v>2.0</v>
      </c>
      <c r="R347" s="58">
        <v>56.0</v>
      </c>
      <c r="AI347" s="58" t="s">
        <v>3640</v>
      </c>
      <c r="CL347" s="58" t="s">
        <v>3982</v>
      </c>
      <c r="DL347" s="58" t="s">
        <v>3983</v>
      </c>
    </row>
    <row r="348" ht="15.75" customHeight="1">
      <c r="A348" s="58" t="s">
        <v>3984</v>
      </c>
      <c r="B348" s="58" t="s">
        <v>3632</v>
      </c>
      <c r="C348" s="58">
        <v>2023.0</v>
      </c>
      <c r="D348" s="58" t="s">
        <v>3985</v>
      </c>
      <c r="E348" s="58" t="s">
        <v>3986</v>
      </c>
      <c r="F348" s="58" t="s">
        <v>3635</v>
      </c>
      <c r="H348" s="58" t="s">
        <v>3636</v>
      </c>
      <c r="I348" s="58" t="s">
        <v>3987</v>
      </c>
      <c r="J348" s="58" t="s">
        <v>3988</v>
      </c>
      <c r="K348" s="58" t="s">
        <v>3981</v>
      </c>
      <c r="L348" s="72">
        <v>45734.38261574074</v>
      </c>
      <c r="M348" s="72">
        <v>45734.38261574074</v>
      </c>
      <c r="Q348" s="58">
        <v>2.0</v>
      </c>
      <c r="R348" s="58">
        <v>56.0</v>
      </c>
      <c r="AI348" s="58" t="s">
        <v>3640</v>
      </c>
      <c r="CL348" s="58" t="s">
        <v>3989</v>
      </c>
    </row>
    <row r="349" ht="15.75" customHeight="1">
      <c r="A349" s="58" t="s">
        <v>3990</v>
      </c>
      <c r="B349" s="58" t="s">
        <v>3632</v>
      </c>
      <c r="C349" s="58">
        <v>2022.0</v>
      </c>
      <c r="D349" s="58" t="s">
        <v>3991</v>
      </c>
      <c r="E349" s="58" t="s">
        <v>3992</v>
      </c>
      <c r="F349" s="58" t="s">
        <v>3860</v>
      </c>
      <c r="H349" s="58" t="s">
        <v>3861</v>
      </c>
      <c r="I349" s="58" t="s">
        <v>3993</v>
      </c>
      <c r="J349" s="58" t="s">
        <v>3994</v>
      </c>
      <c r="K349" s="58" t="s">
        <v>3755</v>
      </c>
      <c r="L349" s="72">
        <v>45734.38261574074</v>
      </c>
      <c r="M349" s="72">
        <v>45734.38261574074</v>
      </c>
      <c r="Q349" s="58">
        <v>4.0</v>
      </c>
      <c r="R349" s="58">
        <v>22.0</v>
      </c>
      <c r="AI349" s="58" t="s">
        <v>3640</v>
      </c>
      <c r="CL349" s="58" t="s">
        <v>3995</v>
      </c>
      <c r="DL349" s="58" t="s">
        <v>3996</v>
      </c>
    </row>
    <row r="350" ht="15.75" customHeight="1">
      <c r="A350" s="58" t="s">
        <v>3997</v>
      </c>
      <c r="B350" s="58" t="s">
        <v>3632</v>
      </c>
      <c r="C350" s="58">
        <v>2020.0</v>
      </c>
      <c r="D350" s="58" t="s">
        <v>3998</v>
      </c>
      <c r="E350" s="58" t="s">
        <v>3999</v>
      </c>
      <c r="F350" s="58" t="s">
        <v>3635</v>
      </c>
      <c r="H350" s="58" t="s">
        <v>3636</v>
      </c>
      <c r="I350" s="58" t="s">
        <v>4000</v>
      </c>
      <c r="J350" s="58" t="s">
        <v>4001</v>
      </c>
      <c r="K350" s="58" t="s">
        <v>4002</v>
      </c>
      <c r="L350" s="72">
        <v>45734.38261574074</v>
      </c>
      <c r="M350" s="72">
        <v>45734.38261574074</v>
      </c>
      <c r="Q350" s="58">
        <v>3.0</v>
      </c>
      <c r="R350" s="58">
        <v>53.0</v>
      </c>
      <c r="AI350" s="58" t="s">
        <v>3640</v>
      </c>
      <c r="CL350" s="58" t="s">
        <v>4003</v>
      </c>
      <c r="DL350" s="58" t="s">
        <v>4004</v>
      </c>
    </row>
    <row r="351" ht="15.75" customHeight="1">
      <c r="A351" s="58" t="s">
        <v>4005</v>
      </c>
      <c r="B351" s="58" t="s">
        <v>3632</v>
      </c>
      <c r="C351" s="58">
        <v>2022.0</v>
      </c>
      <c r="D351" s="58" t="s">
        <v>4006</v>
      </c>
      <c r="E351" s="58" t="s">
        <v>4007</v>
      </c>
      <c r="F351" s="58" t="s">
        <v>4008</v>
      </c>
      <c r="I351" s="58" t="s">
        <v>4009</v>
      </c>
      <c r="J351" s="58" t="s">
        <v>4010</v>
      </c>
      <c r="K351" s="58" t="s">
        <v>3911</v>
      </c>
      <c r="L351" s="72">
        <v>45734.38261574074</v>
      </c>
      <c r="M351" s="72">
        <v>45734.38261574074</v>
      </c>
      <c r="Q351" s="58">
        <v>2.0</v>
      </c>
      <c r="R351" s="58">
        <v>3.0</v>
      </c>
      <c r="AI351" s="58" t="s">
        <v>3640</v>
      </c>
      <c r="CL351" s="58" t="s">
        <v>4011</v>
      </c>
      <c r="DL351" s="58" t="s">
        <v>4012</v>
      </c>
    </row>
    <row r="352" ht="15.75" customHeight="1">
      <c r="A352" s="58" t="s">
        <v>4013</v>
      </c>
      <c r="B352" s="58" t="s">
        <v>3632</v>
      </c>
      <c r="C352" s="58">
        <v>2024.0</v>
      </c>
      <c r="D352" s="58" t="s">
        <v>4014</v>
      </c>
      <c r="E352" s="58" t="s">
        <v>4015</v>
      </c>
      <c r="F352" s="58" t="s">
        <v>3655</v>
      </c>
      <c r="H352" s="58" t="s">
        <v>3656</v>
      </c>
      <c r="I352" s="58" t="s">
        <v>4016</v>
      </c>
      <c r="J352" s="58" t="s">
        <v>4017</v>
      </c>
      <c r="K352" s="58" t="s">
        <v>3695</v>
      </c>
      <c r="L352" s="72">
        <v>45734.38261574074</v>
      </c>
      <c r="M352" s="72">
        <v>45734.38261574074</v>
      </c>
      <c r="Q352" s="58">
        <v>2.0</v>
      </c>
      <c r="R352" s="58">
        <v>21.0</v>
      </c>
      <c r="AI352" s="58" t="s">
        <v>3640</v>
      </c>
      <c r="CL352" s="58" t="s">
        <v>4018</v>
      </c>
      <c r="DL352" s="58" t="s">
        <v>4019</v>
      </c>
    </row>
    <row r="353" ht="15.75" customHeight="1">
      <c r="A353" s="58" t="s">
        <v>4020</v>
      </c>
      <c r="B353" s="58" t="s">
        <v>3632</v>
      </c>
      <c r="C353" s="58">
        <v>2020.0</v>
      </c>
      <c r="D353" s="58" t="s">
        <v>4021</v>
      </c>
      <c r="E353" s="58" t="s">
        <v>4022</v>
      </c>
      <c r="F353" s="58" t="s">
        <v>4023</v>
      </c>
      <c r="H353" s="58" t="s">
        <v>4024</v>
      </c>
      <c r="I353" s="58" t="s">
        <v>4025</v>
      </c>
      <c r="J353" s="58" t="s">
        <v>4026</v>
      </c>
      <c r="K353" s="58" t="s">
        <v>4027</v>
      </c>
      <c r="L353" s="72">
        <v>45734.38261574074</v>
      </c>
      <c r="M353" s="72">
        <v>45734.38261574074</v>
      </c>
      <c r="Q353" s="58">
        <v>4.0</v>
      </c>
      <c r="R353" s="58">
        <v>16.0</v>
      </c>
      <c r="AI353" s="58" t="s">
        <v>3640</v>
      </c>
      <c r="CL353" s="58" t="s">
        <v>4028</v>
      </c>
      <c r="DL353" s="58" t="s">
        <v>4029</v>
      </c>
    </row>
    <row r="354" ht="15.75" customHeight="1">
      <c r="A354" s="58" t="s">
        <v>4030</v>
      </c>
      <c r="B354" s="58" t="s">
        <v>3632</v>
      </c>
      <c r="C354" s="58">
        <v>2021.0</v>
      </c>
      <c r="D354" s="58" t="s">
        <v>4031</v>
      </c>
      <c r="E354" s="58" t="s">
        <v>4032</v>
      </c>
      <c r="F354" s="58" t="s">
        <v>3860</v>
      </c>
      <c r="H354" s="58" t="s">
        <v>3861</v>
      </c>
      <c r="I354" s="58" t="s">
        <v>4033</v>
      </c>
      <c r="J354" s="58" t="s">
        <v>4034</v>
      </c>
      <c r="K354" s="58" t="s">
        <v>4035</v>
      </c>
      <c r="L354" s="72">
        <v>45734.38261574074</v>
      </c>
      <c r="M354" s="72">
        <v>45734.38261574074</v>
      </c>
      <c r="Q354" s="58">
        <v>1.0</v>
      </c>
      <c r="R354" s="58">
        <v>22.0</v>
      </c>
      <c r="AI354" s="58" t="s">
        <v>3640</v>
      </c>
      <c r="CL354" s="58" t="s">
        <v>4036</v>
      </c>
      <c r="DL354" s="58" t="s">
        <v>4037</v>
      </c>
    </row>
    <row r="355" ht="15.75" customHeight="1">
      <c r="A355" s="58" t="s">
        <v>4038</v>
      </c>
      <c r="B355" s="58" t="s">
        <v>3632</v>
      </c>
      <c r="C355" s="58">
        <v>2023.0</v>
      </c>
      <c r="D355" s="58" t="s">
        <v>4039</v>
      </c>
      <c r="E355" s="58" t="s">
        <v>4040</v>
      </c>
      <c r="F355" s="58" t="s">
        <v>3635</v>
      </c>
      <c r="H355" s="58" t="s">
        <v>3636</v>
      </c>
      <c r="I355" s="58" t="s">
        <v>4041</v>
      </c>
      <c r="J355" s="58" t="s">
        <v>4042</v>
      </c>
      <c r="K355" s="58" t="s">
        <v>3846</v>
      </c>
      <c r="L355" s="72">
        <v>45734.38261574074</v>
      </c>
      <c r="M355" s="72">
        <v>45734.38261574074</v>
      </c>
      <c r="Q355" s="58">
        <v>12.0</v>
      </c>
      <c r="R355" s="58">
        <v>55.0</v>
      </c>
      <c r="AI355" s="58" t="s">
        <v>3640</v>
      </c>
      <c r="CL355" s="58" t="s">
        <v>4043</v>
      </c>
      <c r="DL355" s="58" t="s">
        <v>4044</v>
      </c>
    </row>
    <row r="356" ht="15.75" customHeight="1">
      <c r="A356" s="58" t="s">
        <v>4045</v>
      </c>
      <c r="B356" s="58" t="s">
        <v>3632</v>
      </c>
      <c r="C356" s="58">
        <v>2025.0</v>
      </c>
      <c r="D356" s="58" t="s">
        <v>4046</v>
      </c>
      <c r="E356" s="58" t="s">
        <v>2216</v>
      </c>
      <c r="F356" s="58" t="s">
        <v>4023</v>
      </c>
      <c r="H356" s="58" t="s">
        <v>4024</v>
      </c>
      <c r="I356" s="58" t="s">
        <v>4047</v>
      </c>
      <c r="J356" s="58" t="s">
        <v>4048</v>
      </c>
      <c r="K356" s="58" t="s">
        <v>4049</v>
      </c>
      <c r="L356" s="72">
        <v>45734.38261574074</v>
      </c>
      <c r="M356" s="72">
        <v>45734.38261574074</v>
      </c>
      <c r="Q356" s="58">
        <v>1.0</v>
      </c>
      <c r="R356" s="58">
        <v>21.0</v>
      </c>
      <c r="AI356" s="58" t="s">
        <v>3640</v>
      </c>
      <c r="CL356" s="58" t="s">
        <v>4050</v>
      </c>
      <c r="DL356" s="58" t="s">
        <v>4051</v>
      </c>
    </row>
    <row r="357" ht="15.75" customHeight="1">
      <c r="A357" s="58" t="s">
        <v>4052</v>
      </c>
      <c r="B357" s="58" t="s">
        <v>3632</v>
      </c>
      <c r="C357" s="58">
        <v>2019.0</v>
      </c>
      <c r="D357" s="58" t="s">
        <v>4053</v>
      </c>
      <c r="E357" s="58" t="s">
        <v>4054</v>
      </c>
      <c r="F357" s="58" t="s">
        <v>3635</v>
      </c>
      <c r="H357" s="58" t="s">
        <v>3636</v>
      </c>
      <c r="I357" s="58" t="s">
        <v>4055</v>
      </c>
      <c r="J357" s="58" t="s">
        <v>4056</v>
      </c>
      <c r="K357" s="58" t="s">
        <v>4057</v>
      </c>
      <c r="L357" s="72">
        <v>45734.38261574074</v>
      </c>
      <c r="M357" s="72">
        <v>45734.38261574074</v>
      </c>
      <c r="Q357" s="58">
        <v>5.0</v>
      </c>
      <c r="R357" s="58">
        <v>52.0</v>
      </c>
      <c r="AI357" s="58" t="s">
        <v>3640</v>
      </c>
      <c r="CL357" s="58" t="s">
        <v>4058</v>
      </c>
      <c r="DL357" s="58" t="s">
        <v>4059</v>
      </c>
    </row>
    <row r="358" ht="15.75" customHeight="1">
      <c r="A358" s="58" t="s">
        <v>4060</v>
      </c>
      <c r="B358" s="58" t="s">
        <v>3632</v>
      </c>
      <c r="C358" s="58">
        <v>2025.0</v>
      </c>
      <c r="D358" s="58" t="s">
        <v>4061</v>
      </c>
      <c r="E358" s="58" t="s">
        <v>4062</v>
      </c>
      <c r="F358" s="58" t="s">
        <v>3719</v>
      </c>
      <c r="H358" s="58" t="s">
        <v>3720</v>
      </c>
      <c r="I358" s="58" t="s">
        <v>4063</v>
      </c>
      <c r="J358" s="58" t="s">
        <v>4064</v>
      </c>
      <c r="K358" s="58" t="s">
        <v>3677</v>
      </c>
      <c r="L358" s="72">
        <v>45734.38261574074</v>
      </c>
      <c r="M358" s="72">
        <v>45734.38261574074</v>
      </c>
      <c r="AI358" s="58" t="s">
        <v>3640</v>
      </c>
      <c r="CL358" s="58" t="s">
        <v>4065</v>
      </c>
      <c r="DL358" s="58" t="s">
        <v>4066</v>
      </c>
    </row>
    <row r="359" ht="15.75" customHeight="1">
      <c r="A359" s="58" t="s">
        <v>4067</v>
      </c>
      <c r="B359" s="58" t="s">
        <v>3632</v>
      </c>
      <c r="C359" s="58">
        <v>2025.0</v>
      </c>
      <c r="D359" s="58" t="s">
        <v>4068</v>
      </c>
      <c r="E359" s="58" t="s">
        <v>4069</v>
      </c>
      <c r="F359" s="58" t="s">
        <v>3635</v>
      </c>
      <c r="H359" s="58" t="s">
        <v>3636</v>
      </c>
      <c r="I359" s="58" t="s">
        <v>4070</v>
      </c>
      <c r="J359" s="58" t="s">
        <v>4071</v>
      </c>
      <c r="K359" s="58" t="s">
        <v>3677</v>
      </c>
      <c r="L359" s="72">
        <v>45734.38261574074</v>
      </c>
      <c r="M359" s="72">
        <v>45734.38261574074</v>
      </c>
      <c r="Q359" s="58">
        <v>5.0</v>
      </c>
      <c r="R359" s="58">
        <v>57.0</v>
      </c>
      <c r="AI359" s="58" t="s">
        <v>3640</v>
      </c>
      <c r="CL359" s="58" t="s">
        <v>4072</v>
      </c>
      <c r="DL359" s="58" t="s">
        <v>4073</v>
      </c>
    </row>
    <row r="360" ht="15.75" customHeight="1">
      <c r="A360" s="58" t="s">
        <v>4074</v>
      </c>
      <c r="B360" s="58" t="s">
        <v>3632</v>
      </c>
      <c r="C360" s="58">
        <v>2024.0</v>
      </c>
      <c r="D360" s="58" t="s">
        <v>4075</v>
      </c>
      <c r="E360" s="58" t="s">
        <v>4076</v>
      </c>
      <c r="F360" s="58" t="s">
        <v>4077</v>
      </c>
      <c r="H360" s="58" t="s">
        <v>4078</v>
      </c>
      <c r="I360" s="58" t="s">
        <v>4079</v>
      </c>
      <c r="J360" s="58" t="s">
        <v>4080</v>
      </c>
      <c r="K360" s="58" t="s">
        <v>3685</v>
      </c>
      <c r="L360" s="72">
        <v>45734.38261574074</v>
      </c>
      <c r="M360" s="72">
        <v>45734.38261574074</v>
      </c>
      <c r="Q360" s="58">
        <v>5.0</v>
      </c>
      <c r="R360" s="58">
        <v>15.0</v>
      </c>
      <c r="AI360" s="58" t="s">
        <v>3640</v>
      </c>
      <c r="CL360" s="58" t="s">
        <v>4081</v>
      </c>
      <c r="DL360" s="58" t="s">
        <v>4082</v>
      </c>
    </row>
    <row r="361" ht="15.75" customHeight="1">
      <c r="A361" s="58" t="s">
        <v>4083</v>
      </c>
      <c r="B361" s="58" t="s">
        <v>3632</v>
      </c>
      <c r="C361" s="58">
        <v>2018.0</v>
      </c>
      <c r="D361" s="58" t="s">
        <v>4084</v>
      </c>
      <c r="E361" s="58" t="s">
        <v>4085</v>
      </c>
      <c r="F361" s="58" t="s">
        <v>3743</v>
      </c>
      <c r="H361" s="58" t="s">
        <v>3744</v>
      </c>
      <c r="I361" s="58" t="s">
        <v>4086</v>
      </c>
      <c r="J361" s="58" t="s">
        <v>4087</v>
      </c>
      <c r="K361" s="58" t="s">
        <v>4088</v>
      </c>
      <c r="L361" s="72">
        <v>45734.38261574074</v>
      </c>
      <c r="M361" s="72">
        <v>45734.38261574074</v>
      </c>
      <c r="Q361" s="58" t="s">
        <v>4089</v>
      </c>
      <c r="R361" s="58">
        <v>14.0</v>
      </c>
      <c r="AI361" s="58" t="s">
        <v>3640</v>
      </c>
      <c r="CL361" s="58" t="s">
        <v>4090</v>
      </c>
      <c r="DL361" s="58" t="s">
        <v>4091</v>
      </c>
    </row>
    <row r="362" ht="15.75" customHeight="1">
      <c r="A362" s="58" t="s">
        <v>4092</v>
      </c>
      <c r="B362" s="58" t="s">
        <v>3632</v>
      </c>
      <c r="C362" s="58">
        <v>2024.0</v>
      </c>
      <c r="D362" s="58" t="s">
        <v>4093</v>
      </c>
      <c r="E362" s="58" t="s">
        <v>4094</v>
      </c>
      <c r="F362" s="58" t="s">
        <v>4095</v>
      </c>
      <c r="H362" s="58" t="s">
        <v>4096</v>
      </c>
      <c r="I362" s="58" t="s">
        <v>4097</v>
      </c>
      <c r="J362" s="58" t="s">
        <v>4098</v>
      </c>
      <c r="K362" s="58" t="s">
        <v>3713</v>
      </c>
      <c r="L362" s="72">
        <v>45734.38261574074</v>
      </c>
      <c r="M362" s="72">
        <v>45734.38261574074</v>
      </c>
      <c r="Q362" s="58">
        <v>1.0</v>
      </c>
      <c r="R362" s="58">
        <v>18.0</v>
      </c>
      <c r="AI362" s="58" t="s">
        <v>3640</v>
      </c>
      <c r="CL362" s="58" t="s">
        <v>4099</v>
      </c>
      <c r="DL362" s="58" t="s">
        <v>4100</v>
      </c>
    </row>
    <row r="363" ht="15.75" customHeight="1">
      <c r="A363" s="58" t="s">
        <v>4101</v>
      </c>
      <c r="B363" s="58" t="s">
        <v>3632</v>
      </c>
      <c r="C363" s="58">
        <v>2023.0</v>
      </c>
      <c r="D363" s="58" t="s">
        <v>4102</v>
      </c>
      <c r="E363" s="58" t="s">
        <v>4103</v>
      </c>
      <c r="F363" s="58" t="s">
        <v>3691</v>
      </c>
      <c r="H363" s="58" t="s">
        <v>3692</v>
      </c>
      <c r="I363" s="58" t="s">
        <v>4104</v>
      </c>
      <c r="J363" s="58" t="s">
        <v>4105</v>
      </c>
      <c r="K363" s="58" t="s">
        <v>3787</v>
      </c>
      <c r="L363" s="72">
        <v>45734.38261574074</v>
      </c>
      <c r="M363" s="72">
        <v>45734.38261574074</v>
      </c>
      <c r="O363" s="58" t="s">
        <v>4106</v>
      </c>
      <c r="Q363" s="58">
        <v>2.0</v>
      </c>
      <c r="R363" s="58">
        <v>32.0</v>
      </c>
      <c r="AI363" s="58" t="s">
        <v>3697</v>
      </c>
      <c r="CL363" s="58" t="s">
        <v>4107</v>
      </c>
    </row>
    <row r="364" ht="15.75" customHeight="1">
      <c r="A364" s="58" t="s">
        <v>4108</v>
      </c>
      <c r="B364" s="58" t="s">
        <v>3632</v>
      </c>
      <c r="C364" s="58">
        <v>2019.0</v>
      </c>
      <c r="D364" s="58" t="s">
        <v>4109</v>
      </c>
      <c r="E364" s="58" t="s">
        <v>4110</v>
      </c>
      <c r="F364" s="58" t="s">
        <v>3635</v>
      </c>
      <c r="H364" s="58" t="s">
        <v>3636</v>
      </c>
      <c r="I364" s="58" t="s">
        <v>4111</v>
      </c>
      <c r="J364" s="58" t="s">
        <v>4112</v>
      </c>
      <c r="K364" s="58" t="s">
        <v>4113</v>
      </c>
      <c r="L364" s="72">
        <v>45734.38261574074</v>
      </c>
      <c r="M364" s="72">
        <v>45734.38261574074</v>
      </c>
      <c r="Q364" s="58">
        <v>6.0</v>
      </c>
      <c r="R364" s="58">
        <v>52.0</v>
      </c>
      <c r="AI364" s="58" t="s">
        <v>3640</v>
      </c>
      <c r="CL364" s="58" t="s">
        <v>4114</v>
      </c>
      <c r="DL364" s="58" t="s">
        <v>4115</v>
      </c>
    </row>
    <row r="365" ht="15.75" customHeight="1">
      <c r="A365" s="58" t="s">
        <v>4116</v>
      </c>
      <c r="B365" s="58" t="s">
        <v>3632</v>
      </c>
      <c r="C365" s="58">
        <v>2024.0</v>
      </c>
      <c r="D365" s="58" t="s">
        <v>4117</v>
      </c>
      <c r="E365" s="58" t="s">
        <v>4118</v>
      </c>
      <c r="F365" s="58" t="s">
        <v>4008</v>
      </c>
      <c r="I365" s="58" t="s">
        <v>4119</v>
      </c>
      <c r="J365" s="58" t="s">
        <v>4120</v>
      </c>
      <c r="K365" s="58" t="s">
        <v>3685</v>
      </c>
      <c r="L365" s="72">
        <v>45734.38261574074</v>
      </c>
      <c r="M365" s="72">
        <v>45734.38261574074</v>
      </c>
      <c r="Q365" s="58">
        <v>4.0</v>
      </c>
      <c r="R365" s="58">
        <v>5.0</v>
      </c>
      <c r="AI365" s="58" t="s">
        <v>3640</v>
      </c>
      <c r="CL365" s="58" t="s">
        <v>4121</v>
      </c>
      <c r="DL365" s="58" t="s">
        <v>4122</v>
      </c>
    </row>
    <row r="366" ht="15.75" customHeight="1">
      <c r="A366" s="58" t="s">
        <v>4123</v>
      </c>
      <c r="B366" s="58" t="s">
        <v>3632</v>
      </c>
      <c r="C366" s="58">
        <v>2022.0</v>
      </c>
      <c r="D366" s="58" t="s">
        <v>4124</v>
      </c>
      <c r="E366" s="58" t="s">
        <v>4125</v>
      </c>
      <c r="F366" s="58" t="s">
        <v>3635</v>
      </c>
      <c r="H366" s="58" t="s">
        <v>3636</v>
      </c>
      <c r="I366" s="58" t="s">
        <v>4126</v>
      </c>
      <c r="J366" s="58" t="s">
        <v>4127</v>
      </c>
      <c r="K366" s="58" t="s">
        <v>3755</v>
      </c>
      <c r="L366" s="72">
        <v>45734.38261574074</v>
      </c>
      <c r="M366" s="72">
        <v>45734.38261574074</v>
      </c>
      <c r="Q366" s="58">
        <v>6.0</v>
      </c>
      <c r="R366" s="58">
        <v>55.0</v>
      </c>
      <c r="AI366" s="58" t="s">
        <v>3640</v>
      </c>
      <c r="CL366" s="58" t="s">
        <v>4128</v>
      </c>
      <c r="DL366" s="58" t="s">
        <v>4129</v>
      </c>
    </row>
    <row r="367" ht="15.75" customHeight="1">
      <c r="A367" s="58" t="s">
        <v>4130</v>
      </c>
      <c r="B367" s="58" t="s">
        <v>3632</v>
      </c>
      <c r="C367" s="58">
        <v>2024.0</v>
      </c>
      <c r="D367" s="58" t="s">
        <v>4131</v>
      </c>
      <c r="E367" s="58" t="s">
        <v>4132</v>
      </c>
      <c r="F367" s="58" t="s">
        <v>3655</v>
      </c>
      <c r="H367" s="58" t="s">
        <v>3656</v>
      </c>
      <c r="I367" s="58" t="s">
        <v>4133</v>
      </c>
      <c r="J367" s="58" t="s">
        <v>4134</v>
      </c>
      <c r="K367" s="58" t="s">
        <v>4135</v>
      </c>
      <c r="L367" s="72">
        <v>45734.38261574074</v>
      </c>
      <c r="M367" s="72">
        <v>45734.38261574074</v>
      </c>
      <c r="Q367" s="58">
        <v>2.0</v>
      </c>
      <c r="R367" s="58">
        <v>21.0</v>
      </c>
      <c r="AI367" s="58" t="s">
        <v>3640</v>
      </c>
      <c r="CL367" s="58" t="s">
        <v>4136</v>
      </c>
      <c r="DL367" s="58" t="s">
        <v>4137</v>
      </c>
    </row>
    <row r="368" ht="15.75" customHeight="1">
      <c r="A368" s="58" t="s">
        <v>4138</v>
      </c>
      <c r="B368" s="58" t="s">
        <v>3632</v>
      </c>
      <c r="C368" s="58">
        <v>2023.0</v>
      </c>
      <c r="D368" s="58" t="s">
        <v>4139</v>
      </c>
      <c r="E368" s="58" t="s">
        <v>4140</v>
      </c>
      <c r="F368" s="58" t="s">
        <v>3635</v>
      </c>
      <c r="H368" s="58" t="s">
        <v>3636</v>
      </c>
      <c r="I368" s="58" t="s">
        <v>4141</v>
      </c>
      <c r="J368" s="58" t="s">
        <v>4142</v>
      </c>
      <c r="K368" s="58" t="s">
        <v>3787</v>
      </c>
      <c r="L368" s="72">
        <v>45734.38261574074</v>
      </c>
      <c r="M368" s="72">
        <v>45734.38261574074</v>
      </c>
      <c r="Q368" s="58">
        <v>3.0</v>
      </c>
      <c r="R368" s="58">
        <v>56.0</v>
      </c>
      <c r="AI368" s="58" t="s">
        <v>3640</v>
      </c>
      <c r="CL368" s="58" t="s">
        <v>4143</v>
      </c>
      <c r="DL368" s="58" t="s">
        <v>4144</v>
      </c>
    </row>
    <row r="369" ht="15.75" customHeight="1">
      <c r="A369" s="58" t="s">
        <v>4145</v>
      </c>
      <c r="B369" s="58" t="s">
        <v>3632</v>
      </c>
      <c r="C369" s="58">
        <v>2023.0</v>
      </c>
      <c r="D369" s="58" t="s">
        <v>4146</v>
      </c>
      <c r="E369" s="58" t="s">
        <v>4147</v>
      </c>
      <c r="F369" s="58" t="s">
        <v>4148</v>
      </c>
      <c r="H369" s="58" t="s">
        <v>4149</v>
      </c>
      <c r="I369" s="58" t="s">
        <v>4150</v>
      </c>
      <c r="J369" s="58" t="s">
        <v>4151</v>
      </c>
      <c r="K369" s="58" t="s">
        <v>3787</v>
      </c>
      <c r="L369" s="72">
        <v>45734.38261574074</v>
      </c>
      <c r="M369" s="72">
        <v>45734.38261574074</v>
      </c>
      <c r="AI369" s="58" t="s">
        <v>3640</v>
      </c>
      <c r="CL369" s="58" t="s">
        <v>4152</v>
      </c>
      <c r="DL369" s="58" t="s">
        <v>4153</v>
      </c>
    </row>
    <row r="370" ht="15.75" customHeight="1">
      <c r="A370" s="58" t="s">
        <v>4154</v>
      </c>
      <c r="B370" s="58" t="s">
        <v>3632</v>
      </c>
      <c r="C370" s="58">
        <v>2022.0</v>
      </c>
      <c r="D370" s="58" t="s">
        <v>4155</v>
      </c>
      <c r="E370" s="58" t="s">
        <v>4156</v>
      </c>
      <c r="F370" s="58" t="s">
        <v>3635</v>
      </c>
      <c r="H370" s="58" t="s">
        <v>3636</v>
      </c>
      <c r="I370" s="58" t="s">
        <v>4157</v>
      </c>
      <c r="J370" s="58" t="s">
        <v>4158</v>
      </c>
      <c r="K370" s="58" t="s">
        <v>3648</v>
      </c>
      <c r="L370" s="72">
        <v>45734.382627314815</v>
      </c>
      <c r="M370" s="72">
        <v>45734.382627314815</v>
      </c>
      <c r="Q370" s="58" t="s">
        <v>3649</v>
      </c>
      <c r="R370" s="58">
        <v>54.0</v>
      </c>
      <c r="AI370" s="58" t="s">
        <v>3640</v>
      </c>
      <c r="CL370" s="58" t="s">
        <v>4159</v>
      </c>
      <c r="DL370" s="58" t="s">
        <v>4160</v>
      </c>
    </row>
    <row r="371" ht="15.75" customHeight="1">
      <c r="A371" s="58" t="s">
        <v>4161</v>
      </c>
      <c r="B371" s="58" t="s">
        <v>3632</v>
      </c>
      <c r="C371" s="58">
        <v>2019.0</v>
      </c>
      <c r="D371" s="58" t="s">
        <v>4162</v>
      </c>
      <c r="E371" s="58" t="s">
        <v>4163</v>
      </c>
      <c r="F371" s="58" t="s">
        <v>3860</v>
      </c>
      <c r="H371" s="58" t="s">
        <v>3861</v>
      </c>
      <c r="I371" s="58" t="s">
        <v>4164</v>
      </c>
      <c r="J371" s="58" t="s">
        <v>4165</v>
      </c>
      <c r="K371" s="58" t="s">
        <v>4166</v>
      </c>
      <c r="L371" s="72">
        <v>45734.382627314815</v>
      </c>
      <c r="M371" s="72">
        <v>45734.382627314815</v>
      </c>
      <c r="Q371" s="58">
        <v>2.0</v>
      </c>
      <c r="R371" s="58">
        <v>19.0</v>
      </c>
      <c r="AI371" s="58" t="s">
        <v>3640</v>
      </c>
      <c r="CL371" s="58" t="s">
        <v>4167</v>
      </c>
      <c r="DL371" s="58" t="s">
        <v>4168</v>
      </c>
    </row>
    <row r="372" ht="15.75" customHeight="1">
      <c r="A372" s="58" t="s">
        <v>4169</v>
      </c>
      <c r="B372" s="58" t="s">
        <v>3632</v>
      </c>
      <c r="C372" s="58">
        <v>2018.0</v>
      </c>
      <c r="D372" s="58" t="s">
        <v>4170</v>
      </c>
      <c r="E372" s="58" t="s">
        <v>4171</v>
      </c>
      <c r="F372" s="58" t="s">
        <v>3860</v>
      </c>
      <c r="H372" s="58" t="s">
        <v>3861</v>
      </c>
      <c r="I372" s="58" t="s">
        <v>4172</v>
      </c>
      <c r="J372" s="58" t="s">
        <v>4173</v>
      </c>
      <c r="K372" s="58" t="s">
        <v>4174</v>
      </c>
      <c r="L372" s="72">
        <v>45734.382627314815</v>
      </c>
      <c r="M372" s="72">
        <v>45734.382627314815</v>
      </c>
      <c r="Q372" s="58">
        <v>2.0</v>
      </c>
      <c r="R372" s="58">
        <v>18.0</v>
      </c>
      <c r="AI372" s="58" t="s">
        <v>3640</v>
      </c>
      <c r="CL372" s="58" t="s">
        <v>4175</v>
      </c>
      <c r="DL372" s="58" t="s">
        <v>4176</v>
      </c>
    </row>
    <row r="373" ht="15.75" customHeight="1">
      <c r="A373" s="58" t="s">
        <v>4177</v>
      </c>
      <c r="B373" s="58" t="s">
        <v>3632</v>
      </c>
      <c r="C373" s="58">
        <v>2023.0</v>
      </c>
      <c r="D373" s="58" t="s">
        <v>4178</v>
      </c>
      <c r="E373" s="58" t="s">
        <v>4179</v>
      </c>
      <c r="F373" s="58" t="s">
        <v>4008</v>
      </c>
      <c r="I373" s="58" t="s">
        <v>4180</v>
      </c>
      <c r="J373" s="58" t="s">
        <v>4181</v>
      </c>
      <c r="K373" s="58" t="s">
        <v>3819</v>
      </c>
      <c r="L373" s="72">
        <v>45734.382627314815</v>
      </c>
      <c r="M373" s="72">
        <v>45734.382627314815</v>
      </c>
      <c r="Q373" s="58">
        <v>1.0</v>
      </c>
      <c r="R373" s="58">
        <v>4.0</v>
      </c>
      <c r="AI373" s="58" t="s">
        <v>3640</v>
      </c>
      <c r="CL373" s="58" t="s">
        <v>4182</v>
      </c>
      <c r="DL373" s="58" t="s">
        <v>4183</v>
      </c>
    </row>
    <row r="374" ht="15.75" customHeight="1">
      <c r="A374" s="58" t="s">
        <v>4184</v>
      </c>
      <c r="B374" s="58" t="s">
        <v>3632</v>
      </c>
      <c r="C374" s="58">
        <v>2022.0</v>
      </c>
      <c r="D374" s="58" t="s">
        <v>4185</v>
      </c>
      <c r="E374" s="58" t="s">
        <v>4186</v>
      </c>
      <c r="F374" s="58" t="s">
        <v>3635</v>
      </c>
      <c r="H374" s="58" t="s">
        <v>3636</v>
      </c>
      <c r="I374" s="58" t="s">
        <v>4187</v>
      </c>
      <c r="J374" s="58" t="s">
        <v>4188</v>
      </c>
      <c r="K374" s="58" t="s">
        <v>3648</v>
      </c>
      <c r="L374" s="72">
        <v>45734.382627314815</v>
      </c>
      <c r="M374" s="72">
        <v>45734.382627314815</v>
      </c>
      <c r="Q374" s="58" t="s">
        <v>3649</v>
      </c>
      <c r="R374" s="58">
        <v>54.0</v>
      </c>
      <c r="AI374" s="58" t="s">
        <v>3640</v>
      </c>
      <c r="CL374" s="58" t="s">
        <v>4189</v>
      </c>
      <c r="DL374" s="58" t="s">
        <v>4190</v>
      </c>
    </row>
    <row r="375" ht="15.75" customHeight="1">
      <c r="A375" s="58" t="s">
        <v>4191</v>
      </c>
      <c r="B375" s="58" t="s">
        <v>3632</v>
      </c>
      <c r="C375" s="58">
        <v>2022.0</v>
      </c>
      <c r="D375" s="58" t="s">
        <v>4192</v>
      </c>
      <c r="E375" s="58" t="s">
        <v>4193</v>
      </c>
      <c r="F375" s="58" t="s">
        <v>4194</v>
      </c>
      <c r="I375" s="58" t="s">
        <v>4195</v>
      </c>
      <c r="J375" s="58" t="s">
        <v>4196</v>
      </c>
      <c r="K375" s="58" t="s">
        <v>3911</v>
      </c>
      <c r="L375" s="72">
        <v>45734.382627314815</v>
      </c>
      <c r="M375" s="72">
        <v>45734.382627314815</v>
      </c>
      <c r="Q375" s="58">
        <v>1.0</v>
      </c>
      <c r="R375" s="58">
        <v>6.0</v>
      </c>
      <c r="AI375" s="58" t="s">
        <v>3640</v>
      </c>
      <c r="CL375" s="58" t="s">
        <v>4197</v>
      </c>
      <c r="DL375" s="58" t="s">
        <v>4198</v>
      </c>
    </row>
    <row r="376" ht="15.75" customHeight="1">
      <c r="A376" s="58" t="s">
        <v>4199</v>
      </c>
      <c r="B376" s="58" t="s">
        <v>3632</v>
      </c>
      <c r="C376" s="58">
        <v>2022.0</v>
      </c>
      <c r="D376" s="58" t="s">
        <v>4200</v>
      </c>
      <c r="E376" s="58" t="s">
        <v>4201</v>
      </c>
      <c r="F376" s="58" t="s">
        <v>3635</v>
      </c>
      <c r="H376" s="58" t="s">
        <v>3636</v>
      </c>
      <c r="I376" s="58" t="s">
        <v>4202</v>
      </c>
      <c r="J376" s="58" t="s">
        <v>4203</v>
      </c>
      <c r="K376" s="58" t="s">
        <v>3747</v>
      </c>
      <c r="L376" s="72">
        <v>45734.382627314815</v>
      </c>
      <c r="M376" s="72">
        <v>45734.382627314815</v>
      </c>
      <c r="Q376" s="58" t="s">
        <v>3649</v>
      </c>
      <c r="R376" s="58">
        <v>54.0</v>
      </c>
      <c r="AI376" s="58" t="s">
        <v>3640</v>
      </c>
      <c r="CL376" s="58" t="s">
        <v>4204</v>
      </c>
      <c r="DL376" s="58" t="s">
        <v>4205</v>
      </c>
    </row>
    <row r="377" ht="15.75" customHeight="1">
      <c r="A377" s="58" t="s">
        <v>4206</v>
      </c>
      <c r="B377" s="58" t="s">
        <v>3632</v>
      </c>
      <c r="C377" s="58">
        <v>2025.0</v>
      </c>
      <c r="D377" s="58" t="s">
        <v>4207</v>
      </c>
      <c r="E377" s="58" t="s">
        <v>4208</v>
      </c>
      <c r="F377" s="58" t="s">
        <v>3635</v>
      </c>
      <c r="H377" s="58" t="s">
        <v>3636</v>
      </c>
      <c r="I377" s="58" t="s">
        <v>4209</v>
      </c>
      <c r="J377" s="58" t="s">
        <v>4210</v>
      </c>
      <c r="K377" s="58" t="s">
        <v>4049</v>
      </c>
      <c r="L377" s="72">
        <v>45734.382627314815</v>
      </c>
      <c r="M377" s="72">
        <v>45734.382627314815</v>
      </c>
      <c r="Q377" s="58">
        <v>7.0</v>
      </c>
      <c r="R377" s="58">
        <v>57.0</v>
      </c>
      <c r="AI377" s="58" t="s">
        <v>3640</v>
      </c>
      <c r="CL377" s="58" t="s">
        <v>4211</v>
      </c>
      <c r="DL377" s="58" t="s">
        <v>4212</v>
      </c>
    </row>
    <row r="378" ht="15.75" customHeight="1">
      <c r="A378" s="58" t="s">
        <v>4213</v>
      </c>
      <c r="B378" s="58" t="s">
        <v>3632</v>
      </c>
      <c r="C378" s="58">
        <v>2019.0</v>
      </c>
      <c r="D378" s="58" t="s">
        <v>4214</v>
      </c>
      <c r="E378" s="58" t="s">
        <v>4215</v>
      </c>
      <c r="F378" s="58" t="s">
        <v>3860</v>
      </c>
      <c r="H378" s="58" t="s">
        <v>3861</v>
      </c>
      <c r="I378" s="58" t="s">
        <v>4216</v>
      </c>
      <c r="J378" s="58" t="s">
        <v>4217</v>
      </c>
      <c r="K378" s="58" t="s">
        <v>4166</v>
      </c>
      <c r="L378" s="72">
        <v>45734.382627314815</v>
      </c>
      <c r="M378" s="72">
        <v>45734.382627314815</v>
      </c>
      <c r="Q378" s="58">
        <v>2.0</v>
      </c>
      <c r="R378" s="58">
        <v>19.0</v>
      </c>
      <c r="AI378" s="58" t="s">
        <v>3640</v>
      </c>
      <c r="CL378" s="58" t="s">
        <v>4218</v>
      </c>
      <c r="DL378" s="58" t="s">
        <v>4219</v>
      </c>
    </row>
    <row r="379" ht="15.75" customHeight="1">
      <c r="A379" s="58" t="s">
        <v>4220</v>
      </c>
      <c r="B379" s="58" t="s">
        <v>3632</v>
      </c>
      <c r="C379" s="58">
        <v>2021.0</v>
      </c>
      <c r="D379" s="58" t="s">
        <v>4221</v>
      </c>
      <c r="E379" s="58" t="s">
        <v>4222</v>
      </c>
      <c r="F379" s="58" t="s">
        <v>3719</v>
      </c>
      <c r="H379" s="58" t="s">
        <v>3720</v>
      </c>
      <c r="I379" s="58" t="s">
        <v>4223</v>
      </c>
      <c r="J379" s="58" t="s">
        <v>4224</v>
      </c>
      <c r="K379" s="58" t="s">
        <v>4225</v>
      </c>
      <c r="L379" s="72">
        <v>45734.382627314815</v>
      </c>
      <c r="M379" s="72">
        <v>45734.382627314815</v>
      </c>
      <c r="Q379" s="58">
        <v>4.0</v>
      </c>
      <c r="R379" s="58">
        <v>30.0</v>
      </c>
      <c r="AI379" s="58" t="s">
        <v>3640</v>
      </c>
      <c r="CL379" s="58" t="s">
        <v>4226</v>
      </c>
      <c r="DL379" s="58" t="s">
        <v>4227</v>
      </c>
    </row>
    <row r="380" ht="15.75" customHeight="1">
      <c r="A380" s="58" t="s">
        <v>4228</v>
      </c>
      <c r="B380" s="58" t="s">
        <v>3632</v>
      </c>
      <c r="C380" s="58">
        <v>2024.0</v>
      </c>
      <c r="D380" s="58" t="s">
        <v>4229</v>
      </c>
      <c r="E380" s="58" t="s">
        <v>4230</v>
      </c>
      <c r="F380" s="58" t="s">
        <v>4231</v>
      </c>
      <c r="H380" s="58" t="s">
        <v>4232</v>
      </c>
      <c r="I380" s="58" t="s">
        <v>4233</v>
      </c>
      <c r="J380" s="58" t="s">
        <v>4234</v>
      </c>
      <c r="K380" s="58" t="s">
        <v>3713</v>
      </c>
      <c r="L380" s="72">
        <v>45734.382627314815</v>
      </c>
      <c r="M380" s="72">
        <v>45734.382627314815</v>
      </c>
      <c r="AI380" s="58" t="s">
        <v>3640</v>
      </c>
      <c r="CL380" s="58" t="s">
        <v>4235</v>
      </c>
    </row>
    <row r="381" ht="15.75" customHeight="1">
      <c r="A381" s="58" t="s">
        <v>4236</v>
      </c>
      <c r="B381" s="58" t="s">
        <v>3632</v>
      </c>
      <c r="C381" s="58">
        <v>2021.0</v>
      </c>
      <c r="D381" s="58" t="s">
        <v>4237</v>
      </c>
      <c r="E381" s="58" t="s">
        <v>4238</v>
      </c>
      <c r="F381" s="58" t="s">
        <v>3673</v>
      </c>
      <c r="H381" s="58" t="s">
        <v>3674</v>
      </c>
      <c r="I381" s="58" t="s">
        <v>4239</v>
      </c>
      <c r="J381" s="58" t="s">
        <v>4240</v>
      </c>
      <c r="K381" s="58" t="s">
        <v>4225</v>
      </c>
      <c r="L381" s="72">
        <v>45734.382627314815</v>
      </c>
      <c r="M381" s="72">
        <v>45734.382627314815</v>
      </c>
      <c r="Q381" s="58">
        <v>3.0</v>
      </c>
      <c r="R381" s="58">
        <v>15.0</v>
      </c>
      <c r="AI381" s="58" t="s">
        <v>3640</v>
      </c>
      <c r="CL381" s="58" t="s">
        <v>4241</v>
      </c>
      <c r="DL381" s="58" t="s">
        <v>4242</v>
      </c>
    </row>
    <row r="382" ht="15.75" customHeight="1">
      <c r="A382" s="58" t="s">
        <v>4243</v>
      </c>
      <c r="B382" s="58" t="s">
        <v>3632</v>
      </c>
      <c r="C382" s="58">
        <v>2020.0</v>
      </c>
      <c r="D382" s="58" t="s">
        <v>4244</v>
      </c>
      <c r="E382" s="58" t="s">
        <v>4245</v>
      </c>
      <c r="F382" s="58" t="s">
        <v>3635</v>
      </c>
      <c r="H382" s="58" t="s">
        <v>3636</v>
      </c>
      <c r="I382" s="58" t="s">
        <v>4246</v>
      </c>
      <c r="J382" s="58" t="s">
        <v>4247</v>
      </c>
      <c r="K382" s="58" t="s">
        <v>4002</v>
      </c>
      <c r="L382" s="72">
        <v>45734.382627314815</v>
      </c>
      <c r="M382" s="72">
        <v>45734.382627314815</v>
      </c>
      <c r="Q382" s="58">
        <v>3.0</v>
      </c>
      <c r="R382" s="58">
        <v>53.0</v>
      </c>
      <c r="AI382" s="58" t="s">
        <v>3640</v>
      </c>
      <c r="CL382" s="58" t="s">
        <v>4248</v>
      </c>
      <c r="DL382" s="58" t="s">
        <v>4249</v>
      </c>
    </row>
    <row r="383" ht="15.75" customHeight="1">
      <c r="A383" s="58" t="s">
        <v>4250</v>
      </c>
      <c r="B383" s="58" t="s">
        <v>3632</v>
      </c>
      <c r="C383" s="58">
        <v>2023.0</v>
      </c>
      <c r="D383" s="58" t="s">
        <v>4251</v>
      </c>
      <c r="E383" s="58" t="s">
        <v>4252</v>
      </c>
      <c r="F383" s="58" t="s">
        <v>3673</v>
      </c>
      <c r="H383" s="58" t="s">
        <v>3674</v>
      </c>
      <c r="I383" s="58" t="s">
        <v>4253</v>
      </c>
      <c r="J383" s="58" t="s">
        <v>4254</v>
      </c>
      <c r="K383" s="58" t="s">
        <v>4255</v>
      </c>
      <c r="L383" s="72">
        <v>45734.382627314815</v>
      </c>
      <c r="M383" s="72">
        <v>45734.382627314815</v>
      </c>
      <c r="Q383" s="58">
        <v>2.0</v>
      </c>
      <c r="R383" s="58">
        <v>18.0</v>
      </c>
      <c r="AI383" s="58" t="s">
        <v>3640</v>
      </c>
      <c r="CL383" s="58" t="s">
        <v>4256</v>
      </c>
      <c r="DL383" s="58" t="s">
        <v>4257</v>
      </c>
    </row>
    <row r="384" ht="15.75" customHeight="1">
      <c r="A384" s="58" t="s">
        <v>4258</v>
      </c>
      <c r="B384" s="58" t="s">
        <v>3632</v>
      </c>
      <c r="C384" s="58">
        <v>2022.0</v>
      </c>
      <c r="D384" s="58" t="s">
        <v>4259</v>
      </c>
      <c r="E384" s="58" t="s">
        <v>4260</v>
      </c>
      <c r="F384" s="58" t="s">
        <v>3635</v>
      </c>
      <c r="H384" s="58" t="s">
        <v>3636</v>
      </c>
      <c r="I384" s="58" t="s">
        <v>4261</v>
      </c>
      <c r="J384" s="58" t="s">
        <v>4262</v>
      </c>
      <c r="K384" s="58" t="s">
        <v>3648</v>
      </c>
      <c r="L384" s="72">
        <v>45734.382627314815</v>
      </c>
      <c r="M384" s="72">
        <v>45734.382627314815</v>
      </c>
      <c r="Q384" s="58" t="s">
        <v>3903</v>
      </c>
      <c r="R384" s="58">
        <v>54.0</v>
      </c>
      <c r="AI384" s="58" t="s">
        <v>3640</v>
      </c>
      <c r="CL384" s="58" t="s">
        <v>4263</v>
      </c>
      <c r="DL384" s="58" t="s">
        <v>4264</v>
      </c>
    </row>
    <row r="385" ht="15.75" customHeight="1">
      <c r="A385" s="58" t="s">
        <v>4265</v>
      </c>
      <c r="B385" s="58" t="s">
        <v>3632</v>
      </c>
      <c r="C385" s="58">
        <v>2024.0</v>
      </c>
      <c r="D385" s="58" t="s">
        <v>4266</v>
      </c>
      <c r="E385" s="58" t="s">
        <v>4267</v>
      </c>
      <c r="F385" s="58" t="s">
        <v>4231</v>
      </c>
      <c r="H385" s="58" t="s">
        <v>4232</v>
      </c>
      <c r="I385" s="58" t="s">
        <v>4268</v>
      </c>
      <c r="J385" s="58" t="s">
        <v>4269</v>
      </c>
      <c r="K385" s="58" t="s">
        <v>3811</v>
      </c>
      <c r="L385" s="72">
        <v>45734.382627314815</v>
      </c>
      <c r="M385" s="72">
        <v>45734.382627314815</v>
      </c>
      <c r="AI385" s="58" t="s">
        <v>3640</v>
      </c>
      <c r="CL385" s="58" t="s">
        <v>4270</v>
      </c>
      <c r="DL385" s="58" t="s">
        <v>4271</v>
      </c>
    </row>
    <row r="386" ht="15.75" customHeight="1">
      <c r="A386" s="58" t="s">
        <v>4272</v>
      </c>
      <c r="B386" s="58" t="s">
        <v>3632</v>
      </c>
      <c r="C386" s="58">
        <v>2024.0</v>
      </c>
      <c r="D386" s="58" t="s">
        <v>4273</v>
      </c>
      <c r="E386" s="58" t="s">
        <v>4274</v>
      </c>
      <c r="F386" s="58" t="s">
        <v>3860</v>
      </c>
      <c r="H386" s="58" t="s">
        <v>3861</v>
      </c>
      <c r="I386" s="58" t="s">
        <v>4275</v>
      </c>
      <c r="J386" s="58" t="s">
        <v>4276</v>
      </c>
      <c r="K386" s="58" t="s">
        <v>3685</v>
      </c>
      <c r="L386" s="72">
        <v>45734.382627314815</v>
      </c>
      <c r="M386" s="72">
        <v>45734.382627314815</v>
      </c>
      <c r="Q386" s="58">
        <v>4.0</v>
      </c>
      <c r="R386" s="58">
        <v>24.0</v>
      </c>
      <c r="AI386" s="58" t="s">
        <v>3640</v>
      </c>
      <c r="CL386" s="58" t="s">
        <v>4277</v>
      </c>
      <c r="DL386" s="58" t="s">
        <v>4278</v>
      </c>
    </row>
    <row r="387" ht="15.75" customHeight="1">
      <c r="A387" s="58" t="s">
        <v>4279</v>
      </c>
      <c r="B387" s="58" t="s">
        <v>3632</v>
      </c>
      <c r="C387" s="58">
        <v>2020.0</v>
      </c>
      <c r="D387" s="58" t="s">
        <v>4280</v>
      </c>
      <c r="E387" s="58" t="s">
        <v>4281</v>
      </c>
      <c r="F387" s="58" t="s">
        <v>3655</v>
      </c>
      <c r="H387" s="58" t="s">
        <v>3656</v>
      </c>
      <c r="I387" s="58" t="s">
        <v>4282</v>
      </c>
      <c r="J387" s="58" t="s">
        <v>4283</v>
      </c>
      <c r="K387" s="58" t="s">
        <v>4284</v>
      </c>
      <c r="L387" s="72">
        <v>45734.382627314815</v>
      </c>
      <c r="M387" s="72">
        <v>45734.382627314815</v>
      </c>
      <c r="Q387" s="58">
        <v>1.0</v>
      </c>
      <c r="R387" s="58">
        <v>17.0</v>
      </c>
      <c r="AI387" s="58" t="s">
        <v>3640</v>
      </c>
      <c r="CL387" s="58" t="s">
        <v>4285</v>
      </c>
      <c r="DL387" s="58" t="s">
        <v>4286</v>
      </c>
    </row>
    <row r="388" ht="15.75" customHeight="1">
      <c r="A388" s="58" t="s">
        <v>4287</v>
      </c>
      <c r="B388" s="58" t="s">
        <v>3632</v>
      </c>
      <c r="C388" s="58">
        <v>2022.0</v>
      </c>
      <c r="D388" s="58" t="s">
        <v>4288</v>
      </c>
      <c r="E388" s="58" t="s">
        <v>4289</v>
      </c>
      <c r="F388" s="58" t="s">
        <v>3635</v>
      </c>
      <c r="H388" s="58" t="s">
        <v>3636</v>
      </c>
      <c r="I388" s="58" t="s">
        <v>4290</v>
      </c>
      <c r="J388" s="58" t="s">
        <v>4291</v>
      </c>
      <c r="K388" s="58" t="s">
        <v>3911</v>
      </c>
      <c r="L388" s="72">
        <v>45734.382627314815</v>
      </c>
      <c r="M388" s="72">
        <v>45734.382627314815</v>
      </c>
      <c r="Q388" s="58">
        <v>3.0</v>
      </c>
      <c r="R388" s="58">
        <v>55.0</v>
      </c>
      <c r="AI388" s="58" t="s">
        <v>3640</v>
      </c>
      <c r="CL388" s="58" t="s">
        <v>4292</v>
      </c>
      <c r="DL388" s="58" t="s">
        <v>4293</v>
      </c>
    </row>
    <row r="389" ht="15.75" customHeight="1">
      <c r="A389" s="58" t="s">
        <v>4294</v>
      </c>
      <c r="B389" s="58" t="s">
        <v>3632</v>
      </c>
      <c r="C389" s="58">
        <v>2020.0</v>
      </c>
      <c r="D389" s="58" t="s">
        <v>4295</v>
      </c>
      <c r="E389" s="58" t="s">
        <v>4296</v>
      </c>
      <c r="F389" s="58" t="s">
        <v>3635</v>
      </c>
      <c r="H389" s="58" t="s">
        <v>3636</v>
      </c>
      <c r="I389" s="58" t="s">
        <v>4297</v>
      </c>
      <c r="J389" s="58" t="s">
        <v>4298</v>
      </c>
      <c r="K389" s="58" t="s">
        <v>3772</v>
      </c>
      <c r="L389" s="72">
        <v>45734.382627314815</v>
      </c>
      <c r="M389" s="72">
        <v>45734.382627314815</v>
      </c>
      <c r="Q389" s="58">
        <v>1.0</v>
      </c>
      <c r="R389" s="58">
        <v>53.0</v>
      </c>
      <c r="AI389" s="58" t="s">
        <v>3640</v>
      </c>
      <c r="CL389" s="58" t="s">
        <v>4299</v>
      </c>
      <c r="DL389" s="58" t="s">
        <v>4300</v>
      </c>
    </row>
    <row r="390" ht="15.75" customHeight="1">
      <c r="A390" s="58" t="s">
        <v>4301</v>
      </c>
      <c r="B390" s="58" t="s">
        <v>3632</v>
      </c>
      <c r="C390" s="58">
        <v>2019.0</v>
      </c>
      <c r="D390" s="58" t="s">
        <v>4302</v>
      </c>
      <c r="E390" s="58" t="s">
        <v>4303</v>
      </c>
      <c r="F390" s="58" t="s">
        <v>4304</v>
      </c>
      <c r="H390" s="58" t="s">
        <v>4305</v>
      </c>
      <c r="I390" s="58" t="s">
        <v>4306</v>
      </c>
      <c r="J390" s="58" t="s">
        <v>4307</v>
      </c>
      <c r="K390" s="58" t="s">
        <v>4308</v>
      </c>
      <c r="L390" s="72">
        <v>45734.382627314815</v>
      </c>
      <c r="M390" s="72">
        <v>45734.382627314815</v>
      </c>
      <c r="O390" s="58" t="s">
        <v>4309</v>
      </c>
      <c r="Q390" s="58">
        <v>12.0</v>
      </c>
      <c r="R390" s="58">
        <v>12.0</v>
      </c>
      <c r="AI390" s="58" t="s">
        <v>4310</v>
      </c>
      <c r="CL390" s="58" t="s">
        <v>4311</v>
      </c>
    </row>
    <row r="391" ht="15.75" customHeight="1">
      <c r="A391" s="58" t="s">
        <v>4312</v>
      </c>
      <c r="B391" s="58" t="s">
        <v>3632</v>
      </c>
      <c r="C391" s="58">
        <v>2022.0</v>
      </c>
      <c r="D391" s="58" t="s">
        <v>4313</v>
      </c>
      <c r="E391" s="58" t="s">
        <v>4314</v>
      </c>
      <c r="F391" s="58" t="s">
        <v>4315</v>
      </c>
      <c r="I391" s="58" t="s">
        <v>4316</v>
      </c>
      <c r="J391" s="58" t="s">
        <v>4317</v>
      </c>
      <c r="K391" s="58" t="s">
        <v>4318</v>
      </c>
      <c r="L391" s="72">
        <v>45734.382627314815</v>
      </c>
      <c r="M391" s="72">
        <v>45734.382627314815</v>
      </c>
      <c r="Q391" s="58" t="s">
        <v>4319</v>
      </c>
      <c r="R391" s="58">
        <v>6.0</v>
      </c>
      <c r="AI391" s="58" t="s">
        <v>3640</v>
      </c>
      <c r="CL391" s="58" t="s">
        <v>4320</v>
      </c>
      <c r="DL391" s="58" t="s">
        <v>4321</v>
      </c>
    </row>
    <row r="392" ht="15.75" customHeight="1">
      <c r="A392" s="58" t="s">
        <v>4322</v>
      </c>
      <c r="B392" s="58" t="s">
        <v>3632</v>
      </c>
      <c r="C392" s="58">
        <v>2021.0</v>
      </c>
      <c r="D392" s="58" t="s">
        <v>4323</v>
      </c>
      <c r="E392" s="58" t="s">
        <v>4324</v>
      </c>
      <c r="F392" s="58" t="s">
        <v>3635</v>
      </c>
      <c r="H392" s="58" t="s">
        <v>3636</v>
      </c>
      <c r="I392" s="58" t="s">
        <v>4325</v>
      </c>
      <c r="J392" s="58" t="s">
        <v>4326</v>
      </c>
      <c r="K392" s="58" t="s">
        <v>4327</v>
      </c>
      <c r="L392" s="72">
        <v>45734.382627314815</v>
      </c>
      <c r="M392" s="72">
        <v>45734.382627314815</v>
      </c>
      <c r="Q392" s="58">
        <v>4.0</v>
      </c>
      <c r="R392" s="58">
        <v>54.0</v>
      </c>
      <c r="AI392" s="58" t="s">
        <v>3640</v>
      </c>
      <c r="CL392" s="58" t="s">
        <v>4328</v>
      </c>
      <c r="DL392" s="58" t="s">
        <v>4329</v>
      </c>
    </row>
    <row r="393" ht="15.75" customHeight="1">
      <c r="A393" s="58" t="s">
        <v>4330</v>
      </c>
      <c r="B393" s="58" t="s">
        <v>3632</v>
      </c>
      <c r="C393" s="58">
        <v>2023.0</v>
      </c>
      <c r="D393" s="58" t="s">
        <v>4331</v>
      </c>
      <c r="E393" s="58" t="s">
        <v>4332</v>
      </c>
      <c r="F393" s="58" t="s">
        <v>4333</v>
      </c>
      <c r="H393" s="58" t="s">
        <v>4334</v>
      </c>
      <c r="I393" s="58" t="s">
        <v>4335</v>
      </c>
      <c r="J393" s="58" t="s">
        <v>4336</v>
      </c>
      <c r="K393" s="58" t="s">
        <v>4337</v>
      </c>
      <c r="L393" s="72">
        <v>45734.382627314815</v>
      </c>
      <c r="M393" s="72">
        <v>45734.382627314815</v>
      </c>
      <c r="Q393" s="58">
        <v>2.0</v>
      </c>
      <c r="R393" s="58">
        <v>15.0</v>
      </c>
      <c r="AI393" s="58" t="s">
        <v>3640</v>
      </c>
      <c r="CL393" s="58" t="s">
        <v>4338</v>
      </c>
      <c r="DL393" s="58" t="s">
        <v>4339</v>
      </c>
    </row>
    <row r="394" ht="15.75" customHeight="1">
      <c r="A394" s="58" t="s">
        <v>4340</v>
      </c>
      <c r="B394" s="58" t="s">
        <v>3632</v>
      </c>
      <c r="C394" s="58">
        <v>2018.0</v>
      </c>
      <c r="D394" s="58" t="s">
        <v>4341</v>
      </c>
      <c r="E394" s="58" t="s">
        <v>4342</v>
      </c>
      <c r="F394" s="58" t="s">
        <v>3761</v>
      </c>
      <c r="H394" s="58" t="s">
        <v>3762</v>
      </c>
      <c r="I394" s="58" t="s">
        <v>4343</v>
      </c>
      <c r="J394" s="58" t="s">
        <v>4344</v>
      </c>
      <c r="K394" s="58" t="s">
        <v>3803</v>
      </c>
      <c r="L394" s="72">
        <v>45734.382627314815</v>
      </c>
      <c r="M394" s="72">
        <v>45734.382627314815</v>
      </c>
      <c r="Q394" s="58">
        <v>4.0</v>
      </c>
      <c r="R394" s="58">
        <v>3.0</v>
      </c>
      <c r="AI394" s="58" t="s">
        <v>3640</v>
      </c>
      <c r="CL394" s="58" t="s">
        <v>4345</v>
      </c>
      <c r="DL394" s="58" t="s">
        <v>4346</v>
      </c>
    </row>
    <row r="395" ht="15.75" customHeight="1">
      <c r="A395" s="58" t="s">
        <v>4347</v>
      </c>
      <c r="B395" s="58" t="s">
        <v>3632</v>
      </c>
      <c r="C395" s="58">
        <v>2024.0</v>
      </c>
      <c r="D395" s="58" t="s">
        <v>4348</v>
      </c>
      <c r="E395" s="58" t="s">
        <v>4349</v>
      </c>
      <c r="F395" s="58" t="s">
        <v>3719</v>
      </c>
      <c r="H395" s="58" t="s">
        <v>3720</v>
      </c>
      <c r="I395" s="58" t="s">
        <v>4350</v>
      </c>
      <c r="J395" s="58" t="s">
        <v>4351</v>
      </c>
      <c r="K395" s="58" t="s">
        <v>4135</v>
      </c>
      <c r="L395" s="72">
        <v>45734.382627314815</v>
      </c>
      <c r="M395" s="72">
        <v>45734.382627314815</v>
      </c>
      <c r="Q395" s="58">
        <v>3.0</v>
      </c>
      <c r="R395" s="58">
        <v>33.0</v>
      </c>
      <c r="AI395" s="58" t="s">
        <v>3640</v>
      </c>
      <c r="CL395" s="58" t="s">
        <v>4352</v>
      </c>
      <c r="DL395" s="58" t="s">
        <v>4353</v>
      </c>
    </row>
    <row r="396" ht="15.75" customHeight="1">
      <c r="A396" s="58" t="s">
        <v>4354</v>
      </c>
      <c r="B396" s="58" t="s">
        <v>3632</v>
      </c>
      <c r="C396" s="58">
        <v>2020.0</v>
      </c>
      <c r="D396" s="58" t="s">
        <v>4355</v>
      </c>
      <c r="E396" s="58" t="s">
        <v>4356</v>
      </c>
      <c r="F396" s="58" t="s">
        <v>3635</v>
      </c>
      <c r="H396" s="58" t="s">
        <v>3636</v>
      </c>
      <c r="I396" s="58" t="s">
        <v>4357</v>
      </c>
      <c r="J396" s="58" t="s">
        <v>4358</v>
      </c>
      <c r="K396" s="58" t="s">
        <v>4002</v>
      </c>
      <c r="L396" s="72">
        <v>45734.382627314815</v>
      </c>
      <c r="M396" s="72">
        <v>45734.382627314815</v>
      </c>
      <c r="Q396" s="58">
        <v>3.0</v>
      </c>
      <c r="R396" s="58">
        <v>53.0</v>
      </c>
      <c r="AI396" s="58" t="s">
        <v>3640</v>
      </c>
      <c r="CL396" s="58" t="s">
        <v>4359</v>
      </c>
      <c r="DL396" s="58" t="s">
        <v>4360</v>
      </c>
    </row>
    <row r="397" ht="15.75" customHeight="1">
      <c r="A397" s="58" t="s">
        <v>4361</v>
      </c>
      <c r="B397" s="58" t="s">
        <v>3632</v>
      </c>
      <c r="C397" s="58">
        <v>2022.0</v>
      </c>
      <c r="D397" s="58" t="s">
        <v>4362</v>
      </c>
      <c r="E397" s="58" t="s">
        <v>4363</v>
      </c>
      <c r="F397" s="58" t="s">
        <v>3743</v>
      </c>
      <c r="H397" s="58" t="s">
        <v>3744</v>
      </c>
      <c r="I397" s="58" t="s">
        <v>4364</v>
      </c>
      <c r="J397" s="58" t="s">
        <v>4365</v>
      </c>
      <c r="K397" s="58" t="s">
        <v>3648</v>
      </c>
      <c r="L397" s="72">
        <v>45734.382627314815</v>
      </c>
      <c r="M397" s="72">
        <v>45734.382627314815</v>
      </c>
      <c r="Q397" s="58">
        <v>3.0</v>
      </c>
      <c r="R397" s="58">
        <v>18.0</v>
      </c>
      <c r="AI397" s="58" t="s">
        <v>3640</v>
      </c>
      <c r="CL397" s="58" t="s">
        <v>4366</v>
      </c>
      <c r="DL397" s="58" t="s">
        <v>4367</v>
      </c>
    </row>
    <row r="398" ht="15.75" customHeight="1">
      <c r="A398" s="58" t="s">
        <v>4368</v>
      </c>
      <c r="B398" s="58" t="s">
        <v>3632</v>
      </c>
      <c r="C398" s="58">
        <v>2022.0</v>
      </c>
      <c r="D398" s="58" t="s">
        <v>4369</v>
      </c>
      <c r="E398" s="58" t="s">
        <v>4370</v>
      </c>
      <c r="F398" s="58" t="s">
        <v>3635</v>
      </c>
      <c r="H398" s="58" t="s">
        <v>3636</v>
      </c>
      <c r="I398" s="58" t="s">
        <v>4371</v>
      </c>
      <c r="J398" s="58" t="s">
        <v>4372</v>
      </c>
      <c r="K398" s="58" t="s">
        <v>3747</v>
      </c>
      <c r="L398" s="72">
        <v>45734.382627314815</v>
      </c>
      <c r="M398" s="72">
        <v>45734.382627314815</v>
      </c>
      <c r="Q398" s="58">
        <v>4.0</v>
      </c>
      <c r="R398" s="58">
        <v>55.0</v>
      </c>
      <c r="AI398" s="58" t="s">
        <v>3640</v>
      </c>
      <c r="CL398" s="58" t="s">
        <v>4373</v>
      </c>
      <c r="DL398" s="58" t="s">
        <v>4374</v>
      </c>
    </row>
    <row r="399" ht="15.75" customHeight="1">
      <c r="A399" s="58" t="s">
        <v>4375</v>
      </c>
      <c r="B399" s="58" t="s">
        <v>3632</v>
      </c>
      <c r="C399" s="58">
        <v>2020.0</v>
      </c>
      <c r="D399" s="58" t="s">
        <v>4376</v>
      </c>
      <c r="E399" s="58" t="s">
        <v>4377</v>
      </c>
      <c r="F399" s="58" t="s">
        <v>3635</v>
      </c>
      <c r="H399" s="58" t="s">
        <v>3636</v>
      </c>
      <c r="I399" s="58" t="s">
        <v>4378</v>
      </c>
      <c r="J399" s="58" t="s">
        <v>4379</v>
      </c>
      <c r="K399" s="58" t="s">
        <v>4380</v>
      </c>
      <c r="L399" s="72">
        <v>45734.382627314815</v>
      </c>
      <c r="M399" s="72">
        <v>45734.382627314815</v>
      </c>
      <c r="Q399" s="58">
        <v>4.0</v>
      </c>
      <c r="R399" s="58">
        <v>53.0</v>
      </c>
      <c r="AI399" s="58" t="s">
        <v>3640</v>
      </c>
      <c r="CL399" s="58" t="s">
        <v>4381</v>
      </c>
      <c r="DL399" s="58" t="s">
        <v>4382</v>
      </c>
    </row>
    <row r="400" ht="15.75" customHeight="1">
      <c r="A400" s="58" t="s">
        <v>4383</v>
      </c>
      <c r="B400" s="58" t="s">
        <v>3632</v>
      </c>
      <c r="C400" s="58">
        <v>2020.0</v>
      </c>
      <c r="D400" s="58" t="s">
        <v>4384</v>
      </c>
      <c r="E400" s="58" t="s">
        <v>4385</v>
      </c>
      <c r="F400" s="58" t="s">
        <v>3635</v>
      </c>
      <c r="H400" s="58" t="s">
        <v>3636</v>
      </c>
      <c r="I400" s="58" t="s">
        <v>4386</v>
      </c>
      <c r="J400" s="58" t="s">
        <v>4387</v>
      </c>
      <c r="K400" s="58" t="s">
        <v>3667</v>
      </c>
      <c r="L400" s="72">
        <v>45734.382627314815</v>
      </c>
      <c r="M400" s="72">
        <v>45734.382627314815</v>
      </c>
      <c r="Q400" s="58">
        <v>5.0</v>
      </c>
      <c r="R400" s="58">
        <v>53.0</v>
      </c>
      <c r="AI400" s="58" t="s">
        <v>3640</v>
      </c>
      <c r="CL400" s="58" t="s">
        <v>4388</v>
      </c>
      <c r="DL400" s="58" t="s">
        <v>4389</v>
      </c>
    </row>
    <row r="401" ht="15.75" customHeight="1">
      <c r="A401" s="58" t="s">
        <v>4390</v>
      </c>
      <c r="B401" s="58" t="s">
        <v>3632</v>
      </c>
      <c r="C401" s="58">
        <v>2024.0</v>
      </c>
      <c r="D401" s="58" t="s">
        <v>4391</v>
      </c>
      <c r="E401" s="58" t="s">
        <v>4392</v>
      </c>
      <c r="F401" s="58" t="s">
        <v>3673</v>
      </c>
      <c r="H401" s="58" t="s">
        <v>3674</v>
      </c>
      <c r="I401" s="58" t="s">
        <v>4393</v>
      </c>
      <c r="J401" s="58" t="s">
        <v>4394</v>
      </c>
      <c r="K401" s="58" t="s">
        <v>3737</v>
      </c>
      <c r="L401" s="72">
        <v>45734.382627314815</v>
      </c>
      <c r="M401" s="72">
        <v>45734.382627314815</v>
      </c>
      <c r="Q401" s="58">
        <v>1.0</v>
      </c>
      <c r="R401" s="58">
        <v>19.0</v>
      </c>
      <c r="AI401" s="58" t="s">
        <v>3640</v>
      </c>
      <c r="CL401" s="58" t="s">
        <v>4395</v>
      </c>
      <c r="DL401" s="58" t="s">
        <v>4396</v>
      </c>
    </row>
    <row r="402" ht="15.75" customHeight="1">
      <c r="A402" s="58" t="s">
        <v>4397</v>
      </c>
      <c r="B402" s="58" t="s">
        <v>3632</v>
      </c>
      <c r="C402" s="58">
        <v>2024.0</v>
      </c>
      <c r="D402" s="58" t="s">
        <v>4398</v>
      </c>
      <c r="E402" s="58" t="s">
        <v>4399</v>
      </c>
      <c r="F402" s="58" t="s">
        <v>3635</v>
      </c>
      <c r="H402" s="58" t="s">
        <v>3636</v>
      </c>
      <c r="I402" s="58" t="s">
        <v>4400</v>
      </c>
      <c r="J402" s="58" t="s">
        <v>4401</v>
      </c>
      <c r="K402" s="58" t="s">
        <v>3685</v>
      </c>
      <c r="L402" s="72">
        <v>45734.382627314815</v>
      </c>
      <c r="M402" s="72">
        <v>45734.382627314815</v>
      </c>
      <c r="Q402" s="58">
        <v>3.0</v>
      </c>
      <c r="R402" s="58">
        <v>57.0</v>
      </c>
      <c r="AI402" s="58" t="s">
        <v>3640</v>
      </c>
      <c r="CL402" s="58" t="s">
        <v>4402</v>
      </c>
      <c r="DL402" s="58" t="s">
        <v>4403</v>
      </c>
    </row>
    <row r="403" ht="15.75" customHeight="1">
      <c r="A403" s="58" t="s">
        <v>4404</v>
      </c>
      <c r="B403" s="58" t="s">
        <v>3632</v>
      </c>
      <c r="C403" s="58">
        <v>2023.0</v>
      </c>
      <c r="D403" s="58" t="s">
        <v>4405</v>
      </c>
      <c r="E403" s="58" t="s">
        <v>4406</v>
      </c>
      <c r="F403" s="58" t="s">
        <v>4008</v>
      </c>
      <c r="I403" s="58" t="s">
        <v>4407</v>
      </c>
      <c r="J403" s="58" t="s">
        <v>4408</v>
      </c>
      <c r="K403" s="58" t="s">
        <v>3819</v>
      </c>
      <c r="L403" s="72">
        <v>45734.382627314815</v>
      </c>
      <c r="M403" s="72">
        <v>45734.382627314815</v>
      </c>
      <c r="Q403" s="58">
        <v>1.0</v>
      </c>
      <c r="R403" s="58">
        <v>4.0</v>
      </c>
      <c r="AI403" s="58" t="s">
        <v>3640</v>
      </c>
      <c r="CL403" s="58" t="s">
        <v>4409</v>
      </c>
      <c r="DL403" s="58" t="s">
        <v>4410</v>
      </c>
    </row>
    <row r="404" ht="15.75" customHeight="1">
      <c r="A404" s="58" t="s">
        <v>4411</v>
      </c>
      <c r="B404" s="58" t="s">
        <v>3632</v>
      </c>
      <c r="C404" s="58">
        <v>2017.0</v>
      </c>
      <c r="D404" s="58" t="s">
        <v>4412</v>
      </c>
      <c r="E404" s="58" t="s">
        <v>4413</v>
      </c>
      <c r="F404" s="58" t="s">
        <v>3673</v>
      </c>
      <c r="H404" s="58" t="s">
        <v>3674</v>
      </c>
      <c r="I404" s="58" t="s">
        <v>4414</v>
      </c>
      <c r="J404" s="58" t="s">
        <v>4415</v>
      </c>
      <c r="K404" s="58" t="s">
        <v>4416</v>
      </c>
      <c r="L404" s="72">
        <v>45734.382627314815</v>
      </c>
      <c r="M404" s="72">
        <v>45734.382627314815</v>
      </c>
      <c r="Q404" s="58">
        <v>4.0</v>
      </c>
      <c r="R404" s="58">
        <v>12.0</v>
      </c>
      <c r="AI404" s="58" t="s">
        <v>3640</v>
      </c>
      <c r="CL404" s="58" t="s">
        <v>4417</v>
      </c>
      <c r="DL404" s="58" t="s">
        <v>4418</v>
      </c>
    </row>
    <row r="405" ht="15.75" customHeight="1">
      <c r="A405" s="58" t="s">
        <v>4419</v>
      </c>
      <c r="B405" s="58" t="s">
        <v>3632</v>
      </c>
      <c r="C405" s="58">
        <v>2022.0</v>
      </c>
      <c r="D405" s="58" t="s">
        <v>4420</v>
      </c>
      <c r="E405" s="58" t="s">
        <v>4421</v>
      </c>
      <c r="F405" s="58" t="s">
        <v>3655</v>
      </c>
      <c r="H405" s="58" t="s">
        <v>3656</v>
      </c>
      <c r="I405" s="58" t="s">
        <v>4422</v>
      </c>
      <c r="J405" s="58" t="s">
        <v>4423</v>
      </c>
      <c r="K405" s="58" t="s">
        <v>4424</v>
      </c>
      <c r="L405" s="72">
        <v>45734.382627314815</v>
      </c>
      <c r="M405" s="72">
        <v>45734.382627314815</v>
      </c>
      <c r="Q405" s="58">
        <v>3.0</v>
      </c>
      <c r="R405" s="58">
        <v>19.0</v>
      </c>
      <c r="AI405" s="58" t="s">
        <v>3640</v>
      </c>
      <c r="CL405" s="58" t="s">
        <v>4425</v>
      </c>
      <c r="DL405" s="58" t="s">
        <v>4426</v>
      </c>
    </row>
    <row r="406" ht="15.75" customHeight="1">
      <c r="A406" s="58" t="s">
        <v>4427</v>
      </c>
      <c r="B406" s="58" t="s">
        <v>3632</v>
      </c>
      <c r="C406" s="58">
        <v>2025.0</v>
      </c>
      <c r="D406" s="58" t="s">
        <v>4428</v>
      </c>
      <c r="E406" s="58" t="s">
        <v>4429</v>
      </c>
      <c r="F406" s="58" t="s">
        <v>4430</v>
      </c>
      <c r="I406" s="58" t="s">
        <v>4431</v>
      </c>
      <c r="J406" s="58" t="s">
        <v>4432</v>
      </c>
      <c r="K406" s="58" t="s">
        <v>3677</v>
      </c>
      <c r="L406" s="72">
        <v>45734.382627314815</v>
      </c>
      <c r="M406" s="72">
        <v>45734.382627314815</v>
      </c>
      <c r="Q406" s="58">
        <v>1.0</v>
      </c>
      <c r="R406" s="58">
        <v>6.0</v>
      </c>
      <c r="AI406" s="58" t="s">
        <v>3640</v>
      </c>
      <c r="CL406" s="58" t="s">
        <v>4433</v>
      </c>
      <c r="DL406" s="58" t="s">
        <v>4434</v>
      </c>
    </row>
    <row r="407" ht="15.75" customHeight="1">
      <c r="A407" s="58" t="s">
        <v>4435</v>
      </c>
      <c r="B407" s="58" t="s">
        <v>3632</v>
      </c>
      <c r="C407" s="58">
        <v>2024.0</v>
      </c>
      <c r="D407" s="58" t="s">
        <v>4436</v>
      </c>
      <c r="E407" s="58" t="s">
        <v>4437</v>
      </c>
      <c r="F407" s="58" t="s">
        <v>4438</v>
      </c>
      <c r="I407" s="58" t="s">
        <v>4439</v>
      </c>
      <c r="J407" s="58" t="s">
        <v>4440</v>
      </c>
      <c r="K407" s="58" t="s">
        <v>4441</v>
      </c>
      <c r="L407" s="72">
        <v>45734.382627314815</v>
      </c>
      <c r="M407" s="72">
        <v>45734.382627314815</v>
      </c>
      <c r="Q407" s="58" t="s">
        <v>4442</v>
      </c>
      <c r="R407" s="58">
        <v>8.0</v>
      </c>
      <c r="AI407" s="58" t="s">
        <v>3640</v>
      </c>
      <c r="CL407" s="58" t="s">
        <v>4443</v>
      </c>
      <c r="DL407" s="58" t="s">
        <v>4444</v>
      </c>
    </row>
    <row r="408" ht="15.75" customHeight="1">
      <c r="A408" s="58" t="s">
        <v>4445</v>
      </c>
      <c r="B408" s="58" t="s">
        <v>3632</v>
      </c>
      <c r="C408" s="58">
        <v>2023.0</v>
      </c>
      <c r="D408" s="58" t="s">
        <v>4446</v>
      </c>
      <c r="E408" s="58" t="s">
        <v>4447</v>
      </c>
      <c r="F408" s="58" t="s">
        <v>3673</v>
      </c>
      <c r="H408" s="58" t="s">
        <v>3674</v>
      </c>
      <c r="I408" s="58" t="s">
        <v>4448</v>
      </c>
      <c r="J408" s="58" t="s">
        <v>4449</v>
      </c>
      <c r="K408" s="58" t="s">
        <v>3787</v>
      </c>
      <c r="L408" s="72">
        <v>45734.382627314815</v>
      </c>
      <c r="M408" s="72">
        <v>45734.382627314815</v>
      </c>
      <c r="Q408" s="58">
        <v>4.0</v>
      </c>
      <c r="R408" s="58">
        <v>18.0</v>
      </c>
      <c r="AI408" s="58" t="s">
        <v>3640</v>
      </c>
      <c r="CL408" s="58" t="s">
        <v>4450</v>
      </c>
      <c r="DL408" s="58" t="s">
        <v>4451</v>
      </c>
    </row>
    <row r="409" ht="15.75" customHeight="1">
      <c r="A409" s="58" t="s">
        <v>4452</v>
      </c>
      <c r="B409" s="58" t="s">
        <v>3632</v>
      </c>
      <c r="C409" s="58">
        <v>2021.0</v>
      </c>
      <c r="D409" s="58" t="s">
        <v>4453</v>
      </c>
      <c r="E409" s="58" t="s">
        <v>4454</v>
      </c>
      <c r="F409" s="58" t="s">
        <v>3825</v>
      </c>
      <c r="H409" s="58" t="s">
        <v>3826</v>
      </c>
      <c r="I409" s="58" t="s">
        <v>4455</v>
      </c>
      <c r="J409" s="58" t="s">
        <v>4456</v>
      </c>
      <c r="K409" s="58" t="s">
        <v>3919</v>
      </c>
      <c r="L409" s="72">
        <v>45734.382627314815</v>
      </c>
      <c r="M409" s="72">
        <v>45734.382627314815</v>
      </c>
      <c r="Q409" s="58">
        <v>6.0</v>
      </c>
      <c r="R409" s="58">
        <v>20.0</v>
      </c>
      <c r="AI409" s="58" t="s">
        <v>3640</v>
      </c>
      <c r="CL409" s="58" t="s">
        <v>4457</v>
      </c>
      <c r="DL409" s="58" t="s">
        <v>4458</v>
      </c>
    </row>
    <row r="410" ht="15.75" customHeight="1">
      <c r="A410" s="58" t="s">
        <v>4459</v>
      </c>
      <c r="B410" s="58" t="s">
        <v>3632</v>
      </c>
      <c r="C410" s="58">
        <v>2019.0</v>
      </c>
      <c r="D410" s="58" t="s">
        <v>4460</v>
      </c>
      <c r="E410" s="58" t="s">
        <v>4461</v>
      </c>
      <c r="F410" s="58" t="s">
        <v>3635</v>
      </c>
      <c r="H410" s="58" t="s">
        <v>3636</v>
      </c>
      <c r="I410" s="58" t="s">
        <v>4462</v>
      </c>
      <c r="J410" s="58" t="s">
        <v>4463</v>
      </c>
      <c r="K410" s="58" t="s">
        <v>4057</v>
      </c>
      <c r="L410" s="72">
        <v>45734.382627314815</v>
      </c>
      <c r="M410" s="72">
        <v>45734.382627314815</v>
      </c>
      <c r="Q410" s="58">
        <v>5.0</v>
      </c>
      <c r="R410" s="58">
        <v>52.0</v>
      </c>
      <c r="AI410" s="58" t="s">
        <v>3640</v>
      </c>
      <c r="CL410" s="58" t="s">
        <v>4464</v>
      </c>
      <c r="DL410" s="58" t="s">
        <v>4465</v>
      </c>
    </row>
    <row r="411" ht="15.75" customHeight="1">
      <c r="A411" s="58" t="s">
        <v>4466</v>
      </c>
      <c r="B411" s="58" t="s">
        <v>3632</v>
      </c>
      <c r="C411" s="58">
        <v>2024.0</v>
      </c>
      <c r="D411" s="58" t="s">
        <v>4467</v>
      </c>
      <c r="E411" s="58" t="s">
        <v>4468</v>
      </c>
      <c r="F411" s="58" t="s">
        <v>3635</v>
      </c>
      <c r="H411" s="58" t="s">
        <v>3636</v>
      </c>
      <c r="I411" s="58" t="s">
        <v>4469</v>
      </c>
      <c r="J411" s="58" t="s">
        <v>4470</v>
      </c>
      <c r="K411" s="58" t="s">
        <v>3713</v>
      </c>
      <c r="L411" s="72">
        <v>45734.382627314815</v>
      </c>
      <c r="M411" s="72">
        <v>45734.382627314815</v>
      </c>
      <c r="Q411" s="58">
        <v>4.0</v>
      </c>
      <c r="R411" s="58">
        <v>57.0</v>
      </c>
      <c r="AI411" s="58" t="s">
        <v>3640</v>
      </c>
      <c r="CL411" s="58" t="s">
        <v>4471</v>
      </c>
      <c r="DL411" s="58" t="s">
        <v>4472</v>
      </c>
    </row>
    <row r="412" ht="15.75" customHeight="1">
      <c r="A412" s="58" t="s">
        <v>4473</v>
      </c>
      <c r="B412" s="58" t="s">
        <v>3632</v>
      </c>
      <c r="C412" s="58">
        <v>2022.0</v>
      </c>
      <c r="D412" s="58" t="s">
        <v>4474</v>
      </c>
      <c r="E412" s="58" t="s">
        <v>4475</v>
      </c>
      <c r="F412" s="58" t="s">
        <v>3860</v>
      </c>
      <c r="H412" s="58" t="s">
        <v>3861</v>
      </c>
      <c r="I412" s="58" t="s">
        <v>4476</v>
      </c>
      <c r="J412" s="58" t="s">
        <v>4477</v>
      </c>
      <c r="K412" s="58" t="s">
        <v>4478</v>
      </c>
      <c r="L412" s="72">
        <v>45734.382627314815</v>
      </c>
      <c r="M412" s="72">
        <v>45734.382627314815</v>
      </c>
      <c r="Q412" s="58">
        <v>3.0</v>
      </c>
      <c r="R412" s="58">
        <v>22.0</v>
      </c>
      <c r="AI412" s="58" t="s">
        <v>3640</v>
      </c>
      <c r="CL412" s="58" t="s">
        <v>4479</v>
      </c>
      <c r="DL412" s="58" t="s">
        <v>4480</v>
      </c>
    </row>
    <row r="413" ht="15.75" customHeight="1">
      <c r="A413" s="58" t="s">
        <v>4481</v>
      </c>
      <c r="B413" s="58" t="s">
        <v>3632</v>
      </c>
      <c r="C413" s="58">
        <v>2023.0</v>
      </c>
      <c r="D413" s="58" t="s">
        <v>4482</v>
      </c>
      <c r="E413" s="58" t="s">
        <v>4483</v>
      </c>
      <c r="F413" s="58" t="s">
        <v>3719</v>
      </c>
      <c r="H413" s="58" t="s">
        <v>3720</v>
      </c>
      <c r="I413" s="58" t="s">
        <v>4484</v>
      </c>
      <c r="J413" s="58" t="s">
        <v>4485</v>
      </c>
      <c r="K413" s="58" t="s">
        <v>3704</v>
      </c>
      <c r="L413" s="72">
        <v>45734.382627314815</v>
      </c>
      <c r="M413" s="72">
        <v>45734.382627314815</v>
      </c>
      <c r="Q413" s="58">
        <v>5.0</v>
      </c>
      <c r="R413" s="58">
        <v>32.0</v>
      </c>
      <c r="AI413" s="58" t="s">
        <v>3640</v>
      </c>
      <c r="CL413" s="58" t="s">
        <v>4486</v>
      </c>
      <c r="DL413" s="58" t="s">
        <v>4487</v>
      </c>
    </row>
    <row r="414" ht="15.75" customHeight="1">
      <c r="A414" s="58" t="s">
        <v>4488</v>
      </c>
      <c r="B414" s="58" t="s">
        <v>3632</v>
      </c>
      <c r="C414" s="58">
        <v>2023.0</v>
      </c>
      <c r="D414" s="58" t="s">
        <v>4489</v>
      </c>
      <c r="E414" s="58" t="s">
        <v>4490</v>
      </c>
      <c r="F414" s="58" t="s">
        <v>3635</v>
      </c>
      <c r="H414" s="58" t="s">
        <v>3636</v>
      </c>
      <c r="I414" s="58" t="s">
        <v>4491</v>
      </c>
      <c r="J414" s="58" t="s">
        <v>4492</v>
      </c>
      <c r="K414" s="58" t="s">
        <v>3854</v>
      </c>
      <c r="L414" s="72">
        <v>45734.382627314815</v>
      </c>
      <c r="M414" s="72">
        <v>45734.382627314815</v>
      </c>
      <c r="Q414" s="58">
        <v>1.0</v>
      </c>
      <c r="R414" s="58">
        <v>56.0</v>
      </c>
      <c r="AI414" s="58" t="s">
        <v>3640</v>
      </c>
      <c r="CL414" s="58" t="s">
        <v>4493</v>
      </c>
      <c r="DL414" s="58" t="s">
        <v>4494</v>
      </c>
    </row>
    <row r="415" ht="15.75" customHeight="1">
      <c r="A415" s="58" t="s">
        <v>4495</v>
      </c>
      <c r="B415" s="58" t="s">
        <v>3632</v>
      </c>
      <c r="C415" s="58">
        <v>2023.0</v>
      </c>
      <c r="D415" s="58" t="s">
        <v>4496</v>
      </c>
      <c r="E415" s="58" t="s">
        <v>4497</v>
      </c>
      <c r="F415" s="58" t="s">
        <v>4304</v>
      </c>
      <c r="H415" s="58" t="s">
        <v>4305</v>
      </c>
      <c r="I415" s="58" t="s">
        <v>4498</v>
      </c>
      <c r="J415" s="58" t="s">
        <v>4499</v>
      </c>
      <c r="K415" s="58" t="s">
        <v>3854</v>
      </c>
      <c r="L415" s="72">
        <v>45734.382627314815</v>
      </c>
      <c r="M415" s="72">
        <v>45734.382627314815</v>
      </c>
      <c r="O415" s="58" t="s">
        <v>4500</v>
      </c>
      <c r="Q415" s="58">
        <v>12.0</v>
      </c>
      <c r="R415" s="58">
        <v>16.0</v>
      </c>
      <c r="AI415" s="58" t="s">
        <v>4310</v>
      </c>
      <c r="CL415" s="58" t="s">
        <v>4501</v>
      </c>
    </row>
    <row r="416" ht="15.75" customHeight="1">
      <c r="A416" s="58" t="s">
        <v>4502</v>
      </c>
      <c r="B416" s="58" t="s">
        <v>3632</v>
      </c>
      <c r="C416" s="58">
        <v>2021.0</v>
      </c>
      <c r="D416" s="58" t="s">
        <v>4503</v>
      </c>
      <c r="E416" s="58" t="s">
        <v>4504</v>
      </c>
      <c r="F416" s="58" t="s">
        <v>3635</v>
      </c>
      <c r="H416" s="58" t="s">
        <v>3636</v>
      </c>
      <c r="I416" s="58" t="s">
        <v>4505</v>
      </c>
      <c r="J416" s="58" t="s">
        <v>4506</v>
      </c>
      <c r="K416" s="58" t="s">
        <v>4507</v>
      </c>
      <c r="L416" s="72">
        <v>45734.382627314815</v>
      </c>
      <c r="M416" s="72">
        <v>45734.382627314815</v>
      </c>
      <c r="Q416" s="58">
        <v>1.0</v>
      </c>
      <c r="R416" s="58">
        <v>55.0</v>
      </c>
      <c r="AI416" s="58" t="s">
        <v>3640</v>
      </c>
      <c r="CL416" s="58" t="s">
        <v>4508</v>
      </c>
      <c r="DL416" s="58" t="s">
        <v>4509</v>
      </c>
    </row>
    <row r="417" ht="15.75" customHeight="1">
      <c r="A417" s="58" t="s">
        <v>4510</v>
      </c>
      <c r="B417" s="58" t="s">
        <v>3632</v>
      </c>
      <c r="C417" s="58">
        <v>2023.0</v>
      </c>
      <c r="D417" s="58" t="s">
        <v>4511</v>
      </c>
      <c r="E417" s="58" t="s">
        <v>4512</v>
      </c>
      <c r="F417" s="58" t="s">
        <v>4008</v>
      </c>
      <c r="I417" s="58" t="s">
        <v>4513</v>
      </c>
      <c r="J417" s="58" t="s">
        <v>4514</v>
      </c>
      <c r="K417" s="58" t="s">
        <v>3819</v>
      </c>
      <c r="L417" s="72">
        <v>45734.382627314815</v>
      </c>
      <c r="M417" s="72">
        <v>45734.382627314815</v>
      </c>
      <c r="Q417" s="58">
        <v>1.0</v>
      </c>
      <c r="R417" s="58">
        <v>4.0</v>
      </c>
      <c r="AI417" s="58" t="s">
        <v>3640</v>
      </c>
      <c r="CL417" s="58" t="s">
        <v>4515</v>
      </c>
      <c r="DL417" s="58" t="s">
        <v>4516</v>
      </c>
    </row>
    <row r="418" ht="15.75" customHeight="1">
      <c r="A418" s="58" t="s">
        <v>4517</v>
      </c>
      <c r="B418" s="58" t="s">
        <v>3632</v>
      </c>
      <c r="C418" s="58">
        <v>2023.0</v>
      </c>
      <c r="D418" s="58" t="s">
        <v>4518</v>
      </c>
      <c r="E418" s="58" t="s">
        <v>4519</v>
      </c>
      <c r="F418" s="58" t="s">
        <v>3635</v>
      </c>
      <c r="H418" s="58" t="s">
        <v>3636</v>
      </c>
      <c r="I418" s="58" t="s">
        <v>4520</v>
      </c>
      <c r="J418" s="58" t="s">
        <v>4521</v>
      </c>
      <c r="K418" s="58" t="s">
        <v>3704</v>
      </c>
      <c r="L418" s="72">
        <v>45734.382627314815</v>
      </c>
      <c r="M418" s="72">
        <v>45734.382627314815</v>
      </c>
      <c r="Q418" s="58" t="s">
        <v>3705</v>
      </c>
      <c r="R418" s="58">
        <v>55.0</v>
      </c>
      <c r="AI418" s="58" t="s">
        <v>3640</v>
      </c>
      <c r="CL418" s="58" t="s">
        <v>4522</v>
      </c>
      <c r="DL418" s="58" t="s">
        <v>4523</v>
      </c>
    </row>
    <row r="419" ht="15.75" customHeight="1">
      <c r="A419" s="58" t="s">
        <v>4524</v>
      </c>
      <c r="B419" s="58" t="s">
        <v>3632</v>
      </c>
      <c r="C419" s="58">
        <v>2020.0</v>
      </c>
      <c r="D419" s="58" t="s">
        <v>4525</v>
      </c>
      <c r="E419" s="58" t="s">
        <v>4526</v>
      </c>
      <c r="F419" s="58" t="s">
        <v>3635</v>
      </c>
      <c r="H419" s="58" t="s">
        <v>3636</v>
      </c>
      <c r="I419" s="58" t="s">
        <v>4527</v>
      </c>
      <c r="J419" s="58" t="s">
        <v>4528</v>
      </c>
      <c r="K419" s="58" t="s">
        <v>4380</v>
      </c>
      <c r="L419" s="72">
        <v>45734.382627314815</v>
      </c>
      <c r="M419" s="72">
        <v>45734.382627314815</v>
      </c>
      <c r="Q419" s="58">
        <v>4.0</v>
      </c>
      <c r="R419" s="58">
        <v>53.0</v>
      </c>
      <c r="AI419" s="58" t="s">
        <v>3640</v>
      </c>
      <c r="CL419" s="58" t="s">
        <v>4529</v>
      </c>
      <c r="DL419" s="58" t="s">
        <v>4530</v>
      </c>
    </row>
    <row r="420" ht="15.75" customHeight="1">
      <c r="A420" s="58" t="s">
        <v>4531</v>
      </c>
      <c r="B420" s="58" t="s">
        <v>3632</v>
      </c>
      <c r="C420" s="58">
        <v>2019.0</v>
      </c>
      <c r="D420" s="58" t="s">
        <v>4532</v>
      </c>
      <c r="E420" s="58" t="s">
        <v>4533</v>
      </c>
      <c r="F420" s="58" t="s">
        <v>4534</v>
      </c>
      <c r="H420" s="58" t="s">
        <v>4535</v>
      </c>
      <c r="I420" s="58" t="s">
        <v>4536</v>
      </c>
      <c r="J420" s="58" t="s">
        <v>4537</v>
      </c>
      <c r="K420" s="58" t="s">
        <v>4538</v>
      </c>
      <c r="L420" s="72">
        <v>45734.382627314815</v>
      </c>
      <c r="M420" s="72">
        <v>45734.382627314815</v>
      </c>
      <c r="Q420" s="58">
        <v>1.0</v>
      </c>
      <c r="R420" s="58">
        <v>13.0</v>
      </c>
      <c r="AI420" s="58" t="s">
        <v>3640</v>
      </c>
      <c r="CL420" s="58" t="s">
        <v>4539</v>
      </c>
      <c r="DL420" s="58" t="s">
        <v>4540</v>
      </c>
    </row>
    <row r="421" ht="15.75" customHeight="1">
      <c r="A421" s="58" t="s">
        <v>4541</v>
      </c>
      <c r="B421" s="58" t="s">
        <v>3632</v>
      </c>
      <c r="C421" s="58">
        <v>2022.0</v>
      </c>
      <c r="D421" s="58" t="s">
        <v>4542</v>
      </c>
      <c r="E421" s="58" t="s">
        <v>4543</v>
      </c>
      <c r="F421" s="58" t="s">
        <v>4304</v>
      </c>
      <c r="H421" s="58" t="s">
        <v>4305</v>
      </c>
      <c r="I421" s="58" t="s">
        <v>4544</v>
      </c>
      <c r="J421" s="58" t="s">
        <v>4545</v>
      </c>
      <c r="K421" s="58" t="s">
        <v>4546</v>
      </c>
      <c r="L421" s="72">
        <v>45734.382627314815</v>
      </c>
      <c r="M421" s="72">
        <v>45734.382627314815</v>
      </c>
      <c r="O421" s="58" t="s">
        <v>4547</v>
      </c>
      <c r="Q421" s="58">
        <v>10.0</v>
      </c>
      <c r="R421" s="58">
        <v>15.0</v>
      </c>
      <c r="AI421" s="58" t="s">
        <v>4310</v>
      </c>
      <c r="CL421" s="58" t="s">
        <v>4548</v>
      </c>
    </row>
    <row r="422" ht="15.75" customHeight="1">
      <c r="A422" s="58" t="s">
        <v>4549</v>
      </c>
      <c r="B422" s="58" t="s">
        <v>3632</v>
      </c>
      <c r="C422" s="58">
        <v>2019.0</v>
      </c>
      <c r="D422" s="58" t="s">
        <v>4550</v>
      </c>
      <c r="E422" s="58" t="s">
        <v>4551</v>
      </c>
      <c r="F422" s="58" t="s">
        <v>3635</v>
      </c>
      <c r="H422" s="58" t="s">
        <v>3636</v>
      </c>
      <c r="I422" s="58" t="s">
        <v>4552</v>
      </c>
      <c r="J422" s="58" t="s">
        <v>4553</v>
      </c>
      <c r="K422" s="58" t="s">
        <v>4113</v>
      </c>
      <c r="L422" s="72">
        <v>45734.382627314815</v>
      </c>
      <c r="M422" s="72">
        <v>45734.382627314815</v>
      </c>
      <c r="Q422" s="58">
        <v>6.0</v>
      </c>
      <c r="R422" s="58">
        <v>52.0</v>
      </c>
      <c r="AI422" s="58" t="s">
        <v>3640</v>
      </c>
      <c r="CL422" s="58" t="s">
        <v>4554</v>
      </c>
      <c r="DL422" s="58" t="s">
        <v>4555</v>
      </c>
    </row>
    <row r="423" ht="15.75" customHeight="1">
      <c r="A423" s="58" t="s">
        <v>4556</v>
      </c>
      <c r="B423" s="58" t="s">
        <v>3632</v>
      </c>
      <c r="C423" s="58">
        <v>2022.0</v>
      </c>
      <c r="D423" s="58" t="s">
        <v>4557</v>
      </c>
      <c r="E423" s="58" t="s">
        <v>4558</v>
      </c>
      <c r="F423" s="58" t="s">
        <v>4438</v>
      </c>
      <c r="I423" s="58" t="s">
        <v>4559</v>
      </c>
      <c r="J423" s="58" t="s">
        <v>4560</v>
      </c>
      <c r="K423" s="58" t="s">
        <v>4318</v>
      </c>
      <c r="L423" s="72">
        <v>45734.382627314815</v>
      </c>
      <c r="M423" s="72">
        <v>45734.382627314815</v>
      </c>
      <c r="Q423" s="58" t="s">
        <v>4561</v>
      </c>
      <c r="R423" s="58">
        <v>6.0</v>
      </c>
      <c r="AI423" s="58" t="s">
        <v>3640</v>
      </c>
      <c r="CL423" s="58" t="s">
        <v>4562</v>
      </c>
      <c r="DL423" s="58" t="s">
        <v>4563</v>
      </c>
    </row>
    <row r="424" ht="15.75" customHeight="1">
      <c r="A424" s="58" t="s">
        <v>4564</v>
      </c>
      <c r="B424" s="58" t="s">
        <v>3632</v>
      </c>
      <c r="C424" s="58">
        <v>2021.0</v>
      </c>
      <c r="D424" s="58" t="s">
        <v>4565</v>
      </c>
      <c r="E424" s="58" t="s">
        <v>4566</v>
      </c>
      <c r="F424" s="58" t="s">
        <v>3635</v>
      </c>
      <c r="H424" s="58" t="s">
        <v>3636</v>
      </c>
      <c r="I424" s="58" t="s">
        <v>4567</v>
      </c>
      <c r="J424" s="58" t="s">
        <v>4568</v>
      </c>
      <c r="K424" s="58" t="s">
        <v>4569</v>
      </c>
      <c r="L424" s="72">
        <v>45734.382627314815</v>
      </c>
      <c r="M424" s="72">
        <v>45734.382627314815</v>
      </c>
      <c r="Q424" s="58">
        <v>6.0</v>
      </c>
      <c r="R424" s="58">
        <v>54.0</v>
      </c>
      <c r="AI424" s="58" t="s">
        <v>3640</v>
      </c>
      <c r="CL424" s="58" t="s">
        <v>4570</v>
      </c>
      <c r="DL424" s="58" t="s">
        <v>4571</v>
      </c>
    </row>
    <row r="425" ht="15.75" customHeight="1">
      <c r="A425" s="58" t="s">
        <v>4572</v>
      </c>
      <c r="B425" s="58" t="s">
        <v>3632</v>
      </c>
      <c r="C425" s="58">
        <v>2020.0</v>
      </c>
      <c r="D425" s="58" t="s">
        <v>4573</v>
      </c>
      <c r="E425" s="58" t="s">
        <v>4574</v>
      </c>
      <c r="F425" s="58" t="s">
        <v>3691</v>
      </c>
      <c r="H425" s="58" t="s">
        <v>3692</v>
      </c>
      <c r="I425" s="58" t="s">
        <v>4575</v>
      </c>
      <c r="J425" s="58" t="s">
        <v>4576</v>
      </c>
      <c r="K425" s="58" t="s">
        <v>4577</v>
      </c>
      <c r="L425" s="72">
        <v>45734.382627314815</v>
      </c>
      <c r="M425" s="72">
        <v>45734.382627314815</v>
      </c>
      <c r="O425" s="58" t="s">
        <v>4578</v>
      </c>
      <c r="Q425" s="58">
        <v>6.0</v>
      </c>
      <c r="R425" s="58">
        <v>28.0</v>
      </c>
      <c r="AI425" s="58" t="s">
        <v>3697</v>
      </c>
      <c r="CL425" s="58" t="s">
        <v>4579</v>
      </c>
    </row>
    <row r="426" ht="15.75" customHeight="1">
      <c r="A426" s="58" t="s">
        <v>4580</v>
      </c>
      <c r="B426" s="58" t="s">
        <v>3632</v>
      </c>
      <c r="C426" s="58">
        <v>2017.0</v>
      </c>
      <c r="D426" s="58" t="s">
        <v>4581</v>
      </c>
      <c r="E426" s="58" t="s">
        <v>4582</v>
      </c>
      <c r="F426" s="58" t="s">
        <v>3673</v>
      </c>
      <c r="H426" s="58" t="s">
        <v>3674</v>
      </c>
      <c r="I426" s="58" t="s">
        <v>4583</v>
      </c>
      <c r="J426" s="58" t="s">
        <v>4584</v>
      </c>
      <c r="K426" s="58" t="s">
        <v>4416</v>
      </c>
      <c r="L426" s="72">
        <v>45734.382627314815</v>
      </c>
      <c r="M426" s="72">
        <v>45734.382627314815</v>
      </c>
      <c r="Q426" s="58">
        <v>4.0</v>
      </c>
      <c r="R426" s="58">
        <v>12.0</v>
      </c>
      <c r="AI426" s="58" t="s">
        <v>3640</v>
      </c>
      <c r="CL426" s="58" t="s">
        <v>4585</v>
      </c>
      <c r="DL426" s="58" t="s">
        <v>4586</v>
      </c>
    </row>
    <row r="427" ht="15.75" customHeight="1">
      <c r="B427" s="58" t="s">
        <v>4587</v>
      </c>
      <c r="C427" s="58">
        <v>2015.0</v>
      </c>
      <c r="D427" s="58" t="s">
        <v>4588</v>
      </c>
      <c r="E427" s="58" t="s">
        <v>4589</v>
      </c>
      <c r="F427" s="58" t="s">
        <v>4590</v>
      </c>
      <c r="I427" s="58" t="s">
        <v>4591</v>
      </c>
      <c r="K427" s="73">
        <v>42303.0</v>
      </c>
      <c r="Z427" s="58" t="s">
        <v>239</v>
      </c>
      <c r="CH427" s="58" t="s">
        <v>4592</v>
      </c>
      <c r="CI427" s="73">
        <v>42303.0</v>
      </c>
      <c r="CJ427" s="58">
        <v>25.0</v>
      </c>
      <c r="CK427" s="58">
        <v>30.0</v>
      </c>
      <c r="CL427" s="58" t="s">
        <v>4593</v>
      </c>
      <c r="CM427" s="58" t="s">
        <v>4594</v>
      </c>
      <c r="CO427" s="58" t="s">
        <v>4595</v>
      </c>
      <c r="CR427" s="58">
        <v>161.0</v>
      </c>
      <c r="CT427" s="58">
        <v>27.0</v>
      </c>
      <c r="CU427" s="58" t="s">
        <v>239</v>
      </c>
      <c r="DL427" s="58" t="s">
        <v>4596</v>
      </c>
    </row>
    <row r="428" ht="15.75" customHeight="1">
      <c r="B428" s="58" t="s">
        <v>4587</v>
      </c>
      <c r="C428" s="58">
        <v>2019.0</v>
      </c>
      <c r="D428" s="58" t="s">
        <v>4597</v>
      </c>
      <c r="E428" s="58" t="s">
        <v>4598</v>
      </c>
      <c r="F428" s="58" t="s">
        <v>4599</v>
      </c>
      <c r="H428" s="58" t="s">
        <v>4600</v>
      </c>
      <c r="I428" s="58" t="s">
        <v>4601</v>
      </c>
      <c r="K428" s="73">
        <v>43706.0</v>
      </c>
      <c r="Z428" s="58" t="s">
        <v>239</v>
      </c>
      <c r="CH428" s="58" t="s">
        <v>4602</v>
      </c>
      <c r="CI428" s="73">
        <v>43706.0</v>
      </c>
      <c r="CJ428" s="58">
        <v>329.0</v>
      </c>
      <c r="CK428" s="58">
        <v>338.0</v>
      </c>
      <c r="CL428" s="58" t="s">
        <v>4603</v>
      </c>
      <c r="CM428" s="58" t="s">
        <v>4604</v>
      </c>
      <c r="CO428" s="58" t="s">
        <v>4605</v>
      </c>
      <c r="CP428" s="58" t="s">
        <v>4606</v>
      </c>
      <c r="CR428" s="58">
        <v>99.0</v>
      </c>
      <c r="CT428" s="58">
        <v>24.0</v>
      </c>
      <c r="CU428" s="58" t="s">
        <v>239</v>
      </c>
      <c r="DL428" s="58" t="s">
        <v>4607</v>
      </c>
    </row>
    <row r="429" ht="15.75" customHeight="1">
      <c r="B429" s="58" t="s">
        <v>4587</v>
      </c>
      <c r="C429" s="58">
        <v>2019.0</v>
      </c>
      <c r="D429" s="58" t="s">
        <v>4608</v>
      </c>
      <c r="E429" s="58" t="s">
        <v>4609</v>
      </c>
      <c r="F429" s="58" t="s">
        <v>4610</v>
      </c>
      <c r="I429" s="58" t="s">
        <v>4611</v>
      </c>
      <c r="K429" s="73">
        <v>43699.0</v>
      </c>
      <c r="Z429" s="58" t="s">
        <v>239</v>
      </c>
      <c r="CH429" s="58" t="s">
        <v>4612</v>
      </c>
      <c r="CI429" s="73">
        <v>43699.0</v>
      </c>
      <c r="CJ429" s="58">
        <v>351.0</v>
      </c>
      <c r="CK429" s="58">
        <v>359.0</v>
      </c>
      <c r="CL429" s="58" t="s">
        <v>4613</v>
      </c>
      <c r="CM429" s="58" t="s">
        <v>4614</v>
      </c>
      <c r="CO429" s="58" t="s">
        <v>4615</v>
      </c>
      <c r="CP429" s="58" t="s">
        <v>4616</v>
      </c>
      <c r="CR429" s="58">
        <v>95.0</v>
      </c>
      <c r="CT429" s="58">
        <v>22.0</v>
      </c>
      <c r="CU429" s="58" t="s">
        <v>239</v>
      </c>
      <c r="DL429" s="58" t="s">
        <v>4617</v>
      </c>
    </row>
    <row r="430" ht="15.75" customHeight="1">
      <c r="B430" s="58" t="s">
        <v>4587</v>
      </c>
      <c r="C430" s="58">
        <v>2017.0</v>
      </c>
      <c r="D430" s="58" t="s">
        <v>4618</v>
      </c>
      <c r="E430" s="58" t="s">
        <v>4619</v>
      </c>
      <c r="F430" s="58" t="s">
        <v>4620</v>
      </c>
      <c r="I430" s="58" t="s">
        <v>4621</v>
      </c>
      <c r="K430" s="73">
        <v>43118.0</v>
      </c>
      <c r="Z430" s="58" t="s">
        <v>239</v>
      </c>
      <c r="CH430" s="58" t="s">
        <v>4622</v>
      </c>
      <c r="CI430" s="73">
        <v>43118.0</v>
      </c>
      <c r="CJ430" s="58">
        <v>1.0</v>
      </c>
      <c r="CK430" s="58">
        <v>8.0</v>
      </c>
      <c r="CL430" s="58" t="s">
        <v>4623</v>
      </c>
      <c r="CM430" s="58" t="s">
        <v>4624</v>
      </c>
      <c r="CO430" s="58" t="s">
        <v>4625</v>
      </c>
      <c r="CP430" s="58" t="s">
        <v>4626</v>
      </c>
      <c r="CR430" s="58">
        <v>90.0</v>
      </c>
      <c r="CT430" s="58">
        <v>30.0</v>
      </c>
      <c r="CU430" s="58" t="s">
        <v>239</v>
      </c>
      <c r="DL430" s="58" t="s">
        <v>4627</v>
      </c>
    </row>
    <row r="431" ht="15.75" customHeight="1">
      <c r="B431" s="58" t="s">
        <v>4587</v>
      </c>
      <c r="C431" s="58">
        <v>2016.0</v>
      </c>
      <c r="D431" s="58" t="s">
        <v>4628</v>
      </c>
      <c r="E431" s="58" t="s">
        <v>4629</v>
      </c>
      <c r="F431" s="58" t="s">
        <v>4630</v>
      </c>
      <c r="I431" s="58" t="s">
        <v>4631</v>
      </c>
      <c r="K431" s="73">
        <v>42646.0</v>
      </c>
      <c r="Z431" s="58" t="s">
        <v>239</v>
      </c>
      <c r="CH431" s="58" t="s">
        <v>4632</v>
      </c>
      <c r="CI431" s="73">
        <v>42646.0</v>
      </c>
      <c r="CJ431" s="58">
        <v>1.0</v>
      </c>
      <c r="CK431" s="58">
        <v>8.0</v>
      </c>
      <c r="CL431" s="58" t="s">
        <v>4633</v>
      </c>
      <c r="CM431" s="58" t="s">
        <v>4634</v>
      </c>
      <c r="CO431" s="58" t="s">
        <v>4635</v>
      </c>
      <c r="CR431" s="58">
        <v>88.0</v>
      </c>
      <c r="CT431" s="58">
        <v>21.0</v>
      </c>
      <c r="CU431" s="58" t="s">
        <v>239</v>
      </c>
      <c r="DL431" s="58" t="s">
        <v>4636</v>
      </c>
    </row>
    <row r="432" ht="15.75" customHeight="1">
      <c r="B432" s="58" t="s">
        <v>4587</v>
      </c>
      <c r="C432" s="58">
        <v>2017.0</v>
      </c>
      <c r="D432" s="58" t="s">
        <v>4637</v>
      </c>
      <c r="E432" s="58" t="s">
        <v>4638</v>
      </c>
      <c r="F432" s="58" t="s">
        <v>4639</v>
      </c>
      <c r="I432" s="58" t="s">
        <v>4640</v>
      </c>
      <c r="K432" s="73">
        <v>42971.0</v>
      </c>
      <c r="Z432" s="58" t="s">
        <v>239</v>
      </c>
      <c r="CH432" s="58" t="s">
        <v>4641</v>
      </c>
      <c r="CI432" s="73">
        <v>42971.0</v>
      </c>
      <c r="CJ432" s="58">
        <v>105.0</v>
      </c>
      <c r="CK432" s="58">
        <v>114.0</v>
      </c>
      <c r="CL432" s="58" t="s">
        <v>4642</v>
      </c>
      <c r="CM432" s="58" t="s">
        <v>4643</v>
      </c>
      <c r="CO432" s="58" t="s">
        <v>4644</v>
      </c>
      <c r="CP432" s="58" t="s">
        <v>4645</v>
      </c>
      <c r="CR432" s="58">
        <v>86.0</v>
      </c>
      <c r="CU432" s="58" t="s">
        <v>239</v>
      </c>
      <c r="DL432" s="58" t="s">
        <v>4646</v>
      </c>
    </row>
    <row r="433" ht="15.75" customHeight="1">
      <c r="B433" s="58" t="s">
        <v>4587</v>
      </c>
      <c r="C433" s="58">
        <v>2018.0</v>
      </c>
      <c r="D433" s="58" t="s">
        <v>4647</v>
      </c>
      <c r="E433" s="58" t="s">
        <v>4648</v>
      </c>
      <c r="F433" s="58" t="s">
        <v>4649</v>
      </c>
      <c r="H433" s="58" t="s">
        <v>4600</v>
      </c>
      <c r="I433" s="58" t="s">
        <v>4650</v>
      </c>
      <c r="K433" s="73">
        <v>43354.0</v>
      </c>
      <c r="Z433" s="58" t="s">
        <v>239</v>
      </c>
      <c r="CH433" s="58" t="s">
        <v>4651</v>
      </c>
      <c r="CI433" s="73">
        <v>43354.0</v>
      </c>
      <c r="CJ433" s="58">
        <v>178.0</v>
      </c>
      <c r="CK433" s="58">
        <v>185.0</v>
      </c>
      <c r="CL433" s="58" t="s">
        <v>4652</v>
      </c>
      <c r="CM433" s="58" t="s">
        <v>4653</v>
      </c>
      <c r="CO433" s="58" t="s">
        <v>4654</v>
      </c>
      <c r="CP433" s="58" t="s">
        <v>4655</v>
      </c>
      <c r="CR433" s="58">
        <v>84.0</v>
      </c>
      <c r="CS433" s="58">
        <v>1.0</v>
      </c>
      <c r="CT433" s="58">
        <v>38.0</v>
      </c>
      <c r="CU433" s="58" t="s">
        <v>239</v>
      </c>
      <c r="DL433" s="58" t="s">
        <v>4656</v>
      </c>
    </row>
    <row r="434" ht="15.75" customHeight="1">
      <c r="B434" s="58" t="s">
        <v>4587</v>
      </c>
      <c r="C434" s="58">
        <v>2018.0</v>
      </c>
      <c r="D434" s="58" t="s">
        <v>4657</v>
      </c>
      <c r="E434" s="58" t="s">
        <v>4658</v>
      </c>
      <c r="F434" s="58" t="s">
        <v>4659</v>
      </c>
      <c r="H434" s="58" t="s">
        <v>4660</v>
      </c>
      <c r="I434" s="58" t="s">
        <v>4661</v>
      </c>
      <c r="K434" s="73">
        <v>43412.0</v>
      </c>
      <c r="Z434" s="58" t="s">
        <v>239</v>
      </c>
      <c r="CH434" s="58" t="s">
        <v>4662</v>
      </c>
      <c r="CI434" s="73">
        <v>43412.0</v>
      </c>
      <c r="CJ434" s="58">
        <v>223.0</v>
      </c>
      <c r="CK434" s="58">
        <v>236.0</v>
      </c>
      <c r="CL434" s="58" t="s">
        <v>4663</v>
      </c>
      <c r="CM434" s="58" t="s">
        <v>4664</v>
      </c>
      <c r="CO434" s="58" t="s">
        <v>4665</v>
      </c>
      <c r="CP434" s="58" t="s">
        <v>4666</v>
      </c>
      <c r="CR434" s="58">
        <v>72.0</v>
      </c>
      <c r="CT434" s="58">
        <v>61.0</v>
      </c>
      <c r="CU434" s="58" t="s">
        <v>239</v>
      </c>
      <c r="DL434" s="58" t="s">
        <v>4667</v>
      </c>
    </row>
    <row r="435" ht="15.75" customHeight="1">
      <c r="B435" s="58" t="s">
        <v>4587</v>
      </c>
      <c r="C435" s="58">
        <v>2019.0</v>
      </c>
      <c r="D435" s="58" t="s">
        <v>4668</v>
      </c>
      <c r="E435" s="58" t="s">
        <v>4669</v>
      </c>
      <c r="F435" s="58" t="s">
        <v>4670</v>
      </c>
      <c r="H435" s="58" t="s">
        <v>4671</v>
      </c>
      <c r="I435" s="58" t="s">
        <v>4672</v>
      </c>
      <c r="K435" s="73">
        <v>43769.0</v>
      </c>
      <c r="Z435" s="58" t="s">
        <v>239</v>
      </c>
      <c r="CH435" s="58" t="s">
        <v>4673</v>
      </c>
      <c r="CI435" s="73">
        <v>43769.0</v>
      </c>
      <c r="CJ435" s="58">
        <v>122.0</v>
      </c>
      <c r="CK435" s="58">
        <v>132.0</v>
      </c>
      <c r="CL435" s="58" t="s">
        <v>4674</v>
      </c>
      <c r="CM435" s="58" t="s">
        <v>4675</v>
      </c>
      <c r="CO435" s="58" t="s">
        <v>4676</v>
      </c>
      <c r="CP435" s="58" t="s">
        <v>4677</v>
      </c>
      <c r="CR435" s="58">
        <v>59.0</v>
      </c>
      <c r="CT435" s="58">
        <v>38.0</v>
      </c>
      <c r="CU435" s="58" t="s">
        <v>239</v>
      </c>
      <c r="DL435" s="58" t="s">
        <v>4678</v>
      </c>
    </row>
    <row r="436" ht="15.75" customHeight="1">
      <c r="B436" s="58" t="s">
        <v>4587</v>
      </c>
      <c r="C436" s="58">
        <v>2016.0</v>
      </c>
      <c r="D436" s="58" t="s">
        <v>4679</v>
      </c>
      <c r="E436" s="58" t="s">
        <v>4680</v>
      </c>
      <c r="F436" s="58" t="s">
        <v>4681</v>
      </c>
      <c r="I436" s="58" t="s">
        <v>4682</v>
      </c>
      <c r="K436" s="73">
        <v>42579.0</v>
      </c>
      <c r="Z436" s="58" t="s">
        <v>239</v>
      </c>
      <c r="CH436" s="58" t="s">
        <v>4683</v>
      </c>
      <c r="CI436" s="73">
        <v>42579.0</v>
      </c>
      <c r="CJ436" s="58">
        <v>1196.0</v>
      </c>
      <c r="CK436" s="58">
        <v>1201.0</v>
      </c>
      <c r="CL436" s="58" t="s">
        <v>4684</v>
      </c>
      <c r="CM436" s="58" t="s">
        <v>4685</v>
      </c>
      <c r="CO436" s="58" t="s">
        <v>4686</v>
      </c>
      <c r="CR436" s="58">
        <v>50.0</v>
      </c>
      <c r="CT436" s="58">
        <v>18.0</v>
      </c>
      <c r="DL436" s="58" t="s">
        <v>4687</v>
      </c>
    </row>
    <row r="437" ht="15.75" customHeight="1">
      <c r="B437" s="58" t="s">
        <v>4587</v>
      </c>
      <c r="C437" s="58">
        <v>2020.0</v>
      </c>
      <c r="D437" s="58" t="s">
        <v>4688</v>
      </c>
      <c r="E437" s="58" t="s">
        <v>4689</v>
      </c>
      <c r="F437" s="58" t="s">
        <v>4690</v>
      </c>
      <c r="I437" s="58" t="s">
        <v>4691</v>
      </c>
      <c r="K437" s="73">
        <v>44146.0</v>
      </c>
      <c r="Z437" s="58" t="s">
        <v>239</v>
      </c>
      <c r="CH437" s="58" t="s">
        <v>4692</v>
      </c>
      <c r="CI437" s="73">
        <v>44146.0</v>
      </c>
      <c r="CJ437" s="58">
        <v>681.0</v>
      </c>
      <c r="CK437" s="58">
        <v>697.0</v>
      </c>
      <c r="CL437" s="58" t="s">
        <v>4693</v>
      </c>
      <c r="CM437" s="58" t="s">
        <v>4694</v>
      </c>
      <c r="CN437" s="58" t="s">
        <v>4695</v>
      </c>
      <c r="CO437" s="58" t="s">
        <v>4696</v>
      </c>
      <c r="CP437" s="58" t="s">
        <v>4697</v>
      </c>
      <c r="CR437" s="58">
        <v>49.0</v>
      </c>
      <c r="CT437" s="58">
        <v>124.0</v>
      </c>
      <c r="CU437" s="58" t="s">
        <v>239</v>
      </c>
      <c r="DL437" s="58" t="s">
        <v>4698</v>
      </c>
    </row>
    <row r="438" ht="15.75" customHeight="1">
      <c r="B438" s="58" t="s">
        <v>4587</v>
      </c>
      <c r="C438" s="58">
        <v>2022.0</v>
      </c>
      <c r="D438" s="58" t="s">
        <v>4699</v>
      </c>
      <c r="E438" s="58" t="s">
        <v>4700</v>
      </c>
      <c r="F438" s="58" t="s">
        <v>4701</v>
      </c>
      <c r="I438" s="58" t="s">
        <v>4702</v>
      </c>
      <c r="K438" s="73">
        <v>44938.0</v>
      </c>
      <c r="Z438" s="58" t="s">
        <v>239</v>
      </c>
      <c r="CH438" s="58" t="s">
        <v>4703</v>
      </c>
      <c r="CI438" s="73">
        <v>44938.0</v>
      </c>
      <c r="CJ438" s="58">
        <v>215.0</v>
      </c>
      <c r="CK438" s="58">
        <v>220.0</v>
      </c>
      <c r="CL438" s="58" t="s">
        <v>4704</v>
      </c>
      <c r="CM438" s="58" t="s">
        <v>4705</v>
      </c>
      <c r="CN438" s="58" t="s">
        <v>4706</v>
      </c>
      <c r="CO438" s="58" t="s">
        <v>4707</v>
      </c>
      <c r="CP438" s="58" t="s">
        <v>4708</v>
      </c>
      <c r="CR438" s="58">
        <v>46.0</v>
      </c>
      <c r="CT438" s="58">
        <v>16.0</v>
      </c>
      <c r="CU438" s="58" t="s">
        <v>239</v>
      </c>
      <c r="DL438" s="58" t="s">
        <v>4709</v>
      </c>
    </row>
    <row r="439" ht="15.75" customHeight="1">
      <c r="B439" s="58" t="s">
        <v>4587</v>
      </c>
      <c r="C439" s="58">
        <v>2018.0</v>
      </c>
      <c r="D439" s="58" t="s">
        <v>4710</v>
      </c>
      <c r="E439" s="58" t="s">
        <v>4711</v>
      </c>
      <c r="F439" s="58" t="s">
        <v>4712</v>
      </c>
      <c r="I439" s="58" t="s">
        <v>4713</v>
      </c>
      <c r="K439" s="73">
        <v>43373.0</v>
      </c>
      <c r="Z439" s="58" t="s">
        <v>239</v>
      </c>
      <c r="CH439" s="58" t="s">
        <v>4714</v>
      </c>
      <c r="CI439" s="73">
        <v>43373.0</v>
      </c>
      <c r="CJ439" s="58">
        <v>1.0</v>
      </c>
      <c r="CK439" s="58">
        <v>4.0</v>
      </c>
      <c r="CL439" s="58" t="s">
        <v>4715</v>
      </c>
      <c r="CM439" s="58" t="s">
        <v>4716</v>
      </c>
      <c r="CO439" s="58" t="s">
        <v>4717</v>
      </c>
      <c r="CP439" s="58" t="s">
        <v>4718</v>
      </c>
      <c r="CR439" s="58">
        <v>44.0</v>
      </c>
      <c r="CT439" s="58">
        <v>19.0</v>
      </c>
      <c r="CU439" s="58" t="s">
        <v>239</v>
      </c>
      <c r="DL439" s="58" t="s">
        <v>4719</v>
      </c>
    </row>
    <row r="440" ht="15.75" customHeight="1">
      <c r="B440" s="58" t="s">
        <v>4587</v>
      </c>
      <c r="C440" s="58">
        <v>2020.0</v>
      </c>
      <c r="D440" s="58" t="s">
        <v>4720</v>
      </c>
      <c r="E440" s="58" t="s">
        <v>4721</v>
      </c>
      <c r="F440" s="58" t="s">
        <v>4722</v>
      </c>
      <c r="I440" s="58" t="s">
        <v>4723</v>
      </c>
      <c r="K440" s="73">
        <v>44249.0</v>
      </c>
      <c r="Z440" s="58" t="s">
        <v>239</v>
      </c>
      <c r="CH440" s="58" t="s">
        <v>4724</v>
      </c>
      <c r="CI440" s="73">
        <v>44249.0</v>
      </c>
      <c r="CJ440" s="58">
        <v>42.0</v>
      </c>
      <c r="CK440" s="58">
        <v>54.0</v>
      </c>
      <c r="CL440" s="58" t="s">
        <v>4725</v>
      </c>
      <c r="CM440" s="58" t="s">
        <v>4726</v>
      </c>
      <c r="CO440" s="58" t="s">
        <v>4727</v>
      </c>
      <c r="CP440" s="58" t="s">
        <v>4728</v>
      </c>
      <c r="CR440" s="58">
        <v>43.0</v>
      </c>
      <c r="CT440" s="58">
        <v>43.0</v>
      </c>
      <c r="CU440" s="58" t="s">
        <v>239</v>
      </c>
      <c r="DL440" s="58" t="s">
        <v>4729</v>
      </c>
    </row>
    <row r="441" ht="15.75" customHeight="1">
      <c r="B441" s="58" t="s">
        <v>4587</v>
      </c>
      <c r="C441" s="58">
        <v>2019.0</v>
      </c>
      <c r="D441" s="58" t="s">
        <v>4730</v>
      </c>
      <c r="E441" s="58" t="s">
        <v>4731</v>
      </c>
      <c r="F441" s="58" t="s">
        <v>4732</v>
      </c>
      <c r="H441" s="58" t="s">
        <v>4733</v>
      </c>
      <c r="I441" s="58" t="s">
        <v>4734</v>
      </c>
      <c r="K441" s="73">
        <v>43633.0</v>
      </c>
      <c r="Z441" s="58" t="s">
        <v>239</v>
      </c>
      <c r="CH441" s="58" t="s">
        <v>4735</v>
      </c>
      <c r="CI441" s="73">
        <v>43633.0</v>
      </c>
      <c r="CJ441" s="58">
        <v>298.0</v>
      </c>
      <c r="CK441" s="58">
        <v>306.0</v>
      </c>
      <c r="CL441" s="58" t="s">
        <v>4736</v>
      </c>
      <c r="CM441" s="58" t="s">
        <v>4737</v>
      </c>
      <c r="CO441" s="58" t="s">
        <v>4738</v>
      </c>
      <c r="CP441" s="58" t="s">
        <v>4739</v>
      </c>
      <c r="CR441" s="58">
        <v>40.0</v>
      </c>
      <c r="CT441" s="58">
        <v>33.0</v>
      </c>
      <c r="CU441" s="58" t="s">
        <v>239</v>
      </c>
      <c r="DL441" s="58" t="s">
        <v>4740</v>
      </c>
    </row>
    <row r="442" ht="15.75" customHeight="1">
      <c r="B442" s="58" t="s">
        <v>4587</v>
      </c>
      <c r="C442" s="58">
        <v>2016.0</v>
      </c>
      <c r="D442" s="58" t="s">
        <v>4741</v>
      </c>
      <c r="E442" s="58" t="s">
        <v>4742</v>
      </c>
      <c r="F442" s="58" t="s">
        <v>4743</v>
      </c>
      <c r="I442" s="58" t="s">
        <v>4744</v>
      </c>
      <c r="K442" s="73">
        <v>42859.0</v>
      </c>
      <c r="Z442" s="58" t="s">
        <v>239</v>
      </c>
      <c r="CH442" s="58" t="s">
        <v>4745</v>
      </c>
      <c r="CI442" s="73">
        <v>42859.0</v>
      </c>
      <c r="CJ442" s="58">
        <v>240.0</v>
      </c>
      <c r="CK442" s="58">
        <v>245.0</v>
      </c>
      <c r="CL442" s="58" t="s">
        <v>4746</v>
      </c>
      <c r="CM442" s="58" t="s">
        <v>4747</v>
      </c>
      <c r="CO442" s="58" t="s">
        <v>4748</v>
      </c>
      <c r="CP442" s="58" t="s">
        <v>4749</v>
      </c>
      <c r="CR442" s="58">
        <v>40.0</v>
      </c>
      <c r="CT442" s="58">
        <v>24.0</v>
      </c>
      <c r="CU442" s="58" t="s">
        <v>239</v>
      </c>
      <c r="DL442" s="58" t="s">
        <v>4750</v>
      </c>
    </row>
    <row r="443" ht="15.75" customHeight="1">
      <c r="B443" s="58" t="s">
        <v>4587</v>
      </c>
      <c r="C443" s="58">
        <v>2019.0</v>
      </c>
      <c r="D443" s="58" t="s">
        <v>4751</v>
      </c>
      <c r="E443" s="58" t="s">
        <v>4752</v>
      </c>
      <c r="F443" s="58" t="s">
        <v>4670</v>
      </c>
      <c r="H443" s="58" t="s">
        <v>4671</v>
      </c>
      <c r="I443" s="58" t="s">
        <v>4753</v>
      </c>
      <c r="K443" s="73">
        <v>43769.0</v>
      </c>
      <c r="Z443" s="58" t="s">
        <v>239</v>
      </c>
      <c r="CH443" s="58" t="s">
        <v>4754</v>
      </c>
      <c r="CI443" s="73">
        <v>43769.0</v>
      </c>
      <c r="CJ443" s="58">
        <v>80.0</v>
      </c>
      <c r="CK443" s="58">
        <v>90.0</v>
      </c>
      <c r="CL443" s="58" t="s">
        <v>4755</v>
      </c>
      <c r="CM443" s="58" t="s">
        <v>4675</v>
      </c>
      <c r="CO443" s="58" t="s">
        <v>4756</v>
      </c>
      <c r="CP443" s="58" t="s">
        <v>4757</v>
      </c>
      <c r="CR443" s="58">
        <v>38.0</v>
      </c>
      <c r="CT443" s="58">
        <v>38.0</v>
      </c>
      <c r="CU443" s="58" t="s">
        <v>239</v>
      </c>
      <c r="DL443" s="58" t="s">
        <v>4758</v>
      </c>
    </row>
    <row r="444" ht="15.75" customHeight="1">
      <c r="B444" s="58" t="s">
        <v>4587</v>
      </c>
      <c r="C444" s="58">
        <v>2017.0</v>
      </c>
      <c r="D444" s="58" t="s">
        <v>4759</v>
      </c>
      <c r="E444" s="58" t="s">
        <v>4760</v>
      </c>
      <c r="F444" s="58" t="s">
        <v>4761</v>
      </c>
      <c r="I444" s="58" t="s">
        <v>4762</v>
      </c>
      <c r="K444" s="73">
        <v>42929.0</v>
      </c>
      <c r="Z444" s="58" t="s">
        <v>239</v>
      </c>
      <c r="CH444" s="58" t="s">
        <v>4763</v>
      </c>
      <c r="CI444" s="73">
        <v>42929.0</v>
      </c>
      <c r="CJ444" s="58">
        <v>387.0</v>
      </c>
      <c r="CK444" s="58">
        <v>392.0</v>
      </c>
      <c r="CL444" s="58" t="s">
        <v>4764</v>
      </c>
      <c r="CM444" s="58" t="s">
        <v>4765</v>
      </c>
      <c r="CO444" s="58" t="s">
        <v>4766</v>
      </c>
      <c r="CP444" s="58" t="s">
        <v>4767</v>
      </c>
      <c r="CR444" s="58">
        <v>38.0</v>
      </c>
      <c r="CS444" s="58">
        <v>1.0</v>
      </c>
      <c r="CT444" s="58">
        <v>18.0</v>
      </c>
      <c r="DL444" s="58" t="s">
        <v>4768</v>
      </c>
    </row>
    <row r="445" ht="15.75" customHeight="1">
      <c r="B445" s="58" t="s">
        <v>4587</v>
      </c>
      <c r="C445" s="58">
        <v>2017.0</v>
      </c>
      <c r="D445" s="58" t="s">
        <v>4769</v>
      </c>
      <c r="E445" s="58" t="s">
        <v>4770</v>
      </c>
      <c r="F445" s="58" t="s">
        <v>4771</v>
      </c>
      <c r="I445" s="58" t="s">
        <v>4772</v>
      </c>
      <c r="K445" s="73">
        <v>42894.0</v>
      </c>
      <c r="Z445" s="58" t="s">
        <v>239</v>
      </c>
      <c r="CH445" s="58" t="s">
        <v>4773</v>
      </c>
      <c r="CI445" s="73">
        <v>42894.0</v>
      </c>
      <c r="CJ445" s="58">
        <v>81.0</v>
      </c>
      <c r="CK445" s="58">
        <v>85.0</v>
      </c>
      <c r="CL445" s="58" t="s">
        <v>4774</v>
      </c>
      <c r="CM445" s="58" t="s">
        <v>4775</v>
      </c>
      <c r="CO445" s="58" t="s">
        <v>4776</v>
      </c>
      <c r="CP445" s="58" t="s">
        <v>4777</v>
      </c>
      <c r="CR445" s="58">
        <v>37.0</v>
      </c>
      <c r="CT445" s="58">
        <v>57.0</v>
      </c>
      <c r="CU445" s="58" t="s">
        <v>239</v>
      </c>
      <c r="DL445" s="58" t="s">
        <v>4778</v>
      </c>
    </row>
    <row r="446" ht="15.75" customHeight="1">
      <c r="B446" s="58" t="s">
        <v>4587</v>
      </c>
      <c r="C446" s="58">
        <v>2018.0</v>
      </c>
      <c r="D446" s="58" t="s">
        <v>4779</v>
      </c>
      <c r="E446" s="58" t="s">
        <v>4780</v>
      </c>
      <c r="F446" s="58" t="s">
        <v>4781</v>
      </c>
      <c r="I446" s="58" t="s">
        <v>4782</v>
      </c>
      <c r="K446" s="73">
        <v>43237.0</v>
      </c>
      <c r="Z446" s="58" t="s">
        <v>239</v>
      </c>
      <c r="CH446" s="58" t="s">
        <v>4783</v>
      </c>
      <c r="CI446" s="73">
        <v>43237.0</v>
      </c>
      <c r="CJ446" s="58">
        <v>398.0</v>
      </c>
      <c r="CK446" s="58">
        <v>403.0</v>
      </c>
      <c r="CL446" s="58" t="s">
        <v>4784</v>
      </c>
      <c r="CM446" s="58" t="s">
        <v>4785</v>
      </c>
      <c r="CO446" s="58" t="s">
        <v>4786</v>
      </c>
      <c r="CP446" s="58" t="s">
        <v>4787</v>
      </c>
      <c r="CR446" s="58">
        <v>37.0</v>
      </c>
      <c r="CT446" s="58">
        <v>37.0</v>
      </c>
      <c r="CU446" s="58" t="s">
        <v>239</v>
      </c>
      <c r="DL446" s="58" t="s">
        <v>4788</v>
      </c>
    </row>
    <row r="447" ht="15.75" customHeight="1">
      <c r="B447" s="58" t="s">
        <v>4587</v>
      </c>
      <c r="C447" s="58">
        <v>2021.0</v>
      </c>
      <c r="D447" s="58" t="s">
        <v>4789</v>
      </c>
      <c r="E447" s="58" t="s">
        <v>4790</v>
      </c>
      <c r="F447" s="58" t="s">
        <v>4791</v>
      </c>
      <c r="I447" s="58" t="s">
        <v>4792</v>
      </c>
      <c r="K447" s="73">
        <v>44522.0</v>
      </c>
      <c r="Z447" s="58" t="s">
        <v>239</v>
      </c>
      <c r="CH447" s="58" t="s">
        <v>4793</v>
      </c>
      <c r="CI447" s="73">
        <v>44522.0</v>
      </c>
      <c r="CJ447" s="58">
        <v>191.0</v>
      </c>
      <c r="CK447" s="58">
        <v>200.0</v>
      </c>
      <c r="CL447" s="58" t="s">
        <v>4794</v>
      </c>
      <c r="CM447" s="58" t="s">
        <v>4795</v>
      </c>
      <c r="CO447" s="58" t="s">
        <v>4796</v>
      </c>
      <c r="CP447" s="58" t="s">
        <v>4797</v>
      </c>
      <c r="CR447" s="58">
        <v>33.0</v>
      </c>
      <c r="CT447" s="58">
        <v>47.0</v>
      </c>
      <c r="CU447" s="58" t="s">
        <v>239</v>
      </c>
      <c r="DL447" s="58" t="s">
        <v>4798</v>
      </c>
    </row>
    <row r="448" ht="15.75" customHeight="1">
      <c r="B448" s="58" t="s">
        <v>4587</v>
      </c>
      <c r="C448" s="58">
        <v>2022.0</v>
      </c>
      <c r="D448" s="58" t="s">
        <v>4799</v>
      </c>
      <c r="E448" s="58" t="s">
        <v>4800</v>
      </c>
      <c r="F448" s="58" t="s">
        <v>4801</v>
      </c>
      <c r="H448" s="58" t="s">
        <v>4802</v>
      </c>
      <c r="I448" s="58" t="s">
        <v>4803</v>
      </c>
      <c r="K448" s="73">
        <v>44761.0</v>
      </c>
      <c r="Z448" s="58" t="s">
        <v>239</v>
      </c>
      <c r="CH448" s="58" t="s">
        <v>4804</v>
      </c>
      <c r="CI448" s="73">
        <v>44761.0</v>
      </c>
      <c r="CJ448" s="58">
        <v>324.0</v>
      </c>
      <c r="CK448" s="58">
        <v>329.0</v>
      </c>
      <c r="CL448" s="58" t="s">
        <v>4805</v>
      </c>
      <c r="CM448" s="58" t="s">
        <v>4806</v>
      </c>
      <c r="CO448" s="58" t="s">
        <v>4807</v>
      </c>
      <c r="CP448" s="58" t="s">
        <v>4808</v>
      </c>
      <c r="CR448" s="58">
        <v>33.0</v>
      </c>
      <c r="CT448" s="58">
        <v>20.0</v>
      </c>
      <c r="CU448" s="58" t="s">
        <v>239</v>
      </c>
      <c r="DL448" s="58" t="s">
        <v>4809</v>
      </c>
    </row>
    <row r="449" ht="15.75" customHeight="1">
      <c r="B449" s="58" t="s">
        <v>4587</v>
      </c>
      <c r="C449" s="58">
        <v>2021.0</v>
      </c>
      <c r="D449" s="58" t="s">
        <v>4810</v>
      </c>
      <c r="E449" s="58" t="s">
        <v>4811</v>
      </c>
      <c r="F449" s="58" t="s">
        <v>4812</v>
      </c>
      <c r="H449" s="58" t="s">
        <v>4813</v>
      </c>
      <c r="I449" s="58" t="s">
        <v>4814</v>
      </c>
      <c r="K449" s="73">
        <v>44375.0</v>
      </c>
      <c r="Z449" s="58" t="s">
        <v>239</v>
      </c>
      <c r="CH449" s="58" t="s">
        <v>4815</v>
      </c>
      <c r="CI449" s="73">
        <v>44375.0</v>
      </c>
      <c r="CJ449" s="58">
        <v>932.0</v>
      </c>
      <c r="CK449" s="58">
        <v>941.0</v>
      </c>
      <c r="CL449" s="58" t="s">
        <v>4816</v>
      </c>
      <c r="CM449" s="58" t="s">
        <v>4817</v>
      </c>
      <c r="CO449" s="58" t="s">
        <v>4818</v>
      </c>
      <c r="CR449" s="58">
        <v>33.0</v>
      </c>
      <c r="CT449" s="58">
        <v>38.0</v>
      </c>
      <c r="CU449" s="58" t="s">
        <v>239</v>
      </c>
      <c r="DL449" s="58" t="s">
        <v>4819</v>
      </c>
    </row>
    <row r="450" ht="15.75" customHeight="1">
      <c r="B450" s="58" t="s">
        <v>4587</v>
      </c>
      <c r="C450" s="58">
        <v>2016.0</v>
      </c>
      <c r="D450" s="58" t="s">
        <v>4820</v>
      </c>
      <c r="E450" s="58" t="s">
        <v>4821</v>
      </c>
      <c r="F450" s="58" t="s">
        <v>4822</v>
      </c>
      <c r="I450" s="58" t="s">
        <v>4823</v>
      </c>
      <c r="K450" s="73">
        <v>42688.0</v>
      </c>
      <c r="Z450" s="58" t="s">
        <v>239</v>
      </c>
      <c r="CH450" s="58" t="s">
        <v>4824</v>
      </c>
      <c r="CI450" s="73">
        <v>42688.0</v>
      </c>
      <c r="CJ450" s="58">
        <v>1.0</v>
      </c>
      <c r="CK450" s="58">
        <v>6.0</v>
      </c>
      <c r="CL450" s="58" t="s">
        <v>4825</v>
      </c>
      <c r="CM450" s="58" t="s">
        <v>4826</v>
      </c>
      <c r="CO450" s="58" t="s">
        <v>4827</v>
      </c>
      <c r="CP450" s="58" t="s">
        <v>4828</v>
      </c>
      <c r="CR450" s="58">
        <v>32.0</v>
      </c>
      <c r="CT450" s="58">
        <v>21.0</v>
      </c>
      <c r="CU450" s="58" t="s">
        <v>239</v>
      </c>
    </row>
    <row r="451" ht="15.75" customHeight="1">
      <c r="B451" s="58" t="s">
        <v>4587</v>
      </c>
      <c r="C451" s="58">
        <v>2019.0</v>
      </c>
      <c r="D451" s="58" t="s">
        <v>4829</v>
      </c>
      <c r="E451" s="58" t="s">
        <v>4830</v>
      </c>
      <c r="F451" s="58" t="s">
        <v>4670</v>
      </c>
      <c r="H451" s="58" t="s">
        <v>4671</v>
      </c>
      <c r="I451" s="58" t="s">
        <v>4831</v>
      </c>
      <c r="K451" s="73">
        <v>43769.0</v>
      </c>
      <c r="Z451" s="58" t="s">
        <v>239</v>
      </c>
      <c r="CH451" s="58" t="s">
        <v>4832</v>
      </c>
      <c r="CI451" s="73">
        <v>43769.0</v>
      </c>
      <c r="CJ451" s="58">
        <v>2015.0</v>
      </c>
      <c r="CK451" s="58">
        <v>2025.0</v>
      </c>
      <c r="CL451" s="58" t="s">
        <v>4833</v>
      </c>
      <c r="CM451" s="58" t="s">
        <v>4675</v>
      </c>
      <c r="CO451" s="58" t="s">
        <v>4834</v>
      </c>
      <c r="CP451" s="58" t="s">
        <v>4835</v>
      </c>
      <c r="CR451" s="58">
        <v>32.0</v>
      </c>
      <c r="CT451" s="58">
        <v>30.0</v>
      </c>
      <c r="CU451" s="58" t="s">
        <v>239</v>
      </c>
      <c r="DL451" s="58" t="s">
        <v>4836</v>
      </c>
    </row>
    <row r="452" ht="15.75" customHeight="1">
      <c r="B452" s="58" t="s">
        <v>4587</v>
      </c>
      <c r="C452" s="58">
        <v>2020.0</v>
      </c>
      <c r="D452" s="58" t="s">
        <v>4837</v>
      </c>
      <c r="E452" s="58" t="s">
        <v>4838</v>
      </c>
      <c r="F452" s="58" t="s">
        <v>4839</v>
      </c>
      <c r="I452" s="58" t="s">
        <v>4840</v>
      </c>
      <c r="K452" s="73">
        <v>44026.0</v>
      </c>
      <c r="Z452" s="58" t="s">
        <v>239</v>
      </c>
      <c r="CH452" s="58" t="s">
        <v>4841</v>
      </c>
      <c r="CI452" s="73">
        <v>44026.0</v>
      </c>
      <c r="CJ452" s="58">
        <v>599.0</v>
      </c>
      <c r="CK452" s="58">
        <v>608.0</v>
      </c>
      <c r="CL452" s="58" t="s">
        <v>4842</v>
      </c>
      <c r="CM452" s="58" t="s">
        <v>4843</v>
      </c>
      <c r="CO452" s="58" t="s">
        <v>4844</v>
      </c>
      <c r="CP452" s="58" t="s">
        <v>4845</v>
      </c>
      <c r="CR452" s="58">
        <v>32.0</v>
      </c>
      <c r="CT452" s="58">
        <v>30.0</v>
      </c>
      <c r="CU452" s="58" t="s">
        <v>239</v>
      </c>
      <c r="DL452" s="58" t="s">
        <v>4846</v>
      </c>
    </row>
    <row r="453" ht="15.75" customHeight="1">
      <c r="B453" s="58" t="s">
        <v>4587</v>
      </c>
      <c r="C453" s="58">
        <v>2017.0</v>
      </c>
      <c r="D453" s="58" t="s">
        <v>4847</v>
      </c>
      <c r="E453" s="58" t="s">
        <v>4848</v>
      </c>
      <c r="F453" s="58" t="s">
        <v>4849</v>
      </c>
      <c r="I453" s="58" t="s">
        <v>4850</v>
      </c>
      <c r="K453" s="73">
        <v>43027.0</v>
      </c>
      <c r="Z453" s="58" t="s">
        <v>239</v>
      </c>
      <c r="CH453" s="58" t="s">
        <v>4851</v>
      </c>
      <c r="CI453" s="73">
        <v>43027.0</v>
      </c>
      <c r="CJ453" s="58">
        <v>1.0</v>
      </c>
      <c r="CK453" s="58">
        <v>7.0</v>
      </c>
      <c r="CL453" s="58" t="s">
        <v>4852</v>
      </c>
      <c r="CM453" s="58" t="s">
        <v>4853</v>
      </c>
      <c r="CO453" s="58" t="s">
        <v>4854</v>
      </c>
      <c r="CP453" s="58" t="s">
        <v>4855</v>
      </c>
      <c r="CR453" s="58">
        <v>32.0</v>
      </c>
      <c r="CT453" s="58">
        <v>16.0</v>
      </c>
      <c r="CU453" s="58" t="s">
        <v>239</v>
      </c>
      <c r="DL453" s="58" t="s">
        <v>4856</v>
      </c>
    </row>
    <row r="454" ht="15.75" customHeight="1">
      <c r="B454" s="58" t="s">
        <v>4587</v>
      </c>
      <c r="C454" s="58">
        <v>2016.0</v>
      </c>
      <c r="D454" s="58" t="s">
        <v>4857</v>
      </c>
      <c r="E454" s="58" t="s">
        <v>4858</v>
      </c>
      <c r="F454" s="58" t="s">
        <v>4630</v>
      </c>
      <c r="I454" s="58" t="s">
        <v>4859</v>
      </c>
      <c r="K454" s="73">
        <v>42646.0</v>
      </c>
      <c r="Z454" s="58" t="s">
        <v>239</v>
      </c>
      <c r="CH454" s="58" t="s">
        <v>4860</v>
      </c>
      <c r="CI454" s="73">
        <v>42646.0</v>
      </c>
      <c r="CJ454" s="58">
        <v>1.0</v>
      </c>
      <c r="CK454" s="58">
        <v>2.0</v>
      </c>
      <c r="CL454" s="58" t="s">
        <v>4861</v>
      </c>
      <c r="CM454" s="58" t="s">
        <v>4634</v>
      </c>
      <c r="CO454" s="58" t="s">
        <v>4862</v>
      </c>
      <c r="CP454" s="58" t="s">
        <v>4863</v>
      </c>
      <c r="CR454" s="58">
        <v>31.0</v>
      </c>
      <c r="CT454" s="58">
        <v>8.0</v>
      </c>
      <c r="CU454" s="58" t="s">
        <v>239</v>
      </c>
      <c r="DL454" s="58" t="s">
        <v>4864</v>
      </c>
    </row>
    <row r="455" ht="15.75" customHeight="1">
      <c r="B455" s="58" t="s">
        <v>4587</v>
      </c>
      <c r="C455" s="58">
        <v>2021.0</v>
      </c>
      <c r="D455" s="58" t="s">
        <v>4865</v>
      </c>
      <c r="E455" s="58" t="s">
        <v>4866</v>
      </c>
      <c r="F455" s="58" t="s">
        <v>4867</v>
      </c>
      <c r="H455" s="58" t="s">
        <v>4868</v>
      </c>
      <c r="I455" s="58" t="s">
        <v>4869</v>
      </c>
      <c r="K455" s="73">
        <v>44609.0</v>
      </c>
      <c r="Z455" s="58" t="s">
        <v>239</v>
      </c>
      <c r="CH455" s="58" t="s">
        <v>4870</v>
      </c>
      <c r="CI455" s="73">
        <v>44609.0</v>
      </c>
      <c r="CJ455" s="58">
        <v>94.0</v>
      </c>
      <c r="CK455" s="58">
        <v>101.0</v>
      </c>
      <c r="CL455" s="58" t="s">
        <v>4871</v>
      </c>
      <c r="CM455" s="58" t="s">
        <v>4872</v>
      </c>
      <c r="CN455" s="58" t="s">
        <v>4873</v>
      </c>
      <c r="CO455" s="58" t="s">
        <v>4874</v>
      </c>
      <c r="CP455" s="58" t="s">
        <v>4875</v>
      </c>
      <c r="CR455" s="58">
        <v>30.0</v>
      </c>
      <c r="CT455" s="58">
        <v>47.0</v>
      </c>
      <c r="CU455" s="58" t="s">
        <v>239</v>
      </c>
      <c r="DL455" s="58" t="s">
        <v>4876</v>
      </c>
    </row>
    <row r="456" ht="15.75" customHeight="1">
      <c r="B456" s="58" t="s">
        <v>4587</v>
      </c>
      <c r="C456" s="58">
        <v>2019.0</v>
      </c>
      <c r="D456" s="58" t="s">
        <v>4877</v>
      </c>
      <c r="E456" s="58" t="s">
        <v>4878</v>
      </c>
      <c r="F456" s="58" t="s">
        <v>4879</v>
      </c>
      <c r="H456" s="58" t="s">
        <v>4880</v>
      </c>
      <c r="I456" s="58" t="s">
        <v>4881</v>
      </c>
      <c r="K456" s="73">
        <v>43552.0</v>
      </c>
      <c r="Z456" s="58" t="s">
        <v>239</v>
      </c>
      <c r="CH456" s="58" t="s">
        <v>4882</v>
      </c>
      <c r="CI456" s="73">
        <v>43552.0</v>
      </c>
      <c r="CJ456" s="58">
        <v>120.0</v>
      </c>
      <c r="CK456" s="58">
        <v>132.0</v>
      </c>
      <c r="CL456" s="58" t="s">
        <v>4883</v>
      </c>
      <c r="CM456" s="58" t="s">
        <v>4884</v>
      </c>
      <c r="CO456" s="58" t="s">
        <v>4885</v>
      </c>
      <c r="CP456" s="58" t="s">
        <v>4886</v>
      </c>
      <c r="CR456" s="58">
        <v>30.0</v>
      </c>
      <c r="CT456" s="58">
        <v>57.0</v>
      </c>
      <c r="CU456" s="58" t="s">
        <v>239</v>
      </c>
      <c r="DL456" s="58" t="s">
        <v>4887</v>
      </c>
    </row>
    <row r="457" ht="15.75" customHeight="1">
      <c r="B457" s="58" t="s">
        <v>4587</v>
      </c>
      <c r="C457" s="58">
        <v>2016.0</v>
      </c>
      <c r="D457" s="58" t="s">
        <v>4888</v>
      </c>
      <c r="E457" s="58" t="s">
        <v>4889</v>
      </c>
      <c r="F457" s="58" t="s">
        <v>4890</v>
      </c>
      <c r="I457" s="58" t="s">
        <v>4891</v>
      </c>
      <c r="K457" s="73">
        <v>42723.0</v>
      </c>
      <c r="Z457" s="58" t="s">
        <v>239</v>
      </c>
      <c r="CH457" s="58" t="s">
        <v>4892</v>
      </c>
      <c r="CI457" s="73">
        <v>42723.0</v>
      </c>
      <c r="CJ457" s="58">
        <v>236.0</v>
      </c>
      <c r="CK457" s="58">
        <v>241.0</v>
      </c>
      <c r="CL457" s="58" t="s">
        <v>4893</v>
      </c>
      <c r="CM457" s="58" t="s">
        <v>4894</v>
      </c>
      <c r="CO457" s="58" t="s">
        <v>4895</v>
      </c>
      <c r="CP457" s="58" t="s">
        <v>4896</v>
      </c>
      <c r="CR457" s="58">
        <v>27.0</v>
      </c>
      <c r="CT457" s="58">
        <v>16.0</v>
      </c>
      <c r="CU457" s="58" t="s">
        <v>239</v>
      </c>
      <c r="DL457" s="58" t="s">
        <v>4897</v>
      </c>
    </row>
    <row r="458" ht="15.75" customHeight="1">
      <c r="B458" s="58" t="s">
        <v>4587</v>
      </c>
      <c r="C458" s="58">
        <v>2019.0</v>
      </c>
      <c r="D458" s="58" t="s">
        <v>4898</v>
      </c>
      <c r="E458" s="58" t="s">
        <v>4899</v>
      </c>
      <c r="F458" s="58" t="s">
        <v>4900</v>
      </c>
      <c r="H458" s="58" t="s">
        <v>4901</v>
      </c>
      <c r="I458" s="58" t="s">
        <v>4902</v>
      </c>
      <c r="K458" s="73">
        <v>43591.0</v>
      </c>
      <c r="Z458" s="58" t="s">
        <v>239</v>
      </c>
      <c r="CH458" s="58" t="s">
        <v>4903</v>
      </c>
      <c r="CI458" s="73">
        <v>43591.0</v>
      </c>
      <c r="CJ458" s="58">
        <v>156.0</v>
      </c>
      <c r="CK458" s="58">
        <v>15610.0</v>
      </c>
      <c r="CL458" s="58" t="s">
        <v>4904</v>
      </c>
      <c r="CM458" s="58" t="s">
        <v>4905</v>
      </c>
      <c r="CO458" s="58" t="s">
        <v>4906</v>
      </c>
      <c r="CP458" s="58" t="s">
        <v>4907</v>
      </c>
      <c r="CR458" s="58">
        <v>27.0</v>
      </c>
      <c r="CS458" s="58">
        <v>2.0</v>
      </c>
      <c r="CT458" s="58">
        <v>19.0</v>
      </c>
      <c r="CU458" s="58" t="s">
        <v>239</v>
      </c>
      <c r="DL458" s="58" t="s">
        <v>4908</v>
      </c>
    </row>
    <row r="459" ht="15.75" customHeight="1">
      <c r="B459" s="58" t="s">
        <v>4587</v>
      </c>
      <c r="C459" s="58">
        <v>2016.0</v>
      </c>
      <c r="D459" s="58" t="s">
        <v>4909</v>
      </c>
      <c r="E459" s="58" t="s">
        <v>4910</v>
      </c>
      <c r="F459" s="58" t="s">
        <v>4911</v>
      </c>
      <c r="H459" s="58" t="s">
        <v>4912</v>
      </c>
      <c r="I459" s="58" t="s">
        <v>4913</v>
      </c>
      <c r="K459" s="73">
        <v>42761.0</v>
      </c>
      <c r="Z459" s="58" t="s">
        <v>239</v>
      </c>
      <c r="CH459" s="58" t="s">
        <v>4914</v>
      </c>
      <c r="CI459" s="73">
        <v>42761.0</v>
      </c>
      <c r="CJ459" s="58">
        <v>476.0</v>
      </c>
      <c r="CK459" s="58">
        <v>479.0</v>
      </c>
      <c r="CL459" s="58" t="s">
        <v>4915</v>
      </c>
      <c r="CM459" s="58" t="s">
        <v>4916</v>
      </c>
      <c r="CO459" s="58" t="s">
        <v>4917</v>
      </c>
      <c r="CP459" s="58" t="s">
        <v>4918</v>
      </c>
      <c r="CR459" s="58">
        <v>27.0</v>
      </c>
      <c r="CT459" s="58">
        <v>9.0</v>
      </c>
      <c r="CU459" s="58" t="s">
        <v>239</v>
      </c>
    </row>
    <row r="460" ht="15.75" customHeight="1">
      <c r="B460" s="58" t="s">
        <v>4587</v>
      </c>
      <c r="C460" s="58">
        <v>2018.0</v>
      </c>
      <c r="D460" s="58" t="s">
        <v>4919</v>
      </c>
      <c r="E460" s="58" t="s">
        <v>4920</v>
      </c>
      <c r="F460" s="58" t="s">
        <v>4921</v>
      </c>
      <c r="I460" s="58" t="s">
        <v>4922</v>
      </c>
      <c r="K460" s="73">
        <v>43188.0</v>
      </c>
      <c r="Z460" s="58" t="s">
        <v>239</v>
      </c>
      <c r="CH460" s="58" t="s">
        <v>4923</v>
      </c>
      <c r="CI460" s="73">
        <v>43188.0</v>
      </c>
      <c r="CJ460" s="58">
        <v>1.0</v>
      </c>
      <c r="CK460" s="58">
        <v>9.0</v>
      </c>
      <c r="CL460" s="58" t="s">
        <v>4924</v>
      </c>
      <c r="CM460" s="58" t="s">
        <v>4925</v>
      </c>
      <c r="CO460" s="58" t="s">
        <v>4926</v>
      </c>
      <c r="CP460" s="58" t="s">
        <v>4927</v>
      </c>
      <c r="CR460" s="58">
        <v>26.0</v>
      </c>
      <c r="CT460" s="58">
        <v>35.0</v>
      </c>
      <c r="CU460" s="58" t="s">
        <v>239</v>
      </c>
      <c r="DL460" s="58" t="s">
        <v>4928</v>
      </c>
    </row>
    <row r="461" ht="15.75" customHeight="1">
      <c r="B461" s="58" t="s">
        <v>4587</v>
      </c>
      <c r="C461" s="58">
        <v>2018.0</v>
      </c>
      <c r="D461" s="58" t="s">
        <v>4929</v>
      </c>
      <c r="E461" s="58" t="s">
        <v>4930</v>
      </c>
      <c r="F461" s="58" t="s">
        <v>4931</v>
      </c>
      <c r="I461" s="58" t="s">
        <v>4932</v>
      </c>
      <c r="K461" s="73">
        <v>43304.0</v>
      </c>
      <c r="Z461" s="58" t="s">
        <v>239</v>
      </c>
      <c r="CH461" s="58" t="s">
        <v>4933</v>
      </c>
      <c r="CI461" s="73">
        <v>43304.0</v>
      </c>
      <c r="CJ461" s="58">
        <v>419.0</v>
      </c>
      <c r="CK461" s="58">
        <v>424.0</v>
      </c>
      <c r="CL461" s="58" t="s">
        <v>4934</v>
      </c>
      <c r="CM461" s="58" t="s">
        <v>4935</v>
      </c>
      <c r="CO461" s="58" t="s">
        <v>4936</v>
      </c>
      <c r="CP461" s="58" t="s">
        <v>4937</v>
      </c>
      <c r="CR461" s="58">
        <v>26.0</v>
      </c>
      <c r="CT461" s="58">
        <v>44.0</v>
      </c>
      <c r="CU461" s="58" t="s">
        <v>239</v>
      </c>
      <c r="DL461" s="58" t="s">
        <v>4938</v>
      </c>
    </row>
    <row r="462" ht="15.75" customHeight="1">
      <c r="B462" s="58" t="s">
        <v>4587</v>
      </c>
      <c r="C462" s="58">
        <v>2020.0</v>
      </c>
      <c r="D462" s="58" t="s">
        <v>4939</v>
      </c>
      <c r="E462" s="58" t="s">
        <v>4940</v>
      </c>
      <c r="F462" s="58" t="s">
        <v>4941</v>
      </c>
      <c r="I462" s="58" t="s">
        <v>4942</v>
      </c>
      <c r="K462" s="73">
        <v>44249.0</v>
      </c>
      <c r="Z462" s="58" t="s">
        <v>239</v>
      </c>
      <c r="CH462" s="58" t="s">
        <v>4943</v>
      </c>
      <c r="CI462" s="73">
        <v>44249.0</v>
      </c>
      <c r="CJ462" s="58">
        <v>1.0</v>
      </c>
      <c r="CK462" s="58">
        <v>14.0</v>
      </c>
      <c r="CL462" s="58" t="s">
        <v>4944</v>
      </c>
      <c r="CM462" s="58" t="s">
        <v>4945</v>
      </c>
      <c r="CO462" s="58" t="s">
        <v>4946</v>
      </c>
      <c r="CP462" s="58" t="s">
        <v>4947</v>
      </c>
      <c r="CR462" s="58">
        <v>26.0</v>
      </c>
      <c r="CT462" s="58">
        <v>79.0</v>
      </c>
      <c r="CU462" s="58" t="s">
        <v>239</v>
      </c>
      <c r="DL462" s="58" t="s">
        <v>4948</v>
      </c>
    </row>
    <row r="463" ht="15.75" customHeight="1">
      <c r="B463" s="58" t="s">
        <v>4587</v>
      </c>
      <c r="C463" s="58">
        <v>2016.0</v>
      </c>
      <c r="D463" s="58" t="s">
        <v>4949</v>
      </c>
      <c r="E463" s="58" t="s">
        <v>4950</v>
      </c>
      <c r="F463" s="58" t="s">
        <v>4951</v>
      </c>
      <c r="I463" s="58" t="s">
        <v>4952</v>
      </c>
      <c r="K463" s="73">
        <v>42586.0</v>
      </c>
      <c r="Z463" s="58" t="s">
        <v>239</v>
      </c>
      <c r="CH463" s="58" t="s">
        <v>4953</v>
      </c>
      <c r="CI463" s="73">
        <v>42586.0</v>
      </c>
      <c r="CJ463" s="58">
        <v>1.0</v>
      </c>
      <c r="CK463" s="58">
        <v>14.0</v>
      </c>
      <c r="CL463" s="58" t="s">
        <v>4954</v>
      </c>
      <c r="CM463" s="58" t="s">
        <v>4955</v>
      </c>
      <c r="CO463" s="58" t="s">
        <v>4956</v>
      </c>
      <c r="CP463" s="58" t="s">
        <v>4957</v>
      </c>
      <c r="CR463" s="58">
        <v>26.0</v>
      </c>
      <c r="CS463" s="58">
        <v>3.0</v>
      </c>
      <c r="CT463" s="58">
        <v>71.0</v>
      </c>
      <c r="CU463" s="58" t="s">
        <v>239</v>
      </c>
      <c r="DL463" s="58" t="s">
        <v>4958</v>
      </c>
    </row>
    <row r="464" ht="15.75" customHeight="1">
      <c r="B464" s="58" t="s">
        <v>4587</v>
      </c>
      <c r="C464" s="58">
        <v>2016.0</v>
      </c>
      <c r="D464" s="58" t="s">
        <v>4959</v>
      </c>
      <c r="E464" s="58" t="s">
        <v>4960</v>
      </c>
      <c r="F464" s="58" t="s">
        <v>4961</v>
      </c>
      <c r="H464" s="58" t="s">
        <v>4962</v>
      </c>
      <c r="I464" s="58" t="s">
        <v>4963</v>
      </c>
      <c r="K464" s="73">
        <v>42751.0</v>
      </c>
      <c r="Z464" s="58" t="s">
        <v>239</v>
      </c>
      <c r="CH464" s="58" t="s">
        <v>4964</v>
      </c>
      <c r="CI464" s="73">
        <v>42751.0</v>
      </c>
      <c r="CJ464" s="58">
        <v>1.0</v>
      </c>
      <c r="CK464" s="58">
        <v>8.0</v>
      </c>
      <c r="CL464" s="58" t="s">
        <v>4965</v>
      </c>
      <c r="CM464" s="58" t="s">
        <v>4966</v>
      </c>
      <c r="CO464" s="58" t="s">
        <v>4967</v>
      </c>
      <c r="CP464" s="58" t="s">
        <v>4968</v>
      </c>
      <c r="CR464" s="58">
        <v>26.0</v>
      </c>
      <c r="CT464" s="58">
        <v>53.0</v>
      </c>
      <c r="CU464" s="58" t="s">
        <v>239</v>
      </c>
    </row>
    <row r="465" ht="15.75" customHeight="1">
      <c r="B465" s="58" t="s">
        <v>4587</v>
      </c>
      <c r="C465" s="58">
        <v>2021.0</v>
      </c>
      <c r="D465" s="58" t="s">
        <v>4969</v>
      </c>
      <c r="E465" s="58" t="s">
        <v>4970</v>
      </c>
      <c r="F465" s="58" t="s">
        <v>4971</v>
      </c>
      <c r="H465" s="58" t="s">
        <v>4972</v>
      </c>
      <c r="I465" s="58" t="s">
        <v>4973</v>
      </c>
      <c r="K465" s="73">
        <v>44386.0</v>
      </c>
      <c r="Z465" s="58" t="s">
        <v>239</v>
      </c>
      <c r="CH465" s="58" t="s">
        <v>4974</v>
      </c>
      <c r="CI465" s="73">
        <v>44386.0</v>
      </c>
      <c r="CJ465" s="58">
        <v>1.0</v>
      </c>
      <c r="CK465" s="58">
        <v>6.0</v>
      </c>
      <c r="CL465" s="58" t="s">
        <v>4975</v>
      </c>
      <c r="CM465" s="58" t="s">
        <v>4976</v>
      </c>
      <c r="CN465" s="58" t="s">
        <v>4977</v>
      </c>
      <c r="CO465" s="58" t="s">
        <v>4978</v>
      </c>
      <c r="CR465" s="58">
        <v>25.0</v>
      </c>
      <c r="CT465" s="58">
        <v>43.0</v>
      </c>
      <c r="CU465" s="58" t="s">
        <v>239</v>
      </c>
      <c r="DL465" s="58" t="s">
        <v>4979</v>
      </c>
    </row>
    <row r="466" ht="15.75" customHeight="1">
      <c r="B466" s="58" t="s">
        <v>4587</v>
      </c>
      <c r="C466" s="58">
        <v>2022.0</v>
      </c>
      <c r="D466" s="58" t="s">
        <v>4980</v>
      </c>
      <c r="E466" s="58" t="s">
        <v>4981</v>
      </c>
      <c r="F466" s="58" t="s">
        <v>4982</v>
      </c>
      <c r="I466" s="58" t="s">
        <v>4983</v>
      </c>
      <c r="K466" s="73">
        <v>44761.0</v>
      </c>
      <c r="Z466" s="58" t="s">
        <v>239</v>
      </c>
      <c r="CH466" s="58" t="s">
        <v>4984</v>
      </c>
      <c r="CI466" s="73">
        <v>44761.0</v>
      </c>
      <c r="CJ466" s="58">
        <v>190.0</v>
      </c>
      <c r="CK466" s="58">
        <v>199.0</v>
      </c>
      <c r="CL466" s="58" t="s">
        <v>4985</v>
      </c>
      <c r="CM466" s="58" t="s">
        <v>4986</v>
      </c>
      <c r="CO466" s="58" t="s">
        <v>4987</v>
      </c>
      <c r="CP466" s="58" t="s">
        <v>4988</v>
      </c>
      <c r="CR466" s="58">
        <v>25.0</v>
      </c>
      <c r="CT466" s="58">
        <v>23.0</v>
      </c>
      <c r="CU466" s="58" t="s">
        <v>239</v>
      </c>
      <c r="DL466" s="58" t="s">
        <v>4989</v>
      </c>
    </row>
    <row r="467" ht="15.75" customHeight="1">
      <c r="B467" s="58" t="s">
        <v>4587</v>
      </c>
      <c r="C467" s="58">
        <v>2019.0</v>
      </c>
      <c r="D467" s="58" t="s">
        <v>4990</v>
      </c>
      <c r="E467" s="58" t="s">
        <v>4991</v>
      </c>
      <c r="F467" s="58" t="s">
        <v>4992</v>
      </c>
      <c r="I467" s="58" t="s">
        <v>4993</v>
      </c>
      <c r="K467" s="73">
        <v>43797.0</v>
      </c>
      <c r="Z467" s="58" t="s">
        <v>239</v>
      </c>
      <c r="CH467" s="58" t="s">
        <v>4994</v>
      </c>
      <c r="CI467" s="73">
        <v>43797.0</v>
      </c>
      <c r="CJ467" s="58">
        <v>329.0</v>
      </c>
      <c r="CK467" s="58">
        <v>334.0</v>
      </c>
      <c r="CL467" s="58" t="s">
        <v>4995</v>
      </c>
      <c r="CM467" s="58" t="s">
        <v>4996</v>
      </c>
      <c r="CO467" s="58" t="s">
        <v>4997</v>
      </c>
      <c r="CP467" s="58" t="s">
        <v>4998</v>
      </c>
      <c r="CR467" s="58">
        <v>25.0</v>
      </c>
      <c r="CT467" s="58">
        <v>15.0</v>
      </c>
      <c r="CU467" s="58" t="s">
        <v>239</v>
      </c>
      <c r="DL467" s="58" t="s">
        <v>4999</v>
      </c>
    </row>
    <row r="468" ht="15.75" customHeight="1">
      <c r="B468" s="58" t="s">
        <v>4587</v>
      </c>
      <c r="C468" s="58">
        <v>2019.0</v>
      </c>
      <c r="D468" s="58" t="s">
        <v>5000</v>
      </c>
      <c r="E468" s="58" t="s">
        <v>5001</v>
      </c>
      <c r="F468" s="58" t="s">
        <v>5002</v>
      </c>
      <c r="H468" s="58" t="s">
        <v>5003</v>
      </c>
      <c r="I468" s="58" t="s">
        <v>5004</v>
      </c>
      <c r="K468" s="73">
        <v>43888.0</v>
      </c>
      <c r="Z468" s="58" t="s">
        <v>239</v>
      </c>
      <c r="CH468" s="58" t="s">
        <v>5005</v>
      </c>
      <c r="CI468" s="73">
        <v>43888.0</v>
      </c>
      <c r="CJ468" s="58">
        <v>1.0</v>
      </c>
      <c r="CK468" s="58">
        <v>6.0</v>
      </c>
      <c r="CL468" s="58" t="s">
        <v>5006</v>
      </c>
      <c r="CM468" s="58" t="s">
        <v>5007</v>
      </c>
      <c r="CO468" s="58" t="s">
        <v>5008</v>
      </c>
      <c r="CR468" s="58">
        <v>24.0</v>
      </c>
      <c r="CT468" s="58">
        <v>22.0</v>
      </c>
      <c r="CU468" s="58" t="s">
        <v>239</v>
      </c>
      <c r="DL468" s="58" t="s">
        <v>5009</v>
      </c>
    </row>
    <row r="469" ht="15.75" customHeight="1">
      <c r="B469" s="58" t="s">
        <v>4587</v>
      </c>
      <c r="C469" s="58">
        <v>2019.0</v>
      </c>
      <c r="D469" s="58" t="s">
        <v>5010</v>
      </c>
      <c r="E469" s="58" t="s">
        <v>5011</v>
      </c>
      <c r="F469" s="58" t="s">
        <v>5012</v>
      </c>
      <c r="H469" s="58" t="s">
        <v>5013</v>
      </c>
      <c r="I469" s="58" t="s">
        <v>5014</v>
      </c>
      <c r="K469" s="73">
        <v>43808.0</v>
      </c>
      <c r="R469" s="58">
        <v>1.0</v>
      </c>
      <c r="Z469" s="58" t="s">
        <v>239</v>
      </c>
      <c r="CH469" s="58" t="s">
        <v>5015</v>
      </c>
      <c r="CI469" s="73">
        <v>43808.0</v>
      </c>
      <c r="CJ469" s="58">
        <v>5505.0</v>
      </c>
      <c r="CK469" s="58">
        <v>5512.0</v>
      </c>
      <c r="CL469" s="58" t="s">
        <v>5016</v>
      </c>
      <c r="CM469" s="58" t="s">
        <v>5017</v>
      </c>
      <c r="CO469" s="58" t="s">
        <v>5018</v>
      </c>
      <c r="CP469" s="58" t="s">
        <v>5019</v>
      </c>
      <c r="CR469" s="58">
        <v>24.0</v>
      </c>
      <c r="CT469" s="58">
        <v>39.0</v>
      </c>
      <c r="CU469" s="58" t="s">
        <v>239</v>
      </c>
      <c r="DL469" s="58" t="s">
        <v>5020</v>
      </c>
    </row>
    <row r="470" ht="15.75" customHeight="1">
      <c r="B470" s="58" t="s">
        <v>4587</v>
      </c>
      <c r="C470" s="58">
        <v>2018.0</v>
      </c>
      <c r="D470" s="58" t="s">
        <v>5021</v>
      </c>
      <c r="E470" s="58" t="s">
        <v>5022</v>
      </c>
      <c r="F470" s="58" t="s">
        <v>5023</v>
      </c>
      <c r="I470" s="58" t="s">
        <v>5024</v>
      </c>
      <c r="K470" s="73">
        <v>43227.0</v>
      </c>
      <c r="Z470" s="58" t="s">
        <v>239</v>
      </c>
      <c r="CH470" s="58" t="s">
        <v>5025</v>
      </c>
      <c r="CI470" s="73">
        <v>43227.0</v>
      </c>
      <c r="CJ470" s="58">
        <v>819.0</v>
      </c>
      <c r="CK470" s="58">
        <v>824.0</v>
      </c>
      <c r="CL470" s="58" t="s">
        <v>5026</v>
      </c>
      <c r="CM470" s="58" t="s">
        <v>5027</v>
      </c>
      <c r="CO470" s="58" t="s">
        <v>5028</v>
      </c>
      <c r="CP470" s="58" t="s">
        <v>5029</v>
      </c>
      <c r="CR470" s="58">
        <v>24.0</v>
      </c>
      <c r="CT470" s="58">
        <v>22.0</v>
      </c>
      <c r="CU470" s="58" t="s">
        <v>239</v>
      </c>
      <c r="DL470" s="58" t="s">
        <v>5030</v>
      </c>
    </row>
    <row r="471" ht="15.75" customHeight="1">
      <c r="B471" s="58" t="s">
        <v>4587</v>
      </c>
      <c r="C471" s="58">
        <v>2019.0</v>
      </c>
      <c r="D471" s="58" t="s">
        <v>5031</v>
      </c>
      <c r="E471" s="58" t="s">
        <v>5032</v>
      </c>
      <c r="F471" s="58" t="s">
        <v>5033</v>
      </c>
      <c r="H471" s="58" t="s">
        <v>5034</v>
      </c>
      <c r="I471" s="58" t="s">
        <v>5035</v>
      </c>
      <c r="K471" s="73">
        <v>43776.0</v>
      </c>
      <c r="Z471" s="58" t="s">
        <v>239</v>
      </c>
      <c r="CH471" s="58" t="s">
        <v>5036</v>
      </c>
      <c r="CI471" s="73">
        <v>43776.0</v>
      </c>
      <c r="CJ471" s="58">
        <v>1.0</v>
      </c>
      <c r="CK471" s="58">
        <v>13.0</v>
      </c>
      <c r="CL471" s="58" t="s">
        <v>5037</v>
      </c>
      <c r="CM471" s="58" t="s">
        <v>5038</v>
      </c>
      <c r="CO471" s="58" t="s">
        <v>5039</v>
      </c>
      <c r="CR471" s="58">
        <v>24.0</v>
      </c>
      <c r="CT471" s="58">
        <v>64.0</v>
      </c>
      <c r="CU471" s="58" t="s">
        <v>239</v>
      </c>
      <c r="DL471" s="58" t="s">
        <v>5040</v>
      </c>
    </row>
    <row r="472" ht="15.75" customHeight="1">
      <c r="B472" s="58" t="s">
        <v>4587</v>
      </c>
      <c r="C472" s="58">
        <v>2021.0</v>
      </c>
      <c r="D472" s="58" t="s">
        <v>5041</v>
      </c>
      <c r="E472" s="58" t="s">
        <v>5042</v>
      </c>
      <c r="F472" s="58" t="s">
        <v>5043</v>
      </c>
      <c r="H472" s="58" t="s">
        <v>4600</v>
      </c>
      <c r="I472" s="58" t="s">
        <v>5044</v>
      </c>
      <c r="K472" s="73">
        <v>44508.0</v>
      </c>
      <c r="Z472" s="58" t="s">
        <v>239</v>
      </c>
      <c r="CH472" s="58" t="s">
        <v>5045</v>
      </c>
      <c r="CI472" s="73">
        <v>44508.0</v>
      </c>
      <c r="CJ472" s="58">
        <v>206.0</v>
      </c>
      <c r="CK472" s="58">
        <v>216.0</v>
      </c>
      <c r="CL472" s="58" t="s">
        <v>5046</v>
      </c>
      <c r="CM472" s="58" t="s">
        <v>5047</v>
      </c>
      <c r="CO472" s="58" t="s">
        <v>5048</v>
      </c>
      <c r="CP472" s="58" t="s">
        <v>5049</v>
      </c>
      <c r="CR472" s="58">
        <v>23.0</v>
      </c>
      <c r="CT472" s="58">
        <v>28.0</v>
      </c>
      <c r="CU472" s="58" t="s">
        <v>239</v>
      </c>
      <c r="DL472" s="58" t="s">
        <v>5050</v>
      </c>
    </row>
    <row r="473" ht="15.75" customHeight="1">
      <c r="B473" s="58" t="s">
        <v>4587</v>
      </c>
      <c r="C473" s="58">
        <v>2017.0</v>
      </c>
      <c r="D473" s="58" t="s">
        <v>5051</v>
      </c>
      <c r="E473" s="58" t="s">
        <v>5052</v>
      </c>
      <c r="F473" s="58" t="s">
        <v>5053</v>
      </c>
      <c r="I473" s="58" t="s">
        <v>5054</v>
      </c>
      <c r="K473" s="73">
        <v>42989.0</v>
      </c>
      <c r="Z473" s="58" t="s">
        <v>239</v>
      </c>
      <c r="CH473" s="58" t="s">
        <v>5055</v>
      </c>
      <c r="CI473" s="73">
        <v>42989.0</v>
      </c>
      <c r="CJ473" s="58">
        <v>349.0</v>
      </c>
      <c r="CK473" s="58">
        <v>356.0</v>
      </c>
      <c r="CL473" s="58" t="s">
        <v>5056</v>
      </c>
      <c r="CM473" s="58" t="s">
        <v>5057</v>
      </c>
      <c r="CO473" s="58" t="s">
        <v>5058</v>
      </c>
      <c r="CP473" s="58" t="s">
        <v>5059</v>
      </c>
      <c r="CR473" s="58">
        <v>22.0</v>
      </c>
      <c r="CT473" s="58">
        <v>13.0</v>
      </c>
      <c r="CU473" s="58" t="s">
        <v>239</v>
      </c>
      <c r="DL473" s="58" t="s">
        <v>5060</v>
      </c>
    </row>
    <row r="474" ht="15.75" customHeight="1">
      <c r="B474" s="58" t="s">
        <v>4587</v>
      </c>
      <c r="C474" s="58">
        <v>2018.0</v>
      </c>
      <c r="D474" s="58" t="s">
        <v>5061</v>
      </c>
      <c r="E474" s="58" t="s">
        <v>5062</v>
      </c>
      <c r="F474" s="58" t="s">
        <v>5063</v>
      </c>
      <c r="I474" s="58" t="s">
        <v>5064</v>
      </c>
      <c r="K474" s="73">
        <v>43237.0</v>
      </c>
      <c r="Z474" s="58" t="s">
        <v>239</v>
      </c>
      <c r="CH474" s="58" t="s">
        <v>5065</v>
      </c>
      <c r="CI474" s="73">
        <v>43237.0</v>
      </c>
      <c r="CJ474" s="58">
        <v>132.0</v>
      </c>
      <c r="CK474" s="58">
        <v>141.0</v>
      </c>
      <c r="CL474" s="58" t="s">
        <v>5066</v>
      </c>
      <c r="CM474" s="58" t="s">
        <v>5067</v>
      </c>
      <c r="CO474" s="58" t="s">
        <v>5068</v>
      </c>
      <c r="CP474" s="58" t="s">
        <v>5069</v>
      </c>
      <c r="CR474" s="58">
        <v>22.0</v>
      </c>
      <c r="CT474" s="58">
        <v>55.0</v>
      </c>
      <c r="CU474" s="58" t="s">
        <v>239</v>
      </c>
      <c r="DL474" s="58" t="s">
        <v>5070</v>
      </c>
    </row>
    <row r="475" ht="15.75" customHeight="1">
      <c r="B475" s="58" t="s">
        <v>4587</v>
      </c>
      <c r="C475" s="58">
        <v>2021.0</v>
      </c>
      <c r="D475" s="58" t="s">
        <v>5071</v>
      </c>
      <c r="E475" s="58" t="s">
        <v>5072</v>
      </c>
      <c r="F475" s="58" t="s">
        <v>5073</v>
      </c>
      <c r="I475" s="58" t="s">
        <v>5074</v>
      </c>
      <c r="K475" s="73">
        <v>44585.0</v>
      </c>
      <c r="Z475" s="58" t="s">
        <v>239</v>
      </c>
      <c r="CH475" s="58" t="s">
        <v>5075</v>
      </c>
      <c r="CI475" s="73">
        <v>44585.0</v>
      </c>
      <c r="CJ475" s="58">
        <v>1.0</v>
      </c>
      <c r="CK475" s="58">
        <v>6.0</v>
      </c>
      <c r="CL475" s="58" t="s">
        <v>5076</v>
      </c>
      <c r="CM475" s="58" t="s">
        <v>5077</v>
      </c>
      <c r="CN475" s="58" t="s">
        <v>5078</v>
      </c>
      <c r="CO475" s="58" t="s">
        <v>5079</v>
      </c>
      <c r="CP475" s="58" t="s">
        <v>5080</v>
      </c>
      <c r="CR475" s="58">
        <v>20.0</v>
      </c>
      <c r="CT475" s="58">
        <v>18.0</v>
      </c>
      <c r="CU475" s="58" t="s">
        <v>239</v>
      </c>
      <c r="DL475" s="58" t="s">
        <v>5081</v>
      </c>
    </row>
    <row r="476" ht="15.75" customHeight="1">
      <c r="B476" s="58" t="s">
        <v>4587</v>
      </c>
      <c r="C476" s="58">
        <v>2016.0</v>
      </c>
      <c r="D476" s="58" t="s">
        <v>5082</v>
      </c>
      <c r="E476" s="58" t="s">
        <v>5083</v>
      </c>
      <c r="F476" s="58" t="s">
        <v>5084</v>
      </c>
      <c r="I476" s="58" t="s">
        <v>5085</v>
      </c>
      <c r="K476" s="73">
        <v>42661.0</v>
      </c>
      <c r="Z476" s="58" t="s">
        <v>239</v>
      </c>
      <c r="CH476" s="58" t="s">
        <v>5086</v>
      </c>
      <c r="CI476" s="73">
        <v>42661.0</v>
      </c>
      <c r="CJ476" s="58">
        <v>125.0</v>
      </c>
      <c r="CK476" s="58">
        <v>132.0</v>
      </c>
      <c r="CL476" s="58" t="s">
        <v>5087</v>
      </c>
      <c r="CM476" s="58" t="s">
        <v>5088</v>
      </c>
      <c r="CO476" s="58" t="s">
        <v>5089</v>
      </c>
      <c r="CP476" s="58" t="s">
        <v>5090</v>
      </c>
      <c r="CR476" s="58">
        <v>20.0</v>
      </c>
      <c r="CT476" s="58">
        <v>7.0</v>
      </c>
      <c r="CU476" s="58" t="s">
        <v>239</v>
      </c>
      <c r="DL476" s="58" t="s">
        <v>5091</v>
      </c>
    </row>
    <row r="477" ht="15.75" customHeight="1">
      <c r="B477" s="58" t="s">
        <v>4587</v>
      </c>
      <c r="C477" s="58">
        <v>2021.0</v>
      </c>
      <c r="D477" s="58" t="s">
        <v>5092</v>
      </c>
      <c r="E477" s="58" t="s">
        <v>5093</v>
      </c>
      <c r="F477" s="58" t="s">
        <v>5094</v>
      </c>
      <c r="H477" s="58" t="s">
        <v>5095</v>
      </c>
      <c r="I477" s="58" t="s">
        <v>5096</v>
      </c>
      <c r="K477" s="73">
        <v>44405.0</v>
      </c>
      <c r="Z477" s="58" t="s">
        <v>239</v>
      </c>
      <c r="CH477" s="58" t="s">
        <v>5097</v>
      </c>
      <c r="CI477" s="73">
        <v>44405.0</v>
      </c>
      <c r="CJ477" s="58">
        <v>586.0</v>
      </c>
      <c r="CK477" s="58">
        <v>591.0</v>
      </c>
      <c r="CL477" s="58" t="s">
        <v>5098</v>
      </c>
      <c r="CM477" s="58" t="s">
        <v>5099</v>
      </c>
      <c r="CO477" s="58" t="s">
        <v>5100</v>
      </c>
      <c r="CP477" s="58" t="s">
        <v>5101</v>
      </c>
      <c r="CR477" s="58">
        <v>20.0</v>
      </c>
      <c r="CT477" s="58">
        <v>38.0</v>
      </c>
      <c r="CU477" s="58" t="s">
        <v>239</v>
      </c>
      <c r="DL477" s="58" t="s">
        <v>5102</v>
      </c>
    </row>
    <row r="478" ht="15.75" customHeight="1">
      <c r="B478" s="58" t="s">
        <v>4587</v>
      </c>
      <c r="C478" s="58">
        <v>2017.0</v>
      </c>
      <c r="D478" s="58" t="s">
        <v>5103</v>
      </c>
      <c r="E478" s="58" t="s">
        <v>5104</v>
      </c>
      <c r="F478" s="58" t="s">
        <v>5105</v>
      </c>
      <c r="I478" s="58" t="s">
        <v>5106</v>
      </c>
      <c r="K478" s="73">
        <v>43314.0</v>
      </c>
      <c r="Z478" s="58" t="s">
        <v>239</v>
      </c>
      <c r="CH478" s="58" t="s">
        <v>5107</v>
      </c>
      <c r="CI478" s="73">
        <v>43314.0</v>
      </c>
      <c r="CJ478" s="58">
        <v>101.0</v>
      </c>
      <c r="CK478" s="58">
        <v>106.0</v>
      </c>
      <c r="CL478" s="58" t="s">
        <v>5108</v>
      </c>
      <c r="CM478" s="58" t="s">
        <v>5109</v>
      </c>
      <c r="CO478" s="58" t="s">
        <v>5110</v>
      </c>
      <c r="CP478" s="58" t="s">
        <v>5111</v>
      </c>
      <c r="CR478" s="58">
        <v>19.0</v>
      </c>
      <c r="CT478" s="58">
        <v>19.0</v>
      </c>
      <c r="CU478" s="58" t="s">
        <v>239</v>
      </c>
      <c r="DL478" s="58" t="s">
        <v>5112</v>
      </c>
    </row>
    <row r="479" ht="15.75" customHeight="1">
      <c r="B479" s="58" t="s">
        <v>4587</v>
      </c>
      <c r="C479" s="58">
        <v>2019.0</v>
      </c>
      <c r="D479" s="58" t="s">
        <v>5113</v>
      </c>
      <c r="E479" s="58" t="s">
        <v>5114</v>
      </c>
      <c r="F479" s="58" t="s">
        <v>5115</v>
      </c>
      <c r="H479" s="58" t="s">
        <v>5116</v>
      </c>
      <c r="I479" s="58" t="s">
        <v>5117</v>
      </c>
      <c r="K479" s="73">
        <v>43657.0</v>
      </c>
      <c r="Z479" s="58" t="s">
        <v>239</v>
      </c>
      <c r="CH479" s="58" t="s">
        <v>5118</v>
      </c>
      <c r="CI479" s="73">
        <v>43657.0</v>
      </c>
      <c r="CJ479" s="58">
        <v>1.0</v>
      </c>
      <c r="CK479" s="58">
        <v>6.0</v>
      </c>
      <c r="CL479" s="58" t="s">
        <v>5119</v>
      </c>
      <c r="CM479" s="58" t="s">
        <v>5120</v>
      </c>
      <c r="CO479" s="58" t="s">
        <v>5121</v>
      </c>
      <c r="CR479" s="58">
        <v>18.0</v>
      </c>
      <c r="CT479" s="58">
        <v>25.0</v>
      </c>
      <c r="CU479" s="58" t="s">
        <v>239</v>
      </c>
      <c r="DL479" s="58" t="s">
        <v>5122</v>
      </c>
    </row>
    <row r="480" ht="15.75" customHeight="1">
      <c r="B480" s="58" t="s">
        <v>4587</v>
      </c>
      <c r="C480" s="58">
        <v>2017.0</v>
      </c>
      <c r="D480" s="58" t="s">
        <v>5123</v>
      </c>
      <c r="E480" s="58" t="s">
        <v>5124</v>
      </c>
      <c r="F480" s="58" t="s">
        <v>5125</v>
      </c>
      <c r="I480" s="58" t="s">
        <v>5126</v>
      </c>
      <c r="K480" s="73">
        <v>42971.0</v>
      </c>
      <c r="Z480" s="58" t="s">
        <v>239</v>
      </c>
      <c r="CH480" s="58" t="s">
        <v>5127</v>
      </c>
      <c r="CI480" s="73">
        <v>42971.0</v>
      </c>
      <c r="CJ480" s="58">
        <v>1.0</v>
      </c>
      <c r="CK480" s="58">
        <v>6.0</v>
      </c>
      <c r="CL480" s="58" t="s">
        <v>5128</v>
      </c>
      <c r="CM480" s="58" t="s">
        <v>5129</v>
      </c>
      <c r="CO480" s="58" t="s">
        <v>5130</v>
      </c>
      <c r="CR480" s="58">
        <v>18.0</v>
      </c>
      <c r="CT480" s="58">
        <v>10.0</v>
      </c>
      <c r="CU480" s="58" t="s">
        <v>239</v>
      </c>
      <c r="DL480" s="58" t="s">
        <v>5131</v>
      </c>
    </row>
    <row r="481" ht="15.75" customHeight="1">
      <c r="B481" s="58" t="s">
        <v>4587</v>
      </c>
      <c r="C481" s="58">
        <v>2019.0</v>
      </c>
      <c r="D481" s="58" t="s">
        <v>5132</v>
      </c>
      <c r="E481" s="58" t="s">
        <v>5133</v>
      </c>
      <c r="F481" s="58" t="s">
        <v>5134</v>
      </c>
      <c r="I481" s="58" t="s">
        <v>5135</v>
      </c>
      <c r="K481" s="73">
        <v>43846.0</v>
      </c>
      <c r="Z481" s="58" t="s">
        <v>239</v>
      </c>
      <c r="CH481" s="58" t="s">
        <v>5136</v>
      </c>
      <c r="CI481" s="73">
        <v>43846.0</v>
      </c>
      <c r="CJ481" s="58">
        <v>804.0</v>
      </c>
      <c r="CK481" s="58">
        <v>809.0</v>
      </c>
      <c r="CL481" s="58" t="s">
        <v>5137</v>
      </c>
      <c r="CM481" s="58" t="s">
        <v>5138</v>
      </c>
      <c r="CO481" s="58" t="s">
        <v>5139</v>
      </c>
      <c r="CP481" s="58" t="s">
        <v>5140</v>
      </c>
      <c r="CR481" s="58">
        <v>18.0</v>
      </c>
      <c r="CS481" s="58">
        <v>1.0</v>
      </c>
      <c r="CT481" s="58">
        <v>39.0</v>
      </c>
      <c r="CU481" s="58" t="s">
        <v>239</v>
      </c>
    </row>
    <row r="482" ht="15.75" customHeight="1">
      <c r="B482" s="58" t="s">
        <v>4587</v>
      </c>
      <c r="C482" s="58">
        <v>2018.0</v>
      </c>
      <c r="D482" s="58" t="s">
        <v>5141</v>
      </c>
      <c r="E482" s="58" t="s">
        <v>5142</v>
      </c>
      <c r="F482" s="58" t="s">
        <v>5143</v>
      </c>
      <c r="I482" s="58" t="s">
        <v>5144</v>
      </c>
      <c r="K482" s="73">
        <v>43377.0</v>
      </c>
      <c r="Z482" s="58" t="s">
        <v>239</v>
      </c>
      <c r="CH482" s="58" t="s">
        <v>5145</v>
      </c>
      <c r="CI482" s="73">
        <v>43377.0</v>
      </c>
      <c r="CJ482" s="58">
        <v>98.0</v>
      </c>
      <c r="CK482" s="58">
        <v>101.0</v>
      </c>
      <c r="CL482" s="58" t="s">
        <v>5146</v>
      </c>
      <c r="CM482" s="58" t="s">
        <v>5147</v>
      </c>
      <c r="CO482" s="58" t="s">
        <v>5148</v>
      </c>
      <c r="CP482" s="58" t="s">
        <v>5149</v>
      </c>
      <c r="CR482" s="58">
        <v>18.0</v>
      </c>
      <c r="CT482" s="58">
        <v>23.0</v>
      </c>
      <c r="CU482" s="58" t="s">
        <v>239</v>
      </c>
      <c r="DL482" s="58" t="s">
        <v>5150</v>
      </c>
    </row>
    <row r="483" ht="15.75" customHeight="1">
      <c r="B483" s="58" t="s">
        <v>4587</v>
      </c>
      <c r="C483" s="58">
        <v>2021.0</v>
      </c>
      <c r="D483" s="58" t="s">
        <v>5151</v>
      </c>
      <c r="E483" s="58" t="s">
        <v>5152</v>
      </c>
      <c r="F483" s="58" t="s">
        <v>5153</v>
      </c>
      <c r="I483" s="58" t="s">
        <v>5154</v>
      </c>
      <c r="K483" s="73">
        <v>44512.0</v>
      </c>
      <c r="Z483" s="58" t="s">
        <v>239</v>
      </c>
      <c r="CH483" s="58" t="s">
        <v>5155</v>
      </c>
      <c r="CI483" s="73">
        <v>44512.0</v>
      </c>
      <c r="CJ483" s="58">
        <v>1768.0</v>
      </c>
      <c r="CK483" s="58">
        <v>1775.0</v>
      </c>
      <c r="CL483" s="58" t="s">
        <v>5156</v>
      </c>
      <c r="CM483" s="58" t="s">
        <v>5157</v>
      </c>
      <c r="CO483" s="58" t="s">
        <v>5158</v>
      </c>
      <c r="CP483" s="58" t="s">
        <v>5159</v>
      </c>
      <c r="CR483" s="58">
        <v>18.0</v>
      </c>
      <c r="CT483" s="58">
        <v>57.0</v>
      </c>
      <c r="CU483" s="58" t="s">
        <v>239</v>
      </c>
      <c r="DL483" s="58" t="s">
        <v>5160</v>
      </c>
    </row>
    <row r="484" ht="15.75" customHeight="1">
      <c r="B484" s="58" t="s">
        <v>4587</v>
      </c>
      <c r="C484" s="58">
        <v>2020.0</v>
      </c>
      <c r="D484" s="58" t="s">
        <v>5161</v>
      </c>
      <c r="E484" s="58" t="s">
        <v>5162</v>
      </c>
      <c r="F484" s="58" t="s">
        <v>5163</v>
      </c>
      <c r="H484" s="58" t="s">
        <v>5164</v>
      </c>
      <c r="I484" s="58" t="s">
        <v>5165</v>
      </c>
      <c r="K484" s="73">
        <v>43983.0</v>
      </c>
      <c r="Z484" s="58" t="s">
        <v>239</v>
      </c>
      <c r="CH484" s="58" t="s">
        <v>5166</v>
      </c>
      <c r="CI484" s="73">
        <v>43983.0</v>
      </c>
      <c r="CJ484" s="58">
        <v>1.0</v>
      </c>
      <c r="CK484" s="58">
        <v>8.0</v>
      </c>
      <c r="CL484" s="58" t="s">
        <v>5167</v>
      </c>
      <c r="CM484" s="58" t="s">
        <v>5168</v>
      </c>
      <c r="CO484" s="58" t="s">
        <v>5169</v>
      </c>
      <c r="CP484" s="58" t="s">
        <v>5170</v>
      </c>
      <c r="CR484" s="58">
        <v>17.0</v>
      </c>
      <c r="CT484" s="58">
        <v>33.0</v>
      </c>
      <c r="CU484" s="58" t="s">
        <v>239</v>
      </c>
      <c r="DL484" s="58" t="s">
        <v>5171</v>
      </c>
    </row>
    <row r="485" ht="15.75" customHeight="1">
      <c r="B485" s="58" t="s">
        <v>4587</v>
      </c>
      <c r="C485" s="58">
        <v>2019.0</v>
      </c>
      <c r="D485" s="58" t="s">
        <v>5172</v>
      </c>
      <c r="E485" s="58" t="s">
        <v>5173</v>
      </c>
      <c r="F485" s="58" t="s">
        <v>5174</v>
      </c>
      <c r="H485" s="58" t="s">
        <v>5095</v>
      </c>
      <c r="I485" s="58" t="s">
        <v>5175</v>
      </c>
      <c r="K485" s="73">
        <v>43692.0</v>
      </c>
      <c r="Z485" s="58" t="s">
        <v>239</v>
      </c>
      <c r="CH485" s="58" t="s">
        <v>5176</v>
      </c>
      <c r="CI485" s="73">
        <v>43692.0</v>
      </c>
      <c r="CJ485" s="58">
        <v>495.0</v>
      </c>
      <c r="CK485" s="58">
        <v>500.0</v>
      </c>
      <c r="CL485" s="58" t="s">
        <v>5177</v>
      </c>
      <c r="CM485" s="58" t="s">
        <v>5178</v>
      </c>
      <c r="CO485" s="58" t="s">
        <v>5179</v>
      </c>
      <c r="CR485" s="58">
        <v>17.0</v>
      </c>
      <c r="CT485" s="58">
        <v>38.0</v>
      </c>
      <c r="CU485" s="58" t="s">
        <v>239</v>
      </c>
    </row>
    <row r="486" ht="15.75" customHeight="1">
      <c r="B486" s="58" t="s">
        <v>4587</v>
      </c>
      <c r="C486" s="58">
        <v>2019.0</v>
      </c>
      <c r="D486" s="58" t="s">
        <v>5180</v>
      </c>
      <c r="E486" s="58" t="s">
        <v>5181</v>
      </c>
      <c r="F486" s="58" t="s">
        <v>5182</v>
      </c>
      <c r="I486" s="58" t="s">
        <v>5183</v>
      </c>
      <c r="K486" s="73">
        <v>43787.0</v>
      </c>
      <c r="Z486" s="58" t="s">
        <v>239</v>
      </c>
      <c r="CH486" s="58" t="s">
        <v>5184</v>
      </c>
      <c r="CI486" s="73">
        <v>43787.0</v>
      </c>
      <c r="CJ486" s="58">
        <v>527.0</v>
      </c>
      <c r="CK486" s="58">
        <v>533.0</v>
      </c>
      <c r="CL486" s="58" t="s">
        <v>5185</v>
      </c>
      <c r="CM486" s="58" t="s">
        <v>5186</v>
      </c>
      <c r="CO486" s="58" t="s">
        <v>5187</v>
      </c>
      <c r="CP486" s="58" t="s">
        <v>5188</v>
      </c>
      <c r="CR486" s="58">
        <v>17.0</v>
      </c>
      <c r="CT486" s="58">
        <v>13.0</v>
      </c>
      <c r="CU486" s="58" t="s">
        <v>239</v>
      </c>
    </row>
    <row r="487" ht="15.75" customHeight="1">
      <c r="B487" s="58" t="s">
        <v>4587</v>
      </c>
      <c r="C487" s="58">
        <v>2021.0</v>
      </c>
      <c r="D487" s="58" t="s">
        <v>5189</v>
      </c>
      <c r="E487" s="58" t="s">
        <v>5190</v>
      </c>
      <c r="F487" s="58" t="s">
        <v>5191</v>
      </c>
      <c r="I487" s="58" t="s">
        <v>5192</v>
      </c>
      <c r="K487" s="73">
        <v>44410.0</v>
      </c>
      <c r="Z487" s="58" t="s">
        <v>239</v>
      </c>
      <c r="CH487" s="58" t="s">
        <v>5193</v>
      </c>
      <c r="CI487" s="73">
        <v>44410.0</v>
      </c>
      <c r="CJ487" s="58">
        <v>649.0</v>
      </c>
      <c r="CK487" s="58">
        <v>659.0</v>
      </c>
      <c r="CL487" s="58" t="s">
        <v>5194</v>
      </c>
      <c r="CM487" s="58" t="s">
        <v>5195</v>
      </c>
      <c r="CO487" s="58" t="s">
        <v>5196</v>
      </c>
      <c r="CP487" s="58" t="s">
        <v>5197</v>
      </c>
      <c r="CR487" s="58">
        <v>16.0</v>
      </c>
      <c r="CT487" s="58">
        <v>39.0</v>
      </c>
      <c r="CU487" s="58" t="s">
        <v>239</v>
      </c>
      <c r="DL487" s="58" t="s">
        <v>5198</v>
      </c>
    </row>
    <row r="488" ht="15.75" customHeight="1">
      <c r="B488" s="58" t="s">
        <v>4587</v>
      </c>
      <c r="C488" s="58">
        <v>2022.0</v>
      </c>
      <c r="D488" s="58" t="s">
        <v>5199</v>
      </c>
      <c r="E488" s="58" t="s">
        <v>5200</v>
      </c>
      <c r="F488" s="58" t="s">
        <v>5201</v>
      </c>
      <c r="I488" s="58" t="s">
        <v>5202</v>
      </c>
      <c r="K488" s="73">
        <v>44763.0</v>
      </c>
      <c r="Z488" s="58" t="s">
        <v>239</v>
      </c>
      <c r="CH488" s="58" t="s">
        <v>5203</v>
      </c>
      <c r="CI488" s="73">
        <v>44763.0</v>
      </c>
      <c r="CJ488" s="58">
        <v>1.0</v>
      </c>
      <c r="CK488" s="58">
        <v>8.0</v>
      </c>
      <c r="CL488" s="58" t="s">
        <v>5204</v>
      </c>
      <c r="CM488" s="58" t="s">
        <v>5205</v>
      </c>
      <c r="CO488" s="58" t="s">
        <v>5206</v>
      </c>
      <c r="CP488" s="58" t="s">
        <v>5207</v>
      </c>
      <c r="CR488" s="58">
        <v>16.0</v>
      </c>
      <c r="CT488" s="58">
        <v>66.0</v>
      </c>
      <c r="CU488" s="58" t="s">
        <v>239</v>
      </c>
      <c r="DL488" s="58" t="s">
        <v>5208</v>
      </c>
    </row>
    <row r="489" ht="15.75" customHeight="1">
      <c r="B489" s="58" t="s">
        <v>4587</v>
      </c>
      <c r="C489" s="58">
        <v>2018.0</v>
      </c>
      <c r="D489" s="58" t="s">
        <v>5209</v>
      </c>
      <c r="E489" s="58" t="s">
        <v>5210</v>
      </c>
      <c r="F489" s="58" t="s">
        <v>5211</v>
      </c>
      <c r="H489" s="58" t="s">
        <v>5003</v>
      </c>
      <c r="I489" s="58" t="s">
        <v>5212</v>
      </c>
      <c r="K489" s="73">
        <v>43517.0</v>
      </c>
      <c r="Z489" s="58" t="s">
        <v>239</v>
      </c>
      <c r="CH489" s="58" t="s">
        <v>5213</v>
      </c>
      <c r="CI489" s="73">
        <v>43517.0</v>
      </c>
      <c r="CJ489" s="58">
        <v>1.0</v>
      </c>
      <c r="CK489" s="58">
        <v>7.0</v>
      </c>
      <c r="CL489" s="58" t="s">
        <v>5214</v>
      </c>
      <c r="CM489" s="58" t="s">
        <v>5215</v>
      </c>
      <c r="CO489" s="58" t="s">
        <v>5216</v>
      </c>
      <c r="CP489" s="58" t="s">
        <v>5217</v>
      </c>
      <c r="CR489" s="58">
        <v>16.0</v>
      </c>
      <c r="CT489" s="58">
        <v>17.0</v>
      </c>
      <c r="CU489" s="58" t="s">
        <v>239</v>
      </c>
      <c r="DL489" s="58" t="s">
        <v>5218</v>
      </c>
    </row>
    <row r="490" ht="15.75" customHeight="1">
      <c r="B490" s="58" t="s">
        <v>4587</v>
      </c>
      <c r="C490" s="58">
        <v>2021.0</v>
      </c>
      <c r="D490" s="58" t="s">
        <v>5219</v>
      </c>
      <c r="E490" s="58" t="s">
        <v>5220</v>
      </c>
      <c r="F490" s="58" t="s">
        <v>5221</v>
      </c>
      <c r="H490" s="58" t="s">
        <v>5222</v>
      </c>
      <c r="I490" s="58" t="s">
        <v>5223</v>
      </c>
      <c r="K490" s="73">
        <v>44376.0</v>
      </c>
      <c r="Z490" s="58" t="s">
        <v>239</v>
      </c>
      <c r="CH490" s="58" t="s">
        <v>5224</v>
      </c>
      <c r="CI490" s="73">
        <v>44376.0</v>
      </c>
      <c r="CJ490" s="58">
        <v>18.0</v>
      </c>
      <c r="CK490" s="58">
        <v>29.0</v>
      </c>
      <c r="CL490" s="58" t="s">
        <v>5225</v>
      </c>
      <c r="CM490" s="58" t="s">
        <v>5226</v>
      </c>
      <c r="CO490" s="58" t="s">
        <v>5227</v>
      </c>
      <c r="CP490" s="58" t="s">
        <v>5228</v>
      </c>
      <c r="CR490" s="58">
        <v>16.0</v>
      </c>
      <c r="CT490" s="58">
        <v>64.0</v>
      </c>
      <c r="CU490" s="58" t="s">
        <v>239</v>
      </c>
      <c r="DL490" s="58" t="s">
        <v>5229</v>
      </c>
    </row>
    <row r="491" ht="15.75" customHeight="1">
      <c r="B491" s="58" t="s">
        <v>4587</v>
      </c>
      <c r="C491" s="58">
        <v>2017.0</v>
      </c>
      <c r="D491" s="58" t="s">
        <v>5230</v>
      </c>
      <c r="E491" s="58" t="s">
        <v>5231</v>
      </c>
      <c r="F491" s="58" t="s">
        <v>5232</v>
      </c>
      <c r="I491" s="58" t="s">
        <v>5233</v>
      </c>
      <c r="K491" s="73">
        <v>43087.0</v>
      </c>
      <c r="Z491" s="58" t="s">
        <v>239</v>
      </c>
      <c r="CH491" s="58" t="s">
        <v>5234</v>
      </c>
      <c r="CI491" s="73">
        <v>43087.0</v>
      </c>
      <c r="CJ491" s="58">
        <v>8628.0</v>
      </c>
      <c r="CK491" s="58">
        <v>8633.0</v>
      </c>
      <c r="CL491" s="58" t="s">
        <v>5235</v>
      </c>
      <c r="CM491" s="58" t="s">
        <v>5236</v>
      </c>
      <c r="CO491" s="58" t="s">
        <v>5237</v>
      </c>
      <c r="CP491" s="58" t="s">
        <v>5238</v>
      </c>
      <c r="CR491" s="58">
        <v>15.0</v>
      </c>
      <c r="CT491" s="58">
        <v>28.0</v>
      </c>
      <c r="CU491" s="58" t="s">
        <v>239</v>
      </c>
      <c r="DL491" s="58" t="s">
        <v>5239</v>
      </c>
    </row>
    <row r="492" ht="15.75" customHeight="1">
      <c r="B492" s="58" t="s">
        <v>4587</v>
      </c>
      <c r="C492" s="58">
        <v>2017.0</v>
      </c>
      <c r="D492" s="58" t="s">
        <v>5240</v>
      </c>
      <c r="E492" s="58" t="s">
        <v>5241</v>
      </c>
      <c r="F492" s="58" t="s">
        <v>5242</v>
      </c>
      <c r="H492" s="58" t="s">
        <v>5243</v>
      </c>
      <c r="I492" s="58" t="s">
        <v>5244</v>
      </c>
      <c r="K492" s="73">
        <v>42870.0</v>
      </c>
      <c r="Z492" s="58" t="s">
        <v>239</v>
      </c>
      <c r="CH492" s="58" t="s">
        <v>5245</v>
      </c>
      <c r="CI492" s="73">
        <v>42870.0</v>
      </c>
      <c r="CJ492" s="58">
        <v>282.0</v>
      </c>
      <c r="CK492" s="58">
        <v>285.0</v>
      </c>
      <c r="CL492" s="58" t="s">
        <v>5246</v>
      </c>
      <c r="CM492" s="58" t="s">
        <v>5247</v>
      </c>
      <c r="CO492" s="58" t="s">
        <v>5248</v>
      </c>
      <c r="CR492" s="58">
        <v>15.0</v>
      </c>
      <c r="CT492" s="58">
        <v>15.0</v>
      </c>
      <c r="DL492" s="58" t="s">
        <v>5249</v>
      </c>
    </row>
    <row r="493" ht="15.75" customHeight="1">
      <c r="B493" s="58" t="s">
        <v>4587</v>
      </c>
      <c r="C493" s="58">
        <v>2019.0</v>
      </c>
      <c r="D493" s="58" t="s">
        <v>5250</v>
      </c>
      <c r="E493" s="58" t="s">
        <v>5251</v>
      </c>
      <c r="F493" s="58" t="s">
        <v>5252</v>
      </c>
      <c r="H493" s="58" t="s">
        <v>5253</v>
      </c>
      <c r="I493" s="58" t="s">
        <v>5254</v>
      </c>
      <c r="K493" s="73">
        <v>43815.0</v>
      </c>
      <c r="Z493" s="58" t="s">
        <v>239</v>
      </c>
      <c r="CH493" s="58" t="s">
        <v>5255</v>
      </c>
      <c r="CI493" s="73">
        <v>43815.0</v>
      </c>
      <c r="CJ493" s="58">
        <v>1.0</v>
      </c>
      <c r="CK493" s="58">
        <v>7.0</v>
      </c>
      <c r="CL493" s="58" t="s">
        <v>5256</v>
      </c>
      <c r="CM493" s="58" t="s">
        <v>5257</v>
      </c>
      <c r="CO493" s="58" t="s">
        <v>5258</v>
      </c>
      <c r="CP493" s="58" t="s">
        <v>5259</v>
      </c>
      <c r="CR493" s="58">
        <v>15.0</v>
      </c>
      <c r="CT493" s="58">
        <v>28.0</v>
      </c>
      <c r="CU493" s="58" t="s">
        <v>239</v>
      </c>
      <c r="DL493" s="58" t="s">
        <v>5260</v>
      </c>
    </row>
    <row r="494" ht="15.75" customHeight="1">
      <c r="B494" s="58" t="s">
        <v>4587</v>
      </c>
      <c r="C494" s="58">
        <v>2020.0</v>
      </c>
      <c r="D494" s="58" t="s">
        <v>5261</v>
      </c>
      <c r="E494" s="58" t="s">
        <v>5262</v>
      </c>
      <c r="F494" s="58" t="s">
        <v>5263</v>
      </c>
      <c r="H494" s="58" t="s">
        <v>5264</v>
      </c>
      <c r="I494" s="58" t="s">
        <v>5265</v>
      </c>
      <c r="K494" s="73">
        <v>43990.0</v>
      </c>
      <c r="Z494" s="58" t="s">
        <v>239</v>
      </c>
      <c r="CH494" s="58" t="s">
        <v>5266</v>
      </c>
      <c r="CI494" s="73">
        <v>43990.0</v>
      </c>
      <c r="CJ494" s="58">
        <v>1.0</v>
      </c>
      <c r="CK494" s="58">
        <v>6.0</v>
      </c>
      <c r="CL494" s="58" t="s">
        <v>5267</v>
      </c>
      <c r="CM494" s="58" t="s">
        <v>5268</v>
      </c>
      <c r="CO494" s="58" t="s">
        <v>5269</v>
      </c>
      <c r="CR494" s="58">
        <v>15.0</v>
      </c>
      <c r="CT494" s="58">
        <v>28.0</v>
      </c>
      <c r="CU494" s="58" t="s">
        <v>239</v>
      </c>
      <c r="DL494" s="58" t="s">
        <v>5270</v>
      </c>
    </row>
    <row r="495" ht="15.75" customHeight="1">
      <c r="B495" s="58" t="s">
        <v>4587</v>
      </c>
      <c r="C495" s="58">
        <v>2019.0</v>
      </c>
      <c r="D495" s="58" t="s">
        <v>5271</v>
      </c>
      <c r="E495" s="58" t="s">
        <v>5272</v>
      </c>
      <c r="F495" s="58" t="s">
        <v>5273</v>
      </c>
      <c r="I495" s="58" t="s">
        <v>5274</v>
      </c>
      <c r="K495" s="73">
        <v>43885.0</v>
      </c>
      <c r="Z495" s="58" t="s">
        <v>239</v>
      </c>
      <c r="CH495" s="58" t="s">
        <v>5275</v>
      </c>
      <c r="CI495" s="73">
        <v>43885.0</v>
      </c>
      <c r="CJ495" s="58">
        <v>1607.0</v>
      </c>
      <c r="CK495" s="58">
        <v>1612.0</v>
      </c>
      <c r="CL495" s="58" t="s">
        <v>5276</v>
      </c>
      <c r="CM495" s="58" t="s">
        <v>5277</v>
      </c>
      <c r="CO495" s="58" t="s">
        <v>5278</v>
      </c>
      <c r="CP495" s="58" t="s">
        <v>5279</v>
      </c>
      <c r="CR495" s="58">
        <v>15.0</v>
      </c>
      <c r="CT495" s="58">
        <v>16.0</v>
      </c>
      <c r="CU495" s="58" t="s">
        <v>239</v>
      </c>
      <c r="DL495" s="58" t="s">
        <v>5280</v>
      </c>
    </row>
    <row r="496" ht="15.75" customHeight="1">
      <c r="B496" s="58" t="s">
        <v>4587</v>
      </c>
      <c r="C496" s="58">
        <v>2020.0</v>
      </c>
      <c r="D496" s="58" t="s">
        <v>5281</v>
      </c>
      <c r="E496" s="58" t="s">
        <v>5282</v>
      </c>
      <c r="F496" s="58" t="s">
        <v>5283</v>
      </c>
      <c r="I496" s="58" t="s">
        <v>5284</v>
      </c>
      <c r="K496" s="73">
        <v>44180.0</v>
      </c>
      <c r="Z496" s="58" t="s">
        <v>239</v>
      </c>
      <c r="CH496" s="58" t="s">
        <v>5285</v>
      </c>
      <c r="CI496" s="73">
        <v>44180.0</v>
      </c>
      <c r="CJ496" s="58">
        <v>1.0</v>
      </c>
      <c r="CK496" s="58">
        <v>10.0</v>
      </c>
      <c r="CL496" s="58" t="s">
        <v>5286</v>
      </c>
      <c r="CM496" s="58" t="s">
        <v>5287</v>
      </c>
      <c r="CO496" s="58" t="s">
        <v>5288</v>
      </c>
      <c r="CP496" s="58" t="s">
        <v>5289</v>
      </c>
      <c r="CR496" s="58">
        <v>15.0</v>
      </c>
      <c r="CT496" s="58">
        <v>39.0</v>
      </c>
      <c r="CU496" s="58" t="s">
        <v>239</v>
      </c>
      <c r="DL496" s="58" t="s">
        <v>5290</v>
      </c>
    </row>
    <row r="497" ht="15.75" customHeight="1">
      <c r="B497" s="58" t="s">
        <v>4587</v>
      </c>
      <c r="C497" s="58">
        <v>2019.0</v>
      </c>
      <c r="D497" s="58" t="s">
        <v>5291</v>
      </c>
      <c r="E497" s="58" t="s">
        <v>5292</v>
      </c>
      <c r="F497" s="58" t="s">
        <v>5293</v>
      </c>
      <c r="H497" s="58" t="s">
        <v>5294</v>
      </c>
      <c r="I497" s="58" t="s">
        <v>5295</v>
      </c>
      <c r="K497" s="73">
        <v>43734.0</v>
      </c>
      <c r="Z497" s="58" t="s">
        <v>239</v>
      </c>
      <c r="CH497" s="58" t="s">
        <v>5296</v>
      </c>
      <c r="CI497" s="73">
        <v>43734.0</v>
      </c>
      <c r="CJ497" s="58">
        <v>1.0</v>
      </c>
      <c r="CK497" s="58">
        <v>6.0</v>
      </c>
      <c r="CL497" s="58" t="s">
        <v>5297</v>
      </c>
      <c r="CM497" s="58" t="s">
        <v>5298</v>
      </c>
      <c r="CO497" s="58" t="s">
        <v>5299</v>
      </c>
      <c r="CP497" s="58" t="s">
        <v>5300</v>
      </c>
      <c r="CR497" s="58">
        <v>14.0</v>
      </c>
      <c r="CT497" s="58">
        <v>20.0</v>
      </c>
      <c r="CU497" s="58" t="s">
        <v>239</v>
      </c>
      <c r="DL497" s="58" t="s">
        <v>5301</v>
      </c>
    </row>
    <row r="498" ht="15.75" customHeight="1">
      <c r="B498" s="58" t="s">
        <v>4587</v>
      </c>
      <c r="C498" s="58">
        <v>2017.0</v>
      </c>
      <c r="D498" s="58" t="s">
        <v>5302</v>
      </c>
      <c r="E498" s="58" t="s">
        <v>5303</v>
      </c>
      <c r="F498" s="58" t="s">
        <v>5304</v>
      </c>
      <c r="I498" s="58" t="s">
        <v>5305</v>
      </c>
      <c r="K498" s="73">
        <v>43251.0</v>
      </c>
      <c r="Z498" s="58" t="s">
        <v>239</v>
      </c>
      <c r="CH498" s="58" t="s">
        <v>5306</v>
      </c>
      <c r="CI498" s="73">
        <v>43251.0</v>
      </c>
      <c r="CJ498" s="58">
        <v>1.0</v>
      </c>
      <c r="CK498" s="58">
        <v>6.0</v>
      </c>
      <c r="CL498" s="58" t="s">
        <v>5307</v>
      </c>
      <c r="CM498" s="58" t="s">
        <v>5308</v>
      </c>
      <c r="CO498" s="58" t="s">
        <v>5309</v>
      </c>
      <c r="CR498" s="58">
        <v>14.0</v>
      </c>
      <c r="CT498" s="58">
        <v>27.0</v>
      </c>
      <c r="CU498" s="58" t="s">
        <v>239</v>
      </c>
      <c r="DL498" s="58" t="s">
        <v>5310</v>
      </c>
    </row>
    <row r="499" ht="15.75" customHeight="1">
      <c r="B499" s="58" t="s">
        <v>4587</v>
      </c>
      <c r="C499" s="58">
        <v>2020.0</v>
      </c>
      <c r="D499" s="58" t="s">
        <v>5311</v>
      </c>
      <c r="E499" s="58" t="s">
        <v>5312</v>
      </c>
      <c r="F499" s="58" t="s">
        <v>5313</v>
      </c>
      <c r="I499" s="58" t="s">
        <v>5314</v>
      </c>
      <c r="K499" s="73">
        <v>44020.0</v>
      </c>
      <c r="Z499" s="58" t="s">
        <v>239</v>
      </c>
      <c r="CH499" s="58" t="s">
        <v>5315</v>
      </c>
      <c r="CI499" s="73">
        <v>44020.0</v>
      </c>
      <c r="CJ499" s="58">
        <v>2226.0</v>
      </c>
      <c r="CK499" s="58">
        <v>2230.0</v>
      </c>
      <c r="CL499" s="58" t="s">
        <v>5316</v>
      </c>
      <c r="CM499" s="58" t="s">
        <v>5317</v>
      </c>
      <c r="CO499" s="58" t="s">
        <v>5318</v>
      </c>
      <c r="CP499" s="58" t="s">
        <v>5319</v>
      </c>
      <c r="CR499" s="58">
        <v>14.0</v>
      </c>
      <c r="CT499" s="58">
        <v>12.0</v>
      </c>
      <c r="CU499" s="58" t="s">
        <v>239</v>
      </c>
      <c r="DL499" s="58" t="s">
        <v>5320</v>
      </c>
    </row>
    <row r="500" ht="15.75" customHeight="1">
      <c r="B500" s="58" t="s">
        <v>4587</v>
      </c>
      <c r="C500" s="58">
        <v>2019.0</v>
      </c>
      <c r="D500" s="58" t="s">
        <v>5321</v>
      </c>
      <c r="E500" s="58" t="s">
        <v>5322</v>
      </c>
      <c r="F500" s="58" t="s">
        <v>5252</v>
      </c>
      <c r="H500" s="58" t="s">
        <v>5253</v>
      </c>
      <c r="I500" s="58" t="s">
        <v>5323</v>
      </c>
      <c r="K500" s="73">
        <v>43815.0</v>
      </c>
      <c r="Z500" s="58" t="s">
        <v>239</v>
      </c>
      <c r="CH500" s="58" t="s">
        <v>5324</v>
      </c>
      <c r="CI500" s="73">
        <v>43815.0</v>
      </c>
      <c r="CJ500" s="58">
        <v>1.0</v>
      </c>
      <c r="CK500" s="58">
        <v>7.0</v>
      </c>
      <c r="CL500" s="58" t="s">
        <v>5325</v>
      </c>
      <c r="CM500" s="58" t="s">
        <v>5257</v>
      </c>
      <c r="CO500" s="58" t="s">
        <v>5326</v>
      </c>
      <c r="CR500" s="58">
        <v>14.0</v>
      </c>
      <c r="CT500" s="58">
        <v>24.0</v>
      </c>
      <c r="CU500" s="58" t="s">
        <v>239</v>
      </c>
      <c r="DL500" s="58" t="s">
        <v>5327</v>
      </c>
    </row>
    <row r="501" ht="15.75" customHeight="1">
      <c r="B501" s="58" t="s">
        <v>4587</v>
      </c>
      <c r="C501" s="58">
        <v>2018.0</v>
      </c>
      <c r="D501" s="58" t="s">
        <v>5328</v>
      </c>
      <c r="E501" s="58" t="s">
        <v>5329</v>
      </c>
      <c r="F501" s="58" t="s">
        <v>5330</v>
      </c>
      <c r="H501" s="58" t="s">
        <v>5331</v>
      </c>
      <c r="I501" s="58" t="s">
        <v>5332</v>
      </c>
      <c r="K501" s="73">
        <v>43422.0</v>
      </c>
      <c r="Z501" s="58" t="s">
        <v>239</v>
      </c>
      <c r="CH501" s="58" t="s">
        <v>5333</v>
      </c>
      <c r="CI501" s="73">
        <v>43422.0</v>
      </c>
      <c r="CJ501" s="58">
        <v>36.0</v>
      </c>
      <c r="CK501" s="58">
        <v>46.0</v>
      </c>
      <c r="CL501" s="58" t="s">
        <v>5334</v>
      </c>
      <c r="CM501" s="58" t="s">
        <v>5335</v>
      </c>
      <c r="CO501" s="58" t="s">
        <v>5336</v>
      </c>
      <c r="CP501" s="58" t="s">
        <v>5337</v>
      </c>
      <c r="CR501" s="58">
        <v>14.0</v>
      </c>
      <c r="CT501" s="58">
        <v>35.0</v>
      </c>
      <c r="CU501" s="58" t="s">
        <v>239</v>
      </c>
      <c r="DL501" s="58" t="s">
        <v>5338</v>
      </c>
    </row>
    <row r="502" ht="15.75" customHeight="1">
      <c r="B502" s="58" t="s">
        <v>4587</v>
      </c>
      <c r="C502" s="58">
        <v>2019.0</v>
      </c>
      <c r="D502" s="58" t="s">
        <v>5339</v>
      </c>
      <c r="E502" s="58" t="s">
        <v>5340</v>
      </c>
      <c r="F502" s="58" t="s">
        <v>5341</v>
      </c>
      <c r="I502" s="58" t="s">
        <v>5342</v>
      </c>
      <c r="K502" s="73">
        <v>43895.0</v>
      </c>
      <c r="Z502" s="58" t="s">
        <v>239</v>
      </c>
      <c r="CH502" s="58" t="s">
        <v>5343</v>
      </c>
      <c r="CI502" s="73">
        <v>43895.0</v>
      </c>
      <c r="CJ502" s="58">
        <v>1.0</v>
      </c>
      <c r="CK502" s="58">
        <v>6.0</v>
      </c>
      <c r="CL502" s="58" t="s">
        <v>5344</v>
      </c>
      <c r="CM502" s="58" t="s">
        <v>5345</v>
      </c>
      <c r="CO502" s="58" t="s">
        <v>5346</v>
      </c>
      <c r="CR502" s="58">
        <v>13.0</v>
      </c>
      <c r="CT502" s="58">
        <v>29.0</v>
      </c>
      <c r="CU502" s="58" t="s">
        <v>239</v>
      </c>
      <c r="DL502" s="58" t="s">
        <v>5347</v>
      </c>
    </row>
    <row r="503" ht="15.75" customHeight="1">
      <c r="B503" s="58" t="s">
        <v>4587</v>
      </c>
      <c r="C503" s="58">
        <v>2019.0</v>
      </c>
      <c r="D503" s="58" t="s">
        <v>5348</v>
      </c>
      <c r="E503" s="58" t="s">
        <v>5349</v>
      </c>
      <c r="F503" s="58" t="s">
        <v>5350</v>
      </c>
      <c r="H503" s="58" t="s">
        <v>5351</v>
      </c>
      <c r="I503" s="58" t="s">
        <v>5352</v>
      </c>
      <c r="K503" s="73">
        <v>43857.0</v>
      </c>
      <c r="Z503" s="58" t="s">
        <v>239</v>
      </c>
      <c r="CH503" s="58" t="s">
        <v>5353</v>
      </c>
      <c r="CI503" s="73">
        <v>43857.0</v>
      </c>
      <c r="CJ503" s="58">
        <v>1.0</v>
      </c>
      <c r="CK503" s="58">
        <v>7.0</v>
      </c>
      <c r="CL503" s="58" t="s">
        <v>5354</v>
      </c>
      <c r="CM503" s="58" t="s">
        <v>5355</v>
      </c>
      <c r="CO503" s="58" t="s">
        <v>5356</v>
      </c>
      <c r="CR503" s="58">
        <v>13.0</v>
      </c>
      <c r="CT503" s="58">
        <v>22.0</v>
      </c>
      <c r="CU503" s="58" t="s">
        <v>239</v>
      </c>
      <c r="DL503" s="58" t="s">
        <v>5357</v>
      </c>
    </row>
    <row r="504" ht="15.75" customHeight="1">
      <c r="B504" s="58" t="s">
        <v>4587</v>
      </c>
      <c r="C504" s="58">
        <v>2018.0</v>
      </c>
      <c r="D504" s="58" t="s">
        <v>5358</v>
      </c>
      <c r="E504" s="58" t="s">
        <v>5359</v>
      </c>
      <c r="F504" s="58" t="s">
        <v>5360</v>
      </c>
      <c r="I504" s="58" t="s">
        <v>5361</v>
      </c>
      <c r="K504" s="73">
        <v>43468.0</v>
      </c>
      <c r="Z504" s="58" t="s">
        <v>239</v>
      </c>
      <c r="CH504" s="58" t="s">
        <v>5362</v>
      </c>
      <c r="CI504" s="73">
        <v>43468.0</v>
      </c>
      <c r="CJ504" s="58">
        <v>106.0</v>
      </c>
      <c r="CK504" s="58">
        <v>110.0</v>
      </c>
      <c r="CL504" s="58" t="s">
        <v>5363</v>
      </c>
      <c r="CM504" s="58" t="s">
        <v>5364</v>
      </c>
      <c r="CO504" s="58" t="s">
        <v>5365</v>
      </c>
      <c r="CP504" s="58" t="s">
        <v>5366</v>
      </c>
      <c r="CR504" s="58">
        <v>13.0</v>
      </c>
      <c r="CT504" s="58">
        <v>18.0</v>
      </c>
      <c r="CU504" s="58" t="s">
        <v>239</v>
      </c>
      <c r="DL504" s="58" t="s">
        <v>5367</v>
      </c>
    </row>
    <row r="505" ht="15.75" customHeight="1">
      <c r="B505" s="58" t="s">
        <v>4587</v>
      </c>
      <c r="C505" s="58">
        <v>2022.0</v>
      </c>
      <c r="D505" s="58" t="s">
        <v>5368</v>
      </c>
      <c r="E505" s="58" t="s">
        <v>5369</v>
      </c>
      <c r="F505" s="58" t="s">
        <v>5370</v>
      </c>
      <c r="H505" s="58" t="s">
        <v>5371</v>
      </c>
      <c r="I505" s="58" t="s">
        <v>5372</v>
      </c>
      <c r="K505" s="73">
        <v>44718.0</v>
      </c>
      <c r="Z505" s="58" t="s">
        <v>239</v>
      </c>
      <c r="CH505" s="58" t="s">
        <v>5373</v>
      </c>
      <c r="CI505" s="73">
        <v>44718.0</v>
      </c>
      <c r="CJ505" s="58">
        <v>1.0</v>
      </c>
      <c r="CK505" s="58">
        <v>8.0</v>
      </c>
      <c r="CL505" s="58" t="s">
        <v>5374</v>
      </c>
      <c r="CM505" s="58" t="s">
        <v>5375</v>
      </c>
      <c r="CN505" s="58" t="s">
        <v>5376</v>
      </c>
      <c r="CO505" s="58" t="s">
        <v>5377</v>
      </c>
      <c r="CR505" s="58">
        <v>13.0</v>
      </c>
      <c r="CT505" s="58">
        <v>20.0</v>
      </c>
      <c r="CU505" s="58" t="s">
        <v>239</v>
      </c>
      <c r="DL505" s="58" t="s">
        <v>5378</v>
      </c>
    </row>
    <row r="506" ht="15.75" customHeight="1">
      <c r="B506" s="58" t="s">
        <v>4587</v>
      </c>
      <c r="C506" s="58">
        <v>2019.0</v>
      </c>
      <c r="D506" s="58" t="s">
        <v>5379</v>
      </c>
      <c r="E506" s="58" t="s">
        <v>5380</v>
      </c>
      <c r="F506" s="58" t="s">
        <v>5381</v>
      </c>
      <c r="I506" s="58" t="s">
        <v>5382</v>
      </c>
      <c r="K506" s="73">
        <v>43685.0</v>
      </c>
      <c r="Z506" s="58" t="s">
        <v>239</v>
      </c>
      <c r="CH506" s="58" t="s">
        <v>5383</v>
      </c>
      <c r="CI506" s="73">
        <v>43685.0</v>
      </c>
      <c r="CJ506" s="58">
        <v>1.0</v>
      </c>
      <c r="CK506" s="58">
        <v>11.0</v>
      </c>
      <c r="CL506" s="58" t="s">
        <v>5384</v>
      </c>
      <c r="CM506" s="58" t="s">
        <v>5385</v>
      </c>
      <c r="CO506" s="58" t="s">
        <v>5386</v>
      </c>
      <c r="CP506" s="58" t="s">
        <v>5387</v>
      </c>
      <c r="CR506" s="58">
        <v>13.0</v>
      </c>
      <c r="CT506" s="58">
        <v>51.0</v>
      </c>
      <c r="CU506" s="58" t="s">
        <v>239</v>
      </c>
      <c r="DL506" s="58" t="s">
        <v>5388</v>
      </c>
    </row>
    <row r="507" ht="15.75" customHeight="1">
      <c r="B507" s="58" t="s">
        <v>4587</v>
      </c>
      <c r="C507" s="58">
        <v>2019.0</v>
      </c>
      <c r="D507" s="58" t="s">
        <v>5389</v>
      </c>
      <c r="E507" s="58" t="s">
        <v>5390</v>
      </c>
      <c r="F507" s="58" t="s">
        <v>5391</v>
      </c>
      <c r="H507" s="58" t="s">
        <v>5392</v>
      </c>
      <c r="I507" s="58" t="s">
        <v>5393</v>
      </c>
      <c r="K507" s="73">
        <v>43706.0</v>
      </c>
      <c r="Z507" s="58" t="s">
        <v>239</v>
      </c>
      <c r="CH507" s="58" t="s">
        <v>5394</v>
      </c>
      <c r="CI507" s="73">
        <v>43706.0</v>
      </c>
      <c r="CJ507" s="58">
        <v>65.0</v>
      </c>
      <c r="CK507" s="58">
        <v>71.0</v>
      </c>
      <c r="CL507" s="58" t="s">
        <v>5395</v>
      </c>
      <c r="CM507" s="58" t="s">
        <v>5396</v>
      </c>
      <c r="CO507" s="58" t="s">
        <v>5397</v>
      </c>
      <c r="CP507" s="58" t="s">
        <v>5398</v>
      </c>
      <c r="CR507" s="58">
        <v>13.0</v>
      </c>
      <c r="CT507" s="58">
        <v>20.0</v>
      </c>
      <c r="CU507" s="58" t="s">
        <v>239</v>
      </c>
    </row>
    <row r="508" ht="15.75" customHeight="1">
      <c r="B508" s="58" t="s">
        <v>4587</v>
      </c>
      <c r="C508" s="58">
        <v>2022.0</v>
      </c>
      <c r="D508" s="58" t="s">
        <v>5399</v>
      </c>
      <c r="E508" s="58" t="s">
        <v>5400</v>
      </c>
      <c r="F508" s="58" t="s">
        <v>5401</v>
      </c>
      <c r="H508" s="58" t="s">
        <v>5402</v>
      </c>
      <c r="I508" s="58" t="s">
        <v>5403</v>
      </c>
      <c r="K508" s="73">
        <v>44602.0</v>
      </c>
      <c r="Z508" s="58" t="s">
        <v>239</v>
      </c>
      <c r="CH508" s="58" t="s">
        <v>5404</v>
      </c>
      <c r="CI508" s="73">
        <v>44602.0</v>
      </c>
      <c r="CJ508" s="58">
        <v>1.0</v>
      </c>
      <c r="CK508" s="58">
        <v>9.0</v>
      </c>
      <c r="CL508" s="58" t="s">
        <v>5405</v>
      </c>
      <c r="CM508" s="58" t="s">
        <v>5406</v>
      </c>
      <c r="CO508" s="58" t="s">
        <v>5407</v>
      </c>
      <c r="CP508" s="58" t="s">
        <v>5408</v>
      </c>
      <c r="CR508" s="58">
        <v>13.0</v>
      </c>
      <c r="CT508" s="58">
        <v>17.0</v>
      </c>
      <c r="CU508" s="58" t="s">
        <v>239</v>
      </c>
      <c r="DL508" s="58" t="s">
        <v>5409</v>
      </c>
    </row>
    <row r="509" ht="15.75" customHeight="1">
      <c r="B509" s="58" t="s">
        <v>4587</v>
      </c>
      <c r="C509" s="58">
        <v>2017.0</v>
      </c>
      <c r="D509" s="58" t="s">
        <v>5410</v>
      </c>
      <c r="E509" s="58" t="s">
        <v>5411</v>
      </c>
      <c r="F509" s="58" t="s">
        <v>5412</v>
      </c>
      <c r="I509" s="58" t="s">
        <v>5413</v>
      </c>
      <c r="K509" s="73">
        <v>43136.0</v>
      </c>
      <c r="Z509" s="58" t="s">
        <v>239</v>
      </c>
      <c r="CH509" s="58" t="s">
        <v>5414</v>
      </c>
      <c r="CI509" s="73">
        <v>43136.0</v>
      </c>
      <c r="CJ509" s="58">
        <v>1.0</v>
      </c>
      <c r="CK509" s="58">
        <v>6.0</v>
      </c>
      <c r="CL509" s="58" t="s">
        <v>5415</v>
      </c>
      <c r="CM509" s="58" t="s">
        <v>5416</v>
      </c>
      <c r="CO509" s="58" t="s">
        <v>5417</v>
      </c>
      <c r="CR509" s="58">
        <v>12.0</v>
      </c>
      <c r="CT509" s="58">
        <v>28.0</v>
      </c>
      <c r="CU509" s="58" t="s">
        <v>239</v>
      </c>
      <c r="DL509" s="58" t="s">
        <v>5418</v>
      </c>
    </row>
    <row r="510" ht="15.75" customHeight="1">
      <c r="B510" s="58" t="s">
        <v>4587</v>
      </c>
      <c r="C510" s="58">
        <v>2019.0</v>
      </c>
      <c r="D510" s="58" t="s">
        <v>5419</v>
      </c>
      <c r="E510" s="58" t="s">
        <v>5420</v>
      </c>
      <c r="F510" s="58" t="s">
        <v>5421</v>
      </c>
      <c r="I510" s="58" t="s">
        <v>5422</v>
      </c>
      <c r="K510" s="73">
        <v>43787.0</v>
      </c>
      <c r="Z510" s="58" t="s">
        <v>239</v>
      </c>
      <c r="CH510" s="58" t="s">
        <v>5423</v>
      </c>
      <c r="CI510" s="73">
        <v>43787.0</v>
      </c>
      <c r="CJ510" s="58">
        <v>1.0</v>
      </c>
      <c r="CK510" s="58">
        <v>6.0</v>
      </c>
      <c r="CL510" s="58" t="s">
        <v>5424</v>
      </c>
      <c r="CM510" s="58" t="s">
        <v>5425</v>
      </c>
      <c r="CO510" s="58" t="s">
        <v>5426</v>
      </c>
      <c r="CP510" s="58" t="s">
        <v>5427</v>
      </c>
      <c r="CR510" s="58">
        <v>12.0</v>
      </c>
      <c r="CT510" s="58">
        <v>13.0</v>
      </c>
      <c r="CU510" s="58" t="s">
        <v>239</v>
      </c>
      <c r="DL510" s="58" t="s">
        <v>5428</v>
      </c>
    </row>
    <row r="511" ht="15.75" customHeight="1">
      <c r="B511" s="58" t="s">
        <v>4587</v>
      </c>
      <c r="C511" s="58">
        <v>2016.0</v>
      </c>
      <c r="D511" s="58" t="s">
        <v>5429</v>
      </c>
      <c r="E511" s="58" t="s">
        <v>5430</v>
      </c>
      <c r="F511" s="58" t="s">
        <v>5431</v>
      </c>
      <c r="I511" s="58" t="s">
        <v>5432</v>
      </c>
      <c r="K511" s="73">
        <v>42726.0</v>
      </c>
      <c r="Z511" s="58" t="s">
        <v>239</v>
      </c>
      <c r="CH511" s="58" t="s">
        <v>5433</v>
      </c>
      <c r="CI511" s="73">
        <v>42726.0</v>
      </c>
      <c r="CJ511" s="58">
        <v>23.0</v>
      </c>
      <c r="CK511" s="58">
        <v>30.0</v>
      </c>
      <c r="CL511" s="58" t="s">
        <v>5434</v>
      </c>
      <c r="CM511" s="58" t="s">
        <v>5435</v>
      </c>
      <c r="CO511" s="58" t="s">
        <v>5436</v>
      </c>
      <c r="CP511" s="58" t="s">
        <v>5437</v>
      </c>
      <c r="CR511" s="58">
        <v>12.0</v>
      </c>
      <c r="CT511" s="58">
        <v>34.0</v>
      </c>
      <c r="CU511" s="58" t="s">
        <v>239</v>
      </c>
      <c r="DL511" s="58" t="s">
        <v>5438</v>
      </c>
    </row>
    <row r="512" ht="15.75" customHeight="1">
      <c r="B512" s="58" t="s">
        <v>4587</v>
      </c>
      <c r="C512" s="58">
        <v>2019.0</v>
      </c>
      <c r="D512" s="58" t="s">
        <v>5439</v>
      </c>
      <c r="E512" s="58" t="s">
        <v>5440</v>
      </c>
      <c r="F512" s="58" t="s">
        <v>5002</v>
      </c>
      <c r="H512" s="58" t="s">
        <v>5003</v>
      </c>
      <c r="I512" s="58" t="s">
        <v>5441</v>
      </c>
      <c r="K512" s="73">
        <v>43888.0</v>
      </c>
      <c r="Z512" s="58" t="s">
        <v>239</v>
      </c>
      <c r="CH512" s="58" t="s">
        <v>5442</v>
      </c>
      <c r="CI512" s="73">
        <v>43888.0</v>
      </c>
      <c r="CJ512" s="58">
        <v>1.0</v>
      </c>
      <c r="CK512" s="58">
        <v>6.0</v>
      </c>
      <c r="CL512" s="58" t="s">
        <v>5443</v>
      </c>
      <c r="CM512" s="58" t="s">
        <v>5007</v>
      </c>
      <c r="CO512" s="58" t="s">
        <v>5444</v>
      </c>
      <c r="CR512" s="58">
        <v>12.0</v>
      </c>
      <c r="CT512" s="58">
        <v>15.0</v>
      </c>
      <c r="CU512" s="58" t="s">
        <v>239</v>
      </c>
      <c r="DL512" s="58" t="s">
        <v>5445</v>
      </c>
    </row>
    <row r="513" ht="15.75" customHeight="1">
      <c r="B513" s="58" t="s">
        <v>4587</v>
      </c>
      <c r="C513" s="58">
        <v>2018.0</v>
      </c>
      <c r="D513" s="58" t="s">
        <v>5446</v>
      </c>
      <c r="E513" s="58" t="s">
        <v>5447</v>
      </c>
      <c r="F513" s="58" t="s">
        <v>5448</v>
      </c>
      <c r="I513" s="58" t="s">
        <v>5449</v>
      </c>
      <c r="K513" s="73">
        <v>43356.0</v>
      </c>
      <c r="Z513" s="58" t="s">
        <v>239</v>
      </c>
      <c r="CH513" s="58" t="s">
        <v>5450</v>
      </c>
      <c r="CI513" s="73">
        <v>43356.0</v>
      </c>
      <c r="CJ513" s="58">
        <v>276.0</v>
      </c>
      <c r="CK513" s="58">
        <v>284.0</v>
      </c>
      <c r="CL513" s="58" t="s">
        <v>5451</v>
      </c>
      <c r="CM513" s="58" t="s">
        <v>5452</v>
      </c>
      <c r="CO513" s="58" t="s">
        <v>5453</v>
      </c>
      <c r="CP513" s="58" t="s">
        <v>5454</v>
      </c>
      <c r="CR513" s="58">
        <v>12.0</v>
      </c>
      <c r="CT513" s="58">
        <v>33.0</v>
      </c>
      <c r="CU513" s="58" t="s">
        <v>239</v>
      </c>
      <c r="DL513" s="58" t="s">
        <v>5455</v>
      </c>
    </row>
    <row r="514" ht="15.75" customHeight="1">
      <c r="B514" s="58" t="s">
        <v>4587</v>
      </c>
      <c r="C514" s="58">
        <v>2018.0</v>
      </c>
      <c r="D514" s="58" t="s">
        <v>5456</v>
      </c>
      <c r="E514" s="58" t="s">
        <v>5457</v>
      </c>
      <c r="F514" s="58" t="s">
        <v>5458</v>
      </c>
      <c r="H514" s="58" t="s">
        <v>5034</v>
      </c>
      <c r="I514" s="58" t="s">
        <v>5459</v>
      </c>
      <c r="K514" s="73">
        <v>43405.0</v>
      </c>
      <c r="Z514" s="58" t="s">
        <v>239</v>
      </c>
      <c r="CH514" s="58" t="s">
        <v>5460</v>
      </c>
      <c r="CI514" s="73">
        <v>43405.0</v>
      </c>
      <c r="CJ514" s="58">
        <v>234.0</v>
      </c>
      <c r="CK514" s="58">
        <v>244.0</v>
      </c>
      <c r="CL514" s="58" t="s">
        <v>5461</v>
      </c>
      <c r="CM514" s="58" t="s">
        <v>5462</v>
      </c>
      <c r="CO514" s="58" t="s">
        <v>5463</v>
      </c>
      <c r="CP514" s="58" t="s">
        <v>5464</v>
      </c>
      <c r="CR514" s="58">
        <v>12.0</v>
      </c>
      <c r="CT514" s="58">
        <v>27.0</v>
      </c>
      <c r="CU514" s="58" t="s">
        <v>239</v>
      </c>
      <c r="DL514" s="58" t="s">
        <v>5465</v>
      </c>
    </row>
    <row r="515" ht="15.75" customHeight="1">
      <c r="B515" s="58" t="s">
        <v>4587</v>
      </c>
      <c r="C515" s="58">
        <v>2016.0</v>
      </c>
      <c r="D515" s="58" t="s">
        <v>5466</v>
      </c>
      <c r="E515" s="58" t="s">
        <v>5467</v>
      </c>
      <c r="F515" s="58" t="s">
        <v>5468</v>
      </c>
      <c r="I515" s="58" t="s">
        <v>5469</v>
      </c>
      <c r="K515" s="73">
        <v>42772.0</v>
      </c>
      <c r="Z515" s="58" t="s">
        <v>239</v>
      </c>
      <c r="CH515" s="58" t="s">
        <v>5470</v>
      </c>
      <c r="CI515" s="73">
        <v>42772.0</v>
      </c>
      <c r="CJ515" s="58">
        <v>2929.0</v>
      </c>
      <c r="CK515" s="58">
        <v>2937.0</v>
      </c>
      <c r="CL515" s="58" t="s">
        <v>5471</v>
      </c>
      <c r="CM515" s="58" t="s">
        <v>5472</v>
      </c>
      <c r="CO515" s="58" t="s">
        <v>5473</v>
      </c>
      <c r="CP515" s="58" t="s">
        <v>5474</v>
      </c>
      <c r="CR515" s="58">
        <v>12.0</v>
      </c>
      <c r="CS515" s="58">
        <v>51.0</v>
      </c>
      <c r="CT515" s="58">
        <v>29.0</v>
      </c>
      <c r="CU515" s="58" t="s">
        <v>239</v>
      </c>
      <c r="DL515" s="58" t="s">
        <v>5475</v>
      </c>
    </row>
    <row r="516" ht="15.75" customHeight="1">
      <c r="B516" s="58" t="s">
        <v>4587</v>
      </c>
      <c r="C516" s="58">
        <v>2018.0</v>
      </c>
      <c r="D516" s="58" t="s">
        <v>5476</v>
      </c>
      <c r="E516" s="58" t="s">
        <v>5477</v>
      </c>
      <c r="F516" s="58" t="s">
        <v>5478</v>
      </c>
      <c r="H516" s="58" t="s">
        <v>5479</v>
      </c>
      <c r="I516" s="58" t="s">
        <v>5480</v>
      </c>
      <c r="K516" s="73">
        <v>43394.0</v>
      </c>
      <c r="Z516" s="58" t="s">
        <v>239</v>
      </c>
      <c r="CH516" s="58" t="s">
        <v>5481</v>
      </c>
      <c r="CI516" s="73">
        <v>43394.0</v>
      </c>
      <c r="CJ516" s="58">
        <v>151.0</v>
      </c>
      <c r="CK516" s="58">
        <v>156.0</v>
      </c>
      <c r="CL516" s="58" t="s">
        <v>5482</v>
      </c>
      <c r="CM516" s="58" t="s">
        <v>5483</v>
      </c>
      <c r="CO516" s="58" t="s">
        <v>5484</v>
      </c>
      <c r="CP516" s="58" t="s">
        <v>5485</v>
      </c>
      <c r="CR516" s="58">
        <v>12.0</v>
      </c>
      <c r="CT516" s="58">
        <v>23.0</v>
      </c>
      <c r="CU516" s="58" t="s">
        <v>239</v>
      </c>
      <c r="DL516" s="58" t="s">
        <v>5486</v>
      </c>
    </row>
    <row r="517" ht="15.75" customHeight="1">
      <c r="B517" s="58" t="s">
        <v>4587</v>
      </c>
      <c r="C517" s="58">
        <v>2017.0</v>
      </c>
      <c r="D517" s="58" t="s">
        <v>5487</v>
      </c>
      <c r="E517" s="58" t="s">
        <v>5488</v>
      </c>
      <c r="F517" s="58" t="s">
        <v>5489</v>
      </c>
      <c r="H517" s="58" t="s">
        <v>5490</v>
      </c>
      <c r="I517" s="58" t="s">
        <v>5491</v>
      </c>
      <c r="K517" s="73">
        <v>42985.0</v>
      </c>
      <c r="Z517" s="58" t="s">
        <v>239</v>
      </c>
      <c r="CH517" s="58" t="s">
        <v>5492</v>
      </c>
      <c r="CI517" s="73">
        <v>42985.0</v>
      </c>
      <c r="CJ517" s="58">
        <v>332.0</v>
      </c>
      <c r="CK517" s="58">
        <v>341.0</v>
      </c>
      <c r="CL517" s="58" t="s">
        <v>5493</v>
      </c>
      <c r="CM517" s="58" t="s">
        <v>5494</v>
      </c>
      <c r="CO517" s="58" t="s">
        <v>5495</v>
      </c>
      <c r="CP517" s="58" t="s">
        <v>5496</v>
      </c>
      <c r="CR517" s="58">
        <v>11.0</v>
      </c>
      <c r="CT517" s="58">
        <v>41.0</v>
      </c>
      <c r="CU517" s="58" t="s">
        <v>239</v>
      </c>
      <c r="DL517" s="58" t="s">
        <v>5497</v>
      </c>
    </row>
    <row r="518" ht="15.75" customHeight="1">
      <c r="B518" s="58" t="s">
        <v>4587</v>
      </c>
      <c r="C518" s="58">
        <v>2017.0</v>
      </c>
      <c r="D518" s="58" t="s">
        <v>5498</v>
      </c>
      <c r="E518" s="58" t="s">
        <v>5499</v>
      </c>
      <c r="F518" s="58" t="s">
        <v>4761</v>
      </c>
      <c r="I518" s="58" t="s">
        <v>5500</v>
      </c>
      <c r="K518" s="73">
        <v>42929.0</v>
      </c>
      <c r="Z518" s="58" t="s">
        <v>239</v>
      </c>
      <c r="CH518" s="58" t="s">
        <v>5501</v>
      </c>
      <c r="CI518" s="73">
        <v>42929.0</v>
      </c>
      <c r="CJ518" s="58">
        <v>1302.0</v>
      </c>
      <c r="CK518" s="58">
        <v>1308.0</v>
      </c>
      <c r="CL518" s="58" t="s">
        <v>5502</v>
      </c>
      <c r="CM518" s="58" t="s">
        <v>4765</v>
      </c>
      <c r="CO518" s="58" t="s">
        <v>5503</v>
      </c>
      <c r="CP518" s="58" t="s">
        <v>5504</v>
      </c>
      <c r="CR518" s="58">
        <v>11.0</v>
      </c>
      <c r="CT518" s="58">
        <v>14.0</v>
      </c>
      <c r="DL518" s="58" t="s">
        <v>5505</v>
      </c>
    </row>
    <row r="519" ht="15.75" customHeight="1">
      <c r="B519" s="58" t="s">
        <v>4587</v>
      </c>
      <c r="C519" s="58">
        <v>2016.0</v>
      </c>
      <c r="D519" s="58" t="s">
        <v>5506</v>
      </c>
      <c r="E519" s="58" t="s">
        <v>5507</v>
      </c>
      <c r="F519" s="58" t="s">
        <v>5508</v>
      </c>
      <c r="H519" s="58" t="s">
        <v>4600</v>
      </c>
      <c r="I519" s="58" t="s">
        <v>5509</v>
      </c>
      <c r="K519" s="73">
        <v>42754.0</v>
      </c>
      <c r="Z519" s="58" t="s">
        <v>239</v>
      </c>
      <c r="CH519" s="58" t="s">
        <v>5510</v>
      </c>
      <c r="CI519" s="73">
        <v>42754.0</v>
      </c>
      <c r="CJ519" s="58">
        <v>220.0</v>
      </c>
      <c r="CK519" s="58">
        <v>227.0</v>
      </c>
      <c r="CL519" s="58" t="s">
        <v>5511</v>
      </c>
      <c r="CM519" s="58" t="s">
        <v>5512</v>
      </c>
      <c r="CO519" s="58" t="s">
        <v>5513</v>
      </c>
      <c r="CR519" s="58">
        <v>11.0</v>
      </c>
      <c r="CS519" s="58">
        <v>1.0</v>
      </c>
      <c r="CT519" s="58">
        <v>29.0</v>
      </c>
      <c r="CU519" s="58" t="s">
        <v>239</v>
      </c>
      <c r="DL519" s="58" t="s">
        <v>5514</v>
      </c>
    </row>
    <row r="520" ht="15.75" customHeight="1">
      <c r="B520" s="58" t="s">
        <v>4587</v>
      </c>
      <c r="C520" s="58">
        <v>2020.0</v>
      </c>
      <c r="D520" s="58" t="s">
        <v>5515</v>
      </c>
      <c r="E520" s="58" t="s">
        <v>5516</v>
      </c>
      <c r="F520" s="58" t="s">
        <v>5517</v>
      </c>
      <c r="I520" s="58" t="s">
        <v>5518</v>
      </c>
      <c r="K520" s="73">
        <v>44092.0</v>
      </c>
      <c r="Z520" s="58" t="s">
        <v>239</v>
      </c>
      <c r="CH520" s="58" t="s">
        <v>5519</v>
      </c>
      <c r="CI520" s="73">
        <v>44092.0</v>
      </c>
      <c r="CJ520" s="58">
        <v>1.0</v>
      </c>
      <c r="CK520" s="58">
        <v>10.0</v>
      </c>
      <c r="CL520" s="58" t="s">
        <v>5520</v>
      </c>
      <c r="CM520" s="58" t="s">
        <v>5521</v>
      </c>
      <c r="CO520" s="58" t="s">
        <v>5522</v>
      </c>
      <c r="CP520" s="58" t="s">
        <v>5523</v>
      </c>
      <c r="CR520" s="58">
        <v>11.0</v>
      </c>
      <c r="CT520" s="58">
        <v>14.0</v>
      </c>
      <c r="CU520" s="58" t="s">
        <v>239</v>
      </c>
      <c r="DL520" s="58" t="s">
        <v>5524</v>
      </c>
    </row>
    <row r="521" ht="15.75" customHeight="1">
      <c r="B521" s="58" t="s">
        <v>4587</v>
      </c>
      <c r="C521" s="58">
        <v>2018.0</v>
      </c>
      <c r="D521" s="58" t="s">
        <v>5525</v>
      </c>
      <c r="E521" s="58" t="s">
        <v>5526</v>
      </c>
      <c r="F521" s="58" t="s">
        <v>5527</v>
      </c>
      <c r="H521" s="58" t="s">
        <v>5528</v>
      </c>
      <c r="I521" s="58" t="s">
        <v>5529</v>
      </c>
      <c r="K521" s="73">
        <v>43290.0</v>
      </c>
      <c r="Z521" s="58" t="s">
        <v>239</v>
      </c>
      <c r="CH521" s="58" t="s">
        <v>5530</v>
      </c>
      <c r="CI521" s="73">
        <v>43290.0</v>
      </c>
      <c r="CJ521" s="58">
        <v>1.0</v>
      </c>
      <c r="CK521" s="58">
        <v>6.0</v>
      </c>
      <c r="CL521" s="58" t="s">
        <v>5531</v>
      </c>
      <c r="CM521" s="58" t="s">
        <v>5532</v>
      </c>
      <c r="CO521" s="58" t="s">
        <v>5533</v>
      </c>
      <c r="CP521" s="58" t="s">
        <v>5534</v>
      </c>
      <c r="CR521" s="58">
        <v>11.0</v>
      </c>
      <c r="CU521" s="58" t="s">
        <v>239</v>
      </c>
      <c r="DL521" s="58" t="s">
        <v>5535</v>
      </c>
    </row>
    <row r="522" ht="15.75" customHeight="1">
      <c r="B522" s="58" t="s">
        <v>4587</v>
      </c>
      <c r="C522" s="58">
        <v>2020.0</v>
      </c>
      <c r="D522" s="58" t="s">
        <v>5536</v>
      </c>
      <c r="E522" s="58" t="s">
        <v>5537</v>
      </c>
      <c r="F522" s="58" t="s">
        <v>5538</v>
      </c>
      <c r="H522" s="58" t="s">
        <v>5539</v>
      </c>
      <c r="I522" s="58" t="s">
        <v>5540</v>
      </c>
      <c r="K522" s="73">
        <v>43920.0</v>
      </c>
      <c r="Z522" s="58" t="s">
        <v>239</v>
      </c>
      <c r="CH522" s="58" t="s">
        <v>5541</v>
      </c>
      <c r="CI522" s="73">
        <v>43920.0</v>
      </c>
      <c r="CJ522" s="58">
        <v>641.0</v>
      </c>
      <c r="CK522" s="58">
        <v>647.0</v>
      </c>
      <c r="CL522" s="58" t="s">
        <v>5542</v>
      </c>
      <c r="CM522" s="58" t="s">
        <v>5543</v>
      </c>
      <c r="CO522" s="58" t="s">
        <v>5544</v>
      </c>
      <c r="CP522" s="58" t="s">
        <v>5545</v>
      </c>
      <c r="CR522" s="58">
        <v>11.0</v>
      </c>
      <c r="CT522" s="58">
        <v>21.0</v>
      </c>
      <c r="CU522" s="58" t="s">
        <v>239</v>
      </c>
      <c r="DL522" s="58" t="s">
        <v>5546</v>
      </c>
    </row>
    <row r="523" ht="15.75" customHeight="1">
      <c r="B523" s="58" t="s">
        <v>4587</v>
      </c>
      <c r="C523" s="58">
        <v>2020.0</v>
      </c>
      <c r="D523" s="58" t="s">
        <v>5547</v>
      </c>
      <c r="E523" s="58" t="s">
        <v>5548</v>
      </c>
      <c r="F523" s="58" t="s">
        <v>5549</v>
      </c>
      <c r="I523" s="58" t="s">
        <v>5550</v>
      </c>
      <c r="K523" s="73">
        <v>44216.0</v>
      </c>
      <c r="Z523" s="58" t="s">
        <v>239</v>
      </c>
      <c r="CH523" s="58" t="s">
        <v>5551</v>
      </c>
      <c r="CI523" s="73">
        <v>44216.0</v>
      </c>
      <c r="CJ523" s="58">
        <v>1.0</v>
      </c>
      <c r="CK523" s="58">
        <v>9.0</v>
      </c>
      <c r="CL523" s="58" t="s">
        <v>5552</v>
      </c>
      <c r="CM523" s="58" t="s">
        <v>5553</v>
      </c>
      <c r="CO523" s="58" t="s">
        <v>5554</v>
      </c>
      <c r="CP523" s="58" t="s">
        <v>5555</v>
      </c>
      <c r="CR523" s="58">
        <v>11.0</v>
      </c>
      <c r="CT523" s="58">
        <v>26.0</v>
      </c>
      <c r="CU523" s="58" t="s">
        <v>239</v>
      </c>
      <c r="DL523" s="58" t="s">
        <v>5556</v>
      </c>
    </row>
    <row r="524" ht="15.75" customHeight="1">
      <c r="B524" s="58" t="s">
        <v>4587</v>
      </c>
      <c r="C524" s="58">
        <v>2019.0</v>
      </c>
      <c r="D524" s="58" t="s">
        <v>5557</v>
      </c>
      <c r="E524" s="58" t="s">
        <v>5558</v>
      </c>
      <c r="F524" s="58" t="s">
        <v>5273</v>
      </c>
      <c r="I524" s="58" t="s">
        <v>5559</v>
      </c>
      <c r="K524" s="73">
        <v>43885.0</v>
      </c>
      <c r="Z524" s="58" t="s">
        <v>239</v>
      </c>
      <c r="CH524" s="58" t="s">
        <v>5560</v>
      </c>
      <c r="CI524" s="73">
        <v>43885.0</v>
      </c>
      <c r="CJ524" s="58">
        <v>5223.0</v>
      </c>
      <c r="CK524" s="58">
        <v>5232.0</v>
      </c>
      <c r="CL524" s="58" t="s">
        <v>5561</v>
      </c>
      <c r="CM524" s="58" t="s">
        <v>5277</v>
      </c>
      <c r="CO524" s="58" t="s">
        <v>5562</v>
      </c>
      <c r="CP524" s="58" t="s">
        <v>5563</v>
      </c>
      <c r="CR524" s="58">
        <v>11.0</v>
      </c>
      <c r="CT524" s="58">
        <v>45.0</v>
      </c>
      <c r="CU524" s="58" t="s">
        <v>239</v>
      </c>
      <c r="DL524" s="58" t="s">
        <v>5564</v>
      </c>
    </row>
    <row r="525" ht="15.75" customHeight="1">
      <c r="B525" s="58" t="s">
        <v>4587</v>
      </c>
      <c r="C525" s="58">
        <v>2022.0</v>
      </c>
      <c r="D525" s="58" t="s">
        <v>5368</v>
      </c>
      <c r="E525" s="58" t="s">
        <v>5565</v>
      </c>
      <c r="F525" s="58" t="s">
        <v>5566</v>
      </c>
      <c r="I525" s="58" t="s">
        <v>5567</v>
      </c>
      <c r="K525" s="73">
        <v>44764.0</v>
      </c>
      <c r="Z525" s="58" t="s">
        <v>239</v>
      </c>
      <c r="CH525" s="58" t="s">
        <v>5373</v>
      </c>
      <c r="CI525" s="73">
        <v>44764.0</v>
      </c>
      <c r="CJ525" s="58">
        <v>397.0</v>
      </c>
      <c r="CK525" s="58">
        <v>402.0</v>
      </c>
      <c r="CL525" s="58" t="s">
        <v>5568</v>
      </c>
      <c r="CM525" s="58" t="s">
        <v>5569</v>
      </c>
      <c r="CN525" s="58" t="s">
        <v>5570</v>
      </c>
      <c r="CO525" s="58" t="s">
        <v>5571</v>
      </c>
      <c r="CP525" s="58" t="s">
        <v>5572</v>
      </c>
      <c r="CR525" s="58">
        <v>11.0</v>
      </c>
      <c r="CT525" s="58">
        <v>14.0</v>
      </c>
      <c r="CU525" s="58" t="s">
        <v>239</v>
      </c>
      <c r="DL525" s="58" t="s">
        <v>5573</v>
      </c>
    </row>
    <row r="526" ht="15.75" customHeight="1">
      <c r="B526" s="58" t="s">
        <v>4587</v>
      </c>
      <c r="C526" s="58">
        <v>2017.0</v>
      </c>
      <c r="D526" s="58" t="s">
        <v>5574</v>
      </c>
      <c r="E526" s="58" t="s">
        <v>5575</v>
      </c>
      <c r="F526" s="58" t="s">
        <v>4771</v>
      </c>
      <c r="I526" s="58" t="s">
        <v>5576</v>
      </c>
      <c r="K526" s="73">
        <v>42894.0</v>
      </c>
      <c r="Z526" s="58" t="s">
        <v>239</v>
      </c>
      <c r="CH526" s="58" t="s">
        <v>5577</v>
      </c>
      <c r="CI526" s="73">
        <v>42894.0</v>
      </c>
      <c r="CJ526" s="58">
        <v>57.0</v>
      </c>
      <c r="CK526" s="58">
        <v>62.0</v>
      </c>
      <c r="CL526" s="58" t="s">
        <v>5578</v>
      </c>
      <c r="CM526" s="58" t="s">
        <v>4775</v>
      </c>
      <c r="CO526" s="58" t="s">
        <v>5579</v>
      </c>
      <c r="CR526" s="58">
        <v>10.0</v>
      </c>
      <c r="CT526" s="58">
        <v>27.0</v>
      </c>
      <c r="CU526" s="58" t="s">
        <v>239</v>
      </c>
      <c r="DL526" s="58" t="s">
        <v>5580</v>
      </c>
    </row>
    <row r="527" ht="15.75" customHeight="1">
      <c r="B527" s="58" t="s">
        <v>4587</v>
      </c>
      <c r="C527" s="58">
        <v>2017.0</v>
      </c>
      <c r="D527" s="58" t="s">
        <v>5581</v>
      </c>
      <c r="E527" s="58" t="s">
        <v>5582</v>
      </c>
      <c r="F527" s="58" t="s">
        <v>5583</v>
      </c>
      <c r="I527" s="58" t="s">
        <v>5584</v>
      </c>
      <c r="K527" s="73">
        <v>43335.0</v>
      </c>
      <c r="Z527" s="58" t="s">
        <v>239</v>
      </c>
      <c r="CH527" s="58" t="s">
        <v>5585</v>
      </c>
      <c r="CI527" s="73">
        <v>43335.0</v>
      </c>
      <c r="CJ527" s="58">
        <v>165.0</v>
      </c>
      <c r="CK527" s="58">
        <v>173.0</v>
      </c>
      <c r="CL527" s="58" t="s">
        <v>5586</v>
      </c>
      <c r="CM527" s="58" t="s">
        <v>5587</v>
      </c>
      <c r="CO527" s="58" t="s">
        <v>5588</v>
      </c>
      <c r="CP527" s="58" t="s">
        <v>5589</v>
      </c>
      <c r="CR527" s="58">
        <v>10.0</v>
      </c>
      <c r="CT527" s="58">
        <v>48.0</v>
      </c>
      <c r="CU527" s="58" t="s">
        <v>239</v>
      </c>
      <c r="DL527" s="58" t="s">
        <v>5590</v>
      </c>
    </row>
    <row r="528" ht="15.75" customHeight="1">
      <c r="B528" s="58" t="s">
        <v>4587</v>
      </c>
      <c r="C528" s="58">
        <v>2021.0</v>
      </c>
      <c r="D528" s="58" t="s">
        <v>5591</v>
      </c>
      <c r="E528" s="58" t="s">
        <v>5592</v>
      </c>
      <c r="F528" s="58" t="s">
        <v>5593</v>
      </c>
      <c r="I528" s="58" t="s">
        <v>5594</v>
      </c>
      <c r="K528" s="73">
        <v>44594.0</v>
      </c>
      <c r="Z528" s="58" t="s">
        <v>239</v>
      </c>
      <c r="CH528" s="58" t="s">
        <v>5595</v>
      </c>
      <c r="CI528" s="73">
        <v>44594.0</v>
      </c>
      <c r="CJ528" s="58">
        <v>1.0</v>
      </c>
      <c r="CK528" s="58">
        <v>6.0</v>
      </c>
      <c r="CL528" s="58" t="s">
        <v>5596</v>
      </c>
      <c r="CM528" s="58" t="s">
        <v>5597</v>
      </c>
      <c r="CN528" s="58" t="s">
        <v>5598</v>
      </c>
      <c r="CO528" s="58" t="s">
        <v>5599</v>
      </c>
      <c r="CP528" s="58" t="s">
        <v>5600</v>
      </c>
      <c r="CR528" s="58">
        <v>10.0</v>
      </c>
      <c r="CT528" s="58">
        <v>23.0</v>
      </c>
      <c r="CU528" s="58" t="s">
        <v>239</v>
      </c>
      <c r="DL528" s="58" t="s">
        <v>5601</v>
      </c>
    </row>
    <row r="529" ht="15.75" customHeight="1">
      <c r="B529" s="58" t="s">
        <v>4587</v>
      </c>
      <c r="C529" s="58">
        <v>2022.0</v>
      </c>
      <c r="D529" s="58" t="s">
        <v>5602</v>
      </c>
      <c r="E529" s="58" t="s">
        <v>5603</v>
      </c>
      <c r="F529" s="58" t="s">
        <v>5604</v>
      </c>
      <c r="I529" s="58" t="s">
        <v>5605</v>
      </c>
      <c r="K529" s="73">
        <v>44690.0</v>
      </c>
      <c r="Z529" s="58" t="s">
        <v>239</v>
      </c>
      <c r="CH529" s="58" t="s">
        <v>5606</v>
      </c>
      <c r="CI529" s="73">
        <v>44690.0</v>
      </c>
      <c r="CJ529" s="58">
        <v>349.0</v>
      </c>
      <c r="CK529" s="58">
        <v>353.0</v>
      </c>
      <c r="CL529" s="58" t="s">
        <v>5607</v>
      </c>
      <c r="CM529" s="58" t="s">
        <v>5608</v>
      </c>
      <c r="CO529" s="58" t="s">
        <v>5609</v>
      </c>
      <c r="CP529" s="58" t="s">
        <v>5610</v>
      </c>
      <c r="CR529" s="58">
        <v>10.0</v>
      </c>
      <c r="CT529" s="58">
        <v>14.0</v>
      </c>
      <c r="CU529" s="58" t="s">
        <v>239</v>
      </c>
      <c r="DL529" s="58" t="s">
        <v>5611</v>
      </c>
    </row>
    <row r="530" ht="15.75" customHeight="1">
      <c r="B530" s="58" t="s">
        <v>4587</v>
      </c>
      <c r="C530" s="58">
        <v>2019.0</v>
      </c>
      <c r="D530" s="58" t="s">
        <v>5612</v>
      </c>
      <c r="E530" s="58" t="s">
        <v>5613</v>
      </c>
      <c r="F530" s="58" t="s">
        <v>5614</v>
      </c>
      <c r="I530" s="58" t="s">
        <v>5615</v>
      </c>
      <c r="K530" s="73">
        <v>43710.0</v>
      </c>
      <c r="Z530" s="58" t="s">
        <v>239</v>
      </c>
      <c r="CH530" s="58" t="s">
        <v>5616</v>
      </c>
      <c r="CI530" s="73">
        <v>43710.0</v>
      </c>
      <c r="CJ530" s="58">
        <v>124.0</v>
      </c>
      <c r="CK530" s="58">
        <v>133.0</v>
      </c>
      <c r="CL530" s="58" t="s">
        <v>5617</v>
      </c>
      <c r="CM530" s="58" t="s">
        <v>5618</v>
      </c>
      <c r="CO530" s="58" t="s">
        <v>5619</v>
      </c>
      <c r="CP530" s="58" t="s">
        <v>5620</v>
      </c>
      <c r="CR530" s="58">
        <v>10.0</v>
      </c>
      <c r="CT530" s="58">
        <v>30.0</v>
      </c>
      <c r="CU530" s="58" t="s">
        <v>239</v>
      </c>
      <c r="DL530" s="58" t="s">
        <v>5621</v>
      </c>
    </row>
    <row r="531" ht="15.75" customHeight="1">
      <c r="B531" s="58" t="s">
        <v>4587</v>
      </c>
      <c r="C531" s="58">
        <v>2019.0</v>
      </c>
      <c r="D531" s="58" t="s">
        <v>5622</v>
      </c>
      <c r="E531" s="58" t="s">
        <v>5623</v>
      </c>
      <c r="F531" s="58" t="s">
        <v>4670</v>
      </c>
      <c r="H531" s="58" t="s">
        <v>4671</v>
      </c>
      <c r="I531" s="58" t="s">
        <v>5624</v>
      </c>
      <c r="K531" s="73">
        <v>43769.0</v>
      </c>
      <c r="Z531" s="58" t="s">
        <v>239</v>
      </c>
      <c r="CH531" s="58" t="s">
        <v>5625</v>
      </c>
      <c r="CI531" s="73">
        <v>43769.0</v>
      </c>
      <c r="CJ531" s="58">
        <v>666.0</v>
      </c>
      <c r="CK531" s="58">
        <v>677.0</v>
      </c>
      <c r="CL531" s="58" t="s">
        <v>5626</v>
      </c>
      <c r="CM531" s="58" t="s">
        <v>4675</v>
      </c>
      <c r="CO531" s="58" t="s">
        <v>5627</v>
      </c>
      <c r="CP531" s="58" t="s">
        <v>5628</v>
      </c>
      <c r="CR531" s="58">
        <v>10.0</v>
      </c>
      <c r="CT531" s="58">
        <v>58.0</v>
      </c>
      <c r="CU531" s="58" t="s">
        <v>239</v>
      </c>
      <c r="DL531" s="58" t="s">
        <v>5629</v>
      </c>
    </row>
    <row r="532" ht="15.75" customHeight="1">
      <c r="B532" s="58" t="s">
        <v>4587</v>
      </c>
      <c r="C532" s="58">
        <v>2019.0</v>
      </c>
      <c r="D532" s="58" t="s">
        <v>5630</v>
      </c>
      <c r="E532" s="58" t="s">
        <v>5631</v>
      </c>
      <c r="F532" s="58" t="s">
        <v>5632</v>
      </c>
      <c r="H532" s="58" t="s">
        <v>5479</v>
      </c>
      <c r="I532" s="58" t="s">
        <v>5633</v>
      </c>
      <c r="K532" s="73">
        <v>43720.0</v>
      </c>
      <c r="Z532" s="58" t="s">
        <v>239</v>
      </c>
      <c r="CH532" s="58" t="s">
        <v>5634</v>
      </c>
      <c r="CI532" s="73">
        <v>43720.0</v>
      </c>
      <c r="CJ532" s="58">
        <v>177.0</v>
      </c>
      <c r="CK532" s="58">
        <v>186.0</v>
      </c>
      <c r="CL532" s="58" t="s">
        <v>5635</v>
      </c>
      <c r="CM532" s="58" t="s">
        <v>5636</v>
      </c>
      <c r="CO532" s="58" t="s">
        <v>5637</v>
      </c>
      <c r="CP532" s="58" t="s">
        <v>5638</v>
      </c>
      <c r="CR532" s="58">
        <v>10.0</v>
      </c>
      <c r="CT532" s="58">
        <v>22.0</v>
      </c>
      <c r="CU532" s="58" t="s">
        <v>239</v>
      </c>
      <c r="DL532" s="58" t="s">
        <v>5639</v>
      </c>
    </row>
    <row r="533" ht="15.75" customHeight="1">
      <c r="B533" s="58" t="s">
        <v>4587</v>
      </c>
      <c r="C533" s="58">
        <v>2021.0</v>
      </c>
      <c r="D533" s="58" t="s">
        <v>5640</v>
      </c>
      <c r="E533" s="58" t="s">
        <v>5641</v>
      </c>
      <c r="F533" s="58" t="s">
        <v>5642</v>
      </c>
      <c r="H533" s="58" t="s">
        <v>5643</v>
      </c>
      <c r="I533" s="58" t="s">
        <v>5644</v>
      </c>
      <c r="K533" s="73">
        <v>44543.0</v>
      </c>
      <c r="Z533" s="58" t="s">
        <v>239</v>
      </c>
      <c r="CH533" s="58" t="s">
        <v>5645</v>
      </c>
      <c r="CI533" s="73">
        <v>44543.0</v>
      </c>
      <c r="CJ533" s="58">
        <v>278.0</v>
      </c>
      <c r="CK533" s="58">
        <v>288.0</v>
      </c>
      <c r="CL533" s="58" t="s">
        <v>5646</v>
      </c>
      <c r="CM533" s="58" t="s">
        <v>5647</v>
      </c>
      <c r="CN533" s="58" t="s">
        <v>5648</v>
      </c>
      <c r="CO533" s="58" t="s">
        <v>5649</v>
      </c>
      <c r="CP533" s="58" t="s">
        <v>5650</v>
      </c>
      <c r="CR533" s="58">
        <v>10.0</v>
      </c>
      <c r="CT533" s="58">
        <v>35.0</v>
      </c>
      <c r="CU533" s="58" t="s">
        <v>239</v>
      </c>
      <c r="DL533" s="58" t="s">
        <v>5651</v>
      </c>
    </row>
    <row r="534" ht="15.75" customHeight="1">
      <c r="B534" s="58" t="s">
        <v>4587</v>
      </c>
      <c r="C534" s="58">
        <v>2019.0</v>
      </c>
      <c r="D534" s="58" t="s">
        <v>5652</v>
      </c>
      <c r="E534" s="58" t="s">
        <v>5653</v>
      </c>
      <c r="F534" s="58" t="s">
        <v>5654</v>
      </c>
      <c r="I534" s="58" t="s">
        <v>5655</v>
      </c>
      <c r="K534" s="73">
        <v>43731.0</v>
      </c>
      <c r="Z534" s="58" t="s">
        <v>239</v>
      </c>
      <c r="CH534" s="58" t="s">
        <v>5656</v>
      </c>
      <c r="CI534" s="73">
        <v>43731.0</v>
      </c>
      <c r="CJ534" s="58">
        <v>971.0</v>
      </c>
      <c r="CK534" s="58">
        <v>972.0</v>
      </c>
      <c r="CL534" s="58" t="s">
        <v>5657</v>
      </c>
      <c r="CM534" s="58" t="s">
        <v>5658</v>
      </c>
      <c r="CO534" s="58" t="s">
        <v>5659</v>
      </c>
      <c r="CP534" s="58" t="s">
        <v>5660</v>
      </c>
      <c r="CR534" s="58">
        <v>10.0</v>
      </c>
      <c r="CT534" s="58">
        <v>10.0</v>
      </c>
      <c r="CU534" s="58" t="s">
        <v>239</v>
      </c>
      <c r="DL534" s="58" t="s">
        <v>5661</v>
      </c>
    </row>
    <row r="535" ht="15.75" customHeight="1">
      <c r="B535" s="58" t="s">
        <v>4587</v>
      </c>
      <c r="C535" s="58">
        <v>2019.0</v>
      </c>
      <c r="D535" s="58" t="s">
        <v>5662</v>
      </c>
      <c r="E535" s="58" t="s">
        <v>5663</v>
      </c>
      <c r="F535" s="58" t="s">
        <v>5664</v>
      </c>
      <c r="I535" s="58" t="s">
        <v>5665</v>
      </c>
      <c r="K535" s="73">
        <v>43626.0</v>
      </c>
      <c r="Z535" s="58" t="s">
        <v>239</v>
      </c>
      <c r="CH535" s="58" t="s">
        <v>5666</v>
      </c>
      <c r="CI535" s="73">
        <v>43626.0</v>
      </c>
      <c r="CJ535" s="58">
        <v>1.0</v>
      </c>
      <c r="CK535" s="58">
        <v>6.0</v>
      </c>
      <c r="CL535" s="58" t="s">
        <v>5667</v>
      </c>
      <c r="CM535" s="58" t="s">
        <v>5668</v>
      </c>
      <c r="CO535" s="58" t="s">
        <v>5669</v>
      </c>
      <c r="CP535" s="58" t="s">
        <v>5670</v>
      </c>
      <c r="CR535" s="58">
        <v>10.0</v>
      </c>
      <c r="CT535" s="58">
        <v>15.0</v>
      </c>
      <c r="CU535" s="58" t="s">
        <v>239</v>
      </c>
      <c r="DL535" s="58" t="s">
        <v>5671</v>
      </c>
    </row>
    <row r="536" ht="15.75" customHeight="1">
      <c r="B536" s="58" t="s">
        <v>4587</v>
      </c>
      <c r="C536" s="58">
        <v>2022.0</v>
      </c>
      <c r="D536" s="58" t="s">
        <v>5672</v>
      </c>
      <c r="E536" s="58" t="s">
        <v>5673</v>
      </c>
      <c r="F536" s="58" t="s">
        <v>5674</v>
      </c>
      <c r="I536" s="58" t="s">
        <v>5675</v>
      </c>
      <c r="K536" s="73">
        <v>44984.0</v>
      </c>
      <c r="Z536" s="58" t="s">
        <v>239</v>
      </c>
      <c r="CH536" s="58" t="s">
        <v>5676</v>
      </c>
      <c r="CI536" s="73">
        <v>44984.0</v>
      </c>
      <c r="CJ536" s="58">
        <v>82.0</v>
      </c>
      <c r="CK536" s="58">
        <v>88.0</v>
      </c>
      <c r="CL536" s="58" t="s">
        <v>5677</v>
      </c>
      <c r="CM536" s="58" t="s">
        <v>5678</v>
      </c>
      <c r="CO536" s="58" t="s">
        <v>5679</v>
      </c>
      <c r="CP536" s="58" t="s">
        <v>5680</v>
      </c>
      <c r="CR536" s="58">
        <v>10.0</v>
      </c>
      <c r="CT536" s="58">
        <v>39.0</v>
      </c>
      <c r="CU536" s="58" t="s">
        <v>239</v>
      </c>
      <c r="DL536" s="58" t="s">
        <v>5681</v>
      </c>
    </row>
    <row r="537" ht="15.75" customHeight="1">
      <c r="B537" s="58" t="s">
        <v>4587</v>
      </c>
      <c r="C537" s="58">
        <v>2020.0</v>
      </c>
      <c r="D537" s="58" t="s">
        <v>5682</v>
      </c>
      <c r="E537" s="58" t="s">
        <v>5683</v>
      </c>
      <c r="F537" s="58" t="s">
        <v>5684</v>
      </c>
      <c r="I537" s="58" t="s">
        <v>5685</v>
      </c>
      <c r="K537" s="73">
        <v>44055.0</v>
      </c>
      <c r="Z537" s="58" t="s">
        <v>239</v>
      </c>
      <c r="CH537" s="58" t="s">
        <v>5686</v>
      </c>
      <c r="CI537" s="73">
        <v>44055.0</v>
      </c>
      <c r="CJ537" s="58">
        <v>422.0</v>
      </c>
      <c r="CK537" s="58">
        <v>429.0</v>
      </c>
      <c r="CL537" s="58" t="s">
        <v>5687</v>
      </c>
      <c r="CM537" s="58" t="s">
        <v>5688</v>
      </c>
      <c r="CO537" s="58" t="s">
        <v>5689</v>
      </c>
      <c r="CP537" s="58" t="s">
        <v>5690</v>
      </c>
      <c r="CR537" s="58">
        <v>10.0</v>
      </c>
      <c r="CT537" s="58">
        <v>26.0</v>
      </c>
      <c r="CU537" s="58" t="s">
        <v>239</v>
      </c>
      <c r="DL537" s="58" t="s">
        <v>5691</v>
      </c>
    </row>
    <row r="538" ht="15.75" customHeight="1">
      <c r="B538" s="58" t="s">
        <v>4587</v>
      </c>
      <c r="C538" s="58">
        <v>2016.0</v>
      </c>
      <c r="D538" s="58" t="s">
        <v>5692</v>
      </c>
      <c r="E538" s="58" t="s">
        <v>5693</v>
      </c>
      <c r="F538" s="58" t="s">
        <v>5694</v>
      </c>
      <c r="I538" s="58" t="s">
        <v>5695</v>
      </c>
      <c r="K538" s="73">
        <v>42758.0</v>
      </c>
      <c r="Z538" s="58" t="s">
        <v>239</v>
      </c>
      <c r="CH538" s="58" t="s">
        <v>5696</v>
      </c>
      <c r="CI538" s="73">
        <v>42758.0</v>
      </c>
      <c r="CJ538" s="58">
        <v>181.0</v>
      </c>
      <c r="CK538" s="58">
        <v>188.0</v>
      </c>
      <c r="CL538" s="58" t="s">
        <v>5697</v>
      </c>
      <c r="CM538" s="58" t="s">
        <v>5698</v>
      </c>
      <c r="CO538" s="58" t="s">
        <v>5699</v>
      </c>
      <c r="CP538" s="58" t="s">
        <v>5700</v>
      </c>
      <c r="CR538" s="58">
        <v>9.0</v>
      </c>
      <c r="CT538" s="58">
        <v>34.0</v>
      </c>
      <c r="CU538" s="58" t="s">
        <v>239</v>
      </c>
      <c r="DL538" s="58" t="s">
        <v>5701</v>
      </c>
    </row>
    <row r="539" ht="15.75" customHeight="1">
      <c r="B539" s="58" t="s">
        <v>4587</v>
      </c>
      <c r="C539" s="58">
        <v>2018.0</v>
      </c>
      <c r="D539" s="58" t="s">
        <v>5702</v>
      </c>
      <c r="E539" s="58" t="s">
        <v>5703</v>
      </c>
      <c r="F539" s="58" t="s">
        <v>5704</v>
      </c>
      <c r="I539" s="58" t="s">
        <v>5705</v>
      </c>
      <c r="K539" s="73">
        <v>43615.0</v>
      </c>
      <c r="Z539" s="58" t="s">
        <v>239</v>
      </c>
      <c r="CH539" s="58" t="s">
        <v>5706</v>
      </c>
      <c r="CI539" s="73">
        <v>43615.0</v>
      </c>
      <c r="CJ539" s="58">
        <v>1.0</v>
      </c>
      <c r="CK539" s="58">
        <v>5.0</v>
      </c>
      <c r="CL539" s="58" t="s">
        <v>5707</v>
      </c>
      <c r="CM539" s="58" t="s">
        <v>5708</v>
      </c>
      <c r="CO539" s="58" t="s">
        <v>5709</v>
      </c>
      <c r="CP539" s="58" t="s">
        <v>5710</v>
      </c>
      <c r="CR539" s="58">
        <v>9.0</v>
      </c>
      <c r="CS539" s="58">
        <v>2.0</v>
      </c>
      <c r="CT539" s="58">
        <v>17.0</v>
      </c>
      <c r="CU539" s="58" t="s">
        <v>239</v>
      </c>
      <c r="DL539" s="58" t="s">
        <v>5711</v>
      </c>
    </row>
    <row r="540" ht="15.75" customHeight="1">
      <c r="B540" s="58" t="s">
        <v>4587</v>
      </c>
      <c r="C540" s="58">
        <v>2021.0</v>
      </c>
      <c r="D540" s="58" t="s">
        <v>5712</v>
      </c>
      <c r="E540" s="58" t="s">
        <v>5713</v>
      </c>
      <c r="F540" s="58" t="s">
        <v>5714</v>
      </c>
      <c r="I540" s="58" t="s">
        <v>5715</v>
      </c>
      <c r="K540" s="73">
        <v>44589.0</v>
      </c>
      <c r="Z540" s="58" t="s">
        <v>239</v>
      </c>
      <c r="CH540" s="58" t="s">
        <v>5716</v>
      </c>
      <c r="CI540" s="73">
        <v>44589.0</v>
      </c>
      <c r="CJ540" s="58">
        <v>99.0</v>
      </c>
      <c r="CK540" s="58">
        <v>104.0</v>
      </c>
      <c r="CL540" s="58" t="s">
        <v>5717</v>
      </c>
      <c r="CM540" s="58" t="s">
        <v>5718</v>
      </c>
      <c r="CN540" s="58" t="s">
        <v>5719</v>
      </c>
      <c r="CO540" s="58" t="s">
        <v>5720</v>
      </c>
      <c r="CP540" s="58" t="s">
        <v>5721</v>
      </c>
      <c r="CR540" s="58">
        <v>9.0</v>
      </c>
      <c r="CT540" s="58">
        <v>13.0</v>
      </c>
      <c r="CU540" s="58" t="s">
        <v>239</v>
      </c>
      <c r="DL540" s="58" t="s">
        <v>5722</v>
      </c>
    </row>
    <row r="541" ht="15.75" customHeight="1">
      <c r="B541" s="58" t="s">
        <v>4587</v>
      </c>
      <c r="C541" s="58">
        <v>2018.0</v>
      </c>
      <c r="D541" s="58" t="s">
        <v>5723</v>
      </c>
      <c r="E541" s="58" t="s">
        <v>5724</v>
      </c>
      <c r="F541" s="58" t="s">
        <v>5725</v>
      </c>
      <c r="I541" s="58" t="s">
        <v>5726</v>
      </c>
      <c r="K541" s="73">
        <v>43528.0</v>
      </c>
      <c r="Z541" s="58" t="s">
        <v>239</v>
      </c>
      <c r="CH541" s="58" t="s">
        <v>5727</v>
      </c>
      <c r="CI541" s="73">
        <v>43528.0</v>
      </c>
      <c r="CJ541" s="58">
        <v>1.0</v>
      </c>
      <c r="CK541" s="58">
        <v>4.0</v>
      </c>
      <c r="CL541" s="58" t="s">
        <v>5728</v>
      </c>
      <c r="CM541" s="58" t="s">
        <v>5729</v>
      </c>
      <c r="CO541" s="58" t="s">
        <v>5730</v>
      </c>
      <c r="CP541" s="58" t="s">
        <v>5731</v>
      </c>
      <c r="CR541" s="58">
        <v>9.0</v>
      </c>
      <c r="CT541" s="58">
        <v>18.0</v>
      </c>
      <c r="CU541" s="58" t="s">
        <v>239</v>
      </c>
      <c r="DL541" s="58" t="s">
        <v>5732</v>
      </c>
    </row>
    <row r="542" ht="15.75" customHeight="1">
      <c r="B542" s="58" t="s">
        <v>4587</v>
      </c>
      <c r="C542" s="58">
        <v>2019.0</v>
      </c>
      <c r="D542" s="58" t="s">
        <v>5733</v>
      </c>
      <c r="E542" s="58" t="s">
        <v>5734</v>
      </c>
      <c r="F542" s="58" t="s">
        <v>5735</v>
      </c>
      <c r="I542" s="58" t="s">
        <v>5736</v>
      </c>
      <c r="K542" s="73">
        <v>43889.0</v>
      </c>
      <c r="Z542" s="58" t="s">
        <v>239</v>
      </c>
      <c r="CH542" s="58" t="s">
        <v>5737</v>
      </c>
      <c r="CI542" s="73">
        <v>43889.0</v>
      </c>
      <c r="CJ542" s="58">
        <v>141.0</v>
      </c>
      <c r="CK542" s="58">
        <v>143.0</v>
      </c>
      <c r="CL542" s="58" t="s">
        <v>5738</v>
      </c>
      <c r="CM542" s="58" t="s">
        <v>5739</v>
      </c>
      <c r="CO542" s="58" t="s">
        <v>5740</v>
      </c>
      <c r="CR542" s="58">
        <v>9.0</v>
      </c>
      <c r="CT542" s="58">
        <v>9.0</v>
      </c>
      <c r="CU542" s="58" t="s">
        <v>239</v>
      </c>
      <c r="DL542" s="58" t="s">
        <v>5741</v>
      </c>
    </row>
    <row r="543" ht="15.75" customHeight="1">
      <c r="B543" s="58" t="s">
        <v>4587</v>
      </c>
      <c r="C543" s="58">
        <v>2019.0</v>
      </c>
      <c r="D543" s="58" t="s">
        <v>5742</v>
      </c>
      <c r="E543" s="58" t="s">
        <v>5743</v>
      </c>
      <c r="F543" s="58" t="s">
        <v>5002</v>
      </c>
      <c r="H543" s="58" t="s">
        <v>5003</v>
      </c>
      <c r="I543" s="58" t="s">
        <v>5744</v>
      </c>
      <c r="K543" s="73">
        <v>43888.0</v>
      </c>
      <c r="Z543" s="58" t="s">
        <v>239</v>
      </c>
      <c r="CH543" s="58" t="s">
        <v>5745</v>
      </c>
      <c r="CI543" s="73">
        <v>43888.0</v>
      </c>
      <c r="CJ543" s="58">
        <v>1.0</v>
      </c>
      <c r="CK543" s="58">
        <v>6.0</v>
      </c>
      <c r="CL543" s="58" t="s">
        <v>5746</v>
      </c>
      <c r="CM543" s="58" t="s">
        <v>5007</v>
      </c>
      <c r="CO543" s="58" t="s">
        <v>5747</v>
      </c>
      <c r="CR543" s="58">
        <v>9.0</v>
      </c>
      <c r="CT543" s="58">
        <v>12.0</v>
      </c>
      <c r="CU543" s="58" t="s">
        <v>239</v>
      </c>
      <c r="DL543" s="58" t="s">
        <v>5748</v>
      </c>
    </row>
    <row r="544" ht="15.75" customHeight="1">
      <c r="B544" s="58" t="s">
        <v>4587</v>
      </c>
      <c r="C544" s="58">
        <v>2017.0</v>
      </c>
      <c r="D544" s="58" t="s">
        <v>5749</v>
      </c>
      <c r="E544" s="58" t="s">
        <v>5750</v>
      </c>
      <c r="F544" s="58" t="s">
        <v>5751</v>
      </c>
      <c r="H544" s="58" t="s">
        <v>5752</v>
      </c>
      <c r="I544" s="58" t="s">
        <v>5753</v>
      </c>
      <c r="K544" s="73">
        <v>43080.0</v>
      </c>
      <c r="Z544" s="58" t="s">
        <v>239</v>
      </c>
      <c r="CH544" s="58" t="s">
        <v>5754</v>
      </c>
      <c r="CI544" s="73">
        <v>43080.0</v>
      </c>
      <c r="CJ544" s="58">
        <v>882.0</v>
      </c>
      <c r="CK544" s="58">
        <v>887.0</v>
      </c>
      <c r="CL544" s="58" t="s">
        <v>5755</v>
      </c>
      <c r="CM544" s="58" t="s">
        <v>5756</v>
      </c>
      <c r="CO544" s="58" t="s">
        <v>5757</v>
      </c>
      <c r="CR544" s="58">
        <v>9.0</v>
      </c>
      <c r="CT544" s="58">
        <v>20.0</v>
      </c>
      <c r="CU544" s="58" t="s">
        <v>239</v>
      </c>
      <c r="DL544" s="58" t="s">
        <v>5758</v>
      </c>
    </row>
    <row r="545" ht="15.75" customHeight="1">
      <c r="B545" s="58" t="s">
        <v>4587</v>
      </c>
      <c r="C545" s="58">
        <v>2022.0</v>
      </c>
      <c r="D545" s="58" t="s">
        <v>5759</v>
      </c>
      <c r="E545" s="58" t="s">
        <v>5760</v>
      </c>
      <c r="F545" s="58" t="s">
        <v>5761</v>
      </c>
      <c r="H545" s="58" t="s">
        <v>5762</v>
      </c>
      <c r="I545" s="58" t="s">
        <v>5763</v>
      </c>
      <c r="K545" s="73">
        <v>44890.0</v>
      </c>
      <c r="Z545" s="58" t="s">
        <v>239</v>
      </c>
      <c r="CH545" s="58" t="s">
        <v>5764</v>
      </c>
      <c r="CI545" s="73">
        <v>44890.0</v>
      </c>
      <c r="CJ545" s="58">
        <v>70.0</v>
      </c>
      <c r="CK545" s="58">
        <v>74.0</v>
      </c>
      <c r="CL545" s="58" t="s">
        <v>5765</v>
      </c>
      <c r="CM545" s="58" t="s">
        <v>5766</v>
      </c>
      <c r="CN545" s="58" t="s">
        <v>5767</v>
      </c>
      <c r="CO545" s="58" t="s">
        <v>5768</v>
      </c>
      <c r="CP545" s="58" t="s">
        <v>5769</v>
      </c>
      <c r="CR545" s="58">
        <v>9.0</v>
      </c>
      <c r="CT545" s="58">
        <v>8.0</v>
      </c>
      <c r="DL545" s="58" t="s">
        <v>5770</v>
      </c>
    </row>
    <row r="546" ht="15.75" customHeight="1">
      <c r="B546" s="58" t="s">
        <v>4587</v>
      </c>
      <c r="C546" s="58">
        <v>2022.0</v>
      </c>
      <c r="D546" s="58" t="s">
        <v>5771</v>
      </c>
      <c r="E546" s="58" t="s">
        <v>5772</v>
      </c>
      <c r="F546" s="58" t="s">
        <v>5773</v>
      </c>
      <c r="I546" s="58" t="s">
        <v>5774</v>
      </c>
      <c r="K546" s="73">
        <v>44831.0</v>
      </c>
      <c r="Z546" s="58" t="s">
        <v>239</v>
      </c>
      <c r="CH546" s="58" t="s">
        <v>5775</v>
      </c>
      <c r="CI546" s="73">
        <v>44831.0</v>
      </c>
      <c r="CJ546" s="58">
        <v>39.0</v>
      </c>
      <c r="CK546" s="58">
        <v>47.0</v>
      </c>
      <c r="CL546" s="58" t="s">
        <v>5776</v>
      </c>
      <c r="CM546" s="58" t="s">
        <v>5777</v>
      </c>
      <c r="CN546" s="58" t="s">
        <v>5778</v>
      </c>
      <c r="CO546" s="58" t="s">
        <v>5779</v>
      </c>
      <c r="CP546" s="58" t="s">
        <v>5780</v>
      </c>
      <c r="CR546" s="58">
        <v>9.0</v>
      </c>
      <c r="CT546" s="58">
        <v>20.0</v>
      </c>
      <c r="CU546" s="58" t="s">
        <v>239</v>
      </c>
      <c r="DL546" s="58" t="s">
        <v>5781</v>
      </c>
    </row>
    <row r="547" ht="15.75" customHeight="1">
      <c r="B547" s="58" t="s">
        <v>4587</v>
      </c>
      <c r="C547" s="58">
        <v>2022.0</v>
      </c>
      <c r="D547" s="58" t="s">
        <v>5782</v>
      </c>
      <c r="E547" s="58" t="s">
        <v>5783</v>
      </c>
      <c r="F547" s="58" t="s">
        <v>5784</v>
      </c>
      <c r="H547" s="58" t="s">
        <v>4901</v>
      </c>
      <c r="I547" s="58" t="s">
        <v>5785</v>
      </c>
      <c r="K547" s="73">
        <v>44847.0</v>
      </c>
      <c r="Z547" s="58" t="s">
        <v>239</v>
      </c>
      <c r="CH547" s="58" t="s">
        <v>5786</v>
      </c>
      <c r="CI547" s="73">
        <v>44847.0</v>
      </c>
      <c r="CJ547" s="58">
        <v>176.0</v>
      </c>
      <c r="CK547" s="58">
        <v>184.0</v>
      </c>
      <c r="CL547" s="58" t="s">
        <v>5787</v>
      </c>
      <c r="CM547" s="58" t="s">
        <v>5788</v>
      </c>
      <c r="CO547" s="58" t="s">
        <v>5789</v>
      </c>
      <c r="CP547" s="58" t="s">
        <v>5790</v>
      </c>
      <c r="CR547" s="58">
        <v>9.0</v>
      </c>
      <c r="CT547" s="58">
        <v>101.0</v>
      </c>
      <c r="CU547" s="58" t="s">
        <v>239</v>
      </c>
      <c r="DL547" s="58" t="s">
        <v>5791</v>
      </c>
    </row>
    <row r="548" ht="15.75" customHeight="1">
      <c r="B548" s="58" t="s">
        <v>4587</v>
      </c>
      <c r="C548" s="58">
        <v>2022.0</v>
      </c>
      <c r="D548" s="58" t="s">
        <v>5792</v>
      </c>
      <c r="E548" s="58" t="s">
        <v>5793</v>
      </c>
      <c r="F548" s="58" t="s">
        <v>5794</v>
      </c>
      <c r="H548" s="58" t="s">
        <v>5795</v>
      </c>
      <c r="I548" s="58" t="s">
        <v>5796</v>
      </c>
      <c r="K548" s="73">
        <v>44798.0</v>
      </c>
      <c r="Z548" s="58" t="s">
        <v>239</v>
      </c>
      <c r="CH548" s="58" t="s">
        <v>5797</v>
      </c>
      <c r="CI548" s="73">
        <v>44798.0</v>
      </c>
      <c r="CJ548" s="58">
        <v>1.0</v>
      </c>
      <c r="CK548" s="58">
        <v>6.0</v>
      </c>
      <c r="CL548" s="58" t="s">
        <v>5798</v>
      </c>
      <c r="CM548" s="58" t="s">
        <v>5799</v>
      </c>
      <c r="CN548" s="58" t="s">
        <v>5800</v>
      </c>
      <c r="CO548" s="58" t="s">
        <v>5801</v>
      </c>
      <c r="CP548" s="58" t="s">
        <v>5802</v>
      </c>
      <c r="CR548" s="58">
        <v>9.0</v>
      </c>
      <c r="CT548" s="58">
        <v>20.0</v>
      </c>
      <c r="CU548" s="58" t="s">
        <v>239</v>
      </c>
      <c r="DL548" s="58" t="s">
        <v>5803</v>
      </c>
    </row>
    <row r="549" ht="15.75" customHeight="1">
      <c r="B549" s="58" t="s">
        <v>4587</v>
      </c>
      <c r="C549" s="58">
        <v>2020.0</v>
      </c>
      <c r="D549" s="58" t="s">
        <v>5804</v>
      </c>
      <c r="E549" s="58" t="s">
        <v>5805</v>
      </c>
      <c r="F549" s="58" t="s">
        <v>5806</v>
      </c>
      <c r="H549" s="58" t="s">
        <v>5807</v>
      </c>
      <c r="I549" s="58" t="s">
        <v>5808</v>
      </c>
      <c r="K549" s="73">
        <v>44211.0</v>
      </c>
      <c r="Z549" s="58" t="s">
        <v>239</v>
      </c>
      <c r="CH549" s="58" t="s">
        <v>5809</v>
      </c>
      <c r="CI549" s="73">
        <v>44211.0</v>
      </c>
      <c r="CJ549" s="58">
        <v>378.0</v>
      </c>
      <c r="CK549" s="58">
        <v>383.0</v>
      </c>
      <c r="CL549" s="58" t="s">
        <v>5810</v>
      </c>
      <c r="CM549" s="58" t="s">
        <v>5811</v>
      </c>
      <c r="CO549" s="58" t="s">
        <v>5812</v>
      </c>
      <c r="CP549" s="58" t="s">
        <v>5813</v>
      </c>
      <c r="CR549" s="58">
        <v>9.0</v>
      </c>
      <c r="CT549" s="58">
        <v>26.0</v>
      </c>
      <c r="CU549" s="58" t="s">
        <v>239</v>
      </c>
      <c r="DL549" s="58" t="s">
        <v>5814</v>
      </c>
    </row>
    <row r="550" ht="15.75" customHeight="1">
      <c r="B550" s="58" t="s">
        <v>4587</v>
      </c>
      <c r="C550" s="58">
        <v>2019.0</v>
      </c>
      <c r="D550" s="58" t="s">
        <v>5815</v>
      </c>
      <c r="E550" s="58" t="s">
        <v>5816</v>
      </c>
      <c r="F550" s="58" t="s">
        <v>5817</v>
      </c>
      <c r="H550" s="58" t="s">
        <v>5818</v>
      </c>
      <c r="I550" s="58" t="s">
        <v>5819</v>
      </c>
      <c r="K550" s="73">
        <v>43881.0</v>
      </c>
      <c r="Z550" s="58" t="s">
        <v>239</v>
      </c>
      <c r="CH550" s="58" t="s">
        <v>5820</v>
      </c>
      <c r="CI550" s="73">
        <v>43881.0</v>
      </c>
      <c r="CJ550" s="58">
        <v>762.0</v>
      </c>
      <c r="CK550" s="58">
        <v>773.0</v>
      </c>
      <c r="CL550" s="58" t="s">
        <v>5821</v>
      </c>
      <c r="CM550" s="58" t="s">
        <v>5822</v>
      </c>
      <c r="CO550" s="58" t="s">
        <v>5823</v>
      </c>
      <c r="CR550" s="58">
        <v>9.0</v>
      </c>
      <c r="CT550" s="58">
        <v>73.0</v>
      </c>
      <c r="CU550" s="58" t="s">
        <v>5824</v>
      </c>
      <c r="DL550" s="58" t="s">
        <v>5825</v>
      </c>
    </row>
    <row r="551" ht="15.75" customHeight="1">
      <c r="B551" s="58" t="s">
        <v>4587</v>
      </c>
      <c r="C551" s="58">
        <v>2019.0</v>
      </c>
      <c r="D551" s="58" t="s">
        <v>5826</v>
      </c>
      <c r="E551" s="58" t="s">
        <v>5827</v>
      </c>
      <c r="F551" s="58" t="s">
        <v>5828</v>
      </c>
      <c r="I551" s="58" t="s">
        <v>5829</v>
      </c>
      <c r="K551" s="73">
        <v>43984.0</v>
      </c>
      <c r="Z551" s="58" t="s">
        <v>239</v>
      </c>
      <c r="CH551" s="58" t="s">
        <v>5830</v>
      </c>
      <c r="CI551" s="73">
        <v>43984.0</v>
      </c>
      <c r="CJ551" s="58">
        <v>181.0</v>
      </c>
      <c r="CK551" s="58">
        <v>190.0</v>
      </c>
      <c r="CL551" s="58" t="s">
        <v>5831</v>
      </c>
      <c r="CM551" s="58" t="s">
        <v>5832</v>
      </c>
      <c r="CO551" s="58" t="s">
        <v>5833</v>
      </c>
      <c r="CP551" s="58" t="s">
        <v>5834</v>
      </c>
      <c r="CR551" s="58">
        <v>9.0</v>
      </c>
      <c r="CT551" s="58">
        <v>31.0</v>
      </c>
      <c r="CU551" s="58" t="s">
        <v>239</v>
      </c>
    </row>
    <row r="552" ht="15.75" customHeight="1">
      <c r="B552" s="58" t="s">
        <v>4587</v>
      </c>
      <c r="C552" s="58">
        <v>2019.0</v>
      </c>
      <c r="D552" s="58" t="s">
        <v>5835</v>
      </c>
      <c r="E552" s="58" t="s">
        <v>5836</v>
      </c>
      <c r="F552" s="58" t="s">
        <v>5837</v>
      </c>
      <c r="I552" s="58" t="s">
        <v>5838</v>
      </c>
      <c r="K552" s="73">
        <v>43766.0</v>
      </c>
      <c r="Z552" s="58" t="s">
        <v>239</v>
      </c>
      <c r="CH552" s="58" t="s">
        <v>5839</v>
      </c>
      <c r="CI552" s="73">
        <v>43766.0</v>
      </c>
      <c r="CJ552" s="58">
        <v>1.0</v>
      </c>
      <c r="CK552" s="58">
        <v>8.0</v>
      </c>
      <c r="CL552" s="58" t="s">
        <v>5840</v>
      </c>
      <c r="CM552" s="58" t="s">
        <v>5841</v>
      </c>
      <c r="CO552" s="58" t="s">
        <v>5842</v>
      </c>
      <c r="CP552" s="58" t="s">
        <v>5843</v>
      </c>
      <c r="CR552" s="58">
        <v>9.0</v>
      </c>
      <c r="CT552" s="58">
        <v>18.0</v>
      </c>
      <c r="CU552" s="58" t="s">
        <v>239</v>
      </c>
      <c r="DL552" s="58" t="s">
        <v>5844</v>
      </c>
    </row>
    <row r="553" ht="15.75" customHeight="1">
      <c r="B553" s="58" t="s">
        <v>4587</v>
      </c>
      <c r="C553" s="58">
        <v>2022.0</v>
      </c>
      <c r="D553" s="58" t="s">
        <v>5845</v>
      </c>
      <c r="E553" s="58" t="s">
        <v>5846</v>
      </c>
      <c r="F553" s="58" t="s">
        <v>5847</v>
      </c>
      <c r="I553" s="58" t="s">
        <v>5848</v>
      </c>
      <c r="K553" s="73">
        <v>44735.0</v>
      </c>
      <c r="Z553" s="58" t="s">
        <v>239</v>
      </c>
      <c r="CH553" s="58" t="s">
        <v>5849</v>
      </c>
      <c r="CI553" s="73">
        <v>44735.0</v>
      </c>
      <c r="CJ553" s="58">
        <v>115.0</v>
      </c>
      <c r="CK553" s="58">
        <v>127.0</v>
      </c>
      <c r="CL553" s="58" t="s">
        <v>5850</v>
      </c>
      <c r="CM553" s="58" t="s">
        <v>5851</v>
      </c>
      <c r="CO553" s="58" t="s">
        <v>5852</v>
      </c>
      <c r="CP553" s="58" t="s">
        <v>5853</v>
      </c>
      <c r="CR553" s="58">
        <v>9.0</v>
      </c>
      <c r="CT553" s="58">
        <v>30.0</v>
      </c>
      <c r="CU553" s="58" t="s">
        <v>239</v>
      </c>
      <c r="DL553" s="58" t="s">
        <v>5854</v>
      </c>
    </row>
    <row r="554" ht="15.75" customHeight="1">
      <c r="B554" s="58" t="s">
        <v>4587</v>
      </c>
      <c r="C554" s="58">
        <v>2019.0</v>
      </c>
      <c r="D554" s="58" t="s">
        <v>5855</v>
      </c>
      <c r="E554" s="58" t="s">
        <v>5856</v>
      </c>
      <c r="F554" s="58" t="s">
        <v>5857</v>
      </c>
      <c r="H554" s="58" t="s">
        <v>5858</v>
      </c>
      <c r="I554" s="58" t="s">
        <v>5859</v>
      </c>
      <c r="K554" s="73">
        <v>43734.0</v>
      </c>
      <c r="Z554" s="58" t="s">
        <v>239</v>
      </c>
      <c r="CH554" s="58" t="s">
        <v>5860</v>
      </c>
      <c r="CI554" s="73">
        <v>43734.0</v>
      </c>
      <c r="CJ554" s="58">
        <v>1.0</v>
      </c>
      <c r="CK554" s="58">
        <v>8.0</v>
      </c>
      <c r="CL554" s="58" t="s">
        <v>5861</v>
      </c>
      <c r="CM554" s="58" t="s">
        <v>5862</v>
      </c>
      <c r="CO554" s="58" t="s">
        <v>5863</v>
      </c>
      <c r="CR554" s="58">
        <v>9.0</v>
      </c>
      <c r="CT554" s="58">
        <v>32.0</v>
      </c>
      <c r="CU554" s="58" t="s">
        <v>239</v>
      </c>
      <c r="DL554" s="58" t="s">
        <v>5864</v>
      </c>
    </row>
    <row r="555" ht="15.75" customHeight="1">
      <c r="B555" s="58" t="s">
        <v>4587</v>
      </c>
      <c r="C555" s="58">
        <v>2019.0</v>
      </c>
      <c r="D555" s="58" t="s">
        <v>5865</v>
      </c>
      <c r="E555" s="58" t="s">
        <v>5866</v>
      </c>
      <c r="F555" s="58" t="s">
        <v>5867</v>
      </c>
      <c r="H555" s="58" t="s">
        <v>5868</v>
      </c>
      <c r="I555" s="58" t="s">
        <v>5869</v>
      </c>
      <c r="K555" s="73">
        <v>43780.0</v>
      </c>
      <c r="Z555" s="58" t="s">
        <v>239</v>
      </c>
      <c r="CH555" s="58" t="s">
        <v>5870</v>
      </c>
      <c r="CI555" s="73">
        <v>43780.0</v>
      </c>
      <c r="CJ555" s="58">
        <v>1.0</v>
      </c>
      <c r="CK555" s="58">
        <v>6.0</v>
      </c>
      <c r="CL555" s="58" t="s">
        <v>5871</v>
      </c>
      <c r="CM555" s="58" t="s">
        <v>5872</v>
      </c>
      <c r="CO555" s="58" t="s">
        <v>5873</v>
      </c>
      <c r="CP555" s="58" t="s">
        <v>5874</v>
      </c>
      <c r="CR555" s="58">
        <v>9.0</v>
      </c>
      <c r="CT555" s="58">
        <v>15.0</v>
      </c>
      <c r="CU555" s="58" t="s">
        <v>239</v>
      </c>
    </row>
    <row r="556" ht="15.75" customHeight="1">
      <c r="B556" s="58" t="s">
        <v>4587</v>
      </c>
      <c r="C556" s="58">
        <v>2020.0</v>
      </c>
      <c r="D556" s="58" t="s">
        <v>5875</v>
      </c>
      <c r="E556" s="58" t="s">
        <v>5876</v>
      </c>
      <c r="F556" s="58" t="s">
        <v>5877</v>
      </c>
      <c r="I556" s="58" t="s">
        <v>5878</v>
      </c>
      <c r="K556" s="73">
        <v>43958.0</v>
      </c>
      <c r="Z556" s="58" t="s">
        <v>239</v>
      </c>
      <c r="CH556" s="58" t="s">
        <v>5879</v>
      </c>
      <c r="CI556" s="73">
        <v>43958.0</v>
      </c>
      <c r="CJ556" s="58">
        <v>7.0</v>
      </c>
      <c r="CK556" s="58">
        <v>14.0</v>
      </c>
      <c r="CL556" s="58" t="s">
        <v>5880</v>
      </c>
      <c r="CM556" s="58" t="s">
        <v>5881</v>
      </c>
      <c r="CO556" s="58" t="s">
        <v>5882</v>
      </c>
      <c r="CP556" s="58" t="s">
        <v>5883</v>
      </c>
      <c r="CR556" s="58">
        <v>9.0</v>
      </c>
      <c r="CT556" s="58">
        <v>12.0</v>
      </c>
      <c r="CU556" s="58" t="s">
        <v>239</v>
      </c>
    </row>
    <row r="557" ht="15.75" customHeight="1">
      <c r="B557" s="58" t="s">
        <v>4587</v>
      </c>
      <c r="C557" s="58">
        <v>2017.0</v>
      </c>
      <c r="D557" s="58" t="s">
        <v>5884</v>
      </c>
      <c r="E557" s="58" t="s">
        <v>5885</v>
      </c>
      <c r="F557" s="58" t="s">
        <v>5886</v>
      </c>
      <c r="I557" s="58" t="s">
        <v>5887</v>
      </c>
      <c r="K557" s="73">
        <v>43041.0</v>
      </c>
      <c r="Z557" s="58" t="s">
        <v>239</v>
      </c>
      <c r="CH557" s="58" t="s">
        <v>5888</v>
      </c>
      <c r="CI557" s="73">
        <v>43041.0</v>
      </c>
      <c r="CJ557" s="58">
        <v>1.0</v>
      </c>
      <c r="CK557" s="58">
        <v>7.0</v>
      </c>
      <c r="CL557" s="58" t="s">
        <v>5889</v>
      </c>
      <c r="CM557" s="58" t="s">
        <v>5890</v>
      </c>
      <c r="CO557" s="58" t="s">
        <v>5891</v>
      </c>
      <c r="CP557" s="58" t="s">
        <v>5892</v>
      </c>
      <c r="CR557" s="58">
        <v>8.0</v>
      </c>
      <c r="CT557" s="58">
        <v>23.0</v>
      </c>
      <c r="CU557" s="58" t="s">
        <v>239</v>
      </c>
      <c r="DL557" s="58" t="s">
        <v>5893</v>
      </c>
    </row>
    <row r="558" ht="15.75" customHeight="1">
      <c r="B558" s="58" t="s">
        <v>4587</v>
      </c>
      <c r="C558" s="58">
        <v>2020.0</v>
      </c>
      <c r="D558" s="58" t="s">
        <v>5894</v>
      </c>
      <c r="E558" s="58" t="s">
        <v>5895</v>
      </c>
      <c r="F558" s="58" t="s">
        <v>5896</v>
      </c>
      <c r="H558" s="58" t="s">
        <v>5095</v>
      </c>
      <c r="I558" s="58" t="s">
        <v>5897</v>
      </c>
      <c r="K558" s="73">
        <v>44095.0</v>
      </c>
      <c r="Z558" s="58" t="s">
        <v>239</v>
      </c>
      <c r="CH558" s="58" t="s">
        <v>5898</v>
      </c>
      <c r="CI558" s="73">
        <v>44095.0</v>
      </c>
      <c r="CJ558" s="58">
        <v>170.0</v>
      </c>
      <c r="CK558" s="58">
        <v>175.0</v>
      </c>
      <c r="CL558" s="58" t="s">
        <v>5899</v>
      </c>
      <c r="CM558" s="58" t="s">
        <v>5900</v>
      </c>
      <c r="CO558" s="58" t="s">
        <v>5901</v>
      </c>
      <c r="CR558" s="58">
        <v>8.0</v>
      </c>
      <c r="CT558" s="58">
        <v>35.0</v>
      </c>
      <c r="CU558" s="58" t="s">
        <v>239</v>
      </c>
      <c r="DL558" s="58" t="s">
        <v>5902</v>
      </c>
    </row>
    <row r="559" ht="15.75" customHeight="1">
      <c r="B559" s="58" t="s">
        <v>4587</v>
      </c>
      <c r="C559" s="58">
        <v>2020.0</v>
      </c>
      <c r="D559" s="58" t="s">
        <v>5903</v>
      </c>
      <c r="E559" s="58" t="s">
        <v>5904</v>
      </c>
      <c r="F559" s="58" t="s">
        <v>5684</v>
      </c>
      <c r="I559" s="58" t="s">
        <v>5905</v>
      </c>
      <c r="K559" s="73">
        <v>44055.0</v>
      </c>
      <c r="Z559" s="58" t="s">
        <v>239</v>
      </c>
      <c r="CH559" s="58" t="s">
        <v>5906</v>
      </c>
      <c r="CI559" s="73">
        <v>44055.0</v>
      </c>
      <c r="CJ559" s="58">
        <v>292.0</v>
      </c>
      <c r="CK559" s="58">
        <v>300.0</v>
      </c>
      <c r="CL559" s="58" t="s">
        <v>5907</v>
      </c>
      <c r="CM559" s="58" t="s">
        <v>5688</v>
      </c>
      <c r="CO559" s="58" t="s">
        <v>5908</v>
      </c>
      <c r="CP559" s="58" t="s">
        <v>5909</v>
      </c>
      <c r="CR559" s="58">
        <v>8.0</v>
      </c>
      <c r="CT559" s="58">
        <v>26.0</v>
      </c>
      <c r="CU559" s="58" t="s">
        <v>239</v>
      </c>
      <c r="DL559" s="58" t="s">
        <v>5910</v>
      </c>
    </row>
    <row r="560" ht="15.75" customHeight="1">
      <c r="B560" s="58" t="s">
        <v>4587</v>
      </c>
      <c r="C560" s="58">
        <v>2020.0</v>
      </c>
      <c r="D560" s="58" t="s">
        <v>5911</v>
      </c>
      <c r="E560" s="58" t="s">
        <v>5912</v>
      </c>
      <c r="F560" s="58" t="s">
        <v>5913</v>
      </c>
      <c r="I560" s="58" t="s">
        <v>5914</v>
      </c>
      <c r="K560" s="73">
        <v>44312.0</v>
      </c>
      <c r="Z560" s="58" t="s">
        <v>239</v>
      </c>
      <c r="CH560" s="58" t="s">
        <v>5915</v>
      </c>
      <c r="CI560" s="73">
        <v>44312.0</v>
      </c>
      <c r="CJ560" s="58">
        <v>19.0</v>
      </c>
      <c r="CK560" s="58">
        <v>26.0</v>
      </c>
      <c r="CL560" s="58" t="s">
        <v>5916</v>
      </c>
      <c r="CM560" s="58" t="s">
        <v>5917</v>
      </c>
      <c r="CN560" s="58" t="s">
        <v>5918</v>
      </c>
      <c r="CO560" s="58" t="s">
        <v>5919</v>
      </c>
      <c r="CP560" s="58" t="s">
        <v>5920</v>
      </c>
      <c r="CR560" s="58">
        <v>8.0</v>
      </c>
      <c r="CT560" s="58">
        <v>22.0</v>
      </c>
      <c r="CU560" s="58" t="s">
        <v>239</v>
      </c>
      <c r="DL560" s="58" t="s">
        <v>5921</v>
      </c>
    </row>
    <row r="561" ht="15.75" customHeight="1">
      <c r="B561" s="58" t="s">
        <v>4587</v>
      </c>
      <c r="C561" s="58">
        <v>2018.0</v>
      </c>
      <c r="D561" s="58" t="s">
        <v>5922</v>
      </c>
      <c r="E561" s="58" t="s">
        <v>5923</v>
      </c>
      <c r="F561" s="58" t="s">
        <v>5924</v>
      </c>
      <c r="H561" s="58" t="s">
        <v>5925</v>
      </c>
      <c r="I561" s="58" t="s">
        <v>5926</v>
      </c>
      <c r="K561" s="73">
        <v>43482.0</v>
      </c>
      <c r="Z561" s="58" t="s">
        <v>239</v>
      </c>
      <c r="CH561" s="58" t="s">
        <v>5927</v>
      </c>
      <c r="CI561" s="73">
        <v>43482.0</v>
      </c>
      <c r="CJ561" s="58">
        <v>40.0</v>
      </c>
      <c r="CK561" s="58">
        <v>49.0</v>
      </c>
      <c r="CL561" s="58" t="s">
        <v>5928</v>
      </c>
      <c r="CM561" s="58" t="s">
        <v>5929</v>
      </c>
      <c r="CO561" s="58" t="s">
        <v>5930</v>
      </c>
      <c r="CP561" s="58" t="s">
        <v>5931</v>
      </c>
      <c r="CR561" s="58">
        <v>8.0</v>
      </c>
      <c r="CT561" s="58">
        <v>25.0</v>
      </c>
      <c r="CU561" s="58" t="s">
        <v>239</v>
      </c>
      <c r="DL561" s="58" t="s">
        <v>5932</v>
      </c>
    </row>
    <row r="562" ht="15.75" customHeight="1">
      <c r="B562" s="58" t="s">
        <v>4587</v>
      </c>
      <c r="C562" s="58">
        <v>2019.0</v>
      </c>
      <c r="D562" s="58" t="s">
        <v>5933</v>
      </c>
      <c r="E562" s="58" t="s">
        <v>5934</v>
      </c>
      <c r="F562" s="58" t="s">
        <v>5935</v>
      </c>
      <c r="I562" s="58" t="s">
        <v>5936</v>
      </c>
      <c r="K562" s="73">
        <v>43587.0</v>
      </c>
      <c r="Z562" s="58" t="s">
        <v>239</v>
      </c>
      <c r="CH562" s="58" t="s">
        <v>5937</v>
      </c>
      <c r="CI562" s="73">
        <v>43587.0</v>
      </c>
      <c r="CJ562" s="58">
        <v>81.0</v>
      </c>
      <c r="CK562" s="58">
        <v>90.0</v>
      </c>
      <c r="CL562" s="58" t="s">
        <v>5938</v>
      </c>
      <c r="CM562" s="58" t="s">
        <v>5939</v>
      </c>
      <c r="CO562" s="58" t="s">
        <v>5940</v>
      </c>
      <c r="CP562" s="58" t="s">
        <v>5941</v>
      </c>
      <c r="CR562" s="58">
        <v>8.0</v>
      </c>
      <c r="CT562" s="58">
        <v>24.0</v>
      </c>
      <c r="CU562" s="58" t="s">
        <v>239</v>
      </c>
      <c r="DL562" s="58" t="s">
        <v>5942</v>
      </c>
    </row>
    <row r="563" ht="15.75" customHeight="1">
      <c r="B563" s="58" t="s">
        <v>4587</v>
      </c>
      <c r="C563" s="58">
        <v>2022.0</v>
      </c>
      <c r="D563" s="58" t="s">
        <v>5943</v>
      </c>
      <c r="E563" s="58" t="s">
        <v>5944</v>
      </c>
      <c r="F563" s="58" t="s">
        <v>5945</v>
      </c>
      <c r="H563" s="58" t="s">
        <v>5946</v>
      </c>
      <c r="I563" s="58" t="s">
        <v>5947</v>
      </c>
      <c r="K563" s="73">
        <v>44799.0</v>
      </c>
      <c r="Z563" s="58" t="s">
        <v>239</v>
      </c>
      <c r="CH563" s="58" t="s">
        <v>5948</v>
      </c>
      <c r="CI563" s="73">
        <v>44799.0</v>
      </c>
      <c r="CJ563" s="58">
        <v>239.0</v>
      </c>
      <c r="CK563" s="58">
        <v>244.0</v>
      </c>
      <c r="CL563" s="58" t="s">
        <v>5949</v>
      </c>
      <c r="CM563" s="58" t="s">
        <v>5950</v>
      </c>
      <c r="CO563" s="58" t="s">
        <v>5951</v>
      </c>
      <c r="CR563" s="58">
        <v>8.0</v>
      </c>
      <c r="CT563" s="58">
        <v>10.0</v>
      </c>
      <c r="CU563" s="58" t="s">
        <v>239</v>
      </c>
      <c r="DL563" s="58" t="s">
        <v>5952</v>
      </c>
    </row>
    <row r="564" ht="15.75" customHeight="1">
      <c r="B564" s="58" t="s">
        <v>4587</v>
      </c>
      <c r="C564" s="58">
        <v>2015.0</v>
      </c>
      <c r="D564" s="58" t="s">
        <v>5953</v>
      </c>
      <c r="E564" s="58" t="s">
        <v>5954</v>
      </c>
      <c r="F564" s="58" t="s">
        <v>5955</v>
      </c>
      <c r="I564" s="58" t="s">
        <v>5956</v>
      </c>
      <c r="K564" s="73">
        <v>42366.0</v>
      </c>
      <c r="Z564" s="58" t="s">
        <v>239</v>
      </c>
      <c r="CH564" s="58" t="s">
        <v>5957</v>
      </c>
      <c r="CI564" s="73">
        <v>42366.0</v>
      </c>
      <c r="CJ564" s="58">
        <v>751.0</v>
      </c>
      <c r="CK564" s="58">
        <v>759.0</v>
      </c>
      <c r="CL564" s="58" t="s">
        <v>5958</v>
      </c>
      <c r="CM564" s="58" t="s">
        <v>5959</v>
      </c>
      <c r="CO564" s="58" t="s">
        <v>5960</v>
      </c>
      <c r="CR564" s="58">
        <v>8.0</v>
      </c>
      <c r="CT564" s="58">
        <v>21.0</v>
      </c>
      <c r="CU564" s="58" t="s">
        <v>239</v>
      </c>
      <c r="DL564" s="58" t="s">
        <v>5961</v>
      </c>
    </row>
    <row r="565" ht="15.75" customHeight="1">
      <c r="B565" s="58" t="s">
        <v>4587</v>
      </c>
      <c r="C565" s="58">
        <v>2020.0</v>
      </c>
      <c r="D565" s="58" t="s">
        <v>5962</v>
      </c>
      <c r="E565" s="58" t="s">
        <v>5963</v>
      </c>
      <c r="F565" s="58" t="s">
        <v>5964</v>
      </c>
      <c r="I565" s="58" t="s">
        <v>5965</v>
      </c>
      <c r="K565" s="73">
        <v>44075.0</v>
      </c>
      <c r="Z565" s="58" t="s">
        <v>239</v>
      </c>
      <c r="CH565" s="58" t="s">
        <v>5966</v>
      </c>
      <c r="CI565" s="73">
        <v>44075.0</v>
      </c>
      <c r="CJ565" s="58">
        <v>71.0</v>
      </c>
      <c r="CK565" s="58">
        <v>77.0</v>
      </c>
      <c r="CL565" s="58" t="s">
        <v>5967</v>
      </c>
      <c r="CM565" s="58" t="s">
        <v>5968</v>
      </c>
      <c r="CO565" s="58" t="s">
        <v>5969</v>
      </c>
      <c r="CP565" s="58" t="s">
        <v>5970</v>
      </c>
      <c r="CR565" s="58">
        <v>8.0</v>
      </c>
      <c r="CT565" s="58">
        <v>19.0</v>
      </c>
      <c r="CU565" s="58" t="s">
        <v>239</v>
      </c>
      <c r="DL565" s="58" t="s">
        <v>5971</v>
      </c>
    </row>
    <row r="566" ht="15.75" customHeight="1">
      <c r="B566" s="58" t="s">
        <v>4587</v>
      </c>
      <c r="C566" s="58">
        <v>2020.0</v>
      </c>
      <c r="D566" s="58" t="s">
        <v>5972</v>
      </c>
      <c r="E566" s="58" t="s">
        <v>5973</v>
      </c>
      <c r="F566" s="58" t="s">
        <v>5974</v>
      </c>
      <c r="I566" s="58" t="s">
        <v>5975</v>
      </c>
      <c r="K566" s="73">
        <v>44019.0</v>
      </c>
      <c r="Z566" s="58" t="s">
        <v>239</v>
      </c>
      <c r="CH566" s="58" t="s">
        <v>5976</v>
      </c>
      <c r="CI566" s="73">
        <v>44019.0</v>
      </c>
      <c r="CJ566" s="58">
        <v>1.0</v>
      </c>
      <c r="CK566" s="58">
        <v>7.0</v>
      </c>
      <c r="CL566" s="58" t="s">
        <v>5977</v>
      </c>
      <c r="CM566" s="58" t="s">
        <v>5978</v>
      </c>
      <c r="CO566" s="58" t="s">
        <v>5979</v>
      </c>
      <c r="CP566" s="58" t="s">
        <v>5980</v>
      </c>
      <c r="CR566" s="58">
        <v>8.0</v>
      </c>
      <c r="CT566" s="58">
        <v>18.0</v>
      </c>
      <c r="CU566" s="58" t="s">
        <v>239</v>
      </c>
      <c r="DL566" s="58" t="s">
        <v>5981</v>
      </c>
    </row>
    <row r="567" ht="15.75" customHeight="1">
      <c r="B567" s="58" t="s">
        <v>4587</v>
      </c>
      <c r="C567" s="58">
        <v>2019.0</v>
      </c>
      <c r="D567" s="58" t="s">
        <v>5982</v>
      </c>
      <c r="E567" s="58" t="s">
        <v>5983</v>
      </c>
      <c r="F567" s="58" t="s">
        <v>5984</v>
      </c>
      <c r="H567" s="58" t="s">
        <v>5985</v>
      </c>
      <c r="I567" s="58" t="s">
        <v>5986</v>
      </c>
      <c r="K567" s="73">
        <v>43682.0</v>
      </c>
      <c r="Z567" s="58" t="s">
        <v>239</v>
      </c>
      <c r="CH567" s="58" t="s">
        <v>5987</v>
      </c>
      <c r="CI567" s="73">
        <v>43682.0</v>
      </c>
      <c r="CJ567" s="58">
        <v>294.0</v>
      </c>
      <c r="CK567" s="58">
        <v>299.0</v>
      </c>
      <c r="CL567" s="58" t="s">
        <v>5988</v>
      </c>
      <c r="CM567" s="58" t="s">
        <v>5989</v>
      </c>
      <c r="CO567" s="58" t="s">
        <v>5990</v>
      </c>
      <c r="CP567" s="58" t="s">
        <v>5991</v>
      </c>
      <c r="CR567" s="58">
        <v>8.0</v>
      </c>
      <c r="CT567" s="58">
        <v>13.0</v>
      </c>
      <c r="CU567" s="58" t="s">
        <v>239</v>
      </c>
      <c r="DL567" s="58" t="s">
        <v>5992</v>
      </c>
    </row>
    <row r="568" ht="15.75" customHeight="1">
      <c r="B568" s="58" t="s">
        <v>4587</v>
      </c>
      <c r="C568" s="58">
        <v>2022.0</v>
      </c>
      <c r="D568" s="58" t="s">
        <v>5993</v>
      </c>
      <c r="E568" s="58" t="s">
        <v>5994</v>
      </c>
      <c r="F568" s="58" t="s">
        <v>5995</v>
      </c>
      <c r="H568" s="58" t="s">
        <v>5243</v>
      </c>
      <c r="I568" s="58" t="s">
        <v>5996</v>
      </c>
      <c r="K568" s="73">
        <v>44700.0</v>
      </c>
      <c r="Z568" s="58" t="s">
        <v>239</v>
      </c>
      <c r="CH568" s="58" t="s">
        <v>5997</v>
      </c>
      <c r="CI568" s="73">
        <v>44700.0</v>
      </c>
      <c r="CJ568" s="58">
        <v>975.0</v>
      </c>
      <c r="CK568" s="58">
        <v>980.0</v>
      </c>
      <c r="CL568" s="58" t="s">
        <v>5998</v>
      </c>
      <c r="CM568" s="58" t="s">
        <v>5999</v>
      </c>
      <c r="CN568" s="58" t="s">
        <v>6000</v>
      </c>
      <c r="CO568" s="58" t="s">
        <v>6001</v>
      </c>
      <c r="CP568" s="58" t="s">
        <v>6002</v>
      </c>
      <c r="CR568" s="58">
        <v>8.0</v>
      </c>
      <c r="CT568" s="58">
        <v>17.0</v>
      </c>
      <c r="DL568" s="58" t="s">
        <v>6003</v>
      </c>
    </row>
    <row r="569" ht="15.75" customHeight="1">
      <c r="B569" s="58" t="s">
        <v>4587</v>
      </c>
      <c r="C569" s="58">
        <v>2019.0</v>
      </c>
      <c r="D569" s="58" t="s">
        <v>6004</v>
      </c>
      <c r="E569" s="58" t="s">
        <v>6005</v>
      </c>
      <c r="F569" s="58" t="s">
        <v>5350</v>
      </c>
      <c r="H569" s="58" t="s">
        <v>5351</v>
      </c>
      <c r="I569" s="58" t="s">
        <v>6006</v>
      </c>
      <c r="K569" s="73">
        <v>43857.0</v>
      </c>
      <c r="Z569" s="58" t="s">
        <v>239</v>
      </c>
      <c r="CH569" s="58" t="s">
        <v>6007</v>
      </c>
      <c r="CI569" s="73">
        <v>43857.0</v>
      </c>
      <c r="CJ569" s="58">
        <v>1.0</v>
      </c>
      <c r="CK569" s="58">
        <v>7.0</v>
      </c>
      <c r="CL569" s="58" t="s">
        <v>6008</v>
      </c>
      <c r="CM569" s="58" t="s">
        <v>5355</v>
      </c>
      <c r="CO569" s="58" t="s">
        <v>6009</v>
      </c>
      <c r="CP569" s="58" t="s">
        <v>6010</v>
      </c>
      <c r="CR569" s="58">
        <v>8.0</v>
      </c>
      <c r="CT569" s="58">
        <v>15.0</v>
      </c>
      <c r="CU569" s="58" t="s">
        <v>239</v>
      </c>
      <c r="DL569" s="58" t="s">
        <v>6011</v>
      </c>
    </row>
    <row r="570" ht="15.75" customHeight="1">
      <c r="B570" s="58" t="s">
        <v>4587</v>
      </c>
      <c r="C570" s="58">
        <v>2016.0</v>
      </c>
      <c r="D570" s="58" t="s">
        <v>6012</v>
      </c>
      <c r="E570" s="58" t="s">
        <v>6013</v>
      </c>
      <c r="F570" s="58" t="s">
        <v>6014</v>
      </c>
      <c r="I570" s="58" t="s">
        <v>6015</v>
      </c>
      <c r="K570" s="73">
        <v>42607.0</v>
      </c>
      <c r="Z570" s="58" t="s">
        <v>239</v>
      </c>
      <c r="CH570" s="58" t="s">
        <v>6016</v>
      </c>
      <c r="CI570" s="73">
        <v>42607.0</v>
      </c>
      <c r="CJ570" s="58">
        <v>1.0</v>
      </c>
      <c r="CK570" s="58">
        <v>6.0</v>
      </c>
      <c r="CL570" s="58" t="s">
        <v>6017</v>
      </c>
      <c r="CM570" s="58" t="s">
        <v>6018</v>
      </c>
      <c r="CO570" s="58" t="s">
        <v>6019</v>
      </c>
      <c r="CR570" s="58">
        <v>8.0</v>
      </c>
      <c r="CT570" s="58">
        <v>11.0</v>
      </c>
      <c r="CU570" s="58" t="s">
        <v>239</v>
      </c>
      <c r="DL570" s="58" t="s">
        <v>6020</v>
      </c>
    </row>
    <row r="571" ht="15.75" customHeight="1">
      <c r="B571" s="58" t="s">
        <v>4587</v>
      </c>
      <c r="C571" s="58">
        <v>2019.0</v>
      </c>
      <c r="D571" s="58" t="s">
        <v>6021</v>
      </c>
      <c r="E571" s="58" t="s">
        <v>6022</v>
      </c>
      <c r="F571" s="58" t="s">
        <v>6023</v>
      </c>
      <c r="I571" s="58" t="s">
        <v>6024</v>
      </c>
      <c r="K571" s="73">
        <v>43874.0</v>
      </c>
      <c r="Z571" s="58" t="s">
        <v>239</v>
      </c>
      <c r="CH571" s="58" t="s">
        <v>6025</v>
      </c>
      <c r="CI571" s="73">
        <v>43874.0</v>
      </c>
      <c r="CJ571" s="58">
        <v>122.0</v>
      </c>
      <c r="CK571" s="58">
        <v>123.0</v>
      </c>
      <c r="CL571" s="58" t="s">
        <v>6026</v>
      </c>
      <c r="CM571" s="58" t="s">
        <v>6027</v>
      </c>
      <c r="CO571" s="58" t="s">
        <v>6028</v>
      </c>
      <c r="CP571" s="58" t="s">
        <v>6029</v>
      </c>
      <c r="CR571" s="58">
        <v>8.0</v>
      </c>
      <c r="CT571" s="58">
        <v>8.0</v>
      </c>
      <c r="CU571" s="58" t="s">
        <v>239</v>
      </c>
    </row>
    <row r="572" ht="15.75" customHeight="1">
      <c r="B572" s="58" t="s">
        <v>4587</v>
      </c>
      <c r="C572" s="58">
        <v>2019.0</v>
      </c>
      <c r="D572" s="58" t="s">
        <v>6030</v>
      </c>
      <c r="E572" s="58" t="s">
        <v>6031</v>
      </c>
      <c r="F572" s="58" t="s">
        <v>6032</v>
      </c>
      <c r="I572" s="58" t="s">
        <v>6033</v>
      </c>
      <c r="K572" s="73">
        <v>43678.0</v>
      </c>
      <c r="Z572" s="58" t="s">
        <v>239</v>
      </c>
      <c r="CH572" s="58" t="s">
        <v>6034</v>
      </c>
      <c r="CI572" s="73">
        <v>43678.0</v>
      </c>
      <c r="CJ572" s="58">
        <v>1.0</v>
      </c>
      <c r="CK572" s="58">
        <v>6.0</v>
      </c>
      <c r="CL572" s="58" t="s">
        <v>6035</v>
      </c>
      <c r="CM572" s="58" t="s">
        <v>6036</v>
      </c>
      <c r="CO572" s="58" t="s">
        <v>6037</v>
      </c>
      <c r="CP572" s="58" t="s">
        <v>6038</v>
      </c>
      <c r="CR572" s="58">
        <v>8.0</v>
      </c>
      <c r="CT572" s="58">
        <v>13.0</v>
      </c>
      <c r="DL572" s="58" t="s">
        <v>6039</v>
      </c>
    </row>
    <row r="573" ht="15.75" customHeight="1">
      <c r="B573" s="58" t="s">
        <v>4587</v>
      </c>
      <c r="C573" s="58">
        <v>2018.0</v>
      </c>
      <c r="D573" s="58" t="s">
        <v>6040</v>
      </c>
      <c r="E573" s="58" t="s">
        <v>6041</v>
      </c>
      <c r="F573" s="58" t="s">
        <v>6042</v>
      </c>
      <c r="H573" s="58" t="s">
        <v>6043</v>
      </c>
      <c r="I573" s="58" t="s">
        <v>6044</v>
      </c>
      <c r="K573" s="73">
        <v>43412.0</v>
      </c>
      <c r="Z573" s="58" t="s">
        <v>239</v>
      </c>
      <c r="CH573" s="58" t="s">
        <v>6045</v>
      </c>
      <c r="CI573" s="73">
        <v>43412.0</v>
      </c>
      <c r="CJ573" s="58">
        <v>820.0</v>
      </c>
      <c r="CK573" s="58">
        <v>825.0</v>
      </c>
      <c r="CL573" s="58" t="s">
        <v>6046</v>
      </c>
      <c r="CM573" s="58" t="s">
        <v>6047</v>
      </c>
      <c r="CO573" s="58" t="s">
        <v>6048</v>
      </c>
      <c r="CR573" s="58">
        <v>8.0</v>
      </c>
      <c r="CT573" s="58">
        <v>24.0</v>
      </c>
      <c r="CU573" s="58" t="s">
        <v>239</v>
      </c>
      <c r="DL573" s="58" t="s">
        <v>6049</v>
      </c>
    </row>
    <row r="574" ht="15.75" customHeight="1">
      <c r="B574" s="58" t="s">
        <v>4587</v>
      </c>
      <c r="C574" s="58">
        <v>2021.0</v>
      </c>
      <c r="D574" s="58" t="s">
        <v>6050</v>
      </c>
      <c r="E574" s="58" t="s">
        <v>6051</v>
      </c>
      <c r="F574" s="58" t="s">
        <v>6052</v>
      </c>
      <c r="I574" s="58" t="s">
        <v>6053</v>
      </c>
      <c r="K574" s="73">
        <v>44553.0</v>
      </c>
      <c r="Z574" s="58" t="s">
        <v>239</v>
      </c>
      <c r="CH574" s="58" t="s">
        <v>6054</v>
      </c>
      <c r="CI574" s="73">
        <v>44553.0</v>
      </c>
      <c r="CJ574" s="58">
        <v>55.0</v>
      </c>
      <c r="CK574" s="58">
        <v>60.0</v>
      </c>
      <c r="CL574" s="58" t="s">
        <v>6055</v>
      </c>
      <c r="CM574" s="58" t="s">
        <v>6056</v>
      </c>
      <c r="CO574" s="58" t="s">
        <v>6057</v>
      </c>
      <c r="CP574" s="58" t="s">
        <v>6058</v>
      </c>
      <c r="CR574" s="58">
        <v>8.0</v>
      </c>
      <c r="CT574" s="58">
        <v>8.0</v>
      </c>
      <c r="CU574" s="58" t="s">
        <v>239</v>
      </c>
      <c r="DL574" s="58" t="s">
        <v>6059</v>
      </c>
    </row>
    <row r="575" ht="15.75" customHeight="1">
      <c r="B575" s="58" t="s">
        <v>4587</v>
      </c>
      <c r="C575" s="58">
        <v>2020.0</v>
      </c>
      <c r="D575" s="58" t="s">
        <v>6060</v>
      </c>
      <c r="E575" s="58" t="s">
        <v>6061</v>
      </c>
      <c r="F575" s="58" t="s">
        <v>6062</v>
      </c>
      <c r="H575" s="58" t="s">
        <v>6063</v>
      </c>
      <c r="I575" s="58" t="s">
        <v>6064</v>
      </c>
      <c r="K575" s="73">
        <v>44228.0</v>
      </c>
      <c r="Z575" s="58" t="s">
        <v>239</v>
      </c>
      <c r="CH575" s="58" t="s">
        <v>6065</v>
      </c>
      <c r="CI575" s="73">
        <v>44228.0</v>
      </c>
      <c r="CJ575" s="58">
        <v>94.0</v>
      </c>
      <c r="CK575" s="58">
        <v>99.0</v>
      </c>
      <c r="CL575" s="58" t="s">
        <v>6066</v>
      </c>
      <c r="CM575" s="58" t="s">
        <v>6067</v>
      </c>
      <c r="CO575" s="58" t="s">
        <v>6068</v>
      </c>
      <c r="CP575" s="58" t="s">
        <v>6069</v>
      </c>
      <c r="CR575" s="58">
        <v>8.0</v>
      </c>
      <c r="CT575" s="58">
        <v>29.0</v>
      </c>
      <c r="CU575" s="58" t="s">
        <v>239</v>
      </c>
      <c r="DL575" s="58" t="s">
        <v>6070</v>
      </c>
    </row>
    <row r="576" ht="15.75" customHeight="1">
      <c r="B576" s="58" t="s">
        <v>4587</v>
      </c>
      <c r="C576" s="58">
        <v>2018.0</v>
      </c>
      <c r="D576" s="58" t="s">
        <v>6071</v>
      </c>
      <c r="E576" s="58" t="s">
        <v>6072</v>
      </c>
      <c r="F576" s="58" t="s">
        <v>6073</v>
      </c>
      <c r="H576" s="58" t="s">
        <v>6074</v>
      </c>
      <c r="I576" s="58" t="s">
        <v>6075</v>
      </c>
      <c r="K576" s="73">
        <v>43436.0</v>
      </c>
      <c r="Z576" s="58" t="s">
        <v>239</v>
      </c>
      <c r="CH576" s="58" t="s">
        <v>6076</v>
      </c>
      <c r="CI576" s="73">
        <v>43436.0</v>
      </c>
      <c r="CJ576" s="58">
        <v>1.0</v>
      </c>
      <c r="CK576" s="58">
        <v>6.0</v>
      </c>
      <c r="CL576" s="58" t="s">
        <v>1355</v>
      </c>
      <c r="CM576" s="58" t="s">
        <v>6077</v>
      </c>
      <c r="CO576" s="58" t="s">
        <v>6078</v>
      </c>
      <c r="CP576" s="58" t="s">
        <v>6079</v>
      </c>
      <c r="CR576" s="58">
        <v>7.0</v>
      </c>
      <c r="CT576" s="58">
        <v>10.0</v>
      </c>
      <c r="DL576" s="58" t="s">
        <v>6080</v>
      </c>
    </row>
    <row r="577" ht="15.75" customHeight="1">
      <c r="B577" s="58" t="s">
        <v>4587</v>
      </c>
      <c r="C577" s="58">
        <v>2019.0</v>
      </c>
      <c r="D577" s="58" t="s">
        <v>6081</v>
      </c>
      <c r="E577" s="58" t="s">
        <v>6082</v>
      </c>
      <c r="F577" s="58" t="s">
        <v>6083</v>
      </c>
      <c r="H577" s="58" t="s">
        <v>6084</v>
      </c>
      <c r="I577" s="58" t="s">
        <v>6085</v>
      </c>
      <c r="K577" s="73">
        <v>43584.0</v>
      </c>
      <c r="Z577" s="58" t="s">
        <v>239</v>
      </c>
      <c r="CH577" s="58" t="s">
        <v>6086</v>
      </c>
      <c r="CI577" s="73">
        <v>43584.0</v>
      </c>
      <c r="CJ577" s="58">
        <v>47.0</v>
      </c>
      <c r="CK577" s="58">
        <v>54.0</v>
      </c>
      <c r="CL577" s="58" t="s">
        <v>6087</v>
      </c>
      <c r="CM577" s="58" t="s">
        <v>6088</v>
      </c>
      <c r="CO577" s="58" t="s">
        <v>6089</v>
      </c>
      <c r="CR577" s="58">
        <v>7.0</v>
      </c>
      <c r="CT577" s="58">
        <v>21.0</v>
      </c>
      <c r="CU577" s="58" t="s">
        <v>239</v>
      </c>
      <c r="DL577" s="58" t="s">
        <v>6090</v>
      </c>
    </row>
    <row r="578" ht="15.75" customHeight="1">
      <c r="B578" s="58" t="s">
        <v>4587</v>
      </c>
      <c r="C578" s="58">
        <v>2017.0</v>
      </c>
      <c r="D578" s="58" t="s">
        <v>6091</v>
      </c>
      <c r="E578" s="58" t="s">
        <v>6092</v>
      </c>
      <c r="F578" s="58" t="s">
        <v>6093</v>
      </c>
      <c r="I578" s="58" t="s">
        <v>6094</v>
      </c>
      <c r="K578" s="73">
        <v>43132.0</v>
      </c>
      <c r="Z578" s="58" t="s">
        <v>239</v>
      </c>
      <c r="CH578" s="58" t="s">
        <v>6095</v>
      </c>
      <c r="CI578" s="73">
        <v>43132.0</v>
      </c>
      <c r="CJ578" s="58">
        <v>711.0</v>
      </c>
      <c r="CK578" s="58">
        <v>718.0</v>
      </c>
      <c r="CL578" s="58" t="s">
        <v>6096</v>
      </c>
      <c r="CM578" s="58" t="s">
        <v>6097</v>
      </c>
      <c r="CO578" s="58" t="s">
        <v>6098</v>
      </c>
      <c r="CP578" s="58" t="s">
        <v>6099</v>
      </c>
      <c r="CR578" s="58">
        <v>7.0</v>
      </c>
      <c r="CT578" s="58">
        <v>25.0</v>
      </c>
      <c r="CU578" s="58" t="s">
        <v>239</v>
      </c>
      <c r="DL578" s="58" t="s">
        <v>6100</v>
      </c>
    </row>
    <row r="579" ht="15.75" customHeight="1">
      <c r="B579" s="58" t="s">
        <v>4587</v>
      </c>
      <c r="C579" s="58">
        <v>2018.0</v>
      </c>
      <c r="D579" s="58" t="s">
        <v>6101</v>
      </c>
      <c r="E579" s="58" t="s">
        <v>6102</v>
      </c>
      <c r="F579" s="58" t="s">
        <v>6103</v>
      </c>
      <c r="I579" s="58" t="s">
        <v>6104</v>
      </c>
      <c r="K579" s="73">
        <v>43619.0</v>
      </c>
      <c r="Z579" s="58" t="s">
        <v>239</v>
      </c>
      <c r="CH579" s="58" t="s">
        <v>6105</v>
      </c>
      <c r="CI579" s="73">
        <v>43619.0</v>
      </c>
      <c r="CJ579" s="58">
        <v>138.0</v>
      </c>
      <c r="CK579" s="58">
        <v>145.0</v>
      </c>
      <c r="CL579" s="58" t="s">
        <v>6106</v>
      </c>
      <c r="CM579" s="58" t="s">
        <v>6107</v>
      </c>
      <c r="CO579" s="58" t="s">
        <v>6108</v>
      </c>
      <c r="CP579" s="58" t="s">
        <v>6109</v>
      </c>
      <c r="CR579" s="58">
        <v>7.0</v>
      </c>
      <c r="CT579" s="58">
        <v>19.0</v>
      </c>
      <c r="CU579" s="58" t="s">
        <v>239</v>
      </c>
      <c r="DL579" s="58" t="s">
        <v>6110</v>
      </c>
    </row>
    <row r="580" ht="15.75" customHeight="1">
      <c r="B580" s="58" t="s">
        <v>4587</v>
      </c>
      <c r="C580" s="58">
        <v>2017.0</v>
      </c>
      <c r="D580" s="58" t="s">
        <v>6111</v>
      </c>
      <c r="E580" s="58" t="s">
        <v>6112</v>
      </c>
      <c r="F580" s="58" t="s">
        <v>6113</v>
      </c>
      <c r="I580" s="58" t="s">
        <v>6114</v>
      </c>
      <c r="K580" s="73">
        <v>43069.0</v>
      </c>
      <c r="Z580" s="58" t="s">
        <v>239</v>
      </c>
      <c r="CH580" s="58" t="s">
        <v>6115</v>
      </c>
      <c r="CI580" s="73">
        <v>43069.0</v>
      </c>
      <c r="CJ580" s="58">
        <v>85.0</v>
      </c>
      <c r="CK580" s="58">
        <v>94.0</v>
      </c>
      <c r="CL580" s="58" t="s">
        <v>6116</v>
      </c>
      <c r="CM580" s="58" t="s">
        <v>6117</v>
      </c>
      <c r="CO580" s="58" t="s">
        <v>6118</v>
      </c>
      <c r="CP580" s="58" t="s">
        <v>6119</v>
      </c>
      <c r="CR580" s="58">
        <v>7.0</v>
      </c>
      <c r="CT580" s="58">
        <v>60.0</v>
      </c>
      <c r="CU580" s="58" t="s">
        <v>239</v>
      </c>
      <c r="DL580" s="58" t="s">
        <v>6120</v>
      </c>
    </row>
    <row r="581" ht="15.75" customHeight="1">
      <c r="B581" s="58" t="s">
        <v>4587</v>
      </c>
      <c r="C581" s="58">
        <v>2019.0</v>
      </c>
      <c r="D581" s="58" t="s">
        <v>6121</v>
      </c>
      <c r="E581" s="58" t="s">
        <v>6122</v>
      </c>
      <c r="F581" s="58" t="s">
        <v>6123</v>
      </c>
      <c r="I581" s="58" t="s">
        <v>6124</v>
      </c>
      <c r="K581" s="73">
        <v>43682.0</v>
      </c>
      <c r="Z581" s="58" t="s">
        <v>239</v>
      </c>
      <c r="CH581" s="58" t="s">
        <v>6125</v>
      </c>
      <c r="CI581" s="73">
        <v>43682.0</v>
      </c>
      <c r="CJ581" s="58">
        <v>113.0</v>
      </c>
      <c r="CK581" s="58">
        <v>120.0</v>
      </c>
      <c r="CL581" s="58" t="s">
        <v>6126</v>
      </c>
      <c r="CM581" s="58" t="s">
        <v>6127</v>
      </c>
      <c r="CO581" s="58" t="s">
        <v>6128</v>
      </c>
      <c r="CP581" s="58" t="s">
        <v>6129</v>
      </c>
      <c r="CR581" s="58">
        <v>7.0</v>
      </c>
      <c r="CT581" s="58">
        <v>30.0</v>
      </c>
      <c r="CU581" s="58" t="s">
        <v>239</v>
      </c>
      <c r="DL581" s="58" t="s">
        <v>6130</v>
      </c>
    </row>
    <row r="582" ht="15.75" customHeight="1">
      <c r="B582" s="58" t="s">
        <v>4587</v>
      </c>
      <c r="C582" s="58">
        <v>2019.0</v>
      </c>
      <c r="D582" s="58" t="s">
        <v>6131</v>
      </c>
      <c r="E582" s="58" t="s">
        <v>6132</v>
      </c>
      <c r="F582" s="58" t="s">
        <v>6133</v>
      </c>
      <c r="H582" s="58" t="s">
        <v>6134</v>
      </c>
      <c r="I582" s="58" t="s">
        <v>6135</v>
      </c>
      <c r="K582" s="73">
        <v>43643.0</v>
      </c>
      <c r="Z582" s="58" t="s">
        <v>239</v>
      </c>
      <c r="CH582" s="58" t="s">
        <v>6136</v>
      </c>
      <c r="CI582" s="73">
        <v>43643.0</v>
      </c>
      <c r="CJ582" s="58">
        <v>146.0</v>
      </c>
      <c r="CK582" s="58">
        <v>153.0</v>
      </c>
      <c r="CL582" s="58" t="s">
        <v>6137</v>
      </c>
      <c r="CM582" s="58" t="s">
        <v>6138</v>
      </c>
      <c r="CO582" s="58" t="s">
        <v>6139</v>
      </c>
      <c r="CP582" s="58" t="s">
        <v>6140</v>
      </c>
      <c r="CR582" s="58">
        <v>7.0</v>
      </c>
      <c r="CT582" s="58">
        <v>18.0</v>
      </c>
      <c r="CU582" s="58" t="s">
        <v>239</v>
      </c>
    </row>
    <row r="583" ht="15.75" customHeight="1">
      <c r="B583" s="58" t="s">
        <v>4587</v>
      </c>
      <c r="C583" s="58">
        <v>2017.0</v>
      </c>
      <c r="D583" s="58" t="s">
        <v>6141</v>
      </c>
      <c r="E583" s="58" t="s">
        <v>6142</v>
      </c>
      <c r="F583" s="58" t="s">
        <v>4761</v>
      </c>
      <c r="I583" s="58" t="s">
        <v>6143</v>
      </c>
      <c r="K583" s="73">
        <v>42929.0</v>
      </c>
      <c r="Z583" s="58" t="s">
        <v>239</v>
      </c>
      <c r="CH583" s="58" t="s">
        <v>6144</v>
      </c>
      <c r="CI583" s="73">
        <v>42929.0</v>
      </c>
      <c r="CJ583" s="58">
        <v>974.0</v>
      </c>
      <c r="CK583" s="58">
        <v>978.0</v>
      </c>
      <c r="CL583" s="58" t="s">
        <v>6145</v>
      </c>
      <c r="CM583" s="58" t="s">
        <v>4765</v>
      </c>
      <c r="CO583" s="58" t="s">
        <v>6146</v>
      </c>
      <c r="CR583" s="58">
        <v>7.0</v>
      </c>
      <c r="CT583" s="58">
        <v>23.0</v>
      </c>
      <c r="DL583" s="58" t="s">
        <v>6147</v>
      </c>
    </row>
    <row r="584" ht="15.75" customHeight="1">
      <c r="B584" s="58" t="s">
        <v>4587</v>
      </c>
      <c r="C584" s="58">
        <v>2020.0</v>
      </c>
      <c r="D584" s="58" t="s">
        <v>6148</v>
      </c>
      <c r="E584" s="58" t="s">
        <v>6149</v>
      </c>
      <c r="F584" s="58" t="s">
        <v>6150</v>
      </c>
      <c r="I584" s="58" t="s">
        <v>6151</v>
      </c>
      <c r="K584" s="73">
        <v>44229.0</v>
      </c>
      <c r="Z584" s="58" t="s">
        <v>239</v>
      </c>
      <c r="CH584" s="58" t="s">
        <v>6152</v>
      </c>
      <c r="CI584" s="73">
        <v>44229.0</v>
      </c>
      <c r="CJ584" s="58">
        <v>1.0</v>
      </c>
      <c r="CK584" s="58">
        <v>8.0</v>
      </c>
      <c r="CL584" s="58" t="s">
        <v>6153</v>
      </c>
      <c r="CM584" s="58" t="s">
        <v>6154</v>
      </c>
      <c r="CO584" s="58" t="s">
        <v>6155</v>
      </c>
      <c r="CP584" s="58" t="s">
        <v>6156</v>
      </c>
      <c r="CR584" s="58">
        <v>7.0</v>
      </c>
      <c r="CT584" s="58">
        <v>27.0</v>
      </c>
      <c r="CU584" s="58" t="s">
        <v>239</v>
      </c>
      <c r="DL584" s="58" t="s">
        <v>6157</v>
      </c>
    </row>
    <row r="585" ht="15.75" customHeight="1">
      <c r="B585" s="58" t="s">
        <v>4587</v>
      </c>
      <c r="C585" s="58">
        <v>2018.0</v>
      </c>
      <c r="D585" s="58" t="s">
        <v>6158</v>
      </c>
      <c r="E585" s="58" t="s">
        <v>6159</v>
      </c>
      <c r="F585" s="58" t="s">
        <v>5478</v>
      </c>
      <c r="H585" s="58" t="s">
        <v>5479</v>
      </c>
      <c r="I585" s="58" t="s">
        <v>6160</v>
      </c>
      <c r="K585" s="73">
        <v>43394.0</v>
      </c>
      <c r="Z585" s="58" t="s">
        <v>239</v>
      </c>
      <c r="CH585" s="58" t="s">
        <v>6161</v>
      </c>
      <c r="CI585" s="73">
        <v>43394.0</v>
      </c>
      <c r="CJ585" s="58">
        <v>41.0</v>
      </c>
      <c r="CK585" s="58">
        <v>50.0</v>
      </c>
      <c r="CL585" s="58" t="s">
        <v>6162</v>
      </c>
      <c r="CM585" s="58" t="s">
        <v>5483</v>
      </c>
      <c r="CO585" s="58" t="s">
        <v>6163</v>
      </c>
      <c r="CP585" s="58" t="s">
        <v>6164</v>
      </c>
      <c r="CR585" s="58">
        <v>7.0</v>
      </c>
      <c r="CT585" s="58">
        <v>35.0</v>
      </c>
      <c r="CU585" s="58" t="s">
        <v>239</v>
      </c>
      <c r="DL585" s="58" t="s">
        <v>6165</v>
      </c>
    </row>
    <row r="586" ht="15.75" customHeight="1">
      <c r="B586" s="58" t="s">
        <v>4587</v>
      </c>
      <c r="C586" s="58">
        <v>2018.0</v>
      </c>
      <c r="D586" s="58" t="s">
        <v>6166</v>
      </c>
      <c r="E586" s="58" t="s">
        <v>6167</v>
      </c>
      <c r="F586" s="58" t="s">
        <v>6168</v>
      </c>
      <c r="H586" s="58" t="s">
        <v>6169</v>
      </c>
      <c r="I586" s="58" t="s">
        <v>6170</v>
      </c>
      <c r="K586" s="73">
        <v>43258.0</v>
      </c>
      <c r="Z586" s="58" t="s">
        <v>239</v>
      </c>
      <c r="CH586" s="58" t="s">
        <v>6171</v>
      </c>
      <c r="CI586" s="73">
        <v>43258.0</v>
      </c>
      <c r="CJ586" s="58">
        <v>150.0</v>
      </c>
      <c r="CK586" s="58">
        <v>157.0</v>
      </c>
      <c r="CL586" s="58" t="s">
        <v>6172</v>
      </c>
      <c r="CM586" s="58" t="s">
        <v>6173</v>
      </c>
      <c r="CO586" s="58" t="s">
        <v>6174</v>
      </c>
      <c r="CP586" s="58" t="s">
        <v>6175</v>
      </c>
      <c r="CR586" s="58">
        <v>7.0</v>
      </c>
      <c r="CT586" s="58">
        <v>55.0</v>
      </c>
      <c r="CU586" s="58" t="s">
        <v>239</v>
      </c>
      <c r="DL586" s="58" t="s">
        <v>6176</v>
      </c>
    </row>
    <row r="587" ht="15.75" customHeight="1">
      <c r="B587" s="58" t="s">
        <v>4587</v>
      </c>
      <c r="C587" s="58">
        <v>2019.0</v>
      </c>
      <c r="D587" s="58" t="s">
        <v>6177</v>
      </c>
      <c r="E587" s="58" t="s">
        <v>6178</v>
      </c>
      <c r="F587" s="58" t="s">
        <v>6179</v>
      </c>
      <c r="I587" s="58" t="s">
        <v>6180</v>
      </c>
      <c r="K587" s="73">
        <v>43703.0</v>
      </c>
      <c r="Z587" s="58" t="s">
        <v>239</v>
      </c>
      <c r="CH587" s="58" t="s">
        <v>6181</v>
      </c>
      <c r="CI587" s="73">
        <v>43703.0</v>
      </c>
      <c r="CJ587" s="58">
        <v>124.0</v>
      </c>
      <c r="CK587" s="58">
        <v>131.0</v>
      </c>
      <c r="CL587" s="58" t="s">
        <v>6182</v>
      </c>
      <c r="CM587" s="58" t="s">
        <v>6183</v>
      </c>
      <c r="CO587" s="58" t="s">
        <v>6184</v>
      </c>
      <c r="CP587" s="58" t="s">
        <v>6185</v>
      </c>
      <c r="CR587" s="58">
        <v>7.0</v>
      </c>
      <c r="CT587" s="58">
        <v>35.0</v>
      </c>
      <c r="CU587" s="58" t="s">
        <v>239</v>
      </c>
      <c r="DL587" s="58" t="s">
        <v>6186</v>
      </c>
    </row>
    <row r="588" ht="15.75" customHeight="1">
      <c r="B588" s="58" t="s">
        <v>4587</v>
      </c>
      <c r="C588" s="58">
        <v>2022.0</v>
      </c>
      <c r="D588" s="58" t="s">
        <v>6187</v>
      </c>
      <c r="E588" s="58" t="s">
        <v>6188</v>
      </c>
      <c r="F588" s="58" t="s">
        <v>6189</v>
      </c>
      <c r="I588" s="58" t="s">
        <v>6190</v>
      </c>
      <c r="K588" s="73">
        <v>44774.0</v>
      </c>
      <c r="Z588" s="58" t="s">
        <v>239</v>
      </c>
      <c r="CH588" s="58" t="s">
        <v>6191</v>
      </c>
      <c r="CI588" s="73">
        <v>44774.0</v>
      </c>
      <c r="CJ588" s="58">
        <v>1003.0</v>
      </c>
      <c r="CK588" s="58">
        <v>1010.0</v>
      </c>
      <c r="CL588" s="58" t="s">
        <v>6192</v>
      </c>
      <c r="CM588" s="58" t="s">
        <v>6193</v>
      </c>
      <c r="CO588" s="58" t="s">
        <v>6194</v>
      </c>
      <c r="CP588" s="58" t="s">
        <v>6195</v>
      </c>
      <c r="CR588" s="58">
        <v>7.0</v>
      </c>
      <c r="CT588" s="58">
        <v>87.0</v>
      </c>
      <c r="CU588" s="58" t="s">
        <v>239</v>
      </c>
      <c r="DL588" s="58" t="s">
        <v>6196</v>
      </c>
    </row>
    <row r="589" ht="15.75" customHeight="1">
      <c r="B589" s="58" t="s">
        <v>4587</v>
      </c>
      <c r="C589" s="58">
        <v>2022.0</v>
      </c>
      <c r="D589" s="58" t="s">
        <v>6197</v>
      </c>
      <c r="E589" s="58" t="s">
        <v>6198</v>
      </c>
      <c r="F589" s="58" t="s">
        <v>6199</v>
      </c>
      <c r="H589" s="58" t="s">
        <v>5264</v>
      </c>
      <c r="I589" s="58" t="s">
        <v>6200</v>
      </c>
      <c r="K589" s="73">
        <v>44721.0</v>
      </c>
      <c r="Z589" s="58" t="s">
        <v>239</v>
      </c>
      <c r="CH589" s="58" t="s">
        <v>6201</v>
      </c>
      <c r="CI589" s="73">
        <v>44721.0</v>
      </c>
      <c r="CJ589" s="58">
        <v>1.0</v>
      </c>
      <c r="CK589" s="58">
        <v>6.0</v>
      </c>
      <c r="CL589" s="58" t="s">
        <v>6202</v>
      </c>
      <c r="CM589" s="58" t="s">
        <v>6203</v>
      </c>
      <c r="CN589" s="58" t="s">
        <v>6204</v>
      </c>
      <c r="CO589" s="58" t="s">
        <v>6205</v>
      </c>
      <c r="CP589" s="58" t="s">
        <v>6206</v>
      </c>
      <c r="CR589" s="58">
        <v>7.0</v>
      </c>
      <c r="CT589" s="58">
        <v>19.0</v>
      </c>
      <c r="CU589" s="58" t="s">
        <v>239</v>
      </c>
      <c r="DL589" s="58" t="s">
        <v>6207</v>
      </c>
    </row>
    <row r="590" ht="15.75" customHeight="1">
      <c r="B590" s="58" t="s">
        <v>4587</v>
      </c>
      <c r="C590" s="58">
        <v>2017.0</v>
      </c>
      <c r="D590" s="58" t="s">
        <v>6208</v>
      </c>
      <c r="E590" s="58" t="s">
        <v>6209</v>
      </c>
      <c r="F590" s="58" t="s">
        <v>6210</v>
      </c>
      <c r="I590" s="58" t="s">
        <v>6211</v>
      </c>
      <c r="K590" s="73">
        <v>42849.0</v>
      </c>
      <c r="Z590" s="58" t="s">
        <v>239</v>
      </c>
      <c r="CH590" s="58" t="s">
        <v>6212</v>
      </c>
      <c r="CI590" s="73">
        <v>42849.0</v>
      </c>
      <c r="CJ590" s="58">
        <v>1.0</v>
      </c>
      <c r="CK590" s="58">
        <v>8.0</v>
      </c>
      <c r="CL590" s="58" t="s">
        <v>6213</v>
      </c>
      <c r="CM590" s="58" t="s">
        <v>6214</v>
      </c>
      <c r="CO590" s="58" t="s">
        <v>6215</v>
      </c>
      <c r="CP590" s="58" t="s">
        <v>6216</v>
      </c>
      <c r="CR590" s="58">
        <v>7.0</v>
      </c>
      <c r="CT590" s="58">
        <v>15.0</v>
      </c>
      <c r="CU590" s="58" t="s">
        <v>239</v>
      </c>
      <c r="DL590" s="58" t="s">
        <v>6217</v>
      </c>
    </row>
    <row r="591" ht="15.75" customHeight="1">
      <c r="B591" s="58" t="s">
        <v>4587</v>
      </c>
      <c r="C591" s="58">
        <v>2021.0</v>
      </c>
      <c r="D591" s="58" t="s">
        <v>6218</v>
      </c>
      <c r="E591" s="58" t="s">
        <v>6219</v>
      </c>
      <c r="F591" s="58" t="s">
        <v>6052</v>
      </c>
      <c r="I591" s="58" t="s">
        <v>6220</v>
      </c>
      <c r="K591" s="73">
        <v>44553.0</v>
      </c>
      <c r="Z591" s="58" t="s">
        <v>239</v>
      </c>
      <c r="CH591" s="58" t="s">
        <v>6221</v>
      </c>
      <c r="CI591" s="73">
        <v>44553.0</v>
      </c>
      <c r="CJ591" s="58">
        <v>221.0</v>
      </c>
      <c r="CK591" s="58">
        <v>227.0</v>
      </c>
      <c r="CL591" s="58" t="s">
        <v>6222</v>
      </c>
      <c r="CM591" s="58" t="s">
        <v>6056</v>
      </c>
      <c r="CN591" s="58" t="s">
        <v>6223</v>
      </c>
      <c r="CO591" s="58" t="s">
        <v>6224</v>
      </c>
      <c r="CP591" s="58" t="s">
        <v>6225</v>
      </c>
      <c r="CR591" s="58">
        <v>7.0</v>
      </c>
      <c r="CT591" s="58">
        <v>31.0</v>
      </c>
      <c r="CU591" s="58" t="s">
        <v>239</v>
      </c>
      <c r="DL591" s="58" t="s">
        <v>6226</v>
      </c>
    </row>
    <row r="592" ht="15.75" customHeight="1">
      <c r="B592" s="58" t="s">
        <v>4587</v>
      </c>
      <c r="C592" s="58">
        <v>2018.0</v>
      </c>
      <c r="D592" s="58" t="s">
        <v>6227</v>
      </c>
      <c r="E592" s="58" t="s">
        <v>6228</v>
      </c>
      <c r="F592" s="58" t="s">
        <v>6229</v>
      </c>
      <c r="I592" s="58" t="s">
        <v>6230</v>
      </c>
      <c r="K592" s="73">
        <v>43359.0</v>
      </c>
      <c r="Z592" s="58" t="s">
        <v>239</v>
      </c>
      <c r="CH592" s="58" t="s">
        <v>6231</v>
      </c>
      <c r="CI592" s="73">
        <v>43359.0</v>
      </c>
      <c r="CJ592" s="58">
        <v>399.0</v>
      </c>
      <c r="CK592" s="58">
        <v>404.0</v>
      </c>
      <c r="CL592" s="58" t="s">
        <v>6232</v>
      </c>
      <c r="CM592" s="58" t="s">
        <v>6233</v>
      </c>
      <c r="CO592" s="58" t="s">
        <v>6234</v>
      </c>
      <c r="CP592" s="58" t="s">
        <v>6235</v>
      </c>
      <c r="CR592" s="58">
        <v>7.0</v>
      </c>
      <c r="CT592" s="58">
        <v>31.0</v>
      </c>
      <c r="CU592" s="58" t="s">
        <v>239</v>
      </c>
      <c r="DL592" s="58" t="s">
        <v>6236</v>
      </c>
    </row>
    <row r="593" ht="15.75" customHeight="1">
      <c r="B593" s="58" t="s">
        <v>4587</v>
      </c>
      <c r="C593" s="58">
        <v>2021.0</v>
      </c>
      <c r="D593" s="58" t="s">
        <v>6237</v>
      </c>
      <c r="E593" s="58" t="s">
        <v>6238</v>
      </c>
      <c r="F593" s="58" t="s">
        <v>6239</v>
      </c>
      <c r="I593" s="58" t="s">
        <v>6240</v>
      </c>
      <c r="K593" s="73">
        <v>44368.0</v>
      </c>
      <c r="Z593" s="58" t="s">
        <v>239</v>
      </c>
      <c r="CH593" s="58" t="s">
        <v>6241</v>
      </c>
      <c r="CI593" s="73">
        <v>44368.0</v>
      </c>
      <c r="CJ593" s="58">
        <v>45.0</v>
      </c>
      <c r="CK593" s="58">
        <v>52.0</v>
      </c>
      <c r="CL593" s="58" t="s">
        <v>6242</v>
      </c>
      <c r="CM593" s="58" t="s">
        <v>6243</v>
      </c>
      <c r="CO593" s="58" t="s">
        <v>6244</v>
      </c>
      <c r="CP593" s="58" t="s">
        <v>6245</v>
      </c>
      <c r="CR593" s="58">
        <v>7.0</v>
      </c>
      <c r="CT593" s="58">
        <v>22.0</v>
      </c>
      <c r="CU593" s="58" t="s">
        <v>239</v>
      </c>
      <c r="DL593" s="58" t="s">
        <v>6246</v>
      </c>
    </row>
    <row r="594" ht="15.75" customHeight="1">
      <c r="B594" s="58" t="s">
        <v>4587</v>
      </c>
      <c r="C594" s="58">
        <v>2017.0</v>
      </c>
      <c r="D594" s="58" t="s">
        <v>6247</v>
      </c>
      <c r="E594" s="58" t="s">
        <v>6248</v>
      </c>
      <c r="F594" s="58" t="s">
        <v>6249</v>
      </c>
      <c r="I594" s="58" t="s">
        <v>6250</v>
      </c>
      <c r="K594" s="73">
        <v>42964.0</v>
      </c>
      <c r="Z594" s="58" t="s">
        <v>239</v>
      </c>
      <c r="CH594" s="58" t="s">
        <v>6251</v>
      </c>
      <c r="CI594" s="73">
        <v>42964.0</v>
      </c>
      <c r="CJ594" s="58">
        <v>501.0</v>
      </c>
      <c r="CK594" s="58">
        <v>506.0</v>
      </c>
      <c r="CL594" s="58" t="s">
        <v>6252</v>
      </c>
      <c r="CM594" s="58" t="s">
        <v>6253</v>
      </c>
      <c r="CO594" s="58" t="s">
        <v>6254</v>
      </c>
      <c r="CP594" s="58" t="s">
        <v>6255</v>
      </c>
      <c r="CR594" s="58">
        <v>7.0</v>
      </c>
      <c r="CS594" s="58">
        <v>1.0</v>
      </c>
      <c r="CT594" s="58">
        <v>42.0</v>
      </c>
      <c r="CU594" s="58" t="s">
        <v>239</v>
      </c>
      <c r="DL594" s="58" t="s">
        <v>6256</v>
      </c>
    </row>
    <row r="595" ht="15.75" customHeight="1">
      <c r="B595" s="58" t="s">
        <v>4587</v>
      </c>
      <c r="C595" s="58">
        <v>2021.0</v>
      </c>
      <c r="D595" s="58" t="s">
        <v>6257</v>
      </c>
      <c r="E595" s="58" t="s">
        <v>6258</v>
      </c>
      <c r="F595" s="58" t="s">
        <v>6259</v>
      </c>
      <c r="H595" s="58" t="s">
        <v>6260</v>
      </c>
      <c r="I595" s="58" t="s">
        <v>6261</v>
      </c>
      <c r="K595" s="73">
        <v>44238.0</v>
      </c>
      <c r="Z595" s="58" t="s">
        <v>239</v>
      </c>
      <c r="CH595" s="58" t="s">
        <v>6262</v>
      </c>
      <c r="CI595" s="73">
        <v>44238.0</v>
      </c>
      <c r="CJ595" s="58">
        <v>341.0</v>
      </c>
      <c r="CK595" s="58">
        <v>349.0</v>
      </c>
      <c r="CL595" s="58" t="s">
        <v>6263</v>
      </c>
      <c r="CM595" s="58" t="s">
        <v>6264</v>
      </c>
      <c r="CN595" s="58" t="s">
        <v>6265</v>
      </c>
      <c r="CO595" s="58" t="s">
        <v>6266</v>
      </c>
      <c r="CR595" s="58">
        <v>7.0</v>
      </c>
      <c r="CT595" s="58">
        <v>13.0</v>
      </c>
      <c r="DL595" s="58" t="s">
        <v>6267</v>
      </c>
    </row>
    <row r="596" ht="15.75" customHeight="1">
      <c r="B596" s="58" t="s">
        <v>4587</v>
      </c>
      <c r="C596" s="58">
        <v>2022.0</v>
      </c>
      <c r="D596" s="58" t="s">
        <v>6268</v>
      </c>
      <c r="E596" s="58" t="s">
        <v>6269</v>
      </c>
      <c r="F596" s="58" t="s">
        <v>6270</v>
      </c>
      <c r="H596" s="58" t="s">
        <v>5095</v>
      </c>
      <c r="I596" s="58" t="s">
        <v>6271</v>
      </c>
      <c r="K596" s="73">
        <v>44750.0</v>
      </c>
      <c r="Z596" s="58" t="s">
        <v>239</v>
      </c>
      <c r="CH596" s="58" t="s">
        <v>6272</v>
      </c>
      <c r="CI596" s="73">
        <v>44750.0</v>
      </c>
      <c r="CJ596" s="58">
        <v>547.0</v>
      </c>
      <c r="CK596" s="58">
        <v>552.0</v>
      </c>
      <c r="CL596" s="58" t="s">
        <v>6273</v>
      </c>
      <c r="CM596" s="58" t="s">
        <v>6274</v>
      </c>
      <c r="CO596" s="58" t="s">
        <v>6275</v>
      </c>
      <c r="CR596" s="58">
        <v>7.0</v>
      </c>
      <c r="CT596" s="58">
        <v>13.0</v>
      </c>
      <c r="CU596" s="58" t="s">
        <v>239</v>
      </c>
      <c r="DL596" s="58" t="s">
        <v>6276</v>
      </c>
    </row>
    <row r="597" ht="15.75" customHeight="1">
      <c r="B597" s="58" t="s">
        <v>4587</v>
      </c>
      <c r="C597" s="58">
        <v>2020.0</v>
      </c>
      <c r="D597" s="58" t="s">
        <v>6277</v>
      </c>
      <c r="E597" s="58" t="s">
        <v>6278</v>
      </c>
      <c r="F597" s="58" t="s">
        <v>4690</v>
      </c>
      <c r="I597" s="58" t="s">
        <v>6279</v>
      </c>
      <c r="K597" s="73">
        <v>44146.0</v>
      </c>
      <c r="Z597" s="58" t="s">
        <v>239</v>
      </c>
      <c r="CH597" s="58" t="s">
        <v>6280</v>
      </c>
      <c r="CI597" s="73">
        <v>44146.0</v>
      </c>
      <c r="CJ597" s="58">
        <v>852.0</v>
      </c>
      <c r="CK597" s="58">
        <v>867.0</v>
      </c>
      <c r="CL597" s="58" t="s">
        <v>6281</v>
      </c>
      <c r="CM597" s="58" t="s">
        <v>4694</v>
      </c>
      <c r="CO597" s="58" t="s">
        <v>6282</v>
      </c>
      <c r="CP597" s="58" t="s">
        <v>6283</v>
      </c>
      <c r="CR597" s="58">
        <v>7.0</v>
      </c>
      <c r="CT597" s="58">
        <v>101.0</v>
      </c>
      <c r="CU597" s="58" t="s">
        <v>239</v>
      </c>
      <c r="DL597" s="58" t="s">
        <v>6284</v>
      </c>
    </row>
    <row r="598" ht="15.75" customHeight="1">
      <c r="B598" s="58" t="s">
        <v>4587</v>
      </c>
      <c r="C598" s="58">
        <v>2021.0</v>
      </c>
      <c r="D598" s="58" t="s">
        <v>6285</v>
      </c>
      <c r="E598" s="58" t="s">
        <v>6286</v>
      </c>
      <c r="F598" s="58" t="s">
        <v>6287</v>
      </c>
      <c r="I598" s="58" t="s">
        <v>6288</v>
      </c>
      <c r="K598" s="73">
        <v>44551.0</v>
      </c>
      <c r="Z598" s="58" t="s">
        <v>239</v>
      </c>
      <c r="CH598" s="58" t="s">
        <v>6289</v>
      </c>
      <c r="CI598" s="73">
        <v>44551.0</v>
      </c>
      <c r="CJ598" s="58">
        <v>1.0</v>
      </c>
      <c r="CK598" s="58">
        <v>6.0</v>
      </c>
      <c r="CL598" s="58" t="s">
        <v>6290</v>
      </c>
      <c r="CM598" s="58" t="s">
        <v>6291</v>
      </c>
      <c r="CO598" s="58" t="s">
        <v>6292</v>
      </c>
      <c r="CP598" s="58" t="s">
        <v>6293</v>
      </c>
      <c r="CR598" s="58">
        <v>7.0</v>
      </c>
      <c r="CT598" s="58">
        <v>10.0</v>
      </c>
      <c r="CU598" s="58" t="s">
        <v>239</v>
      </c>
      <c r="DL598" s="58" t="s">
        <v>6294</v>
      </c>
    </row>
    <row r="599" ht="15.75" customHeight="1">
      <c r="B599" s="58" t="s">
        <v>4587</v>
      </c>
      <c r="C599" s="58">
        <v>2019.0</v>
      </c>
      <c r="D599" s="58" t="s">
        <v>6295</v>
      </c>
      <c r="E599" s="58" t="s">
        <v>6296</v>
      </c>
      <c r="F599" s="58" t="s">
        <v>6297</v>
      </c>
      <c r="H599" s="58" t="s">
        <v>6298</v>
      </c>
      <c r="I599" s="58" t="s">
        <v>6299</v>
      </c>
      <c r="K599" s="73">
        <v>43783.0</v>
      </c>
      <c r="Z599" s="58" t="s">
        <v>239</v>
      </c>
      <c r="CH599" s="58" t="s">
        <v>6300</v>
      </c>
      <c r="CI599" s="73">
        <v>43783.0</v>
      </c>
      <c r="CJ599" s="58">
        <v>273.0</v>
      </c>
      <c r="CK599" s="58">
        <v>278.0</v>
      </c>
      <c r="CL599" s="58" t="s">
        <v>6301</v>
      </c>
      <c r="CM599" s="58" t="s">
        <v>6302</v>
      </c>
      <c r="CO599" s="58" t="s">
        <v>6303</v>
      </c>
      <c r="CP599" s="58" t="s">
        <v>6304</v>
      </c>
      <c r="CR599" s="58">
        <v>7.0</v>
      </c>
      <c r="CT599" s="58">
        <v>22.0</v>
      </c>
      <c r="CU599" s="58" t="s">
        <v>239</v>
      </c>
    </row>
    <row r="600" ht="15.75" customHeight="1">
      <c r="B600" s="58" t="s">
        <v>4587</v>
      </c>
      <c r="C600" s="58">
        <v>2018.0</v>
      </c>
      <c r="D600" s="58" t="s">
        <v>6305</v>
      </c>
      <c r="E600" s="58" t="s">
        <v>6306</v>
      </c>
      <c r="F600" s="58" t="s">
        <v>6307</v>
      </c>
      <c r="I600" s="58" t="s">
        <v>6308</v>
      </c>
      <c r="K600" s="73">
        <v>43354.0</v>
      </c>
      <c r="Z600" s="58" t="s">
        <v>239</v>
      </c>
      <c r="CH600" s="58" t="s">
        <v>6309</v>
      </c>
      <c r="CI600" s="73">
        <v>43354.0</v>
      </c>
      <c r="CJ600" s="58">
        <v>355.0</v>
      </c>
      <c r="CK600" s="58">
        <v>362.0</v>
      </c>
      <c r="CL600" s="58" t="s">
        <v>6310</v>
      </c>
      <c r="CM600" s="58" t="s">
        <v>6311</v>
      </c>
      <c r="CO600" s="58" t="s">
        <v>6312</v>
      </c>
      <c r="CP600" s="58" t="s">
        <v>6313</v>
      </c>
      <c r="CR600" s="58">
        <v>7.0</v>
      </c>
      <c r="CT600" s="58">
        <v>13.0</v>
      </c>
      <c r="CU600" s="58" t="s">
        <v>239</v>
      </c>
      <c r="DL600" s="58" t="s">
        <v>6314</v>
      </c>
    </row>
    <row r="601" ht="15.75" customHeight="1">
      <c r="B601" s="58" t="s">
        <v>4587</v>
      </c>
      <c r="C601" s="58">
        <v>2019.0</v>
      </c>
      <c r="D601" s="58" t="s">
        <v>6315</v>
      </c>
      <c r="E601" s="58" t="s">
        <v>6316</v>
      </c>
      <c r="F601" s="58" t="s">
        <v>5350</v>
      </c>
      <c r="H601" s="58" t="s">
        <v>5351</v>
      </c>
      <c r="I601" s="58" t="s">
        <v>6317</v>
      </c>
      <c r="K601" s="73">
        <v>43857.0</v>
      </c>
      <c r="Z601" s="58" t="s">
        <v>239</v>
      </c>
      <c r="CH601" s="58" t="s">
        <v>6318</v>
      </c>
      <c r="CI601" s="73">
        <v>43857.0</v>
      </c>
      <c r="CJ601" s="58">
        <v>1.0</v>
      </c>
      <c r="CK601" s="58">
        <v>6.0</v>
      </c>
      <c r="CL601" s="58" t="s">
        <v>6319</v>
      </c>
      <c r="CM601" s="58" t="s">
        <v>5355</v>
      </c>
      <c r="CO601" s="58" t="s">
        <v>6320</v>
      </c>
      <c r="CP601" s="58" t="s">
        <v>6321</v>
      </c>
      <c r="CR601" s="58">
        <v>7.0</v>
      </c>
      <c r="CT601" s="58">
        <v>29.0</v>
      </c>
      <c r="CU601" s="58" t="s">
        <v>239</v>
      </c>
      <c r="DL601" s="58" t="s">
        <v>6322</v>
      </c>
    </row>
    <row r="602" ht="15.75" customHeight="1">
      <c r="B602" s="58" t="s">
        <v>4587</v>
      </c>
      <c r="C602" s="58">
        <v>2021.0</v>
      </c>
      <c r="D602" s="58" t="s">
        <v>6323</v>
      </c>
      <c r="E602" s="58" t="s">
        <v>6324</v>
      </c>
      <c r="F602" s="58" t="s">
        <v>6325</v>
      </c>
      <c r="I602" s="58" t="s">
        <v>6326</v>
      </c>
      <c r="K602" s="73">
        <v>44530.0</v>
      </c>
      <c r="Z602" s="58" t="s">
        <v>239</v>
      </c>
      <c r="CH602" s="58" t="s">
        <v>6327</v>
      </c>
      <c r="CI602" s="73">
        <v>44530.0</v>
      </c>
      <c r="CJ602" s="58">
        <v>1.0</v>
      </c>
      <c r="CK602" s="58">
        <v>4.0</v>
      </c>
      <c r="CL602" s="58" t="s">
        <v>6328</v>
      </c>
      <c r="CM602" s="58" t="s">
        <v>6329</v>
      </c>
      <c r="CO602" s="58" t="s">
        <v>6330</v>
      </c>
      <c r="CP602" s="58" t="s">
        <v>6331</v>
      </c>
      <c r="CR602" s="58">
        <v>7.0</v>
      </c>
      <c r="CT602" s="58">
        <v>30.0</v>
      </c>
      <c r="CU602" s="58" t="s">
        <v>239</v>
      </c>
      <c r="DL602" s="58" t="s">
        <v>6332</v>
      </c>
    </row>
    <row r="603" ht="15.75" customHeight="1">
      <c r="B603" s="58" t="s">
        <v>4587</v>
      </c>
      <c r="C603" s="58">
        <v>2021.0</v>
      </c>
      <c r="D603" s="58" t="s">
        <v>6333</v>
      </c>
      <c r="E603" s="58" t="s">
        <v>6334</v>
      </c>
      <c r="F603" s="58" t="s">
        <v>6335</v>
      </c>
      <c r="I603" s="58" t="s">
        <v>6336</v>
      </c>
      <c r="K603" s="73">
        <v>44608.0</v>
      </c>
      <c r="Z603" s="58" t="s">
        <v>239</v>
      </c>
      <c r="CH603" s="58" t="s">
        <v>6337</v>
      </c>
      <c r="CI603" s="73">
        <v>44608.0</v>
      </c>
      <c r="CJ603" s="58">
        <v>165.0</v>
      </c>
      <c r="CK603" s="58">
        <v>177.0</v>
      </c>
      <c r="CL603" s="58" t="s">
        <v>6338</v>
      </c>
      <c r="CM603" s="58" t="s">
        <v>6339</v>
      </c>
      <c r="CN603" s="58" t="s">
        <v>6340</v>
      </c>
      <c r="CO603" s="58" t="s">
        <v>6341</v>
      </c>
      <c r="CP603" s="58" t="s">
        <v>6342</v>
      </c>
      <c r="CR603" s="58">
        <v>7.0</v>
      </c>
      <c r="CT603" s="58">
        <v>55.0</v>
      </c>
      <c r="DL603" s="58" t="s">
        <v>6343</v>
      </c>
    </row>
    <row r="604" ht="15.75" customHeight="1">
      <c r="B604" s="58" t="s">
        <v>4587</v>
      </c>
      <c r="C604" s="58">
        <v>2018.0</v>
      </c>
      <c r="D604" s="58" t="s">
        <v>6344</v>
      </c>
      <c r="E604" s="58" t="s">
        <v>6345</v>
      </c>
      <c r="F604" s="58" t="s">
        <v>6346</v>
      </c>
      <c r="I604" s="58" t="s">
        <v>6347</v>
      </c>
      <c r="K604" s="73">
        <v>43244.0</v>
      </c>
      <c r="Z604" s="58" t="s">
        <v>239</v>
      </c>
      <c r="CH604" s="58" t="s">
        <v>6348</v>
      </c>
      <c r="CI604" s="73">
        <v>43244.0</v>
      </c>
      <c r="CJ604" s="58">
        <v>1.0</v>
      </c>
      <c r="CK604" s="58">
        <v>8.0</v>
      </c>
      <c r="CL604" s="58" t="s">
        <v>6349</v>
      </c>
      <c r="CM604" s="58" t="s">
        <v>6350</v>
      </c>
      <c r="CO604" s="58" t="s">
        <v>6351</v>
      </c>
      <c r="CP604" s="58" t="s">
        <v>6352</v>
      </c>
      <c r="CR604" s="58">
        <v>7.0</v>
      </c>
      <c r="CT604" s="58">
        <v>18.0</v>
      </c>
      <c r="CU604" s="58" t="s">
        <v>239</v>
      </c>
      <c r="DL604" s="58" t="s">
        <v>6353</v>
      </c>
    </row>
    <row r="605" ht="15.75" customHeight="1">
      <c r="B605" s="58" t="s">
        <v>4587</v>
      </c>
      <c r="C605" s="58">
        <v>2017.0</v>
      </c>
      <c r="D605" s="58" t="s">
        <v>6354</v>
      </c>
      <c r="E605" s="58" t="s">
        <v>6355</v>
      </c>
      <c r="F605" s="58" t="s">
        <v>6356</v>
      </c>
      <c r="H605" s="58" t="s">
        <v>6357</v>
      </c>
      <c r="I605" s="58" t="s">
        <v>6358</v>
      </c>
      <c r="K605" s="73">
        <v>43146.0</v>
      </c>
      <c r="Z605" s="58" t="s">
        <v>239</v>
      </c>
      <c r="CH605" s="58" t="s">
        <v>6359</v>
      </c>
      <c r="CI605" s="73">
        <v>43146.0</v>
      </c>
      <c r="CJ605" s="58">
        <v>1.0</v>
      </c>
      <c r="CK605" s="58">
        <v>5.0</v>
      </c>
      <c r="CL605" s="58" t="s">
        <v>6360</v>
      </c>
      <c r="CM605" s="58" t="s">
        <v>6361</v>
      </c>
      <c r="CO605" s="58" t="s">
        <v>6362</v>
      </c>
      <c r="CP605" s="58" t="s">
        <v>6363</v>
      </c>
      <c r="CR605" s="58">
        <v>7.0</v>
      </c>
      <c r="CT605" s="58">
        <v>38.0</v>
      </c>
      <c r="CU605" s="58" t="s">
        <v>239</v>
      </c>
      <c r="DL605" s="58" t="s">
        <v>6364</v>
      </c>
    </row>
    <row r="606" ht="15.75" customHeight="1">
      <c r="B606" s="58" t="s">
        <v>4587</v>
      </c>
      <c r="C606" s="58">
        <v>2022.0</v>
      </c>
      <c r="D606" s="58" t="s">
        <v>6365</v>
      </c>
      <c r="E606" s="58" t="s">
        <v>6366</v>
      </c>
      <c r="F606" s="58" t="s">
        <v>6367</v>
      </c>
      <c r="H606" s="58" t="s">
        <v>6368</v>
      </c>
      <c r="I606" s="58" t="s">
        <v>6369</v>
      </c>
      <c r="K606" s="73">
        <v>44720.0</v>
      </c>
      <c r="Z606" s="58" t="s">
        <v>239</v>
      </c>
      <c r="CH606" s="58" t="s">
        <v>6370</v>
      </c>
      <c r="CI606" s="73">
        <v>44720.0</v>
      </c>
      <c r="CJ606" s="58">
        <v>285.0</v>
      </c>
      <c r="CK606" s="58">
        <v>292.0</v>
      </c>
      <c r="CL606" s="58" t="s">
        <v>6371</v>
      </c>
      <c r="CM606" s="58" t="s">
        <v>6372</v>
      </c>
      <c r="CN606" s="58" t="s">
        <v>5648</v>
      </c>
      <c r="CO606" s="58" t="s">
        <v>6373</v>
      </c>
      <c r="CP606" s="58" t="s">
        <v>6374</v>
      </c>
      <c r="CR606" s="58">
        <v>6.0</v>
      </c>
      <c r="CT606" s="58">
        <v>21.0</v>
      </c>
      <c r="CU606" s="58" t="s">
        <v>239</v>
      </c>
      <c r="DL606" s="58" t="s">
        <v>6375</v>
      </c>
    </row>
    <row r="607" ht="15.75" customHeight="1">
      <c r="B607" s="58" t="s">
        <v>4587</v>
      </c>
      <c r="C607" s="58">
        <v>2017.0</v>
      </c>
      <c r="D607" s="58" t="s">
        <v>6376</v>
      </c>
      <c r="E607" s="58" t="s">
        <v>6377</v>
      </c>
      <c r="F607" s="58" t="s">
        <v>6378</v>
      </c>
      <c r="I607" s="58" t="s">
        <v>6379</v>
      </c>
      <c r="K607" s="73">
        <v>43069.0</v>
      </c>
      <c r="Z607" s="58" t="s">
        <v>239</v>
      </c>
      <c r="CH607" s="58" t="s">
        <v>6380</v>
      </c>
      <c r="CI607" s="73">
        <v>43069.0</v>
      </c>
      <c r="CJ607" s="58">
        <v>1.0</v>
      </c>
      <c r="CK607" s="58">
        <v>4.0</v>
      </c>
      <c r="CL607" s="58" t="s">
        <v>6381</v>
      </c>
      <c r="CM607" s="58" t="s">
        <v>6382</v>
      </c>
      <c r="CO607" s="58" t="s">
        <v>6383</v>
      </c>
      <c r="CP607" s="58" t="s">
        <v>6384</v>
      </c>
      <c r="CR607" s="58">
        <v>6.0</v>
      </c>
      <c r="CT607" s="58">
        <v>14.0</v>
      </c>
      <c r="CU607" s="58" t="s">
        <v>239</v>
      </c>
      <c r="DL607" s="58" t="s">
        <v>6385</v>
      </c>
    </row>
    <row r="608" ht="15.75" customHeight="1">
      <c r="B608" s="58" t="s">
        <v>4587</v>
      </c>
      <c r="C608" s="58">
        <v>2018.0</v>
      </c>
      <c r="D608" s="58" t="s">
        <v>6386</v>
      </c>
      <c r="E608" s="58" t="s">
        <v>6387</v>
      </c>
      <c r="F608" s="58" t="s">
        <v>6388</v>
      </c>
      <c r="H608" s="58" t="s">
        <v>6389</v>
      </c>
      <c r="I608" s="58" t="s">
        <v>6390</v>
      </c>
      <c r="K608" s="73">
        <v>43506.0</v>
      </c>
      <c r="Z608" s="58" t="s">
        <v>239</v>
      </c>
      <c r="CH608" s="58" t="s">
        <v>6391</v>
      </c>
      <c r="CI608" s="73">
        <v>43506.0</v>
      </c>
      <c r="CJ608" s="58">
        <v>1487.0</v>
      </c>
      <c r="CK608" s="58">
        <v>1492.0</v>
      </c>
      <c r="CL608" s="58" t="s">
        <v>6392</v>
      </c>
      <c r="CM608" s="58" t="s">
        <v>6393</v>
      </c>
      <c r="CO608" s="58" t="s">
        <v>6394</v>
      </c>
      <c r="CP608" s="58" t="s">
        <v>6395</v>
      </c>
      <c r="CR608" s="58">
        <v>6.0</v>
      </c>
      <c r="CT608" s="58">
        <v>19.0</v>
      </c>
      <c r="CU608" s="58" t="s">
        <v>239</v>
      </c>
      <c r="DL608" s="58" t="s">
        <v>6396</v>
      </c>
    </row>
    <row r="609" ht="15.75" customHeight="1">
      <c r="B609" s="58" t="s">
        <v>4587</v>
      </c>
      <c r="C609" s="58">
        <v>2017.0</v>
      </c>
      <c r="D609" s="58" t="s">
        <v>6397</v>
      </c>
      <c r="E609" s="58" t="s">
        <v>6398</v>
      </c>
      <c r="F609" s="58" t="s">
        <v>6399</v>
      </c>
      <c r="H609" s="58" t="s">
        <v>6260</v>
      </c>
      <c r="I609" s="58" t="s">
        <v>6400</v>
      </c>
      <c r="K609" s="73">
        <v>43027.0</v>
      </c>
      <c r="Z609" s="58" t="s">
        <v>239</v>
      </c>
      <c r="CH609" s="58" t="s">
        <v>6401</v>
      </c>
      <c r="CI609" s="73">
        <v>43027.0</v>
      </c>
      <c r="CJ609" s="58">
        <v>309.0</v>
      </c>
      <c r="CK609" s="58">
        <v>315.0</v>
      </c>
      <c r="CL609" s="58" t="s">
        <v>6402</v>
      </c>
      <c r="CM609" s="58" t="s">
        <v>6403</v>
      </c>
      <c r="CO609" s="58" t="s">
        <v>6404</v>
      </c>
      <c r="CR609" s="58">
        <v>6.0</v>
      </c>
      <c r="CT609" s="58">
        <v>44.0</v>
      </c>
      <c r="DL609" s="58" t="s">
        <v>6405</v>
      </c>
    </row>
    <row r="610" ht="15.75" customHeight="1">
      <c r="B610" s="58" t="s">
        <v>4587</v>
      </c>
      <c r="C610" s="58">
        <v>2020.0</v>
      </c>
      <c r="D610" s="58" t="s">
        <v>6406</v>
      </c>
      <c r="E610" s="58" t="s">
        <v>6407</v>
      </c>
      <c r="F610" s="58" t="s">
        <v>6408</v>
      </c>
      <c r="I610" s="58" t="s">
        <v>6409</v>
      </c>
      <c r="K610" s="73">
        <v>43934.0</v>
      </c>
      <c r="Z610" s="58" t="s">
        <v>239</v>
      </c>
      <c r="CH610" s="58" t="s">
        <v>6410</v>
      </c>
      <c r="CI610" s="73">
        <v>43934.0</v>
      </c>
      <c r="CJ610" s="58">
        <v>1.0</v>
      </c>
      <c r="CK610" s="58">
        <v>6.0</v>
      </c>
      <c r="CL610" s="58" t="s">
        <v>6411</v>
      </c>
      <c r="CM610" s="58" t="s">
        <v>6412</v>
      </c>
      <c r="CO610" s="58" t="s">
        <v>6413</v>
      </c>
      <c r="CP610" s="58" t="s">
        <v>6414</v>
      </c>
      <c r="CR610" s="58">
        <v>6.0</v>
      </c>
      <c r="CT610" s="58">
        <v>43.0</v>
      </c>
      <c r="CU610" s="58" t="s">
        <v>239</v>
      </c>
      <c r="DL610" s="58" t="s">
        <v>6415</v>
      </c>
    </row>
    <row r="611" ht="15.75" customHeight="1">
      <c r="B611" s="58" t="s">
        <v>4587</v>
      </c>
      <c r="C611" s="58">
        <v>2021.0</v>
      </c>
      <c r="D611" s="58" t="s">
        <v>6416</v>
      </c>
      <c r="E611" s="58" t="s">
        <v>6417</v>
      </c>
      <c r="F611" s="58" t="s">
        <v>6418</v>
      </c>
      <c r="H611" s="58" t="s">
        <v>5392</v>
      </c>
      <c r="I611" s="58" t="s">
        <v>6419</v>
      </c>
      <c r="K611" s="73">
        <v>44515.0</v>
      </c>
      <c r="Z611" s="58" t="s">
        <v>239</v>
      </c>
      <c r="CH611" s="58" t="s">
        <v>6420</v>
      </c>
      <c r="CI611" s="73">
        <v>44515.0</v>
      </c>
      <c r="CJ611" s="58">
        <v>241.0</v>
      </c>
      <c r="CK611" s="58">
        <v>251.0</v>
      </c>
      <c r="CL611" s="58" t="s">
        <v>6421</v>
      </c>
      <c r="CM611" s="58" t="s">
        <v>6422</v>
      </c>
      <c r="CN611" s="58" t="s">
        <v>6423</v>
      </c>
      <c r="CO611" s="58" t="s">
        <v>6424</v>
      </c>
      <c r="CP611" s="58" t="s">
        <v>6425</v>
      </c>
      <c r="CR611" s="58">
        <v>6.0</v>
      </c>
      <c r="CT611" s="58">
        <v>36.0</v>
      </c>
      <c r="CU611" s="58" t="s">
        <v>239</v>
      </c>
      <c r="DL611" s="58" t="s">
        <v>6426</v>
      </c>
    </row>
    <row r="612" ht="15.75" customHeight="1">
      <c r="B612" s="58" t="s">
        <v>4587</v>
      </c>
      <c r="C612" s="58">
        <v>2019.0</v>
      </c>
      <c r="D612" s="58" t="s">
        <v>6427</v>
      </c>
      <c r="E612" s="58" t="s">
        <v>6428</v>
      </c>
      <c r="F612" s="58" t="s">
        <v>5273</v>
      </c>
      <c r="I612" s="58" t="s">
        <v>6429</v>
      </c>
      <c r="K612" s="73">
        <v>43885.0</v>
      </c>
      <c r="Z612" s="58" t="s">
        <v>239</v>
      </c>
      <c r="CH612" s="58" t="s">
        <v>6430</v>
      </c>
      <c r="CI612" s="73">
        <v>43885.0</v>
      </c>
      <c r="CJ612" s="58">
        <v>3512.0</v>
      </c>
      <c r="CK612" s="58">
        <v>3517.0</v>
      </c>
      <c r="CL612" s="58" t="s">
        <v>6431</v>
      </c>
      <c r="CM612" s="58" t="s">
        <v>5277</v>
      </c>
      <c r="CO612" s="58" t="s">
        <v>6432</v>
      </c>
      <c r="CR612" s="58">
        <v>6.0</v>
      </c>
      <c r="CT612" s="58">
        <v>20.0</v>
      </c>
      <c r="CU612" s="58" t="s">
        <v>239</v>
      </c>
      <c r="DL612" s="58" t="s">
        <v>6433</v>
      </c>
    </row>
    <row r="613" ht="15.75" customHeight="1">
      <c r="B613" s="58" t="s">
        <v>4587</v>
      </c>
      <c r="C613" s="58">
        <v>2019.0</v>
      </c>
      <c r="D613" s="58" t="s">
        <v>6434</v>
      </c>
      <c r="E613" s="58" t="s">
        <v>6435</v>
      </c>
      <c r="F613" s="58" t="s">
        <v>5857</v>
      </c>
      <c r="H613" s="58" t="s">
        <v>5858</v>
      </c>
      <c r="I613" s="58" t="s">
        <v>6436</v>
      </c>
      <c r="K613" s="73">
        <v>43734.0</v>
      </c>
      <c r="Z613" s="58" t="s">
        <v>239</v>
      </c>
      <c r="CH613" s="58" t="s">
        <v>6437</v>
      </c>
      <c r="CI613" s="73">
        <v>43734.0</v>
      </c>
      <c r="CJ613" s="58">
        <v>1.0</v>
      </c>
      <c r="CK613" s="58">
        <v>10.0</v>
      </c>
      <c r="CL613" s="58" t="s">
        <v>6438</v>
      </c>
      <c r="CM613" s="58" t="s">
        <v>5862</v>
      </c>
      <c r="CO613" s="58" t="s">
        <v>6439</v>
      </c>
      <c r="CR613" s="58">
        <v>6.0</v>
      </c>
      <c r="CT613" s="58">
        <v>43.0</v>
      </c>
      <c r="CU613" s="58" t="s">
        <v>239</v>
      </c>
      <c r="DL613" s="58" t="s">
        <v>6440</v>
      </c>
    </row>
    <row r="614" ht="15.75" customHeight="1">
      <c r="B614" s="58" t="s">
        <v>4587</v>
      </c>
      <c r="C614" s="58">
        <v>2021.0</v>
      </c>
      <c r="D614" s="58" t="s">
        <v>6441</v>
      </c>
      <c r="E614" s="58" t="s">
        <v>6442</v>
      </c>
      <c r="F614" s="58" t="s">
        <v>6443</v>
      </c>
      <c r="H614" s="58" t="s">
        <v>6444</v>
      </c>
      <c r="I614" s="58" t="s">
        <v>6445</v>
      </c>
      <c r="K614" s="73">
        <v>44473.0</v>
      </c>
      <c r="Z614" s="58" t="s">
        <v>239</v>
      </c>
      <c r="CH614" s="58" t="s">
        <v>6446</v>
      </c>
      <c r="CI614" s="73">
        <v>44473.0</v>
      </c>
      <c r="CJ614" s="58">
        <v>143.0</v>
      </c>
      <c r="CK614" s="58">
        <v>150.0</v>
      </c>
      <c r="CL614" s="58" t="s">
        <v>6447</v>
      </c>
      <c r="CM614" s="58" t="s">
        <v>6448</v>
      </c>
      <c r="CO614" s="58" t="s">
        <v>6449</v>
      </c>
      <c r="CP614" s="58" t="s">
        <v>6450</v>
      </c>
      <c r="CR614" s="58">
        <v>6.0</v>
      </c>
      <c r="CT614" s="58">
        <v>31.0</v>
      </c>
      <c r="CU614" s="58" t="s">
        <v>239</v>
      </c>
      <c r="DL614" s="58" t="s">
        <v>6451</v>
      </c>
    </row>
    <row r="615" ht="15.75" customHeight="1">
      <c r="B615" s="58" t="s">
        <v>4587</v>
      </c>
      <c r="C615" s="58">
        <v>2019.0</v>
      </c>
      <c r="D615" s="58" t="s">
        <v>6452</v>
      </c>
      <c r="E615" s="58" t="s">
        <v>6453</v>
      </c>
      <c r="F615" s="58" t="s">
        <v>6454</v>
      </c>
      <c r="I615" s="58" t="s">
        <v>6455</v>
      </c>
      <c r="K615" s="73">
        <v>43888.0</v>
      </c>
      <c r="Z615" s="58" t="s">
        <v>239</v>
      </c>
      <c r="CH615" s="58" t="s">
        <v>6456</v>
      </c>
      <c r="CI615" s="73">
        <v>43888.0</v>
      </c>
      <c r="CJ615" s="58">
        <v>228.0</v>
      </c>
      <c r="CK615" s="58">
        <v>235.0</v>
      </c>
      <c r="CL615" s="58" t="s">
        <v>6457</v>
      </c>
      <c r="CM615" s="58" t="s">
        <v>6458</v>
      </c>
      <c r="CO615" s="58" t="s">
        <v>6459</v>
      </c>
      <c r="CP615" s="58" t="s">
        <v>6460</v>
      </c>
      <c r="CR615" s="58">
        <v>6.0</v>
      </c>
      <c r="CT615" s="58">
        <v>36.0</v>
      </c>
      <c r="CU615" s="58" t="s">
        <v>239</v>
      </c>
      <c r="DL615" s="58" t="s">
        <v>6461</v>
      </c>
    </row>
    <row r="616" ht="15.75" customHeight="1">
      <c r="B616" s="58" t="s">
        <v>4587</v>
      </c>
      <c r="C616" s="58">
        <v>2022.0</v>
      </c>
      <c r="D616" s="58" t="s">
        <v>6462</v>
      </c>
      <c r="E616" s="58" t="s">
        <v>6463</v>
      </c>
      <c r="F616" s="58" t="s">
        <v>6464</v>
      </c>
      <c r="I616" s="58" t="s">
        <v>6465</v>
      </c>
      <c r="K616" s="73">
        <v>44664.0</v>
      </c>
      <c r="Z616" s="58" t="s">
        <v>239</v>
      </c>
      <c r="CH616" s="58" t="s">
        <v>6466</v>
      </c>
      <c r="CI616" s="73">
        <v>44664.0</v>
      </c>
      <c r="CJ616" s="58">
        <v>1.0</v>
      </c>
      <c r="CK616" s="58">
        <v>6.0</v>
      </c>
      <c r="CL616" s="58" t="s">
        <v>6467</v>
      </c>
      <c r="CM616" s="58" t="s">
        <v>6468</v>
      </c>
      <c r="CO616" s="58" t="s">
        <v>6469</v>
      </c>
      <c r="CP616" s="58" t="s">
        <v>6470</v>
      </c>
      <c r="CR616" s="58">
        <v>6.0</v>
      </c>
      <c r="CT616" s="58">
        <v>30.0</v>
      </c>
      <c r="CU616" s="58" t="s">
        <v>239</v>
      </c>
      <c r="DL616" s="58" t="s">
        <v>6471</v>
      </c>
    </row>
    <row r="617" ht="15.75" customHeight="1">
      <c r="B617" s="58" t="s">
        <v>4587</v>
      </c>
      <c r="C617" s="58">
        <v>2019.0</v>
      </c>
      <c r="D617" s="58" t="s">
        <v>6472</v>
      </c>
      <c r="E617" s="58" t="s">
        <v>6473</v>
      </c>
      <c r="F617" s="58" t="s">
        <v>6474</v>
      </c>
      <c r="H617" s="58" t="s">
        <v>6475</v>
      </c>
      <c r="I617" s="58" t="s">
        <v>6476</v>
      </c>
      <c r="K617" s="73">
        <v>43727.0</v>
      </c>
      <c r="Z617" s="58" t="s">
        <v>239</v>
      </c>
      <c r="CH617" s="58" t="s">
        <v>6477</v>
      </c>
      <c r="CI617" s="73">
        <v>43727.0</v>
      </c>
      <c r="CJ617" s="58">
        <v>1.0</v>
      </c>
      <c r="CK617" s="58">
        <v>4.0</v>
      </c>
      <c r="CL617" s="58" t="s">
        <v>6478</v>
      </c>
      <c r="CM617" s="58" t="s">
        <v>6479</v>
      </c>
      <c r="CO617" s="58" t="s">
        <v>6480</v>
      </c>
      <c r="CP617" s="58" t="s">
        <v>6481</v>
      </c>
      <c r="CR617" s="58">
        <v>6.0</v>
      </c>
      <c r="CT617" s="58">
        <v>11.0</v>
      </c>
      <c r="CU617" s="58" t="s">
        <v>239</v>
      </c>
      <c r="DL617" s="58" t="s">
        <v>6482</v>
      </c>
    </row>
    <row r="618" ht="15.75" customHeight="1">
      <c r="B618" s="58" t="s">
        <v>4587</v>
      </c>
      <c r="C618" s="58">
        <v>2022.0</v>
      </c>
      <c r="D618" s="58" t="s">
        <v>6483</v>
      </c>
      <c r="E618" s="58" t="s">
        <v>6484</v>
      </c>
      <c r="F618" s="58" t="s">
        <v>6485</v>
      </c>
      <c r="I618" s="58" t="s">
        <v>6486</v>
      </c>
      <c r="K618" s="73">
        <v>44893.0</v>
      </c>
      <c r="Z618" s="58" t="s">
        <v>239</v>
      </c>
      <c r="CH618" s="58" t="s">
        <v>6487</v>
      </c>
      <c r="CI618" s="73">
        <v>44893.0</v>
      </c>
      <c r="CJ618" s="58">
        <v>1.0</v>
      </c>
      <c r="CK618" s="58">
        <v>6.0</v>
      </c>
      <c r="CL618" s="58" t="s">
        <v>6488</v>
      </c>
      <c r="CM618" s="58" t="s">
        <v>6489</v>
      </c>
      <c r="CO618" s="58" t="s">
        <v>6490</v>
      </c>
      <c r="CP618" s="58" t="s">
        <v>6491</v>
      </c>
      <c r="CR618" s="58">
        <v>6.0</v>
      </c>
      <c r="CT618" s="58">
        <v>15.0</v>
      </c>
      <c r="CU618" s="58" t="s">
        <v>239</v>
      </c>
      <c r="DL618" s="58" t="s">
        <v>6492</v>
      </c>
    </row>
    <row r="619" ht="15.75" customHeight="1">
      <c r="B619" s="58" t="s">
        <v>4587</v>
      </c>
      <c r="C619" s="58">
        <v>2020.0</v>
      </c>
      <c r="D619" s="58" t="s">
        <v>6493</v>
      </c>
      <c r="E619" s="58" t="s">
        <v>6494</v>
      </c>
      <c r="F619" s="58" t="s">
        <v>6495</v>
      </c>
      <c r="H619" s="58" t="s">
        <v>5351</v>
      </c>
      <c r="I619" s="58" t="s">
        <v>6496</v>
      </c>
      <c r="K619" s="73">
        <v>44116.0</v>
      </c>
      <c r="Z619" s="58" t="s">
        <v>239</v>
      </c>
      <c r="CH619" s="58" t="s">
        <v>6497</v>
      </c>
      <c r="CI619" s="73">
        <v>44116.0</v>
      </c>
      <c r="CJ619" s="58">
        <v>1.0</v>
      </c>
      <c r="CK619" s="58">
        <v>6.0</v>
      </c>
      <c r="CL619" s="58" t="s">
        <v>6498</v>
      </c>
      <c r="CM619" s="58" t="s">
        <v>6499</v>
      </c>
      <c r="CO619" s="58" t="s">
        <v>6500</v>
      </c>
      <c r="CP619" s="58" t="s">
        <v>6501</v>
      </c>
      <c r="CR619" s="58">
        <v>6.0</v>
      </c>
      <c r="CT619" s="58">
        <v>18.0</v>
      </c>
      <c r="CU619" s="58" t="s">
        <v>239</v>
      </c>
      <c r="DL619" s="58" t="s">
        <v>6502</v>
      </c>
    </row>
    <row r="620" ht="15.75" customHeight="1">
      <c r="B620" s="58" t="s">
        <v>4587</v>
      </c>
      <c r="C620" s="58">
        <v>2020.0</v>
      </c>
      <c r="D620" s="58" t="s">
        <v>6503</v>
      </c>
      <c r="E620" s="58" t="s">
        <v>6504</v>
      </c>
      <c r="F620" s="58" t="s">
        <v>6505</v>
      </c>
      <c r="H620" s="58" t="s">
        <v>6506</v>
      </c>
      <c r="I620" s="58" t="s">
        <v>6507</v>
      </c>
      <c r="K620" s="73">
        <v>44187.0</v>
      </c>
      <c r="Z620" s="58" t="s">
        <v>239</v>
      </c>
      <c r="CH620" s="58" t="s">
        <v>6508</v>
      </c>
      <c r="CI620" s="73">
        <v>44187.0</v>
      </c>
      <c r="CJ620" s="58">
        <v>1.0</v>
      </c>
      <c r="CK620" s="58">
        <v>7.0</v>
      </c>
      <c r="CL620" s="58" t="s">
        <v>6509</v>
      </c>
      <c r="CM620" s="58" t="s">
        <v>6510</v>
      </c>
      <c r="CO620" s="58" t="s">
        <v>6511</v>
      </c>
      <c r="CR620" s="58">
        <v>6.0</v>
      </c>
      <c r="CT620" s="58">
        <v>12.0</v>
      </c>
      <c r="CU620" s="58" t="s">
        <v>239</v>
      </c>
      <c r="DL620" s="58" t="s">
        <v>6512</v>
      </c>
    </row>
    <row r="621" ht="15.75" customHeight="1">
      <c r="B621" s="58" t="s">
        <v>4587</v>
      </c>
      <c r="C621" s="58">
        <v>2020.0</v>
      </c>
      <c r="D621" s="58" t="s">
        <v>6513</v>
      </c>
      <c r="E621" s="58" t="s">
        <v>6514</v>
      </c>
      <c r="F621" s="58" t="s">
        <v>6515</v>
      </c>
      <c r="I621" s="58" t="s">
        <v>6516</v>
      </c>
      <c r="K621" s="73">
        <v>44033.0</v>
      </c>
      <c r="Z621" s="58" t="s">
        <v>239</v>
      </c>
      <c r="CH621" s="58" t="s">
        <v>6517</v>
      </c>
      <c r="CI621" s="73">
        <v>44033.0</v>
      </c>
      <c r="CJ621" s="58">
        <v>70.0</v>
      </c>
      <c r="CK621" s="58">
        <v>77.0</v>
      </c>
      <c r="CL621" s="58" t="s">
        <v>6518</v>
      </c>
      <c r="CM621" s="58" t="s">
        <v>6519</v>
      </c>
      <c r="CO621" s="58" t="s">
        <v>6520</v>
      </c>
      <c r="CP621" s="58" t="s">
        <v>6521</v>
      </c>
      <c r="CR621" s="58">
        <v>6.0</v>
      </c>
      <c r="CT621" s="58">
        <v>28.0</v>
      </c>
      <c r="CU621" s="58" t="s">
        <v>239</v>
      </c>
      <c r="DL621" s="58" t="s">
        <v>6522</v>
      </c>
    </row>
    <row r="622" ht="15.75" customHeight="1">
      <c r="B622" s="58" t="s">
        <v>4587</v>
      </c>
      <c r="C622" s="58">
        <v>2022.0</v>
      </c>
      <c r="D622" s="58" t="s">
        <v>6523</v>
      </c>
      <c r="E622" s="58" t="s">
        <v>6524</v>
      </c>
      <c r="F622" s="58" t="s">
        <v>6525</v>
      </c>
      <c r="I622" s="58" t="s">
        <v>6526</v>
      </c>
      <c r="K622" s="73">
        <v>44834.0</v>
      </c>
      <c r="Z622" s="58" t="s">
        <v>239</v>
      </c>
      <c r="CH622" s="58" t="s">
        <v>6527</v>
      </c>
      <c r="CI622" s="73">
        <v>44834.0</v>
      </c>
      <c r="CJ622" s="58">
        <v>1.0</v>
      </c>
      <c r="CK622" s="58">
        <v>8.0</v>
      </c>
      <c r="CL622" s="58" t="s">
        <v>6528</v>
      </c>
      <c r="CM622" s="58" t="s">
        <v>6529</v>
      </c>
      <c r="CO622" s="58" t="s">
        <v>6530</v>
      </c>
      <c r="CP622" s="58" t="s">
        <v>6531</v>
      </c>
      <c r="CR622" s="58">
        <v>6.0</v>
      </c>
      <c r="CT622" s="58">
        <v>18.0</v>
      </c>
      <c r="CU622" s="58" t="s">
        <v>239</v>
      </c>
      <c r="DL622" s="58" t="s">
        <v>6532</v>
      </c>
    </row>
    <row r="623" ht="15.75" customHeight="1">
      <c r="B623" s="58" t="s">
        <v>4587</v>
      </c>
      <c r="C623" s="58">
        <v>2021.0</v>
      </c>
      <c r="D623" s="58" t="s">
        <v>6533</v>
      </c>
      <c r="E623" s="58" t="s">
        <v>6534</v>
      </c>
      <c r="F623" s="58" t="s">
        <v>6535</v>
      </c>
      <c r="H623" s="58" t="s">
        <v>6536</v>
      </c>
      <c r="I623" s="58" t="s">
        <v>6537</v>
      </c>
      <c r="K623" s="73">
        <v>44392.0</v>
      </c>
      <c r="Z623" s="58" t="s">
        <v>239</v>
      </c>
      <c r="CH623" s="58" t="s">
        <v>6538</v>
      </c>
      <c r="CI623" s="73">
        <v>44392.0</v>
      </c>
      <c r="CJ623" s="58">
        <v>1.0</v>
      </c>
      <c r="CK623" s="58">
        <v>7.0</v>
      </c>
      <c r="CL623" s="58" t="s">
        <v>6539</v>
      </c>
      <c r="CM623" s="58" t="s">
        <v>6540</v>
      </c>
      <c r="CO623" s="58" t="s">
        <v>6541</v>
      </c>
      <c r="CP623" s="58" t="s">
        <v>6542</v>
      </c>
      <c r="CR623" s="58">
        <v>6.0</v>
      </c>
      <c r="CT623" s="58">
        <v>27.0</v>
      </c>
      <c r="CU623" s="58" t="s">
        <v>239</v>
      </c>
      <c r="DL623" s="58" t="s">
        <v>6543</v>
      </c>
    </row>
    <row r="624" ht="15.75" customHeight="1">
      <c r="B624" s="58" t="s">
        <v>4587</v>
      </c>
      <c r="C624" s="58">
        <v>2021.0</v>
      </c>
      <c r="D624" s="58" t="s">
        <v>6544</v>
      </c>
      <c r="E624" s="58" t="s">
        <v>6545</v>
      </c>
      <c r="F624" s="58" t="s">
        <v>5073</v>
      </c>
      <c r="I624" s="58" t="s">
        <v>6546</v>
      </c>
      <c r="K624" s="73">
        <v>44585.0</v>
      </c>
      <c r="Z624" s="58" t="s">
        <v>239</v>
      </c>
      <c r="CH624" s="58" t="s">
        <v>6547</v>
      </c>
      <c r="CI624" s="73">
        <v>44585.0</v>
      </c>
      <c r="CJ624" s="58">
        <v>1.0</v>
      </c>
      <c r="CK624" s="58">
        <v>6.0</v>
      </c>
      <c r="CL624" s="58" t="s">
        <v>6548</v>
      </c>
      <c r="CM624" s="58" t="s">
        <v>5077</v>
      </c>
      <c r="CO624" s="58" t="s">
        <v>6549</v>
      </c>
      <c r="CP624" s="58" t="s">
        <v>6550</v>
      </c>
      <c r="CR624" s="58">
        <v>6.0</v>
      </c>
      <c r="CT624" s="58">
        <v>20.0</v>
      </c>
      <c r="CU624" s="58" t="s">
        <v>239</v>
      </c>
      <c r="DL624" s="58" t="s">
        <v>6551</v>
      </c>
    </row>
    <row r="625" ht="15.75" customHeight="1">
      <c r="B625" s="58" t="s">
        <v>4587</v>
      </c>
      <c r="C625" s="58">
        <v>2020.0</v>
      </c>
      <c r="D625" s="58" t="s">
        <v>6552</v>
      </c>
      <c r="E625" s="58" t="s">
        <v>6553</v>
      </c>
      <c r="F625" s="58" t="s">
        <v>6554</v>
      </c>
      <c r="H625" s="58" t="s">
        <v>6555</v>
      </c>
      <c r="I625" s="58" t="s">
        <v>6556</v>
      </c>
      <c r="K625" s="73">
        <v>44141.0</v>
      </c>
      <c r="Z625" s="58" t="s">
        <v>239</v>
      </c>
      <c r="CH625" s="58" t="s">
        <v>6557</v>
      </c>
      <c r="CI625" s="73">
        <v>44141.0</v>
      </c>
      <c r="CJ625" s="58">
        <v>1825.0</v>
      </c>
      <c r="CK625" s="58">
        <v>1830.0</v>
      </c>
      <c r="CL625" s="58" t="s">
        <v>6558</v>
      </c>
      <c r="CM625" s="58" t="s">
        <v>6559</v>
      </c>
      <c r="CO625" s="58" t="s">
        <v>6560</v>
      </c>
      <c r="CR625" s="58">
        <v>6.0</v>
      </c>
      <c r="CT625" s="58">
        <v>21.0</v>
      </c>
      <c r="DL625" s="58" t="s">
        <v>6561</v>
      </c>
    </row>
    <row r="626" ht="15.75" customHeight="1">
      <c r="B626" s="58" t="s">
        <v>4587</v>
      </c>
      <c r="C626" s="58">
        <v>2022.0</v>
      </c>
      <c r="D626" s="58" t="s">
        <v>6562</v>
      </c>
      <c r="E626" s="58" t="s">
        <v>6563</v>
      </c>
      <c r="F626" s="58" t="s">
        <v>5201</v>
      </c>
      <c r="I626" s="58" t="s">
        <v>6564</v>
      </c>
      <c r="K626" s="73">
        <v>44763.0</v>
      </c>
      <c r="Z626" s="58" t="s">
        <v>239</v>
      </c>
      <c r="CH626" s="58" t="s">
        <v>6565</v>
      </c>
      <c r="CI626" s="73">
        <v>44763.0</v>
      </c>
      <c r="CJ626" s="58">
        <v>1.0</v>
      </c>
      <c r="CK626" s="58">
        <v>8.0</v>
      </c>
      <c r="CL626" s="58" t="s">
        <v>6566</v>
      </c>
      <c r="CM626" s="58" t="s">
        <v>5205</v>
      </c>
      <c r="CN626" s="58" t="s">
        <v>6567</v>
      </c>
      <c r="CO626" s="58" t="s">
        <v>6568</v>
      </c>
      <c r="CP626" s="58" t="s">
        <v>6569</v>
      </c>
      <c r="CR626" s="58">
        <v>6.0</v>
      </c>
      <c r="CT626" s="58">
        <v>34.0</v>
      </c>
      <c r="CU626" s="58" t="s">
        <v>239</v>
      </c>
      <c r="DL626" s="58" t="s">
        <v>6570</v>
      </c>
    </row>
    <row r="627" ht="15.75" customHeight="1">
      <c r="B627" s="58" t="s">
        <v>4587</v>
      </c>
      <c r="C627" s="58">
        <v>2022.0</v>
      </c>
      <c r="D627" s="58" t="s">
        <v>6571</v>
      </c>
      <c r="E627" s="58" t="s">
        <v>6572</v>
      </c>
      <c r="F627" s="58" t="s">
        <v>6573</v>
      </c>
      <c r="H627" s="58" t="s">
        <v>5034</v>
      </c>
      <c r="I627" s="58" t="s">
        <v>6574</v>
      </c>
      <c r="K627" s="73">
        <v>44852.0</v>
      </c>
      <c r="Z627" s="58" t="s">
        <v>239</v>
      </c>
      <c r="CH627" s="58" t="s">
        <v>6575</v>
      </c>
      <c r="CI627" s="73">
        <v>44852.0</v>
      </c>
      <c r="CJ627" s="58">
        <v>58.0</v>
      </c>
      <c r="CK627" s="58">
        <v>70.0</v>
      </c>
      <c r="CL627" s="58" t="s">
        <v>6576</v>
      </c>
      <c r="CM627" s="58" t="s">
        <v>6577</v>
      </c>
      <c r="CN627" s="58" t="s">
        <v>6578</v>
      </c>
      <c r="CO627" s="58" t="s">
        <v>6579</v>
      </c>
      <c r="CP627" s="58" t="s">
        <v>6580</v>
      </c>
      <c r="CR627" s="58">
        <v>6.0</v>
      </c>
      <c r="CT627" s="58">
        <v>42.0</v>
      </c>
      <c r="CU627" s="58" t="s">
        <v>239</v>
      </c>
      <c r="DL627" s="58" t="s">
        <v>6581</v>
      </c>
    </row>
    <row r="628" ht="15.75" customHeight="1">
      <c r="B628" s="58" t="s">
        <v>4587</v>
      </c>
      <c r="C628" s="58">
        <v>2018.0</v>
      </c>
      <c r="D628" s="58" t="s">
        <v>6582</v>
      </c>
      <c r="E628" s="58" t="s">
        <v>6583</v>
      </c>
      <c r="F628" s="58" t="s">
        <v>6584</v>
      </c>
      <c r="H628" s="58" t="s">
        <v>6585</v>
      </c>
      <c r="I628" s="58" t="s">
        <v>6586</v>
      </c>
      <c r="K628" s="73">
        <v>43422.0</v>
      </c>
      <c r="Z628" s="58" t="s">
        <v>239</v>
      </c>
      <c r="CH628" s="58" t="s">
        <v>6587</v>
      </c>
      <c r="CI628" s="73">
        <v>43422.0</v>
      </c>
      <c r="CJ628" s="58">
        <v>334.0</v>
      </c>
      <c r="CK628" s="58">
        <v>340.0</v>
      </c>
      <c r="CL628" s="58" t="s">
        <v>6588</v>
      </c>
      <c r="CM628" s="58" t="s">
        <v>6589</v>
      </c>
      <c r="CO628" s="58" t="s">
        <v>6590</v>
      </c>
      <c r="CR628" s="58">
        <v>6.0</v>
      </c>
      <c r="CT628" s="58">
        <v>41.0</v>
      </c>
      <c r="CU628" s="58" t="s">
        <v>239</v>
      </c>
      <c r="DL628" s="58" t="s">
        <v>6591</v>
      </c>
    </row>
    <row r="629" ht="15.75" customHeight="1">
      <c r="B629" s="58" t="s">
        <v>4587</v>
      </c>
      <c r="C629" s="58">
        <v>2020.0</v>
      </c>
      <c r="D629" s="58" t="s">
        <v>6592</v>
      </c>
      <c r="E629" s="58" t="s">
        <v>6593</v>
      </c>
      <c r="F629" s="58" t="s">
        <v>6594</v>
      </c>
      <c r="H629" s="58" t="s">
        <v>6595</v>
      </c>
      <c r="I629" s="58" t="s">
        <v>6596</v>
      </c>
      <c r="K629" s="73">
        <v>44109.0</v>
      </c>
      <c r="R629" s="58">
        <v>1.0</v>
      </c>
      <c r="Z629" s="58" t="s">
        <v>239</v>
      </c>
      <c r="CH629" s="58" t="s">
        <v>6597</v>
      </c>
      <c r="CI629" s="73">
        <v>44109.0</v>
      </c>
      <c r="CJ629" s="58">
        <v>132.0</v>
      </c>
      <c r="CK629" s="58">
        <v>139.0</v>
      </c>
      <c r="CL629" s="58" t="s">
        <v>6598</v>
      </c>
      <c r="CM629" s="58" t="s">
        <v>6599</v>
      </c>
      <c r="CO629" s="58" t="s">
        <v>6600</v>
      </c>
      <c r="CP629" s="58" t="s">
        <v>6601</v>
      </c>
      <c r="CR629" s="58">
        <v>6.0</v>
      </c>
      <c r="CT629" s="58">
        <v>21.0</v>
      </c>
      <c r="CU629" s="58" t="s">
        <v>239</v>
      </c>
      <c r="DL629" s="58" t="s">
        <v>6602</v>
      </c>
    </row>
    <row r="630" ht="15.75" customHeight="1">
      <c r="B630" s="58" t="s">
        <v>4587</v>
      </c>
      <c r="C630" s="58">
        <v>2019.0</v>
      </c>
      <c r="D630" s="58" t="s">
        <v>6603</v>
      </c>
      <c r="E630" s="58" t="s">
        <v>6604</v>
      </c>
      <c r="F630" s="58" t="s">
        <v>6605</v>
      </c>
      <c r="H630" s="58" t="s">
        <v>6606</v>
      </c>
      <c r="I630" s="58" t="s">
        <v>6607</v>
      </c>
      <c r="K630" s="73">
        <v>43941.0</v>
      </c>
      <c r="Z630" s="58" t="s">
        <v>239</v>
      </c>
      <c r="CH630" s="58" t="s">
        <v>6608</v>
      </c>
      <c r="CI630" s="73">
        <v>43941.0</v>
      </c>
      <c r="CJ630" s="58">
        <v>262.0</v>
      </c>
      <c r="CK630" s="58">
        <v>267.0</v>
      </c>
      <c r="CL630" s="58" t="s">
        <v>6609</v>
      </c>
      <c r="CM630" s="58" t="s">
        <v>6610</v>
      </c>
      <c r="CO630" s="58" t="s">
        <v>6611</v>
      </c>
      <c r="CP630" s="58" t="s">
        <v>6612</v>
      </c>
      <c r="CR630" s="58">
        <v>6.0</v>
      </c>
      <c r="CT630" s="58">
        <v>24.0</v>
      </c>
      <c r="CU630" s="58" t="s">
        <v>239</v>
      </c>
      <c r="DL630" s="58" t="s">
        <v>6613</v>
      </c>
    </row>
    <row r="631" ht="15.75" customHeight="1">
      <c r="B631" s="58" t="s">
        <v>4587</v>
      </c>
      <c r="C631" s="58">
        <v>2018.0</v>
      </c>
      <c r="D631" s="58" t="s">
        <v>6614</v>
      </c>
      <c r="E631" s="58" t="s">
        <v>6615</v>
      </c>
      <c r="F631" s="58" t="s">
        <v>6616</v>
      </c>
      <c r="I631" s="58" t="s">
        <v>6617</v>
      </c>
      <c r="K631" s="73">
        <v>43433.0</v>
      </c>
      <c r="Z631" s="58" t="s">
        <v>239</v>
      </c>
      <c r="CH631" s="58" t="s">
        <v>6618</v>
      </c>
      <c r="CI631" s="73">
        <v>43433.0</v>
      </c>
      <c r="CJ631" s="58">
        <v>1.0</v>
      </c>
      <c r="CK631" s="58">
        <v>7.0</v>
      </c>
      <c r="CL631" s="58" t="s">
        <v>6619</v>
      </c>
      <c r="CM631" s="58" t="s">
        <v>6620</v>
      </c>
      <c r="CO631" s="58" t="s">
        <v>6621</v>
      </c>
      <c r="CP631" s="58" t="s">
        <v>6622</v>
      </c>
      <c r="CR631" s="58">
        <v>6.0</v>
      </c>
      <c r="CT631" s="58">
        <v>12.0</v>
      </c>
      <c r="CU631" s="58" t="s">
        <v>239</v>
      </c>
      <c r="DL631" s="58" t="s">
        <v>6623</v>
      </c>
    </row>
    <row r="632" ht="15.75" customHeight="1">
      <c r="B632" s="58" t="s">
        <v>4587</v>
      </c>
      <c r="C632" s="58">
        <v>2020.0</v>
      </c>
      <c r="D632" s="58" t="s">
        <v>6624</v>
      </c>
      <c r="E632" s="58" t="s">
        <v>6625</v>
      </c>
      <c r="F632" s="58" t="s">
        <v>6626</v>
      </c>
      <c r="H632" s="58" t="s">
        <v>6627</v>
      </c>
      <c r="I632" s="58" t="s">
        <v>6628</v>
      </c>
      <c r="K632" s="73">
        <v>44050.0</v>
      </c>
      <c r="Z632" s="58" t="s">
        <v>239</v>
      </c>
      <c r="CH632" s="58" t="s">
        <v>6629</v>
      </c>
      <c r="CI632" s="73">
        <v>44050.0</v>
      </c>
      <c r="CJ632" s="58">
        <v>365.0</v>
      </c>
      <c r="CK632" s="58">
        <v>370.0</v>
      </c>
      <c r="CL632" s="58" t="s">
        <v>6630</v>
      </c>
      <c r="CM632" s="58" t="s">
        <v>6631</v>
      </c>
      <c r="CO632" s="58" t="s">
        <v>6632</v>
      </c>
      <c r="CP632" s="58" t="s">
        <v>6633</v>
      </c>
      <c r="CR632" s="58">
        <v>6.0</v>
      </c>
      <c r="CT632" s="58">
        <v>21.0</v>
      </c>
      <c r="CU632" s="58" t="s">
        <v>239</v>
      </c>
      <c r="DL632" s="58" t="s">
        <v>6634</v>
      </c>
    </row>
    <row r="633" ht="15.75" customHeight="1">
      <c r="B633" s="58" t="s">
        <v>4587</v>
      </c>
      <c r="C633" s="58">
        <v>2017.0</v>
      </c>
      <c r="D633" s="58" t="s">
        <v>6635</v>
      </c>
      <c r="E633" s="58" t="s">
        <v>6636</v>
      </c>
      <c r="F633" s="58" t="s">
        <v>6637</v>
      </c>
      <c r="H633" s="58" t="s">
        <v>6638</v>
      </c>
      <c r="I633" s="58" t="s">
        <v>6639</v>
      </c>
      <c r="K633" s="73">
        <v>42947.0</v>
      </c>
      <c r="Z633" s="58" t="s">
        <v>239</v>
      </c>
      <c r="CH633" s="58" t="s">
        <v>6640</v>
      </c>
      <c r="CI633" s="73">
        <v>42947.0</v>
      </c>
      <c r="CJ633" s="58">
        <v>1.0</v>
      </c>
      <c r="CK633" s="58">
        <v>6.0</v>
      </c>
      <c r="CL633" s="58" t="s">
        <v>6641</v>
      </c>
      <c r="CM633" s="58" t="s">
        <v>6642</v>
      </c>
      <c r="CO633" s="58" t="s">
        <v>6643</v>
      </c>
      <c r="CR633" s="58">
        <v>6.0</v>
      </c>
      <c r="CT633" s="58">
        <v>18.0</v>
      </c>
      <c r="CU633" s="58" t="s">
        <v>239</v>
      </c>
      <c r="DL633" s="58" t="s">
        <v>6644</v>
      </c>
    </row>
    <row r="634" ht="15.75" customHeight="1">
      <c r="B634" s="58" t="s">
        <v>4587</v>
      </c>
      <c r="C634" s="58">
        <v>2020.0</v>
      </c>
      <c r="D634" s="58" t="s">
        <v>6645</v>
      </c>
      <c r="E634" s="58" t="s">
        <v>6646</v>
      </c>
      <c r="F634" s="58" t="s">
        <v>6647</v>
      </c>
      <c r="H634" s="58" t="s">
        <v>6638</v>
      </c>
      <c r="I634" s="58" t="s">
        <v>6648</v>
      </c>
      <c r="K634" s="73">
        <v>44039.0</v>
      </c>
      <c r="Z634" s="58" t="s">
        <v>239</v>
      </c>
      <c r="CH634" s="58" t="s">
        <v>6649</v>
      </c>
      <c r="CI634" s="73">
        <v>44039.0</v>
      </c>
      <c r="CJ634" s="58">
        <v>1.0</v>
      </c>
      <c r="CK634" s="58">
        <v>6.0</v>
      </c>
      <c r="CL634" s="58" t="s">
        <v>6650</v>
      </c>
      <c r="CM634" s="58" t="s">
        <v>6651</v>
      </c>
      <c r="CO634" s="58" t="s">
        <v>6652</v>
      </c>
      <c r="CP634" s="58" t="s">
        <v>6653</v>
      </c>
      <c r="CR634" s="58">
        <v>6.0</v>
      </c>
      <c r="CT634" s="58">
        <v>23.0</v>
      </c>
      <c r="CU634" s="58" t="s">
        <v>239</v>
      </c>
      <c r="DL634" s="58" t="s">
        <v>6654</v>
      </c>
    </row>
    <row r="635" ht="15.75" customHeight="1">
      <c r="B635" s="58" t="s">
        <v>4587</v>
      </c>
      <c r="C635" s="58">
        <v>2019.0</v>
      </c>
      <c r="D635" s="58" t="s">
        <v>6655</v>
      </c>
      <c r="E635" s="58" t="s">
        <v>6656</v>
      </c>
      <c r="F635" s="58" t="s">
        <v>6657</v>
      </c>
      <c r="I635" s="58" t="s">
        <v>6658</v>
      </c>
      <c r="K635" s="73">
        <v>43671.0</v>
      </c>
      <c r="Z635" s="58" t="s">
        <v>239</v>
      </c>
      <c r="CH635" s="58" t="s">
        <v>6659</v>
      </c>
      <c r="CI635" s="73">
        <v>43671.0</v>
      </c>
      <c r="CJ635" s="58">
        <v>1.0</v>
      </c>
      <c r="CK635" s="58">
        <v>8.0</v>
      </c>
      <c r="CL635" s="58" t="s">
        <v>6660</v>
      </c>
      <c r="CM635" s="58" t="s">
        <v>6661</v>
      </c>
      <c r="CO635" s="58" t="s">
        <v>6662</v>
      </c>
      <c r="CP635" s="58" t="s">
        <v>6663</v>
      </c>
      <c r="CR635" s="58">
        <v>6.0</v>
      </c>
      <c r="CT635" s="58">
        <v>18.0</v>
      </c>
      <c r="CU635" s="58" t="s">
        <v>239</v>
      </c>
      <c r="DL635" s="58" t="s">
        <v>6664</v>
      </c>
    </row>
    <row r="636" ht="15.75" customHeight="1">
      <c r="B636" s="58" t="s">
        <v>4587</v>
      </c>
      <c r="C636" s="58">
        <v>2018.0</v>
      </c>
      <c r="D636" s="58" t="s">
        <v>6665</v>
      </c>
      <c r="E636" s="58" t="s">
        <v>6666</v>
      </c>
      <c r="F636" s="58" t="s">
        <v>5725</v>
      </c>
      <c r="I636" s="58" t="s">
        <v>6667</v>
      </c>
      <c r="K636" s="73">
        <v>43528.0</v>
      </c>
      <c r="Z636" s="58" t="s">
        <v>239</v>
      </c>
      <c r="CH636" s="58" t="s">
        <v>6668</v>
      </c>
      <c r="CI636" s="73">
        <v>43528.0</v>
      </c>
      <c r="CJ636" s="58">
        <v>1.0</v>
      </c>
      <c r="CK636" s="58">
        <v>8.0</v>
      </c>
      <c r="CL636" s="58" t="s">
        <v>6669</v>
      </c>
      <c r="CM636" s="58" t="s">
        <v>5729</v>
      </c>
      <c r="CO636" s="58" t="s">
        <v>6670</v>
      </c>
      <c r="CP636" s="58" t="s">
        <v>6671</v>
      </c>
      <c r="CR636" s="58">
        <v>5.0</v>
      </c>
      <c r="CT636" s="58">
        <v>23.0</v>
      </c>
      <c r="CU636" s="58" t="s">
        <v>239</v>
      </c>
      <c r="DL636" s="58" t="s">
        <v>6672</v>
      </c>
    </row>
    <row r="637" ht="15.75" customHeight="1">
      <c r="B637" s="58" t="s">
        <v>4587</v>
      </c>
      <c r="C637" s="58">
        <v>2021.0</v>
      </c>
      <c r="D637" s="58" t="s">
        <v>6673</v>
      </c>
      <c r="E637" s="58" t="s">
        <v>6674</v>
      </c>
      <c r="F637" s="58" t="s">
        <v>6675</v>
      </c>
      <c r="I637" s="58" t="s">
        <v>6676</v>
      </c>
      <c r="K637" s="73">
        <v>44462.0</v>
      </c>
      <c r="Z637" s="58" t="s">
        <v>239</v>
      </c>
      <c r="CH637" s="58" t="s">
        <v>6677</v>
      </c>
      <c r="CI637" s="73">
        <v>44462.0</v>
      </c>
      <c r="CJ637" s="58">
        <v>1.0</v>
      </c>
      <c r="CK637" s="58">
        <v>6.0</v>
      </c>
      <c r="CL637" s="58" t="s">
        <v>6678</v>
      </c>
      <c r="CM637" s="58" t="s">
        <v>6679</v>
      </c>
      <c r="CO637" s="58" t="s">
        <v>6680</v>
      </c>
      <c r="CP637" s="58" t="s">
        <v>6681</v>
      </c>
      <c r="CR637" s="58">
        <v>5.0</v>
      </c>
      <c r="CT637" s="58">
        <v>23.0</v>
      </c>
      <c r="CU637" s="58" t="s">
        <v>239</v>
      </c>
      <c r="DL637" s="58" t="s">
        <v>6682</v>
      </c>
    </row>
    <row r="638" ht="15.75" customHeight="1">
      <c r="B638" s="58" t="s">
        <v>4587</v>
      </c>
      <c r="C638" s="58">
        <v>2017.0</v>
      </c>
      <c r="D638" s="58" t="s">
        <v>6683</v>
      </c>
      <c r="E638" s="58" t="s">
        <v>6684</v>
      </c>
      <c r="F638" s="58" t="s">
        <v>6685</v>
      </c>
      <c r="H638" s="58" t="s">
        <v>6134</v>
      </c>
      <c r="I638" s="58" t="s">
        <v>6686</v>
      </c>
      <c r="K638" s="73">
        <v>42923.0</v>
      </c>
      <c r="Z638" s="58" t="s">
        <v>239</v>
      </c>
      <c r="CH638" s="58" t="s">
        <v>6687</v>
      </c>
      <c r="CI638" s="73">
        <v>42923.0</v>
      </c>
      <c r="CJ638" s="58">
        <v>708.0</v>
      </c>
      <c r="CK638" s="58">
        <v>714.0</v>
      </c>
      <c r="CL638" s="58" t="s">
        <v>6688</v>
      </c>
      <c r="CM638" s="58" t="s">
        <v>6689</v>
      </c>
      <c r="CO638" s="58" t="s">
        <v>6690</v>
      </c>
      <c r="CP638" s="58" t="s">
        <v>6691</v>
      </c>
      <c r="CR638" s="58">
        <v>5.0</v>
      </c>
      <c r="CT638" s="58">
        <v>25.0</v>
      </c>
      <c r="CU638" s="58" t="s">
        <v>239</v>
      </c>
      <c r="DL638" s="58" t="s">
        <v>6692</v>
      </c>
    </row>
    <row r="639" ht="15.75" customHeight="1">
      <c r="B639" s="58" t="s">
        <v>4587</v>
      </c>
      <c r="C639" s="58">
        <v>2021.0</v>
      </c>
      <c r="D639" s="58" t="s">
        <v>6693</v>
      </c>
      <c r="E639" s="58" t="s">
        <v>6694</v>
      </c>
      <c r="F639" s="58" t="s">
        <v>6695</v>
      </c>
      <c r="I639" s="58" t="s">
        <v>6696</v>
      </c>
      <c r="K639" s="73">
        <v>44559.0</v>
      </c>
      <c r="Z639" s="58" t="s">
        <v>239</v>
      </c>
      <c r="CH639" s="58" t="s">
        <v>6697</v>
      </c>
      <c r="CI639" s="73">
        <v>44559.0</v>
      </c>
      <c r="CJ639" s="58">
        <v>1.0</v>
      </c>
      <c r="CK639" s="58">
        <v>4.0</v>
      </c>
      <c r="CL639" s="58" t="s">
        <v>6698</v>
      </c>
      <c r="CM639" s="58" t="s">
        <v>6699</v>
      </c>
      <c r="CO639" s="58" t="s">
        <v>6700</v>
      </c>
      <c r="CP639" s="58" t="s">
        <v>6701</v>
      </c>
      <c r="CR639" s="58">
        <v>5.0</v>
      </c>
      <c r="CT639" s="58">
        <v>24.0</v>
      </c>
      <c r="CU639" s="58" t="s">
        <v>239</v>
      </c>
      <c r="DL639" s="58" t="s">
        <v>6702</v>
      </c>
    </row>
    <row r="640" ht="15.75" customHeight="1">
      <c r="B640" s="58" t="s">
        <v>4587</v>
      </c>
      <c r="C640" s="58">
        <v>2020.0</v>
      </c>
      <c r="D640" s="58" t="s">
        <v>6703</v>
      </c>
      <c r="E640" s="58" t="s">
        <v>6704</v>
      </c>
      <c r="F640" s="58" t="s">
        <v>6705</v>
      </c>
      <c r="I640" s="58" t="s">
        <v>6706</v>
      </c>
      <c r="K640" s="73">
        <v>44158.0</v>
      </c>
      <c r="Z640" s="58" t="s">
        <v>239</v>
      </c>
      <c r="CH640" s="58" t="s">
        <v>6707</v>
      </c>
      <c r="CI640" s="73">
        <v>44158.0</v>
      </c>
      <c r="CJ640" s="58">
        <v>1.0</v>
      </c>
      <c r="CK640" s="58">
        <v>5.0</v>
      </c>
      <c r="CL640" s="58" t="s">
        <v>6708</v>
      </c>
      <c r="CM640" s="58" t="s">
        <v>6709</v>
      </c>
      <c r="CO640" s="58" t="s">
        <v>6710</v>
      </c>
      <c r="CP640" s="58" t="s">
        <v>6711</v>
      </c>
      <c r="CR640" s="58">
        <v>5.0</v>
      </c>
      <c r="CT640" s="58">
        <v>19.0</v>
      </c>
      <c r="CU640" s="58" t="s">
        <v>239</v>
      </c>
      <c r="DL640" s="58" t="s">
        <v>6712</v>
      </c>
    </row>
    <row r="641" ht="15.75" customHeight="1">
      <c r="B641" s="58" t="s">
        <v>4587</v>
      </c>
      <c r="C641" s="58">
        <v>2020.0</v>
      </c>
      <c r="D641" s="58" t="s">
        <v>6713</v>
      </c>
      <c r="E641" s="58" t="s">
        <v>6714</v>
      </c>
      <c r="F641" s="58" t="s">
        <v>6715</v>
      </c>
      <c r="I641" s="58" t="s">
        <v>6716</v>
      </c>
      <c r="K641" s="73">
        <v>43965.0</v>
      </c>
      <c r="Z641" s="58" t="s">
        <v>239</v>
      </c>
      <c r="CH641" s="58" t="s">
        <v>6717</v>
      </c>
      <c r="CI641" s="73">
        <v>43965.0</v>
      </c>
      <c r="CJ641" s="58">
        <v>536.0</v>
      </c>
      <c r="CK641" s="58">
        <v>542.0</v>
      </c>
      <c r="CL641" s="58" t="s">
        <v>6718</v>
      </c>
      <c r="CM641" s="58" t="s">
        <v>6719</v>
      </c>
      <c r="CO641" s="58" t="s">
        <v>6720</v>
      </c>
      <c r="CP641" s="58" t="s">
        <v>6721</v>
      </c>
      <c r="CR641" s="58">
        <v>5.0</v>
      </c>
      <c r="CT641" s="58">
        <v>30.0</v>
      </c>
      <c r="CU641" s="58" t="s">
        <v>239</v>
      </c>
      <c r="DL641" s="58" t="s">
        <v>6722</v>
      </c>
    </row>
    <row r="642" ht="15.75" customHeight="1">
      <c r="B642" s="58" t="s">
        <v>4587</v>
      </c>
      <c r="C642" s="58">
        <v>2022.0</v>
      </c>
      <c r="D642" s="58" t="s">
        <v>6723</v>
      </c>
      <c r="E642" s="58" t="s">
        <v>6724</v>
      </c>
      <c r="F642" s="58" t="s">
        <v>6725</v>
      </c>
      <c r="H642" s="58" t="s">
        <v>6726</v>
      </c>
      <c r="I642" s="58" t="s">
        <v>6727</v>
      </c>
      <c r="K642" s="73">
        <v>44993.0</v>
      </c>
      <c r="Z642" s="58" t="s">
        <v>239</v>
      </c>
      <c r="CH642" s="58" t="s">
        <v>6728</v>
      </c>
      <c r="CI642" s="73">
        <v>44993.0</v>
      </c>
      <c r="CJ642" s="58">
        <v>320.0</v>
      </c>
      <c r="CK642" s="58">
        <v>327.0</v>
      </c>
      <c r="CL642" s="58" t="s">
        <v>6729</v>
      </c>
      <c r="CM642" s="58" t="s">
        <v>6730</v>
      </c>
      <c r="CO642" s="58" t="s">
        <v>6731</v>
      </c>
      <c r="CP642" s="58" t="s">
        <v>6732</v>
      </c>
      <c r="CR642" s="58">
        <v>5.0</v>
      </c>
      <c r="CT642" s="58">
        <v>21.0</v>
      </c>
      <c r="CU642" s="58" t="s">
        <v>239</v>
      </c>
      <c r="DL642" s="58" t="s">
        <v>6733</v>
      </c>
    </row>
    <row r="643" ht="15.75" customHeight="1">
      <c r="B643" s="58" t="s">
        <v>4587</v>
      </c>
      <c r="C643" s="58">
        <v>2020.0</v>
      </c>
      <c r="D643" s="58" t="s">
        <v>6734</v>
      </c>
      <c r="E643" s="58" t="s">
        <v>6735</v>
      </c>
      <c r="F643" s="58" t="s">
        <v>6736</v>
      </c>
      <c r="H643" s="58" t="s">
        <v>6357</v>
      </c>
      <c r="I643" s="58" t="s">
        <v>6737</v>
      </c>
      <c r="K643" s="73">
        <v>44112.0</v>
      </c>
      <c r="Z643" s="58" t="s">
        <v>239</v>
      </c>
      <c r="CH643" s="58" t="s">
        <v>6738</v>
      </c>
      <c r="CI643" s="73">
        <v>44112.0</v>
      </c>
      <c r="CJ643" s="58">
        <v>1.0</v>
      </c>
      <c r="CK643" s="58">
        <v>7.0</v>
      </c>
      <c r="CL643" s="58" t="s">
        <v>6739</v>
      </c>
      <c r="CM643" s="58" t="s">
        <v>6740</v>
      </c>
      <c r="CO643" s="58" t="s">
        <v>6741</v>
      </c>
      <c r="CR643" s="58">
        <v>5.0</v>
      </c>
      <c r="CT643" s="58">
        <v>17.0</v>
      </c>
      <c r="CU643" s="58" t="s">
        <v>239</v>
      </c>
      <c r="DL643" s="58" t="s">
        <v>6742</v>
      </c>
    </row>
    <row r="644" ht="15.75" customHeight="1">
      <c r="B644" s="58" t="s">
        <v>4587</v>
      </c>
      <c r="C644" s="58">
        <v>2021.0</v>
      </c>
      <c r="D644" s="58" t="s">
        <v>6743</v>
      </c>
      <c r="E644" s="58" t="s">
        <v>6744</v>
      </c>
      <c r="F644" s="58" t="s">
        <v>6745</v>
      </c>
      <c r="H644" s="58" t="s">
        <v>6746</v>
      </c>
      <c r="I644" s="58" t="s">
        <v>6747</v>
      </c>
      <c r="K644" s="73">
        <v>44284.0</v>
      </c>
      <c r="Z644" s="58" t="s">
        <v>239</v>
      </c>
      <c r="CH644" s="58" t="s">
        <v>6748</v>
      </c>
      <c r="CI644" s="73">
        <v>44284.0</v>
      </c>
      <c r="CJ644" s="58">
        <v>137.0</v>
      </c>
      <c r="CK644" s="58">
        <v>139.0</v>
      </c>
      <c r="CL644" s="58" t="s">
        <v>6749</v>
      </c>
      <c r="CM644" s="58" t="s">
        <v>6750</v>
      </c>
      <c r="CO644" s="58" t="s">
        <v>6751</v>
      </c>
      <c r="CP644" s="58" t="s">
        <v>6752</v>
      </c>
      <c r="CR644" s="58">
        <v>5.0</v>
      </c>
      <c r="CT644" s="58">
        <v>10.0</v>
      </c>
      <c r="CU644" s="58" t="s">
        <v>239</v>
      </c>
      <c r="DL644" s="58" t="s">
        <v>6753</v>
      </c>
    </row>
    <row r="645" ht="15.75" customHeight="1">
      <c r="B645" s="58" t="s">
        <v>4587</v>
      </c>
      <c r="C645" s="58">
        <v>2021.0</v>
      </c>
      <c r="D645" s="58" t="s">
        <v>6754</v>
      </c>
      <c r="E645" s="58" t="s">
        <v>6755</v>
      </c>
      <c r="F645" s="58" t="s">
        <v>6756</v>
      </c>
      <c r="I645" s="58" t="s">
        <v>6757</v>
      </c>
      <c r="K645" s="73">
        <v>44665.0</v>
      </c>
      <c r="Z645" s="58" t="s">
        <v>239</v>
      </c>
      <c r="CH645" s="58" t="s">
        <v>6758</v>
      </c>
      <c r="CI645" s="73">
        <v>44665.0</v>
      </c>
      <c r="CJ645" s="58">
        <v>367.0</v>
      </c>
      <c r="CK645" s="58">
        <v>370.0</v>
      </c>
      <c r="CL645" s="58" t="s">
        <v>6759</v>
      </c>
      <c r="CM645" s="58" t="s">
        <v>6760</v>
      </c>
      <c r="CO645" s="58" t="s">
        <v>6761</v>
      </c>
      <c r="CP645" s="58" t="s">
        <v>6762</v>
      </c>
      <c r="CR645" s="58">
        <v>5.0</v>
      </c>
      <c r="CT645" s="58">
        <v>14.0</v>
      </c>
      <c r="CU645" s="58" t="s">
        <v>239</v>
      </c>
      <c r="DL645" s="58" t="s">
        <v>6763</v>
      </c>
    </row>
    <row r="646" ht="15.75" customHeight="1">
      <c r="B646" s="58" t="s">
        <v>4587</v>
      </c>
      <c r="C646" s="58">
        <v>2022.0</v>
      </c>
      <c r="D646" s="58" t="s">
        <v>6764</v>
      </c>
      <c r="E646" s="58" t="s">
        <v>6765</v>
      </c>
      <c r="F646" s="58" t="s">
        <v>5784</v>
      </c>
      <c r="H646" s="58" t="s">
        <v>4901</v>
      </c>
      <c r="I646" s="58" t="s">
        <v>6766</v>
      </c>
      <c r="K646" s="73">
        <v>44847.0</v>
      </c>
      <c r="Z646" s="58" t="s">
        <v>239</v>
      </c>
      <c r="CH646" s="58" t="s">
        <v>6767</v>
      </c>
      <c r="CI646" s="73">
        <v>44847.0</v>
      </c>
      <c r="CJ646" s="58">
        <v>133.0</v>
      </c>
      <c r="CK646" s="58">
        <v>140.0</v>
      </c>
      <c r="CL646" s="58" t="s">
        <v>6768</v>
      </c>
      <c r="CM646" s="58" t="s">
        <v>5788</v>
      </c>
      <c r="CO646" s="58" t="s">
        <v>6769</v>
      </c>
      <c r="CP646" s="58" t="s">
        <v>6770</v>
      </c>
      <c r="CR646" s="58">
        <v>5.0</v>
      </c>
      <c r="CT646" s="58">
        <v>57.0</v>
      </c>
      <c r="CU646" s="58" t="s">
        <v>239</v>
      </c>
      <c r="DL646" s="58" t="s">
        <v>6771</v>
      </c>
    </row>
    <row r="647" ht="15.75" customHeight="1">
      <c r="B647" s="58" t="s">
        <v>4587</v>
      </c>
      <c r="C647" s="58">
        <v>2020.0</v>
      </c>
      <c r="D647" s="58" t="s">
        <v>6772</v>
      </c>
      <c r="E647" s="58" t="s">
        <v>6773</v>
      </c>
      <c r="F647" s="58" t="s">
        <v>6774</v>
      </c>
      <c r="H647" s="58" t="s">
        <v>5795</v>
      </c>
      <c r="I647" s="58" t="s">
        <v>6775</v>
      </c>
      <c r="K647" s="73">
        <v>44242.0</v>
      </c>
      <c r="Z647" s="58" t="s">
        <v>239</v>
      </c>
      <c r="CH647" s="58" t="s">
        <v>6776</v>
      </c>
      <c r="CI647" s="73">
        <v>44242.0</v>
      </c>
      <c r="CJ647" s="58">
        <v>1.0</v>
      </c>
      <c r="CK647" s="58">
        <v>5.0</v>
      </c>
      <c r="CL647" s="58" t="s">
        <v>6777</v>
      </c>
      <c r="CM647" s="58" t="s">
        <v>6778</v>
      </c>
      <c r="CO647" s="58" t="s">
        <v>6779</v>
      </c>
      <c r="CP647" s="58" t="s">
        <v>6780</v>
      </c>
      <c r="CR647" s="58">
        <v>5.0</v>
      </c>
      <c r="CT647" s="58">
        <v>20.0</v>
      </c>
      <c r="CU647" s="58" t="s">
        <v>239</v>
      </c>
      <c r="DL647" s="58" t="s">
        <v>6781</v>
      </c>
    </row>
    <row r="648" ht="15.75" customHeight="1">
      <c r="B648" s="58" t="s">
        <v>4587</v>
      </c>
      <c r="C648" s="58">
        <v>2017.0</v>
      </c>
      <c r="D648" s="58" t="s">
        <v>6782</v>
      </c>
      <c r="E648" s="58" t="s">
        <v>6783</v>
      </c>
      <c r="F648" s="58" t="s">
        <v>6784</v>
      </c>
      <c r="I648" s="58" t="s">
        <v>6785</v>
      </c>
      <c r="K648" s="73">
        <v>43097.0</v>
      </c>
      <c r="Z648" s="58" t="s">
        <v>239</v>
      </c>
      <c r="CH648" s="58" t="s">
        <v>6786</v>
      </c>
      <c r="CI648" s="73">
        <v>43097.0</v>
      </c>
      <c r="CJ648" s="58">
        <v>1.0</v>
      </c>
      <c r="CK648" s="58">
        <v>6.0</v>
      </c>
      <c r="CL648" s="58" t="s">
        <v>6787</v>
      </c>
      <c r="CM648" s="58" t="s">
        <v>6788</v>
      </c>
      <c r="CO648" s="58" t="s">
        <v>6789</v>
      </c>
      <c r="CR648" s="58">
        <v>5.0</v>
      </c>
      <c r="CT648" s="58">
        <v>19.0</v>
      </c>
      <c r="CU648" s="58" t="s">
        <v>239</v>
      </c>
      <c r="DL648" s="58" t="s">
        <v>6790</v>
      </c>
    </row>
    <row r="649" ht="15.75" customHeight="1">
      <c r="B649" s="58" t="s">
        <v>4587</v>
      </c>
      <c r="C649" s="58">
        <v>2018.0</v>
      </c>
      <c r="D649" s="58" t="s">
        <v>6791</v>
      </c>
      <c r="E649" s="58" t="s">
        <v>6792</v>
      </c>
      <c r="F649" s="58" t="s">
        <v>6793</v>
      </c>
      <c r="I649" s="58" t="s">
        <v>6794</v>
      </c>
      <c r="K649" s="73">
        <v>43251.0</v>
      </c>
      <c r="Z649" s="58" t="s">
        <v>239</v>
      </c>
      <c r="CH649" s="58" t="s">
        <v>6795</v>
      </c>
      <c r="CI649" s="73">
        <v>43251.0</v>
      </c>
      <c r="CJ649" s="58">
        <v>50.0</v>
      </c>
      <c r="CK649" s="58">
        <v>57.0</v>
      </c>
      <c r="CL649" s="58" t="s">
        <v>6796</v>
      </c>
      <c r="CM649" s="58" t="s">
        <v>6797</v>
      </c>
      <c r="CO649" s="58" t="s">
        <v>6798</v>
      </c>
      <c r="CP649" s="58" t="s">
        <v>6799</v>
      </c>
      <c r="CR649" s="58">
        <v>5.0</v>
      </c>
      <c r="CT649" s="58">
        <v>43.0</v>
      </c>
      <c r="CU649" s="58" t="s">
        <v>239</v>
      </c>
      <c r="DL649" s="58" t="s">
        <v>6800</v>
      </c>
    </row>
    <row r="650" ht="15.75" customHeight="1">
      <c r="B650" s="58" t="s">
        <v>4587</v>
      </c>
      <c r="C650" s="58">
        <v>2022.0</v>
      </c>
      <c r="D650" s="58" t="s">
        <v>6801</v>
      </c>
      <c r="E650" s="58" t="s">
        <v>6802</v>
      </c>
      <c r="F650" s="58" t="s">
        <v>4701</v>
      </c>
      <c r="I650" s="58" t="s">
        <v>6803</v>
      </c>
      <c r="K650" s="73">
        <v>44938.0</v>
      </c>
      <c r="Z650" s="58" t="s">
        <v>239</v>
      </c>
      <c r="CH650" s="58" t="s">
        <v>6804</v>
      </c>
      <c r="CI650" s="73">
        <v>44938.0</v>
      </c>
      <c r="CJ650" s="58">
        <v>674.0</v>
      </c>
      <c r="CK650" s="58">
        <v>679.0</v>
      </c>
      <c r="CL650" s="58" t="s">
        <v>6805</v>
      </c>
      <c r="CM650" s="58" t="s">
        <v>4705</v>
      </c>
      <c r="CO650" s="58" t="s">
        <v>6806</v>
      </c>
      <c r="CP650" s="58" t="s">
        <v>6807</v>
      </c>
      <c r="CR650" s="58">
        <v>5.0</v>
      </c>
      <c r="CT650" s="58">
        <v>25.0</v>
      </c>
      <c r="CU650" s="58" t="s">
        <v>239</v>
      </c>
      <c r="DL650" s="58" t="s">
        <v>6808</v>
      </c>
    </row>
    <row r="651" ht="15.75" customHeight="1">
      <c r="B651" s="58" t="s">
        <v>4587</v>
      </c>
      <c r="C651" s="58">
        <v>2017.0</v>
      </c>
      <c r="D651" s="58" t="s">
        <v>6809</v>
      </c>
      <c r="E651" s="58" t="s">
        <v>6810</v>
      </c>
      <c r="F651" s="58" t="s">
        <v>6811</v>
      </c>
      <c r="I651" s="58" t="s">
        <v>6812</v>
      </c>
      <c r="K651" s="73">
        <v>43216.0</v>
      </c>
      <c r="Z651" s="58" t="s">
        <v>239</v>
      </c>
      <c r="CH651" s="58" t="s">
        <v>6813</v>
      </c>
      <c r="CI651" s="73">
        <v>43216.0</v>
      </c>
      <c r="CJ651" s="58">
        <v>1.0</v>
      </c>
      <c r="CK651" s="58">
        <v>3.0</v>
      </c>
      <c r="CL651" s="58" t="s">
        <v>6814</v>
      </c>
      <c r="CM651" s="58" t="s">
        <v>6815</v>
      </c>
      <c r="CO651" s="58" t="s">
        <v>6816</v>
      </c>
      <c r="CR651" s="58">
        <v>5.0</v>
      </c>
      <c r="CT651" s="58">
        <v>8.0</v>
      </c>
      <c r="CU651" s="58" t="s">
        <v>239</v>
      </c>
      <c r="DL651" s="58" t="s">
        <v>6817</v>
      </c>
    </row>
    <row r="652" ht="15.75" customHeight="1">
      <c r="B652" s="58" t="s">
        <v>4587</v>
      </c>
      <c r="C652" s="58">
        <v>2021.0</v>
      </c>
      <c r="D652" s="58" t="s">
        <v>6818</v>
      </c>
      <c r="E652" s="58" t="s">
        <v>6819</v>
      </c>
      <c r="F652" s="58" t="s">
        <v>6820</v>
      </c>
      <c r="I652" s="58" t="s">
        <v>6821</v>
      </c>
      <c r="K652" s="73">
        <v>44522.0</v>
      </c>
      <c r="Z652" s="58" t="s">
        <v>239</v>
      </c>
      <c r="CH652" s="58" t="s">
        <v>6565</v>
      </c>
      <c r="CI652" s="73">
        <v>44522.0</v>
      </c>
      <c r="CJ652" s="58">
        <v>1.0</v>
      </c>
      <c r="CK652" s="58">
        <v>4.0</v>
      </c>
      <c r="CL652" s="58" t="s">
        <v>6822</v>
      </c>
      <c r="CM652" s="58" t="s">
        <v>6823</v>
      </c>
      <c r="CN652" s="58" t="s">
        <v>6567</v>
      </c>
      <c r="CO652" s="58" t="s">
        <v>6824</v>
      </c>
      <c r="CP652" s="58" t="s">
        <v>6825</v>
      </c>
      <c r="CR652" s="58">
        <v>5.0</v>
      </c>
      <c r="CT652" s="58">
        <v>17.0</v>
      </c>
      <c r="CU652" s="58" t="s">
        <v>239</v>
      </c>
      <c r="DL652" s="58" t="s">
        <v>6826</v>
      </c>
    </row>
    <row r="653" ht="15.75" customHeight="1">
      <c r="B653" s="58" t="s">
        <v>4587</v>
      </c>
      <c r="C653" s="58">
        <v>2022.0</v>
      </c>
      <c r="D653" s="58" t="s">
        <v>6827</v>
      </c>
      <c r="E653" s="58" t="s">
        <v>6828</v>
      </c>
      <c r="F653" s="58" t="s">
        <v>6829</v>
      </c>
      <c r="I653" s="58" t="s">
        <v>6830</v>
      </c>
      <c r="K653" s="73">
        <v>44896.0</v>
      </c>
      <c r="Z653" s="58" t="s">
        <v>239</v>
      </c>
      <c r="CH653" s="58" t="s">
        <v>6831</v>
      </c>
      <c r="CI653" s="73">
        <v>44896.0</v>
      </c>
      <c r="CJ653" s="58">
        <v>90.0</v>
      </c>
      <c r="CK653" s="58">
        <v>95.0</v>
      </c>
      <c r="CL653" s="58" t="s">
        <v>6832</v>
      </c>
      <c r="CM653" s="58" t="s">
        <v>6833</v>
      </c>
      <c r="CN653" s="58" t="s">
        <v>6834</v>
      </c>
      <c r="CO653" s="58" t="s">
        <v>6835</v>
      </c>
      <c r="CR653" s="58">
        <v>5.0</v>
      </c>
      <c r="CT653" s="58">
        <v>14.0</v>
      </c>
      <c r="CU653" s="58" t="s">
        <v>239</v>
      </c>
      <c r="DL653" s="58" t="s">
        <v>6836</v>
      </c>
    </row>
    <row r="654" ht="15.75" customHeight="1">
      <c r="B654" s="58" t="s">
        <v>4587</v>
      </c>
      <c r="C654" s="58">
        <v>2017.0</v>
      </c>
      <c r="D654" s="58" t="s">
        <v>6837</v>
      </c>
      <c r="E654" s="58" t="s">
        <v>6838</v>
      </c>
      <c r="F654" s="58" t="s">
        <v>6839</v>
      </c>
      <c r="I654" s="58" t="s">
        <v>6840</v>
      </c>
      <c r="K654" s="73">
        <v>43069.0</v>
      </c>
      <c r="Z654" s="58" t="s">
        <v>239</v>
      </c>
      <c r="CH654" s="58" t="s">
        <v>6841</v>
      </c>
      <c r="CI654" s="73">
        <v>43069.0</v>
      </c>
      <c r="CJ654" s="58">
        <v>291.0</v>
      </c>
      <c r="CK654" s="58">
        <v>298.0</v>
      </c>
      <c r="CL654" s="58" t="s">
        <v>6842</v>
      </c>
      <c r="CM654" s="58" t="s">
        <v>6843</v>
      </c>
      <c r="CO654" s="58" t="s">
        <v>6844</v>
      </c>
      <c r="CP654" s="58" t="s">
        <v>6845</v>
      </c>
      <c r="CR654" s="58">
        <v>5.0</v>
      </c>
      <c r="CT654" s="58">
        <v>15.0</v>
      </c>
      <c r="CU654" s="58" t="s">
        <v>239</v>
      </c>
      <c r="DL654" s="58" t="s">
        <v>6846</v>
      </c>
    </row>
    <row r="655" ht="15.75" customHeight="1">
      <c r="B655" s="58" t="s">
        <v>4587</v>
      </c>
      <c r="C655" s="58">
        <v>2021.0</v>
      </c>
      <c r="D655" s="58" t="s">
        <v>6847</v>
      </c>
      <c r="E655" s="58" t="s">
        <v>6848</v>
      </c>
      <c r="F655" s="58" t="s">
        <v>6849</v>
      </c>
      <c r="H655" s="58" t="s">
        <v>6850</v>
      </c>
      <c r="I655" s="58" t="s">
        <v>6851</v>
      </c>
      <c r="K655" s="73">
        <v>44389.0</v>
      </c>
      <c r="Z655" s="58" t="s">
        <v>239</v>
      </c>
      <c r="CH655" s="58" t="s">
        <v>6852</v>
      </c>
      <c r="CI655" s="73">
        <v>44389.0</v>
      </c>
      <c r="CJ655" s="58">
        <v>1.0</v>
      </c>
      <c r="CK655" s="58">
        <v>10.0</v>
      </c>
      <c r="CL655" s="58" t="s">
        <v>6853</v>
      </c>
      <c r="CM655" s="58" t="s">
        <v>6854</v>
      </c>
      <c r="CO655" s="58" t="s">
        <v>6855</v>
      </c>
      <c r="CP655" s="58" t="s">
        <v>6856</v>
      </c>
      <c r="CR655" s="58">
        <v>5.0</v>
      </c>
      <c r="CT655" s="58">
        <v>29.0</v>
      </c>
      <c r="DL655" s="58" t="s">
        <v>6857</v>
      </c>
    </row>
    <row r="656" ht="15.75" customHeight="1">
      <c r="B656" s="58" t="s">
        <v>4587</v>
      </c>
      <c r="C656" s="58">
        <v>2022.0</v>
      </c>
      <c r="D656" s="58" t="s">
        <v>6858</v>
      </c>
      <c r="E656" s="58" t="s">
        <v>6859</v>
      </c>
      <c r="F656" s="58" t="s">
        <v>6860</v>
      </c>
      <c r="H656" s="58" t="s">
        <v>6861</v>
      </c>
      <c r="I656" s="58" t="s">
        <v>6862</v>
      </c>
      <c r="K656" s="73">
        <v>44767.0</v>
      </c>
      <c r="Z656" s="58" t="s">
        <v>239</v>
      </c>
      <c r="CH656" s="58" t="s">
        <v>6863</v>
      </c>
      <c r="CI656" s="73">
        <v>44767.0</v>
      </c>
      <c r="CJ656" s="58">
        <v>253.0</v>
      </c>
      <c r="CK656" s="58">
        <v>260.0</v>
      </c>
      <c r="CL656" s="58" t="s">
        <v>6864</v>
      </c>
      <c r="CM656" s="58" t="s">
        <v>6865</v>
      </c>
      <c r="CO656" s="58" t="s">
        <v>6866</v>
      </c>
      <c r="CP656" s="58" t="s">
        <v>6867</v>
      </c>
      <c r="CR656" s="58">
        <v>5.0</v>
      </c>
      <c r="CT656" s="58">
        <v>24.0</v>
      </c>
      <c r="CU656" s="58" t="s">
        <v>239</v>
      </c>
      <c r="DL656" s="58" t="s">
        <v>6868</v>
      </c>
    </row>
    <row r="657" ht="15.75" customHeight="1">
      <c r="B657" s="58" t="s">
        <v>4587</v>
      </c>
      <c r="C657" s="58">
        <v>2022.0</v>
      </c>
      <c r="D657" s="58" t="s">
        <v>6869</v>
      </c>
      <c r="E657" s="58" t="s">
        <v>6870</v>
      </c>
      <c r="F657" s="58" t="s">
        <v>6871</v>
      </c>
      <c r="H657" s="58" t="s">
        <v>6872</v>
      </c>
      <c r="I657" s="58" t="s">
        <v>6873</v>
      </c>
      <c r="K657" s="73">
        <v>44776.0</v>
      </c>
      <c r="Z657" s="58" t="s">
        <v>239</v>
      </c>
      <c r="CH657" s="58" t="s">
        <v>6874</v>
      </c>
      <c r="CI657" s="73">
        <v>44776.0</v>
      </c>
      <c r="CJ657" s="58">
        <v>43.0</v>
      </c>
      <c r="CK657" s="58">
        <v>48.0</v>
      </c>
      <c r="CL657" s="58" t="s">
        <v>6875</v>
      </c>
      <c r="CM657" s="58" t="s">
        <v>6876</v>
      </c>
      <c r="CO657" s="58" t="s">
        <v>6877</v>
      </c>
      <c r="CP657" s="58" t="s">
        <v>6878</v>
      </c>
      <c r="CR657" s="58">
        <v>5.0</v>
      </c>
      <c r="CT657" s="58">
        <v>43.0</v>
      </c>
      <c r="CU657" s="58" t="s">
        <v>239</v>
      </c>
      <c r="DL657" s="58" t="s">
        <v>6879</v>
      </c>
    </row>
    <row r="658" ht="15.75" customHeight="1">
      <c r="B658" s="58" t="s">
        <v>4587</v>
      </c>
      <c r="C658" s="58">
        <v>2020.0</v>
      </c>
      <c r="D658" s="58" t="s">
        <v>6880</v>
      </c>
      <c r="E658" s="58" t="s">
        <v>6881</v>
      </c>
      <c r="F658" s="58" t="s">
        <v>6882</v>
      </c>
      <c r="I658" s="58" t="s">
        <v>6883</v>
      </c>
      <c r="K658" s="73">
        <v>44117.0</v>
      </c>
      <c r="Z658" s="58" t="s">
        <v>239</v>
      </c>
      <c r="CH658" s="58" t="s">
        <v>6884</v>
      </c>
      <c r="CI658" s="73">
        <v>44117.0</v>
      </c>
      <c r="CJ658" s="58">
        <v>205.0</v>
      </c>
      <c r="CK658" s="58">
        <v>211.0</v>
      </c>
      <c r="CL658" s="58" t="s">
        <v>6885</v>
      </c>
      <c r="CM658" s="58" t="s">
        <v>6886</v>
      </c>
      <c r="CO658" s="58" t="s">
        <v>6887</v>
      </c>
      <c r="CP658" s="58" t="s">
        <v>6888</v>
      </c>
      <c r="CR658" s="58">
        <v>5.0</v>
      </c>
      <c r="CT658" s="58">
        <v>29.0</v>
      </c>
      <c r="CU658" s="58" t="s">
        <v>239</v>
      </c>
      <c r="DL658" s="58" t="s">
        <v>6889</v>
      </c>
    </row>
    <row r="659" ht="15.75" customHeight="1">
      <c r="B659" s="58" t="s">
        <v>4587</v>
      </c>
      <c r="C659" s="58">
        <v>2021.0</v>
      </c>
      <c r="D659" s="58" t="s">
        <v>6890</v>
      </c>
      <c r="E659" s="58" t="s">
        <v>6891</v>
      </c>
      <c r="F659" s="58" t="s">
        <v>6892</v>
      </c>
      <c r="I659" s="58" t="s">
        <v>6893</v>
      </c>
      <c r="K659" s="73">
        <v>44503.0</v>
      </c>
      <c r="Z659" s="58" t="s">
        <v>239</v>
      </c>
      <c r="CH659" s="58" t="s">
        <v>6894</v>
      </c>
      <c r="CI659" s="73">
        <v>44503.0</v>
      </c>
      <c r="CJ659" s="58">
        <v>95.0</v>
      </c>
      <c r="CK659" s="58">
        <v>104.0</v>
      </c>
      <c r="CL659" s="58" t="s">
        <v>6895</v>
      </c>
      <c r="CM659" s="58" t="s">
        <v>6896</v>
      </c>
      <c r="CO659" s="58" t="s">
        <v>6897</v>
      </c>
      <c r="CP659" s="58" t="s">
        <v>6898</v>
      </c>
      <c r="CR659" s="58">
        <v>5.0</v>
      </c>
      <c r="CT659" s="58">
        <v>22.0</v>
      </c>
      <c r="CU659" s="58" t="s">
        <v>239</v>
      </c>
      <c r="DL659" s="58" t="s">
        <v>6899</v>
      </c>
    </row>
    <row r="660" ht="15.75" customHeight="1">
      <c r="B660" s="58" t="s">
        <v>4587</v>
      </c>
      <c r="C660" s="58">
        <v>2019.0</v>
      </c>
      <c r="D660" s="58" t="s">
        <v>6900</v>
      </c>
      <c r="E660" s="58" t="s">
        <v>6901</v>
      </c>
      <c r="F660" s="58" t="s">
        <v>6902</v>
      </c>
      <c r="I660" s="58" t="s">
        <v>6903</v>
      </c>
      <c r="K660" s="73">
        <v>43749.0</v>
      </c>
      <c r="Z660" s="58" t="s">
        <v>239</v>
      </c>
      <c r="CH660" s="58" t="s">
        <v>6904</v>
      </c>
      <c r="CI660" s="73">
        <v>43749.0</v>
      </c>
      <c r="CJ660" s="58">
        <v>553.0</v>
      </c>
      <c r="CK660" s="58">
        <v>558.0</v>
      </c>
      <c r="CL660" s="58" t="s">
        <v>6905</v>
      </c>
      <c r="CM660" s="58" t="s">
        <v>6906</v>
      </c>
      <c r="CO660" s="58" t="s">
        <v>6907</v>
      </c>
      <c r="CP660" s="58" t="s">
        <v>6908</v>
      </c>
      <c r="CR660" s="58">
        <v>5.0</v>
      </c>
      <c r="CT660" s="58">
        <v>11.0</v>
      </c>
      <c r="CU660" s="58" t="s">
        <v>239</v>
      </c>
      <c r="DL660" s="58" t="s">
        <v>6909</v>
      </c>
    </row>
    <row r="661" ht="15.75" customHeight="1">
      <c r="B661" s="58" t="s">
        <v>4587</v>
      </c>
      <c r="C661" s="58">
        <v>2021.0</v>
      </c>
      <c r="D661" s="58" t="s">
        <v>6910</v>
      </c>
      <c r="E661" s="58" t="s">
        <v>6911</v>
      </c>
      <c r="F661" s="58" t="s">
        <v>6912</v>
      </c>
      <c r="H661" s="58" t="s">
        <v>6913</v>
      </c>
      <c r="I661" s="58" t="s">
        <v>6914</v>
      </c>
      <c r="K661" s="73">
        <v>44307.0</v>
      </c>
      <c r="Z661" s="58" t="s">
        <v>239</v>
      </c>
      <c r="CH661" s="58" t="s">
        <v>6915</v>
      </c>
      <c r="CI661" s="73">
        <v>44307.0</v>
      </c>
      <c r="CJ661" s="58">
        <v>1.0</v>
      </c>
      <c r="CK661" s="58">
        <v>8.0</v>
      </c>
      <c r="CL661" s="58" t="s">
        <v>6916</v>
      </c>
      <c r="CM661" s="58" t="s">
        <v>6917</v>
      </c>
      <c r="CO661" s="58" t="s">
        <v>6918</v>
      </c>
      <c r="CP661" s="58" t="s">
        <v>6919</v>
      </c>
      <c r="CR661" s="58">
        <v>5.0</v>
      </c>
      <c r="CT661" s="58">
        <v>41.0</v>
      </c>
      <c r="CU661" s="58" t="s">
        <v>239</v>
      </c>
      <c r="DL661" s="58" t="s">
        <v>6920</v>
      </c>
    </row>
    <row r="662" ht="15.75" customHeight="1">
      <c r="B662" s="58" t="s">
        <v>4587</v>
      </c>
      <c r="C662" s="58">
        <v>2018.0</v>
      </c>
      <c r="D662" s="58" t="s">
        <v>6921</v>
      </c>
      <c r="E662" s="58" t="s">
        <v>6922</v>
      </c>
      <c r="F662" s="58" t="s">
        <v>6923</v>
      </c>
      <c r="I662" s="58" t="s">
        <v>6924</v>
      </c>
      <c r="K662" s="73">
        <v>43457.0</v>
      </c>
      <c r="Z662" s="58" t="s">
        <v>239</v>
      </c>
      <c r="CH662" s="58" t="s">
        <v>6925</v>
      </c>
      <c r="CI662" s="73">
        <v>43457.0</v>
      </c>
      <c r="CJ662" s="58">
        <v>31.0</v>
      </c>
      <c r="CK662" s="58">
        <v>36.0</v>
      </c>
      <c r="CL662" s="58" t="s">
        <v>6926</v>
      </c>
      <c r="CM662" s="58" t="s">
        <v>6927</v>
      </c>
      <c r="CO662" s="58" t="s">
        <v>6928</v>
      </c>
      <c r="CP662" s="58" t="s">
        <v>6929</v>
      </c>
      <c r="CR662" s="58">
        <v>5.0</v>
      </c>
      <c r="CT662" s="58">
        <v>33.0</v>
      </c>
      <c r="CU662" s="58" t="s">
        <v>239</v>
      </c>
      <c r="DL662" s="58" t="s">
        <v>6930</v>
      </c>
    </row>
    <row r="663" ht="15.75" customHeight="1">
      <c r="B663" s="58" t="s">
        <v>4587</v>
      </c>
      <c r="C663" s="58">
        <v>2021.0</v>
      </c>
      <c r="D663" s="58" t="s">
        <v>6931</v>
      </c>
      <c r="E663" s="58" t="s">
        <v>6932</v>
      </c>
      <c r="F663" s="58" t="s">
        <v>6933</v>
      </c>
      <c r="I663" s="58" t="s">
        <v>6934</v>
      </c>
      <c r="K663" s="73">
        <v>44342.0</v>
      </c>
      <c r="Z663" s="58" t="s">
        <v>239</v>
      </c>
      <c r="CH663" s="58" t="s">
        <v>6935</v>
      </c>
      <c r="CI663" s="73">
        <v>44342.0</v>
      </c>
      <c r="CJ663" s="58">
        <v>1853.0</v>
      </c>
      <c r="CK663" s="58">
        <v>1858.0</v>
      </c>
      <c r="CL663" s="58" t="s">
        <v>6936</v>
      </c>
      <c r="CM663" s="58" t="s">
        <v>6937</v>
      </c>
      <c r="CO663" s="58" t="s">
        <v>6938</v>
      </c>
      <c r="CP663" s="58" t="s">
        <v>6939</v>
      </c>
      <c r="CR663" s="58">
        <v>5.0</v>
      </c>
      <c r="CT663" s="58">
        <v>20.0</v>
      </c>
      <c r="CU663" s="58" t="s">
        <v>239</v>
      </c>
      <c r="DL663" s="58" t="s">
        <v>6940</v>
      </c>
    </row>
    <row r="664" ht="15.75" customHeight="1">
      <c r="B664" s="58" t="s">
        <v>4587</v>
      </c>
      <c r="C664" s="58">
        <v>2019.0</v>
      </c>
      <c r="D664" s="58" t="s">
        <v>6941</v>
      </c>
      <c r="E664" s="58" t="s">
        <v>6942</v>
      </c>
      <c r="F664" s="58" t="s">
        <v>5632</v>
      </c>
      <c r="H664" s="58" t="s">
        <v>5479</v>
      </c>
      <c r="I664" s="58" t="s">
        <v>6943</v>
      </c>
      <c r="K664" s="73">
        <v>43720.0</v>
      </c>
      <c r="Z664" s="58" t="s">
        <v>239</v>
      </c>
      <c r="CH664" s="58" t="s">
        <v>6944</v>
      </c>
      <c r="CI664" s="73">
        <v>43720.0</v>
      </c>
      <c r="CJ664" s="58">
        <v>63.0</v>
      </c>
      <c r="CK664" s="58">
        <v>72.0</v>
      </c>
      <c r="CL664" s="58" t="s">
        <v>6945</v>
      </c>
      <c r="CM664" s="58" t="s">
        <v>5636</v>
      </c>
      <c r="CO664" s="58" t="s">
        <v>6946</v>
      </c>
      <c r="CP664" s="58" t="s">
        <v>6947</v>
      </c>
      <c r="CR664" s="58">
        <v>5.0</v>
      </c>
      <c r="CT664" s="58">
        <v>38.0</v>
      </c>
      <c r="CU664" s="58" t="s">
        <v>239</v>
      </c>
      <c r="DL664" s="58" t="s">
        <v>6948</v>
      </c>
    </row>
    <row r="665" ht="15.75" customHeight="1">
      <c r="B665" s="58" t="s">
        <v>4587</v>
      </c>
      <c r="C665" s="58">
        <v>2021.0</v>
      </c>
      <c r="D665" s="58" t="s">
        <v>6949</v>
      </c>
      <c r="E665" s="58" t="s">
        <v>6950</v>
      </c>
      <c r="F665" s="58" t="s">
        <v>6951</v>
      </c>
      <c r="H665" s="58" t="s">
        <v>6952</v>
      </c>
      <c r="I665" s="58" t="s">
        <v>6953</v>
      </c>
      <c r="K665" s="73">
        <v>44375.0</v>
      </c>
      <c r="Z665" s="58" t="s">
        <v>239</v>
      </c>
      <c r="CH665" s="58" t="s">
        <v>6954</v>
      </c>
      <c r="CI665" s="73">
        <v>44375.0</v>
      </c>
      <c r="CJ665" s="58">
        <v>271.0</v>
      </c>
      <c r="CK665" s="58">
        <v>282.0</v>
      </c>
      <c r="CL665" s="58" t="s">
        <v>6955</v>
      </c>
      <c r="CM665" s="58" t="s">
        <v>6956</v>
      </c>
      <c r="CO665" s="58" t="s">
        <v>6957</v>
      </c>
      <c r="CP665" s="58" t="s">
        <v>6958</v>
      </c>
      <c r="CR665" s="58">
        <v>5.0</v>
      </c>
      <c r="CT665" s="58">
        <v>45.0</v>
      </c>
      <c r="CU665" s="58" t="s">
        <v>239</v>
      </c>
      <c r="DL665" s="58" t="s">
        <v>6959</v>
      </c>
    </row>
    <row r="666" ht="15.75" customHeight="1">
      <c r="B666" s="58" t="s">
        <v>4587</v>
      </c>
      <c r="C666" s="58">
        <v>2020.0</v>
      </c>
      <c r="D666" s="58" t="s">
        <v>6960</v>
      </c>
      <c r="E666" s="58" t="s">
        <v>6961</v>
      </c>
      <c r="F666" s="58" t="s">
        <v>6962</v>
      </c>
      <c r="H666" s="58" t="s">
        <v>6963</v>
      </c>
      <c r="I666" s="58" t="s">
        <v>6964</v>
      </c>
      <c r="K666" s="73">
        <v>44104.0</v>
      </c>
      <c r="Z666" s="58" t="s">
        <v>239</v>
      </c>
      <c r="CH666" s="58" t="s">
        <v>6965</v>
      </c>
      <c r="CI666" s="73">
        <v>44104.0</v>
      </c>
      <c r="CJ666" s="58">
        <v>1.0</v>
      </c>
      <c r="CK666" s="58">
        <v>6.0</v>
      </c>
      <c r="CL666" s="58" t="s">
        <v>6966</v>
      </c>
      <c r="CM666" s="58" t="s">
        <v>6967</v>
      </c>
      <c r="CO666" s="58" t="s">
        <v>6968</v>
      </c>
      <c r="CP666" s="58" t="s">
        <v>6969</v>
      </c>
      <c r="CR666" s="58">
        <v>5.0</v>
      </c>
      <c r="CT666" s="58">
        <v>22.0</v>
      </c>
      <c r="CU666" s="58" t="s">
        <v>239</v>
      </c>
      <c r="DL666" s="58" t="s">
        <v>6970</v>
      </c>
    </row>
    <row r="667" ht="15.75" customHeight="1">
      <c r="B667" s="58" t="s">
        <v>4587</v>
      </c>
      <c r="C667" s="58">
        <v>2015.0</v>
      </c>
      <c r="D667" s="58" t="s">
        <v>6971</v>
      </c>
      <c r="E667" s="58" t="s">
        <v>6972</v>
      </c>
      <c r="F667" s="58" t="s">
        <v>6973</v>
      </c>
      <c r="I667" s="58" t="s">
        <v>6974</v>
      </c>
      <c r="K667" s="73">
        <v>42443.0</v>
      </c>
      <c r="Z667" s="58" t="s">
        <v>239</v>
      </c>
      <c r="CH667" s="58" t="s">
        <v>6975</v>
      </c>
      <c r="CI667" s="73">
        <v>42443.0</v>
      </c>
      <c r="CJ667" s="58">
        <v>534.0</v>
      </c>
      <c r="CK667" s="58">
        <v>539.0</v>
      </c>
      <c r="CL667" s="58" t="s">
        <v>6976</v>
      </c>
      <c r="CM667" s="58" t="s">
        <v>6977</v>
      </c>
      <c r="CO667" s="58" t="s">
        <v>6978</v>
      </c>
      <c r="CP667" s="58" t="s">
        <v>6979</v>
      </c>
      <c r="CR667" s="58">
        <v>5.0</v>
      </c>
      <c r="CT667" s="58">
        <v>19.0</v>
      </c>
      <c r="DL667" s="58" t="s">
        <v>6980</v>
      </c>
    </row>
    <row r="668" ht="15.75" customHeight="1">
      <c r="B668" s="58" t="s">
        <v>4587</v>
      </c>
      <c r="C668" s="58">
        <v>2019.0</v>
      </c>
      <c r="D668" s="58" t="s">
        <v>6981</v>
      </c>
      <c r="E668" s="58" t="s">
        <v>6982</v>
      </c>
      <c r="F668" s="58" t="s">
        <v>4900</v>
      </c>
      <c r="H668" s="58" t="s">
        <v>4901</v>
      </c>
      <c r="I668" s="58" t="s">
        <v>6983</v>
      </c>
      <c r="K668" s="73">
        <v>43591.0</v>
      </c>
      <c r="Z668" s="58" t="s">
        <v>239</v>
      </c>
      <c r="CH668" s="58" t="s">
        <v>6984</v>
      </c>
      <c r="CI668" s="73">
        <v>43591.0</v>
      </c>
      <c r="CJ668" s="58">
        <v>9.0</v>
      </c>
      <c r="CK668" s="58">
        <v>97.0</v>
      </c>
      <c r="CL668" s="58" t="s">
        <v>6985</v>
      </c>
      <c r="CM668" s="58" t="s">
        <v>4905</v>
      </c>
      <c r="CO668" s="58" t="s">
        <v>6986</v>
      </c>
      <c r="CP668" s="58" t="s">
        <v>6987</v>
      </c>
      <c r="CR668" s="58">
        <v>5.0</v>
      </c>
      <c r="CT668" s="58">
        <v>43.0</v>
      </c>
      <c r="CU668" s="58" t="s">
        <v>239</v>
      </c>
    </row>
    <row r="669" ht="15.75" customHeight="1">
      <c r="B669" s="58" t="s">
        <v>4587</v>
      </c>
      <c r="C669" s="58">
        <v>2016.0</v>
      </c>
      <c r="D669" s="58" t="s">
        <v>6988</v>
      </c>
      <c r="E669" s="58" t="s">
        <v>6989</v>
      </c>
      <c r="F669" s="58" t="s">
        <v>6990</v>
      </c>
      <c r="I669" s="58" t="s">
        <v>6991</v>
      </c>
      <c r="K669" s="73">
        <v>42656.0</v>
      </c>
      <c r="Z669" s="58" t="s">
        <v>239</v>
      </c>
      <c r="CH669" s="58" t="s">
        <v>6992</v>
      </c>
      <c r="CI669" s="73">
        <v>42656.0</v>
      </c>
      <c r="CJ669" s="58">
        <v>335.0</v>
      </c>
      <c r="CK669" s="58">
        <v>346.0</v>
      </c>
      <c r="CL669" s="58" t="s">
        <v>6993</v>
      </c>
      <c r="CM669" s="58" t="s">
        <v>6994</v>
      </c>
      <c r="CO669" s="58" t="s">
        <v>6995</v>
      </c>
      <c r="CP669" s="58" t="s">
        <v>6996</v>
      </c>
      <c r="CR669" s="58">
        <v>4.0</v>
      </c>
      <c r="CT669" s="58">
        <v>30.0</v>
      </c>
      <c r="CU669" s="58" t="s">
        <v>239</v>
      </c>
      <c r="DL669" s="58" t="s">
        <v>6997</v>
      </c>
    </row>
    <row r="670" ht="15.75" customHeight="1">
      <c r="B670" s="58" t="s">
        <v>4587</v>
      </c>
      <c r="C670" s="58">
        <v>2020.0</v>
      </c>
      <c r="D670" s="58" t="s">
        <v>6998</v>
      </c>
      <c r="E670" s="58" t="s">
        <v>6999</v>
      </c>
      <c r="F670" s="58" t="s">
        <v>7000</v>
      </c>
      <c r="I670" s="58" t="s">
        <v>7001</v>
      </c>
      <c r="K670" s="73">
        <v>44146.0</v>
      </c>
      <c r="Z670" s="58" t="s">
        <v>239</v>
      </c>
      <c r="CH670" s="58" t="s">
        <v>7002</v>
      </c>
      <c r="CI670" s="73">
        <v>44146.0</v>
      </c>
      <c r="CJ670" s="58">
        <v>462.0</v>
      </c>
      <c r="CK670" s="58">
        <v>468.0</v>
      </c>
      <c r="CL670" s="58" t="s">
        <v>7003</v>
      </c>
      <c r="CM670" s="58" t="s">
        <v>7004</v>
      </c>
      <c r="CN670" s="58" t="s">
        <v>5648</v>
      </c>
      <c r="CO670" s="58" t="s">
        <v>7005</v>
      </c>
      <c r="CP670" s="58" t="s">
        <v>7006</v>
      </c>
      <c r="CR670" s="58">
        <v>4.0</v>
      </c>
      <c r="CT670" s="58">
        <v>25.0</v>
      </c>
      <c r="CU670" s="58" t="s">
        <v>239</v>
      </c>
      <c r="DL670" s="58" t="s">
        <v>7007</v>
      </c>
    </row>
    <row r="671" ht="15.75" customHeight="1">
      <c r="B671" s="58" t="s">
        <v>4587</v>
      </c>
      <c r="C671" s="58">
        <v>2020.0</v>
      </c>
      <c r="D671" s="58" t="s">
        <v>7008</v>
      </c>
      <c r="E671" s="58" t="s">
        <v>7009</v>
      </c>
      <c r="F671" s="58" t="s">
        <v>7010</v>
      </c>
      <c r="I671" s="58" t="s">
        <v>7011</v>
      </c>
      <c r="K671" s="73">
        <v>44089.0</v>
      </c>
      <c r="Z671" s="58" t="s">
        <v>239</v>
      </c>
      <c r="CH671" s="58" t="s">
        <v>7012</v>
      </c>
      <c r="CI671" s="73">
        <v>44089.0</v>
      </c>
      <c r="CJ671" s="58">
        <v>11.0</v>
      </c>
      <c r="CK671" s="58">
        <v>20.0</v>
      </c>
      <c r="CL671" s="58" t="s">
        <v>7013</v>
      </c>
      <c r="CM671" s="58" t="s">
        <v>7014</v>
      </c>
      <c r="CO671" s="58" t="s">
        <v>7015</v>
      </c>
      <c r="CP671" s="58" t="s">
        <v>7016</v>
      </c>
      <c r="CR671" s="58">
        <v>4.0</v>
      </c>
      <c r="CT671" s="58">
        <v>29.0</v>
      </c>
      <c r="CU671" s="58" t="s">
        <v>239</v>
      </c>
      <c r="DL671" s="58" t="s">
        <v>7017</v>
      </c>
    </row>
    <row r="672" ht="15.75" customHeight="1">
      <c r="B672" s="58" t="s">
        <v>4587</v>
      </c>
      <c r="C672" s="58">
        <v>2020.0</v>
      </c>
      <c r="D672" s="58" t="s">
        <v>7018</v>
      </c>
      <c r="E672" s="58" t="s">
        <v>7019</v>
      </c>
      <c r="F672" s="58" t="s">
        <v>7020</v>
      </c>
      <c r="H672" s="58" t="s">
        <v>7021</v>
      </c>
      <c r="I672" s="58" t="s">
        <v>7022</v>
      </c>
      <c r="K672" s="73">
        <v>44084.0</v>
      </c>
      <c r="Z672" s="58" t="s">
        <v>239</v>
      </c>
      <c r="CH672" s="58" t="s">
        <v>7023</v>
      </c>
      <c r="CI672" s="73">
        <v>44084.0</v>
      </c>
      <c r="CJ672" s="58">
        <v>1379.0</v>
      </c>
      <c r="CK672" s="58">
        <v>1388.0</v>
      </c>
      <c r="CL672" s="58" t="s">
        <v>7024</v>
      </c>
      <c r="CM672" s="58" t="s">
        <v>7025</v>
      </c>
      <c r="CO672" s="58" t="s">
        <v>7026</v>
      </c>
      <c r="CP672" s="58" t="s">
        <v>7027</v>
      </c>
      <c r="CR672" s="58">
        <v>4.0</v>
      </c>
      <c r="CT672" s="58">
        <v>7.0</v>
      </c>
      <c r="CU672" s="58" t="s">
        <v>239</v>
      </c>
      <c r="DL672" s="58" t="s">
        <v>7028</v>
      </c>
    </row>
    <row r="673" ht="15.75" customHeight="1">
      <c r="B673" s="58" t="s">
        <v>4587</v>
      </c>
      <c r="C673" s="58">
        <v>2022.0</v>
      </c>
      <c r="D673" s="58" t="s">
        <v>7029</v>
      </c>
      <c r="E673" s="58" t="s">
        <v>7030</v>
      </c>
      <c r="F673" s="58" t="s">
        <v>7031</v>
      </c>
      <c r="I673" s="58" t="s">
        <v>7032</v>
      </c>
      <c r="K673" s="73">
        <v>44908.0</v>
      </c>
      <c r="Z673" s="58" t="s">
        <v>239</v>
      </c>
      <c r="CH673" s="58" t="s">
        <v>7033</v>
      </c>
      <c r="CI673" s="73">
        <v>44908.0</v>
      </c>
      <c r="CJ673" s="58">
        <v>1.0</v>
      </c>
      <c r="CK673" s="58">
        <v>6.0</v>
      </c>
      <c r="CL673" s="58" t="s">
        <v>7034</v>
      </c>
      <c r="CM673" s="58" t="s">
        <v>7035</v>
      </c>
      <c r="CO673" s="58" t="s">
        <v>7036</v>
      </c>
      <c r="CP673" s="58" t="s">
        <v>7037</v>
      </c>
      <c r="CR673" s="58">
        <v>4.0</v>
      </c>
      <c r="CT673" s="58">
        <v>41.0</v>
      </c>
      <c r="CU673" s="58" t="s">
        <v>239</v>
      </c>
      <c r="DL673" s="58" t="s">
        <v>7038</v>
      </c>
    </row>
    <row r="674" ht="15.75" customHeight="1">
      <c r="B674" s="58" t="s">
        <v>4587</v>
      </c>
      <c r="C674" s="58">
        <v>2022.0</v>
      </c>
      <c r="D674" s="58" t="s">
        <v>7039</v>
      </c>
      <c r="E674" s="58" t="s">
        <v>7040</v>
      </c>
      <c r="F674" s="58" t="s">
        <v>7041</v>
      </c>
      <c r="H674" s="58" t="s">
        <v>7042</v>
      </c>
      <c r="I674" s="58" t="s">
        <v>7043</v>
      </c>
      <c r="K674" s="73">
        <v>44942.0</v>
      </c>
      <c r="R674" s="58">
        <v>21.0</v>
      </c>
      <c r="Z674" s="58" t="s">
        <v>239</v>
      </c>
      <c r="CH674" s="58" t="s">
        <v>7044</v>
      </c>
      <c r="CI674" s="73">
        <v>44942.0</v>
      </c>
      <c r="CJ674" s="58">
        <v>251.0</v>
      </c>
      <c r="CK674" s="58">
        <v>259.0</v>
      </c>
      <c r="CL674" s="58" t="s">
        <v>7045</v>
      </c>
      <c r="CM674" s="58" t="s">
        <v>7046</v>
      </c>
      <c r="CO674" s="58" t="s">
        <v>7047</v>
      </c>
      <c r="CP674" s="58" t="s">
        <v>7048</v>
      </c>
      <c r="CR674" s="58">
        <v>4.0</v>
      </c>
      <c r="CT674" s="58">
        <v>24.0</v>
      </c>
      <c r="CU674" s="58" t="s">
        <v>239</v>
      </c>
      <c r="DL674" s="58" t="s">
        <v>7049</v>
      </c>
    </row>
    <row r="675" ht="15.75" customHeight="1">
      <c r="B675" s="58" t="s">
        <v>4587</v>
      </c>
      <c r="C675" s="58">
        <v>2019.0</v>
      </c>
      <c r="D675" s="58" t="s">
        <v>7050</v>
      </c>
      <c r="E675" s="58" t="s">
        <v>7051</v>
      </c>
      <c r="F675" s="58" t="s">
        <v>7052</v>
      </c>
      <c r="I675" s="58" t="s">
        <v>7053</v>
      </c>
      <c r="K675" s="73">
        <v>43741.0</v>
      </c>
      <c r="Z675" s="58" t="s">
        <v>239</v>
      </c>
      <c r="CH675" s="58" t="s">
        <v>7054</v>
      </c>
      <c r="CI675" s="73">
        <v>43741.0</v>
      </c>
      <c r="CJ675" s="58">
        <v>1.0</v>
      </c>
      <c r="CK675" s="58">
        <v>6.0</v>
      </c>
      <c r="CL675" s="58" t="s">
        <v>7055</v>
      </c>
      <c r="CM675" s="58" t="s">
        <v>7056</v>
      </c>
      <c r="CO675" s="58" t="s">
        <v>7057</v>
      </c>
      <c r="CP675" s="58" t="s">
        <v>7058</v>
      </c>
      <c r="CR675" s="58">
        <v>4.0</v>
      </c>
      <c r="CT675" s="58">
        <v>17.0</v>
      </c>
      <c r="CU675" s="58" t="s">
        <v>239</v>
      </c>
      <c r="DL675" s="58" t="s">
        <v>7059</v>
      </c>
    </row>
    <row r="676" ht="15.75" customHeight="1">
      <c r="B676" s="58" t="s">
        <v>4587</v>
      </c>
      <c r="C676" s="58">
        <v>2022.0</v>
      </c>
      <c r="D676" s="58" t="s">
        <v>7060</v>
      </c>
      <c r="E676" s="58" t="s">
        <v>7061</v>
      </c>
      <c r="F676" s="58" t="s">
        <v>7062</v>
      </c>
      <c r="H676" s="58" t="s">
        <v>7063</v>
      </c>
      <c r="I676" s="58" t="s">
        <v>7064</v>
      </c>
      <c r="K676" s="73">
        <v>44946.0</v>
      </c>
      <c r="Z676" s="58" t="s">
        <v>239</v>
      </c>
      <c r="CH676" s="58" t="s">
        <v>7065</v>
      </c>
      <c r="CI676" s="73">
        <v>44946.0</v>
      </c>
      <c r="CJ676" s="58">
        <v>1.0</v>
      </c>
      <c r="CK676" s="58">
        <v>6.0</v>
      </c>
      <c r="CL676" s="58" t="s">
        <v>7066</v>
      </c>
      <c r="CM676" s="58" t="s">
        <v>7067</v>
      </c>
      <c r="CO676" s="58" t="s">
        <v>7068</v>
      </c>
      <c r="CP676" s="58" t="s">
        <v>7069</v>
      </c>
      <c r="CR676" s="58">
        <v>4.0</v>
      </c>
      <c r="CT676" s="58">
        <v>12.0</v>
      </c>
      <c r="CU676" s="58" t="s">
        <v>239</v>
      </c>
      <c r="DL676" s="58" t="s">
        <v>7070</v>
      </c>
    </row>
    <row r="677" ht="15.75" customHeight="1">
      <c r="B677" s="58" t="s">
        <v>4587</v>
      </c>
      <c r="C677" s="58">
        <v>2018.0</v>
      </c>
      <c r="D677" s="58" t="s">
        <v>7071</v>
      </c>
      <c r="E677" s="58" t="s">
        <v>7072</v>
      </c>
      <c r="F677" s="58" t="s">
        <v>4931</v>
      </c>
      <c r="I677" s="58" t="s">
        <v>7073</v>
      </c>
      <c r="K677" s="73">
        <v>43304.0</v>
      </c>
      <c r="Z677" s="58" t="s">
        <v>239</v>
      </c>
      <c r="CH677" s="58" t="s">
        <v>7074</v>
      </c>
      <c r="CI677" s="73">
        <v>43304.0</v>
      </c>
      <c r="CJ677" s="58">
        <v>45.0</v>
      </c>
      <c r="CK677" s="58">
        <v>50.0</v>
      </c>
      <c r="CL677" s="58" t="s">
        <v>7075</v>
      </c>
      <c r="CM677" s="58" t="s">
        <v>4935</v>
      </c>
      <c r="CO677" s="58" t="s">
        <v>7076</v>
      </c>
      <c r="CP677" s="58" t="s">
        <v>7077</v>
      </c>
      <c r="CR677" s="58">
        <v>4.0</v>
      </c>
      <c r="CT677" s="58">
        <v>27.0</v>
      </c>
      <c r="CU677" s="58" t="s">
        <v>239</v>
      </c>
      <c r="DL677" s="58" t="s">
        <v>7078</v>
      </c>
    </row>
    <row r="678" ht="15.75" customHeight="1">
      <c r="B678" s="58" t="s">
        <v>4587</v>
      </c>
      <c r="C678" s="58">
        <v>2019.0</v>
      </c>
      <c r="D678" s="58" t="s">
        <v>7079</v>
      </c>
      <c r="E678" s="58" t="s">
        <v>7080</v>
      </c>
      <c r="F678" s="58" t="s">
        <v>4599</v>
      </c>
      <c r="H678" s="58" t="s">
        <v>4600</v>
      </c>
      <c r="I678" s="58" t="s">
        <v>7081</v>
      </c>
      <c r="K678" s="73">
        <v>43706.0</v>
      </c>
      <c r="Z678" s="58" t="s">
        <v>239</v>
      </c>
      <c r="CH678" s="58" t="s">
        <v>7082</v>
      </c>
      <c r="CI678" s="73">
        <v>43706.0</v>
      </c>
      <c r="CJ678" s="58">
        <v>190.0</v>
      </c>
      <c r="CK678" s="58">
        <v>192.0</v>
      </c>
      <c r="CL678" s="58" t="s">
        <v>7083</v>
      </c>
      <c r="CM678" s="58" t="s">
        <v>4604</v>
      </c>
      <c r="CO678" s="58" t="s">
        <v>7084</v>
      </c>
      <c r="CP678" s="58" t="s">
        <v>7085</v>
      </c>
      <c r="CR678" s="58">
        <v>4.0</v>
      </c>
      <c r="CT678" s="58">
        <v>13.0</v>
      </c>
      <c r="CU678" s="58" t="s">
        <v>239</v>
      </c>
    </row>
    <row r="679" ht="15.75" customHeight="1">
      <c r="B679" s="58" t="s">
        <v>4587</v>
      </c>
      <c r="C679" s="58">
        <v>2022.0</v>
      </c>
      <c r="D679" s="58" t="s">
        <v>7086</v>
      </c>
      <c r="E679" s="58" t="s">
        <v>7087</v>
      </c>
      <c r="F679" s="58" t="s">
        <v>7088</v>
      </c>
      <c r="I679" s="58" t="s">
        <v>7089</v>
      </c>
      <c r="K679" s="73">
        <v>44732.0</v>
      </c>
      <c r="Z679" s="58" t="s">
        <v>239</v>
      </c>
      <c r="CH679" s="58" t="s">
        <v>7090</v>
      </c>
      <c r="CI679" s="73">
        <v>44732.0</v>
      </c>
      <c r="CJ679" s="58">
        <v>100.0</v>
      </c>
      <c r="CK679" s="58">
        <v>104.0</v>
      </c>
      <c r="CL679" s="58" t="s">
        <v>7091</v>
      </c>
      <c r="CM679" s="58" t="s">
        <v>7092</v>
      </c>
      <c r="CO679" s="58" t="s">
        <v>7093</v>
      </c>
      <c r="CP679" s="58" t="s">
        <v>7094</v>
      </c>
      <c r="CR679" s="58">
        <v>4.0</v>
      </c>
      <c r="CT679" s="58">
        <v>11.0</v>
      </c>
      <c r="CU679" s="58" t="s">
        <v>239</v>
      </c>
      <c r="DL679" s="58" t="s">
        <v>7095</v>
      </c>
    </row>
    <row r="680" ht="15.75" customHeight="1">
      <c r="B680" s="58" t="s">
        <v>4587</v>
      </c>
      <c r="C680" s="58">
        <v>2020.0</v>
      </c>
      <c r="D680" s="58" t="s">
        <v>7096</v>
      </c>
      <c r="E680" s="58" t="s">
        <v>7097</v>
      </c>
      <c r="F680" s="58" t="s">
        <v>7098</v>
      </c>
      <c r="H680" s="58" t="s">
        <v>7099</v>
      </c>
      <c r="I680" s="58" t="s">
        <v>7100</v>
      </c>
      <c r="K680" s="73">
        <v>44203.0</v>
      </c>
      <c r="Z680" s="58" t="s">
        <v>239</v>
      </c>
      <c r="CH680" s="58" t="s">
        <v>7101</v>
      </c>
      <c r="CI680" s="73">
        <v>44203.0</v>
      </c>
      <c r="CJ680" s="58">
        <v>1.0</v>
      </c>
      <c r="CK680" s="58">
        <v>6.0</v>
      </c>
      <c r="CL680" s="58" t="s">
        <v>7102</v>
      </c>
      <c r="CM680" s="58" t="s">
        <v>7103</v>
      </c>
      <c r="CN680" s="58" t="s">
        <v>7104</v>
      </c>
      <c r="CO680" s="58" t="s">
        <v>7105</v>
      </c>
      <c r="CP680" s="58" t="s">
        <v>7106</v>
      </c>
      <c r="CR680" s="58">
        <v>4.0</v>
      </c>
      <c r="CT680" s="58">
        <v>27.0</v>
      </c>
      <c r="CU680" s="58" t="s">
        <v>239</v>
      </c>
      <c r="DL680" s="58" t="s">
        <v>7107</v>
      </c>
    </row>
    <row r="681" ht="15.75" customHeight="1">
      <c r="B681" s="58" t="s">
        <v>4587</v>
      </c>
      <c r="C681" s="58">
        <v>2022.0</v>
      </c>
      <c r="D681" s="58" t="s">
        <v>7108</v>
      </c>
      <c r="E681" s="58" t="s">
        <v>7109</v>
      </c>
      <c r="F681" s="58" t="s">
        <v>7110</v>
      </c>
      <c r="I681" s="58" t="s">
        <v>7111</v>
      </c>
      <c r="K681" s="73">
        <v>44999.0</v>
      </c>
      <c r="Z681" s="58" t="s">
        <v>239</v>
      </c>
      <c r="CH681" s="58" t="s">
        <v>7112</v>
      </c>
      <c r="CI681" s="73">
        <v>44999.0</v>
      </c>
      <c r="CJ681" s="58">
        <v>1.0</v>
      </c>
      <c r="CK681" s="58">
        <v>4.0</v>
      </c>
      <c r="CL681" s="58" t="s">
        <v>7113</v>
      </c>
      <c r="CM681" s="58" t="s">
        <v>7114</v>
      </c>
      <c r="CO681" s="58" t="s">
        <v>7115</v>
      </c>
      <c r="CP681" s="58" t="s">
        <v>7116</v>
      </c>
      <c r="CR681" s="58">
        <v>4.0</v>
      </c>
      <c r="CT681" s="58">
        <v>19.0</v>
      </c>
      <c r="CU681" s="58" t="s">
        <v>239</v>
      </c>
      <c r="DL681" s="58" t="s">
        <v>7117</v>
      </c>
    </row>
    <row r="682" ht="15.75" customHeight="1">
      <c r="B682" s="58" t="s">
        <v>4587</v>
      </c>
      <c r="C682" s="58">
        <v>2018.0</v>
      </c>
      <c r="D682" s="58" t="s">
        <v>7118</v>
      </c>
      <c r="E682" s="58" t="s">
        <v>7119</v>
      </c>
      <c r="F682" s="58" t="s">
        <v>7120</v>
      </c>
      <c r="I682" s="58" t="s">
        <v>7121</v>
      </c>
      <c r="K682" s="73">
        <v>43419.0</v>
      </c>
      <c r="Z682" s="58" t="s">
        <v>239</v>
      </c>
      <c r="CH682" s="58" t="s">
        <v>7122</v>
      </c>
      <c r="CI682" s="73">
        <v>43419.0</v>
      </c>
      <c r="CJ682" s="58">
        <v>1.0</v>
      </c>
      <c r="CK682" s="58">
        <v>6.0</v>
      </c>
      <c r="CL682" s="58" t="s">
        <v>7123</v>
      </c>
      <c r="CM682" s="58" t="s">
        <v>7124</v>
      </c>
      <c r="CO682" s="58" t="s">
        <v>7125</v>
      </c>
      <c r="CR682" s="58">
        <v>4.0</v>
      </c>
      <c r="CT682" s="58">
        <v>67.0</v>
      </c>
      <c r="CU682" s="58" t="s">
        <v>239</v>
      </c>
      <c r="DL682" s="58" t="s">
        <v>7126</v>
      </c>
    </row>
    <row r="683" ht="15.75" customHeight="1">
      <c r="B683" s="58" t="s">
        <v>4587</v>
      </c>
      <c r="C683" s="58">
        <v>2017.0</v>
      </c>
      <c r="D683" s="58" t="s">
        <v>7127</v>
      </c>
      <c r="E683" s="58" t="s">
        <v>7128</v>
      </c>
      <c r="F683" s="58" t="s">
        <v>6637</v>
      </c>
      <c r="H683" s="58" t="s">
        <v>6638</v>
      </c>
      <c r="I683" s="58" t="s">
        <v>7129</v>
      </c>
      <c r="K683" s="73">
        <v>42947.0</v>
      </c>
      <c r="Z683" s="58" t="s">
        <v>239</v>
      </c>
      <c r="CH683" s="58" t="s">
        <v>7130</v>
      </c>
      <c r="CI683" s="73">
        <v>42947.0</v>
      </c>
      <c r="CJ683" s="58">
        <v>1.0</v>
      </c>
      <c r="CK683" s="58">
        <v>6.0</v>
      </c>
      <c r="CL683" s="58" t="s">
        <v>7131</v>
      </c>
      <c r="CM683" s="58" t="s">
        <v>6642</v>
      </c>
      <c r="CO683" s="58" t="s">
        <v>7132</v>
      </c>
      <c r="CR683" s="58">
        <v>4.0</v>
      </c>
      <c r="CT683" s="58">
        <v>22.0</v>
      </c>
      <c r="CU683" s="58" t="s">
        <v>239</v>
      </c>
      <c r="DL683" s="58" t="s">
        <v>7133</v>
      </c>
    </row>
    <row r="684" ht="15.75" customHeight="1">
      <c r="B684" s="58" t="s">
        <v>4587</v>
      </c>
      <c r="C684" s="58">
        <v>2021.0</v>
      </c>
      <c r="D684" s="58" t="s">
        <v>7134</v>
      </c>
      <c r="E684" s="58" t="s">
        <v>7135</v>
      </c>
      <c r="F684" s="58" t="s">
        <v>7136</v>
      </c>
      <c r="I684" s="58" t="s">
        <v>7137</v>
      </c>
      <c r="K684" s="73">
        <v>44589.0</v>
      </c>
      <c r="Z684" s="58" t="s">
        <v>239</v>
      </c>
      <c r="CH684" s="58" t="s">
        <v>7138</v>
      </c>
      <c r="CI684" s="73">
        <v>44589.0</v>
      </c>
      <c r="CJ684" s="58">
        <v>76.0</v>
      </c>
      <c r="CK684" s="58">
        <v>80.0</v>
      </c>
      <c r="CL684" s="58" t="s">
        <v>7139</v>
      </c>
      <c r="CM684" s="58" t="s">
        <v>7140</v>
      </c>
      <c r="CO684" s="58" t="s">
        <v>7141</v>
      </c>
      <c r="CP684" s="58" t="s">
        <v>7142</v>
      </c>
      <c r="CR684" s="58">
        <v>4.0</v>
      </c>
      <c r="CT684" s="58">
        <v>21.0</v>
      </c>
      <c r="CU684" s="58" t="s">
        <v>239</v>
      </c>
      <c r="DL684" s="58" t="s">
        <v>7143</v>
      </c>
    </row>
    <row r="685" ht="15.75" customHeight="1">
      <c r="B685" s="58" t="s">
        <v>4587</v>
      </c>
      <c r="C685" s="58">
        <v>2019.0</v>
      </c>
      <c r="D685" s="58" t="s">
        <v>7144</v>
      </c>
      <c r="E685" s="58" t="s">
        <v>7145</v>
      </c>
      <c r="F685" s="58" t="s">
        <v>5002</v>
      </c>
      <c r="H685" s="58" t="s">
        <v>5003</v>
      </c>
      <c r="I685" s="58" t="s">
        <v>7146</v>
      </c>
      <c r="K685" s="73">
        <v>43888.0</v>
      </c>
      <c r="Z685" s="58" t="s">
        <v>239</v>
      </c>
      <c r="CH685" s="58" t="s">
        <v>7147</v>
      </c>
      <c r="CI685" s="73">
        <v>43888.0</v>
      </c>
      <c r="CJ685" s="58">
        <v>1.0</v>
      </c>
      <c r="CK685" s="58">
        <v>6.0</v>
      </c>
      <c r="CL685" s="58" t="s">
        <v>7148</v>
      </c>
      <c r="CM685" s="58" t="s">
        <v>5007</v>
      </c>
      <c r="CO685" s="58" t="s">
        <v>7149</v>
      </c>
      <c r="CR685" s="58">
        <v>4.0</v>
      </c>
      <c r="CT685" s="58">
        <v>16.0</v>
      </c>
      <c r="CU685" s="58" t="s">
        <v>239</v>
      </c>
      <c r="DL685" s="58" t="s">
        <v>7150</v>
      </c>
    </row>
    <row r="686" ht="15.75" customHeight="1">
      <c r="B686" s="58" t="s">
        <v>4587</v>
      </c>
      <c r="C686" s="58">
        <v>2019.0</v>
      </c>
      <c r="D686" s="58" t="s">
        <v>7151</v>
      </c>
      <c r="E686" s="58" t="s">
        <v>7152</v>
      </c>
      <c r="F686" s="58" t="s">
        <v>5012</v>
      </c>
      <c r="H686" s="58" t="s">
        <v>5013</v>
      </c>
      <c r="I686" s="58" t="s">
        <v>7153</v>
      </c>
      <c r="K686" s="73">
        <v>43808.0</v>
      </c>
      <c r="R686" s="58">
        <v>1.0</v>
      </c>
      <c r="Z686" s="58" t="s">
        <v>239</v>
      </c>
      <c r="CH686" s="58" t="s">
        <v>7154</v>
      </c>
      <c r="CI686" s="73">
        <v>43808.0</v>
      </c>
      <c r="CJ686" s="58">
        <v>3024.0</v>
      </c>
      <c r="CK686" s="58">
        <v>3030.0</v>
      </c>
      <c r="CL686" s="58" t="s">
        <v>7155</v>
      </c>
      <c r="CM686" s="58" t="s">
        <v>5017</v>
      </c>
      <c r="CO686" s="58" t="s">
        <v>7156</v>
      </c>
      <c r="CP686" s="58" t="s">
        <v>7157</v>
      </c>
      <c r="CR686" s="58">
        <v>4.0</v>
      </c>
      <c r="CT686" s="58">
        <v>37.0</v>
      </c>
      <c r="CU686" s="58" t="s">
        <v>239</v>
      </c>
      <c r="DL686" s="58" t="s">
        <v>7158</v>
      </c>
    </row>
    <row r="687" ht="15.75" customHeight="1">
      <c r="B687" s="58" t="s">
        <v>4587</v>
      </c>
      <c r="C687" s="58">
        <v>2021.0</v>
      </c>
      <c r="D687" s="58" t="s">
        <v>7159</v>
      </c>
      <c r="E687" s="58" t="s">
        <v>7160</v>
      </c>
      <c r="F687" s="58" t="s">
        <v>7161</v>
      </c>
      <c r="I687" s="58" t="s">
        <v>7162</v>
      </c>
      <c r="K687" s="73">
        <v>44518.0</v>
      </c>
      <c r="Z687" s="58" t="s">
        <v>239</v>
      </c>
      <c r="CH687" s="58" t="s">
        <v>7163</v>
      </c>
      <c r="CI687" s="73">
        <v>44518.0</v>
      </c>
      <c r="CJ687" s="58">
        <v>403.0</v>
      </c>
      <c r="CK687" s="58">
        <v>407.0</v>
      </c>
      <c r="CL687" s="58" t="s">
        <v>7164</v>
      </c>
      <c r="CM687" s="58" t="s">
        <v>7165</v>
      </c>
      <c r="CO687" s="58" t="s">
        <v>7166</v>
      </c>
      <c r="CP687" s="58" t="s">
        <v>7167</v>
      </c>
      <c r="CR687" s="58">
        <v>4.0</v>
      </c>
      <c r="CT687" s="58">
        <v>6.0</v>
      </c>
      <c r="CU687" s="58" t="s">
        <v>239</v>
      </c>
      <c r="DL687" s="58" t="s">
        <v>7168</v>
      </c>
    </row>
    <row r="688" ht="15.75" customHeight="1">
      <c r="B688" s="58" t="s">
        <v>4587</v>
      </c>
      <c r="C688" s="58">
        <v>2018.0</v>
      </c>
      <c r="D688" s="58" t="s">
        <v>7169</v>
      </c>
      <c r="E688" s="58" t="s">
        <v>7170</v>
      </c>
      <c r="F688" s="58" t="s">
        <v>5458</v>
      </c>
      <c r="H688" s="58" t="s">
        <v>5034</v>
      </c>
      <c r="I688" s="58" t="s">
        <v>7171</v>
      </c>
      <c r="K688" s="73">
        <v>43405.0</v>
      </c>
      <c r="Z688" s="58" t="s">
        <v>239</v>
      </c>
      <c r="CH688" s="58" t="s">
        <v>7172</v>
      </c>
      <c r="CI688" s="73">
        <v>43405.0</v>
      </c>
      <c r="CJ688" s="58">
        <v>212.0</v>
      </c>
      <c r="CK688" s="58">
        <v>222.0</v>
      </c>
      <c r="CL688" s="58" t="s">
        <v>7173</v>
      </c>
      <c r="CM688" s="58" t="s">
        <v>5462</v>
      </c>
      <c r="CO688" s="58" t="s">
        <v>7174</v>
      </c>
      <c r="CP688" s="58" t="s">
        <v>7175</v>
      </c>
      <c r="CR688" s="58">
        <v>4.0</v>
      </c>
      <c r="CT688" s="58">
        <v>43.0</v>
      </c>
      <c r="CU688" s="58" t="s">
        <v>239</v>
      </c>
      <c r="DL688" s="58" t="s">
        <v>7176</v>
      </c>
    </row>
    <row r="689" ht="15.75" customHeight="1">
      <c r="B689" s="58" t="s">
        <v>4587</v>
      </c>
      <c r="C689" s="58">
        <v>2020.0</v>
      </c>
      <c r="D689" s="58" t="s">
        <v>7177</v>
      </c>
      <c r="E689" s="58" t="s">
        <v>7178</v>
      </c>
      <c r="F689" s="58" t="s">
        <v>7179</v>
      </c>
      <c r="I689" s="58" t="s">
        <v>7180</v>
      </c>
      <c r="K689" s="73">
        <v>44112.0</v>
      </c>
      <c r="Z689" s="58" t="s">
        <v>239</v>
      </c>
      <c r="CH689" s="58" t="s">
        <v>7181</v>
      </c>
      <c r="CI689" s="73">
        <v>44112.0</v>
      </c>
      <c r="CJ689" s="58">
        <v>393.0</v>
      </c>
      <c r="CK689" s="58">
        <v>400.0</v>
      </c>
      <c r="CL689" s="58" t="s">
        <v>7182</v>
      </c>
      <c r="CM689" s="58" t="s">
        <v>7183</v>
      </c>
      <c r="CO689" s="58" t="s">
        <v>7184</v>
      </c>
      <c r="CP689" s="58" t="s">
        <v>7185</v>
      </c>
      <c r="CR689" s="58">
        <v>4.0</v>
      </c>
      <c r="CT689" s="58">
        <v>12.0</v>
      </c>
      <c r="CU689" s="58" t="s">
        <v>239</v>
      </c>
      <c r="DL689" s="58" t="s">
        <v>7186</v>
      </c>
    </row>
    <row r="690" ht="15.75" customHeight="1">
      <c r="B690" s="58" t="s">
        <v>4587</v>
      </c>
      <c r="C690" s="58">
        <v>2022.0</v>
      </c>
      <c r="D690" s="58" t="s">
        <v>7187</v>
      </c>
      <c r="E690" s="58" t="s">
        <v>7188</v>
      </c>
      <c r="F690" s="58" t="s">
        <v>4701</v>
      </c>
      <c r="I690" s="58" t="s">
        <v>7189</v>
      </c>
      <c r="K690" s="73">
        <v>44938.0</v>
      </c>
      <c r="Z690" s="58" t="s">
        <v>239</v>
      </c>
      <c r="CH690" s="58" t="s">
        <v>7190</v>
      </c>
      <c r="CI690" s="73">
        <v>44938.0</v>
      </c>
      <c r="CJ690" s="58">
        <v>1.0</v>
      </c>
      <c r="CK690" s="58">
        <v>6.0</v>
      </c>
      <c r="CL690" s="58" t="s">
        <v>7191</v>
      </c>
      <c r="CM690" s="58" t="s">
        <v>4705</v>
      </c>
      <c r="CN690" s="58" t="s">
        <v>6223</v>
      </c>
      <c r="CO690" s="58" t="s">
        <v>7192</v>
      </c>
      <c r="CP690" s="58" t="s">
        <v>7193</v>
      </c>
      <c r="CR690" s="58">
        <v>4.0</v>
      </c>
      <c r="CT690" s="58">
        <v>11.0</v>
      </c>
      <c r="CU690" s="58" t="s">
        <v>239</v>
      </c>
      <c r="DL690" s="58" t="s">
        <v>7194</v>
      </c>
    </row>
    <row r="691" ht="15.75" customHeight="1">
      <c r="B691" s="58" t="s">
        <v>4587</v>
      </c>
      <c r="C691" s="58">
        <v>2020.0</v>
      </c>
      <c r="D691" s="58" t="s">
        <v>7195</v>
      </c>
      <c r="E691" s="58" t="s">
        <v>7196</v>
      </c>
      <c r="F691" s="58" t="s">
        <v>7197</v>
      </c>
      <c r="H691" s="58" t="s">
        <v>7198</v>
      </c>
      <c r="I691" s="58" t="s">
        <v>7199</v>
      </c>
      <c r="K691" s="73">
        <v>44225.0</v>
      </c>
      <c r="Z691" s="58" t="s">
        <v>239</v>
      </c>
      <c r="CH691" s="58" t="s">
        <v>7200</v>
      </c>
      <c r="CI691" s="73">
        <v>44225.0</v>
      </c>
      <c r="CJ691" s="58">
        <v>3206.0</v>
      </c>
      <c r="CK691" s="58">
        <v>3210.0</v>
      </c>
      <c r="CL691" s="58" t="s">
        <v>7201</v>
      </c>
      <c r="CM691" s="58" t="s">
        <v>7202</v>
      </c>
      <c r="CN691" s="58" t="s">
        <v>7203</v>
      </c>
      <c r="CO691" s="58" t="s">
        <v>7204</v>
      </c>
      <c r="CP691" s="58" t="s">
        <v>7205</v>
      </c>
      <c r="CR691" s="58">
        <v>4.0</v>
      </c>
      <c r="CT691" s="58">
        <v>22.0</v>
      </c>
      <c r="CU691" s="58" t="s">
        <v>239</v>
      </c>
      <c r="DL691" s="58" t="s">
        <v>7206</v>
      </c>
    </row>
    <row r="692" ht="15.75" customHeight="1">
      <c r="B692" s="58" t="s">
        <v>4587</v>
      </c>
      <c r="C692" s="58">
        <v>2018.0</v>
      </c>
      <c r="D692" s="58" t="s">
        <v>7207</v>
      </c>
      <c r="E692" s="58" t="s">
        <v>7208</v>
      </c>
      <c r="F692" s="58" t="s">
        <v>7209</v>
      </c>
      <c r="I692" s="58" t="s">
        <v>7210</v>
      </c>
      <c r="K692" s="73">
        <v>43380.0</v>
      </c>
      <c r="Z692" s="58" t="s">
        <v>239</v>
      </c>
      <c r="CH692" s="58" t="s">
        <v>7211</v>
      </c>
      <c r="CI692" s="73">
        <v>43380.0</v>
      </c>
      <c r="CJ692" s="58">
        <v>65.0</v>
      </c>
      <c r="CK692" s="58">
        <v>70.0</v>
      </c>
      <c r="CL692" s="58" t="s">
        <v>7212</v>
      </c>
      <c r="CM692" s="58" t="s">
        <v>7213</v>
      </c>
      <c r="CO692" s="58" t="s">
        <v>7214</v>
      </c>
      <c r="CP692" s="58" t="s">
        <v>7215</v>
      </c>
      <c r="CR692" s="58">
        <v>4.0</v>
      </c>
      <c r="CT692" s="58">
        <v>10.0</v>
      </c>
      <c r="CU692" s="58" t="s">
        <v>239</v>
      </c>
    </row>
    <row r="693" ht="15.75" customHeight="1">
      <c r="B693" s="58" t="s">
        <v>4587</v>
      </c>
      <c r="C693" s="58">
        <v>2016.0</v>
      </c>
      <c r="D693" s="58" t="s">
        <v>7216</v>
      </c>
      <c r="E693" s="58" t="s">
        <v>7217</v>
      </c>
      <c r="F693" s="58" t="s">
        <v>7218</v>
      </c>
      <c r="I693" s="58" t="s">
        <v>7219</v>
      </c>
      <c r="K693" s="73">
        <v>42509.0</v>
      </c>
      <c r="Z693" s="58" t="s">
        <v>239</v>
      </c>
      <c r="CH693" s="58" t="s">
        <v>7220</v>
      </c>
      <c r="CI693" s="73">
        <v>42509.0</v>
      </c>
      <c r="CJ693" s="58">
        <v>4.0</v>
      </c>
      <c r="CK693" s="58">
        <v>13.0</v>
      </c>
      <c r="CL693" s="58" t="s">
        <v>7221</v>
      </c>
      <c r="CM693" s="58" t="s">
        <v>7222</v>
      </c>
      <c r="CO693" s="58" t="s">
        <v>7223</v>
      </c>
      <c r="CP693" s="58" t="s">
        <v>7224</v>
      </c>
      <c r="CR693" s="58">
        <v>4.0</v>
      </c>
      <c r="CT693" s="58">
        <v>35.0</v>
      </c>
      <c r="CU693" s="58" t="s">
        <v>239</v>
      </c>
      <c r="DL693" s="58" t="s">
        <v>7225</v>
      </c>
    </row>
    <row r="694" ht="15.75" customHeight="1">
      <c r="B694" s="58" t="s">
        <v>4587</v>
      </c>
      <c r="C694" s="58">
        <v>2022.0</v>
      </c>
      <c r="D694" s="58" t="s">
        <v>7226</v>
      </c>
      <c r="E694" s="58" t="s">
        <v>7227</v>
      </c>
      <c r="F694" s="58" t="s">
        <v>4982</v>
      </c>
      <c r="I694" s="58" t="s">
        <v>7228</v>
      </c>
      <c r="K694" s="73">
        <v>44761.0</v>
      </c>
      <c r="Z694" s="58" t="s">
        <v>239</v>
      </c>
      <c r="CH694" s="58" t="s">
        <v>7229</v>
      </c>
      <c r="CI694" s="73">
        <v>44761.0</v>
      </c>
      <c r="CJ694" s="58">
        <v>279.0</v>
      </c>
      <c r="CK694" s="58">
        <v>288.0</v>
      </c>
      <c r="CL694" s="58" t="s">
        <v>7230</v>
      </c>
      <c r="CM694" s="58" t="s">
        <v>4986</v>
      </c>
      <c r="CN694" s="58" t="s">
        <v>7231</v>
      </c>
      <c r="CO694" s="58" t="s">
        <v>7232</v>
      </c>
      <c r="CP694" s="58" t="s">
        <v>7233</v>
      </c>
      <c r="CR694" s="58">
        <v>4.0</v>
      </c>
      <c r="CT694" s="58">
        <v>29.0</v>
      </c>
      <c r="CU694" s="58" t="s">
        <v>239</v>
      </c>
      <c r="DL694" s="58" t="s">
        <v>7234</v>
      </c>
    </row>
    <row r="695" ht="15.75" customHeight="1">
      <c r="B695" s="58" t="s">
        <v>4587</v>
      </c>
      <c r="C695" s="58">
        <v>2019.0</v>
      </c>
      <c r="D695" s="58" t="s">
        <v>7235</v>
      </c>
      <c r="E695" s="58" t="s">
        <v>7236</v>
      </c>
      <c r="F695" s="58" t="s">
        <v>7237</v>
      </c>
      <c r="I695" s="58" t="s">
        <v>7238</v>
      </c>
      <c r="K695" s="73">
        <v>43860.0</v>
      </c>
      <c r="Z695" s="58" t="s">
        <v>239</v>
      </c>
      <c r="CH695" s="58" t="s">
        <v>7239</v>
      </c>
      <c r="CI695" s="73">
        <v>43860.0</v>
      </c>
      <c r="CJ695" s="58">
        <v>134.0</v>
      </c>
      <c r="CK695" s="58">
        <v>139.0</v>
      </c>
      <c r="CL695" s="58" t="s">
        <v>7240</v>
      </c>
      <c r="CM695" s="58" t="s">
        <v>7241</v>
      </c>
      <c r="CO695" s="58" t="s">
        <v>7242</v>
      </c>
      <c r="CP695" s="58" t="s">
        <v>7243</v>
      </c>
      <c r="CR695" s="58">
        <v>4.0</v>
      </c>
      <c r="CT695" s="58">
        <v>13.0</v>
      </c>
      <c r="CU695" s="58" t="s">
        <v>239</v>
      </c>
    </row>
    <row r="696" ht="15.75" customHeight="1">
      <c r="B696" s="58" t="s">
        <v>4587</v>
      </c>
      <c r="C696" s="58">
        <v>2022.0</v>
      </c>
      <c r="D696" s="58" t="s">
        <v>7244</v>
      </c>
      <c r="E696" s="58" t="s">
        <v>7245</v>
      </c>
      <c r="F696" s="58" t="s">
        <v>7246</v>
      </c>
      <c r="I696" s="58" t="s">
        <v>7247</v>
      </c>
      <c r="K696" s="73">
        <v>44928.0</v>
      </c>
      <c r="Z696" s="58" t="s">
        <v>239</v>
      </c>
      <c r="CH696" s="58" t="s">
        <v>7248</v>
      </c>
      <c r="CI696" s="73">
        <v>44928.0</v>
      </c>
      <c r="CJ696" s="58">
        <v>516.0</v>
      </c>
      <c r="CK696" s="58">
        <v>520.0</v>
      </c>
      <c r="CL696" s="58" t="s">
        <v>7249</v>
      </c>
      <c r="CM696" s="58" t="s">
        <v>7250</v>
      </c>
      <c r="CO696" s="58" t="s">
        <v>7251</v>
      </c>
      <c r="CP696" s="58" t="s">
        <v>7252</v>
      </c>
      <c r="CR696" s="58">
        <v>4.0</v>
      </c>
      <c r="CT696" s="58">
        <v>19.0</v>
      </c>
      <c r="CU696" s="58" t="s">
        <v>239</v>
      </c>
      <c r="DL696" s="58" t="s">
        <v>7253</v>
      </c>
    </row>
    <row r="697" ht="15.75" customHeight="1">
      <c r="B697" s="58" t="s">
        <v>4587</v>
      </c>
      <c r="C697" s="58">
        <v>2022.0</v>
      </c>
      <c r="D697" s="58" t="s">
        <v>7254</v>
      </c>
      <c r="E697" s="58" t="s">
        <v>7255</v>
      </c>
      <c r="F697" s="58" t="s">
        <v>7256</v>
      </c>
      <c r="I697" s="58" t="s">
        <v>7257</v>
      </c>
      <c r="K697" s="73">
        <v>45005.0</v>
      </c>
      <c r="Z697" s="58" t="s">
        <v>239</v>
      </c>
      <c r="CH697" s="58" t="s">
        <v>7258</v>
      </c>
      <c r="CI697" s="73">
        <v>45005.0</v>
      </c>
      <c r="CJ697" s="58">
        <v>1.0</v>
      </c>
      <c r="CK697" s="58">
        <v>6.0</v>
      </c>
      <c r="CL697" s="58" t="s">
        <v>7259</v>
      </c>
      <c r="CM697" s="58" t="s">
        <v>7260</v>
      </c>
      <c r="CO697" s="58" t="s">
        <v>7261</v>
      </c>
      <c r="CP697" s="58" t="s">
        <v>7262</v>
      </c>
      <c r="CR697" s="58">
        <v>4.0</v>
      </c>
      <c r="CT697" s="58">
        <v>17.0</v>
      </c>
      <c r="CU697" s="58" t="s">
        <v>239</v>
      </c>
      <c r="DL697" s="58" t="s">
        <v>7263</v>
      </c>
    </row>
    <row r="698" ht="15.75" customHeight="1">
      <c r="B698" s="58" t="s">
        <v>4587</v>
      </c>
      <c r="C698" s="58">
        <v>2021.0</v>
      </c>
      <c r="D698" s="58" t="s">
        <v>7264</v>
      </c>
      <c r="E698" s="58" t="s">
        <v>7265</v>
      </c>
      <c r="F698" s="58" t="s">
        <v>7266</v>
      </c>
      <c r="I698" s="58" t="s">
        <v>7267</v>
      </c>
      <c r="K698" s="73">
        <v>44490.0</v>
      </c>
      <c r="Z698" s="58" t="s">
        <v>239</v>
      </c>
      <c r="CH698" s="58" t="s">
        <v>7268</v>
      </c>
      <c r="CI698" s="73">
        <v>44490.0</v>
      </c>
      <c r="CJ698" s="58">
        <v>1.0</v>
      </c>
      <c r="CK698" s="58">
        <v>6.0</v>
      </c>
      <c r="CL698" s="58" t="s">
        <v>7269</v>
      </c>
      <c r="CM698" s="58" t="s">
        <v>7270</v>
      </c>
      <c r="CO698" s="58" t="s">
        <v>7271</v>
      </c>
      <c r="CP698" s="58" t="s">
        <v>7272</v>
      </c>
      <c r="CR698" s="58">
        <v>4.0</v>
      </c>
      <c r="CT698" s="58">
        <v>23.0</v>
      </c>
      <c r="DL698" s="58" t="s">
        <v>7273</v>
      </c>
    </row>
    <row r="699" ht="15.75" customHeight="1">
      <c r="B699" s="58" t="s">
        <v>4587</v>
      </c>
      <c r="C699" s="58">
        <v>2019.0</v>
      </c>
      <c r="D699" s="58" t="s">
        <v>7274</v>
      </c>
      <c r="E699" s="58" t="s">
        <v>7275</v>
      </c>
      <c r="F699" s="58" t="s">
        <v>7276</v>
      </c>
      <c r="I699" s="58" t="s">
        <v>7277</v>
      </c>
      <c r="K699" s="73">
        <v>43692.0</v>
      </c>
      <c r="Z699" s="58" t="s">
        <v>239</v>
      </c>
      <c r="CH699" s="58" t="s">
        <v>7278</v>
      </c>
      <c r="CI699" s="73">
        <v>43692.0</v>
      </c>
      <c r="CJ699" s="58">
        <v>306.0</v>
      </c>
      <c r="CK699" s="58">
        <v>311.0</v>
      </c>
      <c r="CL699" s="58" t="s">
        <v>7279</v>
      </c>
      <c r="CM699" s="58" t="s">
        <v>7280</v>
      </c>
      <c r="CO699" s="58" t="s">
        <v>7281</v>
      </c>
      <c r="CP699" s="58" t="s">
        <v>7282</v>
      </c>
      <c r="CR699" s="58">
        <v>4.0</v>
      </c>
      <c r="CT699" s="58">
        <v>19.0</v>
      </c>
      <c r="CU699" s="58" t="s">
        <v>239</v>
      </c>
    </row>
    <row r="700" ht="15.75" customHeight="1">
      <c r="B700" s="58" t="s">
        <v>4587</v>
      </c>
      <c r="C700" s="58">
        <v>2017.0</v>
      </c>
      <c r="D700" s="58" t="s">
        <v>7283</v>
      </c>
      <c r="E700" s="58" t="s">
        <v>7284</v>
      </c>
      <c r="F700" s="58" t="s">
        <v>7285</v>
      </c>
      <c r="I700" s="58" t="s">
        <v>7286</v>
      </c>
      <c r="K700" s="73">
        <v>43080.0</v>
      </c>
      <c r="Z700" s="58" t="s">
        <v>239</v>
      </c>
      <c r="CH700" s="58" t="s">
        <v>7287</v>
      </c>
      <c r="CI700" s="73">
        <v>43080.0</v>
      </c>
      <c r="CJ700" s="58">
        <v>1.0</v>
      </c>
      <c r="CK700" s="58">
        <v>6.0</v>
      </c>
      <c r="CL700" s="58" t="s">
        <v>7288</v>
      </c>
      <c r="CM700" s="58" t="s">
        <v>7289</v>
      </c>
      <c r="CO700" s="58" t="s">
        <v>7290</v>
      </c>
      <c r="CP700" s="58" t="s">
        <v>7291</v>
      </c>
      <c r="CR700" s="58">
        <v>4.0</v>
      </c>
      <c r="CT700" s="58">
        <v>20.0</v>
      </c>
      <c r="CU700" s="58" t="s">
        <v>239</v>
      </c>
      <c r="DL700" s="58" t="s">
        <v>7292</v>
      </c>
    </row>
    <row r="701" ht="15.75" customHeight="1">
      <c r="B701" s="58" t="s">
        <v>4587</v>
      </c>
      <c r="C701" s="58">
        <v>2018.0</v>
      </c>
      <c r="D701" s="58" t="s">
        <v>7293</v>
      </c>
      <c r="E701" s="58" t="s">
        <v>7294</v>
      </c>
      <c r="F701" s="58" t="s">
        <v>7295</v>
      </c>
      <c r="I701" s="58" t="s">
        <v>7296</v>
      </c>
      <c r="K701" s="73">
        <v>43255.0</v>
      </c>
      <c r="Z701" s="58" t="s">
        <v>239</v>
      </c>
      <c r="CH701" s="58" t="s">
        <v>7297</v>
      </c>
      <c r="CI701" s="73">
        <v>43255.0</v>
      </c>
      <c r="CJ701" s="58">
        <v>1.0</v>
      </c>
      <c r="CK701" s="58">
        <v>5.0</v>
      </c>
      <c r="CL701" s="58" t="s">
        <v>7298</v>
      </c>
      <c r="CM701" s="58" t="s">
        <v>7299</v>
      </c>
      <c r="CO701" s="58" t="s">
        <v>7300</v>
      </c>
      <c r="CP701" s="58" t="s">
        <v>7301</v>
      </c>
      <c r="CR701" s="58">
        <v>4.0</v>
      </c>
      <c r="CT701" s="58">
        <v>20.0</v>
      </c>
      <c r="CU701" s="58" t="s">
        <v>239</v>
      </c>
      <c r="DL701" s="58" t="s">
        <v>7302</v>
      </c>
    </row>
    <row r="702" ht="15.75" customHeight="1">
      <c r="B702" s="58" t="s">
        <v>4587</v>
      </c>
      <c r="C702" s="58">
        <v>2021.0</v>
      </c>
      <c r="D702" s="58" t="s">
        <v>7303</v>
      </c>
      <c r="E702" s="58" t="s">
        <v>7304</v>
      </c>
      <c r="F702" s="58" t="s">
        <v>4971</v>
      </c>
      <c r="H702" s="58" t="s">
        <v>4972</v>
      </c>
      <c r="I702" s="58" t="s">
        <v>7305</v>
      </c>
      <c r="K702" s="73">
        <v>44386.0</v>
      </c>
      <c r="Z702" s="58" t="s">
        <v>239</v>
      </c>
      <c r="CH702" s="58" t="s">
        <v>7306</v>
      </c>
      <c r="CI702" s="73">
        <v>44386.0</v>
      </c>
      <c r="CJ702" s="58">
        <v>1.0</v>
      </c>
      <c r="CK702" s="58">
        <v>6.0</v>
      </c>
      <c r="CL702" s="58" t="s">
        <v>7307</v>
      </c>
      <c r="CM702" s="58" t="s">
        <v>4976</v>
      </c>
      <c r="CN702" s="58" t="s">
        <v>7308</v>
      </c>
      <c r="CO702" s="58" t="s">
        <v>7309</v>
      </c>
      <c r="CP702" s="58" t="s">
        <v>7310</v>
      </c>
      <c r="CR702" s="58">
        <v>4.0</v>
      </c>
      <c r="CT702" s="58">
        <v>15.0</v>
      </c>
      <c r="CU702" s="58" t="s">
        <v>239</v>
      </c>
      <c r="DL702" s="58" t="s">
        <v>7311</v>
      </c>
    </row>
    <row r="703" ht="15.75" customHeight="1">
      <c r="B703" s="58" t="s">
        <v>4587</v>
      </c>
      <c r="C703" s="58">
        <v>2017.0</v>
      </c>
      <c r="D703" s="58" t="s">
        <v>7312</v>
      </c>
      <c r="E703" s="58" t="s">
        <v>7313</v>
      </c>
      <c r="F703" s="58" t="s">
        <v>7314</v>
      </c>
      <c r="I703" s="58" t="s">
        <v>7315</v>
      </c>
      <c r="K703" s="73">
        <v>42915.0</v>
      </c>
      <c r="Z703" s="58" t="s">
        <v>239</v>
      </c>
      <c r="CH703" s="58" t="s">
        <v>7316</v>
      </c>
      <c r="CI703" s="73">
        <v>42915.0</v>
      </c>
      <c r="CJ703" s="58">
        <v>1.0</v>
      </c>
      <c r="CK703" s="58">
        <v>8.0</v>
      </c>
      <c r="CL703" s="58" t="s">
        <v>7317</v>
      </c>
      <c r="CM703" s="58" t="s">
        <v>7318</v>
      </c>
      <c r="CO703" s="58" t="s">
        <v>7319</v>
      </c>
      <c r="CP703" s="58" t="s">
        <v>7320</v>
      </c>
      <c r="CR703" s="58">
        <v>4.0</v>
      </c>
      <c r="CT703" s="58">
        <v>32.0</v>
      </c>
      <c r="DL703" s="58" t="s">
        <v>7321</v>
      </c>
    </row>
    <row r="704" ht="15.75" customHeight="1">
      <c r="B704" s="58" t="s">
        <v>4587</v>
      </c>
      <c r="C704" s="58">
        <v>2022.0</v>
      </c>
      <c r="D704" s="58" t="s">
        <v>7322</v>
      </c>
      <c r="E704" s="58" t="s">
        <v>7323</v>
      </c>
      <c r="F704" s="58" t="s">
        <v>7324</v>
      </c>
      <c r="H704" s="58" t="s">
        <v>5003</v>
      </c>
      <c r="I704" s="58" t="s">
        <v>7325</v>
      </c>
      <c r="K704" s="73">
        <v>44937.0</v>
      </c>
      <c r="Z704" s="58" t="s">
        <v>239</v>
      </c>
      <c r="CH704" s="58" t="s">
        <v>7326</v>
      </c>
      <c r="CI704" s="73">
        <v>44937.0</v>
      </c>
      <c r="CJ704" s="58">
        <v>6133.0</v>
      </c>
      <c r="CK704" s="58">
        <v>6138.0</v>
      </c>
      <c r="CL704" s="58" t="s">
        <v>7327</v>
      </c>
      <c r="CM704" s="58" t="s">
        <v>7328</v>
      </c>
      <c r="CO704" s="58" t="s">
        <v>7329</v>
      </c>
      <c r="CP704" s="58" t="s">
        <v>7330</v>
      </c>
      <c r="CR704" s="58">
        <v>4.0</v>
      </c>
      <c r="CT704" s="58">
        <v>14.0</v>
      </c>
      <c r="CU704" s="58" t="s">
        <v>239</v>
      </c>
      <c r="DL704" s="58" t="s">
        <v>7331</v>
      </c>
    </row>
    <row r="705" ht="15.75" customHeight="1">
      <c r="B705" s="58" t="s">
        <v>4587</v>
      </c>
      <c r="C705" s="58">
        <v>2021.0</v>
      </c>
      <c r="D705" s="58" t="s">
        <v>7332</v>
      </c>
      <c r="E705" s="58" t="s">
        <v>7333</v>
      </c>
      <c r="F705" s="58" t="s">
        <v>5073</v>
      </c>
      <c r="I705" s="58" t="s">
        <v>7334</v>
      </c>
      <c r="K705" s="73">
        <v>44585.0</v>
      </c>
      <c r="Z705" s="58" t="s">
        <v>239</v>
      </c>
      <c r="CH705" s="58" t="s">
        <v>7335</v>
      </c>
      <c r="CI705" s="73">
        <v>44585.0</v>
      </c>
      <c r="CJ705" s="58">
        <v>1.0</v>
      </c>
      <c r="CK705" s="58">
        <v>6.0</v>
      </c>
      <c r="CL705" s="58" t="s">
        <v>7336</v>
      </c>
      <c r="CM705" s="58" t="s">
        <v>5077</v>
      </c>
      <c r="CO705" s="58" t="s">
        <v>7337</v>
      </c>
      <c r="CP705" s="58" t="s">
        <v>7338</v>
      </c>
      <c r="CR705" s="58">
        <v>4.0</v>
      </c>
      <c r="CT705" s="58">
        <v>20.0</v>
      </c>
      <c r="CU705" s="58" t="s">
        <v>239</v>
      </c>
      <c r="DL705" s="58" t="s">
        <v>7339</v>
      </c>
    </row>
    <row r="706" ht="15.75" customHeight="1">
      <c r="B706" s="58" t="s">
        <v>4587</v>
      </c>
      <c r="C706" s="58">
        <v>2021.0</v>
      </c>
      <c r="D706" s="58" t="s">
        <v>7340</v>
      </c>
      <c r="E706" s="58" t="s">
        <v>7341</v>
      </c>
      <c r="F706" s="58" t="s">
        <v>7342</v>
      </c>
      <c r="I706" s="58" t="s">
        <v>7343</v>
      </c>
      <c r="K706" s="73">
        <v>44326.0</v>
      </c>
      <c r="Z706" s="58" t="s">
        <v>239</v>
      </c>
      <c r="CH706" s="58" t="s">
        <v>7344</v>
      </c>
      <c r="CI706" s="73">
        <v>44326.0</v>
      </c>
      <c r="CJ706" s="58">
        <v>46.0</v>
      </c>
      <c r="CK706" s="58">
        <v>53.0</v>
      </c>
      <c r="CL706" s="58" t="s">
        <v>7345</v>
      </c>
      <c r="CM706" s="58" t="s">
        <v>7346</v>
      </c>
      <c r="CO706" s="58" t="s">
        <v>7347</v>
      </c>
      <c r="CP706" s="58" t="s">
        <v>7348</v>
      </c>
      <c r="CR706" s="58">
        <v>3.0</v>
      </c>
      <c r="CT706" s="58">
        <v>23.0</v>
      </c>
      <c r="CU706" s="58" t="s">
        <v>239</v>
      </c>
      <c r="DL706" s="58" t="s">
        <v>7349</v>
      </c>
    </row>
    <row r="707" ht="15.75" customHeight="1">
      <c r="B707" s="58" t="s">
        <v>4587</v>
      </c>
      <c r="C707" s="58">
        <v>2018.0</v>
      </c>
      <c r="D707" s="58" t="s">
        <v>7350</v>
      </c>
      <c r="E707" s="58" t="s">
        <v>7351</v>
      </c>
      <c r="F707" s="58" t="s">
        <v>7352</v>
      </c>
      <c r="I707" s="58" t="s">
        <v>7353</v>
      </c>
      <c r="K707" s="73">
        <v>43405.0</v>
      </c>
      <c r="Z707" s="58" t="s">
        <v>239</v>
      </c>
      <c r="CH707" s="58" t="s">
        <v>7354</v>
      </c>
      <c r="CI707" s="73">
        <v>43405.0</v>
      </c>
      <c r="CJ707" s="58">
        <v>427.0</v>
      </c>
      <c r="CK707" s="58">
        <v>434.0</v>
      </c>
      <c r="CL707" s="58" t="s">
        <v>7355</v>
      </c>
      <c r="CM707" s="58" t="s">
        <v>7356</v>
      </c>
      <c r="CO707" s="58" t="s">
        <v>7357</v>
      </c>
      <c r="CP707" s="58" t="s">
        <v>7358</v>
      </c>
      <c r="CR707" s="58">
        <v>3.0</v>
      </c>
      <c r="CT707" s="58">
        <v>36.0</v>
      </c>
      <c r="CU707" s="58" t="s">
        <v>239</v>
      </c>
      <c r="DL707" s="58" t="s">
        <v>7359</v>
      </c>
    </row>
    <row r="708" ht="15.75" customHeight="1">
      <c r="B708" s="58" t="s">
        <v>4587</v>
      </c>
      <c r="C708" s="58">
        <v>2018.0</v>
      </c>
      <c r="D708" s="58" t="s">
        <v>7360</v>
      </c>
      <c r="E708" s="58" t="s">
        <v>7361</v>
      </c>
      <c r="F708" s="58" t="s">
        <v>7362</v>
      </c>
      <c r="I708" s="58" t="s">
        <v>7363</v>
      </c>
      <c r="K708" s="73">
        <v>43216.0</v>
      </c>
      <c r="Z708" s="58" t="s">
        <v>239</v>
      </c>
      <c r="CH708" s="58" t="s">
        <v>7364</v>
      </c>
      <c r="CI708" s="73">
        <v>43216.0</v>
      </c>
      <c r="CJ708" s="58">
        <v>1.0</v>
      </c>
      <c r="CK708" s="58">
        <v>4.0</v>
      </c>
      <c r="CL708" s="58" t="s">
        <v>7365</v>
      </c>
      <c r="CM708" s="58" t="s">
        <v>7366</v>
      </c>
      <c r="CO708" s="58" t="s">
        <v>7367</v>
      </c>
      <c r="CP708" s="58" t="s">
        <v>7368</v>
      </c>
      <c r="CR708" s="58">
        <v>3.0</v>
      </c>
      <c r="CT708" s="58">
        <v>13.0</v>
      </c>
      <c r="CU708" s="58" t="s">
        <v>239</v>
      </c>
      <c r="DL708" s="58" t="s">
        <v>7369</v>
      </c>
    </row>
    <row r="709" ht="15.75" customHeight="1">
      <c r="B709" s="58" t="s">
        <v>4587</v>
      </c>
      <c r="C709" s="58">
        <v>2022.0</v>
      </c>
      <c r="D709" s="58" t="s">
        <v>7370</v>
      </c>
      <c r="E709" s="58" t="s">
        <v>7371</v>
      </c>
      <c r="F709" s="58" t="s">
        <v>6525</v>
      </c>
      <c r="I709" s="58" t="s">
        <v>7372</v>
      </c>
      <c r="K709" s="73">
        <v>44834.0</v>
      </c>
      <c r="Z709" s="58" t="s">
        <v>239</v>
      </c>
      <c r="CH709" s="58" t="s">
        <v>6527</v>
      </c>
      <c r="CI709" s="73">
        <v>44834.0</v>
      </c>
      <c r="CJ709" s="58">
        <v>1.0</v>
      </c>
      <c r="CK709" s="58">
        <v>7.0</v>
      </c>
      <c r="CL709" s="58" t="s">
        <v>7373</v>
      </c>
      <c r="CM709" s="58" t="s">
        <v>6529</v>
      </c>
      <c r="CO709" s="58" t="s">
        <v>7374</v>
      </c>
      <c r="CP709" s="58" t="s">
        <v>7375</v>
      </c>
      <c r="CR709" s="58">
        <v>3.0</v>
      </c>
      <c r="CT709" s="58">
        <v>20.0</v>
      </c>
      <c r="CU709" s="58" t="s">
        <v>239</v>
      </c>
      <c r="DL709" s="58" t="s">
        <v>7376</v>
      </c>
    </row>
    <row r="710" ht="15.75" customHeight="1">
      <c r="B710" s="58" t="s">
        <v>4587</v>
      </c>
      <c r="C710" s="58">
        <v>2022.0</v>
      </c>
      <c r="D710" s="58" t="s">
        <v>7377</v>
      </c>
      <c r="E710" s="58" t="s">
        <v>7378</v>
      </c>
      <c r="F710" s="58" t="s">
        <v>7379</v>
      </c>
      <c r="I710" s="58" t="s">
        <v>7380</v>
      </c>
      <c r="K710" s="73">
        <v>44964.0</v>
      </c>
      <c r="Z710" s="58" t="s">
        <v>239</v>
      </c>
      <c r="CH710" s="58" t="s">
        <v>7381</v>
      </c>
      <c r="CI710" s="73">
        <v>44964.0</v>
      </c>
      <c r="CJ710" s="58">
        <v>835.0</v>
      </c>
      <c r="CK710" s="58">
        <v>842.0</v>
      </c>
      <c r="CL710" s="58" t="s">
        <v>7382</v>
      </c>
      <c r="CM710" s="58" t="s">
        <v>7383</v>
      </c>
      <c r="CO710" s="58" t="s">
        <v>7384</v>
      </c>
      <c r="CP710" s="58" t="s">
        <v>7385</v>
      </c>
      <c r="CR710" s="58">
        <v>3.0</v>
      </c>
      <c r="CT710" s="58">
        <v>15.0</v>
      </c>
      <c r="CU710" s="58" t="s">
        <v>239</v>
      </c>
      <c r="DL710" s="58" t="s">
        <v>7386</v>
      </c>
    </row>
    <row r="711" ht="15.75" customHeight="1">
      <c r="B711" s="58" t="s">
        <v>4587</v>
      </c>
      <c r="C711" s="58">
        <v>2020.0</v>
      </c>
      <c r="D711" s="58" t="s">
        <v>7387</v>
      </c>
      <c r="E711" s="58" t="s">
        <v>7388</v>
      </c>
      <c r="F711" s="58" t="s">
        <v>7389</v>
      </c>
      <c r="I711" s="58" t="s">
        <v>7390</v>
      </c>
      <c r="K711" s="73">
        <v>44146.0</v>
      </c>
      <c r="Z711" s="58" t="s">
        <v>239</v>
      </c>
      <c r="CH711" s="58" t="s">
        <v>7391</v>
      </c>
      <c r="CI711" s="73">
        <v>44146.0</v>
      </c>
      <c r="CJ711" s="58">
        <v>8.0</v>
      </c>
      <c r="CK711" s="58">
        <v>15.0</v>
      </c>
      <c r="CL711" s="58" t="s">
        <v>7392</v>
      </c>
      <c r="CM711" s="58" t="s">
        <v>7393</v>
      </c>
      <c r="CO711" s="58" t="s">
        <v>7394</v>
      </c>
      <c r="CP711" s="58" t="s">
        <v>7395</v>
      </c>
      <c r="CR711" s="58">
        <v>3.0</v>
      </c>
      <c r="CT711" s="58">
        <v>25.0</v>
      </c>
      <c r="CU711" s="58" t="s">
        <v>239</v>
      </c>
      <c r="DL711" s="58" t="s">
        <v>7396</v>
      </c>
    </row>
    <row r="712" ht="15.75" customHeight="1">
      <c r="B712" s="58" t="s">
        <v>4587</v>
      </c>
      <c r="C712" s="58">
        <v>2021.0</v>
      </c>
      <c r="D712" s="58" t="s">
        <v>7397</v>
      </c>
      <c r="E712" s="58" t="s">
        <v>7398</v>
      </c>
      <c r="F712" s="58" t="s">
        <v>7399</v>
      </c>
      <c r="H712" s="58" t="s">
        <v>6074</v>
      </c>
      <c r="I712" s="58" t="s">
        <v>7400</v>
      </c>
      <c r="K712" s="73">
        <v>44481.0</v>
      </c>
      <c r="Z712" s="58" t="s">
        <v>239</v>
      </c>
      <c r="CH712" s="58" t="s">
        <v>7401</v>
      </c>
      <c r="CI712" s="73">
        <v>44481.0</v>
      </c>
      <c r="CJ712" s="58">
        <v>1.0</v>
      </c>
      <c r="CK712" s="58">
        <v>6.0</v>
      </c>
      <c r="CL712" s="58" t="s">
        <v>7402</v>
      </c>
      <c r="CM712" s="58" t="s">
        <v>7403</v>
      </c>
      <c r="CO712" s="58" t="s">
        <v>7404</v>
      </c>
      <c r="CP712" s="58" t="s">
        <v>7405</v>
      </c>
      <c r="CR712" s="58">
        <v>3.0</v>
      </c>
      <c r="CT712" s="58">
        <v>15.0</v>
      </c>
      <c r="DL712" s="58" t="s">
        <v>7406</v>
      </c>
    </row>
    <row r="713" ht="15.75" customHeight="1">
      <c r="B713" s="58" t="s">
        <v>4587</v>
      </c>
      <c r="C713" s="58">
        <v>2017.0</v>
      </c>
      <c r="D713" s="58" t="s">
        <v>7407</v>
      </c>
      <c r="E713" s="58" t="s">
        <v>7408</v>
      </c>
      <c r="F713" s="58" t="s">
        <v>5053</v>
      </c>
      <c r="I713" s="58" t="s">
        <v>7409</v>
      </c>
      <c r="K713" s="73">
        <v>42989.0</v>
      </c>
      <c r="Z713" s="58" t="s">
        <v>239</v>
      </c>
      <c r="CH713" s="58" t="s">
        <v>7410</v>
      </c>
      <c r="CI713" s="73">
        <v>42989.0</v>
      </c>
      <c r="CJ713" s="58">
        <v>436.0</v>
      </c>
      <c r="CK713" s="58">
        <v>443.0</v>
      </c>
      <c r="CL713" s="58" t="s">
        <v>7411</v>
      </c>
      <c r="CM713" s="58" t="s">
        <v>5057</v>
      </c>
      <c r="CO713" s="58" t="s">
        <v>7412</v>
      </c>
      <c r="CP713" s="58" t="s">
        <v>7413</v>
      </c>
      <c r="CR713" s="58">
        <v>3.0</v>
      </c>
      <c r="CT713" s="58">
        <v>30.0</v>
      </c>
      <c r="CU713" s="58" t="s">
        <v>239</v>
      </c>
      <c r="DL713" s="58" t="s">
        <v>7414</v>
      </c>
    </row>
    <row r="714" ht="15.75" customHeight="1">
      <c r="B714" s="58" t="s">
        <v>4587</v>
      </c>
      <c r="C714" s="58">
        <v>2021.0</v>
      </c>
      <c r="D714" s="58" t="s">
        <v>7415</v>
      </c>
      <c r="E714" s="58" t="s">
        <v>7416</v>
      </c>
      <c r="F714" s="58" t="s">
        <v>7417</v>
      </c>
      <c r="I714" s="58" t="s">
        <v>7418</v>
      </c>
      <c r="K714" s="73">
        <v>44365.0</v>
      </c>
      <c r="Z714" s="58" t="s">
        <v>239</v>
      </c>
      <c r="CH714" s="58" t="s">
        <v>7419</v>
      </c>
      <c r="CI714" s="73">
        <v>44365.0</v>
      </c>
      <c r="CJ714" s="58">
        <v>1129.0</v>
      </c>
      <c r="CK714" s="58">
        <v>1132.0</v>
      </c>
      <c r="CL714" s="58" t="s">
        <v>7420</v>
      </c>
      <c r="CM714" s="58" t="s">
        <v>7421</v>
      </c>
      <c r="CO714" s="58" t="s">
        <v>7422</v>
      </c>
      <c r="CP714" s="58" t="s">
        <v>7423</v>
      </c>
      <c r="CR714" s="58">
        <v>3.0</v>
      </c>
      <c r="CT714" s="58">
        <v>14.0</v>
      </c>
      <c r="CU714" s="58" t="s">
        <v>239</v>
      </c>
      <c r="DL714" s="58" t="s">
        <v>7424</v>
      </c>
    </row>
    <row r="715" ht="15.75" customHeight="1">
      <c r="B715" s="58" t="s">
        <v>4587</v>
      </c>
      <c r="C715" s="58">
        <v>2020.0</v>
      </c>
      <c r="D715" s="58" t="s">
        <v>7425</v>
      </c>
      <c r="E715" s="58" t="s">
        <v>7426</v>
      </c>
      <c r="F715" s="58" t="s">
        <v>7427</v>
      </c>
      <c r="I715" s="58" t="s">
        <v>7428</v>
      </c>
      <c r="K715" s="73">
        <v>44182.0</v>
      </c>
      <c r="Z715" s="58" t="s">
        <v>239</v>
      </c>
      <c r="CH715" s="58" t="s">
        <v>7429</v>
      </c>
      <c r="CI715" s="73">
        <v>44182.0</v>
      </c>
      <c r="CJ715" s="58">
        <v>608.0</v>
      </c>
      <c r="CK715" s="58">
        <v>613.0</v>
      </c>
      <c r="CL715" s="58" t="s">
        <v>7430</v>
      </c>
      <c r="CM715" s="58" t="s">
        <v>7431</v>
      </c>
      <c r="CO715" s="58" t="s">
        <v>7432</v>
      </c>
      <c r="CP715" s="58" t="s">
        <v>7433</v>
      </c>
      <c r="CR715" s="58">
        <v>3.0</v>
      </c>
      <c r="CT715" s="58">
        <v>22.0</v>
      </c>
      <c r="CU715" s="58" t="s">
        <v>239</v>
      </c>
      <c r="DL715" s="58" t="s">
        <v>7434</v>
      </c>
    </row>
    <row r="716" ht="15.75" customHeight="1">
      <c r="B716" s="58" t="s">
        <v>4587</v>
      </c>
      <c r="C716" s="58">
        <v>2021.0</v>
      </c>
      <c r="D716" s="58" t="s">
        <v>7435</v>
      </c>
      <c r="E716" s="58" t="s">
        <v>7436</v>
      </c>
      <c r="F716" s="58" t="s">
        <v>7437</v>
      </c>
      <c r="I716" s="58" t="s">
        <v>7438</v>
      </c>
      <c r="K716" s="73">
        <v>44603.0</v>
      </c>
      <c r="Z716" s="58" t="s">
        <v>239</v>
      </c>
      <c r="CH716" s="58" t="s">
        <v>7439</v>
      </c>
      <c r="CI716" s="73">
        <v>44603.0</v>
      </c>
      <c r="CJ716" s="58">
        <v>1.0</v>
      </c>
      <c r="CK716" s="58">
        <v>8.0</v>
      </c>
      <c r="CL716" s="58" t="s">
        <v>7440</v>
      </c>
      <c r="CM716" s="58" t="s">
        <v>7441</v>
      </c>
      <c r="CO716" s="58" t="s">
        <v>7442</v>
      </c>
      <c r="CP716" s="58" t="s">
        <v>7443</v>
      </c>
      <c r="CR716" s="58">
        <v>3.0</v>
      </c>
      <c r="CT716" s="58">
        <v>41.0</v>
      </c>
      <c r="CU716" s="58" t="s">
        <v>239</v>
      </c>
      <c r="DL716" s="58" t="s">
        <v>7444</v>
      </c>
    </row>
    <row r="717" ht="15.75" customHeight="1">
      <c r="B717" s="58" t="s">
        <v>4587</v>
      </c>
      <c r="C717" s="58">
        <v>2022.0</v>
      </c>
      <c r="D717" s="58" t="s">
        <v>7445</v>
      </c>
      <c r="E717" s="58" t="s">
        <v>7446</v>
      </c>
      <c r="F717" s="58" t="s">
        <v>7447</v>
      </c>
      <c r="I717" s="58" t="s">
        <v>7448</v>
      </c>
      <c r="K717" s="73">
        <v>44770.0</v>
      </c>
      <c r="Z717" s="58" t="s">
        <v>239</v>
      </c>
      <c r="CH717" s="58" t="s">
        <v>7449</v>
      </c>
      <c r="CI717" s="73">
        <v>44770.0</v>
      </c>
      <c r="CJ717" s="58">
        <v>1.0</v>
      </c>
      <c r="CK717" s="58">
        <v>5.0</v>
      </c>
      <c r="CL717" s="58" t="s">
        <v>7450</v>
      </c>
      <c r="CM717" s="58" t="s">
        <v>7451</v>
      </c>
      <c r="CO717" s="58" t="s">
        <v>7452</v>
      </c>
      <c r="CP717" s="58" t="s">
        <v>7453</v>
      </c>
      <c r="CR717" s="58">
        <v>3.0</v>
      </c>
      <c r="CT717" s="58">
        <v>11.0</v>
      </c>
      <c r="CU717" s="58" t="s">
        <v>239</v>
      </c>
      <c r="DL717" s="58" t="s">
        <v>7454</v>
      </c>
    </row>
    <row r="718" ht="15.75" customHeight="1">
      <c r="B718" s="58" t="s">
        <v>4587</v>
      </c>
      <c r="C718" s="58">
        <v>2020.0</v>
      </c>
      <c r="D718" s="58" t="s">
        <v>7455</v>
      </c>
      <c r="E718" s="58" t="s">
        <v>7456</v>
      </c>
      <c r="F718" s="58" t="s">
        <v>7457</v>
      </c>
      <c r="H718" s="58" t="s">
        <v>7458</v>
      </c>
      <c r="I718" s="58" t="s">
        <v>7459</v>
      </c>
      <c r="K718" s="73">
        <v>44193.0</v>
      </c>
      <c r="Z718" s="58" t="s">
        <v>239</v>
      </c>
      <c r="CH718" s="58" t="s">
        <v>7460</v>
      </c>
      <c r="CI718" s="73">
        <v>44193.0</v>
      </c>
      <c r="CJ718" s="58">
        <v>176.0</v>
      </c>
      <c r="CK718" s="58">
        <v>181.0</v>
      </c>
      <c r="CL718" s="58" t="s">
        <v>7461</v>
      </c>
      <c r="CM718" s="58" t="s">
        <v>7462</v>
      </c>
      <c r="CO718" s="58" t="s">
        <v>7463</v>
      </c>
      <c r="CP718" s="58" t="s">
        <v>7464</v>
      </c>
      <c r="CR718" s="58">
        <v>3.0</v>
      </c>
      <c r="CT718" s="58">
        <v>15.0</v>
      </c>
      <c r="CU718" s="58" t="s">
        <v>239</v>
      </c>
      <c r="DL718" s="58" t="s">
        <v>7465</v>
      </c>
    </row>
    <row r="719" ht="15.75" customHeight="1">
      <c r="B719" s="58" t="s">
        <v>4587</v>
      </c>
      <c r="C719" s="58">
        <v>2022.0</v>
      </c>
      <c r="D719" s="58" t="s">
        <v>7466</v>
      </c>
      <c r="E719" s="58" t="s">
        <v>7467</v>
      </c>
      <c r="F719" s="58" t="s">
        <v>7088</v>
      </c>
      <c r="I719" s="58" t="s">
        <v>7468</v>
      </c>
      <c r="K719" s="73">
        <v>44732.0</v>
      </c>
      <c r="Z719" s="58" t="s">
        <v>239</v>
      </c>
      <c r="CH719" s="58" t="s">
        <v>7469</v>
      </c>
      <c r="CI719" s="73">
        <v>44732.0</v>
      </c>
      <c r="CJ719" s="58">
        <v>42.0</v>
      </c>
      <c r="CK719" s="58">
        <v>49.0</v>
      </c>
      <c r="CL719" s="58" t="s">
        <v>7470</v>
      </c>
      <c r="CM719" s="58" t="s">
        <v>7092</v>
      </c>
      <c r="CN719" s="58" t="s">
        <v>7471</v>
      </c>
      <c r="CO719" s="58" t="s">
        <v>7472</v>
      </c>
      <c r="CP719" s="58" t="s">
        <v>7473</v>
      </c>
      <c r="CR719" s="58">
        <v>3.0</v>
      </c>
      <c r="CT719" s="58">
        <v>30.0</v>
      </c>
      <c r="CU719" s="58" t="s">
        <v>239</v>
      </c>
      <c r="DL719" s="58" t="s">
        <v>7474</v>
      </c>
    </row>
    <row r="720" ht="15.75" customHeight="1">
      <c r="B720" s="58" t="s">
        <v>4587</v>
      </c>
      <c r="C720" s="58">
        <v>2022.0</v>
      </c>
      <c r="D720" s="58" t="s">
        <v>7475</v>
      </c>
      <c r="E720" s="58" t="s">
        <v>7476</v>
      </c>
      <c r="F720" s="58" t="s">
        <v>7477</v>
      </c>
      <c r="I720" s="58" t="s">
        <v>7478</v>
      </c>
      <c r="K720" s="73">
        <v>44657.0</v>
      </c>
      <c r="Z720" s="58" t="s">
        <v>239</v>
      </c>
      <c r="CH720" s="58" t="s">
        <v>7479</v>
      </c>
      <c r="CI720" s="73">
        <v>44657.0</v>
      </c>
      <c r="CJ720" s="58">
        <v>1.0</v>
      </c>
      <c r="CK720" s="58">
        <v>5.0</v>
      </c>
      <c r="CL720" s="58" t="s">
        <v>7480</v>
      </c>
      <c r="CM720" s="58" t="s">
        <v>7481</v>
      </c>
      <c r="CO720" s="58" t="s">
        <v>7482</v>
      </c>
      <c r="CP720" s="58" t="s">
        <v>7483</v>
      </c>
      <c r="CR720" s="58">
        <v>3.0</v>
      </c>
      <c r="CT720" s="58">
        <v>8.0</v>
      </c>
      <c r="CU720" s="58" t="s">
        <v>239</v>
      </c>
      <c r="DL720" s="58" t="s">
        <v>7484</v>
      </c>
    </row>
    <row r="721" ht="15.75" customHeight="1">
      <c r="B721" s="58" t="s">
        <v>4587</v>
      </c>
      <c r="C721" s="58">
        <v>2022.0</v>
      </c>
      <c r="D721" s="58" t="s">
        <v>7485</v>
      </c>
      <c r="E721" s="58" t="s">
        <v>7486</v>
      </c>
      <c r="F721" s="58" t="s">
        <v>7487</v>
      </c>
      <c r="I721" s="58" t="s">
        <v>7488</v>
      </c>
      <c r="K721" s="73">
        <v>45012.0</v>
      </c>
      <c r="Z721" s="58" t="s">
        <v>239</v>
      </c>
      <c r="CH721" s="58" t="s">
        <v>7489</v>
      </c>
      <c r="CI721" s="73">
        <v>45012.0</v>
      </c>
      <c r="CJ721" s="58">
        <v>1.0</v>
      </c>
      <c r="CK721" s="58">
        <v>6.0</v>
      </c>
      <c r="CL721" s="58" t="s">
        <v>7490</v>
      </c>
      <c r="CM721" s="58" t="s">
        <v>7491</v>
      </c>
      <c r="CO721" s="58" t="s">
        <v>7492</v>
      </c>
      <c r="CP721" s="58" t="s">
        <v>7493</v>
      </c>
      <c r="CR721" s="58">
        <v>3.0</v>
      </c>
      <c r="CT721" s="58">
        <v>17.0</v>
      </c>
      <c r="CU721" s="58" t="s">
        <v>239</v>
      </c>
      <c r="DL721" s="58" t="s">
        <v>7494</v>
      </c>
    </row>
    <row r="722" ht="15.75" customHeight="1">
      <c r="B722" s="58" t="s">
        <v>4587</v>
      </c>
      <c r="C722" s="58">
        <v>2022.0</v>
      </c>
      <c r="D722" s="58" t="s">
        <v>7495</v>
      </c>
      <c r="E722" s="58" t="s">
        <v>7496</v>
      </c>
      <c r="F722" s="58" t="s">
        <v>7497</v>
      </c>
      <c r="H722" s="58" t="s">
        <v>5795</v>
      </c>
      <c r="I722" s="58" t="s">
        <v>7498</v>
      </c>
      <c r="K722" s="73">
        <v>44944.0</v>
      </c>
      <c r="Z722" s="58" t="s">
        <v>239</v>
      </c>
      <c r="CH722" s="58" t="s">
        <v>7499</v>
      </c>
      <c r="CI722" s="73">
        <v>44944.0</v>
      </c>
      <c r="CJ722" s="58">
        <v>1.0</v>
      </c>
      <c r="CK722" s="58">
        <v>5.0</v>
      </c>
      <c r="CL722" s="58" t="s">
        <v>7500</v>
      </c>
      <c r="CM722" s="58" t="s">
        <v>7501</v>
      </c>
      <c r="CO722" s="58" t="s">
        <v>7502</v>
      </c>
      <c r="CP722" s="58" t="s">
        <v>7503</v>
      </c>
      <c r="CR722" s="58">
        <v>3.0</v>
      </c>
      <c r="CT722" s="58">
        <v>17.0</v>
      </c>
      <c r="CU722" s="58" t="s">
        <v>239</v>
      </c>
      <c r="DL722" s="58" t="s">
        <v>7504</v>
      </c>
    </row>
    <row r="723" ht="15.75" customHeight="1">
      <c r="B723" s="58" t="s">
        <v>4587</v>
      </c>
      <c r="C723" s="58">
        <v>2019.0</v>
      </c>
      <c r="D723" s="58" t="s">
        <v>7505</v>
      </c>
      <c r="E723" s="58" t="s">
        <v>7506</v>
      </c>
      <c r="F723" s="58" t="s">
        <v>7507</v>
      </c>
      <c r="H723" s="58" t="s">
        <v>7508</v>
      </c>
      <c r="I723" s="58" t="s">
        <v>7509</v>
      </c>
      <c r="K723" s="73">
        <v>43934.0</v>
      </c>
      <c r="Z723" s="58" t="s">
        <v>239</v>
      </c>
      <c r="CH723" s="58" t="s">
        <v>7510</v>
      </c>
      <c r="CI723" s="73">
        <v>43934.0</v>
      </c>
      <c r="CJ723" s="58">
        <v>209.0</v>
      </c>
      <c r="CK723" s="58">
        <v>214.0</v>
      </c>
      <c r="CL723" s="58" t="s">
        <v>7511</v>
      </c>
      <c r="CM723" s="58" t="s">
        <v>7512</v>
      </c>
      <c r="CO723" s="58" t="s">
        <v>7513</v>
      </c>
      <c r="CP723" s="58" t="s">
        <v>7514</v>
      </c>
      <c r="CR723" s="58">
        <v>3.0</v>
      </c>
      <c r="CT723" s="58">
        <v>12.0</v>
      </c>
      <c r="CU723" s="58" t="s">
        <v>239</v>
      </c>
    </row>
    <row r="724" ht="15.75" customHeight="1">
      <c r="B724" s="58" t="s">
        <v>4587</v>
      </c>
      <c r="C724" s="58">
        <v>2022.0</v>
      </c>
      <c r="D724" s="58" t="s">
        <v>7515</v>
      </c>
      <c r="E724" s="58" t="s">
        <v>7516</v>
      </c>
      <c r="F724" s="58" t="s">
        <v>7517</v>
      </c>
      <c r="H724" s="58" t="s">
        <v>5351</v>
      </c>
      <c r="I724" s="58" t="s">
        <v>7518</v>
      </c>
      <c r="K724" s="73">
        <v>44853.0</v>
      </c>
      <c r="Z724" s="58" t="s">
        <v>239</v>
      </c>
      <c r="CH724" s="58" t="s">
        <v>7519</v>
      </c>
      <c r="CI724" s="73">
        <v>44853.0</v>
      </c>
      <c r="CJ724" s="58">
        <v>1.0</v>
      </c>
      <c r="CK724" s="58">
        <v>6.0</v>
      </c>
      <c r="CL724" s="58" t="s">
        <v>7520</v>
      </c>
      <c r="CM724" s="58" t="s">
        <v>7521</v>
      </c>
      <c r="CO724" s="58" t="s">
        <v>7522</v>
      </c>
      <c r="CP724" s="58" t="s">
        <v>7523</v>
      </c>
      <c r="CR724" s="58">
        <v>3.0</v>
      </c>
      <c r="CT724" s="58">
        <v>18.0</v>
      </c>
      <c r="CU724" s="58" t="s">
        <v>239</v>
      </c>
      <c r="DL724" s="58" t="s">
        <v>7524</v>
      </c>
    </row>
    <row r="725" ht="15.75" customHeight="1">
      <c r="B725" s="58" t="s">
        <v>4587</v>
      </c>
      <c r="C725" s="58">
        <v>2018.0</v>
      </c>
      <c r="D725" s="58" t="s">
        <v>7525</v>
      </c>
      <c r="E725" s="58" t="s">
        <v>7526</v>
      </c>
      <c r="F725" s="58" t="s">
        <v>7120</v>
      </c>
      <c r="I725" s="58" t="s">
        <v>7527</v>
      </c>
      <c r="K725" s="73">
        <v>43419.0</v>
      </c>
      <c r="Z725" s="58" t="s">
        <v>239</v>
      </c>
      <c r="CH725" s="58" t="s">
        <v>7528</v>
      </c>
      <c r="CI725" s="73">
        <v>43419.0</v>
      </c>
      <c r="CJ725" s="58">
        <v>1.0</v>
      </c>
      <c r="CK725" s="58">
        <v>6.0</v>
      </c>
      <c r="CL725" s="58" t="s">
        <v>7529</v>
      </c>
      <c r="CM725" s="58" t="s">
        <v>7124</v>
      </c>
      <c r="CO725" s="58" t="s">
        <v>7530</v>
      </c>
      <c r="CP725" s="58" t="s">
        <v>7531</v>
      </c>
      <c r="CR725" s="58">
        <v>3.0</v>
      </c>
      <c r="CT725" s="58">
        <v>9.0</v>
      </c>
      <c r="CU725" s="58" t="s">
        <v>239</v>
      </c>
      <c r="DL725" s="58" t="s">
        <v>7532</v>
      </c>
    </row>
    <row r="726" ht="15.75" customHeight="1">
      <c r="B726" s="58" t="s">
        <v>4587</v>
      </c>
      <c r="C726" s="58">
        <v>2016.0</v>
      </c>
      <c r="D726" s="58" t="s">
        <v>7533</v>
      </c>
      <c r="E726" s="58" t="s">
        <v>7534</v>
      </c>
      <c r="F726" s="58" t="s">
        <v>7535</v>
      </c>
      <c r="I726" s="58" t="s">
        <v>7536</v>
      </c>
      <c r="K726" s="73">
        <v>42684.0</v>
      </c>
      <c r="Z726" s="58" t="s">
        <v>239</v>
      </c>
      <c r="CH726" s="58" t="s">
        <v>7537</v>
      </c>
      <c r="CI726" s="73">
        <v>42684.0</v>
      </c>
      <c r="CJ726" s="58">
        <v>1.0</v>
      </c>
      <c r="CK726" s="58">
        <v>4.0</v>
      </c>
      <c r="CL726" s="58" t="s">
        <v>7538</v>
      </c>
      <c r="CM726" s="58" t="s">
        <v>7539</v>
      </c>
      <c r="CO726" s="58" t="s">
        <v>7540</v>
      </c>
      <c r="CP726" s="58" t="s">
        <v>7541</v>
      </c>
      <c r="CR726" s="58">
        <v>3.0</v>
      </c>
      <c r="CT726" s="58">
        <v>8.0</v>
      </c>
      <c r="DL726" s="58" t="s">
        <v>7542</v>
      </c>
    </row>
    <row r="727" ht="15.75" customHeight="1">
      <c r="B727" s="58" t="s">
        <v>4587</v>
      </c>
      <c r="C727" s="58">
        <v>2021.0</v>
      </c>
      <c r="D727" s="58" t="s">
        <v>7543</v>
      </c>
      <c r="E727" s="58" t="s">
        <v>7544</v>
      </c>
      <c r="F727" s="58" t="s">
        <v>7545</v>
      </c>
      <c r="H727" s="58" t="s">
        <v>7546</v>
      </c>
      <c r="I727" s="58" t="s">
        <v>7547</v>
      </c>
      <c r="K727" s="73">
        <v>44448.0</v>
      </c>
      <c r="Z727" s="58" t="s">
        <v>239</v>
      </c>
      <c r="CH727" s="58" t="s">
        <v>7548</v>
      </c>
      <c r="CI727" s="73">
        <v>44448.0</v>
      </c>
      <c r="CJ727" s="58">
        <v>1265.0</v>
      </c>
      <c r="CK727" s="58">
        <v>1272.0</v>
      </c>
      <c r="CL727" s="58" t="s">
        <v>7549</v>
      </c>
      <c r="CM727" s="58" t="s">
        <v>7550</v>
      </c>
      <c r="CO727" s="58" t="s">
        <v>7551</v>
      </c>
      <c r="CP727" s="58" t="s">
        <v>7552</v>
      </c>
      <c r="CR727" s="58">
        <v>3.0</v>
      </c>
      <c r="CT727" s="58">
        <v>33.0</v>
      </c>
      <c r="CU727" s="58" t="s">
        <v>239</v>
      </c>
      <c r="DL727" s="58" t="s">
        <v>7553</v>
      </c>
    </row>
    <row r="728" ht="15.75" customHeight="1">
      <c r="B728" s="58" t="s">
        <v>4587</v>
      </c>
      <c r="C728" s="58">
        <v>2022.0</v>
      </c>
      <c r="D728" s="58" t="s">
        <v>7554</v>
      </c>
      <c r="E728" s="58" t="s">
        <v>7555</v>
      </c>
      <c r="F728" s="58" t="s">
        <v>7556</v>
      </c>
      <c r="H728" s="58" t="s">
        <v>5818</v>
      </c>
      <c r="I728" s="58" t="s">
        <v>7557</v>
      </c>
      <c r="K728" s="73">
        <v>44949.0</v>
      </c>
      <c r="Z728" s="58" t="s">
        <v>239</v>
      </c>
      <c r="CH728" s="58" t="s">
        <v>7558</v>
      </c>
      <c r="CI728" s="73">
        <v>44949.0</v>
      </c>
      <c r="CJ728" s="58">
        <v>855.0</v>
      </c>
      <c r="CK728" s="58">
        <v>866.0</v>
      </c>
      <c r="CL728" s="58" t="s">
        <v>7559</v>
      </c>
      <c r="CM728" s="58" t="s">
        <v>7560</v>
      </c>
      <c r="CN728" s="58" t="s">
        <v>7561</v>
      </c>
      <c r="CO728" s="58" t="s">
        <v>7562</v>
      </c>
      <c r="CR728" s="58">
        <v>3.0</v>
      </c>
      <c r="CT728" s="58">
        <v>23.0</v>
      </c>
      <c r="CU728" s="58" t="s">
        <v>239</v>
      </c>
      <c r="DL728" s="58" t="s">
        <v>7563</v>
      </c>
    </row>
    <row r="729" ht="15.75" customHeight="1">
      <c r="B729" s="58" t="s">
        <v>4587</v>
      </c>
      <c r="C729" s="58">
        <v>2019.0</v>
      </c>
      <c r="D729" s="58" t="s">
        <v>7564</v>
      </c>
      <c r="E729" s="58" t="s">
        <v>7565</v>
      </c>
      <c r="F729" s="58" t="s">
        <v>7052</v>
      </c>
      <c r="I729" s="58" t="s">
        <v>7566</v>
      </c>
      <c r="K729" s="73">
        <v>43741.0</v>
      </c>
      <c r="Z729" s="58" t="s">
        <v>239</v>
      </c>
      <c r="CH729" s="58" t="s">
        <v>7567</v>
      </c>
      <c r="CI729" s="73">
        <v>43741.0</v>
      </c>
      <c r="CJ729" s="58">
        <v>1.0</v>
      </c>
      <c r="CK729" s="58">
        <v>8.0</v>
      </c>
      <c r="CL729" s="58" t="s">
        <v>7568</v>
      </c>
      <c r="CM729" s="58" t="s">
        <v>7056</v>
      </c>
      <c r="CO729" s="58" t="s">
        <v>7569</v>
      </c>
      <c r="CP729" s="58" t="s">
        <v>7570</v>
      </c>
      <c r="CR729" s="58">
        <v>3.0</v>
      </c>
      <c r="CT729" s="58">
        <v>44.0</v>
      </c>
      <c r="CU729" s="58" t="s">
        <v>239</v>
      </c>
      <c r="DL729" s="58" t="s">
        <v>7571</v>
      </c>
    </row>
    <row r="730" ht="15.75" customHeight="1">
      <c r="B730" s="58" t="s">
        <v>4587</v>
      </c>
      <c r="C730" s="58">
        <v>2021.0</v>
      </c>
      <c r="D730" s="58" t="s">
        <v>7572</v>
      </c>
      <c r="E730" s="58" t="s">
        <v>7573</v>
      </c>
      <c r="F730" s="58" t="s">
        <v>7574</v>
      </c>
      <c r="I730" s="58" t="s">
        <v>7575</v>
      </c>
      <c r="K730" s="73">
        <v>44349.0</v>
      </c>
      <c r="Z730" s="58" t="s">
        <v>239</v>
      </c>
      <c r="CH730" s="58" t="s">
        <v>7576</v>
      </c>
      <c r="CI730" s="73">
        <v>44349.0</v>
      </c>
      <c r="CJ730" s="58">
        <v>248.0</v>
      </c>
      <c r="CK730" s="58">
        <v>259.0</v>
      </c>
      <c r="CL730" s="58" t="s">
        <v>7577</v>
      </c>
      <c r="CM730" s="58" t="s">
        <v>7578</v>
      </c>
      <c r="CO730" s="58" t="s">
        <v>7579</v>
      </c>
      <c r="CP730" s="58" t="s">
        <v>7580</v>
      </c>
      <c r="CR730" s="58">
        <v>3.0</v>
      </c>
      <c r="CT730" s="58">
        <v>26.0</v>
      </c>
      <c r="CU730" s="58" t="s">
        <v>239</v>
      </c>
      <c r="DL730" s="58" t="s">
        <v>7581</v>
      </c>
    </row>
    <row r="731" ht="15.75" customHeight="1">
      <c r="B731" s="58" t="s">
        <v>4587</v>
      </c>
      <c r="C731" s="58">
        <v>2016.0</v>
      </c>
      <c r="D731" s="58" t="s">
        <v>7582</v>
      </c>
      <c r="E731" s="58" t="s">
        <v>7583</v>
      </c>
      <c r="F731" s="58" t="s">
        <v>7584</v>
      </c>
      <c r="I731" s="58" t="s">
        <v>7585</v>
      </c>
      <c r="K731" s="73">
        <v>42800.0</v>
      </c>
      <c r="Z731" s="58" t="s">
        <v>239</v>
      </c>
      <c r="CH731" s="58" t="s">
        <v>7586</v>
      </c>
      <c r="CI731" s="73">
        <v>42800.0</v>
      </c>
      <c r="CJ731" s="58">
        <v>498.0</v>
      </c>
      <c r="CK731" s="58">
        <v>505.0</v>
      </c>
      <c r="CL731" s="58" t="s">
        <v>7587</v>
      </c>
      <c r="CM731" s="58" t="s">
        <v>7588</v>
      </c>
      <c r="CO731" s="58" t="s">
        <v>7589</v>
      </c>
      <c r="CP731" s="58" t="s">
        <v>7590</v>
      </c>
      <c r="CR731" s="58">
        <v>3.0</v>
      </c>
      <c r="CT731" s="58">
        <v>35.0</v>
      </c>
      <c r="CU731" s="58" t="s">
        <v>239</v>
      </c>
      <c r="DL731" s="58" t="s">
        <v>7591</v>
      </c>
    </row>
    <row r="732" ht="15.75" customHeight="1">
      <c r="B732" s="58" t="s">
        <v>4587</v>
      </c>
      <c r="C732" s="58">
        <v>2021.0</v>
      </c>
      <c r="D732" s="58" t="s">
        <v>7592</v>
      </c>
      <c r="E732" s="58" t="s">
        <v>7593</v>
      </c>
      <c r="F732" s="58" t="s">
        <v>7594</v>
      </c>
      <c r="H732" s="58" t="s">
        <v>7595</v>
      </c>
      <c r="I732" s="58" t="s">
        <v>7596</v>
      </c>
      <c r="K732" s="73">
        <v>44385.0</v>
      </c>
      <c r="Z732" s="58" t="s">
        <v>239</v>
      </c>
      <c r="CH732" s="58" t="s">
        <v>7597</v>
      </c>
      <c r="CI732" s="73">
        <v>44385.0</v>
      </c>
      <c r="CJ732" s="58">
        <v>1.0</v>
      </c>
      <c r="CK732" s="58">
        <v>6.0</v>
      </c>
      <c r="CL732" s="58" t="s">
        <v>7598</v>
      </c>
      <c r="CM732" s="58" t="s">
        <v>7599</v>
      </c>
      <c r="CN732" s="58" t="s">
        <v>6567</v>
      </c>
      <c r="CO732" s="58" t="s">
        <v>7600</v>
      </c>
      <c r="CP732" s="58" t="s">
        <v>7601</v>
      </c>
      <c r="CR732" s="58">
        <v>3.0</v>
      </c>
      <c r="CT732" s="58">
        <v>14.0</v>
      </c>
      <c r="CU732" s="58" t="s">
        <v>239</v>
      </c>
      <c r="DL732" s="58" t="s">
        <v>7602</v>
      </c>
    </row>
    <row r="733" ht="15.75" customHeight="1">
      <c r="B733" s="58" t="s">
        <v>4587</v>
      </c>
      <c r="C733" s="58">
        <v>2020.0</v>
      </c>
      <c r="D733" s="58" t="s">
        <v>7603</v>
      </c>
      <c r="E733" s="58" t="s">
        <v>7604</v>
      </c>
      <c r="F733" s="58" t="s">
        <v>7605</v>
      </c>
      <c r="H733" s="58" t="s">
        <v>7606</v>
      </c>
      <c r="I733" s="58" t="s">
        <v>7607</v>
      </c>
      <c r="K733" s="73">
        <v>44054.0</v>
      </c>
      <c r="Z733" s="58" t="s">
        <v>239</v>
      </c>
      <c r="CH733" s="58" t="s">
        <v>7608</v>
      </c>
      <c r="CI733" s="73">
        <v>44054.0</v>
      </c>
      <c r="CJ733" s="58">
        <v>5586.0</v>
      </c>
      <c r="CK733" s="58">
        <v>5591.0</v>
      </c>
      <c r="CL733" s="58" t="s">
        <v>7609</v>
      </c>
      <c r="CM733" s="58" t="s">
        <v>7610</v>
      </c>
      <c r="CO733" s="58" t="s">
        <v>7611</v>
      </c>
      <c r="CP733" s="58" t="s">
        <v>7612</v>
      </c>
      <c r="CR733" s="58">
        <v>3.0</v>
      </c>
      <c r="CT733" s="58">
        <v>14.0</v>
      </c>
      <c r="CU733" s="58" t="s">
        <v>239</v>
      </c>
      <c r="DL733" s="58" t="s">
        <v>7613</v>
      </c>
    </row>
    <row r="734" ht="15.75" customHeight="1">
      <c r="B734" s="58" t="s">
        <v>4587</v>
      </c>
      <c r="C734" s="58">
        <v>2018.0</v>
      </c>
      <c r="D734" s="58" t="s">
        <v>7614</v>
      </c>
      <c r="E734" s="58" t="s">
        <v>7615</v>
      </c>
      <c r="F734" s="58" t="s">
        <v>7616</v>
      </c>
      <c r="I734" s="58" t="s">
        <v>7617</v>
      </c>
      <c r="K734" s="73">
        <v>43475.0</v>
      </c>
      <c r="Z734" s="58" t="s">
        <v>239</v>
      </c>
      <c r="CH734" s="58" t="s">
        <v>7618</v>
      </c>
      <c r="CI734" s="73">
        <v>43475.0</v>
      </c>
      <c r="CJ734" s="58">
        <v>36.0</v>
      </c>
      <c r="CK734" s="58">
        <v>42.0</v>
      </c>
      <c r="CL734" s="58" t="s">
        <v>7619</v>
      </c>
      <c r="CM734" s="58" t="s">
        <v>7620</v>
      </c>
      <c r="CO734" s="58" t="s">
        <v>7621</v>
      </c>
      <c r="CP734" s="58" t="s">
        <v>7622</v>
      </c>
      <c r="CR734" s="58">
        <v>3.0</v>
      </c>
      <c r="CT734" s="58">
        <v>18.0</v>
      </c>
      <c r="CU734" s="58" t="s">
        <v>239</v>
      </c>
      <c r="DL734" s="58" t="s">
        <v>7623</v>
      </c>
    </row>
    <row r="735" ht="15.75" customHeight="1">
      <c r="B735" s="58" t="s">
        <v>4587</v>
      </c>
      <c r="C735" s="58">
        <v>2022.0</v>
      </c>
      <c r="D735" s="58" t="s">
        <v>7624</v>
      </c>
      <c r="E735" s="58" t="s">
        <v>7625</v>
      </c>
      <c r="F735" s="58" t="s">
        <v>7626</v>
      </c>
      <c r="H735" s="58" t="s">
        <v>7627</v>
      </c>
      <c r="I735" s="58" t="s">
        <v>7628</v>
      </c>
      <c r="K735" s="73">
        <v>44763.0</v>
      </c>
      <c r="Z735" s="58" t="s">
        <v>239</v>
      </c>
      <c r="CH735" s="58" t="s">
        <v>7629</v>
      </c>
      <c r="CI735" s="73">
        <v>44763.0</v>
      </c>
      <c r="CJ735" s="58">
        <v>284.0</v>
      </c>
      <c r="CK735" s="58">
        <v>288.0</v>
      </c>
      <c r="CL735" s="58" t="s">
        <v>7630</v>
      </c>
      <c r="CM735" s="58" t="s">
        <v>7631</v>
      </c>
      <c r="CO735" s="58" t="s">
        <v>7632</v>
      </c>
      <c r="CP735" s="58" t="s">
        <v>7633</v>
      </c>
      <c r="CR735" s="58">
        <v>3.0</v>
      </c>
      <c r="CT735" s="58">
        <v>10.0</v>
      </c>
      <c r="CU735" s="58" t="s">
        <v>239</v>
      </c>
      <c r="DL735" s="58" t="s">
        <v>7634</v>
      </c>
    </row>
    <row r="736" ht="15.75" customHeight="1">
      <c r="B736" s="58" t="s">
        <v>4587</v>
      </c>
      <c r="C736" s="58">
        <v>2018.0</v>
      </c>
      <c r="D736" s="58" t="s">
        <v>7635</v>
      </c>
      <c r="E736" s="58" t="s">
        <v>7636</v>
      </c>
      <c r="F736" s="58" t="s">
        <v>7637</v>
      </c>
      <c r="I736" s="58" t="s">
        <v>7638</v>
      </c>
      <c r="K736" s="73">
        <v>43443.0</v>
      </c>
      <c r="Z736" s="58" t="s">
        <v>239</v>
      </c>
      <c r="CH736" s="58" t="s">
        <v>7639</v>
      </c>
      <c r="CI736" s="73">
        <v>43443.0</v>
      </c>
      <c r="CJ736" s="58">
        <v>361.0</v>
      </c>
      <c r="CK736" s="58">
        <v>366.0</v>
      </c>
      <c r="CL736" s="58" t="s">
        <v>7640</v>
      </c>
      <c r="CM736" s="58" t="s">
        <v>7641</v>
      </c>
      <c r="CO736" s="58" t="s">
        <v>7642</v>
      </c>
      <c r="CP736" s="58" t="s">
        <v>7643</v>
      </c>
      <c r="CR736" s="58">
        <v>3.0</v>
      </c>
      <c r="CT736" s="58">
        <v>8.0</v>
      </c>
      <c r="CU736" s="58" t="s">
        <v>239</v>
      </c>
      <c r="DL736" s="58" t="s">
        <v>7644</v>
      </c>
    </row>
    <row r="737" ht="15.75" customHeight="1">
      <c r="B737" s="58" t="s">
        <v>4587</v>
      </c>
      <c r="C737" s="58">
        <v>2019.0</v>
      </c>
      <c r="D737" s="58" t="s">
        <v>7645</v>
      </c>
      <c r="E737" s="58" t="s">
        <v>7646</v>
      </c>
      <c r="F737" s="58" t="s">
        <v>7647</v>
      </c>
      <c r="H737" s="58" t="s">
        <v>7648</v>
      </c>
      <c r="I737" s="58" t="s">
        <v>7649</v>
      </c>
      <c r="K737" s="73">
        <v>43769.0</v>
      </c>
      <c r="Z737" s="58" t="s">
        <v>239</v>
      </c>
      <c r="CH737" s="58" t="s">
        <v>7650</v>
      </c>
      <c r="CI737" s="73">
        <v>43769.0</v>
      </c>
      <c r="CJ737" s="58">
        <v>697.0</v>
      </c>
      <c r="CK737" s="58">
        <v>702.0</v>
      </c>
      <c r="CL737" s="58" t="s">
        <v>7651</v>
      </c>
      <c r="CM737" s="58" t="s">
        <v>7652</v>
      </c>
      <c r="CO737" s="58" t="s">
        <v>7653</v>
      </c>
      <c r="CP737" s="58" t="s">
        <v>7654</v>
      </c>
      <c r="CR737" s="58">
        <v>3.0</v>
      </c>
      <c r="CT737" s="58">
        <v>35.0</v>
      </c>
      <c r="CU737" s="58" t="s">
        <v>239</v>
      </c>
      <c r="DL737" s="58" t="s">
        <v>7655</v>
      </c>
    </row>
    <row r="738" ht="15.75" customHeight="1">
      <c r="B738" s="58" t="s">
        <v>4587</v>
      </c>
      <c r="C738" s="58">
        <v>2021.0</v>
      </c>
      <c r="D738" s="58" t="s">
        <v>7656</v>
      </c>
      <c r="E738" s="58" t="s">
        <v>7657</v>
      </c>
      <c r="F738" s="58" t="s">
        <v>6418</v>
      </c>
      <c r="H738" s="58" t="s">
        <v>5392</v>
      </c>
      <c r="I738" s="58" t="s">
        <v>7658</v>
      </c>
      <c r="K738" s="73">
        <v>44515.0</v>
      </c>
      <c r="Z738" s="58" t="s">
        <v>239</v>
      </c>
      <c r="CH738" s="58" t="s">
        <v>7659</v>
      </c>
      <c r="CI738" s="73">
        <v>44515.0</v>
      </c>
      <c r="CJ738" s="58">
        <v>419.0</v>
      </c>
      <c r="CK738" s="58">
        <v>424.0</v>
      </c>
      <c r="CL738" s="58" t="s">
        <v>7660</v>
      </c>
      <c r="CM738" s="58" t="s">
        <v>6422</v>
      </c>
      <c r="CO738" s="58" t="s">
        <v>7661</v>
      </c>
      <c r="CP738" s="58" t="s">
        <v>7662</v>
      </c>
      <c r="CR738" s="58">
        <v>3.0</v>
      </c>
      <c r="CT738" s="58">
        <v>19.0</v>
      </c>
      <c r="CU738" s="58" t="s">
        <v>239</v>
      </c>
      <c r="DL738" s="58" t="s">
        <v>7663</v>
      </c>
    </row>
    <row r="739" ht="15.75" customHeight="1">
      <c r="B739" s="58" t="s">
        <v>4587</v>
      </c>
      <c r="C739" s="58">
        <v>2020.0</v>
      </c>
      <c r="D739" s="58" t="s">
        <v>7664</v>
      </c>
      <c r="E739" s="58" t="s">
        <v>7665</v>
      </c>
      <c r="F739" s="58" t="s">
        <v>7666</v>
      </c>
      <c r="H739" s="58" t="s">
        <v>5795</v>
      </c>
      <c r="I739" s="58" t="s">
        <v>7667</v>
      </c>
      <c r="K739" s="73">
        <v>44012.0</v>
      </c>
      <c r="Z739" s="58" t="s">
        <v>239</v>
      </c>
      <c r="CH739" s="58" t="s">
        <v>7668</v>
      </c>
      <c r="CI739" s="73">
        <v>44012.0</v>
      </c>
      <c r="CJ739" s="58">
        <v>1.0</v>
      </c>
      <c r="CK739" s="58">
        <v>5.0</v>
      </c>
      <c r="CL739" s="58" t="s">
        <v>7669</v>
      </c>
      <c r="CM739" s="58" t="s">
        <v>7670</v>
      </c>
      <c r="CO739" s="58" t="s">
        <v>7671</v>
      </c>
      <c r="CR739" s="58">
        <v>3.0</v>
      </c>
      <c r="CT739" s="58">
        <v>13.0</v>
      </c>
      <c r="CU739" s="58" t="s">
        <v>239</v>
      </c>
      <c r="DL739" s="58" t="s">
        <v>7672</v>
      </c>
    </row>
    <row r="740" ht="15.75" customHeight="1">
      <c r="B740" s="58" t="s">
        <v>4587</v>
      </c>
      <c r="C740" s="58">
        <v>2022.0</v>
      </c>
      <c r="D740" s="58" t="s">
        <v>7673</v>
      </c>
      <c r="E740" s="58" t="s">
        <v>7674</v>
      </c>
      <c r="F740" s="58" t="s">
        <v>7675</v>
      </c>
      <c r="H740" s="58" t="s">
        <v>7676</v>
      </c>
      <c r="I740" s="58" t="s">
        <v>7677</v>
      </c>
      <c r="K740" s="73">
        <v>44830.0</v>
      </c>
      <c r="Z740" s="58" t="s">
        <v>239</v>
      </c>
      <c r="CH740" s="58" t="s">
        <v>7678</v>
      </c>
      <c r="CI740" s="73">
        <v>44830.0</v>
      </c>
      <c r="CJ740" s="58">
        <v>55.0</v>
      </c>
      <c r="CK740" s="58">
        <v>61.0</v>
      </c>
      <c r="CL740" s="58" t="s">
        <v>7679</v>
      </c>
      <c r="CM740" s="58" t="s">
        <v>7680</v>
      </c>
      <c r="CO740" s="58" t="s">
        <v>7681</v>
      </c>
      <c r="CP740" s="58" t="s">
        <v>7682</v>
      </c>
      <c r="CR740" s="58">
        <v>3.0</v>
      </c>
      <c r="CT740" s="58">
        <v>29.0</v>
      </c>
      <c r="CU740" s="58" t="s">
        <v>7683</v>
      </c>
      <c r="DL740" s="58" t="s">
        <v>7684</v>
      </c>
    </row>
    <row r="741" ht="15.75" customHeight="1">
      <c r="B741" s="58" t="s">
        <v>4587</v>
      </c>
      <c r="C741" s="58">
        <v>2020.0</v>
      </c>
      <c r="D741" s="58" t="s">
        <v>7685</v>
      </c>
      <c r="E741" s="58" t="s">
        <v>7686</v>
      </c>
      <c r="F741" s="58" t="s">
        <v>6062</v>
      </c>
      <c r="H741" s="58" t="s">
        <v>6063</v>
      </c>
      <c r="I741" s="58" t="s">
        <v>7687</v>
      </c>
      <c r="K741" s="73">
        <v>44228.0</v>
      </c>
      <c r="Z741" s="58" t="s">
        <v>239</v>
      </c>
      <c r="CH741" s="58" t="s">
        <v>7688</v>
      </c>
      <c r="CI741" s="73">
        <v>44228.0</v>
      </c>
      <c r="CJ741" s="58">
        <v>48.0</v>
      </c>
      <c r="CK741" s="58">
        <v>53.0</v>
      </c>
      <c r="CL741" s="58" t="s">
        <v>7689</v>
      </c>
      <c r="CM741" s="58" t="s">
        <v>6067</v>
      </c>
      <c r="CO741" s="58" t="s">
        <v>7690</v>
      </c>
      <c r="CP741" s="58" t="s">
        <v>7691</v>
      </c>
      <c r="CR741" s="58">
        <v>3.0</v>
      </c>
      <c r="CT741" s="58">
        <v>25.0</v>
      </c>
      <c r="CU741" s="58" t="s">
        <v>239</v>
      </c>
      <c r="DL741" s="58" t="s">
        <v>7692</v>
      </c>
    </row>
    <row r="742" ht="15.75" customHeight="1">
      <c r="B742" s="58" t="s">
        <v>4587</v>
      </c>
      <c r="C742" s="58">
        <v>2022.0</v>
      </c>
      <c r="D742" s="58" t="s">
        <v>7693</v>
      </c>
      <c r="E742" s="58" t="s">
        <v>7694</v>
      </c>
      <c r="F742" s="58" t="s">
        <v>7695</v>
      </c>
      <c r="H742" s="58" t="s">
        <v>7696</v>
      </c>
      <c r="I742" s="58" t="s">
        <v>7697</v>
      </c>
      <c r="K742" s="73">
        <v>44931.0</v>
      </c>
      <c r="Z742" s="58" t="s">
        <v>239</v>
      </c>
      <c r="CH742" s="58" t="s">
        <v>7698</v>
      </c>
      <c r="CI742" s="73">
        <v>44931.0</v>
      </c>
      <c r="CJ742" s="58">
        <v>347.0</v>
      </c>
      <c r="CK742" s="58">
        <v>352.0</v>
      </c>
      <c r="CL742" s="58" t="s">
        <v>7699</v>
      </c>
      <c r="CM742" s="58" t="s">
        <v>7700</v>
      </c>
      <c r="CO742" s="58" t="s">
        <v>7701</v>
      </c>
      <c r="CP742" s="58" t="s">
        <v>7702</v>
      </c>
      <c r="CR742" s="58">
        <v>3.0</v>
      </c>
      <c r="CT742" s="58">
        <v>18.0</v>
      </c>
      <c r="CU742" s="58" t="s">
        <v>239</v>
      </c>
      <c r="DL742" s="58" t="s">
        <v>7703</v>
      </c>
    </row>
    <row r="743" ht="15.75" customHeight="1">
      <c r="B743" s="58" t="s">
        <v>4587</v>
      </c>
      <c r="C743" s="58">
        <v>2020.0</v>
      </c>
      <c r="D743" s="58" t="s">
        <v>7704</v>
      </c>
      <c r="E743" s="58" t="s">
        <v>7705</v>
      </c>
      <c r="F743" s="58" t="s">
        <v>7706</v>
      </c>
      <c r="I743" s="58" t="s">
        <v>7707</v>
      </c>
      <c r="K743" s="73">
        <v>44245.0</v>
      </c>
      <c r="Z743" s="58" t="s">
        <v>239</v>
      </c>
      <c r="CH743" s="58" t="s">
        <v>7708</v>
      </c>
      <c r="CI743" s="73">
        <v>44245.0</v>
      </c>
      <c r="CJ743" s="58">
        <v>2652.0</v>
      </c>
      <c r="CK743" s="58">
        <v>2657.0</v>
      </c>
      <c r="CL743" s="58" t="s">
        <v>7709</v>
      </c>
      <c r="CM743" s="58" t="s">
        <v>7710</v>
      </c>
      <c r="CO743" s="58" t="s">
        <v>7711</v>
      </c>
      <c r="CP743" s="58" t="s">
        <v>7712</v>
      </c>
      <c r="CR743" s="58">
        <v>3.0</v>
      </c>
      <c r="CT743" s="58">
        <v>15.0</v>
      </c>
      <c r="CU743" s="58" t="s">
        <v>239</v>
      </c>
      <c r="DL743" s="58" t="s">
        <v>7713</v>
      </c>
    </row>
    <row r="744" ht="15.75" customHeight="1">
      <c r="B744" s="58" t="s">
        <v>4587</v>
      </c>
      <c r="C744" s="58">
        <v>2022.0</v>
      </c>
      <c r="D744" s="58" t="s">
        <v>7714</v>
      </c>
      <c r="E744" s="58" t="s">
        <v>7715</v>
      </c>
      <c r="F744" s="58" t="s">
        <v>4801</v>
      </c>
      <c r="H744" s="58" t="s">
        <v>4802</v>
      </c>
      <c r="I744" s="58" t="s">
        <v>7716</v>
      </c>
      <c r="K744" s="73">
        <v>44761.0</v>
      </c>
      <c r="Z744" s="58" t="s">
        <v>239</v>
      </c>
      <c r="CH744" s="58" t="s">
        <v>7717</v>
      </c>
      <c r="CI744" s="73">
        <v>44761.0</v>
      </c>
      <c r="CJ744" s="58">
        <v>469.0</v>
      </c>
      <c r="CK744" s="58">
        <v>474.0</v>
      </c>
      <c r="CL744" s="58" t="s">
        <v>7718</v>
      </c>
      <c r="CM744" s="58" t="s">
        <v>4806</v>
      </c>
      <c r="CO744" s="58" t="s">
        <v>7719</v>
      </c>
      <c r="CP744" s="58" t="s">
        <v>7720</v>
      </c>
      <c r="CR744" s="58">
        <v>3.0</v>
      </c>
      <c r="CT744" s="58">
        <v>21.0</v>
      </c>
      <c r="CU744" s="58" t="s">
        <v>239</v>
      </c>
      <c r="DL744" s="58" t="s">
        <v>7721</v>
      </c>
    </row>
    <row r="745" ht="15.75" customHeight="1">
      <c r="B745" s="58" t="s">
        <v>4587</v>
      </c>
      <c r="C745" s="58">
        <v>2019.0</v>
      </c>
      <c r="D745" s="58" t="s">
        <v>7722</v>
      </c>
      <c r="E745" s="58" t="s">
        <v>7723</v>
      </c>
      <c r="F745" s="58" t="s">
        <v>7724</v>
      </c>
      <c r="I745" s="58" t="s">
        <v>7725</v>
      </c>
      <c r="K745" s="73">
        <v>43822.0</v>
      </c>
      <c r="Z745" s="58" t="s">
        <v>239</v>
      </c>
      <c r="CH745" s="58" t="s">
        <v>7726</v>
      </c>
      <c r="CI745" s="73">
        <v>43822.0</v>
      </c>
      <c r="CJ745" s="58">
        <v>1.0</v>
      </c>
      <c r="CK745" s="58">
        <v>8.0</v>
      </c>
      <c r="CL745" s="58" t="s">
        <v>7727</v>
      </c>
      <c r="CM745" s="58" t="s">
        <v>7728</v>
      </c>
      <c r="CO745" s="58" t="s">
        <v>7729</v>
      </c>
      <c r="CP745" s="58" t="s">
        <v>7730</v>
      </c>
      <c r="CR745" s="58">
        <v>3.0</v>
      </c>
      <c r="CT745" s="58">
        <v>24.0</v>
      </c>
      <c r="CU745" s="58" t="s">
        <v>239</v>
      </c>
      <c r="DL745" s="58" t="s">
        <v>7731</v>
      </c>
    </row>
    <row r="746" ht="15.75" customHeight="1">
      <c r="B746" s="58" t="s">
        <v>4587</v>
      </c>
      <c r="C746" s="58">
        <v>2022.0</v>
      </c>
      <c r="D746" s="58" t="s">
        <v>7732</v>
      </c>
      <c r="E746" s="58" t="s">
        <v>7733</v>
      </c>
      <c r="F746" s="58" t="s">
        <v>7734</v>
      </c>
      <c r="H746" s="58" t="s">
        <v>6074</v>
      </c>
      <c r="I746" s="58" t="s">
        <v>7735</v>
      </c>
      <c r="K746" s="73">
        <v>44852.0</v>
      </c>
      <c r="Z746" s="58" t="s">
        <v>239</v>
      </c>
      <c r="CH746" s="58" t="s">
        <v>7736</v>
      </c>
      <c r="CI746" s="73">
        <v>44852.0</v>
      </c>
      <c r="CJ746" s="58">
        <v>1.0</v>
      </c>
      <c r="CK746" s="58">
        <v>6.0</v>
      </c>
      <c r="CL746" s="58" t="s">
        <v>7737</v>
      </c>
      <c r="CM746" s="58" t="s">
        <v>7738</v>
      </c>
      <c r="CN746" s="58" t="s">
        <v>7739</v>
      </c>
      <c r="CO746" s="58" t="s">
        <v>7740</v>
      </c>
      <c r="CP746" s="58" t="s">
        <v>7741</v>
      </c>
      <c r="CR746" s="58">
        <v>3.0</v>
      </c>
      <c r="CT746" s="58">
        <v>14.0</v>
      </c>
      <c r="DL746" s="58" t="s">
        <v>7742</v>
      </c>
    </row>
    <row r="747" ht="15.75" customHeight="1">
      <c r="B747" s="58" t="s">
        <v>4587</v>
      </c>
      <c r="C747" s="58">
        <v>2022.0</v>
      </c>
      <c r="D747" s="58" t="s">
        <v>7743</v>
      </c>
      <c r="E747" s="58" t="s">
        <v>7744</v>
      </c>
      <c r="F747" s="58" t="s">
        <v>7745</v>
      </c>
      <c r="I747" s="58" t="s">
        <v>7746</v>
      </c>
      <c r="K747" s="73">
        <v>44896.0</v>
      </c>
      <c r="Z747" s="58" t="s">
        <v>239</v>
      </c>
      <c r="CH747" s="58" t="s">
        <v>7747</v>
      </c>
      <c r="CI747" s="73">
        <v>44896.0</v>
      </c>
      <c r="CJ747" s="58">
        <v>1.0</v>
      </c>
      <c r="CK747" s="58">
        <v>7.0</v>
      </c>
      <c r="CL747" s="58" t="s">
        <v>7748</v>
      </c>
      <c r="CM747" s="58" t="s">
        <v>7749</v>
      </c>
      <c r="CO747" s="58" t="s">
        <v>7750</v>
      </c>
      <c r="CP747" s="58" t="s">
        <v>7751</v>
      </c>
      <c r="CR747" s="58">
        <v>3.0</v>
      </c>
      <c r="CT747" s="58">
        <v>42.0</v>
      </c>
      <c r="CU747" s="58" t="s">
        <v>239</v>
      </c>
      <c r="DL747" s="58" t="s">
        <v>7752</v>
      </c>
    </row>
    <row r="748" ht="15.75" customHeight="1">
      <c r="B748" s="58" t="s">
        <v>4587</v>
      </c>
      <c r="C748" s="58">
        <v>2021.0</v>
      </c>
      <c r="D748" s="58" t="s">
        <v>7753</v>
      </c>
      <c r="E748" s="58" t="s">
        <v>7754</v>
      </c>
      <c r="F748" s="58" t="s">
        <v>5191</v>
      </c>
      <c r="I748" s="58" t="s">
        <v>7755</v>
      </c>
      <c r="K748" s="73">
        <v>44410.0</v>
      </c>
      <c r="Z748" s="58" t="s">
        <v>239</v>
      </c>
      <c r="CH748" s="58" t="s">
        <v>7756</v>
      </c>
      <c r="CI748" s="73">
        <v>44410.0</v>
      </c>
      <c r="CJ748" s="58">
        <v>660.0</v>
      </c>
      <c r="CK748" s="58">
        <v>667.0</v>
      </c>
      <c r="CL748" s="58" t="s">
        <v>7757</v>
      </c>
      <c r="CM748" s="58" t="s">
        <v>5195</v>
      </c>
      <c r="CO748" s="58" t="s">
        <v>7758</v>
      </c>
      <c r="CP748" s="58" t="s">
        <v>7759</v>
      </c>
      <c r="CR748" s="58">
        <v>3.0</v>
      </c>
      <c r="CT748" s="58">
        <v>13.0</v>
      </c>
      <c r="CU748" s="58" t="s">
        <v>239</v>
      </c>
      <c r="DL748" s="58" t="s">
        <v>7760</v>
      </c>
    </row>
    <row r="749" ht="15.75" customHeight="1">
      <c r="B749" s="58" t="s">
        <v>4587</v>
      </c>
      <c r="C749" s="58">
        <v>2021.0</v>
      </c>
      <c r="D749" s="58" t="s">
        <v>7761</v>
      </c>
      <c r="E749" s="58" t="s">
        <v>7762</v>
      </c>
      <c r="F749" s="58" t="s">
        <v>7763</v>
      </c>
      <c r="H749" s="58" t="s">
        <v>7764</v>
      </c>
      <c r="I749" s="58" t="s">
        <v>7765</v>
      </c>
      <c r="K749" s="73">
        <v>44558.0</v>
      </c>
      <c r="Z749" s="58" t="s">
        <v>239</v>
      </c>
      <c r="CH749" s="58" t="s">
        <v>7766</v>
      </c>
      <c r="CI749" s="73">
        <v>44558.0</v>
      </c>
      <c r="CJ749" s="58">
        <v>1.0</v>
      </c>
      <c r="CK749" s="58">
        <v>12.0</v>
      </c>
      <c r="CL749" s="58" t="s">
        <v>7767</v>
      </c>
      <c r="CM749" s="58" t="s">
        <v>7768</v>
      </c>
      <c r="CO749" s="58" t="s">
        <v>7769</v>
      </c>
      <c r="CP749" s="58" t="s">
        <v>7770</v>
      </c>
      <c r="CR749" s="58">
        <v>3.0</v>
      </c>
      <c r="CT749" s="58">
        <v>58.0</v>
      </c>
      <c r="CU749" s="58" t="s">
        <v>239</v>
      </c>
      <c r="DL749" s="58" t="s">
        <v>7771</v>
      </c>
    </row>
    <row r="750" ht="15.75" customHeight="1">
      <c r="B750" s="58" t="s">
        <v>4587</v>
      </c>
      <c r="C750" s="58">
        <v>2018.0</v>
      </c>
      <c r="D750" s="58" t="s">
        <v>7772</v>
      </c>
      <c r="E750" s="58" t="s">
        <v>7773</v>
      </c>
      <c r="F750" s="58" t="s">
        <v>4649</v>
      </c>
      <c r="H750" s="58" t="s">
        <v>4600</v>
      </c>
      <c r="I750" s="58" t="s">
        <v>7774</v>
      </c>
      <c r="K750" s="73">
        <v>43354.0</v>
      </c>
      <c r="Z750" s="58" t="s">
        <v>239</v>
      </c>
      <c r="CH750" s="58" t="s">
        <v>7775</v>
      </c>
      <c r="CI750" s="73">
        <v>43354.0</v>
      </c>
      <c r="CJ750" s="58">
        <v>49.0</v>
      </c>
      <c r="CK750" s="58">
        <v>56.0</v>
      </c>
      <c r="CL750" s="58" t="s">
        <v>7776</v>
      </c>
      <c r="CM750" s="58" t="s">
        <v>4653</v>
      </c>
      <c r="CO750" s="58" t="s">
        <v>7777</v>
      </c>
      <c r="CP750" s="58" t="s">
        <v>7778</v>
      </c>
      <c r="CR750" s="58">
        <v>3.0</v>
      </c>
      <c r="CT750" s="58">
        <v>33.0</v>
      </c>
      <c r="CU750" s="58" t="s">
        <v>239</v>
      </c>
      <c r="DL750" s="58" t="s">
        <v>7779</v>
      </c>
    </row>
    <row r="751" ht="15.75" customHeight="1">
      <c r="B751" s="58" t="s">
        <v>4587</v>
      </c>
      <c r="C751" s="58">
        <v>2021.0</v>
      </c>
      <c r="D751" s="58" t="s">
        <v>7780</v>
      </c>
      <c r="E751" s="58" t="s">
        <v>7781</v>
      </c>
      <c r="F751" s="58" t="s">
        <v>7782</v>
      </c>
      <c r="I751" s="58" t="s">
        <v>7783</v>
      </c>
      <c r="K751" s="73">
        <v>44441.0</v>
      </c>
      <c r="Z751" s="58" t="s">
        <v>239</v>
      </c>
      <c r="CH751" s="58" t="s">
        <v>7784</v>
      </c>
      <c r="CI751" s="73">
        <v>44441.0</v>
      </c>
      <c r="CJ751" s="58">
        <v>338.0</v>
      </c>
      <c r="CK751" s="58">
        <v>341.0</v>
      </c>
      <c r="CL751" s="58" t="s">
        <v>7785</v>
      </c>
      <c r="CM751" s="58" t="s">
        <v>7786</v>
      </c>
      <c r="CO751" s="58" t="s">
        <v>7787</v>
      </c>
      <c r="CP751" s="58" t="s">
        <v>7788</v>
      </c>
      <c r="CR751" s="58">
        <v>3.0</v>
      </c>
      <c r="CT751" s="58">
        <v>4.0</v>
      </c>
      <c r="CU751" s="58" t="s">
        <v>239</v>
      </c>
      <c r="DL751" s="58" t="s">
        <v>7789</v>
      </c>
    </row>
    <row r="752" ht="15.75" customHeight="1">
      <c r="B752" s="58" t="s">
        <v>4587</v>
      </c>
      <c r="C752" s="58">
        <v>2018.0</v>
      </c>
      <c r="D752" s="58" t="s">
        <v>7790</v>
      </c>
      <c r="E752" s="58" t="s">
        <v>7791</v>
      </c>
      <c r="F752" s="58" t="s">
        <v>7792</v>
      </c>
      <c r="I752" s="58" t="s">
        <v>7793</v>
      </c>
      <c r="K752" s="73">
        <v>43342.0</v>
      </c>
      <c r="Z752" s="58" t="s">
        <v>239</v>
      </c>
      <c r="CH752" s="58" t="s">
        <v>7794</v>
      </c>
      <c r="CI752" s="73">
        <v>43342.0</v>
      </c>
      <c r="CJ752" s="58">
        <v>1.0</v>
      </c>
      <c r="CK752" s="58">
        <v>7.0</v>
      </c>
      <c r="CL752" s="58" t="s">
        <v>7795</v>
      </c>
      <c r="CM752" s="58" t="s">
        <v>7796</v>
      </c>
      <c r="CO752" s="58" t="s">
        <v>7797</v>
      </c>
      <c r="CR752" s="58">
        <v>3.0</v>
      </c>
      <c r="CT752" s="58">
        <v>28.0</v>
      </c>
      <c r="CU752" s="58" t="s">
        <v>239</v>
      </c>
      <c r="DL752" s="58" t="s">
        <v>7798</v>
      </c>
    </row>
    <row r="753" ht="15.75" customHeight="1">
      <c r="B753" s="58" t="s">
        <v>4587</v>
      </c>
      <c r="C753" s="58">
        <v>2021.0</v>
      </c>
      <c r="D753" s="58" t="s">
        <v>7799</v>
      </c>
      <c r="E753" s="58" t="s">
        <v>7800</v>
      </c>
      <c r="F753" s="58" t="s">
        <v>7801</v>
      </c>
      <c r="I753" s="58" t="s">
        <v>7802</v>
      </c>
      <c r="K753" s="73">
        <v>44477.0</v>
      </c>
      <c r="Z753" s="58" t="s">
        <v>239</v>
      </c>
      <c r="CH753" s="58" t="s">
        <v>7803</v>
      </c>
      <c r="CI753" s="73">
        <v>44477.0</v>
      </c>
      <c r="CJ753" s="58">
        <v>1.0</v>
      </c>
      <c r="CK753" s="58">
        <v>7.0</v>
      </c>
      <c r="CL753" s="58" t="s">
        <v>7804</v>
      </c>
      <c r="CM753" s="58" t="s">
        <v>7805</v>
      </c>
      <c r="CO753" s="58" t="s">
        <v>7806</v>
      </c>
      <c r="CP753" s="58" t="s">
        <v>7807</v>
      </c>
      <c r="CR753" s="58">
        <v>3.0</v>
      </c>
      <c r="CT753" s="58">
        <v>18.0</v>
      </c>
      <c r="CU753" s="58" t="s">
        <v>239</v>
      </c>
      <c r="DL753" s="58" t="s">
        <v>7808</v>
      </c>
    </row>
    <row r="754" ht="15.75" customHeight="1">
      <c r="B754" s="58" t="s">
        <v>4587</v>
      </c>
      <c r="C754" s="58">
        <v>2021.0</v>
      </c>
      <c r="D754" s="58" t="s">
        <v>7809</v>
      </c>
      <c r="E754" s="58" t="s">
        <v>7810</v>
      </c>
      <c r="F754" s="58" t="s">
        <v>7811</v>
      </c>
      <c r="H754" s="58" t="s">
        <v>7812</v>
      </c>
      <c r="I754" s="58" t="s">
        <v>7813</v>
      </c>
      <c r="K754" s="73">
        <v>44378.0</v>
      </c>
      <c r="Z754" s="58" t="s">
        <v>239</v>
      </c>
      <c r="CH754" s="58" t="s">
        <v>7814</v>
      </c>
      <c r="CI754" s="73">
        <v>44378.0</v>
      </c>
      <c r="CJ754" s="58">
        <v>1.0</v>
      </c>
      <c r="CK754" s="58">
        <v>4.0</v>
      </c>
      <c r="CL754" s="58" t="s">
        <v>7815</v>
      </c>
      <c r="CM754" s="58" t="s">
        <v>7816</v>
      </c>
      <c r="CO754" s="58" t="s">
        <v>7817</v>
      </c>
      <c r="CP754" s="58" t="s">
        <v>7818</v>
      </c>
      <c r="CR754" s="58">
        <v>2.0</v>
      </c>
      <c r="CT754" s="58">
        <v>16.0</v>
      </c>
      <c r="CU754" s="58" t="s">
        <v>239</v>
      </c>
      <c r="DL754" s="58" t="s">
        <v>7819</v>
      </c>
    </row>
    <row r="755" ht="15.75" customHeight="1">
      <c r="B755" s="58" t="s">
        <v>4587</v>
      </c>
      <c r="C755" s="58">
        <v>2020.0</v>
      </c>
      <c r="D755" s="58" t="s">
        <v>7820</v>
      </c>
      <c r="E755" s="58" t="s">
        <v>7821</v>
      </c>
      <c r="F755" s="58" t="s">
        <v>7822</v>
      </c>
      <c r="I755" s="58" t="s">
        <v>7823</v>
      </c>
      <c r="K755" s="73">
        <v>44176.0</v>
      </c>
      <c r="Z755" s="58" t="s">
        <v>239</v>
      </c>
      <c r="CH755" s="58" t="s">
        <v>7824</v>
      </c>
      <c r="CI755" s="73">
        <v>44176.0</v>
      </c>
      <c r="CJ755" s="58">
        <v>532.0</v>
      </c>
      <c r="CK755" s="58">
        <v>538.0</v>
      </c>
      <c r="CL755" s="58" t="s">
        <v>7825</v>
      </c>
      <c r="CM755" s="58" t="s">
        <v>7826</v>
      </c>
      <c r="CO755" s="58" t="s">
        <v>7827</v>
      </c>
      <c r="CP755" s="58" t="s">
        <v>7828</v>
      </c>
      <c r="CR755" s="58">
        <v>2.0</v>
      </c>
      <c r="CT755" s="58">
        <v>29.0</v>
      </c>
      <c r="CU755" s="58" t="s">
        <v>7683</v>
      </c>
      <c r="DL755" s="58" t="s">
        <v>7829</v>
      </c>
    </row>
    <row r="756" ht="15.75" customHeight="1">
      <c r="B756" s="58" t="s">
        <v>4587</v>
      </c>
      <c r="C756" s="58">
        <v>2021.0</v>
      </c>
      <c r="D756" s="58" t="s">
        <v>7830</v>
      </c>
      <c r="E756" s="58" t="s">
        <v>7831</v>
      </c>
      <c r="F756" s="58" t="s">
        <v>7545</v>
      </c>
      <c r="H756" s="58" t="s">
        <v>7546</v>
      </c>
      <c r="I756" s="58" t="s">
        <v>7832</v>
      </c>
      <c r="K756" s="73">
        <v>44448.0</v>
      </c>
      <c r="Z756" s="58" t="s">
        <v>239</v>
      </c>
      <c r="CH756" s="58" t="s">
        <v>7833</v>
      </c>
      <c r="CI756" s="73">
        <v>44448.0</v>
      </c>
      <c r="CJ756" s="58">
        <v>144.0</v>
      </c>
      <c r="CK756" s="58">
        <v>155.0</v>
      </c>
      <c r="CL756" s="58" t="s">
        <v>7834</v>
      </c>
      <c r="CM756" s="58" t="s">
        <v>7550</v>
      </c>
      <c r="CO756" s="58" t="s">
        <v>7835</v>
      </c>
      <c r="CP756" s="58" t="s">
        <v>7836</v>
      </c>
      <c r="CR756" s="58">
        <v>2.0</v>
      </c>
      <c r="CT756" s="58">
        <v>46.0</v>
      </c>
      <c r="CU756" s="58" t="s">
        <v>239</v>
      </c>
      <c r="DL756" s="58" t="s">
        <v>7837</v>
      </c>
    </row>
    <row r="757" ht="15.75" customHeight="1">
      <c r="B757" s="58" t="s">
        <v>4587</v>
      </c>
      <c r="C757" s="58">
        <v>2021.0</v>
      </c>
      <c r="D757" s="58" t="s">
        <v>7838</v>
      </c>
      <c r="E757" s="58" t="s">
        <v>7839</v>
      </c>
      <c r="F757" s="58" t="s">
        <v>7840</v>
      </c>
      <c r="H757" s="58" t="s">
        <v>7042</v>
      </c>
      <c r="I757" s="58" t="s">
        <v>7841</v>
      </c>
      <c r="K757" s="73">
        <v>44592.0</v>
      </c>
      <c r="Z757" s="58" t="s">
        <v>239</v>
      </c>
      <c r="CH757" s="58" t="s">
        <v>7842</v>
      </c>
      <c r="CI757" s="73">
        <v>44592.0</v>
      </c>
      <c r="CJ757" s="58">
        <v>1.0</v>
      </c>
      <c r="CK757" s="58">
        <v>8.0</v>
      </c>
      <c r="CL757" s="58" t="s">
        <v>7843</v>
      </c>
      <c r="CM757" s="58" t="s">
        <v>7844</v>
      </c>
      <c r="CO757" s="58" t="s">
        <v>7845</v>
      </c>
      <c r="CP757" s="58" t="s">
        <v>7846</v>
      </c>
      <c r="CR757" s="58">
        <v>2.0</v>
      </c>
      <c r="CT757" s="58">
        <v>18.0</v>
      </c>
      <c r="CU757" s="58" t="s">
        <v>239</v>
      </c>
      <c r="DL757" s="58" t="s">
        <v>7847</v>
      </c>
    </row>
    <row r="758" ht="15.75" customHeight="1">
      <c r="B758" s="58" t="s">
        <v>4587</v>
      </c>
      <c r="C758" s="58">
        <v>2015.0</v>
      </c>
      <c r="D758" s="58" t="s">
        <v>7848</v>
      </c>
      <c r="E758" s="58" t="s">
        <v>7849</v>
      </c>
      <c r="F758" s="58" t="s">
        <v>7850</v>
      </c>
      <c r="I758" s="58" t="s">
        <v>7851</v>
      </c>
      <c r="K758" s="73">
        <v>42383.0</v>
      </c>
      <c r="Z758" s="58" t="s">
        <v>239</v>
      </c>
      <c r="CH758" s="58" t="s">
        <v>7852</v>
      </c>
      <c r="CI758" s="73">
        <v>42383.0</v>
      </c>
      <c r="CJ758" s="58">
        <v>1.0</v>
      </c>
      <c r="CK758" s="58">
        <v>6.0</v>
      </c>
      <c r="CL758" s="58" t="s">
        <v>7853</v>
      </c>
      <c r="CM758" s="58" t="s">
        <v>7854</v>
      </c>
      <c r="CO758" s="58" t="s">
        <v>7855</v>
      </c>
      <c r="CP758" s="58" t="s">
        <v>7856</v>
      </c>
      <c r="CR758" s="58">
        <v>2.0</v>
      </c>
      <c r="CT758" s="58">
        <v>10.0</v>
      </c>
      <c r="CU758" s="58" t="s">
        <v>239</v>
      </c>
      <c r="DL758" s="58" t="s">
        <v>7857</v>
      </c>
    </row>
    <row r="759" ht="15.75" customHeight="1">
      <c r="B759" s="58" t="s">
        <v>4587</v>
      </c>
      <c r="C759" s="58">
        <v>2018.0</v>
      </c>
      <c r="D759" s="58" t="s">
        <v>7858</v>
      </c>
      <c r="E759" s="58" t="s">
        <v>7859</v>
      </c>
      <c r="F759" s="58" t="s">
        <v>7209</v>
      </c>
      <c r="I759" s="58" t="s">
        <v>7860</v>
      </c>
      <c r="K759" s="73">
        <v>43380.0</v>
      </c>
      <c r="Z759" s="58" t="s">
        <v>239</v>
      </c>
      <c r="CH759" s="58" t="s">
        <v>7861</v>
      </c>
      <c r="CI759" s="73">
        <v>43380.0</v>
      </c>
      <c r="CJ759" s="58">
        <v>639.0</v>
      </c>
      <c r="CK759" s="58">
        <v>644.0</v>
      </c>
      <c r="CL759" s="58" t="s">
        <v>7862</v>
      </c>
      <c r="CM759" s="58" t="s">
        <v>7213</v>
      </c>
      <c r="CO759" s="58" t="s">
        <v>7863</v>
      </c>
      <c r="CP759" s="58" t="s">
        <v>7864</v>
      </c>
      <c r="CR759" s="58">
        <v>2.0</v>
      </c>
      <c r="CT759" s="58">
        <v>27.0</v>
      </c>
      <c r="CU759" s="58" t="s">
        <v>239</v>
      </c>
      <c r="DL759" s="58" t="s">
        <v>7865</v>
      </c>
    </row>
    <row r="760" ht="15.75" customHeight="1">
      <c r="B760" s="58" t="s">
        <v>4587</v>
      </c>
      <c r="C760" s="58">
        <v>2021.0</v>
      </c>
      <c r="D760" s="58" t="s">
        <v>7866</v>
      </c>
      <c r="E760" s="58" t="s">
        <v>7867</v>
      </c>
      <c r="F760" s="58" t="s">
        <v>7868</v>
      </c>
      <c r="H760" s="58" t="s">
        <v>7869</v>
      </c>
      <c r="I760" s="58" t="s">
        <v>7870</v>
      </c>
      <c r="K760" s="73">
        <v>44575.0</v>
      </c>
      <c r="Z760" s="58" t="s">
        <v>239</v>
      </c>
      <c r="CH760" s="58" t="s">
        <v>7871</v>
      </c>
      <c r="CI760" s="73">
        <v>44575.0</v>
      </c>
      <c r="CJ760" s="58">
        <v>1.0</v>
      </c>
      <c r="CK760" s="58">
        <v>4.0</v>
      </c>
      <c r="CL760" s="58" t="s">
        <v>7872</v>
      </c>
      <c r="CM760" s="58" t="s">
        <v>7873</v>
      </c>
      <c r="CO760" s="58" t="s">
        <v>7874</v>
      </c>
      <c r="CP760" s="58" t="s">
        <v>7875</v>
      </c>
      <c r="CR760" s="58">
        <v>2.0</v>
      </c>
      <c r="CT760" s="58">
        <v>12.0</v>
      </c>
      <c r="CU760" s="58" t="s">
        <v>239</v>
      </c>
      <c r="DL760" s="58" t="s">
        <v>7876</v>
      </c>
    </row>
    <row r="761" ht="15.75" customHeight="1">
      <c r="B761" s="58" t="s">
        <v>4587</v>
      </c>
      <c r="C761" s="58">
        <v>2016.0</v>
      </c>
      <c r="D761" s="58" t="s">
        <v>7877</v>
      </c>
      <c r="E761" s="58" t="s">
        <v>7878</v>
      </c>
      <c r="F761" s="58" t="s">
        <v>7879</v>
      </c>
      <c r="H761" s="58" t="s">
        <v>6357</v>
      </c>
      <c r="I761" s="58" t="s">
        <v>7880</v>
      </c>
      <c r="K761" s="73">
        <v>42726.0</v>
      </c>
      <c r="Z761" s="58" t="s">
        <v>239</v>
      </c>
      <c r="CH761" s="58" t="s">
        <v>7881</v>
      </c>
      <c r="CI761" s="73">
        <v>42726.0</v>
      </c>
      <c r="CJ761" s="58">
        <v>1.0</v>
      </c>
      <c r="CK761" s="58">
        <v>6.0</v>
      </c>
      <c r="CL761" s="58" t="s">
        <v>7882</v>
      </c>
      <c r="CM761" s="58" t="s">
        <v>7883</v>
      </c>
      <c r="CO761" s="58" t="s">
        <v>7884</v>
      </c>
      <c r="CP761" s="58" t="s">
        <v>7885</v>
      </c>
      <c r="CR761" s="58">
        <v>2.0</v>
      </c>
      <c r="CT761" s="58">
        <v>23.0</v>
      </c>
      <c r="CU761" s="58" t="s">
        <v>239</v>
      </c>
      <c r="DL761" s="58" t="s">
        <v>7886</v>
      </c>
    </row>
    <row r="762" ht="15.75" customHeight="1">
      <c r="B762" s="58" t="s">
        <v>4587</v>
      </c>
      <c r="C762" s="58">
        <v>2021.0</v>
      </c>
      <c r="D762" s="58" t="s">
        <v>7887</v>
      </c>
      <c r="E762" s="58" t="s">
        <v>7888</v>
      </c>
      <c r="F762" s="58" t="s">
        <v>7889</v>
      </c>
      <c r="I762" s="58" t="s">
        <v>7890</v>
      </c>
      <c r="K762" s="73">
        <v>44525.0</v>
      </c>
      <c r="Z762" s="58" t="s">
        <v>239</v>
      </c>
      <c r="CH762" s="58" t="s">
        <v>7891</v>
      </c>
      <c r="CI762" s="73">
        <v>44525.0</v>
      </c>
      <c r="CJ762" s="58">
        <v>553.0</v>
      </c>
      <c r="CK762" s="58">
        <v>559.0</v>
      </c>
      <c r="CL762" s="58" t="s">
        <v>7892</v>
      </c>
      <c r="CM762" s="58" t="s">
        <v>7893</v>
      </c>
      <c r="CN762" s="58" t="s">
        <v>7894</v>
      </c>
      <c r="CO762" s="58" t="s">
        <v>7895</v>
      </c>
      <c r="CP762" s="58" t="s">
        <v>7896</v>
      </c>
      <c r="CR762" s="58">
        <v>2.0</v>
      </c>
      <c r="CT762" s="58">
        <v>20.0</v>
      </c>
      <c r="CU762" s="58" t="s">
        <v>239</v>
      </c>
      <c r="DL762" s="58" t="s">
        <v>7897</v>
      </c>
    </row>
    <row r="763" ht="15.75" customHeight="1">
      <c r="B763" s="58" t="s">
        <v>4587</v>
      </c>
      <c r="C763" s="58">
        <v>2018.0</v>
      </c>
      <c r="D763" s="58" t="s">
        <v>7898</v>
      </c>
      <c r="E763" s="58" t="s">
        <v>7899</v>
      </c>
      <c r="F763" s="58" t="s">
        <v>7900</v>
      </c>
      <c r="H763" s="58" t="s">
        <v>7901</v>
      </c>
      <c r="I763" s="58" t="s">
        <v>7902</v>
      </c>
      <c r="K763" s="73">
        <v>43258.0</v>
      </c>
      <c r="Z763" s="58" t="s">
        <v>239</v>
      </c>
      <c r="CH763" s="58" t="s">
        <v>7903</v>
      </c>
      <c r="CI763" s="73">
        <v>43258.0</v>
      </c>
      <c r="CJ763" s="58">
        <v>436.0</v>
      </c>
      <c r="CK763" s="58">
        <v>440.0</v>
      </c>
      <c r="CL763" s="58" t="s">
        <v>7904</v>
      </c>
      <c r="CM763" s="58" t="s">
        <v>7905</v>
      </c>
      <c r="CO763" s="58" t="s">
        <v>7906</v>
      </c>
      <c r="CP763" s="58" t="s">
        <v>7907</v>
      </c>
      <c r="CR763" s="58">
        <v>2.0</v>
      </c>
      <c r="CT763" s="58">
        <v>16.0</v>
      </c>
      <c r="CU763" s="58" t="s">
        <v>239</v>
      </c>
      <c r="DL763" s="58" t="s">
        <v>7908</v>
      </c>
    </row>
    <row r="764" ht="15.75" customHeight="1">
      <c r="B764" s="58" t="s">
        <v>4587</v>
      </c>
      <c r="C764" s="58">
        <v>2016.0</v>
      </c>
      <c r="D764" s="58" t="s">
        <v>7909</v>
      </c>
      <c r="E764" s="58" t="s">
        <v>7910</v>
      </c>
      <c r="F764" s="58" t="s">
        <v>5694</v>
      </c>
      <c r="I764" s="58" t="s">
        <v>7911</v>
      </c>
      <c r="K764" s="73">
        <v>42758.0</v>
      </c>
      <c r="Z764" s="58" t="s">
        <v>239</v>
      </c>
      <c r="CH764" s="58" t="s">
        <v>7912</v>
      </c>
      <c r="CI764" s="73">
        <v>42758.0</v>
      </c>
      <c r="CJ764" s="58">
        <v>196.0</v>
      </c>
      <c r="CK764" s="58">
        <v>203.0</v>
      </c>
      <c r="CL764" s="58" t="s">
        <v>7913</v>
      </c>
      <c r="CM764" s="58" t="s">
        <v>5698</v>
      </c>
      <c r="CO764" s="58" t="s">
        <v>7914</v>
      </c>
      <c r="CR764" s="58">
        <v>2.0</v>
      </c>
      <c r="CT764" s="58">
        <v>32.0</v>
      </c>
      <c r="CU764" s="58" t="s">
        <v>239</v>
      </c>
      <c r="DL764" s="58" t="s">
        <v>7915</v>
      </c>
    </row>
    <row r="765" ht="15.75" customHeight="1">
      <c r="B765" s="58" t="s">
        <v>4587</v>
      </c>
      <c r="C765" s="58">
        <v>2018.0</v>
      </c>
      <c r="D765" s="58" t="s">
        <v>7916</v>
      </c>
      <c r="E765" s="58" t="s">
        <v>7917</v>
      </c>
      <c r="F765" s="58" t="s">
        <v>5704</v>
      </c>
      <c r="I765" s="58" t="s">
        <v>7918</v>
      </c>
      <c r="K765" s="73">
        <v>43615.0</v>
      </c>
      <c r="Z765" s="58" t="s">
        <v>239</v>
      </c>
      <c r="CH765" s="58" t="s">
        <v>7919</v>
      </c>
      <c r="CI765" s="73">
        <v>43615.0</v>
      </c>
      <c r="CJ765" s="58">
        <v>1.0</v>
      </c>
      <c r="CK765" s="58">
        <v>6.0</v>
      </c>
      <c r="CL765" s="58" t="s">
        <v>7920</v>
      </c>
      <c r="CM765" s="58" t="s">
        <v>5708</v>
      </c>
      <c r="CO765" s="58" t="s">
        <v>7921</v>
      </c>
      <c r="CP765" s="58" t="s">
        <v>7922</v>
      </c>
      <c r="CR765" s="58">
        <v>2.0</v>
      </c>
      <c r="CT765" s="58">
        <v>36.0</v>
      </c>
      <c r="CU765" s="58" t="s">
        <v>239</v>
      </c>
      <c r="DL765" s="58" t="s">
        <v>7923</v>
      </c>
    </row>
    <row r="766" ht="15.75" customHeight="1">
      <c r="B766" s="58" t="s">
        <v>4587</v>
      </c>
      <c r="C766" s="58">
        <v>2020.0</v>
      </c>
      <c r="D766" s="58" t="s">
        <v>7924</v>
      </c>
      <c r="E766" s="58" t="s">
        <v>7925</v>
      </c>
      <c r="F766" s="58" t="s">
        <v>7926</v>
      </c>
      <c r="I766" s="58" t="s">
        <v>7927</v>
      </c>
      <c r="K766" s="73">
        <v>44274.0</v>
      </c>
      <c r="Z766" s="58" t="s">
        <v>239</v>
      </c>
      <c r="CH766" s="58" t="s">
        <v>7928</v>
      </c>
      <c r="CI766" s="73">
        <v>44274.0</v>
      </c>
      <c r="CJ766" s="58">
        <v>3394.0</v>
      </c>
      <c r="CK766" s="58">
        <v>3403.0</v>
      </c>
      <c r="CL766" s="58" t="s">
        <v>7929</v>
      </c>
      <c r="CM766" s="58" t="s">
        <v>7930</v>
      </c>
      <c r="CN766" s="58" t="s">
        <v>7931</v>
      </c>
      <c r="CO766" s="58" t="s">
        <v>7932</v>
      </c>
      <c r="CP766" s="58" t="s">
        <v>7933</v>
      </c>
      <c r="CR766" s="58">
        <v>2.0</v>
      </c>
      <c r="CT766" s="58">
        <v>54.0</v>
      </c>
      <c r="CU766" s="58" t="s">
        <v>239</v>
      </c>
      <c r="DL766" s="58" t="s">
        <v>7934</v>
      </c>
    </row>
    <row r="767" ht="15.75" customHeight="1">
      <c r="B767" s="58" t="s">
        <v>4587</v>
      </c>
      <c r="C767" s="58">
        <v>2021.0</v>
      </c>
      <c r="D767" s="58" t="s">
        <v>7935</v>
      </c>
      <c r="E767" s="58" t="s">
        <v>7936</v>
      </c>
      <c r="F767" s="58" t="s">
        <v>7937</v>
      </c>
      <c r="I767" s="58" t="s">
        <v>7938</v>
      </c>
      <c r="K767" s="73">
        <v>44519.0</v>
      </c>
      <c r="Z767" s="58" t="s">
        <v>239</v>
      </c>
      <c r="CH767" s="58" t="s">
        <v>7939</v>
      </c>
      <c r="CI767" s="73">
        <v>44519.0</v>
      </c>
      <c r="CJ767" s="58">
        <v>135.0</v>
      </c>
      <c r="CK767" s="58">
        <v>140.0</v>
      </c>
      <c r="CL767" s="58" t="s">
        <v>7940</v>
      </c>
      <c r="CM767" s="58" t="s">
        <v>7941</v>
      </c>
      <c r="CO767" s="58" t="s">
        <v>7942</v>
      </c>
      <c r="CR767" s="58">
        <v>2.0</v>
      </c>
      <c r="CT767" s="58">
        <v>17.0</v>
      </c>
      <c r="CU767" s="58" t="s">
        <v>239</v>
      </c>
      <c r="DL767" s="58" t="s">
        <v>7943</v>
      </c>
    </row>
    <row r="768" ht="15.75" customHeight="1">
      <c r="B768" s="58" t="s">
        <v>4587</v>
      </c>
      <c r="C768" s="58">
        <v>2021.0</v>
      </c>
      <c r="D768" s="58" t="s">
        <v>7944</v>
      </c>
      <c r="E768" s="58" t="s">
        <v>7945</v>
      </c>
      <c r="F768" s="58" t="s">
        <v>7946</v>
      </c>
      <c r="I768" s="58" t="s">
        <v>7947</v>
      </c>
      <c r="K768" s="73">
        <v>44537.0</v>
      </c>
      <c r="Z768" s="58" t="s">
        <v>239</v>
      </c>
      <c r="CH768" s="58" t="s">
        <v>7948</v>
      </c>
      <c r="CI768" s="73">
        <v>44537.0</v>
      </c>
      <c r="CJ768" s="58">
        <v>49.0</v>
      </c>
      <c r="CK768" s="58">
        <v>55.0</v>
      </c>
      <c r="CL768" s="58" t="s">
        <v>7949</v>
      </c>
      <c r="CM768" s="58" t="s">
        <v>7950</v>
      </c>
      <c r="CO768" s="58" t="s">
        <v>7951</v>
      </c>
      <c r="CP768" s="58" t="s">
        <v>7952</v>
      </c>
      <c r="CR768" s="58">
        <v>2.0</v>
      </c>
      <c r="CT768" s="58">
        <v>27.0</v>
      </c>
      <c r="CU768" s="58" t="s">
        <v>239</v>
      </c>
      <c r="DL768" s="58" t="s">
        <v>7953</v>
      </c>
    </row>
    <row r="769" ht="15.75" customHeight="1">
      <c r="B769" s="58" t="s">
        <v>4587</v>
      </c>
      <c r="C769" s="58">
        <v>2022.0</v>
      </c>
      <c r="D769" s="58" t="s">
        <v>7954</v>
      </c>
      <c r="E769" s="58" t="s">
        <v>7955</v>
      </c>
      <c r="F769" s="58" t="s">
        <v>7956</v>
      </c>
      <c r="H769" s="58" t="s">
        <v>7957</v>
      </c>
      <c r="I769" s="58" t="s">
        <v>7958</v>
      </c>
      <c r="K769" s="73">
        <v>44946.0</v>
      </c>
      <c r="Z769" s="58" t="s">
        <v>239</v>
      </c>
      <c r="CH769" s="58" t="s">
        <v>7959</v>
      </c>
      <c r="CI769" s="73">
        <v>44946.0</v>
      </c>
      <c r="CJ769" s="58">
        <v>491.0</v>
      </c>
      <c r="CK769" s="58">
        <v>496.0</v>
      </c>
      <c r="CL769" s="58" t="s">
        <v>7960</v>
      </c>
      <c r="CM769" s="58" t="s">
        <v>7961</v>
      </c>
      <c r="CO769" s="58" t="s">
        <v>7962</v>
      </c>
      <c r="CP769" s="58" t="s">
        <v>7963</v>
      </c>
      <c r="CR769" s="58">
        <v>2.0</v>
      </c>
      <c r="CT769" s="58">
        <v>32.0</v>
      </c>
      <c r="CU769" s="58" t="s">
        <v>239</v>
      </c>
      <c r="DL769" s="58" t="s">
        <v>7964</v>
      </c>
    </row>
    <row r="770" ht="15.75" customHeight="1">
      <c r="B770" s="58" t="s">
        <v>4587</v>
      </c>
      <c r="C770" s="58">
        <v>2020.0</v>
      </c>
      <c r="D770" s="58" t="s">
        <v>7965</v>
      </c>
      <c r="E770" s="58" t="s">
        <v>7966</v>
      </c>
      <c r="F770" s="58" t="s">
        <v>7967</v>
      </c>
      <c r="I770" s="58" t="s">
        <v>7968</v>
      </c>
      <c r="K770" s="73">
        <v>43955.0</v>
      </c>
      <c r="R770" s="58">
        <v>1.0</v>
      </c>
      <c r="Z770" s="58" t="s">
        <v>239</v>
      </c>
      <c r="CH770" s="58" t="s">
        <v>7969</v>
      </c>
      <c r="CI770" s="73">
        <v>43955.0</v>
      </c>
      <c r="CJ770" s="58">
        <v>2241.0</v>
      </c>
      <c r="CK770" s="58">
        <v>2245.0</v>
      </c>
      <c r="CL770" s="58" t="s">
        <v>7970</v>
      </c>
      <c r="CM770" s="58" t="s">
        <v>7971</v>
      </c>
      <c r="CO770" s="58" t="s">
        <v>7972</v>
      </c>
      <c r="CP770" s="58" t="s">
        <v>7973</v>
      </c>
      <c r="CR770" s="58">
        <v>2.0</v>
      </c>
      <c r="CT770" s="58">
        <v>6.0</v>
      </c>
      <c r="CU770" s="58" t="s">
        <v>239</v>
      </c>
      <c r="DL770" s="58" t="s">
        <v>7974</v>
      </c>
    </row>
    <row r="771" ht="15.75" customHeight="1">
      <c r="B771" s="58" t="s">
        <v>4587</v>
      </c>
      <c r="C771" s="58">
        <v>2018.0</v>
      </c>
      <c r="D771" s="58" t="s">
        <v>7975</v>
      </c>
      <c r="E771" s="58" t="s">
        <v>7976</v>
      </c>
      <c r="F771" s="58" t="s">
        <v>7977</v>
      </c>
      <c r="H771" s="58" t="s">
        <v>7978</v>
      </c>
      <c r="I771" s="58" t="s">
        <v>7979</v>
      </c>
      <c r="K771" s="73">
        <v>43304.0</v>
      </c>
      <c r="Z771" s="58" t="s">
        <v>239</v>
      </c>
      <c r="CH771" s="58" t="s">
        <v>7980</v>
      </c>
      <c r="CI771" s="73">
        <v>43304.0</v>
      </c>
      <c r="CJ771" s="58">
        <v>542.0</v>
      </c>
      <c r="CK771" s="58">
        <v>553.0</v>
      </c>
      <c r="CL771" s="58" t="s">
        <v>7981</v>
      </c>
      <c r="CM771" s="58" t="s">
        <v>7982</v>
      </c>
      <c r="CO771" s="58" t="s">
        <v>7983</v>
      </c>
      <c r="CP771" s="58" t="s">
        <v>7984</v>
      </c>
      <c r="CR771" s="58">
        <v>2.0</v>
      </c>
      <c r="CT771" s="58">
        <v>41.0</v>
      </c>
      <c r="CU771" s="58" t="s">
        <v>239</v>
      </c>
      <c r="DL771" s="58" t="s">
        <v>7985</v>
      </c>
    </row>
    <row r="772" ht="15.75" customHeight="1">
      <c r="B772" s="58" t="s">
        <v>4587</v>
      </c>
      <c r="C772" s="58">
        <v>2016.0</v>
      </c>
      <c r="D772" s="58" t="s">
        <v>7986</v>
      </c>
      <c r="E772" s="58" t="s">
        <v>7987</v>
      </c>
      <c r="F772" s="58" t="s">
        <v>7988</v>
      </c>
      <c r="I772" s="58" t="s">
        <v>7989</v>
      </c>
      <c r="K772" s="73">
        <v>43027.0</v>
      </c>
      <c r="Z772" s="58" t="s">
        <v>239</v>
      </c>
      <c r="CH772" s="58" t="s">
        <v>7990</v>
      </c>
      <c r="CI772" s="73">
        <v>43027.0</v>
      </c>
      <c r="CJ772" s="58">
        <v>159.0</v>
      </c>
      <c r="CK772" s="58">
        <v>167.0</v>
      </c>
      <c r="CL772" s="58" t="s">
        <v>7991</v>
      </c>
      <c r="CM772" s="58" t="s">
        <v>7992</v>
      </c>
      <c r="CO772" s="58" t="s">
        <v>7993</v>
      </c>
      <c r="CP772" s="58" t="s">
        <v>7994</v>
      </c>
      <c r="CR772" s="58">
        <v>2.0</v>
      </c>
      <c r="CT772" s="58">
        <v>37.0</v>
      </c>
      <c r="CU772" s="58" t="s">
        <v>239</v>
      </c>
      <c r="DL772" s="58" t="s">
        <v>7995</v>
      </c>
    </row>
    <row r="773" ht="15.75" customHeight="1">
      <c r="B773" s="58" t="s">
        <v>4587</v>
      </c>
      <c r="C773" s="58">
        <v>2021.0</v>
      </c>
      <c r="D773" s="58" t="s">
        <v>7996</v>
      </c>
      <c r="E773" s="58" t="s">
        <v>7997</v>
      </c>
      <c r="F773" s="58" t="s">
        <v>7998</v>
      </c>
      <c r="I773" s="58" t="s">
        <v>7999</v>
      </c>
      <c r="K773" s="73">
        <v>44425.0</v>
      </c>
      <c r="Z773" s="58" t="s">
        <v>239</v>
      </c>
      <c r="CH773" s="58" t="s">
        <v>8000</v>
      </c>
      <c r="CI773" s="73">
        <v>44425.0</v>
      </c>
      <c r="CJ773" s="58">
        <v>1.0</v>
      </c>
      <c r="CK773" s="58">
        <v>6.0</v>
      </c>
      <c r="CL773" s="58" t="s">
        <v>8001</v>
      </c>
      <c r="CM773" s="58" t="s">
        <v>8002</v>
      </c>
      <c r="CO773" s="58" t="s">
        <v>8003</v>
      </c>
      <c r="CP773" s="58" t="s">
        <v>8004</v>
      </c>
      <c r="CR773" s="58">
        <v>2.0</v>
      </c>
      <c r="CT773" s="58">
        <v>16.0</v>
      </c>
      <c r="CU773" s="58" t="s">
        <v>239</v>
      </c>
      <c r="DL773" s="58" t="s">
        <v>8005</v>
      </c>
    </row>
    <row r="774" ht="15.75" customHeight="1">
      <c r="B774" s="58" t="s">
        <v>4587</v>
      </c>
      <c r="C774" s="58">
        <v>2022.0</v>
      </c>
      <c r="D774" s="58" t="s">
        <v>8006</v>
      </c>
      <c r="E774" s="58" t="s">
        <v>8007</v>
      </c>
      <c r="F774" s="58" t="s">
        <v>8008</v>
      </c>
      <c r="I774" s="58" t="s">
        <v>8009</v>
      </c>
      <c r="K774" s="73">
        <v>44859.0</v>
      </c>
      <c r="Z774" s="58" t="s">
        <v>239</v>
      </c>
      <c r="CH774" s="58" t="s">
        <v>8010</v>
      </c>
      <c r="CI774" s="73">
        <v>44859.0</v>
      </c>
      <c r="CJ774" s="58">
        <v>89.0</v>
      </c>
      <c r="CK774" s="58">
        <v>94.0</v>
      </c>
      <c r="CL774" s="58" t="s">
        <v>8011</v>
      </c>
      <c r="CM774" s="58" t="s">
        <v>8012</v>
      </c>
      <c r="CO774" s="58" t="s">
        <v>8013</v>
      </c>
      <c r="CP774" s="58" t="s">
        <v>8014</v>
      </c>
      <c r="CR774" s="58">
        <v>2.0</v>
      </c>
      <c r="CT774" s="58">
        <v>14.0</v>
      </c>
      <c r="CU774" s="58" t="s">
        <v>239</v>
      </c>
      <c r="DL774" s="58" t="s">
        <v>8015</v>
      </c>
    </row>
    <row r="775" ht="15.75" customHeight="1">
      <c r="B775" s="58" t="s">
        <v>4587</v>
      </c>
      <c r="C775" s="58">
        <v>2019.0</v>
      </c>
      <c r="D775" s="58" t="s">
        <v>8016</v>
      </c>
      <c r="E775" s="58" t="s">
        <v>8017</v>
      </c>
      <c r="F775" s="58" t="s">
        <v>4670</v>
      </c>
      <c r="H775" s="58" t="s">
        <v>4671</v>
      </c>
      <c r="I775" s="58" t="s">
        <v>8018</v>
      </c>
      <c r="K775" s="73">
        <v>43769.0</v>
      </c>
      <c r="Z775" s="58" t="s">
        <v>239</v>
      </c>
      <c r="CH775" s="58" t="s">
        <v>8019</v>
      </c>
      <c r="CI775" s="73">
        <v>43769.0</v>
      </c>
      <c r="CJ775" s="58">
        <v>1720.0</v>
      </c>
      <c r="CK775" s="58">
        <v>1729.0</v>
      </c>
      <c r="CL775" s="58" t="s">
        <v>8020</v>
      </c>
      <c r="CM775" s="58" t="s">
        <v>4675</v>
      </c>
      <c r="CO775" s="58" t="s">
        <v>8021</v>
      </c>
      <c r="CP775" s="58" t="s">
        <v>8022</v>
      </c>
      <c r="CR775" s="58">
        <v>2.0</v>
      </c>
      <c r="CT775" s="58">
        <v>52.0</v>
      </c>
      <c r="CU775" s="58" t="s">
        <v>239</v>
      </c>
      <c r="DL775" s="58" t="s">
        <v>8023</v>
      </c>
    </row>
    <row r="776" ht="15.75" customHeight="1">
      <c r="B776" s="58" t="s">
        <v>4587</v>
      </c>
      <c r="C776" s="58">
        <v>2019.0</v>
      </c>
      <c r="D776" s="58" t="s">
        <v>8024</v>
      </c>
      <c r="E776" s="58" t="s">
        <v>8025</v>
      </c>
      <c r="F776" s="58" t="s">
        <v>8026</v>
      </c>
      <c r="I776" s="58" t="s">
        <v>8027</v>
      </c>
      <c r="K776" s="73">
        <v>43762.0</v>
      </c>
      <c r="Z776" s="58" t="s">
        <v>239</v>
      </c>
      <c r="CH776" s="58" t="s">
        <v>8028</v>
      </c>
      <c r="CI776" s="73">
        <v>43762.0</v>
      </c>
      <c r="CJ776" s="58">
        <v>1.0</v>
      </c>
      <c r="CK776" s="58">
        <v>4.0</v>
      </c>
      <c r="CL776" s="58" t="s">
        <v>8029</v>
      </c>
      <c r="CM776" s="58" t="s">
        <v>8030</v>
      </c>
      <c r="CO776" s="58" t="s">
        <v>8031</v>
      </c>
      <c r="CP776" s="58" t="s">
        <v>8032</v>
      </c>
      <c r="CR776" s="58">
        <v>2.0</v>
      </c>
      <c r="CT776" s="58">
        <v>9.0</v>
      </c>
      <c r="CU776" s="58" t="s">
        <v>239</v>
      </c>
      <c r="DL776" s="58" t="s">
        <v>8033</v>
      </c>
    </row>
    <row r="777" ht="15.75" customHeight="1">
      <c r="B777" s="58" t="s">
        <v>4587</v>
      </c>
      <c r="C777" s="58">
        <v>2021.0</v>
      </c>
      <c r="D777" s="58" t="s">
        <v>8034</v>
      </c>
      <c r="E777" s="58" t="s">
        <v>8035</v>
      </c>
      <c r="F777" s="58" t="s">
        <v>6418</v>
      </c>
      <c r="H777" s="58" t="s">
        <v>5392</v>
      </c>
      <c r="I777" s="58" t="s">
        <v>8036</v>
      </c>
      <c r="K777" s="73">
        <v>44515.0</v>
      </c>
      <c r="Z777" s="58" t="s">
        <v>239</v>
      </c>
      <c r="CH777" s="58" t="s">
        <v>8037</v>
      </c>
      <c r="CI777" s="73">
        <v>44515.0</v>
      </c>
      <c r="CJ777" s="58">
        <v>44.0</v>
      </c>
      <c r="CK777" s="58">
        <v>51.0</v>
      </c>
      <c r="CL777" s="58" t="s">
        <v>8038</v>
      </c>
      <c r="CM777" s="58" t="s">
        <v>6422</v>
      </c>
      <c r="CN777" s="58" t="s">
        <v>8039</v>
      </c>
      <c r="CO777" s="58" t="s">
        <v>8040</v>
      </c>
      <c r="CP777" s="58" t="s">
        <v>8041</v>
      </c>
      <c r="CR777" s="58">
        <v>2.0</v>
      </c>
      <c r="CT777" s="58">
        <v>42.0</v>
      </c>
      <c r="CU777" s="58" t="s">
        <v>239</v>
      </c>
      <c r="DL777" s="58" t="s">
        <v>8042</v>
      </c>
    </row>
    <row r="778" ht="15.75" customHeight="1">
      <c r="B778" s="58" t="s">
        <v>4587</v>
      </c>
      <c r="C778" s="58">
        <v>2020.0</v>
      </c>
      <c r="D778" s="58" t="s">
        <v>8043</v>
      </c>
      <c r="E778" s="58" t="s">
        <v>8044</v>
      </c>
      <c r="F778" s="58" t="s">
        <v>7926</v>
      </c>
      <c r="I778" s="58" t="s">
        <v>8045</v>
      </c>
      <c r="K778" s="73">
        <v>44274.0</v>
      </c>
      <c r="Z778" s="58" t="s">
        <v>239</v>
      </c>
      <c r="CH778" s="58" t="s">
        <v>8046</v>
      </c>
      <c r="CI778" s="73">
        <v>44274.0</v>
      </c>
      <c r="CJ778" s="58">
        <v>3464.0</v>
      </c>
      <c r="CK778" s="58">
        <v>3469.0</v>
      </c>
      <c r="CL778" s="58" t="s">
        <v>8047</v>
      </c>
      <c r="CM778" s="58" t="s">
        <v>7930</v>
      </c>
      <c r="CO778" s="58" t="s">
        <v>8048</v>
      </c>
      <c r="CR778" s="58">
        <v>2.0</v>
      </c>
      <c r="CT778" s="58">
        <v>31.0</v>
      </c>
      <c r="CU778" s="58" t="s">
        <v>239</v>
      </c>
      <c r="DL778" s="58" t="s">
        <v>8049</v>
      </c>
    </row>
    <row r="779" ht="15.75" customHeight="1">
      <c r="B779" s="58" t="s">
        <v>4587</v>
      </c>
      <c r="C779" s="58">
        <v>2020.0</v>
      </c>
      <c r="D779" s="58" t="s">
        <v>8050</v>
      </c>
      <c r="E779" s="58" t="s">
        <v>8051</v>
      </c>
      <c r="F779" s="58" t="s">
        <v>8052</v>
      </c>
      <c r="H779" s="58" t="s">
        <v>7812</v>
      </c>
      <c r="I779" s="58" t="s">
        <v>8053</v>
      </c>
      <c r="K779" s="73">
        <v>44019.0</v>
      </c>
      <c r="Z779" s="58" t="s">
        <v>239</v>
      </c>
      <c r="CH779" s="58" t="s">
        <v>8054</v>
      </c>
      <c r="CI779" s="73">
        <v>44019.0</v>
      </c>
      <c r="CJ779" s="58">
        <v>1.0</v>
      </c>
      <c r="CK779" s="58">
        <v>3.0</v>
      </c>
      <c r="CL779" s="58" t="s">
        <v>8055</v>
      </c>
      <c r="CM779" s="58" t="s">
        <v>8056</v>
      </c>
      <c r="CO779" s="58" t="s">
        <v>8057</v>
      </c>
      <c r="CR779" s="58">
        <v>2.0</v>
      </c>
      <c r="CT779" s="58">
        <v>5.0</v>
      </c>
      <c r="CU779" s="58" t="s">
        <v>239</v>
      </c>
      <c r="DL779" s="58" t="s">
        <v>8058</v>
      </c>
    </row>
    <row r="780" ht="15.75" customHeight="1">
      <c r="B780" s="58" t="s">
        <v>4587</v>
      </c>
      <c r="C780" s="58">
        <v>2022.0</v>
      </c>
      <c r="D780" s="58" t="s">
        <v>8059</v>
      </c>
      <c r="E780" s="58" t="s">
        <v>8060</v>
      </c>
      <c r="F780" s="58" t="s">
        <v>4982</v>
      </c>
      <c r="I780" s="58" t="s">
        <v>8061</v>
      </c>
      <c r="K780" s="73">
        <v>44761.0</v>
      </c>
      <c r="Z780" s="58" t="s">
        <v>239</v>
      </c>
      <c r="CH780" s="58" t="s">
        <v>8062</v>
      </c>
      <c r="CI780" s="73">
        <v>44761.0</v>
      </c>
      <c r="CJ780" s="58">
        <v>842.0</v>
      </c>
      <c r="CK780" s="58">
        <v>850.0</v>
      </c>
      <c r="CL780" s="58" t="s">
        <v>8063</v>
      </c>
      <c r="CM780" s="58" t="s">
        <v>4986</v>
      </c>
      <c r="CN780" s="58" t="s">
        <v>8064</v>
      </c>
      <c r="CO780" s="58" t="s">
        <v>8065</v>
      </c>
      <c r="CP780" s="58" t="s">
        <v>8066</v>
      </c>
      <c r="CR780" s="58">
        <v>2.0</v>
      </c>
      <c r="CT780" s="58">
        <v>45.0</v>
      </c>
      <c r="CU780" s="58" t="s">
        <v>239</v>
      </c>
      <c r="DL780" s="58" t="s">
        <v>8067</v>
      </c>
    </row>
    <row r="781" ht="15.75" customHeight="1">
      <c r="B781" s="58" t="s">
        <v>4587</v>
      </c>
      <c r="C781" s="58">
        <v>2021.0</v>
      </c>
      <c r="D781" s="58" t="s">
        <v>8068</v>
      </c>
      <c r="E781" s="58" t="s">
        <v>8069</v>
      </c>
      <c r="F781" s="58" t="s">
        <v>8070</v>
      </c>
      <c r="H781" s="58" t="s">
        <v>8071</v>
      </c>
      <c r="I781" s="58" t="s">
        <v>8072</v>
      </c>
      <c r="K781" s="73">
        <v>44354.0</v>
      </c>
      <c r="Z781" s="58" t="s">
        <v>239</v>
      </c>
      <c r="CH781" s="58" t="s">
        <v>8073</v>
      </c>
      <c r="CI781" s="73">
        <v>44354.0</v>
      </c>
      <c r="CJ781" s="58">
        <v>1.0</v>
      </c>
      <c r="CK781" s="58">
        <v>10.0</v>
      </c>
      <c r="CL781" s="58" t="s">
        <v>8074</v>
      </c>
      <c r="CM781" s="58" t="s">
        <v>8075</v>
      </c>
      <c r="CN781" s="58" t="s">
        <v>8076</v>
      </c>
      <c r="CO781" s="58" t="s">
        <v>8077</v>
      </c>
      <c r="CR781" s="58">
        <v>2.0</v>
      </c>
      <c r="CT781" s="58">
        <v>14.0</v>
      </c>
      <c r="CU781" s="58" t="s">
        <v>239</v>
      </c>
      <c r="DL781" s="58" t="s">
        <v>8078</v>
      </c>
    </row>
    <row r="782" ht="15.75" customHeight="1">
      <c r="B782" s="58" t="s">
        <v>4587</v>
      </c>
      <c r="C782" s="58">
        <v>2018.0</v>
      </c>
      <c r="D782" s="58" t="s">
        <v>8079</v>
      </c>
      <c r="E782" s="58" t="s">
        <v>8080</v>
      </c>
      <c r="F782" s="58" t="s">
        <v>8081</v>
      </c>
      <c r="H782" s="58" t="s">
        <v>6260</v>
      </c>
      <c r="I782" s="58" t="s">
        <v>8082</v>
      </c>
      <c r="K782" s="73">
        <v>43461.0</v>
      </c>
      <c r="Z782" s="58" t="s">
        <v>239</v>
      </c>
      <c r="CH782" s="58" t="s">
        <v>8083</v>
      </c>
      <c r="CI782" s="73">
        <v>43461.0</v>
      </c>
      <c r="CJ782" s="58">
        <v>3.0</v>
      </c>
      <c r="CK782" s="58">
        <v>11.0</v>
      </c>
      <c r="CL782" s="58" t="s">
        <v>8084</v>
      </c>
      <c r="CM782" s="58" t="s">
        <v>8085</v>
      </c>
      <c r="CO782" s="58" t="s">
        <v>8086</v>
      </c>
      <c r="CR782" s="58">
        <v>2.0</v>
      </c>
      <c r="CT782" s="58">
        <v>16.0</v>
      </c>
      <c r="DL782" s="58" t="s">
        <v>8087</v>
      </c>
    </row>
    <row r="783" ht="15.75" customHeight="1">
      <c r="B783" s="58" t="s">
        <v>4587</v>
      </c>
      <c r="C783" s="58">
        <v>2022.0</v>
      </c>
      <c r="D783" s="58" t="s">
        <v>8088</v>
      </c>
      <c r="E783" s="58" t="s">
        <v>8089</v>
      </c>
      <c r="F783" s="58" t="s">
        <v>7956</v>
      </c>
      <c r="H783" s="58" t="s">
        <v>7957</v>
      </c>
      <c r="I783" s="58" t="s">
        <v>8090</v>
      </c>
      <c r="K783" s="73">
        <v>44946.0</v>
      </c>
      <c r="Z783" s="58" t="s">
        <v>239</v>
      </c>
      <c r="CH783" s="58" t="s">
        <v>8091</v>
      </c>
      <c r="CI783" s="73">
        <v>44946.0</v>
      </c>
      <c r="CJ783" s="58">
        <v>285.0</v>
      </c>
      <c r="CK783" s="58">
        <v>290.0</v>
      </c>
      <c r="CL783" s="58" t="s">
        <v>8092</v>
      </c>
      <c r="CM783" s="58" t="s">
        <v>7961</v>
      </c>
      <c r="CO783" s="58" t="s">
        <v>8093</v>
      </c>
      <c r="CP783" s="58" t="s">
        <v>8094</v>
      </c>
      <c r="CR783" s="58">
        <v>2.0</v>
      </c>
      <c r="CT783" s="58">
        <v>29.0</v>
      </c>
      <c r="CU783" s="58" t="s">
        <v>8095</v>
      </c>
      <c r="DL783" s="58" t="s">
        <v>8096</v>
      </c>
    </row>
    <row r="784" ht="15.75" customHeight="1">
      <c r="B784" s="58" t="s">
        <v>4587</v>
      </c>
      <c r="C784" s="58">
        <v>2022.0</v>
      </c>
      <c r="D784" s="58" t="s">
        <v>8097</v>
      </c>
      <c r="E784" s="58" t="s">
        <v>8098</v>
      </c>
      <c r="F784" s="58" t="s">
        <v>7324</v>
      </c>
      <c r="H784" s="58" t="s">
        <v>5003</v>
      </c>
      <c r="I784" s="58" t="s">
        <v>8099</v>
      </c>
      <c r="K784" s="73">
        <v>44937.0</v>
      </c>
      <c r="Z784" s="58" t="s">
        <v>239</v>
      </c>
      <c r="CH784" s="58" t="s">
        <v>8100</v>
      </c>
      <c r="CI784" s="73">
        <v>44937.0</v>
      </c>
      <c r="CJ784" s="58">
        <v>2644.0</v>
      </c>
      <c r="CK784" s="58">
        <v>2649.0</v>
      </c>
      <c r="CL784" s="58" t="s">
        <v>8101</v>
      </c>
      <c r="CM784" s="58" t="s">
        <v>7328</v>
      </c>
      <c r="CO784" s="58" t="s">
        <v>8102</v>
      </c>
      <c r="CP784" s="58" t="s">
        <v>8103</v>
      </c>
      <c r="CR784" s="58">
        <v>2.0</v>
      </c>
      <c r="CT784" s="58">
        <v>18.0</v>
      </c>
      <c r="CU784" s="58" t="s">
        <v>239</v>
      </c>
      <c r="DL784" s="58" t="s">
        <v>8104</v>
      </c>
    </row>
    <row r="785" ht="15.75" customHeight="1">
      <c r="B785" s="58" t="s">
        <v>4587</v>
      </c>
      <c r="C785" s="58">
        <v>2022.0</v>
      </c>
      <c r="D785" s="58" t="s">
        <v>8105</v>
      </c>
      <c r="E785" s="58" t="s">
        <v>8106</v>
      </c>
      <c r="F785" s="58" t="s">
        <v>5794</v>
      </c>
      <c r="H785" s="58" t="s">
        <v>5795</v>
      </c>
      <c r="I785" s="58" t="s">
        <v>8107</v>
      </c>
      <c r="K785" s="73">
        <v>44798.0</v>
      </c>
      <c r="Z785" s="58" t="s">
        <v>239</v>
      </c>
      <c r="CH785" s="58" t="s">
        <v>8108</v>
      </c>
      <c r="CI785" s="73">
        <v>44798.0</v>
      </c>
      <c r="CJ785" s="58">
        <v>1.0</v>
      </c>
      <c r="CK785" s="58">
        <v>7.0</v>
      </c>
      <c r="CL785" s="58" t="s">
        <v>8109</v>
      </c>
      <c r="CM785" s="58" t="s">
        <v>5799</v>
      </c>
      <c r="CO785" s="58" t="s">
        <v>8110</v>
      </c>
      <c r="CR785" s="58">
        <v>2.0</v>
      </c>
      <c r="CT785" s="58">
        <v>15.0</v>
      </c>
      <c r="CU785" s="58" t="s">
        <v>239</v>
      </c>
      <c r="DL785" s="58" t="s">
        <v>8111</v>
      </c>
    </row>
    <row r="786" ht="15.75" customHeight="1">
      <c r="B786" s="58" t="s">
        <v>4587</v>
      </c>
      <c r="C786" s="58">
        <v>2022.0</v>
      </c>
      <c r="D786" s="58" t="s">
        <v>8112</v>
      </c>
      <c r="E786" s="58" t="s">
        <v>8113</v>
      </c>
      <c r="F786" s="58" t="s">
        <v>8114</v>
      </c>
      <c r="I786" s="58" t="s">
        <v>8115</v>
      </c>
      <c r="K786" s="73">
        <v>44687.0</v>
      </c>
      <c r="Z786" s="58" t="s">
        <v>239</v>
      </c>
      <c r="CH786" s="58" t="s">
        <v>8116</v>
      </c>
      <c r="CI786" s="73">
        <v>44687.0</v>
      </c>
      <c r="CJ786" s="58">
        <v>693.0</v>
      </c>
      <c r="CK786" s="58">
        <v>698.0</v>
      </c>
      <c r="CL786" s="58" t="s">
        <v>8117</v>
      </c>
      <c r="CM786" s="58" t="s">
        <v>8118</v>
      </c>
      <c r="CO786" s="58" t="s">
        <v>8119</v>
      </c>
      <c r="CP786" s="58" t="s">
        <v>8120</v>
      </c>
      <c r="CR786" s="58">
        <v>2.0</v>
      </c>
      <c r="CT786" s="58">
        <v>15.0</v>
      </c>
      <c r="CU786" s="58" t="s">
        <v>239</v>
      </c>
      <c r="DL786" s="58" t="s">
        <v>8121</v>
      </c>
    </row>
    <row r="787" ht="15.75" customHeight="1">
      <c r="B787" s="58" t="s">
        <v>4587</v>
      </c>
      <c r="C787" s="58">
        <v>2020.0</v>
      </c>
      <c r="D787" s="58" t="s">
        <v>8122</v>
      </c>
      <c r="E787" s="58" t="s">
        <v>8123</v>
      </c>
      <c r="F787" s="58" t="s">
        <v>7389</v>
      </c>
      <c r="I787" s="58" t="s">
        <v>8124</v>
      </c>
      <c r="K787" s="73">
        <v>44146.0</v>
      </c>
      <c r="Z787" s="58" t="s">
        <v>239</v>
      </c>
      <c r="CH787" s="58" t="s">
        <v>8125</v>
      </c>
      <c r="CI787" s="73">
        <v>44146.0</v>
      </c>
      <c r="CJ787" s="58">
        <v>73.0</v>
      </c>
      <c r="CK787" s="58">
        <v>81.0</v>
      </c>
      <c r="CL787" s="58" t="s">
        <v>8126</v>
      </c>
      <c r="CM787" s="58" t="s">
        <v>7393</v>
      </c>
      <c r="CO787" s="58" t="s">
        <v>8127</v>
      </c>
      <c r="CP787" s="58" t="s">
        <v>8128</v>
      </c>
      <c r="CR787" s="58">
        <v>2.0</v>
      </c>
      <c r="CT787" s="58">
        <v>28.0</v>
      </c>
      <c r="CU787" s="58" t="s">
        <v>239</v>
      </c>
      <c r="DL787" s="58" t="s">
        <v>8129</v>
      </c>
    </row>
    <row r="788" ht="15.75" customHeight="1">
      <c r="B788" s="58" t="s">
        <v>4587</v>
      </c>
      <c r="C788" s="58">
        <v>2020.0</v>
      </c>
      <c r="D788" s="58" t="s">
        <v>8130</v>
      </c>
      <c r="E788" s="58" t="s">
        <v>8131</v>
      </c>
      <c r="F788" s="58" t="s">
        <v>8132</v>
      </c>
      <c r="I788" s="58" t="s">
        <v>8133</v>
      </c>
      <c r="K788" s="73">
        <v>44228.0</v>
      </c>
      <c r="Z788" s="58" t="s">
        <v>239</v>
      </c>
      <c r="CH788" s="58" t="s">
        <v>8134</v>
      </c>
      <c r="CI788" s="73">
        <v>44228.0</v>
      </c>
      <c r="CJ788" s="58">
        <v>316.0</v>
      </c>
      <c r="CK788" s="58">
        <v>319.0</v>
      </c>
      <c r="CL788" s="58" t="s">
        <v>8135</v>
      </c>
      <c r="CM788" s="58" t="s">
        <v>8136</v>
      </c>
      <c r="CN788" s="58" t="s">
        <v>8137</v>
      </c>
      <c r="CO788" s="58" t="s">
        <v>8138</v>
      </c>
      <c r="CP788" s="58" t="s">
        <v>8139</v>
      </c>
      <c r="CR788" s="58">
        <v>2.0</v>
      </c>
      <c r="CT788" s="58">
        <v>15.0</v>
      </c>
      <c r="CU788" s="58" t="s">
        <v>239</v>
      </c>
      <c r="DL788" s="58" t="s">
        <v>8140</v>
      </c>
    </row>
    <row r="789" ht="15.75" customHeight="1">
      <c r="B789" s="58" t="s">
        <v>4587</v>
      </c>
      <c r="C789" s="58">
        <v>2016.0</v>
      </c>
      <c r="D789" s="58" t="s">
        <v>8141</v>
      </c>
      <c r="E789" s="58" t="s">
        <v>8142</v>
      </c>
      <c r="F789" s="58" t="s">
        <v>8143</v>
      </c>
      <c r="H789" s="58" t="s">
        <v>8144</v>
      </c>
      <c r="I789" s="58" t="s">
        <v>8145</v>
      </c>
      <c r="K789" s="73">
        <v>42698.0</v>
      </c>
      <c r="Z789" s="58" t="s">
        <v>239</v>
      </c>
      <c r="CH789" s="58" t="s">
        <v>8146</v>
      </c>
      <c r="CI789" s="73">
        <v>42698.0</v>
      </c>
      <c r="CJ789" s="58">
        <v>1.0</v>
      </c>
      <c r="CK789" s="58">
        <v>5.0</v>
      </c>
      <c r="CL789" s="58" t="s">
        <v>8147</v>
      </c>
      <c r="CM789" s="58" t="s">
        <v>8148</v>
      </c>
      <c r="CO789" s="58" t="s">
        <v>8149</v>
      </c>
      <c r="CP789" s="58" t="s">
        <v>8150</v>
      </c>
      <c r="CR789" s="58">
        <v>2.0</v>
      </c>
      <c r="CT789" s="58">
        <v>19.0</v>
      </c>
      <c r="CU789" s="58" t="s">
        <v>239</v>
      </c>
    </row>
    <row r="790" ht="15.75" customHeight="1">
      <c r="B790" s="58" t="s">
        <v>4587</v>
      </c>
      <c r="C790" s="58">
        <v>2022.0</v>
      </c>
      <c r="D790" s="58" t="s">
        <v>8151</v>
      </c>
      <c r="E790" s="58" t="s">
        <v>8152</v>
      </c>
      <c r="F790" s="58" t="s">
        <v>8153</v>
      </c>
      <c r="H790" s="58" t="s">
        <v>8154</v>
      </c>
      <c r="I790" s="58" t="s">
        <v>8155</v>
      </c>
      <c r="K790" s="73">
        <v>44834.0</v>
      </c>
      <c r="Z790" s="58" t="s">
        <v>239</v>
      </c>
      <c r="CH790" s="58" t="s">
        <v>8156</v>
      </c>
      <c r="CI790" s="73">
        <v>44834.0</v>
      </c>
      <c r="CJ790" s="58">
        <v>1.0</v>
      </c>
      <c r="CK790" s="58">
        <v>6.0</v>
      </c>
      <c r="CL790" s="58" t="s">
        <v>8157</v>
      </c>
      <c r="CM790" s="58" t="s">
        <v>8158</v>
      </c>
      <c r="CO790" s="58" t="s">
        <v>8159</v>
      </c>
      <c r="CP790" s="58" t="s">
        <v>8160</v>
      </c>
      <c r="CR790" s="58">
        <v>2.0</v>
      </c>
      <c r="CT790" s="58">
        <v>18.0</v>
      </c>
      <c r="CU790" s="58" t="s">
        <v>239</v>
      </c>
      <c r="DL790" s="58" t="s">
        <v>8161</v>
      </c>
    </row>
    <row r="791" ht="15.75" customHeight="1">
      <c r="B791" s="58" t="s">
        <v>4587</v>
      </c>
      <c r="C791" s="58">
        <v>2022.0</v>
      </c>
      <c r="D791" s="58" t="s">
        <v>8162</v>
      </c>
      <c r="E791" s="58" t="s">
        <v>8163</v>
      </c>
      <c r="F791" s="58" t="s">
        <v>6871</v>
      </c>
      <c r="H791" s="58" t="s">
        <v>6872</v>
      </c>
      <c r="I791" s="58" t="s">
        <v>8164</v>
      </c>
      <c r="K791" s="73">
        <v>44776.0</v>
      </c>
      <c r="Z791" s="58" t="s">
        <v>239</v>
      </c>
      <c r="CH791" s="58" t="s">
        <v>8165</v>
      </c>
      <c r="CI791" s="73">
        <v>44776.0</v>
      </c>
      <c r="CJ791" s="58">
        <v>163.0</v>
      </c>
      <c r="CK791" s="58">
        <v>170.0</v>
      </c>
      <c r="CL791" s="58" t="s">
        <v>8166</v>
      </c>
      <c r="CM791" s="58" t="s">
        <v>6876</v>
      </c>
      <c r="CO791" s="58" t="s">
        <v>8167</v>
      </c>
      <c r="CP791" s="58" t="s">
        <v>8168</v>
      </c>
      <c r="CR791" s="58">
        <v>2.0</v>
      </c>
      <c r="CT791" s="58">
        <v>22.0</v>
      </c>
      <c r="CU791" s="58" t="s">
        <v>239</v>
      </c>
      <c r="DL791" s="58" t="s">
        <v>8169</v>
      </c>
    </row>
    <row r="792" ht="15.75" customHeight="1">
      <c r="B792" s="58" t="s">
        <v>4587</v>
      </c>
      <c r="C792" s="58">
        <v>2021.0</v>
      </c>
      <c r="D792" s="58" t="s">
        <v>8170</v>
      </c>
      <c r="E792" s="58" t="s">
        <v>8171</v>
      </c>
      <c r="F792" s="58" t="s">
        <v>8172</v>
      </c>
      <c r="I792" s="58" t="s">
        <v>8173</v>
      </c>
      <c r="K792" s="73">
        <v>44511.0</v>
      </c>
      <c r="Z792" s="58" t="s">
        <v>239</v>
      </c>
      <c r="CH792" s="58" t="s">
        <v>8174</v>
      </c>
      <c r="CI792" s="73">
        <v>44511.0</v>
      </c>
      <c r="CJ792" s="58">
        <v>712.0</v>
      </c>
      <c r="CK792" s="58">
        <v>723.0</v>
      </c>
      <c r="CL792" s="58" t="s">
        <v>8175</v>
      </c>
      <c r="CM792" s="58" t="s">
        <v>8176</v>
      </c>
      <c r="CO792" s="58" t="s">
        <v>8177</v>
      </c>
      <c r="CP792" s="58" t="s">
        <v>8178</v>
      </c>
      <c r="CR792" s="58">
        <v>2.0</v>
      </c>
      <c r="CT792" s="58">
        <v>64.0</v>
      </c>
      <c r="CU792" s="58" t="s">
        <v>239</v>
      </c>
      <c r="DL792" s="58" t="s">
        <v>8179</v>
      </c>
    </row>
    <row r="793" ht="15.75" customHeight="1">
      <c r="B793" s="58" t="s">
        <v>4587</v>
      </c>
      <c r="C793" s="58">
        <v>2019.0</v>
      </c>
      <c r="D793" s="58" t="s">
        <v>8180</v>
      </c>
      <c r="E793" s="58" t="s">
        <v>8181</v>
      </c>
      <c r="F793" s="58" t="s">
        <v>7276</v>
      </c>
      <c r="I793" s="58" t="s">
        <v>8182</v>
      </c>
      <c r="K793" s="73">
        <v>43692.0</v>
      </c>
      <c r="Z793" s="58" t="s">
        <v>239</v>
      </c>
      <c r="CH793" s="58" t="s">
        <v>8183</v>
      </c>
      <c r="CI793" s="73">
        <v>43692.0</v>
      </c>
      <c r="CJ793" s="58">
        <v>78.0</v>
      </c>
      <c r="CK793" s="58">
        <v>85.0</v>
      </c>
      <c r="CL793" s="58" t="s">
        <v>8184</v>
      </c>
      <c r="CM793" s="58" t="s">
        <v>7280</v>
      </c>
      <c r="CO793" s="58" t="s">
        <v>8185</v>
      </c>
      <c r="CP793" s="58" t="s">
        <v>8186</v>
      </c>
      <c r="CR793" s="58">
        <v>2.0</v>
      </c>
      <c r="CT793" s="58">
        <v>60.0</v>
      </c>
      <c r="CU793" s="58" t="s">
        <v>239</v>
      </c>
      <c r="DL793" s="58" t="s">
        <v>8187</v>
      </c>
    </row>
    <row r="794" ht="15.75" customHeight="1">
      <c r="B794" s="58" t="s">
        <v>4587</v>
      </c>
      <c r="C794" s="58">
        <v>2018.0</v>
      </c>
      <c r="D794" s="58" t="s">
        <v>8188</v>
      </c>
      <c r="E794" s="58" t="s">
        <v>8189</v>
      </c>
      <c r="F794" s="58" t="s">
        <v>8190</v>
      </c>
      <c r="I794" s="58" t="s">
        <v>8191</v>
      </c>
      <c r="K794" s="73">
        <v>43485.0</v>
      </c>
      <c r="Z794" s="58" t="s">
        <v>239</v>
      </c>
      <c r="CH794" s="58" t="s">
        <v>8192</v>
      </c>
      <c r="CI794" s="73">
        <v>43485.0</v>
      </c>
      <c r="CJ794" s="58">
        <v>1.0</v>
      </c>
      <c r="CK794" s="58">
        <v>5.0</v>
      </c>
      <c r="CL794" s="58" t="s">
        <v>8193</v>
      </c>
      <c r="CM794" s="58" t="s">
        <v>8194</v>
      </c>
      <c r="CO794" s="58" t="s">
        <v>8195</v>
      </c>
      <c r="CP794" s="58" t="s">
        <v>8196</v>
      </c>
      <c r="CR794" s="58">
        <v>2.0</v>
      </c>
      <c r="CT794" s="58">
        <v>21.0</v>
      </c>
      <c r="CU794" s="58" t="s">
        <v>239</v>
      </c>
      <c r="DL794" s="58" t="s">
        <v>8197</v>
      </c>
    </row>
    <row r="795" ht="15.75" customHeight="1">
      <c r="B795" s="58" t="s">
        <v>4587</v>
      </c>
      <c r="C795" s="58">
        <v>2022.0</v>
      </c>
      <c r="D795" s="58" t="s">
        <v>8198</v>
      </c>
      <c r="E795" s="58" t="s">
        <v>8199</v>
      </c>
      <c r="F795" s="58" t="s">
        <v>6199</v>
      </c>
      <c r="H795" s="58" t="s">
        <v>5264</v>
      </c>
      <c r="I795" s="58" t="s">
        <v>8200</v>
      </c>
      <c r="K795" s="73">
        <v>44721.0</v>
      </c>
      <c r="Z795" s="58" t="s">
        <v>239</v>
      </c>
      <c r="CH795" s="58" t="s">
        <v>8201</v>
      </c>
      <c r="CI795" s="73">
        <v>44721.0</v>
      </c>
      <c r="CJ795" s="58">
        <v>1.0</v>
      </c>
      <c r="CK795" s="58">
        <v>6.0</v>
      </c>
      <c r="CL795" s="58" t="s">
        <v>8202</v>
      </c>
      <c r="CM795" s="58" t="s">
        <v>6203</v>
      </c>
      <c r="CO795" s="58" t="s">
        <v>8203</v>
      </c>
      <c r="CP795" s="58" t="s">
        <v>8204</v>
      </c>
      <c r="CR795" s="58">
        <v>2.0</v>
      </c>
      <c r="CT795" s="58">
        <v>29.0</v>
      </c>
      <c r="CU795" s="58" t="s">
        <v>239</v>
      </c>
      <c r="DL795" s="58" t="s">
        <v>8205</v>
      </c>
    </row>
    <row r="796" ht="15.75" customHeight="1">
      <c r="B796" s="58" t="s">
        <v>4587</v>
      </c>
      <c r="C796" s="58">
        <v>2022.0</v>
      </c>
      <c r="D796" s="58" t="s">
        <v>8206</v>
      </c>
      <c r="E796" s="58" t="s">
        <v>8207</v>
      </c>
      <c r="F796" s="58" t="s">
        <v>8208</v>
      </c>
      <c r="H796" s="58" t="s">
        <v>4600</v>
      </c>
      <c r="I796" s="58" t="s">
        <v>8209</v>
      </c>
      <c r="K796" s="73">
        <v>44797.0</v>
      </c>
      <c r="Z796" s="58" t="s">
        <v>239</v>
      </c>
      <c r="CH796" s="58" t="s">
        <v>8210</v>
      </c>
      <c r="CI796" s="73">
        <v>44797.0</v>
      </c>
      <c r="CJ796" s="58">
        <v>511.0</v>
      </c>
      <c r="CK796" s="58">
        <v>521.0</v>
      </c>
      <c r="CL796" s="58" t="s">
        <v>8211</v>
      </c>
      <c r="CM796" s="58" t="s">
        <v>8212</v>
      </c>
      <c r="CO796" s="58" t="s">
        <v>8213</v>
      </c>
      <c r="CP796" s="58" t="s">
        <v>8214</v>
      </c>
      <c r="CR796" s="58">
        <v>2.0</v>
      </c>
      <c r="CT796" s="58">
        <v>36.0</v>
      </c>
      <c r="CU796" s="58" t="s">
        <v>239</v>
      </c>
      <c r="DL796" s="58" t="s">
        <v>8215</v>
      </c>
    </row>
    <row r="797" ht="15.75" customHeight="1">
      <c r="B797" s="58" t="s">
        <v>4587</v>
      </c>
      <c r="C797" s="58">
        <v>2017.0</v>
      </c>
      <c r="D797" s="58" t="s">
        <v>8216</v>
      </c>
      <c r="E797" s="58" t="s">
        <v>8217</v>
      </c>
      <c r="F797" s="58" t="s">
        <v>8218</v>
      </c>
      <c r="I797" s="58" t="s">
        <v>8219</v>
      </c>
      <c r="K797" s="73">
        <v>42923.0</v>
      </c>
      <c r="Z797" s="58" t="s">
        <v>239</v>
      </c>
      <c r="CH797" s="58" t="s">
        <v>8220</v>
      </c>
      <c r="CI797" s="73">
        <v>42923.0</v>
      </c>
      <c r="CJ797" s="58">
        <v>9.0</v>
      </c>
      <c r="CK797" s="58">
        <v>12.0</v>
      </c>
      <c r="CL797" s="58" t="s">
        <v>8221</v>
      </c>
      <c r="CM797" s="58" t="s">
        <v>8222</v>
      </c>
      <c r="CO797" s="58" t="s">
        <v>8223</v>
      </c>
      <c r="CP797" s="58" t="s">
        <v>8224</v>
      </c>
      <c r="CR797" s="58">
        <v>2.0</v>
      </c>
      <c r="CT797" s="58">
        <v>14.0</v>
      </c>
      <c r="CU797" s="58" t="s">
        <v>239</v>
      </c>
    </row>
    <row r="798" ht="15.75" customHeight="1">
      <c r="B798" s="58" t="s">
        <v>4587</v>
      </c>
      <c r="C798" s="58">
        <v>2022.0</v>
      </c>
      <c r="D798" s="58" t="s">
        <v>8225</v>
      </c>
      <c r="E798" s="58" t="s">
        <v>8226</v>
      </c>
      <c r="F798" s="58" t="s">
        <v>8227</v>
      </c>
      <c r="H798" s="58" t="s">
        <v>7812</v>
      </c>
      <c r="I798" s="58" t="s">
        <v>8228</v>
      </c>
      <c r="K798" s="73">
        <v>44733.0</v>
      </c>
      <c r="Z798" s="58" t="s">
        <v>239</v>
      </c>
      <c r="CH798" s="58" t="s">
        <v>8229</v>
      </c>
      <c r="CI798" s="73">
        <v>44733.0</v>
      </c>
      <c r="CJ798" s="58">
        <v>1.0</v>
      </c>
      <c r="CK798" s="58">
        <v>6.0</v>
      </c>
      <c r="CL798" s="58" t="s">
        <v>8230</v>
      </c>
      <c r="CM798" s="58" t="s">
        <v>8231</v>
      </c>
      <c r="CN798" s="58" t="s">
        <v>8232</v>
      </c>
      <c r="CO798" s="58" t="s">
        <v>8233</v>
      </c>
      <c r="CP798" s="58" t="s">
        <v>8234</v>
      </c>
      <c r="CR798" s="58">
        <v>2.0</v>
      </c>
      <c r="CT798" s="58">
        <v>24.0</v>
      </c>
      <c r="CU798" s="58" t="s">
        <v>239</v>
      </c>
      <c r="DL798" s="58" t="s">
        <v>8235</v>
      </c>
    </row>
    <row r="799" ht="15.75" customHeight="1">
      <c r="B799" s="58" t="s">
        <v>4587</v>
      </c>
      <c r="C799" s="58">
        <v>2018.0</v>
      </c>
      <c r="D799" s="58" t="s">
        <v>8236</v>
      </c>
      <c r="E799" s="58" t="s">
        <v>8237</v>
      </c>
      <c r="F799" s="58" t="s">
        <v>8238</v>
      </c>
      <c r="I799" s="58" t="s">
        <v>8239</v>
      </c>
      <c r="K799" s="73">
        <v>43531.0</v>
      </c>
      <c r="Z799" s="58" t="s">
        <v>239</v>
      </c>
      <c r="CH799" s="58" t="s">
        <v>8240</v>
      </c>
      <c r="CI799" s="73">
        <v>43531.0</v>
      </c>
      <c r="CJ799" s="58">
        <v>1.0</v>
      </c>
      <c r="CK799" s="58">
        <v>5.0</v>
      </c>
      <c r="CL799" s="58" t="s">
        <v>8241</v>
      </c>
      <c r="CM799" s="58" t="s">
        <v>8242</v>
      </c>
      <c r="CO799" s="58" t="s">
        <v>8243</v>
      </c>
      <c r="CP799" s="58" t="s">
        <v>8244</v>
      </c>
      <c r="CR799" s="58">
        <v>2.0</v>
      </c>
      <c r="CT799" s="58">
        <v>22.0</v>
      </c>
      <c r="CU799" s="58" t="s">
        <v>239</v>
      </c>
      <c r="DL799" s="58" t="s">
        <v>8245</v>
      </c>
    </row>
    <row r="800" ht="15.75" customHeight="1">
      <c r="B800" s="58" t="s">
        <v>4587</v>
      </c>
      <c r="C800" s="58">
        <v>2020.0</v>
      </c>
      <c r="D800" s="58" t="s">
        <v>8246</v>
      </c>
      <c r="E800" s="58" t="s">
        <v>8247</v>
      </c>
      <c r="F800" s="58" t="s">
        <v>8248</v>
      </c>
      <c r="I800" s="58" t="s">
        <v>8249</v>
      </c>
      <c r="K800" s="73">
        <v>44029.0</v>
      </c>
      <c r="Z800" s="58" t="s">
        <v>239</v>
      </c>
      <c r="CH800" s="58" t="s">
        <v>8250</v>
      </c>
      <c r="CI800" s="73">
        <v>44029.0</v>
      </c>
      <c r="CJ800" s="58">
        <v>362.0</v>
      </c>
      <c r="CK800" s="58">
        <v>367.0</v>
      </c>
      <c r="CL800" s="58" t="s">
        <v>8251</v>
      </c>
      <c r="CM800" s="58" t="s">
        <v>8252</v>
      </c>
      <c r="CO800" s="58" t="s">
        <v>8253</v>
      </c>
      <c r="CP800" s="58" t="s">
        <v>8254</v>
      </c>
      <c r="CR800" s="58">
        <v>2.0</v>
      </c>
      <c r="CT800" s="58">
        <v>18.0</v>
      </c>
      <c r="CU800" s="58" t="s">
        <v>239</v>
      </c>
      <c r="DL800" s="58" t="s">
        <v>8255</v>
      </c>
    </row>
    <row r="801" ht="15.75" customHeight="1">
      <c r="B801" s="58" t="s">
        <v>4587</v>
      </c>
      <c r="C801" s="58">
        <v>2020.0</v>
      </c>
      <c r="D801" s="58" t="s">
        <v>8256</v>
      </c>
      <c r="E801" s="58" t="s">
        <v>8257</v>
      </c>
      <c r="F801" s="58" t="s">
        <v>8258</v>
      </c>
      <c r="I801" s="58" t="s">
        <v>8259</v>
      </c>
      <c r="K801" s="73">
        <v>44032.0</v>
      </c>
      <c r="Z801" s="58" t="s">
        <v>239</v>
      </c>
      <c r="CH801" s="58" t="s">
        <v>8260</v>
      </c>
      <c r="CI801" s="73">
        <v>44032.0</v>
      </c>
      <c r="CJ801" s="58">
        <v>107.0</v>
      </c>
      <c r="CK801" s="58">
        <v>114.0</v>
      </c>
      <c r="CL801" s="58" t="s">
        <v>8261</v>
      </c>
      <c r="CM801" s="58" t="s">
        <v>8262</v>
      </c>
      <c r="CO801" s="58" t="s">
        <v>8263</v>
      </c>
      <c r="CP801" s="58" t="s">
        <v>8264</v>
      </c>
      <c r="CR801" s="58">
        <v>2.0</v>
      </c>
      <c r="CT801" s="58">
        <v>16.0</v>
      </c>
      <c r="CU801" s="58" t="s">
        <v>239</v>
      </c>
      <c r="DL801" s="58" t="s">
        <v>8265</v>
      </c>
    </row>
    <row r="802" ht="15.75" customHeight="1">
      <c r="B802" s="58" t="s">
        <v>4587</v>
      </c>
      <c r="C802" s="58">
        <v>2021.0</v>
      </c>
      <c r="D802" s="58" t="s">
        <v>8266</v>
      </c>
      <c r="E802" s="58" t="s">
        <v>8267</v>
      </c>
      <c r="F802" s="58" t="s">
        <v>7545</v>
      </c>
      <c r="H802" s="58" t="s">
        <v>7546</v>
      </c>
      <c r="I802" s="58" t="s">
        <v>8268</v>
      </c>
      <c r="K802" s="73">
        <v>44448.0</v>
      </c>
      <c r="Z802" s="58" t="s">
        <v>239</v>
      </c>
      <c r="CH802" s="58" t="s">
        <v>8269</v>
      </c>
      <c r="CI802" s="73">
        <v>44448.0</v>
      </c>
      <c r="CJ802" s="58">
        <v>1789.0</v>
      </c>
      <c r="CK802" s="58">
        <v>1794.0</v>
      </c>
      <c r="CL802" s="58" t="s">
        <v>8270</v>
      </c>
      <c r="CM802" s="58" t="s">
        <v>7550</v>
      </c>
      <c r="CO802" s="58" t="s">
        <v>8271</v>
      </c>
      <c r="CP802" s="58" t="s">
        <v>8272</v>
      </c>
      <c r="CR802" s="58">
        <v>2.0</v>
      </c>
      <c r="CT802" s="58">
        <v>19.0</v>
      </c>
      <c r="CU802" s="58" t="s">
        <v>239</v>
      </c>
      <c r="DL802" s="58" t="s">
        <v>8273</v>
      </c>
    </row>
    <row r="803" ht="15.75" customHeight="1">
      <c r="B803" s="58" t="s">
        <v>4587</v>
      </c>
      <c r="C803" s="58">
        <v>2020.0</v>
      </c>
      <c r="D803" s="58" t="s">
        <v>8274</v>
      </c>
      <c r="E803" s="58" t="s">
        <v>8275</v>
      </c>
      <c r="F803" s="58" t="s">
        <v>8276</v>
      </c>
      <c r="H803" s="58" t="s">
        <v>6606</v>
      </c>
      <c r="I803" s="58" t="s">
        <v>8277</v>
      </c>
      <c r="K803" s="73">
        <v>44133.0</v>
      </c>
      <c r="Z803" s="58" t="s">
        <v>239</v>
      </c>
      <c r="CH803" s="58" t="s">
        <v>8278</v>
      </c>
      <c r="CI803" s="73">
        <v>44133.0</v>
      </c>
      <c r="CJ803" s="58">
        <v>1.0</v>
      </c>
      <c r="CK803" s="58">
        <v>8.0</v>
      </c>
      <c r="CL803" s="58" t="s">
        <v>8279</v>
      </c>
      <c r="CM803" s="58" t="s">
        <v>8280</v>
      </c>
      <c r="CN803" s="58" t="s">
        <v>8281</v>
      </c>
      <c r="CO803" s="58" t="s">
        <v>8282</v>
      </c>
      <c r="CP803" s="58" t="s">
        <v>8283</v>
      </c>
      <c r="CR803" s="58">
        <v>2.0</v>
      </c>
      <c r="CT803" s="58">
        <v>32.0</v>
      </c>
      <c r="CU803" s="58" t="s">
        <v>239</v>
      </c>
      <c r="DL803" s="58" t="s">
        <v>8284</v>
      </c>
    </row>
    <row r="804" ht="15.75" customHeight="1">
      <c r="B804" s="58" t="s">
        <v>4587</v>
      </c>
      <c r="C804" s="58">
        <v>2022.0</v>
      </c>
      <c r="D804" s="58" t="s">
        <v>7673</v>
      </c>
      <c r="E804" s="58" t="s">
        <v>7674</v>
      </c>
      <c r="F804" s="58" t="s">
        <v>7675</v>
      </c>
      <c r="H804" s="58" t="s">
        <v>7676</v>
      </c>
      <c r="I804" s="58" t="s">
        <v>8285</v>
      </c>
      <c r="K804" s="73">
        <v>44764.0</v>
      </c>
      <c r="Z804" s="58" t="s">
        <v>239</v>
      </c>
      <c r="CH804" s="58" t="s">
        <v>8286</v>
      </c>
      <c r="CI804" s="73">
        <v>44764.0</v>
      </c>
      <c r="CJ804" s="58">
        <v>55.0</v>
      </c>
      <c r="CK804" s="58">
        <v>83.0</v>
      </c>
      <c r="CL804" s="58" t="s">
        <v>8287</v>
      </c>
      <c r="CM804" s="58" t="s">
        <v>7680</v>
      </c>
      <c r="CO804" s="58" t="s">
        <v>8288</v>
      </c>
      <c r="CR804" s="58">
        <v>2.0</v>
      </c>
      <c r="CU804" s="58" t="s">
        <v>7683</v>
      </c>
      <c r="DL804" s="58" t="s">
        <v>8289</v>
      </c>
    </row>
    <row r="805" ht="15.75" customHeight="1">
      <c r="B805" s="58" t="s">
        <v>4587</v>
      </c>
      <c r="C805" s="58">
        <v>2020.0</v>
      </c>
      <c r="D805" s="58" t="s">
        <v>8290</v>
      </c>
      <c r="E805" s="58" t="s">
        <v>8291</v>
      </c>
      <c r="F805" s="58" t="s">
        <v>8292</v>
      </c>
      <c r="I805" s="58" t="s">
        <v>8293</v>
      </c>
      <c r="K805" s="73">
        <v>44216.0</v>
      </c>
      <c r="Z805" s="58" t="s">
        <v>239</v>
      </c>
      <c r="CH805" s="58" t="s">
        <v>8294</v>
      </c>
      <c r="CI805" s="73">
        <v>44216.0</v>
      </c>
      <c r="CJ805" s="58">
        <v>25.0</v>
      </c>
      <c r="CK805" s="58">
        <v>33.0</v>
      </c>
      <c r="CL805" s="58" t="s">
        <v>8295</v>
      </c>
      <c r="CM805" s="58" t="s">
        <v>8296</v>
      </c>
      <c r="CN805" s="58" t="s">
        <v>8297</v>
      </c>
      <c r="CO805" s="58" t="s">
        <v>8298</v>
      </c>
      <c r="CP805" s="58" t="s">
        <v>8299</v>
      </c>
      <c r="CR805" s="58">
        <v>2.0</v>
      </c>
      <c r="CT805" s="58">
        <v>64.0</v>
      </c>
      <c r="CU805" s="58" t="s">
        <v>239</v>
      </c>
      <c r="DL805" s="58" t="s">
        <v>8300</v>
      </c>
    </row>
    <row r="806" ht="15.75" customHeight="1">
      <c r="B806" s="58" t="s">
        <v>4587</v>
      </c>
      <c r="C806" s="58">
        <v>2019.0</v>
      </c>
      <c r="D806" s="58" t="s">
        <v>8301</v>
      </c>
      <c r="E806" s="58" t="s">
        <v>8302</v>
      </c>
      <c r="F806" s="58" t="s">
        <v>8303</v>
      </c>
      <c r="H806" s="58" t="s">
        <v>8304</v>
      </c>
      <c r="I806" s="58" t="s">
        <v>8305</v>
      </c>
      <c r="K806" s="73">
        <v>43598.0</v>
      </c>
      <c r="Z806" s="58" t="s">
        <v>239</v>
      </c>
      <c r="CH806" s="58" t="s">
        <v>8306</v>
      </c>
      <c r="CI806" s="73">
        <v>43598.0</v>
      </c>
      <c r="CJ806" s="58">
        <v>38.0</v>
      </c>
      <c r="CK806" s="58">
        <v>47.0</v>
      </c>
      <c r="CL806" s="58" t="s">
        <v>8307</v>
      </c>
      <c r="CM806" s="58" t="s">
        <v>8308</v>
      </c>
      <c r="CO806" s="58" t="s">
        <v>8309</v>
      </c>
      <c r="CP806" s="58" t="s">
        <v>8310</v>
      </c>
      <c r="CR806" s="58">
        <v>2.0</v>
      </c>
      <c r="CT806" s="58">
        <v>34.0</v>
      </c>
      <c r="CU806" s="58" t="s">
        <v>239</v>
      </c>
      <c r="DL806" s="58" t="s">
        <v>8311</v>
      </c>
    </row>
    <row r="807" ht="15.75" customHeight="1">
      <c r="B807" s="58" t="s">
        <v>4587</v>
      </c>
      <c r="C807" s="58">
        <v>2020.0</v>
      </c>
      <c r="D807" s="58" t="s">
        <v>8312</v>
      </c>
      <c r="E807" s="58" t="s">
        <v>8313</v>
      </c>
      <c r="F807" s="58" t="s">
        <v>8314</v>
      </c>
      <c r="I807" s="58" t="s">
        <v>8315</v>
      </c>
      <c r="K807" s="73">
        <v>44375.0</v>
      </c>
      <c r="Z807" s="58" t="s">
        <v>239</v>
      </c>
      <c r="CH807" s="58" t="s">
        <v>8316</v>
      </c>
      <c r="CI807" s="73">
        <v>44375.0</v>
      </c>
      <c r="CJ807" s="58">
        <v>314.0</v>
      </c>
      <c r="CK807" s="58">
        <v>321.0</v>
      </c>
      <c r="CL807" s="58" t="s">
        <v>8317</v>
      </c>
      <c r="CM807" s="58" t="s">
        <v>8318</v>
      </c>
      <c r="CN807" s="58" t="s">
        <v>8319</v>
      </c>
      <c r="CO807" s="58" t="s">
        <v>8320</v>
      </c>
      <c r="CP807" s="58" t="s">
        <v>8321</v>
      </c>
      <c r="CR807" s="58">
        <v>2.0</v>
      </c>
      <c r="CT807" s="58">
        <v>34.0</v>
      </c>
      <c r="CU807" s="58" t="s">
        <v>239</v>
      </c>
      <c r="DL807" s="58" t="s">
        <v>8322</v>
      </c>
    </row>
    <row r="808" ht="15.75" customHeight="1">
      <c r="B808" s="58" t="s">
        <v>4587</v>
      </c>
      <c r="C808" s="58">
        <v>2022.0</v>
      </c>
      <c r="D808" s="58" t="s">
        <v>8323</v>
      </c>
      <c r="E808" s="58" t="s">
        <v>8324</v>
      </c>
      <c r="F808" s="58" t="s">
        <v>8325</v>
      </c>
      <c r="I808" s="58" t="s">
        <v>8326</v>
      </c>
      <c r="K808" s="73">
        <v>44859.0</v>
      </c>
      <c r="Z808" s="58" t="s">
        <v>239</v>
      </c>
      <c r="CH808" s="58" t="s">
        <v>8327</v>
      </c>
      <c r="CI808" s="73">
        <v>44859.0</v>
      </c>
      <c r="CJ808" s="58">
        <v>1.0</v>
      </c>
      <c r="CK808" s="58">
        <v>6.0</v>
      </c>
      <c r="CL808" s="58" t="s">
        <v>8328</v>
      </c>
      <c r="CM808" s="58" t="s">
        <v>8329</v>
      </c>
      <c r="CO808" s="58" t="s">
        <v>8330</v>
      </c>
      <c r="CP808" s="58" t="s">
        <v>8331</v>
      </c>
      <c r="CR808" s="58">
        <v>2.0</v>
      </c>
      <c r="CT808" s="58">
        <v>14.0</v>
      </c>
      <c r="DL808" s="58" t="s">
        <v>8332</v>
      </c>
    </row>
    <row r="809" ht="15.75" customHeight="1">
      <c r="B809" s="58" t="s">
        <v>4587</v>
      </c>
      <c r="C809" s="58">
        <v>2020.0</v>
      </c>
      <c r="D809" s="58" t="s">
        <v>8333</v>
      </c>
      <c r="E809" s="58" t="s">
        <v>8334</v>
      </c>
      <c r="F809" s="58" t="s">
        <v>8335</v>
      </c>
      <c r="H809" s="58" t="s">
        <v>7508</v>
      </c>
      <c r="I809" s="58" t="s">
        <v>8336</v>
      </c>
      <c r="K809" s="73">
        <v>44235.0</v>
      </c>
      <c r="Z809" s="58" t="s">
        <v>239</v>
      </c>
      <c r="CH809" s="58" t="s">
        <v>8337</v>
      </c>
      <c r="CI809" s="73">
        <v>44235.0</v>
      </c>
      <c r="CJ809" s="58">
        <v>357.0</v>
      </c>
      <c r="CK809" s="58">
        <v>362.0</v>
      </c>
      <c r="CL809" s="58" t="s">
        <v>8338</v>
      </c>
      <c r="CM809" s="58" t="s">
        <v>8339</v>
      </c>
      <c r="CO809" s="58" t="s">
        <v>8340</v>
      </c>
      <c r="CP809" s="58" t="s">
        <v>8341</v>
      </c>
      <c r="CR809" s="58">
        <v>2.0</v>
      </c>
      <c r="CT809" s="58">
        <v>27.0</v>
      </c>
      <c r="CU809" s="58" t="s">
        <v>239</v>
      </c>
      <c r="DL809" s="58" t="s">
        <v>8342</v>
      </c>
    </row>
    <row r="810" ht="15.75" customHeight="1">
      <c r="B810" s="58" t="s">
        <v>4587</v>
      </c>
      <c r="C810" s="58">
        <v>2022.0</v>
      </c>
      <c r="D810" s="58" t="s">
        <v>8343</v>
      </c>
      <c r="E810" s="58" t="s">
        <v>8344</v>
      </c>
      <c r="F810" s="58" t="s">
        <v>6725</v>
      </c>
      <c r="H810" s="58" t="s">
        <v>6726</v>
      </c>
      <c r="I810" s="58" t="s">
        <v>8345</v>
      </c>
      <c r="K810" s="73">
        <v>44993.0</v>
      </c>
      <c r="Z810" s="58" t="s">
        <v>239</v>
      </c>
      <c r="CH810" s="58" t="s">
        <v>8346</v>
      </c>
      <c r="CI810" s="73">
        <v>44993.0</v>
      </c>
      <c r="CJ810" s="58">
        <v>1.0</v>
      </c>
      <c r="CK810" s="58">
        <v>70.0</v>
      </c>
      <c r="CL810" s="58" t="s">
        <v>8347</v>
      </c>
      <c r="CM810" s="58" t="s">
        <v>6730</v>
      </c>
      <c r="CO810" s="58" t="s">
        <v>8348</v>
      </c>
      <c r="CP810" s="58" t="s">
        <v>8349</v>
      </c>
      <c r="CR810" s="58">
        <v>2.0</v>
      </c>
      <c r="CT810" s="58">
        <v>56.0</v>
      </c>
      <c r="CU810" s="58" t="s">
        <v>239</v>
      </c>
      <c r="DL810" s="58" t="s">
        <v>8350</v>
      </c>
    </row>
    <row r="811" ht="15.75" customHeight="1">
      <c r="B811" s="58" t="s">
        <v>4587</v>
      </c>
      <c r="C811" s="58">
        <v>2020.0</v>
      </c>
      <c r="D811" s="58" t="s">
        <v>8351</v>
      </c>
      <c r="E811" s="58" t="s">
        <v>8352</v>
      </c>
      <c r="F811" s="58" t="s">
        <v>8353</v>
      </c>
      <c r="I811" s="58" t="s">
        <v>8354</v>
      </c>
      <c r="K811" s="73">
        <v>44293.0</v>
      </c>
      <c r="Z811" s="58" t="s">
        <v>239</v>
      </c>
      <c r="CH811" s="58" t="s">
        <v>8355</v>
      </c>
      <c r="CI811" s="73">
        <v>44293.0</v>
      </c>
      <c r="CJ811" s="58">
        <v>539.0</v>
      </c>
      <c r="CK811" s="58">
        <v>545.0</v>
      </c>
      <c r="CL811" s="58" t="s">
        <v>8356</v>
      </c>
      <c r="CM811" s="58" t="s">
        <v>8357</v>
      </c>
      <c r="CO811" s="58" t="s">
        <v>8358</v>
      </c>
      <c r="CR811" s="58">
        <v>2.0</v>
      </c>
      <c r="CT811" s="58">
        <v>16.0</v>
      </c>
      <c r="CU811" s="58" t="s">
        <v>239</v>
      </c>
      <c r="DL811" s="58" t="s">
        <v>8359</v>
      </c>
    </row>
    <row r="812" ht="15.75" customHeight="1">
      <c r="B812" s="58" t="s">
        <v>4587</v>
      </c>
      <c r="C812" s="58">
        <v>2019.0</v>
      </c>
      <c r="D812" s="58" t="s">
        <v>8360</v>
      </c>
      <c r="E812" s="58" t="s">
        <v>8361</v>
      </c>
      <c r="F812" s="58" t="s">
        <v>8362</v>
      </c>
      <c r="H812" s="58" t="s">
        <v>8363</v>
      </c>
      <c r="I812" s="58" t="s">
        <v>8364</v>
      </c>
      <c r="K812" s="73">
        <v>43888.0</v>
      </c>
      <c r="Z812" s="58" t="s">
        <v>239</v>
      </c>
      <c r="CH812" s="58" t="s">
        <v>8365</v>
      </c>
      <c r="CI812" s="73">
        <v>43888.0</v>
      </c>
      <c r="CJ812" s="58">
        <v>1.0</v>
      </c>
      <c r="CK812" s="58">
        <v>5.0</v>
      </c>
      <c r="CL812" s="58" t="s">
        <v>8366</v>
      </c>
      <c r="CM812" s="58" t="s">
        <v>8367</v>
      </c>
      <c r="CO812" s="58" t="s">
        <v>8368</v>
      </c>
      <c r="CP812" s="58" t="s">
        <v>8369</v>
      </c>
      <c r="CR812" s="58">
        <v>2.0</v>
      </c>
      <c r="CT812" s="58">
        <v>18.0</v>
      </c>
      <c r="DL812" s="58" t="s">
        <v>8370</v>
      </c>
    </row>
    <row r="813" ht="15.75" customHeight="1">
      <c r="B813" s="58" t="s">
        <v>4587</v>
      </c>
      <c r="C813" s="58">
        <v>2022.0</v>
      </c>
      <c r="D813" s="58" t="s">
        <v>8371</v>
      </c>
      <c r="E813" s="58" t="s">
        <v>8372</v>
      </c>
      <c r="F813" s="58" t="s">
        <v>7324</v>
      </c>
      <c r="H813" s="58" t="s">
        <v>5003</v>
      </c>
      <c r="I813" s="58" t="s">
        <v>8373</v>
      </c>
      <c r="K813" s="73">
        <v>44937.0</v>
      </c>
      <c r="Z813" s="58" t="s">
        <v>239</v>
      </c>
      <c r="CH813" s="58" t="s">
        <v>8374</v>
      </c>
      <c r="CI813" s="73">
        <v>44937.0</v>
      </c>
      <c r="CJ813" s="58">
        <v>2566.0</v>
      </c>
      <c r="CK813" s="58">
        <v>2571.0</v>
      </c>
      <c r="CL813" s="58" t="s">
        <v>8375</v>
      </c>
      <c r="CM813" s="58" t="s">
        <v>7328</v>
      </c>
      <c r="CO813" s="58" t="s">
        <v>8376</v>
      </c>
      <c r="CP813" s="58" t="s">
        <v>8377</v>
      </c>
      <c r="CR813" s="58">
        <v>2.0</v>
      </c>
      <c r="CT813" s="58">
        <v>12.0</v>
      </c>
      <c r="CU813" s="58" t="s">
        <v>239</v>
      </c>
      <c r="DL813" s="58" t="s">
        <v>8378</v>
      </c>
    </row>
    <row r="814" ht="15.75" customHeight="1">
      <c r="B814" s="58" t="s">
        <v>4587</v>
      </c>
      <c r="C814" s="58">
        <v>2020.0</v>
      </c>
      <c r="D814" s="58" t="s">
        <v>8379</v>
      </c>
      <c r="E814" s="58" t="s">
        <v>8380</v>
      </c>
      <c r="F814" s="58" t="s">
        <v>8381</v>
      </c>
      <c r="H814" s="58" t="s">
        <v>8382</v>
      </c>
      <c r="I814" s="58" t="s">
        <v>8383</v>
      </c>
      <c r="K814" s="73">
        <v>44144.0</v>
      </c>
      <c r="Z814" s="58" t="s">
        <v>239</v>
      </c>
      <c r="CH814" s="58" t="s">
        <v>8384</v>
      </c>
      <c r="CI814" s="73">
        <v>44144.0</v>
      </c>
      <c r="CJ814" s="58">
        <v>1.0</v>
      </c>
      <c r="CK814" s="58">
        <v>6.0</v>
      </c>
      <c r="CL814" s="58" t="s">
        <v>8385</v>
      </c>
      <c r="CM814" s="58" t="s">
        <v>8386</v>
      </c>
      <c r="CN814" s="58" t="s">
        <v>8387</v>
      </c>
      <c r="CO814" s="58" t="s">
        <v>8388</v>
      </c>
      <c r="CP814" s="58" t="s">
        <v>8389</v>
      </c>
      <c r="CR814" s="58">
        <v>2.0</v>
      </c>
      <c r="CT814" s="58">
        <v>20.0</v>
      </c>
      <c r="CU814" s="58" t="s">
        <v>239</v>
      </c>
      <c r="DL814" s="58" t="s">
        <v>8390</v>
      </c>
    </row>
    <row r="815" ht="15.75" customHeight="1">
      <c r="B815" s="58" t="s">
        <v>4587</v>
      </c>
      <c r="C815" s="58">
        <v>2021.0</v>
      </c>
      <c r="D815" s="58" t="s">
        <v>8391</v>
      </c>
      <c r="E815" s="58" t="s">
        <v>8392</v>
      </c>
      <c r="F815" s="58" t="s">
        <v>8393</v>
      </c>
      <c r="I815" s="58" t="s">
        <v>8394</v>
      </c>
      <c r="K815" s="73">
        <v>44371.0</v>
      </c>
      <c r="Z815" s="58" t="s">
        <v>239</v>
      </c>
      <c r="CH815" s="58" t="s">
        <v>8395</v>
      </c>
      <c r="CI815" s="73">
        <v>44371.0</v>
      </c>
      <c r="CJ815" s="58">
        <v>605.0</v>
      </c>
      <c r="CK815" s="58">
        <v>610.0</v>
      </c>
      <c r="CL815" s="58" t="s">
        <v>8396</v>
      </c>
      <c r="CM815" s="58" t="s">
        <v>8397</v>
      </c>
      <c r="CO815" s="58" t="s">
        <v>8398</v>
      </c>
      <c r="CP815" s="58" t="s">
        <v>8399</v>
      </c>
      <c r="CR815" s="58">
        <v>2.0</v>
      </c>
      <c r="CT815" s="58">
        <v>22.0</v>
      </c>
      <c r="CU815" s="58" t="s">
        <v>239</v>
      </c>
      <c r="DL815" s="58" t="s">
        <v>8400</v>
      </c>
    </row>
    <row r="816" ht="15.75" customHeight="1">
      <c r="B816" s="58" t="s">
        <v>4587</v>
      </c>
      <c r="C816" s="58">
        <v>2022.0</v>
      </c>
      <c r="D816" s="58" t="s">
        <v>8401</v>
      </c>
      <c r="E816" s="58" t="s">
        <v>8402</v>
      </c>
      <c r="F816" s="58" t="s">
        <v>7041</v>
      </c>
      <c r="H816" s="58" t="s">
        <v>7042</v>
      </c>
      <c r="I816" s="58" t="s">
        <v>8403</v>
      </c>
      <c r="K816" s="73">
        <v>44942.0</v>
      </c>
      <c r="R816" s="58">
        <v>21.0</v>
      </c>
      <c r="Z816" s="58" t="s">
        <v>239</v>
      </c>
      <c r="CH816" s="58" t="s">
        <v>8404</v>
      </c>
      <c r="CI816" s="73">
        <v>44942.0</v>
      </c>
      <c r="CJ816" s="58">
        <v>45.0</v>
      </c>
      <c r="CK816" s="58">
        <v>53.0</v>
      </c>
      <c r="CL816" s="58" t="s">
        <v>8405</v>
      </c>
      <c r="CM816" s="58" t="s">
        <v>7046</v>
      </c>
      <c r="CN816" s="58" t="s">
        <v>8406</v>
      </c>
      <c r="CO816" s="58" t="s">
        <v>8407</v>
      </c>
      <c r="CP816" s="58" t="s">
        <v>8408</v>
      </c>
      <c r="CR816" s="58">
        <v>2.0</v>
      </c>
      <c r="CT816" s="58">
        <v>23.0</v>
      </c>
      <c r="CU816" s="58" t="s">
        <v>239</v>
      </c>
      <c r="DL816" s="58" t="s">
        <v>8409</v>
      </c>
    </row>
    <row r="817" ht="15.75" customHeight="1">
      <c r="B817" s="58" t="s">
        <v>4587</v>
      </c>
      <c r="C817" s="58">
        <v>2022.0</v>
      </c>
      <c r="D817" s="58" t="s">
        <v>8410</v>
      </c>
      <c r="E817" s="58" t="s">
        <v>8411</v>
      </c>
      <c r="F817" s="58" t="s">
        <v>8412</v>
      </c>
      <c r="I817" s="58" t="s">
        <v>8413</v>
      </c>
      <c r="K817" s="73">
        <v>44840.0</v>
      </c>
      <c r="Z817" s="58" t="s">
        <v>239</v>
      </c>
      <c r="CH817" s="58" t="s">
        <v>8414</v>
      </c>
      <c r="CI817" s="73">
        <v>44840.0</v>
      </c>
      <c r="CJ817" s="58">
        <v>698.0</v>
      </c>
      <c r="CK817" s="58">
        <v>703.0</v>
      </c>
      <c r="CL817" s="58" t="s">
        <v>8415</v>
      </c>
      <c r="CM817" s="58" t="s">
        <v>8416</v>
      </c>
      <c r="CO817" s="58" t="s">
        <v>8417</v>
      </c>
      <c r="CP817" s="58" t="s">
        <v>8418</v>
      </c>
      <c r="CR817" s="58">
        <v>2.0</v>
      </c>
      <c r="CT817" s="58">
        <v>35.0</v>
      </c>
      <c r="CU817" s="58" t="s">
        <v>239</v>
      </c>
      <c r="DL817" s="58" t="s">
        <v>8419</v>
      </c>
    </row>
    <row r="818" ht="15.75" customHeight="1">
      <c r="B818" s="58" t="s">
        <v>4587</v>
      </c>
      <c r="C818" s="58">
        <v>2020.0</v>
      </c>
      <c r="D818" s="58" t="s">
        <v>4759</v>
      </c>
      <c r="E818" s="58" t="s">
        <v>8420</v>
      </c>
      <c r="F818" s="58" t="s">
        <v>6554</v>
      </c>
      <c r="H818" s="58" t="s">
        <v>6555</v>
      </c>
      <c r="I818" s="58" t="s">
        <v>8421</v>
      </c>
      <c r="K818" s="73">
        <v>44141.0</v>
      </c>
      <c r="Z818" s="58" t="s">
        <v>239</v>
      </c>
      <c r="CH818" s="58" t="s">
        <v>8422</v>
      </c>
      <c r="CI818" s="73">
        <v>44141.0</v>
      </c>
      <c r="CJ818" s="58">
        <v>1910.0</v>
      </c>
      <c r="CK818" s="58">
        <v>1915.0</v>
      </c>
      <c r="CL818" s="58" t="s">
        <v>8423</v>
      </c>
      <c r="CM818" s="58" t="s">
        <v>6559</v>
      </c>
      <c r="CO818" s="58" t="s">
        <v>8424</v>
      </c>
      <c r="CP818" s="58" t="s">
        <v>8425</v>
      </c>
      <c r="CR818" s="58">
        <v>2.0</v>
      </c>
      <c r="CT818" s="58">
        <v>33.0</v>
      </c>
      <c r="DL818" s="58" t="s">
        <v>8426</v>
      </c>
    </row>
    <row r="819" ht="15.75" customHeight="1">
      <c r="B819" s="58" t="s">
        <v>4587</v>
      </c>
      <c r="C819" s="58">
        <v>2022.0</v>
      </c>
      <c r="D819" s="58" t="s">
        <v>8427</v>
      </c>
      <c r="E819" s="58" t="s">
        <v>8428</v>
      </c>
      <c r="F819" s="58" t="s">
        <v>8429</v>
      </c>
      <c r="H819" s="58" t="s">
        <v>4880</v>
      </c>
      <c r="I819" s="58" t="s">
        <v>8430</v>
      </c>
      <c r="K819" s="73">
        <v>44698.0</v>
      </c>
      <c r="Z819" s="58" t="s">
        <v>239</v>
      </c>
      <c r="CH819" s="58" t="s">
        <v>8431</v>
      </c>
      <c r="CI819" s="73">
        <v>44698.0</v>
      </c>
      <c r="CJ819" s="58">
        <v>1086.0</v>
      </c>
      <c r="CK819" s="58">
        <v>1099.0</v>
      </c>
      <c r="CL819" s="58" t="s">
        <v>8432</v>
      </c>
      <c r="CM819" s="58" t="s">
        <v>8433</v>
      </c>
      <c r="CO819" s="58" t="s">
        <v>8434</v>
      </c>
      <c r="CR819" s="58">
        <v>2.0</v>
      </c>
      <c r="CT819" s="58">
        <v>74.0</v>
      </c>
      <c r="CU819" s="58" t="s">
        <v>239</v>
      </c>
      <c r="DL819" s="58" t="s">
        <v>8435</v>
      </c>
    </row>
    <row r="820" ht="15.75" customHeight="1">
      <c r="B820" s="58" t="s">
        <v>4587</v>
      </c>
      <c r="C820" s="58">
        <v>2022.0</v>
      </c>
      <c r="D820" s="58" t="s">
        <v>8436</v>
      </c>
      <c r="E820" s="58" t="s">
        <v>8437</v>
      </c>
      <c r="F820" s="58" t="s">
        <v>6270</v>
      </c>
      <c r="H820" s="58" t="s">
        <v>5095</v>
      </c>
      <c r="I820" s="58" t="s">
        <v>8438</v>
      </c>
      <c r="K820" s="73">
        <v>44750.0</v>
      </c>
      <c r="Z820" s="58" t="s">
        <v>239</v>
      </c>
      <c r="CH820" s="58" t="s">
        <v>8439</v>
      </c>
      <c r="CI820" s="73">
        <v>44750.0</v>
      </c>
      <c r="CJ820" s="58">
        <v>451.0</v>
      </c>
      <c r="CK820" s="58">
        <v>456.0</v>
      </c>
      <c r="CL820" s="58" t="s">
        <v>8440</v>
      </c>
      <c r="CM820" s="58" t="s">
        <v>6274</v>
      </c>
      <c r="CN820" s="58" t="s">
        <v>6223</v>
      </c>
      <c r="CO820" s="58" t="s">
        <v>8441</v>
      </c>
      <c r="CP820" s="58" t="s">
        <v>8442</v>
      </c>
      <c r="CR820" s="58">
        <v>2.0</v>
      </c>
      <c r="CT820" s="58">
        <v>6.0</v>
      </c>
      <c r="CU820" s="58" t="s">
        <v>239</v>
      </c>
      <c r="DL820" s="58" t="s">
        <v>8443</v>
      </c>
    </row>
    <row r="821" ht="15.75" customHeight="1">
      <c r="B821" s="58" t="s">
        <v>4587</v>
      </c>
      <c r="C821" s="58">
        <v>2022.0</v>
      </c>
      <c r="D821" s="58" t="s">
        <v>8444</v>
      </c>
      <c r="E821" s="58" t="s">
        <v>8445</v>
      </c>
      <c r="F821" s="58" t="s">
        <v>4982</v>
      </c>
      <c r="I821" s="58" t="s">
        <v>8446</v>
      </c>
      <c r="K821" s="73">
        <v>44761.0</v>
      </c>
      <c r="Z821" s="58" t="s">
        <v>239</v>
      </c>
      <c r="CH821" s="58" t="s">
        <v>8447</v>
      </c>
      <c r="CI821" s="73">
        <v>44761.0</v>
      </c>
      <c r="CJ821" s="58">
        <v>422.0</v>
      </c>
      <c r="CK821" s="58">
        <v>431.0</v>
      </c>
      <c r="CL821" s="58" t="s">
        <v>8448</v>
      </c>
      <c r="CM821" s="58" t="s">
        <v>4986</v>
      </c>
      <c r="CN821" s="58" t="s">
        <v>8449</v>
      </c>
      <c r="CO821" s="58" t="s">
        <v>8450</v>
      </c>
      <c r="CP821" s="58" t="s">
        <v>8451</v>
      </c>
      <c r="CR821" s="58">
        <v>2.0</v>
      </c>
      <c r="CT821" s="58">
        <v>32.0</v>
      </c>
      <c r="CU821" s="58" t="s">
        <v>239</v>
      </c>
      <c r="DL821" s="58" t="s">
        <v>8452</v>
      </c>
    </row>
    <row r="822" ht="15.75" customHeight="1">
      <c r="B822" s="58" t="s">
        <v>4587</v>
      </c>
      <c r="C822" s="58">
        <v>2021.0</v>
      </c>
      <c r="D822" s="58" t="s">
        <v>8453</v>
      </c>
      <c r="E822" s="58" t="s">
        <v>8454</v>
      </c>
      <c r="F822" s="58" t="s">
        <v>8455</v>
      </c>
      <c r="I822" s="58" t="s">
        <v>8456</v>
      </c>
      <c r="K822" s="73">
        <v>44559.0</v>
      </c>
      <c r="Z822" s="58" t="s">
        <v>239</v>
      </c>
      <c r="CH822" s="58" t="s">
        <v>8457</v>
      </c>
      <c r="CI822" s="73">
        <v>44559.0</v>
      </c>
      <c r="CJ822" s="58">
        <v>1.0</v>
      </c>
      <c r="CK822" s="58">
        <v>6.0</v>
      </c>
      <c r="CL822" s="58" t="s">
        <v>8458</v>
      </c>
      <c r="CM822" s="58" t="s">
        <v>8459</v>
      </c>
      <c r="CO822" s="58" t="s">
        <v>8460</v>
      </c>
      <c r="CP822" s="58" t="s">
        <v>8461</v>
      </c>
      <c r="CR822" s="58">
        <v>1.0</v>
      </c>
      <c r="CT822" s="58">
        <v>31.0</v>
      </c>
      <c r="CU822" s="58" t="s">
        <v>239</v>
      </c>
      <c r="DL822" s="58" t="s">
        <v>8462</v>
      </c>
    </row>
    <row r="823" ht="15.75" customHeight="1">
      <c r="B823" s="58" t="s">
        <v>4587</v>
      </c>
      <c r="C823" s="58">
        <v>2020.0</v>
      </c>
      <c r="D823" s="58" t="s">
        <v>8463</v>
      </c>
      <c r="E823" s="58" t="s">
        <v>8464</v>
      </c>
      <c r="F823" s="58" t="s">
        <v>7427</v>
      </c>
      <c r="I823" s="58" t="s">
        <v>8465</v>
      </c>
      <c r="K823" s="73">
        <v>44182.0</v>
      </c>
      <c r="Z823" s="58" t="s">
        <v>239</v>
      </c>
      <c r="CH823" s="58" t="s">
        <v>8466</v>
      </c>
      <c r="CI823" s="73">
        <v>44182.0</v>
      </c>
      <c r="CJ823" s="58">
        <v>413.0</v>
      </c>
      <c r="CK823" s="58">
        <v>415.0</v>
      </c>
      <c r="CL823" s="58" t="s">
        <v>8467</v>
      </c>
      <c r="CM823" s="58" t="s">
        <v>7431</v>
      </c>
      <c r="CO823" s="58" t="s">
        <v>8468</v>
      </c>
      <c r="CP823" s="58" t="s">
        <v>8469</v>
      </c>
      <c r="CR823" s="58">
        <v>1.0</v>
      </c>
      <c r="CT823" s="58">
        <v>5.0</v>
      </c>
      <c r="CU823" s="58" t="s">
        <v>239</v>
      </c>
      <c r="DL823" s="58" t="s">
        <v>8470</v>
      </c>
    </row>
    <row r="824" ht="15.75" customHeight="1">
      <c r="B824" s="58" t="s">
        <v>4587</v>
      </c>
      <c r="C824" s="58">
        <v>2022.0</v>
      </c>
      <c r="D824" s="58" t="s">
        <v>8471</v>
      </c>
      <c r="E824" s="58" t="s">
        <v>8472</v>
      </c>
      <c r="F824" s="58" t="s">
        <v>6725</v>
      </c>
      <c r="H824" s="58" t="s">
        <v>6726</v>
      </c>
      <c r="I824" s="58" t="s">
        <v>8473</v>
      </c>
      <c r="K824" s="73">
        <v>44993.0</v>
      </c>
      <c r="Z824" s="58" t="s">
        <v>239</v>
      </c>
      <c r="CH824" s="58" t="s">
        <v>8474</v>
      </c>
      <c r="CI824" s="73">
        <v>44993.0</v>
      </c>
      <c r="CJ824" s="58">
        <v>643.0</v>
      </c>
      <c r="CK824" s="58">
        <v>648.0</v>
      </c>
      <c r="CL824" s="58" t="s">
        <v>8475</v>
      </c>
      <c r="CM824" s="58" t="s">
        <v>6730</v>
      </c>
      <c r="CO824" s="58" t="s">
        <v>8476</v>
      </c>
      <c r="CP824" s="58" t="s">
        <v>8477</v>
      </c>
      <c r="CR824" s="58">
        <v>1.0</v>
      </c>
      <c r="CT824" s="58">
        <v>23.0</v>
      </c>
      <c r="CU824" s="58" t="s">
        <v>239</v>
      </c>
      <c r="DL824" s="58" t="s">
        <v>8478</v>
      </c>
    </row>
    <row r="825" ht="15.75" customHeight="1">
      <c r="B825" s="58" t="s">
        <v>4587</v>
      </c>
      <c r="C825" s="58">
        <v>2022.0</v>
      </c>
      <c r="D825" s="58" t="s">
        <v>8479</v>
      </c>
      <c r="E825" s="58" t="s">
        <v>8480</v>
      </c>
      <c r="F825" s="58" t="s">
        <v>8481</v>
      </c>
      <c r="I825" s="58" t="s">
        <v>8482</v>
      </c>
      <c r="K825" s="73">
        <v>44811.0</v>
      </c>
      <c r="Z825" s="58" t="s">
        <v>239</v>
      </c>
      <c r="CH825" s="58" t="s">
        <v>8483</v>
      </c>
      <c r="CI825" s="73">
        <v>44811.0</v>
      </c>
      <c r="CJ825" s="58">
        <v>80.0</v>
      </c>
      <c r="CK825" s="58">
        <v>83.0</v>
      </c>
      <c r="CL825" s="58" t="s">
        <v>8484</v>
      </c>
      <c r="CM825" s="58" t="s">
        <v>8485</v>
      </c>
      <c r="CO825" s="58" t="s">
        <v>8486</v>
      </c>
      <c r="CP825" s="58" t="s">
        <v>8487</v>
      </c>
      <c r="CR825" s="58">
        <v>1.0</v>
      </c>
      <c r="CT825" s="58">
        <v>13.0</v>
      </c>
      <c r="CU825" s="58" t="s">
        <v>239</v>
      </c>
      <c r="DL825" s="58" t="s">
        <v>8488</v>
      </c>
    </row>
    <row r="826" ht="15.75" customHeight="1">
      <c r="B826" s="58" t="s">
        <v>4587</v>
      </c>
      <c r="C826" s="58">
        <v>2019.0</v>
      </c>
      <c r="D826" s="58" t="s">
        <v>8489</v>
      </c>
      <c r="E826" s="58" t="s">
        <v>8490</v>
      </c>
      <c r="F826" s="58" t="s">
        <v>8491</v>
      </c>
      <c r="I826" s="58" t="s">
        <v>8492</v>
      </c>
      <c r="K826" s="73">
        <v>43598.0</v>
      </c>
      <c r="Z826" s="58" t="s">
        <v>239</v>
      </c>
      <c r="CH826" s="58" t="s">
        <v>8493</v>
      </c>
      <c r="CI826" s="73">
        <v>43598.0</v>
      </c>
      <c r="CJ826" s="58">
        <v>5.0</v>
      </c>
      <c r="CK826" s="58">
        <v>10.0</v>
      </c>
      <c r="CL826" s="58" t="s">
        <v>8494</v>
      </c>
      <c r="CM826" s="58" t="s">
        <v>8495</v>
      </c>
      <c r="CO826" s="58" t="s">
        <v>8496</v>
      </c>
      <c r="CP826" s="58" t="s">
        <v>8497</v>
      </c>
      <c r="CR826" s="58">
        <v>1.0</v>
      </c>
      <c r="CT826" s="58">
        <v>15.0</v>
      </c>
      <c r="CU826" s="58" t="s">
        <v>239</v>
      </c>
      <c r="DL826" s="58" t="s">
        <v>8498</v>
      </c>
    </row>
    <row r="827" ht="15.75" customHeight="1">
      <c r="B827" s="58" t="s">
        <v>4587</v>
      </c>
      <c r="C827" s="58">
        <v>2021.0</v>
      </c>
      <c r="D827" s="58" t="s">
        <v>8499</v>
      </c>
      <c r="E827" s="58" t="s">
        <v>8500</v>
      </c>
      <c r="F827" s="58" t="s">
        <v>6892</v>
      </c>
      <c r="I827" s="58" t="s">
        <v>8501</v>
      </c>
      <c r="K827" s="73">
        <v>44503.0</v>
      </c>
      <c r="Z827" s="58" t="s">
        <v>239</v>
      </c>
      <c r="CH827" s="58" t="s">
        <v>8502</v>
      </c>
      <c r="CI827" s="73">
        <v>44503.0</v>
      </c>
      <c r="CJ827" s="58">
        <v>61.0</v>
      </c>
      <c r="CK827" s="58">
        <v>71.0</v>
      </c>
      <c r="CL827" s="58" t="s">
        <v>8503</v>
      </c>
      <c r="CM827" s="58" t="s">
        <v>6896</v>
      </c>
      <c r="CN827" s="58" t="s">
        <v>6204</v>
      </c>
      <c r="CO827" s="58" t="s">
        <v>8504</v>
      </c>
      <c r="CP827" s="58" t="s">
        <v>8505</v>
      </c>
      <c r="CR827" s="58">
        <v>1.0</v>
      </c>
      <c r="CT827" s="58">
        <v>43.0</v>
      </c>
      <c r="CU827" s="58" t="s">
        <v>239</v>
      </c>
      <c r="DL827" s="58" t="s">
        <v>8506</v>
      </c>
    </row>
    <row r="828" ht="15.75" customHeight="1">
      <c r="B828" s="58" t="s">
        <v>4587</v>
      </c>
      <c r="C828" s="58">
        <v>2022.0</v>
      </c>
      <c r="D828" s="58" t="s">
        <v>8507</v>
      </c>
      <c r="E828" s="58" t="s">
        <v>8508</v>
      </c>
      <c r="F828" s="58" t="s">
        <v>8509</v>
      </c>
      <c r="H828" s="58" t="s">
        <v>8510</v>
      </c>
      <c r="I828" s="58" t="s">
        <v>8511</v>
      </c>
      <c r="K828" s="73">
        <v>44890.0</v>
      </c>
      <c r="Z828" s="58" t="s">
        <v>239</v>
      </c>
      <c r="CH828" s="58" t="s">
        <v>8512</v>
      </c>
      <c r="CI828" s="73">
        <v>44890.0</v>
      </c>
      <c r="CJ828" s="58">
        <v>1963.0</v>
      </c>
      <c r="CK828" s="58">
        <v>1968.0</v>
      </c>
      <c r="CL828" s="58" t="s">
        <v>8513</v>
      </c>
      <c r="CM828" s="58" t="s">
        <v>8514</v>
      </c>
      <c r="CN828" s="58" t="s">
        <v>8515</v>
      </c>
      <c r="CO828" s="58" t="s">
        <v>8516</v>
      </c>
      <c r="CP828" s="58" t="s">
        <v>8517</v>
      </c>
      <c r="CR828" s="58">
        <v>1.0</v>
      </c>
      <c r="CT828" s="58">
        <v>19.0</v>
      </c>
      <c r="CU828" s="58" t="s">
        <v>239</v>
      </c>
      <c r="DL828" s="58" t="s">
        <v>8518</v>
      </c>
    </row>
    <row r="829" ht="15.75" customHeight="1">
      <c r="B829" s="58" t="s">
        <v>4587</v>
      </c>
      <c r="C829" s="58">
        <v>2022.0</v>
      </c>
      <c r="D829" s="58" t="s">
        <v>8519</v>
      </c>
      <c r="E829" s="58" t="s">
        <v>8520</v>
      </c>
      <c r="F829" s="58" t="s">
        <v>6725</v>
      </c>
      <c r="H829" s="58" t="s">
        <v>6726</v>
      </c>
      <c r="I829" s="58" t="s">
        <v>8521</v>
      </c>
      <c r="K829" s="73">
        <v>44993.0</v>
      </c>
      <c r="Z829" s="58" t="s">
        <v>239</v>
      </c>
      <c r="CH829" s="58" t="s">
        <v>8522</v>
      </c>
      <c r="CI829" s="73">
        <v>44993.0</v>
      </c>
      <c r="CJ829" s="58">
        <v>293.0</v>
      </c>
      <c r="CK829" s="58">
        <v>298.0</v>
      </c>
      <c r="CL829" s="58" t="s">
        <v>8523</v>
      </c>
      <c r="CM829" s="58" t="s">
        <v>6730</v>
      </c>
      <c r="CO829" s="58" t="s">
        <v>8524</v>
      </c>
      <c r="CP829" s="58" t="s">
        <v>8525</v>
      </c>
      <c r="CR829" s="58">
        <v>1.0</v>
      </c>
      <c r="CT829" s="58">
        <v>32.0</v>
      </c>
      <c r="CU829" s="58" t="s">
        <v>239</v>
      </c>
      <c r="DL829" s="58" t="s">
        <v>8526</v>
      </c>
    </row>
    <row r="830" ht="15.75" customHeight="1">
      <c r="B830" s="58" t="s">
        <v>4587</v>
      </c>
      <c r="C830" s="58">
        <v>2019.0</v>
      </c>
      <c r="D830" s="58" t="s">
        <v>8527</v>
      </c>
      <c r="E830" s="58" t="s">
        <v>8528</v>
      </c>
      <c r="F830" s="58" t="s">
        <v>8529</v>
      </c>
      <c r="I830" s="58" t="s">
        <v>8530</v>
      </c>
      <c r="K830" s="73">
        <v>43930.0</v>
      </c>
      <c r="Z830" s="58" t="s">
        <v>239</v>
      </c>
      <c r="CH830" s="58" t="s">
        <v>8531</v>
      </c>
      <c r="CI830" s="73">
        <v>43930.0</v>
      </c>
      <c r="CJ830" s="58">
        <v>1788.0</v>
      </c>
      <c r="CK830" s="58">
        <v>1792.0</v>
      </c>
      <c r="CL830" s="58" t="s">
        <v>8532</v>
      </c>
      <c r="CM830" s="58" t="s">
        <v>8533</v>
      </c>
      <c r="CO830" s="58" t="s">
        <v>8534</v>
      </c>
      <c r="CP830" s="58" t="s">
        <v>8535</v>
      </c>
      <c r="CR830" s="58">
        <v>1.0</v>
      </c>
      <c r="CT830" s="58">
        <v>18.0</v>
      </c>
      <c r="CU830" s="58" t="s">
        <v>239</v>
      </c>
      <c r="DL830" s="58" t="s">
        <v>8536</v>
      </c>
    </row>
    <row r="831" ht="15.75" customHeight="1">
      <c r="B831" s="58" t="s">
        <v>4587</v>
      </c>
      <c r="C831" s="58">
        <v>2022.0</v>
      </c>
      <c r="D831" s="58" t="s">
        <v>8537</v>
      </c>
      <c r="E831" s="58" t="s">
        <v>8538</v>
      </c>
      <c r="F831" s="58" t="s">
        <v>8539</v>
      </c>
      <c r="I831" s="58" t="s">
        <v>8540</v>
      </c>
      <c r="K831" s="73">
        <v>44887.0</v>
      </c>
      <c r="Z831" s="58" t="s">
        <v>239</v>
      </c>
      <c r="CH831" s="58" t="s">
        <v>8541</v>
      </c>
      <c r="CI831" s="73">
        <v>44887.0</v>
      </c>
      <c r="CJ831" s="58">
        <v>146.0</v>
      </c>
      <c r="CK831" s="58">
        <v>155.0</v>
      </c>
      <c r="CL831" s="58" t="s">
        <v>8542</v>
      </c>
      <c r="CM831" s="58" t="s">
        <v>8543</v>
      </c>
      <c r="CO831" s="58" t="s">
        <v>8544</v>
      </c>
      <c r="CP831" s="58" t="s">
        <v>8545</v>
      </c>
      <c r="CR831" s="58">
        <v>1.0</v>
      </c>
      <c r="CT831" s="58">
        <v>30.0</v>
      </c>
      <c r="CU831" s="58" t="s">
        <v>239</v>
      </c>
      <c r="DL831" s="58" t="s">
        <v>8546</v>
      </c>
    </row>
    <row r="832" ht="15.75" customHeight="1">
      <c r="B832" s="58" t="s">
        <v>4587</v>
      </c>
      <c r="C832" s="58">
        <v>2021.0</v>
      </c>
      <c r="D832" s="58" t="s">
        <v>8547</v>
      </c>
      <c r="E832" s="58" t="s">
        <v>8548</v>
      </c>
      <c r="F832" s="58" t="s">
        <v>8549</v>
      </c>
      <c r="I832" s="58" t="s">
        <v>8550</v>
      </c>
      <c r="K832" s="73">
        <v>44536.0</v>
      </c>
      <c r="Z832" s="58" t="s">
        <v>239</v>
      </c>
      <c r="CH832" s="58" t="s">
        <v>8551</v>
      </c>
      <c r="CI832" s="73">
        <v>44536.0</v>
      </c>
      <c r="CJ832" s="58">
        <v>26.0</v>
      </c>
      <c r="CK832" s="58">
        <v>32.0</v>
      </c>
      <c r="CL832" s="58" t="s">
        <v>8552</v>
      </c>
      <c r="CM832" s="58" t="s">
        <v>8553</v>
      </c>
      <c r="CN832" s="58" t="s">
        <v>8554</v>
      </c>
      <c r="CO832" s="58" t="s">
        <v>8555</v>
      </c>
      <c r="CP832" s="58" t="s">
        <v>8556</v>
      </c>
      <c r="CR832" s="58">
        <v>1.0</v>
      </c>
      <c r="CT832" s="58">
        <v>60.0</v>
      </c>
      <c r="CU832" s="58" t="s">
        <v>239</v>
      </c>
      <c r="DL832" s="58" t="s">
        <v>8557</v>
      </c>
    </row>
    <row r="833" ht="15.75" customHeight="1">
      <c r="B833" s="58" t="s">
        <v>4587</v>
      </c>
      <c r="C833" s="58">
        <v>2022.0</v>
      </c>
      <c r="D833" s="58" t="s">
        <v>8558</v>
      </c>
      <c r="E833" s="58" t="s">
        <v>8559</v>
      </c>
      <c r="F833" s="58" t="s">
        <v>8560</v>
      </c>
      <c r="H833" s="58" t="s">
        <v>5013</v>
      </c>
      <c r="I833" s="58" t="s">
        <v>8561</v>
      </c>
      <c r="K833" s="73">
        <v>44904.0</v>
      </c>
      <c r="Z833" s="58" t="s">
        <v>239</v>
      </c>
      <c r="CH833" s="58" t="s">
        <v>8562</v>
      </c>
      <c r="CI833" s="73">
        <v>44904.0</v>
      </c>
      <c r="CJ833" s="58">
        <v>1.0</v>
      </c>
      <c r="CK833" s="58">
        <v>6.0</v>
      </c>
      <c r="CL833" s="58" t="s">
        <v>8563</v>
      </c>
      <c r="CM833" s="58" t="s">
        <v>8564</v>
      </c>
      <c r="CO833" s="58" t="s">
        <v>8565</v>
      </c>
      <c r="CP833" s="58" t="s">
        <v>8566</v>
      </c>
      <c r="CR833" s="58">
        <v>1.0</v>
      </c>
      <c r="CT833" s="58">
        <v>17.0</v>
      </c>
      <c r="CU833" s="58" t="s">
        <v>239</v>
      </c>
      <c r="DL833" s="58" t="s">
        <v>8567</v>
      </c>
    </row>
    <row r="834" ht="15.75" customHeight="1">
      <c r="B834" s="58" t="s">
        <v>4587</v>
      </c>
      <c r="C834" s="58">
        <v>2022.0</v>
      </c>
      <c r="D834" s="58" t="s">
        <v>8568</v>
      </c>
      <c r="E834" s="58" t="s">
        <v>8569</v>
      </c>
      <c r="F834" s="58" t="s">
        <v>8570</v>
      </c>
      <c r="I834" s="58" t="s">
        <v>8571</v>
      </c>
      <c r="K834" s="73">
        <v>44838.0</v>
      </c>
      <c r="Z834" s="58" t="s">
        <v>239</v>
      </c>
      <c r="CH834" s="58" t="s">
        <v>8572</v>
      </c>
      <c r="CI834" s="73">
        <v>44838.0</v>
      </c>
      <c r="CJ834" s="58">
        <v>33.0</v>
      </c>
      <c r="CK834" s="58">
        <v>40.0</v>
      </c>
      <c r="CL834" s="58" t="s">
        <v>8573</v>
      </c>
      <c r="CM834" s="58" t="s">
        <v>8574</v>
      </c>
      <c r="CO834" s="58" t="s">
        <v>8575</v>
      </c>
      <c r="CP834" s="58" t="s">
        <v>8576</v>
      </c>
      <c r="CR834" s="58">
        <v>1.0</v>
      </c>
      <c r="CT834" s="58">
        <v>24.0</v>
      </c>
      <c r="CU834" s="58" t="s">
        <v>239</v>
      </c>
      <c r="DL834" s="58" t="s">
        <v>8577</v>
      </c>
    </row>
    <row r="835" ht="15.75" customHeight="1">
      <c r="B835" s="58" t="s">
        <v>4587</v>
      </c>
      <c r="C835" s="58">
        <v>2018.0</v>
      </c>
      <c r="D835" s="58" t="s">
        <v>8578</v>
      </c>
      <c r="E835" s="58" t="s">
        <v>8579</v>
      </c>
      <c r="F835" s="58" t="s">
        <v>8580</v>
      </c>
      <c r="I835" s="58" t="s">
        <v>8581</v>
      </c>
      <c r="K835" s="73">
        <v>43629.0</v>
      </c>
      <c r="Z835" s="58" t="s">
        <v>239</v>
      </c>
      <c r="CH835" s="58" t="s">
        <v>8582</v>
      </c>
      <c r="CI835" s="73">
        <v>43629.0</v>
      </c>
      <c r="CJ835" s="58">
        <v>1.0</v>
      </c>
      <c r="CK835" s="58">
        <v>8.0</v>
      </c>
      <c r="CL835" s="58" t="s">
        <v>8583</v>
      </c>
      <c r="CM835" s="58" t="s">
        <v>8584</v>
      </c>
      <c r="CO835" s="58" t="s">
        <v>8585</v>
      </c>
      <c r="CP835" s="58" t="s">
        <v>8586</v>
      </c>
      <c r="CR835" s="58">
        <v>1.0</v>
      </c>
      <c r="CT835" s="58">
        <v>31.0</v>
      </c>
      <c r="CU835" s="58" t="s">
        <v>239</v>
      </c>
      <c r="DL835" s="58" t="s">
        <v>8587</v>
      </c>
    </row>
    <row r="836" ht="15.75" customHeight="1">
      <c r="B836" s="58" t="s">
        <v>4587</v>
      </c>
      <c r="C836" s="58">
        <v>2022.0</v>
      </c>
      <c r="D836" s="58" t="s">
        <v>8588</v>
      </c>
      <c r="E836" s="58" t="s">
        <v>8589</v>
      </c>
      <c r="F836" s="58" t="s">
        <v>8590</v>
      </c>
      <c r="I836" s="58" t="s">
        <v>8591</v>
      </c>
      <c r="K836" s="73">
        <v>44713.0</v>
      </c>
      <c r="Z836" s="58" t="s">
        <v>239</v>
      </c>
      <c r="CH836" s="58" t="s">
        <v>8592</v>
      </c>
      <c r="CI836" s="73">
        <v>44713.0</v>
      </c>
      <c r="CJ836" s="58">
        <v>488.0</v>
      </c>
      <c r="CK836" s="58">
        <v>493.0</v>
      </c>
      <c r="CL836" s="58" t="s">
        <v>8593</v>
      </c>
      <c r="CM836" s="58" t="s">
        <v>8594</v>
      </c>
      <c r="CO836" s="58" t="s">
        <v>8595</v>
      </c>
      <c r="CP836" s="58" t="s">
        <v>8596</v>
      </c>
      <c r="CR836" s="58">
        <v>1.0</v>
      </c>
      <c r="CT836" s="58">
        <v>10.0</v>
      </c>
      <c r="CU836" s="58" t="s">
        <v>239</v>
      </c>
      <c r="DL836" s="58" t="s">
        <v>8597</v>
      </c>
    </row>
    <row r="837" ht="15.75" customHeight="1">
      <c r="B837" s="58" t="s">
        <v>4587</v>
      </c>
      <c r="C837" s="58">
        <v>2022.0</v>
      </c>
      <c r="D837" s="58" t="s">
        <v>8598</v>
      </c>
      <c r="E837" s="58" t="s">
        <v>8599</v>
      </c>
      <c r="F837" s="58" t="s">
        <v>6725</v>
      </c>
      <c r="H837" s="58" t="s">
        <v>6726</v>
      </c>
      <c r="I837" s="58" t="s">
        <v>8600</v>
      </c>
      <c r="K837" s="73">
        <v>44993.0</v>
      </c>
      <c r="Z837" s="58" t="s">
        <v>239</v>
      </c>
      <c r="CH837" s="58" t="s">
        <v>8601</v>
      </c>
      <c r="CI837" s="73">
        <v>44993.0</v>
      </c>
      <c r="CJ837" s="58">
        <v>1.0</v>
      </c>
      <c r="CK837" s="58">
        <v>79.0</v>
      </c>
      <c r="CL837" s="58" t="s">
        <v>8602</v>
      </c>
      <c r="CM837" s="58" t="s">
        <v>6730</v>
      </c>
      <c r="CO837" s="58" t="s">
        <v>8603</v>
      </c>
      <c r="CP837" s="58" t="s">
        <v>8604</v>
      </c>
      <c r="CR837" s="58">
        <v>1.0</v>
      </c>
      <c r="CT837" s="58">
        <v>47.0</v>
      </c>
      <c r="CU837" s="58" t="s">
        <v>239</v>
      </c>
      <c r="DL837" s="58" t="s">
        <v>8605</v>
      </c>
    </row>
    <row r="838" ht="15.75" customHeight="1">
      <c r="B838" s="58" t="s">
        <v>4587</v>
      </c>
      <c r="C838" s="58">
        <v>2021.0</v>
      </c>
      <c r="D838" s="58" t="s">
        <v>8606</v>
      </c>
      <c r="E838" s="58" t="s">
        <v>8607</v>
      </c>
      <c r="F838" s="58" t="s">
        <v>8608</v>
      </c>
      <c r="I838" s="58" t="s">
        <v>8609</v>
      </c>
      <c r="K838" s="73">
        <v>44309.0</v>
      </c>
      <c r="Z838" s="58" t="s">
        <v>239</v>
      </c>
      <c r="CH838" s="58" t="s">
        <v>8610</v>
      </c>
      <c r="CI838" s="73">
        <v>44309.0</v>
      </c>
      <c r="CJ838" s="58">
        <v>954.0</v>
      </c>
      <c r="CK838" s="58">
        <v>958.0</v>
      </c>
      <c r="CL838" s="58" t="s">
        <v>8611</v>
      </c>
      <c r="CM838" s="58" t="s">
        <v>8612</v>
      </c>
      <c r="CO838" s="58" t="s">
        <v>8613</v>
      </c>
      <c r="CP838" s="58" t="s">
        <v>8614</v>
      </c>
      <c r="CR838" s="58">
        <v>1.0</v>
      </c>
      <c r="CT838" s="58">
        <v>15.0</v>
      </c>
      <c r="CU838" s="58" t="s">
        <v>239</v>
      </c>
      <c r="DL838" s="58" t="s">
        <v>8615</v>
      </c>
    </row>
    <row r="839" ht="15.75" customHeight="1">
      <c r="B839" s="58" t="s">
        <v>4587</v>
      </c>
      <c r="C839" s="58">
        <v>2018.0</v>
      </c>
      <c r="D839" s="58" t="s">
        <v>8616</v>
      </c>
      <c r="E839" s="58" t="s">
        <v>8617</v>
      </c>
      <c r="F839" s="58" t="s">
        <v>8618</v>
      </c>
      <c r="I839" s="58" t="s">
        <v>8619</v>
      </c>
      <c r="K839" s="73">
        <v>43580.0</v>
      </c>
      <c r="Z839" s="58" t="s">
        <v>239</v>
      </c>
      <c r="CH839" s="58" t="s">
        <v>8620</v>
      </c>
      <c r="CI839" s="73">
        <v>43580.0</v>
      </c>
      <c r="CJ839" s="58">
        <v>358.0</v>
      </c>
      <c r="CK839" s="58">
        <v>363.0</v>
      </c>
      <c r="CL839" s="58" t="s">
        <v>8621</v>
      </c>
      <c r="CM839" s="58" t="s">
        <v>8622</v>
      </c>
      <c r="CO839" s="58" t="s">
        <v>8623</v>
      </c>
      <c r="CP839" s="58" t="s">
        <v>8624</v>
      </c>
      <c r="CR839" s="58">
        <v>1.0</v>
      </c>
      <c r="CT839" s="58">
        <v>48.0</v>
      </c>
      <c r="CU839" s="58" t="s">
        <v>239</v>
      </c>
      <c r="DL839" s="58" t="s">
        <v>8625</v>
      </c>
    </row>
    <row r="840" ht="15.75" customHeight="1">
      <c r="B840" s="58" t="s">
        <v>4587</v>
      </c>
      <c r="C840" s="58">
        <v>2020.0</v>
      </c>
      <c r="D840" s="58" t="s">
        <v>8626</v>
      </c>
      <c r="E840" s="58" t="s">
        <v>8627</v>
      </c>
      <c r="F840" s="58" t="s">
        <v>8628</v>
      </c>
      <c r="I840" s="58" t="s">
        <v>8629</v>
      </c>
      <c r="K840" s="73">
        <v>44291.0</v>
      </c>
      <c r="Z840" s="58" t="s">
        <v>239</v>
      </c>
      <c r="CH840" s="58" t="s">
        <v>8630</v>
      </c>
      <c r="CI840" s="73">
        <v>44291.0</v>
      </c>
      <c r="CJ840" s="58">
        <v>335.0</v>
      </c>
      <c r="CK840" s="58">
        <v>338.0</v>
      </c>
      <c r="CL840" s="58" t="s">
        <v>8631</v>
      </c>
      <c r="CM840" s="58" t="s">
        <v>8632</v>
      </c>
      <c r="CO840" s="58" t="s">
        <v>8633</v>
      </c>
      <c r="CP840" s="58" t="s">
        <v>8634</v>
      </c>
      <c r="CR840" s="58">
        <v>1.0</v>
      </c>
      <c r="CT840" s="58">
        <v>9.0</v>
      </c>
      <c r="CU840" s="58" t="s">
        <v>239</v>
      </c>
      <c r="DL840" s="58" t="s">
        <v>8635</v>
      </c>
    </row>
    <row r="841" ht="15.75" customHeight="1">
      <c r="B841" s="58" t="s">
        <v>4587</v>
      </c>
      <c r="C841" s="58">
        <v>2022.0</v>
      </c>
      <c r="D841" s="58" t="s">
        <v>8636</v>
      </c>
      <c r="E841" s="58" t="s">
        <v>8637</v>
      </c>
      <c r="F841" s="58" t="s">
        <v>8638</v>
      </c>
      <c r="H841" s="58" t="s">
        <v>8639</v>
      </c>
      <c r="I841" s="58" t="s">
        <v>8640</v>
      </c>
      <c r="K841" s="73">
        <v>44865.0</v>
      </c>
      <c r="Z841" s="58" t="s">
        <v>239</v>
      </c>
      <c r="CH841" s="58" t="s">
        <v>8641</v>
      </c>
      <c r="CI841" s="73">
        <v>44865.0</v>
      </c>
      <c r="CJ841" s="58">
        <v>1.0</v>
      </c>
      <c r="CK841" s="58">
        <v>10.0</v>
      </c>
      <c r="CL841" s="58" t="s">
        <v>8642</v>
      </c>
      <c r="CM841" s="58" t="s">
        <v>8643</v>
      </c>
      <c r="CO841" s="58" t="s">
        <v>8644</v>
      </c>
      <c r="CP841" s="58" t="s">
        <v>8645</v>
      </c>
      <c r="CR841" s="58">
        <v>1.0</v>
      </c>
      <c r="CT841" s="58">
        <v>26.0</v>
      </c>
      <c r="CU841" s="58" t="s">
        <v>239</v>
      </c>
      <c r="DL841" s="58" t="s">
        <v>8646</v>
      </c>
    </row>
    <row r="842" ht="15.75" customHeight="1">
      <c r="B842" s="58" t="s">
        <v>4587</v>
      </c>
      <c r="C842" s="58">
        <v>2019.0</v>
      </c>
      <c r="D842" s="58" t="s">
        <v>8647</v>
      </c>
      <c r="E842" s="58" t="s">
        <v>8648</v>
      </c>
      <c r="F842" s="58" t="s">
        <v>8649</v>
      </c>
      <c r="H842" s="58" t="s">
        <v>8650</v>
      </c>
      <c r="I842" s="58" t="s">
        <v>8651</v>
      </c>
      <c r="K842" s="73">
        <v>43853.0</v>
      </c>
      <c r="Z842" s="58" t="s">
        <v>239</v>
      </c>
      <c r="CH842" s="58" t="s">
        <v>8652</v>
      </c>
      <c r="CI842" s="73">
        <v>43853.0</v>
      </c>
      <c r="CJ842" s="58">
        <v>310.0</v>
      </c>
      <c r="CK842" s="58">
        <v>315.0</v>
      </c>
      <c r="CL842" s="58" t="s">
        <v>8653</v>
      </c>
      <c r="CM842" s="58" t="s">
        <v>8654</v>
      </c>
      <c r="CO842" s="58" t="s">
        <v>8655</v>
      </c>
      <c r="CP842" s="58" t="s">
        <v>8656</v>
      </c>
      <c r="CR842" s="58">
        <v>1.0</v>
      </c>
      <c r="CT842" s="58">
        <v>17.0</v>
      </c>
      <c r="CU842" s="58" t="s">
        <v>239</v>
      </c>
    </row>
    <row r="843" ht="15.75" customHeight="1">
      <c r="B843" s="58" t="s">
        <v>4587</v>
      </c>
      <c r="C843" s="58">
        <v>2020.0</v>
      </c>
      <c r="D843" s="58" t="s">
        <v>8657</v>
      </c>
      <c r="E843" s="58" t="s">
        <v>8658</v>
      </c>
      <c r="F843" s="58" t="s">
        <v>8659</v>
      </c>
      <c r="H843" s="58" t="s">
        <v>8660</v>
      </c>
      <c r="I843" s="58" t="s">
        <v>8661</v>
      </c>
      <c r="K843" s="73">
        <v>44291.0</v>
      </c>
      <c r="Z843" s="58" t="s">
        <v>239</v>
      </c>
      <c r="CH843" s="58" t="s">
        <v>8662</v>
      </c>
      <c r="CI843" s="73">
        <v>44291.0</v>
      </c>
      <c r="CJ843" s="58">
        <v>1.0</v>
      </c>
      <c r="CK843" s="58">
        <v>5.0</v>
      </c>
      <c r="CL843" s="58" t="s">
        <v>8663</v>
      </c>
      <c r="CM843" s="58" t="s">
        <v>8664</v>
      </c>
      <c r="CN843" s="58" t="s">
        <v>8665</v>
      </c>
      <c r="CO843" s="58" t="s">
        <v>8666</v>
      </c>
      <c r="CP843" s="58" t="s">
        <v>8667</v>
      </c>
      <c r="CR843" s="58">
        <v>1.0</v>
      </c>
      <c r="CT843" s="58">
        <v>9.0</v>
      </c>
      <c r="CU843" s="58" t="s">
        <v>239</v>
      </c>
      <c r="DL843" s="58" t="s">
        <v>8668</v>
      </c>
    </row>
    <row r="844" ht="15.75" customHeight="1">
      <c r="B844" s="58" t="s">
        <v>4587</v>
      </c>
      <c r="C844" s="58">
        <v>2022.0</v>
      </c>
      <c r="D844" s="58" t="s">
        <v>8669</v>
      </c>
      <c r="E844" s="58" t="s">
        <v>8670</v>
      </c>
      <c r="F844" s="58" t="s">
        <v>8671</v>
      </c>
      <c r="H844" s="58" t="s">
        <v>8672</v>
      </c>
      <c r="I844" s="58" t="s">
        <v>8673</v>
      </c>
      <c r="K844" s="73">
        <v>44867.0</v>
      </c>
      <c r="Z844" s="58" t="s">
        <v>239</v>
      </c>
      <c r="CH844" s="58" t="s">
        <v>8674</v>
      </c>
      <c r="CI844" s="73">
        <v>44867.0</v>
      </c>
      <c r="CJ844" s="58">
        <v>1748.0</v>
      </c>
      <c r="CK844" s="58">
        <v>1753.0</v>
      </c>
      <c r="CL844" s="58" t="s">
        <v>8675</v>
      </c>
      <c r="CM844" s="58" t="s">
        <v>8676</v>
      </c>
      <c r="CN844" s="58" t="s">
        <v>8677</v>
      </c>
      <c r="CO844" s="58" t="s">
        <v>8678</v>
      </c>
      <c r="CP844" s="58" t="s">
        <v>8679</v>
      </c>
      <c r="CR844" s="58">
        <v>1.0</v>
      </c>
      <c r="CT844" s="58">
        <v>14.0</v>
      </c>
      <c r="CU844" s="58" t="s">
        <v>239</v>
      </c>
      <c r="DL844" s="58" t="s">
        <v>8680</v>
      </c>
    </row>
    <row r="845" ht="15.75" customHeight="1">
      <c r="B845" s="58" t="s">
        <v>4587</v>
      </c>
      <c r="C845" s="58">
        <v>2018.0</v>
      </c>
      <c r="D845" s="58" t="s">
        <v>6091</v>
      </c>
      <c r="E845" s="58" t="s">
        <v>8681</v>
      </c>
      <c r="F845" s="58" t="s">
        <v>8682</v>
      </c>
      <c r="H845" s="58" t="s">
        <v>5264</v>
      </c>
      <c r="I845" s="58" t="s">
        <v>8683</v>
      </c>
      <c r="K845" s="73">
        <v>43290.0</v>
      </c>
      <c r="Z845" s="58" t="s">
        <v>239</v>
      </c>
      <c r="CH845" s="58" t="s">
        <v>6095</v>
      </c>
      <c r="CI845" s="73">
        <v>43290.0</v>
      </c>
      <c r="CJ845" s="58">
        <v>1.0</v>
      </c>
      <c r="CK845" s="58">
        <v>8.0</v>
      </c>
      <c r="CL845" s="58" t="s">
        <v>8684</v>
      </c>
      <c r="CM845" s="58" t="s">
        <v>8685</v>
      </c>
      <c r="CO845" s="58" t="s">
        <v>8686</v>
      </c>
      <c r="CP845" s="58" t="s">
        <v>8687</v>
      </c>
      <c r="CR845" s="58">
        <v>1.0</v>
      </c>
      <c r="CT845" s="58">
        <v>19.0</v>
      </c>
      <c r="CU845" s="58" t="s">
        <v>239</v>
      </c>
      <c r="DL845" s="58" t="s">
        <v>8688</v>
      </c>
    </row>
    <row r="846" ht="15.75" customHeight="1">
      <c r="B846" s="58" t="s">
        <v>4587</v>
      </c>
      <c r="C846" s="58">
        <v>2019.0</v>
      </c>
      <c r="D846" s="58" t="s">
        <v>8689</v>
      </c>
      <c r="E846" s="58" t="s">
        <v>8690</v>
      </c>
      <c r="F846" s="58" t="s">
        <v>7724</v>
      </c>
      <c r="I846" s="58" t="s">
        <v>8691</v>
      </c>
      <c r="K846" s="73">
        <v>43822.0</v>
      </c>
      <c r="Z846" s="58" t="s">
        <v>239</v>
      </c>
      <c r="CH846" s="58" t="s">
        <v>8692</v>
      </c>
      <c r="CI846" s="73">
        <v>43822.0</v>
      </c>
      <c r="CJ846" s="58">
        <v>1.0</v>
      </c>
      <c r="CK846" s="58">
        <v>5.0</v>
      </c>
      <c r="CL846" s="58" t="s">
        <v>8693</v>
      </c>
      <c r="CM846" s="58" t="s">
        <v>7728</v>
      </c>
      <c r="CO846" s="58" t="s">
        <v>8694</v>
      </c>
      <c r="CR846" s="58">
        <v>1.0</v>
      </c>
      <c r="CT846" s="58">
        <v>16.0</v>
      </c>
      <c r="CU846" s="58" t="s">
        <v>239</v>
      </c>
      <c r="DL846" s="58" t="s">
        <v>8695</v>
      </c>
    </row>
    <row r="847" ht="15.75" customHeight="1">
      <c r="B847" s="58" t="s">
        <v>4587</v>
      </c>
      <c r="C847" s="58">
        <v>2021.0</v>
      </c>
      <c r="D847" s="58" t="s">
        <v>8696</v>
      </c>
      <c r="E847" s="58" t="s">
        <v>8697</v>
      </c>
      <c r="F847" s="58" t="s">
        <v>8698</v>
      </c>
      <c r="I847" s="58" t="s">
        <v>8699</v>
      </c>
      <c r="K847" s="73">
        <v>44431.0</v>
      </c>
      <c r="Z847" s="58" t="s">
        <v>239</v>
      </c>
      <c r="CH847" s="58" t="s">
        <v>8700</v>
      </c>
      <c r="CI847" s="73">
        <v>44431.0</v>
      </c>
      <c r="CJ847" s="58">
        <v>1.0</v>
      </c>
      <c r="CK847" s="58">
        <v>8.0</v>
      </c>
      <c r="CL847" s="58" t="s">
        <v>8701</v>
      </c>
      <c r="CM847" s="58" t="s">
        <v>8702</v>
      </c>
      <c r="CO847" s="58" t="s">
        <v>8703</v>
      </c>
      <c r="CP847" s="58" t="s">
        <v>8704</v>
      </c>
      <c r="CR847" s="58">
        <v>1.0</v>
      </c>
      <c r="CT847" s="58">
        <v>33.0</v>
      </c>
      <c r="CU847" s="58" t="s">
        <v>239</v>
      </c>
      <c r="DL847" s="58" t="s">
        <v>8705</v>
      </c>
    </row>
    <row r="848" ht="15.75" customHeight="1">
      <c r="B848" s="58" t="s">
        <v>4587</v>
      </c>
      <c r="C848" s="58">
        <v>2018.0</v>
      </c>
      <c r="D848" s="58" t="s">
        <v>8706</v>
      </c>
      <c r="E848" s="58" t="s">
        <v>8707</v>
      </c>
      <c r="F848" s="58" t="s">
        <v>8708</v>
      </c>
      <c r="I848" s="58" t="s">
        <v>8709</v>
      </c>
      <c r="K848" s="73">
        <v>43342.0</v>
      </c>
      <c r="Z848" s="58" t="s">
        <v>239</v>
      </c>
      <c r="CH848" s="58" t="s">
        <v>8710</v>
      </c>
      <c r="CI848" s="73">
        <v>43342.0</v>
      </c>
      <c r="CJ848" s="58">
        <v>46.0</v>
      </c>
      <c r="CK848" s="58">
        <v>52.0</v>
      </c>
      <c r="CL848" s="58" t="s">
        <v>8711</v>
      </c>
      <c r="CM848" s="58" t="s">
        <v>8712</v>
      </c>
      <c r="CO848" s="58" t="s">
        <v>8713</v>
      </c>
      <c r="CP848" s="58" t="s">
        <v>8714</v>
      </c>
      <c r="CR848" s="58">
        <v>1.0</v>
      </c>
      <c r="CT848" s="58">
        <v>21.0</v>
      </c>
      <c r="CU848" s="58" t="s">
        <v>239</v>
      </c>
      <c r="DL848" s="58" t="s">
        <v>8715</v>
      </c>
    </row>
    <row r="849" ht="15.75" customHeight="1">
      <c r="B849" s="58" t="s">
        <v>4587</v>
      </c>
      <c r="C849" s="58">
        <v>2022.0</v>
      </c>
      <c r="D849" s="58" t="s">
        <v>8716</v>
      </c>
      <c r="E849" s="58" t="s">
        <v>8717</v>
      </c>
      <c r="F849" s="58" t="s">
        <v>8718</v>
      </c>
      <c r="I849" s="58" t="s">
        <v>8719</v>
      </c>
      <c r="K849" s="73">
        <v>44879.0</v>
      </c>
      <c r="Z849" s="58" t="s">
        <v>239</v>
      </c>
      <c r="CH849" s="58" t="s">
        <v>8720</v>
      </c>
      <c r="CI849" s="73">
        <v>44879.0</v>
      </c>
      <c r="CJ849" s="58">
        <v>212.0</v>
      </c>
      <c r="CK849" s="58">
        <v>217.0</v>
      </c>
      <c r="CL849" s="58" t="s">
        <v>8721</v>
      </c>
      <c r="CM849" s="58" t="s">
        <v>8722</v>
      </c>
      <c r="CN849" s="58" t="s">
        <v>8723</v>
      </c>
      <c r="CO849" s="58" t="s">
        <v>8724</v>
      </c>
      <c r="CP849" s="58" t="s">
        <v>8725</v>
      </c>
      <c r="CR849" s="58">
        <v>1.0</v>
      </c>
      <c r="CT849" s="58">
        <v>30.0</v>
      </c>
      <c r="CU849" s="58" t="s">
        <v>239</v>
      </c>
      <c r="DL849" s="58" t="s">
        <v>8726</v>
      </c>
    </row>
    <row r="850" ht="15.75" customHeight="1">
      <c r="B850" s="58" t="s">
        <v>4587</v>
      </c>
      <c r="C850" s="58">
        <v>2022.0</v>
      </c>
      <c r="D850" s="58" t="s">
        <v>8727</v>
      </c>
      <c r="E850" s="58" t="s">
        <v>8728</v>
      </c>
      <c r="F850" s="58" t="s">
        <v>8729</v>
      </c>
      <c r="I850" s="58" t="s">
        <v>8730</v>
      </c>
      <c r="K850" s="73">
        <v>44782.0</v>
      </c>
      <c r="Z850" s="58" t="s">
        <v>239</v>
      </c>
      <c r="CH850" s="58" t="s">
        <v>8731</v>
      </c>
      <c r="CI850" s="73">
        <v>44782.0</v>
      </c>
      <c r="CJ850" s="58">
        <v>90.0</v>
      </c>
      <c r="CK850" s="58">
        <v>99.0</v>
      </c>
      <c r="CL850" s="58" t="s">
        <v>8732</v>
      </c>
      <c r="CM850" s="58" t="s">
        <v>8733</v>
      </c>
      <c r="CN850" s="58" t="s">
        <v>8734</v>
      </c>
      <c r="CO850" s="58" t="s">
        <v>8735</v>
      </c>
      <c r="CP850" s="58" t="s">
        <v>8736</v>
      </c>
      <c r="CR850" s="58">
        <v>1.0</v>
      </c>
      <c r="CT850" s="58">
        <v>32.0</v>
      </c>
      <c r="CU850" s="58" t="s">
        <v>239</v>
      </c>
      <c r="DL850" s="58" t="s">
        <v>8737</v>
      </c>
    </row>
    <row r="851" ht="15.75" customHeight="1">
      <c r="B851" s="58" t="s">
        <v>4587</v>
      </c>
      <c r="C851" s="58">
        <v>2021.0</v>
      </c>
      <c r="D851" s="58" t="s">
        <v>8738</v>
      </c>
      <c r="E851" s="58" t="s">
        <v>8739</v>
      </c>
      <c r="F851" s="58" t="s">
        <v>8740</v>
      </c>
      <c r="H851" s="58" t="s">
        <v>8639</v>
      </c>
      <c r="I851" s="58" t="s">
        <v>8741</v>
      </c>
      <c r="K851" s="73">
        <v>44515.0</v>
      </c>
      <c r="Z851" s="58" t="s">
        <v>239</v>
      </c>
      <c r="CH851" s="58" t="s">
        <v>8742</v>
      </c>
      <c r="CI851" s="73">
        <v>44515.0</v>
      </c>
      <c r="CJ851" s="58">
        <v>1.0</v>
      </c>
      <c r="CK851" s="58">
        <v>4.0</v>
      </c>
      <c r="CL851" s="58" t="s">
        <v>8743</v>
      </c>
      <c r="CM851" s="58" t="s">
        <v>8744</v>
      </c>
      <c r="CO851" s="58" t="s">
        <v>8745</v>
      </c>
      <c r="CP851" s="58" t="s">
        <v>8746</v>
      </c>
      <c r="CR851" s="58">
        <v>1.0</v>
      </c>
      <c r="CT851" s="58">
        <v>11.0</v>
      </c>
      <c r="CU851" s="58" t="s">
        <v>239</v>
      </c>
      <c r="DL851" s="58" t="s">
        <v>8747</v>
      </c>
    </row>
    <row r="852" ht="15.75" customHeight="1">
      <c r="B852" s="58" t="s">
        <v>4587</v>
      </c>
      <c r="C852" s="58">
        <v>2020.0</v>
      </c>
      <c r="D852" s="58" t="s">
        <v>8748</v>
      </c>
      <c r="E852" s="58" t="s">
        <v>8749</v>
      </c>
      <c r="F852" s="58" t="s">
        <v>8750</v>
      </c>
      <c r="I852" s="58" t="s">
        <v>8751</v>
      </c>
      <c r="K852" s="73">
        <v>43999.0</v>
      </c>
      <c r="Z852" s="58" t="s">
        <v>239</v>
      </c>
      <c r="CH852" s="58" t="s">
        <v>8752</v>
      </c>
      <c r="CI852" s="73">
        <v>43999.0</v>
      </c>
      <c r="CJ852" s="58">
        <v>367.0</v>
      </c>
      <c r="CK852" s="58">
        <v>371.0</v>
      </c>
      <c r="CL852" s="58" t="s">
        <v>8753</v>
      </c>
      <c r="CM852" s="58" t="s">
        <v>8754</v>
      </c>
      <c r="CO852" s="58" t="s">
        <v>8755</v>
      </c>
      <c r="CP852" s="58" t="s">
        <v>8756</v>
      </c>
      <c r="CR852" s="58">
        <v>1.0</v>
      </c>
      <c r="CT852" s="58">
        <v>9.0</v>
      </c>
      <c r="CU852" s="58" t="s">
        <v>239</v>
      </c>
      <c r="DL852" s="58" t="s">
        <v>8757</v>
      </c>
    </row>
    <row r="853" ht="15.75" customHeight="1">
      <c r="B853" s="58" t="s">
        <v>4587</v>
      </c>
      <c r="C853" s="58">
        <v>2022.0</v>
      </c>
      <c r="D853" s="58" t="s">
        <v>8758</v>
      </c>
      <c r="E853" s="58" t="s">
        <v>8759</v>
      </c>
      <c r="F853" s="58" t="s">
        <v>8760</v>
      </c>
      <c r="I853" s="58" t="s">
        <v>8761</v>
      </c>
      <c r="K853" s="73">
        <v>44865.0</v>
      </c>
      <c r="Z853" s="58" t="s">
        <v>239</v>
      </c>
      <c r="CH853" s="58" t="s">
        <v>8762</v>
      </c>
      <c r="CI853" s="73">
        <v>44865.0</v>
      </c>
      <c r="CJ853" s="58">
        <v>1.0</v>
      </c>
      <c r="CK853" s="58">
        <v>8.0</v>
      </c>
      <c r="CL853" s="58" t="s">
        <v>8763</v>
      </c>
      <c r="CM853" s="58" t="s">
        <v>8764</v>
      </c>
      <c r="CO853" s="58" t="s">
        <v>8765</v>
      </c>
      <c r="CP853" s="58" t="s">
        <v>8766</v>
      </c>
      <c r="CR853" s="58">
        <v>1.0</v>
      </c>
      <c r="CT853" s="58">
        <v>16.0</v>
      </c>
      <c r="CU853" s="58" t="s">
        <v>239</v>
      </c>
      <c r="DL853" s="58" t="s">
        <v>8767</v>
      </c>
    </row>
    <row r="854" ht="15.75" customHeight="1">
      <c r="B854" s="58" t="s">
        <v>4587</v>
      </c>
      <c r="C854" s="58">
        <v>2022.0</v>
      </c>
      <c r="D854" s="58" t="s">
        <v>8768</v>
      </c>
      <c r="E854" s="58" t="s">
        <v>8769</v>
      </c>
      <c r="F854" s="58" t="s">
        <v>8760</v>
      </c>
      <c r="I854" s="58" t="s">
        <v>8770</v>
      </c>
      <c r="K854" s="73">
        <v>44865.0</v>
      </c>
      <c r="Z854" s="58" t="s">
        <v>239</v>
      </c>
      <c r="CH854" s="58" t="s">
        <v>8771</v>
      </c>
      <c r="CI854" s="73">
        <v>44865.0</v>
      </c>
      <c r="CJ854" s="58">
        <v>1.0</v>
      </c>
      <c r="CK854" s="58">
        <v>8.0</v>
      </c>
      <c r="CL854" s="58" t="s">
        <v>8772</v>
      </c>
      <c r="CM854" s="58" t="s">
        <v>8764</v>
      </c>
      <c r="CO854" s="58" t="s">
        <v>8773</v>
      </c>
      <c r="CP854" s="58" t="s">
        <v>8774</v>
      </c>
      <c r="CR854" s="58">
        <v>1.0</v>
      </c>
      <c r="CT854" s="58">
        <v>13.0</v>
      </c>
      <c r="CU854" s="58" t="s">
        <v>239</v>
      </c>
      <c r="DL854" s="58" t="s">
        <v>8775</v>
      </c>
    </row>
    <row r="855" ht="15.75" customHeight="1">
      <c r="B855" s="58" t="s">
        <v>4587</v>
      </c>
      <c r="C855" s="58">
        <v>2021.0</v>
      </c>
      <c r="D855" s="58" t="s">
        <v>8776</v>
      </c>
      <c r="E855" s="58" t="s">
        <v>8777</v>
      </c>
      <c r="F855" s="58" t="s">
        <v>8778</v>
      </c>
      <c r="I855" s="58" t="s">
        <v>8779</v>
      </c>
      <c r="K855" s="73">
        <v>44322.0</v>
      </c>
      <c r="Z855" s="58" t="s">
        <v>239</v>
      </c>
      <c r="CH855" s="58" t="s">
        <v>8780</v>
      </c>
      <c r="CI855" s="73">
        <v>44322.0</v>
      </c>
      <c r="CJ855" s="58">
        <v>48.0</v>
      </c>
      <c r="CK855" s="58">
        <v>52.0</v>
      </c>
      <c r="CL855" s="58" t="s">
        <v>8781</v>
      </c>
      <c r="CM855" s="58" t="s">
        <v>8782</v>
      </c>
      <c r="CO855" s="58" t="s">
        <v>8783</v>
      </c>
      <c r="CP855" s="58" t="s">
        <v>8784</v>
      </c>
      <c r="CR855" s="58">
        <v>1.0</v>
      </c>
      <c r="CT855" s="58">
        <v>25.0</v>
      </c>
      <c r="CU855" s="58" t="s">
        <v>239</v>
      </c>
      <c r="DL855" s="58" t="s">
        <v>8785</v>
      </c>
    </row>
    <row r="856" ht="15.75" customHeight="1">
      <c r="B856" s="58" t="s">
        <v>4587</v>
      </c>
      <c r="C856" s="58">
        <v>2021.0</v>
      </c>
      <c r="D856" s="58" t="s">
        <v>8786</v>
      </c>
      <c r="E856" s="58" t="s">
        <v>8787</v>
      </c>
      <c r="F856" s="58" t="s">
        <v>8788</v>
      </c>
      <c r="H856" s="58" t="s">
        <v>8672</v>
      </c>
      <c r="I856" s="58" t="s">
        <v>8789</v>
      </c>
      <c r="K856" s="73">
        <v>44477.0</v>
      </c>
      <c r="Z856" s="58" t="s">
        <v>239</v>
      </c>
      <c r="CH856" s="58" t="s">
        <v>8790</v>
      </c>
      <c r="CI856" s="73">
        <v>44477.0</v>
      </c>
      <c r="CJ856" s="58">
        <v>484.0</v>
      </c>
      <c r="CK856" s="58">
        <v>489.0</v>
      </c>
      <c r="CL856" s="58" t="s">
        <v>8791</v>
      </c>
      <c r="CM856" s="58" t="s">
        <v>8792</v>
      </c>
      <c r="CO856" s="58" t="s">
        <v>8793</v>
      </c>
      <c r="CP856" s="58" t="s">
        <v>8794</v>
      </c>
      <c r="CR856" s="58">
        <v>1.0</v>
      </c>
      <c r="CT856" s="58">
        <v>36.0</v>
      </c>
      <c r="CU856" s="58" t="s">
        <v>239</v>
      </c>
      <c r="DL856" s="58" t="s">
        <v>8795</v>
      </c>
    </row>
    <row r="857" ht="15.75" customHeight="1">
      <c r="B857" s="58" t="s">
        <v>4587</v>
      </c>
      <c r="C857" s="58">
        <v>2018.0</v>
      </c>
      <c r="D857" s="58" t="s">
        <v>8796</v>
      </c>
      <c r="E857" s="58" t="s">
        <v>8797</v>
      </c>
      <c r="F857" s="58" t="s">
        <v>8618</v>
      </c>
      <c r="I857" s="58" t="s">
        <v>8798</v>
      </c>
      <c r="K857" s="73">
        <v>43580.0</v>
      </c>
      <c r="Z857" s="58" t="s">
        <v>239</v>
      </c>
      <c r="CH857" s="58" t="s">
        <v>8799</v>
      </c>
      <c r="CI857" s="73">
        <v>43580.0</v>
      </c>
      <c r="CJ857" s="58">
        <v>547.0</v>
      </c>
      <c r="CK857" s="58">
        <v>554.0</v>
      </c>
      <c r="CL857" s="58" t="s">
        <v>8800</v>
      </c>
      <c r="CM857" s="58" t="s">
        <v>8622</v>
      </c>
      <c r="CO857" s="58" t="s">
        <v>8801</v>
      </c>
      <c r="CP857" s="58" t="s">
        <v>8802</v>
      </c>
      <c r="CR857" s="58">
        <v>1.0</v>
      </c>
      <c r="CT857" s="58">
        <v>48.0</v>
      </c>
      <c r="CU857" s="58" t="s">
        <v>239</v>
      </c>
      <c r="DL857" s="58" t="s">
        <v>8803</v>
      </c>
    </row>
    <row r="858" ht="15.75" customHeight="1">
      <c r="B858" s="58" t="s">
        <v>4587</v>
      </c>
      <c r="C858" s="58">
        <v>2019.0</v>
      </c>
      <c r="D858" s="58" t="s">
        <v>8804</v>
      </c>
      <c r="E858" s="58" t="s">
        <v>8805</v>
      </c>
      <c r="F858" s="58" t="s">
        <v>8806</v>
      </c>
      <c r="I858" s="58" t="s">
        <v>8807</v>
      </c>
      <c r="K858" s="73">
        <v>43860.0</v>
      </c>
      <c r="Z858" s="58" t="s">
        <v>239</v>
      </c>
      <c r="CH858" s="58" t="s">
        <v>8808</v>
      </c>
      <c r="CI858" s="73">
        <v>43860.0</v>
      </c>
      <c r="CJ858" s="58">
        <v>43.0</v>
      </c>
      <c r="CK858" s="58">
        <v>47.0</v>
      </c>
      <c r="CL858" s="58" t="s">
        <v>8809</v>
      </c>
      <c r="CM858" s="58" t="s">
        <v>8810</v>
      </c>
      <c r="CO858" s="58" t="s">
        <v>8811</v>
      </c>
      <c r="CP858" s="58" t="s">
        <v>8812</v>
      </c>
      <c r="CR858" s="58">
        <v>1.0</v>
      </c>
      <c r="CT858" s="58">
        <v>20.0</v>
      </c>
      <c r="CU858" s="58" t="s">
        <v>239</v>
      </c>
    </row>
    <row r="859" ht="15.75" customHeight="1">
      <c r="B859" s="58" t="s">
        <v>4587</v>
      </c>
      <c r="C859" s="58">
        <v>2022.0</v>
      </c>
      <c r="D859" s="58" t="s">
        <v>8813</v>
      </c>
      <c r="E859" s="58" t="s">
        <v>8814</v>
      </c>
      <c r="F859" s="58" t="s">
        <v>8815</v>
      </c>
      <c r="I859" s="58" t="s">
        <v>8816</v>
      </c>
      <c r="K859" s="73">
        <v>44883.0</v>
      </c>
      <c r="Z859" s="58" t="s">
        <v>239</v>
      </c>
      <c r="CH859" s="58" t="s">
        <v>8817</v>
      </c>
      <c r="CI859" s="73">
        <v>44883.0</v>
      </c>
      <c r="CJ859" s="58">
        <v>1771.0</v>
      </c>
      <c r="CK859" s="58">
        <v>1777.0</v>
      </c>
      <c r="CL859" s="58" t="s">
        <v>8818</v>
      </c>
      <c r="CM859" s="58" t="s">
        <v>8819</v>
      </c>
      <c r="CO859" s="58" t="s">
        <v>8820</v>
      </c>
      <c r="CP859" s="58" t="s">
        <v>8821</v>
      </c>
      <c r="CR859" s="58">
        <v>1.0</v>
      </c>
      <c r="CT859" s="58">
        <v>17.0</v>
      </c>
      <c r="CU859" s="58" t="s">
        <v>239</v>
      </c>
      <c r="DL859" s="58" t="s">
        <v>8822</v>
      </c>
    </row>
    <row r="860" ht="15.75" customHeight="1">
      <c r="B860" s="58" t="s">
        <v>4587</v>
      </c>
      <c r="C860" s="58">
        <v>2022.0</v>
      </c>
      <c r="D860" s="58" t="s">
        <v>8823</v>
      </c>
      <c r="E860" s="58" t="s">
        <v>8824</v>
      </c>
      <c r="F860" s="58" t="s">
        <v>8825</v>
      </c>
      <c r="H860" s="58" t="s">
        <v>8826</v>
      </c>
      <c r="I860" s="58" t="s">
        <v>8827</v>
      </c>
      <c r="K860" s="73">
        <v>44998.0</v>
      </c>
      <c r="Z860" s="58" t="s">
        <v>239</v>
      </c>
      <c r="CH860" s="58" t="s">
        <v>8828</v>
      </c>
      <c r="CI860" s="73">
        <v>44998.0</v>
      </c>
      <c r="CJ860" s="58">
        <v>1.0</v>
      </c>
      <c r="CK860" s="58">
        <v>8.0</v>
      </c>
      <c r="CL860" s="58" t="s">
        <v>8829</v>
      </c>
      <c r="CM860" s="58" t="s">
        <v>8830</v>
      </c>
      <c r="CO860" s="58" t="s">
        <v>8831</v>
      </c>
      <c r="CP860" s="58" t="s">
        <v>8832</v>
      </c>
      <c r="CR860" s="58">
        <v>1.0</v>
      </c>
      <c r="CT860" s="58">
        <v>37.0</v>
      </c>
      <c r="CU860" s="58" t="s">
        <v>239</v>
      </c>
      <c r="DL860" s="58" t="s">
        <v>8833</v>
      </c>
    </row>
    <row r="861" ht="15.75" customHeight="1">
      <c r="B861" s="58" t="s">
        <v>4587</v>
      </c>
      <c r="C861" s="58">
        <v>2021.0</v>
      </c>
      <c r="D861" s="58" t="s">
        <v>8834</v>
      </c>
      <c r="E861" s="58" t="s">
        <v>8835</v>
      </c>
      <c r="F861" s="58" t="s">
        <v>8836</v>
      </c>
      <c r="I861" s="58" t="s">
        <v>8837</v>
      </c>
      <c r="K861" s="73">
        <v>44518.0</v>
      </c>
      <c r="Z861" s="58" t="s">
        <v>239</v>
      </c>
      <c r="CH861" s="58" t="s">
        <v>8838</v>
      </c>
      <c r="CI861" s="73">
        <v>44518.0</v>
      </c>
      <c r="CJ861" s="58">
        <v>399.0</v>
      </c>
      <c r="CK861" s="58">
        <v>406.0</v>
      </c>
      <c r="CL861" s="58" t="s">
        <v>8839</v>
      </c>
      <c r="CM861" s="58" t="s">
        <v>8840</v>
      </c>
      <c r="CO861" s="58" t="s">
        <v>8841</v>
      </c>
      <c r="CP861" s="58" t="s">
        <v>8842</v>
      </c>
      <c r="CR861" s="58">
        <v>1.0</v>
      </c>
      <c r="CT861" s="58">
        <v>35.0</v>
      </c>
      <c r="CU861" s="58" t="s">
        <v>239</v>
      </c>
      <c r="DL861" s="58" t="s">
        <v>8843</v>
      </c>
    </row>
    <row r="862" ht="15.75" customHeight="1">
      <c r="B862" s="58" t="s">
        <v>4587</v>
      </c>
      <c r="C862" s="58">
        <v>2019.0</v>
      </c>
      <c r="D862" s="58" t="s">
        <v>8844</v>
      </c>
      <c r="E862" s="58" t="s">
        <v>8845</v>
      </c>
      <c r="F862" s="58" t="s">
        <v>8846</v>
      </c>
      <c r="I862" s="58" t="s">
        <v>8847</v>
      </c>
      <c r="K862" s="73">
        <v>43860.0</v>
      </c>
      <c r="Z862" s="58" t="s">
        <v>239</v>
      </c>
      <c r="CH862" s="58" t="s">
        <v>8848</v>
      </c>
      <c r="CI862" s="73">
        <v>43860.0</v>
      </c>
      <c r="CJ862" s="58">
        <v>28.0</v>
      </c>
      <c r="CK862" s="58">
        <v>33.0</v>
      </c>
      <c r="CL862" s="58" t="s">
        <v>8849</v>
      </c>
      <c r="CM862" s="58" t="s">
        <v>8850</v>
      </c>
      <c r="CO862" s="58" t="s">
        <v>8851</v>
      </c>
      <c r="CP862" s="58" t="s">
        <v>8852</v>
      </c>
      <c r="CR862" s="58">
        <v>1.0</v>
      </c>
      <c r="CT862" s="58">
        <v>10.0</v>
      </c>
      <c r="CU862" s="58" t="s">
        <v>239</v>
      </c>
    </row>
    <row r="863" ht="15.75" customHeight="1">
      <c r="B863" s="58" t="s">
        <v>4587</v>
      </c>
      <c r="C863" s="58">
        <v>2022.0</v>
      </c>
      <c r="D863" s="58" t="s">
        <v>8853</v>
      </c>
      <c r="E863" s="58" t="s">
        <v>8854</v>
      </c>
      <c r="F863" s="58" t="s">
        <v>8855</v>
      </c>
      <c r="I863" s="58" t="s">
        <v>8856</v>
      </c>
      <c r="K863" s="73">
        <v>44887.0</v>
      </c>
      <c r="Z863" s="58" t="s">
        <v>239</v>
      </c>
      <c r="CH863" s="58" t="s">
        <v>8857</v>
      </c>
      <c r="CI863" s="73">
        <v>44887.0</v>
      </c>
      <c r="CJ863" s="58">
        <v>115.0</v>
      </c>
      <c r="CK863" s="58">
        <v>125.0</v>
      </c>
      <c r="CL863" s="58" t="s">
        <v>8858</v>
      </c>
      <c r="CM863" s="58" t="s">
        <v>8859</v>
      </c>
      <c r="CO863" s="58" t="s">
        <v>8860</v>
      </c>
      <c r="CP863" s="58" t="s">
        <v>8861</v>
      </c>
      <c r="CR863" s="58">
        <v>1.0</v>
      </c>
      <c r="CT863" s="58">
        <v>47.0</v>
      </c>
      <c r="CU863" s="58" t="s">
        <v>239</v>
      </c>
      <c r="DL863" s="58" t="s">
        <v>8862</v>
      </c>
    </row>
    <row r="864" ht="15.75" customHeight="1">
      <c r="B864" s="58" t="s">
        <v>4587</v>
      </c>
      <c r="C864" s="58">
        <v>2022.0</v>
      </c>
      <c r="D864" s="58" t="s">
        <v>8863</v>
      </c>
      <c r="E864" s="58" t="s">
        <v>8864</v>
      </c>
      <c r="F864" s="58" t="s">
        <v>8865</v>
      </c>
      <c r="H864" s="58" t="s">
        <v>8866</v>
      </c>
      <c r="I864" s="58" t="s">
        <v>8867</v>
      </c>
      <c r="K864" s="73">
        <v>44727.0</v>
      </c>
      <c r="Z864" s="58" t="s">
        <v>239</v>
      </c>
      <c r="CH864" s="58" t="s">
        <v>8868</v>
      </c>
      <c r="CI864" s="73">
        <v>44727.0</v>
      </c>
      <c r="CJ864" s="58">
        <v>1.0</v>
      </c>
      <c r="CK864" s="58">
        <v>6.0</v>
      </c>
      <c r="CL864" s="58" t="s">
        <v>8869</v>
      </c>
      <c r="CM864" s="58" t="s">
        <v>8870</v>
      </c>
      <c r="CO864" s="58" t="s">
        <v>8871</v>
      </c>
      <c r="CP864" s="58" t="s">
        <v>8872</v>
      </c>
      <c r="CR864" s="58">
        <v>1.0</v>
      </c>
      <c r="CT864" s="58">
        <v>24.0</v>
      </c>
      <c r="CU864" s="58" t="s">
        <v>239</v>
      </c>
      <c r="DL864" s="58" t="s">
        <v>8873</v>
      </c>
    </row>
    <row r="865" ht="15.75" customHeight="1">
      <c r="B865" s="58" t="s">
        <v>4587</v>
      </c>
      <c r="C865" s="58">
        <v>2019.0</v>
      </c>
      <c r="D865" s="58" t="s">
        <v>8874</v>
      </c>
      <c r="E865" s="58" t="s">
        <v>8875</v>
      </c>
      <c r="F865" s="58" t="s">
        <v>8876</v>
      </c>
      <c r="H865" s="58" t="s">
        <v>8877</v>
      </c>
      <c r="I865" s="58" t="s">
        <v>8878</v>
      </c>
      <c r="K865" s="73">
        <v>43909.0</v>
      </c>
      <c r="Z865" s="58" t="s">
        <v>239</v>
      </c>
      <c r="CH865" s="58" t="s">
        <v>8879</v>
      </c>
      <c r="CI865" s="73">
        <v>43909.0</v>
      </c>
      <c r="CJ865" s="58">
        <v>555.0</v>
      </c>
      <c r="CK865" s="58">
        <v>560.0</v>
      </c>
      <c r="CL865" s="58" t="s">
        <v>8880</v>
      </c>
      <c r="CM865" s="58" t="s">
        <v>8881</v>
      </c>
      <c r="CO865" s="58" t="s">
        <v>8882</v>
      </c>
      <c r="CP865" s="58" t="s">
        <v>8883</v>
      </c>
      <c r="CR865" s="58">
        <v>1.0</v>
      </c>
      <c r="CT865" s="58">
        <v>12.0</v>
      </c>
      <c r="CU865" s="58" t="s">
        <v>239</v>
      </c>
    </row>
    <row r="866" ht="15.75" customHeight="1">
      <c r="B866" s="58" t="s">
        <v>4587</v>
      </c>
      <c r="C866" s="58">
        <v>2022.0</v>
      </c>
      <c r="D866" s="58" t="s">
        <v>8884</v>
      </c>
      <c r="E866" s="58" t="s">
        <v>8885</v>
      </c>
      <c r="F866" s="58" t="s">
        <v>8886</v>
      </c>
      <c r="H866" s="58" t="s">
        <v>8887</v>
      </c>
      <c r="I866" s="58" t="s">
        <v>8888</v>
      </c>
      <c r="K866" s="73">
        <v>44950.0</v>
      </c>
      <c r="Z866" s="58" t="s">
        <v>239</v>
      </c>
      <c r="CH866" s="58" t="s">
        <v>8889</v>
      </c>
      <c r="CI866" s="73">
        <v>44950.0</v>
      </c>
      <c r="CJ866" s="58">
        <v>1.0</v>
      </c>
      <c r="CK866" s="58">
        <v>10.0</v>
      </c>
      <c r="CL866" s="58" t="s">
        <v>8890</v>
      </c>
      <c r="CM866" s="58" t="s">
        <v>8891</v>
      </c>
      <c r="CO866" s="58" t="s">
        <v>8892</v>
      </c>
      <c r="CP866" s="58" t="s">
        <v>8893</v>
      </c>
      <c r="CR866" s="58">
        <v>1.0</v>
      </c>
      <c r="CT866" s="58">
        <v>31.0</v>
      </c>
      <c r="CU866" s="58" t="s">
        <v>239</v>
      </c>
      <c r="DL866" s="58" t="s">
        <v>8894</v>
      </c>
    </row>
    <row r="867" ht="15.75" customHeight="1">
      <c r="B867" s="58" t="s">
        <v>4587</v>
      </c>
      <c r="C867" s="58">
        <v>2021.0</v>
      </c>
      <c r="D867" s="58" t="s">
        <v>8895</v>
      </c>
      <c r="E867" s="58" t="s">
        <v>8896</v>
      </c>
      <c r="F867" s="58" t="s">
        <v>7782</v>
      </c>
      <c r="I867" s="58" t="s">
        <v>8897</v>
      </c>
      <c r="K867" s="73">
        <v>44441.0</v>
      </c>
      <c r="Z867" s="58" t="s">
        <v>239</v>
      </c>
      <c r="CH867" s="58" t="s">
        <v>8898</v>
      </c>
      <c r="CI867" s="73">
        <v>44441.0</v>
      </c>
      <c r="CJ867" s="58">
        <v>328.0</v>
      </c>
      <c r="CK867" s="58">
        <v>332.0</v>
      </c>
      <c r="CL867" s="58" t="s">
        <v>8899</v>
      </c>
      <c r="CM867" s="58" t="s">
        <v>7786</v>
      </c>
      <c r="CO867" s="58" t="s">
        <v>8900</v>
      </c>
      <c r="CP867" s="58" t="s">
        <v>8901</v>
      </c>
      <c r="CR867" s="58">
        <v>1.0</v>
      </c>
      <c r="CT867" s="58">
        <v>14.0</v>
      </c>
      <c r="CU867" s="58" t="s">
        <v>239</v>
      </c>
      <c r="DL867" s="58" t="s">
        <v>8902</v>
      </c>
    </row>
    <row r="868" ht="15.75" customHeight="1">
      <c r="B868" s="58" t="s">
        <v>4587</v>
      </c>
      <c r="C868" s="58">
        <v>2020.0</v>
      </c>
      <c r="D868" s="58" t="s">
        <v>8903</v>
      </c>
      <c r="E868" s="58" t="s">
        <v>8904</v>
      </c>
      <c r="F868" s="58" t="s">
        <v>8905</v>
      </c>
      <c r="I868" s="58" t="s">
        <v>8906</v>
      </c>
      <c r="K868" s="73">
        <v>44242.0</v>
      </c>
      <c r="Z868" s="58" t="s">
        <v>239</v>
      </c>
      <c r="CH868" s="58" t="s">
        <v>8907</v>
      </c>
      <c r="CI868" s="73">
        <v>44242.0</v>
      </c>
      <c r="CJ868" s="58">
        <v>2966.0</v>
      </c>
      <c r="CK868" s="58">
        <v>2970.0</v>
      </c>
      <c r="CL868" s="58" t="s">
        <v>8908</v>
      </c>
      <c r="CM868" s="58" t="s">
        <v>8909</v>
      </c>
      <c r="CO868" s="58" t="s">
        <v>8910</v>
      </c>
      <c r="CP868" s="58" t="s">
        <v>8911</v>
      </c>
      <c r="CR868" s="58">
        <v>1.0</v>
      </c>
      <c r="CT868" s="58">
        <v>12.0</v>
      </c>
      <c r="CU868" s="58" t="s">
        <v>239</v>
      </c>
      <c r="DL868" s="58" t="s">
        <v>8912</v>
      </c>
    </row>
    <row r="869" ht="15.75" customHeight="1">
      <c r="B869" s="58" t="s">
        <v>4587</v>
      </c>
      <c r="C869" s="58">
        <v>2020.0</v>
      </c>
      <c r="D869" s="58" t="s">
        <v>8913</v>
      </c>
      <c r="E869" s="58" t="s">
        <v>8914</v>
      </c>
      <c r="F869" s="58" t="s">
        <v>8905</v>
      </c>
      <c r="I869" s="58" t="s">
        <v>8915</v>
      </c>
      <c r="K869" s="73">
        <v>44242.0</v>
      </c>
      <c r="Z869" s="58" t="s">
        <v>239</v>
      </c>
      <c r="CH869" s="58" t="s">
        <v>8916</v>
      </c>
      <c r="CI869" s="73">
        <v>44242.0</v>
      </c>
      <c r="CJ869" s="58">
        <v>4288.0</v>
      </c>
      <c r="CK869" s="58">
        <v>4293.0</v>
      </c>
      <c r="CL869" s="58" t="s">
        <v>8917</v>
      </c>
      <c r="CM869" s="58" t="s">
        <v>8909</v>
      </c>
      <c r="CO869" s="58" t="s">
        <v>8918</v>
      </c>
      <c r="CP869" s="58" t="s">
        <v>8919</v>
      </c>
      <c r="CR869" s="58">
        <v>1.0</v>
      </c>
      <c r="CT869" s="58">
        <v>10.0</v>
      </c>
      <c r="CU869" s="58" t="s">
        <v>239</v>
      </c>
      <c r="DL869" s="58" t="s">
        <v>8920</v>
      </c>
    </row>
    <row r="870" ht="15.75" customHeight="1">
      <c r="B870" s="58" t="s">
        <v>4587</v>
      </c>
      <c r="C870" s="58">
        <v>2016.0</v>
      </c>
      <c r="D870" s="58" t="s">
        <v>8921</v>
      </c>
      <c r="E870" s="58" t="s">
        <v>8922</v>
      </c>
      <c r="F870" s="58" t="s">
        <v>8923</v>
      </c>
      <c r="H870" s="58" t="s">
        <v>8924</v>
      </c>
      <c r="I870" s="58" t="s">
        <v>8925</v>
      </c>
      <c r="K870" s="73">
        <v>42744.0</v>
      </c>
      <c r="Z870" s="58" t="s">
        <v>239</v>
      </c>
      <c r="CH870" s="58" t="s">
        <v>8926</v>
      </c>
      <c r="CI870" s="73">
        <v>42744.0</v>
      </c>
      <c r="CJ870" s="58">
        <v>1.0</v>
      </c>
      <c r="CK870" s="58">
        <v>8.0</v>
      </c>
      <c r="CL870" s="58" t="s">
        <v>8927</v>
      </c>
      <c r="CM870" s="58" t="s">
        <v>8928</v>
      </c>
      <c r="CO870" s="58" t="s">
        <v>8929</v>
      </c>
      <c r="CR870" s="58">
        <v>1.0</v>
      </c>
      <c r="CT870" s="58">
        <v>14.0</v>
      </c>
      <c r="CU870" s="58" t="s">
        <v>239</v>
      </c>
      <c r="DL870" s="58" t="s">
        <v>8930</v>
      </c>
    </row>
    <row r="871" ht="15.75" customHeight="1">
      <c r="B871" s="58" t="s">
        <v>4587</v>
      </c>
      <c r="C871" s="58">
        <v>2022.0</v>
      </c>
      <c r="D871" s="58" t="s">
        <v>8931</v>
      </c>
      <c r="E871" s="58" t="s">
        <v>8932</v>
      </c>
      <c r="F871" s="58" t="s">
        <v>8933</v>
      </c>
      <c r="I871" s="58" t="s">
        <v>8934</v>
      </c>
      <c r="K871" s="73">
        <v>44859.0</v>
      </c>
      <c r="Z871" s="58" t="s">
        <v>239</v>
      </c>
      <c r="CH871" s="58" t="s">
        <v>8935</v>
      </c>
      <c r="CI871" s="73">
        <v>44859.0</v>
      </c>
      <c r="CJ871" s="58">
        <v>1.0</v>
      </c>
      <c r="CK871" s="58">
        <v>8.0</v>
      </c>
      <c r="CL871" s="58" t="s">
        <v>8936</v>
      </c>
      <c r="CM871" s="58" t="s">
        <v>8937</v>
      </c>
      <c r="CO871" s="58" t="s">
        <v>8938</v>
      </c>
      <c r="CP871" s="58" t="s">
        <v>8939</v>
      </c>
      <c r="CR871" s="58">
        <v>1.0</v>
      </c>
      <c r="CT871" s="58">
        <v>27.0</v>
      </c>
      <c r="CU871" s="58" t="s">
        <v>239</v>
      </c>
      <c r="DL871" s="58" t="s">
        <v>8940</v>
      </c>
    </row>
    <row r="872" ht="15.75" customHeight="1">
      <c r="B872" s="58" t="s">
        <v>4587</v>
      </c>
      <c r="C872" s="58">
        <v>2021.0</v>
      </c>
      <c r="D872" s="58" t="s">
        <v>8941</v>
      </c>
      <c r="E872" s="58" t="s">
        <v>8942</v>
      </c>
      <c r="F872" s="58" t="s">
        <v>8943</v>
      </c>
      <c r="I872" s="58" t="s">
        <v>8944</v>
      </c>
      <c r="K872" s="73">
        <v>44644.0</v>
      </c>
      <c r="Z872" s="58" t="s">
        <v>239</v>
      </c>
      <c r="CH872" s="58" t="s">
        <v>8945</v>
      </c>
      <c r="CI872" s="73">
        <v>44644.0</v>
      </c>
      <c r="CJ872" s="58">
        <v>2432.0</v>
      </c>
      <c r="CK872" s="58">
        <v>2437.0</v>
      </c>
      <c r="CL872" s="58" t="s">
        <v>8946</v>
      </c>
      <c r="CM872" s="58" t="s">
        <v>8947</v>
      </c>
      <c r="CO872" s="58" t="s">
        <v>8948</v>
      </c>
      <c r="CP872" s="58" t="s">
        <v>8949</v>
      </c>
      <c r="CR872" s="58">
        <v>1.0</v>
      </c>
      <c r="CT872" s="58">
        <v>6.0</v>
      </c>
      <c r="CU872" s="58" t="s">
        <v>239</v>
      </c>
      <c r="DL872" s="58" t="s">
        <v>8950</v>
      </c>
    </row>
    <row r="873" ht="15.75" customHeight="1">
      <c r="B873" s="58" t="s">
        <v>4587</v>
      </c>
      <c r="C873" s="58">
        <v>2020.0</v>
      </c>
      <c r="D873" s="58" t="s">
        <v>8951</v>
      </c>
      <c r="E873" s="58" t="s">
        <v>8952</v>
      </c>
      <c r="F873" s="58" t="s">
        <v>8953</v>
      </c>
      <c r="I873" s="58" t="s">
        <v>8954</v>
      </c>
      <c r="K873" s="73">
        <v>44186.0</v>
      </c>
      <c r="Z873" s="58" t="s">
        <v>239</v>
      </c>
      <c r="CH873" s="58" t="s">
        <v>8955</v>
      </c>
      <c r="CI873" s="73">
        <v>44186.0</v>
      </c>
      <c r="CJ873" s="58">
        <v>143.0</v>
      </c>
      <c r="CK873" s="58">
        <v>148.0</v>
      </c>
      <c r="CL873" s="58" t="s">
        <v>8956</v>
      </c>
      <c r="CM873" s="58" t="s">
        <v>8957</v>
      </c>
      <c r="CO873" s="58" t="s">
        <v>8958</v>
      </c>
      <c r="CP873" s="58" t="s">
        <v>8959</v>
      </c>
      <c r="CR873" s="58">
        <v>1.0</v>
      </c>
      <c r="CT873" s="58">
        <v>15.0</v>
      </c>
      <c r="CU873" s="58" t="s">
        <v>239</v>
      </c>
      <c r="DL873" s="58" t="s">
        <v>8960</v>
      </c>
    </row>
    <row r="874" ht="15.75" customHeight="1">
      <c r="B874" s="58" t="s">
        <v>4587</v>
      </c>
      <c r="C874" s="58">
        <v>2022.0</v>
      </c>
      <c r="D874" s="58" t="s">
        <v>8961</v>
      </c>
      <c r="E874" s="58" t="s">
        <v>8962</v>
      </c>
      <c r="F874" s="58" t="s">
        <v>8963</v>
      </c>
      <c r="H874" s="58" t="s">
        <v>8964</v>
      </c>
      <c r="I874" s="58" t="s">
        <v>8965</v>
      </c>
      <c r="K874" s="73">
        <v>44970.0</v>
      </c>
      <c r="Z874" s="58" t="s">
        <v>239</v>
      </c>
      <c r="CH874" s="58" t="s">
        <v>8966</v>
      </c>
      <c r="CI874" s="73">
        <v>44970.0</v>
      </c>
      <c r="CJ874" s="58">
        <v>133.0</v>
      </c>
      <c r="CK874" s="58">
        <v>138.0</v>
      </c>
      <c r="CL874" s="58" t="s">
        <v>8967</v>
      </c>
      <c r="CM874" s="58" t="s">
        <v>8968</v>
      </c>
      <c r="CO874" s="58" t="s">
        <v>8969</v>
      </c>
      <c r="CP874" s="58" t="s">
        <v>8970</v>
      </c>
      <c r="CR874" s="58">
        <v>1.0</v>
      </c>
      <c r="CT874" s="58">
        <v>9.0</v>
      </c>
      <c r="CU874" s="58" t="s">
        <v>239</v>
      </c>
      <c r="DL874" s="58" t="s">
        <v>8971</v>
      </c>
    </row>
    <row r="875" ht="15.75" customHeight="1">
      <c r="B875" s="58" t="s">
        <v>4587</v>
      </c>
      <c r="C875" s="58">
        <v>2022.0</v>
      </c>
      <c r="D875" s="58" t="s">
        <v>8972</v>
      </c>
      <c r="E875" s="58" t="s">
        <v>8973</v>
      </c>
      <c r="F875" s="58" t="s">
        <v>8974</v>
      </c>
      <c r="I875" s="58" t="s">
        <v>8975</v>
      </c>
      <c r="K875" s="73">
        <v>44928.0</v>
      </c>
      <c r="Z875" s="58" t="s">
        <v>239</v>
      </c>
      <c r="CH875" s="58" t="s">
        <v>8976</v>
      </c>
      <c r="CI875" s="73">
        <v>44928.0</v>
      </c>
      <c r="CJ875" s="58">
        <v>1.0</v>
      </c>
      <c r="CK875" s="58">
        <v>7.0</v>
      </c>
      <c r="CL875" s="58" t="s">
        <v>8977</v>
      </c>
      <c r="CM875" s="58" t="s">
        <v>8978</v>
      </c>
      <c r="CO875" s="58" t="s">
        <v>8979</v>
      </c>
      <c r="CP875" s="58" t="s">
        <v>8980</v>
      </c>
      <c r="CR875" s="58">
        <v>1.0</v>
      </c>
      <c r="CT875" s="58">
        <v>16.0</v>
      </c>
      <c r="DL875" s="58" t="s">
        <v>8981</v>
      </c>
    </row>
    <row r="876" ht="15.75" customHeight="1">
      <c r="B876" s="58" t="s">
        <v>4587</v>
      </c>
      <c r="C876" s="58">
        <v>2021.0</v>
      </c>
      <c r="D876" s="58" t="s">
        <v>8982</v>
      </c>
      <c r="E876" s="58" t="s">
        <v>8983</v>
      </c>
      <c r="F876" s="58" t="s">
        <v>8984</v>
      </c>
      <c r="I876" s="58" t="s">
        <v>8985</v>
      </c>
      <c r="K876" s="73">
        <v>44652.0</v>
      </c>
      <c r="Z876" s="58" t="s">
        <v>239</v>
      </c>
      <c r="CH876" s="58" t="s">
        <v>8986</v>
      </c>
      <c r="CI876" s="73">
        <v>44652.0</v>
      </c>
      <c r="CJ876" s="58">
        <v>273.0</v>
      </c>
      <c r="CK876" s="58">
        <v>278.0</v>
      </c>
      <c r="CL876" s="58" t="s">
        <v>8987</v>
      </c>
      <c r="CM876" s="58" t="s">
        <v>8988</v>
      </c>
      <c r="CO876" s="58" t="s">
        <v>8989</v>
      </c>
      <c r="CP876" s="58" t="s">
        <v>8990</v>
      </c>
      <c r="CR876" s="58">
        <v>1.0</v>
      </c>
      <c r="CT876" s="58">
        <v>11.0</v>
      </c>
      <c r="CU876" s="58" t="s">
        <v>239</v>
      </c>
      <c r="DL876" s="58" t="s">
        <v>8991</v>
      </c>
    </row>
    <row r="877" ht="15.75" customHeight="1">
      <c r="B877" s="58" t="s">
        <v>4587</v>
      </c>
      <c r="C877" s="58">
        <v>2022.0</v>
      </c>
      <c r="D877" s="58" t="s">
        <v>8992</v>
      </c>
      <c r="E877" s="58" t="s">
        <v>8993</v>
      </c>
      <c r="F877" s="58" t="s">
        <v>8994</v>
      </c>
      <c r="H877" s="58" t="s">
        <v>8995</v>
      </c>
      <c r="I877" s="58" t="s">
        <v>8996</v>
      </c>
      <c r="K877" s="73">
        <v>44966.0</v>
      </c>
      <c r="Z877" s="58" t="s">
        <v>239</v>
      </c>
      <c r="CH877" s="58" t="s">
        <v>8997</v>
      </c>
      <c r="CI877" s="73">
        <v>44966.0</v>
      </c>
      <c r="CJ877" s="58">
        <v>1.0</v>
      </c>
      <c r="CK877" s="58">
        <v>4.0</v>
      </c>
      <c r="CL877" s="58" t="s">
        <v>8998</v>
      </c>
      <c r="CM877" s="58" t="s">
        <v>8999</v>
      </c>
      <c r="CO877" s="58" t="s">
        <v>9000</v>
      </c>
      <c r="CP877" s="58" t="s">
        <v>9001</v>
      </c>
      <c r="CR877" s="58">
        <v>1.0</v>
      </c>
      <c r="CT877" s="58">
        <v>11.0</v>
      </c>
      <c r="CU877" s="58" t="s">
        <v>239</v>
      </c>
      <c r="DL877" s="58" t="s">
        <v>9002</v>
      </c>
    </row>
    <row r="878" ht="15.75" customHeight="1">
      <c r="B878" s="58" t="s">
        <v>4587</v>
      </c>
      <c r="C878" s="58">
        <v>2021.0</v>
      </c>
      <c r="D878" s="58" t="s">
        <v>9003</v>
      </c>
      <c r="E878" s="58" t="s">
        <v>9004</v>
      </c>
      <c r="F878" s="58" t="s">
        <v>5191</v>
      </c>
      <c r="I878" s="58" t="s">
        <v>9005</v>
      </c>
      <c r="K878" s="73">
        <v>44410.0</v>
      </c>
      <c r="Z878" s="58" t="s">
        <v>239</v>
      </c>
      <c r="CH878" s="58" t="s">
        <v>9006</v>
      </c>
      <c r="CI878" s="73">
        <v>44410.0</v>
      </c>
      <c r="CJ878" s="58">
        <v>642.0</v>
      </c>
      <c r="CK878" s="58">
        <v>648.0</v>
      </c>
      <c r="CL878" s="58" t="s">
        <v>9007</v>
      </c>
      <c r="CM878" s="58" t="s">
        <v>5195</v>
      </c>
      <c r="CO878" s="58" t="s">
        <v>9008</v>
      </c>
      <c r="CP878" s="58" t="s">
        <v>9009</v>
      </c>
      <c r="CR878" s="58">
        <v>1.0</v>
      </c>
      <c r="CT878" s="58">
        <v>14.0</v>
      </c>
      <c r="CU878" s="58" t="s">
        <v>239</v>
      </c>
      <c r="DL878" s="58" t="s">
        <v>9010</v>
      </c>
    </row>
    <row r="879" ht="15.75" customHeight="1">
      <c r="B879" s="58" t="s">
        <v>4587</v>
      </c>
      <c r="C879" s="58">
        <v>2020.0</v>
      </c>
      <c r="D879" s="58" t="s">
        <v>9011</v>
      </c>
      <c r="E879" s="58" t="s">
        <v>9012</v>
      </c>
      <c r="F879" s="58" t="s">
        <v>9013</v>
      </c>
      <c r="I879" s="58" t="s">
        <v>9014</v>
      </c>
      <c r="K879" s="73">
        <v>44421.0</v>
      </c>
      <c r="Z879" s="58" t="s">
        <v>239</v>
      </c>
      <c r="CH879" s="58" t="s">
        <v>9015</v>
      </c>
      <c r="CI879" s="73">
        <v>44421.0</v>
      </c>
      <c r="CJ879" s="58">
        <v>1.0</v>
      </c>
      <c r="CK879" s="58">
        <v>7.0</v>
      </c>
      <c r="CL879" s="58" t="s">
        <v>9016</v>
      </c>
      <c r="CM879" s="58" t="s">
        <v>9017</v>
      </c>
      <c r="CO879" s="58" t="s">
        <v>9018</v>
      </c>
      <c r="CP879" s="58" t="s">
        <v>9019</v>
      </c>
      <c r="CR879" s="58">
        <v>1.0</v>
      </c>
      <c r="CT879" s="58">
        <v>27.0</v>
      </c>
      <c r="CU879" s="58" t="s">
        <v>239</v>
      </c>
      <c r="DL879" s="58" t="s">
        <v>9020</v>
      </c>
    </row>
    <row r="880" ht="15.75" customHeight="1">
      <c r="B880" s="58" t="s">
        <v>4587</v>
      </c>
      <c r="C880" s="58">
        <v>2021.0</v>
      </c>
      <c r="D880" s="58" t="s">
        <v>9021</v>
      </c>
      <c r="E880" s="58" t="s">
        <v>9022</v>
      </c>
      <c r="F880" s="58" t="s">
        <v>9023</v>
      </c>
      <c r="H880" s="58" t="s">
        <v>9024</v>
      </c>
      <c r="I880" s="58" t="s">
        <v>9025</v>
      </c>
      <c r="K880" s="73">
        <v>44587.0</v>
      </c>
      <c r="Z880" s="58" t="s">
        <v>239</v>
      </c>
      <c r="CH880" s="58" t="s">
        <v>9026</v>
      </c>
      <c r="CI880" s="73">
        <v>44587.0</v>
      </c>
      <c r="CJ880" s="58">
        <v>745.0</v>
      </c>
      <c r="CK880" s="58">
        <v>749.0</v>
      </c>
      <c r="CL880" s="58" t="s">
        <v>9027</v>
      </c>
      <c r="CM880" s="58" t="s">
        <v>9028</v>
      </c>
      <c r="CO880" s="58" t="s">
        <v>9029</v>
      </c>
      <c r="CP880" s="58" t="s">
        <v>9030</v>
      </c>
      <c r="CR880" s="58">
        <v>1.0</v>
      </c>
      <c r="CT880" s="58">
        <v>15.0</v>
      </c>
      <c r="CU880" s="58" t="s">
        <v>239</v>
      </c>
      <c r="DL880" s="58" t="s">
        <v>9031</v>
      </c>
    </row>
    <row r="881" ht="15.75" customHeight="1">
      <c r="B881" s="58" t="s">
        <v>4587</v>
      </c>
      <c r="C881" s="58">
        <v>2022.0</v>
      </c>
      <c r="D881" s="58" t="s">
        <v>9032</v>
      </c>
      <c r="E881" s="58" t="s">
        <v>9033</v>
      </c>
      <c r="F881" s="58" t="s">
        <v>7324</v>
      </c>
      <c r="H881" s="58" t="s">
        <v>5003</v>
      </c>
      <c r="I881" s="58" t="s">
        <v>9034</v>
      </c>
      <c r="K881" s="73">
        <v>44937.0</v>
      </c>
      <c r="Z881" s="58" t="s">
        <v>239</v>
      </c>
      <c r="CH881" s="58" t="s">
        <v>9035</v>
      </c>
      <c r="CI881" s="73">
        <v>44937.0</v>
      </c>
      <c r="CJ881" s="58">
        <v>4413.0</v>
      </c>
      <c r="CK881" s="58">
        <v>4418.0</v>
      </c>
      <c r="CL881" s="58" t="s">
        <v>9036</v>
      </c>
      <c r="CM881" s="58" t="s">
        <v>7328</v>
      </c>
      <c r="CN881" s="58" t="s">
        <v>9037</v>
      </c>
      <c r="CO881" s="58" t="s">
        <v>9038</v>
      </c>
      <c r="CR881" s="58">
        <v>1.0</v>
      </c>
      <c r="CT881" s="58">
        <v>22.0</v>
      </c>
      <c r="CU881" s="58" t="s">
        <v>239</v>
      </c>
      <c r="DL881" s="58" t="s">
        <v>9039</v>
      </c>
    </row>
    <row r="882" ht="15.75" customHeight="1">
      <c r="B882" s="58" t="s">
        <v>4587</v>
      </c>
      <c r="C882" s="58">
        <v>2017.0</v>
      </c>
      <c r="D882" s="58" t="s">
        <v>9040</v>
      </c>
      <c r="E882" s="58" t="s">
        <v>9041</v>
      </c>
      <c r="F882" s="58" t="s">
        <v>9042</v>
      </c>
      <c r="I882" s="58" t="s">
        <v>9043</v>
      </c>
      <c r="K882" s="73">
        <v>43087.0</v>
      </c>
      <c r="Z882" s="58" t="s">
        <v>239</v>
      </c>
      <c r="CH882" s="58" t="s">
        <v>9044</v>
      </c>
      <c r="CI882" s="73">
        <v>43087.0</v>
      </c>
      <c r="CJ882" s="58">
        <v>1.0</v>
      </c>
      <c r="CK882" s="58">
        <v>6.0</v>
      </c>
      <c r="CL882" s="58" t="s">
        <v>9045</v>
      </c>
      <c r="CM882" s="58" t="s">
        <v>9046</v>
      </c>
      <c r="CO882" s="58" t="s">
        <v>9047</v>
      </c>
      <c r="CP882" s="58" t="s">
        <v>9048</v>
      </c>
      <c r="CR882" s="58">
        <v>1.0</v>
      </c>
      <c r="CT882" s="58">
        <v>23.0</v>
      </c>
      <c r="CU882" s="58" t="s">
        <v>239</v>
      </c>
      <c r="DL882" s="58" t="s">
        <v>9049</v>
      </c>
    </row>
    <row r="883" ht="15.75" customHeight="1">
      <c r="B883" s="58" t="s">
        <v>4587</v>
      </c>
      <c r="C883" s="58">
        <v>2020.0</v>
      </c>
      <c r="D883" s="58" t="s">
        <v>9050</v>
      </c>
      <c r="E883" s="58" t="s">
        <v>9051</v>
      </c>
      <c r="F883" s="58" t="s">
        <v>9052</v>
      </c>
      <c r="I883" s="58" t="s">
        <v>9053</v>
      </c>
      <c r="K883" s="73">
        <v>44558.0</v>
      </c>
      <c r="Z883" s="58" t="s">
        <v>239</v>
      </c>
      <c r="CH883" s="58" t="s">
        <v>9054</v>
      </c>
      <c r="CI883" s="73">
        <v>44558.0</v>
      </c>
      <c r="CJ883" s="58">
        <v>1.0</v>
      </c>
      <c r="CK883" s="58">
        <v>5.0</v>
      </c>
      <c r="CL883" s="58" t="s">
        <v>9055</v>
      </c>
      <c r="CM883" s="58" t="s">
        <v>9056</v>
      </c>
      <c r="CO883" s="58" t="s">
        <v>9057</v>
      </c>
      <c r="CP883" s="58" t="s">
        <v>9058</v>
      </c>
      <c r="CR883" s="58">
        <v>1.0</v>
      </c>
      <c r="CT883" s="58">
        <v>24.0</v>
      </c>
      <c r="CU883" s="58" t="s">
        <v>239</v>
      </c>
      <c r="DL883" s="58" t="s">
        <v>9059</v>
      </c>
    </row>
    <row r="884" ht="15.75" customHeight="1">
      <c r="B884" s="58" t="s">
        <v>4587</v>
      </c>
      <c r="C884" s="58">
        <v>2022.0</v>
      </c>
      <c r="D884" s="58" t="s">
        <v>9060</v>
      </c>
      <c r="E884" s="58" t="s">
        <v>9061</v>
      </c>
      <c r="F884" s="58" t="s">
        <v>9062</v>
      </c>
      <c r="H884" s="58" t="s">
        <v>9063</v>
      </c>
      <c r="I884" s="58" t="s">
        <v>9064</v>
      </c>
      <c r="K884" s="73">
        <v>45163.0</v>
      </c>
      <c r="Z884" s="58" t="s">
        <v>239</v>
      </c>
      <c r="CH884" s="58" t="s">
        <v>9065</v>
      </c>
      <c r="CI884" s="73">
        <v>45163.0</v>
      </c>
      <c r="CJ884" s="58">
        <v>1229.0</v>
      </c>
      <c r="CK884" s="58">
        <v>1232.0</v>
      </c>
      <c r="CL884" s="58" t="s">
        <v>9066</v>
      </c>
      <c r="CM884" s="58" t="s">
        <v>9067</v>
      </c>
      <c r="CO884" s="58" t="s">
        <v>9068</v>
      </c>
      <c r="CP884" s="58" t="s">
        <v>9069</v>
      </c>
      <c r="CR884" s="58">
        <v>1.0</v>
      </c>
      <c r="CT884" s="58">
        <v>11.0</v>
      </c>
      <c r="CU884" s="58" t="s">
        <v>239</v>
      </c>
      <c r="DL884" s="58" t="s">
        <v>9070</v>
      </c>
    </row>
    <row r="885" ht="15.75" customHeight="1">
      <c r="B885" s="58" t="s">
        <v>4587</v>
      </c>
      <c r="C885" s="58">
        <v>2020.0</v>
      </c>
      <c r="D885" s="58" t="s">
        <v>9071</v>
      </c>
      <c r="E885" s="58" t="s">
        <v>9072</v>
      </c>
      <c r="F885" s="58" t="s">
        <v>9073</v>
      </c>
      <c r="H885" s="58" t="s">
        <v>9074</v>
      </c>
      <c r="I885" s="58" t="s">
        <v>9075</v>
      </c>
      <c r="K885" s="73">
        <v>44202.0</v>
      </c>
      <c r="Z885" s="58" t="s">
        <v>239</v>
      </c>
      <c r="CH885" s="58" t="s">
        <v>9076</v>
      </c>
      <c r="CI885" s="73">
        <v>44202.0</v>
      </c>
      <c r="CJ885" s="58">
        <v>319.0</v>
      </c>
      <c r="CK885" s="58">
        <v>322.0</v>
      </c>
      <c r="CL885" s="58" t="s">
        <v>9077</v>
      </c>
      <c r="CM885" s="58" t="s">
        <v>9078</v>
      </c>
      <c r="CN885" s="58" t="s">
        <v>9079</v>
      </c>
      <c r="CO885" s="58" t="s">
        <v>9080</v>
      </c>
      <c r="CP885" s="58" t="s">
        <v>9081</v>
      </c>
      <c r="CR885" s="58">
        <v>1.0</v>
      </c>
      <c r="CT885" s="58">
        <v>19.0</v>
      </c>
      <c r="CU885" s="58" t="s">
        <v>239</v>
      </c>
      <c r="DL885" s="58" t="s">
        <v>9082</v>
      </c>
    </row>
    <row r="886" ht="15.75" customHeight="1">
      <c r="B886" s="58" t="s">
        <v>4587</v>
      </c>
      <c r="C886" s="58">
        <v>2020.0</v>
      </c>
      <c r="D886" s="58" t="s">
        <v>9083</v>
      </c>
      <c r="E886" s="58" t="s">
        <v>9084</v>
      </c>
      <c r="F886" s="58" t="s">
        <v>9085</v>
      </c>
      <c r="I886" s="58" t="s">
        <v>9086</v>
      </c>
      <c r="K886" s="73">
        <v>44162.0</v>
      </c>
      <c r="Z886" s="58" t="s">
        <v>239</v>
      </c>
      <c r="CH886" s="58" t="s">
        <v>9087</v>
      </c>
      <c r="CI886" s="73">
        <v>44162.0</v>
      </c>
      <c r="CJ886" s="58">
        <v>41.0</v>
      </c>
      <c r="CK886" s="58">
        <v>48.0</v>
      </c>
      <c r="CL886" s="58" t="s">
        <v>9088</v>
      </c>
      <c r="CM886" s="58" t="s">
        <v>9089</v>
      </c>
      <c r="CO886" s="58" t="s">
        <v>9090</v>
      </c>
      <c r="CP886" s="58" t="s">
        <v>9091</v>
      </c>
      <c r="CR886" s="58">
        <v>1.0</v>
      </c>
      <c r="CT886" s="58">
        <v>16.0</v>
      </c>
      <c r="CU886" s="58" t="s">
        <v>239</v>
      </c>
      <c r="DL886" s="58" t="s">
        <v>9092</v>
      </c>
    </row>
    <row r="887" ht="15.75" customHeight="1">
      <c r="B887" s="58" t="s">
        <v>4587</v>
      </c>
      <c r="C887" s="58">
        <v>2022.0</v>
      </c>
      <c r="D887" s="58" t="s">
        <v>9093</v>
      </c>
      <c r="E887" s="58" t="s">
        <v>9094</v>
      </c>
      <c r="F887" s="58" t="s">
        <v>9095</v>
      </c>
      <c r="H887" s="58" t="s">
        <v>9096</v>
      </c>
      <c r="I887" s="58" t="s">
        <v>9097</v>
      </c>
      <c r="K887" s="73">
        <v>44897.0</v>
      </c>
      <c r="Z887" s="58" t="s">
        <v>239</v>
      </c>
      <c r="CH887" s="58" t="s">
        <v>9098</v>
      </c>
      <c r="CI887" s="73">
        <v>44897.0</v>
      </c>
      <c r="CJ887" s="58">
        <v>1.0</v>
      </c>
      <c r="CK887" s="58">
        <v>4.0</v>
      </c>
      <c r="CL887" s="58" t="s">
        <v>9099</v>
      </c>
      <c r="CM887" s="58" t="s">
        <v>9100</v>
      </c>
      <c r="CO887" s="58" t="s">
        <v>9101</v>
      </c>
      <c r="CR887" s="58">
        <v>1.0</v>
      </c>
      <c r="CT887" s="58">
        <v>7.0</v>
      </c>
      <c r="CU887" s="58" t="s">
        <v>239</v>
      </c>
      <c r="DL887" s="58" t="s">
        <v>9102</v>
      </c>
    </row>
    <row r="888" ht="15.75" customHeight="1">
      <c r="B888" s="58" t="s">
        <v>4587</v>
      </c>
      <c r="C888" s="58">
        <v>2021.0</v>
      </c>
      <c r="D888" s="58" t="s">
        <v>9103</v>
      </c>
      <c r="E888" s="58" t="s">
        <v>9104</v>
      </c>
      <c r="F888" s="58" t="s">
        <v>8788</v>
      </c>
      <c r="H888" s="58" t="s">
        <v>8672</v>
      </c>
      <c r="I888" s="58" t="s">
        <v>9105</v>
      </c>
      <c r="K888" s="73">
        <v>44477.0</v>
      </c>
      <c r="Z888" s="58" t="s">
        <v>239</v>
      </c>
      <c r="CH888" s="58" t="s">
        <v>9106</v>
      </c>
      <c r="CI888" s="73">
        <v>44477.0</v>
      </c>
      <c r="CJ888" s="58">
        <v>352.0</v>
      </c>
      <c r="CK888" s="58">
        <v>356.0</v>
      </c>
      <c r="CL888" s="58" t="s">
        <v>9107</v>
      </c>
      <c r="CM888" s="58" t="s">
        <v>8792</v>
      </c>
      <c r="CN888" s="58" t="s">
        <v>9108</v>
      </c>
      <c r="CO888" s="58" t="s">
        <v>9109</v>
      </c>
      <c r="CP888" s="58" t="s">
        <v>9110</v>
      </c>
      <c r="CR888" s="58">
        <v>1.0</v>
      </c>
      <c r="CT888" s="58">
        <v>6.0</v>
      </c>
      <c r="CU888" s="58" t="s">
        <v>239</v>
      </c>
      <c r="DL888" s="58" t="s">
        <v>9111</v>
      </c>
    </row>
    <row r="889" ht="15.75" customHeight="1">
      <c r="B889" s="58" t="s">
        <v>4587</v>
      </c>
      <c r="C889" s="58">
        <v>2022.0</v>
      </c>
      <c r="D889" s="58" t="s">
        <v>9112</v>
      </c>
      <c r="E889" s="58" t="s">
        <v>9113</v>
      </c>
      <c r="F889" s="58" t="s">
        <v>9114</v>
      </c>
      <c r="H889" s="58" t="s">
        <v>6606</v>
      </c>
      <c r="I889" s="58" t="s">
        <v>9115</v>
      </c>
      <c r="K889" s="73">
        <v>44860.0</v>
      </c>
      <c r="Z889" s="58" t="s">
        <v>239</v>
      </c>
      <c r="CH889" s="58" t="s">
        <v>9116</v>
      </c>
      <c r="CI889" s="73">
        <v>44860.0</v>
      </c>
      <c r="CJ889" s="58">
        <v>1.0</v>
      </c>
      <c r="CK889" s="58">
        <v>4.0</v>
      </c>
      <c r="CL889" s="58" t="s">
        <v>9117</v>
      </c>
      <c r="CM889" s="58" t="s">
        <v>9118</v>
      </c>
      <c r="CO889" s="58" t="s">
        <v>9119</v>
      </c>
      <c r="CP889" s="58" t="s">
        <v>9120</v>
      </c>
      <c r="CR889" s="58">
        <v>1.0</v>
      </c>
      <c r="CT889" s="58">
        <v>10.0</v>
      </c>
      <c r="CU889" s="58" t="s">
        <v>239</v>
      </c>
      <c r="DL889" s="58" t="s">
        <v>9121</v>
      </c>
    </row>
    <row r="890" ht="15.75" customHeight="1">
      <c r="B890" s="58" t="s">
        <v>4587</v>
      </c>
      <c r="C890" s="58">
        <v>2018.0</v>
      </c>
      <c r="D890" s="58" t="s">
        <v>9122</v>
      </c>
      <c r="E890" s="58" t="s">
        <v>9123</v>
      </c>
      <c r="F890" s="58" t="s">
        <v>9124</v>
      </c>
      <c r="I890" s="58" t="s">
        <v>9125</v>
      </c>
      <c r="K890" s="73">
        <v>43269.0</v>
      </c>
      <c r="Z890" s="58" t="s">
        <v>239</v>
      </c>
      <c r="CH890" s="58" t="s">
        <v>9126</v>
      </c>
      <c r="CI890" s="73">
        <v>43269.0</v>
      </c>
      <c r="CJ890" s="58">
        <v>600.0</v>
      </c>
      <c r="CK890" s="58">
        <v>607.0</v>
      </c>
      <c r="CL890" s="58" t="s">
        <v>9127</v>
      </c>
      <c r="CM890" s="58" t="s">
        <v>9128</v>
      </c>
      <c r="CO890" s="58" t="s">
        <v>9129</v>
      </c>
      <c r="CP890" s="58" t="s">
        <v>9130</v>
      </c>
      <c r="CR890" s="58">
        <v>1.0</v>
      </c>
      <c r="CT890" s="58">
        <v>22.0</v>
      </c>
      <c r="CU890" s="58" t="s">
        <v>239</v>
      </c>
      <c r="DL890" s="58" t="s">
        <v>9131</v>
      </c>
    </row>
    <row r="891" ht="15.75" customHeight="1">
      <c r="B891" s="58" t="s">
        <v>4587</v>
      </c>
      <c r="C891" s="58">
        <v>2022.0</v>
      </c>
      <c r="D891" s="58" t="s">
        <v>9132</v>
      </c>
      <c r="E891" s="58" t="s">
        <v>9133</v>
      </c>
      <c r="F891" s="58" t="s">
        <v>9134</v>
      </c>
      <c r="I891" s="58" t="s">
        <v>9135</v>
      </c>
      <c r="K891" s="73">
        <v>44971.0</v>
      </c>
      <c r="Z891" s="58" t="s">
        <v>239</v>
      </c>
      <c r="CH891" s="58" t="s">
        <v>9136</v>
      </c>
      <c r="CI891" s="73">
        <v>44971.0</v>
      </c>
      <c r="CJ891" s="58">
        <v>302.0</v>
      </c>
      <c r="CK891" s="58">
        <v>306.0</v>
      </c>
      <c r="CL891" s="58" t="s">
        <v>9137</v>
      </c>
      <c r="CM891" s="58" t="s">
        <v>9138</v>
      </c>
      <c r="CO891" s="58" t="s">
        <v>9139</v>
      </c>
      <c r="CP891" s="58" t="s">
        <v>9140</v>
      </c>
      <c r="CR891" s="58">
        <v>1.0</v>
      </c>
      <c r="CT891" s="58">
        <v>20.0</v>
      </c>
      <c r="CU891" s="58" t="s">
        <v>239</v>
      </c>
      <c r="DL891" s="58" t="s">
        <v>9141</v>
      </c>
    </row>
    <row r="892" ht="15.75" customHeight="1">
      <c r="B892" s="58" t="s">
        <v>4587</v>
      </c>
      <c r="C892" s="58">
        <v>2018.0</v>
      </c>
      <c r="D892" s="58" t="s">
        <v>9142</v>
      </c>
      <c r="E892" s="58" t="s">
        <v>9143</v>
      </c>
      <c r="F892" s="58" t="s">
        <v>7616</v>
      </c>
      <c r="I892" s="58" t="s">
        <v>9144</v>
      </c>
      <c r="K892" s="73">
        <v>43475.0</v>
      </c>
      <c r="Z892" s="58" t="s">
        <v>239</v>
      </c>
      <c r="CH892" s="58" t="s">
        <v>9145</v>
      </c>
      <c r="CI892" s="73">
        <v>43475.0</v>
      </c>
      <c r="CJ892" s="58">
        <v>258.0</v>
      </c>
      <c r="CK892" s="58">
        <v>265.0</v>
      </c>
      <c r="CL892" s="58" t="s">
        <v>9146</v>
      </c>
      <c r="CM892" s="58" t="s">
        <v>7620</v>
      </c>
      <c r="CO892" s="58" t="s">
        <v>9147</v>
      </c>
      <c r="CP892" s="58" t="s">
        <v>9148</v>
      </c>
      <c r="CR892" s="58">
        <v>1.0</v>
      </c>
      <c r="CT892" s="58">
        <v>19.0</v>
      </c>
      <c r="CU892" s="58" t="s">
        <v>239</v>
      </c>
      <c r="DL892" s="58" t="s">
        <v>9149</v>
      </c>
    </row>
    <row r="893" ht="15.75" customHeight="1">
      <c r="B893" s="58" t="s">
        <v>4587</v>
      </c>
      <c r="C893" s="58">
        <v>2018.0</v>
      </c>
      <c r="D893" s="58" t="s">
        <v>9150</v>
      </c>
      <c r="E893" s="58" t="s">
        <v>9151</v>
      </c>
      <c r="F893" s="58" t="s">
        <v>9152</v>
      </c>
      <c r="I893" s="58" t="s">
        <v>9153</v>
      </c>
      <c r="K893" s="73">
        <v>43615.0</v>
      </c>
      <c r="Z893" s="58" t="s">
        <v>239</v>
      </c>
      <c r="CH893" s="58" t="s">
        <v>5107</v>
      </c>
      <c r="CI893" s="73">
        <v>43615.0</v>
      </c>
      <c r="CJ893" s="58">
        <v>278.0</v>
      </c>
      <c r="CK893" s="58">
        <v>283.0</v>
      </c>
      <c r="CL893" s="58" t="s">
        <v>9154</v>
      </c>
      <c r="CM893" s="58" t="s">
        <v>9155</v>
      </c>
      <c r="CO893" s="58" t="s">
        <v>9156</v>
      </c>
      <c r="CP893" s="58" t="s">
        <v>9157</v>
      </c>
      <c r="CR893" s="58">
        <v>1.0</v>
      </c>
      <c r="CT893" s="58">
        <v>19.0</v>
      </c>
      <c r="CU893" s="58" t="s">
        <v>239</v>
      </c>
      <c r="DL893" s="58" t="s">
        <v>9158</v>
      </c>
    </row>
    <row r="894" ht="15.75" customHeight="1">
      <c r="B894" s="58" t="s">
        <v>4587</v>
      </c>
      <c r="C894" s="58">
        <v>2022.0</v>
      </c>
      <c r="D894" s="58" t="s">
        <v>9159</v>
      </c>
      <c r="E894" s="58" t="s">
        <v>9160</v>
      </c>
      <c r="F894" s="58" t="s">
        <v>9161</v>
      </c>
      <c r="H894" s="58" t="s">
        <v>9162</v>
      </c>
      <c r="I894" s="58" t="s">
        <v>9163</v>
      </c>
      <c r="K894" s="73">
        <v>44757.0</v>
      </c>
      <c r="Z894" s="58" t="s">
        <v>239</v>
      </c>
      <c r="CH894" s="58" t="s">
        <v>9164</v>
      </c>
      <c r="CI894" s="73">
        <v>44757.0</v>
      </c>
      <c r="CJ894" s="58">
        <v>1.0</v>
      </c>
      <c r="CK894" s="58">
        <v>4.0</v>
      </c>
      <c r="CL894" s="58" t="s">
        <v>9165</v>
      </c>
      <c r="CM894" s="58" t="s">
        <v>9166</v>
      </c>
      <c r="CO894" s="58" t="s">
        <v>9167</v>
      </c>
      <c r="CP894" s="58" t="s">
        <v>6069</v>
      </c>
      <c r="CR894" s="58">
        <v>1.0</v>
      </c>
      <c r="CT894" s="58">
        <v>10.0</v>
      </c>
      <c r="CU894" s="58" t="s">
        <v>239</v>
      </c>
      <c r="DL894" s="58" t="s">
        <v>9168</v>
      </c>
    </row>
    <row r="895" ht="15.75" customHeight="1">
      <c r="B895" s="58" t="s">
        <v>4587</v>
      </c>
      <c r="C895" s="58">
        <v>2022.0</v>
      </c>
      <c r="D895" s="58" t="s">
        <v>5759</v>
      </c>
      <c r="E895" s="58" t="s">
        <v>9169</v>
      </c>
      <c r="F895" s="58" t="s">
        <v>7517</v>
      </c>
      <c r="H895" s="58" t="s">
        <v>5351</v>
      </c>
      <c r="I895" s="58" t="s">
        <v>9170</v>
      </c>
      <c r="K895" s="73">
        <v>44853.0</v>
      </c>
      <c r="Z895" s="58" t="s">
        <v>239</v>
      </c>
      <c r="CH895" s="58" t="s">
        <v>5764</v>
      </c>
      <c r="CI895" s="73">
        <v>44853.0</v>
      </c>
      <c r="CJ895" s="58">
        <v>1.0</v>
      </c>
      <c r="CK895" s="58">
        <v>6.0</v>
      </c>
      <c r="CL895" s="58" t="s">
        <v>9171</v>
      </c>
      <c r="CM895" s="58" t="s">
        <v>7521</v>
      </c>
      <c r="CO895" s="58" t="s">
        <v>9172</v>
      </c>
      <c r="CP895" s="58" t="s">
        <v>9173</v>
      </c>
      <c r="CR895" s="58">
        <v>1.0</v>
      </c>
      <c r="CT895" s="58">
        <v>21.0</v>
      </c>
      <c r="CU895" s="58" t="s">
        <v>239</v>
      </c>
      <c r="DL895" s="58" t="s">
        <v>9174</v>
      </c>
    </row>
    <row r="896" ht="15.75" customHeight="1">
      <c r="B896" s="58" t="s">
        <v>4587</v>
      </c>
      <c r="C896" s="58">
        <v>2022.0</v>
      </c>
      <c r="D896" s="58" t="s">
        <v>9175</v>
      </c>
      <c r="E896" s="58" t="s">
        <v>9176</v>
      </c>
      <c r="F896" s="58" t="s">
        <v>9177</v>
      </c>
      <c r="H896" s="58" t="s">
        <v>5858</v>
      </c>
      <c r="I896" s="58" t="s">
        <v>9178</v>
      </c>
      <c r="K896" s="73">
        <v>44809.0</v>
      </c>
      <c r="Z896" s="58" t="s">
        <v>239</v>
      </c>
      <c r="CH896" s="58" t="s">
        <v>9179</v>
      </c>
      <c r="CI896" s="73">
        <v>44809.0</v>
      </c>
      <c r="CJ896" s="58">
        <v>1.0</v>
      </c>
      <c r="CK896" s="58">
        <v>10.0</v>
      </c>
      <c r="CL896" s="58" t="s">
        <v>9180</v>
      </c>
      <c r="CM896" s="58" t="s">
        <v>9181</v>
      </c>
      <c r="CO896" s="58" t="s">
        <v>9182</v>
      </c>
      <c r="CP896" s="58" t="s">
        <v>9183</v>
      </c>
      <c r="CR896" s="58">
        <v>1.0</v>
      </c>
      <c r="CT896" s="58">
        <v>17.0</v>
      </c>
      <c r="CU896" s="58" t="s">
        <v>239</v>
      </c>
      <c r="DL896" s="58" t="s">
        <v>9184</v>
      </c>
    </row>
    <row r="897" ht="15.75" customHeight="1">
      <c r="B897" s="58" t="s">
        <v>4587</v>
      </c>
      <c r="C897" s="58">
        <v>2022.0</v>
      </c>
      <c r="D897" s="58" t="s">
        <v>9185</v>
      </c>
      <c r="E897" s="58" t="s">
        <v>9186</v>
      </c>
      <c r="F897" s="58" t="s">
        <v>9187</v>
      </c>
      <c r="I897" s="58" t="s">
        <v>9188</v>
      </c>
      <c r="K897" s="73">
        <v>44873.0</v>
      </c>
      <c r="Z897" s="58" t="s">
        <v>239</v>
      </c>
      <c r="CH897" s="58" t="s">
        <v>9189</v>
      </c>
      <c r="CI897" s="73">
        <v>44873.0</v>
      </c>
      <c r="CJ897" s="58">
        <v>1.0</v>
      </c>
      <c r="CK897" s="58">
        <v>6.0</v>
      </c>
      <c r="CL897" s="58" t="s">
        <v>9190</v>
      </c>
      <c r="CM897" s="58" t="s">
        <v>9191</v>
      </c>
      <c r="CO897" s="58" t="s">
        <v>9192</v>
      </c>
      <c r="CP897" s="58" t="s">
        <v>9193</v>
      </c>
      <c r="CR897" s="58">
        <v>1.0</v>
      </c>
      <c r="CT897" s="58">
        <v>18.0</v>
      </c>
      <c r="DL897" s="58" t="s">
        <v>9194</v>
      </c>
    </row>
    <row r="898" ht="15.75" customHeight="1">
      <c r="B898" s="58" t="s">
        <v>4587</v>
      </c>
      <c r="C898" s="58">
        <v>2017.0</v>
      </c>
      <c r="D898" s="58" t="s">
        <v>9195</v>
      </c>
      <c r="E898" s="58" t="s">
        <v>9196</v>
      </c>
      <c r="F898" s="58" t="s">
        <v>4761</v>
      </c>
      <c r="I898" s="58" t="s">
        <v>9197</v>
      </c>
      <c r="K898" s="73">
        <v>42929.0</v>
      </c>
      <c r="Z898" s="58" t="s">
        <v>239</v>
      </c>
      <c r="CH898" s="58" t="s">
        <v>9198</v>
      </c>
      <c r="CI898" s="73">
        <v>42929.0</v>
      </c>
      <c r="CJ898" s="58">
        <v>979.0</v>
      </c>
      <c r="CK898" s="58">
        <v>984.0</v>
      </c>
      <c r="CL898" s="58" t="s">
        <v>9199</v>
      </c>
      <c r="CM898" s="58" t="s">
        <v>4765</v>
      </c>
      <c r="CO898" s="58" t="s">
        <v>9200</v>
      </c>
      <c r="CR898" s="58">
        <v>1.0</v>
      </c>
      <c r="CT898" s="58">
        <v>25.0</v>
      </c>
      <c r="DL898" s="58" t="s">
        <v>9201</v>
      </c>
    </row>
    <row r="899" ht="15.75" customHeight="1">
      <c r="B899" s="58" t="s">
        <v>4587</v>
      </c>
      <c r="C899" s="58">
        <v>2020.0</v>
      </c>
      <c r="D899" s="58" t="s">
        <v>9202</v>
      </c>
      <c r="E899" s="58" t="s">
        <v>9203</v>
      </c>
      <c r="F899" s="58" t="s">
        <v>9204</v>
      </c>
      <c r="H899" s="58" t="s">
        <v>9205</v>
      </c>
      <c r="I899" s="58" t="s">
        <v>9206</v>
      </c>
      <c r="K899" s="73">
        <v>44252.0</v>
      </c>
      <c r="Z899" s="58" t="s">
        <v>239</v>
      </c>
      <c r="CH899" s="58" t="s">
        <v>9207</v>
      </c>
      <c r="CI899" s="73">
        <v>44252.0</v>
      </c>
      <c r="CJ899" s="58">
        <v>617.0</v>
      </c>
      <c r="CK899" s="58">
        <v>624.0</v>
      </c>
      <c r="CL899" s="58" t="s">
        <v>9208</v>
      </c>
      <c r="CM899" s="58" t="s">
        <v>9209</v>
      </c>
      <c r="CN899" s="58" t="s">
        <v>9210</v>
      </c>
      <c r="CO899" s="58" t="s">
        <v>9211</v>
      </c>
      <c r="CP899" s="58" t="s">
        <v>9212</v>
      </c>
      <c r="CR899" s="58">
        <v>1.0</v>
      </c>
      <c r="CT899" s="58">
        <v>31.0</v>
      </c>
      <c r="CU899" s="58" t="s">
        <v>239</v>
      </c>
      <c r="DL899" s="58" t="s">
        <v>9213</v>
      </c>
    </row>
    <row r="900" ht="15.75" customHeight="1">
      <c r="B900" s="58" t="s">
        <v>4587</v>
      </c>
      <c r="C900" s="58">
        <v>2020.0</v>
      </c>
      <c r="D900" s="58" t="s">
        <v>9214</v>
      </c>
      <c r="E900" s="58" t="s">
        <v>9215</v>
      </c>
      <c r="F900" s="58" t="s">
        <v>9216</v>
      </c>
      <c r="H900" s="58" t="s">
        <v>9217</v>
      </c>
      <c r="I900" s="58" t="s">
        <v>9218</v>
      </c>
      <c r="K900" s="73">
        <v>44256.0</v>
      </c>
      <c r="Z900" s="58" t="s">
        <v>239</v>
      </c>
      <c r="CH900" s="58" t="s">
        <v>9219</v>
      </c>
      <c r="CI900" s="73">
        <v>44256.0</v>
      </c>
      <c r="CJ900" s="58">
        <v>405.0</v>
      </c>
      <c r="CK900" s="58">
        <v>414.0</v>
      </c>
      <c r="CL900" s="58" t="s">
        <v>9220</v>
      </c>
      <c r="CM900" s="58" t="s">
        <v>9221</v>
      </c>
      <c r="CO900" s="58" t="s">
        <v>9222</v>
      </c>
      <c r="CP900" s="58" t="s">
        <v>9223</v>
      </c>
      <c r="CR900" s="58">
        <v>1.0</v>
      </c>
      <c r="CT900" s="58">
        <v>29.0</v>
      </c>
      <c r="CU900" s="58" t="s">
        <v>239</v>
      </c>
      <c r="DL900" s="58" t="s">
        <v>9224</v>
      </c>
    </row>
    <row r="901" ht="15.75" customHeight="1">
      <c r="B901" s="58" t="s">
        <v>4587</v>
      </c>
      <c r="C901" s="58">
        <v>2017.0</v>
      </c>
      <c r="E901" s="58" t="s">
        <v>9225</v>
      </c>
      <c r="F901" s="58" t="s">
        <v>9226</v>
      </c>
      <c r="I901" s="58" t="s">
        <v>9227</v>
      </c>
      <c r="K901" s="73">
        <v>42894.0</v>
      </c>
      <c r="Z901" s="58" t="s">
        <v>239</v>
      </c>
      <c r="CI901" s="73">
        <v>42894.0</v>
      </c>
      <c r="CJ901" s="58">
        <v>1.0</v>
      </c>
      <c r="CK901" s="58">
        <v>276.0</v>
      </c>
      <c r="CL901" s="58" t="s">
        <v>9228</v>
      </c>
      <c r="CM901" s="58" t="s">
        <v>9229</v>
      </c>
      <c r="CO901" s="58" t="s">
        <v>9230</v>
      </c>
      <c r="CR901" s="58">
        <v>1.0</v>
      </c>
      <c r="CU901" s="58" t="s">
        <v>239</v>
      </c>
      <c r="DL901" s="58" t="s">
        <v>9231</v>
      </c>
    </row>
    <row r="902" ht="15.75" customHeight="1">
      <c r="B902" s="58" t="s">
        <v>4587</v>
      </c>
      <c r="C902" s="58">
        <v>2021.0</v>
      </c>
      <c r="D902" s="58" t="s">
        <v>9232</v>
      </c>
      <c r="E902" s="58" t="s">
        <v>9233</v>
      </c>
      <c r="F902" s="58" t="s">
        <v>5153</v>
      </c>
      <c r="I902" s="58" t="s">
        <v>9234</v>
      </c>
      <c r="K902" s="73">
        <v>44512.0</v>
      </c>
      <c r="Z902" s="58" t="s">
        <v>239</v>
      </c>
      <c r="CH902" s="58" t="s">
        <v>9235</v>
      </c>
      <c r="CI902" s="73">
        <v>44512.0</v>
      </c>
      <c r="CJ902" s="58">
        <v>195.0</v>
      </c>
      <c r="CK902" s="58">
        <v>200.0</v>
      </c>
      <c r="CL902" s="58" t="s">
        <v>9236</v>
      </c>
      <c r="CM902" s="58" t="s">
        <v>5157</v>
      </c>
      <c r="CO902" s="58" t="s">
        <v>9237</v>
      </c>
      <c r="CP902" s="58" t="s">
        <v>9238</v>
      </c>
      <c r="CR902" s="58">
        <v>1.0</v>
      </c>
      <c r="CT902" s="58">
        <v>60.0</v>
      </c>
      <c r="CU902" s="58" t="s">
        <v>239</v>
      </c>
      <c r="DL902" s="58" t="s">
        <v>9239</v>
      </c>
    </row>
    <row r="903" ht="15.75" customHeight="1">
      <c r="B903" s="58" t="s">
        <v>4587</v>
      </c>
      <c r="C903" s="58">
        <v>2019.0</v>
      </c>
      <c r="D903" s="58" t="s">
        <v>9240</v>
      </c>
      <c r="E903" s="58" t="s">
        <v>9241</v>
      </c>
      <c r="F903" s="58" t="s">
        <v>9242</v>
      </c>
      <c r="H903" s="58" t="s">
        <v>9243</v>
      </c>
      <c r="I903" s="58" t="s">
        <v>9244</v>
      </c>
      <c r="K903" s="73">
        <v>43902.0</v>
      </c>
      <c r="Z903" s="58" t="s">
        <v>239</v>
      </c>
      <c r="CH903" s="58" t="s">
        <v>9245</v>
      </c>
      <c r="CI903" s="73">
        <v>43902.0</v>
      </c>
      <c r="CJ903" s="58">
        <v>1.0</v>
      </c>
      <c r="CK903" s="58">
        <v>7.0</v>
      </c>
      <c r="CL903" s="58" t="s">
        <v>9246</v>
      </c>
      <c r="CM903" s="58" t="s">
        <v>9247</v>
      </c>
      <c r="CO903" s="58" t="s">
        <v>9248</v>
      </c>
      <c r="CP903" s="58" t="s">
        <v>9249</v>
      </c>
      <c r="CR903" s="58">
        <v>1.0</v>
      </c>
      <c r="CT903" s="58">
        <v>25.0</v>
      </c>
      <c r="CU903" s="58" t="s">
        <v>239</v>
      </c>
      <c r="DL903" s="58" t="s">
        <v>9250</v>
      </c>
    </row>
    <row r="904" ht="15.75" customHeight="1">
      <c r="B904" s="58" t="s">
        <v>4587</v>
      </c>
      <c r="C904" s="58">
        <v>2021.0</v>
      </c>
      <c r="D904" s="58" t="s">
        <v>9251</v>
      </c>
      <c r="E904" s="58" t="s">
        <v>9252</v>
      </c>
      <c r="F904" s="58" t="s">
        <v>9253</v>
      </c>
      <c r="I904" s="58" t="s">
        <v>9254</v>
      </c>
      <c r="K904" s="73">
        <v>44621.0</v>
      </c>
      <c r="Z904" s="58" t="s">
        <v>239</v>
      </c>
      <c r="CH904" s="58" t="s">
        <v>9255</v>
      </c>
      <c r="CI904" s="73">
        <v>44621.0</v>
      </c>
      <c r="CJ904" s="58">
        <v>267.0</v>
      </c>
      <c r="CK904" s="58">
        <v>272.0</v>
      </c>
      <c r="CL904" s="58" t="s">
        <v>9256</v>
      </c>
      <c r="CM904" s="58" t="s">
        <v>9257</v>
      </c>
      <c r="CO904" s="58" t="s">
        <v>9258</v>
      </c>
      <c r="CP904" s="58" t="s">
        <v>9259</v>
      </c>
      <c r="CR904" s="58">
        <v>1.0</v>
      </c>
      <c r="CT904" s="58">
        <v>30.0</v>
      </c>
      <c r="CU904" s="58" t="s">
        <v>239</v>
      </c>
      <c r="DL904" s="58" t="s">
        <v>9260</v>
      </c>
    </row>
    <row r="905" ht="15.75" customHeight="1">
      <c r="B905" s="58" t="s">
        <v>4587</v>
      </c>
      <c r="C905" s="58">
        <v>2021.0</v>
      </c>
      <c r="D905" s="58" t="s">
        <v>9261</v>
      </c>
      <c r="E905" s="58" t="s">
        <v>9262</v>
      </c>
      <c r="F905" s="58" t="s">
        <v>9263</v>
      </c>
      <c r="H905" s="58" t="s">
        <v>9264</v>
      </c>
      <c r="I905" s="58" t="s">
        <v>9265</v>
      </c>
      <c r="K905" s="73">
        <v>44406.0</v>
      </c>
      <c r="Z905" s="58" t="s">
        <v>239</v>
      </c>
      <c r="CH905" s="58" t="s">
        <v>9266</v>
      </c>
      <c r="CI905" s="73">
        <v>44406.0</v>
      </c>
      <c r="CJ905" s="58">
        <v>1.0</v>
      </c>
      <c r="CK905" s="58">
        <v>7.0</v>
      </c>
      <c r="CL905" s="58" t="s">
        <v>9267</v>
      </c>
      <c r="CM905" s="58" t="s">
        <v>9268</v>
      </c>
      <c r="CO905" s="58" t="s">
        <v>9269</v>
      </c>
      <c r="CP905" s="58" t="s">
        <v>9270</v>
      </c>
      <c r="CR905" s="58">
        <v>1.0</v>
      </c>
      <c r="CT905" s="58">
        <v>10.0</v>
      </c>
      <c r="CU905" s="58" t="s">
        <v>239</v>
      </c>
      <c r="DL905" s="58" t="s">
        <v>9271</v>
      </c>
    </row>
    <row r="906" ht="15.75" customHeight="1">
      <c r="B906" s="58" t="s">
        <v>4587</v>
      </c>
      <c r="C906" s="58">
        <v>2021.0</v>
      </c>
      <c r="D906" s="58" t="s">
        <v>9272</v>
      </c>
      <c r="E906" s="58" t="s">
        <v>9273</v>
      </c>
      <c r="F906" s="58" t="s">
        <v>7946</v>
      </c>
      <c r="I906" s="58" t="s">
        <v>9274</v>
      </c>
      <c r="K906" s="73">
        <v>44537.0</v>
      </c>
      <c r="Z906" s="58" t="s">
        <v>239</v>
      </c>
      <c r="CH906" s="58" t="s">
        <v>9275</v>
      </c>
      <c r="CI906" s="73">
        <v>44537.0</v>
      </c>
      <c r="CJ906" s="58">
        <v>35.0</v>
      </c>
      <c r="CK906" s="58">
        <v>41.0</v>
      </c>
      <c r="CL906" s="58" t="s">
        <v>9276</v>
      </c>
      <c r="CM906" s="58" t="s">
        <v>7950</v>
      </c>
      <c r="CO906" s="58" t="s">
        <v>9277</v>
      </c>
      <c r="CP906" s="58" t="s">
        <v>9278</v>
      </c>
      <c r="CR906" s="58">
        <v>1.0</v>
      </c>
      <c r="CT906" s="58">
        <v>18.0</v>
      </c>
      <c r="CU906" s="58" t="s">
        <v>239</v>
      </c>
      <c r="DL906" s="58" t="s">
        <v>9279</v>
      </c>
    </row>
    <row r="907" ht="15.75" customHeight="1">
      <c r="B907" s="58" t="s">
        <v>4587</v>
      </c>
      <c r="C907" s="58">
        <v>2017.0</v>
      </c>
      <c r="D907" s="58" t="s">
        <v>9280</v>
      </c>
      <c r="E907" s="58" t="s">
        <v>9281</v>
      </c>
      <c r="F907" s="58" t="s">
        <v>9282</v>
      </c>
      <c r="I907" s="58" t="s">
        <v>9283</v>
      </c>
      <c r="K907" s="73">
        <v>43013.0</v>
      </c>
      <c r="Z907" s="58" t="s">
        <v>239</v>
      </c>
      <c r="CH907" s="58" t="s">
        <v>9284</v>
      </c>
      <c r="CI907" s="73">
        <v>43013.0</v>
      </c>
      <c r="CJ907" s="58">
        <v>675.0</v>
      </c>
      <c r="CK907" s="58">
        <v>680.0</v>
      </c>
      <c r="CL907" s="58" t="s">
        <v>9285</v>
      </c>
      <c r="CM907" s="58" t="s">
        <v>9286</v>
      </c>
      <c r="CO907" s="58" t="s">
        <v>9287</v>
      </c>
      <c r="CP907" s="58" t="s">
        <v>9288</v>
      </c>
      <c r="CR907" s="58">
        <v>1.0</v>
      </c>
      <c r="CT907" s="58">
        <v>15.0</v>
      </c>
      <c r="CU907" s="58" t="s">
        <v>239</v>
      </c>
      <c r="DL907" s="58" t="s">
        <v>9289</v>
      </c>
    </row>
    <row r="908" ht="15.75" customHeight="1">
      <c r="B908" s="58" t="s">
        <v>4587</v>
      </c>
      <c r="C908" s="58">
        <v>2022.0</v>
      </c>
      <c r="D908" s="58" t="s">
        <v>9290</v>
      </c>
      <c r="E908" s="58" t="s">
        <v>9291</v>
      </c>
      <c r="F908" s="58" t="s">
        <v>9292</v>
      </c>
      <c r="I908" s="58" t="s">
        <v>9293</v>
      </c>
      <c r="K908" s="73">
        <v>44790.0</v>
      </c>
      <c r="Z908" s="58" t="s">
        <v>239</v>
      </c>
      <c r="CH908" s="58" t="s">
        <v>9294</v>
      </c>
      <c r="CI908" s="73">
        <v>44790.0</v>
      </c>
      <c r="CJ908" s="58">
        <v>612.0</v>
      </c>
      <c r="CK908" s="58">
        <v>617.0</v>
      </c>
      <c r="CL908" s="58" t="s">
        <v>9295</v>
      </c>
      <c r="CM908" s="58" t="s">
        <v>9296</v>
      </c>
      <c r="CO908" s="58" t="s">
        <v>9297</v>
      </c>
      <c r="CP908" s="58" t="s">
        <v>9298</v>
      </c>
      <c r="CR908" s="58">
        <v>1.0</v>
      </c>
      <c r="CT908" s="58">
        <v>11.0</v>
      </c>
      <c r="CU908" s="58" t="s">
        <v>239</v>
      </c>
      <c r="DL908" s="58" t="s">
        <v>9299</v>
      </c>
    </row>
    <row r="909" ht="15.75" customHeight="1">
      <c r="B909" s="58" t="s">
        <v>4587</v>
      </c>
      <c r="C909" s="58">
        <v>2022.0</v>
      </c>
      <c r="D909" s="58" t="s">
        <v>9300</v>
      </c>
      <c r="E909" s="58" t="s">
        <v>9301</v>
      </c>
      <c r="F909" s="58" t="s">
        <v>8208</v>
      </c>
      <c r="H909" s="58" t="s">
        <v>4600</v>
      </c>
      <c r="I909" s="58" t="s">
        <v>9302</v>
      </c>
      <c r="K909" s="73">
        <v>44797.0</v>
      </c>
      <c r="Z909" s="58" t="s">
        <v>239</v>
      </c>
      <c r="CH909" s="58" t="s">
        <v>9303</v>
      </c>
      <c r="CI909" s="73">
        <v>44797.0</v>
      </c>
      <c r="CJ909" s="58">
        <v>500.0</v>
      </c>
      <c r="CK909" s="58">
        <v>510.0</v>
      </c>
      <c r="CL909" s="58" t="s">
        <v>9304</v>
      </c>
      <c r="CM909" s="58" t="s">
        <v>8212</v>
      </c>
      <c r="CO909" s="58" t="s">
        <v>9305</v>
      </c>
      <c r="CP909" s="58" t="s">
        <v>9306</v>
      </c>
      <c r="CR909" s="58">
        <v>1.0</v>
      </c>
      <c r="CT909" s="58">
        <v>22.0</v>
      </c>
      <c r="CU909" s="58" t="s">
        <v>239</v>
      </c>
      <c r="DL909" s="58" t="s">
        <v>9307</v>
      </c>
    </row>
    <row r="910" ht="15.75" customHeight="1">
      <c r="B910" s="58" t="s">
        <v>4587</v>
      </c>
      <c r="C910" s="58">
        <v>2022.0</v>
      </c>
      <c r="D910" s="58" t="s">
        <v>9308</v>
      </c>
      <c r="E910" s="58" t="s">
        <v>9309</v>
      </c>
      <c r="F910" s="58" t="s">
        <v>9310</v>
      </c>
      <c r="H910" s="58" t="s">
        <v>6260</v>
      </c>
      <c r="I910" s="58" t="s">
        <v>9311</v>
      </c>
      <c r="K910" s="73">
        <v>44893.0</v>
      </c>
      <c r="Z910" s="58" t="s">
        <v>239</v>
      </c>
      <c r="CH910" s="58" t="s">
        <v>9312</v>
      </c>
      <c r="CI910" s="73">
        <v>44893.0</v>
      </c>
      <c r="CJ910" s="58">
        <v>65.0</v>
      </c>
      <c r="CK910" s="58">
        <v>74.0</v>
      </c>
      <c r="CL910" s="58" t="s">
        <v>9313</v>
      </c>
      <c r="CM910" s="58" t="s">
        <v>9314</v>
      </c>
      <c r="CO910" s="58" t="s">
        <v>9315</v>
      </c>
      <c r="CR910" s="58">
        <v>1.0</v>
      </c>
      <c r="CT910" s="58">
        <v>32.0</v>
      </c>
      <c r="DL910" s="58" t="s">
        <v>9316</v>
      </c>
    </row>
    <row r="911" ht="15.75" customHeight="1">
      <c r="B911" s="58" t="s">
        <v>4587</v>
      </c>
      <c r="C911" s="58">
        <v>2020.0</v>
      </c>
      <c r="D911" s="58" t="s">
        <v>9317</v>
      </c>
      <c r="E911" s="58" t="s">
        <v>9318</v>
      </c>
      <c r="F911" s="58" t="s">
        <v>9319</v>
      </c>
      <c r="I911" s="58" t="s">
        <v>9320</v>
      </c>
      <c r="K911" s="73">
        <v>44459.0</v>
      </c>
      <c r="Z911" s="58" t="s">
        <v>239</v>
      </c>
      <c r="CH911" s="58" t="s">
        <v>9321</v>
      </c>
      <c r="CI911" s="73">
        <v>44459.0</v>
      </c>
      <c r="CJ911" s="58">
        <v>2062.0</v>
      </c>
      <c r="CK911" s="58">
        <v>2066.0</v>
      </c>
      <c r="CL911" s="58" t="s">
        <v>9322</v>
      </c>
      <c r="CM911" s="58" t="s">
        <v>9323</v>
      </c>
      <c r="CO911" s="58" t="s">
        <v>9324</v>
      </c>
      <c r="CP911" s="58" t="s">
        <v>9325</v>
      </c>
      <c r="CR911" s="58">
        <v>1.0</v>
      </c>
      <c r="CT911" s="58">
        <v>7.0</v>
      </c>
      <c r="CU911" s="58" t="s">
        <v>239</v>
      </c>
      <c r="DL911" s="58" t="s">
        <v>9326</v>
      </c>
    </row>
    <row r="912" ht="15.75" customHeight="1">
      <c r="B912" s="58" t="s">
        <v>4587</v>
      </c>
      <c r="C912" s="58">
        <v>2020.0</v>
      </c>
      <c r="D912" s="58" t="s">
        <v>9327</v>
      </c>
      <c r="E912" s="58" t="s">
        <v>9328</v>
      </c>
      <c r="F912" s="58" t="s">
        <v>7706</v>
      </c>
      <c r="I912" s="58" t="s">
        <v>9329</v>
      </c>
      <c r="K912" s="73">
        <v>44245.0</v>
      </c>
      <c r="Z912" s="58" t="s">
        <v>239</v>
      </c>
      <c r="CH912" s="58" t="s">
        <v>9330</v>
      </c>
      <c r="CI912" s="73">
        <v>44245.0</v>
      </c>
      <c r="CJ912" s="58">
        <v>1716.0</v>
      </c>
      <c r="CK912" s="58">
        <v>1723.0</v>
      </c>
      <c r="CL912" s="58" t="s">
        <v>9331</v>
      </c>
      <c r="CM912" s="58" t="s">
        <v>7710</v>
      </c>
      <c r="CO912" s="58" t="s">
        <v>9332</v>
      </c>
      <c r="CP912" s="58" t="s">
        <v>9333</v>
      </c>
      <c r="CR912" s="58">
        <v>1.0</v>
      </c>
      <c r="CT912" s="58">
        <v>12.0</v>
      </c>
      <c r="CU912" s="58" t="s">
        <v>239</v>
      </c>
      <c r="DL912" s="58" t="s">
        <v>9334</v>
      </c>
    </row>
    <row r="913" ht="15.75" customHeight="1">
      <c r="B913" s="58" t="s">
        <v>4587</v>
      </c>
      <c r="C913" s="58">
        <v>2021.0</v>
      </c>
      <c r="D913" s="58" t="s">
        <v>9335</v>
      </c>
      <c r="E913" s="58" t="s">
        <v>9336</v>
      </c>
      <c r="F913" s="58" t="s">
        <v>9337</v>
      </c>
      <c r="I913" s="58" t="s">
        <v>9338</v>
      </c>
      <c r="K913" s="73">
        <v>44397.0</v>
      </c>
      <c r="Z913" s="58" t="s">
        <v>239</v>
      </c>
      <c r="CH913" s="58" t="s">
        <v>9339</v>
      </c>
      <c r="CI913" s="73">
        <v>44397.0</v>
      </c>
      <c r="CJ913" s="58">
        <v>1210.0</v>
      </c>
      <c r="CK913" s="58">
        <v>1214.0</v>
      </c>
      <c r="CL913" s="58" t="s">
        <v>9340</v>
      </c>
      <c r="CM913" s="58" t="s">
        <v>9341</v>
      </c>
      <c r="CN913" s="58" t="s">
        <v>9108</v>
      </c>
      <c r="CO913" s="58" t="s">
        <v>9342</v>
      </c>
      <c r="CP913" s="58" t="s">
        <v>9343</v>
      </c>
      <c r="CT913" s="58">
        <v>6.0</v>
      </c>
      <c r="CU913" s="58" t="s">
        <v>239</v>
      </c>
      <c r="DL913" s="58" t="s">
        <v>9344</v>
      </c>
    </row>
    <row r="914" ht="15.75" customHeight="1">
      <c r="B914" s="58" t="s">
        <v>4587</v>
      </c>
      <c r="C914" s="58">
        <v>2022.0</v>
      </c>
      <c r="D914" s="58" t="s">
        <v>9345</v>
      </c>
      <c r="E914" s="58" t="s">
        <v>9346</v>
      </c>
      <c r="F914" s="58" t="s">
        <v>9347</v>
      </c>
      <c r="I914" s="58" t="s">
        <v>9348</v>
      </c>
      <c r="K914" s="73">
        <v>44987.0</v>
      </c>
      <c r="Z914" s="58" t="s">
        <v>239</v>
      </c>
      <c r="CH914" s="58" t="s">
        <v>9349</v>
      </c>
      <c r="CI914" s="73">
        <v>44987.0</v>
      </c>
      <c r="CJ914" s="58">
        <v>1.0</v>
      </c>
      <c r="CK914" s="58">
        <v>7.0</v>
      </c>
      <c r="CL914" s="58" t="s">
        <v>9350</v>
      </c>
      <c r="CM914" s="58" t="s">
        <v>9351</v>
      </c>
      <c r="CO914" s="58" t="s">
        <v>9352</v>
      </c>
      <c r="CP914" s="58" t="s">
        <v>9353</v>
      </c>
      <c r="CT914" s="58">
        <v>14.0</v>
      </c>
      <c r="CU914" s="58" t="s">
        <v>239</v>
      </c>
      <c r="DL914" s="58" t="s">
        <v>9354</v>
      </c>
    </row>
    <row r="915" ht="15.75" customHeight="1">
      <c r="B915" s="58" t="s">
        <v>4587</v>
      </c>
      <c r="C915" s="58">
        <v>2018.0</v>
      </c>
      <c r="E915" s="58" t="s">
        <v>9355</v>
      </c>
      <c r="F915" s="58" t="s">
        <v>9356</v>
      </c>
      <c r="H915" s="58" t="s">
        <v>9357</v>
      </c>
      <c r="I915" s="58" t="s">
        <v>9358</v>
      </c>
      <c r="K915" s="73">
        <v>43398.0</v>
      </c>
      <c r="Z915" s="58" t="s">
        <v>239</v>
      </c>
      <c r="CI915" s="73">
        <v>43398.0</v>
      </c>
      <c r="CJ915" s="58">
        <v>31.0</v>
      </c>
      <c r="CK915" s="58">
        <v>36.0</v>
      </c>
      <c r="CL915" s="58" t="s">
        <v>9359</v>
      </c>
      <c r="CM915" s="58" t="s">
        <v>9360</v>
      </c>
      <c r="CO915" s="58" t="s">
        <v>9361</v>
      </c>
      <c r="CU915" s="58" t="s">
        <v>239</v>
      </c>
      <c r="DL915" s="58" t="s">
        <v>9362</v>
      </c>
    </row>
    <row r="916" ht="15.75" customHeight="1">
      <c r="B916" s="58" t="s">
        <v>4587</v>
      </c>
      <c r="C916" s="58">
        <v>2022.0</v>
      </c>
      <c r="D916" s="58" t="s">
        <v>9363</v>
      </c>
      <c r="E916" s="58" t="s">
        <v>9364</v>
      </c>
      <c r="F916" s="58" t="s">
        <v>9365</v>
      </c>
      <c r="H916" s="58" t="s">
        <v>9366</v>
      </c>
      <c r="I916" s="58" t="s">
        <v>9367</v>
      </c>
      <c r="K916" s="73">
        <v>44776.0</v>
      </c>
      <c r="Z916" s="58" t="s">
        <v>239</v>
      </c>
      <c r="CH916" s="58" t="s">
        <v>9368</v>
      </c>
      <c r="CI916" s="73">
        <v>44776.0</v>
      </c>
      <c r="CJ916" s="58">
        <v>648.0</v>
      </c>
      <c r="CK916" s="58">
        <v>652.0</v>
      </c>
      <c r="CL916" s="58" t="s">
        <v>9369</v>
      </c>
      <c r="CM916" s="58" t="s">
        <v>9370</v>
      </c>
      <c r="CO916" s="58" t="s">
        <v>9371</v>
      </c>
      <c r="CP916" s="58" t="s">
        <v>9372</v>
      </c>
      <c r="CT916" s="58">
        <v>10.0</v>
      </c>
      <c r="CU916" s="58" t="s">
        <v>239</v>
      </c>
      <c r="DL916" s="58" t="s">
        <v>9373</v>
      </c>
    </row>
    <row r="917" ht="15.75" customHeight="1">
      <c r="B917" s="58" t="s">
        <v>4587</v>
      </c>
      <c r="C917" s="58">
        <v>2021.0</v>
      </c>
      <c r="D917" s="58" t="s">
        <v>9374</v>
      </c>
      <c r="E917" s="58" t="s">
        <v>9375</v>
      </c>
      <c r="F917" s="58" t="s">
        <v>9376</v>
      </c>
      <c r="H917" s="58" t="s">
        <v>4802</v>
      </c>
      <c r="I917" s="58" t="s">
        <v>9377</v>
      </c>
      <c r="K917" s="73">
        <v>44417.0</v>
      </c>
      <c r="Z917" s="58" t="s">
        <v>239</v>
      </c>
      <c r="CH917" s="58" t="s">
        <v>9378</v>
      </c>
      <c r="CI917" s="73">
        <v>44417.0</v>
      </c>
      <c r="CJ917" s="58">
        <v>604.0</v>
      </c>
      <c r="CK917" s="58">
        <v>609.0</v>
      </c>
      <c r="CL917" s="58" t="s">
        <v>9379</v>
      </c>
      <c r="CM917" s="58" t="s">
        <v>9380</v>
      </c>
      <c r="CO917" s="58" t="s">
        <v>9381</v>
      </c>
      <c r="CP917" s="58" t="s">
        <v>9382</v>
      </c>
      <c r="CT917" s="58">
        <v>36.0</v>
      </c>
      <c r="CU917" s="58" t="s">
        <v>239</v>
      </c>
      <c r="DL917" s="58" t="s">
        <v>9383</v>
      </c>
    </row>
    <row r="918" ht="15.75" customHeight="1">
      <c r="B918" s="58" t="s">
        <v>4587</v>
      </c>
      <c r="C918" s="58">
        <v>2020.0</v>
      </c>
      <c r="D918" s="58" t="s">
        <v>9384</v>
      </c>
      <c r="E918" s="58" t="s">
        <v>9385</v>
      </c>
      <c r="F918" s="58" t="s">
        <v>9386</v>
      </c>
      <c r="I918" s="58" t="s">
        <v>9387</v>
      </c>
      <c r="K918" s="73">
        <v>43991.0</v>
      </c>
      <c r="Z918" s="58" t="s">
        <v>239</v>
      </c>
      <c r="CH918" s="58" t="s">
        <v>9388</v>
      </c>
      <c r="CI918" s="73">
        <v>43991.0</v>
      </c>
      <c r="CJ918" s="58">
        <v>1.0</v>
      </c>
      <c r="CK918" s="58">
        <v>6.0</v>
      </c>
      <c r="CL918" s="58" t="s">
        <v>9389</v>
      </c>
      <c r="CM918" s="58" t="s">
        <v>9390</v>
      </c>
      <c r="CO918" s="58" t="s">
        <v>9391</v>
      </c>
      <c r="CP918" s="58" t="s">
        <v>9392</v>
      </c>
      <c r="CT918" s="58">
        <v>18.0</v>
      </c>
      <c r="CU918" s="58" t="s">
        <v>239</v>
      </c>
      <c r="DL918" s="58" t="s">
        <v>9393</v>
      </c>
    </row>
    <row r="919" ht="15.75" customHeight="1">
      <c r="B919" s="58" t="s">
        <v>4587</v>
      </c>
      <c r="C919" s="58">
        <v>2021.0</v>
      </c>
      <c r="D919" s="58" t="s">
        <v>9394</v>
      </c>
      <c r="E919" s="58" t="s">
        <v>9395</v>
      </c>
      <c r="F919" s="58" t="s">
        <v>9396</v>
      </c>
      <c r="I919" s="58" t="s">
        <v>9397</v>
      </c>
      <c r="K919" s="73">
        <v>44571.0</v>
      </c>
      <c r="Z919" s="58" t="s">
        <v>239</v>
      </c>
      <c r="CH919" s="58" t="s">
        <v>9398</v>
      </c>
      <c r="CI919" s="73">
        <v>44571.0</v>
      </c>
      <c r="CJ919" s="58">
        <v>453.0</v>
      </c>
      <c r="CK919" s="58">
        <v>457.0</v>
      </c>
      <c r="CL919" s="58" t="s">
        <v>9399</v>
      </c>
      <c r="CM919" s="58" t="s">
        <v>9400</v>
      </c>
      <c r="CO919" s="58" t="s">
        <v>9401</v>
      </c>
      <c r="CP919" s="58" t="s">
        <v>9402</v>
      </c>
      <c r="CT919" s="58">
        <v>13.0</v>
      </c>
      <c r="CU919" s="58" t="s">
        <v>239</v>
      </c>
      <c r="DL919" s="58" t="s">
        <v>9403</v>
      </c>
    </row>
    <row r="920" ht="15.75" customHeight="1">
      <c r="B920" s="58" t="s">
        <v>4587</v>
      </c>
      <c r="C920" s="58">
        <v>2021.0</v>
      </c>
      <c r="D920" s="58" t="s">
        <v>9404</v>
      </c>
      <c r="E920" s="58" t="s">
        <v>9405</v>
      </c>
      <c r="F920" s="58" t="s">
        <v>9406</v>
      </c>
      <c r="H920" s="58" t="s">
        <v>9407</v>
      </c>
      <c r="I920" s="58" t="s">
        <v>9408</v>
      </c>
      <c r="K920" s="73">
        <v>44420.0</v>
      </c>
      <c r="Z920" s="58" t="s">
        <v>239</v>
      </c>
      <c r="CH920" s="58" t="s">
        <v>9409</v>
      </c>
      <c r="CI920" s="73">
        <v>44420.0</v>
      </c>
      <c r="CJ920" s="58">
        <v>853.0</v>
      </c>
      <c r="CK920" s="58">
        <v>859.0</v>
      </c>
      <c r="CL920" s="58" t="s">
        <v>9410</v>
      </c>
      <c r="CM920" s="58" t="s">
        <v>9411</v>
      </c>
      <c r="CO920" s="58" t="s">
        <v>9412</v>
      </c>
      <c r="CP920" s="58" t="s">
        <v>9413</v>
      </c>
      <c r="CT920" s="58">
        <v>27.0</v>
      </c>
      <c r="CU920" s="58" t="s">
        <v>239</v>
      </c>
      <c r="DL920" s="58" t="s">
        <v>9414</v>
      </c>
    </row>
    <row r="921" ht="15.75" customHeight="1">
      <c r="B921" s="58" t="s">
        <v>4587</v>
      </c>
      <c r="C921" s="58">
        <v>2021.0</v>
      </c>
      <c r="D921" s="58" t="s">
        <v>9415</v>
      </c>
      <c r="E921" s="58" t="s">
        <v>9416</v>
      </c>
      <c r="F921" s="58" t="s">
        <v>9417</v>
      </c>
      <c r="H921" s="58" t="s">
        <v>9418</v>
      </c>
      <c r="I921" s="58" t="s">
        <v>9419</v>
      </c>
      <c r="K921" s="73">
        <v>44309.0</v>
      </c>
      <c r="Z921" s="58" t="s">
        <v>239</v>
      </c>
      <c r="CH921" s="58" t="s">
        <v>9420</v>
      </c>
      <c r="CI921" s="73">
        <v>44309.0</v>
      </c>
      <c r="CJ921" s="58">
        <v>522.0</v>
      </c>
      <c r="CK921" s="58">
        <v>526.0</v>
      </c>
      <c r="CL921" s="58" t="s">
        <v>9421</v>
      </c>
      <c r="CM921" s="58" t="s">
        <v>9422</v>
      </c>
      <c r="CO921" s="58" t="s">
        <v>9423</v>
      </c>
      <c r="CP921" s="58" t="s">
        <v>9424</v>
      </c>
      <c r="CT921" s="58">
        <v>16.0</v>
      </c>
      <c r="CU921" s="58" t="s">
        <v>239</v>
      </c>
      <c r="DL921" s="58" t="s">
        <v>9425</v>
      </c>
    </row>
    <row r="922" ht="15.75" customHeight="1">
      <c r="B922" s="58" t="s">
        <v>4587</v>
      </c>
      <c r="C922" s="58">
        <v>2019.0</v>
      </c>
      <c r="E922" s="58" t="s">
        <v>9426</v>
      </c>
      <c r="F922" s="58" t="s">
        <v>9427</v>
      </c>
      <c r="H922" s="58" t="s">
        <v>9428</v>
      </c>
      <c r="I922" s="58" t="s">
        <v>9429</v>
      </c>
      <c r="K922" s="73">
        <v>43811.0</v>
      </c>
      <c r="Z922" s="58" t="s">
        <v>239</v>
      </c>
      <c r="CI922" s="73">
        <v>43811.0</v>
      </c>
      <c r="CJ922" s="58">
        <v>1.0</v>
      </c>
      <c r="CK922" s="58">
        <v>107.0</v>
      </c>
      <c r="CL922" s="58" t="s">
        <v>9426</v>
      </c>
      <c r="CM922" s="58" t="s">
        <v>9430</v>
      </c>
      <c r="CO922" s="58" t="s">
        <v>9431</v>
      </c>
      <c r="CU922" s="58" t="s">
        <v>239</v>
      </c>
      <c r="DL922" s="58" t="s">
        <v>9432</v>
      </c>
    </row>
    <row r="923" ht="15.75" customHeight="1">
      <c r="B923" s="58" t="s">
        <v>4587</v>
      </c>
      <c r="C923" s="58">
        <v>2021.0</v>
      </c>
      <c r="D923" s="58" t="s">
        <v>9433</v>
      </c>
      <c r="E923" s="58" t="s">
        <v>9434</v>
      </c>
      <c r="F923" s="58" t="s">
        <v>9435</v>
      </c>
      <c r="I923" s="58" t="s">
        <v>9436</v>
      </c>
      <c r="K923" s="73">
        <v>44487.0</v>
      </c>
      <c r="Z923" s="58" t="s">
        <v>239</v>
      </c>
      <c r="CH923" s="58" t="s">
        <v>9437</v>
      </c>
      <c r="CI923" s="73">
        <v>44487.0</v>
      </c>
      <c r="CJ923" s="58">
        <v>1.0</v>
      </c>
      <c r="CK923" s="58">
        <v>5.0</v>
      </c>
      <c r="CL923" s="58" t="s">
        <v>9438</v>
      </c>
      <c r="CM923" s="58" t="s">
        <v>9439</v>
      </c>
      <c r="CN923" s="58" t="s">
        <v>9440</v>
      </c>
      <c r="CO923" s="58" t="s">
        <v>9441</v>
      </c>
      <c r="CP923" s="58" t="s">
        <v>9442</v>
      </c>
      <c r="CT923" s="58">
        <v>13.0</v>
      </c>
      <c r="CU923" s="58" t="s">
        <v>8095</v>
      </c>
      <c r="DL923" s="58" t="s">
        <v>9443</v>
      </c>
    </row>
    <row r="924" ht="15.75" customHeight="1">
      <c r="B924" s="58" t="s">
        <v>4587</v>
      </c>
      <c r="C924" s="58">
        <v>2020.0</v>
      </c>
      <c r="D924" s="58" t="s">
        <v>9444</v>
      </c>
      <c r="E924" s="58" t="s">
        <v>9445</v>
      </c>
      <c r="F924" s="58" t="s">
        <v>7706</v>
      </c>
      <c r="I924" s="58" t="s">
        <v>9446</v>
      </c>
      <c r="K924" s="73">
        <v>44245.0</v>
      </c>
      <c r="Z924" s="58" t="s">
        <v>239</v>
      </c>
      <c r="CH924" s="58" t="s">
        <v>9447</v>
      </c>
      <c r="CI924" s="73">
        <v>44245.0</v>
      </c>
      <c r="CJ924" s="58">
        <v>1748.0</v>
      </c>
      <c r="CK924" s="58">
        <v>1753.0</v>
      </c>
      <c r="CL924" s="58" t="s">
        <v>9448</v>
      </c>
      <c r="CM924" s="58" t="s">
        <v>7710</v>
      </c>
      <c r="CO924" s="58" t="s">
        <v>9449</v>
      </c>
      <c r="CP924" s="58" t="s">
        <v>9450</v>
      </c>
      <c r="CT924" s="58">
        <v>18.0</v>
      </c>
      <c r="CU924" s="58" t="s">
        <v>239</v>
      </c>
      <c r="DL924" s="58" t="s">
        <v>9451</v>
      </c>
    </row>
    <row r="925" ht="15.75" customHeight="1">
      <c r="B925" s="58" t="s">
        <v>4587</v>
      </c>
      <c r="C925" s="58">
        <v>2022.0</v>
      </c>
      <c r="D925" s="58" t="s">
        <v>9452</v>
      </c>
      <c r="E925" s="58" t="s">
        <v>9453</v>
      </c>
      <c r="F925" s="58" t="s">
        <v>6725</v>
      </c>
      <c r="H925" s="58" t="s">
        <v>6726</v>
      </c>
      <c r="I925" s="58" t="s">
        <v>9454</v>
      </c>
      <c r="K925" s="73">
        <v>44993.0</v>
      </c>
      <c r="Z925" s="58" t="s">
        <v>239</v>
      </c>
      <c r="CH925" s="58" t="s">
        <v>9455</v>
      </c>
      <c r="CI925" s="73">
        <v>44993.0</v>
      </c>
      <c r="CJ925" s="58">
        <v>1.0</v>
      </c>
      <c r="CK925" s="58">
        <v>75.0</v>
      </c>
      <c r="CL925" s="58" t="s">
        <v>9456</v>
      </c>
      <c r="CM925" s="58" t="s">
        <v>6730</v>
      </c>
      <c r="CO925" s="58" t="s">
        <v>9457</v>
      </c>
      <c r="CP925" s="58" t="s">
        <v>9458</v>
      </c>
      <c r="CT925" s="58">
        <v>53.0</v>
      </c>
      <c r="CU925" s="58" t="s">
        <v>239</v>
      </c>
      <c r="DL925" s="58" t="s">
        <v>9459</v>
      </c>
    </row>
    <row r="926" ht="15.75" customHeight="1">
      <c r="B926" s="58" t="s">
        <v>4587</v>
      </c>
      <c r="C926" s="58">
        <v>2022.0</v>
      </c>
      <c r="D926" s="58" t="s">
        <v>9460</v>
      </c>
      <c r="E926" s="58" t="s">
        <v>9461</v>
      </c>
      <c r="F926" s="58" t="s">
        <v>7110</v>
      </c>
      <c r="I926" s="58" t="s">
        <v>9462</v>
      </c>
      <c r="K926" s="73">
        <v>44999.0</v>
      </c>
      <c r="Z926" s="58" t="s">
        <v>239</v>
      </c>
      <c r="CH926" s="58" t="s">
        <v>9463</v>
      </c>
      <c r="CI926" s="73">
        <v>44999.0</v>
      </c>
      <c r="CJ926" s="58">
        <v>201.0</v>
      </c>
      <c r="CK926" s="58">
        <v>206.0</v>
      </c>
      <c r="CL926" s="58" t="s">
        <v>9464</v>
      </c>
      <c r="CM926" s="58" t="s">
        <v>7114</v>
      </c>
      <c r="CO926" s="58" t="s">
        <v>9465</v>
      </c>
      <c r="CP926" s="58" t="s">
        <v>9466</v>
      </c>
      <c r="CT926" s="58">
        <v>24.0</v>
      </c>
      <c r="CU926" s="58" t="s">
        <v>239</v>
      </c>
      <c r="DL926" s="58" t="s">
        <v>9467</v>
      </c>
    </row>
    <row r="927" ht="15.75" customHeight="1">
      <c r="B927" s="58" t="s">
        <v>4587</v>
      </c>
      <c r="C927" s="58">
        <v>2022.0</v>
      </c>
      <c r="D927" s="58" t="s">
        <v>9468</v>
      </c>
      <c r="E927" s="58" t="s">
        <v>9469</v>
      </c>
      <c r="F927" s="58" t="s">
        <v>6199</v>
      </c>
      <c r="H927" s="58" t="s">
        <v>5264</v>
      </c>
      <c r="I927" s="58" t="s">
        <v>9470</v>
      </c>
      <c r="K927" s="73">
        <v>44721.0</v>
      </c>
      <c r="Z927" s="58" t="s">
        <v>239</v>
      </c>
      <c r="CH927" s="58" t="s">
        <v>9471</v>
      </c>
      <c r="CI927" s="73">
        <v>44721.0</v>
      </c>
      <c r="CJ927" s="58">
        <v>1.0</v>
      </c>
      <c r="CK927" s="58">
        <v>10.0</v>
      </c>
      <c r="CL927" s="58" t="s">
        <v>9472</v>
      </c>
      <c r="CM927" s="58" t="s">
        <v>6203</v>
      </c>
      <c r="CO927" s="58" t="s">
        <v>9473</v>
      </c>
      <c r="CP927" s="58" t="s">
        <v>9474</v>
      </c>
      <c r="CT927" s="58">
        <v>54.0</v>
      </c>
      <c r="CU927" s="58" t="s">
        <v>239</v>
      </c>
      <c r="DL927" s="58" t="s">
        <v>9475</v>
      </c>
    </row>
    <row r="928" ht="15.75" customHeight="1">
      <c r="B928" s="58" t="s">
        <v>4587</v>
      </c>
      <c r="C928" s="58">
        <v>2021.0</v>
      </c>
      <c r="E928" s="58" t="s">
        <v>9476</v>
      </c>
      <c r="F928" s="58" t="s">
        <v>9477</v>
      </c>
      <c r="I928" s="58" t="s">
        <v>9478</v>
      </c>
      <c r="K928" s="73">
        <v>44494.0</v>
      </c>
      <c r="Z928" s="58" t="s">
        <v>239</v>
      </c>
      <c r="CI928" s="73">
        <v>44494.0</v>
      </c>
      <c r="CJ928" s="58">
        <v>1.0</v>
      </c>
      <c r="CK928" s="58">
        <v>102.0</v>
      </c>
      <c r="CL928" s="58" t="s">
        <v>9479</v>
      </c>
      <c r="CM928" s="58" t="s">
        <v>9480</v>
      </c>
      <c r="CO928" s="58" t="s">
        <v>9481</v>
      </c>
      <c r="CU928" s="58" t="s">
        <v>239</v>
      </c>
    </row>
    <row r="929" ht="15.75" customHeight="1">
      <c r="B929" s="58" t="s">
        <v>4587</v>
      </c>
      <c r="C929" s="58">
        <v>2022.0</v>
      </c>
      <c r="D929" s="58" t="s">
        <v>9482</v>
      </c>
      <c r="E929" s="58" t="s">
        <v>9483</v>
      </c>
      <c r="F929" s="58" t="s">
        <v>9484</v>
      </c>
      <c r="I929" s="58" t="s">
        <v>9485</v>
      </c>
      <c r="K929" s="73">
        <v>44713.0</v>
      </c>
      <c r="Z929" s="58" t="s">
        <v>239</v>
      </c>
      <c r="CH929" s="58" t="s">
        <v>9486</v>
      </c>
      <c r="CI929" s="73">
        <v>44713.0</v>
      </c>
      <c r="CJ929" s="58">
        <v>857.0</v>
      </c>
      <c r="CK929" s="58">
        <v>861.0</v>
      </c>
      <c r="CL929" s="58" t="s">
        <v>9487</v>
      </c>
      <c r="CM929" s="58" t="s">
        <v>9488</v>
      </c>
      <c r="CO929" s="58" t="s">
        <v>9489</v>
      </c>
      <c r="CP929" s="58" t="s">
        <v>9490</v>
      </c>
      <c r="CT929" s="58">
        <v>11.0</v>
      </c>
      <c r="CU929" s="58" t="s">
        <v>239</v>
      </c>
      <c r="DL929" s="58" t="s">
        <v>9491</v>
      </c>
    </row>
    <row r="930" ht="15.75" customHeight="1">
      <c r="B930" s="58" t="s">
        <v>4587</v>
      </c>
      <c r="C930" s="58">
        <v>2018.0</v>
      </c>
      <c r="D930" s="58" t="s">
        <v>9492</v>
      </c>
      <c r="E930" s="58" t="s">
        <v>9493</v>
      </c>
      <c r="F930" s="58" t="s">
        <v>9494</v>
      </c>
      <c r="H930" s="58" t="s">
        <v>9495</v>
      </c>
      <c r="I930" s="58" t="s">
        <v>9496</v>
      </c>
      <c r="K930" s="73">
        <v>43454.0</v>
      </c>
      <c r="Z930" s="58" t="s">
        <v>239</v>
      </c>
      <c r="CH930" s="58" t="s">
        <v>9497</v>
      </c>
      <c r="CI930" s="73">
        <v>43454.0</v>
      </c>
      <c r="CJ930" s="58">
        <v>1.0</v>
      </c>
      <c r="CK930" s="58">
        <v>4.0</v>
      </c>
      <c r="CL930" s="58" t="s">
        <v>9498</v>
      </c>
      <c r="CM930" s="58" t="s">
        <v>9499</v>
      </c>
      <c r="CO930" s="58" t="s">
        <v>9500</v>
      </c>
      <c r="CP930" s="58" t="s">
        <v>9501</v>
      </c>
      <c r="CT930" s="58">
        <v>23.0</v>
      </c>
      <c r="CU930" s="58" t="s">
        <v>239</v>
      </c>
      <c r="DL930" s="58" t="s">
        <v>9502</v>
      </c>
    </row>
    <row r="931" ht="15.75" customHeight="1">
      <c r="B931" s="58" t="s">
        <v>4587</v>
      </c>
      <c r="C931" s="58">
        <v>2020.0</v>
      </c>
      <c r="D931" s="58" t="s">
        <v>9503</v>
      </c>
      <c r="E931" s="58" t="s">
        <v>9504</v>
      </c>
      <c r="F931" s="58" t="s">
        <v>9505</v>
      </c>
      <c r="I931" s="58" t="s">
        <v>9506</v>
      </c>
      <c r="K931" s="73">
        <v>44242.0</v>
      </c>
      <c r="Z931" s="58" t="s">
        <v>239</v>
      </c>
      <c r="CH931" s="58" t="s">
        <v>9507</v>
      </c>
      <c r="CI931" s="73">
        <v>44242.0</v>
      </c>
      <c r="CJ931" s="58">
        <v>403.0</v>
      </c>
      <c r="CK931" s="58">
        <v>408.0</v>
      </c>
      <c r="CL931" s="58" t="s">
        <v>9508</v>
      </c>
      <c r="CM931" s="58" t="s">
        <v>9509</v>
      </c>
      <c r="CO931" s="58" t="s">
        <v>9510</v>
      </c>
      <c r="CP931" s="58" t="s">
        <v>9511</v>
      </c>
      <c r="CT931" s="58">
        <v>18.0</v>
      </c>
      <c r="CU931" s="58" t="s">
        <v>239</v>
      </c>
      <c r="DL931" s="58" t="s">
        <v>9512</v>
      </c>
    </row>
    <row r="932" ht="15.75" customHeight="1">
      <c r="B932" s="58" t="s">
        <v>4587</v>
      </c>
      <c r="C932" s="58">
        <v>2021.0</v>
      </c>
      <c r="D932" s="58" t="s">
        <v>9513</v>
      </c>
      <c r="E932" s="58" t="s">
        <v>9514</v>
      </c>
      <c r="F932" s="58" t="s">
        <v>9023</v>
      </c>
      <c r="H932" s="58" t="s">
        <v>9024</v>
      </c>
      <c r="I932" s="58" t="s">
        <v>9515</v>
      </c>
      <c r="K932" s="73">
        <v>44587.0</v>
      </c>
      <c r="Z932" s="58" t="s">
        <v>239</v>
      </c>
      <c r="CH932" s="58" t="s">
        <v>9516</v>
      </c>
      <c r="CI932" s="73">
        <v>44587.0</v>
      </c>
      <c r="CJ932" s="58">
        <v>490.0</v>
      </c>
      <c r="CK932" s="58">
        <v>495.0</v>
      </c>
      <c r="CL932" s="58" t="s">
        <v>9517</v>
      </c>
      <c r="CM932" s="58" t="s">
        <v>9028</v>
      </c>
      <c r="CN932" s="58" t="s">
        <v>9518</v>
      </c>
      <c r="CO932" s="58" t="s">
        <v>9519</v>
      </c>
      <c r="CP932" s="58" t="s">
        <v>9520</v>
      </c>
      <c r="CT932" s="58">
        <v>11.0</v>
      </c>
      <c r="CU932" s="58" t="s">
        <v>239</v>
      </c>
      <c r="DL932" s="58" t="s">
        <v>9521</v>
      </c>
    </row>
    <row r="933" ht="15.75" customHeight="1">
      <c r="B933" s="58" t="s">
        <v>9522</v>
      </c>
      <c r="C933" s="58">
        <v>2022.0</v>
      </c>
      <c r="D933" s="58" t="s">
        <v>9523</v>
      </c>
      <c r="E933" s="58" t="s">
        <v>9524</v>
      </c>
      <c r="F933" s="58" t="s">
        <v>9525</v>
      </c>
      <c r="I933" s="58" t="s">
        <v>9526</v>
      </c>
      <c r="K933" s="73">
        <v>44970.0</v>
      </c>
      <c r="R933" s="58">
        <v>2022.0</v>
      </c>
      <c r="Z933" s="58" t="s">
        <v>9527</v>
      </c>
      <c r="CH933" s="58" t="s">
        <v>9528</v>
      </c>
      <c r="CI933" s="73">
        <v>44970.0</v>
      </c>
      <c r="CJ933" s="58">
        <v>811.0</v>
      </c>
      <c r="CK933" s="58">
        <v>826.0</v>
      </c>
      <c r="CL933" s="58" t="s">
        <v>9529</v>
      </c>
      <c r="CM933" s="58" t="s">
        <v>9530</v>
      </c>
      <c r="CO933" s="58" t="s">
        <v>9531</v>
      </c>
    </row>
    <row r="934" ht="15.75" customHeight="1">
      <c r="B934" s="58" t="s">
        <v>4587</v>
      </c>
      <c r="C934" s="58">
        <v>2022.0</v>
      </c>
      <c r="D934" s="58" t="s">
        <v>9532</v>
      </c>
      <c r="E934" s="58" t="s">
        <v>9533</v>
      </c>
      <c r="F934" s="58" t="s">
        <v>9534</v>
      </c>
      <c r="I934" s="58" t="s">
        <v>9535</v>
      </c>
      <c r="K934" s="73">
        <v>44908.0</v>
      </c>
      <c r="Z934" s="58" t="s">
        <v>239</v>
      </c>
      <c r="CH934" s="58" t="s">
        <v>9536</v>
      </c>
      <c r="CI934" s="73">
        <v>44908.0</v>
      </c>
      <c r="CJ934" s="58">
        <v>105.0</v>
      </c>
      <c r="CK934" s="58">
        <v>112.0</v>
      </c>
      <c r="CL934" s="58" t="s">
        <v>9537</v>
      </c>
      <c r="CM934" s="58" t="s">
        <v>9538</v>
      </c>
      <c r="CN934" s="58" t="s">
        <v>9539</v>
      </c>
      <c r="CO934" s="58" t="s">
        <v>9540</v>
      </c>
      <c r="CP934" s="58" t="s">
        <v>9541</v>
      </c>
      <c r="CT934" s="58">
        <v>24.0</v>
      </c>
      <c r="CU934" s="58" t="s">
        <v>239</v>
      </c>
      <c r="DL934" s="58" t="s">
        <v>9542</v>
      </c>
    </row>
    <row r="935" ht="15.75" customHeight="1">
      <c r="B935" s="58" t="s">
        <v>4587</v>
      </c>
      <c r="C935" s="58">
        <v>2022.0</v>
      </c>
      <c r="D935" s="58" t="s">
        <v>9543</v>
      </c>
      <c r="E935" s="58" t="s">
        <v>9544</v>
      </c>
      <c r="F935" s="58" t="s">
        <v>9484</v>
      </c>
      <c r="I935" s="58" t="s">
        <v>9545</v>
      </c>
      <c r="K935" s="73">
        <v>44713.0</v>
      </c>
      <c r="Z935" s="58" t="s">
        <v>239</v>
      </c>
      <c r="CH935" s="58" t="s">
        <v>9546</v>
      </c>
      <c r="CI935" s="73">
        <v>44713.0</v>
      </c>
      <c r="CJ935" s="58">
        <v>1154.0</v>
      </c>
      <c r="CK935" s="58">
        <v>1159.0</v>
      </c>
      <c r="CL935" s="58" t="s">
        <v>9547</v>
      </c>
      <c r="CM935" s="58" t="s">
        <v>9488</v>
      </c>
      <c r="CO935" s="58" t="s">
        <v>9548</v>
      </c>
      <c r="CP935" s="58" t="s">
        <v>9549</v>
      </c>
      <c r="CT935" s="58">
        <v>15.0</v>
      </c>
      <c r="CU935" s="58" t="s">
        <v>239</v>
      </c>
      <c r="DL935" s="58" t="s">
        <v>9550</v>
      </c>
    </row>
    <row r="936" ht="15.75" customHeight="1">
      <c r="B936" s="58" t="s">
        <v>4587</v>
      </c>
      <c r="C936" s="58">
        <v>2022.0</v>
      </c>
      <c r="D936" s="58" t="s">
        <v>9551</v>
      </c>
      <c r="E936" s="58" t="s">
        <v>9552</v>
      </c>
      <c r="F936" s="58" t="s">
        <v>9553</v>
      </c>
      <c r="I936" s="58" t="s">
        <v>9554</v>
      </c>
      <c r="K936" s="73">
        <v>44813.0</v>
      </c>
      <c r="Z936" s="58" t="s">
        <v>239</v>
      </c>
      <c r="CH936" s="58" t="s">
        <v>9555</v>
      </c>
      <c r="CI936" s="73">
        <v>44813.0</v>
      </c>
      <c r="CJ936" s="58">
        <v>1.0</v>
      </c>
      <c r="CK936" s="58">
        <v>7.0</v>
      </c>
      <c r="CL936" s="58" t="s">
        <v>9556</v>
      </c>
      <c r="CM936" s="58" t="s">
        <v>9557</v>
      </c>
      <c r="CO936" s="58" t="s">
        <v>9558</v>
      </c>
      <c r="CP936" s="58" t="s">
        <v>9559</v>
      </c>
      <c r="CT936" s="58">
        <v>26.0</v>
      </c>
      <c r="CU936" s="58" t="s">
        <v>239</v>
      </c>
      <c r="DL936" s="58" t="s">
        <v>9560</v>
      </c>
    </row>
    <row r="937" ht="15.75" customHeight="1">
      <c r="B937" s="58" t="s">
        <v>4587</v>
      </c>
      <c r="C937" s="58">
        <v>2022.0</v>
      </c>
      <c r="D937" s="58" t="s">
        <v>9561</v>
      </c>
      <c r="E937" s="58" t="s">
        <v>9562</v>
      </c>
      <c r="F937" s="58" t="s">
        <v>6270</v>
      </c>
      <c r="H937" s="58" t="s">
        <v>5095</v>
      </c>
      <c r="I937" s="58" t="s">
        <v>9563</v>
      </c>
      <c r="K937" s="73">
        <v>44750.0</v>
      </c>
      <c r="Z937" s="58" t="s">
        <v>239</v>
      </c>
      <c r="CH937" s="58" t="s">
        <v>9564</v>
      </c>
      <c r="CI937" s="73">
        <v>44750.0</v>
      </c>
      <c r="CJ937" s="58">
        <v>285.0</v>
      </c>
      <c r="CK937" s="58">
        <v>290.0</v>
      </c>
      <c r="CL937" s="58" t="s">
        <v>9565</v>
      </c>
      <c r="CM937" s="58" t="s">
        <v>6274</v>
      </c>
      <c r="CO937" s="58" t="s">
        <v>9566</v>
      </c>
      <c r="CP937" s="58" t="s">
        <v>9567</v>
      </c>
      <c r="CT937" s="58">
        <v>18.0</v>
      </c>
      <c r="CU937" s="58" t="s">
        <v>239</v>
      </c>
      <c r="DL937" s="58" t="s">
        <v>9568</v>
      </c>
    </row>
    <row r="938" ht="15.75" customHeight="1">
      <c r="B938" s="58" t="s">
        <v>4587</v>
      </c>
      <c r="C938" s="58">
        <v>2021.0</v>
      </c>
      <c r="D938" s="58" t="s">
        <v>9569</v>
      </c>
      <c r="E938" s="58" t="s">
        <v>9570</v>
      </c>
      <c r="F938" s="58" t="s">
        <v>9571</v>
      </c>
      <c r="I938" s="58" t="s">
        <v>9572</v>
      </c>
      <c r="K938" s="73">
        <v>44617.0</v>
      </c>
      <c r="Z938" s="58" t="s">
        <v>239</v>
      </c>
      <c r="CH938" s="58" t="s">
        <v>9573</v>
      </c>
      <c r="CI938" s="73">
        <v>44617.0</v>
      </c>
      <c r="CJ938" s="58">
        <v>2221.0</v>
      </c>
      <c r="CK938" s="58">
        <v>2225.0</v>
      </c>
      <c r="CL938" s="58" t="s">
        <v>9574</v>
      </c>
      <c r="CM938" s="58" t="s">
        <v>9575</v>
      </c>
      <c r="CO938" s="58" t="s">
        <v>9576</v>
      </c>
      <c r="CP938" s="58" t="s">
        <v>9577</v>
      </c>
      <c r="CT938" s="58">
        <v>13.0</v>
      </c>
      <c r="CU938" s="58" t="s">
        <v>239</v>
      </c>
      <c r="DL938" s="58" t="s">
        <v>9578</v>
      </c>
    </row>
    <row r="939" ht="15.75" customHeight="1">
      <c r="B939" s="58" t="s">
        <v>4587</v>
      </c>
      <c r="C939" s="58">
        <v>2022.0</v>
      </c>
      <c r="D939" s="58" t="s">
        <v>9579</v>
      </c>
      <c r="E939" s="58" t="s">
        <v>9580</v>
      </c>
      <c r="F939" s="58" t="s">
        <v>9581</v>
      </c>
      <c r="H939" s="58" t="s">
        <v>9582</v>
      </c>
      <c r="I939" s="58" t="s">
        <v>9583</v>
      </c>
      <c r="K939" s="73">
        <v>44866.0</v>
      </c>
      <c r="Z939" s="58" t="s">
        <v>239</v>
      </c>
      <c r="CH939" s="58" t="s">
        <v>9584</v>
      </c>
      <c r="CI939" s="73">
        <v>44866.0</v>
      </c>
      <c r="CJ939" s="58">
        <v>1.0</v>
      </c>
      <c r="CK939" s="58">
        <v>6.0</v>
      </c>
      <c r="CL939" s="58" t="s">
        <v>9585</v>
      </c>
      <c r="CM939" s="58" t="s">
        <v>9586</v>
      </c>
      <c r="CO939" s="58" t="s">
        <v>9587</v>
      </c>
      <c r="CP939" s="58" t="s">
        <v>9588</v>
      </c>
      <c r="CT939" s="58">
        <v>20.0</v>
      </c>
      <c r="CU939" s="58" t="s">
        <v>239</v>
      </c>
      <c r="DL939" s="58" t="s">
        <v>9589</v>
      </c>
    </row>
    <row r="940" ht="15.75" customHeight="1">
      <c r="B940" s="58" t="s">
        <v>4587</v>
      </c>
      <c r="C940" s="58">
        <v>2021.0</v>
      </c>
      <c r="D940" s="58" t="s">
        <v>9590</v>
      </c>
      <c r="E940" s="58" t="s">
        <v>9591</v>
      </c>
      <c r="F940" s="58" t="s">
        <v>9592</v>
      </c>
      <c r="I940" s="58" t="s">
        <v>9593</v>
      </c>
      <c r="K940" s="73">
        <v>44711.0</v>
      </c>
      <c r="Z940" s="58" t="s">
        <v>239</v>
      </c>
      <c r="CH940" s="58" t="s">
        <v>9594</v>
      </c>
      <c r="CI940" s="73">
        <v>44711.0</v>
      </c>
      <c r="CJ940" s="58">
        <v>2028.0</v>
      </c>
      <c r="CK940" s="58">
        <v>2033.0</v>
      </c>
      <c r="CL940" s="58" t="s">
        <v>9595</v>
      </c>
      <c r="CM940" s="58" t="s">
        <v>9596</v>
      </c>
      <c r="CN940" s="58" t="s">
        <v>9597</v>
      </c>
      <c r="CO940" s="58" t="s">
        <v>9598</v>
      </c>
      <c r="CP940" s="58" t="s">
        <v>9599</v>
      </c>
      <c r="CT940" s="58">
        <v>35.0</v>
      </c>
      <c r="CU940" s="58" t="s">
        <v>239</v>
      </c>
      <c r="DL940" s="58" t="s">
        <v>9600</v>
      </c>
    </row>
    <row r="941" ht="15.75" customHeight="1">
      <c r="B941" s="58" t="s">
        <v>4587</v>
      </c>
      <c r="C941" s="58">
        <v>2020.0</v>
      </c>
      <c r="D941" s="58" t="s">
        <v>9601</v>
      </c>
      <c r="E941" s="58" t="s">
        <v>9602</v>
      </c>
      <c r="F941" s="58" t="s">
        <v>9603</v>
      </c>
      <c r="I941" s="58" t="s">
        <v>9604</v>
      </c>
      <c r="K941" s="73">
        <v>44242.0</v>
      </c>
      <c r="Z941" s="58" t="s">
        <v>239</v>
      </c>
      <c r="CH941" s="58" t="s">
        <v>9605</v>
      </c>
      <c r="CI941" s="73">
        <v>44242.0</v>
      </c>
      <c r="CJ941" s="58">
        <v>273.0</v>
      </c>
      <c r="CK941" s="58">
        <v>280.0</v>
      </c>
      <c r="CL941" s="58" t="s">
        <v>9606</v>
      </c>
      <c r="CM941" s="58" t="s">
        <v>9607</v>
      </c>
      <c r="CO941" s="58" t="s">
        <v>9608</v>
      </c>
      <c r="CP941" s="58" t="s">
        <v>9609</v>
      </c>
      <c r="CT941" s="58">
        <v>19.0</v>
      </c>
      <c r="CU941" s="58" t="s">
        <v>239</v>
      </c>
      <c r="DL941" s="58" t="s">
        <v>9610</v>
      </c>
    </row>
    <row r="942" ht="15.75" customHeight="1">
      <c r="B942" s="58" t="s">
        <v>4587</v>
      </c>
      <c r="C942" s="58">
        <v>2020.0</v>
      </c>
      <c r="D942" s="58" t="s">
        <v>9611</v>
      </c>
      <c r="E942" s="58" t="s">
        <v>9612</v>
      </c>
      <c r="F942" s="58" t="s">
        <v>9603</v>
      </c>
      <c r="I942" s="58" t="s">
        <v>9613</v>
      </c>
      <c r="K942" s="73">
        <v>44242.0</v>
      </c>
      <c r="Z942" s="58" t="s">
        <v>239</v>
      </c>
      <c r="CH942" s="58" t="s">
        <v>9614</v>
      </c>
      <c r="CI942" s="73">
        <v>44242.0</v>
      </c>
      <c r="CJ942" s="58">
        <v>596.0</v>
      </c>
      <c r="CK942" s="58">
        <v>601.0</v>
      </c>
      <c r="CL942" s="58" t="s">
        <v>9615</v>
      </c>
      <c r="CM942" s="58" t="s">
        <v>9607</v>
      </c>
      <c r="CO942" s="58" t="s">
        <v>9616</v>
      </c>
      <c r="CP942" s="58" t="s">
        <v>9617</v>
      </c>
      <c r="CT942" s="58">
        <v>13.0</v>
      </c>
      <c r="CU942" s="58" t="s">
        <v>239</v>
      </c>
      <c r="DL942" s="58" t="s">
        <v>9618</v>
      </c>
    </row>
    <row r="943" ht="15.75" customHeight="1">
      <c r="B943" s="58" t="s">
        <v>4587</v>
      </c>
      <c r="C943" s="58">
        <v>2021.0</v>
      </c>
      <c r="D943" s="58" t="s">
        <v>9619</v>
      </c>
      <c r="E943" s="58" t="s">
        <v>9620</v>
      </c>
      <c r="F943" s="58" t="s">
        <v>9621</v>
      </c>
      <c r="I943" s="58" t="s">
        <v>9622</v>
      </c>
      <c r="K943" s="73">
        <v>44323.0</v>
      </c>
      <c r="Z943" s="58" t="s">
        <v>239</v>
      </c>
      <c r="CH943" s="58" t="s">
        <v>9623</v>
      </c>
      <c r="CI943" s="73">
        <v>44323.0</v>
      </c>
      <c r="CJ943" s="58">
        <v>196.0</v>
      </c>
      <c r="CK943" s="58">
        <v>203.0</v>
      </c>
      <c r="CL943" s="58" t="s">
        <v>9624</v>
      </c>
      <c r="CM943" s="58" t="s">
        <v>9625</v>
      </c>
      <c r="CO943" s="58" t="s">
        <v>9626</v>
      </c>
      <c r="CP943" s="58" t="s">
        <v>9627</v>
      </c>
      <c r="CT943" s="58">
        <v>20.0</v>
      </c>
      <c r="CU943" s="58" t="s">
        <v>239</v>
      </c>
      <c r="DL943" s="58" t="s">
        <v>9628</v>
      </c>
    </row>
    <row r="944" ht="15.75" customHeight="1">
      <c r="B944" s="58" t="s">
        <v>4587</v>
      </c>
      <c r="C944" s="58">
        <v>2020.0</v>
      </c>
      <c r="D944" s="58" t="s">
        <v>9629</v>
      </c>
      <c r="E944" s="58" t="s">
        <v>9630</v>
      </c>
      <c r="F944" s="58" t="s">
        <v>9631</v>
      </c>
      <c r="I944" s="58" t="s">
        <v>9632</v>
      </c>
      <c r="K944" s="73">
        <v>44209.0</v>
      </c>
      <c r="Z944" s="58" t="s">
        <v>239</v>
      </c>
      <c r="CH944" s="58" t="s">
        <v>9633</v>
      </c>
      <c r="CI944" s="73">
        <v>44209.0</v>
      </c>
      <c r="CJ944" s="58">
        <v>428.0</v>
      </c>
      <c r="CK944" s="58">
        <v>432.0</v>
      </c>
      <c r="CL944" s="58" t="s">
        <v>9634</v>
      </c>
      <c r="CM944" s="58" t="s">
        <v>9635</v>
      </c>
      <c r="CO944" s="58" t="s">
        <v>9636</v>
      </c>
      <c r="CP944" s="58" t="s">
        <v>9637</v>
      </c>
      <c r="CT944" s="58">
        <v>13.0</v>
      </c>
      <c r="CU944" s="58" t="s">
        <v>239</v>
      </c>
      <c r="DL944" s="58" t="s">
        <v>9638</v>
      </c>
    </row>
    <row r="945" ht="15.75" customHeight="1">
      <c r="B945" s="58" t="s">
        <v>4587</v>
      </c>
      <c r="C945" s="58">
        <v>2021.0</v>
      </c>
      <c r="D945" s="58" t="s">
        <v>9639</v>
      </c>
      <c r="E945" s="58" t="s">
        <v>9640</v>
      </c>
      <c r="F945" s="58" t="s">
        <v>7937</v>
      </c>
      <c r="I945" s="58" t="s">
        <v>9641</v>
      </c>
      <c r="K945" s="73">
        <v>44519.0</v>
      </c>
      <c r="Z945" s="58" t="s">
        <v>239</v>
      </c>
      <c r="CH945" s="58" t="s">
        <v>9642</v>
      </c>
      <c r="CI945" s="73">
        <v>44519.0</v>
      </c>
      <c r="CJ945" s="58">
        <v>147.0</v>
      </c>
      <c r="CK945" s="58">
        <v>152.0</v>
      </c>
      <c r="CL945" s="58" t="s">
        <v>9643</v>
      </c>
      <c r="CM945" s="58" t="s">
        <v>7941</v>
      </c>
      <c r="CO945" s="58" t="s">
        <v>9644</v>
      </c>
      <c r="CP945" s="58" t="s">
        <v>9645</v>
      </c>
      <c r="CT945" s="58">
        <v>9.0</v>
      </c>
      <c r="CU945" s="58" t="s">
        <v>239</v>
      </c>
      <c r="DL945" s="58" t="s">
        <v>9646</v>
      </c>
    </row>
    <row r="946" ht="15.75" customHeight="1">
      <c r="B946" s="58" t="s">
        <v>4587</v>
      </c>
      <c r="C946" s="58">
        <v>2018.0</v>
      </c>
      <c r="D946" s="58" t="s">
        <v>9647</v>
      </c>
      <c r="E946" s="58" t="s">
        <v>9648</v>
      </c>
      <c r="F946" s="58" t="s">
        <v>9649</v>
      </c>
      <c r="H946" s="58" t="s">
        <v>9650</v>
      </c>
      <c r="I946" s="58" t="s">
        <v>9651</v>
      </c>
      <c r="K946" s="73">
        <v>43482.0</v>
      </c>
      <c r="Z946" s="58" t="s">
        <v>239</v>
      </c>
      <c r="CH946" s="58" t="s">
        <v>9652</v>
      </c>
      <c r="CI946" s="73">
        <v>43482.0</v>
      </c>
      <c r="CJ946" s="58">
        <v>1.0</v>
      </c>
      <c r="CK946" s="58">
        <v>5.0</v>
      </c>
      <c r="CL946" s="58" t="s">
        <v>9653</v>
      </c>
      <c r="CM946" s="58" t="s">
        <v>9654</v>
      </c>
      <c r="CO946" s="58" t="s">
        <v>9655</v>
      </c>
      <c r="CP946" s="58" t="s">
        <v>9656</v>
      </c>
      <c r="CT946" s="58">
        <v>18.0</v>
      </c>
      <c r="CU946" s="58" t="s">
        <v>239</v>
      </c>
      <c r="DL946" s="58" t="s">
        <v>9657</v>
      </c>
    </row>
    <row r="947" ht="15.75" customHeight="1">
      <c r="B947" s="58" t="s">
        <v>4587</v>
      </c>
      <c r="C947" s="58">
        <v>2022.0</v>
      </c>
      <c r="D947" s="58" t="s">
        <v>9658</v>
      </c>
      <c r="E947" s="58" t="s">
        <v>9659</v>
      </c>
      <c r="F947" s="58" t="s">
        <v>9660</v>
      </c>
      <c r="I947" s="58" t="s">
        <v>9661</v>
      </c>
      <c r="K947" s="73">
        <v>45036.0</v>
      </c>
      <c r="Z947" s="58" t="s">
        <v>239</v>
      </c>
      <c r="CH947" s="58" t="s">
        <v>9662</v>
      </c>
      <c r="CI947" s="73">
        <v>45036.0</v>
      </c>
      <c r="CJ947" s="58">
        <v>148.0</v>
      </c>
      <c r="CK947" s="58">
        <v>152.0</v>
      </c>
      <c r="CL947" s="58" t="s">
        <v>9663</v>
      </c>
      <c r="CM947" s="58" t="s">
        <v>9664</v>
      </c>
      <c r="CO947" s="58" t="s">
        <v>9665</v>
      </c>
      <c r="CP947" s="58" t="s">
        <v>9666</v>
      </c>
      <c r="CT947" s="58">
        <v>10.0</v>
      </c>
      <c r="CU947" s="58" t="s">
        <v>239</v>
      </c>
      <c r="DL947" s="58" t="s">
        <v>9667</v>
      </c>
    </row>
    <row r="948" ht="15.75" customHeight="1">
      <c r="B948" s="58" t="s">
        <v>4587</v>
      </c>
      <c r="C948" s="58">
        <v>2017.0</v>
      </c>
      <c r="D948" s="58" t="s">
        <v>9668</v>
      </c>
      <c r="E948" s="58" t="s">
        <v>9669</v>
      </c>
      <c r="F948" s="58" t="s">
        <v>9670</v>
      </c>
      <c r="I948" s="58" t="s">
        <v>9671</v>
      </c>
      <c r="K948" s="73">
        <v>43279.0</v>
      </c>
      <c r="Z948" s="58" t="s">
        <v>239</v>
      </c>
      <c r="CH948" s="58" t="s">
        <v>9672</v>
      </c>
      <c r="CI948" s="73">
        <v>43279.0</v>
      </c>
      <c r="CJ948" s="58">
        <v>1.0</v>
      </c>
      <c r="CK948" s="58">
        <v>8.0</v>
      </c>
      <c r="CL948" s="58" t="s">
        <v>9673</v>
      </c>
      <c r="CM948" s="58" t="s">
        <v>9674</v>
      </c>
      <c r="CO948" s="58" t="s">
        <v>9675</v>
      </c>
      <c r="CP948" s="58" t="s">
        <v>9676</v>
      </c>
      <c r="CT948" s="58">
        <v>25.0</v>
      </c>
      <c r="CU948" s="58" t="s">
        <v>239</v>
      </c>
      <c r="DL948" s="58" t="s">
        <v>9677</v>
      </c>
    </row>
    <row r="949" ht="15.75" customHeight="1">
      <c r="B949" s="58" t="s">
        <v>4587</v>
      </c>
      <c r="C949" s="58">
        <v>2022.0</v>
      </c>
      <c r="D949" s="58" t="s">
        <v>9678</v>
      </c>
      <c r="E949" s="58" t="s">
        <v>9679</v>
      </c>
      <c r="F949" s="58" t="s">
        <v>9680</v>
      </c>
      <c r="H949" s="58" t="s">
        <v>9681</v>
      </c>
      <c r="I949" s="58" t="s">
        <v>9682</v>
      </c>
      <c r="K949" s="73">
        <v>44868.0</v>
      </c>
      <c r="Z949" s="58" t="s">
        <v>239</v>
      </c>
      <c r="CH949" s="58" t="s">
        <v>9683</v>
      </c>
      <c r="CI949" s="73">
        <v>44868.0</v>
      </c>
      <c r="CJ949" s="58">
        <v>7.0</v>
      </c>
      <c r="CK949" s="58">
        <v>12.0</v>
      </c>
      <c r="CL949" s="58" t="s">
        <v>9684</v>
      </c>
      <c r="CM949" s="58" t="s">
        <v>9685</v>
      </c>
      <c r="CO949" s="58" t="s">
        <v>9686</v>
      </c>
      <c r="CP949" s="58" t="s">
        <v>9687</v>
      </c>
      <c r="CT949" s="58">
        <v>18.0</v>
      </c>
      <c r="CU949" s="58" t="s">
        <v>239</v>
      </c>
      <c r="DL949" s="58" t="s">
        <v>9688</v>
      </c>
    </row>
    <row r="950" ht="15.75" customHeight="1">
      <c r="B950" s="58" t="s">
        <v>4587</v>
      </c>
      <c r="C950" s="58">
        <v>2021.0</v>
      </c>
      <c r="D950" s="58" t="s">
        <v>9689</v>
      </c>
      <c r="E950" s="58" t="s">
        <v>9690</v>
      </c>
      <c r="F950" s="58" t="s">
        <v>9571</v>
      </c>
      <c r="I950" s="58" t="s">
        <v>9691</v>
      </c>
      <c r="K950" s="73">
        <v>44617.0</v>
      </c>
      <c r="Z950" s="58" t="s">
        <v>239</v>
      </c>
      <c r="CH950" s="58" t="s">
        <v>9692</v>
      </c>
      <c r="CI950" s="73">
        <v>44617.0</v>
      </c>
      <c r="CJ950" s="58">
        <v>3431.0</v>
      </c>
      <c r="CK950" s="58">
        <v>3436.0</v>
      </c>
      <c r="CL950" s="58" t="s">
        <v>9693</v>
      </c>
      <c r="CM950" s="58" t="s">
        <v>9575</v>
      </c>
      <c r="CO950" s="58" t="s">
        <v>9694</v>
      </c>
      <c r="CP950" s="58" t="s">
        <v>9695</v>
      </c>
      <c r="CT950" s="58">
        <v>14.0</v>
      </c>
      <c r="CU950" s="58" t="s">
        <v>239</v>
      </c>
      <c r="DL950" s="58" t="s">
        <v>9696</v>
      </c>
    </row>
    <row r="951" ht="15.75" customHeight="1">
      <c r="B951" s="58" t="s">
        <v>4587</v>
      </c>
      <c r="C951" s="58">
        <v>2019.0</v>
      </c>
      <c r="D951" s="58" t="s">
        <v>9697</v>
      </c>
      <c r="E951" s="58" t="s">
        <v>9698</v>
      </c>
      <c r="F951" s="58" t="s">
        <v>9699</v>
      </c>
      <c r="H951" s="58" t="s">
        <v>9700</v>
      </c>
      <c r="I951" s="58" t="s">
        <v>9701</v>
      </c>
      <c r="K951" s="73">
        <v>43710.0</v>
      </c>
      <c r="Z951" s="58" t="s">
        <v>239</v>
      </c>
      <c r="CH951" s="58" t="s">
        <v>9702</v>
      </c>
      <c r="CI951" s="73">
        <v>43710.0</v>
      </c>
      <c r="CJ951" s="58">
        <v>1693.0</v>
      </c>
      <c r="CK951" s="58">
        <v>1698.0</v>
      </c>
      <c r="CL951" s="58" t="s">
        <v>9703</v>
      </c>
      <c r="CM951" s="58" t="s">
        <v>9704</v>
      </c>
      <c r="CO951" s="58" t="s">
        <v>9705</v>
      </c>
      <c r="CP951" s="58" t="s">
        <v>9706</v>
      </c>
      <c r="CT951" s="58">
        <v>48.0</v>
      </c>
      <c r="CU951" s="58" t="s">
        <v>239</v>
      </c>
      <c r="DL951" s="58" t="s">
        <v>9707</v>
      </c>
    </row>
    <row r="952" ht="15.75" customHeight="1">
      <c r="B952" s="58" t="s">
        <v>4587</v>
      </c>
      <c r="C952" s="58">
        <v>2018.0</v>
      </c>
      <c r="D952" s="58" t="s">
        <v>9708</v>
      </c>
      <c r="E952" s="58" t="s">
        <v>9709</v>
      </c>
      <c r="F952" s="58" t="s">
        <v>9710</v>
      </c>
      <c r="H952" s="58" t="s">
        <v>6260</v>
      </c>
      <c r="I952" s="58" t="s">
        <v>9711</v>
      </c>
      <c r="K952" s="73">
        <v>43363.0</v>
      </c>
      <c r="Z952" s="58" t="s">
        <v>239</v>
      </c>
      <c r="CH952" s="58" t="s">
        <v>9712</v>
      </c>
      <c r="CI952" s="73">
        <v>43363.0</v>
      </c>
      <c r="CJ952" s="58">
        <v>179.0</v>
      </c>
      <c r="CK952" s="58">
        <v>189.0</v>
      </c>
      <c r="CL952" s="58" t="s">
        <v>9713</v>
      </c>
      <c r="CM952" s="58" t="s">
        <v>9714</v>
      </c>
      <c r="CO952" s="58" t="s">
        <v>9715</v>
      </c>
      <c r="CT952" s="58">
        <v>22.0</v>
      </c>
      <c r="DL952" s="58" t="s">
        <v>9716</v>
      </c>
    </row>
    <row r="953" ht="15.75" customHeight="1">
      <c r="B953" s="58" t="s">
        <v>4587</v>
      </c>
      <c r="C953" s="58">
        <v>2019.0</v>
      </c>
      <c r="D953" s="58" t="s">
        <v>9717</v>
      </c>
      <c r="E953" s="58" t="s">
        <v>9718</v>
      </c>
      <c r="F953" s="58" t="s">
        <v>8529</v>
      </c>
      <c r="I953" s="58" t="s">
        <v>9719</v>
      </c>
      <c r="K953" s="73">
        <v>43930.0</v>
      </c>
      <c r="Z953" s="58" t="s">
        <v>239</v>
      </c>
      <c r="CH953" s="58" t="s">
        <v>9720</v>
      </c>
      <c r="CI953" s="73">
        <v>43930.0</v>
      </c>
      <c r="CJ953" s="58">
        <v>1798.0</v>
      </c>
      <c r="CK953" s="58">
        <v>1802.0</v>
      </c>
      <c r="CL953" s="58" t="s">
        <v>9721</v>
      </c>
      <c r="CM953" s="58" t="s">
        <v>8533</v>
      </c>
      <c r="CO953" s="58" t="s">
        <v>9722</v>
      </c>
      <c r="CP953" s="58" t="s">
        <v>9723</v>
      </c>
      <c r="CT953" s="58">
        <v>13.0</v>
      </c>
      <c r="CU953" s="58" t="s">
        <v>239</v>
      </c>
      <c r="DL953" s="58" t="s">
        <v>9724</v>
      </c>
    </row>
    <row r="954" ht="15.75" customHeight="1">
      <c r="B954" s="58" t="s">
        <v>4587</v>
      </c>
      <c r="C954" s="58">
        <v>2021.0</v>
      </c>
      <c r="D954" s="58" t="s">
        <v>9725</v>
      </c>
      <c r="E954" s="58" t="s">
        <v>9726</v>
      </c>
      <c r="F954" s="58" t="s">
        <v>9727</v>
      </c>
      <c r="I954" s="58" t="s">
        <v>9728</v>
      </c>
      <c r="K954" s="73">
        <v>44631.0</v>
      </c>
      <c r="Z954" s="58" t="s">
        <v>239</v>
      </c>
      <c r="CH954" s="58" t="s">
        <v>9729</v>
      </c>
      <c r="CI954" s="73">
        <v>44631.0</v>
      </c>
      <c r="CJ954" s="58">
        <v>387.0</v>
      </c>
      <c r="CK954" s="58">
        <v>392.0</v>
      </c>
      <c r="CL954" s="58" t="s">
        <v>9730</v>
      </c>
      <c r="CM954" s="58" t="s">
        <v>9731</v>
      </c>
      <c r="CO954" s="58" t="s">
        <v>9732</v>
      </c>
      <c r="CP954" s="58" t="s">
        <v>9733</v>
      </c>
      <c r="CT954" s="58">
        <v>14.0</v>
      </c>
      <c r="CU954" s="58" t="s">
        <v>239</v>
      </c>
      <c r="DL954" s="58" t="s">
        <v>9734</v>
      </c>
    </row>
    <row r="955" ht="15.75" customHeight="1">
      <c r="B955" s="58" t="s">
        <v>9522</v>
      </c>
      <c r="C955" s="58">
        <v>2022.0</v>
      </c>
      <c r="D955" s="58" t="s">
        <v>9735</v>
      </c>
      <c r="E955" s="58" t="s">
        <v>9736</v>
      </c>
      <c r="F955" s="58" t="s">
        <v>9737</v>
      </c>
      <c r="I955" s="58" t="s">
        <v>9738</v>
      </c>
      <c r="K955" s="73">
        <v>44876.0</v>
      </c>
      <c r="R955" s="58">
        <v>2022.0</v>
      </c>
      <c r="Z955" s="58" t="s">
        <v>9527</v>
      </c>
      <c r="CH955" s="58" t="s">
        <v>9739</v>
      </c>
      <c r="CI955" s="73">
        <v>44876.0</v>
      </c>
      <c r="CJ955" s="58">
        <v>111.0</v>
      </c>
      <c r="CK955" s="58">
        <v>116.0</v>
      </c>
      <c r="CL955" s="58" t="s">
        <v>9740</v>
      </c>
      <c r="CM955" s="58" t="s">
        <v>9741</v>
      </c>
      <c r="CO955" s="58" t="s">
        <v>9742</v>
      </c>
    </row>
    <row r="956" ht="15.75" customHeight="1">
      <c r="B956" s="58" t="s">
        <v>4587</v>
      </c>
      <c r="C956" s="58">
        <v>2021.0</v>
      </c>
      <c r="D956" s="58" t="s">
        <v>9743</v>
      </c>
      <c r="E956" s="58" t="s">
        <v>9744</v>
      </c>
      <c r="F956" s="58" t="s">
        <v>9745</v>
      </c>
      <c r="I956" s="58" t="s">
        <v>9746</v>
      </c>
      <c r="K956" s="73">
        <v>44404.0</v>
      </c>
      <c r="Z956" s="58" t="s">
        <v>239</v>
      </c>
      <c r="CH956" s="58" t="s">
        <v>9747</v>
      </c>
      <c r="CI956" s="73">
        <v>44404.0</v>
      </c>
      <c r="CJ956" s="58">
        <v>1.0</v>
      </c>
      <c r="CK956" s="58">
        <v>7.0</v>
      </c>
      <c r="CL956" s="58" t="s">
        <v>9748</v>
      </c>
      <c r="CM956" s="58" t="s">
        <v>9749</v>
      </c>
      <c r="CO956" s="58" t="s">
        <v>9750</v>
      </c>
      <c r="CP956" s="58" t="s">
        <v>9751</v>
      </c>
      <c r="CT956" s="58">
        <v>20.0</v>
      </c>
      <c r="CU956" s="58" t="s">
        <v>239</v>
      </c>
      <c r="DL956" s="58" t="s">
        <v>9752</v>
      </c>
    </row>
    <row r="957" ht="15.75" customHeight="1">
      <c r="B957" s="58" t="s">
        <v>4587</v>
      </c>
      <c r="C957" s="58">
        <v>2020.0</v>
      </c>
      <c r="D957" s="58" t="s">
        <v>9753</v>
      </c>
      <c r="E957" s="58" t="s">
        <v>9754</v>
      </c>
      <c r="F957" s="58" t="s">
        <v>9755</v>
      </c>
      <c r="I957" s="58" t="s">
        <v>9756</v>
      </c>
      <c r="K957" s="73">
        <v>44104.0</v>
      </c>
      <c r="Z957" s="58" t="s">
        <v>239</v>
      </c>
      <c r="CH957" s="58" t="s">
        <v>9757</v>
      </c>
      <c r="CI957" s="73">
        <v>44104.0</v>
      </c>
      <c r="CJ957" s="58">
        <v>483.0</v>
      </c>
      <c r="CK957" s="58">
        <v>487.0</v>
      </c>
      <c r="CL957" s="58" t="s">
        <v>9758</v>
      </c>
      <c r="CM957" s="58" t="s">
        <v>9759</v>
      </c>
      <c r="CO957" s="58" t="s">
        <v>9760</v>
      </c>
      <c r="CP957" s="58" t="s">
        <v>9761</v>
      </c>
      <c r="CT957" s="58">
        <v>27.0</v>
      </c>
      <c r="CU957" s="58" t="s">
        <v>239</v>
      </c>
      <c r="DL957" s="58" t="s">
        <v>9762</v>
      </c>
    </row>
    <row r="958" ht="15.75" customHeight="1">
      <c r="B958" s="58" t="s">
        <v>4587</v>
      </c>
      <c r="C958" s="58">
        <v>2020.0</v>
      </c>
      <c r="D958" s="58" t="s">
        <v>9763</v>
      </c>
      <c r="E958" s="58" t="s">
        <v>9764</v>
      </c>
      <c r="F958" s="58" t="s">
        <v>9765</v>
      </c>
      <c r="I958" s="58" t="s">
        <v>9766</v>
      </c>
      <c r="K958" s="73">
        <v>44139.0</v>
      </c>
      <c r="Z958" s="58" t="s">
        <v>239</v>
      </c>
      <c r="CH958" s="58" t="s">
        <v>9767</v>
      </c>
      <c r="CI958" s="73">
        <v>44139.0</v>
      </c>
      <c r="CJ958" s="58">
        <v>1.0</v>
      </c>
      <c r="CK958" s="58">
        <v>7.0</v>
      </c>
      <c r="CL958" s="58" t="s">
        <v>9768</v>
      </c>
      <c r="CM958" s="58" t="s">
        <v>9769</v>
      </c>
      <c r="CO958" s="58" t="s">
        <v>9770</v>
      </c>
      <c r="CP958" s="58" t="s">
        <v>9771</v>
      </c>
      <c r="CT958" s="58">
        <v>44.0</v>
      </c>
      <c r="DL958" s="58" t="s">
        <v>9772</v>
      </c>
    </row>
    <row r="959" ht="15.75" customHeight="1">
      <c r="B959" s="58" t="s">
        <v>4587</v>
      </c>
      <c r="C959" s="58">
        <v>2018.0</v>
      </c>
      <c r="E959" s="58" t="s">
        <v>9773</v>
      </c>
      <c r="F959" s="58" t="s">
        <v>9774</v>
      </c>
      <c r="I959" s="58" t="s">
        <v>9775</v>
      </c>
      <c r="K959" s="73">
        <v>43580.0</v>
      </c>
      <c r="Z959" s="58" t="s">
        <v>239</v>
      </c>
      <c r="CI959" s="73">
        <v>43580.0</v>
      </c>
      <c r="CJ959" s="58" t="s">
        <v>9776</v>
      </c>
      <c r="CK959" s="58" t="s">
        <v>9777</v>
      </c>
      <c r="CL959" s="58" t="s">
        <v>9778</v>
      </c>
      <c r="CM959" s="58" t="s">
        <v>9779</v>
      </c>
      <c r="CO959" s="58" t="s">
        <v>9780</v>
      </c>
    </row>
    <row r="960" ht="15.75" customHeight="1">
      <c r="B960" s="58" t="s">
        <v>4587</v>
      </c>
      <c r="C960" s="58">
        <v>2020.0</v>
      </c>
      <c r="D960" s="58" t="s">
        <v>9781</v>
      </c>
      <c r="E960" s="58" t="s">
        <v>9782</v>
      </c>
      <c r="F960" s="58" t="s">
        <v>9783</v>
      </c>
      <c r="I960" s="58" t="s">
        <v>9784</v>
      </c>
      <c r="K960" s="73">
        <v>44028.0</v>
      </c>
      <c r="Z960" s="58" t="s">
        <v>239</v>
      </c>
      <c r="CH960" s="58" t="s">
        <v>9785</v>
      </c>
      <c r="CI960" s="73">
        <v>44028.0</v>
      </c>
      <c r="CJ960" s="58">
        <v>3.0</v>
      </c>
      <c r="CK960" s="58">
        <v>14.0</v>
      </c>
      <c r="CL960" s="58" t="s">
        <v>9786</v>
      </c>
      <c r="CM960" s="58" t="s">
        <v>9787</v>
      </c>
      <c r="CO960" s="58" t="s">
        <v>9788</v>
      </c>
      <c r="CP960" s="58" t="s">
        <v>9789</v>
      </c>
      <c r="CT960" s="58">
        <v>34.0</v>
      </c>
      <c r="CU960" s="58" t="s">
        <v>239</v>
      </c>
      <c r="DL960" s="58" t="s">
        <v>9790</v>
      </c>
    </row>
    <row r="961" ht="15.75" customHeight="1">
      <c r="B961" s="58" t="s">
        <v>4587</v>
      </c>
      <c r="C961" s="58">
        <v>2022.0</v>
      </c>
      <c r="E961" s="58" t="s">
        <v>9791</v>
      </c>
      <c r="F961" s="58" t="s">
        <v>9792</v>
      </c>
      <c r="I961" s="58" t="s">
        <v>9793</v>
      </c>
      <c r="K961" s="73">
        <v>44901.0</v>
      </c>
      <c r="Z961" s="58" t="s">
        <v>239</v>
      </c>
      <c r="CI961" s="73">
        <v>44901.0</v>
      </c>
      <c r="CJ961" s="58">
        <v>1.0</v>
      </c>
      <c r="CK961" s="58">
        <v>37.0</v>
      </c>
      <c r="CL961" s="58" t="s">
        <v>9794</v>
      </c>
      <c r="CM961" s="58" t="s">
        <v>9795</v>
      </c>
      <c r="CO961" s="58" t="s">
        <v>9796</v>
      </c>
      <c r="CU961" s="58" t="s">
        <v>239</v>
      </c>
      <c r="DL961" s="58" t="s">
        <v>9797</v>
      </c>
    </row>
    <row r="962" ht="15.75" customHeight="1">
      <c r="B962" s="58" t="s">
        <v>4587</v>
      </c>
      <c r="C962" s="58">
        <v>2020.0</v>
      </c>
      <c r="D962" s="58" t="s">
        <v>9798</v>
      </c>
      <c r="E962" s="58" t="s">
        <v>9799</v>
      </c>
      <c r="F962" s="58" t="s">
        <v>9800</v>
      </c>
      <c r="H962" s="58" t="s">
        <v>9801</v>
      </c>
      <c r="I962" s="58" t="s">
        <v>9802</v>
      </c>
      <c r="K962" s="73">
        <v>44083.0</v>
      </c>
      <c r="Z962" s="58" t="s">
        <v>239</v>
      </c>
      <c r="CH962" s="58" t="s">
        <v>9803</v>
      </c>
      <c r="CI962" s="73">
        <v>44083.0</v>
      </c>
      <c r="CJ962" s="58">
        <v>3996.0</v>
      </c>
      <c r="CK962" s="58">
        <v>4001.0</v>
      </c>
      <c r="CL962" s="58" t="s">
        <v>9804</v>
      </c>
      <c r="CM962" s="58" t="s">
        <v>9805</v>
      </c>
      <c r="CO962" s="58" t="s">
        <v>9806</v>
      </c>
      <c r="CP962" s="58" t="s">
        <v>9807</v>
      </c>
      <c r="CT962" s="58">
        <v>6.0</v>
      </c>
      <c r="DL962" s="58" t="s">
        <v>9808</v>
      </c>
    </row>
    <row r="963" ht="15.75" customHeight="1">
      <c r="B963" s="58" t="s">
        <v>4587</v>
      </c>
      <c r="C963" s="58">
        <v>2018.0</v>
      </c>
      <c r="D963" s="58" t="s">
        <v>9809</v>
      </c>
      <c r="E963" s="58" t="s">
        <v>9810</v>
      </c>
      <c r="F963" s="58" t="s">
        <v>6307</v>
      </c>
      <c r="I963" s="58" t="s">
        <v>9811</v>
      </c>
      <c r="K963" s="73">
        <v>43354.0</v>
      </c>
      <c r="Z963" s="58" t="s">
        <v>239</v>
      </c>
      <c r="CH963" s="58" t="s">
        <v>9812</v>
      </c>
      <c r="CI963" s="73">
        <v>43354.0</v>
      </c>
      <c r="CJ963" s="58">
        <v>407.0</v>
      </c>
      <c r="CK963" s="58">
        <v>412.0</v>
      </c>
      <c r="CL963" s="58" t="s">
        <v>9813</v>
      </c>
      <c r="CM963" s="58" t="s">
        <v>6311</v>
      </c>
      <c r="CO963" s="58" t="s">
        <v>9814</v>
      </c>
      <c r="CP963" s="58" t="s">
        <v>9815</v>
      </c>
      <c r="CT963" s="58">
        <v>16.0</v>
      </c>
      <c r="CU963" s="58" t="s">
        <v>239</v>
      </c>
      <c r="DL963" s="58" t="s">
        <v>9816</v>
      </c>
    </row>
    <row r="964" ht="15.75" customHeight="1">
      <c r="B964" s="58" t="s">
        <v>4587</v>
      </c>
      <c r="C964" s="58">
        <v>2022.0</v>
      </c>
      <c r="D964" s="58" t="s">
        <v>9817</v>
      </c>
      <c r="E964" s="58" t="s">
        <v>9818</v>
      </c>
      <c r="F964" s="58" t="s">
        <v>9819</v>
      </c>
      <c r="I964" s="58" t="s">
        <v>9820</v>
      </c>
      <c r="K964" s="73">
        <v>44763.0</v>
      </c>
      <c r="Z964" s="58" t="s">
        <v>239</v>
      </c>
      <c r="CH964" s="58" t="s">
        <v>9821</v>
      </c>
      <c r="CI964" s="73">
        <v>44763.0</v>
      </c>
      <c r="CJ964" s="58">
        <v>1.0</v>
      </c>
      <c r="CK964" s="58">
        <v>7.0</v>
      </c>
      <c r="CL964" s="58" t="s">
        <v>9822</v>
      </c>
      <c r="CM964" s="58" t="s">
        <v>9823</v>
      </c>
      <c r="CO964" s="58" t="s">
        <v>9824</v>
      </c>
      <c r="CP964" s="58" t="s">
        <v>9825</v>
      </c>
      <c r="CT964" s="58">
        <v>20.0</v>
      </c>
      <c r="CU964" s="58" t="s">
        <v>239</v>
      </c>
      <c r="DL964" s="58" t="s">
        <v>9826</v>
      </c>
    </row>
    <row r="965" ht="15.75" customHeight="1">
      <c r="B965" s="58" t="s">
        <v>4587</v>
      </c>
      <c r="C965" s="58">
        <v>2021.0</v>
      </c>
      <c r="D965" s="58" t="s">
        <v>9827</v>
      </c>
      <c r="E965" s="58" t="s">
        <v>9828</v>
      </c>
      <c r="F965" s="58" t="s">
        <v>9829</v>
      </c>
      <c r="H965" s="58" t="s">
        <v>9830</v>
      </c>
      <c r="I965" s="58" t="s">
        <v>9831</v>
      </c>
      <c r="K965" s="73">
        <v>44652.0</v>
      </c>
      <c r="Z965" s="58" t="s">
        <v>239</v>
      </c>
      <c r="CH965" s="58" t="s">
        <v>9832</v>
      </c>
      <c r="CI965" s="73">
        <v>44652.0</v>
      </c>
      <c r="CJ965" s="58">
        <v>718.0</v>
      </c>
      <c r="CK965" s="58">
        <v>721.0</v>
      </c>
      <c r="CL965" s="58" t="s">
        <v>9833</v>
      </c>
      <c r="CM965" s="58" t="s">
        <v>9834</v>
      </c>
      <c r="CO965" s="58" t="s">
        <v>9835</v>
      </c>
      <c r="CP965" s="58" t="s">
        <v>9836</v>
      </c>
      <c r="CT965" s="58">
        <v>10.0</v>
      </c>
      <c r="CU965" s="58" t="s">
        <v>239</v>
      </c>
      <c r="DL965" s="58" t="s">
        <v>9837</v>
      </c>
    </row>
    <row r="966" ht="15.75" customHeight="1">
      <c r="B966" s="58" t="s">
        <v>4587</v>
      </c>
      <c r="C966" s="58">
        <v>2022.0</v>
      </c>
      <c r="D966" s="58" t="s">
        <v>9838</v>
      </c>
      <c r="E966" s="58" t="s">
        <v>9839</v>
      </c>
      <c r="F966" s="58" t="s">
        <v>9840</v>
      </c>
      <c r="I966" s="58" t="s">
        <v>9841</v>
      </c>
      <c r="K966" s="73">
        <v>44645.0</v>
      </c>
      <c r="Z966" s="58" t="s">
        <v>239</v>
      </c>
      <c r="CH966" s="58" t="s">
        <v>9842</v>
      </c>
      <c r="CI966" s="73">
        <v>44645.0</v>
      </c>
      <c r="CJ966" s="58">
        <v>1.0</v>
      </c>
      <c r="CK966" s="58">
        <v>5.0</v>
      </c>
      <c r="CL966" s="58" t="s">
        <v>9843</v>
      </c>
      <c r="CM966" s="58" t="s">
        <v>9844</v>
      </c>
      <c r="CO966" s="58" t="s">
        <v>9845</v>
      </c>
      <c r="CP966" s="58" t="s">
        <v>9846</v>
      </c>
      <c r="CT966" s="58">
        <v>17.0</v>
      </c>
      <c r="CU966" s="58" t="s">
        <v>239</v>
      </c>
      <c r="DL966" s="58" t="s">
        <v>9847</v>
      </c>
    </row>
    <row r="967" ht="15.75" customHeight="1">
      <c r="B967" s="58" t="s">
        <v>4587</v>
      </c>
      <c r="C967" s="58">
        <v>2021.0</v>
      </c>
      <c r="D967" s="58" t="s">
        <v>9848</v>
      </c>
      <c r="E967" s="58" t="s">
        <v>9849</v>
      </c>
      <c r="F967" s="58" t="s">
        <v>9850</v>
      </c>
      <c r="H967" s="58" t="s">
        <v>9851</v>
      </c>
      <c r="I967" s="58" t="s">
        <v>9852</v>
      </c>
      <c r="K967" s="73">
        <v>44525.0</v>
      </c>
      <c r="Z967" s="58" t="s">
        <v>239</v>
      </c>
      <c r="CH967" s="58" t="s">
        <v>9853</v>
      </c>
      <c r="CI967" s="73">
        <v>44525.0</v>
      </c>
      <c r="CJ967" s="58">
        <v>1.0</v>
      </c>
      <c r="CK967" s="58">
        <v>6.0</v>
      </c>
      <c r="CL967" s="58" t="s">
        <v>9854</v>
      </c>
      <c r="CM967" s="58" t="s">
        <v>9855</v>
      </c>
      <c r="CO967" s="58" t="s">
        <v>9856</v>
      </c>
      <c r="CP967" s="58" t="s">
        <v>9857</v>
      </c>
      <c r="CT967" s="58">
        <v>16.0</v>
      </c>
      <c r="CU967" s="58" t="s">
        <v>239</v>
      </c>
      <c r="DL967" s="58" t="s">
        <v>9858</v>
      </c>
    </row>
    <row r="968" ht="15.75" customHeight="1">
      <c r="B968" s="58" t="s">
        <v>4587</v>
      </c>
      <c r="C968" s="58">
        <v>2020.0</v>
      </c>
      <c r="D968" s="58" t="s">
        <v>9859</v>
      </c>
      <c r="E968" s="58" t="s">
        <v>9860</v>
      </c>
      <c r="F968" s="58" t="s">
        <v>9861</v>
      </c>
      <c r="I968" s="58" t="s">
        <v>9862</v>
      </c>
      <c r="K968" s="73">
        <v>44173.0</v>
      </c>
      <c r="Z968" s="58" t="s">
        <v>239</v>
      </c>
      <c r="CH968" s="58" t="s">
        <v>9863</v>
      </c>
      <c r="CI968" s="73">
        <v>44173.0</v>
      </c>
      <c r="CJ968" s="58">
        <v>114.0</v>
      </c>
      <c r="CK968" s="58">
        <v>118.0</v>
      </c>
      <c r="CL968" s="58" t="s">
        <v>9864</v>
      </c>
      <c r="CM968" s="58" t="s">
        <v>9865</v>
      </c>
      <c r="CO968" s="58" t="s">
        <v>9866</v>
      </c>
      <c r="CP968" s="58" t="s">
        <v>9867</v>
      </c>
      <c r="CT968" s="58">
        <v>17.0</v>
      </c>
      <c r="CU968" s="58" t="s">
        <v>239</v>
      </c>
      <c r="DL968" s="58" t="s">
        <v>9868</v>
      </c>
    </row>
    <row r="969" ht="15.75" customHeight="1">
      <c r="B969" s="58" t="s">
        <v>4587</v>
      </c>
      <c r="C969" s="58">
        <v>2022.0</v>
      </c>
      <c r="D969" s="58" t="s">
        <v>9869</v>
      </c>
      <c r="E969" s="58" t="s">
        <v>9870</v>
      </c>
      <c r="F969" s="58" t="s">
        <v>9871</v>
      </c>
      <c r="I969" s="58" t="s">
        <v>9872</v>
      </c>
      <c r="K969" s="73">
        <v>44918.0</v>
      </c>
      <c r="Z969" s="58" t="s">
        <v>239</v>
      </c>
      <c r="CH969" s="58" t="s">
        <v>9873</v>
      </c>
      <c r="CI969" s="73">
        <v>44918.0</v>
      </c>
      <c r="CJ969" s="58">
        <v>1.0</v>
      </c>
      <c r="CK969" s="58">
        <v>9.0</v>
      </c>
      <c r="CL969" s="58" t="s">
        <v>9874</v>
      </c>
      <c r="CM969" s="58" t="s">
        <v>9875</v>
      </c>
      <c r="CO969" s="58" t="s">
        <v>9876</v>
      </c>
      <c r="CP969" s="58" t="s">
        <v>9877</v>
      </c>
      <c r="CT969" s="58">
        <v>24.0</v>
      </c>
      <c r="CU969" s="58" t="s">
        <v>239</v>
      </c>
      <c r="DL969" s="58" t="s">
        <v>9878</v>
      </c>
    </row>
    <row r="970" ht="15.75" customHeight="1">
      <c r="B970" s="58" t="s">
        <v>4587</v>
      </c>
      <c r="C970" s="58">
        <v>2021.0</v>
      </c>
      <c r="D970" s="58" t="s">
        <v>9879</v>
      </c>
      <c r="E970" s="58" t="s">
        <v>9880</v>
      </c>
      <c r="F970" s="58" t="s">
        <v>9881</v>
      </c>
      <c r="H970" s="58" t="s">
        <v>9882</v>
      </c>
      <c r="I970" s="58" t="s">
        <v>9883</v>
      </c>
      <c r="K970" s="73">
        <v>44518.0</v>
      </c>
      <c r="Z970" s="58" t="s">
        <v>239</v>
      </c>
      <c r="CH970" s="58" t="s">
        <v>9884</v>
      </c>
      <c r="CI970" s="73">
        <v>44518.0</v>
      </c>
      <c r="CJ970" s="58">
        <v>701.0</v>
      </c>
      <c r="CK970" s="58">
        <v>707.0</v>
      </c>
      <c r="CL970" s="58" t="s">
        <v>9885</v>
      </c>
      <c r="CM970" s="58" t="s">
        <v>9886</v>
      </c>
      <c r="CO970" s="58" t="s">
        <v>9887</v>
      </c>
      <c r="CP970" s="58" t="s">
        <v>9888</v>
      </c>
      <c r="CT970" s="58">
        <v>24.0</v>
      </c>
      <c r="CU970" s="58" t="s">
        <v>239</v>
      </c>
      <c r="DL970" s="58" t="s">
        <v>9889</v>
      </c>
    </row>
    <row r="971" ht="15.75" customHeight="1">
      <c r="B971" s="58" t="s">
        <v>4587</v>
      </c>
      <c r="C971" s="58">
        <v>2022.0</v>
      </c>
      <c r="D971" s="58" t="s">
        <v>9890</v>
      </c>
      <c r="E971" s="58" t="s">
        <v>9891</v>
      </c>
      <c r="F971" s="58" t="s">
        <v>9892</v>
      </c>
      <c r="I971" s="58" t="s">
        <v>9893</v>
      </c>
      <c r="K971" s="73">
        <v>44882.0</v>
      </c>
      <c r="Z971" s="58" t="s">
        <v>239</v>
      </c>
      <c r="CH971" s="58" t="s">
        <v>9894</v>
      </c>
      <c r="CI971" s="73">
        <v>44882.0</v>
      </c>
      <c r="CJ971" s="58">
        <v>181.0</v>
      </c>
      <c r="CK971" s="58">
        <v>187.0</v>
      </c>
      <c r="CL971" s="58" t="s">
        <v>9895</v>
      </c>
      <c r="CM971" s="58" t="s">
        <v>9896</v>
      </c>
      <c r="CO971" s="58" t="s">
        <v>9897</v>
      </c>
      <c r="CP971" s="58" t="s">
        <v>9898</v>
      </c>
      <c r="CT971" s="58">
        <v>27.0</v>
      </c>
      <c r="CU971" s="58" t="s">
        <v>239</v>
      </c>
      <c r="DL971" s="58" t="s">
        <v>9899</v>
      </c>
    </row>
    <row r="972" ht="15.75" customHeight="1">
      <c r="B972" s="58" t="s">
        <v>4587</v>
      </c>
      <c r="C972" s="58">
        <v>2022.0</v>
      </c>
      <c r="D972" s="58" t="s">
        <v>9900</v>
      </c>
      <c r="E972" s="58" t="s">
        <v>9901</v>
      </c>
      <c r="F972" s="58" t="s">
        <v>9902</v>
      </c>
      <c r="I972" s="58" t="s">
        <v>9903</v>
      </c>
      <c r="K972" s="73">
        <v>45029.0</v>
      </c>
      <c r="Z972" s="58" t="s">
        <v>239</v>
      </c>
      <c r="CH972" s="58" t="s">
        <v>9904</v>
      </c>
      <c r="CI972" s="73">
        <v>45029.0</v>
      </c>
      <c r="CJ972" s="58">
        <v>1.0</v>
      </c>
      <c r="CK972" s="58">
        <v>6.0</v>
      </c>
      <c r="CL972" s="58" t="s">
        <v>9905</v>
      </c>
      <c r="CM972" s="58" t="s">
        <v>9906</v>
      </c>
      <c r="CO972" s="58" t="s">
        <v>9907</v>
      </c>
      <c r="CP972" s="58" t="s">
        <v>9908</v>
      </c>
      <c r="CT972" s="58">
        <v>20.0</v>
      </c>
      <c r="CU972" s="58" t="s">
        <v>239</v>
      </c>
      <c r="DL972" s="58" t="s">
        <v>9909</v>
      </c>
    </row>
    <row r="973" ht="15.75" customHeight="1">
      <c r="B973" s="58" t="s">
        <v>4587</v>
      </c>
      <c r="C973" s="58">
        <v>2022.0</v>
      </c>
      <c r="D973" s="58" t="s">
        <v>9910</v>
      </c>
      <c r="E973" s="58" t="s">
        <v>9911</v>
      </c>
      <c r="F973" s="58" t="s">
        <v>9912</v>
      </c>
      <c r="I973" s="58" t="s">
        <v>9913</v>
      </c>
      <c r="K973" s="73">
        <v>45012.0</v>
      </c>
      <c r="Z973" s="58" t="s">
        <v>239</v>
      </c>
      <c r="CH973" s="58" t="s">
        <v>9914</v>
      </c>
      <c r="CI973" s="73">
        <v>45012.0</v>
      </c>
      <c r="CJ973" s="58">
        <v>355.0</v>
      </c>
      <c r="CK973" s="58">
        <v>360.0</v>
      </c>
      <c r="CL973" s="58" t="s">
        <v>9915</v>
      </c>
      <c r="CM973" s="58" t="s">
        <v>9916</v>
      </c>
      <c r="CO973" s="58" t="s">
        <v>9917</v>
      </c>
      <c r="CP973" s="58" t="s">
        <v>9918</v>
      </c>
      <c r="CT973" s="58">
        <v>18.0</v>
      </c>
      <c r="CU973" s="58" t="s">
        <v>239</v>
      </c>
      <c r="DL973" s="58" t="s">
        <v>9919</v>
      </c>
    </row>
    <row r="974" ht="15.75" customHeight="1">
      <c r="B974" s="58" t="s">
        <v>4587</v>
      </c>
      <c r="C974" s="58">
        <v>2016.0</v>
      </c>
      <c r="D974" s="58" t="s">
        <v>9920</v>
      </c>
      <c r="E974" s="58" t="s">
        <v>9921</v>
      </c>
      <c r="F974" s="58" t="s">
        <v>5431</v>
      </c>
      <c r="I974" s="58" t="s">
        <v>9922</v>
      </c>
      <c r="K974" s="73">
        <v>42726.0</v>
      </c>
      <c r="Z974" s="58" t="s">
        <v>239</v>
      </c>
      <c r="CH974" s="58" t="s">
        <v>9923</v>
      </c>
      <c r="CI974" s="73">
        <v>42726.0</v>
      </c>
      <c r="CJ974" s="58">
        <v>7.0</v>
      </c>
      <c r="CK974" s="58">
        <v>14.0</v>
      </c>
      <c r="CL974" s="58" t="s">
        <v>9924</v>
      </c>
      <c r="CM974" s="58" t="s">
        <v>5435</v>
      </c>
      <c r="CO974" s="58" t="s">
        <v>9925</v>
      </c>
      <c r="CP974" s="58" t="s">
        <v>9926</v>
      </c>
      <c r="CT974" s="58">
        <v>20.0</v>
      </c>
      <c r="CU974" s="58" t="s">
        <v>239</v>
      </c>
      <c r="DL974" s="58" t="s">
        <v>9927</v>
      </c>
    </row>
    <row r="975" ht="15.75" customHeight="1">
      <c r="B975" s="58" t="s">
        <v>4587</v>
      </c>
      <c r="C975" s="58">
        <v>2022.0</v>
      </c>
      <c r="D975" s="58" t="s">
        <v>9928</v>
      </c>
      <c r="E975" s="58" t="s">
        <v>9929</v>
      </c>
      <c r="F975" s="58" t="s">
        <v>9930</v>
      </c>
      <c r="I975" s="58" t="s">
        <v>9931</v>
      </c>
      <c r="K975" s="73">
        <v>44957.0</v>
      </c>
      <c r="Z975" s="58" t="s">
        <v>239</v>
      </c>
      <c r="CH975" s="58" t="s">
        <v>9932</v>
      </c>
      <c r="CI975" s="73">
        <v>44957.0</v>
      </c>
      <c r="CJ975" s="58">
        <v>1.0</v>
      </c>
      <c r="CK975" s="58">
        <v>6.0</v>
      </c>
      <c r="CL975" s="58" t="s">
        <v>9933</v>
      </c>
      <c r="CM975" s="58" t="s">
        <v>9934</v>
      </c>
      <c r="CO975" s="58" t="s">
        <v>9935</v>
      </c>
      <c r="CP975" s="58" t="s">
        <v>9936</v>
      </c>
      <c r="CT975" s="58">
        <v>19.0</v>
      </c>
      <c r="CU975" s="58" t="s">
        <v>239</v>
      </c>
      <c r="DL975" s="58" t="s">
        <v>9937</v>
      </c>
    </row>
    <row r="976" ht="15.75" customHeight="1">
      <c r="B976" s="58" t="s">
        <v>4587</v>
      </c>
      <c r="C976" s="58">
        <v>2022.0</v>
      </c>
      <c r="D976" s="58" t="s">
        <v>9938</v>
      </c>
      <c r="E976" s="58" t="s">
        <v>9939</v>
      </c>
      <c r="F976" s="58" t="s">
        <v>9940</v>
      </c>
      <c r="I976" s="58" t="s">
        <v>9941</v>
      </c>
      <c r="K976" s="73">
        <v>44790.0</v>
      </c>
      <c r="Z976" s="58" t="s">
        <v>239</v>
      </c>
      <c r="CH976" s="58" t="s">
        <v>9942</v>
      </c>
      <c r="CI976" s="73">
        <v>44790.0</v>
      </c>
      <c r="CJ976" s="58">
        <v>973.0</v>
      </c>
      <c r="CK976" s="58">
        <v>977.0</v>
      </c>
      <c r="CL976" s="58" t="s">
        <v>9943</v>
      </c>
      <c r="CM976" s="58" t="s">
        <v>9944</v>
      </c>
      <c r="CO976" s="58" t="s">
        <v>9945</v>
      </c>
      <c r="CP976" s="58" t="s">
        <v>9946</v>
      </c>
      <c r="CT976" s="58">
        <v>7.0</v>
      </c>
      <c r="CU976" s="58" t="s">
        <v>239</v>
      </c>
      <c r="DL976" s="58" t="s">
        <v>9947</v>
      </c>
    </row>
    <row r="977" ht="15.75" customHeight="1">
      <c r="B977" s="58" t="s">
        <v>4587</v>
      </c>
      <c r="C977" s="58">
        <v>2022.0</v>
      </c>
      <c r="D977" s="58" t="s">
        <v>9948</v>
      </c>
      <c r="E977" s="58" t="s">
        <v>9949</v>
      </c>
      <c r="F977" s="58" t="s">
        <v>9950</v>
      </c>
      <c r="I977" s="58" t="s">
        <v>9951</v>
      </c>
      <c r="K977" s="73">
        <v>45005.0</v>
      </c>
      <c r="Z977" s="58" t="s">
        <v>239</v>
      </c>
      <c r="CH977" s="58" t="s">
        <v>9952</v>
      </c>
      <c r="CI977" s="73">
        <v>45005.0</v>
      </c>
      <c r="CJ977" s="58">
        <v>829.0</v>
      </c>
      <c r="CK977" s="58">
        <v>835.0</v>
      </c>
      <c r="CL977" s="58" t="s">
        <v>9953</v>
      </c>
      <c r="CM977" s="58" t="s">
        <v>9954</v>
      </c>
      <c r="CO977" s="58" t="s">
        <v>9955</v>
      </c>
      <c r="CP977" s="58" t="s">
        <v>9956</v>
      </c>
      <c r="CT977" s="58">
        <v>19.0</v>
      </c>
      <c r="CU977" s="58" t="s">
        <v>239</v>
      </c>
      <c r="DL977" s="58" t="s">
        <v>9957</v>
      </c>
    </row>
    <row r="978" ht="15.75" customHeight="1">
      <c r="B978" s="58" t="s">
        <v>4587</v>
      </c>
      <c r="C978" s="58">
        <v>2022.0</v>
      </c>
      <c r="D978" s="58" t="s">
        <v>9958</v>
      </c>
      <c r="E978" s="58" t="s">
        <v>9959</v>
      </c>
      <c r="F978" s="58" t="s">
        <v>4982</v>
      </c>
      <c r="I978" s="58" t="s">
        <v>9960</v>
      </c>
      <c r="K978" s="73">
        <v>44761.0</v>
      </c>
      <c r="Z978" s="58" t="s">
        <v>239</v>
      </c>
      <c r="CH978" s="58" t="s">
        <v>9961</v>
      </c>
      <c r="CI978" s="73">
        <v>44761.0</v>
      </c>
      <c r="CJ978" s="58">
        <v>635.0</v>
      </c>
      <c r="CK978" s="58">
        <v>644.0</v>
      </c>
      <c r="CL978" s="58" t="s">
        <v>9962</v>
      </c>
      <c r="CM978" s="58" t="s">
        <v>4986</v>
      </c>
      <c r="CN978" s="58" t="s">
        <v>9963</v>
      </c>
      <c r="CO978" s="58" t="s">
        <v>9964</v>
      </c>
      <c r="CP978" s="58" t="s">
        <v>9965</v>
      </c>
      <c r="CT978" s="58">
        <v>49.0</v>
      </c>
      <c r="CU978" s="58" t="s">
        <v>239</v>
      </c>
      <c r="DL978" s="58" t="s">
        <v>9966</v>
      </c>
    </row>
    <row r="979" ht="15.75" customHeight="1">
      <c r="B979" s="58" t="s">
        <v>4587</v>
      </c>
      <c r="C979" s="58">
        <v>2018.0</v>
      </c>
      <c r="D979" s="58" t="s">
        <v>9967</v>
      </c>
      <c r="E979" s="58" t="s">
        <v>9968</v>
      </c>
      <c r="F979" s="58" t="s">
        <v>9969</v>
      </c>
      <c r="I979" s="58" t="s">
        <v>9970</v>
      </c>
      <c r="K979" s="73">
        <v>43468.0</v>
      </c>
      <c r="Z979" s="58" t="s">
        <v>239</v>
      </c>
      <c r="CH979" s="58" t="s">
        <v>9971</v>
      </c>
      <c r="CI979" s="73">
        <v>43468.0</v>
      </c>
      <c r="CJ979" s="58">
        <v>1.0</v>
      </c>
      <c r="CK979" s="58">
        <v>6.0</v>
      </c>
      <c r="CL979" s="58" t="s">
        <v>9972</v>
      </c>
      <c r="CM979" s="58" t="s">
        <v>9973</v>
      </c>
      <c r="CO979" s="58" t="s">
        <v>9974</v>
      </c>
      <c r="CT979" s="58">
        <v>13.0</v>
      </c>
      <c r="CU979" s="58" t="s">
        <v>239</v>
      </c>
      <c r="DL979" s="58" t="s">
        <v>9975</v>
      </c>
    </row>
    <row r="980" ht="15.75" customHeight="1">
      <c r="B980" s="58" t="s">
        <v>4587</v>
      </c>
      <c r="C980" s="58">
        <v>2021.0</v>
      </c>
      <c r="D980" s="58" t="s">
        <v>9976</v>
      </c>
      <c r="E980" s="58" t="s">
        <v>9977</v>
      </c>
      <c r="F980" s="58" t="s">
        <v>9978</v>
      </c>
      <c r="H980" s="58" t="s">
        <v>9979</v>
      </c>
      <c r="I980" s="58" t="s">
        <v>9980</v>
      </c>
      <c r="K980" s="73">
        <v>44593.0</v>
      </c>
      <c r="Z980" s="58" t="s">
        <v>239</v>
      </c>
      <c r="CH980" s="58" t="s">
        <v>9981</v>
      </c>
      <c r="CI980" s="73">
        <v>44593.0</v>
      </c>
      <c r="CJ980" s="58">
        <v>1.0</v>
      </c>
      <c r="CK980" s="58">
        <v>7.0</v>
      </c>
      <c r="CL980" s="58" t="s">
        <v>9982</v>
      </c>
      <c r="CM980" s="58" t="s">
        <v>9983</v>
      </c>
      <c r="CO980" s="58" t="s">
        <v>9984</v>
      </c>
      <c r="CP980" s="58" t="s">
        <v>9985</v>
      </c>
      <c r="CT980" s="58">
        <v>31.0</v>
      </c>
      <c r="CU980" s="58" t="s">
        <v>239</v>
      </c>
      <c r="DL980" s="58" t="s">
        <v>9986</v>
      </c>
    </row>
    <row r="981" ht="15.75" customHeight="1">
      <c r="B981" s="58" t="s">
        <v>4587</v>
      </c>
      <c r="C981" s="58">
        <v>2022.0</v>
      </c>
      <c r="D981" s="58" t="s">
        <v>9987</v>
      </c>
      <c r="E981" s="58" t="s">
        <v>9988</v>
      </c>
      <c r="F981" s="58" t="s">
        <v>6199</v>
      </c>
      <c r="H981" s="58" t="s">
        <v>5264</v>
      </c>
      <c r="I981" s="58" t="s">
        <v>9989</v>
      </c>
      <c r="K981" s="73">
        <v>44721.0</v>
      </c>
      <c r="Z981" s="58" t="s">
        <v>239</v>
      </c>
      <c r="CH981" s="58" t="s">
        <v>9990</v>
      </c>
      <c r="CI981" s="73">
        <v>44721.0</v>
      </c>
      <c r="CJ981" s="58">
        <v>1.0</v>
      </c>
      <c r="CK981" s="58">
        <v>6.0</v>
      </c>
      <c r="CL981" s="58" t="s">
        <v>9991</v>
      </c>
      <c r="CM981" s="58" t="s">
        <v>6203</v>
      </c>
      <c r="CN981" s="58" t="s">
        <v>6204</v>
      </c>
      <c r="CO981" s="58" t="s">
        <v>9992</v>
      </c>
      <c r="CP981" s="58" t="s">
        <v>9993</v>
      </c>
      <c r="CT981" s="58">
        <v>35.0</v>
      </c>
      <c r="CU981" s="58" t="s">
        <v>239</v>
      </c>
      <c r="DL981" s="58" t="s">
        <v>9994</v>
      </c>
    </row>
    <row r="982" ht="15.75" customHeight="1">
      <c r="B982" s="58" t="s">
        <v>4587</v>
      </c>
      <c r="C982" s="58">
        <v>2021.0</v>
      </c>
      <c r="D982" s="58" t="s">
        <v>9995</v>
      </c>
      <c r="E982" s="58" t="s">
        <v>9996</v>
      </c>
      <c r="F982" s="58" t="s">
        <v>9997</v>
      </c>
      <c r="I982" s="58" t="s">
        <v>9998</v>
      </c>
      <c r="K982" s="73">
        <v>44421.0</v>
      </c>
      <c r="Z982" s="58" t="s">
        <v>239</v>
      </c>
      <c r="CH982" s="58" t="s">
        <v>9999</v>
      </c>
      <c r="CI982" s="73">
        <v>44421.0</v>
      </c>
      <c r="CJ982" s="58">
        <v>1.0</v>
      </c>
      <c r="CK982" s="58">
        <v>8.0</v>
      </c>
      <c r="CL982" s="58" t="s">
        <v>10000</v>
      </c>
      <c r="CM982" s="58" t="s">
        <v>10001</v>
      </c>
      <c r="CO982" s="58" t="s">
        <v>10002</v>
      </c>
      <c r="CP982" s="58" t="s">
        <v>10003</v>
      </c>
      <c r="CT982" s="58">
        <v>33.0</v>
      </c>
      <c r="CU982" s="58" t="s">
        <v>239</v>
      </c>
      <c r="DL982" s="58" t="s">
        <v>10004</v>
      </c>
    </row>
    <row r="983" ht="15.75" customHeight="1">
      <c r="B983" s="58" t="s">
        <v>4587</v>
      </c>
      <c r="C983" s="58">
        <v>2022.0</v>
      </c>
      <c r="D983" s="58" t="s">
        <v>10005</v>
      </c>
      <c r="E983" s="58" t="s">
        <v>10006</v>
      </c>
      <c r="F983" s="58" t="s">
        <v>6725</v>
      </c>
      <c r="H983" s="58" t="s">
        <v>6726</v>
      </c>
      <c r="I983" s="58" t="s">
        <v>10007</v>
      </c>
      <c r="K983" s="73">
        <v>44993.0</v>
      </c>
      <c r="Z983" s="58" t="s">
        <v>239</v>
      </c>
      <c r="CH983" s="58" t="s">
        <v>10008</v>
      </c>
      <c r="CI983" s="73">
        <v>44993.0</v>
      </c>
      <c r="CJ983" s="58">
        <v>1.0</v>
      </c>
      <c r="CK983" s="58">
        <v>71.0</v>
      </c>
      <c r="CL983" s="58" t="s">
        <v>10009</v>
      </c>
      <c r="CM983" s="58" t="s">
        <v>6730</v>
      </c>
      <c r="CO983" s="58" t="s">
        <v>10010</v>
      </c>
      <c r="CP983" s="58" t="s">
        <v>10011</v>
      </c>
      <c r="CT983" s="58">
        <v>24.0</v>
      </c>
      <c r="CU983" s="58" t="s">
        <v>239</v>
      </c>
      <c r="DL983" s="58" t="s">
        <v>10012</v>
      </c>
    </row>
    <row r="984" ht="15.75" customHeight="1">
      <c r="B984" s="58" t="s">
        <v>4587</v>
      </c>
      <c r="C984" s="58">
        <v>2022.0</v>
      </c>
      <c r="D984" s="58" t="s">
        <v>10013</v>
      </c>
      <c r="E984" s="58" t="s">
        <v>10014</v>
      </c>
      <c r="F984" s="58" t="s">
        <v>8671</v>
      </c>
      <c r="H984" s="58" t="s">
        <v>8672</v>
      </c>
      <c r="I984" s="58" t="s">
        <v>10015</v>
      </c>
      <c r="K984" s="73">
        <v>44867.0</v>
      </c>
      <c r="Z984" s="58" t="s">
        <v>239</v>
      </c>
      <c r="CH984" s="58" t="s">
        <v>10016</v>
      </c>
      <c r="CI984" s="73">
        <v>44867.0</v>
      </c>
      <c r="CJ984" s="58">
        <v>825.0</v>
      </c>
      <c r="CK984" s="58">
        <v>832.0</v>
      </c>
      <c r="CL984" s="58" t="s">
        <v>10017</v>
      </c>
      <c r="CM984" s="58" t="s">
        <v>8676</v>
      </c>
      <c r="CO984" s="58" t="s">
        <v>10018</v>
      </c>
      <c r="CP984" s="58" t="s">
        <v>10019</v>
      </c>
      <c r="CT984" s="58">
        <v>13.0</v>
      </c>
      <c r="CU984" s="58" t="s">
        <v>239</v>
      </c>
      <c r="DL984" s="58" t="s">
        <v>10020</v>
      </c>
    </row>
    <row r="985" ht="15.75" customHeight="1">
      <c r="B985" s="58" t="s">
        <v>4587</v>
      </c>
      <c r="C985" s="58">
        <v>2021.0</v>
      </c>
      <c r="D985" s="58" t="s">
        <v>10021</v>
      </c>
      <c r="E985" s="58" t="s">
        <v>10022</v>
      </c>
      <c r="F985" s="58" t="s">
        <v>10023</v>
      </c>
      <c r="I985" s="58" t="s">
        <v>10024</v>
      </c>
      <c r="K985" s="73">
        <v>44523.0</v>
      </c>
      <c r="Z985" s="58" t="s">
        <v>239</v>
      </c>
      <c r="CH985" s="58" t="s">
        <v>10025</v>
      </c>
      <c r="CI985" s="73">
        <v>44523.0</v>
      </c>
      <c r="CJ985" s="58">
        <v>807.0</v>
      </c>
      <c r="CK985" s="58">
        <v>815.0</v>
      </c>
      <c r="CL985" s="58" t="s">
        <v>10026</v>
      </c>
      <c r="CM985" s="58" t="s">
        <v>10027</v>
      </c>
      <c r="CO985" s="58" t="s">
        <v>10028</v>
      </c>
      <c r="CP985" s="58" t="s">
        <v>10029</v>
      </c>
      <c r="CT985" s="58">
        <v>24.0</v>
      </c>
      <c r="CU985" s="58" t="s">
        <v>239</v>
      </c>
      <c r="DL985" s="58" t="s">
        <v>10030</v>
      </c>
    </row>
    <row r="986" ht="15.75" customHeight="1">
      <c r="B986" s="58" t="s">
        <v>4587</v>
      </c>
      <c r="C986" s="58">
        <v>2022.0</v>
      </c>
      <c r="D986" s="58" t="s">
        <v>10031</v>
      </c>
      <c r="E986" s="58" t="s">
        <v>10032</v>
      </c>
      <c r="F986" s="58" t="s">
        <v>10033</v>
      </c>
      <c r="H986" s="58" t="s">
        <v>10034</v>
      </c>
      <c r="I986" s="58" t="s">
        <v>10035</v>
      </c>
      <c r="K986" s="73">
        <v>44867.0</v>
      </c>
      <c r="Z986" s="58" t="s">
        <v>239</v>
      </c>
      <c r="CH986" s="58" t="s">
        <v>10036</v>
      </c>
      <c r="CI986" s="73">
        <v>44867.0</v>
      </c>
      <c r="CJ986" s="58">
        <v>395.0</v>
      </c>
      <c r="CK986" s="58">
        <v>399.0</v>
      </c>
      <c r="CL986" s="58" t="s">
        <v>10037</v>
      </c>
      <c r="CM986" s="58" t="s">
        <v>10038</v>
      </c>
      <c r="CO986" s="58" t="s">
        <v>10039</v>
      </c>
      <c r="CP986" s="58" t="s">
        <v>10040</v>
      </c>
      <c r="CT986" s="58">
        <v>11.0</v>
      </c>
      <c r="CU986" s="58" t="s">
        <v>239</v>
      </c>
      <c r="DL986" s="58" t="s">
        <v>10041</v>
      </c>
    </row>
    <row r="987" ht="15.75" customHeight="1">
      <c r="B987" s="58" t="s">
        <v>4587</v>
      </c>
      <c r="C987" s="58">
        <v>2022.0</v>
      </c>
      <c r="D987" s="58" t="s">
        <v>10042</v>
      </c>
      <c r="E987" s="58" t="s">
        <v>10043</v>
      </c>
      <c r="F987" s="58" t="s">
        <v>10044</v>
      </c>
      <c r="H987" s="58" t="s">
        <v>10045</v>
      </c>
      <c r="I987" s="58" t="s">
        <v>10046</v>
      </c>
      <c r="K987" s="73">
        <v>44739.0</v>
      </c>
      <c r="Z987" s="58" t="s">
        <v>239</v>
      </c>
      <c r="CH987" s="58" t="s">
        <v>10047</v>
      </c>
      <c r="CI987" s="73">
        <v>44739.0</v>
      </c>
      <c r="CJ987" s="58">
        <v>1.0</v>
      </c>
      <c r="CK987" s="58">
        <v>4.0</v>
      </c>
      <c r="CL987" s="58" t="s">
        <v>10048</v>
      </c>
      <c r="CM987" s="58" t="s">
        <v>10049</v>
      </c>
      <c r="CO987" s="58" t="s">
        <v>10050</v>
      </c>
      <c r="CP987" s="58" t="s">
        <v>10051</v>
      </c>
      <c r="CT987" s="58">
        <v>10.0</v>
      </c>
      <c r="CU987" s="58" t="s">
        <v>239</v>
      </c>
      <c r="DL987" s="58" t="s">
        <v>10052</v>
      </c>
    </row>
    <row r="988" ht="15.75" customHeight="1">
      <c r="B988" s="58" t="s">
        <v>4587</v>
      </c>
      <c r="C988" s="58">
        <v>2022.0</v>
      </c>
      <c r="D988" s="58" t="s">
        <v>10053</v>
      </c>
      <c r="E988" s="58" t="s">
        <v>10054</v>
      </c>
      <c r="F988" s="58" t="s">
        <v>10055</v>
      </c>
      <c r="H988" s="58" t="s">
        <v>7198</v>
      </c>
      <c r="I988" s="58" t="s">
        <v>10056</v>
      </c>
      <c r="K988" s="73">
        <v>44998.0</v>
      </c>
      <c r="Z988" s="58" t="s">
        <v>239</v>
      </c>
      <c r="CH988" s="58" t="s">
        <v>10057</v>
      </c>
      <c r="CI988" s="73">
        <v>44998.0</v>
      </c>
      <c r="CJ988" s="58">
        <v>4516.0</v>
      </c>
      <c r="CK988" s="58">
        <v>4520.0</v>
      </c>
      <c r="CL988" s="58" t="s">
        <v>10058</v>
      </c>
      <c r="CM988" s="58" t="s">
        <v>10059</v>
      </c>
      <c r="CO988" s="58" t="s">
        <v>10060</v>
      </c>
      <c r="CP988" s="58" t="s">
        <v>10061</v>
      </c>
      <c r="CT988" s="58">
        <v>12.0</v>
      </c>
      <c r="CU988" s="58" t="s">
        <v>239</v>
      </c>
      <c r="DL988" s="58" t="s">
        <v>10062</v>
      </c>
    </row>
    <row r="989" ht="15.75" customHeight="1">
      <c r="B989" s="58" t="s">
        <v>4587</v>
      </c>
      <c r="C989" s="58">
        <v>2017.0</v>
      </c>
      <c r="D989" s="58" t="s">
        <v>10063</v>
      </c>
      <c r="E989" s="58" t="s">
        <v>10064</v>
      </c>
      <c r="F989" s="58" t="s">
        <v>10065</v>
      </c>
      <c r="I989" s="58" t="s">
        <v>10066</v>
      </c>
      <c r="K989" s="73">
        <v>43192.0</v>
      </c>
      <c r="Z989" s="58" t="s">
        <v>239</v>
      </c>
      <c r="CH989" s="58" t="s">
        <v>10067</v>
      </c>
      <c r="CI989" s="73">
        <v>43192.0</v>
      </c>
      <c r="CJ989" s="58">
        <v>796.0</v>
      </c>
      <c r="CK989" s="58">
        <v>803.0</v>
      </c>
      <c r="CL989" s="58" t="s">
        <v>10068</v>
      </c>
      <c r="CM989" s="58" t="s">
        <v>10069</v>
      </c>
      <c r="CO989" s="58" t="s">
        <v>10070</v>
      </c>
      <c r="CP989" s="58" t="s">
        <v>10071</v>
      </c>
      <c r="CT989" s="58">
        <v>21.0</v>
      </c>
      <c r="CU989" s="58" t="s">
        <v>239</v>
      </c>
      <c r="DL989" s="58" t="s">
        <v>10072</v>
      </c>
    </row>
    <row r="990" ht="15.75" customHeight="1">
      <c r="B990" s="58" t="s">
        <v>4587</v>
      </c>
      <c r="C990" s="58">
        <v>2020.0</v>
      </c>
      <c r="D990" s="58" t="s">
        <v>10073</v>
      </c>
      <c r="E990" s="58" t="s">
        <v>10074</v>
      </c>
      <c r="F990" s="58" t="s">
        <v>10075</v>
      </c>
      <c r="I990" s="58" t="s">
        <v>10076</v>
      </c>
      <c r="K990" s="73">
        <v>44179.0</v>
      </c>
      <c r="Z990" s="58" t="s">
        <v>239</v>
      </c>
      <c r="CH990" s="58" t="s">
        <v>10077</v>
      </c>
      <c r="CI990" s="73">
        <v>44179.0</v>
      </c>
      <c r="CJ990" s="58">
        <v>1.0</v>
      </c>
      <c r="CK990" s="58">
        <v>6.0</v>
      </c>
      <c r="CL990" s="58" t="s">
        <v>10078</v>
      </c>
      <c r="CM990" s="58" t="s">
        <v>10079</v>
      </c>
      <c r="CO990" s="58" t="s">
        <v>10080</v>
      </c>
      <c r="CP990" s="58" t="s">
        <v>10081</v>
      </c>
      <c r="CT990" s="58">
        <v>9.0</v>
      </c>
      <c r="CU990" s="58" t="s">
        <v>7683</v>
      </c>
      <c r="DL990" s="58" t="s">
        <v>10082</v>
      </c>
    </row>
    <row r="991" ht="15.75" customHeight="1">
      <c r="B991" s="58" t="s">
        <v>4587</v>
      </c>
      <c r="C991" s="58">
        <v>2022.0</v>
      </c>
      <c r="D991" s="58" t="s">
        <v>10083</v>
      </c>
      <c r="E991" s="58" t="s">
        <v>10084</v>
      </c>
      <c r="F991" s="58" t="s">
        <v>7110</v>
      </c>
      <c r="I991" s="58" t="s">
        <v>10085</v>
      </c>
      <c r="K991" s="73">
        <v>44999.0</v>
      </c>
      <c r="Z991" s="58" t="s">
        <v>239</v>
      </c>
      <c r="CH991" s="58" t="s">
        <v>10086</v>
      </c>
      <c r="CI991" s="73">
        <v>44999.0</v>
      </c>
      <c r="CJ991" s="58">
        <v>291.0</v>
      </c>
      <c r="CK991" s="58">
        <v>296.0</v>
      </c>
      <c r="CL991" s="58" t="s">
        <v>10087</v>
      </c>
      <c r="CM991" s="58" t="s">
        <v>7114</v>
      </c>
      <c r="CO991" s="58" t="s">
        <v>10088</v>
      </c>
      <c r="CP991" s="58" t="s">
        <v>10089</v>
      </c>
      <c r="CT991" s="58">
        <v>17.0</v>
      </c>
      <c r="CU991" s="58" t="s">
        <v>239</v>
      </c>
      <c r="DL991" s="58" t="s">
        <v>10090</v>
      </c>
    </row>
    <row r="992" ht="15.75" customHeight="1">
      <c r="B992" s="58" t="s">
        <v>4587</v>
      </c>
      <c r="C992" s="58">
        <v>2022.0</v>
      </c>
      <c r="D992" s="58" t="s">
        <v>10091</v>
      </c>
      <c r="E992" s="58" t="s">
        <v>10092</v>
      </c>
      <c r="F992" s="58" t="s">
        <v>10093</v>
      </c>
      <c r="I992" s="58" t="s">
        <v>10094</v>
      </c>
      <c r="K992" s="73">
        <v>44923.0</v>
      </c>
      <c r="Z992" s="58" t="s">
        <v>239</v>
      </c>
      <c r="CH992" s="58" t="s">
        <v>10095</v>
      </c>
      <c r="CI992" s="73">
        <v>44923.0</v>
      </c>
      <c r="CJ992" s="58">
        <v>1.0</v>
      </c>
      <c r="CK992" s="58">
        <v>6.0</v>
      </c>
      <c r="CL992" s="58" t="s">
        <v>10096</v>
      </c>
      <c r="CM992" s="58" t="s">
        <v>10097</v>
      </c>
      <c r="CO992" s="58" t="s">
        <v>10098</v>
      </c>
      <c r="CP992" s="58" t="s">
        <v>10099</v>
      </c>
      <c r="CT992" s="58">
        <v>20.0</v>
      </c>
      <c r="CU992" s="58" t="s">
        <v>239</v>
      </c>
      <c r="DL992" s="58" t="s">
        <v>10100</v>
      </c>
    </row>
    <row r="993" ht="15.75" customHeight="1">
      <c r="B993" s="58" t="s">
        <v>4587</v>
      </c>
      <c r="C993" s="58">
        <v>2022.0</v>
      </c>
      <c r="D993" s="58" t="s">
        <v>10101</v>
      </c>
      <c r="E993" s="58" t="s">
        <v>10102</v>
      </c>
      <c r="F993" s="58" t="s">
        <v>10103</v>
      </c>
      <c r="H993" s="58" t="s">
        <v>9024</v>
      </c>
      <c r="I993" s="58" t="s">
        <v>10104</v>
      </c>
      <c r="K993" s="73">
        <v>45012.0</v>
      </c>
      <c r="Z993" s="58" t="s">
        <v>239</v>
      </c>
      <c r="CH993" s="58" t="s">
        <v>10105</v>
      </c>
      <c r="CI993" s="73">
        <v>45012.0</v>
      </c>
      <c r="CJ993" s="58">
        <v>687.0</v>
      </c>
      <c r="CK993" s="58">
        <v>691.0</v>
      </c>
      <c r="CL993" s="58" t="s">
        <v>10106</v>
      </c>
      <c r="CM993" s="58" t="s">
        <v>10107</v>
      </c>
      <c r="CO993" s="58" t="s">
        <v>10108</v>
      </c>
      <c r="CP993" s="58" t="s">
        <v>10109</v>
      </c>
      <c r="CT993" s="58">
        <v>18.0</v>
      </c>
      <c r="CU993" s="58" t="s">
        <v>239</v>
      </c>
      <c r="DL993" s="58" t="s">
        <v>10110</v>
      </c>
    </row>
    <row r="994" ht="15.75" customHeight="1">
      <c r="B994" s="58" t="s">
        <v>4587</v>
      </c>
      <c r="C994" s="58">
        <v>2022.0</v>
      </c>
      <c r="D994" s="58" t="s">
        <v>10111</v>
      </c>
      <c r="E994" s="58" t="s">
        <v>10112</v>
      </c>
      <c r="F994" s="58" t="s">
        <v>7041</v>
      </c>
      <c r="H994" s="58" t="s">
        <v>7042</v>
      </c>
      <c r="I994" s="58" t="s">
        <v>10113</v>
      </c>
      <c r="K994" s="73">
        <v>44942.0</v>
      </c>
      <c r="R994" s="58">
        <v>21.0</v>
      </c>
      <c r="Z994" s="58" t="s">
        <v>239</v>
      </c>
      <c r="CH994" s="58" t="s">
        <v>10114</v>
      </c>
      <c r="CI994" s="73">
        <v>44942.0</v>
      </c>
      <c r="CJ994" s="58">
        <v>181.0</v>
      </c>
      <c r="CK994" s="58">
        <v>190.0</v>
      </c>
      <c r="CL994" s="58" t="s">
        <v>10115</v>
      </c>
      <c r="CM994" s="58" t="s">
        <v>7046</v>
      </c>
      <c r="CO994" s="58" t="s">
        <v>10116</v>
      </c>
      <c r="CP994" s="58" t="s">
        <v>10117</v>
      </c>
      <c r="CT994" s="58">
        <v>37.0</v>
      </c>
      <c r="CU994" s="58" t="s">
        <v>239</v>
      </c>
      <c r="DL994" s="58" t="s">
        <v>10118</v>
      </c>
    </row>
    <row r="995" ht="15.75" customHeight="1">
      <c r="B995" s="58" t="s">
        <v>4587</v>
      </c>
      <c r="C995" s="58">
        <v>2020.0</v>
      </c>
      <c r="D995" s="58" t="s">
        <v>10119</v>
      </c>
      <c r="E995" s="58" t="s">
        <v>10120</v>
      </c>
      <c r="F995" s="58" t="s">
        <v>10121</v>
      </c>
      <c r="H995" s="58" t="s">
        <v>8639</v>
      </c>
      <c r="I995" s="58" t="s">
        <v>10122</v>
      </c>
      <c r="K995" s="73">
        <v>44153.0</v>
      </c>
      <c r="Z995" s="58" t="s">
        <v>239</v>
      </c>
      <c r="CH995" s="58" t="s">
        <v>10123</v>
      </c>
      <c r="CI995" s="73">
        <v>44153.0</v>
      </c>
      <c r="CJ995" s="58">
        <v>1.0</v>
      </c>
      <c r="CK995" s="58">
        <v>7.0</v>
      </c>
      <c r="CL995" s="58" t="s">
        <v>10124</v>
      </c>
      <c r="CM995" s="58" t="s">
        <v>10125</v>
      </c>
      <c r="CN995" s="58" t="s">
        <v>10126</v>
      </c>
      <c r="CO995" s="58" t="s">
        <v>10127</v>
      </c>
      <c r="CP995" s="58" t="s">
        <v>10128</v>
      </c>
      <c r="CT995" s="58">
        <v>11.0</v>
      </c>
      <c r="CU995" s="58" t="s">
        <v>239</v>
      </c>
      <c r="DL995" s="58" t="s">
        <v>10129</v>
      </c>
    </row>
    <row r="996" ht="15.75" customHeight="1">
      <c r="B996" s="58" t="s">
        <v>4587</v>
      </c>
      <c r="C996" s="58">
        <v>2019.0</v>
      </c>
      <c r="D996" s="58" t="s">
        <v>10130</v>
      </c>
      <c r="E996" s="58" t="s">
        <v>10131</v>
      </c>
      <c r="F996" s="58" t="s">
        <v>10132</v>
      </c>
      <c r="I996" s="58" t="s">
        <v>10133</v>
      </c>
      <c r="K996" s="73">
        <v>43783.0</v>
      </c>
      <c r="Z996" s="58" t="s">
        <v>239</v>
      </c>
      <c r="CH996" s="58" t="s">
        <v>10134</v>
      </c>
      <c r="CI996" s="73">
        <v>43783.0</v>
      </c>
      <c r="CJ996" s="58">
        <v>56.0</v>
      </c>
      <c r="CK996" s="58">
        <v>63.0</v>
      </c>
      <c r="CL996" s="58" t="s">
        <v>10135</v>
      </c>
      <c r="CM996" s="58" t="s">
        <v>10136</v>
      </c>
      <c r="CO996" s="58" t="s">
        <v>10137</v>
      </c>
      <c r="CP996" s="58" t="s">
        <v>10138</v>
      </c>
      <c r="CT996" s="58">
        <v>26.0</v>
      </c>
      <c r="CU996" s="58" t="s">
        <v>239</v>
      </c>
    </row>
    <row r="997" ht="15.75" customHeight="1">
      <c r="B997" s="58" t="s">
        <v>4587</v>
      </c>
      <c r="C997" s="58">
        <v>2022.0</v>
      </c>
      <c r="D997" s="58" t="s">
        <v>10139</v>
      </c>
      <c r="E997" s="58" t="s">
        <v>10140</v>
      </c>
      <c r="F997" s="58" t="s">
        <v>10141</v>
      </c>
      <c r="I997" s="58" t="s">
        <v>10142</v>
      </c>
      <c r="K997" s="73">
        <v>44837.0</v>
      </c>
      <c r="Z997" s="58" t="s">
        <v>239</v>
      </c>
      <c r="CH997" s="58" t="s">
        <v>10143</v>
      </c>
      <c r="CI997" s="73">
        <v>44837.0</v>
      </c>
      <c r="CJ997" s="58">
        <v>331.0</v>
      </c>
      <c r="CK997" s="58">
        <v>335.0</v>
      </c>
      <c r="CL997" s="58" t="s">
        <v>10144</v>
      </c>
      <c r="CM997" s="58" t="s">
        <v>10145</v>
      </c>
      <c r="CO997" s="58" t="s">
        <v>10146</v>
      </c>
      <c r="CP997" s="58" t="s">
        <v>10147</v>
      </c>
      <c r="CT997" s="58">
        <v>6.0</v>
      </c>
      <c r="CU997" s="58" t="s">
        <v>239</v>
      </c>
      <c r="DL997" s="58" t="s">
        <v>10148</v>
      </c>
    </row>
    <row r="998" ht="15.75" customHeight="1">
      <c r="B998" s="58" t="s">
        <v>4587</v>
      </c>
      <c r="C998" s="58">
        <v>2022.0</v>
      </c>
      <c r="D998" s="58" t="s">
        <v>10149</v>
      </c>
      <c r="E998" s="58" t="s">
        <v>10150</v>
      </c>
      <c r="F998" s="58" t="s">
        <v>10151</v>
      </c>
      <c r="I998" s="58" t="s">
        <v>10152</v>
      </c>
      <c r="K998" s="73">
        <v>44924.0</v>
      </c>
      <c r="Z998" s="58" t="s">
        <v>239</v>
      </c>
      <c r="CH998" s="58" t="s">
        <v>10153</v>
      </c>
      <c r="CI998" s="73">
        <v>44924.0</v>
      </c>
      <c r="CJ998" s="58">
        <v>369.0</v>
      </c>
      <c r="CK998" s="58">
        <v>374.0</v>
      </c>
      <c r="CL998" s="58" t="s">
        <v>10154</v>
      </c>
      <c r="CM998" s="58" t="s">
        <v>10155</v>
      </c>
      <c r="CO998" s="58" t="s">
        <v>10156</v>
      </c>
      <c r="CP998" s="58" t="s">
        <v>10157</v>
      </c>
      <c r="CT998" s="58">
        <v>16.0</v>
      </c>
      <c r="CU998" s="58" t="s">
        <v>239</v>
      </c>
      <c r="DL998" s="58" t="s">
        <v>10158</v>
      </c>
    </row>
    <row r="999" ht="15.75" customHeight="1">
      <c r="B999" s="58" t="s">
        <v>4587</v>
      </c>
      <c r="C999" s="58">
        <v>2018.0</v>
      </c>
      <c r="D999" s="58" t="s">
        <v>10159</v>
      </c>
      <c r="E999" s="58" t="s">
        <v>10160</v>
      </c>
      <c r="F999" s="58" t="s">
        <v>10161</v>
      </c>
      <c r="I999" s="58" t="s">
        <v>10162</v>
      </c>
      <c r="K999" s="73">
        <v>43482.0</v>
      </c>
      <c r="Z999" s="58" t="s">
        <v>239</v>
      </c>
      <c r="CH999" s="58" t="s">
        <v>10163</v>
      </c>
      <c r="CI999" s="73">
        <v>43482.0</v>
      </c>
      <c r="CJ999" s="58">
        <v>1.0</v>
      </c>
      <c r="CK999" s="58">
        <v>8.0</v>
      </c>
      <c r="CL999" s="58" t="s">
        <v>10164</v>
      </c>
      <c r="CM999" s="58" t="s">
        <v>10165</v>
      </c>
      <c r="CO999" s="58" t="s">
        <v>10166</v>
      </c>
      <c r="CP999" s="58" t="s">
        <v>10167</v>
      </c>
      <c r="CT999" s="58">
        <v>24.0</v>
      </c>
      <c r="CU999" s="58" t="s">
        <v>239</v>
      </c>
      <c r="DL999" s="58" t="s">
        <v>10168</v>
      </c>
    </row>
    <row r="1000" ht="15.75" customHeight="1">
      <c r="B1000" s="58" t="s">
        <v>4587</v>
      </c>
      <c r="C1000" s="58">
        <v>2022.0</v>
      </c>
      <c r="D1000" s="58" t="s">
        <v>10169</v>
      </c>
      <c r="E1000" s="58" t="s">
        <v>10170</v>
      </c>
      <c r="F1000" s="58" t="s">
        <v>9912</v>
      </c>
      <c r="I1000" s="58" t="s">
        <v>10171</v>
      </c>
      <c r="K1000" s="73">
        <v>45012.0</v>
      </c>
      <c r="Z1000" s="58" t="s">
        <v>239</v>
      </c>
      <c r="CH1000" s="58" t="s">
        <v>10172</v>
      </c>
      <c r="CI1000" s="73">
        <v>45012.0</v>
      </c>
      <c r="CJ1000" s="58">
        <v>350.0</v>
      </c>
      <c r="CK1000" s="58">
        <v>354.0</v>
      </c>
      <c r="CL1000" s="58" t="s">
        <v>10173</v>
      </c>
      <c r="CM1000" s="58" t="s">
        <v>9916</v>
      </c>
      <c r="CN1000" s="58" t="s">
        <v>10174</v>
      </c>
      <c r="CO1000" s="58" t="s">
        <v>10175</v>
      </c>
      <c r="CP1000" s="58" t="s">
        <v>10176</v>
      </c>
      <c r="CT1000" s="58">
        <v>9.0</v>
      </c>
      <c r="CU1000" s="58" t="s">
        <v>239</v>
      </c>
      <c r="DL1000" s="58" t="s">
        <v>10177</v>
      </c>
    </row>
    <row r="1001" ht="15.75" customHeight="1">
      <c r="B1001" s="58" t="s">
        <v>4587</v>
      </c>
      <c r="C1001" s="58">
        <v>2019.0</v>
      </c>
      <c r="D1001" s="58" t="s">
        <v>10178</v>
      </c>
      <c r="E1001" s="58" t="s">
        <v>10179</v>
      </c>
      <c r="F1001" s="58" t="s">
        <v>10180</v>
      </c>
      <c r="I1001" s="58" t="s">
        <v>10181</v>
      </c>
      <c r="K1001" s="73">
        <v>43969.0</v>
      </c>
      <c r="Z1001" s="58" t="s">
        <v>239</v>
      </c>
      <c r="CH1001" s="58" t="s">
        <v>10182</v>
      </c>
      <c r="CI1001" s="73">
        <v>43969.0</v>
      </c>
      <c r="CJ1001" s="58">
        <v>1290.0</v>
      </c>
      <c r="CK1001" s="58">
        <v>1298.0</v>
      </c>
      <c r="CL1001" s="58" t="s">
        <v>10183</v>
      </c>
      <c r="CM1001" s="58" t="s">
        <v>10184</v>
      </c>
      <c r="CO1001" s="58" t="s">
        <v>10185</v>
      </c>
      <c r="CP1001" s="58" t="s">
        <v>10186</v>
      </c>
      <c r="CT1001" s="58">
        <v>29.0</v>
      </c>
      <c r="CU1001" s="58" t="s">
        <v>239</v>
      </c>
      <c r="DL1001" s="58" t="s">
        <v>10187</v>
      </c>
    </row>
    <row r="1002" ht="15.75" customHeight="1">
      <c r="B1002" s="58" t="s">
        <v>9522</v>
      </c>
      <c r="C1002" s="58">
        <v>2022.0</v>
      </c>
      <c r="D1002" s="58" t="s">
        <v>10188</v>
      </c>
      <c r="E1002" s="58" t="s">
        <v>10189</v>
      </c>
      <c r="F1002" s="58" t="s">
        <v>9525</v>
      </c>
      <c r="I1002" s="58" t="s">
        <v>10190</v>
      </c>
      <c r="K1002" s="73">
        <v>44970.0</v>
      </c>
      <c r="R1002" s="58">
        <v>2022.0</v>
      </c>
      <c r="Z1002" s="58" t="s">
        <v>9527</v>
      </c>
      <c r="CH1002" s="58" t="s">
        <v>10191</v>
      </c>
      <c r="CI1002" s="73">
        <v>44970.0</v>
      </c>
      <c r="CJ1002" s="58">
        <v>74.0</v>
      </c>
      <c r="CK1002" s="58">
        <v>78.0</v>
      </c>
      <c r="CL1002" s="58" t="s">
        <v>10192</v>
      </c>
      <c r="CM1002" s="58" t="s">
        <v>9530</v>
      </c>
      <c r="CO1002" s="58" t="s">
        <v>10193</v>
      </c>
    </row>
    <row r="1003" ht="15.75" customHeight="1">
      <c r="B1003" s="58" t="s">
        <v>4587</v>
      </c>
      <c r="C1003" s="58">
        <v>2022.0</v>
      </c>
      <c r="D1003" s="58" t="s">
        <v>10194</v>
      </c>
      <c r="E1003" s="58" t="s">
        <v>10195</v>
      </c>
      <c r="F1003" s="58" t="s">
        <v>10196</v>
      </c>
      <c r="I1003" s="58" t="s">
        <v>10197</v>
      </c>
      <c r="K1003" s="73">
        <v>44928.0</v>
      </c>
      <c r="Z1003" s="58" t="s">
        <v>239</v>
      </c>
      <c r="CH1003" s="58" t="s">
        <v>10198</v>
      </c>
      <c r="CI1003" s="73">
        <v>44928.0</v>
      </c>
      <c r="CJ1003" s="58">
        <v>225.0</v>
      </c>
      <c r="CK1003" s="58">
        <v>229.0</v>
      </c>
      <c r="CL1003" s="58" t="s">
        <v>10199</v>
      </c>
      <c r="CM1003" s="58" t="s">
        <v>10200</v>
      </c>
      <c r="CO1003" s="58" t="s">
        <v>10201</v>
      </c>
      <c r="CP1003" s="58" t="s">
        <v>10202</v>
      </c>
      <c r="CT1003" s="58">
        <v>6.0</v>
      </c>
      <c r="CU1003" s="58" t="s">
        <v>239</v>
      </c>
      <c r="DL1003" s="58" t="s">
        <v>10203</v>
      </c>
    </row>
    <row r="1004" ht="15.75" customHeight="1">
      <c r="B1004" s="58" t="s">
        <v>4587</v>
      </c>
      <c r="C1004" s="58">
        <v>2020.0</v>
      </c>
      <c r="D1004" s="58" t="s">
        <v>10204</v>
      </c>
      <c r="E1004" s="58" t="s">
        <v>10205</v>
      </c>
      <c r="F1004" s="58" t="s">
        <v>10206</v>
      </c>
      <c r="H1004" s="58" t="s">
        <v>4802</v>
      </c>
      <c r="I1004" s="58" t="s">
        <v>10207</v>
      </c>
      <c r="K1004" s="73">
        <v>44039.0</v>
      </c>
      <c r="Z1004" s="58" t="s">
        <v>239</v>
      </c>
      <c r="CH1004" s="58" t="s">
        <v>10208</v>
      </c>
      <c r="CI1004" s="73">
        <v>44039.0</v>
      </c>
      <c r="CJ1004" s="58">
        <v>1400.0</v>
      </c>
      <c r="CK1004" s="58">
        <v>1403.0</v>
      </c>
      <c r="CL1004" s="58" t="s">
        <v>10209</v>
      </c>
      <c r="CM1004" s="58" t="s">
        <v>10210</v>
      </c>
      <c r="CO1004" s="58" t="s">
        <v>10211</v>
      </c>
      <c r="CP1004" s="58" t="s">
        <v>10212</v>
      </c>
      <c r="CT1004" s="58">
        <v>14.0</v>
      </c>
      <c r="CU1004" s="58" t="s">
        <v>239</v>
      </c>
      <c r="DL1004" s="58" t="s">
        <v>10213</v>
      </c>
    </row>
    <row r="1005" ht="15.75" customHeight="1">
      <c r="B1005" s="58" t="s">
        <v>4587</v>
      </c>
      <c r="C1005" s="58">
        <v>2022.0</v>
      </c>
      <c r="D1005" s="58" t="s">
        <v>10214</v>
      </c>
      <c r="E1005" s="58" t="s">
        <v>10215</v>
      </c>
      <c r="F1005" s="58" t="s">
        <v>10216</v>
      </c>
      <c r="I1005" s="58" t="s">
        <v>10217</v>
      </c>
      <c r="K1005" s="73">
        <v>45099.0</v>
      </c>
      <c r="Z1005" s="58" t="s">
        <v>239</v>
      </c>
      <c r="CH1005" s="58" t="s">
        <v>10218</v>
      </c>
      <c r="CI1005" s="73">
        <v>45099.0</v>
      </c>
      <c r="CJ1005" s="58">
        <v>1.0</v>
      </c>
      <c r="CK1005" s="58">
        <v>6.0</v>
      </c>
      <c r="CL1005" s="58" t="s">
        <v>10219</v>
      </c>
      <c r="CM1005" s="58" t="s">
        <v>10220</v>
      </c>
      <c r="CO1005" s="58" t="s">
        <v>10221</v>
      </c>
      <c r="CP1005" s="58" t="s">
        <v>10222</v>
      </c>
      <c r="CT1005" s="58">
        <v>8.0</v>
      </c>
      <c r="CU1005" s="58" t="s">
        <v>239</v>
      </c>
      <c r="DL1005" s="58" t="s">
        <v>10223</v>
      </c>
    </row>
    <row r="1006" ht="15.75" customHeight="1">
      <c r="B1006" s="58" t="s">
        <v>4587</v>
      </c>
      <c r="C1006" s="58">
        <v>2019.0</v>
      </c>
      <c r="E1006" s="58" t="s">
        <v>10224</v>
      </c>
      <c r="F1006" s="58" t="s">
        <v>10225</v>
      </c>
      <c r="I1006" s="58" t="s">
        <v>10226</v>
      </c>
      <c r="K1006" s="73">
        <v>43846.0</v>
      </c>
      <c r="Z1006" s="58" t="s">
        <v>239</v>
      </c>
      <c r="CI1006" s="73">
        <v>43846.0</v>
      </c>
      <c r="CJ1006" s="58">
        <v>1.0</v>
      </c>
      <c r="CK1006" s="58">
        <v>126.0</v>
      </c>
      <c r="CL1006" s="58" t="s">
        <v>9479</v>
      </c>
      <c r="CM1006" s="58" t="s">
        <v>10227</v>
      </c>
      <c r="CO1006" s="58" t="s">
        <v>10228</v>
      </c>
      <c r="CU1006" s="58" t="s">
        <v>239</v>
      </c>
    </row>
    <row r="1007" ht="15.75" customHeight="1">
      <c r="B1007" s="58" t="s">
        <v>4587</v>
      </c>
      <c r="C1007" s="58">
        <v>2022.0</v>
      </c>
      <c r="D1007" s="58" t="s">
        <v>10229</v>
      </c>
      <c r="E1007" s="58" t="s">
        <v>10230</v>
      </c>
      <c r="F1007" s="58" t="s">
        <v>10231</v>
      </c>
      <c r="I1007" s="58" t="s">
        <v>10232</v>
      </c>
      <c r="K1007" s="73">
        <v>44931.0</v>
      </c>
      <c r="Z1007" s="58" t="s">
        <v>239</v>
      </c>
      <c r="CH1007" s="58" t="s">
        <v>10233</v>
      </c>
      <c r="CI1007" s="73">
        <v>44931.0</v>
      </c>
      <c r="CJ1007" s="58">
        <v>108.0</v>
      </c>
      <c r="CK1007" s="58">
        <v>113.0</v>
      </c>
      <c r="CL1007" s="58" t="s">
        <v>10234</v>
      </c>
      <c r="CM1007" s="58" t="s">
        <v>10235</v>
      </c>
      <c r="CO1007" s="58" t="s">
        <v>10236</v>
      </c>
      <c r="CP1007" s="58" t="s">
        <v>10237</v>
      </c>
      <c r="CT1007" s="58">
        <v>17.0</v>
      </c>
      <c r="CU1007" s="58" t="s">
        <v>239</v>
      </c>
      <c r="DL1007" s="58" t="s">
        <v>10238</v>
      </c>
    </row>
    <row r="1008" ht="15.75" customHeight="1">
      <c r="B1008" s="58" t="s">
        <v>4587</v>
      </c>
      <c r="C1008" s="58">
        <v>2022.0</v>
      </c>
      <c r="D1008" s="58" t="s">
        <v>10239</v>
      </c>
      <c r="E1008" s="58" t="s">
        <v>10240</v>
      </c>
      <c r="F1008" s="58" t="s">
        <v>10241</v>
      </c>
      <c r="H1008" s="58" t="s">
        <v>10242</v>
      </c>
      <c r="I1008" s="58" t="s">
        <v>10243</v>
      </c>
      <c r="K1008" s="73">
        <v>44981.0</v>
      </c>
      <c r="Z1008" s="58" t="s">
        <v>239</v>
      </c>
      <c r="CH1008" s="58" t="s">
        <v>10244</v>
      </c>
      <c r="CI1008" s="73">
        <v>44981.0</v>
      </c>
      <c r="CJ1008" s="58">
        <v>254.0</v>
      </c>
      <c r="CK1008" s="58">
        <v>259.0</v>
      </c>
      <c r="CL1008" s="58" t="s">
        <v>10245</v>
      </c>
      <c r="CM1008" s="58" t="s">
        <v>10246</v>
      </c>
      <c r="CO1008" s="58" t="s">
        <v>10247</v>
      </c>
      <c r="CP1008" s="58" t="s">
        <v>10248</v>
      </c>
      <c r="CT1008" s="58">
        <v>40.0</v>
      </c>
      <c r="CU1008" s="58" t="s">
        <v>239</v>
      </c>
      <c r="DL1008" s="58" t="s">
        <v>10249</v>
      </c>
    </row>
    <row r="1009" ht="15.75" customHeight="1">
      <c r="B1009" s="58" t="s">
        <v>4587</v>
      </c>
      <c r="C1009" s="58">
        <v>2019.0</v>
      </c>
      <c r="D1009" s="58" t="s">
        <v>10250</v>
      </c>
      <c r="E1009" s="58" t="s">
        <v>10251</v>
      </c>
      <c r="F1009" s="58" t="s">
        <v>10252</v>
      </c>
      <c r="H1009" s="58" t="s">
        <v>7812</v>
      </c>
      <c r="I1009" s="58" t="s">
        <v>10253</v>
      </c>
      <c r="K1009" s="73">
        <v>43661.0</v>
      </c>
      <c r="Z1009" s="58" t="s">
        <v>239</v>
      </c>
      <c r="CH1009" s="58" t="s">
        <v>10254</v>
      </c>
      <c r="CI1009" s="73">
        <v>43661.0</v>
      </c>
      <c r="CJ1009" s="58">
        <v>1.0</v>
      </c>
      <c r="CK1009" s="58">
        <v>4.0</v>
      </c>
      <c r="CL1009" s="58" t="s">
        <v>10255</v>
      </c>
      <c r="CM1009" s="58" t="s">
        <v>10256</v>
      </c>
      <c r="CO1009" s="58" t="s">
        <v>10257</v>
      </c>
      <c r="CP1009" s="58" t="s">
        <v>10258</v>
      </c>
      <c r="CT1009" s="58">
        <v>16.0</v>
      </c>
      <c r="CU1009" s="58" t="s">
        <v>239</v>
      </c>
      <c r="DL1009" s="58" t="s">
        <v>10259</v>
      </c>
    </row>
    <row r="1010" ht="15.75" customHeight="1">
      <c r="B1010" s="58" t="s">
        <v>4587</v>
      </c>
      <c r="C1010" s="58">
        <v>2020.0</v>
      </c>
      <c r="D1010" s="58" t="s">
        <v>10260</v>
      </c>
      <c r="E1010" s="58" t="s">
        <v>10261</v>
      </c>
      <c r="F1010" s="58" t="s">
        <v>9319</v>
      </c>
      <c r="I1010" s="58" t="s">
        <v>10262</v>
      </c>
      <c r="K1010" s="73">
        <v>44459.0</v>
      </c>
      <c r="Z1010" s="58" t="s">
        <v>239</v>
      </c>
      <c r="CH1010" s="58" t="s">
        <v>10263</v>
      </c>
      <c r="CI1010" s="73">
        <v>44459.0</v>
      </c>
      <c r="CJ1010" s="58">
        <v>334.0</v>
      </c>
      <c r="CK1010" s="58">
        <v>337.0</v>
      </c>
      <c r="CL1010" s="58" t="s">
        <v>10264</v>
      </c>
      <c r="CM1010" s="58" t="s">
        <v>9323</v>
      </c>
      <c r="CO1010" s="58" t="s">
        <v>10265</v>
      </c>
      <c r="CP1010" s="58" t="s">
        <v>10266</v>
      </c>
      <c r="CT1010" s="58">
        <v>4.0</v>
      </c>
      <c r="CU1010" s="58" t="s">
        <v>239</v>
      </c>
      <c r="DL1010" s="58" t="s">
        <v>10267</v>
      </c>
    </row>
    <row r="1011" ht="15.75" customHeight="1">
      <c r="B1011" s="58" t="s">
        <v>4587</v>
      </c>
      <c r="C1011" s="58">
        <v>2018.0</v>
      </c>
      <c r="D1011" s="58" t="s">
        <v>10268</v>
      </c>
      <c r="E1011" s="58" t="s">
        <v>10269</v>
      </c>
      <c r="F1011" s="58" t="s">
        <v>10270</v>
      </c>
      <c r="H1011" s="58" t="s">
        <v>10271</v>
      </c>
      <c r="I1011" s="58" t="s">
        <v>10272</v>
      </c>
      <c r="K1011" s="73">
        <v>43468.0</v>
      </c>
      <c r="Z1011" s="58" t="s">
        <v>239</v>
      </c>
      <c r="CH1011" s="58" t="s">
        <v>10273</v>
      </c>
      <c r="CI1011" s="73">
        <v>43468.0</v>
      </c>
      <c r="CJ1011" s="58">
        <v>1.0</v>
      </c>
      <c r="CK1011" s="58">
        <v>5.0</v>
      </c>
      <c r="CL1011" s="58" t="s">
        <v>10274</v>
      </c>
      <c r="CM1011" s="58" t="s">
        <v>10275</v>
      </c>
      <c r="CO1011" s="58" t="s">
        <v>10276</v>
      </c>
      <c r="CP1011" s="58" t="s">
        <v>10277</v>
      </c>
      <c r="CT1011" s="58">
        <v>18.0</v>
      </c>
      <c r="CU1011" s="58" t="s">
        <v>239</v>
      </c>
      <c r="DL1011" s="58" t="s">
        <v>10278</v>
      </c>
    </row>
    <row r="1012" ht="15.75" customHeight="1">
      <c r="B1012" s="58" t="s">
        <v>9522</v>
      </c>
      <c r="C1012" s="58">
        <v>2022.0</v>
      </c>
      <c r="D1012" s="58" t="s">
        <v>10279</v>
      </c>
      <c r="E1012" s="58" t="s">
        <v>10280</v>
      </c>
      <c r="F1012" s="58" t="s">
        <v>9525</v>
      </c>
      <c r="I1012" s="58" t="s">
        <v>10281</v>
      </c>
      <c r="K1012" s="73">
        <v>44970.0</v>
      </c>
      <c r="R1012" s="58">
        <v>2022.0</v>
      </c>
      <c r="Z1012" s="58" t="s">
        <v>9527</v>
      </c>
      <c r="CH1012" s="58" t="s">
        <v>10282</v>
      </c>
      <c r="CI1012" s="73">
        <v>44970.0</v>
      </c>
      <c r="CJ1012" s="58">
        <v>678.0</v>
      </c>
      <c r="CK1012" s="58">
        <v>682.0</v>
      </c>
      <c r="CL1012" s="58" t="s">
        <v>10283</v>
      </c>
      <c r="CM1012" s="58" t="s">
        <v>9530</v>
      </c>
      <c r="CO1012" s="58" t="s">
        <v>10284</v>
      </c>
    </row>
    <row r="1013" ht="15.75" customHeight="1">
      <c r="B1013" s="58" t="s">
        <v>4587</v>
      </c>
      <c r="C1013" s="58">
        <v>2022.0</v>
      </c>
      <c r="D1013" s="58" t="s">
        <v>10285</v>
      </c>
      <c r="E1013" s="58" t="s">
        <v>10286</v>
      </c>
      <c r="F1013" s="58" t="s">
        <v>10287</v>
      </c>
      <c r="I1013" s="58" t="s">
        <v>10288</v>
      </c>
      <c r="K1013" s="73">
        <v>44922.0</v>
      </c>
      <c r="Z1013" s="58" t="s">
        <v>239</v>
      </c>
      <c r="CH1013" s="58" t="s">
        <v>10289</v>
      </c>
      <c r="CI1013" s="73">
        <v>44922.0</v>
      </c>
      <c r="CJ1013" s="58">
        <v>1000.0</v>
      </c>
      <c r="CK1013" s="58">
        <v>1004.0</v>
      </c>
      <c r="CL1013" s="58" t="s">
        <v>10290</v>
      </c>
      <c r="CM1013" s="58" t="s">
        <v>10291</v>
      </c>
      <c r="CO1013" s="58" t="s">
        <v>10292</v>
      </c>
      <c r="CP1013" s="58" t="s">
        <v>10293</v>
      </c>
      <c r="CT1013" s="58">
        <v>20.0</v>
      </c>
      <c r="CU1013" s="58" t="s">
        <v>239</v>
      </c>
      <c r="DL1013" s="58" t="s">
        <v>10294</v>
      </c>
    </row>
    <row r="1014" ht="15.75" customHeight="1">
      <c r="B1014" s="58" t="s">
        <v>4587</v>
      </c>
      <c r="C1014" s="58">
        <v>2022.0</v>
      </c>
      <c r="D1014" s="58" t="s">
        <v>10295</v>
      </c>
      <c r="E1014" s="58" t="s">
        <v>10296</v>
      </c>
      <c r="F1014" s="58" t="s">
        <v>10297</v>
      </c>
      <c r="I1014" s="58" t="s">
        <v>10298</v>
      </c>
      <c r="K1014" s="73">
        <v>44671.0</v>
      </c>
      <c r="Z1014" s="58" t="s">
        <v>239</v>
      </c>
      <c r="CH1014" s="58" t="s">
        <v>10299</v>
      </c>
      <c r="CI1014" s="73">
        <v>44671.0</v>
      </c>
      <c r="CJ1014" s="58">
        <v>1.0</v>
      </c>
      <c r="CK1014" s="58">
        <v>6.0</v>
      </c>
      <c r="CL1014" s="58" t="s">
        <v>10300</v>
      </c>
      <c r="CM1014" s="58" t="s">
        <v>10301</v>
      </c>
      <c r="CO1014" s="58" t="s">
        <v>10302</v>
      </c>
      <c r="CP1014" s="58" t="s">
        <v>10303</v>
      </c>
      <c r="CT1014" s="58">
        <v>23.0</v>
      </c>
      <c r="CU1014" s="58" t="s">
        <v>239</v>
      </c>
      <c r="DL1014" s="58" t="s">
        <v>10304</v>
      </c>
    </row>
    <row r="1015" ht="15.75" customHeight="1">
      <c r="B1015" s="58" t="s">
        <v>4587</v>
      </c>
      <c r="C1015" s="58">
        <v>2018.0</v>
      </c>
      <c r="D1015" s="58" t="s">
        <v>10305</v>
      </c>
      <c r="E1015" s="58" t="s">
        <v>10306</v>
      </c>
      <c r="F1015" s="58" t="s">
        <v>10307</v>
      </c>
      <c r="I1015" s="58" t="s">
        <v>10308</v>
      </c>
      <c r="K1015" s="73">
        <v>43335.0</v>
      </c>
      <c r="Z1015" s="58" t="s">
        <v>239</v>
      </c>
      <c r="CH1015" s="58" t="s">
        <v>10309</v>
      </c>
      <c r="CI1015" s="73">
        <v>43335.0</v>
      </c>
      <c r="CJ1015" s="58">
        <v>1.0</v>
      </c>
      <c r="CK1015" s="58">
        <v>5.0</v>
      </c>
      <c r="CL1015" s="58" t="s">
        <v>10310</v>
      </c>
      <c r="CM1015" s="58" t="s">
        <v>10311</v>
      </c>
      <c r="CO1015" s="58" t="s">
        <v>10312</v>
      </c>
      <c r="CP1015" s="58" t="s">
        <v>10313</v>
      </c>
      <c r="CT1015" s="58">
        <v>20.0</v>
      </c>
      <c r="CU1015" s="58" t="s">
        <v>239</v>
      </c>
      <c r="DL1015" s="58" t="s">
        <v>10314</v>
      </c>
    </row>
    <row r="1016" ht="15.75" customHeight="1">
      <c r="B1016" s="58" t="s">
        <v>4587</v>
      </c>
      <c r="C1016" s="58">
        <v>2020.0</v>
      </c>
      <c r="D1016" s="58" t="s">
        <v>10315</v>
      </c>
      <c r="E1016" s="58" t="s">
        <v>10316</v>
      </c>
      <c r="F1016" s="58" t="s">
        <v>10317</v>
      </c>
      <c r="H1016" s="58" t="s">
        <v>10318</v>
      </c>
      <c r="I1016" s="58" t="s">
        <v>10319</v>
      </c>
      <c r="K1016" s="73">
        <v>44117.0</v>
      </c>
      <c r="Z1016" s="58" t="s">
        <v>239</v>
      </c>
      <c r="CH1016" s="58" t="s">
        <v>10320</v>
      </c>
      <c r="CI1016" s="73">
        <v>44117.0</v>
      </c>
      <c r="CJ1016" s="58">
        <v>1.0</v>
      </c>
      <c r="CK1016" s="58">
        <v>10.0</v>
      </c>
      <c r="CL1016" s="58" t="s">
        <v>10321</v>
      </c>
      <c r="CM1016" s="58" t="s">
        <v>10322</v>
      </c>
      <c r="CO1016" s="58" t="s">
        <v>10323</v>
      </c>
      <c r="CP1016" s="58" t="s">
        <v>10324</v>
      </c>
      <c r="CT1016" s="58">
        <v>79.0</v>
      </c>
      <c r="CU1016" s="58" t="s">
        <v>239</v>
      </c>
      <c r="DL1016" s="58" t="s">
        <v>10325</v>
      </c>
    </row>
    <row r="1017" ht="15.75" customHeight="1">
      <c r="B1017" s="58" t="s">
        <v>4587</v>
      </c>
      <c r="C1017" s="58">
        <v>2016.0</v>
      </c>
      <c r="D1017" s="58" t="s">
        <v>10326</v>
      </c>
      <c r="E1017" s="58" t="s">
        <v>10327</v>
      </c>
      <c r="F1017" s="58" t="s">
        <v>10328</v>
      </c>
      <c r="I1017" s="58" t="s">
        <v>10329</v>
      </c>
      <c r="K1017" s="73">
        <v>42670.0</v>
      </c>
      <c r="Z1017" s="58" t="s">
        <v>239</v>
      </c>
      <c r="CH1017" s="58" t="s">
        <v>10330</v>
      </c>
      <c r="CI1017" s="73">
        <v>42670.0</v>
      </c>
      <c r="CJ1017" s="58">
        <v>326.0</v>
      </c>
      <c r="CK1017" s="58">
        <v>333.0</v>
      </c>
      <c r="CL1017" s="58" t="s">
        <v>10331</v>
      </c>
      <c r="CM1017" s="58" t="s">
        <v>10332</v>
      </c>
      <c r="CO1017" s="58" t="s">
        <v>10333</v>
      </c>
      <c r="CP1017" s="58" t="s">
        <v>10334</v>
      </c>
      <c r="CS1017" s="58">
        <v>2.0</v>
      </c>
      <c r="CT1017" s="58">
        <v>24.0</v>
      </c>
      <c r="CU1017" s="58" t="s">
        <v>239</v>
      </c>
      <c r="DL1017" s="58" t="s">
        <v>10335</v>
      </c>
    </row>
    <row r="1018" ht="15.75" customHeight="1">
      <c r="B1018" s="58" t="s">
        <v>4587</v>
      </c>
      <c r="C1018" s="58">
        <v>2022.0</v>
      </c>
      <c r="D1018" s="58" t="s">
        <v>10336</v>
      </c>
      <c r="E1018" s="58" t="s">
        <v>10337</v>
      </c>
      <c r="F1018" s="58" t="s">
        <v>10338</v>
      </c>
      <c r="I1018" s="58" t="s">
        <v>10339</v>
      </c>
      <c r="K1018" s="73">
        <v>44960.0</v>
      </c>
      <c r="Z1018" s="58" t="s">
        <v>239</v>
      </c>
      <c r="CH1018" s="58" t="s">
        <v>10340</v>
      </c>
      <c r="CI1018" s="73">
        <v>44960.0</v>
      </c>
      <c r="CJ1018" s="58">
        <v>1.0</v>
      </c>
      <c r="CK1018" s="58">
        <v>7.0</v>
      </c>
      <c r="CL1018" s="58" t="s">
        <v>10341</v>
      </c>
      <c r="CM1018" s="58" t="s">
        <v>10342</v>
      </c>
      <c r="CO1018" s="58" t="s">
        <v>10343</v>
      </c>
      <c r="CP1018" s="58" t="s">
        <v>10344</v>
      </c>
      <c r="CT1018" s="58">
        <v>45.0</v>
      </c>
      <c r="CU1018" s="58" t="s">
        <v>239</v>
      </c>
      <c r="DL1018" s="58" t="s">
        <v>10345</v>
      </c>
    </row>
    <row r="1019" ht="15.75" customHeight="1">
      <c r="B1019" s="58" t="s">
        <v>4587</v>
      </c>
      <c r="C1019" s="58">
        <v>2021.0</v>
      </c>
      <c r="D1019" s="58" t="s">
        <v>10346</v>
      </c>
      <c r="E1019" s="58" t="s">
        <v>10347</v>
      </c>
      <c r="F1019" s="58" t="s">
        <v>10348</v>
      </c>
      <c r="I1019" s="58" t="s">
        <v>10349</v>
      </c>
      <c r="K1019" s="73">
        <v>44467.0</v>
      </c>
      <c r="Z1019" s="58" t="s">
        <v>239</v>
      </c>
      <c r="CH1019" s="58" t="s">
        <v>10350</v>
      </c>
      <c r="CI1019" s="73">
        <v>44467.0</v>
      </c>
      <c r="CJ1019" s="58">
        <v>30.0</v>
      </c>
      <c r="CK1019" s="58">
        <v>36.0</v>
      </c>
      <c r="CL1019" s="58" t="s">
        <v>10351</v>
      </c>
      <c r="CM1019" s="58" t="s">
        <v>10352</v>
      </c>
      <c r="CO1019" s="58" t="s">
        <v>10353</v>
      </c>
      <c r="CP1019" s="58" t="s">
        <v>10354</v>
      </c>
      <c r="CT1019" s="58">
        <v>15.0</v>
      </c>
      <c r="CU1019" s="58" t="s">
        <v>239</v>
      </c>
      <c r="DL1019" s="58" t="s">
        <v>10355</v>
      </c>
    </row>
    <row r="1020" ht="15.75" customHeight="1">
      <c r="B1020" s="58" t="s">
        <v>4587</v>
      </c>
      <c r="C1020" s="58">
        <v>2019.0</v>
      </c>
      <c r="D1020" s="58" t="s">
        <v>10356</v>
      </c>
      <c r="E1020" s="58" t="s">
        <v>10357</v>
      </c>
      <c r="F1020" s="58" t="s">
        <v>10358</v>
      </c>
      <c r="I1020" s="58" t="s">
        <v>10359</v>
      </c>
      <c r="K1020" s="73">
        <v>43678.0</v>
      </c>
      <c r="Z1020" s="58" t="s">
        <v>239</v>
      </c>
      <c r="CH1020" s="58" t="s">
        <v>10360</v>
      </c>
      <c r="CI1020" s="73">
        <v>43678.0</v>
      </c>
      <c r="CJ1020" s="58">
        <v>1.0</v>
      </c>
      <c r="CK1020" s="58">
        <v>6.0</v>
      </c>
      <c r="CL1020" s="58" t="s">
        <v>10361</v>
      </c>
      <c r="CM1020" s="58" t="s">
        <v>10362</v>
      </c>
      <c r="CO1020" s="58" t="s">
        <v>10363</v>
      </c>
      <c r="CP1020" s="58" t="s">
        <v>10364</v>
      </c>
      <c r="CT1020" s="58">
        <v>29.0</v>
      </c>
      <c r="CU1020" s="58" t="s">
        <v>239</v>
      </c>
      <c r="DL1020" s="58" t="s">
        <v>10365</v>
      </c>
    </row>
    <row r="1021" ht="15.75" customHeight="1">
      <c r="B1021" s="58" t="s">
        <v>4587</v>
      </c>
      <c r="C1021" s="58">
        <v>2018.0</v>
      </c>
      <c r="D1021" s="58" t="s">
        <v>10366</v>
      </c>
      <c r="E1021" s="58" t="s">
        <v>10367</v>
      </c>
      <c r="F1021" s="58" t="s">
        <v>10368</v>
      </c>
      <c r="I1021" s="58" t="s">
        <v>10369</v>
      </c>
      <c r="K1021" s="73">
        <v>43412.0</v>
      </c>
      <c r="R1021" s="58">
        <v>1.0</v>
      </c>
      <c r="Z1021" s="58" t="s">
        <v>239</v>
      </c>
      <c r="CH1021" s="58" t="s">
        <v>10370</v>
      </c>
      <c r="CI1021" s="73">
        <v>43412.0</v>
      </c>
      <c r="CJ1021" s="58">
        <v>42.0</v>
      </c>
      <c r="CK1021" s="58">
        <v>47.0</v>
      </c>
      <c r="CL1021" s="58" t="s">
        <v>10371</v>
      </c>
      <c r="CM1021" s="58" t="s">
        <v>10372</v>
      </c>
      <c r="CO1021" s="58" t="s">
        <v>10373</v>
      </c>
      <c r="CP1021" s="58" t="s">
        <v>10374</v>
      </c>
      <c r="CT1021" s="58">
        <v>24.0</v>
      </c>
      <c r="CU1021" s="58" t="s">
        <v>239</v>
      </c>
      <c r="DL1021" s="58" t="s">
        <v>10375</v>
      </c>
    </row>
    <row r="1022" ht="15.75" customHeight="1">
      <c r="B1022" s="58" t="s">
        <v>4587</v>
      </c>
      <c r="C1022" s="58">
        <v>2021.0</v>
      </c>
      <c r="D1022" s="58" t="s">
        <v>10376</v>
      </c>
      <c r="E1022" s="58" t="s">
        <v>10377</v>
      </c>
      <c r="F1022" s="58" t="s">
        <v>10378</v>
      </c>
      <c r="H1022" s="58" t="s">
        <v>10379</v>
      </c>
      <c r="I1022" s="58" t="s">
        <v>10380</v>
      </c>
      <c r="K1022" s="73">
        <v>44566.0</v>
      </c>
      <c r="R1022" s="58">
        <v>1.0</v>
      </c>
      <c r="Z1022" s="58" t="s">
        <v>239</v>
      </c>
      <c r="CH1022" s="58" t="s">
        <v>10381</v>
      </c>
      <c r="CI1022" s="73">
        <v>44566.0</v>
      </c>
      <c r="CJ1022" s="58">
        <v>438.0</v>
      </c>
      <c r="CK1022" s="58">
        <v>443.0</v>
      </c>
      <c r="CL1022" s="58" t="s">
        <v>10382</v>
      </c>
      <c r="CM1022" s="58" t="s">
        <v>10383</v>
      </c>
      <c r="CO1022" s="58" t="s">
        <v>10384</v>
      </c>
      <c r="CP1022" s="58" t="s">
        <v>10385</v>
      </c>
      <c r="CT1022" s="58">
        <v>19.0</v>
      </c>
      <c r="CU1022" s="58" t="s">
        <v>239</v>
      </c>
      <c r="DL1022" s="58" t="s">
        <v>10386</v>
      </c>
    </row>
    <row r="1023" ht="15.75" customHeight="1">
      <c r="B1023" s="58" t="s">
        <v>4587</v>
      </c>
      <c r="C1023" s="58">
        <v>2021.0</v>
      </c>
      <c r="D1023" s="58" t="s">
        <v>10387</v>
      </c>
      <c r="E1023" s="58" t="s">
        <v>10388</v>
      </c>
      <c r="F1023" s="58" t="s">
        <v>10389</v>
      </c>
      <c r="I1023" s="58" t="s">
        <v>10390</v>
      </c>
      <c r="K1023" s="73">
        <v>44620.0</v>
      </c>
      <c r="Z1023" s="58" t="s">
        <v>239</v>
      </c>
      <c r="CH1023" s="58" t="s">
        <v>10391</v>
      </c>
      <c r="CI1023" s="73">
        <v>44620.0</v>
      </c>
      <c r="CJ1023" s="58">
        <v>1.0</v>
      </c>
      <c r="CK1023" s="58">
        <v>10.0</v>
      </c>
      <c r="CL1023" s="58" t="s">
        <v>10392</v>
      </c>
      <c r="CM1023" s="58" t="s">
        <v>10393</v>
      </c>
      <c r="CO1023" s="58" t="s">
        <v>10394</v>
      </c>
      <c r="CP1023" s="58" t="s">
        <v>10395</v>
      </c>
      <c r="CT1023" s="58">
        <v>75.0</v>
      </c>
      <c r="CU1023" s="58" t="s">
        <v>239</v>
      </c>
      <c r="DL1023" s="58" t="s">
        <v>10396</v>
      </c>
    </row>
    <row r="1024" ht="15.75" customHeight="1">
      <c r="B1024" s="58" t="s">
        <v>4587</v>
      </c>
      <c r="C1024" s="58">
        <v>2021.0</v>
      </c>
      <c r="D1024" s="58" t="s">
        <v>10397</v>
      </c>
      <c r="E1024" s="58" t="s">
        <v>10398</v>
      </c>
      <c r="F1024" s="58" t="s">
        <v>10399</v>
      </c>
      <c r="I1024" s="58" t="s">
        <v>10400</v>
      </c>
      <c r="K1024" s="73">
        <v>44509.0</v>
      </c>
      <c r="Z1024" s="58" t="s">
        <v>239</v>
      </c>
      <c r="CH1024" s="58" t="s">
        <v>10401</v>
      </c>
      <c r="CI1024" s="73">
        <v>44509.0</v>
      </c>
      <c r="CJ1024" s="58">
        <v>130.0</v>
      </c>
      <c r="CK1024" s="58">
        <v>135.0</v>
      </c>
      <c r="CL1024" s="58" t="s">
        <v>10402</v>
      </c>
      <c r="CM1024" s="58" t="s">
        <v>10403</v>
      </c>
      <c r="CO1024" s="58" t="s">
        <v>10404</v>
      </c>
      <c r="CP1024" s="58" t="s">
        <v>10405</v>
      </c>
      <c r="CT1024" s="58">
        <v>20.0</v>
      </c>
      <c r="CU1024" s="58" t="s">
        <v>239</v>
      </c>
      <c r="DL1024" s="58" t="s">
        <v>10406</v>
      </c>
    </row>
    <row r="1025" ht="15.75" customHeight="1">
      <c r="B1025" s="58" t="s">
        <v>4587</v>
      </c>
      <c r="C1025" s="58">
        <v>2022.0</v>
      </c>
      <c r="D1025" s="58" t="s">
        <v>10407</v>
      </c>
      <c r="E1025" s="58" t="s">
        <v>10408</v>
      </c>
      <c r="F1025" s="58" t="s">
        <v>10409</v>
      </c>
      <c r="I1025" s="58" t="s">
        <v>10410</v>
      </c>
      <c r="K1025" s="73">
        <v>44728.0</v>
      </c>
      <c r="Z1025" s="58" t="s">
        <v>239</v>
      </c>
      <c r="CH1025" s="58" t="s">
        <v>10411</v>
      </c>
      <c r="CI1025" s="73">
        <v>44728.0</v>
      </c>
      <c r="CJ1025" s="58">
        <v>1710.0</v>
      </c>
      <c r="CK1025" s="58">
        <v>1717.0</v>
      </c>
      <c r="CL1025" s="58" t="s">
        <v>10412</v>
      </c>
      <c r="CM1025" s="58" t="s">
        <v>10413</v>
      </c>
      <c r="CO1025" s="58" t="s">
        <v>10414</v>
      </c>
      <c r="CP1025" s="58" t="s">
        <v>10415</v>
      </c>
      <c r="CT1025" s="58">
        <v>22.0</v>
      </c>
      <c r="CU1025" s="58" t="s">
        <v>239</v>
      </c>
      <c r="DL1025" s="58" t="s">
        <v>10416</v>
      </c>
    </row>
    <row r="1026" ht="15.75" customHeight="1">
      <c r="B1026" s="58" t="s">
        <v>4587</v>
      </c>
      <c r="C1026" s="58">
        <v>2022.0</v>
      </c>
      <c r="D1026" s="58" t="s">
        <v>10417</v>
      </c>
      <c r="E1026" s="58" t="s">
        <v>10418</v>
      </c>
      <c r="F1026" s="58" t="s">
        <v>6725</v>
      </c>
      <c r="H1026" s="58" t="s">
        <v>6726</v>
      </c>
      <c r="I1026" s="58" t="s">
        <v>10419</v>
      </c>
      <c r="K1026" s="73">
        <v>44993.0</v>
      </c>
      <c r="Z1026" s="58" t="s">
        <v>239</v>
      </c>
      <c r="CH1026" s="58" t="s">
        <v>10420</v>
      </c>
      <c r="CI1026" s="73">
        <v>44993.0</v>
      </c>
      <c r="CJ1026" s="58">
        <v>1.0</v>
      </c>
      <c r="CK1026" s="58">
        <v>49.0</v>
      </c>
      <c r="CL1026" s="58" t="s">
        <v>10421</v>
      </c>
      <c r="CM1026" s="58" t="s">
        <v>6730</v>
      </c>
      <c r="CO1026" s="58" t="s">
        <v>10422</v>
      </c>
      <c r="CP1026" s="58" t="s">
        <v>10423</v>
      </c>
      <c r="CT1026" s="58">
        <v>27.0</v>
      </c>
      <c r="CU1026" s="58" t="s">
        <v>239</v>
      </c>
      <c r="DL1026" s="58" t="s">
        <v>10424</v>
      </c>
    </row>
    <row r="1027" ht="15.75" customHeight="1">
      <c r="B1027" s="58" t="s">
        <v>4587</v>
      </c>
      <c r="C1027" s="58">
        <v>2020.0</v>
      </c>
      <c r="D1027" s="58" t="s">
        <v>10425</v>
      </c>
      <c r="E1027" s="58" t="s">
        <v>10426</v>
      </c>
      <c r="F1027" s="58" t="s">
        <v>10427</v>
      </c>
      <c r="I1027" s="58" t="s">
        <v>10428</v>
      </c>
      <c r="K1027" s="73">
        <v>44104.0</v>
      </c>
      <c r="Z1027" s="58" t="s">
        <v>239</v>
      </c>
      <c r="CH1027" s="58" t="s">
        <v>10429</v>
      </c>
      <c r="CI1027" s="73">
        <v>44104.0</v>
      </c>
      <c r="CJ1027" s="58">
        <v>1.0</v>
      </c>
      <c r="CK1027" s="58">
        <v>3.0</v>
      </c>
      <c r="CL1027" s="58" t="s">
        <v>10430</v>
      </c>
      <c r="CM1027" s="58" t="s">
        <v>10431</v>
      </c>
      <c r="CO1027" s="58" t="s">
        <v>10432</v>
      </c>
      <c r="CT1027" s="58">
        <v>0.0</v>
      </c>
      <c r="CU1027" s="58" t="s">
        <v>239</v>
      </c>
      <c r="DL1027" s="58" t="s">
        <v>10433</v>
      </c>
    </row>
    <row r="1028" ht="15.75" customHeight="1">
      <c r="B1028" s="58" t="s">
        <v>4587</v>
      </c>
      <c r="C1028" s="58">
        <v>2018.0</v>
      </c>
      <c r="D1028" s="58" t="s">
        <v>10434</v>
      </c>
      <c r="E1028" s="58" t="s">
        <v>10435</v>
      </c>
      <c r="F1028" s="58" t="s">
        <v>6307</v>
      </c>
      <c r="I1028" s="58" t="s">
        <v>10436</v>
      </c>
      <c r="K1028" s="73">
        <v>43354.0</v>
      </c>
      <c r="Z1028" s="58" t="s">
        <v>239</v>
      </c>
      <c r="CH1028" s="58" t="s">
        <v>10437</v>
      </c>
      <c r="CI1028" s="73">
        <v>43354.0</v>
      </c>
      <c r="CJ1028" s="58">
        <v>385.0</v>
      </c>
      <c r="CK1028" s="58">
        <v>392.0</v>
      </c>
      <c r="CL1028" s="58" t="s">
        <v>10438</v>
      </c>
      <c r="CM1028" s="58" t="s">
        <v>6311</v>
      </c>
      <c r="CO1028" s="58" t="s">
        <v>10439</v>
      </c>
      <c r="CP1028" s="58" t="s">
        <v>10440</v>
      </c>
      <c r="CT1028" s="58">
        <v>37.0</v>
      </c>
      <c r="CU1028" s="58" t="s">
        <v>239</v>
      </c>
      <c r="DL1028" s="58" t="s">
        <v>10441</v>
      </c>
    </row>
    <row r="1029" ht="15.75" customHeight="1">
      <c r="B1029" s="58" t="s">
        <v>4587</v>
      </c>
      <c r="C1029" s="58">
        <v>2022.0</v>
      </c>
      <c r="D1029" s="58" t="s">
        <v>10442</v>
      </c>
      <c r="E1029" s="58" t="s">
        <v>10443</v>
      </c>
      <c r="F1029" s="58" t="s">
        <v>10444</v>
      </c>
      <c r="H1029" s="58" t="s">
        <v>5643</v>
      </c>
      <c r="I1029" s="58" t="s">
        <v>10445</v>
      </c>
      <c r="K1029" s="73">
        <v>44914.0</v>
      </c>
      <c r="Z1029" s="58" t="s">
        <v>239</v>
      </c>
      <c r="CH1029" s="58" t="s">
        <v>10446</v>
      </c>
      <c r="CI1029" s="73">
        <v>44914.0</v>
      </c>
      <c r="CJ1029" s="58">
        <v>122.0</v>
      </c>
      <c r="CK1029" s="58">
        <v>130.0</v>
      </c>
      <c r="CL1029" s="58" t="s">
        <v>10447</v>
      </c>
      <c r="CM1029" s="58" t="s">
        <v>10448</v>
      </c>
      <c r="CN1029" s="58" t="s">
        <v>10449</v>
      </c>
      <c r="CO1029" s="58" t="s">
        <v>10450</v>
      </c>
      <c r="CP1029" s="58" t="s">
        <v>10451</v>
      </c>
      <c r="CT1029" s="58">
        <v>36.0</v>
      </c>
      <c r="CU1029" s="58" t="s">
        <v>239</v>
      </c>
      <c r="DL1029" s="58" t="s">
        <v>10452</v>
      </c>
    </row>
    <row r="1030" ht="15.75" customHeight="1">
      <c r="B1030" s="58" t="s">
        <v>4587</v>
      </c>
      <c r="C1030" s="58">
        <v>2017.0</v>
      </c>
      <c r="D1030" s="58" t="s">
        <v>10453</v>
      </c>
      <c r="E1030" s="58" t="s">
        <v>10454</v>
      </c>
      <c r="F1030" s="58" t="s">
        <v>10455</v>
      </c>
      <c r="H1030" s="58" t="s">
        <v>10456</v>
      </c>
      <c r="I1030" s="58" t="s">
        <v>10457</v>
      </c>
      <c r="K1030" s="73">
        <v>43139.0</v>
      </c>
      <c r="Z1030" s="58" t="s">
        <v>239</v>
      </c>
      <c r="CH1030" s="58" t="s">
        <v>10458</v>
      </c>
      <c r="CI1030" s="73">
        <v>43139.0</v>
      </c>
      <c r="CJ1030" s="58">
        <v>425.0</v>
      </c>
      <c r="CK1030" s="58">
        <v>437.0</v>
      </c>
      <c r="CL1030" s="58" t="s">
        <v>10459</v>
      </c>
      <c r="CM1030" s="58" t="s">
        <v>10460</v>
      </c>
      <c r="CO1030" s="58" t="s">
        <v>10461</v>
      </c>
      <c r="CP1030" s="58" t="s">
        <v>10462</v>
      </c>
      <c r="CT1030" s="58">
        <v>25.0</v>
      </c>
      <c r="CU1030" s="58" t="s">
        <v>239</v>
      </c>
      <c r="DL1030" s="58" t="s">
        <v>10463</v>
      </c>
    </row>
    <row r="1031" ht="15.75" customHeight="1">
      <c r="B1031" s="58" t="s">
        <v>4587</v>
      </c>
      <c r="C1031" s="58">
        <v>2022.0</v>
      </c>
      <c r="D1031" s="58" t="s">
        <v>10464</v>
      </c>
      <c r="E1031" s="58" t="s">
        <v>10465</v>
      </c>
      <c r="F1031" s="58" t="s">
        <v>10466</v>
      </c>
      <c r="I1031" s="58" t="s">
        <v>10467</v>
      </c>
      <c r="K1031" s="73">
        <v>44784.0</v>
      </c>
      <c r="Z1031" s="58" t="s">
        <v>239</v>
      </c>
      <c r="CH1031" s="58" t="s">
        <v>10468</v>
      </c>
      <c r="CI1031" s="73">
        <v>44784.0</v>
      </c>
      <c r="CJ1031" s="58">
        <v>92.0</v>
      </c>
      <c r="CK1031" s="58">
        <v>97.0</v>
      </c>
      <c r="CL1031" s="58" t="s">
        <v>10469</v>
      </c>
      <c r="CM1031" s="58" t="s">
        <v>10470</v>
      </c>
      <c r="CO1031" s="58" t="s">
        <v>10471</v>
      </c>
      <c r="CP1031" s="58" t="s">
        <v>10472</v>
      </c>
      <c r="CT1031" s="58">
        <v>11.0</v>
      </c>
      <c r="CU1031" s="58" t="s">
        <v>239</v>
      </c>
      <c r="DL1031" s="58" t="s">
        <v>10473</v>
      </c>
    </row>
    <row r="1032" ht="15.75" customHeight="1">
      <c r="B1032" s="58" t="s">
        <v>4587</v>
      </c>
      <c r="C1032" s="58">
        <v>2020.0</v>
      </c>
      <c r="D1032" s="58" t="s">
        <v>10474</v>
      </c>
      <c r="E1032" s="58" t="s">
        <v>10475</v>
      </c>
      <c r="F1032" s="58" t="s">
        <v>5283</v>
      </c>
      <c r="I1032" s="58" t="s">
        <v>10476</v>
      </c>
      <c r="K1032" s="73">
        <v>44180.0</v>
      </c>
      <c r="Z1032" s="58" t="s">
        <v>239</v>
      </c>
      <c r="CH1032" s="58" t="s">
        <v>10477</v>
      </c>
      <c r="CI1032" s="73">
        <v>44180.0</v>
      </c>
      <c r="CJ1032" s="58">
        <v>39.0</v>
      </c>
      <c r="CK1032" s="58">
        <v>45.0</v>
      </c>
      <c r="CL1032" s="58" t="s">
        <v>10478</v>
      </c>
      <c r="CM1032" s="58" t="s">
        <v>5287</v>
      </c>
      <c r="CO1032" s="58" t="s">
        <v>10479</v>
      </c>
      <c r="CP1032" s="58" t="s">
        <v>10480</v>
      </c>
      <c r="CT1032" s="58">
        <v>17.0</v>
      </c>
      <c r="CU1032" s="58" t="s">
        <v>239</v>
      </c>
      <c r="DL1032" s="58" t="s">
        <v>10481</v>
      </c>
    </row>
    <row r="1033" ht="15.75" customHeight="1">
      <c r="B1033" s="58" t="s">
        <v>4587</v>
      </c>
      <c r="C1033" s="58">
        <v>2018.0</v>
      </c>
      <c r="D1033" s="58" t="s">
        <v>10482</v>
      </c>
      <c r="E1033" s="58" t="s">
        <v>10483</v>
      </c>
      <c r="F1033" s="58" t="s">
        <v>10484</v>
      </c>
      <c r="H1033" s="58" t="s">
        <v>8382</v>
      </c>
      <c r="I1033" s="58" t="s">
        <v>10485</v>
      </c>
      <c r="K1033" s="73">
        <v>43503.0</v>
      </c>
      <c r="Z1033" s="58" t="s">
        <v>239</v>
      </c>
      <c r="CH1033" s="58" t="s">
        <v>10486</v>
      </c>
      <c r="CI1033" s="73">
        <v>43503.0</v>
      </c>
      <c r="CJ1033" s="58">
        <v>1.0</v>
      </c>
      <c r="CK1033" s="58">
        <v>5.0</v>
      </c>
      <c r="CL1033" s="58" t="s">
        <v>10487</v>
      </c>
      <c r="CM1033" s="58" t="s">
        <v>10488</v>
      </c>
      <c r="CO1033" s="58" t="s">
        <v>10489</v>
      </c>
      <c r="CP1033" s="58" t="s">
        <v>10490</v>
      </c>
      <c r="CT1033" s="58">
        <v>12.0</v>
      </c>
      <c r="CU1033" s="58" t="s">
        <v>239</v>
      </c>
      <c r="DL1033" s="58" t="s">
        <v>10491</v>
      </c>
    </row>
    <row r="1034" ht="15.75" customHeight="1">
      <c r="B1034" s="58" t="s">
        <v>4587</v>
      </c>
      <c r="C1034" s="58">
        <v>2022.0</v>
      </c>
      <c r="D1034" s="58" t="s">
        <v>10492</v>
      </c>
      <c r="E1034" s="58" t="s">
        <v>10493</v>
      </c>
      <c r="F1034" s="58" t="s">
        <v>10494</v>
      </c>
      <c r="I1034" s="58" t="s">
        <v>10495</v>
      </c>
      <c r="K1034" s="73">
        <v>44917.0</v>
      </c>
      <c r="Z1034" s="58" t="s">
        <v>239</v>
      </c>
      <c r="CH1034" s="58" t="s">
        <v>10496</v>
      </c>
      <c r="CI1034" s="73">
        <v>44917.0</v>
      </c>
      <c r="CJ1034" s="58">
        <v>1.0</v>
      </c>
      <c r="CK1034" s="58">
        <v>4.0</v>
      </c>
      <c r="CL1034" s="58" t="s">
        <v>10497</v>
      </c>
      <c r="CM1034" s="58" t="s">
        <v>10498</v>
      </c>
      <c r="CO1034" s="58" t="s">
        <v>10499</v>
      </c>
      <c r="CP1034" s="58" t="s">
        <v>10500</v>
      </c>
      <c r="CT1034" s="58">
        <v>17.0</v>
      </c>
      <c r="CU1034" s="58" t="s">
        <v>239</v>
      </c>
      <c r="DL1034" s="58" t="s">
        <v>10501</v>
      </c>
    </row>
    <row r="1035" ht="15.75" customHeight="1">
      <c r="B1035" s="58" t="s">
        <v>4587</v>
      </c>
      <c r="C1035" s="58">
        <v>2021.0</v>
      </c>
      <c r="D1035" s="58" t="s">
        <v>10502</v>
      </c>
      <c r="E1035" s="58" t="s">
        <v>10503</v>
      </c>
      <c r="F1035" s="58" t="s">
        <v>10504</v>
      </c>
      <c r="I1035" s="58" t="s">
        <v>10505</v>
      </c>
      <c r="K1035" s="73">
        <v>44519.0</v>
      </c>
      <c r="Z1035" s="58" t="s">
        <v>239</v>
      </c>
      <c r="CH1035" s="58" t="s">
        <v>10506</v>
      </c>
      <c r="CI1035" s="73">
        <v>44519.0</v>
      </c>
      <c r="CJ1035" s="58">
        <v>317.0</v>
      </c>
      <c r="CK1035" s="58">
        <v>322.0</v>
      </c>
      <c r="CL1035" s="58" t="s">
        <v>10507</v>
      </c>
      <c r="CM1035" s="58" t="s">
        <v>10508</v>
      </c>
      <c r="CO1035" s="58" t="s">
        <v>10509</v>
      </c>
      <c r="CP1035" s="58" t="s">
        <v>10510</v>
      </c>
      <c r="CT1035" s="58">
        <v>29.0</v>
      </c>
      <c r="CU1035" s="58" t="s">
        <v>239</v>
      </c>
      <c r="DL1035" s="58" t="s">
        <v>10511</v>
      </c>
    </row>
    <row r="1036" ht="15.75" customHeight="1">
      <c r="B1036" s="58" t="s">
        <v>4587</v>
      </c>
      <c r="C1036" s="58">
        <v>2022.0</v>
      </c>
      <c r="D1036" s="58" t="s">
        <v>10512</v>
      </c>
      <c r="E1036" s="58" t="s">
        <v>10513</v>
      </c>
      <c r="F1036" s="58" t="s">
        <v>10514</v>
      </c>
      <c r="H1036" s="58" t="s">
        <v>9495</v>
      </c>
      <c r="I1036" s="58" t="s">
        <v>10515</v>
      </c>
      <c r="K1036" s="73">
        <v>44942.0</v>
      </c>
      <c r="Z1036" s="58" t="s">
        <v>239</v>
      </c>
      <c r="CH1036" s="58" t="s">
        <v>10516</v>
      </c>
      <c r="CI1036" s="73">
        <v>44942.0</v>
      </c>
      <c r="CJ1036" s="58">
        <v>1.0</v>
      </c>
      <c r="CK1036" s="58">
        <v>4.0</v>
      </c>
      <c r="CL1036" s="58" t="s">
        <v>10517</v>
      </c>
      <c r="CM1036" s="58" t="s">
        <v>10518</v>
      </c>
      <c r="CO1036" s="58" t="s">
        <v>10519</v>
      </c>
      <c r="CP1036" s="58" t="s">
        <v>10520</v>
      </c>
      <c r="CT1036" s="58">
        <v>16.0</v>
      </c>
      <c r="CU1036" s="58" t="s">
        <v>239</v>
      </c>
      <c r="DL1036" s="58" t="s">
        <v>10521</v>
      </c>
    </row>
    <row r="1037" ht="15.75" customHeight="1">
      <c r="B1037" s="58" t="s">
        <v>4587</v>
      </c>
      <c r="C1037" s="58">
        <v>2022.0</v>
      </c>
      <c r="D1037" s="58" t="s">
        <v>10522</v>
      </c>
      <c r="E1037" s="58" t="s">
        <v>10523</v>
      </c>
      <c r="F1037" s="58" t="s">
        <v>10151</v>
      </c>
      <c r="I1037" s="58" t="s">
        <v>10524</v>
      </c>
      <c r="K1037" s="73">
        <v>44924.0</v>
      </c>
      <c r="Z1037" s="58" t="s">
        <v>239</v>
      </c>
      <c r="CH1037" s="58" t="s">
        <v>10525</v>
      </c>
      <c r="CI1037" s="73">
        <v>44924.0</v>
      </c>
      <c r="CJ1037" s="58">
        <v>1018.0</v>
      </c>
      <c r="CK1037" s="58">
        <v>1022.0</v>
      </c>
      <c r="CL1037" s="58" t="s">
        <v>10526</v>
      </c>
      <c r="CM1037" s="58" t="s">
        <v>10155</v>
      </c>
      <c r="CO1037" s="58" t="s">
        <v>10527</v>
      </c>
      <c r="CP1037" s="58" t="s">
        <v>10528</v>
      </c>
      <c r="CT1037" s="58">
        <v>29.0</v>
      </c>
      <c r="CU1037" s="58" t="s">
        <v>239</v>
      </c>
      <c r="DL1037" s="58" t="s">
        <v>10529</v>
      </c>
    </row>
    <row r="1038" ht="15.75" customHeight="1">
      <c r="B1038" s="58" t="s">
        <v>4587</v>
      </c>
      <c r="C1038" s="58">
        <v>2021.0</v>
      </c>
      <c r="D1038" s="58" t="s">
        <v>10530</v>
      </c>
      <c r="E1038" s="58" t="s">
        <v>10531</v>
      </c>
      <c r="F1038" s="58" t="s">
        <v>10532</v>
      </c>
      <c r="I1038" s="58" t="s">
        <v>10533</v>
      </c>
      <c r="K1038" s="73">
        <v>44406.0</v>
      </c>
      <c r="Z1038" s="58" t="s">
        <v>239</v>
      </c>
      <c r="CH1038" s="58" t="s">
        <v>10534</v>
      </c>
      <c r="CI1038" s="73">
        <v>44406.0</v>
      </c>
      <c r="CJ1038" s="58">
        <v>1.0</v>
      </c>
      <c r="CK1038" s="58">
        <v>6.0</v>
      </c>
      <c r="CL1038" s="58" t="s">
        <v>10535</v>
      </c>
      <c r="CM1038" s="58" t="s">
        <v>10536</v>
      </c>
      <c r="CO1038" s="58" t="s">
        <v>10537</v>
      </c>
      <c r="CP1038" s="58" t="s">
        <v>10538</v>
      </c>
      <c r="CT1038" s="58">
        <v>22.0</v>
      </c>
      <c r="CU1038" s="58" t="s">
        <v>239</v>
      </c>
      <c r="DL1038" s="58" t="s">
        <v>10539</v>
      </c>
    </row>
    <row r="1039" ht="15.75" customHeight="1">
      <c r="B1039" s="58" t="s">
        <v>4587</v>
      </c>
      <c r="C1039" s="58">
        <v>2022.0</v>
      </c>
      <c r="D1039" s="58" t="s">
        <v>10540</v>
      </c>
      <c r="E1039" s="58" t="s">
        <v>10541</v>
      </c>
      <c r="F1039" s="58" t="s">
        <v>10542</v>
      </c>
      <c r="I1039" s="58" t="s">
        <v>10543</v>
      </c>
      <c r="K1039" s="73">
        <v>45013.0</v>
      </c>
      <c r="Z1039" s="58" t="s">
        <v>239</v>
      </c>
      <c r="CH1039" s="58" t="s">
        <v>10544</v>
      </c>
      <c r="CI1039" s="73">
        <v>45013.0</v>
      </c>
      <c r="CJ1039" s="58">
        <v>1.0</v>
      </c>
      <c r="CK1039" s="58">
        <v>7.0</v>
      </c>
      <c r="CL1039" s="58" t="s">
        <v>10545</v>
      </c>
      <c r="CM1039" s="58" t="s">
        <v>10546</v>
      </c>
      <c r="CO1039" s="58" t="s">
        <v>10547</v>
      </c>
      <c r="CP1039" s="58" t="s">
        <v>10548</v>
      </c>
      <c r="CT1039" s="58">
        <v>10.0</v>
      </c>
      <c r="CU1039" s="58" t="s">
        <v>239</v>
      </c>
      <c r="DL1039" s="58" t="s">
        <v>10549</v>
      </c>
    </row>
    <row r="1040" ht="15.75" customHeight="1">
      <c r="B1040" s="58" t="s">
        <v>4587</v>
      </c>
      <c r="C1040" s="58">
        <v>2020.0</v>
      </c>
      <c r="D1040" s="58" t="s">
        <v>10550</v>
      </c>
      <c r="E1040" s="58" t="s">
        <v>10551</v>
      </c>
      <c r="F1040" s="58" t="s">
        <v>10552</v>
      </c>
      <c r="I1040" s="58" t="s">
        <v>10553</v>
      </c>
      <c r="K1040" s="73">
        <v>44162.0</v>
      </c>
      <c r="Z1040" s="58" t="s">
        <v>239</v>
      </c>
      <c r="CH1040" s="58" t="s">
        <v>10554</v>
      </c>
      <c r="CI1040" s="73">
        <v>44162.0</v>
      </c>
      <c r="CJ1040" s="58">
        <v>1.0</v>
      </c>
      <c r="CK1040" s="58">
        <v>6.0</v>
      </c>
      <c r="CL1040" s="58" t="s">
        <v>10555</v>
      </c>
      <c r="CM1040" s="58" t="s">
        <v>10556</v>
      </c>
      <c r="CN1040" s="58" t="s">
        <v>10557</v>
      </c>
      <c r="CO1040" s="58" t="s">
        <v>10558</v>
      </c>
      <c r="CP1040" s="58" t="s">
        <v>10559</v>
      </c>
      <c r="CT1040" s="58">
        <v>14.0</v>
      </c>
      <c r="DL1040" s="58" t="s">
        <v>10560</v>
      </c>
    </row>
    <row r="1041" ht="15.75" customHeight="1">
      <c r="B1041" s="58" t="s">
        <v>4587</v>
      </c>
      <c r="C1041" s="58">
        <v>2022.0</v>
      </c>
      <c r="E1041" s="58" t="s">
        <v>10561</v>
      </c>
      <c r="F1041" s="58" t="s">
        <v>10562</v>
      </c>
      <c r="I1041" s="58" t="s">
        <v>10563</v>
      </c>
      <c r="K1041" s="73">
        <v>44769.0</v>
      </c>
      <c r="Z1041" s="58" t="s">
        <v>239</v>
      </c>
      <c r="CI1041" s="73">
        <v>44769.0</v>
      </c>
      <c r="CJ1041" s="58" t="s">
        <v>10564</v>
      </c>
      <c r="CK1041" s="58" t="s">
        <v>10565</v>
      </c>
      <c r="CL1041" s="58" t="s">
        <v>10566</v>
      </c>
      <c r="CM1041" s="58" t="s">
        <v>10567</v>
      </c>
      <c r="CO1041" s="58" t="s">
        <v>10568</v>
      </c>
      <c r="CU1041" s="58" t="s">
        <v>239</v>
      </c>
    </row>
    <row r="1042" ht="15.75" customHeight="1">
      <c r="B1042" s="58" t="s">
        <v>4587</v>
      </c>
      <c r="C1042" s="58">
        <v>2022.0</v>
      </c>
      <c r="E1042" s="58" t="s">
        <v>10569</v>
      </c>
      <c r="F1042" s="58" t="s">
        <v>10570</v>
      </c>
      <c r="I1042" s="58" t="s">
        <v>10571</v>
      </c>
      <c r="K1042" s="73">
        <v>44865.0</v>
      </c>
      <c r="Z1042" s="58" t="s">
        <v>239</v>
      </c>
      <c r="CI1042" s="73">
        <v>44865.0</v>
      </c>
      <c r="CJ1042" s="58" t="s">
        <v>10572</v>
      </c>
      <c r="CK1042" s="58" t="s">
        <v>10573</v>
      </c>
      <c r="CL1042" s="58" t="s">
        <v>10574</v>
      </c>
      <c r="CM1042" s="58" t="s">
        <v>10575</v>
      </c>
      <c r="CO1042" s="58" t="s">
        <v>10576</v>
      </c>
      <c r="CU1042" s="58" t="s">
        <v>239</v>
      </c>
    </row>
    <row r="1043" ht="15.75" customHeight="1">
      <c r="B1043" s="58" t="s">
        <v>4587</v>
      </c>
      <c r="C1043" s="58">
        <v>2022.0</v>
      </c>
      <c r="E1043" s="58" t="s">
        <v>10577</v>
      </c>
      <c r="F1043" s="58" t="s">
        <v>9902</v>
      </c>
      <c r="I1043" s="58" t="s">
        <v>10578</v>
      </c>
      <c r="K1043" s="73">
        <v>45029.0</v>
      </c>
      <c r="Z1043" s="58" t="s">
        <v>239</v>
      </c>
      <c r="CI1043" s="73">
        <v>45029.0</v>
      </c>
      <c r="CJ1043" s="58">
        <v>1.0</v>
      </c>
      <c r="CK1043" s="58">
        <v>18.0</v>
      </c>
      <c r="CM1043" s="58" t="s">
        <v>9906</v>
      </c>
      <c r="CO1043" s="58" t="s">
        <v>10579</v>
      </c>
      <c r="CU1043" s="58" t="s">
        <v>239</v>
      </c>
    </row>
    <row r="1044" ht="15.75" customHeight="1">
      <c r="B1044" s="58" t="s">
        <v>4587</v>
      </c>
      <c r="C1044" s="58">
        <v>2022.0</v>
      </c>
      <c r="E1044" s="58" t="s">
        <v>10580</v>
      </c>
      <c r="F1044" s="58" t="s">
        <v>10581</v>
      </c>
      <c r="H1044" s="58" t="s">
        <v>10582</v>
      </c>
      <c r="I1044" s="58" t="s">
        <v>10583</v>
      </c>
      <c r="K1044" s="73">
        <v>44838.0</v>
      </c>
      <c r="R1044" s="58">
        <v>5.0</v>
      </c>
      <c r="Z1044" s="58" t="s">
        <v>239</v>
      </c>
      <c r="CI1044" s="73">
        <v>44838.0</v>
      </c>
      <c r="CJ1044" s="58" t="s">
        <v>10564</v>
      </c>
      <c r="CK1044" s="58" t="s">
        <v>10584</v>
      </c>
      <c r="CL1044" s="58" t="s">
        <v>10585</v>
      </c>
      <c r="CM1044" s="58" t="s">
        <v>10586</v>
      </c>
      <c r="CO1044" s="58" t="s">
        <v>10587</v>
      </c>
      <c r="CU1044" s="58" t="s">
        <v>239</v>
      </c>
    </row>
    <row r="1045" ht="15.75" customHeight="1">
      <c r="B1045" s="58" t="s">
        <v>4587</v>
      </c>
      <c r="C1045" s="58">
        <v>2022.0</v>
      </c>
      <c r="E1045" s="58" t="s">
        <v>9426</v>
      </c>
      <c r="F1045" s="58" t="s">
        <v>10588</v>
      </c>
      <c r="I1045" s="58" t="s">
        <v>10589</v>
      </c>
      <c r="K1045" s="73">
        <v>45008.0</v>
      </c>
      <c r="Z1045" s="58" t="s">
        <v>239</v>
      </c>
      <c r="CI1045" s="73">
        <v>45008.0</v>
      </c>
      <c r="CJ1045" s="58">
        <v>1.0</v>
      </c>
      <c r="CK1045" s="58">
        <v>84.0</v>
      </c>
      <c r="CM1045" s="58" t="s">
        <v>10590</v>
      </c>
      <c r="CO1045" s="58" t="s">
        <v>10591</v>
      </c>
      <c r="CU1045" s="58" t="s">
        <v>239</v>
      </c>
    </row>
    <row r="1046" ht="15.75" customHeight="1">
      <c r="B1046" s="58" t="s">
        <v>4587</v>
      </c>
      <c r="C1046" s="58">
        <v>2022.0</v>
      </c>
      <c r="E1046" s="58" t="s">
        <v>10592</v>
      </c>
      <c r="F1046" s="58" t="s">
        <v>6725</v>
      </c>
      <c r="H1046" s="58" t="s">
        <v>6726</v>
      </c>
      <c r="I1046" s="58" t="s">
        <v>10593</v>
      </c>
      <c r="K1046" s="73">
        <v>44993.0</v>
      </c>
      <c r="Z1046" s="58" t="s">
        <v>239</v>
      </c>
      <c r="CI1046" s="73">
        <v>44993.0</v>
      </c>
      <c r="CJ1046" s="58" t="s">
        <v>10594</v>
      </c>
      <c r="CK1046" s="58" t="s">
        <v>10595</v>
      </c>
      <c r="CM1046" s="58" t="s">
        <v>6730</v>
      </c>
      <c r="CO1046" s="58" t="s">
        <v>10596</v>
      </c>
      <c r="CU1046" s="58" t="s">
        <v>239</v>
      </c>
    </row>
    <row r="1047" ht="15.75" customHeight="1">
      <c r="B1047" s="58" t="s">
        <v>4587</v>
      </c>
      <c r="C1047" s="58">
        <v>2022.0</v>
      </c>
      <c r="E1047" s="58" t="s">
        <v>10597</v>
      </c>
      <c r="F1047" s="58" t="s">
        <v>7110</v>
      </c>
      <c r="I1047" s="58" t="s">
        <v>10598</v>
      </c>
      <c r="K1047" s="73">
        <v>44999.0</v>
      </c>
      <c r="Z1047" s="58" t="s">
        <v>239</v>
      </c>
      <c r="CI1047" s="73">
        <v>44999.0</v>
      </c>
      <c r="CJ1047" s="58">
        <v>5.0</v>
      </c>
      <c r="CK1047" s="58">
        <v>12.0</v>
      </c>
      <c r="CM1047" s="58" t="s">
        <v>7114</v>
      </c>
      <c r="CO1047" s="58" t="s">
        <v>10599</v>
      </c>
      <c r="CU1047" s="58" t="s">
        <v>239</v>
      </c>
    </row>
    <row r="1048" ht="15.75" customHeight="1">
      <c r="B1048" s="58" t="s">
        <v>4587</v>
      </c>
      <c r="C1048" s="58">
        <v>2020.0</v>
      </c>
      <c r="E1048" s="58" t="s">
        <v>10597</v>
      </c>
      <c r="F1048" s="58" t="s">
        <v>4839</v>
      </c>
      <c r="I1048" s="58" t="s">
        <v>10600</v>
      </c>
      <c r="K1048" s="73">
        <v>44026.0</v>
      </c>
      <c r="Z1048" s="58" t="s">
        <v>239</v>
      </c>
      <c r="CI1048" s="73">
        <v>44026.0</v>
      </c>
      <c r="CJ1048" s="58" t="s">
        <v>10564</v>
      </c>
      <c r="CK1048" s="58" t="s">
        <v>10601</v>
      </c>
      <c r="CL1048" s="58" t="s">
        <v>10602</v>
      </c>
      <c r="CM1048" s="58" t="s">
        <v>4843</v>
      </c>
      <c r="CO1048" s="58" t="s">
        <v>10603</v>
      </c>
      <c r="CU1048" s="58" t="s">
        <v>239</v>
      </c>
    </row>
    <row r="1049" ht="15.75" customHeight="1">
      <c r="B1049" s="58" t="s">
        <v>4587</v>
      </c>
      <c r="C1049" s="58">
        <v>2022.0</v>
      </c>
      <c r="E1049" s="58" t="s">
        <v>10597</v>
      </c>
      <c r="F1049" s="58" t="s">
        <v>10604</v>
      </c>
      <c r="I1049" s="58" t="s">
        <v>10605</v>
      </c>
      <c r="K1049" s="73">
        <v>44701.0</v>
      </c>
      <c r="Z1049" s="58" t="s">
        <v>239</v>
      </c>
      <c r="CI1049" s="73">
        <v>44701.0</v>
      </c>
      <c r="CJ1049" s="58">
        <v>1.0</v>
      </c>
      <c r="CK1049" s="58">
        <v>13.0</v>
      </c>
      <c r="CL1049" s="58" t="s">
        <v>10602</v>
      </c>
      <c r="CM1049" s="58" t="s">
        <v>10606</v>
      </c>
      <c r="CO1049" s="58" t="s">
        <v>10607</v>
      </c>
      <c r="CU1049" s="58" t="s">
        <v>239</v>
      </c>
    </row>
    <row r="1050" ht="15.75" customHeight="1">
      <c r="B1050" s="58" t="s">
        <v>4587</v>
      </c>
      <c r="C1050" s="58">
        <v>2022.0</v>
      </c>
      <c r="E1050" s="58" t="s">
        <v>10597</v>
      </c>
      <c r="F1050" s="58" t="s">
        <v>10608</v>
      </c>
      <c r="I1050" s="58" t="s">
        <v>10609</v>
      </c>
      <c r="K1050" s="73">
        <v>45022.0</v>
      </c>
      <c r="Z1050" s="58" t="s">
        <v>239</v>
      </c>
      <c r="CI1050" s="73">
        <v>45022.0</v>
      </c>
      <c r="CJ1050" s="58">
        <v>1.0</v>
      </c>
      <c r="CK1050" s="58">
        <v>10.0</v>
      </c>
      <c r="CM1050" s="58" t="s">
        <v>10610</v>
      </c>
      <c r="CO1050" s="58" t="s">
        <v>10611</v>
      </c>
      <c r="CU1050" s="58" t="s">
        <v>239</v>
      </c>
    </row>
    <row r="1051" ht="15.75" customHeight="1">
      <c r="B1051" s="58" t="s">
        <v>4587</v>
      </c>
      <c r="C1051" s="58">
        <v>2020.0</v>
      </c>
      <c r="E1051" s="58" t="s">
        <v>10612</v>
      </c>
      <c r="F1051" s="58" t="s">
        <v>10613</v>
      </c>
      <c r="I1051" s="58" t="s">
        <v>10614</v>
      </c>
      <c r="K1051" s="73">
        <v>44106.0</v>
      </c>
      <c r="Z1051" s="58" t="s">
        <v>239</v>
      </c>
      <c r="CI1051" s="73">
        <v>44106.0</v>
      </c>
      <c r="CJ1051" s="58">
        <v>1.0</v>
      </c>
      <c r="CK1051" s="58">
        <v>28.0</v>
      </c>
      <c r="CL1051" s="58" t="s">
        <v>10615</v>
      </c>
      <c r="CM1051" s="58" t="s">
        <v>10616</v>
      </c>
      <c r="CO1051" s="58" t="s">
        <v>10617</v>
      </c>
      <c r="CU1051" s="58" t="s">
        <v>239</v>
      </c>
    </row>
    <row r="1052" ht="15.75" customHeight="1">
      <c r="B1052" s="58" t="s">
        <v>4587</v>
      </c>
      <c r="C1052" s="58">
        <v>2020.0</v>
      </c>
      <c r="E1052" s="58" t="s">
        <v>10618</v>
      </c>
      <c r="F1052" s="58" t="s">
        <v>6554</v>
      </c>
      <c r="H1052" s="58" t="s">
        <v>6555</v>
      </c>
      <c r="I1052" s="58" t="s">
        <v>10619</v>
      </c>
      <c r="K1052" s="73">
        <v>44141.0</v>
      </c>
      <c r="Z1052" s="58" t="s">
        <v>239</v>
      </c>
      <c r="CI1052" s="73">
        <v>44141.0</v>
      </c>
      <c r="CJ1052" s="58" t="s">
        <v>10564</v>
      </c>
      <c r="CK1052" s="58" t="s">
        <v>10620</v>
      </c>
      <c r="CL1052" s="58" t="s">
        <v>10602</v>
      </c>
      <c r="CM1052" s="58" t="s">
        <v>6559</v>
      </c>
      <c r="CO1052" s="58" t="s">
        <v>10621</v>
      </c>
    </row>
    <row r="1053" ht="15.75" customHeight="1">
      <c r="B1053" s="58" t="s">
        <v>4587</v>
      </c>
      <c r="C1053" s="58">
        <v>2022.0</v>
      </c>
      <c r="E1053" s="58" t="s">
        <v>10597</v>
      </c>
      <c r="F1053" s="58" t="s">
        <v>8590</v>
      </c>
      <c r="I1053" s="58" t="s">
        <v>10622</v>
      </c>
      <c r="K1053" s="73">
        <v>44713.0</v>
      </c>
      <c r="Z1053" s="58" t="s">
        <v>239</v>
      </c>
      <c r="CI1053" s="73">
        <v>44713.0</v>
      </c>
      <c r="CJ1053" s="58" t="s">
        <v>10601</v>
      </c>
      <c r="CK1053" s="58" t="s">
        <v>10623</v>
      </c>
      <c r="CL1053" s="58" t="s">
        <v>10602</v>
      </c>
      <c r="CM1053" s="58" t="s">
        <v>8594</v>
      </c>
      <c r="CO1053" s="58" t="s">
        <v>10624</v>
      </c>
      <c r="CU1053" s="58" t="s">
        <v>239</v>
      </c>
    </row>
    <row r="1054" ht="15.75" customHeight="1">
      <c r="B1054" s="58" t="s">
        <v>4587</v>
      </c>
      <c r="C1054" s="58">
        <v>2020.0</v>
      </c>
      <c r="E1054" s="58" t="s">
        <v>10597</v>
      </c>
      <c r="F1054" s="58" t="s">
        <v>10625</v>
      </c>
      <c r="I1054" s="58" t="s">
        <v>10626</v>
      </c>
      <c r="K1054" s="73">
        <v>44351.0</v>
      </c>
      <c r="Z1054" s="58" t="s">
        <v>239</v>
      </c>
      <c r="CI1054" s="73">
        <v>44351.0</v>
      </c>
      <c r="CJ1054" s="58" t="s">
        <v>10627</v>
      </c>
      <c r="CK1054" s="58" t="s">
        <v>10628</v>
      </c>
      <c r="CL1054" s="58" t="s">
        <v>10602</v>
      </c>
      <c r="CM1054" s="58" t="s">
        <v>10629</v>
      </c>
      <c r="CO1054" s="58" t="s">
        <v>10630</v>
      </c>
      <c r="CU1054" s="58" t="s">
        <v>239</v>
      </c>
    </row>
    <row r="1055" ht="15.75" customHeight="1">
      <c r="B1055" s="58" t="s">
        <v>4587</v>
      </c>
      <c r="C1055" s="58">
        <v>2020.0</v>
      </c>
      <c r="E1055" s="58" t="s">
        <v>10631</v>
      </c>
      <c r="F1055" s="58" t="s">
        <v>10632</v>
      </c>
      <c r="I1055" s="58" t="s">
        <v>10633</v>
      </c>
      <c r="K1055" s="73">
        <v>44053.0</v>
      </c>
      <c r="Z1055" s="58" t="s">
        <v>239</v>
      </c>
      <c r="CI1055" s="73">
        <v>44053.0</v>
      </c>
      <c r="CJ1055" s="58">
        <v>1.0</v>
      </c>
      <c r="CK1055" s="58">
        <v>11.0</v>
      </c>
      <c r="CL1055" s="58" t="s">
        <v>10634</v>
      </c>
      <c r="CM1055" s="58" t="s">
        <v>10635</v>
      </c>
      <c r="CO1055" s="58" t="s">
        <v>10636</v>
      </c>
      <c r="CU1055" s="58" t="s">
        <v>239</v>
      </c>
    </row>
    <row r="1056" ht="15.75" customHeight="1">
      <c r="B1056" s="58" t="s">
        <v>4587</v>
      </c>
      <c r="C1056" s="58">
        <v>2022.0</v>
      </c>
      <c r="E1056" s="58" t="s">
        <v>10597</v>
      </c>
      <c r="F1056" s="58" t="s">
        <v>7626</v>
      </c>
      <c r="H1056" s="58" t="s">
        <v>7627</v>
      </c>
      <c r="I1056" s="58" t="s">
        <v>10637</v>
      </c>
      <c r="K1056" s="73">
        <v>44763.0</v>
      </c>
      <c r="Z1056" s="58" t="s">
        <v>239</v>
      </c>
      <c r="CI1056" s="73">
        <v>44763.0</v>
      </c>
      <c r="CJ1056" s="58" t="s">
        <v>10627</v>
      </c>
      <c r="CK1056" s="58" t="s">
        <v>10638</v>
      </c>
      <c r="CL1056" s="58" t="s">
        <v>10602</v>
      </c>
      <c r="CM1056" s="58" t="s">
        <v>7631</v>
      </c>
      <c r="CO1056" s="58" t="s">
        <v>10639</v>
      </c>
      <c r="CU1056" s="58" t="s">
        <v>239</v>
      </c>
    </row>
    <row r="1057" ht="15.75" customHeight="1">
      <c r="B1057" s="58" t="s">
        <v>4587</v>
      </c>
      <c r="C1057" s="58">
        <v>2020.0</v>
      </c>
      <c r="E1057" s="58" t="s">
        <v>10631</v>
      </c>
      <c r="F1057" s="58" t="s">
        <v>10632</v>
      </c>
      <c r="I1057" s="58" t="s">
        <v>10640</v>
      </c>
      <c r="K1057" s="73">
        <v>44053.0</v>
      </c>
      <c r="Z1057" s="58" t="s">
        <v>239</v>
      </c>
      <c r="CI1057" s="73">
        <v>44053.0</v>
      </c>
      <c r="CJ1057" s="58">
        <v>1.0</v>
      </c>
      <c r="CK1057" s="58">
        <v>11.0</v>
      </c>
      <c r="CL1057" s="58" t="s">
        <v>10634</v>
      </c>
      <c r="CM1057" s="58" t="s">
        <v>10635</v>
      </c>
      <c r="CO1057" s="58" t="s">
        <v>10641</v>
      </c>
      <c r="CU1057" s="58" t="s">
        <v>239</v>
      </c>
    </row>
    <row r="1058" ht="15.75" customHeight="1">
      <c r="B1058" s="58" t="s">
        <v>4587</v>
      </c>
      <c r="C1058" s="58">
        <v>2020.0</v>
      </c>
      <c r="E1058" s="58" t="s">
        <v>10597</v>
      </c>
      <c r="F1058" s="58" t="s">
        <v>10642</v>
      </c>
      <c r="H1058" s="58" t="s">
        <v>10643</v>
      </c>
      <c r="I1058" s="58" t="s">
        <v>10644</v>
      </c>
      <c r="K1058" s="73">
        <v>44189.0</v>
      </c>
      <c r="Z1058" s="58" t="s">
        <v>239</v>
      </c>
      <c r="CI1058" s="73">
        <v>44189.0</v>
      </c>
      <c r="CJ1058" s="58" t="s">
        <v>10564</v>
      </c>
      <c r="CK1058" s="58" t="s">
        <v>10594</v>
      </c>
      <c r="CL1058" s="58" t="s">
        <v>10602</v>
      </c>
      <c r="CM1058" s="58" t="s">
        <v>10645</v>
      </c>
      <c r="CO1058" s="58" t="s">
        <v>10646</v>
      </c>
      <c r="CU1058" s="58" t="s">
        <v>239</v>
      </c>
    </row>
    <row r="1059" ht="15.75" customHeight="1">
      <c r="B1059" s="58" t="s">
        <v>4587</v>
      </c>
      <c r="C1059" s="58">
        <v>2022.0</v>
      </c>
      <c r="E1059" s="58" t="s">
        <v>10597</v>
      </c>
      <c r="F1059" s="58" t="s">
        <v>10647</v>
      </c>
      <c r="H1059" s="58" t="s">
        <v>4813</v>
      </c>
      <c r="I1059" s="58" t="s">
        <v>10648</v>
      </c>
      <c r="K1059" s="73">
        <v>44757.0</v>
      </c>
      <c r="Z1059" s="58" t="s">
        <v>239</v>
      </c>
      <c r="CI1059" s="73">
        <v>44757.0</v>
      </c>
      <c r="CJ1059" s="58" t="s">
        <v>10627</v>
      </c>
      <c r="CK1059" s="58" t="s">
        <v>10649</v>
      </c>
      <c r="CL1059" s="58" t="s">
        <v>10602</v>
      </c>
      <c r="CM1059" s="58" t="s">
        <v>10650</v>
      </c>
      <c r="CO1059" s="58" t="s">
        <v>10651</v>
      </c>
      <c r="CU1059" s="58" t="s">
        <v>239</v>
      </c>
    </row>
    <row r="1060" ht="15.75" customHeight="1">
      <c r="B1060" s="58" t="s">
        <v>4587</v>
      </c>
      <c r="C1060" s="58">
        <v>2019.0</v>
      </c>
      <c r="E1060" s="58" t="s">
        <v>10652</v>
      </c>
      <c r="F1060" s="58" t="s">
        <v>10653</v>
      </c>
      <c r="I1060" s="58" t="s">
        <v>10654</v>
      </c>
      <c r="K1060" s="73">
        <v>43881.0</v>
      </c>
      <c r="Z1060" s="58" t="s">
        <v>239</v>
      </c>
      <c r="CI1060" s="73">
        <v>43881.0</v>
      </c>
      <c r="CJ1060" s="58" t="s">
        <v>10564</v>
      </c>
      <c r="CK1060" s="58" t="s">
        <v>10655</v>
      </c>
      <c r="CL1060" s="58" t="s">
        <v>10602</v>
      </c>
      <c r="CM1060" s="58" t="s">
        <v>10656</v>
      </c>
      <c r="CO1060" s="58" t="s">
        <v>10657</v>
      </c>
      <c r="CU1060" s="58" t="s">
        <v>239</v>
      </c>
    </row>
    <row r="1061" ht="15.75" customHeight="1">
      <c r="B1061" s="58" t="s">
        <v>4587</v>
      </c>
      <c r="C1061" s="58">
        <v>2022.0</v>
      </c>
      <c r="E1061" s="58" t="s">
        <v>10658</v>
      </c>
      <c r="F1061" s="58" t="s">
        <v>10659</v>
      </c>
      <c r="H1061" s="58" t="s">
        <v>10660</v>
      </c>
      <c r="I1061" s="58" t="s">
        <v>10661</v>
      </c>
      <c r="K1061" s="73">
        <v>44880.0</v>
      </c>
      <c r="Z1061" s="58" t="s">
        <v>239</v>
      </c>
      <c r="CI1061" s="73">
        <v>44880.0</v>
      </c>
      <c r="CJ1061" s="58" t="s">
        <v>10662</v>
      </c>
      <c r="CK1061" s="58" t="s">
        <v>10663</v>
      </c>
      <c r="CL1061" s="58" t="s">
        <v>10664</v>
      </c>
      <c r="CM1061" s="58" t="s">
        <v>10665</v>
      </c>
      <c r="CO1061" s="58" t="s">
        <v>10666</v>
      </c>
      <c r="CU1061" s="58" t="s">
        <v>239</v>
      </c>
    </row>
    <row r="1062" ht="15.75" customHeight="1">
      <c r="B1062" s="58" t="s">
        <v>4587</v>
      </c>
      <c r="C1062" s="58">
        <v>2022.0</v>
      </c>
      <c r="E1062" s="58" t="s">
        <v>10667</v>
      </c>
      <c r="F1062" s="58" t="s">
        <v>10668</v>
      </c>
      <c r="I1062" s="58" t="s">
        <v>10669</v>
      </c>
      <c r="K1062" s="73">
        <v>44928.0</v>
      </c>
      <c r="Z1062" s="58" t="s">
        <v>239</v>
      </c>
      <c r="CI1062" s="73">
        <v>44928.0</v>
      </c>
      <c r="CJ1062" s="58">
        <v>1.0</v>
      </c>
      <c r="CK1062" s="58">
        <v>33.0</v>
      </c>
      <c r="CL1062" s="58" t="s">
        <v>10670</v>
      </c>
      <c r="CM1062" s="58" t="s">
        <v>10671</v>
      </c>
      <c r="CO1062" s="58" t="s">
        <v>10672</v>
      </c>
      <c r="CU1062" s="58" t="s">
        <v>239</v>
      </c>
    </row>
    <row r="1063" ht="15.75" customHeight="1">
      <c r="B1063" s="58" t="s">
        <v>4587</v>
      </c>
      <c r="C1063" s="58">
        <v>2018.0</v>
      </c>
      <c r="E1063" s="58" t="s">
        <v>10618</v>
      </c>
      <c r="F1063" s="58" t="s">
        <v>10673</v>
      </c>
      <c r="I1063" s="58" t="s">
        <v>10674</v>
      </c>
      <c r="K1063" s="73">
        <v>43433.0</v>
      </c>
      <c r="Z1063" s="58" t="s">
        <v>239</v>
      </c>
      <c r="CI1063" s="73">
        <v>43433.0</v>
      </c>
      <c r="CJ1063" s="58">
        <v>5.0</v>
      </c>
      <c r="CK1063" s="58">
        <v>10.0</v>
      </c>
      <c r="CL1063" s="58" t="s">
        <v>10602</v>
      </c>
      <c r="CM1063" s="58" t="s">
        <v>10675</v>
      </c>
      <c r="CO1063" s="58" t="s">
        <v>10676</v>
      </c>
      <c r="CU1063" s="58" t="s">
        <v>239</v>
      </c>
    </row>
    <row r="1064" ht="15.75" customHeight="1">
      <c r="B1064" s="58" t="s">
        <v>4587</v>
      </c>
      <c r="C1064" s="58">
        <v>2020.0</v>
      </c>
      <c r="E1064" s="58" t="s">
        <v>10631</v>
      </c>
      <c r="F1064" s="58" t="s">
        <v>10632</v>
      </c>
      <c r="I1064" s="58" t="s">
        <v>10677</v>
      </c>
      <c r="K1064" s="73">
        <v>44053.0</v>
      </c>
      <c r="Z1064" s="58" t="s">
        <v>239</v>
      </c>
      <c r="CI1064" s="73">
        <v>44053.0</v>
      </c>
      <c r="CJ1064" s="58">
        <v>1.0</v>
      </c>
      <c r="CK1064" s="58">
        <v>11.0</v>
      </c>
      <c r="CL1064" s="58" t="s">
        <v>10634</v>
      </c>
      <c r="CM1064" s="58" t="s">
        <v>10635</v>
      </c>
      <c r="CO1064" s="58" t="s">
        <v>10678</v>
      </c>
      <c r="CU1064" s="58" t="s">
        <v>239</v>
      </c>
    </row>
    <row r="1065" ht="15.75" customHeight="1">
      <c r="B1065" s="58" t="s">
        <v>4587</v>
      </c>
      <c r="C1065" s="58">
        <v>2022.0</v>
      </c>
      <c r="E1065" s="58" t="s">
        <v>10597</v>
      </c>
      <c r="F1065" s="58" t="s">
        <v>10679</v>
      </c>
      <c r="I1065" s="58" t="s">
        <v>10680</v>
      </c>
      <c r="K1065" s="73">
        <v>45034.0</v>
      </c>
      <c r="Z1065" s="58" t="s">
        <v>239</v>
      </c>
      <c r="CI1065" s="73">
        <v>45034.0</v>
      </c>
      <c r="CJ1065" s="58">
        <v>1.0</v>
      </c>
      <c r="CK1065" s="58">
        <v>5.0</v>
      </c>
      <c r="CM1065" s="58" t="s">
        <v>10681</v>
      </c>
      <c r="CO1065" s="58" t="s">
        <v>10682</v>
      </c>
      <c r="CU1065" s="58" t="s">
        <v>239</v>
      </c>
    </row>
    <row r="1066" ht="15.75" customHeight="1">
      <c r="B1066" s="58" t="s">
        <v>4587</v>
      </c>
      <c r="C1066" s="58">
        <v>2020.0</v>
      </c>
      <c r="E1066" s="58" t="s">
        <v>10683</v>
      </c>
      <c r="F1066" s="58" t="s">
        <v>10684</v>
      </c>
      <c r="I1066" s="58" t="s">
        <v>10685</v>
      </c>
      <c r="K1066" s="73">
        <v>44221.0</v>
      </c>
      <c r="Z1066" s="58" t="s">
        <v>239</v>
      </c>
      <c r="CI1066" s="73">
        <v>44221.0</v>
      </c>
      <c r="CJ1066" s="58" t="s">
        <v>10564</v>
      </c>
      <c r="CK1066" s="58" t="s">
        <v>10601</v>
      </c>
      <c r="CL1066" s="58" t="s">
        <v>10634</v>
      </c>
      <c r="CM1066" s="58" t="s">
        <v>10686</v>
      </c>
      <c r="CO1066" s="58" t="s">
        <v>10687</v>
      </c>
      <c r="CU1066" s="58" t="s">
        <v>239</v>
      </c>
    </row>
    <row r="1067" ht="15.75" customHeight="1">
      <c r="B1067" s="58" t="s">
        <v>4587</v>
      </c>
      <c r="C1067" s="58">
        <v>2018.0</v>
      </c>
      <c r="E1067" s="58" t="s">
        <v>10597</v>
      </c>
      <c r="F1067" s="58" t="s">
        <v>10688</v>
      </c>
      <c r="I1067" s="58" t="s">
        <v>10689</v>
      </c>
      <c r="K1067" s="73">
        <v>43678.0</v>
      </c>
      <c r="Z1067" s="58" t="s">
        <v>239</v>
      </c>
      <c r="CI1067" s="73">
        <v>43678.0</v>
      </c>
      <c r="CJ1067" s="58">
        <v>1.0</v>
      </c>
      <c r="CK1067" s="58">
        <v>39.0</v>
      </c>
      <c r="CL1067" s="58" t="s">
        <v>10602</v>
      </c>
      <c r="CM1067" s="58" t="s">
        <v>10690</v>
      </c>
      <c r="CO1067" s="58" t="s">
        <v>10691</v>
      </c>
      <c r="CU1067" s="58" t="s">
        <v>239</v>
      </c>
    </row>
    <row r="1068" ht="15.75" customHeight="1">
      <c r="B1068" s="58" t="s">
        <v>4587</v>
      </c>
      <c r="C1068" s="58">
        <v>2022.0</v>
      </c>
      <c r="E1068" s="58" t="s">
        <v>10597</v>
      </c>
      <c r="F1068" s="58" t="s">
        <v>10103</v>
      </c>
      <c r="H1068" s="58" t="s">
        <v>9024</v>
      </c>
      <c r="I1068" s="58" t="s">
        <v>10692</v>
      </c>
      <c r="K1068" s="73">
        <v>45012.0</v>
      </c>
      <c r="Z1068" s="58" t="s">
        <v>239</v>
      </c>
      <c r="CI1068" s="73">
        <v>45012.0</v>
      </c>
      <c r="CJ1068" s="58" t="s">
        <v>10693</v>
      </c>
      <c r="CK1068" s="58" t="s">
        <v>10694</v>
      </c>
      <c r="CM1068" s="58" t="s">
        <v>10107</v>
      </c>
      <c r="CO1068" s="58" t="s">
        <v>10695</v>
      </c>
      <c r="CU1068" s="58" t="s">
        <v>239</v>
      </c>
    </row>
    <row r="1069" ht="15.75" customHeight="1">
      <c r="B1069" s="58" t="s">
        <v>4587</v>
      </c>
      <c r="C1069" s="58">
        <v>2019.0</v>
      </c>
      <c r="E1069" s="58" t="s">
        <v>10597</v>
      </c>
      <c r="F1069" s="58" t="s">
        <v>10696</v>
      </c>
      <c r="H1069" s="58" t="s">
        <v>10697</v>
      </c>
      <c r="I1069" s="58" t="s">
        <v>10698</v>
      </c>
      <c r="K1069" s="73">
        <v>43699.0</v>
      </c>
      <c r="Z1069" s="58" t="s">
        <v>239</v>
      </c>
      <c r="CI1069" s="73">
        <v>43699.0</v>
      </c>
      <c r="CJ1069" s="58">
        <v>1.0</v>
      </c>
      <c r="CK1069" s="58">
        <v>11.0</v>
      </c>
      <c r="CL1069" s="58" t="s">
        <v>10602</v>
      </c>
      <c r="CM1069" s="58" t="s">
        <v>10699</v>
      </c>
      <c r="CO1069" s="58" t="s">
        <v>10700</v>
      </c>
      <c r="CU1069" s="58" t="s">
        <v>239</v>
      </c>
    </row>
    <row r="1070" ht="15.75" customHeight="1">
      <c r="B1070" s="58" t="s">
        <v>4587</v>
      </c>
      <c r="C1070" s="58">
        <v>2020.0</v>
      </c>
      <c r="E1070" s="58" t="s">
        <v>10701</v>
      </c>
      <c r="F1070" s="58" t="s">
        <v>9765</v>
      </c>
      <c r="I1070" s="58" t="s">
        <v>10702</v>
      </c>
      <c r="K1070" s="73">
        <v>44139.0</v>
      </c>
      <c r="Z1070" s="58" t="s">
        <v>239</v>
      </c>
      <c r="CI1070" s="73">
        <v>44139.0</v>
      </c>
      <c r="CJ1070" s="58" t="s">
        <v>10564</v>
      </c>
      <c r="CK1070" s="58" t="s">
        <v>10703</v>
      </c>
      <c r="CL1070" s="58" t="s">
        <v>10704</v>
      </c>
      <c r="CM1070" s="58" t="s">
        <v>9769</v>
      </c>
      <c r="CO1070" s="58" t="s">
        <v>10705</v>
      </c>
    </row>
    <row r="1071" ht="15.75" customHeight="1">
      <c r="B1071" s="58" t="s">
        <v>4587</v>
      </c>
      <c r="C1071" s="58">
        <v>2020.0</v>
      </c>
      <c r="E1071" s="58" t="s">
        <v>10631</v>
      </c>
      <c r="F1071" s="58" t="s">
        <v>10632</v>
      </c>
      <c r="I1071" s="58" t="s">
        <v>10706</v>
      </c>
      <c r="K1071" s="73">
        <v>44053.0</v>
      </c>
      <c r="Z1071" s="58" t="s">
        <v>239</v>
      </c>
      <c r="CI1071" s="73">
        <v>44053.0</v>
      </c>
      <c r="CJ1071" s="58">
        <v>1.0</v>
      </c>
      <c r="CK1071" s="58">
        <v>11.0</v>
      </c>
      <c r="CL1071" s="58" t="s">
        <v>10634</v>
      </c>
      <c r="CM1071" s="58" t="s">
        <v>10635</v>
      </c>
      <c r="CO1071" s="58" t="s">
        <v>10707</v>
      </c>
      <c r="CU1071" s="58" t="s">
        <v>239</v>
      </c>
    </row>
    <row r="1072" ht="15.75" customHeight="1">
      <c r="B1072" s="58" t="s">
        <v>4587</v>
      </c>
      <c r="C1072" s="58">
        <v>2022.0</v>
      </c>
      <c r="E1072" s="58" t="s">
        <v>10597</v>
      </c>
      <c r="F1072" s="58" t="s">
        <v>10708</v>
      </c>
      <c r="I1072" s="58" t="s">
        <v>10709</v>
      </c>
      <c r="K1072" s="73">
        <v>44925.0</v>
      </c>
      <c r="Z1072" s="58" t="s">
        <v>239</v>
      </c>
      <c r="CI1072" s="73">
        <v>44925.0</v>
      </c>
      <c r="CJ1072" s="58" t="s">
        <v>10627</v>
      </c>
      <c r="CK1072" s="58" t="s">
        <v>10572</v>
      </c>
      <c r="CL1072" s="58" t="s">
        <v>10710</v>
      </c>
      <c r="CM1072" s="58" t="s">
        <v>10711</v>
      </c>
      <c r="CO1072" s="58" t="s">
        <v>10712</v>
      </c>
      <c r="CU1072" s="58" t="s">
        <v>239</v>
      </c>
    </row>
    <row r="1073" ht="15.75" customHeight="1">
      <c r="B1073" s="58" t="s">
        <v>4587</v>
      </c>
      <c r="C1073" s="58">
        <v>2022.0</v>
      </c>
      <c r="E1073" s="58" t="s">
        <v>10597</v>
      </c>
      <c r="F1073" s="58" t="s">
        <v>10713</v>
      </c>
      <c r="I1073" s="58" t="s">
        <v>10714</v>
      </c>
      <c r="K1073" s="73">
        <v>44852.0</v>
      </c>
      <c r="Z1073" s="58" t="s">
        <v>239</v>
      </c>
      <c r="CI1073" s="73">
        <v>44852.0</v>
      </c>
      <c r="CJ1073" s="58" t="s">
        <v>10564</v>
      </c>
      <c r="CK1073" s="58" t="s">
        <v>10715</v>
      </c>
      <c r="CL1073" s="58" t="s">
        <v>10710</v>
      </c>
      <c r="CM1073" s="58" t="s">
        <v>10716</v>
      </c>
      <c r="CO1073" s="58" t="s">
        <v>10717</v>
      </c>
      <c r="CU1073" s="58" t="s">
        <v>239</v>
      </c>
    </row>
    <row r="1074" ht="15.75" customHeight="1">
      <c r="B1074" s="58" t="s">
        <v>4587</v>
      </c>
      <c r="C1074" s="58">
        <v>2022.0</v>
      </c>
      <c r="E1074" s="58" t="s">
        <v>10597</v>
      </c>
      <c r="F1074" s="58" t="s">
        <v>10718</v>
      </c>
      <c r="H1074" s="58" t="s">
        <v>10719</v>
      </c>
      <c r="I1074" s="58" t="s">
        <v>10720</v>
      </c>
      <c r="K1074" s="73">
        <v>44952.0</v>
      </c>
      <c r="R1074" s="58">
        <v>5.0</v>
      </c>
      <c r="Z1074" s="58" t="s">
        <v>239</v>
      </c>
      <c r="CI1074" s="73">
        <v>44952.0</v>
      </c>
      <c r="CJ1074" s="58">
        <v>1.0</v>
      </c>
      <c r="CK1074" s="58">
        <v>25.0</v>
      </c>
      <c r="CL1074" s="58" t="s">
        <v>10710</v>
      </c>
      <c r="CM1074" s="58" t="s">
        <v>10721</v>
      </c>
      <c r="CO1074" s="58" t="s">
        <v>10722</v>
      </c>
      <c r="CU1074" s="58" t="s">
        <v>239</v>
      </c>
    </row>
    <row r="1075" ht="15.75" customHeight="1">
      <c r="B1075" s="58" t="s">
        <v>4587</v>
      </c>
      <c r="C1075" s="58">
        <v>2020.0</v>
      </c>
      <c r="E1075" s="58" t="s">
        <v>10618</v>
      </c>
      <c r="F1075" s="58" t="s">
        <v>10723</v>
      </c>
      <c r="I1075" s="58" t="s">
        <v>10724</v>
      </c>
      <c r="K1075" s="73">
        <v>44137.0</v>
      </c>
      <c r="Z1075" s="58" t="s">
        <v>239</v>
      </c>
      <c r="CI1075" s="73">
        <v>44137.0</v>
      </c>
      <c r="CJ1075" s="58">
        <v>1.0</v>
      </c>
      <c r="CK1075" s="58">
        <v>8.0</v>
      </c>
      <c r="CL1075" s="58" t="s">
        <v>10602</v>
      </c>
      <c r="CM1075" s="58" t="s">
        <v>10725</v>
      </c>
      <c r="CO1075" s="58" t="s">
        <v>10726</v>
      </c>
      <c r="CU1075" s="58" t="s">
        <v>239</v>
      </c>
    </row>
    <row r="1076" ht="15.75" customHeight="1">
      <c r="B1076" s="58" t="s">
        <v>4587</v>
      </c>
      <c r="C1076" s="58">
        <v>2020.0</v>
      </c>
      <c r="E1076" s="58" t="s">
        <v>10727</v>
      </c>
      <c r="F1076" s="58" t="s">
        <v>10728</v>
      </c>
      <c r="I1076" s="58" t="s">
        <v>10729</v>
      </c>
      <c r="K1076" s="73">
        <v>44117.0</v>
      </c>
      <c r="Z1076" s="58" t="s">
        <v>239</v>
      </c>
      <c r="CI1076" s="73">
        <v>44117.0</v>
      </c>
      <c r="CJ1076" s="58" t="s">
        <v>10662</v>
      </c>
      <c r="CK1076" s="58" t="s">
        <v>10730</v>
      </c>
      <c r="CL1076" s="58" t="s">
        <v>10731</v>
      </c>
      <c r="CM1076" s="58" t="s">
        <v>10732</v>
      </c>
      <c r="CO1076" s="58" t="s">
        <v>10733</v>
      </c>
      <c r="CU1076" s="58" t="s">
        <v>239</v>
      </c>
    </row>
    <row r="1077" ht="15.75" customHeight="1">
      <c r="B1077" s="58" t="s">
        <v>4587</v>
      </c>
      <c r="C1077" s="58">
        <v>2018.0</v>
      </c>
      <c r="E1077" s="58" t="s">
        <v>10734</v>
      </c>
      <c r="F1077" s="58" t="s">
        <v>9969</v>
      </c>
      <c r="I1077" s="58" t="s">
        <v>10735</v>
      </c>
      <c r="K1077" s="73">
        <v>43468.0</v>
      </c>
      <c r="Z1077" s="58" t="s">
        <v>239</v>
      </c>
      <c r="CI1077" s="73">
        <v>43468.0</v>
      </c>
      <c r="CJ1077" s="58">
        <v>12.0</v>
      </c>
      <c r="CK1077" s="58">
        <v>26.0</v>
      </c>
      <c r="CL1077" s="58" t="s">
        <v>10736</v>
      </c>
      <c r="CM1077" s="58" t="s">
        <v>9973</v>
      </c>
      <c r="CO1077" s="58" t="s">
        <v>10737</v>
      </c>
      <c r="CU1077" s="58" t="s">
        <v>239</v>
      </c>
    </row>
    <row r="1078" ht="15.75" customHeight="1">
      <c r="B1078" s="58" t="s">
        <v>4587</v>
      </c>
      <c r="C1078" s="58">
        <v>2022.0</v>
      </c>
      <c r="E1078" s="58" t="s">
        <v>10597</v>
      </c>
      <c r="F1078" s="58" t="s">
        <v>10738</v>
      </c>
      <c r="I1078" s="58" t="s">
        <v>10739</v>
      </c>
      <c r="K1078" s="73">
        <v>44925.0</v>
      </c>
      <c r="Z1078" s="58" t="s">
        <v>239</v>
      </c>
      <c r="CI1078" s="73">
        <v>44925.0</v>
      </c>
      <c r="CJ1078" s="58">
        <v>1.0</v>
      </c>
      <c r="CK1078" s="58">
        <v>19.0</v>
      </c>
      <c r="CL1078" s="58" t="s">
        <v>10710</v>
      </c>
      <c r="CM1078" s="58" t="s">
        <v>10740</v>
      </c>
      <c r="CO1078" s="58" t="s">
        <v>10741</v>
      </c>
      <c r="CU1078" s="58" t="s">
        <v>239</v>
      </c>
    </row>
    <row r="1079" ht="15.75" customHeight="1">
      <c r="B1079" s="58" t="s">
        <v>4587</v>
      </c>
      <c r="C1079" s="58">
        <v>2020.0</v>
      </c>
      <c r="E1079" s="58" t="s">
        <v>10742</v>
      </c>
      <c r="F1079" s="58" t="s">
        <v>10743</v>
      </c>
      <c r="H1079" s="58" t="s">
        <v>8650</v>
      </c>
      <c r="I1079" s="58" t="s">
        <v>10744</v>
      </c>
      <c r="K1079" s="73">
        <v>44244.0</v>
      </c>
      <c r="Z1079" s="58" t="s">
        <v>239</v>
      </c>
      <c r="CI1079" s="73">
        <v>44244.0</v>
      </c>
      <c r="CJ1079" s="58" t="s">
        <v>10564</v>
      </c>
      <c r="CK1079" s="58" t="s">
        <v>10745</v>
      </c>
      <c r="CL1079" s="58" t="s">
        <v>10634</v>
      </c>
      <c r="CM1079" s="58" t="s">
        <v>10746</v>
      </c>
      <c r="CO1079" s="58" t="s">
        <v>10747</v>
      </c>
      <c r="CU1079" s="58" t="s">
        <v>239</v>
      </c>
    </row>
    <row r="1080" ht="15.75" customHeight="1">
      <c r="B1080" s="58" t="s">
        <v>4587</v>
      </c>
      <c r="C1080" s="58">
        <v>2020.0</v>
      </c>
      <c r="E1080" s="58" t="s">
        <v>10748</v>
      </c>
      <c r="F1080" s="58" t="s">
        <v>5877</v>
      </c>
      <c r="I1080" s="58" t="s">
        <v>10749</v>
      </c>
      <c r="K1080" s="73">
        <v>43958.0</v>
      </c>
      <c r="Z1080" s="58" t="s">
        <v>239</v>
      </c>
      <c r="CI1080" s="73">
        <v>43958.0</v>
      </c>
      <c r="CJ1080" s="58" t="s">
        <v>10564</v>
      </c>
      <c r="CK1080" s="58" t="s">
        <v>10745</v>
      </c>
      <c r="CL1080" s="58" t="s">
        <v>10602</v>
      </c>
      <c r="CM1080" s="58" t="s">
        <v>5881</v>
      </c>
      <c r="CO1080" s="58" t="s">
        <v>10750</v>
      </c>
      <c r="CU1080" s="58" t="s">
        <v>239</v>
      </c>
    </row>
    <row r="1081" ht="15.75" customHeight="1">
      <c r="B1081" s="58" t="s">
        <v>4587</v>
      </c>
      <c r="C1081" s="58">
        <v>2022.0</v>
      </c>
      <c r="E1081" s="58" t="s">
        <v>10612</v>
      </c>
      <c r="F1081" s="58" t="s">
        <v>6871</v>
      </c>
      <c r="H1081" s="58" t="s">
        <v>6872</v>
      </c>
      <c r="I1081" s="58" t="s">
        <v>10751</v>
      </c>
      <c r="K1081" s="73">
        <v>44776.0</v>
      </c>
      <c r="Z1081" s="58" t="s">
        <v>239</v>
      </c>
      <c r="CI1081" s="73">
        <v>44776.0</v>
      </c>
      <c r="CJ1081" s="58" t="s">
        <v>10564</v>
      </c>
      <c r="CK1081" s="58" t="s">
        <v>10715</v>
      </c>
      <c r="CM1081" s="58" t="s">
        <v>6876</v>
      </c>
      <c r="CO1081" s="58" t="s">
        <v>10752</v>
      </c>
      <c r="CU1081" s="58" t="s">
        <v>239</v>
      </c>
    </row>
    <row r="1082" ht="15.75" customHeight="1">
      <c r="B1082" s="58" t="s">
        <v>4587</v>
      </c>
      <c r="C1082" s="58">
        <v>2019.0</v>
      </c>
      <c r="E1082" s="58" t="s">
        <v>10753</v>
      </c>
      <c r="F1082" s="58" t="s">
        <v>4732</v>
      </c>
      <c r="H1082" s="58" t="s">
        <v>4733</v>
      </c>
      <c r="I1082" s="58" t="s">
        <v>10754</v>
      </c>
      <c r="K1082" s="73">
        <v>43633.0</v>
      </c>
      <c r="Z1082" s="58" t="s">
        <v>239</v>
      </c>
      <c r="CI1082" s="73">
        <v>43633.0</v>
      </c>
      <c r="CJ1082" s="58" t="s">
        <v>10564</v>
      </c>
      <c r="CK1082" s="58" t="s">
        <v>10755</v>
      </c>
      <c r="CL1082" s="58" t="s">
        <v>10634</v>
      </c>
      <c r="CM1082" s="58" t="s">
        <v>4737</v>
      </c>
      <c r="CO1082" s="58" t="s">
        <v>10756</v>
      </c>
      <c r="CU1082" s="58" t="s">
        <v>239</v>
      </c>
    </row>
    <row r="1083" ht="15.75" customHeight="1">
      <c r="B1083" s="58" t="s">
        <v>4587</v>
      </c>
      <c r="C1083" s="58">
        <v>2022.0</v>
      </c>
      <c r="E1083" s="58" t="s">
        <v>268</v>
      </c>
      <c r="F1083" s="58" t="s">
        <v>10757</v>
      </c>
      <c r="H1083" s="58" t="s">
        <v>4972</v>
      </c>
      <c r="I1083" s="58" t="s">
        <v>10758</v>
      </c>
      <c r="K1083" s="73">
        <v>44753.0</v>
      </c>
      <c r="Z1083" s="58" t="s">
        <v>239</v>
      </c>
      <c r="CI1083" s="73">
        <v>44753.0</v>
      </c>
      <c r="CJ1083" s="58">
        <v>1.0</v>
      </c>
      <c r="CK1083" s="58">
        <v>43.0</v>
      </c>
      <c r="CL1083" s="58" t="s">
        <v>10759</v>
      </c>
      <c r="CM1083" s="58" t="s">
        <v>10760</v>
      </c>
      <c r="CO1083" s="58" t="s">
        <v>10761</v>
      </c>
      <c r="CU1083" s="58" t="s">
        <v>239</v>
      </c>
    </row>
    <row r="1084" ht="15.75" customHeight="1">
      <c r="B1084" s="58" t="s">
        <v>4587</v>
      </c>
      <c r="C1084" s="58">
        <v>2020.0</v>
      </c>
      <c r="E1084" s="58" t="s">
        <v>10631</v>
      </c>
      <c r="F1084" s="58" t="s">
        <v>10632</v>
      </c>
      <c r="I1084" s="58" t="s">
        <v>10762</v>
      </c>
      <c r="K1084" s="73">
        <v>44053.0</v>
      </c>
      <c r="Z1084" s="58" t="s">
        <v>239</v>
      </c>
      <c r="CI1084" s="73">
        <v>44053.0</v>
      </c>
      <c r="CJ1084" s="58">
        <v>1.0</v>
      </c>
      <c r="CK1084" s="58">
        <v>11.0</v>
      </c>
      <c r="CL1084" s="58" t="s">
        <v>10634</v>
      </c>
      <c r="CM1084" s="58" t="s">
        <v>10635</v>
      </c>
      <c r="CO1084" s="58" t="s">
        <v>10763</v>
      </c>
      <c r="CU1084" s="58" t="s">
        <v>239</v>
      </c>
    </row>
    <row r="1085" ht="15.75" customHeight="1">
      <c r="B1085" s="58" t="s">
        <v>4587</v>
      </c>
      <c r="C1085" s="58">
        <v>2019.0</v>
      </c>
      <c r="E1085" s="58" t="s">
        <v>10618</v>
      </c>
      <c r="F1085" s="58" t="s">
        <v>10764</v>
      </c>
      <c r="I1085" s="58" t="s">
        <v>10765</v>
      </c>
      <c r="K1085" s="73">
        <v>43937.0</v>
      </c>
      <c r="Z1085" s="58" t="s">
        <v>239</v>
      </c>
      <c r="CI1085" s="73">
        <v>43937.0</v>
      </c>
      <c r="CJ1085" s="58">
        <v>5.0</v>
      </c>
      <c r="CK1085" s="58">
        <v>16.0</v>
      </c>
      <c r="CL1085" s="58" t="s">
        <v>10602</v>
      </c>
      <c r="CM1085" s="58" t="s">
        <v>10766</v>
      </c>
      <c r="CO1085" s="58" t="s">
        <v>10767</v>
      </c>
      <c r="CU1085" s="58" t="s">
        <v>239</v>
      </c>
    </row>
    <row r="1086" ht="15.75" customHeight="1">
      <c r="B1086" s="58" t="s">
        <v>4587</v>
      </c>
      <c r="C1086" s="58">
        <v>2018.0</v>
      </c>
      <c r="E1086" s="58" t="s">
        <v>10597</v>
      </c>
      <c r="F1086" s="58" t="s">
        <v>10768</v>
      </c>
      <c r="I1086" s="58" t="s">
        <v>10769</v>
      </c>
      <c r="K1086" s="73">
        <v>43454.0</v>
      </c>
      <c r="Z1086" s="58" t="s">
        <v>239</v>
      </c>
      <c r="CI1086" s="73">
        <v>43454.0</v>
      </c>
      <c r="CJ1086" s="58">
        <v>1.0</v>
      </c>
      <c r="CK1086" s="58">
        <v>54.0</v>
      </c>
      <c r="CL1086" s="58" t="s">
        <v>10770</v>
      </c>
      <c r="CM1086" s="58" t="s">
        <v>10771</v>
      </c>
      <c r="CO1086" s="58" t="s">
        <v>10772</v>
      </c>
      <c r="CU1086" s="58" t="s">
        <v>239</v>
      </c>
    </row>
    <row r="1087" ht="15.75" customHeight="1">
      <c r="B1087" s="58" t="s">
        <v>4587</v>
      </c>
      <c r="C1087" s="58">
        <v>2020.0</v>
      </c>
      <c r="E1087" s="58" t="s">
        <v>10631</v>
      </c>
      <c r="F1087" s="58" t="s">
        <v>10632</v>
      </c>
      <c r="I1087" s="58" t="s">
        <v>10773</v>
      </c>
      <c r="K1087" s="73">
        <v>44053.0</v>
      </c>
      <c r="Z1087" s="58" t="s">
        <v>239</v>
      </c>
      <c r="CI1087" s="73">
        <v>44053.0</v>
      </c>
      <c r="CJ1087" s="58">
        <v>1.0</v>
      </c>
      <c r="CK1087" s="58">
        <v>11.0</v>
      </c>
      <c r="CL1087" s="58" t="s">
        <v>10634</v>
      </c>
      <c r="CM1087" s="58" t="s">
        <v>10635</v>
      </c>
      <c r="CO1087" s="58" t="s">
        <v>10774</v>
      </c>
      <c r="CU1087" s="58" t="s">
        <v>239</v>
      </c>
    </row>
    <row r="1088" ht="15.75" customHeight="1">
      <c r="B1088" s="58" t="s">
        <v>4587</v>
      </c>
      <c r="C1088" s="58">
        <v>2019.0</v>
      </c>
      <c r="E1088" s="58" t="s">
        <v>10597</v>
      </c>
      <c r="F1088" s="58" t="s">
        <v>10775</v>
      </c>
      <c r="H1088" s="58" t="s">
        <v>7546</v>
      </c>
      <c r="I1088" s="58" t="s">
        <v>10776</v>
      </c>
      <c r="K1088" s="73">
        <v>43655.0</v>
      </c>
      <c r="R1088" s="58">
        <v>1.0</v>
      </c>
      <c r="Z1088" s="58" t="s">
        <v>239</v>
      </c>
      <c r="CI1088" s="73">
        <v>43655.0</v>
      </c>
      <c r="CJ1088" s="58">
        <v>5.0</v>
      </c>
      <c r="CK1088" s="58">
        <v>23.0</v>
      </c>
      <c r="CL1088" s="58" t="s">
        <v>10602</v>
      </c>
      <c r="CM1088" s="58" t="s">
        <v>10777</v>
      </c>
      <c r="CO1088" s="58" t="s">
        <v>10778</v>
      </c>
      <c r="CU1088" s="58" t="s">
        <v>239</v>
      </c>
    </row>
    <row r="1089" ht="15.75" customHeight="1">
      <c r="B1089" s="58" t="s">
        <v>4587</v>
      </c>
      <c r="C1089" s="58">
        <v>2020.0</v>
      </c>
      <c r="E1089" s="58" t="s">
        <v>10779</v>
      </c>
      <c r="F1089" s="58" t="s">
        <v>7197</v>
      </c>
      <c r="H1089" s="58" t="s">
        <v>7198</v>
      </c>
      <c r="I1089" s="58" t="s">
        <v>10780</v>
      </c>
      <c r="K1089" s="73">
        <v>44225.0</v>
      </c>
      <c r="Z1089" s="58" t="s">
        <v>239</v>
      </c>
      <c r="CI1089" s="73">
        <v>44225.0</v>
      </c>
      <c r="CJ1089" s="58" t="s">
        <v>10564</v>
      </c>
      <c r="CK1089" s="58" t="s">
        <v>10781</v>
      </c>
      <c r="CL1089" s="58" t="s">
        <v>10602</v>
      </c>
      <c r="CM1089" s="58" t="s">
        <v>7202</v>
      </c>
      <c r="CO1089" s="58" t="s">
        <v>10782</v>
      </c>
      <c r="CU1089" s="58" t="s">
        <v>239</v>
      </c>
    </row>
    <row r="1090" ht="15.75" customHeight="1">
      <c r="B1090" s="58" t="s">
        <v>4587</v>
      </c>
      <c r="C1090" s="58">
        <v>2022.0</v>
      </c>
      <c r="E1090" s="58" t="s">
        <v>10597</v>
      </c>
      <c r="F1090" s="58" t="s">
        <v>4801</v>
      </c>
      <c r="H1090" s="58" t="s">
        <v>4802</v>
      </c>
      <c r="I1090" s="58" t="s">
        <v>10783</v>
      </c>
      <c r="K1090" s="73">
        <v>44761.0</v>
      </c>
      <c r="Z1090" s="58" t="s">
        <v>239</v>
      </c>
      <c r="CI1090" s="73">
        <v>44761.0</v>
      </c>
      <c r="CJ1090" s="58">
        <v>1.0</v>
      </c>
      <c r="CK1090" s="58">
        <v>24.0</v>
      </c>
      <c r="CL1090" s="58" t="s">
        <v>10602</v>
      </c>
      <c r="CM1090" s="58" t="s">
        <v>4806</v>
      </c>
      <c r="CO1090" s="58" t="s">
        <v>10784</v>
      </c>
      <c r="CU1090" s="58" t="s">
        <v>239</v>
      </c>
    </row>
    <row r="1091" ht="15.75" customHeight="1">
      <c r="B1091" s="58" t="s">
        <v>4587</v>
      </c>
      <c r="C1091" s="58">
        <v>2021.0</v>
      </c>
      <c r="E1091" s="58" t="s">
        <v>10734</v>
      </c>
      <c r="F1091" s="58" t="s">
        <v>10785</v>
      </c>
      <c r="H1091" s="58" t="s">
        <v>4733</v>
      </c>
      <c r="I1091" s="58" t="s">
        <v>10786</v>
      </c>
      <c r="K1091" s="73">
        <v>44403.0</v>
      </c>
      <c r="Z1091" s="58" t="s">
        <v>239</v>
      </c>
      <c r="CI1091" s="73">
        <v>44403.0</v>
      </c>
      <c r="CJ1091" s="58" t="s">
        <v>10564</v>
      </c>
      <c r="CK1091" s="58" t="s">
        <v>10787</v>
      </c>
      <c r="CL1091" s="58" t="s">
        <v>10634</v>
      </c>
      <c r="CM1091" s="58" t="s">
        <v>10788</v>
      </c>
      <c r="CO1091" s="58" t="s">
        <v>10789</v>
      </c>
      <c r="CU1091" s="58" t="s">
        <v>239</v>
      </c>
    </row>
    <row r="1092" ht="15.75" customHeight="1">
      <c r="B1092" s="58" t="s">
        <v>4587</v>
      </c>
      <c r="C1092" s="58">
        <v>2019.0</v>
      </c>
      <c r="E1092" s="58" t="s">
        <v>10618</v>
      </c>
      <c r="F1092" s="58" t="s">
        <v>10790</v>
      </c>
      <c r="I1092" s="58" t="s">
        <v>10791</v>
      </c>
      <c r="K1092" s="73">
        <v>43860.0</v>
      </c>
      <c r="Z1092" s="58" t="s">
        <v>239</v>
      </c>
      <c r="CI1092" s="73">
        <v>43860.0</v>
      </c>
      <c r="CJ1092" s="58">
        <v>5.0</v>
      </c>
      <c r="CK1092" s="58">
        <v>11.0</v>
      </c>
      <c r="CL1092" s="58" t="s">
        <v>10602</v>
      </c>
      <c r="CM1092" s="58" t="s">
        <v>10792</v>
      </c>
      <c r="CO1092" s="58" t="s">
        <v>10793</v>
      </c>
      <c r="CU1092" s="58" t="s">
        <v>239</v>
      </c>
    </row>
    <row r="1093" ht="15.75" customHeight="1">
      <c r="B1093" s="58" t="s">
        <v>4587</v>
      </c>
      <c r="C1093" s="58">
        <v>2022.0</v>
      </c>
      <c r="E1093" s="58" t="s">
        <v>10794</v>
      </c>
      <c r="F1093" s="58" t="s">
        <v>9553</v>
      </c>
      <c r="I1093" s="58" t="s">
        <v>10795</v>
      </c>
      <c r="K1093" s="73">
        <v>44813.0</v>
      </c>
      <c r="Z1093" s="58" t="s">
        <v>239</v>
      </c>
      <c r="CI1093" s="73">
        <v>44813.0</v>
      </c>
      <c r="CJ1093" s="58" t="s">
        <v>10564</v>
      </c>
      <c r="CK1093" s="58" t="s">
        <v>10745</v>
      </c>
      <c r="CL1093" s="58" t="s">
        <v>10796</v>
      </c>
      <c r="CM1093" s="58" t="s">
        <v>9557</v>
      </c>
      <c r="CO1093" s="58" t="s">
        <v>10797</v>
      </c>
      <c r="CU1093" s="58" t="s">
        <v>239</v>
      </c>
    </row>
    <row r="1094" ht="15.75" customHeight="1">
      <c r="B1094" s="58" t="s">
        <v>4587</v>
      </c>
      <c r="C1094" s="58">
        <v>2020.0</v>
      </c>
      <c r="E1094" s="58" t="s">
        <v>10597</v>
      </c>
      <c r="F1094" s="58" t="s">
        <v>10798</v>
      </c>
      <c r="I1094" s="58" t="s">
        <v>10799</v>
      </c>
      <c r="K1094" s="73">
        <v>44294.0</v>
      </c>
      <c r="Z1094" s="58" t="s">
        <v>239</v>
      </c>
      <c r="CI1094" s="73">
        <v>44294.0</v>
      </c>
      <c r="CJ1094" s="58" t="s">
        <v>10627</v>
      </c>
      <c r="CK1094" s="58" t="s">
        <v>10649</v>
      </c>
      <c r="CL1094" s="58" t="s">
        <v>10602</v>
      </c>
      <c r="CM1094" s="58" t="s">
        <v>10800</v>
      </c>
      <c r="CO1094" s="58" t="s">
        <v>10801</v>
      </c>
      <c r="CU1094" s="58" t="s">
        <v>239</v>
      </c>
    </row>
    <row r="1095" ht="15.75" customHeight="1">
      <c r="B1095" s="58" t="s">
        <v>4587</v>
      </c>
      <c r="C1095" s="58">
        <v>2022.0</v>
      </c>
      <c r="E1095" s="58" t="s">
        <v>10734</v>
      </c>
      <c r="F1095" s="58" t="s">
        <v>8412</v>
      </c>
      <c r="I1095" s="58" t="s">
        <v>10802</v>
      </c>
      <c r="K1095" s="73">
        <v>44840.0</v>
      </c>
      <c r="Z1095" s="58" t="s">
        <v>239</v>
      </c>
      <c r="CI1095" s="73">
        <v>44840.0</v>
      </c>
      <c r="CJ1095" s="58" t="s">
        <v>10564</v>
      </c>
      <c r="CK1095" s="58" t="s">
        <v>10803</v>
      </c>
      <c r="CL1095" s="58" t="s">
        <v>10670</v>
      </c>
      <c r="CM1095" s="58" t="s">
        <v>8416</v>
      </c>
      <c r="CO1095" s="58" t="s">
        <v>10804</v>
      </c>
      <c r="CU1095" s="58" t="s">
        <v>239</v>
      </c>
    </row>
    <row r="1096" ht="15.75" customHeight="1">
      <c r="B1096" s="58" t="s">
        <v>4587</v>
      </c>
      <c r="C1096" s="58">
        <v>2020.0</v>
      </c>
      <c r="E1096" s="58" t="s">
        <v>10805</v>
      </c>
      <c r="F1096" s="58" t="s">
        <v>10806</v>
      </c>
      <c r="I1096" s="58" t="s">
        <v>10807</v>
      </c>
      <c r="K1096" s="73">
        <v>44379.0</v>
      </c>
      <c r="Z1096" s="58" t="s">
        <v>239</v>
      </c>
      <c r="CI1096" s="73">
        <v>44379.0</v>
      </c>
      <c r="CJ1096" s="58" t="s">
        <v>10808</v>
      </c>
      <c r="CK1096" s="58" t="s">
        <v>10601</v>
      </c>
      <c r="CL1096" s="58" t="s">
        <v>10602</v>
      </c>
      <c r="CM1096" s="58" t="s">
        <v>10809</v>
      </c>
      <c r="CO1096" s="58" t="s">
        <v>10810</v>
      </c>
      <c r="CU1096" s="58" t="s">
        <v>239</v>
      </c>
    </row>
    <row r="1097" ht="15.75" customHeight="1">
      <c r="B1097" s="58" t="s">
        <v>4587</v>
      </c>
      <c r="C1097" s="58">
        <v>2020.0</v>
      </c>
      <c r="E1097" s="58" t="s">
        <v>10618</v>
      </c>
      <c r="F1097" s="58" t="s">
        <v>7967</v>
      </c>
      <c r="I1097" s="58" t="s">
        <v>10811</v>
      </c>
      <c r="K1097" s="73">
        <v>43955.0</v>
      </c>
      <c r="R1097" s="58">
        <v>1.0</v>
      </c>
      <c r="Z1097" s="58" t="s">
        <v>239</v>
      </c>
      <c r="CI1097" s="73">
        <v>43955.0</v>
      </c>
      <c r="CJ1097" s="58">
        <v>1.0</v>
      </c>
      <c r="CK1097" s="58">
        <v>30.0</v>
      </c>
      <c r="CL1097" s="58" t="s">
        <v>10602</v>
      </c>
      <c r="CM1097" s="58" t="s">
        <v>7971</v>
      </c>
      <c r="CO1097" s="58" t="s">
        <v>10812</v>
      </c>
      <c r="CU1097" s="58" t="s">
        <v>239</v>
      </c>
    </row>
    <row r="1098" ht="15.75" customHeight="1">
      <c r="B1098" s="58" t="s">
        <v>4587</v>
      </c>
      <c r="C1098" s="58">
        <v>2022.0</v>
      </c>
      <c r="E1098" s="58" t="s">
        <v>9426</v>
      </c>
      <c r="F1098" s="58" t="s">
        <v>10813</v>
      </c>
      <c r="H1098" s="58" t="s">
        <v>10814</v>
      </c>
      <c r="I1098" s="58" t="s">
        <v>10815</v>
      </c>
      <c r="K1098" s="73">
        <v>44938.0</v>
      </c>
      <c r="Z1098" s="58" t="s">
        <v>239</v>
      </c>
      <c r="CI1098" s="73">
        <v>44938.0</v>
      </c>
      <c r="CJ1098" s="58" t="s">
        <v>10564</v>
      </c>
      <c r="CK1098" s="58" t="s">
        <v>10816</v>
      </c>
      <c r="CL1098" s="58" t="s">
        <v>10817</v>
      </c>
      <c r="CM1098" s="58" t="s">
        <v>10818</v>
      </c>
      <c r="CO1098" s="58" t="s">
        <v>10819</v>
      </c>
      <c r="CU1098" s="58" t="s">
        <v>239</v>
      </c>
    </row>
    <row r="1099" ht="15.75" customHeight="1">
      <c r="B1099" s="58" t="s">
        <v>4587</v>
      </c>
      <c r="C1099" s="58">
        <v>2018.0</v>
      </c>
      <c r="E1099" s="58" t="s">
        <v>10618</v>
      </c>
      <c r="F1099" s="58" t="s">
        <v>10820</v>
      </c>
      <c r="I1099" s="58" t="s">
        <v>10821</v>
      </c>
      <c r="K1099" s="73">
        <v>43482.0</v>
      </c>
      <c r="Z1099" s="58" t="s">
        <v>239</v>
      </c>
      <c r="CI1099" s="73">
        <v>43482.0</v>
      </c>
      <c r="CJ1099" s="58">
        <v>5.0</v>
      </c>
      <c r="CK1099" s="58">
        <v>29.0</v>
      </c>
      <c r="CL1099" s="58" t="s">
        <v>10602</v>
      </c>
      <c r="CM1099" s="58" t="s">
        <v>10822</v>
      </c>
      <c r="CO1099" s="58" t="s">
        <v>10823</v>
      </c>
      <c r="CU1099" s="58" t="s">
        <v>239</v>
      </c>
    </row>
    <row r="1100" ht="15.75" customHeight="1">
      <c r="B1100" s="58" t="s">
        <v>4587</v>
      </c>
      <c r="C1100" s="58">
        <v>2022.0</v>
      </c>
      <c r="E1100" s="58" t="s">
        <v>10824</v>
      </c>
      <c r="F1100" s="58" t="s">
        <v>8509</v>
      </c>
      <c r="H1100" s="58" t="s">
        <v>8510</v>
      </c>
      <c r="I1100" s="58" t="s">
        <v>10825</v>
      </c>
      <c r="K1100" s="73">
        <v>44890.0</v>
      </c>
      <c r="Z1100" s="58" t="s">
        <v>239</v>
      </c>
      <c r="CI1100" s="73">
        <v>44890.0</v>
      </c>
      <c r="CJ1100" s="58">
        <v>1.0</v>
      </c>
      <c r="CK1100" s="58">
        <v>104.0</v>
      </c>
      <c r="CL1100" s="58" t="s">
        <v>10670</v>
      </c>
      <c r="CM1100" s="58" t="s">
        <v>8514</v>
      </c>
      <c r="CO1100" s="58" t="s">
        <v>10826</v>
      </c>
      <c r="CU1100" s="58" t="s">
        <v>239</v>
      </c>
    </row>
    <row r="1101" ht="15.75" customHeight="1">
      <c r="B1101" s="58" t="s">
        <v>4587</v>
      </c>
      <c r="C1101" s="58">
        <v>2019.0</v>
      </c>
      <c r="E1101" s="58" t="s">
        <v>10827</v>
      </c>
      <c r="F1101" s="58" t="s">
        <v>10828</v>
      </c>
      <c r="I1101" s="58" t="s">
        <v>10829</v>
      </c>
      <c r="K1101" s="73">
        <v>43864.0</v>
      </c>
      <c r="Z1101" s="58" t="s">
        <v>239</v>
      </c>
      <c r="CI1101" s="73">
        <v>43864.0</v>
      </c>
      <c r="CJ1101" s="58">
        <v>1.0</v>
      </c>
      <c r="CK1101" s="58">
        <v>8.0</v>
      </c>
      <c r="CL1101" s="58" t="s">
        <v>10830</v>
      </c>
      <c r="CM1101" s="58" t="s">
        <v>10831</v>
      </c>
      <c r="CO1101" s="58" t="s">
        <v>10832</v>
      </c>
      <c r="CU1101" s="58" t="s">
        <v>239</v>
      </c>
    </row>
    <row r="1102" ht="15.75" customHeight="1">
      <c r="B1102" s="58" t="s">
        <v>4587</v>
      </c>
      <c r="C1102" s="58">
        <v>2022.0</v>
      </c>
      <c r="E1102" s="58" t="s">
        <v>9426</v>
      </c>
      <c r="F1102" s="58" t="s">
        <v>7734</v>
      </c>
      <c r="H1102" s="58" t="s">
        <v>6074</v>
      </c>
      <c r="I1102" s="58" t="s">
        <v>10833</v>
      </c>
      <c r="K1102" s="73">
        <v>44852.0</v>
      </c>
      <c r="Z1102" s="58" t="s">
        <v>239</v>
      </c>
      <c r="CI1102" s="73">
        <v>44852.0</v>
      </c>
      <c r="CJ1102" s="58">
        <v>1.0</v>
      </c>
      <c r="CK1102" s="58">
        <v>16.0</v>
      </c>
      <c r="CL1102" s="58" t="s">
        <v>10834</v>
      </c>
      <c r="CM1102" s="58" t="s">
        <v>7738</v>
      </c>
      <c r="CO1102" s="58" t="s">
        <v>10835</v>
      </c>
    </row>
    <row r="1103" ht="15.75" customHeight="1">
      <c r="B1103" s="58" t="s">
        <v>4587</v>
      </c>
      <c r="C1103" s="58">
        <v>2020.0</v>
      </c>
      <c r="E1103" s="58" t="s">
        <v>10631</v>
      </c>
      <c r="F1103" s="58" t="s">
        <v>10632</v>
      </c>
      <c r="I1103" s="58" t="s">
        <v>10836</v>
      </c>
      <c r="K1103" s="73">
        <v>44053.0</v>
      </c>
      <c r="Z1103" s="58" t="s">
        <v>239</v>
      </c>
      <c r="CI1103" s="73">
        <v>44053.0</v>
      </c>
      <c r="CJ1103" s="58">
        <v>1.0</v>
      </c>
      <c r="CK1103" s="58">
        <v>11.0</v>
      </c>
      <c r="CL1103" s="58" t="s">
        <v>10634</v>
      </c>
      <c r="CM1103" s="58" t="s">
        <v>10635</v>
      </c>
      <c r="CO1103" s="58" t="s">
        <v>10837</v>
      </c>
      <c r="CU1103" s="58" t="s">
        <v>239</v>
      </c>
    </row>
    <row r="1104" ht="15.75" customHeight="1">
      <c r="B1104" s="58" t="s">
        <v>4587</v>
      </c>
      <c r="C1104" s="58">
        <v>2022.0</v>
      </c>
      <c r="E1104" s="58" t="s">
        <v>10597</v>
      </c>
      <c r="F1104" s="58" t="s">
        <v>10838</v>
      </c>
      <c r="H1104" s="58" t="s">
        <v>9979</v>
      </c>
      <c r="I1104" s="58" t="s">
        <v>10839</v>
      </c>
      <c r="K1104" s="73">
        <v>44973.0</v>
      </c>
      <c r="Z1104" s="58" t="s">
        <v>239</v>
      </c>
      <c r="CI1104" s="73">
        <v>44973.0</v>
      </c>
      <c r="CJ1104" s="58" t="s">
        <v>10564</v>
      </c>
      <c r="CK1104" s="58" t="s">
        <v>10638</v>
      </c>
      <c r="CM1104" s="58" t="s">
        <v>10840</v>
      </c>
      <c r="CO1104" s="58" t="s">
        <v>10841</v>
      </c>
      <c r="CU1104" s="58" t="s">
        <v>239</v>
      </c>
    </row>
    <row r="1105" ht="15.75" customHeight="1">
      <c r="B1105" s="58" t="s">
        <v>4587</v>
      </c>
      <c r="C1105" s="58">
        <v>2022.0</v>
      </c>
      <c r="E1105" s="58" t="s">
        <v>268</v>
      </c>
      <c r="F1105" s="58" t="s">
        <v>10842</v>
      </c>
      <c r="I1105" s="58" t="s">
        <v>10843</v>
      </c>
      <c r="K1105" s="73">
        <v>44992.0</v>
      </c>
      <c r="Z1105" s="58" t="s">
        <v>239</v>
      </c>
      <c r="CI1105" s="73">
        <v>44992.0</v>
      </c>
      <c r="CJ1105" s="58">
        <v>1.0</v>
      </c>
      <c r="CK1105" s="58">
        <v>22.0</v>
      </c>
      <c r="CL1105" s="58" t="s">
        <v>10759</v>
      </c>
      <c r="CM1105" s="58" t="s">
        <v>10844</v>
      </c>
      <c r="CO1105" s="58" t="s">
        <v>10845</v>
      </c>
      <c r="CU1105" s="58" t="s">
        <v>239</v>
      </c>
    </row>
    <row r="1106" ht="15.75" customHeight="1">
      <c r="B1106" s="58" t="s">
        <v>4587</v>
      </c>
      <c r="C1106" s="58">
        <v>2022.0</v>
      </c>
      <c r="E1106" s="58" t="s">
        <v>10597</v>
      </c>
      <c r="F1106" s="58" t="s">
        <v>10846</v>
      </c>
      <c r="I1106" s="58" t="s">
        <v>10847</v>
      </c>
      <c r="K1106" s="73">
        <v>45022.0</v>
      </c>
      <c r="Z1106" s="58" t="s">
        <v>239</v>
      </c>
      <c r="CI1106" s="73">
        <v>45022.0</v>
      </c>
      <c r="CJ1106" s="58" t="s">
        <v>10564</v>
      </c>
      <c r="CK1106" s="58" t="s">
        <v>10848</v>
      </c>
      <c r="CM1106" s="58" t="s">
        <v>10849</v>
      </c>
      <c r="CO1106" s="58" t="s">
        <v>10850</v>
      </c>
      <c r="CU1106" s="58" t="s">
        <v>239</v>
      </c>
    </row>
    <row r="1107" ht="15.75" customHeight="1">
      <c r="B1107" s="58" t="s">
        <v>4587</v>
      </c>
      <c r="C1107" s="58">
        <v>2019.0</v>
      </c>
      <c r="E1107" s="58" t="s">
        <v>10618</v>
      </c>
      <c r="F1107" s="58" t="s">
        <v>10851</v>
      </c>
      <c r="I1107" s="58" t="s">
        <v>10852</v>
      </c>
      <c r="K1107" s="73">
        <v>43741.0</v>
      </c>
      <c r="Z1107" s="58" t="s">
        <v>239</v>
      </c>
      <c r="CI1107" s="73">
        <v>43741.0</v>
      </c>
      <c r="CJ1107" s="58">
        <v>5.0</v>
      </c>
      <c r="CK1107" s="58">
        <v>45.0</v>
      </c>
      <c r="CL1107" s="58" t="s">
        <v>10602</v>
      </c>
      <c r="CM1107" s="58" t="s">
        <v>10853</v>
      </c>
      <c r="CO1107" s="58" t="s">
        <v>10854</v>
      </c>
      <c r="CU1107" s="58" t="s">
        <v>239</v>
      </c>
    </row>
    <row r="1108" ht="15.75" customHeight="1">
      <c r="B1108" s="58" t="s">
        <v>4587</v>
      </c>
      <c r="C1108" s="58">
        <v>2019.0</v>
      </c>
      <c r="E1108" s="58" t="s">
        <v>10597</v>
      </c>
      <c r="F1108" s="58" t="s">
        <v>10855</v>
      </c>
      <c r="H1108" s="58" t="s">
        <v>7901</v>
      </c>
      <c r="I1108" s="58" t="s">
        <v>10856</v>
      </c>
      <c r="K1108" s="73">
        <v>43545.0</v>
      </c>
      <c r="Z1108" s="58" t="s">
        <v>239</v>
      </c>
      <c r="CI1108" s="73">
        <v>43545.0</v>
      </c>
      <c r="CJ1108" s="58" t="s">
        <v>10627</v>
      </c>
      <c r="CK1108" s="58" t="s">
        <v>10857</v>
      </c>
      <c r="CL1108" s="58" t="s">
        <v>10602</v>
      </c>
      <c r="CM1108" s="58" t="s">
        <v>10858</v>
      </c>
      <c r="CO1108" s="58" t="s">
        <v>10859</v>
      </c>
      <c r="CU1108" s="58" t="s">
        <v>239</v>
      </c>
    </row>
    <row r="1109" ht="15.75" customHeight="1">
      <c r="B1109" s="58" t="s">
        <v>4587</v>
      </c>
      <c r="C1109" s="58">
        <v>2020.0</v>
      </c>
      <c r="E1109" s="58" t="s">
        <v>10631</v>
      </c>
      <c r="F1109" s="58" t="s">
        <v>10632</v>
      </c>
      <c r="I1109" s="58" t="s">
        <v>10860</v>
      </c>
      <c r="K1109" s="73">
        <v>44053.0</v>
      </c>
      <c r="Z1109" s="58" t="s">
        <v>239</v>
      </c>
      <c r="CI1109" s="73">
        <v>44053.0</v>
      </c>
      <c r="CJ1109" s="58">
        <v>1.0</v>
      </c>
      <c r="CK1109" s="58">
        <v>11.0</v>
      </c>
      <c r="CL1109" s="58" t="s">
        <v>10634</v>
      </c>
      <c r="CM1109" s="58" t="s">
        <v>10635</v>
      </c>
      <c r="CO1109" s="58" t="s">
        <v>10861</v>
      </c>
      <c r="CU1109" s="58" t="s">
        <v>239</v>
      </c>
    </row>
    <row r="1110" ht="15.75" customHeight="1">
      <c r="B1110" s="58" t="s">
        <v>4587</v>
      </c>
      <c r="C1110" s="58">
        <v>2019.0</v>
      </c>
      <c r="E1110" s="58" t="s">
        <v>10618</v>
      </c>
      <c r="F1110" s="58" t="s">
        <v>10862</v>
      </c>
      <c r="I1110" s="58" t="s">
        <v>10863</v>
      </c>
      <c r="K1110" s="73">
        <v>43790.0</v>
      </c>
      <c r="Z1110" s="58" t="s">
        <v>239</v>
      </c>
      <c r="CI1110" s="73">
        <v>43790.0</v>
      </c>
      <c r="CJ1110" s="58">
        <v>5.0</v>
      </c>
      <c r="CK1110" s="58">
        <v>12.0</v>
      </c>
      <c r="CL1110" s="58" t="s">
        <v>10602</v>
      </c>
      <c r="CM1110" s="58" t="s">
        <v>10864</v>
      </c>
      <c r="CO1110" s="58" t="s">
        <v>10865</v>
      </c>
      <c r="CU1110" s="58" t="s">
        <v>239</v>
      </c>
    </row>
    <row r="1111" ht="15.75" customHeight="1">
      <c r="B1111" s="58" t="s">
        <v>4587</v>
      </c>
      <c r="C1111" s="58">
        <v>2020.0</v>
      </c>
      <c r="E1111" s="58" t="s">
        <v>10631</v>
      </c>
      <c r="F1111" s="58" t="s">
        <v>10632</v>
      </c>
      <c r="I1111" s="58" t="s">
        <v>10866</v>
      </c>
      <c r="K1111" s="73">
        <v>44053.0</v>
      </c>
      <c r="Z1111" s="58" t="s">
        <v>239</v>
      </c>
      <c r="CI1111" s="73">
        <v>44053.0</v>
      </c>
      <c r="CJ1111" s="58">
        <v>1.0</v>
      </c>
      <c r="CK1111" s="58">
        <v>11.0</v>
      </c>
      <c r="CL1111" s="58" t="s">
        <v>10634</v>
      </c>
      <c r="CM1111" s="58" t="s">
        <v>10635</v>
      </c>
      <c r="CO1111" s="58" t="s">
        <v>10867</v>
      </c>
      <c r="CU1111" s="58" t="s">
        <v>239</v>
      </c>
    </row>
    <row r="1112" ht="15.75" customHeight="1">
      <c r="B1112" s="58" t="s">
        <v>4587</v>
      </c>
      <c r="C1112" s="58">
        <v>2020.0</v>
      </c>
      <c r="E1112" s="58" t="s">
        <v>10631</v>
      </c>
      <c r="F1112" s="58" t="s">
        <v>10632</v>
      </c>
      <c r="I1112" s="58" t="s">
        <v>10868</v>
      </c>
      <c r="K1112" s="73">
        <v>44053.0</v>
      </c>
      <c r="Z1112" s="58" t="s">
        <v>239</v>
      </c>
      <c r="CI1112" s="73">
        <v>44053.0</v>
      </c>
      <c r="CJ1112" s="58">
        <v>1.0</v>
      </c>
      <c r="CK1112" s="58">
        <v>11.0</v>
      </c>
      <c r="CL1112" s="58" t="s">
        <v>10634</v>
      </c>
      <c r="CM1112" s="58" t="s">
        <v>10635</v>
      </c>
      <c r="CO1112" s="58" t="s">
        <v>10869</v>
      </c>
      <c r="CU1112" s="58" t="s">
        <v>239</v>
      </c>
    </row>
    <row r="1113" ht="15.75" customHeight="1">
      <c r="B1113" s="58" t="s">
        <v>4587</v>
      </c>
      <c r="C1113" s="58">
        <v>2022.0</v>
      </c>
      <c r="E1113" s="58" t="s">
        <v>10597</v>
      </c>
      <c r="F1113" s="58" t="s">
        <v>10870</v>
      </c>
      <c r="I1113" s="58" t="s">
        <v>10871</v>
      </c>
      <c r="K1113" s="73">
        <v>44705.0</v>
      </c>
      <c r="Z1113" s="58" t="s">
        <v>239</v>
      </c>
      <c r="CI1113" s="73">
        <v>44705.0</v>
      </c>
      <c r="CJ1113" s="58" t="s">
        <v>10564</v>
      </c>
      <c r="CK1113" s="58" t="s">
        <v>10649</v>
      </c>
      <c r="CL1113" s="58" t="s">
        <v>10602</v>
      </c>
      <c r="CM1113" s="58" t="s">
        <v>10872</v>
      </c>
      <c r="CO1113" s="58" t="s">
        <v>10873</v>
      </c>
      <c r="CU1113" s="58" t="s">
        <v>239</v>
      </c>
    </row>
    <row r="1114" ht="15.75" customHeight="1">
      <c r="B1114" s="58" t="s">
        <v>4587</v>
      </c>
      <c r="C1114" s="58">
        <v>2020.0</v>
      </c>
      <c r="E1114" s="58" t="s">
        <v>10597</v>
      </c>
      <c r="F1114" s="58" t="s">
        <v>10613</v>
      </c>
      <c r="I1114" s="58" t="s">
        <v>10874</v>
      </c>
      <c r="K1114" s="73">
        <v>44106.0</v>
      </c>
      <c r="Z1114" s="58" t="s">
        <v>239</v>
      </c>
      <c r="CI1114" s="73">
        <v>44106.0</v>
      </c>
      <c r="CJ1114" s="58">
        <v>1.0</v>
      </c>
      <c r="CK1114" s="58">
        <v>7.0</v>
      </c>
      <c r="CL1114" s="58" t="s">
        <v>10875</v>
      </c>
      <c r="CM1114" s="58" t="s">
        <v>10616</v>
      </c>
      <c r="CO1114" s="58" t="s">
        <v>10876</v>
      </c>
      <c r="CU1114" s="58" t="s">
        <v>239</v>
      </c>
    </row>
    <row r="1115" ht="15.75" customHeight="1">
      <c r="B1115" s="58" t="s">
        <v>4587</v>
      </c>
      <c r="C1115" s="58">
        <v>2021.0</v>
      </c>
      <c r="E1115" s="58" t="s">
        <v>10597</v>
      </c>
      <c r="F1115" s="58" t="s">
        <v>10877</v>
      </c>
      <c r="H1115" s="58" t="s">
        <v>10719</v>
      </c>
      <c r="I1115" s="58" t="s">
        <v>10878</v>
      </c>
      <c r="K1115" s="73">
        <v>44396.0</v>
      </c>
      <c r="R1115" s="58">
        <v>4.0</v>
      </c>
      <c r="Z1115" s="58" t="s">
        <v>239</v>
      </c>
      <c r="CI1115" s="73">
        <v>44396.0</v>
      </c>
      <c r="CJ1115" s="58">
        <v>1.0</v>
      </c>
      <c r="CK1115" s="58">
        <v>32.0</v>
      </c>
      <c r="CL1115" s="58" t="s">
        <v>10602</v>
      </c>
      <c r="CM1115" s="58" t="s">
        <v>10879</v>
      </c>
      <c r="CO1115" s="58" t="s">
        <v>10880</v>
      </c>
      <c r="CU1115" s="58" t="s">
        <v>239</v>
      </c>
    </row>
    <row r="1116" ht="15.75" customHeight="1">
      <c r="B1116" s="58" t="s">
        <v>4587</v>
      </c>
      <c r="C1116" s="58">
        <v>2022.0</v>
      </c>
      <c r="E1116" s="58" t="s">
        <v>10597</v>
      </c>
      <c r="F1116" s="58" t="s">
        <v>10881</v>
      </c>
      <c r="H1116" s="58" t="s">
        <v>10882</v>
      </c>
      <c r="I1116" s="58" t="s">
        <v>10883</v>
      </c>
      <c r="K1116" s="73">
        <v>44756.0</v>
      </c>
      <c r="Z1116" s="58" t="s">
        <v>239</v>
      </c>
      <c r="CI1116" s="73">
        <v>44756.0</v>
      </c>
      <c r="CJ1116" s="58" t="s">
        <v>10627</v>
      </c>
      <c r="CK1116" s="58" t="s">
        <v>10601</v>
      </c>
      <c r="CL1116" s="58" t="s">
        <v>10602</v>
      </c>
      <c r="CM1116" s="58" t="s">
        <v>10884</v>
      </c>
      <c r="CO1116" s="58" t="s">
        <v>10885</v>
      </c>
      <c r="CU1116" s="58" t="s">
        <v>239</v>
      </c>
    </row>
    <row r="1117" ht="15.75" customHeight="1">
      <c r="B1117" s="58" t="s">
        <v>4587</v>
      </c>
      <c r="C1117" s="58">
        <v>2018.0</v>
      </c>
      <c r="E1117" s="58" t="s">
        <v>10618</v>
      </c>
      <c r="F1117" s="58" t="s">
        <v>10886</v>
      </c>
      <c r="I1117" s="58" t="s">
        <v>10887</v>
      </c>
      <c r="K1117" s="73">
        <v>43433.0</v>
      </c>
      <c r="Z1117" s="58" t="s">
        <v>239</v>
      </c>
      <c r="CI1117" s="73">
        <v>43433.0</v>
      </c>
      <c r="CJ1117" s="58">
        <v>1.0</v>
      </c>
      <c r="CK1117" s="58">
        <v>20.0</v>
      </c>
      <c r="CL1117" s="58" t="s">
        <v>10602</v>
      </c>
      <c r="CM1117" s="58" t="s">
        <v>10888</v>
      </c>
      <c r="CO1117" s="58" t="s">
        <v>10889</v>
      </c>
      <c r="CU1117" s="58" t="s">
        <v>239</v>
      </c>
    </row>
    <row r="1118" ht="15.75" customHeight="1">
      <c r="B1118" s="58" t="s">
        <v>4587</v>
      </c>
      <c r="C1118" s="58">
        <v>2020.0</v>
      </c>
      <c r="E1118" s="58" t="s">
        <v>10631</v>
      </c>
      <c r="F1118" s="58" t="s">
        <v>10632</v>
      </c>
      <c r="I1118" s="58" t="s">
        <v>10890</v>
      </c>
      <c r="K1118" s="73">
        <v>44053.0</v>
      </c>
      <c r="Z1118" s="58" t="s">
        <v>239</v>
      </c>
      <c r="CI1118" s="73">
        <v>44053.0</v>
      </c>
      <c r="CJ1118" s="58">
        <v>1.0</v>
      </c>
      <c r="CK1118" s="58">
        <v>11.0</v>
      </c>
      <c r="CL1118" s="58" t="s">
        <v>10634</v>
      </c>
      <c r="CM1118" s="58" t="s">
        <v>10635</v>
      </c>
      <c r="CO1118" s="58" t="s">
        <v>10891</v>
      </c>
      <c r="CU1118" s="58" t="s">
        <v>239</v>
      </c>
    </row>
    <row r="1119" ht="15.75" customHeight="1">
      <c r="B1119" s="58" t="s">
        <v>4587</v>
      </c>
      <c r="C1119" s="58">
        <v>2020.0</v>
      </c>
      <c r="E1119" s="58" t="s">
        <v>10892</v>
      </c>
      <c r="F1119" s="58" t="s">
        <v>10893</v>
      </c>
      <c r="H1119" s="58" t="s">
        <v>6074</v>
      </c>
      <c r="I1119" s="58" t="s">
        <v>10894</v>
      </c>
      <c r="K1119" s="73">
        <v>44132.0</v>
      </c>
      <c r="Z1119" s="58" t="s">
        <v>239</v>
      </c>
      <c r="CI1119" s="73">
        <v>44132.0</v>
      </c>
      <c r="CJ1119" s="58" t="s">
        <v>10564</v>
      </c>
      <c r="CK1119" s="58" t="s">
        <v>10745</v>
      </c>
      <c r="CL1119" s="58" t="s">
        <v>10704</v>
      </c>
      <c r="CM1119" s="58" t="s">
        <v>10895</v>
      </c>
      <c r="CO1119" s="58" t="s">
        <v>10896</v>
      </c>
    </row>
    <row r="1120" ht="15.75" customHeight="1">
      <c r="B1120" s="58" t="s">
        <v>4587</v>
      </c>
      <c r="C1120" s="58">
        <v>2019.0</v>
      </c>
      <c r="E1120" s="58" t="s">
        <v>10618</v>
      </c>
      <c r="F1120" s="58" t="s">
        <v>10897</v>
      </c>
      <c r="H1120" s="58" t="s">
        <v>10898</v>
      </c>
      <c r="I1120" s="58" t="s">
        <v>10899</v>
      </c>
      <c r="K1120" s="73">
        <v>43902.0</v>
      </c>
      <c r="Z1120" s="58" t="s">
        <v>239</v>
      </c>
      <c r="CI1120" s="73">
        <v>43902.0</v>
      </c>
      <c r="CJ1120" s="58">
        <v>5.0</v>
      </c>
      <c r="CK1120" s="58">
        <v>14.0</v>
      </c>
      <c r="CL1120" s="58" t="s">
        <v>10602</v>
      </c>
      <c r="CM1120" s="58" t="s">
        <v>10900</v>
      </c>
      <c r="CO1120" s="58" t="s">
        <v>10901</v>
      </c>
      <c r="CU1120" s="58" t="s">
        <v>239</v>
      </c>
    </row>
    <row r="1121" ht="15.75" customHeight="1">
      <c r="B1121" s="58" t="s">
        <v>4587</v>
      </c>
      <c r="C1121" s="58">
        <v>2022.0</v>
      </c>
      <c r="E1121" s="58" t="s">
        <v>10734</v>
      </c>
      <c r="F1121" s="58" t="s">
        <v>6199</v>
      </c>
      <c r="H1121" s="58" t="s">
        <v>5264</v>
      </c>
      <c r="I1121" s="58" t="s">
        <v>10902</v>
      </c>
      <c r="K1121" s="73">
        <v>44721.0</v>
      </c>
      <c r="Z1121" s="58" t="s">
        <v>239</v>
      </c>
      <c r="CI1121" s="73">
        <v>44721.0</v>
      </c>
      <c r="CJ1121" s="58" t="s">
        <v>10564</v>
      </c>
      <c r="CK1121" s="58" t="s">
        <v>10903</v>
      </c>
      <c r="CM1121" s="58" t="s">
        <v>6203</v>
      </c>
      <c r="CO1121" s="58" t="s">
        <v>10904</v>
      </c>
      <c r="CU1121" s="58" t="s">
        <v>239</v>
      </c>
    </row>
    <row r="1122" ht="15.75" customHeight="1">
      <c r="B1122" s="58" t="s">
        <v>4587</v>
      </c>
      <c r="C1122" s="58">
        <v>2022.0</v>
      </c>
      <c r="E1122" s="58" t="s">
        <v>10597</v>
      </c>
      <c r="F1122" s="58" t="s">
        <v>10905</v>
      </c>
      <c r="I1122" s="58" t="s">
        <v>10906</v>
      </c>
      <c r="K1122" s="73">
        <v>44852.0</v>
      </c>
      <c r="Z1122" s="58" t="s">
        <v>239</v>
      </c>
      <c r="CI1122" s="73">
        <v>44852.0</v>
      </c>
      <c r="CJ1122" s="58" t="s">
        <v>10564</v>
      </c>
      <c r="CK1122" s="58" t="s">
        <v>10907</v>
      </c>
      <c r="CL1122" s="58" t="s">
        <v>10710</v>
      </c>
      <c r="CM1122" s="58" t="s">
        <v>10908</v>
      </c>
      <c r="CO1122" s="58" t="s">
        <v>10909</v>
      </c>
      <c r="CU1122" s="58" t="s">
        <v>239</v>
      </c>
    </row>
    <row r="1123" ht="15.75" customHeight="1">
      <c r="B1123" s="58" t="s">
        <v>4587</v>
      </c>
      <c r="C1123" s="58">
        <v>2019.0</v>
      </c>
      <c r="E1123" s="58" t="s">
        <v>10597</v>
      </c>
      <c r="F1123" s="58" t="s">
        <v>10828</v>
      </c>
      <c r="I1123" s="58" t="s">
        <v>10910</v>
      </c>
      <c r="K1123" s="73">
        <v>43864.0</v>
      </c>
      <c r="Z1123" s="58" t="s">
        <v>239</v>
      </c>
      <c r="CI1123" s="73">
        <v>43864.0</v>
      </c>
      <c r="CJ1123" s="58">
        <v>1.0</v>
      </c>
      <c r="CK1123" s="58">
        <v>2.0</v>
      </c>
      <c r="CL1123" s="58" t="s">
        <v>10602</v>
      </c>
      <c r="CM1123" s="58" t="s">
        <v>10831</v>
      </c>
      <c r="CO1123" s="58" t="s">
        <v>10911</v>
      </c>
      <c r="CU1123" s="58" t="s">
        <v>239</v>
      </c>
    </row>
    <row r="1124" ht="15.75" customHeight="1">
      <c r="B1124" s="58" t="s">
        <v>4587</v>
      </c>
      <c r="C1124" s="58">
        <v>2020.0</v>
      </c>
      <c r="E1124" s="58" t="s">
        <v>10631</v>
      </c>
      <c r="F1124" s="58" t="s">
        <v>10632</v>
      </c>
      <c r="I1124" s="58" t="s">
        <v>10912</v>
      </c>
      <c r="K1124" s="73">
        <v>44053.0</v>
      </c>
      <c r="Z1124" s="58" t="s">
        <v>239</v>
      </c>
      <c r="CI1124" s="73">
        <v>44053.0</v>
      </c>
      <c r="CJ1124" s="58">
        <v>1.0</v>
      </c>
      <c r="CK1124" s="58">
        <v>11.0</v>
      </c>
      <c r="CL1124" s="58" t="s">
        <v>10634</v>
      </c>
      <c r="CM1124" s="58" t="s">
        <v>10635</v>
      </c>
      <c r="CO1124" s="58" t="s">
        <v>10913</v>
      </c>
      <c r="CU1124" s="58" t="s">
        <v>239</v>
      </c>
    </row>
    <row r="1125" ht="15.75" customHeight="1">
      <c r="B1125" s="58" t="s">
        <v>4587</v>
      </c>
      <c r="C1125" s="58">
        <v>2022.0</v>
      </c>
      <c r="E1125" s="58" t="s">
        <v>10914</v>
      </c>
      <c r="F1125" s="58" t="s">
        <v>10757</v>
      </c>
      <c r="H1125" s="58" t="s">
        <v>4972</v>
      </c>
      <c r="I1125" s="58" t="s">
        <v>10915</v>
      </c>
      <c r="K1125" s="73">
        <v>44753.0</v>
      </c>
      <c r="Z1125" s="58" t="s">
        <v>239</v>
      </c>
      <c r="CI1125" s="73">
        <v>44753.0</v>
      </c>
      <c r="CJ1125" s="58">
        <v>1.0</v>
      </c>
      <c r="CK1125" s="58">
        <v>18.0</v>
      </c>
      <c r="CL1125" s="58" t="s">
        <v>10916</v>
      </c>
      <c r="CM1125" s="58" t="s">
        <v>10760</v>
      </c>
      <c r="CO1125" s="58" t="s">
        <v>10917</v>
      </c>
      <c r="CU1125" s="58" t="s">
        <v>239</v>
      </c>
    </row>
    <row r="1126" ht="15.75" customHeight="1">
      <c r="B1126" s="58" t="s">
        <v>4587</v>
      </c>
      <c r="C1126" s="58">
        <v>2022.0</v>
      </c>
      <c r="E1126" s="58" t="s">
        <v>10597</v>
      </c>
      <c r="F1126" s="58" t="s">
        <v>10918</v>
      </c>
      <c r="H1126" s="58" t="s">
        <v>10919</v>
      </c>
      <c r="I1126" s="58" t="s">
        <v>10920</v>
      </c>
      <c r="K1126" s="73">
        <v>44776.0</v>
      </c>
      <c r="R1126" s="58">
        <v>10.0</v>
      </c>
      <c r="Z1126" s="58" t="s">
        <v>239</v>
      </c>
      <c r="CI1126" s="73">
        <v>44776.0</v>
      </c>
      <c r="CJ1126" s="58">
        <v>1.0</v>
      </c>
      <c r="CK1126" s="58">
        <v>32.0</v>
      </c>
      <c r="CM1126" s="58" t="s">
        <v>10921</v>
      </c>
      <c r="CO1126" s="58" t="s">
        <v>10922</v>
      </c>
      <c r="CU1126" s="58" t="s">
        <v>239</v>
      </c>
    </row>
    <row r="1127" ht="15.75" customHeight="1">
      <c r="B1127" s="58" t="s">
        <v>4587</v>
      </c>
      <c r="C1127" s="58">
        <v>2018.0</v>
      </c>
      <c r="E1127" s="58" t="s">
        <v>10618</v>
      </c>
      <c r="F1127" s="58" t="s">
        <v>10923</v>
      </c>
      <c r="I1127" s="58" t="s">
        <v>10924</v>
      </c>
      <c r="K1127" s="73">
        <v>43311.0</v>
      </c>
      <c r="Z1127" s="58" t="s">
        <v>239</v>
      </c>
      <c r="CI1127" s="73">
        <v>43311.0</v>
      </c>
      <c r="CJ1127" s="58">
        <v>5.0</v>
      </c>
      <c r="CK1127" s="58">
        <v>14.0</v>
      </c>
      <c r="CL1127" s="58" t="s">
        <v>10602</v>
      </c>
      <c r="CM1127" s="58" t="s">
        <v>10925</v>
      </c>
      <c r="CO1127" s="58" t="s">
        <v>10926</v>
      </c>
      <c r="CU1127" s="58" t="s">
        <v>239</v>
      </c>
    </row>
    <row r="1128" ht="15.75" customHeight="1">
      <c r="B1128" s="58" t="s">
        <v>4587</v>
      </c>
      <c r="C1128" s="58">
        <v>2022.0</v>
      </c>
      <c r="E1128" s="58" t="s">
        <v>10927</v>
      </c>
      <c r="F1128" s="58" t="s">
        <v>10738</v>
      </c>
      <c r="I1128" s="58" t="s">
        <v>10928</v>
      </c>
      <c r="K1128" s="73">
        <v>44925.0</v>
      </c>
      <c r="Z1128" s="58" t="s">
        <v>239</v>
      </c>
      <c r="CI1128" s="73">
        <v>44925.0</v>
      </c>
      <c r="CJ1128" s="58">
        <v>1.0</v>
      </c>
      <c r="CK1128" s="58">
        <v>19.0</v>
      </c>
      <c r="CL1128" s="58" t="s">
        <v>10929</v>
      </c>
      <c r="CM1128" s="58" t="s">
        <v>10740</v>
      </c>
      <c r="CO1128" s="58" t="s">
        <v>10930</v>
      </c>
      <c r="CU1128" s="58" t="s">
        <v>239</v>
      </c>
    </row>
    <row r="1129" ht="15.75" customHeight="1">
      <c r="B1129" s="58" t="s">
        <v>4587</v>
      </c>
      <c r="C1129" s="58">
        <v>2022.0</v>
      </c>
      <c r="E1129" s="58" t="s">
        <v>10931</v>
      </c>
      <c r="F1129" s="58" t="s">
        <v>9553</v>
      </c>
      <c r="I1129" s="58" t="s">
        <v>10932</v>
      </c>
      <c r="K1129" s="73">
        <v>44813.0</v>
      </c>
      <c r="Z1129" s="58" t="s">
        <v>239</v>
      </c>
      <c r="CI1129" s="73">
        <v>44813.0</v>
      </c>
      <c r="CJ1129" s="58" t="s">
        <v>10564</v>
      </c>
      <c r="CK1129" s="58" t="s">
        <v>10848</v>
      </c>
      <c r="CL1129" s="58" t="s">
        <v>10933</v>
      </c>
      <c r="CM1129" s="58" t="s">
        <v>9557</v>
      </c>
      <c r="CO1129" s="58" t="s">
        <v>10934</v>
      </c>
      <c r="CU1129" s="58" t="s">
        <v>239</v>
      </c>
    </row>
    <row r="1130" ht="15.75" customHeight="1">
      <c r="B1130" s="58" t="s">
        <v>4587</v>
      </c>
      <c r="C1130" s="58">
        <v>2020.0</v>
      </c>
      <c r="E1130" s="58" t="s">
        <v>10631</v>
      </c>
      <c r="F1130" s="58" t="s">
        <v>10632</v>
      </c>
      <c r="I1130" s="58" t="s">
        <v>10935</v>
      </c>
      <c r="K1130" s="73">
        <v>44053.0</v>
      </c>
      <c r="Z1130" s="58" t="s">
        <v>239</v>
      </c>
      <c r="CI1130" s="73">
        <v>44053.0</v>
      </c>
      <c r="CJ1130" s="58">
        <v>1.0</v>
      </c>
      <c r="CK1130" s="58">
        <v>11.0</v>
      </c>
      <c r="CL1130" s="58" t="s">
        <v>10634</v>
      </c>
      <c r="CM1130" s="58" t="s">
        <v>10635</v>
      </c>
      <c r="CO1130" s="58" t="s">
        <v>10936</v>
      </c>
      <c r="CU1130" s="58" t="s">
        <v>239</v>
      </c>
    </row>
    <row r="1131" ht="15.75" customHeight="1">
      <c r="B1131" s="58" t="s">
        <v>4587</v>
      </c>
      <c r="C1131" s="58">
        <v>2022.0</v>
      </c>
      <c r="E1131" s="58" t="s">
        <v>10805</v>
      </c>
      <c r="F1131" s="58" t="s">
        <v>10937</v>
      </c>
      <c r="I1131" s="58" t="s">
        <v>10938</v>
      </c>
      <c r="K1131" s="73">
        <v>44767.0</v>
      </c>
      <c r="Z1131" s="58" t="s">
        <v>239</v>
      </c>
      <c r="CI1131" s="73">
        <v>44767.0</v>
      </c>
      <c r="CJ1131" s="58">
        <v>1.0</v>
      </c>
      <c r="CK1131" s="58">
        <v>13.0</v>
      </c>
      <c r="CL1131" s="58" t="s">
        <v>10939</v>
      </c>
      <c r="CM1131" s="58" t="s">
        <v>10940</v>
      </c>
      <c r="CO1131" s="58" t="s">
        <v>10941</v>
      </c>
      <c r="CU1131" s="58" t="s">
        <v>239</v>
      </c>
    </row>
    <row r="1132" ht="15.75" customHeight="1">
      <c r="B1132" s="58" t="s">
        <v>4587</v>
      </c>
      <c r="C1132" s="58">
        <v>2018.0</v>
      </c>
      <c r="E1132" s="58" t="s">
        <v>10942</v>
      </c>
      <c r="F1132" s="58" t="s">
        <v>10943</v>
      </c>
      <c r="I1132" s="58" t="s">
        <v>10944</v>
      </c>
      <c r="K1132" s="73">
        <v>43482.0</v>
      </c>
      <c r="Z1132" s="58" t="s">
        <v>239</v>
      </c>
      <c r="CI1132" s="73">
        <v>43482.0</v>
      </c>
      <c r="CJ1132" s="58">
        <v>1.0</v>
      </c>
      <c r="CK1132" s="58">
        <v>10.0</v>
      </c>
      <c r="CL1132" s="58" t="s">
        <v>10945</v>
      </c>
      <c r="CM1132" s="58" t="s">
        <v>10946</v>
      </c>
      <c r="CO1132" s="58" t="s">
        <v>10947</v>
      </c>
      <c r="CU1132" s="58" t="s">
        <v>239</v>
      </c>
    </row>
    <row r="1133" ht="15.75" customHeight="1">
      <c r="B1133" s="58" t="s">
        <v>4587</v>
      </c>
      <c r="C1133" s="58">
        <v>2022.0</v>
      </c>
      <c r="E1133" s="58" t="s">
        <v>10734</v>
      </c>
      <c r="F1133" s="58" t="s">
        <v>10948</v>
      </c>
      <c r="H1133" s="58" t="s">
        <v>6357</v>
      </c>
      <c r="I1133" s="58" t="s">
        <v>10949</v>
      </c>
      <c r="K1133" s="73">
        <v>44915.0</v>
      </c>
      <c r="Z1133" s="58" t="s">
        <v>239</v>
      </c>
      <c r="CI1133" s="73">
        <v>44915.0</v>
      </c>
      <c r="CJ1133" s="58">
        <v>3.0</v>
      </c>
      <c r="CK1133" s="58">
        <v>41.0</v>
      </c>
      <c r="CL1133" s="58" t="s">
        <v>10670</v>
      </c>
      <c r="CM1133" s="58" t="s">
        <v>10950</v>
      </c>
      <c r="CO1133" s="58" t="s">
        <v>10951</v>
      </c>
      <c r="CU1133" s="58" t="s">
        <v>239</v>
      </c>
    </row>
    <row r="1134" ht="15.75" customHeight="1">
      <c r="B1134" s="58" t="s">
        <v>4587</v>
      </c>
      <c r="C1134" s="58">
        <v>2020.0</v>
      </c>
      <c r="E1134" s="58" t="s">
        <v>10952</v>
      </c>
      <c r="F1134" s="58" t="s">
        <v>10684</v>
      </c>
      <c r="I1134" s="58" t="s">
        <v>10953</v>
      </c>
      <c r="K1134" s="73">
        <v>44221.0</v>
      </c>
      <c r="Z1134" s="58" t="s">
        <v>239</v>
      </c>
      <c r="CI1134" s="73">
        <v>44221.0</v>
      </c>
      <c r="CJ1134" s="58" t="s">
        <v>10564</v>
      </c>
      <c r="CK1134" s="58" t="s">
        <v>10857</v>
      </c>
      <c r="CL1134" s="58" t="s">
        <v>10602</v>
      </c>
      <c r="CM1134" s="58" t="s">
        <v>10686</v>
      </c>
      <c r="CO1134" s="58" t="s">
        <v>10954</v>
      </c>
      <c r="CU1134" s="58" t="s">
        <v>239</v>
      </c>
    </row>
    <row r="1135" ht="15.75" customHeight="1">
      <c r="B1135" s="58" t="s">
        <v>4587</v>
      </c>
      <c r="C1135" s="58">
        <v>2018.0</v>
      </c>
      <c r="E1135" s="58" t="s">
        <v>10618</v>
      </c>
      <c r="F1135" s="58" t="s">
        <v>10955</v>
      </c>
      <c r="H1135" s="58" t="s">
        <v>10956</v>
      </c>
      <c r="I1135" s="58" t="s">
        <v>10957</v>
      </c>
      <c r="K1135" s="73">
        <v>43808.0</v>
      </c>
      <c r="Z1135" s="58" t="s">
        <v>239</v>
      </c>
      <c r="CI1135" s="73">
        <v>43808.0</v>
      </c>
      <c r="CJ1135" s="58">
        <v>7.0</v>
      </c>
      <c r="CK1135" s="58">
        <v>10.0</v>
      </c>
      <c r="CL1135" s="58" t="s">
        <v>10602</v>
      </c>
      <c r="CM1135" s="58" t="s">
        <v>10958</v>
      </c>
      <c r="CO1135" s="58" t="s">
        <v>10959</v>
      </c>
      <c r="CU1135" s="58" t="s">
        <v>239</v>
      </c>
    </row>
    <row r="1136" ht="15.75" customHeight="1">
      <c r="B1136" s="58" t="s">
        <v>4587</v>
      </c>
      <c r="C1136" s="58">
        <v>2020.0</v>
      </c>
      <c r="E1136" s="58" t="s">
        <v>10631</v>
      </c>
      <c r="F1136" s="58" t="s">
        <v>10632</v>
      </c>
      <c r="I1136" s="58" t="s">
        <v>10960</v>
      </c>
      <c r="K1136" s="73">
        <v>44053.0</v>
      </c>
      <c r="Z1136" s="58" t="s">
        <v>239</v>
      </c>
      <c r="CI1136" s="73">
        <v>44053.0</v>
      </c>
      <c r="CJ1136" s="58">
        <v>1.0</v>
      </c>
      <c r="CK1136" s="58">
        <v>11.0</v>
      </c>
      <c r="CL1136" s="58" t="s">
        <v>10634</v>
      </c>
      <c r="CM1136" s="58" t="s">
        <v>10635</v>
      </c>
      <c r="CO1136" s="58" t="s">
        <v>10961</v>
      </c>
      <c r="CU1136" s="58" t="s">
        <v>239</v>
      </c>
    </row>
    <row r="1137" ht="15.75" customHeight="1">
      <c r="B1137" s="58" t="s">
        <v>4587</v>
      </c>
      <c r="C1137" s="58">
        <v>2020.0</v>
      </c>
      <c r="E1137" s="58" t="s">
        <v>10597</v>
      </c>
      <c r="F1137" s="58" t="s">
        <v>8905</v>
      </c>
      <c r="I1137" s="58" t="s">
        <v>10962</v>
      </c>
      <c r="K1137" s="73">
        <v>44242.0</v>
      </c>
      <c r="Z1137" s="58" t="s">
        <v>239</v>
      </c>
      <c r="CI1137" s="73">
        <v>44242.0</v>
      </c>
      <c r="CJ1137" s="58" t="s">
        <v>10564</v>
      </c>
      <c r="CK1137" s="58" t="s">
        <v>10595</v>
      </c>
      <c r="CL1137" s="58" t="s">
        <v>10602</v>
      </c>
      <c r="CM1137" s="58" t="s">
        <v>8909</v>
      </c>
      <c r="CO1137" s="58" t="s">
        <v>10963</v>
      </c>
      <c r="CU1137" s="58" t="s">
        <v>239</v>
      </c>
    </row>
    <row r="1138" ht="15.75" customHeight="1">
      <c r="B1138" s="58" t="s">
        <v>4587</v>
      </c>
      <c r="C1138" s="58">
        <v>2020.0</v>
      </c>
      <c r="E1138" s="58" t="s">
        <v>10597</v>
      </c>
      <c r="F1138" s="58" t="s">
        <v>10964</v>
      </c>
      <c r="H1138" s="58" t="s">
        <v>4813</v>
      </c>
      <c r="I1138" s="58" t="s">
        <v>10965</v>
      </c>
      <c r="K1138" s="73">
        <v>44026.0</v>
      </c>
      <c r="Z1138" s="58" t="s">
        <v>239</v>
      </c>
      <c r="CI1138" s="73">
        <v>44026.0</v>
      </c>
      <c r="CJ1138" s="58" t="s">
        <v>10564</v>
      </c>
      <c r="CK1138" s="58" t="s">
        <v>10694</v>
      </c>
      <c r="CL1138" s="58" t="s">
        <v>10602</v>
      </c>
      <c r="CM1138" s="58" t="s">
        <v>10966</v>
      </c>
      <c r="CO1138" s="58" t="s">
        <v>10967</v>
      </c>
      <c r="CU1138" s="58" t="s">
        <v>239</v>
      </c>
    </row>
    <row r="1139" ht="15.75" customHeight="1">
      <c r="B1139" s="58" t="s">
        <v>4587</v>
      </c>
      <c r="C1139" s="58">
        <v>2018.0</v>
      </c>
      <c r="E1139" s="58" t="s">
        <v>10968</v>
      </c>
      <c r="F1139" s="58" t="s">
        <v>10969</v>
      </c>
      <c r="I1139" s="58" t="s">
        <v>10970</v>
      </c>
      <c r="K1139" s="73">
        <v>43405.0</v>
      </c>
      <c r="Z1139" s="58" t="s">
        <v>239</v>
      </c>
      <c r="CI1139" s="73">
        <v>43405.0</v>
      </c>
      <c r="CJ1139" s="58">
        <v>17.0</v>
      </c>
      <c r="CK1139" s="58">
        <v>124.0</v>
      </c>
      <c r="CL1139" s="58" t="s">
        <v>10634</v>
      </c>
      <c r="CM1139" s="58" t="s">
        <v>10971</v>
      </c>
      <c r="CO1139" s="58" t="s">
        <v>10972</v>
      </c>
      <c r="CU1139" s="58" t="s">
        <v>239</v>
      </c>
    </row>
    <row r="1140" ht="15.75" customHeight="1">
      <c r="B1140" s="58" t="s">
        <v>4587</v>
      </c>
      <c r="C1140" s="58">
        <v>2019.0</v>
      </c>
      <c r="E1140" s="58" t="s">
        <v>10618</v>
      </c>
      <c r="F1140" s="58" t="s">
        <v>10973</v>
      </c>
      <c r="I1140" s="58" t="s">
        <v>10974</v>
      </c>
      <c r="K1140" s="73">
        <v>43867.0</v>
      </c>
      <c r="R1140" s="58">
        <v>6.0</v>
      </c>
      <c r="Z1140" s="58" t="s">
        <v>239</v>
      </c>
      <c r="CI1140" s="73">
        <v>43867.0</v>
      </c>
      <c r="CJ1140" s="58">
        <v>1.0</v>
      </c>
      <c r="CK1140" s="58">
        <v>3.0</v>
      </c>
      <c r="CL1140" s="58" t="s">
        <v>10602</v>
      </c>
      <c r="CM1140" s="58" t="s">
        <v>10975</v>
      </c>
      <c r="CO1140" s="58" t="s">
        <v>10976</v>
      </c>
      <c r="CU1140" s="58" t="s">
        <v>239</v>
      </c>
    </row>
    <row r="1141" ht="15.75" customHeight="1">
      <c r="B1141" s="58" t="s">
        <v>4587</v>
      </c>
      <c r="C1141" s="58">
        <v>2022.0</v>
      </c>
      <c r="E1141" s="58" t="s">
        <v>10805</v>
      </c>
      <c r="F1141" s="58" t="s">
        <v>10977</v>
      </c>
      <c r="H1141" s="58" t="s">
        <v>10978</v>
      </c>
      <c r="I1141" s="58" t="s">
        <v>10979</v>
      </c>
      <c r="K1141" s="73">
        <v>44846.0</v>
      </c>
      <c r="Z1141" s="58" t="s">
        <v>239</v>
      </c>
      <c r="CI1141" s="73">
        <v>44846.0</v>
      </c>
      <c r="CJ1141" s="58" t="s">
        <v>10980</v>
      </c>
      <c r="CK1141" s="58" t="s">
        <v>10694</v>
      </c>
      <c r="CL1141" s="58" t="s">
        <v>10710</v>
      </c>
      <c r="CM1141" s="58" t="s">
        <v>10981</v>
      </c>
      <c r="CO1141" s="58" t="s">
        <v>10982</v>
      </c>
      <c r="CU1141" s="58" t="s">
        <v>239</v>
      </c>
    </row>
    <row r="1142" ht="15.75" customHeight="1">
      <c r="B1142" s="58" t="s">
        <v>4587</v>
      </c>
      <c r="C1142" s="58">
        <v>2022.0</v>
      </c>
      <c r="E1142" s="58" t="s">
        <v>10983</v>
      </c>
      <c r="F1142" s="58" t="s">
        <v>6871</v>
      </c>
      <c r="H1142" s="58" t="s">
        <v>6872</v>
      </c>
      <c r="I1142" s="58" t="s">
        <v>10984</v>
      </c>
      <c r="K1142" s="73">
        <v>44776.0</v>
      </c>
      <c r="Z1142" s="58" t="s">
        <v>239</v>
      </c>
      <c r="CI1142" s="73">
        <v>44776.0</v>
      </c>
      <c r="CJ1142" s="58" t="s">
        <v>10564</v>
      </c>
      <c r="CK1142" s="58" t="s">
        <v>10985</v>
      </c>
      <c r="CM1142" s="58" t="s">
        <v>6876</v>
      </c>
      <c r="CO1142" s="58" t="s">
        <v>10986</v>
      </c>
      <c r="CU1142" s="58" t="s">
        <v>239</v>
      </c>
    </row>
    <row r="1143" ht="15.75" customHeight="1">
      <c r="B1143" s="58" t="s">
        <v>4587</v>
      </c>
      <c r="C1143" s="58">
        <v>2022.0</v>
      </c>
      <c r="E1143" s="58" t="s">
        <v>10597</v>
      </c>
      <c r="F1143" s="58" t="s">
        <v>10055</v>
      </c>
      <c r="H1143" s="58" t="s">
        <v>7198</v>
      </c>
      <c r="I1143" s="58" t="s">
        <v>10987</v>
      </c>
      <c r="K1143" s="73">
        <v>44998.0</v>
      </c>
      <c r="Z1143" s="58" t="s">
        <v>239</v>
      </c>
      <c r="CI1143" s="73">
        <v>44998.0</v>
      </c>
      <c r="CJ1143" s="58" t="s">
        <v>10564</v>
      </c>
      <c r="CK1143" s="58" t="s">
        <v>10988</v>
      </c>
      <c r="CM1143" s="58" t="s">
        <v>10059</v>
      </c>
      <c r="CO1143" s="58" t="s">
        <v>10989</v>
      </c>
      <c r="CU1143" s="58" t="s">
        <v>239</v>
      </c>
    </row>
    <row r="1144" ht="15.75" customHeight="1">
      <c r="B1144" s="58" t="s">
        <v>4587</v>
      </c>
      <c r="C1144" s="58">
        <v>2022.0</v>
      </c>
      <c r="E1144" s="58" t="s">
        <v>10990</v>
      </c>
      <c r="F1144" s="58" t="s">
        <v>10842</v>
      </c>
      <c r="I1144" s="58" t="s">
        <v>10991</v>
      </c>
      <c r="K1144" s="73">
        <v>44992.0</v>
      </c>
      <c r="Z1144" s="58" t="s">
        <v>239</v>
      </c>
      <c r="CI1144" s="73">
        <v>44992.0</v>
      </c>
      <c r="CJ1144" s="58">
        <v>1.0</v>
      </c>
      <c r="CK1144" s="58">
        <v>7.0</v>
      </c>
      <c r="CL1144" s="58" t="s">
        <v>10992</v>
      </c>
      <c r="CM1144" s="58" t="s">
        <v>10844</v>
      </c>
      <c r="CO1144" s="58" t="s">
        <v>10993</v>
      </c>
      <c r="CU1144" s="58" t="s">
        <v>239</v>
      </c>
    </row>
    <row r="1145" ht="15.75" customHeight="1">
      <c r="B1145" s="58" t="s">
        <v>4587</v>
      </c>
      <c r="C1145" s="58">
        <v>2018.0</v>
      </c>
      <c r="E1145" s="58" t="s">
        <v>10597</v>
      </c>
      <c r="F1145" s="58" t="s">
        <v>4649</v>
      </c>
      <c r="H1145" s="58" t="s">
        <v>4600</v>
      </c>
      <c r="I1145" s="58" t="s">
        <v>10994</v>
      </c>
      <c r="K1145" s="73">
        <v>43354.0</v>
      </c>
      <c r="Z1145" s="58" t="s">
        <v>239</v>
      </c>
      <c r="CI1145" s="73">
        <v>43354.0</v>
      </c>
      <c r="CJ1145" s="58">
        <v>5.0</v>
      </c>
      <c r="CK1145" s="58">
        <v>21.0</v>
      </c>
      <c r="CM1145" s="58" t="s">
        <v>4653</v>
      </c>
      <c r="CO1145" s="58" t="s">
        <v>10995</v>
      </c>
      <c r="CU1145" s="58" t="s">
        <v>239</v>
      </c>
    </row>
    <row r="1146" ht="15.75" customHeight="1">
      <c r="B1146" s="58" t="s">
        <v>4587</v>
      </c>
      <c r="C1146" s="58">
        <v>2019.0</v>
      </c>
      <c r="E1146" s="58" t="s">
        <v>10996</v>
      </c>
      <c r="F1146" s="58" t="s">
        <v>6605</v>
      </c>
      <c r="H1146" s="58" t="s">
        <v>6606</v>
      </c>
      <c r="I1146" s="58" t="s">
        <v>10997</v>
      </c>
      <c r="K1146" s="73">
        <v>43941.0</v>
      </c>
      <c r="Z1146" s="58" t="s">
        <v>239</v>
      </c>
      <c r="CI1146" s="73">
        <v>43941.0</v>
      </c>
      <c r="CJ1146" s="58" t="s">
        <v>10564</v>
      </c>
      <c r="CK1146" s="58" t="s">
        <v>10998</v>
      </c>
      <c r="CL1146" s="58" t="s">
        <v>10634</v>
      </c>
      <c r="CM1146" s="58" t="s">
        <v>6610</v>
      </c>
      <c r="CO1146" s="58" t="s">
        <v>10999</v>
      </c>
      <c r="CU1146" s="58" t="s">
        <v>239</v>
      </c>
    </row>
    <row r="1147" ht="15.75" customHeight="1">
      <c r="B1147" s="58" t="s">
        <v>4587</v>
      </c>
      <c r="C1147" s="58">
        <v>2020.0</v>
      </c>
      <c r="E1147" s="58" t="s">
        <v>10631</v>
      </c>
      <c r="F1147" s="58" t="s">
        <v>10632</v>
      </c>
      <c r="I1147" s="58" t="s">
        <v>11000</v>
      </c>
      <c r="K1147" s="73">
        <v>44053.0</v>
      </c>
      <c r="Z1147" s="58" t="s">
        <v>239</v>
      </c>
      <c r="CI1147" s="73">
        <v>44053.0</v>
      </c>
      <c r="CJ1147" s="58">
        <v>1.0</v>
      </c>
      <c r="CK1147" s="58">
        <v>11.0</v>
      </c>
      <c r="CL1147" s="58" t="s">
        <v>10634</v>
      </c>
      <c r="CM1147" s="58" t="s">
        <v>10635</v>
      </c>
      <c r="CO1147" s="58" t="s">
        <v>11001</v>
      </c>
      <c r="CU1147" s="58" t="s">
        <v>239</v>
      </c>
    </row>
    <row r="1148" ht="15.75" customHeight="1">
      <c r="B1148" s="58" t="s">
        <v>4587</v>
      </c>
      <c r="C1148" s="58">
        <v>2022.0</v>
      </c>
      <c r="E1148" s="58" t="s">
        <v>10824</v>
      </c>
      <c r="F1148" s="58" t="s">
        <v>5794</v>
      </c>
      <c r="H1148" s="58" t="s">
        <v>5795</v>
      </c>
      <c r="I1148" s="58" t="s">
        <v>11002</v>
      </c>
      <c r="K1148" s="73">
        <v>44798.0</v>
      </c>
      <c r="Z1148" s="58" t="s">
        <v>239</v>
      </c>
      <c r="CI1148" s="73">
        <v>44798.0</v>
      </c>
      <c r="CJ1148" s="58">
        <v>1.0</v>
      </c>
      <c r="CK1148" s="58">
        <v>46.0</v>
      </c>
      <c r="CL1148" s="58" t="s">
        <v>11003</v>
      </c>
      <c r="CM1148" s="58" t="s">
        <v>5799</v>
      </c>
      <c r="CO1148" s="58" t="s">
        <v>11004</v>
      </c>
      <c r="CU1148" s="58" t="s">
        <v>239</v>
      </c>
    </row>
    <row r="1149" ht="15.75" customHeight="1">
      <c r="B1149" s="58" t="s">
        <v>4587</v>
      </c>
      <c r="C1149" s="58">
        <v>2020.0</v>
      </c>
      <c r="E1149" s="58" t="s">
        <v>10631</v>
      </c>
      <c r="F1149" s="58" t="s">
        <v>10632</v>
      </c>
      <c r="I1149" s="58" t="s">
        <v>11005</v>
      </c>
      <c r="K1149" s="73">
        <v>44053.0</v>
      </c>
      <c r="Z1149" s="58" t="s">
        <v>239</v>
      </c>
      <c r="CI1149" s="73">
        <v>44053.0</v>
      </c>
      <c r="CJ1149" s="58">
        <v>1.0</v>
      </c>
      <c r="CK1149" s="58">
        <v>11.0</v>
      </c>
      <c r="CL1149" s="58" t="s">
        <v>10634</v>
      </c>
      <c r="CM1149" s="58" t="s">
        <v>10635</v>
      </c>
      <c r="CO1149" s="58" t="s">
        <v>11006</v>
      </c>
      <c r="CU1149" s="58" t="s">
        <v>239</v>
      </c>
    </row>
    <row r="1150" ht="15.75" customHeight="1">
      <c r="B1150" s="58" t="s">
        <v>4587</v>
      </c>
      <c r="C1150" s="58">
        <v>2020.0</v>
      </c>
      <c r="E1150" s="58" t="s">
        <v>10597</v>
      </c>
      <c r="F1150" s="58" t="s">
        <v>11007</v>
      </c>
      <c r="I1150" s="58" t="s">
        <v>11008</v>
      </c>
      <c r="K1150" s="73">
        <v>44145.0</v>
      </c>
      <c r="Z1150" s="58" t="s">
        <v>239</v>
      </c>
      <c r="CI1150" s="73">
        <v>44145.0</v>
      </c>
      <c r="CJ1150" s="58">
        <v>1.0</v>
      </c>
      <c r="CK1150" s="58">
        <v>12.0</v>
      </c>
      <c r="CL1150" s="58" t="s">
        <v>10602</v>
      </c>
      <c r="CM1150" s="58" t="s">
        <v>11009</v>
      </c>
      <c r="CO1150" s="58" t="s">
        <v>11010</v>
      </c>
      <c r="CU1150" s="58" t="s">
        <v>239</v>
      </c>
    </row>
    <row r="1151" ht="15.75" customHeight="1">
      <c r="B1151" s="58" t="s">
        <v>4587</v>
      </c>
      <c r="C1151" s="58">
        <v>2022.0</v>
      </c>
      <c r="E1151" s="58" t="s">
        <v>10597</v>
      </c>
      <c r="F1151" s="58" t="s">
        <v>11011</v>
      </c>
      <c r="H1151" s="58" t="s">
        <v>9801</v>
      </c>
      <c r="I1151" s="58" t="s">
        <v>11012</v>
      </c>
      <c r="K1151" s="73">
        <v>44845.0</v>
      </c>
      <c r="Z1151" s="58" t="s">
        <v>239</v>
      </c>
      <c r="CI1151" s="73">
        <v>44845.0</v>
      </c>
      <c r="CJ1151" s="58">
        <v>1.0</v>
      </c>
      <c r="CK1151" s="58">
        <v>57.0</v>
      </c>
      <c r="CL1151" s="58" t="s">
        <v>10710</v>
      </c>
      <c r="CM1151" s="58" t="s">
        <v>11013</v>
      </c>
      <c r="CO1151" s="58" t="s">
        <v>11014</v>
      </c>
    </row>
    <row r="1152" ht="15.75" customHeight="1">
      <c r="B1152" s="58" t="s">
        <v>4587</v>
      </c>
      <c r="C1152" s="58">
        <v>2022.0</v>
      </c>
      <c r="E1152" s="58" t="s">
        <v>11015</v>
      </c>
      <c r="F1152" s="58" t="s">
        <v>8671</v>
      </c>
      <c r="H1152" s="58" t="s">
        <v>8672</v>
      </c>
      <c r="I1152" s="58" t="s">
        <v>11016</v>
      </c>
      <c r="K1152" s="73">
        <v>44867.0</v>
      </c>
      <c r="Z1152" s="58" t="s">
        <v>239</v>
      </c>
      <c r="CI1152" s="73">
        <v>44867.0</v>
      </c>
      <c r="CJ1152" s="58">
        <v>1.0</v>
      </c>
      <c r="CK1152" s="58">
        <v>1825.0</v>
      </c>
      <c r="CL1152" s="58" t="s">
        <v>11017</v>
      </c>
      <c r="CM1152" s="58" t="s">
        <v>8676</v>
      </c>
      <c r="CO1152" s="58" t="s">
        <v>11018</v>
      </c>
      <c r="CU1152" s="58" t="s">
        <v>239</v>
      </c>
    </row>
    <row r="1153" ht="15.75" customHeight="1">
      <c r="B1153" s="58" t="s">
        <v>4587</v>
      </c>
      <c r="C1153" s="58">
        <v>2020.0</v>
      </c>
      <c r="E1153" s="58" t="s">
        <v>10618</v>
      </c>
      <c r="F1153" s="58" t="s">
        <v>11019</v>
      </c>
      <c r="I1153" s="58" t="s">
        <v>11020</v>
      </c>
      <c r="K1153" s="73">
        <v>43990.0</v>
      </c>
      <c r="Z1153" s="58" t="s">
        <v>239</v>
      </c>
      <c r="CI1153" s="73">
        <v>43990.0</v>
      </c>
      <c r="CJ1153" s="58">
        <v>5.0</v>
      </c>
      <c r="CK1153" s="58">
        <v>26.0</v>
      </c>
      <c r="CL1153" s="58" t="s">
        <v>10602</v>
      </c>
      <c r="CM1153" s="58" t="s">
        <v>11021</v>
      </c>
      <c r="CO1153" s="58" t="s">
        <v>11022</v>
      </c>
      <c r="CU1153" s="58" t="s">
        <v>239</v>
      </c>
    </row>
    <row r="1154" ht="15.75" customHeight="1">
      <c r="B1154" s="58" t="s">
        <v>4587</v>
      </c>
      <c r="C1154" s="58">
        <v>2020.0</v>
      </c>
      <c r="E1154" s="58" t="s">
        <v>10631</v>
      </c>
      <c r="F1154" s="58" t="s">
        <v>10632</v>
      </c>
      <c r="I1154" s="58" t="s">
        <v>11023</v>
      </c>
      <c r="K1154" s="73">
        <v>44053.0</v>
      </c>
      <c r="Z1154" s="58" t="s">
        <v>239</v>
      </c>
      <c r="CI1154" s="73">
        <v>44053.0</v>
      </c>
      <c r="CJ1154" s="58">
        <v>1.0</v>
      </c>
      <c r="CK1154" s="58">
        <v>11.0</v>
      </c>
      <c r="CL1154" s="58" t="s">
        <v>10634</v>
      </c>
      <c r="CM1154" s="58" t="s">
        <v>10635</v>
      </c>
      <c r="CO1154" s="58" t="s">
        <v>11024</v>
      </c>
      <c r="CU1154" s="58" t="s">
        <v>239</v>
      </c>
    </row>
    <row r="1155" ht="15.75" customHeight="1">
      <c r="B1155" s="58" t="s">
        <v>4587</v>
      </c>
      <c r="C1155" s="58">
        <v>2018.0</v>
      </c>
      <c r="E1155" s="58" t="s">
        <v>10597</v>
      </c>
      <c r="F1155" s="58" t="s">
        <v>6103</v>
      </c>
      <c r="I1155" s="58" t="s">
        <v>11025</v>
      </c>
      <c r="K1155" s="73">
        <v>43619.0</v>
      </c>
      <c r="Z1155" s="58" t="s">
        <v>239</v>
      </c>
      <c r="CI1155" s="73">
        <v>43619.0</v>
      </c>
      <c r="CJ1155" s="58" t="s">
        <v>10627</v>
      </c>
      <c r="CK1155" s="58" t="s">
        <v>11026</v>
      </c>
      <c r="CL1155" s="58" t="s">
        <v>10602</v>
      </c>
      <c r="CM1155" s="58" t="s">
        <v>6107</v>
      </c>
      <c r="CO1155" s="58" t="s">
        <v>11027</v>
      </c>
      <c r="CU1155" s="58" t="s">
        <v>239</v>
      </c>
    </row>
    <row r="1156" ht="15.75" customHeight="1">
      <c r="B1156" s="58" t="s">
        <v>4587</v>
      </c>
      <c r="C1156" s="58">
        <v>2021.0</v>
      </c>
      <c r="E1156" s="58" t="s">
        <v>10597</v>
      </c>
      <c r="F1156" s="58" t="s">
        <v>11028</v>
      </c>
      <c r="I1156" s="58" t="s">
        <v>11029</v>
      </c>
      <c r="K1156" s="73">
        <v>44427.0</v>
      </c>
      <c r="Z1156" s="58" t="s">
        <v>239</v>
      </c>
      <c r="CI1156" s="73">
        <v>44427.0</v>
      </c>
      <c r="CJ1156" s="58">
        <v>5.0</v>
      </c>
      <c r="CK1156" s="58">
        <v>41.0</v>
      </c>
      <c r="CL1156" s="58" t="s">
        <v>10602</v>
      </c>
      <c r="CM1156" s="58" t="s">
        <v>11030</v>
      </c>
      <c r="CO1156" s="58" t="s">
        <v>11031</v>
      </c>
      <c r="CU1156" s="58" t="s">
        <v>239</v>
      </c>
    </row>
    <row r="1157" ht="15.75" customHeight="1">
      <c r="B1157" s="58" t="s">
        <v>4587</v>
      </c>
      <c r="C1157" s="58">
        <v>2019.0</v>
      </c>
      <c r="E1157" s="58" t="s">
        <v>10618</v>
      </c>
      <c r="F1157" s="58" t="s">
        <v>4670</v>
      </c>
      <c r="H1157" s="58" t="s">
        <v>4671</v>
      </c>
      <c r="I1157" s="58" t="s">
        <v>11032</v>
      </c>
      <c r="K1157" s="73">
        <v>43769.0</v>
      </c>
      <c r="Z1157" s="58" t="s">
        <v>239</v>
      </c>
      <c r="CI1157" s="73">
        <v>43769.0</v>
      </c>
      <c r="CJ1157" s="58">
        <v>5.0</v>
      </c>
      <c r="CK1157" s="58">
        <v>30.0</v>
      </c>
      <c r="CL1157" s="58" t="s">
        <v>11033</v>
      </c>
      <c r="CM1157" s="58" t="s">
        <v>4675</v>
      </c>
      <c r="CO1157" s="58" t="s">
        <v>11034</v>
      </c>
      <c r="CU1157" s="58" t="s">
        <v>239</v>
      </c>
    </row>
    <row r="1158" ht="15.75" customHeight="1">
      <c r="B1158" s="58" t="s">
        <v>4587</v>
      </c>
      <c r="C1158" s="58">
        <v>2020.0</v>
      </c>
      <c r="E1158" s="58" t="s">
        <v>10631</v>
      </c>
      <c r="F1158" s="58" t="s">
        <v>10632</v>
      </c>
      <c r="I1158" s="58" t="s">
        <v>11035</v>
      </c>
      <c r="K1158" s="73">
        <v>44053.0</v>
      </c>
      <c r="Z1158" s="58" t="s">
        <v>239</v>
      </c>
      <c r="CI1158" s="73">
        <v>44053.0</v>
      </c>
      <c r="CJ1158" s="58">
        <v>1.0</v>
      </c>
      <c r="CK1158" s="58">
        <v>11.0</v>
      </c>
      <c r="CL1158" s="58" t="s">
        <v>10634</v>
      </c>
      <c r="CM1158" s="58" t="s">
        <v>10635</v>
      </c>
      <c r="CO1158" s="58" t="s">
        <v>11036</v>
      </c>
      <c r="CU1158" s="58" t="s">
        <v>239</v>
      </c>
    </row>
    <row r="1159" ht="15.75" customHeight="1">
      <c r="B1159" s="58" t="s">
        <v>4587</v>
      </c>
      <c r="C1159" s="58">
        <v>2022.0</v>
      </c>
      <c r="E1159" s="58" t="s">
        <v>11037</v>
      </c>
      <c r="F1159" s="58" t="s">
        <v>5945</v>
      </c>
      <c r="H1159" s="58" t="s">
        <v>5946</v>
      </c>
      <c r="I1159" s="58" t="s">
        <v>11038</v>
      </c>
      <c r="K1159" s="73">
        <v>44799.0</v>
      </c>
      <c r="Z1159" s="58" t="s">
        <v>239</v>
      </c>
      <c r="CI1159" s="73">
        <v>44799.0</v>
      </c>
      <c r="CJ1159" s="58" t="s">
        <v>10564</v>
      </c>
      <c r="CK1159" s="58" t="s">
        <v>10985</v>
      </c>
      <c r="CM1159" s="58" t="s">
        <v>5950</v>
      </c>
      <c r="CO1159" s="58" t="s">
        <v>11039</v>
      </c>
      <c r="CU1159" s="58" t="s">
        <v>239</v>
      </c>
    </row>
    <row r="1160" ht="15.75" customHeight="1">
      <c r="B1160" s="58" t="s">
        <v>4587</v>
      </c>
      <c r="C1160" s="58">
        <v>2020.0</v>
      </c>
      <c r="E1160" s="58" t="s">
        <v>10631</v>
      </c>
      <c r="F1160" s="58" t="s">
        <v>10632</v>
      </c>
      <c r="I1160" s="58" t="s">
        <v>11040</v>
      </c>
      <c r="K1160" s="73">
        <v>44053.0</v>
      </c>
      <c r="Z1160" s="58" t="s">
        <v>239</v>
      </c>
      <c r="CI1160" s="73">
        <v>44053.0</v>
      </c>
      <c r="CJ1160" s="58">
        <v>1.0</v>
      </c>
      <c r="CK1160" s="58">
        <v>11.0</v>
      </c>
      <c r="CL1160" s="58" t="s">
        <v>10634</v>
      </c>
      <c r="CM1160" s="58" t="s">
        <v>10635</v>
      </c>
      <c r="CO1160" s="58" t="s">
        <v>11041</v>
      </c>
      <c r="CU1160" s="58" t="s">
        <v>239</v>
      </c>
    </row>
    <row r="1161" ht="15.75" customHeight="1">
      <c r="B1161" s="58" t="s">
        <v>4587</v>
      </c>
      <c r="C1161" s="58">
        <v>2018.0</v>
      </c>
      <c r="E1161" s="58" t="s">
        <v>10618</v>
      </c>
      <c r="F1161" s="58" t="s">
        <v>11042</v>
      </c>
      <c r="H1161" s="58" t="s">
        <v>11043</v>
      </c>
      <c r="I1161" s="58" t="s">
        <v>11044</v>
      </c>
      <c r="K1161" s="73">
        <v>43450.0</v>
      </c>
      <c r="Z1161" s="58" t="s">
        <v>239</v>
      </c>
      <c r="CI1161" s="73">
        <v>43450.0</v>
      </c>
      <c r="CJ1161" s="58">
        <v>1.0</v>
      </c>
      <c r="CK1161" s="58">
        <v>38.0</v>
      </c>
      <c r="CL1161" s="58" t="s">
        <v>10602</v>
      </c>
      <c r="CM1161" s="58" t="s">
        <v>11045</v>
      </c>
      <c r="CO1161" s="58" t="s">
        <v>11046</v>
      </c>
      <c r="CU1161" s="58" t="s">
        <v>239</v>
      </c>
    </row>
    <row r="1162" ht="15.75" customHeight="1">
      <c r="B1162" s="58" t="s">
        <v>4587</v>
      </c>
      <c r="C1162" s="58">
        <v>2023.0</v>
      </c>
      <c r="D1162" s="58" t="s">
        <v>11047</v>
      </c>
      <c r="E1162" s="58" t="s">
        <v>11048</v>
      </c>
      <c r="F1162" s="58" t="s">
        <v>11049</v>
      </c>
      <c r="H1162" s="58" t="s">
        <v>11050</v>
      </c>
      <c r="I1162" s="58" t="s">
        <v>11051</v>
      </c>
      <c r="K1162" s="73">
        <v>45225.0</v>
      </c>
      <c r="Z1162" s="58" t="s">
        <v>239</v>
      </c>
      <c r="CH1162" s="58" t="s">
        <v>11052</v>
      </c>
      <c r="CI1162" s="73">
        <v>45225.0</v>
      </c>
      <c r="CJ1162" s="58">
        <v>338.0</v>
      </c>
      <c r="CK1162" s="58">
        <v>342.0</v>
      </c>
      <c r="CL1162" s="58" t="s">
        <v>11053</v>
      </c>
      <c r="CM1162" s="58" t="s">
        <v>11054</v>
      </c>
      <c r="CO1162" s="58" t="s">
        <v>11055</v>
      </c>
      <c r="CP1162" s="58" t="s">
        <v>11056</v>
      </c>
      <c r="CR1162" s="58">
        <v>17.0</v>
      </c>
      <c r="CT1162" s="58">
        <v>20.0</v>
      </c>
      <c r="CU1162" s="58" t="s">
        <v>239</v>
      </c>
      <c r="DL1162" s="58" t="s">
        <v>11057</v>
      </c>
    </row>
    <row r="1163" ht="15.75" customHeight="1">
      <c r="B1163" s="58" t="s">
        <v>4587</v>
      </c>
      <c r="C1163" s="58">
        <v>2023.0</v>
      </c>
      <c r="D1163" s="58" t="s">
        <v>11058</v>
      </c>
      <c r="E1163" s="58" t="s">
        <v>11059</v>
      </c>
      <c r="F1163" s="58" t="s">
        <v>11060</v>
      </c>
      <c r="I1163" s="58" t="s">
        <v>11061</v>
      </c>
      <c r="K1163" s="73">
        <v>45170.0</v>
      </c>
      <c r="Z1163" s="58" t="s">
        <v>239</v>
      </c>
      <c r="CH1163" s="58" t="s">
        <v>11062</v>
      </c>
      <c r="CI1163" s="73">
        <v>45170.0</v>
      </c>
      <c r="CJ1163" s="58">
        <v>88.0</v>
      </c>
      <c r="CK1163" s="58">
        <v>103.0</v>
      </c>
      <c r="CL1163" s="58" t="s">
        <v>11063</v>
      </c>
      <c r="CM1163" s="58" t="s">
        <v>11064</v>
      </c>
      <c r="CN1163" s="58" t="s">
        <v>11065</v>
      </c>
      <c r="CO1163" s="58" t="s">
        <v>11066</v>
      </c>
      <c r="CP1163" s="58" t="s">
        <v>11067</v>
      </c>
      <c r="CR1163" s="58">
        <v>10.0</v>
      </c>
      <c r="CT1163" s="58">
        <v>71.0</v>
      </c>
      <c r="CU1163" s="58" t="s">
        <v>239</v>
      </c>
      <c r="DL1163" s="58" t="s">
        <v>11068</v>
      </c>
    </row>
    <row r="1164" ht="15.75" customHeight="1">
      <c r="B1164" s="58" t="s">
        <v>4587</v>
      </c>
      <c r="C1164" s="58">
        <v>2023.0</v>
      </c>
      <c r="D1164" s="58" t="s">
        <v>11069</v>
      </c>
      <c r="E1164" s="58" t="s">
        <v>11070</v>
      </c>
      <c r="F1164" s="58" t="s">
        <v>11071</v>
      </c>
      <c r="H1164" s="58" t="s">
        <v>5095</v>
      </c>
      <c r="I1164" s="58" t="s">
        <v>11072</v>
      </c>
      <c r="K1164" s="73">
        <v>45133.0</v>
      </c>
      <c r="Z1164" s="58" t="s">
        <v>239</v>
      </c>
      <c r="CH1164" s="58" t="s">
        <v>11073</v>
      </c>
      <c r="CI1164" s="73">
        <v>45133.0</v>
      </c>
      <c r="CJ1164" s="58">
        <v>478.0</v>
      </c>
      <c r="CK1164" s="58">
        <v>483.0</v>
      </c>
      <c r="CL1164" s="58" t="s">
        <v>11074</v>
      </c>
      <c r="CM1164" s="58" t="s">
        <v>11075</v>
      </c>
      <c r="CN1164" s="58" t="s">
        <v>11076</v>
      </c>
      <c r="CO1164" s="58" t="s">
        <v>11077</v>
      </c>
      <c r="CP1164" s="58" t="s">
        <v>11078</v>
      </c>
      <c r="CR1164" s="58">
        <v>9.0</v>
      </c>
      <c r="CT1164" s="58">
        <v>14.0</v>
      </c>
      <c r="CU1164" s="58" t="s">
        <v>239</v>
      </c>
      <c r="DL1164" s="58" t="s">
        <v>11079</v>
      </c>
    </row>
    <row r="1165" ht="15.75" customHeight="1">
      <c r="B1165" s="58" t="s">
        <v>4587</v>
      </c>
      <c r="C1165" s="58">
        <v>2023.0</v>
      </c>
      <c r="D1165" s="58" t="s">
        <v>11080</v>
      </c>
      <c r="E1165" s="58" t="s">
        <v>11081</v>
      </c>
      <c r="F1165" s="58" t="s">
        <v>11082</v>
      </c>
      <c r="H1165" s="58" t="s">
        <v>11083</v>
      </c>
      <c r="I1165" s="58" t="s">
        <v>11084</v>
      </c>
      <c r="K1165" s="73">
        <v>45131.0</v>
      </c>
      <c r="Z1165" s="58" t="s">
        <v>239</v>
      </c>
      <c r="CH1165" s="58" t="s">
        <v>11085</v>
      </c>
      <c r="CI1165" s="73">
        <v>45131.0</v>
      </c>
      <c r="CJ1165" s="58">
        <v>1.0</v>
      </c>
      <c r="CK1165" s="58">
        <v>6.0</v>
      </c>
      <c r="CL1165" s="58" t="s">
        <v>11086</v>
      </c>
      <c r="CM1165" s="58" t="s">
        <v>11087</v>
      </c>
      <c r="CN1165" s="58" t="s">
        <v>5767</v>
      </c>
      <c r="CO1165" s="58" t="s">
        <v>11088</v>
      </c>
      <c r="CP1165" s="58" t="s">
        <v>11089</v>
      </c>
      <c r="CR1165" s="58">
        <v>8.0</v>
      </c>
      <c r="CT1165" s="58">
        <v>31.0</v>
      </c>
      <c r="DL1165" s="58" t="s">
        <v>11090</v>
      </c>
    </row>
    <row r="1166" ht="15.75" customHeight="1">
      <c r="B1166" s="58" t="s">
        <v>4587</v>
      </c>
      <c r="C1166" s="58">
        <v>2023.0</v>
      </c>
      <c r="D1166" s="58" t="s">
        <v>11091</v>
      </c>
      <c r="E1166" s="58" t="s">
        <v>11092</v>
      </c>
      <c r="F1166" s="58" t="s">
        <v>11071</v>
      </c>
      <c r="H1166" s="58" t="s">
        <v>5095</v>
      </c>
      <c r="I1166" s="58" t="s">
        <v>11093</v>
      </c>
      <c r="K1166" s="73">
        <v>45133.0</v>
      </c>
      <c r="Z1166" s="58" t="s">
        <v>239</v>
      </c>
      <c r="CH1166" s="58" t="s">
        <v>11094</v>
      </c>
      <c r="CI1166" s="73">
        <v>45133.0</v>
      </c>
      <c r="CJ1166" s="58">
        <v>735.0</v>
      </c>
      <c r="CK1166" s="58">
        <v>740.0</v>
      </c>
      <c r="CL1166" s="58" t="s">
        <v>11095</v>
      </c>
      <c r="CM1166" s="58" t="s">
        <v>11075</v>
      </c>
      <c r="CO1166" s="58" t="s">
        <v>11096</v>
      </c>
      <c r="CP1166" s="58" t="s">
        <v>11097</v>
      </c>
      <c r="CR1166" s="58">
        <v>8.0</v>
      </c>
      <c r="CT1166" s="58">
        <v>48.0</v>
      </c>
      <c r="CU1166" s="58" t="s">
        <v>239</v>
      </c>
      <c r="DL1166" s="58" t="s">
        <v>11098</v>
      </c>
    </row>
    <row r="1167" ht="15.75" customHeight="1">
      <c r="B1167" s="58" t="s">
        <v>4587</v>
      </c>
      <c r="C1167" s="58">
        <v>2023.0</v>
      </c>
      <c r="D1167" s="58" t="s">
        <v>11099</v>
      </c>
      <c r="E1167" s="58" t="s">
        <v>11100</v>
      </c>
      <c r="F1167" s="58" t="s">
        <v>11101</v>
      </c>
      <c r="H1167" s="58" t="s">
        <v>4868</v>
      </c>
      <c r="I1167" s="58" t="s">
        <v>11102</v>
      </c>
      <c r="K1167" s="73">
        <v>45170.0</v>
      </c>
      <c r="Z1167" s="58" t="s">
        <v>239</v>
      </c>
      <c r="CH1167" s="58" t="s">
        <v>11103</v>
      </c>
      <c r="CI1167" s="73">
        <v>45170.0</v>
      </c>
      <c r="CJ1167" s="58">
        <v>319.0</v>
      </c>
      <c r="CK1167" s="58">
        <v>329.0</v>
      </c>
      <c r="CL1167" s="58" t="s">
        <v>11104</v>
      </c>
      <c r="CM1167" s="58" t="s">
        <v>11105</v>
      </c>
      <c r="CN1167" s="58" t="s">
        <v>11106</v>
      </c>
      <c r="CO1167" s="58" t="s">
        <v>11107</v>
      </c>
      <c r="CP1167" s="58" t="s">
        <v>11108</v>
      </c>
      <c r="CR1167" s="58">
        <v>7.0</v>
      </c>
      <c r="CT1167" s="58">
        <v>50.0</v>
      </c>
      <c r="CU1167" s="58" t="s">
        <v>239</v>
      </c>
      <c r="DL1167" s="58" t="s">
        <v>11109</v>
      </c>
    </row>
    <row r="1168" ht="15.75" customHeight="1">
      <c r="B1168" s="58" t="s">
        <v>4587</v>
      </c>
      <c r="C1168" s="58">
        <v>2023.0</v>
      </c>
      <c r="D1168" s="58" t="s">
        <v>11110</v>
      </c>
      <c r="E1168" s="58" t="s">
        <v>11111</v>
      </c>
      <c r="F1168" s="58" t="s">
        <v>11101</v>
      </c>
      <c r="H1168" s="58" t="s">
        <v>4868</v>
      </c>
      <c r="I1168" s="58" t="s">
        <v>11112</v>
      </c>
      <c r="K1168" s="73">
        <v>45170.0</v>
      </c>
      <c r="Z1168" s="58" t="s">
        <v>239</v>
      </c>
      <c r="CH1168" s="58" t="s">
        <v>11113</v>
      </c>
      <c r="CI1168" s="73">
        <v>45170.0</v>
      </c>
      <c r="CJ1168" s="58">
        <v>262.0</v>
      </c>
      <c r="CK1168" s="58">
        <v>270.0</v>
      </c>
      <c r="CL1168" s="58" t="s">
        <v>11114</v>
      </c>
      <c r="CM1168" s="58" t="s">
        <v>11105</v>
      </c>
      <c r="CN1168" s="58" t="s">
        <v>11115</v>
      </c>
      <c r="CO1168" s="58" t="s">
        <v>11116</v>
      </c>
      <c r="CP1168" s="58" t="s">
        <v>11117</v>
      </c>
      <c r="CR1168" s="58">
        <v>6.0</v>
      </c>
      <c r="CT1168" s="58">
        <v>29.0</v>
      </c>
      <c r="CU1168" s="58" t="s">
        <v>239</v>
      </c>
      <c r="DL1168" s="58" t="s">
        <v>11118</v>
      </c>
    </row>
    <row r="1169" ht="15.75" customHeight="1">
      <c r="B1169" s="58" t="s">
        <v>4587</v>
      </c>
      <c r="C1169" s="58">
        <v>2023.0</v>
      </c>
      <c r="D1169" s="58" t="s">
        <v>11119</v>
      </c>
      <c r="E1169" s="58" t="s">
        <v>11120</v>
      </c>
      <c r="F1169" s="58" t="s">
        <v>11071</v>
      </c>
      <c r="H1169" s="58" t="s">
        <v>5095</v>
      </c>
      <c r="I1169" s="58" t="s">
        <v>11121</v>
      </c>
      <c r="K1169" s="73">
        <v>45133.0</v>
      </c>
      <c r="Z1169" s="58" t="s">
        <v>239</v>
      </c>
      <c r="CH1169" s="58" t="s">
        <v>11122</v>
      </c>
      <c r="CI1169" s="73">
        <v>45133.0</v>
      </c>
      <c r="CJ1169" s="58">
        <v>496.0</v>
      </c>
      <c r="CK1169" s="58">
        <v>501.0</v>
      </c>
      <c r="CL1169" s="58" t="s">
        <v>11123</v>
      </c>
      <c r="CM1169" s="58" t="s">
        <v>11075</v>
      </c>
      <c r="CO1169" s="58" t="s">
        <v>11124</v>
      </c>
      <c r="CP1169" s="58" t="s">
        <v>11125</v>
      </c>
      <c r="CR1169" s="58">
        <v>6.0</v>
      </c>
      <c r="CT1169" s="58">
        <v>18.0</v>
      </c>
      <c r="CU1169" s="58" t="s">
        <v>239</v>
      </c>
      <c r="DL1169" s="58" t="s">
        <v>11126</v>
      </c>
    </row>
    <row r="1170" ht="15.75" customHeight="1">
      <c r="B1170" s="58" t="s">
        <v>4587</v>
      </c>
      <c r="C1170" s="58">
        <v>2023.0</v>
      </c>
      <c r="D1170" s="58" t="s">
        <v>11127</v>
      </c>
      <c r="E1170" s="58" t="s">
        <v>11128</v>
      </c>
      <c r="F1170" s="58" t="s">
        <v>11129</v>
      </c>
      <c r="I1170" s="58" t="s">
        <v>11130</v>
      </c>
      <c r="K1170" s="73">
        <v>45117.0</v>
      </c>
      <c r="Z1170" s="58" t="s">
        <v>239</v>
      </c>
      <c r="CH1170" s="58" t="s">
        <v>11131</v>
      </c>
      <c r="CI1170" s="73">
        <v>45117.0</v>
      </c>
      <c r="CJ1170" s="58">
        <v>485.0</v>
      </c>
      <c r="CK1170" s="58">
        <v>497.0</v>
      </c>
      <c r="CL1170" s="58" t="s">
        <v>11132</v>
      </c>
      <c r="CM1170" s="58" t="s">
        <v>11133</v>
      </c>
      <c r="CN1170" s="58" t="s">
        <v>11134</v>
      </c>
      <c r="CO1170" s="58" t="s">
        <v>11135</v>
      </c>
      <c r="CP1170" s="58" t="s">
        <v>11136</v>
      </c>
      <c r="CR1170" s="58">
        <v>6.0</v>
      </c>
      <c r="CT1170" s="58">
        <v>37.0</v>
      </c>
      <c r="CU1170" s="58" t="s">
        <v>239</v>
      </c>
      <c r="DL1170" s="58" t="s">
        <v>11137</v>
      </c>
    </row>
    <row r="1171" ht="15.75" customHeight="1">
      <c r="B1171" s="58" t="s">
        <v>4587</v>
      </c>
      <c r="C1171" s="58">
        <v>2023.0</v>
      </c>
      <c r="D1171" s="58" t="s">
        <v>11138</v>
      </c>
      <c r="E1171" s="58" t="s">
        <v>11139</v>
      </c>
      <c r="F1171" s="58" t="s">
        <v>11140</v>
      </c>
      <c r="H1171" s="58" t="s">
        <v>11141</v>
      </c>
      <c r="I1171" s="58" t="s">
        <v>11142</v>
      </c>
      <c r="K1171" s="73">
        <v>45236.0</v>
      </c>
      <c r="Z1171" s="58" t="s">
        <v>239</v>
      </c>
      <c r="CH1171" s="58" t="s">
        <v>11143</v>
      </c>
      <c r="CI1171" s="73">
        <v>45236.0</v>
      </c>
      <c r="CJ1171" s="58">
        <v>59.0</v>
      </c>
      <c r="CK1171" s="58">
        <v>69.0</v>
      </c>
      <c r="CL1171" s="58" t="s">
        <v>11144</v>
      </c>
      <c r="CM1171" s="58" t="s">
        <v>11145</v>
      </c>
      <c r="CO1171" s="58" t="s">
        <v>11146</v>
      </c>
      <c r="CP1171" s="58" t="s">
        <v>11147</v>
      </c>
      <c r="CR1171" s="58">
        <v>6.0</v>
      </c>
      <c r="CT1171" s="58">
        <v>26.0</v>
      </c>
      <c r="CU1171" s="58" t="s">
        <v>239</v>
      </c>
      <c r="DL1171" s="58" t="s">
        <v>11148</v>
      </c>
    </row>
    <row r="1172" ht="15.75" customHeight="1">
      <c r="B1172" s="58" t="s">
        <v>4587</v>
      </c>
      <c r="C1172" s="58">
        <v>2023.0</v>
      </c>
      <c r="D1172" s="58" t="s">
        <v>11149</v>
      </c>
      <c r="E1172" s="58" t="s">
        <v>11150</v>
      </c>
      <c r="F1172" s="58" t="s">
        <v>11151</v>
      </c>
      <c r="H1172" s="58" t="s">
        <v>4880</v>
      </c>
      <c r="I1172" s="58" t="s">
        <v>11152</v>
      </c>
      <c r="K1172" s="73">
        <v>45009.0</v>
      </c>
      <c r="Z1172" s="58" t="s">
        <v>239</v>
      </c>
      <c r="CH1172" s="58" t="s">
        <v>11153</v>
      </c>
      <c r="CI1172" s="73">
        <v>45009.0</v>
      </c>
      <c r="CJ1172" s="58">
        <v>1221.0</v>
      </c>
      <c r="CK1172" s="58">
        <v>1235.0</v>
      </c>
      <c r="CL1172" s="58" t="s">
        <v>11154</v>
      </c>
      <c r="CM1172" s="58" t="s">
        <v>11155</v>
      </c>
      <c r="CO1172" s="58" t="s">
        <v>11156</v>
      </c>
      <c r="CP1172" s="58" t="s">
        <v>11157</v>
      </c>
      <c r="CR1172" s="58">
        <v>6.0</v>
      </c>
      <c r="CT1172" s="58">
        <v>91.0</v>
      </c>
      <c r="CU1172" s="58" t="s">
        <v>239</v>
      </c>
      <c r="DL1172" s="58" t="s">
        <v>11158</v>
      </c>
    </row>
    <row r="1173" ht="15.75" customHeight="1">
      <c r="B1173" s="58" t="s">
        <v>4587</v>
      </c>
      <c r="C1173" s="58">
        <v>2023.0</v>
      </c>
      <c r="D1173" s="58" t="s">
        <v>11159</v>
      </c>
      <c r="E1173" s="58" t="s">
        <v>11160</v>
      </c>
      <c r="F1173" s="58" t="s">
        <v>11161</v>
      </c>
      <c r="I1173" s="58" t="s">
        <v>11162</v>
      </c>
      <c r="K1173" s="73">
        <v>45400.0</v>
      </c>
      <c r="Z1173" s="58" t="s">
        <v>239</v>
      </c>
      <c r="CH1173" s="58" t="s">
        <v>11163</v>
      </c>
      <c r="CI1173" s="73">
        <v>45400.0</v>
      </c>
      <c r="CJ1173" s="58">
        <v>1223.0</v>
      </c>
      <c r="CK1173" s="58">
        <v>1230.0</v>
      </c>
      <c r="CL1173" s="58" t="s">
        <v>11164</v>
      </c>
      <c r="CM1173" s="58" t="s">
        <v>11165</v>
      </c>
      <c r="CO1173" s="58" t="s">
        <v>11166</v>
      </c>
      <c r="CP1173" s="58" t="s">
        <v>11167</v>
      </c>
      <c r="CR1173" s="58">
        <v>6.0</v>
      </c>
      <c r="CT1173" s="58">
        <v>32.0</v>
      </c>
      <c r="CU1173" s="58" t="s">
        <v>239</v>
      </c>
      <c r="DL1173" s="58" t="s">
        <v>11168</v>
      </c>
    </row>
    <row r="1174" ht="15.75" customHeight="1">
      <c r="B1174" s="58" t="s">
        <v>4587</v>
      </c>
      <c r="C1174" s="58">
        <v>2023.0</v>
      </c>
      <c r="D1174" s="58" t="s">
        <v>11169</v>
      </c>
      <c r="E1174" s="58" t="s">
        <v>11170</v>
      </c>
      <c r="F1174" s="58" t="s">
        <v>11171</v>
      </c>
      <c r="H1174" s="58" t="s">
        <v>8304</v>
      </c>
      <c r="I1174" s="58" t="s">
        <v>11172</v>
      </c>
      <c r="K1174" s="73">
        <v>45168.0</v>
      </c>
      <c r="Z1174" s="58" t="s">
        <v>239</v>
      </c>
      <c r="CH1174" s="58" t="s">
        <v>11173</v>
      </c>
      <c r="CI1174" s="73">
        <v>45168.0</v>
      </c>
      <c r="CJ1174" s="58">
        <v>1.0</v>
      </c>
      <c r="CK1174" s="58">
        <v>10.0</v>
      </c>
      <c r="CL1174" s="58" t="s">
        <v>11174</v>
      </c>
      <c r="CM1174" s="58" t="s">
        <v>11175</v>
      </c>
      <c r="CO1174" s="58" t="s">
        <v>11176</v>
      </c>
      <c r="CP1174" s="58" t="s">
        <v>11177</v>
      </c>
      <c r="CR1174" s="58">
        <v>5.0</v>
      </c>
      <c r="CT1174" s="58">
        <v>37.0</v>
      </c>
      <c r="CU1174" s="58" t="s">
        <v>239</v>
      </c>
      <c r="DL1174" s="58" t="s">
        <v>11178</v>
      </c>
    </row>
    <row r="1175" ht="15.75" customHeight="1">
      <c r="B1175" s="58" t="s">
        <v>4587</v>
      </c>
      <c r="C1175" s="58">
        <v>2023.0</v>
      </c>
      <c r="D1175" s="58" t="s">
        <v>11179</v>
      </c>
      <c r="E1175" s="58" t="s">
        <v>11180</v>
      </c>
      <c r="F1175" s="58" t="s">
        <v>11181</v>
      </c>
      <c r="H1175" s="58" t="s">
        <v>11182</v>
      </c>
      <c r="I1175" s="58" t="s">
        <v>11183</v>
      </c>
      <c r="K1175" s="73">
        <v>45110.0</v>
      </c>
      <c r="Z1175" s="58" t="s">
        <v>239</v>
      </c>
      <c r="CH1175" s="58" t="s">
        <v>11184</v>
      </c>
      <c r="CI1175" s="73">
        <v>45110.0</v>
      </c>
      <c r="CJ1175" s="58">
        <v>342.0</v>
      </c>
      <c r="CK1175" s="58">
        <v>347.0</v>
      </c>
      <c r="CL1175" s="58" t="s">
        <v>11185</v>
      </c>
      <c r="CM1175" s="58" t="s">
        <v>11186</v>
      </c>
      <c r="CN1175" s="58" t="s">
        <v>6567</v>
      </c>
      <c r="CO1175" s="58" t="s">
        <v>11187</v>
      </c>
      <c r="CP1175" s="58" t="s">
        <v>11188</v>
      </c>
      <c r="CR1175" s="58">
        <v>5.0</v>
      </c>
      <c r="CT1175" s="58">
        <v>18.0</v>
      </c>
      <c r="CU1175" s="58" t="s">
        <v>239</v>
      </c>
      <c r="DL1175" s="58" t="s">
        <v>11189</v>
      </c>
    </row>
    <row r="1176" ht="15.75" customHeight="1">
      <c r="B1176" s="58" t="s">
        <v>4587</v>
      </c>
      <c r="C1176" s="58">
        <v>2023.0</v>
      </c>
      <c r="D1176" s="58" t="s">
        <v>11190</v>
      </c>
      <c r="E1176" s="58" t="s">
        <v>11191</v>
      </c>
      <c r="F1176" s="58" t="s">
        <v>11192</v>
      </c>
      <c r="H1176" s="58" t="s">
        <v>4972</v>
      </c>
      <c r="I1176" s="58" t="s">
        <v>11193</v>
      </c>
      <c r="K1176" s="73">
        <v>45222.0</v>
      </c>
      <c r="Z1176" s="58" t="s">
        <v>239</v>
      </c>
      <c r="CH1176" s="58" t="s">
        <v>11194</v>
      </c>
      <c r="CI1176" s="73">
        <v>45222.0</v>
      </c>
      <c r="CJ1176" s="58">
        <v>145.0</v>
      </c>
      <c r="CK1176" s="58">
        <v>150.0</v>
      </c>
      <c r="CL1176" s="58" t="s">
        <v>11195</v>
      </c>
      <c r="CM1176" s="58" t="s">
        <v>11196</v>
      </c>
      <c r="CO1176" s="58" t="s">
        <v>11197</v>
      </c>
      <c r="CP1176" s="58" t="s">
        <v>11198</v>
      </c>
      <c r="CR1176" s="58">
        <v>5.0</v>
      </c>
      <c r="CT1176" s="58">
        <v>28.0</v>
      </c>
      <c r="CU1176" s="58" t="s">
        <v>239</v>
      </c>
      <c r="DL1176" s="58" t="s">
        <v>11199</v>
      </c>
    </row>
    <row r="1177" ht="15.75" customHeight="1">
      <c r="B1177" s="58" t="s">
        <v>4587</v>
      </c>
      <c r="C1177" s="58">
        <v>2023.0</v>
      </c>
      <c r="D1177" s="58" t="s">
        <v>11200</v>
      </c>
      <c r="E1177" s="58" t="s">
        <v>11201</v>
      </c>
      <c r="F1177" s="58" t="s">
        <v>11202</v>
      </c>
      <c r="I1177" s="58" t="s">
        <v>11203</v>
      </c>
      <c r="K1177" s="73">
        <v>45154.0</v>
      </c>
      <c r="Z1177" s="58" t="s">
        <v>239</v>
      </c>
      <c r="CH1177" s="58" t="s">
        <v>11204</v>
      </c>
      <c r="CI1177" s="73">
        <v>45154.0</v>
      </c>
      <c r="CJ1177" s="58">
        <v>63.0</v>
      </c>
      <c r="CK1177" s="58">
        <v>67.0</v>
      </c>
      <c r="CL1177" s="58" t="s">
        <v>11205</v>
      </c>
      <c r="CM1177" s="58" t="s">
        <v>11206</v>
      </c>
      <c r="CO1177" s="58" t="s">
        <v>11207</v>
      </c>
      <c r="CP1177" s="58" t="s">
        <v>11208</v>
      </c>
      <c r="CR1177" s="58">
        <v>5.0</v>
      </c>
      <c r="CT1177" s="58">
        <v>33.0</v>
      </c>
      <c r="CU1177" s="58" t="s">
        <v>239</v>
      </c>
      <c r="DL1177" s="58" t="s">
        <v>11209</v>
      </c>
    </row>
    <row r="1178" ht="15.75" customHeight="1">
      <c r="B1178" s="58" t="s">
        <v>4587</v>
      </c>
      <c r="C1178" s="58">
        <v>2023.0</v>
      </c>
      <c r="D1178" s="58" t="s">
        <v>11210</v>
      </c>
      <c r="E1178" s="58" t="s">
        <v>11211</v>
      </c>
      <c r="F1178" s="58" t="s">
        <v>11212</v>
      </c>
      <c r="H1178" s="58" t="s">
        <v>6746</v>
      </c>
      <c r="I1178" s="58" t="s">
        <v>11213</v>
      </c>
      <c r="K1178" s="73">
        <v>45007.0</v>
      </c>
      <c r="Z1178" s="58" t="s">
        <v>239</v>
      </c>
      <c r="CH1178" s="58" t="s">
        <v>11214</v>
      </c>
      <c r="CI1178" s="73">
        <v>45007.0</v>
      </c>
      <c r="CJ1178" s="58">
        <v>42.0</v>
      </c>
      <c r="CK1178" s="58">
        <v>49.0</v>
      </c>
      <c r="CL1178" s="58" t="s">
        <v>11215</v>
      </c>
      <c r="CM1178" s="58" t="s">
        <v>11216</v>
      </c>
      <c r="CO1178" s="58" t="s">
        <v>11217</v>
      </c>
      <c r="CP1178" s="58" t="s">
        <v>11218</v>
      </c>
      <c r="CR1178" s="58">
        <v>5.0</v>
      </c>
      <c r="CT1178" s="58">
        <v>34.0</v>
      </c>
      <c r="CU1178" s="58" t="s">
        <v>239</v>
      </c>
      <c r="DL1178" s="58" t="s">
        <v>11219</v>
      </c>
    </row>
    <row r="1179" ht="15.75" customHeight="1">
      <c r="B1179" s="58" t="s">
        <v>4587</v>
      </c>
      <c r="C1179" s="58">
        <v>2023.0</v>
      </c>
      <c r="D1179" s="58" t="s">
        <v>11220</v>
      </c>
      <c r="E1179" s="58" t="s">
        <v>11221</v>
      </c>
      <c r="F1179" s="58" t="s">
        <v>11222</v>
      </c>
      <c r="I1179" s="58" t="s">
        <v>11223</v>
      </c>
      <c r="K1179" s="73">
        <v>45110.0</v>
      </c>
      <c r="Z1179" s="58" t="s">
        <v>239</v>
      </c>
      <c r="CH1179" s="58" t="s">
        <v>11224</v>
      </c>
      <c r="CI1179" s="73">
        <v>45110.0</v>
      </c>
      <c r="CJ1179" s="58">
        <v>1.0</v>
      </c>
      <c r="CK1179" s="58">
        <v>5.0</v>
      </c>
      <c r="CL1179" s="58" t="s">
        <v>11225</v>
      </c>
      <c r="CM1179" s="58" t="s">
        <v>11226</v>
      </c>
      <c r="CO1179" s="58" t="s">
        <v>11227</v>
      </c>
      <c r="CP1179" s="58" t="s">
        <v>11228</v>
      </c>
      <c r="CR1179" s="58">
        <v>5.0</v>
      </c>
      <c r="CT1179" s="58">
        <v>27.0</v>
      </c>
      <c r="CU1179" s="58" t="s">
        <v>239</v>
      </c>
      <c r="DL1179" s="58" t="s">
        <v>11229</v>
      </c>
    </row>
    <row r="1180" ht="15.75" customHeight="1">
      <c r="B1180" s="58" t="s">
        <v>4587</v>
      </c>
      <c r="C1180" s="58">
        <v>2023.0</v>
      </c>
      <c r="D1180" s="58" t="s">
        <v>11230</v>
      </c>
      <c r="E1180" s="58" t="s">
        <v>11231</v>
      </c>
      <c r="F1180" s="58" t="s">
        <v>11232</v>
      </c>
      <c r="H1180" s="58" t="s">
        <v>6872</v>
      </c>
      <c r="I1180" s="58" t="s">
        <v>11233</v>
      </c>
      <c r="K1180" s="73">
        <v>45120.0</v>
      </c>
      <c r="Z1180" s="58" t="s">
        <v>239</v>
      </c>
      <c r="CH1180" s="58" t="s">
        <v>11234</v>
      </c>
      <c r="CI1180" s="73">
        <v>45120.0</v>
      </c>
      <c r="CJ1180" s="58">
        <v>161.0</v>
      </c>
      <c r="CK1180" s="58">
        <v>169.0</v>
      </c>
      <c r="CL1180" s="58" t="s">
        <v>11235</v>
      </c>
      <c r="CM1180" s="58" t="s">
        <v>11236</v>
      </c>
      <c r="CN1180" s="58" t="s">
        <v>11237</v>
      </c>
      <c r="CO1180" s="58" t="s">
        <v>11238</v>
      </c>
      <c r="CP1180" s="58" t="s">
        <v>11239</v>
      </c>
      <c r="CR1180" s="58">
        <v>5.0</v>
      </c>
      <c r="CT1180" s="58">
        <v>16.0</v>
      </c>
      <c r="CU1180" s="58" t="s">
        <v>239</v>
      </c>
      <c r="DL1180" s="58" t="s">
        <v>11240</v>
      </c>
    </row>
    <row r="1181" ht="15.75" customHeight="1">
      <c r="B1181" s="58" t="s">
        <v>4587</v>
      </c>
      <c r="C1181" s="58">
        <v>2023.0</v>
      </c>
      <c r="D1181" s="58" t="s">
        <v>11241</v>
      </c>
      <c r="E1181" s="58" t="s">
        <v>11242</v>
      </c>
      <c r="F1181" s="58" t="s">
        <v>11101</v>
      </c>
      <c r="H1181" s="58" t="s">
        <v>4868</v>
      </c>
      <c r="I1181" s="58" t="s">
        <v>11243</v>
      </c>
      <c r="K1181" s="73">
        <v>45170.0</v>
      </c>
      <c r="Z1181" s="58" t="s">
        <v>239</v>
      </c>
      <c r="CH1181" s="58" t="s">
        <v>11244</v>
      </c>
      <c r="CI1181" s="73">
        <v>45170.0</v>
      </c>
      <c r="CJ1181" s="58">
        <v>12.0</v>
      </c>
      <c r="CK1181" s="58">
        <v>22.0</v>
      </c>
      <c r="CL1181" s="58" t="s">
        <v>11245</v>
      </c>
      <c r="CM1181" s="58" t="s">
        <v>11105</v>
      </c>
      <c r="CN1181" s="58" t="s">
        <v>11246</v>
      </c>
      <c r="CO1181" s="58" t="s">
        <v>11247</v>
      </c>
      <c r="CP1181" s="58" t="s">
        <v>11248</v>
      </c>
      <c r="CR1181" s="58">
        <v>5.0</v>
      </c>
      <c r="CT1181" s="58">
        <v>32.0</v>
      </c>
      <c r="CU1181" s="58" t="s">
        <v>239</v>
      </c>
      <c r="DL1181" s="58" t="s">
        <v>11249</v>
      </c>
    </row>
    <row r="1182" ht="15.75" customHeight="1">
      <c r="B1182" s="58" t="s">
        <v>4587</v>
      </c>
      <c r="C1182" s="58">
        <v>2023.0</v>
      </c>
      <c r="D1182" s="58" t="s">
        <v>11250</v>
      </c>
      <c r="E1182" s="58" t="s">
        <v>11251</v>
      </c>
      <c r="F1182" s="58" t="s">
        <v>11252</v>
      </c>
      <c r="H1182" s="58" t="s">
        <v>4901</v>
      </c>
      <c r="I1182" s="58" t="s">
        <v>11253</v>
      </c>
      <c r="K1182" s="73">
        <v>45194.0</v>
      </c>
      <c r="Z1182" s="58" t="s">
        <v>239</v>
      </c>
      <c r="CH1182" s="58" t="s">
        <v>11254</v>
      </c>
      <c r="CI1182" s="73">
        <v>45194.0</v>
      </c>
      <c r="CJ1182" s="58">
        <v>239.0</v>
      </c>
      <c r="CK1182" s="58">
        <v>249.0</v>
      </c>
      <c r="CL1182" s="58" t="s">
        <v>11255</v>
      </c>
      <c r="CM1182" s="58" t="s">
        <v>11256</v>
      </c>
      <c r="CO1182" s="58" t="s">
        <v>11257</v>
      </c>
      <c r="CP1182" s="58" t="s">
        <v>11258</v>
      </c>
      <c r="CR1182" s="58">
        <v>4.0</v>
      </c>
      <c r="CT1182" s="58">
        <v>60.0</v>
      </c>
      <c r="CU1182" s="58" t="s">
        <v>239</v>
      </c>
      <c r="DL1182" s="58" t="s">
        <v>11259</v>
      </c>
    </row>
    <row r="1183" ht="15.75" customHeight="1">
      <c r="B1183" s="58" t="s">
        <v>4587</v>
      </c>
      <c r="C1183" s="58">
        <v>2023.0</v>
      </c>
      <c r="D1183" s="58" t="s">
        <v>11260</v>
      </c>
      <c r="E1183" s="58" t="s">
        <v>11261</v>
      </c>
      <c r="F1183" s="58" t="s">
        <v>11262</v>
      </c>
      <c r="H1183" s="58" t="s">
        <v>11263</v>
      </c>
      <c r="I1183" s="58" t="s">
        <v>11264</v>
      </c>
      <c r="K1183" s="73">
        <v>45196.0</v>
      </c>
      <c r="Z1183" s="58" t="s">
        <v>239</v>
      </c>
      <c r="CH1183" s="58" t="s">
        <v>11265</v>
      </c>
      <c r="CI1183" s="73">
        <v>45196.0</v>
      </c>
      <c r="CJ1183" s="58">
        <v>429.0</v>
      </c>
      <c r="CK1183" s="58">
        <v>436.0</v>
      </c>
      <c r="CL1183" s="58" t="s">
        <v>11266</v>
      </c>
      <c r="CM1183" s="58" t="s">
        <v>11267</v>
      </c>
      <c r="CN1183" s="58" t="s">
        <v>11268</v>
      </c>
      <c r="CO1183" s="58" t="s">
        <v>11269</v>
      </c>
      <c r="CP1183" s="58" t="s">
        <v>11270</v>
      </c>
      <c r="CR1183" s="58">
        <v>4.0</v>
      </c>
      <c r="CT1183" s="58">
        <v>21.0</v>
      </c>
      <c r="CU1183" s="58" t="s">
        <v>239</v>
      </c>
      <c r="DL1183" s="58" t="s">
        <v>11271</v>
      </c>
    </row>
    <row r="1184" ht="15.75" customHeight="1">
      <c r="B1184" s="58" t="s">
        <v>4587</v>
      </c>
      <c r="C1184" s="58">
        <v>2023.0</v>
      </c>
      <c r="D1184" s="58" t="s">
        <v>11272</v>
      </c>
      <c r="E1184" s="58" t="s">
        <v>11273</v>
      </c>
      <c r="F1184" s="58" t="s">
        <v>11274</v>
      </c>
      <c r="H1184" s="58" t="s">
        <v>4671</v>
      </c>
      <c r="I1184" s="58" t="s">
        <v>11275</v>
      </c>
      <c r="K1184" s="73">
        <v>45210.0</v>
      </c>
      <c r="Z1184" s="58" t="s">
        <v>239</v>
      </c>
      <c r="CH1184" s="58" t="s">
        <v>11276</v>
      </c>
      <c r="CI1184" s="73">
        <v>45210.0</v>
      </c>
      <c r="CJ1184" s="58">
        <v>248.0</v>
      </c>
      <c r="CK1184" s="58">
        <v>258.0</v>
      </c>
      <c r="CL1184" s="58" t="s">
        <v>11277</v>
      </c>
      <c r="CM1184" s="58" t="s">
        <v>11278</v>
      </c>
      <c r="CO1184" s="58" t="s">
        <v>11279</v>
      </c>
      <c r="CP1184" s="58" t="s">
        <v>11280</v>
      </c>
      <c r="CR1184" s="58">
        <v>4.0</v>
      </c>
      <c r="CT1184" s="58">
        <v>39.0</v>
      </c>
      <c r="CU1184" s="58" t="s">
        <v>239</v>
      </c>
      <c r="DL1184" s="58" t="s">
        <v>11281</v>
      </c>
    </row>
    <row r="1185" ht="15.75" customHeight="1">
      <c r="B1185" s="58" t="s">
        <v>4587</v>
      </c>
      <c r="C1185" s="58">
        <v>2023.0</v>
      </c>
      <c r="D1185" s="58" t="s">
        <v>11282</v>
      </c>
      <c r="E1185" s="58" t="s">
        <v>11283</v>
      </c>
      <c r="F1185" s="58" t="s">
        <v>11284</v>
      </c>
      <c r="I1185" s="58" t="s">
        <v>11285</v>
      </c>
      <c r="K1185" s="73">
        <v>44973.0</v>
      </c>
      <c r="Z1185" s="58" t="s">
        <v>239</v>
      </c>
      <c r="CH1185" s="58" t="s">
        <v>11286</v>
      </c>
      <c r="CI1185" s="73">
        <v>44973.0</v>
      </c>
      <c r="CJ1185" s="58">
        <v>1.0</v>
      </c>
      <c r="CK1185" s="58">
        <v>7.0</v>
      </c>
      <c r="CL1185" s="58" t="s">
        <v>11287</v>
      </c>
      <c r="CM1185" s="58" t="s">
        <v>11288</v>
      </c>
      <c r="CN1185" s="58" t="s">
        <v>11289</v>
      </c>
      <c r="CO1185" s="58" t="s">
        <v>11290</v>
      </c>
      <c r="CR1185" s="58">
        <v>4.0</v>
      </c>
      <c r="CT1185" s="58">
        <v>22.0</v>
      </c>
      <c r="CU1185" s="58" t="s">
        <v>239</v>
      </c>
      <c r="DL1185" s="58" t="s">
        <v>11291</v>
      </c>
    </row>
    <row r="1186" ht="15.75" customHeight="1">
      <c r="B1186" s="58" t="s">
        <v>4587</v>
      </c>
      <c r="C1186" s="58">
        <v>2023.0</v>
      </c>
      <c r="D1186" s="58" t="s">
        <v>11292</v>
      </c>
      <c r="E1186" s="58" t="s">
        <v>11293</v>
      </c>
      <c r="F1186" s="58" t="s">
        <v>11294</v>
      </c>
      <c r="H1186" s="58" t="s">
        <v>6963</v>
      </c>
      <c r="I1186" s="58" t="s">
        <v>11295</v>
      </c>
      <c r="K1186" s="73">
        <v>45378.0</v>
      </c>
      <c r="Z1186" s="58" t="s">
        <v>239</v>
      </c>
      <c r="CH1186" s="58" t="s">
        <v>11296</v>
      </c>
      <c r="CI1186" s="73">
        <v>45378.0</v>
      </c>
      <c r="CJ1186" s="58">
        <v>61.0</v>
      </c>
      <c r="CK1186" s="58">
        <v>67.0</v>
      </c>
      <c r="CL1186" s="58" t="s">
        <v>11297</v>
      </c>
      <c r="CM1186" s="58" t="s">
        <v>11298</v>
      </c>
      <c r="CN1186" s="58" t="s">
        <v>11299</v>
      </c>
      <c r="CO1186" s="58" t="s">
        <v>11300</v>
      </c>
      <c r="CP1186" s="58" t="s">
        <v>11078</v>
      </c>
      <c r="CR1186" s="58">
        <v>4.0</v>
      </c>
      <c r="CT1186" s="58">
        <v>16.0</v>
      </c>
      <c r="CU1186" s="58" t="s">
        <v>239</v>
      </c>
      <c r="DL1186" s="58" t="s">
        <v>11301</v>
      </c>
    </row>
    <row r="1187" ht="15.75" customHeight="1">
      <c r="B1187" s="58" t="s">
        <v>4587</v>
      </c>
      <c r="C1187" s="58">
        <v>2023.0</v>
      </c>
      <c r="D1187" s="58" t="s">
        <v>11302</v>
      </c>
      <c r="E1187" s="58" t="s">
        <v>11303</v>
      </c>
      <c r="F1187" s="58" t="s">
        <v>11304</v>
      </c>
      <c r="H1187" s="58" t="s">
        <v>10643</v>
      </c>
      <c r="I1187" s="58" t="s">
        <v>11305</v>
      </c>
      <c r="K1187" s="73">
        <v>45334.0</v>
      </c>
      <c r="Z1187" s="58" t="s">
        <v>239</v>
      </c>
      <c r="CH1187" s="58" t="s">
        <v>11306</v>
      </c>
      <c r="CI1187" s="73">
        <v>45334.0</v>
      </c>
      <c r="CJ1187" s="58">
        <v>688.0</v>
      </c>
      <c r="CK1187" s="58">
        <v>695.0</v>
      </c>
      <c r="CL1187" s="58" t="s">
        <v>11307</v>
      </c>
      <c r="CM1187" s="58" t="s">
        <v>11308</v>
      </c>
      <c r="CO1187" s="58" t="s">
        <v>11309</v>
      </c>
      <c r="CP1187" s="58" t="s">
        <v>11310</v>
      </c>
      <c r="CR1187" s="58">
        <v>4.0</v>
      </c>
      <c r="CT1187" s="58">
        <v>75.0</v>
      </c>
      <c r="CU1187" s="58" t="s">
        <v>239</v>
      </c>
      <c r="DL1187" s="58" t="s">
        <v>11311</v>
      </c>
    </row>
    <row r="1188" ht="15.75" customHeight="1">
      <c r="B1188" s="58" t="s">
        <v>4587</v>
      </c>
      <c r="C1188" s="58">
        <v>2023.0</v>
      </c>
      <c r="D1188" s="58" t="s">
        <v>11312</v>
      </c>
      <c r="E1188" s="58" t="s">
        <v>11313</v>
      </c>
      <c r="F1188" s="58" t="s">
        <v>11314</v>
      </c>
      <c r="H1188" s="58" t="s">
        <v>5643</v>
      </c>
      <c r="I1188" s="58" t="s">
        <v>11315</v>
      </c>
      <c r="K1188" s="73">
        <v>45231.0</v>
      </c>
      <c r="Z1188" s="58" t="s">
        <v>239</v>
      </c>
      <c r="CH1188" s="58" t="s">
        <v>11316</v>
      </c>
      <c r="CI1188" s="73">
        <v>45231.0</v>
      </c>
      <c r="CJ1188" s="58">
        <v>658.0</v>
      </c>
      <c r="CK1188" s="58">
        <v>663.0</v>
      </c>
      <c r="CL1188" s="58" t="s">
        <v>11317</v>
      </c>
      <c r="CM1188" s="58" t="s">
        <v>11318</v>
      </c>
      <c r="CN1188" s="58" t="s">
        <v>11319</v>
      </c>
      <c r="CO1188" s="58" t="s">
        <v>11320</v>
      </c>
      <c r="CP1188" s="58" t="s">
        <v>11321</v>
      </c>
      <c r="CR1188" s="58">
        <v>4.0</v>
      </c>
      <c r="CT1188" s="58">
        <v>16.0</v>
      </c>
      <c r="CU1188" s="58" t="s">
        <v>239</v>
      </c>
      <c r="DL1188" s="58" t="s">
        <v>11322</v>
      </c>
    </row>
    <row r="1189" ht="15.75" customHeight="1">
      <c r="B1189" s="58" t="s">
        <v>4587</v>
      </c>
      <c r="C1189" s="58">
        <v>2023.0</v>
      </c>
      <c r="D1189" s="58" t="s">
        <v>11323</v>
      </c>
      <c r="E1189" s="58" t="s">
        <v>11324</v>
      </c>
      <c r="F1189" s="58" t="s">
        <v>11101</v>
      </c>
      <c r="H1189" s="58" t="s">
        <v>4868</v>
      </c>
      <c r="I1189" s="58" t="s">
        <v>11325</v>
      </c>
      <c r="K1189" s="73">
        <v>45170.0</v>
      </c>
      <c r="Z1189" s="58" t="s">
        <v>239</v>
      </c>
      <c r="CH1189" s="58" t="s">
        <v>11326</v>
      </c>
      <c r="CI1189" s="73">
        <v>45170.0</v>
      </c>
      <c r="CJ1189" s="58">
        <v>301.0</v>
      </c>
      <c r="CK1189" s="58">
        <v>308.0</v>
      </c>
      <c r="CL1189" s="58" t="s">
        <v>11327</v>
      </c>
      <c r="CM1189" s="58" t="s">
        <v>11105</v>
      </c>
      <c r="CN1189" s="58" t="s">
        <v>11328</v>
      </c>
      <c r="CO1189" s="58" t="s">
        <v>11329</v>
      </c>
      <c r="CP1189" s="58" t="s">
        <v>11330</v>
      </c>
      <c r="CR1189" s="58">
        <v>4.0</v>
      </c>
      <c r="CT1189" s="58">
        <v>50.0</v>
      </c>
      <c r="CU1189" s="58" t="s">
        <v>239</v>
      </c>
      <c r="DL1189" s="58" t="s">
        <v>11331</v>
      </c>
    </row>
    <row r="1190" ht="15.75" customHeight="1">
      <c r="B1190" s="58" t="s">
        <v>4587</v>
      </c>
      <c r="C1190" s="58">
        <v>2023.0</v>
      </c>
      <c r="D1190" s="58" t="s">
        <v>11332</v>
      </c>
      <c r="E1190" s="58" t="s">
        <v>11333</v>
      </c>
      <c r="F1190" s="58" t="s">
        <v>11334</v>
      </c>
      <c r="H1190" s="58" t="s">
        <v>9205</v>
      </c>
      <c r="I1190" s="58" t="s">
        <v>11335</v>
      </c>
      <c r="K1190" s="73">
        <v>45012.0</v>
      </c>
      <c r="Z1190" s="58" t="s">
        <v>239</v>
      </c>
      <c r="CH1190" s="58" t="s">
        <v>11336</v>
      </c>
      <c r="CI1190" s="73">
        <v>45012.0</v>
      </c>
      <c r="CJ1190" s="58">
        <v>641.0</v>
      </c>
      <c r="CK1190" s="58">
        <v>648.0</v>
      </c>
      <c r="CL1190" s="58" t="s">
        <v>11337</v>
      </c>
      <c r="CM1190" s="58" t="s">
        <v>11338</v>
      </c>
      <c r="CO1190" s="58" t="s">
        <v>11339</v>
      </c>
      <c r="CP1190" s="58" t="s">
        <v>11340</v>
      </c>
      <c r="CR1190" s="58">
        <v>4.0</v>
      </c>
      <c r="CT1190" s="58">
        <v>25.0</v>
      </c>
      <c r="CU1190" s="58" t="s">
        <v>239</v>
      </c>
      <c r="DL1190" s="58" t="s">
        <v>11341</v>
      </c>
    </row>
    <row r="1191" ht="15.75" customHeight="1">
      <c r="B1191" s="58" t="s">
        <v>4587</v>
      </c>
      <c r="C1191" s="58">
        <v>2023.0</v>
      </c>
      <c r="D1191" s="58" t="s">
        <v>11342</v>
      </c>
      <c r="E1191" s="58" t="s">
        <v>11343</v>
      </c>
      <c r="F1191" s="58" t="s">
        <v>11344</v>
      </c>
      <c r="H1191" s="58" t="s">
        <v>11345</v>
      </c>
      <c r="I1191" s="58" t="s">
        <v>11346</v>
      </c>
      <c r="K1191" s="73">
        <v>45170.0</v>
      </c>
      <c r="Z1191" s="58" t="s">
        <v>239</v>
      </c>
      <c r="CH1191" s="58" t="s">
        <v>11347</v>
      </c>
      <c r="CI1191" s="73">
        <v>45170.0</v>
      </c>
      <c r="CJ1191" s="58">
        <v>1.0</v>
      </c>
      <c r="CK1191" s="58">
        <v>6.0</v>
      </c>
      <c r="CL1191" s="58" t="s">
        <v>11348</v>
      </c>
      <c r="CM1191" s="58" t="s">
        <v>11349</v>
      </c>
      <c r="CN1191" s="58" t="s">
        <v>6567</v>
      </c>
      <c r="CO1191" s="58" t="s">
        <v>11350</v>
      </c>
      <c r="CP1191" s="58" t="s">
        <v>11351</v>
      </c>
      <c r="CR1191" s="58">
        <v>3.0</v>
      </c>
      <c r="CT1191" s="58">
        <v>10.0</v>
      </c>
      <c r="CU1191" s="58" t="s">
        <v>239</v>
      </c>
      <c r="DL1191" s="58" t="s">
        <v>11352</v>
      </c>
    </row>
    <row r="1192" ht="15.75" customHeight="1">
      <c r="B1192" s="58" t="s">
        <v>4587</v>
      </c>
      <c r="C1192" s="58">
        <v>2024.0</v>
      </c>
      <c r="D1192" s="58" t="s">
        <v>11353</v>
      </c>
      <c r="E1192" s="58" t="s">
        <v>11354</v>
      </c>
      <c r="F1192" s="58" t="s">
        <v>11355</v>
      </c>
      <c r="H1192" s="58" t="s">
        <v>11356</v>
      </c>
      <c r="I1192" s="58" t="s">
        <v>11357</v>
      </c>
      <c r="K1192" s="73">
        <v>45371.0</v>
      </c>
      <c r="Z1192" s="58" t="s">
        <v>239</v>
      </c>
      <c r="CH1192" s="58" t="s">
        <v>11358</v>
      </c>
      <c r="CI1192" s="73">
        <v>45371.0</v>
      </c>
      <c r="CJ1192" s="58">
        <v>371.0</v>
      </c>
      <c r="CK1192" s="58">
        <v>375.0</v>
      </c>
      <c r="CL1192" s="58" t="s">
        <v>11359</v>
      </c>
      <c r="CM1192" s="58" t="s">
        <v>11360</v>
      </c>
      <c r="CO1192" s="58" t="s">
        <v>11361</v>
      </c>
      <c r="CP1192" s="58" t="s">
        <v>11362</v>
      </c>
      <c r="CR1192" s="58">
        <v>3.0</v>
      </c>
      <c r="CT1192" s="58">
        <v>22.0</v>
      </c>
      <c r="CU1192" s="58" t="s">
        <v>239</v>
      </c>
      <c r="DL1192" s="58" t="s">
        <v>11363</v>
      </c>
    </row>
    <row r="1193" ht="15.75" customHeight="1">
      <c r="B1193" s="58" t="s">
        <v>4587</v>
      </c>
      <c r="C1193" s="58">
        <v>2023.0</v>
      </c>
      <c r="D1193" s="58" t="s">
        <v>11364</v>
      </c>
      <c r="E1193" s="58" t="s">
        <v>11365</v>
      </c>
      <c r="F1193" s="58" t="s">
        <v>11192</v>
      </c>
      <c r="H1193" s="58" t="s">
        <v>4972</v>
      </c>
      <c r="I1193" s="58" t="s">
        <v>11366</v>
      </c>
      <c r="K1193" s="73">
        <v>45222.0</v>
      </c>
      <c r="Z1193" s="58" t="s">
        <v>239</v>
      </c>
      <c r="CH1193" s="58" t="s">
        <v>11367</v>
      </c>
      <c r="CI1193" s="73">
        <v>45222.0</v>
      </c>
      <c r="CJ1193" s="58">
        <v>549.0</v>
      </c>
      <c r="CK1193" s="58">
        <v>555.0</v>
      </c>
      <c r="CL1193" s="58" t="s">
        <v>11368</v>
      </c>
      <c r="CM1193" s="58" t="s">
        <v>11196</v>
      </c>
      <c r="CO1193" s="58" t="s">
        <v>11369</v>
      </c>
      <c r="CR1193" s="58">
        <v>3.0</v>
      </c>
      <c r="CT1193" s="58">
        <v>27.0</v>
      </c>
      <c r="CU1193" s="58" t="s">
        <v>239</v>
      </c>
      <c r="DL1193" s="58" t="s">
        <v>11370</v>
      </c>
    </row>
    <row r="1194" ht="15.75" customHeight="1">
      <c r="B1194" s="58" t="s">
        <v>4587</v>
      </c>
      <c r="C1194" s="58">
        <v>2023.0</v>
      </c>
      <c r="D1194" s="58" t="s">
        <v>11371</v>
      </c>
      <c r="E1194" s="58" t="s">
        <v>11372</v>
      </c>
      <c r="F1194" s="58" t="s">
        <v>11101</v>
      </c>
      <c r="H1194" s="58" t="s">
        <v>4868</v>
      </c>
      <c r="I1194" s="58" t="s">
        <v>11373</v>
      </c>
      <c r="K1194" s="73">
        <v>45170.0</v>
      </c>
      <c r="Z1194" s="58" t="s">
        <v>239</v>
      </c>
      <c r="CH1194" s="58" t="s">
        <v>11374</v>
      </c>
      <c r="CI1194" s="73">
        <v>45170.0</v>
      </c>
      <c r="CJ1194" s="58">
        <v>381.0</v>
      </c>
      <c r="CK1194" s="58">
        <v>392.0</v>
      </c>
      <c r="CL1194" s="58" t="s">
        <v>11375</v>
      </c>
      <c r="CM1194" s="58" t="s">
        <v>11105</v>
      </c>
      <c r="CO1194" s="58" t="s">
        <v>11376</v>
      </c>
      <c r="CP1194" s="58" t="s">
        <v>11377</v>
      </c>
      <c r="CR1194" s="58">
        <v>3.0</v>
      </c>
      <c r="CT1194" s="58">
        <v>44.0</v>
      </c>
      <c r="CU1194" s="58" t="s">
        <v>239</v>
      </c>
      <c r="DL1194" s="58" t="s">
        <v>11378</v>
      </c>
    </row>
    <row r="1195" ht="15.75" customHeight="1">
      <c r="B1195" s="58" t="s">
        <v>4587</v>
      </c>
      <c r="C1195" s="58">
        <v>2023.0</v>
      </c>
      <c r="D1195" s="58" t="s">
        <v>11379</v>
      </c>
      <c r="E1195" s="58" t="s">
        <v>11380</v>
      </c>
      <c r="F1195" s="58" t="s">
        <v>11381</v>
      </c>
      <c r="I1195" s="58" t="s">
        <v>11382</v>
      </c>
      <c r="K1195" s="73">
        <v>45285.0</v>
      </c>
      <c r="Z1195" s="58" t="s">
        <v>239</v>
      </c>
      <c r="CH1195" s="58" t="s">
        <v>11383</v>
      </c>
      <c r="CI1195" s="73">
        <v>45285.0</v>
      </c>
      <c r="CJ1195" s="58">
        <v>1.0</v>
      </c>
      <c r="CK1195" s="58">
        <v>5.0</v>
      </c>
      <c r="CL1195" s="58" t="s">
        <v>11384</v>
      </c>
      <c r="CM1195" s="58" t="s">
        <v>11385</v>
      </c>
      <c r="CO1195" s="58" t="s">
        <v>11386</v>
      </c>
      <c r="CP1195" s="58" t="s">
        <v>11387</v>
      </c>
      <c r="CR1195" s="58">
        <v>3.0</v>
      </c>
      <c r="CT1195" s="58">
        <v>26.0</v>
      </c>
      <c r="CU1195" s="58" t="s">
        <v>239</v>
      </c>
      <c r="DL1195" s="58" t="s">
        <v>11388</v>
      </c>
    </row>
    <row r="1196" ht="15.75" customHeight="1">
      <c r="B1196" s="58" t="s">
        <v>4587</v>
      </c>
      <c r="C1196" s="58">
        <v>2023.0</v>
      </c>
      <c r="D1196" s="58" t="s">
        <v>11389</v>
      </c>
      <c r="E1196" s="58" t="s">
        <v>11390</v>
      </c>
      <c r="F1196" s="58" t="s">
        <v>11049</v>
      </c>
      <c r="H1196" s="58" t="s">
        <v>11050</v>
      </c>
      <c r="I1196" s="58" t="s">
        <v>11391</v>
      </c>
      <c r="K1196" s="73">
        <v>45225.0</v>
      </c>
      <c r="Z1196" s="58" t="s">
        <v>239</v>
      </c>
      <c r="CH1196" s="58" t="s">
        <v>11392</v>
      </c>
      <c r="CI1196" s="73">
        <v>45225.0</v>
      </c>
      <c r="CJ1196" s="58">
        <v>406.0</v>
      </c>
      <c r="CK1196" s="58">
        <v>414.0</v>
      </c>
      <c r="CL1196" s="58" t="s">
        <v>11393</v>
      </c>
      <c r="CM1196" s="58" t="s">
        <v>11054</v>
      </c>
      <c r="CO1196" s="58" t="s">
        <v>11394</v>
      </c>
      <c r="CP1196" s="58" t="s">
        <v>11395</v>
      </c>
      <c r="CR1196" s="58">
        <v>3.0</v>
      </c>
      <c r="CT1196" s="58">
        <v>23.0</v>
      </c>
      <c r="CU1196" s="58" t="s">
        <v>239</v>
      </c>
      <c r="DL1196" s="58" t="s">
        <v>11396</v>
      </c>
    </row>
    <row r="1197" ht="15.75" customHeight="1">
      <c r="B1197" s="58" t="s">
        <v>4587</v>
      </c>
      <c r="C1197" s="58">
        <v>2023.0</v>
      </c>
      <c r="D1197" s="58" t="s">
        <v>11397</v>
      </c>
      <c r="E1197" s="58" t="s">
        <v>11398</v>
      </c>
      <c r="F1197" s="58" t="s">
        <v>11399</v>
      </c>
      <c r="I1197" s="58" t="s">
        <v>11400</v>
      </c>
      <c r="K1197" s="73">
        <v>45230.0</v>
      </c>
      <c r="Z1197" s="58" t="s">
        <v>239</v>
      </c>
      <c r="CH1197" s="58" t="s">
        <v>11401</v>
      </c>
      <c r="CI1197" s="73">
        <v>45230.0</v>
      </c>
      <c r="CJ1197" s="58">
        <v>1.0</v>
      </c>
      <c r="CK1197" s="58">
        <v>6.0</v>
      </c>
      <c r="CL1197" s="58" t="s">
        <v>11402</v>
      </c>
      <c r="CM1197" s="58" t="s">
        <v>11403</v>
      </c>
      <c r="CO1197" s="58" t="s">
        <v>11404</v>
      </c>
      <c r="CP1197" s="58" t="s">
        <v>11405</v>
      </c>
      <c r="CR1197" s="58">
        <v>3.0</v>
      </c>
      <c r="CT1197" s="58">
        <v>51.0</v>
      </c>
      <c r="CU1197" s="58" t="s">
        <v>239</v>
      </c>
      <c r="DL1197" s="58" t="s">
        <v>11406</v>
      </c>
    </row>
    <row r="1198" ht="15.75" customHeight="1">
      <c r="B1198" s="58" t="s">
        <v>4587</v>
      </c>
      <c r="C1198" s="58">
        <v>2023.0</v>
      </c>
      <c r="D1198" s="58" t="s">
        <v>11407</v>
      </c>
      <c r="E1198" s="58" t="s">
        <v>11408</v>
      </c>
      <c r="F1198" s="58" t="s">
        <v>11409</v>
      </c>
      <c r="I1198" s="58" t="s">
        <v>11410</v>
      </c>
      <c r="K1198" s="73">
        <v>45040.0</v>
      </c>
      <c r="Z1198" s="58" t="s">
        <v>239</v>
      </c>
      <c r="CH1198" s="58" t="s">
        <v>11411</v>
      </c>
      <c r="CI1198" s="73">
        <v>45040.0</v>
      </c>
      <c r="CJ1198" s="58">
        <v>58.0</v>
      </c>
      <c r="CK1198" s="58">
        <v>69.0</v>
      </c>
      <c r="CL1198" s="58" t="s">
        <v>11412</v>
      </c>
      <c r="CM1198" s="58" t="s">
        <v>11413</v>
      </c>
      <c r="CO1198" s="58" t="s">
        <v>11414</v>
      </c>
      <c r="CP1198" s="58" t="s">
        <v>11415</v>
      </c>
      <c r="CR1198" s="58">
        <v>3.0</v>
      </c>
      <c r="CT1198" s="58">
        <v>58.0</v>
      </c>
      <c r="CU1198" s="58" t="s">
        <v>239</v>
      </c>
      <c r="DL1198" s="58" t="s">
        <v>11416</v>
      </c>
    </row>
    <row r="1199" ht="15.75" customHeight="1">
      <c r="B1199" s="58" t="s">
        <v>4587</v>
      </c>
      <c r="C1199" s="58">
        <v>2024.0</v>
      </c>
      <c r="D1199" s="58" t="s">
        <v>11417</v>
      </c>
      <c r="E1199" s="58" t="s">
        <v>11418</v>
      </c>
      <c r="F1199" s="58" t="s">
        <v>11419</v>
      </c>
      <c r="H1199" s="58" t="s">
        <v>5264</v>
      </c>
      <c r="I1199" s="58" t="s">
        <v>11420</v>
      </c>
      <c r="K1199" s="73">
        <v>45475.0</v>
      </c>
      <c r="Z1199" s="58" t="s">
        <v>239</v>
      </c>
      <c r="CH1199" s="58" t="s">
        <v>11421</v>
      </c>
      <c r="CI1199" s="73">
        <v>45475.0</v>
      </c>
      <c r="CJ1199" s="58">
        <v>1.0</v>
      </c>
      <c r="CK1199" s="58">
        <v>3.0</v>
      </c>
      <c r="CL1199" s="58" t="s">
        <v>11422</v>
      </c>
      <c r="CM1199" s="58" t="s">
        <v>11423</v>
      </c>
      <c r="CO1199" s="58" t="s">
        <v>11424</v>
      </c>
      <c r="CP1199" s="58" t="s">
        <v>11425</v>
      </c>
      <c r="CR1199" s="58">
        <v>3.0</v>
      </c>
      <c r="CT1199" s="58">
        <v>10.0</v>
      </c>
      <c r="CU1199" s="58" t="s">
        <v>239</v>
      </c>
      <c r="DL1199" s="58" t="s">
        <v>11426</v>
      </c>
    </row>
    <row r="1200" ht="15.75" customHeight="1">
      <c r="B1200" s="58" t="s">
        <v>4587</v>
      </c>
      <c r="C1200" s="58">
        <v>2024.0</v>
      </c>
      <c r="D1200" s="58" t="s">
        <v>11427</v>
      </c>
      <c r="E1200" s="58" t="s">
        <v>11428</v>
      </c>
      <c r="F1200" s="58" t="s">
        <v>11429</v>
      </c>
      <c r="I1200" s="58" t="s">
        <v>11430</v>
      </c>
      <c r="K1200" s="73">
        <v>45505.0</v>
      </c>
      <c r="Z1200" s="58" t="s">
        <v>239</v>
      </c>
      <c r="CH1200" s="58" t="s">
        <v>11431</v>
      </c>
      <c r="CI1200" s="73">
        <v>45505.0</v>
      </c>
      <c r="CJ1200" s="58">
        <v>848.0</v>
      </c>
      <c r="CK1200" s="58">
        <v>862.0</v>
      </c>
      <c r="CL1200" s="58" t="s">
        <v>11432</v>
      </c>
      <c r="CM1200" s="58" t="s">
        <v>11433</v>
      </c>
      <c r="CN1200" s="58" t="s">
        <v>11434</v>
      </c>
      <c r="CO1200" s="58" t="s">
        <v>11435</v>
      </c>
      <c r="CP1200" s="58" t="s">
        <v>11436</v>
      </c>
      <c r="CR1200" s="58">
        <v>3.0</v>
      </c>
      <c r="CT1200" s="58">
        <v>116.0</v>
      </c>
      <c r="CU1200" s="58" t="s">
        <v>239</v>
      </c>
      <c r="DL1200" s="58" t="s">
        <v>11437</v>
      </c>
    </row>
    <row r="1201" ht="15.75" customHeight="1">
      <c r="B1201" s="58" t="s">
        <v>4587</v>
      </c>
      <c r="C1201" s="58">
        <v>2024.0</v>
      </c>
      <c r="D1201" s="58" t="s">
        <v>11438</v>
      </c>
      <c r="E1201" s="58" t="s">
        <v>11439</v>
      </c>
      <c r="F1201" s="58" t="s">
        <v>11440</v>
      </c>
      <c r="I1201" s="58" t="s">
        <v>11441</v>
      </c>
      <c r="K1201" s="73">
        <v>45390.0</v>
      </c>
      <c r="R1201" s="58">
        <v>5.0</v>
      </c>
      <c r="Z1201" s="58" t="s">
        <v>239</v>
      </c>
      <c r="CH1201" s="58" t="s">
        <v>11442</v>
      </c>
      <c r="CI1201" s="73">
        <v>45390.0</v>
      </c>
      <c r="CJ1201" s="58">
        <v>1319.0</v>
      </c>
      <c r="CK1201" s="58">
        <v>1326.0</v>
      </c>
      <c r="CL1201" s="58" t="s">
        <v>11443</v>
      </c>
      <c r="CM1201" s="58" t="s">
        <v>11444</v>
      </c>
      <c r="CO1201" s="58" t="s">
        <v>11445</v>
      </c>
      <c r="CP1201" s="58" t="s">
        <v>11446</v>
      </c>
      <c r="CR1201" s="58">
        <v>3.0</v>
      </c>
      <c r="CT1201" s="58">
        <v>22.0</v>
      </c>
      <c r="CU1201" s="58" t="s">
        <v>239</v>
      </c>
      <c r="DL1201" s="58" t="s">
        <v>11447</v>
      </c>
    </row>
    <row r="1202" ht="15.75" customHeight="1">
      <c r="B1202" s="58" t="s">
        <v>4587</v>
      </c>
      <c r="C1202" s="58">
        <v>2023.0</v>
      </c>
      <c r="D1202" s="58" t="s">
        <v>11448</v>
      </c>
      <c r="E1202" s="58" t="s">
        <v>11449</v>
      </c>
      <c r="F1202" s="58" t="s">
        <v>11450</v>
      </c>
      <c r="H1202" s="58" t="s">
        <v>5858</v>
      </c>
      <c r="I1202" s="58" t="s">
        <v>11451</v>
      </c>
      <c r="K1202" s="73">
        <v>45170.0</v>
      </c>
      <c r="Z1202" s="58" t="s">
        <v>239</v>
      </c>
      <c r="CH1202" s="58" t="s">
        <v>11452</v>
      </c>
      <c r="CI1202" s="73">
        <v>45170.0</v>
      </c>
      <c r="CJ1202" s="58">
        <v>1.0</v>
      </c>
      <c r="CK1202" s="58">
        <v>10.0</v>
      </c>
      <c r="CL1202" s="58" t="s">
        <v>11453</v>
      </c>
      <c r="CM1202" s="58" t="s">
        <v>11454</v>
      </c>
      <c r="CN1202" s="58" t="s">
        <v>11455</v>
      </c>
      <c r="CO1202" s="58" t="s">
        <v>11456</v>
      </c>
      <c r="CP1202" s="58" t="s">
        <v>11457</v>
      </c>
      <c r="CR1202" s="58">
        <v>3.0</v>
      </c>
      <c r="CT1202" s="58">
        <v>22.0</v>
      </c>
      <c r="CU1202" s="58" t="s">
        <v>239</v>
      </c>
      <c r="DL1202" s="58" t="s">
        <v>11458</v>
      </c>
    </row>
    <row r="1203" ht="15.75" customHeight="1">
      <c r="B1203" s="58" t="s">
        <v>4587</v>
      </c>
      <c r="C1203" s="58">
        <v>2023.0</v>
      </c>
      <c r="D1203" s="58" t="s">
        <v>11459</v>
      </c>
      <c r="E1203" s="58" t="s">
        <v>11460</v>
      </c>
      <c r="F1203" s="58" t="s">
        <v>11461</v>
      </c>
      <c r="I1203" s="58" t="s">
        <v>11462</v>
      </c>
      <c r="K1203" s="73">
        <v>45275.0</v>
      </c>
      <c r="Z1203" s="58" t="s">
        <v>239</v>
      </c>
      <c r="CH1203" s="58" t="s">
        <v>11463</v>
      </c>
      <c r="CI1203" s="73">
        <v>45275.0</v>
      </c>
      <c r="CJ1203" s="58">
        <v>1.0</v>
      </c>
      <c r="CK1203" s="58">
        <v>10.0</v>
      </c>
      <c r="CL1203" s="58" t="s">
        <v>11464</v>
      </c>
      <c r="CM1203" s="58" t="s">
        <v>11465</v>
      </c>
      <c r="CO1203" s="58" t="s">
        <v>11466</v>
      </c>
      <c r="CP1203" s="58" t="s">
        <v>11467</v>
      </c>
      <c r="CR1203" s="58">
        <v>3.0</v>
      </c>
      <c r="CT1203" s="58">
        <v>28.0</v>
      </c>
      <c r="CU1203" s="58" t="s">
        <v>239</v>
      </c>
      <c r="DL1203" s="58" t="s">
        <v>11468</v>
      </c>
    </row>
    <row r="1204" ht="15.75" customHeight="1">
      <c r="B1204" s="58" t="s">
        <v>4587</v>
      </c>
      <c r="C1204" s="58">
        <v>2023.0</v>
      </c>
      <c r="D1204" s="58" t="s">
        <v>11469</v>
      </c>
      <c r="E1204" s="58" t="s">
        <v>11470</v>
      </c>
      <c r="F1204" s="58" t="s">
        <v>11471</v>
      </c>
      <c r="H1204" s="58" t="s">
        <v>11472</v>
      </c>
      <c r="I1204" s="58" t="s">
        <v>11473</v>
      </c>
      <c r="K1204" s="73">
        <v>45188.0</v>
      </c>
      <c r="Z1204" s="58" t="s">
        <v>239</v>
      </c>
      <c r="CH1204" s="58" t="s">
        <v>11474</v>
      </c>
      <c r="CI1204" s="73">
        <v>45188.0</v>
      </c>
      <c r="CJ1204" s="58">
        <v>669.0</v>
      </c>
      <c r="CK1204" s="58">
        <v>676.0</v>
      </c>
      <c r="CL1204" s="58" t="s">
        <v>11475</v>
      </c>
      <c r="CM1204" s="58" t="s">
        <v>11476</v>
      </c>
      <c r="CN1204" s="58" t="s">
        <v>9079</v>
      </c>
      <c r="CO1204" s="58" t="s">
        <v>11477</v>
      </c>
      <c r="CP1204" s="58" t="s">
        <v>11478</v>
      </c>
      <c r="CR1204" s="58">
        <v>3.0</v>
      </c>
      <c r="CT1204" s="58">
        <v>27.0</v>
      </c>
      <c r="CU1204" s="58" t="s">
        <v>239</v>
      </c>
      <c r="DL1204" s="58" t="s">
        <v>11479</v>
      </c>
    </row>
    <row r="1205" ht="15.75" customHeight="1">
      <c r="B1205" s="58" t="s">
        <v>4587</v>
      </c>
      <c r="C1205" s="58">
        <v>2024.0</v>
      </c>
      <c r="D1205" s="58" t="s">
        <v>11480</v>
      </c>
      <c r="E1205" s="58" t="s">
        <v>11481</v>
      </c>
      <c r="F1205" s="58" t="s">
        <v>11482</v>
      </c>
      <c r="I1205" s="58" t="s">
        <v>11483</v>
      </c>
      <c r="K1205" s="73">
        <v>45533.0</v>
      </c>
      <c r="Z1205" s="58" t="s">
        <v>239</v>
      </c>
      <c r="CH1205" s="58" t="s">
        <v>11484</v>
      </c>
      <c r="CI1205" s="73">
        <v>45533.0</v>
      </c>
      <c r="CJ1205" s="58">
        <v>1.0</v>
      </c>
      <c r="CK1205" s="58">
        <v>7.0</v>
      </c>
      <c r="CL1205" s="58" t="s">
        <v>11485</v>
      </c>
      <c r="CM1205" s="58" t="s">
        <v>11486</v>
      </c>
      <c r="CO1205" s="58" t="s">
        <v>11487</v>
      </c>
      <c r="CP1205" s="58" t="s">
        <v>11488</v>
      </c>
      <c r="CR1205" s="58">
        <v>3.0</v>
      </c>
      <c r="CT1205" s="58">
        <v>32.0</v>
      </c>
      <c r="CU1205" s="58" t="s">
        <v>239</v>
      </c>
      <c r="DL1205" s="58" t="s">
        <v>11489</v>
      </c>
    </row>
    <row r="1206" ht="15.75" customHeight="1">
      <c r="B1206" s="58" t="s">
        <v>4587</v>
      </c>
      <c r="C1206" s="58">
        <v>2023.0</v>
      </c>
      <c r="D1206" s="58" t="s">
        <v>11490</v>
      </c>
      <c r="E1206" s="58" t="s">
        <v>11491</v>
      </c>
      <c r="F1206" s="58" t="s">
        <v>11492</v>
      </c>
      <c r="H1206" s="58" t="s">
        <v>11493</v>
      </c>
      <c r="I1206" s="58" t="s">
        <v>11494</v>
      </c>
      <c r="K1206" s="73">
        <v>45040.0</v>
      </c>
      <c r="Z1206" s="58" t="s">
        <v>239</v>
      </c>
      <c r="CH1206" s="58" t="s">
        <v>11495</v>
      </c>
      <c r="CI1206" s="73">
        <v>45040.0</v>
      </c>
      <c r="CJ1206" s="58">
        <v>1.0</v>
      </c>
      <c r="CK1206" s="58">
        <v>10.0</v>
      </c>
      <c r="CL1206" s="58" t="s">
        <v>11496</v>
      </c>
      <c r="CM1206" s="58" t="s">
        <v>11497</v>
      </c>
      <c r="CO1206" s="58" t="s">
        <v>11498</v>
      </c>
      <c r="CP1206" s="58" t="s">
        <v>11499</v>
      </c>
      <c r="CR1206" s="58">
        <v>3.0</v>
      </c>
      <c r="CT1206" s="58">
        <v>29.0</v>
      </c>
      <c r="CU1206" s="58" t="s">
        <v>239</v>
      </c>
      <c r="DL1206" s="58" t="s">
        <v>11500</v>
      </c>
    </row>
    <row r="1207" ht="15.75" customHeight="1">
      <c r="B1207" s="58" t="s">
        <v>4587</v>
      </c>
      <c r="C1207" s="58">
        <v>2023.0</v>
      </c>
      <c r="D1207" s="58" t="s">
        <v>11501</v>
      </c>
      <c r="E1207" s="58" t="s">
        <v>11502</v>
      </c>
      <c r="F1207" s="58" t="s">
        <v>11503</v>
      </c>
      <c r="H1207" s="58" t="s">
        <v>11504</v>
      </c>
      <c r="I1207" s="58" t="s">
        <v>11505</v>
      </c>
      <c r="K1207" s="73">
        <v>45071.0</v>
      </c>
      <c r="Z1207" s="58" t="s">
        <v>239</v>
      </c>
      <c r="CH1207" s="58" t="s">
        <v>11506</v>
      </c>
      <c r="CI1207" s="73">
        <v>45071.0</v>
      </c>
      <c r="CJ1207" s="58">
        <v>1.0</v>
      </c>
      <c r="CK1207" s="58">
        <v>8.0</v>
      </c>
      <c r="CL1207" s="58" t="s">
        <v>11507</v>
      </c>
      <c r="CM1207" s="58" t="s">
        <v>11508</v>
      </c>
      <c r="CO1207" s="58" t="s">
        <v>11509</v>
      </c>
      <c r="CP1207" s="58" t="s">
        <v>11510</v>
      </c>
      <c r="CR1207" s="58">
        <v>3.0</v>
      </c>
      <c r="CT1207" s="58">
        <v>15.0</v>
      </c>
      <c r="CU1207" s="58" t="s">
        <v>239</v>
      </c>
      <c r="DL1207" s="58" t="s">
        <v>11511</v>
      </c>
    </row>
    <row r="1208" ht="15.75" customHeight="1">
      <c r="B1208" s="58" t="s">
        <v>4587</v>
      </c>
      <c r="C1208" s="58">
        <v>2023.0</v>
      </c>
      <c r="D1208" s="58" t="s">
        <v>11512</v>
      </c>
      <c r="E1208" s="58" t="s">
        <v>11513</v>
      </c>
      <c r="F1208" s="58" t="s">
        <v>11252</v>
      </c>
      <c r="H1208" s="58" t="s">
        <v>4901</v>
      </c>
      <c r="I1208" s="58" t="s">
        <v>11514</v>
      </c>
      <c r="K1208" s="73">
        <v>45194.0</v>
      </c>
      <c r="Z1208" s="58" t="s">
        <v>239</v>
      </c>
      <c r="CH1208" s="58" t="s">
        <v>11515</v>
      </c>
      <c r="CI1208" s="73">
        <v>45194.0</v>
      </c>
      <c r="CJ1208" s="58">
        <v>37.0</v>
      </c>
      <c r="CK1208" s="58">
        <v>47.0</v>
      </c>
      <c r="CL1208" s="58" t="s">
        <v>11516</v>
      </c>
      <c r="CM1208" s="58" t="s">
        <v>11256</v>
      </c>
      <c r="CO1208" s="58" t="s">
        <v>11517</v>
      </c>
      <c r="CP1208" s="58" t="s">
        <v>11518</v>
      </c>
      <c r="CR1208" s="58">
        <v>3.0</v>
      </c>
      <c r="CT1208" s="58">
        <v>42.0</v>
      </c>
      <c r="CU1208" s="58" t="s">
        <v>239</v>
      </c>
      <c r="DL1208" s="58" t="s">
        <v>11519</v>
      </c>
    </row>
    <row r="1209" ht="15.75" customHeight="1">
      <c r="B1209" s="58" t="s">
        <v>4587</v>
      </c>
      <c r="C1209" s="58">
        <v>2024.0</v>
      </c>
      <c r="D1209" s="58" t="s">
        <v>11520</v>
      </c>
      <c r="E1209" s="58" t="s">
        <v>11521</v>
      </c>
      <c r="F1209" s="58" t="s">
        <v>11522</v>
      </c>
      <c r="I1209" s="58" t="s">
        <v>11523</v>
      </c>
      <c r="K1209" s="73">
        <v>45443.0</v>
      </c>
      <c r="Z1209" s="58" t="s">
        <v>239</v>
      </c>
      <c r="CH1209" s="58" t="s">
        <v>11524</v>
      </c>
      <c r="CI1209" s="73">
        <v>45443.0</v>
      </c>
      <c r="CJ1209" s="58">
        <v>71.0</v>
      </c>
      <c r="CK1209" s="58">
        <v>77.0</v>
      </c>
      <c r="CL1209" s="58" t="s">
        <v>11525</v>
      </c>
      <c r="CM1209" s="58" t="s">
        <v>11526</v>
      </c>
      <c r="CO1209" s="58" t="s">
        <v>11527</v>
      </c>
      <c r="CP1209" s="58" t="s">
        <v>11528</v>
      </c>
      <c r="CR1209" s="58">
        <v>3.0</v>
      </c>
      <c r="CT1209" s="58">
        <v>14.0</v>
      </c>
      <c r="CU1209" s="58" t="s">
        <v>239</v>
      </c>
      <c r="DL1209" s="58" t="s">
        <v>11529</v>
      </c>
    </row>
    <row r="1210" ht="15.75" customHeight="1">
      <c r="B1210" s="58" t="s">
        <v>4587</v>
      </c>
      <c r="C1210" s="58">
        <v>2023.0</v>
      </c>
      <c r="D1210" s="58" t="s">
        <v>11530</v>
      </c>
      <c r="E1210" s="58" t="s">
        <v>11531</v>
      </c>
      <c r="F1210" s="58" t="s">
        <v>11532</v>
      </c>
      <c r="H1210" s="58" t="s">
        <v>5752</v>
      </c>
      <c r="I1210" s="58" t="s">
        <v>11533</v>
      </c>
      <c r="K1210" s="73">
        <v>45285.0</v>
      </c>
      <c r="Z1210" s="58" t="s">
        <v>239</v>
      </c>
      <c r="CH1210" s="58" t="s">
        <v>11534</v>
      </c>
      <c r="CI1210" s="73">
        <v>45285.0</v>
      </c>
      <c r="CJ1210" s="58">
        <v>150.0</v>
      </c>
      <c r="CK1210" s="58">
        <v>155.0</v>
      </c>
      <c r="CL1210" s="58" t="s">
        <v>11535</v>
      </c>
      <c r="CM1210" s="58" t="s">
        <v>11536</v>
      </c>
      <c r="CN1210" s="58" t="s">
        <v>11537</v>
      </c>
      <c r="CO1210" s="58" t="s">
        <v>11538</v>
      </c>
      <c r="CP1210" s="58" t="s">
        <v>11539</v>
      </c>
      <c r="CR1210" s="58">
        <v>3.0</v>
      </c>
      <c r="CT1210" s="58">
        <v>24.0</v>
      </c>
      <c r="CU1210" s="58" t="s">
        <v>239</v>
      </c>
      <c r="DL1210" s="58" t="s">
        <v>11540</v>
      </c>
    </row>
    <row r="1211" ht="15.75" customHeight="1">
      <c r="B1211" s="58" t="s">
        <v>4587</v>
      </c>
      <c r="C1211" s="58">
        <v>2023.0</v>
      </c>
      <c r="D1211" s="58" t="s">
        <v>11541</v>
      </c>
      <c r="E1211" s="58" t="s">
        <v>11542</v>
      </c>
      <c r="F1211" s="58" t="s">
        <v>11409</v>
      </c>
      <c r="I1211" s="58" t="s">
        <v>11543</v>
      </c>
      <c r="K1211" s="73">
        <v>45040.0</v>
      </c>
      <c r="Z1211" s="58" t="s">
        <v>239</v>
      </c>
      <c r="CH1211" s="58" t="s">
        <v>11544</v>
      </c>
      <c r="CI1211" s="73">
        <v>45040.0</v>
      </c>
      <c r="CJ1211" s="58">
        <v>35.0</v>
      </c>
      <c r="CK1211" s="58">
        <v>46.0</v>
      </c>
      <c r="CL1211" s="58" t="s">
        <v>11545</v>
      </c>
      <c r="CM1211" s="58" t="s">
        <v>11413</v>
      </c>
      <c r="CO1211" s="58" t="s">
        <v>11546</v>
      </c>
      <c r="CP1211" s="58" t="s">
        <v>11547</v>
      </c>
      <c r="CR1211" s="58">
        <v>3.0</v>
      </c>
      <c r="CT1211" s="58">
        <v>60.0</v>
      </c>
      <c r="CU1211" s="58" t="s">
        <v>239</v>
      </c>
      <c r="DL1211" s="58" t="s">
        <v>11548</v>
      </c>
    </row>
    <row r="1212" ht="15.75" customHeight="1">
      <c r="B1212" s="58" t="s">
        <v>4587</v>
      </c>
      <c r="C1212" s="58">
        <v>2023.0</v>
      </c>
      <c r="D1212" s="58" t="s">
        <v>11549</v>
      </c>
      <c r="E1212" s="58" t="s">
        <v>11550</v>
      </c>
      <c r="F1212" s="58" t="s">
        <v>11551</v>
      </c>
      <c r="H1212" s="58" t="s">
        <v>5264</v>
      </c>
      <c r="I1212" s="58" t="s">
        <v>11552</v>
      </c>
      <c r="K1212" s="73">
        <v>45098.0</v>
      </c>
      <c r="Z1212" s="58" t="s">
        <v>239</v>
      </c>
      <c r="CH1212" s="58" t="s">
        <v>11553</v>
      </c>
      <c r="CI1212" s="73">
        <v>45098.0</v>
      </c>
      <c r="CJ1212" s="58">
        <v>1.0</v>
      </c>
      <c r="CK1212" s="58">
        <v>6.0</v>
      </c>
      <c r="CL1212" s="58" t="s">
        <v>11554</v>
      </c>
      <c r="CM1212" s="58" t="s">
        <v>11555</v>
      </c>
      <c r="CO1212" s="58" t="s">
        <v>11556</v>
      </c>
      <c r="CP1212" s="58" t="s">
        <v>11557</v>
      </c>
      <c r="CR1212" s="58">
        <v>2.0</v>
      </c>
      <c r="CT1212" s="58">
        <v>41.0</v>
      </c>
      <c r="CU1212" s="58" t="s">
        <v>239</v>
      </c>
      <c r="DL1212" s="58" t="s">
        <v>11558</v>
      </c>
    </row>
    <row r="1213" ht="15.75" customHeight="1">
      <c r="B1213" s="58" t="s">
        <v>4587</v>
      </c>
      <c r="C1213" s="58">
        <v>2024.0</v>
      </c>
      <c r="D1213" s="58" t="s">
        <v>11559</v>
      </c>
      <c r="E1213" s="58" t="s">
        <v>11560</v>
      </c>
      <c r="F1213" s="58" t="s">
        <v>11561</v>
      </c>
      <c r="H1213" s="58" t="s">
        <v>11263</v>
      </c>
      <c r="I1213" s="58" t="s">
        <v>11562</v>
      </c>
      <c r="K1213" s="73">
        <v>45516.0</v>
      </c>
      <c r="Z1213" s="58" t="s">
        <v>239</v>
      </c>
      <c r="CH1213" s="58" t="s">
        <v>11563</v>
      </c>
      <c r="CI1213" s="73">
        <v>45516.0</v>
      </c>
      <c r="CJ1213" s="58">
        <v>589.0</v>
      </c>
      <c r="CK1213" s="58">
        <v>594.0</v>
      </c>
      <c r="CL1213" s="58" t="s">
        <v>11564</v>
      </c>
      <c r="CM1213" s="58" t="s">
        <v>11565</v>
      </c>
      <c r="CO1213" s="58" t="s">
        <v>11566</v>
      </c>
      <c r="CP1213" s="58" t="s">
        <v>11567</v>
      </c>
      <c r="CR1213" s="58">
        <v>2.0</v>
      </c>
      <c r="CT1213" s="58">
        <v>16.0</v>
      </c>
      <c r="CU1213" s="58" t="s">
        <v>239</v>
      </c>
      <c r="DL1213" s="58" t="s">
        <v>11568</v>
      </c>
    </row>
    <row r="1214" ht="15.75" customHeight="1">
      <c r="B1214" s="58" t="s">
        <v>4587</v>
      </c>
      <c r="C1214" s="58">
        <v>2023.0</v>
      </c>
      <c r="D1214" s="58" t="s">
        <v>11569</v>
      </c>
      <c r="E1214" s="58" t="s">
        <v>11570</v>
      </c>
      <c r="F1214" s="58" t="s">
        <v>11571</v>
      </c>
      <c r="H1214" s="58" t="s">
        <v>11572</v>
      </c>
      <c r="I1214" s="58" t="s">
        <v>11573</v>
      </c>
      <c r="K1214" s="73">
        <v>44972.0</v>
      </c>
      <c r="Z1214" s="58" t="s">
        <v>239</v>
      </c>
      <c r="CH1214" s="58" t="s">
        <v>11574</v>
      </c>
      <c r="CI1214" s="73">
        <v>44972.0</v>
      </c>
      <c r="CJ1214" s="58">
        <v>768.0</v>
      </c>
      <c r="CK1214" s="58">
        <v>773.0</v>
      </c>
      <c r="CL1214" s="58" t="s">
        <v>11575</v>
      </c>
      <c r="CM1214" s="58" t="s">
        <v>11576</v>
      </c>
      <c r="CO1214" s="58" t="s">
        <v>11577</v>
      </c>
      <c r="CP1214" s="58" t="s">
        <v>11578</v>
      </c>
      <c r="CR1214" s="58">
        <v>2.0</v>
      </c>
      <c r="CT1214" s="58">
        <v>37.0</v>
      </c>
      <c r="CU1214" s="58" t="s">
        <v>239</v>
      </c>
      <c r="DL1214" s="58" t="s">
        <v>11579</v>
      </c>
    </row>
    <row r="1215" ht="15.75" customHeight="1">
      <c r="B1215" s="58" t="s">
        <v>4587</v>
      </c>
      <c r="C1215" s="58">
        <v>2024.0</v>
      </c>
      <c r="D1215" s="58" t="s">
        <v>11580</v>
      </c>
      <c r="E1215" s="58" t="s">
        <v>11581</v>
      </c>
      <c r="F1215" s="58" t="s">
        <v>11582</v>
      </c>
      <c r="I1215" s="58" t="s">
        <v>11583</v>
      </c>
      <c r="K1215" s="73">
        <v>45435.0</v>
      </c>
      <c r="Z1215" s="58" t="s">
        <v>239</v>
      </c>
      <c r="CH1215" s="58" t="s">
        <v>11584</v>
      </c>
      <c r="CI1215" s="73">
        <v>45435.0</v>
      </c>
      <c r="CJ1215" s="58">
        <v>1.0</v>
      </c>
      <c r="CK1215" s="58">
        <v>9.0</v>
      </c>
      <c r="CL1215" s="58" t="s">
        <v>11585</v>
      </c>
      <c r="CM1215" s="58" t="s">
        <v>11586</v>
      </c>
      <c r="CO1215" s="58" t="s">
        <v>11587</v>
      </c>
      <c r="CP1215" s="58" t="s">
        <v>11588</v>
      </c>
      <c r="CR1215" s="58">
        <v>2.0</v>
      </c>
      <c r="CT1215" s="58">
        <v>24.0</v>
      </c>
      <c r="CU1215" s="58" t="s">
        <v>239</v>
      </c>
      <c r="DL1215" s="58" t="s">
        <v>11589</v>
      </c>
    </row>
    <row r="1216" ht="15.75" customHeight="1">
      <c r="B1216" s="58" t="s">
        <v>4587</v>
      </c>
      <c r="C1216" s="58">
        <v>2023.0</v>
      </c>
      <c r="D1216" s="58" t="s">
        <v>11590</v>
      </c>
      <c r="E1216" s="58" t="s">
        <v>11591</v>
      </c>
      <c r="F1216" s="58" t="s">
        <v>11592</v>
      </c>
      <c r="H1216" s="58" t="s">
        <v>6850</v>
      </c>
      <c r="I1216" s="58" t="s">
        <v>11593</v>
      </c>
      <c r="K1216" s="73">
        <v>45153.0</v>
      </c>
      <c r="Z1216" s="58" t="s">
        <v>239</v>
      </c>
      <c r="CH1216" s="58" t="s">
        <v>11594</v>
      </c>
      <c r="CI1216" s="73">
        <v>45153.0</v>
      </c>
      <c r="CJ1216" s="58">
        <v>1.0</v>
      </c>
      <c r="CK1216" s="58">
        <v>6.0</v>
      </c>
      <c r="CL1216" s="58" t="s">
        <v>11595</v>
      </c>
      <c r="CM1216" s="58" t="s">
        <v>11596</v>
      </c>
      <c r="CO1216" s="58" t="s">
        <v>11597</v>
      </c>
      <c r="CP1216" s="58" t="s">
        <v>11598</v>
      </c>
      <c r="CR1216" s="58">
        <v>2.0</v>
      </c>
      <c r="CT1216" s="58">
        <v>21.0</v>
      </c>
      <c r="DL1216" s="58" t="s">
        <v>11599</v>
      </c>
    </row>
    <row r="1217" ht="15.75" customHeight="1">
      <c r="B1217" s="58" t="s">
        <v>4587</v>
      </c>
      <c r="C1217" s="58">
        <v>2023.0</v>
      </c>
      <c r="D1217" s="58" t="s">
        <v>11600</v>
      </c>
      <c r="E1217" s="58" t="s">
        <v>11601</v>
      </c>
      <c r="F1217" s="58" t="s">
        <v>11252</v>
      </c>
      <c r="H1217" s="58" t="s">
        <v>4901</v>
      </c>
      <c r="I1217" s="58" t="s">
        <v>11602</v>
      </c>
      <c r="K1217" s="73">
        <v>45194.0</v>
      </c>
      <c r="Z1217" s="58" t="s">
        <v>239</v>
      </c>
      <c r="CH1217" s="58" t="s">
        <v>11603</v>
      </c>
      <c r="CI1217" s="73">
        <v>45194.0</v>
      </c>
      <c r="CJ1217" s="58">
        <v>48.0</v>
      </c>
      <c r="CK1217" s="58">
        <v>59.0</v>
      </c>
      <c r="CL1217" s="58" t="s">
        <v>11604</v>
      </c>
      <c r="CM1217" s="58" t="s">
        <v>11256</v>
      </c>
      <c r="CO1217" s="58" t="s">
        <v>11605</v>
      </c>
      <c r="CP1217" s="58" t="s">
        <v>11606</v>
      </c>
      <c r="CR1217" s="58">
        <v>2.0</v>
      </c>
      <c r="CT1217" s="58">
        <v>66.0</v>
      </c>
      <c r="CU1217" s="58" t="s">
        <v>239</v>
      </c>
      <c r="DL1217" s="58" t="s">
        <v>11607</v>
      </c>
    </row>
    <row r="1218" ht="15.75" customHeight="1">
      <c r="B1218" s="58" t="s">
        <v>4587</v>
      </c>
      <c r="C1218" s="58">
        <v>2023.0</v>
      </c>
      <c r="D1218" s="58" t="s">
        <v>11608</v>
      </c>
      <c r="E1218" s="58" t="s">
        <v>11609</v>
      </c>
      <c r="F1218" s="58" t="s">
        <v>11610</v>
      </c>
      <c r="I1218" s="58" t="s">
        <v>11611</v>
      </c>
      <c r="K1218" s="73">
        <v>45313.0</v>
      </c>
      <c r="Z1218" s="58" t="s">
        <v>239</v>
      </c>
      <c r="CH1218" s="58" t="s">
        <v>11612</v>
      </c>
      <c r="CI1218" s="73">
        <v>45313.0</v>
      </c>
      <c r="CJ1218" s="58">
        <v>1.0</v>
      </c>
      <c r="CK1218" s="58">
        <v>7.0</v>
      </c>
      <c r="CL1218" s="58" t="s">
        <v>11613</v>
      </c>
      <c r="CM1218" s="58" t="s">
        <v>11614</v>
      </c>
      <c r="CO1218" s="58" t="s">
        <v>11615</v>
      </c>
      <c r="CP1218" s="58" t="s">
        <v>11616</v>
      </c>
      <c r="CR1218" s="58">
        <v>2.0</v>
      </c>
      <c r="CT1218" s="58">
        <v>23.0</v>
      </c>
      <c r="CU1218" s="58" t="s">
        <v>239</v>
      </c>
      <c r="DL1218" s="58" t="s">
        <v>11617</v>
      </c>
    </row>
    <row r="1219" ht="15.75" customHeight="1">
      <c r="B1219" s="58" t="s">
        <v>4587</v>
      </c>
      <c r="C1219" s="58">
        <v>2023.0</v>
      </c>
      <c r="D1219" s="58" t="s">
        <v>11618</v>
      </c>
      <c r="E1219" s="58" t="s">
        <v>11619</v>
      </c>
      <c r="F1219" s="58" t="s">
        <v>11262</v>
      </c>
      <c r="H1219" s="58" t="s">
        <v>11263</v>
      </c>
      <c r="I1219" s="58" t="s">
        <v>11620</v>
      </c>
      <c r="K1219" s="73">
        <v>45196.0</v>
      </c>
      <c r="Z1219" s="58" t="s">
        <v>239</v>
      </c>
      <c r="CH1219" s="58" t="s">
        <v>11621</v>
      </c>
      <c r="CI1219" s="73">
        <v>45196.0</v>
      </c>
      <c r="CJ1219" s="58">
        <v>715.0</v>
      </c>
      <c r="CK1219" s="58">
        <v>722.0</v>
      </c>
      <c r="CL1219" s="58" t="s">
        <v>11622</v>
      </c>
      <c r="CM1219" s="58" t="s">
        <v>11267</v>
      </c>
      <c r="CO1219" s="58" t="s">
        <v>11623</v>
      </c>
      <c r="CP1219" s="58" t="s">
        <v>11624</v>
      </c>
      <c r="CR1219" s="58">
        <v>2.0</v>
      </c>
      <c r="CT1219" s="58">
        <v>15.0</v>
      </c>
      <c r="CU1219" s="58" t="s">
        <v>239</v>
      </c>
      <c r="DL1219" s="58" t="s">
        <v>11625</v>
      </c>
    </row>
    <row r="1220" ht="15.75" customHeight="1">
      <c r="B1220" s="58" t="s">
        <v>4587</v>
      </c>
      <c r="C1220" s="58">
        <v>2024.0</v>
      </c>
      <c r="D1220" s="58" t="s">
        <v>11626</v>
      </c>
      <c r="E1220" s="58" t="s">
        <v>11627</v>
      </c>
      <c r="F1220" s="58" t="s">
        <v>11628</v>
      </c>
      <c r="H1220" s="58" t="s">
        <v>11629</v>
      </c>
      <c r="I1220" s="58" t="s">
        <v>11630</v>
      </c>
      <c r="K1220" s="73">
        <v>45454.0</v>
      </c>
      <c r="Z1220" s="58" t="s">
        <v>239</v>
      </c>
      <c r="CH1220" s="58" t="s">
        <v>11631</v>
      </c>
      <c r="CI1220" s="73">
        <v>45454.0</v>
      </c>
      <c r="CJ1220" s="58">
        <v>718.0</v>
      </c>
      <c r="CK1220" s="58">
        <v>723.0</v>
      </c>
      <c r="CL1220" s="58" t="s">
        <v>11632</v>
      </c>
      <c r="CM1220" s="58" t="s">
        <v>11633</v>
      </c>
      <c r="CO1220" s="58" t="s">
        <v>11634</v>
      </c>
      <c r="CP1220" s="58" t="s">
        <v>11635</v>
      </c>
      <c r="CR1220" s="58">
        <v>2.0</v>
      </c>
      <c r="CT1220" s="58">
        <v>13.0</v>
      </c>
      <c r="CU1220" s="58" t="s">
        <v>239</v>
      </c>
      <c r="DL1220" s="58" t="s">
        <v>11636</v>
      </c>
    </row>
    <row r="1221" ht="15.75" customHeight="1">
      <c r="B1221" s="58" t="s">
        <v>4587</v>
      </c>
      <c r="C1221" s="58">
        <v>2023.0</v>
      </c>
      <c r="D1221" s="58" t="s">
        <v>11637</v>
      </c>
      <c r="E1221" s="58" t="s">
        <v>11638</v>
      </c>
      <c r="F1221" s="58" t="s">
        <v>11639</v>
      </c>
      <c r="I1221" s="58" t="s">
        <v>11640</v>
      </c>
      <c r="K1221" s="73">
        <v>45020.0</v>
      </c>
      <c r="Z1221" s="58" t="s">
        <v>239</v>
      </c>
      <c r="CH1221" s="58" t="s">
        <v>11641</v>
      </c>
      <c r="CI1221" s="73">
        <v>45020.0</v>
      </c>
      <c r="CJ1221" s="58">
        <v>1.0</v>
      </c>
      <c r="CK1221" s="58">
        <v>7.0</v>
      </c>
      <c r="CL1221" s="58" t="s">
        <v>11642</v>
      </c>
      <c r="CM1221" s="58" t="s">
        <v>11643</v>
      </c>
      <c r="CO1221" s="58" t="s">
        <v>11644</v>
      </c>
      <c r="CP1221" s="58" t="s">
        <v>11645</v>
      </c>
      <c r="CR1221" s="58">
        <v>2.0</v>
      </c>
      <c r="CT1221" s="58">
        <v>46.0</v>
      </c>
      <c r="CU1221" s="58" t="s">
        <v>239</v>
      </c>
      <c r="DL1221" s="58" t="s">
        <v>11646</v>
      </c>
    </row>
    <row r="1222" ht="15.75" customHeight="1">
      <c r="B1222" s="58" t="s">
        <v>4587</v>
      </c>
      <c r="C1222" s="58">
        <v>2023.0</v>
      </c>
      <c r="D1222" s="58" t="s">
        <v>11647</v>
      </c>
      <c r="E1222" s="58" t="s">
        <v>11648</v>
      </c>
      <c r="F1222" s="58" t="s">
        <v>11252</v>
      </c>
      <c r="H1222" s="58" t="s">
        <v>4901</v>
      </c>
      <c r="I1222" s="58" t="s">
        <v>11649</v>
      </c>
      <c r="K1222" s="73">
        <v>45194.0</v>
      </c>
      <c r="Z1222" s="58" t="s">
        <v>239</v>
      </c>
      <c r="CH1222" s="58" t="s">
        <v>11650</v>
      </c>
      <c r="CI1222" s="73">
        <v>45194.0</v>
      </c>
      <c r="CJ1222" s="58">
        <v>140.0</v>
      </c>
      <c r="CK1222" s="58">
        <v>149.0</v>
      </c>
      <c r="CL1222" s="58" t="s">
        <v>11651</v>
      </c>
      <c r="CM1222" s="58" t="s">
        <v>11256</v>
      </c>
      <c r="CO1222" s="58" t="s">
        <v>11652</v>
      </c>
      <c r="CP1222" s="58" t="s">
        <v>11653</v>
      </c>
      <c r="CR1222" s="58">
        <v>2.0</v>
      </c>
      <c r="CT1222" s="58">
        <v>40.0</v>
      </c>
      <c r="CU1222" s="58" t="s">
        <v>239</v>
      </c>
      <c r="DL1222" s="58" t="s">
        <v>11654</v>
      </c>
    </row>
    <row r="1223" ht="15.75" customHeight="1">
      <c r="B1223" s="58" t="s">
        <v>4587</v>
      </c>
      <c r="C1223" s="58">
        <v>2024.0</v>
      </c>
      <c r="D1223" s="58" t="s">
        <v>11655</v>
      </c>
      <c r="E1223" s="58" t="s">
        <v>11656</v>
      </c>
      <c r="F1223" s="58" t="s">
        <v>11657</v>
      </c>
      <c r="I1223" s="58" t="s">
        <v>11658</v>
      </c>
      <c r="K1223" s="73">
        <v>45371.0</v>
      </c>
      <c r="Z1223" s="58" t="s">
        <v>239</v>
      </c>
      <c r="CH1223" s="58" t="s">
        <v>11659</v>
      </c>
      <c r="CI1223" s="73">
        <v>45371.0</v>
      </c>
      <c r="CJ1223" s="58">
        <v>1.0</v>
      </c>
      <c r="CK1223" s="58">
        <v>6.0</v>
      </c>
      <c r="CL1223" s="58" t="s">
        <v>11660</v>
      </c>
      <c r="CM1223" s="58" t="s">
        <v>11661</v>
      </c>
      <c r="CN1223" s="58" t="s">
        <v>11662</v>
      </c>
      <c r="CO1223" s="58" t="s">
        <v>11663</v>
      </c>
      <c r="CP1223" s="58" t="s">
        <v>11664</v>
      </c>
      <c r="CR1223" s="58">
        <v>2.0</v>
      </c>
      <c r="CT1223" s="58">
        <v>36.0</v>
      </c>
      <c r="CU1223" s="58" t="s">
        <v>239</v>
      </c>
      <c r="DL1223" s="58" t="s">
        <v>11665</v>
      </c>
    </row>
    <row r="1224" ht="15.75" customHeight="1">
      <c r="B1224" s="58" t="s">
        <v>4587</v>
      </c>
      <c r="C1224" s="58">
        <v>2023.0</v>
      </c>
      <c r="D1224" s="58" t="s">
        <v>11666</v>
      </c>
      <c r="E1224" s="58" t="s">
        <v>11667</v>
      </c>
      <c r="F1224" s="58" t="s">
        <v>11668</v>
      </c>
      <c r="H1224" s="58" t="s">
        <v>11669</v>
      </c>
      <c r="I1224" s="58" t="s">
        <v>11670</v>
      </c>
      <c r="K1224" s="73">
        <v>45225.0</v>
      </c>
      <c r="Z1224" s="58" t="s">
        <v>239</v>
      </c>
      <c r="CH1224" s="58" t="s">
        <v>11671</v>
      </c>
      <c r="CI1224" s="73">
        <v>45225.0</v>
      </c>
      <c r="CJ1224" s="58">
        <v>28.0</v>
      </c>
      <c r="CK1224" s="58">
        <v>42.0</v>
      </c>
      <c r="CL1224" s="58" t="s">
        <v>11672</v>
      </c>
      <c r="CM1224" s="58" t="s">
        <v>11673</v>
      </c>
      <c r="CO1224" s="58" t="s">
        <v>11674</v>
      </c>
      <c r="CR1224" s="58">
        <v>2.0</v>
      </c>
      <c r="CT1224" s="58">
        <v>84.0</v>
      </c>
      <c r="CU1224" s="58" t="s">
        <v>239</v>
      </c>
      <c r="DL1224" s="58" t="s">
        <v>11675</v>
      </c>
    </row>
    <row r="1225" ht="15.75" customHeight="1">
      <c r="B1225" s="58" t="s">
        <v>4587</v>
      </c>
      <c r="C1225" s="58">
        <v>2023.0</v>
      </c>
      <c r="D1225" s="58" t="s">
        <v>11676</v>
      </c>
      <c r="E1225" s="58" t="s">
        <v>11677</v>
      </c>
      <c r="F1225" s="58" t="s">
        <v>11678</v>
      </c>
      <c r="I1225" s="58" t="s">
        <v>11679</v>
      </c>
      <c r="K1225" s="73">
        <v>45036.0</v>
      </c>
      <c r="Z1225" s="58" t="s">
        <v>239</v>
      </c>
      <c r="CH1225" s="58" t="s">
        <v>11680</v>
      </c>
      <c r="CI1225" s="73">
        <v>45036.0</v>
      </c>
      <c r="CJ1225" s="58">
        <v>204.0</v>
      </c>
      <c r="CK1225" s="58">
        <v>208.0</v>
      </c>
      <c r="CL1225" s="58" t="s">
        <v>11681</v>
      </c>
      <c r="CM1225" s="58" t="s">
        <v>11682</v>
      </c>
      <c r="CO1225" s="58" t="s">
        <v>11683</v>
      </c>
      <c r="CP1225" s="58" t="s">
        <v>11684</v>
      </c>
      <c r="CR1225" s="58">
        <v>2.0</v>
      </c>
      <c r="CT1225" s="58">
        <v>8.0</v>
      </c>
      <c r="CU1225" s="58" t="s">
        <v>239</v>
      </c>
      <c r="DL1225" s="58" t="s">
        <v>11685</v>
      </c>
    </row>
    <row r="1226" ht="15.75" customHeight="1">
      <c r="B1226" s="58" t="s">
        <v>4587</v>
      </c>
      <c r="C1226" s="58">
        <v>2023.0</v>
      </c>
      <c r="D1226" s="58" t="s">
        <v>11686</v>
      </c>
      <c r="E1226" s="58" t="s">
        <v>11687</v>
      </c>
      <c r="F1226" s="58" t="s">
        <v>11688</v>
      </c>
      <c r="H1226" s="58" t="s">
        <v>11689</v>
      </c>
      <c r="I1226" s="58" t="s">
        <v>11690</v>
      </c>
      <c r="K1226" s="73">
        <v>45140.0</v>
      </c>
      <c r="Z1226" s="58" t="s">
        <v>239</v>
      </c>
      <c r="CH1226" s="58" t="s">
        <v>11691</v>
      </c>
      <c r="CI1226" s="73">
        <v>45140.0</v>
      </c>
      <c r="CJ1226" s="58">
        <v>170.0</v>
      </c>
      <c r="CK1226" s="58">
        <v>175.0</v>
      </c>
      <c r="CL1226" s="58" t="s">
        <v>11692</v>
      </c>
      <c r="CM1226" s="58" t="s">
        <v>11693</v>
      </c>
      <c r="CO1226" s="58" t="s">
        <v>11694</v>
      </c>
      <c r="CP1226" s="58" t="s">
        <v>11695</v>
      </c>
      <c r="CR1226" s="58">
        <v>2.0</v>
      </c>
      <c r="CT1226" s="58">
        <v>32.0</v>
      </c>
      <c r="CU1226" s="58" t="s">
        <v>239</v>
      </c>
      <c r="DL1226" s="58" t="s">
        <v>11696</v>
      </c>
    </row>
    <row r="1227" ht="15.75" customHeight="1">
      <c r="B1227" s="58" t="s">
        <v>4587</v>
      </c>
      <c r="C1227" s="58">
        <v>2023.0</v>
      </c>
      <c r="D1227" s="58" t="s">
        <v>11697</v>
      </c>
      <c r="E1227" s="58" t="s">
        <v>11698</v>
      </c>
      <c r="F1227" s="58" t="s">
        <v>11699</v>
      </c>
      <c r="H1227" s="58" t="s">
        <v>11700</v>
      </c>
      <c r="I1227" s="58" t="s">
        <v>11701</v>
      </c>
      <c r="K1227" s="73">
        <v>45049.0</v>
      </c>
      <c r="Z1227" s="58" t="s">
        <v>239</v>
      </c>
      <c r="CH1227" s="58" t="s">
        <v>11702</v>
      </c>
      <c r="CI1227" s="73">
        <v>45049.0</v>
      </c>
      <c r="CJ1227" s="58">
        <v>120.0</v>
      </c>
      <c r="CK1227" s="58">
        <v>124.0</v>
      </c>
      <c r="CL1227" s="58" t="s">
        <v>11703</v>
      </c>
      <c r="CM1227" s="58" t="s">
        <v>11704</v>
      </c>
      <c r="CO1227" s="58" t="s">
        <v>11705</v>
      </c>
      <c r="CP1227" s="58" t="s">
        <v>11706</v>
      </c>
      <c r="CR1227" s="58">
        <v>2.0</v>
      </c>
      <c r="CT1227" s="58">
        <v>11.0</v>
      </c>
      <c r="CU1227" s="58" t="s">
        <v>239</v>
      </c>
      <c r="DL1227" s="58" t="s">
        <v>11707</v>
      </c>
    </row>
    <row r="1228" ht="15.75" customHeight="1">
      <c r="B1228" s="58" t="s">
        <v>4587</v>
      </c>
      <c r="C1228" s="58">
        <v>2023.0</v>
      </c>
      <c r="D1228" s="58" t="s">
        <v>11708</v>
      </c>
      <c r="E1228" s="58" t="s">
        <v>11709</v>
      </c>
      <c r="F1228" s="58" t="s">
        <v>11710</v>
      </c>
      <c r="H1228" s="58" t="s">
        <v>11711</v>
      </c>
      <c r="I1228" s="58" t="s">
        <v>11712</v>
      </c>
      <c r="K1228" s="73">
        <v>45219.0</v>
      </c>
      <c r="Z1228" s="58" t="s">
        <v>239</v>
      </c>
      <c r="CH1228" s="58" t="s">
        <v>11713</v>
      </c>
      <c r="CI1228" s="73">
        <v>45219.0</v>
      </c>
      <c r="CJ1228" s="58">
        <v>15.0</v>
      </c>
      <c r="CK1228" s="58">
        <v>24.0</v>
      </c>
      <c r="CL1228" s="58" t="s">
        <v>11714</v>
      </c>
      <c r="CM1228" s="58" t="s">
        <v>11715</v>
      </c>
      <c r="CO1228" s="58" t="s">
        <v>11716</v>
      </c>
      <c r="CP1228" s="58" t="s">
        <v>11717</v>
      </c>
      <c r="CR1228" s="58">
        <v>2.0</v>
      </c>
      <c r="CT1228" s="58">
        <v>53.0</v>
      </c>
      <c r="CU1228" s="58" t="s">
        <v>239</v>
      </c>
      <c r="DL1228" s="58" t="s">
        <v>11718</v>
      </c>
    </row>
    <row r="1229" ht="15.75" customHeight="1">
      <c r="B1229" s="58" t="s">
        <v>4587</v>
      </c>
      <c r="C1229" s="58">
        <v>2023.0</v>
      </c>
      <c r="D1229" s="58" t="s">
        <v>11719</v>
      </c>
      <c r="E1229" s="58" t="s">
        <v>11720</v>
      </c>
      <c r="F1229" s="58" t="s">
        <v>11721</v>
      </c>
      <c r="H1229" s="58" t="s">
        <v>11722</v>
      </c>
      <c r="I1229" s="58" t="s">
        <v>11723</v>
      </c>
      <c r="K1229" s="73">
        <v>45145.0</v>
      </c>
      <c r="Z1229" s="58" t="s">
        <v>239</v>
      </c>
      <c r="CH1229" s="58" t="s">
        <v>11724</v>
      </c>
      <c r="CI1229" s="73">
        <v>45145.0</v>
      </c>
      <c r="CJ1229" s="58">
        <v>901.0</v>
      </c>
      <c r="CK1229" s="58">
        <v>906.0</v>
      </c>
      <c r="CL1229" s="58" t="s">
        <v>11725</v>
      </c>
      <c r="CM1229" s="58" t="s">
        <v>11726</v>
      </c>
      <c r="CO1229" s="58" t="s">
        <v>11727</v>
      </c>
      <c r="CP1229" s="58" t="s">
        <v>11728</v>
      </c>
      <c r="CR1229" s="58">
        <v>2.0</v>
      </c>
      <c r="CT1229" s="58">
        <v>34.0</v>
      </c>
      <c r="CU1229" s="58" t="s">
        <v>239</v>
      </c>
      <c r="DL1229" s="58" t="s">
        <v>11729</v>
      </c>
    </row>
    <row r="1230" ht="15.75" customHeight="1">
      <c r="B1230" s="58" t="s">
        <v>4587</v>
      </c>
      <c r="C1230" s="58">
        <v>2023.0</v>
      </c>
      <c r="D1230" s="58" t="s">
        <v>11730</v>
      </c>
      <c r="E1230" s="58" t="s">
        <v>11731</v>
      </c>
      <c r="F1230" s="58" t="s">
        <v>11732</v>
      </c>
      <c r="H1230" s="58" t="s">
        <v>5003</v>
      </c>
      <c r="I1230" s="58" t="s">
        <v>11733</v>
      </c>
      <c r="K1230" s="73">
        <v>45348.0</v>
      </c>
      <c r="Z1230" s="58" t="s">
        <v>239</v>
      </c>
      <c r="CH1230" s="58" t="s">
        <v>11734</v>
      </c>
      <c r="CI1230" s="73">
        <v>45348.0</v>
      </c>
      <c r="CJ1230" s="58">
        <v>4680.0</v>
      </c>
      <c r="CK1230" s="58">
        <v>4685.0</v>
      </c>
      <c r="CL1230" s="58" t="s">
        <v>11735</v>
      </c>
      <c r="CM1230" s="58" t="s">
        <v>11736</v>
      </c>
      <c r="CO1230" s="58" t="s">
        <v>11737</v>
      </c>
      <c r="CP1230" s="58" t="s">
        <v>11738</v>
      </c>
      <c r="CR1230" s="58">
        <v>2.0</v>
      </c>
      <c r="CT1230" s="58">
        <v>12.0</v>
      </c>
      <c r="CU1230" s="58" t="s">
        <v>239</v>
      </c>
      <c r="DL1230" s="58" t="s">
        <v>11739</v>
      </c>
    </row>
    <row r="1231" ht="15.75" customHeight="1">
      <c r="B1231" s="58" t="s">
        <v>4587</v>
      </c>
      <c r="C1231" s="58">
        <v>2023.0</v>
      </c>
      <c r="D1231" s="58" t="s">
        <v>11740</v>
      </c>
      <c r="E1231" s="58" t="s">
        <v>11741</v>
      </c>
      <c r="F1231" s="58" t="s">
        <v>11742</v>
      </c>
      <c r="I1231" s="58" t="s">
        <v>11743</v>
      </c>
      <c r="K1231" s="73">
        <v>45065.0</v>
      </c>
      <c r="Z1231" s="58" t="s">
        <v>239</v>
      </c>
      <c r="CH1231" s="58" t="s">
        <v>11744</v>
      </c>
      <c r="CI1231" s="73">
        <v>45065.0</v>
      </c>
      <c r="CJ1231" s="58">
        <v>1.0</v>
      </c>
      <c r="CK1231" s="58">
        <v>3.0</v>
      </c>
      <c r="CL1231" s="58" t="s">
        <v>11745</v>
      </c>
      <c r="CM1231" s="58" t="s">
        <v>11746</v>
      </c>
      <c r="CO1231" s="58" t="s">
        <v>11747</v>
      </c>
      <c r="CP1231" s="58" t="s">
        <v>11748</v>
      </c>
      <c r="CR1231" s="58">
        <v>2.0</v>
      </c>
      <c r="CT1231" s="58">
        <v>8.0</v>
      </c>
      <c r="DL1231" s="58" t="s">
        <v>11749</v>
      </c>
    </row>
    <row r="1232" ht="15.75" customHeight="1">
      <c r="B1232" s="58" t="s">
        <v>4587</v>
      </c>
      <c r="C1232" s="58">
        <v>2023.0</v>
      </c>
      <c r="D1232" s="58" t="s">
        <v>11750</v>
      </c>
      <c r="E1232" s="58" t="s">
        <v>11751</v>
      </c>
      <c r="F1232" s="58" t="s">
        <v>11752</v>
      </c>
      <c r="H1232" s="58" t="s">
        <v>11753</v>
      </c>
      <c r="I1232" s="58" t="s">
        <v>11754</v>
      </c>
      <c r="K1232" s="73">
        <v>45279.0</v>
      </c>
      <c r="Z1232" s="58" t="s">
        <v>239</v>
      </c>
      <c r="CH1232" s="58" t="s">
        <v>11755</v>
      </c>
      <c r="CI1232" s="73">
        <v>45279.0</v>
      </c>
      <c r="CJ1232" s="58">
        <v>1.0</v>
      </c>
      <c r="CK1232" s="58">
        <v>6.0</v>
      </c>
      <c r="CL1232" s="58" t="s">
        <v>11756</v>
      </c>
      <c r="CM1232" s="58" t="s">
        <v>11757</v>
      </c>
      <c r="CO1232" s="58" t="s">
        <v>11758</v>
      </c>
      <c r="CP1232" s="58" t="s">
        <v>11759</v>
      </c>
      <c r="CR1232" s="58">
        <v>2.0</v>
      </c>
      <c r="CT1232" s="58">
        <v>37.0</v>
      </c>
      <c r="CU1232" s="58" t="s">
        <v>239</v>
      </c>
      <c r="DL1232" s="58" t="s">
        <v>11760</v>
      </c>
    </row>
    <row r="1233" ht="15.75" customHeight="1">
      <c r="B1233" s="58" t="s">
        <v>4587</v>
      </c>
      <c r="C1233" s="58">
        <v>2023.0</v>
      </c>
      <c r="D1233" s="58" t="s">
        <v>11761</v>
      </c>
      <c r="E1233" s="58" t="s">
        <v>11762</v>
      </c>
      <c r="F1233" s="58" t="s">
        <v>11763</v>
      </c>
      <c r="I1233" s="58" t="s">
        <v>11764</v>
      </c>
      <c r="K1233" s="73">
        <v>45260.0</v>
      </c>
      <c r="R1233" s="58">
        <v>2.0</v>
      </c>
      <c r="Z1233" s="58" t="s">
        <v>239</v>
      </c>
      <c r="CH1233" s="58" t="s">
        <v>11765</v>
      </c>
      <c r="CI1233" s="73">
        <v>45260.0</v>
      </c>
      <c r="CJ1233" s="58">
        <v>191.0</v>
      </c>
      <c r="CK1233" s="58">
        <v>194.0</v>
      </c>
      <c r="CL1233" s="58" t="s">
        <v>11766</v>
      </c>
      <c r="CM1233" s="58" t="s">
        <v>11767</v>
      </c>
      <c r="CN1233" s="58" t="s">
        <v>11768</v>
      </c>
      <c r="CO1233" s="58" t="s">
        <v>11769</v>
      </c>
      <c r="CP1233" s="58" t="s">
        <v>11770</v>
      </c>
      <c r="CR1233" s="58">
        <v>2.0</v>
      </c>
      <c r="CT1233" s="58">
        <v>21.0</v>
      </c>
      <c r="CU1233" s="58" t="s">
        <v>239</v>
      </c>
      <c r="DL1233" s="58" t="s">
        <v>11771</v>
      </c>
    </row>
    <row r="1234" ht="15.75" customHeight="1">
      <c r="B1234" s="58" t="s">
        <v>4587</v>
      </c>
      <c r="C1234" s="58">
        <v>2023.0</v>
      </c>
      <c r="D1234" s="58" t="s">
        <v>11772</v>
      </c>
      <c r="E1234" s="58" t="s">
        <v>11773</v>
      </c>
      <c r="F1234" s="58" t="s">
        <v>11262</v>
      </c>
      <c r="H1234" s="58" t="s">
        <v>11263</v>
      </c>
      <c r="I1234" s="58" t="s">
        <v>11774</v>
      </c>
      <c r="K1234" s="73">
        <v>45196.0</v>
      </c>
      <c r="Z1234" s="58" t="s">
        <v>239</v>
      </c>
      <c r="CH1234" s="58" t="s">
        <v>11775</v>
      </c>
      <c r="CI1234" s="73">
        <v>45196.0</v>
      </c>
      <c r="CJ1234" s="58">
        <v>201.0</v>
      </c>
      <c r="CK1234" s="58">
        <v>208.0</v>
      </c>
      <c r="CL1234" s="58" t="s">
        <v>11776</v>
      </c>
      <c r="CM1234" s="58" t="s">
        <v>11267</v>
      </c>
      <c r="CN1234" s="58" t="s">
        <v>11777</v>
      </c>
      <c r="CO1234" s="58" t="s">
        <v>11778</v>
      </c>
      <c r="CP1234" s="58" t="s">
        <v>11779</v>
      </c>
      <c r="CR1234" s="58">
        <v>1.0</v>
      </c>
      <c r="CT1234" s="58">
        <v>13.0</v>
      </c>
      <c r="CU1234" s="58" t="s">
        <v>239</v>
      </c>
      <c r="DL1234" s="58" t="s">
        <v>11780</v>
      </c>
    </row>
    <row r="1235" ht="15.75" customHeight="1">
      <c r="B1235" s="58" t="s">
        <v>4587</v>
      </c>
      <c r="C1235" s="58">
        <v>2023.0</v>
      </c>
      <c r="D1235" s="58" t="s">
        <v>11781</v>
      </c>
      <c r="E1235" s="58" t="s">
        <v>11782</v>
      </c>
      <c r="F1235" s="58" t="s">
        <v>11783</v>
      </c>
      <c r="H1235" s="58" t="s">
        <v>11784</v>
      </c>
      <c r="I1235" s="58" t="s">
        <v>11785</v>
      </c>
      <c r="K1235" s="73">
        <v>45110.0</v>
      </c>
      <c r="Z1235" s="58" t="s">
        <v>239</v>
      </c>
      <c r="CH1235" s="58" t="s">
        <v>11786</v>
      </c>
      <c r="CI1235" s="73">
        <v>45110.0</v>
      </c>
      <c r="CJ1235" s="58">
        <v>149.0</v>
      </c>
      <c r="CK1235" s="58">
        <v>154.0</v>
      </c>
      <c r="CL1235" s="58" t="s">
        <v>11787</v>
      </c>
      <c r="CM1235" s="58" t="s">
        <v>11788</v>
      </c>
      <c r="CO1235" s="58" t="s">
        <v>11789</v>
      </c>
      <c r="CP1235" s="58" t="s">
        <v>11790</v>
      </c>
      <c r="CR1235" s="58">
        <v>1.0</v>
      </c>
      <c r="CT1235" s="58">
        <v>24.0</v>
      </c>
      <c r="CU1235" s="58" t="s">
        <v>239</v>
      </c>
      <c r="DL1235" s="58" t="s">
        <v>11791</v>
      </c>
    </row>
    <row r="1236" ht="15.75" customHeight="1">
      <c r="B1236" s="58" t="s">
        <v>4587</v>
      </c>
      <c r="C1236" s="58">
        <v>2023.0</v>
      </c>
      <c r="D1236" s="58" t="s">
        <v>11792</v>
      </c>
      <c r="E1236" s="58" t="s">
        <v>11793</v>
      </c>
      <c r="F1236" s="58" t="s">
        <v>11140</v>
      </c>
      <c r="H1236" s="58" t="s">
        <v>11141</v>
      </c>
      <c r="I1236" s="58" t="s">
        <v>11794</v>
      </c>
      <c r="K1236" s="73">
        <v>45236.0</v>
      </c>
      <c r="Z1236" s="58" t="s">
        <v>239</v>
      </c>
      <c r="CH1236" s="58" t="s">
        <v>11795</v>
      </c>
      <c r="CI1236" s="73">
        <v>45236.0</v>
      </c>
      <c r="CJ1236" s="58">
        <v>153.0</v>
      </c>
      <c r="CK1236" s="58">
        <v>160.0</v>
      </c>
      <c r="CL1236" s="58" t="s">
        <v>11796</v>
      </c>
      <c r="CM1236" s="58" t="s">
        <v>11145</v>
      </c>
      <c r="CO1236" s="58" t="s">
        <v>11797</v>
      </c>
      <c r="CP1236" s="58" t="s">
        <v>11798</v>
      </c>
      <c r="CR1236" s="58">
        <v>1.0</v>
      </c>
      <c r="CT1236" s="58">
        <v>22.0</v>
      </c>
      <c r="CU1236" s="58" t="s">
        <v>239</v>
      </c>
      <c r="DL1236" s="58" t="s">
        <v>11799</v>
      </c>
    </row>
    <row r="1237" ht="15.75" customHeight="1">
      <c r="B1237" s="58" t="s">
        <v>4587</v>
      </c>
      <c r="C1237" s="58">
        <v>2023.0</v>
      </c>
      <c r="D1237" s="58" t="s">
        <v>11800</v>
      </c>
      <c r="E1237" s="58" t="s">
        <v>11801</v>
      </c>
      <c r="F1237" s="58" t="s">
        <v>11802</v>
      </c>
      <c r="H1237" s="58" t="s">
        <v>5253</v>
      </c>
      <c r="I1237" s="58" t="s">
        <v>11803</v>
      </c>
      <c r="K1237" s="73">
        <v>45355.0</v>
      </c>
      <c r="Z1237" s="58" t="s">
        <v>239</v>
      </c>
      <c r="CH1237" s="58" t="s">
        <v>11804</v>
      </c>
      <c r="CI1237" s="73">
        <v>45355.0</v>
      </c>
      <c r="CJ1237" s="58">
        <v>8.0</v>
      </c>
      <c r="CK1237" s="58">
        <v>14.0</v>
      </c>
      <c r="CL1237" s="58" t="s">
        <v>11805</v>
      </c>
      <c r="CM1237" s="58" t="s">
        <v>11806</v>
      </c>
      <c r="CO1237" s="58" t="s">
        <v>11807</v>
      </c>
      <c r="CR1237" s="58">
        <v>1.0</v>
      </c>
      <c r="CT1237" s="58">
        <v>14.0</v>
      </c>
      <c r="CU1237" s="58" t="s">
        <v>239</v>
      </c>
      <c r="DL1237" s="58" t="s">
        <v>11808</v>
      </c>
    </row>
    <row r="1238" ht="15.75" customHeight="1">
      <c r="B1238" s="58" t="s">
        <v>4587</v>
      </c>
      <c r="C1238" s="58">
        <v>2024.0</v>
      </c>
      <c r="D1238" s="58" t="s">
        <v>11809</v>
      </c>
      <c r="E1238" s="58" t="s">
        <v>11810</v>
      </c>
      <c r="F1238" s="58" t="s">
        <v>11811</v>
      </c>
      <c r="I1238" s="58" t="s">
        <v>11812</v>
      </c>
      <c r="K1238" s="73">
        <v>45600.0</v>
      </c>
      <c r="Z1238" s="58" t="s">
        <v>239</v>
      </c>
      <c r="CH1238" s="58" t="s">
        <v>11813</v>
      </c>
      <c r="CI1238" s="73">
        <v>45600.0</v>
      </c>
      <c r="CJ1238" s="58">
        <v>21.0</v>
      </c>
      <c r="CK1238" s="58">
        <v>34.0</v>
      </c>
      <c r="CL1238" s="58" t="s">
        <v>11814</v>
      </c>
      <c r="CM1238" s="58" t="s">
        <v>11815</v>
      </c>
      <c r="CO1238" s="58" t="s">
        <v>11816</v>
      </c>
      <c r="CP1238" s="58" t="s">
        <v>11817</v>
      </c>
      <c r="CR1238" s="58">
        <v>1.0</v>
      </c>
      <c r="CT1238" s="58">
        <v>113.0</v>
      </c>
      <c r="DL1238" s="58" t="s">
        <v>11818</v>
      </c>
    </row>
    <row r="1239" ht="15.75" customHeight="1">
      <c r="B1239" s="58" t="s">
        <v>4587</v>
      </c>
      <c r="C1239" s="58">
        <v>2023.0</v>
      </c>
      <c r="D1239" s="58" t="s">
        <v>11819</v>
      </c>
      <c r="E1239" s="58" t="s">
        <v>11820</v>
      </c>
      <c r="F1239" s="58" t="s">
        <v>11821</v>
      </c>
      <c r="H1239" s="58" t="s">
        <v>8363</v>
      </c>
      <c r="I1239" s="58" t="s">
        <v>11822</v>
      </c>
      <c r="K1239" s="73">
        <v>45258.0</v>
      </c>
      <c r="Z1239" s="58" t="s">
        <v>239</v>
      </c>
      <c r="CH1239" s="58" t="s">
        <v>11823</v>
      </c>
      <c r="CI1239" s="73">
        <v>45258.0</v>
      </c>
      <c r="CJ1239" s="58">
        <v>1.0</v>
      </c>
      <c r="CK1239" s="58">
        <v>9.0</v>
      </c>
      <c r="CL1239" s="58" t="s">
        <v>11824</v>
      </c>
      <c r="CM1239" s="58" t="s">
        <v>11825</v>
      </c>
      <c r="CN1239" s="58" t="s">
        <v>11826</v>
      </c>
      <c r="CO1239" s="58" t="s">
        <v>11827</v>
      </c>
      <c r="CP1239" s="58" t="s">
        <v>11828</v>
      </c>
      <c r="CR1239" s="58">
        <v>1.0</v>
      </c>
      <c r="CT1239" s="58">
        <v>43.0</v>
      </c>
      <c r="DL1239" s="58" t="s">
        <v>11829</v>
      </c>
    </row>
    <row r="1240" ht="15.75" customHeight="1">
      <c r="B1240" s="58" t="s">
        <v>4587</v>
      </c>
      <c r="C1240" s="58">
        <v>2023.0</v>
      </c>
      <c r="D1240" s="58" t="s">
        <v>11830</v>
      </c>
      <c r="E1240" s="58" t="s">
        <v>11831</v>
      </c>
      <c r="F1240" s="58" t="s">
        <v>11832</v>
      </c>
      <c r="H1240" s="58" t="s">
        <v>11833</v>
      </c>
      <c r="I1240" s="58" t="s">
        <v>11834</v>
      </c>
      <c r="K1240" s="73">
        <v>45320.0</v>
      </c>
      <c r="Z1240" s="58" t="s">
        <v>239</v>
      </c>
      <c r="CH1240" s="58" t="s">
        <v>11835</v>
      </c>
      <c r="CI1240" s="73">
        <v>45320.0</v>
      </c>
      <c r="CJ1240" s="58">
        <v>356.0</v>
      </c>
      <c r="CK1240" s="58">
        <v>362.0</v>
      </c>
      <c r="CL1240" s="58" t="s">
        <v>11836</v>
      </c>
      <c r="CM1240" s="58" t="s">
        <v>11837</v>
      </c>
      <c r="CO1240" s="58" t="s">
        <v>11838</v>
      </c>
      <c r="CP1240" s="58" t="s">
        <v>11839</v>
      </c>
      <c r="CR1240" s="58">
        <v>1.0</v>
      </c>
      <c r="CT1240" s="58">
        <v>33.0</v>
      </c>
      <c r="CU1240" s="58" t="s">
        <v>239</v>
      </c>
      <c r="DL1240" s="58" t="s">
        <v>11840</v>
      </c>
    </row>
    <row r="1241" ht="15.75" customHeight="1">
      <c r="B1241" s="58" t="s">
        <v>4587</v>
      </c>
      <c r="C1241" s="58">
        <v>2024.0</v>
      </c>
      <c r="D1241" s="58" t="s">
        <v>11841</v>
      </c>
      <c r="E1241" s="58" t="s">
        <v>11842</v>
      </c>
      <c r="F1241" s="58" t="s">
        <v>11843</v>
      </c>
      <c r="H1241" s="58" t="s">
        <v>11844</v>
      </c>
      <c r="I1241" s="58" t="s">
        <v>11845</v>
      </c>
      <c r="K1241" s="73">
        <v>45463.0</v>
      </c>
      <c r="Z1241" s="58" t="s">
        <v>239</v>
      </c>
      <c r="CH1241" s="58" t="s">
        <v>11846</v>
      </c>
      <c r="CI1241" s="73">
        <v>45463.0</v>
      </c>
      <c r="CJ1241" s="58">
        <v>1.0</v>
      </c>
      <c r="CK1241" s="58">
        <v>8.0</v>
      </c>
      <c r="CL1241" s="58" t="s">
        <v>11847</v>
      </c>
      <c r="CM1241" s="58" t="s">
        <v>11848</v>
      </c>
      <c r="CO1241" s="58" t="s">
        <v>11849</v>
      </c>
      <c r="CP1241" s="58" t="s">
        <v>11850</v>
      </c>
      <c r="CR1241" s="58">
        <v>1.0</v>
      </c>
      <c r="CT1241" s="58">
        <v>18.0</v>
      </c>
      <c r="CU1241" s="58" t="s">
        <v>239</v>
      </c>
      <c r="DL1241" s="58" t="s">
        <v>11851</v>
      </c>
    </row>
    <row r="1242" ht="15.75" customHeight="1">
      <c r="B1242" s="58" t="s">
        <v>4587</v>
      </c>
      <c r="C1242" s="58">
        <v>2024.0</v>
      </c>
      <c r="D1242" s="58" t="s">
        <v>11852</v>
      </c>
      <c r="E1242" s="58" t="s">
        <v>11853</v>
      </c>
      <c r="F1242" s="58" t="s">
        <v>11854</v>
      </c>
      <c r="H1242" s="58" t="s">
        <v>11493</v>
      </c>
      <c r="I1242" s="58" t="s">
        <v>11855</v>
      </c>
      <c r="K1242" s="73">
        <v>45525.0</v>
      </c>
      <c r="Z1242" s="58" t="s">
        <v>239</v>
      </c>
      <c r="CH1242" s="58" t="s">
        <v>11856</v>
      </c>
      <c r="CI1242" s="73">
        <v>45525.0</v>
      </c>
      <c r="CJ1242" s="58">
        <v>111.0</v>
      </c>
      <c r="CK1242" s="58">
        <v>118.0</v>
      </c>
      <c r="CL1242" s="58" t="s">
        <v>11857</v>
      </c>
      <c r="CM1242" s="58" t="s">
        <v>11858</v>
      </c>
      <c r="CO1242" s="58" t="s">
        <v>11859</v>
      </c>
      <c r="CP1242" s="58" t="s">
        <v>11860</v>
      </c>
      <c r="CR1242" s="58">
        <v>1.0</v>
      </c>
      <c r="CT1242" s="58">
        <v>43.0</v>
      </c>
      <c r="CU1242" s="58" t="s">
        <v>239</v>
      </c>
      <c r="DL1242" s="58" t="s">
        <v>11861</v>
      </c>
    </row>
    <row r="1243" ht="15.75" customHeight="1">
      <c r="B1243" s="58" t="s">
        <v>4587</v>
      </c>
      <c r="C1243" s="58">
        <v>2023.0</v>
      </c>
      <c r="D1243" s="58" t="s">
        <v>11862</v>
      </c>
      <c r="E1243" s="58" t="s">
        <v>11863</v>
      </c>
      <c r="F1243" s="58" t="s">
        <v>11864</v>
      </c>
      <c r="H1243" s="58" t="s">
        <v>6726</v>
      </c>
      <c r="I1243" s="58" t="s">
        <v>11865</v>
      </c>
      <c r="K1243" s="73">
        <v>45425.0</v>
      </c>
      <c r="Z1243" s="58" t="s">
        <v>239</v>
      </c>
      <c r="CH1243" s="58" t="s">
        <v>11866</v>
      </c>
      <c r="CI1243" s="73">
        <v>45425.0</v>
      </c>
      <c r="CJ1243" s="58">
        <v>1.0</v>
      </c>
      <c r="CK1243" s="58">
        <v>7.0</v>
      </c>
      <c r="CL1243" s="58" t="s">
        <v>11867</v>
      </c>
      <c r="CM1243" s="58" t="s">
        <v>11868</v>
      </c>
      <c r="CO1243" s="58" t="s">
        <v>11869</v>
      </c>
      <c r="CR1243" s="58">
        <v>1.0</v>
      </c>
      <c r="CT1243" s="58">
        <v>48.0</v>
      </c>
      <c r="CU1243" s="58" t="s">
        <v>239</v>
      </c>
      <c r="DL1243" s="58" t="s">
        <v>11870</v>
      </c>
    </row>
    <row r="1244" ht="15.75" customHeight="1">
      <c r="B1244" s="58" t="s">
        <v>4587</v>
      </c>
      <c r="C1244" s="58">
        <v>2023.0</v>
      </c>
      <c r="D1244" s="58" t="s">
        <v>11871</v>
      </c>
      <c r="E1244" s="58" t="s">
        <v>11872</v>
      </c>
      <c r="F1244" s="58" t="s">
        <v>11873</v>
      </c>
      <c r="H1244" s="58" t="s">
        <v>11874</v>
      </c>
      <c r="I1244" s="58" t="s">
        <v>11875</v>
      </c>
      <c r="K1244" s="73">
        <v>45161.0</v>
      </c>
      <c r="Z1244" s="58" t="s">
        <v>239</v>
      </c>
      <c r="CH1244" s="58" t="s">
        <v>11876</v>
      </c>
      <c r="CI1244" s="73">
        <v>45161.0</v>
      </c>
      <c r="CJ1244" s="58">
        <v>245.0</v>
      </c>
      <c r="CK1244" s="58">
        <v>250.0</v>
      </c>
      <c r="CL1244" s="58" t="s">
        <v>11877</v>
      </c>
      <c r="CM1244" s="58" t="s">
        <v>11878</v>
      </c>
      <c r="CO1244" s="58" t="s">
        <v>11879</v>
      </c>
      <c r="CP1244" s="58" t="s">
        <v>11880</v>
      </c>
      <c r="CR1244" s="58">
        <v>1.0</v>
      </c>
      <c r="CT1244" s="58">
        <v>15.0</v>
      </c>
      <c r="CU1244" s="58" t="s">
        <v>239</v>
      </c>
      <c r="DL1244" s="58" t="s">
        <v>11881</v>
      </c>
    </row>
    <row r="1245" ht="15.75" customHeight="1">
      <c r="B1245" s="58" t="s">
        <v>4587</v>
      </c>
      <c r="C1245" s="58">
        <v>2024.0</v>
      </c>
      <c r="D1245" s="58" t="s">
        <v>11882</v>
      </c>
      <c r="E1245" s="58" t="s">
        <v>11883</v>
      </c>
      <c r="F1245" s="58" t="s">
        <v>11884</v>
      </c>
      <c r="H1245" s="58" t="s">
        <v>5402</v>
      </c>
      <c r="I1245" s="58" t="s">
        <v>11885</v>
      </c>
      <c r="K1245" s="73">
        <v>45369.0</v>
      </c>
      <c r="Z1245" s="58" t="s">
        <v>239</v>
      </c>
      <c r="CH1245" s="58" t="s">
        <v>11886</v>
      </c>
      <c r="CI1245" s="73">
        <v>45369.0</v>
      </c>
      <c r="CJ1245" s="58">
        <v>752.0</v>
      </c>
      <c r="CK1245" s="58">
        <v>758.0</v>
      </c>
      <c r="CL1245" s="58" t="s">
        <v>11887</v>
      </c>
      <c r="CM1245" s="58" t="s">
        <v>11888</v>
      </c>
      <c r="CO1245" s="58" t="s">
        <v>11889</v>
      </c>
      <c r="CP1245" s="58" t="s">
        <v>11890</v>
      </c>
      <c r="CR1245" s="58">
        <v>1.0</v>
      </c>
      <c r="CT1245" s="58">
        <v>48.0</v>
      </c>
      <c r="CU1245" s="58" t="s">
        <v>239</v>
      </c>
      <c r="DL1245" s="58" t="s">
        <v>11891</v>
      </c>
    </row>
    <row r="1246" ht="15.75" customHeight="1">
      <c r="B1246" s="58" t="s">
        <v>4587</v>
      </c>
      <c r="C1246" s="58">
        <v>2023.0</v>
      </c>
      <c r="D1246" s="58" t="s">
        <v>11892</v>
      </c>
      <c r="E1246" s="58" t="s">
        <v>11893</v>
      </c>
      <c r="F1246" s="58" t="s">
        <v>11894</v>
      </c>
      <c r="I1246" s="58" t="s">
        <v>11895</v>
      </c>
      <c r="K1246" s="73">
        <v>45321.0</v>
      </c>
      <c r="Z1246" s="58" t="s">
        <v>239</v>
      </c>
      <c r="CH1246" s="58" t="s">
        <v>11896</v>
      </c>
      <c r="CI1246" s="73">
        <v>45321.0</v>
      </c>
      <c r="CJ1246" s="58">
        <v>1.0</v>
      </c>
      <c r="CK1246" s="58">
        <v>5.0</v>
      </c>
      <c r="CL1246" s="58" t="s">
        <v>11897</v>
      </c>
      <c r="CM1246" s="58" t="s">
        <v>11898</v>
      </c>
      <c r="CO1246" s="58" t="s">
        <v>11899</v>
      </c>
      <c r="CP1246" s="58" t="s">
        <v>11900</v>
      </c>
      <c r="CR1246" s="58">
        <v>1.0</v>
      </c>
      <c r="CT1246" s="58">
        <v>27.0</v>
      </c>
      <c r="CU1246" s="58" t="s">
        <v>239</v>
      </c>
      <c r="DL1246" s="58" t="s">
        <v>11901</v>
      </c>
    </row>
    <row r="1247" ht="15.75" customHeight="1">
      <c r="B1247" s="58" t="s">
        <v>4587</v>
      </c>
      <c r="C1247" s="58">
        <v>2023.0</v>
      </c>
      <c r="D1247" s="58" t="s">
        <v>11902</v>
      </c>
      <c r="E1247" s="58" t="s">
        <v>11903</v>
      </c>
      <c r="F1247" s="58" t="s">
        <v>11904</v>
      </c>
      <c r="H1247" s="58" t="s">
        <v>10814</v>
      </c>
      <c r="I1247" s="58" t="s">
        <v>11905</v>
      </c>
      <c r="K1247" s="73">
        <v>45180.0</v>
      </c>
      <c r="Z1247" s="58" t="s">
        <v>239</v>
      </c>
      <c r="CH1247" s="58" t="s">
        <v>11906</v>
      </c>
      <c r="CI1247" s="73">
        <v>45180.0</v>
      </c>
      <c r="CJ1247" s="58">
        <v>1615.0</v>
      </c>
      <c r="CK1247" s="58">
        <v>1619.0</v>
      </c>
      <c r="CL1247" s="58" t="s">
        <v>11907</v>
      </c>
      <c r="CM1247" s="58" t="s">
        <v>11908</v>
      </c>
      <c r="CO1247" s="58" t="s">
        <v>11909</v>
      </c>
      <c r="CP1247" s="58" t="s">
        <v>11910</v>
      </c>
      <c r="CR1247" s="58">
        <v>1.0</v>
      </c>
      <c r="CT1247" s="58">
        <v>16.0</v>
      </c>
      <c r="CU1247" s="58" t="s">
        <v>239</v>
      </c>
      <c r="DL1247" s="58" t="s">
        <v>11911</v>
      </c>
    </row>
    <row r="1248" ht="15.75" customHeight="1">
      <c r="B1248" s="58" t="s">
        <v>4587</v>
      </c>
      <c r="C1248" s="58">
        <v>2023.0</v>
      </c>
      <c r="D1248" s="58" t="s">
        <v>11912</v>
      </c>
      <c r="E1248" s="58" t="s">
        <v>11913</v>
      </c>
      <c r="F1248" s="58" t="s">
        <v>11914</v>
      </c>
      <c r="I1248" s="58" t="s">
        <v>11915</v>
      </c>
      <c r="K1248" s="73">
        <v>45152.0</v>
      </c>
      <c r="Z1248" s="58" t="s">
        <v>239</v>
      </c>
      <c r="CH1248" s="58" t="s">
        <v>11916</v>
      </c>
      <c r="CI1248" s="73">
        <v>45152.0</v>
      </c>
      <c r="CJ1248" s="58">
        <v>11.0</v>
      </c>
      <c r="CK1248" s="58">
        <v>22.0</v>
      </c>
      <c r="CL1248" s="58" t="s">
        <v>11917</v>
      </c>
      <c r="CM1248" s="58" t="s">
        <v>11918</v>
      </c>
      <c r="CO1248" s="58" t="s">
        <v>11919</v>
      </c>
      <c r="CP1248" s="58" t="s">
        <v>11920</v>
      </c>
      <c r="CR1248" s="58">
        <v>1.0</v>
      </c>
      <c r="CT1248" s="58">
        <v>54.0</v>
      </c>
      <c r="CU1248" s="58" t="s">
        <v>239</v>
      </c>
      <c r="DL1248" s="58" t="s">
        <v>11921</v>
      </c>
    </row>
    <row r="1249" ht="15.75" customHeight="1">
      <c r="B1249" s="58" t="s">
        <v>4587</v>
      </c>
      <c r="C1249" s="58">
        <v>2023.0</v>
      </c>
      <c r="D1249" s="58" t="s">
        <v>11922</v>
      </c>
      <c r="E1249" s="58" t="s">
        <v>11923</v>
      </c>
      <c r="F1249" s="58" t="s">
        <v>11924</v>
      </c>
      <c r="I1249" s="58" t="s">
        <v>11925</v>
      </c>
      <c r="K1249" s="73">
        <v>45098.0</v>
      </c>
      <c r="Z1249" s="58" t="s">
        <v>239</v>
      </c>
      <c r="CH1249" s="58" t="s">
        <v>11926</v>
      </c>
      <c r="CI1249" s="73">
        <v>45098.0</v>
      </c>
      <c r="CJ1249" s="58">
        <v>1.0</v>
      </c>
      <c r="CK1249" s="58">
        <v>6.0</v>
      </c>
      <c r="CL1249" s="58" t="s">
        <v>11927</v>
      </c>
      <c r="CM1249" s="58" t="s">
        <v>11928</v>
      </c>
      <c r="CO1249" s="58" t="s">
        <v>11929</v>
      </c>
      <c r="CP1249" s="58" t="s">
        <v>11930</v>
      </c>
      <c r="CR1249" s="58">
        <v>1.0</v>
      </c>
      <c r="CT1249" s="58">
        <v>12.0</v>
      </c>
      <c r="CU1249" s="58" t="s">
        <v>239</v>
      </c>
      <c r="DL1249" s="58" t="s">
        <v>11931</v>
      </c>
    </row>
    <row r="1250" ht="15.75" customHeight="1">
      <c r="B1250" s="58" t="s">
        <v>4587</v>
      </c>
      <c r="C1250" s="58">
        <v>2023.0</v>
      </c>
      <c r="D1250" s="58" t="s">
        <v>11932</v>
      </c>
      <c r="E1250" s="58" t="s">
        <v>11933</v>
      </c>
      <c r="F1250" s="58" t="s">
        <v>11334</v>
      </c>
      <c r="H1250" s="58" t="s">
        <v>9205</v>
      </c>
      <c r="I1250" s="58" t="s">
        <v>11934</v>
      </c>
      <c r="K1250" s="73">
        <v>45012.0</v>
      </c>
      <c r="Z1250" s="58" t="s">
        <v>239</v>
      </c>
      <c r="CH1250" s="58" t="s">
        <v>11935</v>
      </c>
      <c r="CI1250" s="73">
        <v>45012.0</v>
      </c>
      <c r="CJ1250" s="58">
        <v>450.0</v>
      </c>
      <c r="CK1250" s="58">
        <v>457.0</v>
      </c>
      <c r="CL1250" s="58" t="s">
        <v>11936</v>
      </c>
      <c r="CM1250" s="58" t="s">
        <v>11338</v>
      </c>
      <c r="CO1250" s="58" t="s">
        <v>11937</v>
      </c>
      <c r="CP1250" s="58" t="s">
        <v>11938</v>
      </c>
      <c r="CR1250" s="58">
        <v>1.0</v>
      </c>
      <c r="CT1250" s="58">
        <v>25.0</v>
      </c>
      <c r="CU1250" s="58" t="s">
        <v>239</v>
      </c>
      <c r="DL1250" s="58" t="s">
        <v>11939</v>
      </c>
    </row>
    <row r="1251" ht="15.75" customHeight="1">
      <c r="B1251" s="58" t="s">
        <v>4587</v>
      </c>
      <c r="C1251" s="58">
        <v>2023.0</v>
      </c>
      <c r="D1251" s="58" t="s">
        <v>11940</v>
      </c>
      <c r="E1251" s="58" t="s">
        <v>11941</v>
      </c>
      <c r="F1251" s="58" t="s">
        <v>11942</v>
      </c>
      <c r="H1251" s="58" t="s">
        <v>11943</v>
      </c>
      <c r="I1251" s="58" t="s">
        <v>11944</v>
      </c>
      <c r="K1251" s="73">
        <v>45154.0</v>
      </c>
      <c r="Z1251" s="58" t="s">
        <v>239</v>
      </c>
      <c r="CH1251" s="58" t="s">
        <v>11945</v>
      </c>
      <c r="CI1251" s="73">
        <v>45154.0</v>
      </c>
      <c r="CJ1251" s="58">
        <v>1.0</v>
      </c>
      <c r="CK1251" s="58">
        <v>6.0</v>
      </c>
      <c r="CL1251" s="58" t="s">
        <v>11946</v>
      </c>
      <c r="CM1251" s="58" t="s">
        <v>11947</v>
      </c>
      <c r="CO1251" s="58" t="s">
        <v>11948</v>
      </c>
      <c r="CP1251" s="58" t="s">
        <v>11949</v>
      </c>
      <c r="CR1251" s="58">
        <v>1.0</v>
      </c>
      <c r="CT1251" s="58">
        <v>8.0</v>
      </c>
      <c r="CU1251" s="58" t="s">
        <v>239</v>
      </c>
      <c r="DL1251" s="58" t="s">
        <v>11950</v>
      </c>
    </row>
    <row r="1252" ht="15.75" customHeight="1">
      <c r="B1252" s="58" t="s">
        <v>4587</v>
      </c>
      <c r="C1252" s="58">
        <v>2023.0</v>
      </c>
      <c r="D1252" s="58" t="s">
        <v>11951</v>
      </c>
      <c r="E1252" s="58" t="s">
        <v>11952</v>
      </c>
      <c r="F1252" s="58" t="s">
        <v>11461</v>
      </c>
      <c r="I1252" s="58" t="s">
        <v>11953</v>
      </c>
      <c r="K1252" s="73">
        <v>45275.0</v>
      </c>
      <c r="Z1252" s="58" t="s">
        <v>239</v>
      </c>
      <c r="CH1252" s="58" t="s">
        <v>11954</v>
      </c>
      <c r="CI1252" s="73">
        <v>45275.0</v>
      </c>
      <c r="CJ1252" s="58">
        <v>1.0</v>
      </c>
      <c r="CK1252" s="58">
        <v>6.0</v>
      </c>
      <c r="CL1252" s="58" t="s">
        <v>11955</v>
      </c>
      <c r="CM1252" s="58" t="s">
        <v>11465</v>
      </c>
      <c r="CO1252" s="58" t="s">
        <v>11956</v>
      </c>
      <c r="CP1252" s="58" t="s">
        <v>11957</v>
      </c>
      <c r="CR1252" s="58">
        <v>1.0</v>
      </c>
      <c r="CT1252" s="58">
        <v>25.0</v>
      </c>
      <c r="CU1252" s="58" t="s">
        <v>239</v>
      </c>
      <c r="DL1252" s="58" t="s">
        <v>11958</v>
      </c>
    </row>
    <row r="1253" ht="15.75" customHeight="1">
      <c r="B1253" s="58" t="s">
        <v>4587</v>
      </c>
      <c r="C1253" s="58">
        <v>2023.0</v>
      </c>
      <c r="D1253" s="58" t="s">
        <v>11959</v>
      </c>
      <c r="E1253" s="58" t="s">
        <v>11960</v>
      </c>
      <c r="F1253" s="58" t="s">
        <v>11961</v>
      </c>
      <c r="H1253" s="58" t="s">
        <v>11962</v>
      </c>
      <c r="I1253" s="58" t="s">
        <v>11963</v>
      </c>
      <c r="K1253" s="73">
        <v>45139.0</v>
      </c>
      <c r="Z1253" s="58" t="s">
        <v>239</v>
      </c>
      <c r="CH1253" s="58" t="s">
        <v>11964</v>
      </c>
      <c r="CI1253" s="73">
        <v>45139.0</v>
      </c>
      <c r="CJ1253" s="58">
        <v>139.0</v>
      </c>
      <c r="CK1253" s="58">
        <v>148.0</v>
      </c>
      <c r="CL1253" s="58" t="s">
        <v>11965</v>
      </c>
      <c r="CM1253" s="58" t="s">
        <v>11966</v>
      </c>
      <c r="CO1253" s="58" t="s">
        <v>11967</v>
      </c>
      <c r="CP1253" s="58" t="s">
        <v>11968</v>
      </c>
      <c r="CR1253" s="58">
        <v>1.0</v>
      </c>
      <c r="CT1253" s="58">
        <v>23.0</v>
      </c>
      <c r="CU1253" s="58" t="s">
        <v>239</v>
      </c>
      <c r="DL1253" s="58" t="s">
        <v>11969</v>
      </c>
    </row>
    <row r="1254" ht="15.75" customHeight="1">
      <c r="B1254" s="58" t="s">
        <v>4587</v>
      </c>
      <c r="C1254" s="58">
        <v>2023.0</v>
      </c>
      <c r="D1254" s="58" t="s">
        <v>11970</v>
      </c>
      <c r="E1254" s="58" t="s">
        <v>11971</v>
      </c>
      <c r="F1254" s="58" t="s">
        <v>11252</v>
      </c>
      <c r="H1254" s="58" t="s">
        <v>4901</v>
      </c>
      <c r="I1254" s="58" t="s">
        <v>11972</v>
      </c>
      <c r="K1254" s="73">
        <v>45194.0</v>
      </c>
      <c r="Z1254" s="58" t="s">
        <v>239</v>
      </c>
      <c r="CH1254" s="58" t="s">
        <v>11973</v>
      </c>
      <c r="CI1254" s="73">
        <v>45194.0</v>
      </c>
      <c r="CJ1254" s="58">
        <v>227.0</v>
      </c>
      <c r="CK1254" s="58">
        <v>238.0</v>
      </c>
      <c r="CL1254" s="58" t="s">
        <v>11974</v>
      </c>
      <c r="CM1254" s="58" t="s">
        <v>11256</v>
      </c>
      <c r="CO1254" s="58" t="s">
        <v>11975</v>
      </c>
      <c r="CP1254" s="58" t="s">
        <v>11976</v>
      </c>
      <c r="CR1254" s="58">
        <v>1.0</v>
      </c>
      <c r="CT1254" s="58">
        <v>70.0</v>
      </c>
      <c r="CU1254" s="58" t="s">
        <v>239</v>
      </c>
      <c r="DL1254" s="58" t="s">
        <v>11977</v>
      </c>
    </row>
    <row r="1255" ht="15.75" customHeight="1">
      <c r="B1255" s="58" t="s">
        <v>4587</v>
      </c>
      <c r="C1255" s="58">
        <v>2023.0</v>
      </c>
      <c r="D1255" s="58" t="s">
        <v>11978</v>
      </c>
      <c r="E1255" s="58" t="s">
        <v>11979</v>
      </c>
      <c r="F1255" s="58" t="s">
        <v>11980</v>
      </c>
      <c r="I1255" s="58" t="s">
        <v>11981</v>
      </c>
      <c r="K1255" s="73">
        <v>45282.0</v>
      </c>
      <c r="Z1255" s="58" t="s">
        <v>239</v>
      </c>
      <c r="CH1255" s="58" t="s">
        <v>11982</v>
      </c>
      <c r="CI1255" s="73">
        <v>45282.0</v>
      </c>
      <c r="CJ1255" s="58">
        <v>1.0</v>
      </c>
      <c r="CK1255" s="58">
        <v>7.0</v>
      </c>
      <c r="CL1255" s="58" t="s">
        <v>11983</v>
      </c>
      <c r="CM1255" s="58" t="s">
        <v>11984</v>
      </c>
      <c r="CO1255" s="58" t="s">
        <v>11985</v>
      </c>
      <c r="CP1255" s="58" t="s">
        <v>11986</v>
      </c>
      <c r="CR1255" s="58">
        <v>1.0</v>
      </c>
      <c r="CT1255" s="58">
        <v>27.0</v>
      </c>
      <c r="CU1255" s="58" t="s">
        <v>239</v>
      </c>
      <c r="DL1255" s="58" t="s">
        <v>11987</v>
      </c>
    </row>
    <row r="1256" ht="15.75" customHeight="1">
      <c r="B1256" s="58" t="s">
        <v>4587</v>
      </c>
      <c r="C1256" s="58">
        <v>2023.0</v>
      </c>
      <c r="D1256" s="58" t="s">
        <v>11988</v>
      </c>
      <c r="E1256" s="58" t="s">
        <v>11989</v>
      </c>
      <c r="F1256" s="58" t="s">
        <v>11990</v>
      </c>
      <c r="H1256" s="58" t="s">
        <v>11991</v>
      </c>
      <c r="I1256" s="58" t="s">
        <v>11992</v>
      </c>
      <c r="K1256" s="73">
        <v>45191.0</v>
      </c>
      <c r="Z1256" s="58" t="s">
        <v>239</v>
      </c>
      <c r="CH1256" s="58" t="s">
        <v>11993</v>
      </c>
      <c r="CI1256" s="73">
        <v>45191.0</v>
      </c>
      <c r="CJ1256" s="58">
        <v>78.0</v>
      </c>
      <c r="CK1256" s="58">
        <v>83.0</v>
      </c>
      <c r="CL1256" s="58" t="s">
        <v>11994</v>
      </c>
      <c r="CM1256" s="58" t="s">
        <v>11995</v>
      </c>
      <c r="CO1256" s="58" t="s">
        <v>11996</v>
      </c>
      <c r="CP1256" s="58" t="s">
        <v>11997</v>
      </c>
      <c r="CR1256" s="58">
        <v>1.0</v>
      </c>
      <c r="CT1256" s="58">
        <v>20.0</v>
      </c>
      <c r="CU1256" s="58" t="s">
        <v>239</v>
      </c>
      <c r="DL1256" s="58" t="s">
        <v>11998</v>
      </c>
    </row>
    <row r="1257" ht="15.75" customHeight="1">
      <c r="B1257" s="58" t="s">
        <v>4587</v>
      </c>
      <c r="C1257" s="58">
        <v>2023.0</v>
      </c>
      <c r="D1257" s="58" t="s">
        <v>11999</v>
      </c>
      <c r="E1257" s="58" t="s">
        <v>12000</v>
      </c>
      <c r="F1257" s="58" t="s">
        <v>12001</v>
      </c>
      <c r="I1257" s="58" t="s">
        <v>12002</v>
      </c>
      <c r="K1257" s="73">
        <v>45313.0</v>
      </c>
      <c r="Z1257" s="58" t="s">
        <v>239</v>
      </c>
      <c r="CH1257" s="58" t="s">
        <v>12003</v>
      </c>
      <c r="CI1257" s="73">
        <v>45313.0</v>
      </c>
      <c r="CJ1257" s="58">
        <v>3904.0</v>
      </c>
      <c r="CK1257" s="58">
        <v>3913.0</v>
      </c>
      <c r="CL1257" s="58" t="s">
        <v>12004</v>
      </c>
      <c r="CM1257" s="58" t="s">
        <v>12005</v>
      </c>
      <c r="CN1257" s="58" t="s">
        <v>11246</v>
      </c>
      <c r="CO1257" s="58" t="s">
        <v>12006</v>
      </c>
      <c r="CP1257" s="58" t="s">
        <v>12007</v>
      </c>
      <c r="CR1257" s="58">
        <v>1.0</v>
      </c>
      <c r="CT1257" s="58">
        <v>36.0</v>
      </c>
      <c r="CU1257" s="58" t="s">
        <v>239</v>
      </c>
      <c r="DL1257" s="58" t="s">
        <v>12008</v>
      </c>
    </row>
    <row r="1258" ht="15.75" customHeight="1">
      <c r="B1258" s="58" t="s">
        <v>4587</v>
      </c>
      <c r="C1258" s="58">
        <v>2023.0</v>
      </c>
      <c r="D1258" s="58" t="s">
        <v>12009</v>
      </c>
      <c r="E1258" s="58" t="s">
        <v>12010</v>
      </c>
      <c r="F1258" s="58" t="s">
        <v>12011</v>
      </c>
      <c r="I1258" s="58" t="s">
        <v>12012</v>
      </c>
      <c r="K1258" s="73">
        <v>45198.0</v>
      </c>
      <c r="Z1258" s="58" t="s">
        <v>239</v>
      </c>
      <c r="CH1258" s="58" t="s">
        <v>12013</v>
      </c>
      <c r="CI1258" s="73">
        <v>45198.0</v>
      </c>
      <c r="CJ1258" s="58">
        <v>1.0</v>
      </c>
      <c r="CK1258" s="58">
        <v>6.0</v>
      </c>
      <c r="CL1258" s="58" t="s">
        <v>12014</v>
      </c>
      <c r="CM1258" s="58" t="s">
        <v>12015</v>
      </c>
      <c r="CO1258" s="58" t="s">
        <v>12016</v>
      </c>
      <c r="CP1258" s="58" t="s">
        <v>12017</v>
      </c>
      <c r="CR1258" s="58">
        <v>1.0</v>
      </c>
      <c r="CT1258" s="58">
        <v>13.0</v>
      </c>
      <c r="CU1258" s="58" t="s">
        <v>239</v>
      </c>
      <c r="DL1258" s="58" t="s">
        <v>12018</v>
      </c>
    </row>
    <row r="1259" ht="15.75" customHeight="1">
      <c r="B1259" s="58" t="s">
        <v>4587</v>
      </c>
      <c r="C1259" s="58">
        <v>2023.0</v>
      </c>
      <c r="D1259" s="58" t="s">
        <v>12019</v>
      </c>
      <c r="E1259" s="58" t="s">
        <v>12020</v>
      </c>
      <c r="F1259" s="58" t="s">
        <v>12021</v>
      </c>
      <c r="I1259" s="58" t="s">
        <v>12022</v>
      </c>
      <c r="K1259" s="73">
        <v>45350.0</v>
      </c>
      <c r="Z1259" s="58" t="s">
        <v>239</v>
      </c>
      <c r="CH1259" s="58" t="s">
        <v>12023</v>
      </c>
      <c r="CI1259" s="73">
        <v>45350.0</v>
      </c>
      <c r="CJ1259" s="58">
        <v>1.0</v>
      </c>
      <c r="CK1259" s="58">
        <v>5.0</v>
      </c>
      <c r="CL1259" s="58" t="s">
        <v>12024</v>
      </c>
      <c r="CM1259" s="58" t="s">
        <v>12025</v>
      </c>
      <c r="CO1259" s="58" t="s">
        <v>12026</v>
      </c>
      <c r="CP1259" s="58" t="s">
        <v>12027</v>
      </c>
      <c r="CR1259" s="58">
        <v>1.0</v>
      </c>
      <c r="CT1259" s="58">
        <v>21.0</v>
      </c>
      <c r="CU1259" s="58" t="s">
        <v>239</v>
      </c>
      <c r="DL1259" s="58" t="s">
        <v>12028</v>
      </c>
    </row>
    <row r="1260" ht="15.75" customHeight="1">
      <c r="B1260" s="58" t="s">
        <v>4587</v>
      </c>
      <c r="C1260" s="58">
        <v>2023.0</v>
      </c>
      <c r="D1260" s="58" t="s">
        <v>12029</v>
      </c>
      <c r="E1260" s="58" t="s">
        <v>12030</v>
      </c>
      <c r="F1260" s="58" t="s">
        <v>11232</v>
      </c>
      <c r="H1260" s="58" t="s">
        <v>6872</v>
      </c>
      <c r="I1260" s="58" t="s">
        <v>12031</v>
      </c>
      <c r="K1260" s="73">
        <v>45120.0</v>
      </c>
      <c r="Z1260" s="58" t="s">
        <v>239</v>
      </c>
      <c r="CH1260" s="58" t="s">
        <v>12032</v>
      </c>
      <c r="CI1260" s="73">
        <v>45120.0</v>
      </c>
      <c r="CJ1260" s="58">
        <v>354.0</v>
      </c>
      <c r="CK1260" s="58">
        <v>357.0</v>
      </c>
      <c r="CL1260" s="58" t="s">
        <v>12033</v>
      </c>
      <c r="CM1260" s="58" t="s">
        <v>11236</v>
      </c>
      <c r="CO1260" s="58" t="s">
        <v>12034</v>
      </c>
      <c r="CP1260" s="58" t="s">
        <v>12035</v>
      </c>
      <c r="CR1260" s="58">
        <v>1.0</v>
      </c>
      <c r="CT1260" s="58">
        <v>18.0</v>
      </c>
      <c r="CU1260" s="58" t="s">
        <v>239</v>
      </c>
      <c r="DL1260" s="58" t="s">
        <v>12036</v>
      </c>
    </row>
    <row r="1261" ht="15.75" customHeight="1">
      <c r="B1261" s="58" t="s">
        <v>4587</v>
      </c>
      <c r="C1261" s="58">
        <v>2024.0</v>
      </c>
      <c r="D1261" s="58" t="s">
        <v>12037</v>
      </c>
      <c r="E1261" s="58" t="s">
        <v>12038</v>
      </c>
      <c r="F1261" s="58" t="s">
        <v>11429</v>
      </c>
      <c r="I1261" s="58" t="s">
        <v>12039</v>
      </c>
      <c r="K1261" s="73">
        <v>45505.0</v>
      </c>
      <c r="Z1261" s="58" t="s">
        <v>239</v>
      </c>
      <c r="CH1261" s="58" t="s">
        <v>12040</v>
      </c>
      <c r="CI1261" s="73">
        <v>45505.0</v>
      </c>
      <c r="CJ1261" s="58">
        <v>613.0</v>
      </c>
      <c r="CK1261" s="58">
        <v>627.0</v>
      </c>
      <c r="CL1261" s="58" t="s">
        <v>12041</v>
      </c>
      <c r="CM1261" s="58" t="s">
        <v>11433</v>
      </c>
      <c r="CO1261" s="58" t="s">
        <v>12042</v>
      </c>
      <c r="CR1261" s="58">
        <v>1.0</v>
      </c>
      <c r="CT1261" s="58">
        <v>82.0</v>
      </c>
      <c r="CU1261" s="58" t="s">
        <v>239</v>
      </c>
      <c r="DL1261" s="58" t="s">
        <v>12043</v>
      </c>
    </row>
    <row r="1262" ht="15.75" customHeight="1">
      <c r="B1262" s="58" t="s">
        <v>4587</v>
      </c>
      <c r="C1262" s="58">
        <v>2023.0</v>
      </c>
      <c r="D1262" s="58" t="s">
        <v>12044</v>
      </c>
      <c r="E1262" s="58" t="s">
        <v>12045</v>
      </c>
      <c r="F1262" s="58" t="s">
        <v>12046</v>
      </c>
      <c r="I1262" s="58" t="s">
        <v>12047</v>
      </c>
      <c r="K1262" s="73">
        <v>45147.0</v>
      </c>
      <c r="Z1262" s="58" t="s">
        <v>239</v>
      </c>
      <c r="CH1262" s="58" t="s">
        <v>12048</v>
      </c>
      <c r="CI1262" s="73">
        <v>45147.0</v>
      </c>
      <c r="CJ1262" s="58">
        <v>1.0</v>
      </c>
      <c r="CK1262" s="58">
        <v>6.0</v>
      </c>
      <c r="CL1262" s="58" t="s">
        <v>12049</v>
      </c>
      <c r="CM1262" s="58" t="s">
        <v>12050</v>
      </c>
      <c r="CO1262" s="58" t="s">
        <v>12051</v>
      </c>
      <c r="CP1262" s="58" t="s">
        <v>12052</v>
      </c>
      <c r="CR1262" s="58">
        <v>1.0</v>
      </c>
      <c r="CT1262" s="58">
        <v>30.0</v>
      </c>
      <c r="CU1262" s="58" t="s">
        <v>239</v>
      </c>
      <c r="DL1262" s="58" t="s">
        <v>12053</v>
      </c>
    </row>
    <row r="1263" ht="15.75" customHeight="1">
      <c r="B1263" s="58" t="s">
        <v>4587</v>
      </c>
      <c r="C1263" s="58">
        <v>2023.0</v>
      </c>
      <c r="D1263" s="58" t="s">
        <v>12054</v>
      </c>
      <c r="E1263" s="58" t="s">
        <v>12055</v>
      </c>
      <c r="F1263" s="58" t="s">
        <v>12056</v>
      </c>
      <c r="H1263" s="58" t="s">
        <v>12057</v>
      </c>
      <c r="I1263" s="58" t="s">
        <v>12058</v>
      </c>
      <c r="K1263" s="73">
        <v>45442.0</v>
      </c>
      <c r="Z1263" s="58" t="s">
        <v>239</v>
      </c>
      <c r="CH1263" s="58" t="s">
        <v>12059</v>
      </c>
      <c r="CI1263" s="73">
        <v>45442.0</v>
      </c>
      <c r="CJ1263" s="58">
        <v>1.0</v>
      </c>
      <c r="CK1263" s="58">
        <v>6.0</v>
      </c>
      <c r="CL1263" s="58" t="s">
        <v>12060</v>
      </c>
      <c r="CM1263" s="58" t="s">
        <v>12061</v>
      </c>
      <c r="CN1263" s="58" t="s">
        <v>12062</v>
      </c>
      <c r="CO1263" s="58" t="s">
        <v>12063</v>
      </c>
      <c r="CP1263" s="58" t="s">
        <v>12064</v>
      </c>
      <c r="CR1263" s="58">
        <v>1.0</v>
      </c>
      <c r="CT1263" s="58">
        <v>18.0</v>
      </c>
      <c r="CU1263" s="58" t="s">
        <v>239</v>
      </c>
      <c r="DL1263" s="58" t="s">
        <v>12065</v>
      </c>
    </row>
    <row r="1264" ht="15.75" customHeight="1">
      <c r="B1264" s="58" t="s">
        <v>4587</v>
      </c>
      <c r="C1264" s="58">
        <v>2024.0</v>
      </c>
      <c r="D1264" s="58" t="s">
        <v>12066</v>
      </c>
      <c r="E1264" s="58" t="s">
        <v>12067</v>
      </c>
      <c r="F1264" s="58" t="s">
        <v>12068</v>
      </c>
      <c r="H1264" s="58" t="s">
        <v>5095</v>
      </c>
      <c r="I1264" s="58" t="s">
        <v>12069</v>
      </c>
      <c r="K1264" s="73">
        <v>45492.0</v>
      </c>
      <c r="Z1264" s="58" t="s">
        <v>239</v>
      </c>
      <c r="CH1264" s="58" t="s">
        <v>12070</v>
      </c>
      <c r="CI1264" s="73">
        <v>45492.0</v>
      </c>
      <c r="CJ1264" s="58">
        <v>1.0</v>
      </c>
      <c r="CK1264" s="58">
        <v>6.0</v>
      </c>
      <c r="CL1264" s="58" t="s">
        <v>12071</v>
      </c>
      <c r="CM1264" s="58" t="s">
        <v>12072</v>
      </c>
      <c r="CN1264" s="58" t="s">
        <v>11246</v>
      </c>
      <c r="CO1264" s="58" t="s">
        <v>12073</v>
      </c>
      <c r="CP1264" s="58" t="s">
        <v>12074</v>
      </c>
      <c r="CR1264" s="58">
        <v>1.0</v>
      </c>
      <c r="CT1264" s="58">
        <v>15.0</v>
      </c>
      <c r="CU1264" s="58" t="s">
        <v>239</v>
      </c>
      <c r="DL1264" s="58" t="s">
        <v>12075</v>
      </c>
    </row>
    <row r="1265" ht="15.75" customHeight="1">
      <c r="B1265" s="58" t="s">
        <v>4587</v>
      </c>
      <c r="C1265" s="58">
        <v>2023.0</v>
      </c>
      <c r="D1265" s="58" t="s">
        <v>12076</v>
      </c>
      <c r="E1265" s="58" t="s">
        <v>12077</v>
      </c>
      <c r="F1265" s="58" t="s">
        <v>12078</v>
      </c>
      <c r="I1265" s="58" t="s">
        <v>12079</v>
      </c>
      <c r="K1265" s="73">
        <v>45271.0</v>
      </c>
      <c r="Z1265" s="58" t="s">
        <v>239</v>
      </c>
      <c r="CH1265" s="58" t="s">
        <v>12080</v>
      </c>
      <c r="CI1265" s="73">
        <v>45271.0</v>
      </c>
      <c r="CJ1265" s="58">
        <v>200.0</v>
      </c>
      <c r="CK1265" s="58">
        <v>207.0</v>
      </c>
      <c r="CL1265" s="58" t="s">
        <v>12081</v>
      </c>
      <c r="CM1265" s="58" t="s">
        <v>12082</v>
      </c>
      <c r="CO1265" s="58" t="s">
        <v>12083</v>
      </c>
      <c r="CP1265" s="58" t="s">
        <v>12084</v>
      </c>
      <c r="CR1265" s="58">
        <v>1.0</v>
      </c>
      <c r="CT1265" s="58">
        <v>24.0</v>
      </c>
      <c r="CU1265" s="58" t="s">
        <v>239</v>
      </c>
      <c r="DL1265" s="58" t="s">
        <v>12085</v>
      </c>
    </row>
    <row r="1266" ht="15.75" customHeight="1">
      <c r="B1266" s="58" t="s">
        <v>4587</v>
      </c>
      <c r="C1266" s="58">
        <v>2023.0</v>
      </c>
      <c r="D1266" s="58" t="s">
        <v>12086</v>
      </c>
      <c r="E1266" s="58" t="s">
        <v>12087</v>
      </c>
      <c r="F1266" s="58" t="s">
        <v>11492</v>
      </c>
      <c r="H1266" s="58" t="s">
        <v>11493</v>
      </c>
      <c r="I1266" s="58" t="s">
        <v>12088</v>
      </c>
      <c r="K1266" s="73">
        <v>45040.0</v>
      </c>
      <c r="Z1266" s="58" t="s">
        <v>239</v>
      </c>
      <c r="CH1266" s="58" t="s">
        <v>12089</v>
      </c>
      <c r="CI1266" s="73">
        <v>45040.0</v>
      </c>
      <c r="CJ1266" s="58">
        <v>167.0</v>
      </c>
      <c r="CK1266" s="58">
        <v>170.0</v>
      </c>
      <c r="CL1266" s="58" t="s">
        <v>12090</v>
      </c>
      <c r="CM1266" s="58" t="s">
        <v>11497</v>
      </c>
      <c r="CO1266" s="58" t="s">
        <v>12091</v>
      </c>
      <c r="CP1266" s="58" t="s">
        <v>12092</v>
      </c>
      <c r="CR1266" s="58">
        <v>1.0</v>
      </c>
      <c r="CT1266" s="58">
        <v>17.0</v>
      </c>
      <c r="CU1266" s="58" t="s">
        <v>239</v>
      </c>
      <c r="DL1266" s="58" t="s">
        <v>12093</v>
      </c>
    </row>
    <row r="1267" ht="15.75" customHeight="1">
      <c r="B1267" s="58" t="s">
        <v>4587</v>
      </c>
      <c r="C1267" s="58">
        <v>2023.0</v>
      </c>
      <c r="D1267" s="58" t="s">
        <v>12094</v>
      </c>
      <c r="E1267" s="58" t="s">
        <v>12095</v>
      </c>
      <c r="F1267" s="58" t="s">
        <v>12096</v>
      </c>
      <c r="I1267" s="58" t="s">
        <v>12097</v>
      </c>
      <c r="K1267" s="73">
        <v>45351.0</v>
      </c>
      <c r="Z1267" s="58" t="s">
        <v>239</v>
      </c>
      <c r="CH1267" s="58" t="s">
        <v>12098</v>
      </c>
      <c r="CI1267" s="73">
        <v>45351.0</v>
      </c>
      <c r="CJ1267" s="58">
        <v>120.0</v>
      </c>
      <c r="CK1267" s="58">
        <v>129.0</v>
      </c>
      <c r="CL1267" s="58" t="s">
        <v>12099</v>
      </c>
      <c r="CM1267" s="58" t="s">
        <v>12100</v>
      </c>
      <c r="CN1267" s="58" t="s">
        <v>12101</v>
      </c>
      <c r="CO1267" s="58" t="s">
        <v>12102</v>
      </c>
      <c r="CP1267" s="58" t="s">
        <v>12103</v>
      </c>
      <c r="CR1267" s="58">
        <v>1.0</v>
      </c>
      <c r="CT1267" s="58">
        <v>28.0</v>
      </c>
      <c r="CU1267" s="58" t="s">
        <v>239</v>
      </c>
      <c r="DL1267" s="58" t="s">
        <v>12104</v>
      </c>
    </row>
    <row r="1268" ht="15.75" customHeight="1">
      <c r="B1268" s="58" t="s">
        <v>4587</v>
      </c>
      <c r="C1268" s="58">
        <v>2023.0</v>
      </c>
      <c r="D1268" s="58" t="s">
        <v>12105</v>
      </c>
      <c r="E1268" s="58" t="s">
        <v>12106</v>
      </c>
      <c r="F1268" s="58" t="s">
        <v>12107</v>
      </c>
      <c r="I1268" s="58" t="s">
        <v>12108</v>
      </c>
      <c r="K1268" s="73">
        <v>45042.0</v>
      </c>
      <c r="Z1268" s="58" t="s">
        <v>239</v>
      </c>
      <c r="CH1268" s="58" t="s">
        <v>12109</v>
      </c>
      <c r="CI1268" s="73">
        <v>45042.0</v>
      </c>
      <c r="CJ1268" s="58">
        <v>1.0</v>
      </c>
      <c r="CK1268" s="58">
        <v>7.0</v>
      </c>
      <c r="CL1268" s="58" t="s">
        <v>12110</v>
      </c>
      <c r="CM1268" s="58" t="s">
        <v>12111</v>
      </c>
      <c r="CO1268" s="58" t="s">
        <v>12112</v>
      </c>
      <c r="CP1268" s="58" t="s">
        <v>12113</v>
      </c>
      <c r="CR1268" s="58">
        <v>1.0</v>
      </c>
      <c r="CT1268" s="58">
        <v>21.0</v>
      </c>
      <c r="CU1268" s="58" t="s">
        <v>239</v>
      </c>
      <c r="DL1268" s="58" t="s">
        <v>12114</v>
      </c>
    </row>
    <row r="1269" ht="15.75" customHeight="1">
      <c r="B1269" s="58" t="s">
        <v>4587</v>
      </c>
      <c r="C1269" s="58">
        <v>2023.0</v>
      </c>
      <c r="D1269" s="58" t="s">
        <v>12115</v>
      </c>
      <c r="E1269" s="58" t="s">
        <v>12116</v>
      </c>
      <c r="F1269" s="58" t="s">
        <v>12117</v>
      </c>
      <c r="H1269" s="58" t="s">
        <v>12118</v>
      </c>
      <c r="I1269" s="58" t="s">
        <v>12119</v>
      </c>
      <c r="K1269" s="73">
        <v>45292.0</v>
      </c>
      <c r="Z1269" s="58" t="s">
        <v>239</v>
      </c>
      <c r="CH1269" s="58" t="s">
        <v>12120</v>
      </c>
      <c r="CI1269" s="73">
        <v>45292.0</v>
      </c>
      <c r="CJ1269" s="58">
        <v>432.0</v>
      </c>
      <c r="CK1269" s="58">
        <v>439.0</v>
      </c>
      <c r="CL1269" s="58" t="s">
        <v>12121</v>
      </c>
      <c r="CM1269" s="58" t="s">
        <v>12122</v>
      </c>
      <c r="CO1269" s="58" t="s">
        <v>12123</v>
      </c>
      <c r="CP1269" s="58" t="s">
        <v>12124</v>
      </c>
      <c r="CR1269" s="58">
        <v>1.0</v>
      </c>
      <c r="CT1269" s="58">
        <v>38.0</v>
      </c>
      <c r="CU1269" s="58" t="s">
        <v>239</v>
      </c>
      <c r="DL1269" s="58" t="s">
        <v>12125</v>
      </c>
    </row>
    <row r="1270" ht="15.75" customHeight="1">
      <c r="B1270" s="58" t="s">
        <v>4587</v>
      </c>
      <c r="C1270" s="58">
        <v>2024.0</v>
      </c>
      <c r="D1270" s="58" t="s">
        <v>12126</v>
      </c>
      <c r="E1270" s="58" t="s">
        <v>12127</v>
      </c>
      <c r="F1270" s="58" t="s">
        <v>12128</v>
      </c>
      <c r="I1270" s="58" t="s">
        <v>12129</v>
      </c>
      <c r="K1270" s="73">
        <v>45510.0</v>
      </c>
      <c r="Z1270" s="58" t="s">
        <v>239</v>
      </c>
      <c r="CH1270" s="58" t="s">
        <v>12130</v>
      </c>
      <c r="CI1270" s="73">
        <v>45510.0</v>
      </c>
      <c r="CJ1270" s="58">
        <v>343.0</v>
      </c>
      <c r="CK1270" s="58">
        <v>348.0</v>
      </c>
      <c r="CL1270" s="58" t="s">
        <v>12131</v>
      </c>
      <c r="CM1270" s="58" t="s">
        <v>12132</v>
      </c>
      <c r="CO1270" s="58" t="s">
        <v>12133</v>
      </c>
      <c r="CP1270" s="58" t="s">
        <v>12134</v>
      </c>
      <c r="CR1270" s="58">
        <v>1.0</v>
      </c>
      <c r="CT1270" s="58">
        <v>31.0</v>
      </c>
      <c r="CU1270" s="58" t="s">
        <v>239</v>
      </c>
      <c r="DL1270" s="58" t="s">
        <v>12135</v>
      </c>
    </row>
    <row r="1271" ht="15.75" customHeight="1">
      <c r="B1271" s="58" t="s">
        <v>4587</v>
      </c>
      <c r="C1271" s="58">
        <v>2023.0</v>
      </c>
      <c r="D1271" s="58" t="s">
        <v>12136</v>
      </c>
      <c r="E1271" s="58" t="s">
        <v>12137</v>
      </c>
      <c r="F1271" s="58" t="s">
        <v>12138</v>
      </c>
      <c r="I1271" s="58" t="s">
        <v>12139</v>
      </c>
      <c r="K1271" s="73">
        <v>45103.0</v>
      </c>
      <c r="Z1271" s="58" t="s">
        <v>239</v>
      </c>
      <c r="CH1271" s="58" t="s">
        <v>12140</v>
      </c>
      <c r="CI1271" s="73">
        <v>45103.0</v>
      </c>
      <c r="CJ1271" s="58">
        <v>1.0</v>
      </c>
      <c r="CK1271" s="58">
        <v>6.0</v>
      </c>
      <c r="CL1271" s="58" t="s">
        <v>12141</v>
      </c>
      <c r="CM1271" s="58" t="s">
        <v>12142</v>
      </c>
      <c r="CO1271" s="58" t="s">
        <v>12143</v>
      </c>
      <c r="CP1271" s="58" t="s">
        <v>12144</v>
      </c>
      <c r="CR1271" s="58">
        <v>1.0</v>
      </c>
      <c r="CT1271" s="58">
        <v>21.0</v>
      </c>
      <c r="CU1271" s="58" t="s">
        <v>239</v>
      </c>
      <c r="DL1271" s="58" t="s">
        <v>12145</v>
      </c>
    </row>
    <row r="1272" ht="15.75" customHeight="1">
      <c r="B1272" s="58" t="s">
        <v>4587</v>
      </c>
      <c r="C1272" s="58">
        <v>2024.0</v>
      </c>
      <c r="D1272" s="58" t="s">
        <v>12146</v>
      </c>
      <c r="E1272" s="58" t="s">
        <v>12147</v>
      </c>
      <c r="F1272" s="58" t="s">
        <v>12148</v>
      </c>
      <c r="I1272" s="58" t="s">
        <v>12149</v>
      </c>
      <c r="K1272" s="73">
        <v>45624.0</v>
      </c>
      <c r="Z1272" s="58" t="s">
        <v>239</v>
      </c>
      <c r="CH1272" s="58" t="s">
        <v>12150</v>
      </c>
      <c r="CI1272" s="73">
        <v>45624.0</v>
      </c>
      <c r="CJ1272" s="58">
        <v>1.0</v>
      </c>
      <c r="CK1272" s="58">
        <v>10.0</v>
      </c>
      <c r="CL1272" s="58" t="s">
        <v>12151</v>
      </c>
      <c r="CM1272" s="58" t="s">
        <v>12152</v>
      </c>
      <c r="CO1272" s="58" t="s">
        <v>12153</v>
      </c>
      <c r="CP1272" s="58" t="s">
        <v>12154</v>
      </c>
      <c r="CR1272" s="58">
        <v>1.0</v>
      </c>
      <c r="CT1272" s="58">
        <v>31.0</v>
      </c>
      <c r="CU1272" s="58" t="s">
        <v>239</v>
      </c>
      <c r="DL1272" s="58" t="s">
        <v>12155</v>
      </c>
    </row>
    <row r="1273" ht="15.75" customHeight="1">
      <c r="B1273" s="58" t="s">
        <v>4587</v>
      </c>
      <c r="C1273" s="58">
        <v>2024.0</v>
      </c>
      <c r="D1273" s="58" t="s">
        <v>12156</v>
      </c>
      <c r="E1273" s="58" t="s">
        <v>12157</v>
      </c>
      <c r="F1273" s="58" t="s">
        <v>12158</v>
      </c>
      <c r="I1273" s="58" t="s">
        <v>12159</v>
      </c>
      <c r="K1273" s="73">
        <v>45499.0</v>
      </c>
      <c r="Z1273" s="58" t="s">
        <v>239</v>
      </c>
      <c r="CH1273" s="58" t="s">
        <v>12160</v>
      </c>
      <c r="CI1273" s="73">
        <v>45499.0</v>
      </c>
      <c r="CJ1273" s="58">
        <v>900.0</v>
      </c>
      <c r="CK1273" s="58">
        <v>908.0</v>
      </c>
      <c r="CL1273" s="58" t="s">
        <v>12161</v>
      </c>
      <c r="CM1273" s="58" t="s">
        <v>12162</v>
      </c>
      <c r="CO1273" s="58" t="s">
        <v>12163</v>
      </c>
      <c r="CP1273" s="58" t="s">
        <v>12164</v>
      </c>
      <c r="CR1273" s="58">
        <v>1.0</v>
      </c>
      <c r="CT1273" s="58">
        <v>34.0</v>
      </c>
      <c r="CU1273" s="58" t="s">
        <v>239</v>
      </c>
      <c r="DL1273" s="58" t="s">
        <v>12165</v>
      </c>
    </row>
    <row r="1274" ht="15.75" customHeight="1">
      <c r="B1274" s="58" t="s">
        <v>4587</v>
      </c>
      <c r="C1274" s="58">
        <v>2023.0</v>
      </c>
      <c r="D1274" s="58" t="s">
        <v>12166</v>
      </c>
      <c r="E1274" s="58" t="s">
        <v>12167</v>
      </c>
      <c r="F1274" s="58" t="s">
        <v>11802</v>
      </c>
      <c r="H1274" s="58" t="s">
        <v>5253</v>
      </c>
      <c r="I1274" s="58" t="s">
        <v>12168</v>
      </c>
      <c r="K1274" s="73">
        <v>45355.0</v>
      </c>
      <c r="Z1274" s="58" t="s">
        <v>239</v>
      </c>
      <c r="CH1274" s="58" t="s">
        <v>12169</v>
      </c>
      <c r="CI1274" s="73">
        <v>45355.0</v>
      </c>
      <c r="CJ1274" s="58">
        <v>195.0</v>
      </c>
      <c r="CK1274" s="58">
        <v>201.0</v>
      </c>
      <c r="CL1274" s="58" t="s">
        <v>12170</v>
      </c>
      <c r="CM1274" s="58" t="s">
        <v>11806</v>
      </c>
      <c r="CO1274" s="58" t="s">
        <v>12171</v>
      </c>
      <c r="CP1274" s="58" t="s">
        <v>12172</v>
      </c>
      <c r="CR1274" s="58">
        <v>1.0</v>
      </c>
      <c r="CT1274" s="58">
        <v>26.0</v>
      </c>
      <c r="CU1274" s="58" t="s">
        <v>239</v>
      </c>
      <c r="DL1274" s="58" t="s">
        <v>12173</v>
      </c>
    </row>
    <row r="1275" ht="15.75" customHeight="1">
      <c r="B1275" s="58" t="s">
        <v>4587</v>
      </c>
      <c r="C1275" s="58">
        <v>2023.0</v>
      </c>
      <c r="D1275" s="58" t="s">
        <v>12174</v>
      </c>
      <c r="E1275" s="58" t="s">
        <v>12175</v>
      </c>
      <c r="F1275" s="58" t="s">
        <v>12176</v>
      </c>
      <c r="H1275" s="58" t="s">
        <v>8639</v>
      </c>
      <c r="I1275" s="58" t="s">
        <v>12177</v>
      </c>
      <c r="K1275" s="73">
        <v>45240.0</v>
      </c>
      <c r="Z1275" s="58" t="s">
        <v>239</v>
      </c>
      <c r="CH1275" s="58" t="s">
        <v>12178</v>
      </c>
      <c r="CI1275" s="73">
        <v>45240.0</v>
      </c>
      <c r="CJ1275" s="58">
        <v>1.0</v>
      </c>
      <c r="CK1275" s="58">
        <v>8.0</v>
      </c>
      <c r="CL1275" s="58" t="s">
        <v>12179</v>
      </c>
      <c r="CM1275" s="58" t="s">
        <v>12180</v>
      </c>
      <c r="CO1275" s="58" t="s">
        <v>12181</v>
      </c>
      <c r="CP1275" s="58" t="s">
        <v>12182</v>
      </c>
      <c r="CR1275" s="58">
        <v>1.0</v>
      </c>
      <c r="CT1275" s="58">
        <v>48.0</v>
      </c>
      <c r="CU1275" s="58" t="s">
        <v>239</v>
      </c>
      <c r="DL1275" s="58" t="s">
        <v>12183</v>
      </c>
    </row>
    <row r="1276" ht="15.75" customHeight="1">
      <c r="B1276" s="58" t="s">
        <v>4587</v>
      </c>
      <c r="C1276" s="58">
        <v>2023.0</v>
      </c>
      <c r="D1276" s="58" t="s">
        <v>12184</v>
      </c>
      <c r="E1276" s="58" t="s">
        <v>12185</v>
      </c>
      <c r="F1276" s="58" t="s">
        <v>12186</v>
      </c>
      <c r="H1276" s="58" t="s">
        <v>12187</v>
      </c>
      <c r="I1276" s="58" t="s">
        <v>12188</v>
      </c>
      <c r="K1276" s="73">
        <v>45238.0</v>
      </c>
      <c r="Z1276" s="58" t="s">
        <v>239</v>
      </c>
      <c r="CH1276" s="58" t="s">
        <v>12189</v>
      </c>
      <c r="CI1276" s="73">
        <v>45238.0</v>
      </c>
      <c r="CJ1276" s="58">
        <v>219.0</v>
      </c>
      <c r="CK1276" s="58">
        <v>229.0</v>
      </c>
      <c r="CL1276" s="58" t="s">
        <v>12190</v>
      </c>
      <c r="CM1276" s="58" t="s">
        <v>12191</v>
      </c>
      <c r="CN1276" s="58" t="s">
        <v>12192</v>
      </c>
      <c r="CO1276" s="58" t="s">
        <v>12193</v>
      </c>
      <c r="CP1276" s="58" t="s">
        <v>12194</v>
      </c>
      <c r="CR1276" s="58">
        <v>1.0</v>
      </c>
      <c r="CT1276" s="58">
        <v>26.0</v>
      </c>
      <c r="CU1276" s="58" t="s">
        <v>239</v>
      </c>
      <c r="DL1276" s="58" t="s">
        <v>12195</v>
      </c>
    </row>
    <row r="1277" ht="15.75" customHeight="1">
      <c r="B1277" s="58" t="s">
        <v>4587</v>
      </c>
      <c r="C1277" s="58">
        <v>2023.0</v>
      </c>
      <c r="D1277" s="58" t="s">
        <v>12196</v>
      </c>
      <c r="E1277" s="58" t="s">
        <v>12197</v>
      </c>
      <c r="F1277" s="58" t="s">
        <v>12198</v>
      </c>
      <c r="I1277" s="58" t="s">
        <v>12199</v>
      </c>
      <c r="K1277" s="73">
        <v>45238.0</v>
      </c>
      <c r="Z1277" s="58" t="s">
        <v>239</v>
      </c>
      <c r="CH1277" s="58" t="s">
        <v>12200</v>
      </c>
      <c r="CI1277" s="73">
        <v>45238.0</v>
      </c>
      <c r="CJ1277" s="58">
        <v>284.0</v>
      </c>
      <c r="CK1277" s="58">
        <v>291.0</v>
      </c>
      <c r="CL1277" s="58" t="s">
        <v>12201</v>
      </c>
      <c r="CM1277" s="58" t="s">
        <v>12202</v>
      </c>
      <c r="CO1277" s="58" t="s">
        <v>12203</v>
      </c>
      <c r="CP1277" s="58" t="s">
        <v>12204</v>
      </c>
      <c r="CR1277" s="58">
        <v>1.0</v>
      </c>
      <c r="CT1277" s="58">
        <v>21.0</v>
      </c>
      <c r="CU1277" s="58" t="s">
        <v>239</v>
      </c>
      <c r="DL1277" s="58" t="s">
        <v>12205</v>
      </c>
    </row>
    <row r="1278" ht="15.75" customHeight="1">
      <c r="B1278" s="58" t="s">
        <v>4587</v>
      </c>
      <c r="C1278" s="58">
        <v>2024.0</v>
      </c>
      <c r="D1278" s="58" t="s">
        <v>12206</v>
      </c>
      <c r="E1278" s="58" t="s">
        <v>12207</v>
      </c>
      <c r="F1278" s="58" t="s">
        <v>12208</v>
      </c>
      <c r="H1278" s="58" t="s">
        <v>12209</v>
      </c>
      <c r="I1278" s="58" t="s">
        <v>12210</v>
      </c>
      <c r="K1278" s="73">
        <v>45372.0</v>
      </c>
      <c r="Z1278" s="58" t="s">
        <v>239</v>
      </c>
      <c r="CH1278" s="58" t="s">
        <v>12211</v>
      </c>
      <c r="CI1278" s="73">
        <v>45372.0</v>
      </c>
      <c r="CJ1278" s="58">
        <v>199.0</v>
      </c>
      <c r="CK1278" s="58">
        <v>204.0</v>
      </c>
      <c r="CL1278" s="58" t="s">
        <v>12212</v>
      </c>
      <c r="CM1278" s="58" t="s">
        <v>12213</v>
      </c>
      <c r="CO1278" s="58" t="s">
        <v>12214</v>
      </c>
      <c r="CP1278" s="58" t="s">
        <v>12215</v>
      </c>
      <c r="CR1278" s="58">
        <v>1.0</v>
      </c>
      <c r="CT1278" s="58">
        <v>29.0</v>
      </c>
      <c r="CU1278" s="58" t="s">
        <v>239</v>
      </c>
      <c r="DL1278" s="58" t="s">
        <v>12216</v>
      </c>
    </row>
    <row r="1279" ht="15.75" customHeight="1">
      <c r="B1279" s="58" t="s">
        <v>4587</v>
      </c>
      <c r="C1279" s="58">
        <v>2023.0</v>
      </c>
      <c r="D1279" s="58" t="s">
        <v>12217</v>
      </c>
      <c r="E1279" s="58" t="s">
        <v>12218</v>
      </c>
      <c r="F1279" s="58" t="s">
        <v>12219</v>
      </c>
      <c r="I1279" s="58" t="s">
        <v>12220</v>
      </c>
      <c r="K1279" s="73">
        <v>45372.0</v>
      </c>
      <c r="Z1279" s="58" t="s">
        <v>239</v>
      </c>
      <c r="CH1279" s="58" t="s">
        <v>12221</v>
      </c>
      <c r="CI1279" s="73">
        <v>45372.0</v>
      </c>
      <c r="CJ1279" s="58">
        <v>751.0</v>
      </c>
      <c r="CK1279" s="58">
        <v>756.0</v>
      </c>
      <c r="CL1279" s="58" t="s">
        <v>12222</v>
      </c>
      <c r="CM1279" s="58" t="s">
        <v>12223</v>
      </c>
      <c r="CO1279" s="58" t="s">
        <v>12224</v>
      </c>
      <c r="CP1279" s="58" t="s">
        <v>12225</v>
      </c>
      <c r="CR1279" s="58">
        <v>1.0</v>
      </c>
      <c r="CT1279" s="58">
        <v>25.0</v>
      </c>
      <c r="CU1279" s="58" t="s">
        <v>239</v>
      </c>
      <c r="DL1279" s="58" t="s">
        <v>12226</v>
      </c>
    </row>
    <row r="1280" ht="15.75" customHeight="1">
      <c r="B1280" s="58" t="s">
        <v>4587</v>
      </c>
      <c r="C1280" s="58">
        <v>2024.0</v>
      </c>
      <c r="D1280" s="58" t="s">
        <v>12227</v>
      </c>
      <c r="E1280" s="58" t="s">
        <v>12228</v>
      </c>
      <c r="F1280" s="58" t="s">
        <v>12229</v>
      </c>
      <c r="H1280" s="58" t="s">
        <v>12230</v>
      </c>
      <c r="I1280" s="58" t="s">
        <v>12231</v>
      </c>
      <c r="K1280" s="73">
        <v>45573.0</v>
      </c>
      <c r="Z1280" s="58" t="s">
        <v>239</v>
      </c>
      <c r="CH1280" s="58" t="s">
        <v>12232</v>
      </c>
      <c r="CI1280" s="73">
        <v>45573.0</v>
      </c>
      <c r="CJ1280" s="58">
        <v>136.0</v>
      </c>
      <c r="CK1280" s="58">
        <v>147.0</v>
      </c>
      <c r="CL1280" s="58" t="s">
        <v>12233</v>
      </c>
      <c r="CM1280" s="58" t="s">
        <v>12234</v>
      </c>
      <c r="CO1280" s="58" t="s">
        <v>12235</v>
      </c>
      <c r="CP1280" s="58" t="s">
        <v>12236</v>
      </c>
      <c r="CR1280" s="58">
        <v>1.0</v>
      </c>
      <c r="CT1280" s="58">
        <v>47.0</v>
      </c>
      <c r="CU1280" s="58" t="s">
        <v>239</v>
      </c>
      <c r="DL1280" s="58" t="s">
        <v>12237</v>
      </c>
    </row>
    <row r="1281" ht="15.75" customHeight="1">
      <c r="B1281" s="58" t="s">
        <v>4587</v>
      </c>
      <c r="C1281" s="58">
        <v>2023.0</v>
      </c>
      <c r="D1281" s="58" t="s">
        <v>12238</v>
      </c>
      <c r="E1281" s="58" t="s">
        <v>12239</v>
      </c>
      <c r="F1281" s="58" t="s">
        <v>12240</v>
      </c>
      <c r="H1281" s="58" t="s">
        <v>12241</v>
      </c>
      <c r="I1281" s="58" t="s">
        <v>12242</v>
      </c>
      <c r="K1281" s="73">
        <v>45441.0</v>
      </c>
      <c r="Z1281" s="58" t="s">
        <v>239</v>
      </c>
      <c r="CH1281" s="58" t="s">
        <v>12243</v>
      </c>
      <c r="CI1281" s="73">
        <v>45441.0</v>
      </c>
      <c r="CJ1281" s="58">
        <v>2012.0</v>
      </c>
      <c r="CK1281" s="58">
        <v>2017.0</v>
      </c>
      <c r="CL1281" s="58" t="s">
        <v>12244</v>
      </c>
      <c r="CM1281" s="58" t="s">
        <v>12245</v>
      </c>
      <c r="CO1281" s="58" t="s">
        <v>12246</v>
      </c>
      <c r="CP1281" s="58" t="s">
        <v>12247</v>
      </c>
      <c r="CR1281" s="58">
        <v>1.0</v>
      </c>
      <c r="CT1281" s="58">
        <v>15.0</v>
      </c>
      <c r="CU1281" s="58" t="s">
        <v>239</v>
      </c>
      <c r="DL1281" s="58" t="s">
        <v>12248</v>
      </c>
    </row>
    <row r="1282" ht="15.75" customHeight="1">
      <c r="B1282" s="58" t="s">
        <v>4587</v>
      </c>
      <c r="C1282" s="58">
        <v>2023.0</v>
      </c>
      <c r="D1282" s="58" t="s">
        <v>12249</v>
      </c>
      <c r="E1282" s="58" t="s">
        <v>12250</v>
      </c>
      <c r="F1282" s="58" t="s">
        <v>12251</v>
      </c>
      <c r="H1282" s="58" t="s">
        <v>12252</v>
      </c>
      <c r="I1282" s="58" t="s">
        <v>12253</v>
      </c>
      <c r="K1282" s="73">
        <v>45194.0</v>
      </c>
      <c r="Z1282" s="58" t="s">
        <v>239</v>
      </c>
      <c r="CH1282" s="58" t="s">
        <v>12254</v>
      </c>
      <c r="CI1282" s="73">
        <v>45194.0</v>
      </c>
      <c r="CJ1282" s="58">
        <v>1.0</v>
      </c>
      <c r="CK1282" s="58">
        <v>9.0</v>
      </c>
      <c r="CL1282" s="58" t="s">
        <v>12255</v>
      </c>
      <c r="CM1282" s="58" t="s">
        <v>12256</v>
      </c>
      <c r="CO1282" s="58" t="s">
        <v>12257</v>
      </c>
      <c r="CP1282" s="58" t="s">
        <v>12258</v>
      </c>
      <c r="CR1282" s="58">
        <v>1.0</v>
      </c>
      <c r="CT1282" s="58">
        <v>51.0</v>
      </c>
      <c r="CU1282" s="58" t="s">
        <v>8095</v>
      </c>
      <c r="DL1282" s="58" t="s">
        <v>12259</v>
      </c>
    </row>
    <row r="1283" ht="15.75" customHeight="1">
      <c r="B1283" s="58" t="s">
        <v>4587</v>
      </c>
      <c r="C1283" s="58">
        <v>2023.0</v>
      </c>
      <c r="D1283" s="58" t="s">
        <v>12260</v>
      </c>
      <c r="E1283" s="58" t="s">
        <v>12261</v>
      </c>
      <c r="F1283" s="58" t="s">
        <v>12262</v>
      </c>
      <c r="H1283" s="58" t="s">
        <v>9205</v>
      </c>
      <c r="I1283" s="58" t="s">
        <v>12263</v>
      </c>
      <c r="K1283" s="73">
        <v>45377.0</v>
      </c>
      <c r="Z1283" s="58" t="s">
        <v>239</v>
      </c>
      <c r="CH1283" s="58" t="s">
        <v>12264</v>
      </c>
      <c r="CI1283" s="73">
        <v>45377.0</v>
      </c>
      <c r="CJ1283" s="58">
        <v>2523.0</v>
      </c>
      <c r="CK1283" s="58">
        <v>2530.0</v>
      </c>
      <c r="CL1283" s="58" t="s">
        <v>12265</v>
      </c>
      <c r="CM1283" s="58" t="s">
        <v>12266</v>
      </c>
      <c r="CO1283" s="58" t="s">
        <v>12267</v>
      </c>
      <c r="CP1283" s="58" t="s">
        <v>12268</v>
      </c>
      <c r="CR1283" s="58">
        <v>1.0</v>
      </c>
      <c r="CT1283" s="58">
        <v>30.0</v>
      </c>
      <c r="CU1283" s="58" t="s">
        <v>239</v>
      </c>
      <c r="DL1283" s="58" t="s">
        <v>12269</v>
      </c>
    </row>
    <row r="1284" ht="15.75" customHeight="1">
      <c r="B1284" s="58" t="s">
        <v>4587</v>
      </c>
      <c r="C1284" s="58">
        <v>2023.0</v>
      </c>
      <c r="D1284" s="58" t="s">
        <v>12270</v>
      </c>
      <c r="E1284" s="58" t="s">
        <v>12271</v>
      </c>
      <c r="F1284" s="58" t="s">
        <v>11192</v>
      </c>
      <c r="H1284" s="58" t="s">
        <v>4972</v>
      </c>
      <c r="I1284" s="58" t="s">
        <v>12272</v>
      </c>
      <c r="K1284" s="73">
        <v>45222.0</v>
      </c>
      <c r="Z1284" s="58" t="s">
        <v>239</v>
      </c>
      <c r="CH1284" s="58" t="s">
        <v>12273</v>
      </c>
      <c r="CI1284" s="73">
        <v>45222.0</v>
      </c>
      <c r="CJ1284" s="58">
        <v>415.0</v>
      </c>
      <c r="CK1284" s="58">
        <v>420.0</v>
      </c>
      <c r="CL1284" s="58" t="s">
        <v>12274</v>
      </c>
      <c r="CM1284" s="58" t="s">
        <v>11196</v>
      </c>
      <c r="CN1284" s="58" t="s">
        <v>12275</v>
      </c>
      <c r="CO1284" s="58" t="s">
        <v>12276</v>
      </c>
      <c r="CP1284" s="58" t="s">
        <v>12277</v>
      </c>
      <c r="CR1284" s="58">
        <v>1.0</v>
      </c>
      <c r="CT1284" s="58">
        <v>12.0</v>
      </c>
      <c r="CU1284" s="58" t="s">
        <v>239</v>
      </c>
      <c r="DL1284" s="58" t="s">
        <v>12278</v>
      </c>
    </row>
    <row r="1285" ht="15.75" customHeight="1">
      <c r="B1285" s="58" t="s">
        <v>4587</v>
      </c>
      <c r="C1285" s="58">
        <v>2024.0</v>
      </c>
      <c r="D1285" s="58" t="s">
        <v>12279</v>
      </c>
      <c r="E1285" s="58" t="s">
        <v>12280</v>
      </c>
      <c r="F1285" s="58" t="s">
        <v>12281</v>
      </c>
      <c r="I1285" s="58" t="s">
        <v>12282</v>
      </c>
      <c r="K1285" s="73">
        <v>45434.0</v>
      </c>
      <c r="Z1285" s="58" t="s">
        <v>239</v>
      </c>
      <c r="CH1285" s="58" t="s">
        <v>12283</v>
      </c>
      <c r="CI1285" s="73">
        <v>45434.0</v>
      </c>
      <c r="CJ1285" s="58">
        <v>1.0</v>
      </c>
      <c r="CK1285" s="58">
        <v>7.0</v>
      </c>
      <c r="CL1285" s="58" t="s">
        <v>12284</v>
      </c>
      <c r="CM1285" s="58" t="s">
        <v>12285</v>
      </c>
      <c r="CO1285" s="58" t="s">
        <v>12286</v>
      </c>
      <c r="CP1285" s="58" t="s">
        <v>12287</v>
      </c>
      <c r="CR1285" s="58">
        <v>1.0</v>
      </c>
      <c r="CT1285" s="58">
        <v>20.0</v>
      </c>
      <c r="CU1285" s="58" t="s">
        <v>239</v>
      </c>
      <c r="DL1285" s="58" t="s">
        <v>12288</v>
      </c>
    </row>
    <row r="1286" ht="15.75" customHeight="1">
      <c r="B1286" s="58" t="s">
        <v>4587</v>
      </c>
      <c r="C1286" s="58">
        <v>2023.0</v>
      </c>
      <c r="D1286" s="58" t="s">
        <v>12289</v>
      </c>
      <c r="E1286" s="58" t="s">
        <v>12290</v>
      </c>
      <c r="F1286" s="58" t="s">
        <v>12291</v>
      </c>
      <c r="I1286" s="58" t="s">
        <v>12292</v>
      </c>
      <c r="K1286" s="73">
        <v>45173.0</v>
      </c>
      <c r="Z1286" s="58" t="s">
        <v>239</v>
      </c>
      <c r="CH1286" s="58" t="s">
        <v>5551</v>
      </c>
      <c r="CI1286" s="73">
        <v>45173.0</v>
      </c>
      <c r="CJ1286" s="58">
        <v>61.0</v>
      </c>
      <c r="CK1286" s="58">
        <v>70.0</v>
      </c>
      <c r="CL1286" s="58" t="s">
        <v>12293</v>
      </c>
      <c r="CM1286" s="58" t="s">
        <v>12294</v>
      </c>
      <c r="CO1286" s="58" t="s">
        <v>12295</v>
      </c>
      <c r="CP1286" s="58" t="s">
        <v>12296</v>
      </c>
      <c r="CR1286" s="58">
        <v>1.0</v>
      </c>
      <c r="CT1286" s="58">
        <v>28.0</v>
      </c>
      <c r="CU1286" s="58" t="s">
        <v>239</v>
      </c>
      <c r="DL1286" s="58" t="s">
        <v>12297</v>
      </c>
    </row>
    <row r="1287" ht="15.75" customHeight="1">
      <c r="B1287" s="58" t="s">
        <v>4587</v>
      </c>
      <c r="C1287" s="58">
        <v>2023.0</v>
      </c>
      <c r="D1287" s="58" t="s">
        <v>12298</v>
      </c>
      <c r="E1287" s="58" t="s">
        <v>12299</v>
      </c>
      <c r="F1287" s="58" t="s">
        <v>12300</v>
      </c>
      <c r="H1287" s="58" t="s">
        <v>10882</v>
      </c>
      <c r="I1287" s="58" t="s">
        <v>12301</v>
      </c>
      <c r="K1287" s="73">
        <v>45145.0</v>
      </c>
      <c r="Z1287" s="58" t="s">
        <v>239</v>
      </c>
      <c r="CH1287" s="58" t="s">
        <v>12302</v>
      </c>
      <c r="CI1287" s="73">
        <v>45145.0</v>
      </c>
      <c r="CJ1287" s="58">
        <v>133.0</v>
      </c>
      <c r="CK1287" s="58">
        <v>140.0</v>
      </c>
      <c r="CL1287" s="58" t="s">
        <v>12303</v>
      </c>
      <c r="CM1287" s="58" t="s">
        <v>12304</v>
      </c>
      <c r="CN1287" s="58" t="s">
        <v>12305</v>
      </c>
      <c r="CO1287" s="58" t="s">
        <v>12306</v>
      </c>
      <c r="CP1287" s="58" t="s">
        <v>12307</v>
      </c>
      <c r="CR1287" s="58">
        <v>1.0</v>
      </c>
      <c r="CT1287" s="58">
        <v>20.0</v>
      </c>
      <c r="CU1287" s="58" t="s">
        <v>239</v>
      </c>
      <c r="DL1287" s="58" t="s">
        <v>12308</v>
      </c>
    </row>
    <row r="1288" ht="15.75" customHeight="1">
      <c r="B1288" s="58" t="s">
        <v>4587</v>
      </c>
      <c r="C1288" s="58">
        <v>2024.0</v>
      </c>
      <c r="D1288" s="58" t="s">
        <v>12309</v>
      </c>
      <c r="E1288" s="58" t="s">
        <v>12310</v>
      </c>
      <c r="F1288" s="58" t="s">
        <v>12311</v>
      </c>
      <c r="I1288" s="58" t="s">
        <v>12312</v>
      </c>
      <c r="K1288" s="73">
        <v>45335.0</v>
      </c>
      <c r="Z1288" s="58" t="s">
        <v>239</v>
      </c>
      <c r="CH1288" s="58" t="s">
        <v>12313</v>
      </c>
      <c r="CI1288" s="73">
        <v>45335.0</v>
      </c>
      <c r="CJ1288" s="58">
        <v>269.0</v>
      </c>
      <c r="CK1288" s="58">
        <v>277.0</v>
      </c>
      <c r="CL1288" s="58" t="s">
        <v>12314</v>
      </c>
      <c r="CM1288" s="58" t="s">
        <v>12315</v>
      </c>
      <c r="CN1288" s="58" t="s">
        <v>6567</v>
      </c>
      <c r="CO1288" s="58" t="s">
        <v>12316</v>
      </c>
      <c r="CP1288" s="58" t="s">
        <v>12317</v>
      </c>
      <c r="CR1288" s="58">
        <v>1.0</v>
      </c>
      <c r="CT1288" s="58">
        <v>14.0</v>
      </c>
      <c r="CU1288" s="58" t="s">
        <v>239</v>
      </c>
      <c r="DL1288" s="58" t="s">
        <v>12318</v>
      </c>
    </row>
    <row r="1289" ht="15.75" customHeight="1">
      <c r="B1289" s="58" t="s">
        <v>4587</v>
      </c>
      <c r="C1289" s="58">
        <v>2023.0</v>
      </c>
      <c r="D1289" s="58" t="s">
        <v>12319</v>
      </c>
      <c r="E1289" s="58" t="s">
        <v>12320</v>
      </c>
      <c r="F1289" s="58" t="s">
        <v>12321</v>
      </c>
      <c r="I1289" s="58" t="s">
        <v>12322</v>
      </c>
      <c r="K1289" s="73">
        <v>45083.0</v>
      </c>
      <c r="Z1289" s="58" t="s">
        <v>239</v>
      </c>
      <c r="CH1289" s="58" t="s">
        <v>12323</v>
      </c>
      <c r="CI1289" s="73">
        <v>45083.0</v>
      </c>
      <c r="CJ1289" s="58">
        <v>807.0</v>
      </c>
      <c r="CK1289" s="58">
        <v>812.0</v>
      </c>
      <c r="CL1289" s="58" t="s">
        <v>12324</v>
      </c>
      <c r="CM1289" s="58" t="s">
        <v>12325</v>
      </c>
      <c r="CO1289" s="58" t="s">
        <v>12326</v>
      </c>
      <c r="CP1289" s="58" t="s">
        <v>12327</v>
      </c>
      <c r="CR1289" s="58">
        <v>1.0</v>
      </c>
      <c r="CT1289" s="58">
        <v>10.0</v>
      </c>
      <c r="CU1289" s="58" t="s">
        <v>239</v>
      </c>
      <c r="DL1289" s="58" t="s">
        <v>12328</v>
      </c>
    </row>
    <row r="1290" ht="15.75" customHeight="1">
      <c r="B1290" s="58" t="s">
        <v>4587</v>
      </c>
      <c r="C1290" s="58">
        <v>2023.0</v>
      </c>
      <c r="D1290" s="58" t="s">
        <v>12329</v>
      </c>
      <c r="E1290" s="58" t="s">
        <v>12330</v>
      </c>
      <c r="F1290" s="58" t="s">
        <v>12331</v>
      </c>
      <c r="I1290" s="58" t="s">
        <v>12332</v>
      </c>
      <c r="K1290" s="73">
        <v>45245.0</v>
      </c>
      <c r="Z1290" s="58" t="s">
        <v>239</v>
      </c>
      <c r="CH1290" s="58" t="s">
        <v>12333</v>
      </c>
      <c r="CI1290" s="73">
        <v>45245.0</v>
      </c>
      <c r="CJ1290" s="58">
        <v>1.0</v>
      </c>
      <c r="CK1290" s="58">
        <v>6.0</v>
      </c>
      <c r="CL1290" s="58" t="s">
        <v>12334</v>
      </c>
      <c r="CM1290" s="58" t="s">
        <v>12335</v>
      </c>
      <c r="CO1290" s="58" t="s">
        <v>12336</v>
      </c>
      <c r="CP1290" s="58" t="s">
        <v>12337</v>
      </c>
      <c r="CR1290" s="58">
        <v>1.0</v>
      </c>
      <c r="CT1290" s="58">
        <v>26.0</v>
      </c>
      <c r="CU1290" s="58" t="s">
        <v>239</v>
      </c>
      <c r="DL1290" s="58" t="s">
        <v>12338</v>
      </c>
    </row>
    <row r="1291" ht="15.75" customHeight="1">
      <c r="B1291" s="58" t="s">
        <v>4587</v>
      </c>
      <c r="C1291" s="58">
        <v>2023.0</v>
      </c>
      <c r="D1291" s="58" t="s">
        <v>12339</v>
      </c>
      <c r="E1291" s="58" t="s">
        <v>12340</v>
      </c>
      <c r="F1291" s="58" t="s">
        <v>12341</v>
      </c>
      <c r="I1291" s="58" t="s">
        <v>12342</v>
      </c>
      <c r="K1291" s="73">
        <v>45131.0</v>
      </c>
      <c r="Z1291" s="58" t="s">
        <v>239</v>
      </c>
      <c r="CH1291" s="58" t="s">
        <v>12343</v>
      </c>
      <c r="CI1291" s="73">
        <v>45131.0</v>
      </c>
      <c r="CJ1291" s="58">
        <v>2649.0</v>
      </c>
      <c r="CK1291" s="58">
        <v>2654.0</v>
      </c>
      <c r="CL1291" s="58" t="s">
        <v>12344</v>
      </c>
      <c r="CM1291" s="58" t="s">
        <v>12345</v>
      </c>
      <c r="CO1291" s="58" t="s">
        <v>12346</v>
      </c>
      <c r="CP1291" s="58" t="s">
        <v>12347</v>
      </c>
      <c r="CR1291" s="58">
        <v>1.0</v>
      </c>
      <c r="CT1291" s="58">
        <v>23.0</v>
      </c>
      <c r="CU1291" s="58" t="s">
        <v>239</v>
      </c>
      <c r="DL1291" s="58" t="s">
        <v>12348</v>
      </c>
    </row>
    <row r="1292" ht="15.75" customHeight="1">
      <c r="B1292" s="58" t="s">
        <v>4587</v>
      </c>
      <c r="C1292" s="58">
        <v>2023.0</v>
      </c>
      <c r="D1292" s="58" t="s">
        <v>12349</v>
      </c>
      <c r="E1292" s="58" t="s">
        <v>12350</v>
      </c>
      <c r="F1292" s="58" t="s">
        <v>12351</v>
      </c>
      <c r="H1292" s="58" t="s">
        <v>12352</v>
      </c>
      <c r="I1292" s="58" t="s">
        <v>12353</v>
      </c>
      <c r="K1292" s="73">
        <v>45285.0</v>
      </c>
      <c r="Z1292" s="58" t="s">
        <v>239</v>
      </c>
      <c r="CH1292" s="58" t="s">
        <v>12354</v>
      </c>
      <c r="CI1292" s="73">
        <v>45285.0</v>
      </c>
      <c r="CJ1292" s="58">
        <v>1.0</v>
      </c>
      <c r="CK1292" s="58">
        <v>6.0</v>
      </c>
      <c r="CL1292" s="58" t="s">
        <v>12355</v>
      </c>
      <c r="CM1292" s="58" t="s">
        <v>12356</v>
      </c>
      <c r="CO1292" s="58" t="s">
        <v>12357</v>
      </c>
      <c r="CP1292" s="58" t="s">
        <v>12358</v>
      </c>
      <c r="CR1292" s="58">
        <v>1.0</v>
      </c>
      <c r="CT1292" s="58">
        <v>25.0</v>
      </c>
      <c r="CU1292" s="58" t="s">
        <v>239</v>
      </c>
      <c r="DL1292" s="58" t="s">
        <v>12359</v>
      </c>
    </row>
    <row r="1293" ht="15.75" customHeight="1">
      <c r="B1293" s="58" t="s">
        <v>4587</v>
      </c>
      <c r="C1293" s="58">
        <v>2023.0</v>
      </c>
      <c r="D1293" s="58" t="s">
        <v>12360</v>
      </c>
      <c r="E1293" s="58" t="s">
        <v>12361</v>
      </c>
      <c r="F1293" s="58" t="s">
        <v>12362</v>
      </c>
      <c r="I1293" s="58" t="s">
        <v>12363</v>
      </c>
      <c r="K1293" s="73">
        <v>45337.0</v>
      </c>
      <c r="Z1293" s="58" t="s">
        <v>239</v>
      </c>
      <c r="CH1293" s="58" t="s">
        <v>12364</v>
      </c>
      <c r="CI1293" s="73">
        <v>45337.0</v>
      </c>
      <c r="CJ1293" s="58">
        <v>19.0</v>
      </c>
      <c r="CK1293" s="58">
        <v>25.0</v>
      </c>
      <c r="CL1293" s="58" t="s">
        <v>12365</v>
      </c>
      <c r="CM1293" s="58" t="s">
        <v>12366</v>
      </c>
      <c r="CO1293" s="58" t="s">
        <v>12367</v>
      </c>
      <c r="CP1293" s="58" t="s">
        <v>12368</v>
      </c>
      <c r="CR1293" s="58">
        <v>1.0</v>
      </c>
      <c r="CT1293" s="58">
        <v>33.0</v>
      </c>
      <c r="CU1293" s="58" t="s">
        <v>239</v>
      </c>
      <c r="DL1293" s="58" t="s">
        <v>12369</v>
      </c>
    </row>
    <row r="1294" ht="15.75" customHeight="1">
      <c r="B1294" s="58" t="s">
        <v>4587</v>
      </c>
      <c r="C1294" s="58">
        <v>2023.0</v>
      </c>
      <c r="D1294" s="58" t="s">
        <v>12370</v>
      </c>
      <c r="E1294" s="58" t="s">
        <v>12371</v>
      </c>
      <c r="F1294" s="58" t="s">
        <v>12372</v>
      </c>
      <c r="I1294" s="58" t="s">
        <v>12373</v>
      </c>
      <c r="K1294" s="73">
        <v>44998.0</v>
      </c>
      <c r="Z1294" s="58" t="s">
        <v>239</v>
      </c>
      <c r="CH1294" s="58" t="s">
        <v>12374</v>
      </c>
      <c r="CI1294" s="73">
        <v>44998.0</v>
      </c>
      <c r="CJ1294" s="58">
        <v>80.0</v>
      </c>
      <c r="CK1294" s="58">
        <v>87.0</v>
      </c>
      <c r="CL1294" s="58" t="s">
        <v>12375</v>
      </c>
      <c r="CM1294" s="58" t="s">
        <v>12376</v>
      </c>
      <c r="CO1294" s="58" t="s">
        <v>12377</v>
      </c>
      <c r="CR1294" s="58">
        <v>1.0</v>
      </c>
      <c r="CT1294" s="58">
        <v>23.0</v>
      </c>
      <c r="DL1294" s="58" t="s">
        <v>12378</v>
      </c>
    </row>
    <row r="1295" ht="15.75" customHeight="1">
      <c r="B1295" s="58" t="s">
        <v>4587</v>
      </c>
      <c r="C1295" s="58">
        <v>2023.0</v>
      </c>
      <c r="D1295" s="58" t="s">
        <v>12379</v>
      </c>
      <c r="E1295" s="58" t="s">
        <v>12380</v>
      </c>
      <c r="F1295" s="58" t="s">
        <v>12381</v>
      </c>
      <c r="I1295" s="58" t="s">
        <v>12382</v>
      </c>
      <c r="K1295" s="73">
        <v>45306.0</v>
      </c>
      <c r="Z1295" s="58" t="s">
        <v>239</v>
      </c>
      <c r="CH1295" s="58" t="s">
        <v>12383</v>
      </c>
      <c r="CI1295" s="73">
        <v>45306.0</v>
      </c>
      <c r="CJ1295" s="58">
        <v>153.0</v>
      </c>
      <c r="CK1295" s="58">
        <v>160.0</v>
      </c>
      <c r="CL1295" s="58" t="s">
        <v>12384</v>
      </c>
      <c r="CM1295" s="58" t="s">
        <v>12385</v>
      </c>
      <c r="CO1295" s="58" t="s">
        <v>12386</v>
      </c>
      <c r="CP1295" s="58" t="s">
        <v>12387</v>
      </c>
      <c r="CR1295" s="58">
        <v>1.0</v>
      </c>
      <c r="CT1295" s="58">
        <v>23.0</v>
      </c>
      <c r="CU1295" s="58" t="s">
        <v>239</v>
      </c>
      <c r="DL1295" s="58" t="s">
        <v>12388</v>
      </c>
    </row>
    <row r="1296" ht="15.75" customHeight="1">
      <c r="B1296" s="58" t="s">
        <v>4587</v>
      </c>
      <c r="C1296" s="58">
        <v>2023.0</v>
      </c>
      <c r="D1296" s="58" t="s">
        <v>12389</v>
      </c>
      <c r="E1296" s="58" t="s">
        <v>12390</v>
      </c>
      <c r="F1296" s="58" t="s">
        <v>12391</v>
      </c>
      <c r="I1296" s="58" t="s">
        <v>12392</v>
      </c>
      <c r="K1296" s="73">
        <v>45205.0</v>
      </c>
      <c r="Z1296" s="58" t="s">
        <v>239</v>
      </c>
      <c r="CH1296" s="58" t="s">
        <v>12393</v>
      </c>
      <c r="CI1296" s="73">
        <v>45205.0</v>
      </c>
      <c r="CJ1296" s="58">
        <v>749.0</v>
      </c>
      <c r="CK1296" s="58">
        <v>755.0</v>
      </c>
      <c r="CL1296" s="58" t="s">
        <v>12394</v>
      </c>
      <c r="CM1296" s="58" t="s">
        <v>12395</v>
      </c>
      <c r="CN1296" s="58" t="s">
        <v>12396</v>
      </c>
      <c r="CO1296" s="58" t="s">
        <v>12397</v>
      </c>
      <c r="CP1296" s="58" t="s">
        <v>12398</v>
      </c>
      <c r="CR1296" s="58">
        <v>1.0</v>
      </c>
      <c r="CT1296" s="58">
        <v>19.0</v>
      </c>
      <c r="CU1296" s="58" t="s">
        <v>239</v>
      </c>
      <c r="DL1296" s="58" t="s">
        <v>12399</v>
      </c>
    </row>
    <row r="1297" ht="15.75" customHeight="1">
      <c r="B1297" s="58" t="s">
        <v>4587</v>
      </c>
      <c r="C1297" s="58">
        <v>2023.0</v>
      </c>
      <c r="D1297" s="58" t="s">
        <v>12400</v>
      </c>
      <c r="E1297" s="58" t="s">
        <v>12401</v>
      </c>
      <c r="F1297" s="58" t="s">
        <v>12402</v>
      </c>
      <c r="I1297" s="58" t="s">
        <v>12403</v>
      </c>
      <c r="K1297" s="73">
        <v>45338.0</v>
      </c>
      <c r="Z1297" s="58" t="s">
        <v>239</v>
      </c>
      <c r="CH1297" s="58" t="s">
        <v>12404</v>
      </c>
      <c r="CI1297" s="73">
        <v>45338.0</v>
      </c>
      <c r="CJ1297" s="58">
        <v>1.0</v>
      </c>
      <c r="CK1297" s="58">
        <v>6.0</v>
      </c>
      <c r="CL1297" s="58" t="s">
        <v>12405</v>
      </c>
      <c r="CM1297" s="58" t="s">
        <v>12406</v>
      </c>
      <c r="CO1297" s="58" t="s">
        <v>12407</v>
      </c>
      <c r="CP1297" s="58" t="s">
        <v>12408</v>
      </c>
      <c r="CR1297" s="58">
        <v>1.0</v>
      </c>
      <c r="CT1297" s="58">
        <v>23.0</v>
      </c>
      <c r="CU1297" s="58" t="s">
        <v>239</v>
      </c>
      <c r="DL1297" s="58" t="s">
        <v>12409</v>
      </c>
    </row>
    <row r="1298" ht="15.75" customHeight="1">
      <c r="B1298" s="58" t="s">
        <v>4587</v>
      </c>
      <c r="C1298" s="58">
        <v>2024.0</v>
      </c>
      <c r="D1298" s="58" t="s">
        <v>12410</v>
      </c>
      <c r="E1298" s="58" t="s">
        <v>12411</v>
      </c>
      <c r="F1298" s="58" t="s">
        <v>12412</v>
      </c>
      <c r="I1298" s="58" t="s">
        <v>12413</v>
      </c>
      <c r="K1298" s="73">
        <v>45418.0</v>
      </c>
      <c r="Z1298" s="58" t="s">
        <v>239</v>
      </c>
      <c r="CH1298" s="58" t="s">
        <v>12414</v>
      </c>
      <c r="CI1298" s="73">
        <v>45418.0</v>
      </c>
      <c r="CJ1298" s="58">
        <v>1.0</v>
      </c>
      <c r="CK1298" s="58">
        <v>6.0</v>
      </c>
      <c r="CL1298" s="58" t="s">
        <v>12415</v>
      </c>
      <c r="CM1298" s="58" t="s">
        <v>12416</v>
      </c>
      <c r="CO1298" s="58" t="s">
        <v>12417</v>
      </c>
      <c r="CP1298" s="58" t="s">
        <v>12418</v>
      </c>
      <c r="CR1298" s="58">
        <v>1.0</v>
      </c>
      <c r="CT1298" s="58">
        <v>17.0</v>
      </c>
      <c r="CU1298" s="58" t="s">
        <v>239</v>
      </c>
      <c r="DL1298" s="58" t="s">
        <v>12419</v>
      </c>
    </row>
    <row r="1299" ht="15.75" customHeight="1">
      <c r="B1299" s="58" t="s">
        <v>4587</v>
      </c>
      <c r="C1299" s="58">
        <v>2023.0</v>
      </c>
      <c r="D1299" s="58" t="s">
        <v>12420</v>
      </c>
      <c r="E1299" s="58" t="s">
        <v>12421</v>
      </c>
      <c r="F1299" s="58" t="s">
        <v>12422</v>
      </c>
      <c r="I1299" s="58" t="s">
        <v>12423</v>
      </c>
      <c r="K1299" s="73">
        <v>45317.0</v>
      </c>
      <c r="Z1299" s="58" t="s">
        <v>239</v>
      </c>
      <c r="CH1299" s="58" t="s">
        <v>12424</v>
      </c>
      <c r="CI1299" s="73">
        <v>45317.0</v>
      </c>
      <c r="CJ1299" s="58">
        <v>1841.0</v>
      </c>
      <c r="CK1299" s="58">
        <v>1848.0</v>
      </c>
      <c r="CL1299" s="58" t="s">
        <v>12425</v>
      </c>
      <c r="CM1299" s="58" t="s">
        <v>12426</v>
      </c>
      <c r="CO1299" s="58" t="s">
        <v>12427</v>
      </c>
      <c r="CP1299" s="58" t="s">
        <v>12428</v>
      </c>
      <c r="CR1299" s="58">
        <v>1.0</v>
      </c>
      <c r="CT1299" s="58">
        <v>24.0</v>
      </c>
      <c r="CU1299" s="58" t="s">
        <v>239</v>
      </c>
      <c r="DL1299" s="58" t="s">
        <v>12429</v>
      </c>
    </row>
    <row r="1300" ht="15.75" customHeight="1">
      <c r="B1300" s="58" t="s">
        <v>4587</v>
      </c>
      <c r="C1300" s="58">
        <v>2023.0</v>
      </c>
      <c r="D1300" s="58" t="s">
        <v>12430</v>
      </c>
      <c r="E1300" s="58" t="s">
        <v>12431</v>
      </c>
      <c r="F1300" s="58" t="s">
        <v>11832</v>
      </c>
      <c r="H1300" s="58" t="s">
        <v>11833</v>
      </c>
      <c r="I1300" s="58" t="s">
        <v>12432</v>
      </c>
      <c r="K1300" s="73">
        <v>45320.0</v>
      </c>
      <c r="Z1300" s="58" t="s">
        <v>239</v>
      </c>
      <c r="CH1300" s="58" t="s">
        <v>12433</v>
      </c>
      <c r="CI1300" s="73">
        <v>45320.0</v>
      </c>
      <c r="CJ1300" s="58">
        <v>3434.0</v>
      </c>
      <c r="CK1300" s="58">
        <v>3439.0</v>
      </c>
      <c r="CL1300" s="58" t="s">
        <v>12434</v>
      </c>
      <c r="CM1300" s="58" t="s">
        <v>11837</v>
      </c>
      <c r="CO1300" s="58" t="s">
        <v>12435</v>
      </c>
      <c r="CR1300" s="58">
        <v>1.0</v>
      </c>
      <c r="CT1300" s="58">
        <v>15.0</v>
      </c>
      <c r="CU1300" s="58" t="s">
        <v>239</v>
      </c>
      <c r="DL1300" s="58" t="s">
        <v>12436</v>
      </c>
    </row>
    <row r="1301" ht="15.75" customHeight="1">
      <c r="B1301" s="58" t="s">
        <v>4587</v>
      </c>
      <c r="C1301" s="58">
        <v>2023.0</v>
      </c>
      <c r="D1301" s="58" t="s">
        <v>12437</v>
      </c>
      <c r="E1301" s="58" t="s">
        <v>12438</v>
      </c>
      <c r="F1301" s="58" t="s">
        <v>12439</v>
      </c>
      <c r="I1301" s="58" t="s">
        <v>12440</v>
      </c>
      <c r="K1301" s="73">
        <v>45364.0</v>
      </c>
      <c r="Z1301" s="58" t="s">
        <v>239</v>
      </c>
      <c r="CH1301" s="58" t="s">
        <v>12441</v>
      </c>
      <c r="CI1301" s="73">
        <v>45364.0</v>
      </c>
      <c r="CJ1301" s="58">
        <v>473.0</v>
      </c>
      <c r="CK1301" s="58">
        <v>477.0</v>
      </c>
      <c r="CL1301" s="58" t="s">
        <v>12442</v>
      </c>
      <c r="CM1301" s="58" t="s">
        <v>12443</v>
      </c>
      <c r="CO1301" s="58" t="s">
        <v>12444</v>
      </c>
      <c r="CP1301" s="58" t="s">
        <v>12445</v>
      </c>
      <c r="CR1301" s="58">
        <v>1.0</v>
      </c>
      <c r="CT1301" s="58">
        <v>16.0</v>
      </c>
      <c r="CU1301" s="58" t="s">
        <v>239</v>
      </c>
      <c r="DL1301" s="58" t="s">
        <v>12446</v>
      </c>
    </row>
    <row r="1302" ht="15.75" customHeight="1">
      <c r="B1302" s="58" t="s">
        <v>4587</v>
      </c>
      <c r="C1302" s="58">
        <v>2023.0</v>
      </c>
      <c r="D1302" s="58" t="s">
        <v>12447</v>
      </c>
      <c r="E1302" s="58" t="s">
        <v>12448</v>
      </c>
      <c r="F1302" s="58" t="s">
        <v>12449</v>
      </c>
      <c r="I1302" s="58" t="s">
        <v>12450</v>
      </c>
      <c r="K1302" s="73">
        <v>45355.0</v>
      </c>
      <c r="Z1302" s="58" t="s">
        <v>239</v>
      </c>
      <c r="CH1302" s="58" t="s">
        <v>12451</v>
      </c>
      <c r="CI1302" s="73">
        <v>45355.0</v>
      </c>
      <c r="CJ1302" s="58">
        <v>54.0</v>
      </c>
      <c r="CK1302" s="58">
        <v>68.0</v>
      </c>
      <c r="CL1302" s="58" t="s">
        <v>12452</v>
      </c>
      <c r="CM1302" s="58" t="s">
        <v>12453</v>
      </c>
      <c r="CN1302" s="58" t="s">
        <v>12454</v>
      </c>
      <c r="CO1302" s="58" t="s">
        <v>12455</v>
      </c>
      <c r="CP1302" s="58" t="s">
        <v>12456</v>
      </c>
      <c r="CR1302" s="58">
        <v>1.0</v>
      </c>
      <c r="CT1302" s="58">
        <v>38.0</v>
      </c>
      <c r="CU1302" s="58" t="s">
        <v>239</v>
      </c>
      <c r="DL1302" s="58" t="s">
        <v>12457</v>
      </c>
    </row>
    <row r="1303" ht="15.75" customHeight="1">
      <c r="B1303" s="58" t="s">
        <v>4587</v>
      </c>
      <c r="C1303" s="58">
        <v>2023.0</v>
      </c>
      <c r="D1303" s="58" t="s">
        <v>12458</v>
      </c>
      <c r="E1303" s="58" t="s">
        <v>12459</v>
      </c>
      <c r="F1303" s="58" t="s">
        <v>11571</v>
      </c>
      <c r="H1303" s="58" t="s">
        <v>11572</v>
      </c>
      <c r="I1303" s="58" t="s">
        <v>12460</v>
      </c>
      <c r="K1303" s="73">
        <v>44972.0</v>
      </c>
      <c r="Z1303" s="58" t="s">
        <v>239</v>
      </c>
      <c r="CH1303" s="58" t="s">
        <v>12461</v>
      </c>
      <c r="CI1303" s="73">
        <v>44972.0</v>
      </c>
      <c r="CJ1303" s="58">
        <v>819.0</v>
      </c>
      <c r="CK1303" s="58">
        <v>824.0</v>
      </c>
      <c r="CL1303" s="58" t="s">
        <v>12462</v>
      </c>
      <c r="CM1303" s="58" t="s">
        <v>11576</v>
      </c>
      <c r="CO1303" s="58" t="s">
        <v>12463</v>
      </c>
      <c r="CP1303" s="58" t="s">
        <v>12464</v>
      </c>
      <c r="CR1303" s="58">
        <v>1.0</v>
      </c>
      <c r="CT1303" s="58">
        <v>18.0</v>
      </c>
      <c r="CU1303" s="58" t="s">
        <v>239</v>
      </c>
      <c r="DL1303" s="58" t="s">
        <v>12465</v>
      </c>
    </row>
    <row r="1304" ht="15.75" customHeight="1">
      <c r="B1304" s="58" t="s">
        <v>4587</v>
      </c>
      <c r="C1304" s="58">
        <v>2024.0</v>
      </c>
      <c r="D1304" s="58" t="s">
        <v>12466</v>
      </c>
      <c r="E1304" s="58" t="s">
        <v>12467</v>
      </c>
      <c r="F1304" s="58" t="s">
        <v>12468</v>
      </c>
      <c r="H1304" s="58" t="s">
        <v>4733</v>
      </c>
      <c r="I1304" s="58" t="s">
        <v>12469</v>
      </c>
      <c r="K1304" s="73">
        <v>45516.0</v>
      </c>
      <c r="Z1304" s="58" t="s">
        <v>239</v>
      </c>
      <c r="CH1304" s="58" t="s">
        <v>12470</v>
      </c>
      <c r="CI1304" s="73">
        <v>45516.0</v>
      </c>
      <c r="CJ1304" s="58">
        <v>1511.0</v>
      </c>
      <c r="CK1304" s="58">
        <v>1520.0</v>
      </c>
      <c r="CL1304" s="58" t="s">
        <v>12471</v>
      </c>
      <c r="CM1304" s="58" t="s">
        <v>12472</v>
      </c>
      <c r="CN1304" s="58" t="s">
        <v>12473</v>
      </c>
      <c r="CO1304" s="58" t="s">
        <v>12474</v>
      </c>
      <c r="CP1304" s="58" t="s">
        <v>12475</v>
      </c>
      <c r="CR1304" s="58">
        <v>1.0</v>
      </c>
      <c r="CT1304" s="58">
        <v>25.0</v>
      </c>
      <c r="CU1304" s="58" t="s">
        <v>239</v>
      </c>
      <c r="DL1304" s="58" t="s">
        <v>12476</v>
      </c>
    </row>
    <row r="1305" ht="15.75" customHeight="1">
      <c r="B1305" s="58" t="s">
        <v>4587</v>
      </c>
      <c r="C1305" s="58">
        <v>2024.0</v>
      </c>
      <c r="D1305" s="58" t="s">
        <v>12477</v>
      </c>
      <c r="E1305" s="58" t="s">
        <v>12478</v>
      </c>
      <c r="F1305" s="58" t="s">
        <v>12479</v>
      </c>
      <c r="H1305" s="58" t="s">
        <v>12480</v>
      </c>
      <c r="I1305" s="58" t="s">
        <v>12481</v>
      </c>
      <c r="K1305" s="73">
        <v>45426.0</v>
      </c>
      <c r="Z1305" s="58" t="s">
        <v>239</v>
      </c>
      <c r="CH1305" s="58" t="s">
        <v>12482</v>
      </c>
      <c r="CI1305" s="73">
        <v>45426.0</v>
      </c>
      <c r="CJ1305" s="58">
        <v>1.0</v>
      </c>
      <c r="CK1305" s="58">
        <v>6.0</v>
      </c>
      <c r="CL1305" s="58" t="s">
        <v>12483</v>
      </c>
      <c r="CM1305" s="58" t="s">
        <v>12484</v>
      </c>
      <c r="CO1305" s="58" t="s">
        <v>12485</v>
      </c>
      <c r="CP1305" s="58" t="s">
        <v>12486</v>
      </c>
      <c r="CR1305" s="58">
        <v>1.0</v>
      </c>
      <c r="CT1305" s="58">
        <v>20.0</v>
      </c>
      <c r="CU1305" s="58" t="s">
        <v>239</v>
      </c>
      <c r="DL1305" s="58" t="s">
        <v>12487</v>
      </c>
    </row>
    <row r="1306" ht="15.75" customHeight="1">
      <c r="B1306" s="58" t="s">
        <v>4587</v>
      </c>
      <c r="C1306" s="58">
        <v>2024.0</v>
      </c>
      <c r="D1306" s="58" t="s">
        <v>12488</v>
      </c>
      <c r="E1306" s="58" t="s">
        <v>12489</v>
      </c>
      <c r="F1306" s="58" t="s">
        <v>12490</v>
      </c>
      <c r="I1306" s="58" t="s">
        <v>12491</v>
      </c>
      <c r="K1306" s="73">
        <v>45671.0</v>
      </c>
      <c r="Z1306" s="58" t="s">
        <v>239</v>
      </c>
      <c r="CH1306" s="58" t="s">
        <v>12492</v>
      </c>
      <c r="CI1306" s="73">
        <v>45671.0</v>
      </c>
      <c r="CJ1306" s="58">
        <v>213.0</v>
      </c>
      <c r="CK1306" s="58">
        <v>218.0</v>
      </c>
      <c r="CL1306" s="58" t="s">
        <v>12493</v>
      </c>
      <c r="CM1306" s="58" t="s">
        <v>12494</v>
      </c>
      <c r="CO1306" s="58" t="s">
        <v>12495</v>
      </c>
      <c r="CP1306" s="58" t="s">
        <v>12496</v>
      </c>
      <c r="CT1306" s="58">
        <v>13.0</v>
      </c>
      <c r="CU1306" s="58" t="s">
        <v>239</v>
      </c>
      <c r="DL1306" s="58" t="s">
        <v>12497</v>
      </c>
    </row>
    <row r="1307" ht="15.75" customHeight="1">
      <c r="B1307" s="58" t="s">
        <v>4587</v>
      </c>
      <c r="C1307" s="58">
        <v>2023.0</v>
      </c>
      <c r="D1307" s="58" t="s">
        <v>12498</v>
      </c>
      <c r="E1307" s="58" t="s">
        <v>12499</v>
      </c>
      <c r="F1307" s="58" t="s">
        <v>12500</v>
      </c>
      <c r="H1307" s="58" t="s">
        <v>12501</v>
      </c>
      <c r="I1307" s="58" t="s">
        <v>12502</v>
      </c>
      <c r="K1307" s="73">
        <v>45252.0</v>
      </c>
      <c r="Z1307" s="58" t="s">
        <v>239</v>
      </c>
      <c r="CH1307" s="58" t="s">
        <v>12503</v>
      </c>
      <c r="CI1307" s="73">
        <v>45252.0</v>
      </c>
      <c r="CJ1307" s="58">
        <v>1.0</v>
      </c>
      <c r="CK1307" s="58">
        <v>6.0</v>
      </c>
      <c r="CL1307" s="58" t="s">
        <v>12504</v>
      </c>
      <c r="CM1307" s="58" t="s">
        <v>12505</v>
      </c>
      <c r="CO1307" s="58" t="s">
        <v>12506</v>
      </c>
      <c r="CP1307" s="58" t="s">
        <v>12507</v>
      </c>
      <c r="CT1307" s="58">
        <v>18.0</v>
      </c>
      <c r="CU1307" s="58" t="s">
        <v>239</v>
      </c>
      <c r="DL1307" s="58" t="s">
        <v>12508</v>
      </c>
    </row>
    <row r="1308" ht="15.75" customHeight="1">
      <c r="B1308" s="58" t="s">
        <v>4587</v>
      </c>
      <c r="C1308" s="58">
        <v>2024.0</v>
      </c>
      <c r="D1308" s="58" t="s">
        <v>12509</v>
      </c>
      <c r="E1308" s="58" t="s">
        <v>12510</v>
      </c>
      <c r="F1308" s="58" t="s">
        <v>12511</v>
      </c>
      <c r="H1308" s="58" t="s">
        <v>12512</v>
      </c>
      <c r="I1308" s="58" t="s">
        <v>12513</v>
      </c>
      <c r="K1308" s="73">
        <v>45517.0</v>
      </c>
      <c r="Z1308" s="58" t="s">
        <v>239</v>
      </c>
      <c r="CH1308" s="58" t="s">
        <v>12514</v>
      </c>
      <c r="CI1308" s="73">
        <v>45517.0</v>
      </c>
      <c r="CJ1308" s="58">
        <v>1.0</v>
      </c>
      <c r="CK1308" s="58">
        <v>6.0</v>
      </c>
      <c r="CL1308" s="58" t="s">
        <v>12515</v>
      </c>
      <c r="CM1308" s="58" t="s">
        <v>12516</v>
      </c>
      <c r="CO1308" s="58" t="s">
        <v>12517</v>
      </c>
      <c r="CP1308" s="58" t="s">
        <v>12518</v>
      </c>
      <c r="CT1308" s="58">
        <v>29.0</v>
      </c>
      <c r="CU1308" s="58" t="s">
        <v>239</v>
      </c>
      <c r="DL1308" s="58" t="s">
        <v>12519</v>
      </c>
    </row>
    <row r="1309" ht="15.75" customHeight="1">
      <c r="B1309" s="58" t="s">
        <v>4587</v>
      </c>
      <c r="C1309" s="58">
        <v>2024.0</v>
      </c>
      <c r="D1309" s="58" t="s">
        <v>12520</v>
      </c>
      <c r="E1309" s="58" t="s">
        <v>12521</v>
      </c>
      <c r="F1309" s="58" t="s">
        <v>12522</v>
      </c>
      <c r="H1309" s="58" t="s">
        <v>4600</v>
      </c>
      <c r="I1309" s="58" t="s">
        <v>12523</v>
      </c>
      <c r="K1309" s="73">
        <v>45532.0</v>
      </c>
      <c r="Z1309" s="58" t="s">
        <v>239</v>
      </c>
      <c r="CH1309" s="58" t="s">
        <v>12524</v>
      </c>
      <c r="CI1309" s="73">
        <v>45532.0</v>
      </c>
      <c r="CJ1309" s="58">
        <v>386.0</v>
      </c>
      <c r="CK1309" s="58">
        <v>398.0</v>
      </c>
      <c r="CL1309" s="58" t="s">
        <v>12525</v>
      </c>
      <c r="CM1309" s="58" t="s">
        <v>12526</v>
      </c>
      <c r="CO1309" s="58" t="s">
        <v>12527</v>
      </c>
      <c r="CP1309" s="58" t="s">
        <v>12528</v>
      </c>
      <c r="CT1309" s="58">
        <v>59.0</v>
      </c>
      <c r="CU1309" s="58" t="s">
        <v>239</v>
      </c>
      <c r="DL1309" s="58" t="s">
        <v>12529</v>
      </c>
    </row>
    <row r="1310" ht="15.75" customHeight="1">
      <c r="B1310" s="58" t="s">
        <v>4587</v>
      </c>
      <c r="C1310" s="58">
        <v>2024.0</v>
      </c>
      <c r="D1310" s="58" t="s">
        <v>12530</v>
      </c>
      <c r="E1310" s="58" t="s">
        <v>12531</v>
      </c>
      <c r="F1310" s="58" t="s">
        <v>12532</v>
      </c>
      <c r="I1310" s="58" t="s">
        <v>12533</v>
      </c>
      <c r="K1310" s="73">
        <v>45715.0</v>
      </c>
      <c r="Z1310" s="58" t="s">
        <v>239</v>
      </c>
      <c r="CH1310" s="58" t="s">
        <v>12534</v>
      </c>
      <c r="CI1310" s="73">
        <v>45715.0</v>
      </c>
      <c r="CJ1310" s="58">
        <v>458.0</v>
      </c>
      <c r="CK1310" s="58">
        <v>463.0</v>
      </c>
      <c r="CL1310" s="58" t="s">
        <v>12535</v>
      </c>
      <c r="CM1310" s="58" t="s">
        <v>12536</v>
      </c>
      <c r="CO1310" s="58" t="s">
        <v>12537</v>
      </c>
      <c r="CP1310" s="58" t="s">
        <v>12538</v>
      </c>
      <c r="CT1310" s="58">
        <v>15.0</v>
      </c>
      <c r="CU1310" s="58" t="s">
        <v>239</v>
      </c>
      <c r="DL1310" s="58" t="s">
        <v>12539</v>
      </c>
    </row>
    <row r="1311" ht="15.75" customHeight="1">
      <c r="B1311" s="58" t="s">
        <v>4587</v>
      </c>
      <c r="C1311" s="58">
        <v>2024.0</v>
      </c>
      <c r="D1311" s="58" t="s">
        <v>12540</v>
      </c>
      <c r="E1311" s="58" t="s">
        <v>12541</v>
      </c>
      <c r="F1311" s="58" t="s">
        <v>12542</v>
      </c>
      <c r="I1311" s="58" t="s">
        <v>12543</v>
      </c>
      <c r="K1311" s="73">
        <v>45509.0</v>
      </c>
      <c r="Z1311" s="58" t="s">
        <v>239</v>
      </c>
      <c r="CH1311" s="58" t="s">
        <v>12544</v>
      </c>
      <c r="CI1311" s="73">
        <v>45509.0</v>
      </c>
      <c r="CJ1311" s="58">
        <v>1.0</v>
      </c>
      <c r="CK1311" s="58">
        <v>5.0</v>
      </c>
      <c r="CL1311" s="58" t="s">
        <v>12545</v>
      </c>
      <c r="CM1311" s="58" t="s">
        <v>12546</v>
      </c>
      <c r="CO1311" s="58" t="s">
        <v>12547</v>
      </c>
      <c r="CT1311" s="58">
        <v>21.0</v>
      </c>
      <c r="DL1311" s="58" t="s">
        <v>12548</v>
      </c>
    </row>
    <row r="1312" ht="15.75" customHeight="1">
      <c r="B1312" s="58" t="s">
        <v>4587</v>
      </c>
      <c r="C1312" s="58">
        <v>2024.0</v>
      </c>
      <c r="D1312" s="58" t="s">
        <v>12549</v>
      </c>
      <c r="E1312" s="58" t="s">
        <v>12550</v>
      </c>
      <c r="F1312" s="58" t="s">
        <v>12551</v>
      </c>
      <c r="H1312" s="58" t="s">
        <v>12552</v>
      </c>
      <c r="I1312" s="58" t="s">
        <v>12553</v>
      </c>
      <c r="K1312" s="73">
        <v>45658.0</v>
      </c>
      <c r="Z1312" s="58" t="s">
        <v>239</v>
      </c>
      <c r="CH1312" s="58" t="s">
        <v>12554</v>
      </c>
      <c r="CI1312" s="73">
        <v>45658.0</v>
      </c>
      <c r="CJ1312" s="58">
        <v>15.0</v>
      </c>
      <c r="CK1312" s="58">
        <v>28.0</v>
      </c>
      <c r="CL1312" s="58" t="s">
        <v>12555</v>
      </c>
      <c r="CM1312" s="58" t="s">
        <v>12556</v>
      </c>
      <c r="CO1312" s="58" t="s">
        <v>12557</v>
      </c>
      <c r="CP1312" s="58" t="s">
        <v>12558</v>
      </c>
      <c r="CT1312" s="58">
        <v>51.0</v>
      </c>
      <c r="CU1312" s="58" t="s">
        <v>239</v>
      </c>
      <c r="DL1312" s="58" t="s">
        <v>12559</v>
      </c>
    </row>
    <row r="1313" ht="15.75" customHeight="1">
      <c r="B1313" s="58" t="s">
        <v>4587</v>
      </c>
      <c r="C1313" s="58">
        <v>2024.0</v>
      </c>
      <c r="D1313" s="58" t="s">
        <v>12560</v>
      </c>
      <c r="E1313" s="58" t="s">
        <v>12561</v>
      </c>
      <c r="F1313" s="58" t="s">
        <v>12562</v>
      </c>
      <c r="H1313" s="58" t="s">
        <v>12563</v>
      </c>
      <c r="I1313" s="58" t="s">
        <v>12564</v>
      </c>
      <c r="K1313" s="73">
        <v>45673.0</v>
      </c>
      <c r="Z1313" s="58" t="s">
        <v>239</v>
      </c>
      <c r="CH1313" s="58" t="s">
        <v>12565</v>
      </c>
      <c r="CI1313" s="73">
        <v>45673.0</v>
      </c>
      <c r="CJ1313" s="58">
        <v>4650.0</v>
      </c>
      <c r="CK1313" s="58">
        <v>4658.0</v>
      </c>
      <c r="CL1313" s="58" t="s">
        <v>12566</v>
      </c>
      <c r="CM1313" s="58" t="s">
        <v>12567</v>
      </c>
      <c r="CO1313" s="58" t="s">
        <v>12568</v>
      </c>
      <c r="CP1313" s="58" t="s">
        <v>12569</v>
      </c>
      <c r="CT1313" s="58">
        <v>26.0</v>
      </c>
      <c r="CU1313" s="58" t="s">
        <v>239</v>
      </c>
      <c r="DL1313" s="58" t="s">
        <v>12570</v>
      </c>
    </row>
    <row r="1314" ht="15.75" customHeight="1">
      <c r="B1314" s="58" t="s">
        <v>4587</v>
      </c>
      <c r="C1314" s="58">
        <v>2024.0</v>
      </c>
      <c r="D1314" s="58" t="s">
        <v>12571</v>
      </c>
      <c r="E1314" s="58" t="s">
        <v>12572</v>
      </c>
      <c r="F1314" s="58" t="s">
        <v>12573</v>
      </c>
      <c r="I1314" s="58" t="s">
        <v>12574</v>
      </c>
      <c r="K1314" s="73">
        <v>45569.0</v>
      </c>
      <c r="Z1314" s="58" t="s">
        <v>239</v>
      </c>
      <c r="CH1314" s="58" t="s">
        <v>12575</v>
      </c>
      <c r="CI1314" s="73">
        <v>45569.0</v>
      </c>
      <c r="CJ1314" s="58">
        <v>142.0</v>
      </c>
      <c r="CK1314" s="58">
        <v>146.0</v>
      </c>
      <c r="CL1314" s="58" t="s">
        <v>12576</v>
      </c>
      <c r="CM1314" s="58" t="s">
        <v>12577</v>
      </c>
      <c r="CO1314" s="58" t="s">
        <v>12578</v>
      </c>
      <c r="CP1314" s="58" t="s">
        <v>12579</v>
      </c>
      <c r="CT1314" s="58">
        <v>10.0</v>
      </c>
      <c r="CU1314" s="58" t="s">
        <v>239</v>
      </c>
      <c r="DL1314" s="58" t="s">
        <v>12580</v>
      </c>
    </row>
    <row r="1315" ht="15.75" customHeight="1">
      <c r="B1315" s="58" t="s">
        <v>4587</v>
      </c>
      <c r="C1315" s="58">
        <v>2024.0</v>
      </c>
      <c r="D1315" s="58" t="s">
        <v>12581</v>
      </c>
      <c r="E1315" s="58" t="s">
        <v>12582</v>
      </c>
      <c r="F1315" s="58" t="s">
        <v>12583</v>
      </c>
      <c r="H1315" s="58" t="s">
        <v>12584</v>
      </c>
      <c r="I1315" s="58" t="s">
        <v>12585</v>
      </c>
      <c r="K1315" s="73">
        <v>45497.0</v>
      </c>
      <c r="Z1315" s="58" t="s">
        <v>239</v>
      </c>
      <c r="CH1315" s="58" t="s">
        <v>12586</v>
      </c>
      <c r="CI1315" s="73">
        <v>45497.0</v>
      </c>
      <c r="CJ1315" s="58">
        <v>170.0</v>
      </c>
      <c r="CK1315" s="58">
        <v>181.0</v>
      </c>
      <c r="CL1315" s="58" t="s">
        <v>12587</v>
      </c>
      <c r="CM1315" s="58" t="s">
        <v>12588</v>
      </c>
      <c r="CO1315" s="58" t="s">
        <v>12589</v>
      </c>
      <c r="CP1315" s="58" t="s">
        <v>12590</v>
      </c>
      <c r="CT1315" s="58">
        <v>46.0</v>
      </c>
      <c r="CU1315" s="58" t="s">
        <v>239</v>
      </c>
      <c r="DL1315" s="58" t="s">
        <v>12591</v>
      </c>
    </row>
    <row r="1316" ht="15.75" customHeight="1">
      <c r="B1316" s="58" t="s">
        <v>4587</v>
      </c>
      <c r="C1316" s="58">
        <v>2024.0</v>
      </c>
      <c r="D1316" s="58" t="s">
        <v>12592</v>
      </c>
      <c r="E1316" s="58" t="s">
        <v>12593</v>
      </c>
      <c r="F1316" s="58" t="s">
        <v>12594</v>
      </c>
      <c r="H1316" s="58" t="s">
        <v>6638</v>
      </c>
      <c r="I1316" s="58" t="s">
        <v>12595</v>
      </c>
      <c r="K1316" s="73">
        <v>45524.0</v>
      </c>
      <c r="Z1316" s="58" t="s">
        <v>239</v>
      </c>
      <c r="CH1316" s="58" t="s">
        <v>12596</v>
      </c>
      <c r="CI1316" s="73">
        <v>45524.0</v>
      </c>
      <c r="CJ1316" s="58">
        <v>974.0</v>
      </c>
      <c r="CK1316" s="58">
        <v>979.0</v>
      </c>
      <c r="CL1316" s="58" t="s">
        <v>12597</v>
      </c>
      <c r="CM1316" s="58" t="s">
        <v>12598</v>
      </c>
      <c r="CN1316" s="58" t="s">
        <v>12599</v>
      </c>
      <c r="CO1316" s="58" t="s">
        <v>12600</v>
      </c>
      <c r="CP1316" s="58" t="s">
        <v>12601</v>
      </c>
      <c r="CT1316" s="58">
        <v>15.0</v>
      </c>
      <c r="CU1316" s="58" t="s">
        <v>239</v>
      </c>
      <c r="DL1316" s="58" t="s">
        <v>12602</v>
      </c>
    </row>
    <row r="1317" ht="15.75" customHeight="1">
      <c r="B1317" s="58" t="s">
        <v>4587</v>
      </c>
      <c r="C1317" s="58">
        <v>2024.0</v>
      </c>
      <c r="D1317" s="58" t="s">
        <v>12603</v>
      </c>
      <c r="E1317" s="58" t="s">
        <v>12604</v>
      </c>
      <c r="F1317" s="58" t="s">
        <v>12605</v>
      </c>
      <c r="I1317" s="58" t="s">
        <v>12606</v>
      </c>
      <c r="K1317" s="73">
        <v>45726.0</v>
      </c>
      <c r="Z1317" s="58" t="s">
        <v>239</v>
      </c>
      <c r="CH1317" s="58" t="s">
        <v>12607</v>
      </c>
      <c r="CI1317" s="73">
        <v>45726.0</v>
      </c>
      <c r="CJ1317" s="58">
        <v>1.0</v>
      </c>
      <c r="CK1317" s="58">
        <v>6.0</v>
      </c>
      <c r="CL1317" s="58" t="s">
        <v>12608</v>
      </c>
      <c r="CM1317" s="58" t="s">
        <v>12609</v>
      </c>
      <c r="CN1317" s="58" t="s">
        <v>12610</v>
      </c>
      <c r="CO1317" s="58" t="s">
        <v>12611</v>
      </c>
      <c r="CP1317" s="58" t="s">
        <v>12612</v>
      </c>
      <c r="CT1317" s="58">
        <v>17.0</v>
      </c>
      <c r="CU1317" s="58" t="s">
        <v>239</v>
      </c>
      <c r="DL1317" s="58" t="s">
        <v>12613</v>
      </c>
    </row>
    <row r="1318" ht="15.75" customHeight="1">
      <c r="B1318" s="58" t="s">
        <v>4587</v>
      </c>
      <c r="C1318" s="58">
        <v>2023.0</v>
      </c>
      <c r="D1318" s="58" t="s">
        <v>12614</v>
      </c>
      <c r="E1318" s="58" t="s">
        <v>12615</v>
      </c>
      <c r="F1318" s="58" t="s">
        <v>12616</v>
      </c>
      <c r="I1318" s="58" t="s">
        <v>12617</v>
      </c>
      <c r="K1318" s="73">
        <v>45139.0</v>
      </c>
      <c r="Z1318" s="58" t="s">
        <v>239</v>
      </c>
      <c r="CH1318" s="58" t="s">
        <v>12618</v>
      </c>
      <c r="CI1318" s="73">
        <v>45139.0</v>
      </c>
      <c r="CJ1318" s="58">
        <v>422.0</v>
      </c>
      <c r="CK1318" s="58">
        <v>428.0</v>
      </c>
      <c r="CL1318" s="58" t="s">
        <v>12619</v>
      </c>
      <c r="CM1318" s="58" t="s">
        <v>12620</v>
      </c>
      <c r="CO1318" s="58" t="s">
        <v>12621</v>
      </c>
      <c r="CP1318" s="58" t="s">
        <v>12622</v>
      </c>
      <c r="CT1318" s="58">
        <v>18.0</v>
      </c>
      <c r="CU1318" s="58" t="s">
        <v>239</v>
      </c>
      <c r="DL1318" s="58" t="s">
        <v>12623</v>
      </c>
    </row>
    <row r="1319" ht="15.75" customHeight="1">
      <c r="B1319" s="58" t="s">
        <v>4587</v>
      </c>
      <c r="C1319" s="58">
        <v>2023.0</v>
      </c>
      <c r="D1319" s="58" t="s">
        <v>12624</v>
      </c>
      <c r="E1319" s="58" t="s">
        <v>12625</v>
      </c>
      <c r="F1319" s="58" t="s">
        <v>11942</v>
      </c>
      <c r="H1319" s="58" t="s">
        <v>11943</v>
      </c>
      <c r="I1319" s="58" t="s">
        <v>12626</v>
      </c>
      <c r="K1319" s="73">
        <v>45154.0</v>
      </c>
      <c r="Z1319" s="58" t="s">
        <v>239</v>
      </c>
      <c r="CH1319" s="58" t="s">
        <v>12627</v>
      </c>
      <c r="CI1319" s="73">
        <v>45154.0</v>
      </c>
      <c r="CJ1319" s="58">
        <v>1.0</v>
      </c>
      <c r="CK1319" s="58">
        <v>5.0</v>
      </c>
      <c r="CL1319" s="58" t="s">
        <v>12628</v>
      </c>
      <c r="CM1319" s="58" t="s">
        <v>11947</v>
      </c>
      <c r="CN1319" s="58" t="s">
        <v>12629</v>
      </c>
      <c r="CO1319" s="58" t="s">
        <v>12630</v>
      </c>
      <c r="CP1319" s="58" t="s">
        <v>12631</v>
      </c>
      <c r="CT1319" s="58">
        <v>9.0</v>
      </c>
      <c r="CU1319" s="58" t="s">
        <v>239</v>
      </c>
      <c r="DL1319" s="58" t="s">
        <v>12632</v>
      </c>
    </row>
    <row r="1320" ht="15.75" customHeight="1">
      <c r="B1320" s="58" t="s">
        <v>4587</v>
      </c>
      <c r="C1320" s="58">
        <v>2024.0</v>
      </c>
      <c r="D1320" s="58" t="s">
        <v>12633</v>
      </c>
      <c r="E1320" s="58" t="s">
        <v>12634</v>
      </c>
      <c r="F1320" s="58" t="s">
        <v>12635</v>
      </c>
      <c r="H1320" s="58" t="s">
        <v>8071</v>
      </c>
      <c r="I1320" s="58" t="s">
        <v>12636</v>
      </c>
      <c r="K1320" s="73">
        <v>45425.0</v>
      </c>
      <c r="Z1320" s="58" t="s">
        <v>239</v>
      </c>
      <c r="CH1320" s="58" t="s">
        <v>12637</v>
      </c>
      <c r="CI1320" s="73">
        <v>45425.0</v>
      </c>
      <c r="CJ1320" s="58">
        <v>1.0</v>
      </c>
      <c r="CK1320" s="58">
        <v>22.0</v>
      </c>
      <c r="CL1320" s="58" t="s">
        <v>12638</v>
      </c>
      <c r="CM1320" s="58" t="s">
        <v>12639</v>
      </c>
      <c r="CO1320" s="58" t="s">
        <v>12640</v>
      </c>
      <c r="CT1320" s="58">
        <v>39.0</v>
      </c>
      <c r="CU1320" s="58" t="s">
        <v>239</v>
      </c>
      <c r="DL1320" s="58" t="s">
        <v>12641</v>
      </c>
    </row>
    <row r="1321" ht="15.75" customHeight="1">
      <c r="B1321" s="58" t="s">
        <v>4587</v>
      </c>
      <c r="C1321" s="58">
        <v>2024.0</v>
      </c>
      <c r="D1321" s="58" t="s">
        <v>12642</v>
      </c>
      <c r="E1321" s="58" t="s">
        <v>12643</v>
      </c>
      <c r="F1321" s="58" t="s">
        <v>12583</v>
      </c>
      <c r="H1321" s="58" t="s">
        <v>12584</v>
      </c>
      <c r="I1321" s="58" t="s">
        <v>12644</v>
      </c>
      <c r="K1321" s="73">
        <v>45497.0</v>
      </c>
      <c r="Z1321" s="58" t="s">
        <v>239</v>
      </c>
      <c r="CH1321" s="58" t="s">
        <v>12645</v>
      </c>
      <c r="CI1321" s="73">
        <v>45497.0</v>
      </c>
      <c r="CJ1321" s="58">
        <v>69.0</v>
      </c>
      <c r="CK1321" s="58">
        <v>78.0</v>
      </c>
      <c r="CL1321" s="58" t="s">
        <v>12646</v>
      </c>
      <c r="CM1321" s="58" t="s">
        <v>12588</v>
      </c>
      <c r="CN1321" s="58" t="s">
        <v>12647</v>
      </c>
      <c r="CO1321" s="58" t="s">
        <v>12648</v>
      </c>
      <c r="CP1321" s="58" t="s">
        <v>12649</v>
      </c>
      <c r="CT1321" s="58">
        <v>30.0</v>
      </c>
      <c r="CU1321" s="58" t="s">
        <v>239</v>
      </c>
      <c r="DL1321" s="58" t="s">
        <v>12650</v>
      </c>
    </row>
    <row r="1322" ht="15.75" customHeight="1">
      <c r="B1322" s="58" t="s">
        <v>9522</v>
      </c>
      <c r="C1322" s="58">
        <v>2023.0</v>
      </c>
      <c r="D1322" s="58" t="s">
        <v>12651</v>
      </c>
      <c r="E1322" s="58" t="s">
        <v>12652</v>
      </c>
      <c r="F1322" s="58" t="s">
        <v>12653</v>
      </c>
      <c r="I1322" s="58" t="s">
        <v>12654</v>
      </c>
      <c r="K1322" s="73">
        <v>45198.0</v>
      </c>
      <c r="R1322" s="58">
        <v>2023.0</v>
      </c>
      <c r="Z1322" s="58" t="s">
        <v>9527</v>
      </c>
      <c r="CH1322" s="58" t="s">
        <v>12655</v>
      </c>
      <c r="CI1322" s="73">
        <v>45198.0</v>
      </c>
      <c r="CJ1322" s="58">
        <v>1045.0</v>
      </c>
      <c r="CK1322" s="58">
        <v>1049.0</v>
      </c>
      <c r="CL1322" s="58" t="s">
        <v>12656</v>
      </c>
      <c r="CM1322" s="58" t="s">
        <v>12657</v>
      </c>
      <c r="CO1322" s="58" t="s">
        <v>12658</v>
      </c>
    </row>
    <row r="1323" ht="15.75" customHeight="1">
      <c r="B1323" s="58" t="s">
        <v>4587</v>
      </c>
      <c r="C1323" s="58">
        <v>2024.0</v>
      </c>
      <c r="D1323" s="58" t="s">
        <v>12659</v>
      </c>
      <c r="E1323" s="58" t="s">
        <v>12660</v>
      </c>
      <c r="F1323" s="58" t="s">
        <v>12661</v>
      </c>
      <c r="H1323" s="58" t="s">
        <v>12662</v>
      </c>
      <c r="I1323" s="58" t="s">
        <v>12663</v>
      </c>
      <c r="K1323" s="73">
        <v>45607.0</v>
      </c>
      <c r="Z1323" s="58" t="s">
        <v>239</v>
      </c>
      <c r="CH1323" s="58" t="s">
        <v>12664</v>
      </c>
      <c r="CI1323" s="73">
        <v>45607.0</v>
      </c>
      <c r="CJ1323" s="58">
        <v>1.0</v>
      </c>
      <c r="CK1323" s="58">
        <v>8.0</v>
      </c>
      <c r="CL1323" s="58" t="s">
        <v>12665</v>
      </c>
      <c r="CM1323" s="58" t="s">
        <v>12666</v>
      </c>
      <c r="CO1323" s="58" t="s">
        <v>12667</v>
      </c>
      <c r="CP1323" s="58" t="s">
        <v>12668</v>
      </c>
      <c r="CT1323" s="58">
        <v>23.0</v>
      </c>
      <c r="CU1323" s="58" t="s">
        <v>239</v>
      </c>
      <c r="DL1323" s="58" t="s">
        <v>12669</v>
      </c>
    </row>
    <row r="1324" ht="15.75" customHeight="1">
      <c r="B1324" s="58" t="s">
        <v>4587</v>
      </c>
      <c r="C1324" s="58">
        <v>2024.0</v>
      </c>
      <c r="D1324" s="58" t="s">
        <v>12670</v>
      </c>
      <c r="E1324" s="58" t="s">
        <v>12671</v>
      </c>
      <c r="F1324" s="58" t="s">
        <v>12672</v>
      </c>
      <c r="H1324" s="58" t="s">
        <v>5351</v>
      </c>
      <c r="I1324" s="58" t="s">
        <v>12673</v>
      </c>
      <c r="K1324" s="73">
        <v>45596.0</v>
      </c>
      <c r="Z1324" s="58" t="s">
        <v>239</v>
      </c>
      <c r="CH1324" s="58" t="s">
        <v>12674</v>
      </c>
      <c r="CI1324" s="73">
        <v>45596.0</v>
      </c>
      <c r="CJ1324" s="58">
        <v>1.0</v>
      </c>
      <c r="CK1324" s="58">
        <v>6.0</v>
      </c>
      <c r="CL1324" s="58" t="s">
        <v>12675</v>
      </c>
      <c r="CM1324" s="58" t="s">
        <v>12676</v>
      </c>
      <c r="CO1324" s="58" t="s">
        <v>12677</v>
      </c>
      <c r="CP1324" s="58" t="s">
        <v>12678</v>
      </c>
      <c r="CT1324" s="58">
        <v>7.0</v>
      </c>
      <c r="CU1324" s="58" t="s">
        <v>239</v>
      </c>
      <c r="DL1324" s="58" t="s">
        <v>12679</v>
      </c>
    </row>
    <row r="1325" ht="15.75" customHeight="1">
      <c r="B1325" s="58" t="s">
        <v>4587</v>
      </c>
      <c r="C1325" s="58">
        <v>2024.0</v>
      </c>
      <c r="D1325" s="58" t="s">
        <v>12680</v>
      </c>
      <c r="E1325" s="58" t="s">
        <v>12681</v>
      </c>
      <c r="F1325" s="58" t="s">
        <v>12682</v>
      </c>
      <c r="I1325" s="58" t="s">
        <v>12683</v>
      </c>
      <c r="K1325" s="73">
        <v>45440.0</v>
      </c>
      <c r="Z1325" s="58" t="s">
        <v>239</v>
      </c>
      <c r="CH1325" s="58" t="s">
        <v>12684</v>
      </c>
      <c r="CI1325" s="73">
        <v>45440.0</v>
      </c>
      <c r="CJ1325" s="58">
        <v>1.0</v>
      </c>
      <c r="CK1325" s="58">
        <v>6.0</v>
      </c>
      <c r="CL1325" s="58" t="s">
        <v>12685</v>
      </c>
      <c r="CM1325" s="58" t="s">
        <v>12686</v>
      </c>
      <c r="CO1325" s="58" t="s">
        <v>12687</v>
      </c>
      <c r="CP1325" s="58" t="s">
        <v>12688</v>
      </c>
      <c r="CT1325" s="58">
        <v>15.0</v>
      </c>
      <c r="CU1325" s="58" t="s">
        <v>239</v>
      </c>
      <c r="DL1325" s="58" t="s">
        <v>12689</v>
      </c>
    </row>
    <row r="1326" ht="15.75" customHeight="1">
      <c r="B1326" s="58" t="s">
        <v>4587</v>
      </c>
      <c r="C1326" s="58">
        <v>2023.0</v>
      </c>
      <c r="D1326" s="58" t="s">
        <v>12690</v>
      </c>
      <c r="E1326" s="58" t="s">
        <v>12691</v>
      </c>
      <c r="F1326" s="58" t="s">
        <v>12692</v>
      </c>
      <c r="I1326" s="58" t="s">
        <v>12693</v>
      </c>
      <c r="K1326" s="73">
        <v>45196.0</v>
      </c>
      <c r="Z1326" s="58" t="s">
        <v>239</v>
      </c>
      <c r="CH1326" s="58" t="s">
        <v>12694</v>
      </c>
      <c r="CI1326" s="73">
        <v>45196.0</v>
      </c>
      <c r="CJ1326" s="58">
        <v>208.0</v>
      </c>
      <c r="CK1326" s="58">
        <v>212.0</v>
      </c>
      <c r="CL1326" s="58" t="s">
        <v>12695</v>
      </c>
      <c r="CM1326" s="58" t="s">
        <v>12696</v>
      </c>
      <c r="CN1326" s="58" t="s">
        <v>12697</v>
      </c>
      <c r="CO1326" s="58" t="s">
        <v>12698</v>
      </c>
      <c r="CP1326" s="58" t="s">
        <v>12699</v>
      </c>
      <c r="CT1326" s="58">
        <v>8.0</v>
      </c>
      <c r="CU1326" s="58" t="s">
        <v>239</v>
      </c>
      <c r="DL1326" s="58" t="s">
        <v>12700</v>
      </c>
    </row>
    <row r="1327" ht="15.75" customHeight="1">
      <c r="B1327" s="58" t="s">
        <v>4587</v>
      </c>
      <c r="C1327" s="58">
        <v>2024.0</v>
      </c>
      <c r="D1327" s="58" t="s">
        <v>12701</v>
      </c>
      <c r="E1327" s="58" t="s">
        <v>12702</v>
      </c>
      <c r="F1327" s="58" t="s">
        <v>12703</v>
      </c>
      <c r="H1327" s="58" t="s">
        <v>8826</v>
      </c>
      <c r="I1327" s="58" t="s">
        <v>12704</v>
      </c>
      <c r="K1327" s="73">
        <v>45579.0</v>
      </c>
      <c r="Z1327" s="58" t="s">
        <v>239</v>
      </c>
      <c r="CH1327" s="58" t="s">
        <v>12705</v>
      </c>
      <c r="CI1327" s="73">
        <v>45579.0</v>
      </c>
      <c r="CJ1327" s="58">
        <v>74.0</v>
      </c>
      <c r="CK1327" s="58">
        <v>81.0</v>
      </c>
      <c r="CL1327" s="58" t="s">
        <v>12706</v>
      </c>
      <c r="CM1327" s="58" t="s">
        <v>12707</v>
      </c>
      <c r="CN1327" s="58" t="s">
        <v>11246</v>
      </c>
      <c r="CO1327" s="58" t="s">
        <v>12708</v>
      </c>
      <c r="CP1327" s="58" t="s">
        <v>12709</v>
      </c>
      <c r="CT1327" s="58">
        <v>54.0</v>
      </c>
      <c r="CU1327" s="58" t="s">
        <v>239</v>
      </c>
      <c r="DL1327" s="58" t="s">
        <v>12710</v>
      </c>
    </row>
    <row r="1328" ht="15.75" customHeight="1">
      <c r="B1328" s="58" t="s">
        <v>4587</v>
      </c>
      <c r="C1328" s="58">
        <v>2024.0</v>
      </c>
      <c r="D1328" s="58" t="s">
        <v>12711</v>
      </c>
      <c r="E1328" s="58" t="s">
        <v>12712</v>
      </c>
      <c r="F1328" s="58" t="s">
        <v>12713</v>
      </c>
      <c r="H1328" s="58" t="s">
        <v>12714</v>
      </c>
      <c r="I1328" s="58" t="s">
        <v>12715</v>
      </c>
      <c r="K1328" s="73">
        <v>45602.0</v>
      </c>
      <c r="Z1328" s="58" t="s">
        <v>239</v>
      </c>
      <c r="CH1328" s="58" t="s">
        <v>12716</v>
      </c>
      <c r="CI1328" s="73">
        <v>45602.0</v>
      </c>
      <c r="CJ1328" s="58">
        <v>1.0</v>
      </c>
      <c r="CK1328" s="58">
        <v>6.0</v>
      </c>
      <c r="CL1328" s="58" t="s">
        <v>12717</v>
      </c>
      <c r="CM1328" s="58" t="s">
        <v>12718</v>
      </c>
      <c r="CN1328" s="58" t="s">
        <v>12719</v>
      </c>
      <c r="CO1328" s="58" t="s">
        <v>12720</v>
      </c>
      <c r="CP1328" s="58" t="s">
        <v>12721</v>
      </c>
      <c r="CT1328" s="58">
        <v>18.0</v>
      </c>
      <c r="CU1328" s="58" t="s">
        <v>239</v>
      </c>
      <c r="DL1328" s="58" t="s">
        <v>12722</v>
      </c>
    </row>
    <row r="1329" ht="15.75" customHeight="1">
      <c r="B1329" s="58" t="s">
        <v>4587</v>
      </c>
      <c r="C1329" s="58">
        <v>2024.0</v>
      </c>
      <c r="D1329" s="58" t="s">
        <v>12723</v>
      </c>
      <c r="E1329" s="58" t="s">
        <v>12724</v>
      </c>
      <c r="F1329" s="58" t="s">
        <v>12725</v>
      </c>
      <c r="I1329" s="58" t="s">
        <v>12726</v>
      </c>
      <c r="K1329" s="73">
        <v>45475.0</v>
      </c>
      <c r="Z1329" s="58" t="s">
        <v>239</v>
      </c>
      <c r="CH1329" s="58" t="s">
        <v>12727</v>
      </c>
      <c r="CI1329" s="73">
        <v>45475.0</v>
      </c>
      <c r="CJ1329" s="58">
        <v>1.0</v>
      </c>
      <c r="CK1329" s="58">
        <v>6.0</v>
      </c>
      <c r="CL1329" s="58" t="s">
        <v>12728</v>
      </c>
      <c r="CM1329" s="58" t="s">
        <v>12729</v>
      </c>
      <c r="CO1329" s="58" t="s">
        <v>12730</v>
      </c>
      <c r="CP1329" s="58" t="s">
        <v>12731</v>
      </c>
      <c r="CT1329" s="58">
        <v>16.0</v>
      </c>
      <c r="CU1329" s="58" t="s">
        <v>239</v>
      </c>
      <c r="DL1329" s="58" t="s">
        <v>12732</v>
      </c>
    </row>
    <row r="1330" ht="15.75" customHeight="1">
      <c r="B1330" s="58" t="s">
        <v>4587</v>
      </c>
      <c r="C1330" s="58">
        <v>2023.0</v>
      </c>
      <c r="D1330" s="58" t="s">
        <v>12733</v>
      </c>
      <c r="E1330" s="58" t="s">
        <v>12734</v>
      </c>
      <c r="F1330" s="58" t="s">
        <v>12735</v>
      </c>
      <c r="H1330" s="58" t="s">
        <v>12736</v>
      </c>
      <c r="I1330" s="58" t="s">
        <v>12737</v>
      </c>
      <c r="K1330" s="73">
        <v>45412.0</v>
      </c>
      <c r="Z1330" s="58" t="s">
        <v>239</v>
      </c>
      <c r="CH1330" s="58" t="s">
        <v>12738</v>
      </c>
      <c r="CI1330" s="73">
        <v>45412.0</v>
      </c>
      <c r="CJ1330" s="58">
        <v>1568.0</v>
      </c>
      <c r="CK1330" s="58">
        <v>1673.0</v>
      </c>
      <c r="CL1330" s="58" t="s">
        <v>12739</v>
      </c>
      <c r="CM1330" s="58" t="s">
        <v>12740</v>
      </c>
      <c r="CO1330" s="58" t="s">
        <v>12741</v>
      </c>
      <c r="CP1330" s="58" t="s">
        <v>12742</v>
      </c>
      <c r="CT1330" s="58">
        <v>17.0</v>
      </c>
      <c r="CU1330" s="58" t="s">
        <v>239</v>
      </c>
      <c r="DL1330" s="58" t="s">
        <v>12743</v>
      </c>
    </row>
    <row r="1331" ht="15.75" customHeight="1">
      <c r="B1331" s="58" t="s">
        <v>4587</v>
      </c>
      <c r="C1331" s="58">
        <v>2024.0</v>
      </c>
      <c r="D1331" s="58" t="s">
        <v>12744</v>
      </c>
      <c r="E1331" s="58" t="s">
        <v>12745</v>
      </c>
      <c r="F1331" s="58" t="s">
        <v>12229</v>
      </c>
      <c r="H1331" s="58" t="s">
        <v>12230</v>
      </c>
      <c r="I1331" s="58" t="s">
        <v>12746</v>
      </c>
      <c r="K1331" s="73">
        <v>45573.0</v>
      </c>
      <c r="Z1331" s="58" t="s">
        <v>239</v>
      </c>
      <c r="CH1331" s="58" t="s">
        <v>12747</v>
      </c>
      <c r="CI1331" s="73">
        <v>45573.0</v>
      </c>
      <c r="CJ1331" s="58">
        <v>125.0</v>
      </c>
      <c r="CK1331" s="58">
        <v>135.0</v>
      </c>
      <c r="CL1331" s="58" t="s">
        <v>12748</v>
      </c>
      <c r="CM1331" s="58" t="s">
        <v>12234</v>
      </c>
      <c r="CO1331" s="58" t="s">
        <v>12749</v>
      </c>
      <c r="CP1331" s="58" t="s">
        <v>12750</v>
      </c>
      <c r="CT1331" s="58">
        <v>45.0</v>
      </c>
      <c r="CU1331" s="58" t="s">
        <v>239</v>
      </c>
      <c r="DL1331" s="58" t="s">
        <v>12751</v>
      </c>
    </row>
    <row r="1332" ht="15.75" customHeight="1">
      <c r="B1332" s="58" t="s">
        <v>4587</v>
      </c>
      <c r="C1332" s="58">
        <v>2024.0</v>
      </c>
      <c r="D1332" s="58" t="s">
        <v>12752</v>
      </c>
      <c r="E1332" s="58" t="s">
        <v>12753</v>
      </c>
      <c r="F1332" s="58" t="s">
        <v>12754</v>
      </c>
      <c r="I1332" s="58" t="s">
        <v>12755</v>
      </c>
      <c r="K1332" s="73">
        <v>45707.0</v>
      </c>
      <c r="Z1332" s="58" t="s">
        <v>239</v>
      </c>
      <c r="CH1332" s="58" t="s">
        <v>12756</v>
      </c>
      <c r="CI1332" s="73">
        <v>45707.0</v>
      </c>
      <c r="CJ1332" s="58">
        <v>827.0</v>
      </c>
      <c r="CK1332" s="58">
        <v>835.0</v>
      </c>
      <c r="CL1332" s="58" t="s">
        <v>12757</v>
      </c>
      <c r="CM1332" s="58" t="s">
        <v>12758</v>
      </c>
      <c r="CO1332" s="58" t="s">
        <v>12759</v>
      </c>
      <c r="CP1332" s="58" t="s">
        <v>12760</v>
      </c>
      <c r="CT1332" s="58">
        <v>17.0</v>
      </c>
      <c r="CU1332" s="58" t="s">
        <v>239</v>
      </c>
      <c r="DL1332" s="58" t="s">
        <v>12761</v>
      </c>
    </row>
    <row r="1333" ht="15.75" customHeight="1">
      <c r="B1333" s="58" t="s">
        <v>4587</v>
      </c>
      <c r="C1333" s="58">
        <v>2024.0</v>
      </c>
      <c r="D1333" s="58" t="s">
        <v>12762</v>
      </c>
      <c r="E1333" s="58" t="s">
        <v>12763</v>
      </c>
      <c r="F1333" s="58" t="s">
        <v>12764</v>
      </c>
      <c r="I1333" s="58" t="s">
        <v>12765</v>
      </c>
      <c r="K1333" s="73">
        <v>45708.0</v>
      </c>
      <c r="Z1333" s="58" t="s">
        <v>239</v>
      </c>
      <c r="CH1333" s="58" t="s">
        <v>12766</v>
      </c>
      <c r="CI1333" s="73">
        <v>45708.0</v>
      </c>
      <c r="CJ1333" s="58">
        <v>272.0</v>
      </c>
      <c r="CK1333" s="58">
        <v>278.0</v>
      </c>
      <c r="CL1333" s="58" t="s">
        <v>12767</v>
      </c>
      <c r="CM1333" s="58" t="s">
        <v>12768</v>
      </c>
      <c r="CO1333" s="58" t="s">
        <v>12769</v>
      </c>
      <c r="CP1333" s="58" t="s">
        <v>12770</v>
      </c>
      <c r="CT1333" s="58">
        <v>51.0</v>
      </c>
      <c r="CU1333" s="58" t="s">
        <v>239</v>
      </c>
      <c r="DL1333" s="58" t="s">
        <v>12771</v>
      </c>
    </row>
    <row r="1334" ht="15.75" customHeight="1">
      <c r="B1334" s="58" t="s">
        <v>4587</v>
      </c>
      <c r="C1334" s="58">
        <v>2024.0</v>
      </c>
      <c r="D1334" s="58" t="s">
        <v>12772</v>
      </c>
      <c r="E1334" s="58" t="s">
        <v>12773</v>
      </c>
      <c r="F1334" s="58" t="s">
        <v>12774</v>
      </c>
      <c r="H1334" s="58" t="s">
        <v>10882</v>
      </c>
      <c r="I1334" s="58" t="s">
        <v>12775</v>
      </c>
      <c r="K1334" s="73">
        <v>45497.0</v>
      </c>
      <c r="Z1334" s="58" t="s">
        <v>239</v>
      </c>
      <c r="CH1334" s="58" t="s">
        <v>12776</v>
      </c>
      <c r="CI1334" s="73">
        <v>45497.0</v>
      </c>
      <c r="CJ1334" s="58">
        <v>31.0</v>
      </c>
      <c r="CK1334" s="58">
        <v>38.0</v>
      </c>
      <c r="CL1334" s="58" t="s">
        <v>12777</v>
      </c>
      <c r="CM1334" s="58" t="s">
        <v>12778</v>
      </c>
      <c r="CO1334" s="58" t="s">
        <v>12779</v>
      </c>
      <c r="CP1334" s="58" t="s">
        <v>12780</v>
      </c>
      <c r="CT1334" s="58">
        <v>40.0</v>
      </c>
      <c r="CU1334" s="58" t="s">
        <v>239</v>
      </c>
      <c r="DL1334" s="58" t="s">
        <v>12781</v>
      </c>
    </row>
    <row r="1335" ht="15.75" customHeight="1">
      <c r="B1335" s="58" t="s">
        <v>4587</v>
      </c>
      <c r="C1335" s="58">
        <v>2024.0</v>
      </c>
      <c r="D1335" s="58" t="s">
        <v>12782</v>
      </c>
      <c r="E1335" s="58" t="s">
        <v>12783</v>
      </c>
      <c r="F1335" s="58" t="s">
        <v>12774</v>
      </c>
      <c r="H1335" s="58" t="s">
        <v>10882</v>
      </c>
      <c r="I1335" s="58" t="s">
        <v>12784</v>
      </c>
      <c r="K1335" s="73">
        <v>45497.0</v>
      </c>
      <c r="Z1335" s="58" t="s">
        <v>239</v>
      </c>
      <c r="CH1335" s="58" t="s">
        <v>12785</v>
      </c>
      <c r="CI1335" s="73">
        <v>45497.0</v>
      </c>
      <c r="CJ1335" s="58">
        <v>63.0</v>
      </c>
      <c r="CK1335" s="58">
        <v>70.0</v>
      </c>
      <c r="CL1335" s="58" t="s">
        <v>12786</v>
      </c>
      <c r="CM1335" s="58" t="s">
        <v>12778</v>
      </c>
      <c r="CN1335" s="58" t="s">
        <v>12787</v>
      </c>
      <c r="CO1335" s="58" t="s">
        <v>12788</v>
      </c>
      <c r="CP1335" s="58" t="s">
        <v>12789</v>
      </c>
      <c r="CT1335" s="58">
        <v>37.0</v>
      </c>
      <c r="CU1335" s="58" t="s">
        <v>239</v>
      </c>
      <c r="DL1335" s="58" t="s">
        <v>12790</v>
      </c>
    </row>
    <row r="1336" ht="15.75" customHeight="1">
      <c r="B1336" s="58" t="s">
        <v>4587</v>
      </c>
      <c r="C1336" s="58">
        <v>2023.0</v>
      </c>
      <c r="D1336" s="58" t="s">
        <v>12791</v>
      </c>
      <c r="E1336" s="58" t="s">
        <v>12792</v>
      </c>
      <c r="F1336" s="58" t="s">
        <v>12793</v>
      </c>
      <c r="H1336" s="58" t="s">
        <v>12794</v>
      </c>
      <c r="I1336" s="58" t="s">
        <v>12795</v>
      </c>
      <c r="K1336" s="73">
        <v>45308.0</v>
      </c>
      <c r="Z1336" s="58" t="s">
        <v>239</v>
      </c>
      <c r="CH1336" s="58" t="s">
        <v>12796</v>
      </c>
      <c r="CI1336" s="73">
        <v>45308.0</v>
      </c>
      <c r="CJ1336" s="58">
        <v>340.0</v>
      </c>
      <c r="CK1336" s="58">
        <v>346.0</v>
      </c>
      <c r="CL1336" s="58" t="s">
        <v>12797</v>
      </c>
      <c r="CM1336" s="58" t="s">
        <v>12798</v>
      </c>
      <c r="CN1336" s="58" t="s">
        <v>6204</v>
      </c>
      <c r="CO1336" s="58" t="s">
        <v>12799</v>
      </c>
      <c r="CP1336" s="58" t="s">
        <v>12800</v>
      </c>
      <c r="CT1336" s="58">
        <v>19.0</v>
      </c>
      <c r="CU1336" s="58" t="s">
        <v>239</v>
      </c>
      <c r="DL1336" s="58" t="s">
        <v>12801</v>
      </c>
    </row>
    <row r="1337" ht="15.75" customHeight="1">
      <c r="B1337" s="58" t="s">
        <v>4587</v>
      </c>
      <c r="C1337" s="58">
        <v>2024.0</v>
      </c>
      <c r="D1337" s="58" t="s">
        <v>12802</v>
      </c>
      <c r="E1337" s="58" t="s">
        <v>12803</v>
      </c>
      <c r="F1337" s="58" t="s">
        <v>12804</v>
      </c>
      <c r="H1337" s="58" t="s">
        <v>6260</v>
      </c>
      <c r="I1337" s="58" t="s">
        <v>12805</v>
      </c>
      <c r="K1337" s="73">
        <v>45609.0</v>
      </c>
      <c r="Z1337" s="58" t="s">
        <v>239</v>
      </c>
      <c r="CH1337" s="58" t="s">
        <v>12806</v>
      </c>
      <c r="CI1337" s="73">
        <v>45609.0</v>
      </c>
      <c r="CJ1337" s="58">
        <v>585.0</v>
      </c>
      <c r="CK1337" s="58">
        <v>592.0</v>
      </c>
      <c r="CL1337" s="58" t="s">
        <v>12807</v>
      </c>
      <c r="CM1337" s="58" t="s">
        <v>12808</v>
      </c>
      <c r="CO1337" s="58" t="s">
        <v>12809</v>
      </c>
      <c r="CT1337" s="58">
        <v>20.0</v>
      </c>
      <c r="DL1337" s="58" t="s">
        <v>12810</v>
      </c>
    </row>
    <row r="1338" ht="15.75" customHeight="1">
      <c r="B1338" s="58" t="s">
        <v>4587</v>
      </c>
      <c r="C1338" s="58">
        <v>2024.0</v>
      </c>
      <c r="D1338" s="58" t="s">
        <v>12811</v>
      </c>
      <c r="E1338" s="58" t="s">
        <v>12812</v>
      </c>
      <c r="F1338" s="58" t="s">
        <v>12813</v>
      </c>
      <c r="I1338" s="58" t="s">
        <v>12814</v>
      </c>
      <c r="K1338" s="73">
        <v>45376.0</v>
      </c>
      <c r="Z1338" s="58" t="s">
        <v>239</v>
      </c>
      <c r="CH1338" s="58" t="s">
        <v>12815</v>
      </c>
      <c r="CI1338" s="73">
        <v>45376.0</v>
      </c>
      <c r="CJ1338" s="58">
        <v>739.0</v>
      </c>
      <c r="CK1338" s="58">
        <v>743.0</v>
      </c>
      <c r="CL1338" s="58" t="s">
        <v>12816</v>
      </c>
      <c r="CM1338" s="58" t="s">
        <v>12817</v>
      </c>
      <c r="CO1338" s="58" t="s">
        <v>12818</v>
      </c>
      <c r="CP1338" s="58" t="s">
        <v>12819</v>
      </c>
      <c r="CT1338" s="58">
        <v>8.0</v>
      </c>
      <c r="CU1338" s="58" t="s">
        <v>239</v>
      </c>
      <c r="DL1338" s="58" t="s">
        <v>12820</v>
      </c>
    </row>
    <row r="1339" ht="15.75" customHeight="1">
      <c r="B1339" s="58" t="s">
        <v>4587</v>
      </c>
      <c r="C1339" s="58">
        <v>2024.0</v>
      </c>
      <c r="D1339" s="58" t="s">
        <v>12821</v>
      </c>
      <c r="E1339" s="58" t="s">
        <v>12822</v>
      </c>
      <c r="F1339" s="58" t="s">
        <v>12823</v>
      </c>
      <c r="H1339" s="58" t="s">
        <v>5752</v>
      </c>
      <c r="I1339" s="58" t="s">
        <v>12824</v>
      </c>
      <c r="K1339" s="73">
        <v>45632.0</v>
      </c>
      <c r="Z1339" s="58" t="s">
        <v>239</v>
      </c>
      <c r="CH1339" s="58" t="s">
        <v>12825</v>
      </c>
      <c r="CI1339" s="73">
        <v>45632.0</v>
      </c>
      <c r="CJ1339" s="58">
        <v>1106.0</v>
      </c>
      <c r="CK1339" s="58">
        <v>1111.0</v>
      </c>
      <c r="CL1339" s="58" t="s">
        <v>12826</v>
      </c>
      <c r="CM1339" s="58" t="s">
        <v>12827</v>
      </c>
      <c r="CO1339" s="58" t="s">
        <v>12828</v>
      </c>
      <c r="CP1339" s="58" t="s">
        <v>12829</v>
      </c>
      <c r="CT1339" s="58">
        <v>20.0</v>
      </c>
      <c r="CU1339" s="58" t="s">
        <v>239</v>
      </c>
      <c r="DL1339" s="58" t="s">
        <v>12830</v>
      </c>
    </row>
    <row r="1340" ht="15.75" customHeight="1">
      <c r="B1340" s="58" t="s">
        <v>4587</v>
      </c>
      <c r="C1340" s="58">
        <v>2023.0</v>
      </c>
      <c r="D1340" s="58" t="s">
        <v>12831</v>
      </c>
      <c r="E1340" s="58" t="s">
        <v>12832</v>
      </c>
      <c r="F1340" s="58" t="s">
        <v>12833</v>
      </c>
      <c r="H1340" s="58" t="s">
        <v>7198</v>
      </c>
      <c r="I1340" s="58" t="s">
        <v>12834</v>
      </c>
      <c r="K1340" s="73">
        <v>45370.0</v>
      </c>
      <c r="Z1340" s="58" t="s">
        <v>239</v>
      </c>
      <c r="CH1340" s="58" t="s">
        <v>12835</v>
      </c>
      <c r="CI1340" s="73">
        <v>45370.0</v>
      </c>
      <c r="CJ1340" s="58">
        <v>5912.0</v>
      </c>
      <c r="CK1340" s="58">
        <v>5915.0</v>
      </c>
      <c r="CL1340" s="58" t="s">
        <v>12836</v>
      </c>
      <c r="CM1340" s="58" t="s">
        <v>12837</v>
      </c>
      <c r="CO1340" s="58" t="s">
        <v>12838</v>
      </c>
      <c r="CP1340" s="58" t="s">
        <v>12839</v>
      </c>
      <c r="CT1340" s="58">
        <v>16.0</v>
      </c>
      <c r="CU1340" s="58" t="s">
        <v>239</v>
      </c>
      <c r="DL1340" s="58" t="s">
        <v>12840</v>
      </c>
    </row>
    <row r="1341" ht="15.75" customHeight="1">
      <c r="B1341" s="58" t="s">
        <v>4587</v>
      </c>
      <c r="C1341" s="58">
        <v>2024.0</v>
      </c>
      <c r="D1341" s="58" t="s">
        <v>12841</v>
      </c>
      <c r="E1341" s="58" t="s">
        <v>12842</v>
      </c>
      <c r="F1341" s="58" t="s">
        <v>12843</v>
      </c>
      <c r="H1341" s="58" t="s">
        <v>11943</v>
      </c>
      <c r="I1341" s="58" t="s">
        <v>12844</v>
      </c>
      <c r="K1341" s="73">
        <v>45504.0</v>
      </c>
      <c r="Z1341" s="58" t="s">
        <v>239</v>
      </c>
      <c r="CH1341" s="58" t="s">
        <v>12845</v>
      </c>
      <c r="CI1341" s="73">
        <v>45504.0</v>
      </c>
      <c r="CJ1341" s="58">
        <v>1.0</v>
      </c>
      <c r="CK1341" s="58">
        <v>6.0</v>
      </c>
      <c r="CL1341" s="58" t="s">
        <v>12846</v>
      </c>
      <c r="CM1341" s="58" t="s">
        <v>12847</v>
      </c>
      <c r="CO1341" s="58" t="s">
        <v>12848</v>
      </c>
      <c r="CP1341" s="58" t="s">
        <v>12849</v>
      </c>
      <c r="CT1341" s="58">
        <v>36.0</v>
      </c>
      <c r="CU1341" s="58" t="s">
        <v>239</v>
      </c>
      <c r="DL1341" s="58" t="s">
        <v>12850</v>
      </c>
    </row>
    <row r="1342" ht="15.75" customHeight="1">
      <c r="B1342" s="58" t="s">
        <v>9522</v>
      </c>
      <c r="C1342" s="58">
        <v>2024.0</v>
      </c>
      <c r="D1342" s="58" t="s">
        <v>12851</v>
      </c>
      <c r="E1342" s="58" t="s">
        <v>12852</v>
      </c>
      <c r="F1342" s="58" t="s">
        <v>12853</v>
      </c>
      <c r="I1342" s="58" t="s">
        <v>12854</v>
      </c>
      <c r="K1342" s="73">
        <v>45684.0</v>
      </c>
      <c r="R1342" s="58">
        <v>2024.0</v>
      </c>
      <c r="Z1342" s="58" t="s">
        <v>9527</v>
      </c>
      <c r="CH1342" s="58" t="s">
        <v>12855</v>
      </c>
      <c r="CI1342" s="73">
        <v>45684.0</v>
      </c>
      <c r="CJ1342" s="58">
        <v>904.0</v>
      </c>
      <c r="CK1342" s="58">
        <v>908.0</v>
      </c>
      <c r="CL1342" s="58" t="s">
        <v>12856</v>
      </c>
      <c r="CM1342" s="58" t="s">
        <v>12857</v>
      </c>
      <c r="CO1342" s="58" t="s">
        <v>12858</v>
      </c>
    </row>
    <row r="1343" ht="15.75" customHeight="1">
      <c r="B1343" s="58" t="s">
        <v>4587</v>
      </c>
      <c r="C1343" s="58">
        <v>2024.0</v>
      </c>
      <c r="D1343" s="58" t="s">
        <v>12859</v>
      </c>
      <c r="E1343" s="58" t="s">
        <v>12860</v>
      </c>
      <c r="F1343" s="58" t="s">
        <v>12861</v>
      </c>
      <c r="I1343" s="58" t="s">
        <v>12862</v>
      </c>
      <c r="K1343" s="73">
        <v>45638.0</v>
      </c>
      <c r="Z1343" s="58" t="s">
        <v>239</v>
      </c>
      <c r="CH1343" s="58" t="s">
        <v>12863</v>
      </c>
      <c r="CI1343" s="73">
        <v>45638.0</v>
      </c>
      <c r="CJ1343" s="58">
        <v>669.0</v>
      </c>
      <c r="CK1343" s="58">
        <v>675.0</v>
      </c>
      <c r="CL1343" s="58" t="s">
        <v>12864</v>
      </c>
      <c r="CM1343" s="58" t="s">
        <v>12865</v>
      </c>
      <c r="CO1343" s="58" t="s">
        <v>12866</v>
      </c>
      <c r="CP1343" s="58" t="s">
        <v>12867</v>
      </c>
      <c r="CT1343" s="58">
        <v>20.0</v>
      </c>
      <c r="CU1343" s="58" t="s">
        <v>239</v>
      </c>
      <c r="DL1343" s="58" t="s">
        <v>12868</v>
      </c>
    </row>
    <row r="1344" ht="15.75" customHeight="1">
      <c r="B1344" s="58" t="s">
        <v>4587</v>
      </c>
      <c r="C1344" s="58">
        <v>2023.0</v>
      </c>
      <c r="D1344" s="58" t="s">
        <v>12869</v>
      </c>
      <c r="E1344" s="58" t="s">
        <v>12870</v>
      </c>
      <c r="F1344" s="58" t="s">
        <v>12871</v>
      </c>
      <c r="I1344" s="58" t="s">
        <v>12872</v>
      </c>
      <c r="K1344" s="73">
        <v>45407.0</v>
      </c>
      <c r="Z1344" s="58" t="s">
        <v>239</v>
      </c>
      <c r="CH1344" s="58" t="s">
        <v>12873</v>
      </c>
      <c r="CI1344" s="73">
        <v>45407.0</v>
      </c>
      <c r="CJ1344" s="58">
        <v>398.0</v>
      </c>
      <c r="CK1344" s="58">
        <v>403.0</v>
      </c>
      <c r="CL1344" s="58" t="s">
        <v>12874</v>
      </c>
      <c r="CM1344" s="58" t="s">
        <v>12875</v>
      </c>
      <c r="CO1344" s="58" t="s">
        <v>12876</v>
      </c>
      <c r="CP1344" s="58" t="s">
        <v>12877</v>
      </c>
      <c r="CT1344" s="58">
        <v>17.0</v>
      </c>
      <c r="CU1344" s="58" t="s">
        <v>239</v>
      </c>
      <c r="DL1344" s="58" t="s">
        <v>12878</v>
      </c>
    </row>
    <row r="1345" ht="15.75" customHeight="1">
      <c r="B1345" s="58" t="s">
        <v>4587</v>
      </c>
      <c r="C1345" s="58">
        <v>2024.0</v>
      </c>
      <c r="D1345" s="58" t="s">
        <v>12879</v>
      </c>
      <c r="E1345" s="58" t="s">
        <v>12880</v>
      </c>
      <c r="F1345" s="58" t="s">
        <v>12881</v>
      </c>
      <c r="H1345" s="58" t="s">
        <v>5858</v>
      </c>
      <c r="I1345" s="58" t="s">
        <v>12882</v>
      </c>
      <c r="K1345" s="73">
        <v>45526.0</v>
      </c>
      <c r="Z1345" s="58" t="s">
        <v>239</v>
      </c>
      <c r="CH1345" s="58" t="s">
        <v>12883</v>
      </c>
      <c r="CI1345" s="73">
        <v>45526.0</v>
      </c>
      <c r="CJ1345" s="58">
        <v>1.0</v>
      </c>
      <c r="CK1345" s="58">
        <v>8.0</v>
      </c>
      <c r="CL1345" s="58" t="s">
        <v>12884</v>
      </c>
      <c r="CM1345" s="58" t="s">
        <v>12885</v>
      </c>
      <c r="CN1345" s="58" t="s">
        <v>5767</v>
      </c>
      <c r="CO1345" s="58" t="s">
        <v>12886</v>
      </c>
      <c r="CP1345" s="58" t="s">
        <v>12887</v>
      </c>
      <c r="CT1345" s="58">
        <v>52.0</v>
      </c>
      <c r="CU1345" s="58" t="s">
        <v>239</v>
      </c>
      <c r="DL1345" s="58" t="s">
        <v>12888</v>
      </c>
    </row>
    <row r="1346" ht="15.75" customHeight="1">
      <c r="B1346" s="58" t="s">
        <v>4587</v>
      </c>
      <c r="C1346" s="58">
        <v>2024.0</v>
      </c>
      <c r="D1346" s="58" t="s">
        <v>12889</v>
      </c>
      <c r="E1346" s="58" t="s">
        <v>12890</v>
      </c>
      <c r="F1346" s="58" t="s">
        <v>12891</v>
      </c>
      <c r="H1346" s="58" t="s">
        <v>8672</v>
      </c>
      <c r="I1346" s="58" t="s">
        <v>12892</v>
      </c>
      <c r="K1346" s="73">
        <v>45618.0</v>
      </c>
      <c r="Z1346" s="58" t="s">
        <v>239</v>
      </c>
      <c r="CH1346" s="58" t="s">
        <v>12893</v>
      </c>
      <c r="CI1346" s="73">
        <v>45618.0</v>
      </c>
      <c r="CJ1346" s="58">
        <v>1.0</v>
      </c>
      <c r="CK1346" s="58">
        <v>7.0</v>
      </c>
      <c r="CL1346" s="58" t="s">
        <v>12894</v>
      </c>
      <c r="CM1346" s="58" t="s">
        <v>12895</v>
      </c>
      <c r="CN1346" s="58" t="s">
        <v>12896</v>
      </c>
      <c r="CO1346" s="58" t="s">
        <v>12897</v>
      </c>
      <c r="CP1346" s="58" t="s">
        <v>12898</v>
      </c>
      <c r="CT1346" s="58">
        <v>13.0</v>
      </c>
      <c r="CU1346" s="58" t="s">
        <v>239</v>
      </c>
      <c r="DL1346" s="58" t="s">
        <v>12899</v>
      </c>
    </row>
    <row r="1347" ht="15.75" customHeight="1">
      <c r="B1347" s="58" t="s">
        <v>4587</v>
      </c>
      <c r="C1347" s="58">
        <v>2024.0</v>
      </c>
      <c r="D1347" s="58" t="s">
        <v>12900</v>
      </c>
      <c r="E1347" s="58" t="s">
        <v>12901</v>
      </c>
      <c r="F1347" s="58" t="s">
        <v>12902</v>
      </c>
      <c r="H1347" s="58" t="s">
        <v>12903</v>
      </c>
      <c r="I1347" s="58" t="s">
        <v>12904</v>
      </c>
      <c r="K1347" s="73">
        <v>45569.0</v>
      </c>
      <c r="Z1347" s="58" t="s">
        <v>239</v>
      </c>
      <c r="CH1347" s="58" t="s">
        <v>12905</v>
      </c>
      <c r="CI1347" s="73">
        <v>45569.0</v>
      </c>
      <c r="CJ1347" s="58">
        <v>1.0</v>
      </c>
      <c r="CK1347" s="58">
        <v>6.0</v>
      </c>
      <c r="CL1347" s="58" t="s">
        <v>12906</v>
      </c>
      <c r="CM1347" s="58" t="s">
        <v>12907</v>
      </c>
      <c r="CO1347" s="58" t="s">
        <v>12908</v>
      </c>
      <c r="CP1347" s="58" t="s">
        <v>12909</v>
      </c>
      <c r="CT1347" s="58">
        <v>20.0</v>
      </c>
      <c r="CU1347" s="58" t="s">
        <v>239</v>
      </c>
      <c r="DL1347" s="58" t="s">
        <v>12910</v>
      </c>
    </row>
    <row r="1348" ht="15.75" customHeight="1">
      <c r="B1348" s="58" t="s">
        <v>4587</v>
      </c>
      <c r="C1348" s="58">
        <v>2023.0</v>
      </c>
      <c r="D1348" s="58" t="s">
        <v>12911</v>
      </c>
      <c r="E1348" s="58" t="s">
        <v>12912</v>
      </c>
      <c r="F1348" s="58" t="s">
        <v>12300</v>
      </c>
      <c r="H1348" s="58" t="s">
        <v>10882</v>
      </c>
      <c r="I1348" s="58" t="s">
        <v>12913</v>
      </c>
      <c r="K1348" s="73">
        <v>45145.0</v>
      </c>
      <c r="Z1348" s="58" t="s">
        <v>239</v>
      </c>
      <c r="CH1348" s="58" t="s">
        <v>12914</v>
      </c>
      <c r="CI1348" s="73">
        <v>45145.0</v>
      </c>
      <c r="CJ1348" s="58">
        <v>291.0</v>
      </c>
      <c r="CK1348" s="58">
        <v>296.0</v>
      </c>
      <c r="CL1348" s="58" t="s">
        <v>12915</v>
      </c>
      <c r="CM1348" s="58" t="s">
        <v>12304</v>
      </c>
      <c r="CO1348" s="58" t="s">
        <v>12916</v>
      </c>
      <c r="CT1348" s="58">
        <v>18.0</v>
      </c>
      <c r="CU1348" s="58" t="s">
        <v>239</v>
      </c>
      <c r="DL1348" s="58" t="s">
        <v>12917</v>
      </c>
    </row>
    <row r="1349" ht="15.75" customHeight="1">
      <c r="B1349" s="58" t="s">
        <v>4587</v>
      </c>
      <c r="C1349" s="58">
        <v>2024.0</v>
      </c>
      <c r="D1349" s="58" t="s">
        <v>12918</v>
      </c>
      <c r="E1349" s="58" t="s">
        <v>12919</v>
      </c>
      <c r="F1349" s="58" t="s">
        <v>11429</v>
      </c>
      <c r="I1349" s="58" t="s">
        <v>12920</v>
      </c>
      <c r="K1349" s="73">
        <v>45505.0</v>
      </c>
      <c r="Z1349" s="58" t="s">
        <v>239</v>
      </c>
      <c r="CH1349" s="58" t="s">
        <v>12921</v>
      </c>
      <c r="CI1349" s="73">
        <v>45505.0</v>
      </c>
      <c r="CJ1349" s="58">
        <v>437.0</v>
      </c>
      <c r="CK1349" s="58">
        <v>451.0</v>
      </c>
      <c r="CL1349" s="58" t="s">
        <v>12922</v>
      </c>
      <c r="CM1349" s="58" t="s">
        <v>11433</v>
      </c>
      <c r="CO1349" s="58" t="s">
        <v>12923</v>
      </c>
      <c r="CT1349" s="58">
        <v>102.0</v>
      </c>
      <c r="CU1349" s="58" t="s">
        <v>239</v>
      </c>
      <c r="DL1349" s="58" t="s">
        <v>12924</v>
      </c>
    </row>
    <row r="1350" ht="15.75" customHeight="1">
      <c r="B1350" s="58" t="s">
        <v>4587</v>
      </c>
      <c r="C1350" s="58">
        <v>2023.0</v>
      </c>
      <c r="D1350" s="58" t="s">
        <v>12925</v>
      </c>
      <c r="E1350" s="58" t="s">
        <v>12926</v>
      </c>
      <c r="F1350" s="58" t="s">
        <v>11399</v>
      </c>
      <c r="I1350" s="58" t="s">
        <v>12927</v>
      </c>
      <c r="K1350" s="73">
        <v>45230.0</v>
      </c>
      <c r="Z1350" s="58" t="s">
        <v>239</v>
      </c>
      <c r="CH1350" s="58" t="s">
        <v>12928</v>
      </c>
      <c r="CI1350" s="73">
        <v>45230.0</v>
      </c>
      <c r="CJ1350" s="58">
        <v>1.0</v>
      </c>
      <c r="CK1350" s="58">
        <v>8.0</v>
      </c>
      <c r="CL1350" s="58" t="s">
        <v>12929</v>
      </c>
      <c r="CM1350" s="58" t="s">
        <v>11403</v>
      </c>
      <c r="CO1350" s="58" t="s">
        <v>12930</v>
      </c>
      <c r="CP1350" s="58" t="s">
        <v>12931</v>
      </c>
      <c r="CT1350" s="58">
        <v>53.0</v>
      </c>
      <c r="CU1350" s="58" t="s">
        <v>239</v>
      </c>
      <c r="DL1350" s="58" t="s">
        <v>12932</v>
      </c>
    </row>
    <row r="1351" ht="15.75" customHeight="1">
      <c r="B1351" s="58" t="s">
        <v>4587</v>
      </c>
      <c r="C1351" s="58">
        <v>2023.0</v>
      </c>
      <c r="D1351" s="58" t="s">
        <v>12933</v>
      </c>
      <c r="E1351" s="58" t="s">
        <v>12934</v>
      </c>
      <c r="F1351" s="58" t="s">
        <v>12935</v>
      </c>
      <c r="I1351" s="58" t="s">
        <v>12936</v>
      </c>
      <c r="K1351" s="73">
        <v>45128.0</v>
      </c>
      <c r="Z1351" s="58" t="s">
        <v>239</v>
      </c>
      <c r="CH1351" s="58" t="s">
        <v>12937</v>
      </c>
      <c r="CI1351" s="73">
        <v>45128.0</v>
      </c>
      <c r="CJ1351" s="58">
        <v>255.0</v>
      </c>
      <c r="CK1351" s="58">
        <v>260.0</v>
      </c>
      <c r="CL1351" s="58" t="s">
        <v>12938</v>
      </c>
      <c r="CM1351" s="58" t="s">
        <v>12939</v>
      </c>
      <c r="CO1351" s="58" t="s">
        <v>12940</v>
      </c>
      <c r="CP1351" s="58" t="s">
        <v>12941</v>
      </c>
      <c r="CT1351" s="58">
        <v>25.0</v>
      </c>
      <c r="CU1351" s="58" t="s">
        <v>239</v>
      </c>
      <c r="DL1351" s="58" t="s">
        <v>12942</v>
      </c>
    </row>
    <row r="1352" ht="15.75" customHeight="1">
      <c r="B1352" s="58" t="s">
        <v>4587</v>
      </c>
      <c r="C1352" s="58">
        <v>2024.0</v>
      </c>
      <c r="D1352" s="58" t="s">
        <v>12943</v>
      </c>
      <c r="E1352" s="58" t="s">
        <v>12944</v>
      </c>
      <c r="F1352" s="58" t="s">
        <v>12945</v>
      </c>
      <c r="H1352" s="58" t="s">
        <v>12946</v>
      </c>
      <c r="I1352" s="58" t="s">
        <v>12947</v>
      </c>
      <c r="K1352" s="73">
        <v>45376.0</v>
      </c>
      <c r="Z1352" s="58" t="s">
        <v>239</v>
      </c>
      <c r="CH1352" s="58" t="s">
        <v>12948</v>
      </c>
      <c r="CI1352" s="73">
        <v>45376.0</v>
      </c>
      <c r="CJ1352" s="58">
        <v>174.0</v>
      </c>
      <c r="CK1352" s="58">
        <v>182.0</v>
      </c>
      <c r="CL1352" s="58" t="s">
        <v>12949</v>
      </c>
      <c r="CM1352" s="58" t="s">
        <v>12950</v>
      </c>
      <c r="CO1352" s="58" t="s">
        <v>12951</v>
      </c>
      <c r="CP1352" s="58" t="s">
        <v>12952</v>
      </c>
      <c r="CT1352" s="58">
        <v>27.0</v>
      </c>
      <c r="DL1352" s="58" t="s">
        <v>12953</v>
      </c>
    </row>
    <row r="1353" ht="15.75" customHeight="1">
      <c r="B1353" s="58" t="s">
        <v>4587</v>
      </c>
      <c r="C1353" s="58">
        <v>2024.0</v>
      </c>
      <c r="D1353" s="58" t="s">
        <v>12954</v>
      </c>
      <c r="E1353" s="58" t="s">
        <v>12955</v>
      </c>
      <c r="F1353" s="58" t="s">
        <v>12956</v>
      </c>
      <c r="I1353" s="58" t="s">
        <v>12957</v>
      </c>
      <c r="K1353" s="73">
        <v>45519.0</v>
      </c>
      <c r="Z1353" s="58" t="s">
        <v>239</v>
      </c>
      <c r="CH1353" s="58" t="s">
        <v>12958</v>
      </c>
      <c r="CI1353" s="73">
        <v>45519.0</v>
      </c>
      <c r="CJ1353" s="58">
        <v>1.0</v>
      </c>
      <c r="CK1353" s="58">
        <v>8.0</v>
      </c>
      <c r="CL1353" s="58" t="s">
        <v>12959</v>
      </c>
      <c r="CM1353" s="58" t="s">
        <v>12960</v>
      </c>
      <c r="CO1353" s="58" t="s">
        <v>12961</v>
      </c>
      <c r="CP1353" s="58" t="s">
        <v>12962</v>
      </c>
      <c r="CT1353" s="58">
        <v>31.0</v>
      </c>
      <c r="CU1353" s="58" t="s">
        <v>239</v>
      </c>
      <c r="DL1353" s="58" t="s">
        <v>12963</v>
      </c>
    </row>
    <row r="1354" ht="15.75" customHeight="1">
      <c r="B1354" s="58" t="s">
        <v>4587</v>
      </c>
      <c r="C1354" s="58">
        <v>2024.0</v>
      </c>
      <c r="D1354" s="58" t="s">
        <v>12964</v>
      </c>
      <c r="E1354" s="58" t="s">
        <v>12965</v>
      </c>
      <c r="F1354" s="58" t="s">
        <v>12966</v>
      </c>
      <c r="H1354" s="58" t="s">
        <v>12967</v>
      </c>
      <c r="I1354" s="58" t="s">
        <v>12968</v>
      </c>
      <c r="K1354" s="73">
        <v>45616.0</v>
      </c>
      <c r="Z1354" s="58" t="s">
        <v>239</v>
      </c>
      <c r="CH1354" s="58" t="s">
        <v>12969</v>
      </c>
      <c r="CI1354" s="73">
        <v>45616.0</v>
      </c>
      <c r="CJ1354" s="58">
        <v>1.0</v>
      </c>
      <c r="CK1354" s="58">
        <v>6.0</v>
      </c>
      <c r="CL1354" s="58" t="s">
        <v>12970</v>
      </c>
      <c r="CM1354" s="58" t="s">
        <v>12971</v>
      </c>
      <c r="CO1354" s="58" t="s">
        <v>12972</v>
      </c>
      <c r="CP1354" s="58" t="s">
        <v>12973</v>
      </c>
      <c r="CT1354" s="58">
        <v>27.0</v>
      </c>
      <c r="CU1354" s="58" t="s">
        <v>239</v>
      </c>
      <c r="DL1354" s="58" t="s">
        <v>12974</v>
      </c>
    </row>
    <row r="1355" ht="15.75" customHeight="1">
      <c r="B1355" s="58" t="s">
        <v>4587</v>
      </c>
      <c r="C1355" s="58">
        <v>2024.0</v>
      </c>
      <c r="D1355" s="58" t="s">
        <v>12975</v>
      </c>
      <c r="E1355" s="58" t="s">
        <v>12976</v>
      </c>
      <c r="F1355" s="58" t="s">
        <v>12977</v>
      </c>
      <c r="I1355" s="58" t="s">
        <v>12978</v>
      </c>
      <c r="K1355" s="73">
        <v>45456.0</v>
      </c>
      <c r="Z1355" s="58" t="s">
        <v>239</v>
      </c>
      <c r="CH1355" s="58" t="s">
        <v>12979</v>
      </c>
      <c r="CI1355" s="73">
        <v>45456.0</v>
      </c>
      <c r="CJ1355" s="58">
        <v>1.0</v>
      </c>
      <c r="CK1355" s="58">
        <v>6.0</v>
      </c>
      <c r="CL1355" s="58" t="s">
        <v>12980</v>
      </c>
      <c r="CM1355" s="58" t="s">
        <v>12981</v>
      </c>
      <c r="CN1355" s="58" t="s">
        <v>12982</v>
      </c>
      <c r="CO1355" s="58" t="s">
        <v>12983</v>
      </c>
      <c r="CP1355" s="58" t="s">
        <v>12984</v>
      </c>
      <c r="CT1355" s="58">
        <v>11.0</v>
      </c>
      <c r="CU1355" s="58" t="s">
        <v>239</v>
      </c>
      <c r="DL1355" s="58" t="s">
        <v>12985</v>
      </c>
    </row>
    <row r="1356" ht="15.75" customHeight="1">
      <c r="B1356" s="58" t="s">
        <v>4587</v>
      </c>
      <c r="C1356" s="58">
        <v>2024.0</v>
      </c>
      <c r="D1356" s="58" t="s">
        <v>12986</v>
      </c>
      <c r="E1356" s="58" t="s">
        <v>12987</v>
      </c>
      <c r="F1356" s="58" t="s">
        <v>12861</v>
      </c>
      <c r="I1356" s="58" t="s">
        <v>12988</v>
      </c>
      <c r="K1356" s="73">
        <v>45638.0</v>
      </c>
      <c r="Z1356" s="58" t="s">
        <v>239</v>
      </c>
      <c r="CH1356" s="58" t="s">
        <v>12989</v>
      </c>
      <c r="CI1356" s="73">
        <v>45638.0</v>
      </c>
      <c r="CJ1356" s="58">
        <v>253.0</v>
      </c>
      <c r="CK1356" s="58">
        <v>258.0</v>
      </c>
      <c r="CL1356" s="58" t="s">
        <v>12990</v>
      </c>
      <c r="CM1356" s="58" t="s">
        <v>12865</v>
      </c>
      <c r="CN1356" s="58" t="s">
        <v>12991</v>
      </c>
      <c r="CO1356" s="58" t="s">
        <v>12992</v>
      </c>
      <c r="CP1356" s="58" t="s">
        <v>12993</v>
      </c>
      <c r="CT1356" s="58">
        <v>9.0</v>
      </c>
      <c r="CU1356" s="58" t="s">
        <v>239</v>
      </c>
      <c r="DL1356" s="58" t="s">
        <v>12994</v>
      </c>
    </row>
    <row r="1357" ht="15.75" customHeight="1">
      <c r="B1357" s="58" t="s">
        <v>4587</v>
      </c>
      <c r="C1357" s="58">
        <v>2023.0</v>
      </c>
      <c r="D1357" s="58" t="s">
        <v>12995</v>
      </c>
      <c r="E1357" s="58" t="s">
        <v>12996</v>
      </c>
      <c r="F1357" s="58" t="s">
        <v>12997</v>
      </c>
      <c r="I1357" s="58" t="s">
        <v>12998</v>
      </c>
      <c r="K1357" s="73">
        <v>45120.0</v>
      </c>
      <c r="Z1357" s="58" t="s">
        <v>239</v>
      </c>
      <c r="CH1357" s="58" t="s">
        <v>12999</v>
      </c>
      <c r="CI1357" s="73">
        <v>45120.0</v>
      </c>
      <c r="CJ1357" s="58">
        <v>204.0</v>
      </c>
      <c r="CK1357" s="58">
        <v>209.0</v>
      </c>
      <c r="CL1357" s="58" t="s">
        <v>13000</v>
      </c>
      <c r="CM1357" s="58" t="s">
        <v>13001</v>
      </c>
      <c r="CO1357" s="58" t="s">
        <v>13002</v>
      </c>
      <c r="CP1357" s="58" t="s">
        <v>13003</v>
      </c>
      <c r="CT1357" s="58">
        <v>30.0</v>
      </c>
      <c r="CU1357" s="58" t="s">
        <v>239</v>
      </c>
      <c r="DL1357" s="58" t="s">
        <v>13004</v>
      </c>
    </row>
    <row r="1358" ht="15.75" customHeight="1">
      <c r="B1358" s="58" t="s">
        <v>4587</v>
      </c>
      <c r="C1358" s="58">
        <v>2023.0</v>
      </c>
      <c r="D1358" s="58" t="s">
        <v>13005</v>
      </c>
      <c r="E1358" s="58" t="s">
        <v>13006</v>
      </c>
      <c r="F1358" s="58" t="s">
        <v>13007</v>
      </c>
      <c r="H1358" s="58" t="s">
        <v>6627</v>
      </c>
      <c r="I1358" s="58" t="s">
        <v>13008</v>
      </c>
      <c r="K1358" s="73">
        <v>45160.0</v>
      </c>
      <c r="Z1358" s="58" t="s">
        <v>239</v>
      </c>
      <c r="CH1358" s="58" t="s">
        <v>13009</v>
      </c>
      <c r="CI1358" s="73">
        <v>45160.0</v>
      </c>
      <c r="CJ1358" s="58">
        <v>315.0</v>
      </c>
      <c r="CK1358" s="58">
        <v>320.0</v>
      </c>
      <c r="CL1358" s="58" t="s">
        <v>13010</v>
      </c>
      <c r="CM1358" s="58" t="s">
        <v>13011</v>
      </c>
      <c r="CN1358" s="58" t="s">
        <v>9079</v>
      </c>
      <c r="CO1358" s="58" t="s">
        <v>13012</v>
      </c>
      <c r="CP1358" s="58" t="s">
        <v>13013</v>
      </c>
      <c r="CT1358" s="58">
        <v>20.0</v>
      </c>
      <c r="CU1358" s="58" t="s">
        <v>239</v>
      </c>
      <c r="DL1358" s="58" t="s">
        <v>13014</v>
      </c>
    </row>
    <row r="1359" ht="15.75" customHeight="1">
      <c r="B1359" s="58" t="s">
        <v>4587</v>
      </c>
      <c r="C1359" s="58">
        <v>2023.0</v>
      </c>
      <c r="D1359" s="58" t="s">
        <v>13015</v>
      </c>
      <c r="E1359" s="58" t="s">
        <v>13016</v>
      </c>
      <c r="F1359" s="58" t="s">
        <v>13017</v>
      </c>
      <c r="I1359" s="58" t="s">
        <v>13018</v>
      </c>
      <c r="K1359" s="73">
        <v>45317.0</v>
      </c>
      <c r="R1359" s="58">
        <v>6.0</v>
      </c>
      <c r="Z1359" s="58" t="s">
        <v>239</v>
      </c>
      <c r="CH1359" s="58" t="s">
        <v>13019</v>
      </c>
      <c r="CI1359" s="73">
        <v>45317.0</v>
      </c>
      <c r="CJ1359" s="58">
        <v>6.0</v>
      </c>
      <c r="CK1359" s="58">
        <v>12.0</v>
      </c>
      <c r="CL1359" s="58" t="s">
        <v>13020</v>
      </c>
      <c r="CM1359" s="58" t="s">
        <v>13021</v>
      </c>
      <c r="CO1359" s="58" t="s">
        <v>13022</v>
      </c>
      <c r="CP1359" s="58" t="s">
        <v>13023</v>
      </c>
      <c r="CT1359" s="58">
        <v>39.0</v>
      </c>
      <c r="CU1359" s="58" t="s">
        <v>239</v>
      </c>
      <c r="DL1359" s="58" t="s">
        <v>13024</v>
      </c>
    </row>
    <row r="1360" ht="15.75" customHeight="1">
      <c r="B1360" s="58" t="s">
        <v>4587</v>
      </c>
      <c r="C1360" s="58">
        <v>2024.0</v>
      </c>
      <c r="D1360" s="58" t="s">
        <v>13025</v>
      </c>
      <c r="E1360" s="58" t="s">
        <v>13026</v>
      </c>
      <c r="F1360" s="58" t="s">
        <v>12511</v>
      </c>
      <c r="H1360" s="58" t="s">
        <v>12512</v>
      </c>
      <c r="I1360" s="58" t="s">
        <v>13027</v>
      </c>
      <c r="K1360" s="73">
        <v>45517.0</v>
      </c>
      <c r="Z1360" s="58" t="s">
        <v>239</v>
      </c>
      <c r="CH1360" s="58" t="s">
        <v>13028</v>
      </c>
      <c r="CI1360" s="73">
        <v>45517.0</v>
      </c>
      <c r="CJ1360" s="58">
        <v>1.0</v>
      </c>
      <c r="CK1360" s="58">
        <v>6.0</v>
      </c>
      <c r="CL1360" s="58" t="s">
        <v>13029</v>
      </c>
      <c r="CM1360" s="58" t="s">
        <v>12516</v>
      </c>
      <c r="CO1360" s="58" t="s">
        <v>13030</v>
      </c>
      <c r="CT1360" s="58">
        <v>25.0</v>
      </c>
      <c r="CU1360" s="58" t="s">
        <v>239</v>
      </c>
      <c r="DL1360" s="58" t="s">
        <v>13031</v>
      </c>
    </row>
    <row r="1361" ht="15.75" customHeight="1">
      <c r="B1361" s="58" t="s">
        <v>4587</v>
      </c>
      <c r="C1361" s="58">
        <v>2024.0</v>
      </c>
      <c r="D1361" s="58" t="s">
        <v>13032</v>
      </c>
      <c r="E1361" s="58" t="s">
        <v>13033</v>
      </c>
      <c r="F1361" s="58" t="s">
        <v>13034</v>
      </c>
      <c r="I1361" s="58" t="s">
        <v>13035</v>
      </c>
      <c r="K1361" s="73">
        <v>45706.0</v>
      </c>
      <c r="Z1361" s="58" t="s">
        <v>239</v>
      </c>
      <c r="CH1361" s="58" t="s">
        <v>13036</v>
      </c>
      <c r="CI1361" s="73">
        <v>45706.0</v>
      </c>
      <c r="CJ1361" s="58">
        <v>1317.0</v>
      </c>
      <c r="CK1361" s="58">
        <v>1321.0</v>
      </c>
      <c r="CL1361" s="58" t="s">
        <v>13037</v>
      </c>
      <c r="CM1361" s="58" t="s">
        <v>13038</v>
      </c>
      <c r="CO1361" s="58" t="s">
        <v>13039</v>
      </c>
      <c r="CP1361" s="58" t="s">
        <v>13040</v>
      </c>
      <c r="CT1361" s="58">
        <v>19.0</v>
      </c>
      <c r="CU1361" s="58" t="s">
        <v>239</v>
      </c>
      <c r="DL1361" s="58" t="s">
        <v>13041</v>
      </c>
    </row>
    <row r="1362" ht="15.75" customHeight="1">
      <c r="B1362" s="58" t="s">
        <v>4587</v>
      </c>
      <c r="C1362" s="58">
        <v>2024.0</v>
      </c>
      <c r="D1362" s="58" t="s">
        <v>13042</v>
      </c>
      <c r="E1362" s="58" t="s">
        <v>13043</v>
      </c>
      <c r="F1362" s="58" t="s">
        <v>13044</v>
      </c>
      <c r="H1362" s="58" t="s">
        <v>13045</v>
      </c>
      <c r="I1362" s="58" t="s">
        <v>13046</v>
      </c>
      <c r="K1362" s="73">
        <v>45539.0</v>
      </c>
      <c r="Z1362" s="58" t="s">
        <v>239</v>
      </c>
      <c r="CH1362" s="58" t="s">
        <v>13047</v>
      </c>
      <c r="CI1362" s="73">
        <v>45539.0</v>
      </c>
      <c r="CJ1362" s="58">
        <v>1.0</v>
      </c>
      <c r="CK1362" s="58">
        <v>12.0</v>
      </c>
      <c r="CL1362" s="58" t="s">
        <v>13048</v>
      </c>
      <c r="CM1362" s="58" t="s">
        <v>13049</v>
      </c>
      <c r="CO1362" s="58" t="s">
        <v>13050</v>
      </c>
      <c r="CT1362" s="58">
        <v>30.0</v>
      </c>
      <c r="DL1362" s="58" t="s">
        <v>13051</v>
      </c>
    </row>
    <row r="1363" ht="15.75" customHeight="1">
      <c r="B1363" s="58" t="s">
        <v>4587</v>
      </c>
      <c r="C1363" s="58">
        <v>2024.0</v>
      </c>
      <c r="D1363" s="58" t="s">
        <v>13052</v>
      </c>
      <c r="E1363" s="58" t="s">
        <v>13053</v>
      </c>
      <c r="F1363" s="58" t="s">
        <v>13054</v>
      </c>
      <c r="H1363" s="58" t="s">
        <v>9700</v>
      </c>
      <c r="I1363" s="58" t="s">
        <v>13055</v>
      </c>
      <c r="K1363" s="73">
        <v>45583.0</v>
      </c>
      <c r="Z1363" s="58" t="s">
        <v>239</v>
      </c>
      <c r="CH1363" s="58" t="s">
        <v>13056</v>
      </c>
      <c r="CI1363" s="73">
        <v>45583.0</v>
      </c>
      <c r="CJ1363" s="58">
        <v>2738.0</v>
      </c>
      <c r="CK1363" s="58">
        <v>2743.0</v>
      </c>
      <c r="CL1363" s="58" t="s">
        <v>13057</v>
      </c>
      <c r="CM1363" s="58" t="s">
        <v>13058</v>
      </c>
      <c r="CO1363" s="58" t="s">
        <v>13059</v>
      </c>
      <c r="CT1363" s="58">
        <v>37.0</v>
      </c>
      <c r="CU1363" s="58" t="s">
        <v>239</v>
      </c>
      <c r="DL1363" s="58" t="s">
        <v>13060</v>
      </c>
    </row>
    <row r="1364" ht="15.75" customHeight="1">
      <c r="B1364" s="58" t="s">
        <v>4587</v>
      </c>
      <c r="C1364" s="58">
        <v>2025.0</v>
      </c>
      <c r="D1364" s="58" t="s">
        <v>13061</v>
      </c>
      <c r="E1364" s="58" t="s">
        <v>13062</v>
      </c>
      <c r="F1364" s="58" t="s">
        <v>13063</v>
      </c>
      <c r="I1364" s="58" t="s">
        <v>13064</v>
      </c>
      <c r="K1364" s="73">
        <v>45709.0</v>
      </c>
      <c r="Z1364" s="58" t="s">
        <v>239</v>
      </c>
      <c r="CH1364" s="58" t="s">
        <v>13065</v>
      </c>
      <c r="CI1364" s="73">
        <v>45709.0</v>
      </c>
      <c r="CJ1364" s="58">
        <v>1.0</v>
      </c>
      <c r="CK1364" s="58">
        <v>5.0</v>
      </c>
      <c r="CL1364" s="58" t="s">
        <v>13066</v>
      </c>
      <c r="CM1364" s="58" t="s">
        <v>13067</v>
      </c>
      <c r="CN1364" s="58" t="s">
        <v>13068</v>
      </c>
      <c r="CO1364" s="58" t="s">
        <v>13069</v>
      </c>
      <c r="CP1364" s="58" t="s">
        <v>13070</v>
      </c>
      <c r="CT1364" s="58">
        <v>15.0</v>
      </c>
      <c r="CU1364" s="58" t="s">
        <v>239</v>
      </c>
      <c r="DL1364" s="58" t="s">
        <v>13071</v>
      </c>
    </row>
    <row r="1365" ht="15.75" customHeight="1">
      <c r="B1365" s="58" t="s">
        <v>4587</v>
      </c>
      <c r="C1365" s="58">
        <v>2023.0</v>
      </c>
      <c r="D1365" s="58" t="s">
        <v>13072</v>
      </c>
      <c r="E1365" s="58" t="s">
        <v>13073</v>
      </c>
      <c r="F1365" s="58" t="s">
        <v>13074</v>
      </c>
      <c r="I1365" s="58" t="s">
        <v>13075</v>
      </c>
      <c r="K1365" s="73">
        <v>45014.0</v>
      </c>
      <c r="Z1365" s="58" t="s">
        <v>239</v>
      </c>
      <c r="CH1365" s="58" t="s">
        <v>13076</v>
      </c>
      <c r="CI1365" s="73">
        <v>45014.0</v>
      </c>
      <c r="CJ1365" s="58">
        <v>566.0</v>
      </c>
      <c r="CK1365" s="58">
        <v>569.0</v>
      </c>
      <c r="CL1365" s="58" t="s">
        <v>13077</v>
      </c>
      <c r="CM1365" s="58" t="s">
        <v>13078</v>
      </c>
      <c r="CO1365" s="58" t="s">
        <v>13079</v>
      </c>
      <c r="CP1365" s="58" t="s">
        <v>13080</v>
      </c>
      <c r="CT1365" s="58">
        <v>11.0</v>
      </c>
      <c r="CU1365" s="58" t="s">
        <v>239</v>
      </c>
      <c r="DL1365" s="58" t="s">
        <v>13081</v>
      </c>
    </row>
    <row r="1366" ht="15.75" customHeight="1">
      <c r="B1366" s="58" t="s">
        <v>4587</v>
      </c>
      <c r="C1366" s="58">
        <v>2024.0</v>
      </c>
      <c r="D1366" s="58" t="s">
        <v>13082</v>
      </c>
      <c r="E1366" s="58" t="s">
        <v>13083</v>
      </c>
      <c r="F1366" s="58" t="s">
        <v>13084</v>
      </c>
      <c r="H1366" s="58" t="s">
        <v>4901</v>
      </c>
      <c r="I1366" s="58" t="s">
        <v>13085</v>
      </c>
      <c r="K1366" s="73">
        <v>45561.0</v>
      </c>
      <c r="Z1366" s="58" t="s">
        <v>239</v>
      </c>
      <c r="CH1366" s="58" t="s">
        <v>13086</v>
      </c>
      <c r="CI1366" s="73">
        <v>45561.0</v>
      </c>
      <c r="CJ1366" s="58">
        <v>92.0</v>
      </c>
      <c r="CK1366" s="58">
        <v>101.0</v>
      </c>
      <c r="CL1366" s="58" t="s">
        <v>13087</v>
      </c>
      <c r="CM1366" s="58" t="s">
        <v>13088</v>
      </c>
      <c r="CN1366" s="58" t="s">
        <v>11246</v>
      </c>
      <c r="CO1366" s="58" t="s">
        <v>13089</v>
      </c>
      <c r="CP1366" s="58" t="s">
        <v>13090</v>
      </c>
      <c r="CT1366" s="58">
        <v>39.0</v>
      </c>
      <c r="CU1366" s="58" t="s">
        <v>8095</v>
      </c>
      <c r="DL1366" s="58" t="s">
        <v>13091</v>
      </c>
    </row>
    <row r="1367" ht="15.75" customHeight="1">
      <c r="B1367" s="58" t="s">
        <v>4587</v>
      </c>
      <c r="C1367" s="58">
        <v>2024.0</v>
      </c>
      <c r="D1367" s="58" t="s">
        <v>13092</v>
      </c>
      <c r="E1367" s="58" t="s">
        <v>13093</v>
      </c>
      <c r="F1367" s="58" t="s">
        <v>13094</v>
      </c>
      <c r="H1367" s="58" t="s">
        <v>13095</v>
      </c>
      <c r="I1367" s="58" t="s">
        <v>13096</v>
      </c>
      <c r="K1367" s="73">
        <v>45433.0</v>
      </c>
      <c r="Z1367" s="58" t="s">
        <v>239</v>
      </c>
      <c r="CH1367" s="58" t="s">
        <v>13097</v>
      </c>
      <c r="CI1367" s="73">
        <v>45433.0</v>
      </c>
      <c r="CJ1367" s="58">
        <v>355.0</v>
      </c>
      <c r="CK1367" s="58">
        <v>363.0</v>
      </c>
      <c r="CL1367" s="58" t="s">
        <v>13098</v>
      </c>
      <c r="CM1367" s="58" t="s">
        <v>13099</v>
      </c>
      <c r="CO1367" s="58" t="s">
        <v>13100</v>
      </c>
      <c r="CP1367" s="58" t="s">
        <v>13101</v>
      </c>
      <c r="CT1367" s="58">
        <v>29.0</v>
      </c>
      <c r="CU1367" s="58" t="s">
        <v>239</v>
      </c>
      <c r="DL1367" s="58" t="s">
        <v>13102</v>
      </c>
    </row>
    <row r="1368" ht="15.75" customHeight="1">
      <c r="B1368" s="58" t="s">
        <v>4587</v>
      </c>
      <c r="C1368" s="58">
        <v>2023.0</v>
      </c>
      <c r="D1368" s="58" t="s">
        <v>13103</v>
      </c>
      <c r="E1368" s="58" t="s">
        <v>13104</v>
      </c>
      <c r="F1368" s="58" t="s">
        <v>13105</v>
      </c>
      <c r="I1368" s="58" t="s">
        <v>13106</v>
      </c>
      <c r="K1368" s="73">
        <v>45400.0</v>
      </c>
      <c r="Z1368" s="58" t="s">
        <v>239</v>
      </c>
      <c r="CH1368" s="58" t="s">
        <v>13107</v>
      </c>
      <c r="CI1368" s="73">
        <v>45400.0</v>
      </c>
      <c r="CJ1368" s="58">
        <v>1.0</v>
      </c>
      <c r="CK1368" s="58">
        <v>8.0</v>
      </c>
      <c r="CL1368" s="58" t="s">
        <v>13108</v>
      </c>
      <c r="CM1368" s="58" t="s">
        <v>13109</v>
      </c>
      <c r="CO1368" s="58" t="s">
        <v>13110</v>
      </c>
      <c r="CP1368" s="58" t="s">
        <v>13111</v>
      </c>
      <c r="CT1368" s="58">
        <v>25.0</v>
      </c>
      <c r="CU1368" s="58" t="s">
        <v>239</v>
      </c>
      <c r="DL1368" s="58" t="s">
        <v>13112</v>
      </c>
    </row>
    <row r="1369" ht="15.75" customHeight="1">
      <c r="B1369" s="58" t="s">
        <v>4587</v>
      </c>
      <c r="C1369" s="58">
        <v>2023.0</v>
      </c>
      <c r="D1369" s="58" t="s">
        <v>13113</v>
      </c>
      <c r="E1369" s="58" t="s">
        <v>13114</v>
      </c>
      <c r="F1369" s="58" t="s">
        <v>11461</v>
      </c>
      <c r="I1369" s="58" t="s">
        <v>13115</v>
      </c>
      <c r="K1369" s="73">
        <v>45275.0</v>
      </c>
      <c r="Z1369" s="58" t="s">
        <v>239</v>
      </c>
      <c r="CH1369" s="58" t="s">
        <v>13116</v>
      </c>
      <c r="CI1369" s="73">
        <v>45275.0</v>
      </c>
      <c r="CJ1369" s="58">
        <v>1.0</v>
      </c>
      <c r="CK1369" s="58">
        <v>8.0</v>
      </c>
      <c r="CL1369" s="58" t="s">
        <v>13117</v>
      </c>
      <c r="CM1369" s="58" t="s">
        <v>11465</v>
      </c>
      <c r="CN1369" s="58" t="s">
        <v>13118</v>
      </c>
      <c r="CO1369" s="58" t="s">
        <v>13119</v>
      </c>
      <c r="CP1369" s="58" t="s">
        <v>13120</v>
      </c>
      <c r="CT1369" s="58">
        <v>33.0</v>
      </c>
      <c r="CU1369" s="58" t="s">
        <v>239</v>
      </c>
      <c r="DL1369" s="58" t="s">
        <v>13121</v>
      </c>
    </row>
    <row r="1370" ht="15.75" customHeight="1">
      <c r="B1370" s="58" t="s">
        <v>4587</v>
      </c>
      <c r="C1370" s="58">
        <v>2024.0</v>
      </c>
      <c r="D1370" s="58" t="s">
        <v>13122</v>
      </c>
      <c r="E1370" s="58" t="s">
        <v>13123</v>
      </c>
      <c r="F1370" s="58" t="s">
        <v>13124</v>
      </c>
      <c r="I1370" s="58" t="s">
        <v>13125</v>
      </c>
      <c r="K1370" s="73">
        <v>45674.0</v>
      </c>
      <c r="Z1370" s="58" t="s">
        <v>239</v>
      </c>
      <c r="CH1370" s="58" t="s">
        <v>13126</v>
      </c>
      <c r="CI1370" s="73">
        <v>45674.0</v>
      </c>
      <c r="CJ1370" s="58">
        <v>118.0</v>
      </c>
      <c r="CK1370" s="58">
        <v>123.0</v>
      </c>
      <c r="CL1370" s="58" t="s">
        <v>13127</v>
      </c>
      <c r="CM1370" s="58" t="s">
        <v>13128</v>
      </c>
      <c r="CO1370" s="58" t="s">
        <v>13129</v>
      </c>
      <c r="CP1370" s="58" t="s">
        <v>13130</v>
      </c>
      <c r="CT1370" s="58">
        <v>18.0</v>
      </c>
      <c r="CU1370" s="58" t="s">
        <v>239</v>
      </c>
      <c r="DL1370" s="58" t="s">
        <v>13131</v>
      </c>
    </row>
    <row r="1371" ht="15.75" customHeight="1">
      <c r="B1371" s="58" t="s">
        <v>4587</v>
      </c>
      <c r="C1371" s="58">
        <v>2023.0</v>
      </c>
      <c r="D1371" s="58" t="s">
        <v>13132</v>
      </c>
      <c r="E1371" s="58" t="s">
        <v>13133</v>
      </c>
      <c r="F1371" s="58" t="s">
        <v>12046</v>
      </c>
      <c r="I1371" s="58" t="s">
        <v>13134</v>
      </c>
      <c r="K1371" s="73">
        <v>45147.0</v>
      </c>
      <c r="Z1371" s="58" t="s">
        <v>239</v>
      </c>
      <c r="CH1371" s="58" t="s">
        <v>13135</v>
      </c>
      <c r="CI1371" s="73">
        <v>45147.0</v>
      </c>
      <c r="CJ1371" s="58">
        <v>1.0</v>
      </c>
      <c r="CK1371" s="58">
        <v>6.0</v>
      </c>
      <c r="CL1371" s="58" t="s">
        <v>13136</v>
      </c>
      <c r="CM1371" s="58" t="s">
        <v>12050</v>
      </c>
      <c r="CO1371" s="58" t="s">
        <v>13137</v>
      </c>
      <c r="CP1371" s="58" t="s">
        <v>13138</v>
      </c>
      <c r="CT1371" s="58">
        <v>10.0</v>
      </c>
      <c r="CU1371" s="58" t="s">
        <v>239</v>
      </c>
      <c r="DL1371" s="58" t="s">
        <v>13139</v>
      </c>
    </row>
    <row r="1372" ht="15.75" customHeight="1">
      <c r="B1372" s="58" t="s">
        <v>4587</v>
      </c>
      <c r="C1372" s="58">
        <v>2024.0</v>
      </c>
      <c r="D1372" s="58" t="s">
        <v>13140</v>
      </c>
      <c r="E1372" s="58" t="s">
        <v>13141</v>
      </c>
      <c r="F1372" s="58" t="s">
        <v>13142</v>
      </c>
      <c r="I1372" s="58" t="s">
        <v>13143</v>
      </c>
      <c r="K1372" s="73">
        <v>45552.0</v>
      </c>
      <c r="Z1372" s="58" t="s">
        <v>239</v>
      </c>
      <c r="CH1372" s="58" t="s">
        <v>13144</v>
      </c>
      <c r="CI1372" s="73">
        <v>45552.0</v>
      </c>
      <c r="CJ1372" s="58">
        <v>593.0</v>
      </c>
      <c r="CK1372" s="58">
        <v>601.0</v>
      </c>
      <c r="CL1372" s="58" t="s">
        <v>13145</v>
      </c>
      <c r="CM1372" s="58" t="s">
        <v>13146</v>
      </c>
      <c r="CO1372" s="58" t="s">
        <v>13147</v>
      </c>
      <c r="CP1372" s="58" t="s">
        <v>13148</v>
      </c>
      <c r="CT1372" s="58">
        <v>15.0</v>
      </c>
      <c r="CU1372" s="58" t="s">
        <v>239</v>
      </c>
      <c r="DL1372" s="58" t="s">
        <v>13149</v>
      </c>
    </row>
    <row r="1373" ht="15.75" customHeight="1">
      <c r="B1373" s="58" t="s">
        <v>4587</v>
      </c>
      <c r="C1373" s="58">
        <v>2023.0</v>
      </c>
      <c r="D1373" s="58" t="s">
        <v>13150</v>
      </c>
      <c r="E1373" s="58" t="s">
        <v>13151</v>
      </c>
      <c r="F1373" s="58" t="s">
        <v>11864</v>
      </c>
      <c r="H1373" s="58" t="s">
        <v>6726</v>
      </c>
      <c r="I1373" s="58" t="s">
        <v>13152</v>
      </c>
      <c r="K1373" s="73">
        <v>45425.0</v>
      </c>
      <c r="Z1373" s="58" t="s">
        <v>239</v>
      </c>
      <c r="CH1373" s="58" t="s">
        <v>13153</v>
      </c>
      <c r="CI1373" s="73">
        <v>45425.0</v>
      </c>
      <c r="CJ1373" s="58">
        <v>1.0</v>
      </c>
      <c r="CK1373" s="58">
        <v>61.0</v>
      </c>
      <c r="CL1373" s="58" t="s">
        <v>13154</v>
      </c>
      <c r="CM1373" s="58" t="s">
        <v>11868</v>
      </c>
      <c r="CO1373" s="58" t="s">
        <v>13155</v>
      </c>
      <c r="CP1373" s="58" t="s">
        <v>13156</v>
      </c>
      <c r="CT1373" s="58">
        <v>25.0</v>
      </c>
      <c r="CU1373" s="58" t="s">
        <v>239</v>
      </c>
      <c r="DL1373" s="58" t="s">
        <v>13157</v>
      </c>
    </row>
    <row r="1374" ht="15.75" customHeight="1">
      <c r="B1374" s="58" t="s">
        <v>4587</v>
      </c>
      <c r="C1374" s="58">
        <v>2023.0</v>
      </c>
      <c r="D1374" s="58" t="s">
        <v>13158</v>
      </c>
      <c r="E1374" s="58" t="s">
        <v>13159</v>
      </c>
      <c r="F1374" s="58" t="s">
        <v>13160</v>
      </c>
      <c r="I1374" s="58" t="s">
        <v>13161</v>
      </c>
      <c r="K1374" s="73">
        <v>45292.0</v>
      </c>
      <c r="Z1374" s="58" t="s">
        <v>239</v>
      </c>
      <c r="CH1374" s="58" t="s">
        <v>13162</v>
      </c>
      <c r="CI1374" s="73">
        <v>45292.0</v>
      </c>
      <c r="CJ1374" s="58">
        <v>430.0</v>
      </c>
      <c r="CK1374" s="58">
        <v>435.0</v>
      </c>
      <c r="CL1374" s="58" t="s">
        <v>13163</v>
      </c>
      <c r="CM1374" s="58" t="s">
        <v>13164</v>
      </c>
      <c r="CO1374" s="58" t="s">
        <v>13165</v>
      </c>
      <c r="CP1374" s="58" t="s">
        <v>13166</v>
      </c>
      <c r="CT1374" s="58">
        <v>24.0</v>
      </c>
      <c r="CU1374" s="58" t="s">
        <v>239</v>
      </c>
      <c r="DL1374" s="58" t="s">
        <v>13167</v>
      </c>
    </row>
    <row r="1375" ht="15.75" customHeight="1">
      <c r="B1375" s="58" t="s">
        <v>4587</v>
      </c>
      <c r="C1375" s="58">
        <v>2023.0</v>
      </c>
      <c r="D1375" s="58" t="s">
        <v>13168</v>
      </c>
      <c r="E1375" s="58" t="s">
        <v>13169</v>
      </c>
      <c r="F1375" s="58" t="s">
        <v>13170</v>
      </c>
      <c r="I1375" s="58" t="s">
        <v>13171</v>
      </c>
      <c r="K1375" s="73">
        <v>45316.0</v>
      </c>
      <c r="Z1375" s="58" t="s">
        <v>239</v>
      </c>
      <c r="CH1375" s="58" t="s">
        <v>13172</v>
      </c>
      <c r="CI1375" s="73">
        <v>45316.0</v>
      </c>
      <c r="CJ1375" s="58">
        <v>1.0</v>
      </c>
      <c r="CK1375" s="58">
        <v>6.0</v>
      </c>
      <c r="CL1375" s="58" t="s">
        <v>13173</v>
      </c>
      <c r="CM1375" s="58" t="s">
        <v>13174</v>
      </c>
      <c r="CO1375" s="58" t="s">
        <v>13175</v>
      </c>
      <c r="CP1375" s="58" t="s">
        <v>13176</v>
      </c>
      <c r="CT1375" s="58">
        <v>12.0</v>
      </c>
      <c r="CU1375" s="58" t="s">
        <v>239</v>
      </c>
      <c r="DL1375" s="58" t="s">
        <v>13177</v>
      </c>
    </row>
    <row r="1376" ht="15.75" customHeight="1">
      <c r="B1376" s="58" t="s">
        <v>4587</v>
      </c>
      <c r="C1376" s="58">
        <v>2024.0</v>
      </c>
      <c r="D1376" s="58" t="s">
        <v>13178</v>
      </c>
      <c r="E1376" s="58" t="s">
        <v>13179</v>
      </c>
      <c r="F1376" s="58" t="s">
        <v>13180</v>
      </c>
      <c r="H1376" s="58" t="s">
        <v>13181</v>
      </c>
      <c r="I1376" s="58" t="s">
        <v>13182</v>
      </c>
      <c r="K1376" s="73">
        <v>45525.0</v>
      </c>
      <c r="Z1376" s="58" t="s">
        <v>239</v>
      </c>
      <c r="CH1376" s="58" t="s">
        <v>13183</v>
      </c>
      <c r="CI1376" s="73">
        <v>45525.0</v>
      </c>
      <c r="CJ1376" s="58">
        <v>155.0</v>
      </c>
      <c r="CK1376" s="58">
        <v>163.0</v>
      </c>
      <c r="CL1376" s="58" t="s">
        <v>13184</v>
      </c>
      <c r="CM1376" s="58" t="s">
        <v>13185</v>
      </c>
      <c r="CO1376" s="58" t="s">
        <v>13186</v>
      </c>
      <c r="CP1376" s="58" t="s">
        <v>13187</v>
      </c>
      <c r="CT1376" s="58">
        <v>36.0</v>
      </c>
      <c r="CU1376" s="58" t="s">
        <v>239</v>
      </c>
      <c r="DL1376" s="58" t="s">
        <v>13188</v>
      </c>
    </row>
    <row r="1377" ht="15.75" customHeight="1">
      <c r="B1377" s="58" t="s">
        <v>4587</v>
      </c>
      <c r="C1377" s="58">
        <v>2024.0</v>
      </c>
      <c r="D1377" s="58" t="s">
        <v>13189</v>
      </c>
      <c r="E1377" s="58" t="s">
        <v>13190</v>
      </c>
      <c r="F1377" s="58" t="s">
        <v>13191</v>
      </c>
      <c r="I1377" s="58" t="s">
        <v>13192</v>
      </c>
      <c r="K1377" s="73">
        <v>45371.0</v>
      </c>
      <c r="Z1377" s="58" t="s">
        <v>239</v>
      </c>
      <c r="CH1377" s="58" t="s">
        <v>13193</v>
      </c>
      <c r="CI1377" s="73">
        <v>45371.0</v>
      </c>
      <c r="CJ1377" s="58">
        <v>1.0</v>
      </c>
      <c r="CK1377" s="58">
        <v>5.0</v>
      </c>
      <c r="CL1377" s="58" t="s">
        <v>13194</v>
      </c>
      <c r="CM1377" s="58" t="s">
        <v>13195</v>
      </c>
      <c r="CO1377" s="58" t="s">
        <v>13196</v>
      </c>
      <c r="CP1377" s="58" t="s">
        <v>13197</v>
      </c>
      <c r="CT1377" s="58">
        <v>10.0</v>
      </c>
      <c r="CU1377" s="58" t="s">
        <v>239</v>
      </c>
      <c r="DL1377" s="58" t="s">
        <v>13198</v>
      </c>
    </row>
    <row r="1378" ht="15.75" customHeight="1">
      <c r="B1378" s="58" t="s">
        <v>4587</v>
      </c>
      <c r="C1378" s="58">
        <v>2024.0</v>
      </c>
      <c r="D1378" s="58" t="s">
        <v>13199</v>
      </c>
      <c r="E1378" s="58" t="s">
        <v>13200</v>
      </c>
      <c r="F1378" s="58" t="s">
        <v>13201</v>
      </c>
      <c r="H1378" s="58" t="s">
        <v>13202</v>
      </c>
      <c r="I1378" s="58" t="s">
        <v>13203</v>
      </c>
      <c r="K1378" s="73">
        <v>45629.0</v>
      </c>
      <c r="Z1378" s="58" t="s">
        <v>239</v>
      </c>
      <c r="CH1378" s="58" t="s">
        <v>13204</v>
      </c>
      <c r="CI1378" s="73">
        <v>45629.0</v>
      </c>
      <c r="CJ1378" s="58">
        <v>1013.0</v>
      </c>
      <c r="CK1378" s="58">
        <v>1026.0</v>
      </c>
      <c r="CL1378" s="58" t="s">
        <v>13205</v>
      </c>
      <c r="CM1378" s="58" t="s">
        <v>13206</v>
      </c>
      <c r="CO1378" s="58" t="s">
        <v>13207</v>
      </c>
      <c r="CP1378" s="58" t="s">
        <v>13208</v>
      </c>
      <c r="CT1378" s="58">
        <v>50.0</v>
      </c>
      <c r="CU1378" s="58" t="s">
        <v>239</v>
      </c>
      <c r="DL1378" s="58" t="s">
        <v>13209</v>
      </c>
    </row>
    <row r="1379" ht="15.75" customHeight="1">
      <c r="B1379" s="58" t="s">
        <v>4587</v>
      </c>
      <c r="C1379" s="58">
        <v>2024.0</v>
      </c>
      <c r="D1379" s="58" t="s">
        <v>13210</v>
      </c>
      <c r="E1379" s="58" t="s">
        <v>13211</v>
      </c>
      <c r="F1379" s="58" t="s">
        <v>13212</v>
      </c>
      <c r="H1379" s="58" t="s">
        <v>5795</v>
      </c>
      <c r="I1379" s="58" t="s">
        <v>13213</v>
      </c>
      <c r="K1379" s="73">
        <v>45624.0</v>
      </c>
      <c r="Z1379" s="58" t="s">
        <v>239</v>
      </c>
      <c r="CH1379" s="58" t="s">
        <v>13214</v>
      </c>
      <c r="CI1379" s="73">
        <v>45624.0</v>
      </c>
      <c r="CJ1379" s="58">
        <v>1.0</v>
      </c>
      <c r="CK1379" s="58">
        <v>6.0</v>
      </c>
      <c r="CL1379" s="58" t="s">
        <v>13215</v>
      </c>
      <c r="CM1379" s="58" t="s">
        <v>13216</v>
      </c>
      <c r="CO1379" s="58" t="s">
        <v>13217</v>
      </c>
      <c r="CP1379" s="58" t="s">
        <v>13218</v>
      </c>
      <c r="CT1379" s="58">
        <v>12.0</v>
      </c>
      <c r="CU1379" s="58" t="s">
        <v>239</v>
      </c>
      <c r="DL1379" s="58" t="s">
        <v>13219</v>
      </c>
    </row>
    <row r="1380" ht="15.75" customHeight="1">
      <c r="B1380" s="58" t="s">
        <v>4587</v>
      </c>
      <c r="C1380" s="58">
        <v>2024.0</v>
      </c>
      <c r="D1380" s="58" t="s">
        <v>13220</v>
      </c>
      <c r="E1380" s="58" t="s">
        <v>13221</v>
      </c>
      <c r="F1380" s="58" t="s">
        <v>13222</v>
      </c>
      <c r="H1380" s="58" t="s">
        <v>4802</v>
      </c>
      <c r="I1380" s="58" t="s">
        <v>13223</v>
      </c>
      <c r="K1380" s="73">
        <v>45490.0</v>
      </c>
      <c r="Z1380" s="58" t="s">
        <v>239</v>
      </c>
      <c r="CH1380" s="58" t="s">
        <v>13224</v>
      </c>
      <c r="CI1380" s="73">
        <v>45490.0</v>
      </c>
      <c r="CJ1380" s="58">
        <v>804.0</v>
      </c>
      <c r="CK1380" s="58">
        <v>810.0</v>
      </c>
      <c r="CL1380" s="58" t="s">
        <v>13225</v>
      </c>
      <c r="CM1380" s="58" t="s">
        <v>13226</v>
      </c>
      <c r="CO1380" s="58" t="s">
        <v>13227</v>
      </c>
      <c r="CP1380" s="58" t="s">
        <v>13228</v>
      </c>
      <c r="CT1380" s="58">
        <v>24.0</v>
      </c>
      <c r="CU1380" s="58" t="s">
        <v>239</v>
      </c>
      <c r="DL1380" s="58" t="s">
        <v>13229</v>
      </c>
    </row>
    <row r="1381" ht="15.75" customHeight="1">
      <c r="B1381" s="58" t="s">
        <v>4587</v>
      </c>
      <c r="C1381" s="58">
        <v>2025.0</v>
      </c>
      <c r="D1381" s="58" t="s">
        <v>13230</v>
      </c>
      <c r="E1381" s="58" t="s">
        <v>13231</v>
      </c>
      <c r="F1381" s="58" t="s">
        <v>13232</v>
      </c>
      <c r="I1381" s="58" t="s">
        <v>13233</v>
      </c>
      <c r="K1381" s="73">
        <v>45729.0</v>
      </c>
      <c r="Z1381" s="58" t="s">
        <v>239</v>
      </c>
      <c r="CH1381" s="58" t="s">
        <v>13234</v>
      </c>
      <c r="CI1381" s="73">
        <v>45729.0</v>
      </c>
      <c r="CJ1381" s="58">
        <v>561.0</v>
      </c>
      <c r="CK1381" s="58">
        <v>565.0</v>
      </c>
      <c r="CL1381" s="58" t="s">
        <v>13235</v>
      </c>
      <c r="CM1381" s="58" t="s">
        <v>13236</v>
      </c>
      <c r="CO1381" s="58" t="s">
        <v>13237</v>
      </c>
      <c r="CP1381" s="58" t="s">
        <v>13238</v>
      </c>
      <c r="CT1381" s="58">
        <v>17.0</v>
      </c>
      <c r="CU1381" s="58" t="s">
        <v>239</v>
      </c>
      <c r="DL1381" s="58" t="s">
        <v>13239</v>
      </c>
    </row>
    <row r="1382" ht="15.75" customHeight="1">
      <c r="B1382" s="58" t="s">
        <v>4587</v>
      </c>
      <c r="C1382" s="58">
        <v>2024.0</v>
      </c>
      <c r="D1382" s="58" t="s">
        <v>13240</v>
      </c>
      <c r="E1382" s="58" t="s">
        <v>13241</v>
      </c>
      <c r="F1382" s="58" t="s">
        <v>13242</v>
      </c>
      <c r="I1382" s="58" t="s">
        <v>13243</v>
      </c>
      <c r="K1382" s="73">
        <v>45637.0</v>
      </c>
      <c r="Z1382" s="58" t="s">
        <v>239</v>
      </c>
      <c r="CH1382" s="58" t="s">
        <v>13244</v>
      </c>
      <c r="CI1382" s="73">
        <v>45637.0</v>
      </c>
      <c r="CJ1382" s="58">
        <v>275.0</v>
      </c>
      <c r="CK1382" s="58">
        <v>278.0</v>
      </c>
      <c r="CL1382" s="58" t="s">
        <v>13245</v>
      </c>
      <c r="CM1382" s="58" t="s">
        <v>13246</v>
      </c>
      <c r="CO1382" s="58" t="s">
        <v>13247</v>
      </c>
      <c r="CP1382" s="58" t="s">
        <v>13248</v>
      </c>
      <c r="CT1382" s="58">
        <v>10.0</v>
      </c>
      <c r="CU1382" s="58" t="s">
        <v>239</v>
      </c>
      <c r="DL1382" s="58" t="s">
        <v>13249</v>
      </c>
    </row>
    <row r="1383" ht="15.75" customHeight="1">
      <c r="B1383" s="58" t="s">
        <v>4587</v>
      </c>
      <c r="C1383" s="58">
        <v>2024.0</v>
      </c>
      <c r="D1383" s="58" t="s">
        <v>13250</v>
      </c>
      <c r="E1383" s="58" t="s">
        <v>13251</v>
      </c>
      <c r="F1383" s="58" t="s">
        <v>13252</v>
      </c>
      <c r="H1383" s="58" t="s">
        <v>7901</v>
      </c>
      <c r="I1383" s="58" t="s">
        <v>13253</v>
      </c>
      <c r="K1383" s="73">
        <v>45397.0</v>
      </c>
      <c r="Z1383" s="58" t="s">
        <v>239</v>
      </c>
      <c r="CH1383" s="58" t="s">
        <v>13254</v>
      </c>
      <c r="CI1383" s="73">
        <v>45397.0</v>
      </c>
      <c r="CJ1383" s="58">
        <v>26.0</v>
      </c>
      <c r="CK1383" s="58">
        <v>34.0</v>
      </c>
      <c r="CL1383" s="58" t="s">
        <v>13255</v>
      </c>
      <c r="CM1383" s="58" t="s">
        <v>13256</v>
      </c>
      <c r="CN1383" s="58" t="s">
        <v>13257</v>
      </c>
      <c r="CO1383" s="58" t="s">
        <v>13258</v>
      </c>
      <c r="CP1383" s="58" t="s">
        <v>13259</v>
      </c>
      <c r="CT1383" s="58">
        <v>26.0</v>
      </c>
      <c r="CU1383" s="58" t="s">
        <v>239</v>
      </c>
      <c r="DL1383" s="58" t="s">
        <v>13260</v>
      </c>
    </row>
    <row r="1384" ht="15.75" customHeight="1">
      <c r="B1384" s="58" t="s">
        <v>4587</v>
      </c>
      <c r="C1384" s="58">
        <v>2023.0</v>
      </c>
      <c r="D1384" s="58" t="s">
        <v>13261</v>
      </c>
      <c r="E1384" s="58" t="s">
        <v>13262</v>
      </c>
      <c r="F1384" s="58" t="s">
        <v>13263</v>
      </c>
      <c r="I1384" s="58" t="s">
        <v>13264</v>
      </c>
      <c r="K1384" s="73">
        <v>45068.0</v>
      </c>
      <c r="R1384" s="58">
        <v>1.0</v>
      </c>
      <c r="Z1384" s="58" t="s">
        <v>239</v>
      </c>
      <c r="CH1384" s="58" t="s">
        <v>13265</v>
      </c>
      <c r="CI1384" s="73">
        <v>45068.0</v>
      </c>
      <c r="CJ1384" s="58">
        <v>1.0</v>
      </c>
      <c r="CK1384" s="58">
        <v>6.0</v>
      </c>
      <c r="CL1384" s="58" t="s">
        <v>13266</v>
      </c>
      <c r="CM1384" s="58" t="s">
        <v>13267</v>
      </c>
      <c r="CO1384" s="58" t="s">
        <v>13268</v>
      </c>
      <c r="CP1384" s="58" t="s">
        <v>13269</v>
      </c>
      <c r="CT1384" s="58">
        <v>41.0</v>
      </c>
      <c r="CU1384" s="58" t="s">
        <v>239</v>
      </c>
      <c r="DL1384" s="58" t="s">
        <v>13270</v>
      </c>
    </row>
    <row r="1385" ht="15.75" customHeight="1">
      <c r="B1385" s="58" t="s">
        <v>4587</v>
      </c>
      <c r="C1385" s="58">
        <v>2024.0</v>
      </c>
      <c r="D1385" s="58" t="s">
        <v>13271</v>
      </c>
      <c r="E1385" s="58" t="s">
        <v>13272</v>
      </c>
      <c r="F1385" s="58" t="s">
        <v>13273</v>
      </c>
      <c r="H1385" s="58" t="s">
        <v>6595</v>
      </c>
      <c r="I1385" s="58" t="s">
        <v>13274</v>
      </c>
      <c r="K1385" s="73">
        <v>45581.0</v>
      </c>
      <c r="Z1385" s="58" t="s">
        <v>239</v>
      </c>
      <c r="CH1385" s="58" t="s">
        <v>13275</v>
      </c>
      <c r="CI1385" s="73">
        <v>45581.0</v>
      </c>
      <c r="CJ1385" s="58">
        <v>1.0</v>
      </c>
      <c r="CK1385" s="58">
        <v>8.0</v>
      </c>
      <c r="CL1385" s="58" t="s">
        <v>13276</v>
      </c>
      <c r="CM1385" s="58" t="s">
        <v>13277</v>
      </c>
      <c r="CO1385" s="58" t="s">
        <v>13278</v>
      </c>
      <c r="CP1385" s="58" t="s">
        <v>13279</v>
      </c>
      <c r="CT1385" s="58">
        <v>38.0</v>
      </c>
      <c r="CU1385" s="58" t="s">
        <v>239</v>
      </c>
      <c r="DL1385" s="58" t="s">
        <v>13280</v>
      </c>
    </row>
    <row r="1386" ht="15.75" customHeight="1">
      <c r="B1386" s="58" t="s">
        <v>4587</v>
      </c>
      <c r="C1386" s="58">
        <v>2024.0</v>
      </c>
      <c r="D1386" s="58" t="s">
        <v>13281</v>
      </c>
      <c r="E1386" s="58" t="s">
        <v>13282</v>
      </c>
      <c r="F1386" s="58" t="s">
        <v>13283</v>
      </c>
      <c r="H1386" s="58" t="s">
        <v>13284</v>
      </c>
      <c r="I1386" s="58" t="s">
        <v>13285</v>
      </c>
      <c r="K1386" s="73">
        <v>45630.0</v>
      </c>
      <c r="Z1386" s="58" t="s">
        <v>239</v>
      </c>
      <c r="CH1386" s="58" t="s">
        <v>13286</v>
      </c>
      <c r="CI1386" s="73">
        <v>45630.0</v>
      </c>
      <c r="CJ1386" s="58">
        <v>672.0</v>
      </c>
      <c r="CK1386" s="58">
        <v>677.0</v>
      </c>
      <c r="CL1386" s="58" t="s">
        <v>13287</v>
      </c>
      <c r="CM1386" s="58" t="s">
        <v>13288</v>
      </c>
      <c r="CN1386" s="58" t="s">
        <v>13289</v>
      </c>
      <c r="CO1386" s="58" t="s">
        <v>13290</v>
      </c>
      <c r="CP1386" s="58" t="s">
        <v>13291</v>
      </c>
      <c r="CT1386" s="58">
        <v>34.0</v>
      </c>
      <c r="CU1386" s="58" t="s">
        <v>239</v>
      </c>
      <c r="DL1386" s="58" t="s">
        <v>13292</v>
      </c>
    </row>
    <row r="1387" ht="15.75" customHeight="1">
      <c r="B1387" s="58" t="s">
        <v>4587</v>
      </c>
      <c r="C1387" s="58">
        <v>2023.0</v>
      </c>
      <c r="D1387" s="58" t="s">
        <v>13293</v>
      </c>
      <c r="E1387" s="58" t="s">
        <v>13294</v>
      </c>
      <c r="F1387" s="58" t="s">
        <v>13295</v>
      </c>
      <c r="H1387" s="58" t="s">
        <v>13296</v>
      </c>
      <c r="I1387" s="58" t="s">
        <v>13297</v>
      </c>
      <c r="K1387" s="73">
        <v>45148.0</v>
      </c>
      <c r="Z1387" s="58" t="s">
        <v>239</v>
      </c>
      <c r="CH1387" s="58" t="s">
        <v>13298</v>
      </c>
      <c r="CI1387" s="73">
        <v>45148.0</v>
      </c>
      <c r="CJ1387" s="58">
        <v>40.0</v>
      </c>
      <c r="CK1387" s="58">
        <v>47.0</v>
      </c>
      <c r="CL1387" s="58" t="s">
        <v>13299</v>
      </c>
      <c r="CM1387" s="58" t="s">
        <v>13300</v>
      </c>
      <c r="CO1387" s="58" t="s">
        <v>13301</v>
      </c>
      <c r="CP1387" s="58" t="s">
        <v>13302</v>
      </c>
      <c r="CT1387" s="58">
        <v>29.0</v>
      </c>
      <c r="CU1387" s="58" t="s">
        <v>239</v>
      </c>
      <c r="DL1387" s="58" t="s">
        <v>13303</v>
      </c>
    </row>
    <row r="1388" ht="15.75" customHeight="1">
      <c r="B1388" s="58" t="s">
        <v>4587</v>
      </c>
      <c r="C1388" s="58">
        <v>2024.0</v>
      </c>
      <c r="D1388" s="58" t="s">
        <v>13304</v>
      </c>
      <c r="E1388" s="58" t="s">
        <v>13305</v>
      </c>
      <c r="F1388" s="58" t="s">
        <v>12522</v>
      </c>
      <c r="H1388" s="58" t="s">
        <v>4600</v>
      </c>
      <c r="I1388" s="58" t="s">
        <v>13306</v>
      </c>
      <c r="K1388" s="73">
        <v>45532.0</v>
      </c>
      <c r="Z1388" s="58" t="s">
        <v>239</v>
      </c>
      <c r="CH1388" s="58" t="s">
        <v>13307</v>
      </c>
      <c r="CI1388" s="73">
        <v>45532.0</v>
      </c>
      <c r="CJ1388" s="58">
        <v>183.0</v>
      </c>
      <c r="CK1388" s="58">
        <v>193.0</v>
      </c>
      <c r="CL1388" s="58" t="s">
        <v>13308</v>
      </c>
      <c r="CM1388" s="58" t="s">
        <v>12526</v>
      </c>
      <c r="CO1388" s="58" t="s">
        <v>13309</v>
      </c>
      <c r="CP1388" s="58" t="s">
        <v>13310</v>
      </c>
      <c r="CT1388" s="58">
        <v>29.0</v>
      </c>
      <c r="CU1388" s="58" t="s">
        <v>239</v>
      </c>
      <c r="DL1388" s="58" t="s">
        <v>13311</v>
      </c>
    </row>
    <row r="1389" ht="15.75" customHeight="1">
      <c r="B1389" s="58" t="s">
        <v>4587</v>
      </c>
      <c r="C1389" s="58">
        <v>2024.0</v>
      </c>
      <c r="D1389" s="58" t="s">
        <v>13312</v>
      </c>
      <c r="E1389" s="58" t="s">
        <v>13313</v>
      </c>
      <c r="F1389" s="58" t="s">
        <v>13314</v>
      </c>
      <c r="H1389" s="58" t="s">
        <v>13315</v>
      </c>
      <c r="I1389" s="58" t="s">
        <v>13316</v>
      </c>
      <c r="K1389" s="73">
        <v>45694.0</v>
      </c>
      <c r="Z1389" s="58" t="s">
        <v>239</v>
      </c>
      <c r="CH1389" s="58" t="s">
        <v>13317</v>
      </c>
      <c r="CI1389" s="73">
        <v>45694.0</v>
      </c>
      <c r="CJ1389" s="58">
        <v>740.0</v>
      </c>
      <c r="CK1389" s="58">
        <v>745.0</v>
      </c>
      <c r="CL1389" s="58" t="s">
        <v>13318</v>
      </c>
      <c r="CM1389" s="58" t="s">
        <v>13319</v>
      </c>
      <c r="CO1389" s="58" t="s">
        <v>13320</v>
      </c>
      <c r="CP1389" s="58" t="s">
        <v>13321</v>
      </c>
      <c r="CT1389" s="58">
        <v>19.0</v>
      </c>
      <c r="CU1389" s="58" t="s">
        <v>239</v>
      </c>
      <c r="DL1389" s="58" t="s">
        <v>13322</v>
      </c>
    </row>
    <row r="1390" ht="15.75" customHeight="1">
      <c r="B1390" s="58" t="s">
        <v>4587</v>
      </c>
      <c r="C1390" s="58">
        <v>2023.0</v>
      </c>
      <c r="D1390" s="58" t="s">
        <v>13323</v>
      </c>
      <c r="E1390" s="58" t="s">
        <v>13324</v>
      </c>
      <c r="F1390" s="58" t="s">
        <v>13325</v>
      </c>
      <c r="I1390" s="58" t="s">
        <v>13326</v>
      </c>
      <c r="K1390" s="73">
        <v>45294.0</v>
      </c>
      <c r="Z1390" s="58" t="s">
        <v>239</v>
      </c>
      <c r="CH1390" s="58" t="s">
        <v>13327</v>
      </c>
      <c r="CI1390" s="73">
        <v>45294.0</v>
      </c>
      <c r="CJ1390" s="58">
        <v>1.0</v>
      </c>
      <c r="CK1390" s="58">
        <v>6.0</v>
      </c>
      <c r="CL1390" s="58" t="s">
        <v>13328</v>
      </c>
      <c r="CM1390" s="58" t="s">
        <v>13329</v>
      </c>
      <c r="CO1390" s="58" t="s">
        <v>13330</v>
      </c>
      <c r="CP1390" s="58" t="s">
        <v>13331</v>
      </c>
      <c r="CT1390" s="58">
        <v>14.0</v>
      </c>
      <c r="CU1390" s="58" t="s">
        <v>239</v>
      </c>
      <c r="DL1390" s="58" t="s">
        <v>13332</v>
      </c>
    </row>
    <row r="1391" ht="15.75" customHeight="1">
      <c r="B1391" s="58" t="s">
        <v>4587</v>
      </c>
      <c r="C1391" s="58">
        <v>2023.0</v>
      </c>
      <c r="D1391" s="58" t="s">
        <v>13333</v>
      </c>
      <c r="E1391" s="58" t="s">
        <v>13334</v>
      </c>
      <c r="F1391" s="58" t="s">
        <v>13335</v>
      </c>
      <c r="I1391" s="58" t="s">
        <v>13336</v>
      </c>
      <c r="K1391" s="73">
        <v>45113.0</v>
      </c>
      <c r="R1391" s="58">
        <v>3.0</v>
      </c>
      <c r="Z1391" s="58" t="s">
        <v>239</v>
      </c>
      <c r="CH1391" s="58" t="s">
        <v>13337</v>
      </c>
      <c r="CI1391" s="73">
        <v>45113.0</v>
      </c>
      <c r="CJ1391" s="58">
        <v>764.0</v>
      </c>
      <c r="CK1391" s="58">
        <v>768.0</v>
      </c>
      <c r="CL1391" s="58" t="s">
        <v>13338</v>
      </c>
      <c r="CM1391" s="58" t="s">
        <v>13339</v>
      </c>
      <c r="CO1391" s="58" t="s">
        <v>13340</v>
      </c>
      <c r="CP1391" s="58" t="s">
        <v>13341</v>
      </c>
      <c r="CT1391" s="58">
        <v>12.0</v>
      </c>
      <c r="CU1391" s="58" t="s">
        <v>239</v>
      </c>
      <c r="DL1391" s="58" t="s">
        <v>13342</v>
      </c>
    </row>
    <row r="1392" ht="15.75" customHeight="1">
      <c r="B1392" s="58" t="s">
        <v>4587</v>
      </c>
      <c r="C1392" s="58">
        <v>2024.0</v>
      </c>
      <c r="D1392" s="58" t="s">
        <v>13343</v>
      </c>
      <c r="E1392" s="58" t="s">
        <v>13344</v>
      </c>
      <c r="F1392" s="58" t="s">
        <v>11419</v>
      </c>
      <c r="H1392" s="58" t="s">
        <v>5264</v>
      </c>
      <c r="I1392" s="58" t="s">
        <v>13345</v>
      </c>
      <c r="K1392" s="73">
        <v>45475.0</v>
      </c>
      <c r="Z1392" s="58" t="s">
        <v>239</v>
      </c>
      <c r="CH1392" s="58" t="s">
        <v>13346</v>
      </c>
      <c r="CI1392" s="73">
        <v>45475.0</v>
      </c>
      <c r="CJ1392" s="58">
        <v>1.0</v>
      </c>
      <c r="CK1392" s="58">
        <v>7.0</v>
      </c>
      <c r="CL1392" s="58" t="s">
        <v>13347</v>
      </c>
      <c r="CM1392" s="58" t="s">
        <v>11423</v>
      </c>
      <c r="CN1392" s="58" t="s">
        <v>6567</v>
      </c>
      <c r="CO1392" s="58" t="s">
        <v>13348</v>
      </c>
      <c r="CP1392" s="58" t="s">
        <v>13349</v>
      </c>
      <c r="CT1392" s="58">
        <v>26.0</v>
      </c>
      <c r="CU1392" s="58" t="s">
        <v>239</v>
      </c>
      <c r="DL1392" s="58" t="s">
        <v>13350</v>
      </c>
    </row>
    <row r="1393" ht="15.75" customHeight="1">
      <c r="B1393" s="58" t="s">
        <v>4587</v>
      </c>
      <c r="C1393" s="58">
        <v>2024.0</v>
      </c>
      <c r="D1393" s="58" t="s">
        <v>13351</v>
      </c>
      <c r="E1393" s="58" t="s">
        <v>13352</v>
      </c>
      <c r="F1393" s="58" t="s">
        <v>12804</v>
      </c>
      <c r="H1393" s="58" t="s">
        <v>6260</v>
      </c>
      <c r="I1393" s="58" t="s">
        <v>13353</v>
      </c>
      <c r="K1393" s="73">
        <v>45609.0</v>
      </c>
      <c r="Z1393" s="58" t="s">
        <v>239</v>
      </c>
      <c r="CH1393" s="58" t="s">
        <v>13354</v>
      </c>
      <c r="CI1393" s="73">
        <v>45609.0</v>
      </c>
      <c r="CJ1393" s="58">
        <v>433.0</v>
      </c>
      <c r="CK1393" s="58">
        <v>444.0</v>
      </c>
      <c r="CL1393" s="58" t="s">
        <v>13355</v>
      </c>
      <c r="CM1393" s="58" t="s">
        <v>12808</v>
      </c>
      <c r="CO1393" s="58" t="s">
        <v>13356</v>
      </c>
      <c r="CP1393" s="58" t="s">
        <v>13357</v>
      </c>
      <c r="CT1393" s="58">
        <v>24.0</v>
      </c>
      <c r="DL1393" s="58" t="s">
        <v>13358</v>
      </c>
    </row>
    <row r="1394" ht="15.75" customHeight="1">
      <c r="B1394" s="58" t="s">
        <v>4587</v>
      </c>
      <c r="C1394" s="58">
        <v>2024.0</v>
      </c>
      <c r="D1394" s="58" t="s">
        <v>13359</v>
      </c>
      <c r="E1394" s="58" t="s">
        <v>13360</v>
      </c>
      <c r="F1394" s="58" t="s">
        <v>13361</v>
      </c>
      <c r="I1394" s="58" t="s">
        <v>13362</v>
      </c>
      <c r="K1394" s="73">
        <v>45510.0</v>
      </c>
      <c r="Z1394" s="58" t="s">
        <v>239</v>
      </c>
      <c r="CH1394" s="58" t="s">
        <v>13363</v>
      </c>
      <c r="CI1394" s="73">
        <v>45510.0</v>
      </c>
      <c r="CJ1394" s="58">
        <v>1.0</v>
      </c>
      <c r="CK1394" s="58">
        <v>7.0</v>
      </c>
      <c r="CL1394" s="58" t="s">
        <v>13364</v>
      </c>
      <c r="CM1394" s="58" t="s">
        <v>13365</v>
      </c>
      <c r="CO1394" s="58" t="s">
        <v>13366</v>
      </c>
      <c r="CP1394" s="58" t="s">
        <v>13367</v>
      </c>
      <c r="CT1394" s="58">
        <v>21.0</v>
      </c>
      <c r="CU1394" s="58" t="s">
        <v>239</v>
      </c>
      <c r="DL1394" s="58" t="s">
        <v>13368</v>
      </c>
    </row>
    <row r="1395" ht="15.75" customHeight="1">
      <c r="B1395" s="58" t="s">
        <v>4587</v>
      </c>
      <c r="C1395" s="58">
        <v>2024.0</v>
      </c>
      <c r="D1395" s="58" t="s">
        <v>13369</v>
      </c>
      <c r="E1395" s="58" t="s">
        <v>13370</v>
      </c>
      <c r="F1395" s="58" t="s">
        <v>13371</v>
      </c>
      <c r="I1395" s="58" t="s">
        <v>13372</v>
      </c>
      <c r="K1395" s="73">
        <v>45553.0</v>
      </c>
      <c r="Z1395" s="58" t="s">
        <v>239</v>
      </c>
      <c r="CH1395" s="58" t="s">
        <v>13373</v>
      </c>
      <c r="CI1395" s="73">
        <v>45553.0</v>
      </c>
      <c r="CJ1395" s="58">
        <v>66.0</v>
      </c>
      <c r="CK1395" s="58">
        <v>73.0</v>
      </c>
      <c r="CL1395" s="58" t="s">
        <v>13374</v>
      </c>
      <c r="CM1395" s="58" t="s">
        <v>13375</v>
      </c>
      <c r="CO1395" s="58" t="s">
        <v>13376</v>
      </c>
      <c r="CP1395" s="58" t="s">
        <v>13377</v>
      </c>
      <c r="CT1395" s="58">
        <v>18.0</v>
      </c>
      <c r="CU1395" s="58" t="s">
        <v>239</v>
      </c>
      <c r="DL1395" s="58" t="s">
        <v>13378</v>
      </c>
    </row>
    <row r="1396" ht="15.75" customHeight="1">
      <c r="B1396" s="58" t="s">
        <v>4587</v>
      </c>
      <c r="C1396" s="58">
        <v>2024.0</v>
      </c>
      <c r="D1396" s="58" t="s">
        <v>13379</v>
      </c>
      <c r="E1396" s="58" t="s">
        <v>13380</v>
      </c>
      <c r="F1396" s="58" t="s">
        <v>13381</v>
      </c>
      <c r="H1396" s="58" t="s">
        <v>4868</v>
      </c>
      <c r="I1396" s="58" t="s">
        <v>13382</v>
      </c>
      <c r="K1396" s="73">
        <v>45532.0</v>
      </c>
      <c r="Z1396" s="58" t="s">
        <v>239</v>
      </c>
      <c r="CH1396" s="58" t="s">
        <v>13383</v>
      </c>
      <c r="CI1396" s="73">
        <v>45532.0</v>
      </c>
      <c r="CJ1396" s="58">
        <v>1.0</v>
      </c>
      <c r="CK1396" s="58">
        <v>11.0</v>
      </c>
      <c r="CL1396" s="58" t="s">
        <v>13384</v>
      </c>
      <c r="CM1396" s="58" t="s">
        <v>13385</v>
      </c>
      <c r="CO1396" s="58" t="s">
        <v>13386</v>
      </c>
      <c r="CP1396" s="58" t="s">
        <v>13387</v>
      </c>
      <c r="CT1396" s="58">
        <v>31.0</v>
      </c>
      <c r="CU1396" s="58" t="s">
        <v>239</v>
      </c>
      <c r="DL1396" s="58" t="s">
        <v>13388</v>
      </c>
    </row>
    <row r="1397" ht="15.75" customHeight="1">
      <c r="B1397" s="58" t="s">
        <v>4587</v>
      </c>
      <c r="C1397" s="58">
        <v>2024.0</v>
      </c>
      <c r="D1397" s="58" t="s">
        <v>13389</v>
      </c>
      <c r="E1397" s="58" t="s">
        <v>13390</v>
      </c>
      <c r="F1397" s="58" t="s">
        <v>13391</v>
      </c>
      <c r="I1397" s="58" t="s">
        <v>13392</v>
      </c>
      <c r="K1397" s="73">
        <v>45516.0</v>
      </c>
      <c r="Z1397" s="58" t="s">
        <v>239</v>
      </c>
      <c r="CH1397" s="58" t="s">
        <v>13393</v>
      </c>
      <c r="CI1397" s="73">
        <v>45516.0</v>
      </c>
      <c r="CJ1397" s="58">
        <v>299.0</v>
      </c>
      <c r="CK1397" s="58">
        <v>304.0</v>
      </c>
      <c r="CL1397" s="58" t="s">
        <v>13394</v>
      </c>
      <c r="CM1397" s="58" t="s">
        <v>13395</v>
      </c>
      <c r="CO1397" s="58" t="s">
        <v>13396</v>
      </c>
      <c r="CP1397" s="58" t="s">
        <v>13397</v>
      </c>
      <c r="CT1397" s="58">
        <v>22.0</v>
      </c>
      <c r="CU1397" s="58" t="s">
        <v>239</v>
      </c>
      <c r="DL1397" s="58" t="s">
        <v>13398</v>
      </c>
    </row>
    <row r="1398" ht="15.75" customHeight="1">
      <c r="B1398" s="58" t="s">
        <v>4587</v>
      </c>
      <c r="C1398" s="58">
        <v>2024.0</v>
      </c>
      <c r="D1398" s="58" t="s">
        <v>13399</v>
      </c>
      <c r="E1398" s="58" t="s">
        <v>13400</v>
      </c>
      <c r="F1398" s="58" t="s">
        <v>13401</v>
      </c>
      <c r="I1398" s="58" t="s">
        <v>13402</v>
      </c>
      <c r="K1398" s="73">
        <v>45720.0</v>
      </c>
      <c r="Z1398" s="58" t="s">
        <v>239</v>
      </c>
      <c r="CH1398" s="58" t="s">
        <v>13403</v>
      </c>
      <c r="CI1398" s="73">
        <v>45720.0</v>
      </c>
      <c r="CJ1398" s="58">
        <v>725.0</v>
      </c>
      <c r="CK1398" s="58">
        <v>731.0</v>
      </c>
      <c r="CL1398" s="58" t="s">
        <v>13404</v>
      </c>
      <c r="CM1398" s="58" t="s">
        <v>13405</v>
      </c>
      <c r="CO1398" s="58" t="s">
        <v>13406</v>
      </c>
      <c r="CP1398" s="58" t="s">
        <v>13407</v>
      </c>
      <c r="CT1398" s="58">
        <v>11.0</v>
      </c>
      <c r="CU1398" s="58" t="s">
        <v>239</v>
      </c>
      <c r="DL1398" s="58" t="s">
        <v>13408</v>
      </c>
    </row>
    <row r="1399" ht="15.75" customHeight="1">
      <c r="B1399" s="58" t="s">
        <v>4587</v>
      </c>
      <c r="C1399" s="58">
        <v>2023.0</v>
      </c>
      <c r="D1399" s="58" t="s">
        <v>13409</v>
      </c>
      <c r="E1399" s="58" t="s">
        <v>13410</v>
      </c>
      <c r="F1399" s="58" t="s">
        <v>13411</v>
      </c>
      <c r="I1399" s="58" t="s">
        <v>13412</v>
      </c>
      <c r="K1399" s="73">
        <v>45313.0</v>
      </c>
      <c r="Z1399" s="58" t="s">
        <v>239</v>
      </c>
      <c r="CH1399" s="58" t="s">
        <v>13413</v>
      </c>
      <c r="CI1399" s="73">
        <v>45313.0</v>
      </c>
      <c r="CJ1399" s="58">
        <v>243.0</v>
      </c>
      <c r="CK1399" s="58">
        <v>247.0</v>
      </c>
      <c r="CL1399" s="58" t="s">
        <v>13414</v>
      </c>
      <c r="CM1399" s="58" t="s">
        <v>13415</v>
      </c>
      <c r="CO1399" s="58" t="s">
        <v>13416</v>
      </c>
      <c r="CP1399" s="58" t="s">
        <v>13417</v>
      </c>
      <c r="CT1399" s="58">
        <v>10.0</v>
      </c>
      <c r="CU1399" s="58" t="s">
        <v>239</v>
      </c>
      <c r="DL1399" s="58" t="s">
        <v>13418</v>
      </c>
    </row>
    <row r="1400" ht="15.75" customHeight="1">
      <c r="B1400" s="58" t="s">
        <v>4587</v>
      </c>
      <c r="C1400" s="58">
        <v>2023.0</v>
      </c>
      <c r="E1400" s="58" t="s">
        <v>13419</v>
      </c>
      <c r="F1400" s="58" t="s">
        <v>11864</v>
      </c>
      <c r="H1400" s="58" t="s">
        <v>6726</v>
      </c>
      <c r="I1400" s="58" t="s">
        <v>13420</v>
      </c>
      <c r="K1400" s="73">
        <v>45425.0</v>
      </c>
      <c r="Z1400" s="58" t="s">
        <v>239</v>
      </c>
      <c r="CI1400" s="73">
        <v>45425.0</v>
      </c>
      <c r="CJ1400" s="58">
        <v>1.0</v>
      </c>
      <c r="CK1400" s="58">
        <v>14.0</v>
      </c>
      <c r="CL1400" s="58" t="s">
        <v>13421</v>
      </c>
      <c r="CM1400" s="58" t="s">
        <v>11868</v>
      </c>
      <c r="CO1400" s="58" t="s">
        <v>13422</v>
      </c>
      <c r="CT1400" s="58">
        <v>0.0</v>
      </c>
      <c r="CU1400" s="58" t="s">
        <v>239</v>
      </c>
      <c r="DL1400" s="58" t="s">
        <v>13423</v>
      </c>
    </row>
    <row r="1401" ht="15.75" customHeight="1">
      <c r="B1401" s="58" t="s">
        <v>4587</v>
      </c>
      <c r="C1401" s="58">
        <v>2023.0</v>
      </c>
      <c r="D1401" s="58" t="s">
        <v>13424</v>
      </c>
      <c r="E1401" s="58" t="s">
        <v>13425</v>
      </c>
      <c r="F1401" s="58" t="s">
        <v>13426</v>
      </c>
      <c r="H1401" s="58" t="s">
        <v>6595</v>
      </c>
      <c r="I1401" s="58" t="s">
        <v>13427</v>
      </c>
      <c r="K1401" s="73">
        <v>45211.0</v>
      </c>
      <c r="Z1401" s="58" t="s">
        <v>239</v>
      </c>
      <c r="CH1401" s="58" t="s">
        <v>13428</v>
      </c>
      <c r="CI1401" s="73">
        <v>45211.0</v>
      </c>
      <c r="CJ1401" s="58">
        <v>1.0</v>
      </c>
      <c r="CK1401" s="58">
        <v>4.0</v>
      </c>
      <c r="CL1401" s="58" t="s">
        <v>13429</v>
      </c>
      <c r="CM1401" s="58" t="s">
        <v>13430</v>
      </c>
      <c r="CO1401" s="58" t="s">
        <v>13431</v>
      </c>
      <c r="CP1401" s="58" t="s">
        <v>13432</v>
      </c>
      <c r="CT1401" s="58">
        <v>8.0</v>
      </c>
      <c r="CU1401" s="58" t="s">
        <v>239</v>
      </c>
      <c r="DL1401" s="58" t="s">
        <v>13433</v>
      </c>
    </row>
    <row r="1402" ht="15.75" customHeight="1">
      <c r="B1402" s="58" t="s">
        <v>4587</v>
      </c>
      <c r="C1402" s="58">
        <v>2023.0</v>
      </c>
      <c r="D1402" s="58" t="s">
        <v>13434</v>
      </c>
      <c r="E1402" s="58" t="s">
        <v>13435</v>
      </c>
      <c r="F1402" s="58" t="s">
        <v>13436</v>
      </c>
      <c r="H1402" s="58" t="s">
        <v>5222</v>
      </c>
      <c r="I1402" s="58" t="s">
        <v>13437</v>
      </c>
      <c r="K1402" s="73">
        <v>45118.0</v>
      </c>
      <c r="Z1402" s="58" t="s">
        <v>239</v>
      </c>
      <c r="CH1402" s="58" t="s">
        <v>13438</v>
      </c>
      <c r="CI1402" s="73">
        <v>45118.0</v>
      </c>
      <c r="CJ1402" s="58">
        <v>25.0</v>
      </c>
      <c r="CK1402" s="58">
        <v>31.0</v>
      </c>
      <c r="CL1402" s="58" t="s">
        <v>13439</v>
      </c>
      <c r="CM1402" s="58" t="s">
        <v>13440</v>
      </c>
      <c r="CN1402" s="58" t="s">
        <v>13441</v>
      </c>
      <c r="CO1402" s="58" t="s">
        <v>13442</v>
      </c>
      <c r="CP1402" s="58" t="s">
        <v>13443</v>
      </c>
      <c r="CT1402" s="58">
        <v>43.0</v>
      </c>
      <c r="CU1402" s="58" t="s">
        <v>239</v>
      </c>
      <c r="DL1402" s="58" t="s">
        <v>13444</v>
      </c>
    </row>
    <row r="1403" ht="15.75" customHeight="1">
      <c r="B1403" s="58" t="s">
        <v>4587</v>
      </c>
      <c r="C1403" s="58">
        <v>2024.0</v>
      </c>
      <c r="D1403" s="58" t="s">
        <v>13445</v>
      </c>
      <c r="E1403" s="58" t="s">
        <v>13446</v>
      </c>
      <c r="F1403" s="58" t="s">
        <v>13447</v>
      </c>
      <c r="H1403" s="58" t="s">
        <v>13448</v>
      </c>
      <c r="I1403" s="58" t="s">
        <v>13449</v>
      </c>
      <c r="K1403" s="73">
        <v>45574.0</v>
      </c>
      <c r="Z1403" s="58" t="s">
        <v>239</v>
      </c>
      <c r="CH1403" s="58" t="s">
        <v>13450</v>
      </c>
      <c r="CI1403" s="73">
        <v>45574.0</v>
      </c>
      <c r="CJ1403" s="58">
        <v>1.0</v>
      </c>
      <c r="CK1403" s="58">
        <v>6.0</v>
      </c>
      <c r="CL1403" s="58" t="s">
        <v>13451</v>
      </c>
      <c r="CM1403" s="58" t="s">
        <v>13452</v>
      </c>
      <c r="CO1403" s="58" t="s">
        <v>13453</v>
      </c>
      <c r="CP1403" s="58" t="s">
        <v>13454</v>
      </c>
      <c r="CT1403" s="58">
        <v>26.0</v>
      </c>
      <c r="CU1403" s="58" t="s">
        <v>239</v>
      </c>
      <c r="DL1403" s="58" t="s">
        <v>13455</v>
      </c>
    </row>
    <row r="1404" ht="15.75" customHeight="1">
      <c r="B1404" s="58" t="s">
        <v>4587</v>
      </c>
      <c r="C1404" s="58">
        <v>2023.0</v>
      </c>
      <c r="D1404" s="58" t="s">
        <v>13456</v>
      </c>
      <c r="E1404" s="58" t="s">
        <v>13457</v>
      </c>
      <c r="F1404" s="58" t="s">
        <v>13458</v>
      </c>
      <c r="H1404" s="58" t="s">
        <v>13459</v>
      </c>
      <c r="I1404" s="58" t="s">
        <v>13460</v>
      </c>
      <c r="K1404" s="73">
        <v>45316.0</v>
      </c>
      <c r="Z1404" s="58" t="s">
        <v>239</v>
      </c>
      <c r="CH1404" s="58" t="s">
        <v>13461</v>
      </c>
      <c r="CI1404" s="73">
        <v>45316.0</v>
      </c>
      <c r="CJ1404" s="58">
        <v>1.0</v>
      </c>
      <c r="CK1404" s="58">
        <v>6.0</v>
      </c>
      <c r="CL1404" s="58" t="s">
        <v>13462</v>
      </c>
      <c r="CM1404" s="58" t="s">
        <v>13463</v>
      </c>
      <c r="CO1404" s="58" t="s">
        <v>13464</v>
      </c>
      <c r="CP1404" s="58" t="s">
        <v>13465</v>
      </c>
      <c r="CT1404" s="58">
        <v>16.0</v>
      </c>
      <c r="CU1404" s="58" t="s">
        <v>239</v>
      </c>
      <c r="DL1404" s="58" t="s">
        <v>13466</v>
      </c>
    </row>
    <row r="1405" ht="15.75" customHeight="1">
      <c r="B1405" s="58" t="s">
        <v>4587</v>
      </c>
      <c r="C1405" s="58">
        <v>2023.0</v>
      </c>
      <c r="D1405" s="58" t="s">
        <v>13467</v>
      </c>
      <c r="E1405" s="58" t="s">
        <v>13468</v>
      </c>
      <c r="F1405" s="58" t="s">
        <v>13469</v>
      </c>
      <c r="H1405" s="58" t="s">
        <v>13470</v>
      </c>
      <c r="I1405" s="58" t="s">
        <v>13471</v>
      </c>
      <c r="K1405" s="73">
        <v>45099.0</v>
      </c>
      <c r="Z1405" s="58" t="s">
        <v>239</v>
      </c>
      <c r="CH1405" s="58" t="s">
        <v>13472</v>
      </c>
      <c r="CI1405" s="73">
        <v>45099.0</v>
      </c>
      <c r="CJ1405" s="58">
        <v>1722.0</v>
      </c>
      <c r="CK1405" s="58">
        <v>1727.0</v>
      </c>
      <c r="CL1405" s="58" t="s">
        <v>13473</v>
      </c>
      <c r="CM1405" s="58" t="s">
        <v>13474</v>
      </c>
      <c r="CN1405" s="58" t="s">
        <v>13475</v>
      </c>
      <c r="CO1405" s="58" t="s">
        <v>13476</v>
      </c>
      <c r="CP1405" s="58" t="s">
        <v>13477</v>
      </c>
      <c r="CT1405" s="58">
        <v>22.0</v>
      </c>
      <c r="CU1405" s="58" t="s">
        <v>239</v>
      </c>
      <c r="DL1405" s="58" t="s">
        <v>13478</v>
      </c>
    </row>
    <row r="1406" ht="15.75" customHeight="1">
      <c r="B1406" s="58" t="s">
        <v>4587</v>
      </c>
      <c r="C1406" s="58">
        <v>2024.0</v>
      </c>
      <c r="D1406" s="58" t="s">
        <v>13479</v>
      </c>
      <c r="E1406" s="58" t="s">
        <v>13480</v>
      </c>
      <c r="F1406" s="58" t="s">
        <v>13481</v>
      </c>
      <c r="I1406" s="58" t="s">
        <v>13482</v>
      </c>
      <c r="K1406" s="73">
        <v>45569.0</v>
      </c>
      <c r="Z1406" s="58" t="s">
        <v>239</v>
      </c>
      <c r="CH1406" s="58" t="s">
        <v>13483</v>
      </c>
      <c r="CI1406" s="73">
        <v>45569.0</v>
      </c>
      <c r="CJ1406" s="58">
        <v>275.0</v>
      </c>
      <c r="CK1406" s="58">
        <v>285.0</v>
      </c>
      <c r="CL1406" s="58" t="s">
        <v>13484</v>
      </c>
      <c r="CM1406" s="58" t="s">
        <v>13485</v>
      </c>
      <c r="CN1406" s="58" t="s">
        <v>13486</v>
      </c>
      <c r="CO1406" s="58" t="s">
        <v>13487</v>
      </c>
      <c r="CP1406" s="58" t="s">
        <v>13488</v>
      </c>
      <c r="CT1406" s="58">
        <v>18.0</v>
      </c>
      <c r="CU1406" s="58" t="s">
        <v>239</v>
      </c>
      <c r="DL1406" s="58" t="s">
        <v>13489</v>
      </c>
    </row>
    <row r="1407" ht="15.75" customHeight="1">
      <c r="B1407" s="58" t="s">
        <v>4587</v>
      </c>
      <c r="C1407" s="58">
        <v>2024.0</v>
      </c>
      <c r="D1407" s="58" t="s">
        <v>13490</v>
      </c>
      <c r="E1407" s="58" t="s">
        <v>13491</v>
      </c>
      <c r="F1407" s="58" t="s">
        <v>13492</v>
      </c>
      <c r="H1407" s="58" t="s">
        <v>13493</v>
      </c>
      <c r="I1407" s="58" t="s">
        <v>13494</v>
      </c>
      <c r="K1407" s="73">
        <v>45657.0</v>
      </c>
      <c r="Z1407" s="58" t="s">
        <v>239</v>
      </c>
      <c r="CH1407" s="58" t="s">
        <v>13495</v>
      </c>
      <c r="CI1407" s="73">
        <v>45657.0</v>
      </c>
      <c r="CJ1407" s="58">
        <v>1.0</v>
      </c>
      <c r="CK1407" s="58">
        <v>4.0</v>
      </c>
      <c r="CL1407" s="58" t="s">
        <v>13496</v>
      </c>
      <c r="CM1407" s="58" t="s">
        <v>13497</v>
      </c>
      <c r="CO1407" s="58" t="s">
        <v>13498</v>
      </c>
      <c r="CP1407" s="58" t="s">
        <v>13499</v>
      </c>
      <c r="CT1407" s="58">
        <v>6.0</v>
      </c>
      <c r="CU1407" s="58" t="s">
        <v>239</v>
      </c>
      <c r="DL1407" s="58" t="s">
        <v>13500</v>
      </c>
    </row>
    <row r="1408" ht="15.75" customHeight="1">
      <c r="B1408" s="58" t="s">
        <v>4587</v>
      </c>
      <c r="C1408" s="58">
        <v>2023.0</v>
      </c>
      <c r="D1408" s="58" t="s">
        <v>13501</v>
      </c>
      <c r="E1408" s="58" t="s">
        <v>13502</v>
      </c>
      <c r="F1408" s="58" t="s">
        <v>11864</v>
      </c>
      <c r="H1408" s="58" t="s">
        <v>6726</v>
      </c>
      <c r="I1408" s="58" t="s">
        <v>13503</v>
      </c>
      <c r="K1408" s="73">
        <v>45425.0</v>
      </c>
      <c r="Z1408" s="58" t="s">
        <v>239</v>
      </c>
      <c r="CH1408" s="58" t="s">
        <v>13504</v>
      </c>
      <c r="CI1408" s="73">
        <v>45425.0</v>
      </c>
      <c r="CJ1408" s="58">
        <v>1.0</v>
      </c>
      <c r="CK1408" s="58">
        <v>89.0</v>
      </c>
      <c r="CL1408" s="58" t="s">
        <v>13505</v>
      </c>
      <c r="CM1408" s="58" t="s">
        <v>11868</v>
      </c>
      <c r="CO1408" s="58" t="s">
        <v>13506</v>
      </c>
      <c r="CP1408" s="58" t="s">
        <v>13507</v>
      </c>
      <c r="CT1408" s="58">
        <v>75.0</v>
      </c>
      <c r="CU1408" s="58" t="s">
        <v>239</v>
      </c>
      <c r="DL1408" s="58" t="s">
        <v>13508</v>
      </c>
    </row>
    <row r="1409" ht="15.75" customHeight="1">
      <c r="B1409" s="58" t="s">
        <v>4587</v>
      </c>
      <c r="C1409" s="58">
        <v>2023.0</v>
      </c>
      <c r="D1409" s="58" t="s">
        <v>13509</v>
      </c>
      <c r="E1409" s="58" t="s">
        <v>13510</v>
      </c>
      <c r="F1409" s="58" t="s">
        <v>11334</v>
      </c>
      <c r="H1409" s="58" t="s">
        <v>9205</v>
      </c>
      <c r="I1409" s="58" t="s">
        <v>13511</v>
      </c>
      <c r="K1409" s="73">
        <v>45012.0</v>
      </c>
      <c r="Z1409" s="58" t="s">
        <v>239</v>
      </c>
      <c r="CH1409" s="58" t="s">
        <v>13512</v>
      </c>
      <c r="CI1409" s="73">
        <v>45012.0</v>
      </c>
      <c r="CJ1409" s="58">
        <v>586.0</v>
      </c>
      <c r="CK1409" s="58">
        <v>592.0</v>
      </c>
      <c r="CL1409" s="58" t="s">
        <v>13513</v>
      </c>
      <c r="CM1409" s="58" t="s">
        <v>11338</v>
      </c>
      <c r="CO1409" s="58" t="s">
        <v>13514</v>
      </c>
      <c r="CP1409" s="58" t="s">
        <v>13515</v>
      </c>
      <c r="CT1409" s="58">
        <v>12.0</v>
      </c>
      <c r="CU1409" s="58" t="s">
        <v>239</v>
      </c>
      <c r="DL1409" s="58" t="s">
        <v>13516</v>
      </c>
    </row>
    <row r="1410" ht="15.75" customHeight="1">
      <c r="B1410" s="58" t="s">
        <v>4587</v>
      </c>
      <c r="C1410" s="58">
        <v>2024.0</v>
      </c>
      <c r="D1410" s="58" t="s">
        <v>13517</v>
      </c>
      <c r="E1410" s="58" t="s">
        <v>13518</v>
      </c>
      <c r="F1410" s="58" t="s">
        <v>11419</v>
      </c>
      <c r="H1410" s="58" t="s">
        <v>5264</v>
      </c>
      <c r="I1410" s="58" t="s">
        <v>13519</v>
      </c>
      <c r="K1410" s="73">
        <v>45475.0</v>
      </c>
      <c r="Z1410" s="58" t="s">
        <v>239</v>
      </c>
      <c r="CH1410" s="58" t="s">
        <v>13520</v>
      </c>
      <c r="CI1410" s="73">
        <v>45475.0</v>
      </c>
      <c r="CJ1410" s="58">
        <v>1.0</v>
      </c>
      <c r="CK1410" s="58">
        <v>9.0</v>
      </c>
      <c r="CL1410" s="58" t="s">
        <v>13521</v>
      </c>
      <c r="CM1410" s="58" t="s">
        <v>11423</v>
      </c>
      <c r="CO1410" s="58" t="s">
        <v>13522</v>
      </c>
      <c r="CP1410" s="58" t="s">
        <v>13523</v>
      </c>
      <c r="CT1410" s="58">
        <v>39.0</v>
      </c>
      <c r="CU1410" s="58" t="s">
        <v>239</v>
      </c>
      <c r="DL1410" s="58" t="s">
        <v>13524</v>
      </c>
    </row>
    <row r="1411" ht="15.75" customHeight="1">
      <c r="B1411" s="58" t="s">
        <v>4587</v>
      </c>
      <c r="C1411" s="58">
        <v>2024.0</v>
      </c>
      <c r="D1411" s="58" t="s">
        <v>13525</v>
      </c>
      <c r="E1411" s="58" t="s">
        <v>13526</v>
      </c>
      <c r="F1411" s="58" t="s">
        <v>13527</v>
      </c>
      <c r="I1411" s="58" t="s">
        <v>13528</v>
      </c>
      <c r="K1411" s="73">
        <v>45673.0</v>
      </c>
      <c r="Z1411" s="58" t="s">
        <v>239</v>
      </c>
      <c r="CH1411" s="58" t="s">
        <v>13529</v>
      </c>
      <c r="CI1411" s="73">
        <v>45673.0</v>
      </c>
      <c r="CJ1411" s="58">
        <v>1092.0</v>
      </c>
      <c r="CK1411" s="58">
        <v>1097.0</v>
      </c>
      <c r="CL1411" s="58" t="s">
        <v>13530</v>
      </c>
      <c r="CM1411" s="58" t="s">
        <v>13531</v>
      </c>
      <c r="CO1411" s="58" t="s">
        <v>13532</v>
      </c>
      <c r="CP1411" s="58" t="s">
        <v>13533</v>
      </c>
      <c r="CT1411" s="58">
        <v>12.0</v>
      </c>
      <c r="CU1411" s="58" t="s">
        <v>239</v>
      </c>
      <c r="DL1411" s="58" t="s">
        <v>13534</v>
      </c>
    </row>
    <row r="1412" ht="15.75" customHeight="1">
      <c r="B1412" s="58" t="s">
        <v>4587</v>
      </c>
      <c r="C1412" s="58">
        <v>2024.0</v>
      </c>
      <c r="D1412" s="58" t="s">
        <v>13535</v>
      </c>
      <c r="E1412" s="58" t="s">
        <v>13536</v>
      </c>
      <c r="F1412" s="58" t="s">
        <v>13537</v>
      </c>
      <c r="H1412" s="58" t="s">
        <v>13538</v>
      </c>
      <c r="I1412" s="58" t="s">
        <v>13539</v>
      </c>
      <c r="K1412" s="73">
        <v>45604.0</v>
      </c>
      <c r="Z1412" s="58" t="s">
        <v>239</v>
      </c>
      <c r="CH1412" s="58" t="s">
        <v>13540</v>
      </c>
      <c r="CI1412" s="73">
        <v>45604.0</v>
      </c>
      <c r="CJ1412" s="58">
        <v>338.0</v>
      </c>
      <c r="CK1412" s="58">
        <v>345.0</v>
      </c>
      <c r="CL1412" s="58" t="s">
        <v>13541</v>
      </c>
      <c r="CM1412" s="58" t="s">
        <v>13542</v>
      </c>
      <c r="CO1412" s="58" t="s">
        <v>13543</v>
      </c>
      <c r="CP1412" s="58" t="s">
        <v>13544</v>
      </c>
      <c r="CT1412" s="58">
        <v>23.0</v>
      </c>
      <c r="CU1412" s="58" t="s">
        <v>239</v>
      </c>
      <c r="DL1412" s="58" t="s">
        <v>13545</v>
      </c>
    </row>
    <row r="1413" ht="15.75" customHeight="1">
      <c r="B1413" s="58" t="s">
        <v>4587</v>
      </c>
      <c r="C1413" s="58">
        <v>2024.0</v>
      </c>
      <c r="D1413" s="58" t="s">
        <v>13546</v>
      </c>
      <c r="E1413" s="58" t="s">
        <v>13547</v>
      </c>
      <c r="F1413" s="58" t="s">
        <v>13548</v>
      </c>
      <c r="I1413" s="58" t="s">
        <v>13549</v>
      </c>
      <c r="K1413" s="73">
        <v>45475.0</v>
      </c>
      <c r="Z1413" s="58" t="s">
        <v>239</v>
      </c>
      <c r="CH1413" s="58" t="s">
        <v>13550</v>
      </c>
      <c r="CI1413" s="73">
        <v>45475.0</v>
      </c>
      <c r="CJ1413" s="58">
        <v>1476.0</v>
      </c>
      <c r="CK1413" s="58">
        <v>1485.0</v>
      </c>
      <c r="CL1413" s="58" t="s">
        <v>13551</v>
      </c>
      <c r="CM1413" s="58" t="s">
        <v>13552</v>
      </c>
      <c r="CO1413" s="58" t="s">
        <v>13553</v>
      </c>
      <c r="CP1413" s="58" t="s">
        <v>13554</v>
      </c>
      <c r="CT1413" s="58">
        <v>17.0</v>
      </c>
      <c r="CU1413" s="58" t="s">
        <v>239</v>
      </c>
      <c r="DL1413" s="58" t="s">
        <v>13555</v>
      </c>
    </row>
    <row r="1414" ht="15.75" customHeight="1">
      <c r="B1414" s="58" t="s">
        <v>4587</v>
      </c>
      <c r="C1414" s="58">
        <v>2024.0</v>
      </c>
      <c r="D1414" s="58" t="s">
        <v>13556</v>
      </c>
      <c r="E1414" s="58" t="s">
        <v>13557</v>
      </c>
      <c r="F1414" s="58" t="s">
        <v>13558</v>
      </c>
      <c r="H1414" s="58" t="s">
        <v>13559</v>
      </c>
      <c r="I1414" s="58" t="s">
        <v>13560</v>
      </c>
      <c r="K1414" s="73">
        <v>45533.0</v>
      </c>
      <c r="Z1414" s="58" t="s">
        <v>239</v>
      </c>
      <c r="CH1414" s="58" t="s">
        <v>13561</v>
      </c>
      <c r="CI1414" s="73">
        <v>45533.0</v>
      </c>
      <c r="CJ1414" s="58">
        <v>17.0</v>
      </c>
      <c r="CK1414" s="58">
        <v>22.0</v>
      </c>
      <c r="CL1414" s="58" t="s">
        <v>13562</v>
      </c>
      <c r="CM1414" s="58" t="s">
        <v>13563</v>
      </c>
      <c r="CO1414" s="58" t="s">
        <v>13564</v>
      </c>
      <c r="CP1414" s="58" t="s">
        <v>13565</v>
      </c>
      <c r="CT1414" s="58">
        <v>50.0</v>
      </c>
      <c r="CU1414" s="58" t="s">
        <v>239</v>
      </c>
      <c r="DL1414" s="58" t="s">
        <v>13566</v>
      </c>
    </row>
    <row r="1415" ht="15.75" customHeight="1">
      <c r="B1415" s="58" t="s">
        <v>4587</v>
      </c>
      <c r="C1415" s="58">
        <v>2024.0</v>
      </c>
      <c r="D1415" s="58" t="s">
        <v>13567</v>
      </c>
      <c r="E1415" s="58" t="s">
        <v>13568</v>
      </c>
      <c r="F1415" s="58" t="s">
        <v>13569</v>
      </c>
      <c r="I1415" s="58" t="s">
        <v>13570</v>
      </c>
      <c r="K1415" s="73">
        <v>45453.0</v>
      </c>
      <c r="Z1415" s="58" t="s">
        <v>239</v>
      </c>
      <c r="CH1415" s="58" t="s">
        <v>13571</v>
      </c>
      <c r="CI1415" s="73">
        <v>45453.0</v>
      </c>
      <c r="CJ1415" s="58">
        <v>1.0</v>
      </c>
      <c r="CK1415" s="58">
        <v>8.0</v>
      </c>
      <c r="CL1415" s="58" t="s">
        <v>13572</v>
      </c>
      <c r="CM1415" s="58" t="s">
        <v>13573</v>
      </c>
      <c r="CO1415" s="58" t="s">
        <v>13574</v>
      </c>
      <c r="CP1415" s="58" t="s">
        <v>13575</v>
      </c>
      <c r="CT1415" s="58">
        <v>20.0</v>
      </c>
      <c r="CU1415" s="58" t="s">
        <v>239</v>
      </c>
      <c r="DL1415" s="58" t="s">
        <v>13576</v>
      </c>
    </row>
    <row r="1416" ht="15.75" customHeight="1">
      <c r="B1416" s="58" t="s">
        <v>4587</v>
      </c>
      <c r="C1416" s="58">
        <v>2023.0</v>
      </c>
      <c r="D1416" s="58" t="s">
        <v>13577</v>
      </c>
      <c r="E1416" s="58" t="s">
        <v>13578</v>
      </c>
      <c r="F1416" s="58" t="s">
        <v>13579</v>
      </c>
      <c r="I1416" s="58" t="s">
        <v>13580</v>
      </c>
      <c r="K1416" s="73">
        <v>45343.0</v>
      </c>
      <c r="Z1416" s="58" t="s">
        <v>239</v>
      </c>
      <c r="CH1416" s="58" t="s">
        <v>13581</v>
      </c>
      <c r="CI1416" s="73">
        <v>45343.0</v>
      </c>
      <c r="CJ1416" s="58">
        <v>379.0</v>
      </c>
      <c r="CK1416" s="58">
        <v>383.0</v>
      </c>
      <c r="CL1416" s="58" t="s">
        <v>13582</v>
      </c>
      <c r="CM1416" s="58" t="s">
        <v>13583</v>
      </c>
      <c r="CO1416" s="58" t="s">
        <v>13584</v>
      </c>
      <c r="CP1416" s="58" t="s">
        <v>13585</v>
      </c>
      <c r="CT1416" s="58">
        <v>15.0</v>
      </c>
      <c r="CU1416" s="58" t="s">
        <v>239</v>
      </c>
      <c r="DL1416" s="58" t="s">
        <v>13586</v>
      </c>
    </row>
    <row r="1417" ht="15.75" customHeight="1">
      <c r="B1417" s="58" t="s">
        <v>4587</v>
      </c>
      <c r="C1417" s="58">
        <v>2024.0</v>
      </c>
      <c r="D1417" s="58" t="s">
        <v>13587</v>
      </c>
      <c r="E1417" s="58" t="s">
        <v>13588</v>
      </c>
      <c r="F1417" s="58" t="s">
        <v>12562</v>
      </c>
      <c r="H1417" s="58" t="s">
        <v>12563</v>
      </c>
      <c r="I1417" s="58" t="s">
        <v>13589</v>
      </c>
      <c r="K1417" s="73">
        <v>45673.0</v>
      </c>
      <c r="Z1417" s="58" t="s">
        <v>239</v>
      </c>
      <c r="CH1417" s="58" t="s">
        <v>13590</v>
      </c>
      <c r="CI1417" s="73">
        <v>45673.0</v>
      </c>
      <c r="CJ1417" s="58">
        <v>5486.0</v>
      </c>
      <c r="CK1417" s="58">
        <v>5495.0</v>
      </c>
      <c r="CL1417" s="58" t="s">
        <v>13591</v>
      </c>
      <c r="CM1417" s="58" t="s">
        <v>12567</v>
      </c>
      <c r="CO1417" s="58" t="s">
        <v>13592</v>
      </c>
      <c r="CP1417" s="58" t="s">
        <v>13593</v>
      </c>
      <c r="CT1417" s="58">
        <v>31.0</v>
      </c>
      <c r="CU1417" s="58" t="s">
        <v>239</v>
      </c>
      <c r="DL1417" s="58" t="s">
        <v>13594</v>
      </c>
    </row>
    <row r="1418" ht="15.75" customHeight="1">
      <c r="B1418" s="58" t="s">
        <v>4587</v>
      </c>
      <c r="C1418" s="58">
        <v>2025.0</v>
      </c>
      <c r="D1418" s="58" t="s">
        <v>13595</v>
      </c>
      <c r="E1418" s="58" t="s">
        <v>13596</v>
      </c>
      <c r="F1418" s="58" t="s">
        <v>13597</v>
      </c>
      <c r="H1418" s="58" t="s">
        <v>11572</v>
      </c>
      <c r="I1418" s="58" t="s">
        <v>13598</v>
      </c>
      <c r="K1418" s="73">
        <v>45708.0</v>
      </c>
      <c r="Z1418" s="58" t="s">
        <v>239</v>
      </c>
      <c r="CH1418" s="58" t="s">
        <v>13599</v>
      </c>
      <c r="CI1418" s="73">
        <v>45708.0</v>
      </c>
      <c r="CJ1418" s="58">
        <v>641.0</v>
      </c>
      <c r="CK1418" s="58">
        <v>649.0</v>
      </c>
      <c r="CL1418" s="58" t="s">
        <v>13600</v>
      </c>
      <c r="CM1418" s="58" t="s">
        <v>13601</v>
      </c>
      <c r="CO1418" s="58" t="s">
        <v>13602</v>
      </c>
      <c r="CP1418" s="58" t="s">
        <v>13603</v>
      </c>
      <c r="CT1418" s="58">
        <v>17.0</v>
      </c>
      <c r="CU1418" s="58" t="s">
        <v>239</v>
      </c>
      <c r="DL1418" s="58" t="s">
        <v>13604</v>
      </c>
    </row>
    <row r="1419" ht="15.75" customHeight="1">
      <c r="B1419" s="58" t="s">
        <v>4587</v>
      </c>
      <c r="C1419" s="58">
        <v>2024.0</v>
      </c>
      <c r="D1419" s="58" t="s">
        <v>13605</v>
      </c>
      <c r="E1419" s="58" t="s">
        <v>13606</v>
      </c>
      <c r="F1419" s="58" t="s">
        <v>11561</v>
      </c>
      <c r="H1419" s="58" t="s">
        <v>11263</v>
      </c>
      <c r="I1419" s="58" t="s">
        <v>13607</v>
      </c>
      <c r="K1419" s="73">
        <v>45516.0</v>
      </c>
      <c r="Z1419" s="58" t="s">
        <v>239</v>
      </c>
      <c r="CH1419" s="58" t="s">
        <v>13608</v>
      </c>
      <c r="CI1419" s="73">
        <v>45516.0</v>
      </c>
      <c r="CJ1419" s="58">
        <v>583.0</v>
      </c>
      <c r="CK1419" s="58">
        <v>588.0</v>
      </c>
      <c r="CL1419" s="58" t="s">
        <v>13609</v>
      </c>
      <c r="CM1419" s="58" t="s">
        <v>11565</v>
      </c>
      <c r="CN1419" s="58" t="s">
        <v>11246</v>
      </c>
      <c r="CO1419" s="58" t="s">
        <v>13610</v>
      </c>
      <c r="CP1419" s="58" t="s">
        <v>13611</v>
      </c>
      <c r="CT1419" s="58">
        <v>36.0</v>
      </c>
      <c r="CU1419" s="58" t="s">
        <v>239</v>
      </c>
      <c r="DL1419" s="58" t="s">
        <v>13612</v>
      </c>
    </row>
    <row r="1420" ht="15.75" customHeight="1">
      <c r="B1420" s="58" t="s">
        <v>4587</v>
      </c>
      <c r="C1420" s="58">
        <v>2024.0</v>
      </c>
      <c r="D1420" s="58" t="s">
        <v>13613</v>
      </c>
      <c r="E1420" s="58" t="s">
        <v>13614</v>
      </c>
      <c r="F1420" s="58" t="s">
        <v>13615</v>
      </c>
      <c r="I1420" s="58" t="s">
        <v>13616</v>
      </c>
      <c r="K1420" s="73">
        <v>45513.0</v>
      </c>
      <c r="Z1420" s="58" t="s">
        <v>239</v>
      </c>
      <c r="CH1420" s="58" t="s">
        <v>13617</v>
      </c>
      <c r="CI1420" s="73">
        <v>45513.0</v>
      </c>
      <c r="CJ1420" s="58">
        <v>109.0</v>
      </c>
      <c r="CK1420" s="58">
        <v>114.0</v>
      </c>
      <c r="CL1420" s="58" t="s">
        <v>13618</v>
      </c>
      <c r="CM1420" s="58" t="s">
        <v>13619</v>
      </c>
      <c r="CO1420" s="58" t="s">
        <v>13620</v>
      </c>
      <c r="CP1420" s="58" t="s">
        <v>13621</v>
      </c>
      <c r="CT1420" s="58">
        <v>43.0</v>
      </c>
      <c r="CU1420" s="58" t="s">
        <v>239</v>
      </c>
      <c r="DL1420" s="58" t="s">
        <v>13622</v>
      </c>
    </row>
    <row r="1421" ht="15.75" customHeight="1">
      <c r="B1421" s="58" t="s">
        <v>4587</v>
      </c>
      <c r="C1421" s="58">
        <v>2023.0</v>
      </c>
      <c r="D1421" s="58" t="s">
        <v>13623</v>
      </c>
      <c r="E1421" s="58" t="s">
        <v>13624</v>
      </c>
      <c r="F1421" s="58" t="s">
        <v>13625</v>
      </c>
      <c r="I1421" s="58" t="s">
        <v>13626</v>
      </c>
      <c r="K1421" s="73">
        <v>45174.0</v>
      </c>
      <c r="Z1421" s="58" t="s">
        <v>239</v>
      </c>
      <c r="CH1421" s="58" t="s">
        <v>13627</v>
      </c>
      <c r="CI1421" s="73">
        <v>45174.0</v>
      </c>
      <c r="CJ1421" s="58">
        <v>284.0</v>
      </c>
      <c r="CK1421" s="58">
        <v>290.0</v>
      </c>
      <c r="CL1421" s="58" t="s">
        <v>13628</v>
      </c>
      <c r="CM1421" s="58" t="s">
        <v>13629</v>
      </c>
      <c r="CO1421" s="58" t="s">
        <v>13630</v>
      </c>
      <c r="CP1421" s="58" t="s">
        <v>13631</v>
      </c>
      <c r="CT1421" s="58">
        <v>44.0</v>
      </c>
      <c r="CU1421" s="58" t="s">
        <v>239</v>
      </c>
      <c r="DL1421" s="58" t="s">
        <v>13632</v>
      </c>
    </row>
    <row r="1422" ht="15.75" customHeight="1">
      <c r="B1422" s="58" t="s">
        <v>4587</v>
      </c>
      <c r="C1422" s="58">
        <v>2024.0</v>
      </c>
      <c r="D1422" s="58" t="s">
        <v>13633</v>
      </c>
      <c r="E1422" s="58" t="s">
        <v>13634</v>
      </c>
      <c r="F1422" s="58" t="s">
        <v>13635</v>
      </c>
      <c r="H1422" s="58" t="s">
        <v>4972</v>
      </c>
      <c r="I1422" s="58" t="s">
        <v>13636</v>
      </c>
      <c r="K1422" s="73">
        <v>45516.0</v>
      </c>
      <c r="Z1422" s="58" t="s">
        <v>239</v>
      </c>
      <c r="CH1422" s="58" t="s">
        <v>13637</v>
      </c>
      <c r="CI1422" s="73">
        <v>45516.0</v>
      </c>
      <c r="CJ1422" s="58">
        <v>969.0</v>
      </c>
      <c r="CK1422" s="58">
        <v>975.0</v>
      </c>
      <c r="CL1422" s="58" t="s">
        <v>13638</v>
      </c>
      <c r="CM1422" s="58" t="s">
        <v>13639</v>
      </c>
      <c r="CO1422" s="58" t="s">
        <v>13640</v>
      </c>
      <c r="CP1422" s="58" t="s">
        <v>13641</v>
      </c>
      <c r="CT1422" s="58">
        <v>31.0</v>
      </c>
      <c r="CU1422" s="58" t="s">
        <v>239</v>
      </c>
      <c r="DL1422" s="58" t="s">
        <v>13642</v>
      </c>
    </row>
    <row r="1423" ht="15.75" customHeight="1">
      <c r="B1423" s="58" t="s">
        <v>4587</v>
      </c>
      <c r="C1423" s="58">
        <v>2024.0</v>
      </c>
      <c r="D1423" s="58" t="s">
        <v>13643</v>
      </c>
      <c r="E1423" s="58" t="s">
        <v>13644</v>
      </c>
      <c r="F1423" s="58" t="s">
        <v>13645</v>
      </c>
      <c r="I1423" s="58" t="s">
        <v>13646</v>
      </c>
      <c r="K1423" s="73">
        <v>45651.0</v>
      </c>
      <c r="Z1423" s="58" t="s">
        <v>239</v>
      </c>
      <c r="CH1423" s="58" t="s">
        <v>13647</v>
      </c>
      <c r="CI1423" s="73">
        <v>45651.0</v>
      </c>
      <c r="CJ1423" s="58">
        <v>1.0</v>
      </c>
      <c r="CK1423" s="58">
        <v>6.0</v>
      </c>
      <c r="CL1423" s="58" t="s">
        <v>13648</v>
      </c>
      <c r="CM1423" s="58" t="s">
        <v>13649</v>
      </c>
      <c r="CO1423" s="58" t="s">
        <v>13650</v>
      </c>
      <c r="CP1423" s="58" t="s">
        <v>13651</v>
      </c>
      <c r="CT1423" s="58">
        <v>13.0</v>
      </c>
      <c r="CU1423" s="58" t="s">
        <v>239</v>
      </c>
      <c r="DL1423" s="58" t="s">
        <v>13652</v>
      </c>
    </row>
    <row r="1424" ht="15.75" customHeight="1">
      <c r="B1424" s="58" t="s">
        <v>4587</v>
      </c>
      <c r="C1424" s="58">
        <v>2023.0</v>
      </c>
      <c r="D1424" s="58" t="s">
        <v>13653</v>
      </c>
      <c r="E1424" s="58" t="s">
        <v>13654</v>
      </c>
      <c r="F1424" s="58" t="s">
        <v>13655</v>
      </c>
      <c r="I1424" s="58" t="s">
        <v>13656</v>
      </c>
      <c r="K1424" s="73">
        <v>45160.0</v>
      </c>
      <c r="Z1424" s="58" t="s">
        <v>239</v>
      </c>
      <c r="CH1424" s="58" t="s">
        <v>13657</v>
      </c>
      <c r="CI1424" s="73">
        <v>45160.0</v>
      </c>
      <c r="CJ1424" s="58">
        <v>1.0</v>
      </c>
      <c r="CK1424" s="58">
        <v>6.0</v>
      </c>
      <c r="CL1424" s="58" t="s">
        <v>13658</v>
      </c>
      <c r="CM1424" s="58" t="s">
        <v>13659</v>
      </c>
      <c r="CN1424" s="58" t="s">
        <v>13660</v>
      </c>
      <c r="CO1424" s="58" t="s">
        <v>13661</v>
      </c>
      <c r="CP1424" s="58" t="s">
        <v>13662</v>
      </c>
      <c r="CT1424" s="58">
        <v>8.0</v>
      </c>
      <c r="CU1424" s="58" t="s">
        <v>239</v>
      </c>
      <c r="DL1424" s="58" t="s">
        <v>13663</v>
      </c>
    </row>
    <row r="1425" ht="15.75" customHeight="1">
      <c r="B1425" s="58" t="s">
        <v>4587</v>
      </c>
      <c r="C1425" s="58">
        <v>2024.0</v>
      </c>
      <c r="D1425" s="58" t="s">
        <v>13664</v>
      </c>
      <c r="E1425" s="58" t="s">
        <v>13665</v>
      </c>
      <c r="F1425" s="58" t="s">
        <v>12672</v>
      </c>
      <c r="H1425" s="58" t="s">
        <v>5351</v>
      </c>
      <c r="I1425" s="58" t="s">
        <v>13666</v>
      </c>
      <c r="K1425" s="73">
        <v>45596.0</v>
      </c>
      <c r="Z1425" s="58" t="s">
        <v>239</v>
      </c>
      <c r="CH1425" s="58" t="s">
        <v>13667</v>
      </c>
      <c r="CI1425" s="73">
        <v>45596.0</v>
      </c>
      <c r="CJ1425" s="58">
        <v>1.0</v>
      </c>
      <c r="CK1425" s="58">
        <v>7.0</v>
      </c>
      <c r="CL1425" s="58" t="s">
        <v>13668</v>
      </c>
      <c r="CM1425" s="58" t="s">
        <v>12676</v>
      </c>
      <c r="CO1425" s="58" t="s">
        <v>13669</v>
      </c>
      <c r="CP1425" s="58" t="s">
        <v>13670</v>
      </c>
      <c r="CT1425" s="58">
        <v>11.0</v>
      </c>
      <c r="CU1425" s="58" t="s">
        <v>239</v>
      </c>
      <c r="DL1425" s="58" t="s">
        <v>13671</v>
      </c>
    </row>
    <row r="1426" ht="15.75" customHeight="1">
      <c r="B1426" s="58" t="s">
        <v>4587</v>
      </c>
      <c r="C1426" s="58">
        <v>2024.0</v>
      </c>
      <c r="D1426" s="58" t="s">
        <v>13672</v>
      </c>
      <c r="E1426" s="58" t="s">
        <v>13673</v>
      </c>
      <c r="F1426" s="58" t="s">
        <v>13674</v>
      </c>
      <c r="I1426" s="58" t="s">
        <v>13675</v>
      </c>
      <c r="K1426" s="73">
        <v>45629.0</v>
      </c>
      <c r="Z1426" s="58" t="s">
        <v>239</v>
      </c>
      <c r="CH1426" s="58" t="s">
        <v>13676</v>
      </c>
      <c r="CI1426" s="73">
        <v>45629.0</v>
      </c>
      <c r="CJ1426" s="58">
        <v>630.0</v>
      </c>
      <c r="CK1426" s="58">
        <v>639.0</v>
      </c>
      <c r="CL1426" s="58" t="s">
        <v>13677</v>
      </c>
      <c r="CM1426" s="58" t="s">
        <v>13678</v>
      </c>
      <c r="CO1426" s="58" t="s">
        <v>13679</v>
      </c>
      <c r="CP1426" s="58" t="s">
        <v>13680</v>
      </c>
      <c r="CT1426" s="58">
        <v>20.0</v>
      </c>
      <c r="CU1426" s="58" t="s">
        <v>239</v>
      </c>
      <c r="DL1426" s="58" t="s">
        <v>13681</v>
      </c>
    </row>
    <row r="1427" ht="15.75" customHeight="1">
      <c r="B1427" s="58" t="s">
        <v>4587</v>
      </c>
      <c r="C1427" s="58">
        <v>2023.0</v>
      </c>
      <c r="E1427" s="58" t="s">
        <v>13682</v>
      </c>
      <c r="F1427" s="58" t="s">
        <v>11732</v>
      </c>
      <c r="H1427" s="58" t="s">
        <v>5003</v>
      </c>
      <c r="I1427" s="58" t="s">
        <v>13683</v>
      </c>
      <c r="K1427" s="73">
        <v>45348.0</v>
      </c>
      <c r="Z1427" s="58" t="s">
        <v>239</v>
      </c>
      <c r="CI1427" s="73">
        <v>45348.0</v>
      </c>
      <c r="CJ1427" s="58">
        <v>11.0</v>
      </c>
      <c r="CK1427" s="58">
        <v>212.0</v>
      </c>
      <c r="CL1427" s="58" t="s">
        <v>13684</v>
      </c>
      <c r="CM1427" s="58" t="s">
        <v>11736</v>
      </c>
      <c r="CO1427" s="58" t="s">
        <v>13685</v>
      </c>
      <c r="CU1427" s="58" t="s">
        <v>239</v>
      </c>
      <c r="DL1427" s="58" t="s">
        <v>13686</v>
      </c>
    </row>
    <row r="1428" ht="15.75" customHeight="1">
      <c r="B1428" s="58" t="s">
        <v>4587</v>
      </c>
      <c r="C1428" s="58">
        <v>2024.0</v>
      </c>
      <c r="D1428" s="58" t="s">
        <v>13687</v>
      </c>
      <c r="E1428" s="58" t="s">
        <v>13688</v>
      </c>
      <c r="F1428" s="58" t="s">
        <v>13689</v>
      </c>
      <c r="I1428" s="58" t="s">
        <v>13690</v>
      </c>
      <c r="K1428" s="73">
        <v>45390.0</v>
      </c>
      <c r="Z1428" s="58" t="s">
        <v>239</v>
      </c>
      <c r="CH1428" s="58" t="s">
        <v>13691</v>
      </c>
      <c r="CI1428" s="73">
        <v>45390.0</v>
      </c>
      <c r="CJ1428" s="58">
        <v>1260.0</v>
      </c>
      <c r="CK1428" s="58">
        <v>1266.0</v>
      </c>
      <c r="CL1428" s="58" t="s">
        <v>13692</v>
      </c>
      <c r="CM1428" s="58" t="s">
        <v>13693</v>
      </c>
      <c r="CO1428" s="58" t="s">
        <v>13694</v>
      </c>
      <c r="CP1428" s="58" t="s">
        <v>13695</v>
      </c>
      <c r="CT1428" s="58">
        <v>20.0</v>
      </c>
      <c r="CU1428" s="58" t="s">
        <v>239</v>
      </c>
      <c r="DL1428" s="58" t="s">
        <v>13696</v>
      </c>
    </row>
    <row r="1429" ht="15.75" customHeight="1">
      <c r="B1429" s="58" t="s">
        <v>4587</v>
      </c>
      <c r="C1429" s="58">
        <v>2024.0</v>
      </c>
      <c r="D1429" s="58" t="s">
        <v>13697</v>
      </c>
      <c r="E1429" s="58" t="s">
        <v>13698</v>
      </c>
      <c r="F1429" s="58" t="s">
        <v>13699</v>
      </c>
      <c r="H1429" s="58" t="s">
        <v>13700</v>
      </c>
      <c r="I1429" s="58" t="s">
        <v>13701</v>
      </c>
      <c r="K1429" s="73">
        <v>45630.0</v>
      </c>
      <c r="Z1429" s="58" t="s">
        <v>239</v>
      </c>
      <c r="CH1429" s="58" t="s">
        <v>13702</v>
      </c>
      <c r="CI1429" s="73">
        <v>45630.0</v>
      </c>
      <c r="CJ1429" s="58">
        <v>1.0</v>
      </c>
      <c r="CK1429" s="58">
        <v>7.0</v>
      </c>
      <c r="CL1429" s="58" t="s">
        <v>13703</v>
      </c>
      <c r="CM1429" s="58" t="s">
        <v>13704</v>
      </c>
      <c r="CO1429" s="58" t="s">
        <v>13705</v>
      </c>
      <c r="CP1429" s="58" t="s">
        <v>13706</v>
      </c>
      <c r="CT1429" s="58">
        <v>26.0</v>
      </c>
      <c r="CU1429" s="58" t="s">
        <v>239</v>
      </c>
      <c r="DL1429" s="58" t="s">
        <v>13707</v>
      </c>
    </row>
    <row r="1430" ht="15.75" customHeight="1">
      <c r="B1430" s="58" t="s">
        <v>4587</v>
      </c>
      <c r="C1430" s="58">
        <v>2023.0</v>
      </c>
      <c r="D1430" s="58" t="s">
        <v>13708</v>
      </c>
      <c r="E1430" s="58" t="s">
        <v>13709</v>
      </c>
      <c r="F1430" s="58" t="s">
        <v>13710</v>
      </c>
      <c r="H1430" s="58" t="s">
        <v>13711</v>
      </c>
      <c r="I1430" s="58" t="s">
        <v>13712</v>
      </c>
      <c r="K1430" s="73">
        <v>45236.0</v>
      </c>
      <c r="Z1430" s="58" t="s">
        <v>239</v>
      </c>
      <c r="CH1430" s="58" t="s">
        <v>13713</v>
      </c>
      <c r="CI1430" s="73">
        <v>45236.0</v>
      </c>
      <c r="CJ1430" s="58">
        <v>220.0</v>
      </c>
      <c r="CK1430" s="58">
        <v>225.0</v>
      </c>
      <c r="CL1430" s="58" t="s">
        <v>13714</v>
      </c>
      <c r="CM1430" s="58" t="s">
        <v>13715</v>
      </c>
      <c r="CN1430" s="58" t="s">
        <v>13716</v>
      </c>
      <c r="CO1430" s="58" t="s">
        <v>13717</v>
      </c>
      <c r="CP1430" s="58" t="s">
        <v>13718</v>
      </c>
      <c r="CT1430" s="58">
        <v>13.0</v>
      </c>
      <c r="CU1430" s="58" t="s">
        <v>239</v>
      </c>
      <c r="DL1430" s="58" t="s">
        <v>13719</v>
      </c>
    </row>
    <row r="1431" ht="15.75" customHeight="1">
      <c r="B1431" s="58" t="s">
        <v>4587</v>
      </c>
      <c r="C1431" s="58">
        <v>2023.0</v>
      </c>
      <c r="D1431" s="58" t="s">
        <v>13720</v>
      </c>
      <c r="E1431" s="58" t="s">
        <v>13721</v>
      </c>
      <c r="F1431" s="58" t="s">
        <v>13722</v>
      </c>
      <c r="I1431" s="58" t="s">
        <v>13723</v>
      </c>
      <c r="K1431" s="73">
        <v>45223.0</v>
      </c>
      <c r="Z1431" s="58" t="s">
        <v>239</v>
      </c>
      <c r="CH1431" s="58" t="s">
        <v>13724</v>
      </c>
      <c r="CI1431" s="73">
        <v>45223.0</v>
      </c>
      <c r="CJ1431" s="58">
        <v>20.0</v>
      </c>
      <c r="CK1431" s="58">
        <v>24.0</v>
      </c>
      <c r="CL1431" s="58" t="s">
        <v>13725</v>
      </c>
      <c r="CM1431" s="58" t="s">
        <v>13726</v>
      </c>
      <c r="CO1431" s="58" t="s">
        <v>13727</v>
      </c>
      <c r="CP1431" s="58" t="s">
        <v>13728</v>
      </c>
      <c r="CT1431" s="58">
        <v>24.0</v>
      </c>
      <c r="CU1431" s="58" t="s">
        <v>239</v>
      </c>
      <c r="DL1431" s="58" t="s">
        <v>13729</v>
      </c>
    </row>
    <row r="1432" ht="15.75" customHeight="1">
      <c r="B1432" s="58" t="s">
        <v>4587</v>
      </c>
      <c r="C1432" s="58">
        <v>2025.0</v>
      </c>
      <c r="D1432" s="58" t="s">
        <v>13730</v>
      </c>
      <c r="E1432" s="58" t="s">
        <v>13731</v>
      </c>
      <c r="F1432" s="58" t="s">
        <v>13732</v>
      </c>
      <c r="I1432" s="58" t="s">
        <v>13733</v>
      </c>
      <c r="K1432" s="73">
        <v>45708.0</v>
      </c>
      <c r="Z1432" s="58" t="s">
        <v>239</v>
      </c>
      <c r="CH1432" s="58" t="s">
        <v>13734</v>
      </c>
      <c r="CI1432" s="73">
        <v>45708.0</v>
      </c>
      <c r="CJ1432" s="58">
        <v>273.0</v>
      </c>
      <c r="CK1432" s="58">
        <v>279.0</v>
      </c>
      <c r="CL1432" s="58" t="s">
        <v>13735</v>
      </c>
      <c r="CM1432" s="58" t="s">
        <v>13736</v>
      </c>
      <c r="CO1432" s="58" t="s">
        <v>13737</v>
      </c>
      <c r="CP1432" s="58" t="s">
        <v>13738</v>
      </c>
      <c r="CT1432" s="58">
        <v>18.0</v>
      </c>
      <c r="CU1432" s="58" t="s">
        <v>239</v>
      </c>
      <c r="DL1432" s="58" t="s">
        <v>13739</v>
      </c>
    </row>
    <row r="1433" ht="15.75" customHeight="1">
      <c r="B1433" s="58" t="s">
        <v>4587</v>
      </c>
      <c r="C1433" s="58">
        <v>2024.0</v>
      </c>
      <c r="D1433" s="58" t="s">
        <v>13740</v>
      </c>
      <c r="E1433" s="58" t="s">
        <v>13741</v>
      </c>
      <c r="F1433" s="58" t="s">
        <v>12672</v>
      </c>
      <c r="H1433" s="58" t="s">
        <v>5351</v>
      </c>
      <c r="I1433" s="58" t="s">
        <v>13742</v>
      </c>
      <c r="K1433" s="73">
        <v>45596.0</v>
      </c>
      <c r="Z1433" s="58" t="s">
        <v>239</v>
      </c>
      <c r="CH1433" s="58" t="s">
        <v>13743</v>
      </c>
      <c r="CI1433" s="73">
        <v>45596.0</v>
      </c>
      <c r="CJ1433" s="58">
        <v>1.0</v>
      </c>
      <c r="CK1433" s="58">
        <v>7.0</v>
      </c>
      <c r="CL1433" s="58" t="s">
        <v>13744</v>
      </c>
      <c r="CM1433" s="58" t="s">
        <v>12676</v>
      </c>
      <c r="CO1433" s="58" t="s">
        <v>13745</v>
      </c>
      <c r="CP1433" s="58" t="s">
        <v>13746</v>
      </c>
      <c r="CT1433" s="58">
        <v>35.0</v>
      </c>
      <c r="CU1433" s="58" t="s">
        <v>239</v>
      </c>
      <c r="DL1433" s="58" t="s">
        <v>13747</v>
      </c>
    </row>
    <row r="1434" ht="15.75" customHeight="1">
      <c r="B1434" s="58" t="s">
        <v>4587</v>
      </c>
      <c r="C1434" s="58">
        <v>2024.0</v>
      </c>
      <c r="D1434" s="58" t="s">
        <v>13748</v>
      </c>
      <c r="E1434" s="58" t="s">
        <v>13749</v>
      </c>
      <c r="F1434" s="58" t="s">
        <v>13750</v>
      </c>
      <c r="H1434" s="58" t="s">
        <v>13751</v>
      </c>
      <c r="I1434" s="58" t="s">
        <v>13752</v>
      </c>
      <c r="K1434" s="73">
        <v>45553.0</v>
      </c>
      <c r="Z1434" s="58" t="s">
        <v>239</v>
      </c>
      <c r="CH1434" s="58" t="s">
        <v>13753</v>
      </c>
      <c r="CI1434" s="73">
        <v>45553.0</v>
      </c>
      <c r="CJ1434" s="58">
        <v>1064.0</v>
      </c>
      <c r="CK1434" s="58">
        <v>1069.0</v>
      </c>
      <c r="CL1434" s="58" t="s">
        <v>13754</v>
      </c>
      <c r="CM1434" s="58" t="s">
        <v>13755</v>
      </c>
      <c r="CO1434" s="58" t="s">
        <v>13756</v>
      </c>
      <c r="CP1434" s="58" t="s">
        <v>13757</v>
      </c>
      <c r="CT1434" s="58">
        <v>15.0</v>
      </c>
      <c r="CU1434" s="58" t="s">
        <v>239</v>
      </c>
      <c r="DL1434" s="58" t="s">
        <v>13758</v>
      </c>
    </row>
    <row r="1435" ht="15.75" customHeight="1">
      <c r="B1435" s="58" t="s">
        <v>4587</v>
      </c>
      <c r="C1435" s="58">
        <v>2024.0</v>
      </c>
      <c r="D1435" s="58" t="s">
        <v>13759</v>
      </c>
      <c r="E1435" s="58" t="s">
        <v>13760</v>
      </c>
      <c r="F1435" s="58" t="s">
        <v>13761</v>
      </c>
      <c r="I1435" s="58" t="s">
        <v>13762</v>
      </c>
      <c r="K1435" s="73">
        <v>45636.0</v>
      </c>
      <c r="Z1435" s="58" t="s">
        <v>239</v>
      </c>
      <c r="CH1435" s="58" t="s">
        <v>13763</v>
      </c>
      <c r="CI1435" s="73">
        <v>45636.0</v>
      </c>
      <c r="CJ1435" s="58">
        <v>1.0</v>
      </c>
      <c r="CK1435" s="58">
        <v>6.0</v>
      </c>
      <c r="CL1435" s="58" t="s">
        <v>13764</v>
      </c>
      <c r="CM1435" s="58" t="s">
        <v>13765</v>
      </c>
      <c r="CO1435" s="58" t="s">
        <v>13766</v>
      </c>
      <c r="CP1435" s="58" t="s">
        <v>13767</v>
      </c>
      <c r="CT1435" s="58">
        <v>12.0</v>
      </c>
      <c r="CU1435" s="58" t="s">
        <v>239</v>
      </c>
      <c r="DL1435" s="58" t="s">
        <v>13768</v>
      </c>
    </row>
    <row r="1436" ht="15.75" customHeight="1">
      <c r="B1436" s="58" t="s">
        <v>4587</v>
      </c>
      <c r="C1436" s="58">
        <v>2024.0</v>
      </c>
      <c r="D1436" s="58" t="s">
        <v>13769</v>
      </c>
      <c r="E1436" s="58" t="s">
        <v>13770</v>
      </c>
      <c r="F1436" s="58" t="s">
        <v>13771</v>
      </c>
      <c r="I1436" s="58" t="s">
        <v>13772</v>
      </c>
      <c r="K1436" s="73">
        <v>45645.0</v>
      </c>
      <c r="Z1436" s="58" t="s">
        <v>239</v>
      </c>
      <c r="CH1436" s="58" t="s">
        <v>13773</v>
      </c>
      <c r="CI1436" s="73">
        <v>45645.0</v>
      </c>
      <c r="CJ1436" s="58">
        <v>156.0</v>
      </c>
      <c r="CK1436" s="58">
        <v>161.0</v>
      </c>
      <c r="CL1436" s="58" t="s">
        <v>13774</v>
      </c>
      <c r="CM1436" s="58" t="s">
        <v>13775</v>
      </c>
      <c r="CO1436" s="58" t="s">
        <v>13776</v>
      </c>
      <c r="CP1436" s="58" t="s">
        <v>13777</v>
      </c>
      <c r="CT1436" s="58">
        <v>24.0</v>
      </c>
      <c r="CU1436" s="58" t="s">
        <v>239</v>
      </c>
      <c r="DL1436" s="58" t="s">
        <v>13778</v>
      </c>
    </row>
    <row r="1437" ht="15.75" customHeight="1">
      <c r="B1437" s="58" t="s">
        <v>4587</v>
      </c>
      <c r="C1437" s="58">
        <v>2024.0</v>
      </c>
      <c r="D1437" s="58" t="s">
        <v>13779</v>
      </c>
      <c r="E1437" s="58" t="s">
        <v>13780</v>
      </c>
      <c r="F1437" s="58" t="s">
        <v>13674</v>
      </c>
      <c r="I1437" s="58" t="s">
        <v>13781</v>
      </c>
      <c r="K1437" s="73">
        <v>45629.0</v>
      </c>
      <c r="Z1437" s="58" t="s">
        <v>239</v>
      </c>
      <c r="CH1437" s="58" t="s">
        <v>13782</v>
      </c>
      <c r="CI1437" s="73">
        <v>45629.0</v>
      </c>
      <c r="CJ1437" s="58">
        <v>1727.0</v>
      </c>
      <c r="CK1437" s="58">
        <v>1735.0</v>
      </c>
      <c r="CL1437" s="58" t="s">
        <v>13783</v>
      </c>
      <c r="CM1437" s="58" t="s">
        <v>13678</v>
      </c>
      <c r="CO1437" s="58" t="s">
        <v>13784</v>
      </c>
      <c r="CP1437" s="58" t="s">
        <v>13785</v>
      </c>
      <c r="CT1437" s="58">
        <v>43.0</v>
      </c>
      <c r="CU1437" s="58" t="s">
        <v>239</v>
      </c>
      <c r="DL1437" s="58" t="s">
        <v>13786</v>
      </c>
    </row>
    <row r="1438" ht="15.75" customHeight="1">
      <c r="B1438" s="58" t="s">
        <v>4587</v>
      </c>
      <c r="C1438" s="58">
        <v>2024.0</v>
      </c>
      <c r="D1438" s="58" t="s">
        <v>13787</v>
      </c>
      <c r="E1438" s="58" t="s">
        <v>13788</v>
      </c>
      <c r="F1438" s="58" t="s">
        <v>13789</v>
      </c>
      <c r="H1438" s="58" t="s">
        <v>13790</v>
      </c>
      <c r="I1438" s="58" t="s">
        <v>13791</v>
      </c>
      <c r="K1438" s="73">
        <v>45450.0</v>
      </c>
      <c r="Z1438" s="58" t="s">
        <v>239</v>
      </c>
      <c r="CH1438" s="58" t="s">
        <v>13792</v>
      </c>
      <c r="CI1438" s="73">
        <v>45450.0</v>
      </c>
      <c r="CJ1438" s="58">
        <v>1824.0</v>
      </c>
      <c r="CK1438" s="58">
        <v>1829.0</v>
      </c>
      <c r="CL1438" s="58" t="s">
        <v>13793</v>
      </c>
      <c r="CM1438" s="58" t="s">
        <v>13794</v>
      </c>
      <c r="CO1438" s="58" t="s">
        <v>13795</v>
      </c>
      <c r="CP1438" s="58" t="s">
        <v>13796</v>
      </c>
      <c r="CT1438" s="58">
        <v>15.0</v>
      </c>
      <c r="CU1438" s="58" t="s">
        <v>239</v>
      </c>
      <c r="DL1438" s="58" t="s">
        <v>13797</v>
      </c>
    </row>
    <row r="1439" ht="15.75" customHeight="1">
      <c r="B1439" s="58" t="s">
        <v>4587</v>
      </c>
      <c r="C1439" s="58">
        <v>2023.0</v>
      </c>
      <c r="D1439" s="58" t="s">
        <v>13798</v>
      </c>
      <c r="E1439" s="58" t="s">
        <v>13799</v>
      </c>
      <c r="F1439" s="58" t="s">
        <v>13800</v>
      </c>
      <c r="I1439" s="58" t="s">
        <v>13801</v>
      </c>
      <c r="K1439" s="73">
        <v>45314.0</v>
      </c>
      <c r="Z1439" s="58" t="s">
        <v>239</v>
      </c>
      <c r="CH1439" s="58" t="s">
        <v>13802</v>
      </c>
      <c r="CI1439" s="73">
        <v>45314.0</v>
      </c>
      <c r="CJ1439" s="58">
        <v>158.0</v>
      </c>
      <c r="CK1439" s="58">
        <v>162.0</v>
      </c>
      <c r="CL1439" s="58" t="s">
        <v>13803</v>
      </c>
      <c r="CM1439" s="58" t="s">
        <v>13804</v>
      </c>
      <c r="CO1439" s="58" t="s">
        <v>13805</v>
      </c>
      <c r="CP1439" s="58" t="s">
        <v>13806</v>
      </c>
      <c r="CT1439" s="58">
        <v>22.0</v>
      </c>
      <c r="CU1439" s="58" t="s">
        <v>239</v>
      </c>
      <c r="DL1439" s="58" t="s">
        <v>13807</v>
      </c>
    </row>
    <row r="1440" ht="15.75" customHeight="1">
      <c r="B1440" s="58" t="s">
        <v>4587</v>
      </c>
      <c r="C1440" s="58">
        <v>2024.0</v>
      </c>
      <c r="D1440" s="58" t="s">
        <v>13808</v>
      </c>
      <c r="E1440" s="58" t="s">
        <v>13809</v>
      </c>
      <c r="F1440" s="58" t="s">
        <v>13810</v>
      </c>
      <c r="H1440" s="58" t="s">
        <v>13811</v>
      </c>
      <c r="I1440" s="58" t="s">
        <v>13812</v>
      </c>
      <c r="K1440" s="73">
        <v>45600.0</v>
      </c>
      <c r="Z1440" s="58" t="s">
        <v>239</v>
      </c>
      <c r="CH1440" s="58" t="s">
        <v>13813</v>
      </c>
      <c r="CI1440" s="73">
        <v>45600.0</v>
      </c>
      <c r="CJ1440" s="58">
        <v>1.0</v>
      </c>
      <c r="CK1440" s="58">
        <v>6.0</v>
      </c>
      <c r="CL1440" s="58" t="s">
        <v>13814</v>
      </c>
      <c r="CM1440" s="58" t="s">
        <v>13815</v>
      </c>
      <c r="CO1440" s="58" t="s">
        <v>13816</v>
      </c>
      <c r="CP1440" s="58" t="s">
        <v>13817</v>
      </c>
      <c r="CT1440" s="58">
        <v>16.0</v>
      </c>
      <c r="CU1440" s="58" t="s">
        <v>239</v>
      </c>
      <c r="DL1440" s="58" t="s">
        <v>13818</v>
      </c>
    </row>
    <row r="1441" ht="15.75" customHeight="1">
      <c r="B1441" s="58" t="s">
        <v>4587</v>
      </c>
      <c r="C1441" s="58">
        <v>2024.0</v>
      </c>
      <c r="D1441" s="58" t="s">
        <v>13819</v>
      </c>
      <c r="E1441" s="58" t="s">
        <v>13820</v>
      </c>
      <c r="F1441" s="58" t="s">
        <v>13821</v>
      </c>
      <c r="H1441" s="58" t="s">
        <v>13822</v>
      </c>
      <c r="I1441" s="58" t="s">
        <v>13823</v>
      </c>
      <c r="K1441" s="73">
        <v>45559.0</v>
      </c>
      <c r="Z1441" s="58" t="s">
        <v>239</v>
      </c>
      <c r="CH1441" s="58" t="s">
        <v>13824</v>
      </c>
      <c r="CI1441" s="73">
        <v>45559.0</v>
      </c>
      <c r="CJ1441" s="58">
        <v>1.0</v>
      </c>
      <c r="CK1441" s="58">
        <v>6.0</v>
      </c>
      <c r="CL1441" s="58" t="s">
        <v>13825</v>
      </c>
      <c r="CM1441" s="58" t="s">
        <v>13826</v>
      </c>
      <c r="CN1441" s="58" t="s">
        <v>13827</v>
      </c>
      <c r="CO1441" s="58" t="s">
        <v>13828</v>
      </c>
      <c r="CP1441" s="58" t="s">
        <v>13829</v>
      </c>
      <c r="CT1441" s="58">
        <v>36.0</v>
      </c>
      <c r="CU1441" s="58" t="s">
        <v>239</v>
      </c>
      <c r="DL1441" s="58" t="s">
        <v>13830</v>
      </c>
    </row>
    <row r="1442" ht="15.75" customHeight="1">
      <c r="B1442" s="58" t="s">
        <v>4587</v>
      </c>
      <c r="C1442" s="58">
        <v>2024.0</v>
      </c>
      <c r="D1442" s="58" t="s">
        <v>13831</v>
      </c>
      <c r="E1442" s="58" t="s">
        <v>13832</v>
      </c>
      <c r="F1442" s="58" t="s">
        <v>13833</v>
      </c>
      <c r="H1442" s="58" t="s">
        <v>13834</v>
      </c>
      <c r="I1442" s="58" t="s">
        <v>13835</v>
      </c>
      <c r="K1442" s="73">
        <v>45644.0</v>
      </c>
      <c r="Z1442" s="58" t="s">
        <v>239</v>
      </c>
      <c r="CH1442" s="58" t="s">
        <v>13836</v>
      </c>
      <c r="CI1442" s="73">
        <v>45644.0</v>
      </c>
      <c r="CJ1442" s="58">
        <v>1.0</v>
      </c>
      <c r="CK1442" s="58">
        <v>9.0</v>
      </c>
      <c r="CL1442" s="58" t="s">
        <v>13837</v>
      </c>
      <c r="CM1442" s="58" t="s">
        <v>13838</v>
      </c>
      <c r="CO1442" s="58" t="s">
        <v>13839</v>
      </c>
      <c r="CP1442" s="58" t="s">
        <v>13840</v>
      </c>
      <c r="CT1442" s="58">
        <v>32.0</v>
      </c>
      <c r="CU1442" s="58" t="s">
        <v>239</v>
      </c>
      <c r="DL1442" s="58" t="s">
        <v>13841</v>
      </c>
    </row>
    <row r="1443" ht="15.75" customHeight="1">
      <c r="B1443" s="58" t="s">
        <v>4587</v>
      </c>
      <c r="C1443" s="58">
        <v>2024.0</v>
      </c>
      <c r="D1443" s="58" t="s">
        <v>13842</v>
      </c>
      <c r="E1443" s="58" t="s">
        <v>13843</v>
      </c>
      <c r="F1443" s="58" t="s">
        <v>12522</v>
      </c>
      <c r="H1443" s="58" t="s">
        <v>4600</v>
      </c>
      <c r="I1443" s="58" t="s">
        <v>13844</v>
      </c>
      <c r="K1443" s="73">
        <v>45532.0</v>
      </c>
      <c r="Z1443" s="58" t="s">
        <v>239</v>
      </c>
      <c r="CH1443" s="58" t="s">
        <v>13845</v>
      </c>
      <c r="CI1443" s="73">
        <v>45532.0</v>
      </c>
      <c r="CJ1443" s="58">
        <v>468.0</v>
      </c>
      <c r="CK1443" s="58">
        <v>474.0</v>
      </c>
      <c r="CL1443" s="58" t="s">
        <v>13846</v>
      </c>
      <c r="CM1443" s="58" t="s">
        <v>12526</v>
      </c>
      <c r="CO1443" s="58" t="s">
        <v>13847</v>
      </c>
      <c r="CP1443" s="58" t="s">
        <v>13848</v>
      </c>
      <c r="CT1443" s="58">
        <v>23.0</v>
      </c>
      <c r="CU1443" s="58" t="s">
        <v>239</v>
      </c>
      <c r="DL1443" s="58" t="s">
        <v>13849</v>
      </c>
    </row>
    <row r="1444" ht="15.75" customHeight="1">
      <c r="B1444" s="58" t="s">
        <v>4587</v>
      </c>
      <c r="C1444" s="58">
        <v>2024.0</v>
      </c>
      <c r="D1444" s="58" t="s">
        <v>13850</v>
      </c>
      <c r="E1444" s="58" t="s">
        <v>13851</v>
      </c>
      <c r="F1444" s="58" t="s">
        <v>13852</v>
      </c>
      <c r="I1444" s="58" t="s">
        <v>13853</v>
      </c>
      <c r="K1444" s="73">
        <v>45589.0</v>
      </c>
      <c r="Z1444" s="58" t="s">
        <v>239</v>
      </c>
      <c r="CH1444" s="58" t="s">
        <v>13854</v>
      </c>
      <c r="CI1444" s="73">
        <v>45589.0</v>
      </c>
      <c r="CJ1444" s="58">
        <v>647.0</v>
      </c>
      <c r="CK1444" s="58">
        <v>651.0</v>
      </c>
      <c r="CL1444" s="58" t="s">
        <v>13855</v>
      </c>
      <c r="CM1444" s="58" t="s">
        <v>13856</v>
      </c>
      <c r="CO1444" s="58" t="s">
        <v>13857</v>
      </c>
      <c r="CP1444" s="58" t="s">
        <v>13858</v>
      </c>
      <c r="CT1444" s="58">
        <v>15.0</v>
      </c>
      <c r="CU1444" s="58" t="s">
        <v>239</v>
      </c>
      <c r="DL1444" s="58" t="s">
        <v>13859</v>
      </c>
    </row>
    <row r="1445" ht="15.75" customHeight="1">
      <c r="B1445" s="58" t="s">
        <v>4587</v>
      </c>
      <c r="C1445" s="58">
        <v>2023.0</v>
      </c>
      <c r="D1445" s="58" t="s">
        <v>13860</v>
      </c>
      <c r="E1445" s="58" t="s">
        <v>13861</v>
      </c>
      <c r="F1445" s="58" t="s">
        <v>13862</v>
      </c>
      <c r="I1445" s="58" t="s">
        <v>13863</v>
      </c>
      <c r="K1445" s="73">
        <v>45397.0</v>
      </c>
      <c r="Z1445" s="58" t="s">
        <v>239</v>
      </c>
      <c r="CH1445" s="58" t="s">
        <v>13864</v>
      </c>
      <c r="CI1445" s="73">
        <v>45397.0</v>
      </c>
      <c r="CJ1445" s="58">
        <v>1007.0</v>
      </c>
      <c r="CK1445" s="58">
        <v>1015.0</v>
      </c>
      <c r="CL1445" s="58" t="s">
        <v>13865</v>
      </c>
      <c r="CM1445" s="58" t="s">
        <v>13866</v>
      </c>
      <c r="CO1445" s="58" t="s">
        <v>13867</v>
      </c>
      <c r="CP1445" s="58" t="s">
        <v>13868</v>
      </c>
      <c r="CT1445" s="58">
        <v>21.0</v>
      </c>
      <c r="CU1445" s="58" t="s">
        <v>239</v>
      </c>
      <c r="DL1445" s="58" t="s">
        <v>13869</v>
      </c>
    </row>
    <row r="1446" ht="15.75" customHeight="1">
      <c r="B1446" s="58" t="s">
        <v>4587</v>
      </c>
      <c r="C1446" s="58">
        <v>2024.0</v>
      </c>
      <c r="D1446" s="58" t="s">
        <v>13870</v>
      </c>
      <c r="E1446" s="58" t="s">
        <v>13871</v>
      </c>
      <c r="F1446" s="58" t="s">
        <v>13201</v>
      </c>
      <c r="H1446" s="58" t="s">
        <v>13202</v>
      </c>
      <c r="I1446" s="58" t="s">
        <v>13872</v>
      </c>
      <c r="K1446" s="73">
        <v>45629.0</v>
      </c>
      <c r="Z1446" s="58" t="s">
        <v>239</v>
      </c>
      <c r="CH1446" s="58" t="s">
        <v>13873</v>
      </c>
      <c r="CI1446" s="73">
        <v>45629.0</v>
      </c>
      <c r="CJ1446" s="58">
        <v>1397.0</v>
      </c>
      <c r="CK1446" s="58">
        <v>1412.0</v>
      </c>
      <c r="CL1446" s="58" t="s">
        <v>13874</v>
      </c>
      <c r="CM1446" s="58" t="s">
        <v>13206</v>
      </c>
      <c r="CN1446" s="58" t="s">
        <v>13875</v>
      </c>
      <c r="CO1446" s="58" t="s">
        <v>13876</v>
      </c>
      <c r="CP1446" s="58" t="s">
        <v>13877</v>
      </c>
      <c r="CT1446" s="58">
        <v>91.0</v>
      </c>
      <c r="CU1446" s="58" t="s">
        <v>239</v>
      </c>
      <c r="DL1446" s="58" t="s">
        <v>13878</v>
      </c>
    </row>
    <row r="1447" ht="15.75" customHeight="1">
      <c r="B1447" s="58" t="s">
        <v>4587</v>
      </c>
      <c r="C1447" s="58">
        <v>2024.0</v>
      </c>
      <c r="D1447" s="58" t="s">
        <v>13879</v>
      </c>
      <c r="E1447" s="58" t="s">
        <v>13880</v>
      </c>
      <c r="F1447" s="58" t="s">
        <v>12594</v>
      </c>
      <c r="H1447" s="58" t="s">
        <v>6638</v>
      </c>
      <c r="I1447" s="58" t="s">
        <v>13881</v>
      </c>
      <c r="K1447" s="73">
        <v>45524.0</v>
      </c>
      <c r="Z1447" s="58" t="s">
        <v>239</v>
      </c>
      <c r="CH1447" s="58" t="s">
        <v>13882</v>
      </c>
      <c r="CI1447" s="73">
        <v>45524.0</v>
      </c>
      <c r="CJ1447" s="58">
        <v>2913.0</v>
      </c>
      <c r="CK1447" s="58">
        <v>2918.0</v>
      </c>
      <c r="CL1447" s="58" t="s">
        <v>13883</v>
      </c>
      <c r="CM1447" s="58" t="s">
        <v>12598</v>
      </c>
      <c r="CN1447" s="58" t="s">
        <v>13884</v>
      </c>
      <c r="CO1447" s="58" t="s">
        <v>13885</v>
      </c>
      <c r="CP1447" s="58" t="s">
        <v>13886</v>
      </c>
      <c r="CT1447" s="58">
        <v>40.0</v>
      </c>
      <c r="CU1447" s="58" t="s">
        <v>239</v>
      </c>
      <c r="DL1447" s="58" t="s">
        <v>13887</v>
      </c>
    </row>
    <row r="1448" ht="15.75" customHeight="1">
      <c r="B1448" s="58" t="s">
        <v>4587</v>
      </c>
      <c r="C1448" s="58">
        <v>2023.0</v>
      </c>
      <c r="D1448" s="58" t="s">
        <v>13888</v>
      </c>
      <c r="E1448" s="58" t="s">
        <v>13889</v>
      </c>
      <c r="F1448" s="58" t="s">
        <v>13007</v>
      </c>
      <c r="H1448" s="58" t="s">
        <v>6627</v>
      </c>
      <c r="I1448" s="58" t="s">
        <v>13890</v>
      </c>
      <c r="K1448" s="73">
        <v>45160.0</v>
      </c>
      <c r="Z1448" s="58" t="s">
        <v>239</v>
      </c>
      <c r="CH1448" s="58" t="s">
        <v>13891</v>
      </c>
      <c r="CI1448" s="73">
        <v>45160.0</v>
      </c>
      <c r="CJ1448" s="58">
        <v>340.0</v>
      </c>
      <c r="CK1448" s="58">
        <v>345.0</v>
      </c>
      <c r="CL1448" s="58" t="s">
        <v>13892</v>
      </c>
      <c r="CM1448" s="58" t="s">
        <v>13011</v>
      </c>
      <c r="CO1448" s="58" t="s">
        <v>13893</v>
      </c>
      <c r="CP1448" s="58" t="s">
        <v>13894</v>
      </c>
      <c r="CT1448" s="58">
        <v>37.0</v>
      </c>
      <c r="CU1448" s="58" t="s">
        <v>239</v>
      </c>
      <c r="DL1448" s="58" t="s">
        <v>13895</v>
      </c>
    </row>
    <row r="1449" ht="15.75" customHeight="1">
      <c r="B1449" s="58" t="s">
        <v>4587</v>
      </c>
      <c r="C1449" s="58">
        <v>2024.0</v>
      </c>
      <c r="D1449" s="58" t="s">
        <v>13896</v>
      </c>
      <c r="E1449" s="58" t="s">
        <v>13897</v>
      </c>
      <c r="F1449" s="58" t="s">
        <v>13898</v>
      </c>
      <c r="I1449" s="58" t="s">
        <v>13899</v>
      </c>
      <c r="K1449" s="73">
        <v>45651.0</v>
      </c>
      <c r="Z1449" s="58" t="s">
        <v>239</v>
      </c>
      <c r="CH1449" s="58" t="s">
        <v>13900</v>
      </c>
      <c r="CI1449" s="73">
        <v>45651.0</v>
      </c>
      <c r="CJ1449" s="58">
        <v>686.0</v>
      </c>
      <c r="CK1449" s="58">
        <v>690.0</v>
      </c>
      <c r="CL1449" s="58" t="s">
        <v>13901</v>
      </c>
      <c r="CM1449" s="58" t="s">
        <v>13902</v>
      </c>
      <c r="CO1449" s="58" t="s">
        <v>13903</v>
      </c>
      <c r="CP1449" s="58" t="s">
        <v>13904</v>
      </c>
      <c r="CT1449" s="58">
        <v>8.0</v>
      </c>
      <c r="CU1449" s="58" t="s">
        <v>239</v>
      </c>
      <c r="DL1449" s="58" t="s">
        <v>13905</v>
      </c>
    </row>
    <row r="1450" ht="15.75" customHeight="1">
      <c r="B1450" s="58" t="s">
        <v>9522</v>
      </c>
      <c r="C1450" s="58">
        <v>2023.0</v>
      </c>
      <c r="D1450" s="58" t="s">
        <v>13906</v>
      </c>
      <c r="E1450" s="58" t="s">
        <v>13907</v>
      </c>
      <c r="F1450" s="58" t="s">
        <v>13908</v>
      </c>
      <c r="I1450" s="58" t="s">
        <v>13909</v>
      </c>
      <c r="K1450" s="73">
        <v>45307.0</v>
      </c>
      <c r="R1450" s="58">
        <v>2023.0</v>
      </c>
      <c r="Z1450" s="58" t="s">
        <v>9527</v>
      </c>
      <c r="CH1450" s="58" t="s">
        <v>13910</v>
      </c>
      <c r="CI1450" s="73">
        <v>45307.0</v>
      </c>
      <c r="CJ1450" s="58">
        <v>88.0</v>
      </c>
      <c r="CK1450" s="58">
        <v>92.0</v>
      </c>
      <c r="CL1450" s="58" t="s">
        <v>13911</v>
      </c>
      <c r="CM1450" s="58" t="s">
        <v>13912</v>
      </c>
      <c r="CO1450" s="58" t="s">
        <v>13913</v>
      </c>
    </row>
    <row r="1451" ht="15.75" customHeight="1">
      <c r="B1451" s="58" t="s">
        <v>4587</v>
      </c>
      <c r="C1451" s="58">
        <v>2024.0</v>
      </c>
      <c r="D1451" s="58" t="s">
        <v>13914</v>
      </c>
      <c r="E1451" s="58" t="s">
        <v>13915</v>
      </c>
      <c r="F1451" s="58" t="s">
        <v>13916</v>
      </c>
      <c r="I1451" s="58" t="s">
        <v>13917</v>
      </c>
      <c r="K1451" s="73">
        <v>45729.0</v>
      </c>
      <c r="Z1451" s="58" t="s">
        <v>239</v>
      </c>
      <c r="CH1451" s="58" t="s">
        <v>13918</v>
      </c>
      <c r="CI1451" s="73">
        <v>45729.0</v>
      </c>
      <c r="CJ1451" s="58">
        <v>1.0</v>
      </c>
      <c r="CK1451" s="58">
        <v>9.0</v>
      </c>
      <c r="CL1451" s="58" t="s">
        <v>13919</v>
      </c>
      <c r="CM1451" s="58" t="s">
        <v>13920</v>
      </c>
      <c r="CO1451" s="58" t="s">
        <v>13921</v>
      </c>
      <c r="CP1451" s="58" t="s">
        <v>13922</v>
      </c>
      <c r="CT1451" s="58">
        <v>30.0</v>
      </c>
      <c r="CU1451" s="58" t="s">
        <v>239</v>
      </c>
      <c r="DL1451" s="58" t="s">
        <v>13923</v>
      </c>
    </row>
    <row r="1452" ht="15.75" customHeight="1">
      <c r="B1452" s="58" t="s">
        <v>4587</v>
      </c>
      <c r="C1452" s="58">
        <v>2023.0</v>
      </c>
      <c r="D1452" s="58" t="s">
        <v>13924</v>
      </c>
      <c r="E1452" s="58" t="s">
        <v>10418</v>
      </c>
      <c r="F1452" s="58" t="s">
        <v>11864</v>
      </c>
      <c r="H1452" s="58" t="s">
        <v>6726</v>
      </c>
      <c r="I1452" s="58" t="s">
        <v>13925</v>
      </c>
      <c r="K1452" s="73">
        <v>45425.0</v>
      </c>
      <c r="Z1452" s="58" t="s">
        <v>239</v>
      </c>
      <c r="CH1452" s="58" t="s">
        <v>13926</v>
      </c>
      <c r="CI1452" s="73">
        <v>45425.0</v>
      </c>
      <c r="CJ1452" s="58">
        <v>1.0</v>
      </c>
      <c r="CK1452" s="58">
        <v>68.0</v>
      </c>
      <c r="CL1452" s="58" t="s">
        <v>13927</v>
      </c>
      <c r="CM1452" s="58" t="s">
        <v>11868</v>
      </c>
      <c r="CO1452" s="58" t="s">
        <v>13928</v>
      </c>
      <c r="CT1452" s="58">
        <v>47.0</v>
      </c>
      <c r="CU1452" s="58" t="s">
        <v>239</v>
      </c>
      <c r="DL1452" s="58" t="s">
        <v>13929</v>
      </c>
    </row>
    <row r="1453" ht="15.75" customHeight="1">
      <c r="B1453" s="58" t="s">
        <v>4587</v>
      </c>
      <c r="C1453" s="58">
        <v>2023.0</v>
      </c>
      <c r="D1453" s="58" t="s">
        <v>13930</v>
      </c>
      <c r="E1453" s="58" t="s">
        <v>13931</v>
      </c>
      <c r="F1453" s="58" t="s">
        <v>12262</v>
      </c>
      <c r="H1453" s="58" t="s">
        <v>9205</v>
      </c>
      <c r="I1453" s="58" t="s">
        <v>13932</v>
      </c>
      <c r="K1453" s="73">
        <v>45377.0</v>
      </c>
      <c r="Z1453" s="58" t="s">
        <v>239</v>
      </c>
      <c r="CH1453" s="58" t="s">
        <v>13933</v>
      </c>
      <c r="CI1453" s="73">
        <v>45377.0</v>
      </c>
      <c r="CJ1453" s="58">
        <v>1099.0</v>
      </c>
      <c r="CK1453" s="58">
        <v>1106.0</v>
      </c>
      <c r="CL1453" s="58" t="s">
        <v>13934</v>
      </c>
      <c r="CM1453" s="58" t="s">
        <v>12266</v>
      </c>
      <c r="CN1453" s="58" t="s">
        <v>9079</v>
      </c>
      <c r="CO1453" s="58" t="s">
        <v>13935</v>
      </c>
      <c r="CP1453" s="58" t="s">
        <v>13936</v>
      </c>
      <c r="CT1453" s="58">
        <v>19.0</v>
      </c>
      <c r="CU1453" s="58" t="s">
        <v>239</v>
      </c>
      <c r="DL1453" s="58" t="s">
        <v>13937</v>
      </c>
    </row>
    <row r="1454" ht="15.75" customHeight="1">
      <c r="B1454" s="58" t="s">
        <v>4587</v>
      </c>
      <c r="C1454" s="58">
        <v>2023.0</v>
      </c>
      <c r="D1454" s="58" t="s">
        <v>13938</v>
      </c>
      <c r="E1454" s="58" t="s">
        <v>13939</v>
      </c>
      <c r="F1454" s="58" t="s">
        <v>13940</v>
      </c>
      <c r="I1454" s="58" t="s">
        <v>13941</v>
      </c>
      <c r="K1454" s="73">
        <v>45335.0</v>
      </c>
      <c r="Z1454" s="58" t="s">
        <v>239</v>
      </c>
      <c r="CH1454" s="58" t="s">
        <v>13942</v>
      </c>
      <c r="CI1454" s="73">
        <v>45335.0</v>
      </c>
      <c r="CJ1454" s="58">
        <v>145.0</v>
      </c>
      <c r="CK1454" s="58">
        <v>148.0</v>
      </c>
      <c r="CL1454" s="58" t="s">
        <v>13943</v>
      </c>
      <c r="CM1454" s="58" t="s">
        <v>13944</v>
      </c>
      <c r="CO1454" s="58" t="s">
        <v>13945</v>
      </c>
      <c r="CP1454" s="58" t="s">
        <v>13946</v>
      </c>
      <c r="CT1454" s="58">
        <v>12.0</v>
      </c>
      <c r="CU1454" s="58" t="s">
        <v>239</v>
      </c>
      <c r="DL1454" s="58" t="s">
        <v>13947</v>
      </c>
    </row>
    <row r="1455" ht="15.75" customHeight="1">
      <c r="B1455" s="58" t="s">
        <v>4587</v>
      </c>
      <c r="C1455" s="58">
        <v>2024.0</v>
      </c>
      <c r="D1455" s="58" t="s">
        <v>13948</v>
      </c>
      <c r="E1455" s="58" t="s">
        <v>13949</v>
      </c>
      <c r="F1455" s="58" t="s">
        <v>13950</v>
      </c>
      <c r="H1455" s="58" t="s">
        <v>13951</v>
      </c>
      <c r="I1455" s="58" t="s">
        <v>13952</v>
      </c>
      <c r="K1455" s="73">
        <v>45643.0</v>
      </c>
      <c r="Z1455" s="58" t="s">
        <v>239</v>
      </c>
      <c r="CH1455" s="58" t="s">
        <v>13953</v>
      </c>
      <c r="CI1455" s="73">
        <v>45643.0</v>
      </c>
      <c r="CJ1455" s="58">
        <v>1.0</v>
      </c>
      <c r="CK1455" s="58">
        <v>7.0</v>
      </c>
      <c r="CL1455" s="58" t="s">
        <v>13954</v>
      </c>
      <c r="CM1455" s="58" t="s">
        <v>13955</v>
      </c>
      <c r="CO1455" s="58" t="s">
        <v>13956</v>
      </c>
      <c r="CP1455" s="58" t="s">
        <v>13957</v>
      </c>
      <c r="CT1455" s="58">
        <v>42.0</v>
      </c>
      <c r="CU1455" s="58" t="s">
        <v>239</v>
      </c>
      <c r="DL1455" s="58" t="s">
        <v>13958</v>
      </c>
    </row>
    <row r="1456" ht="15.75" customHeight="1">
      <c r="B1456" s="58" t="s">
        <v>4587</v>
      </c>
      <c r="C1456" s="58">
        <v>2023.0</v>
      </c>
      <c r="D1456" s="58" t="s">
        <v>13959</v>
      </c>
      <c r="E1456" s="58" t="s">
        <v>13960</v>
      </c>
      <c r="F1456" s="58" t="s">
        <v>13961</v>
      </c>
      <c r="H1456" s="58" t="s">
        <v>9264</v>
      </c>
      <c r="I1456" s="58" t="s">
        <v>13962</v>
      </c>
      <c r="K1456" s="73">
        <v>45160.0</v>
      </c>
      <c r="Z1456" s="58" t="s">
        <v>239</v>
      </c>
      <c r="CH1456" s="58" t="s">
        <v>13963</v>
      </c>
      <c r="CI1456" s="73">
        <v>45160.0</v>
      </c>
      <c r="CJ1456" s="58">
        <v>990.0</v>
      </c>
      <c r="CK1456" s="58">
        <v>995.0</v>
      </c>
      <c r="CL1456" s="58" t="s">
        <v>13964</v>
      </c>
      <c r="CM1456" s="58" t="s">
        <v>13965</v>
      </c>
      <c r="CN1456" s="58" t="s">
        <v>12629</v>
      </c>
      <c r="CO1456" s="58" t="s">
        <v>13966</v>
      </c>
      <c r="CP1456" s="58" t="s">
        <v>13967</v>
      </c>
      <c r="CT1456" s="58">
        <v>9.0</v>
      </c>
      <c r="CU1456" s="58" t="s">
        <v>239</v>
      </c>
      <c r="DL1456" s="58" t="s">
        <v>13968</v>
      </c>
    </row>
    <row r="1457" ht="15.75" customHeight="1">
      <c r="B1457" s="58" t="s">
        <v>4587</v>
      </c>
      <c r="C1457" s="58">
        <v>2023.0</v>
      </c>
      <c r="D1457" s="58" t="s">
        <v>13969</v>
      </c>
      <c r="E1457" s="58" t="s">
        <v>13970</v>
      </c>
      <c r="F1457" s="58" t="s">
        <v>13971</v>
      </c>
      <c r="H1457" s="58" t="s">
        <v>13972</v>
      </c>
      <c r="I1457" s="58" t="s">
        <v>13973</v>
      </c>
      <c r="K1457" s="73">
        <v>45341.0</v>
      </c>
      <c r="Z1457" s="58" t="s">
        <v>239</v>
      </c>
      <c r="CH1457" s="58" t="s">
        <v>13974</v>
      </c>
      <c r="CI1457" s="73">
        <v>45341.0</v>
      </c>
      <c r="CJ1457" s="58">
        <v>235.0</v>
      </c>
      <c r="CK1457" s="58">
        <v>240.0</v>
      </c>
      <c r="CL1457" s="58" t="s">
        <v>13975</v>
      </c>
      <c r="CM1457" s="58" t="s">
        <v>13976</v>
      </c>
      <c r="CO1457" s="58" t="s">
        <v>13977</v>
      </c>
      <c r="CP1457" s="58" t="s">
        <v>13978</v>
      </c>
      <c r="CT1457" s="58">
        <v>24.0</v>
      </c>
      <c r="CU1457" s="58" t="s">
        <v>239</v>
      </c>
      <c r="DL1457" s="58" t="s">
        <v>13979</v>
      </c>
    </row>
    <row r="1458" ht="15.75" customHeight="1">
      <c r="B1458" s="58" t="s">
        <v>4587</v>
      </c>
      <c r="C1458" s="58">
        <v>2024.0</v>
      </c>
      <c r="D1458" s="58" t="s">
        <v>13980</v>
      </c>
      <c r="E1458" s="58" t="s">
        <v>13981</v>
      </c>
      <c r="F1458" s="58" t="s">
        <v>13982</v>
      </c>
      <c r="I1458" s="58" t="s">
        <v>13983</v>
      </c>
      <c r="K1458" s="73">
        <v>45692.0</v>
      </c>
      <c r="Z1458" s="58" t="s">
        <v>239</v>
      </c>
      <c r="CH1458" s="58" t="s">
        <v>13984</v>
      </c>
      <c r="CI1458" s="73">
        <v>45692.0</v>
      </c>
      <c r="CJ1458" s="58">
        <v>116.0</v>
      </c>
      <c r="CK1458" s="58">
        <v>121.0</v>
      </c>
      <c r="CL1458" s="58" t="s">
        <v>13985</v>
      </c>
      <c r="CM1458" s="58" t="s">
        <v>13986</v>
      </c>
      <c r="CO1458" s="58" t="s">
        <v>13987</v>
      </c>
      <c r="CP1458" s="58" t="s">
        <v>13988</v>
      </c>
      <c r="CT1458" s="58">
        <v>23.0</v>
      </c>
      <c r="CU1458" s="58" t="s">
        <v>239</v>
      </c>
      <c r="DL1458" s="58" t="s">
        <v>13989</v>
      </c>
    </row>
    <row r="1459" ht="15.75" customHeight="1">
      <c r="B1459" s="58" t="s">
        <v>4587</v>
      </c>
      <c r="C1459" s="58">
        <v>2023.0</v>
      </c>
      <c r="D1459" s="58" t="s">
        <v>13990</v>
      </c>
      <c r="E1459" s="58" t="s">
        <v>10006</v>
      </c>
      <c r="F1459" s="58" t="s">
        <v>11864</v>
      </c>
      <c r="H1459" s="58" t="s">
        <v>6726</v>
      </c>
      <c r="I1459" s="58" t="s">
        <v>13991</v>
      </c>
      <c r="K1459" s="73">
        <v>45425.0</v>
      </c>
      <c r="Z1459" s="58" t="s">
        <v>239</v>
      </c>
      <c r="CH1459" s="58" t="s">
        <v>13992</v>
      </c>
      <c r="CI1459" s="73">
        <v>45425.0</v>
      </c>
      <c r="CJ1459" s="58">
        <v>6.0</v>
      </c>
      <c r="CK1459" s="58">
        <v>87.0</v>
      </c>
      <c r="CL1459" s="58" t="s">
        <v>13993</v>
      </c>
      <c r="CM1459" s="58" t="s">
        <v>11868</v>
      </c>
      <c r="CO1459" s="58" t="s">
        <v>13994</v>
      </c>
      <c r="CP1459" s="58" t="s">
        <v>13995</v>
      </c>
      <c r="CT1459" s="58">
        <v>36.0</v>
      </c>
      <c r="CU1459" s="58" t="s">
        <v>239</v>
      </c>
      <c r="DL1459" s="58" t="s">
        <v>13996</v>
      </c>
    </row>
    <row r="1460" ht="15.75" customHeight="1">
      <c r="B1460" s="58" t="s">
        <v>4587</v>
      </c>
      <c r="C1460" s="58">
        <v>2023.0</v>
      </c>
      <c r="D1460" s="58" t="s">
        <v>13997</v>
      </c>
      <c r="E1460" s="58" t="s">
        <v>13998</v>
      </c>
      <c r="F1460" s="58" t="s">
        <v>13999</v>
      </c>
      <c r="H1460" s="58" t="s">
        <v>14000</v>
      </c>
      <c r="I1460" s="58" t="s">
        <v>14001</v>
      </c>
      <c r="K1460" s="73">
        <v>45070.0</v>
      </c>
      <c r="Z1460" s="58" t="s">
        <v>239</v>
      </c>
      <c r="CH1460" s="58" t="s">
        <v>14002</v>
      </c>
      <c r="CI1460" s="73">
        <v>45070.0</v>
      </c>
      <c r="CJ1460" s="58">
        <v>1.0</v>
      </c>
      <c r="CK1460" s="58">
        <v>7.0</v>
      </c>
      <c r="CL1460" s="58" t="s">
        <v>14003</v>
      </c>
      <c r="CM1460" s="58" t="s">
        <v>14004</v>
      </c>
      <c r="CO1460" s="58" t="s">
        <v>14005</v>
      </c>
      <c r="CP1460" s="58" t="s">
        <v>14006</v>
      </c>
      <c r="CT1460" s="58">
        <v>31.0</v>
      </c>
      <c r="CU1460" s="58" t="s">
        <v>239</v>
      </c>
      <c r="DL1460" s="58" t="s">
        <v>14007</v>
      </c>
    </row>
    <row r="1461" ht="15.75" customHeight="1">
      <c r="B1461" s="58" t="s">
        <v>4587</v>
      </c>
      <c r="C1461" s="58">
        <v>2024.0</v>
      </c>
      <c r="D1461" s="58" t="s">
        <v>14008</v>
      </c>
      <c r="E1461" s="58" t="s">
        <v>14009</v>
      </c>
      <c r="F1461" s="58" t="s">
        <v>14010</v>
      </c>
      <c r="H1461" s="58" t="s">
        <v>14011</v>
      </c>
      <c r="I1461" s="58" t="s">
        <v>14012</v>
      </c>
      <c r="K1461" s="73">
        <v>45523.0</v>
      </c>
      <c r="Z1461" s="58" t="s">
        <v>239</v>
      </c>
      <c r="CH1461" s="58" t="s">
        <v>14013</v>
      </c>
      <c r="CI1461" s="73">
        <v>45523.0</v>
      </c>
      <c r="CJ1461" s="58">
        <v>1.0</v>
      </c>
      <c r="CK1461" s="58">
        <v>10.0</v>
      </c>
      <c r="CL1461" s="58" t="s">
        <v>14014</v>
      </c>
      <c r="CM1461" s="58" t="s">
        <v>14015</v>
      </c>
      <c r="CN1461" s="58" t="s">
        <v>14016</v>
      </c>
      <c r="CO1461" s="58" t="s">
        <v>14017</v>
      </c>
      <c r="CP1461" s="58" t="s">
        <v>14018</v>
      </c>
      <c r="CT1461" s="58">
        <v>38.0</v>
      </c>
      <c r="CU1461" s="58" t="s">
        <v>239</v>
      </c>
      <c r="DL1461" s="58" t="s">
        <v>14019</v>
      </c>
    </row>
    <row r="1462" ht="15.75" customHeight="1">
      <c r="B1462" s="58" t="s">
        <v>4587</v>
      </c>
      <c r="C1462" s="58">
        <v>2024.0</v>
      </c>
      <c r="D1462" s="58" t="s">
        <v>14020</v>
      </c>
      <c r="E1462" s="58" t="s">
        <v>14021</v>
      </c>
      <c r="F1462" s="58" t="s">
        <v>14022</v>
      </c>
      <c r="I1462" s="58" t="s">
        <v>14023</v>
      </c>
      <c r="K1462" s="73">
        <v>45471.0</v>
      </c>
      <c r="Z1462" s="58" t="s">
        <v>239</v>
      </c>
      <c r="CH1462" s="58" t="s">
        <v>14024</v>
      </c>
      <c r="CI1462" s="73">
        <v>45471.0</v>
      </c>
      <c r="CJ1462" s="58">
        <v>1.0</v>
      </c>
      <c r="CK1462" s="58">
        <v>6.0</v>
      </c>
      <c r="CL1462" s="58" t="s">
        <v>14025</v>
      </c>
      <c r="CM1462" s="58" t="s">
        <v>14026</v>
      </c>
      <c r="CO1462" s="58" t="s">
        <v>14027</v>
      </c>
      <c r="CP1462" s="58" t="s">
        <v>14028</v>
      </c>
      <c r="CT1462" s="58">
        <v>11.0</v>
      </c>
      <c r="CU1462" s="58" t="s">
        <v>239</v>
      </c>
      <c r="DL1462" s="58" t="s">
        <v>14029</v>
      </c>
    </row>
    <row r="1463" ht="15.75" customHeight="1">
      <c r="B1463" s="58" t="s">
        <v>4587</v>
      </c>
      <c r="C1463" s="58">
        <v>2024.0</v>
      </c>
      <c r="D1463" s="58" t="s">
        <v>14030</v>
      </c>
      <c r="E1463" s="58" t="s">
        <v>14031</v>
      </c>
      <c r="F1463" s="58" t="s">
        <v>12468</v>
      </c>
      <c r="H1463" s="58" t="s">
        <v>4733</v>
      </c>
      <c r="I1463" s="58" t="s">
        <v>14032</v>
      </c>
      <c r="K1463" s="73">
        <v>45516.0</v>
      </c>
      <c r="Z1463" s="58" t="s">
        <v>239</v>
      </c>
      <c r="CH1463" s="58" t="s">
        <v>14033</v>
      </c>
      <c r="CI1463" s="73">
        <v>45516.0</v>
      </c>
      <c r="CJ1463" s="58">
        <v>1751.0</v>
      </c>
      <c r="CK1463" s="58">
        <v>1760.0</v>
      </c>
      <c r="CL1463" s="58" t="s">
        <v>14034</v>
      </c>
      <c r="CM1463" s="58" t="s">
        <v>12472</v>
      </c>
      <c r="CN1463" s="58" t="s">
        <v>9079</v>
      </c>
      <c r="CO1463" s="58" t="s">
        <v>14035</v>
      </c>
      <c r="CP1463" s="58" t="s">
        <v>14036</v>
      </c>
      <c r="CT1463" s="58">
        <v>34.0</v>
      </c>
      <c r="CU1463" s="58" t="s">
        <v>239</v>
      </c>
      <c r="DL1463" s="58" t="s">
        <v>14037</v>
      </c>
    </row>
    <row r="1464" ht="15.75" customHeight="1">
      <c r="B1464" s="58" t="s">
        <v>4587</v>
      </c>
      <c r="C1464" s="58">
        <v>2024.0</v>
      </c>
      <c r="D1464" s="58" t="s">
        <v>14038</v>
      </c>
      <c r="E1464" s="58" t="s">
        <v>14039</v>
      </c>
      <c r="F1464" s="58" t="s">
        <v>14040</v>
      </c>
      <c r="I1464" s="58" t="s">
        <v>14041</v>
      </c>
      <c r="K1464" s="73">
        <v>45709.0</v>
      </c>
      <c r="Z1464" s="58" t="s">
        <v>239</v>
      </c>
      <c r="CH1464" s="58" t="s">
        <v>14042</v>
      </c>
      <c r="CI1464" s="73">
        <v>45709.0</v>
      </c>
      <c r="CJ1464" s="58">
        <v>1.0</v>
      </c>
      <c r="CK1464" s="58">
        <v>6.0</v>
      </c>
      <c r="CL1464" s="58" t="s">
        <v>14043</v>
      </c>
      <c r="CM1464" s="58" t="s">
        <v>14044</v>
      </c>
      <c r="CO1464" s="58" t="s">
        <v>14045</v>
      </c>
      <c r="CP1464" s="58" t="s">
        <v>14046</v>
      </c>
      <c r="CT1464" s="58">
        <v>21.0</v>
      </c>
      <c r="CU1464" s="58" t="s">
        <v>239</v>
      </c>
      <c r="DL1464" s="58" t="s">
        <v>14047</v>
      </c>
    </row>
    <row r="1465" ht="15.75" customHeight="1">
      <c r="B1465" s="58" t="s">
        <v>4587</v>
      </c>
      <c r="C1465" s="58">
        <v>2023.0</v>
      </c>
      <c r="D1465" s="58" t="s">
        <v>14048</v>
      </c>
      <c r="E1465" s="58" t="s">
        <v>14049</v>
      </c>
      <c r="F1465" s="58" t="s">
        <v>14050</v>
      </c>
      <c r="I1465" s="58" t="s">
        <v>14051</v>
      </c>
      <c r="K1465" s="73">
        <v>45238.0</v>
      </c>
      <c r="Z1465" s="58" t="s">
        <v>239</v>
      </c>
      <c r="CH1465" s="58" t="s">
        <v>14052</v>
      </c>
      <c r="CI1465" s="73">
        <v>45238.0</v>
      </c>
      <c r="CJ1465" s="58">
        <v>769.0</v>
      </c>
      <c r="CK1465" s="58">
        <v>780.0</v>
      </c>
      <c r="CL1465" s="58" t="s">
        <v>14053</v>
      </c>
      <c r="CM1465" s="58" t="s">
        <v>14054</v>
      </c>
      <c r="CO1465" s="58" t="s">
        <v>14055</v>
      </c>
      <c r="CP1465" s="58" t="s">
        <v>14056</v>
      </c>
      <c r="CT1465" s="58">
        <v>28.0</v>
      </c>
      <c r="DL1465" s="58" t="s">
        <v>14057</v>
      </c>
    </row>
    <row r="1466" ht="15.75" customHeight="1">
      <c r="B1466" s="58" t="s">
        <v>4587</v>
      </c>
      <c r="C1466" s="58">
        <v>2024.0</v>
      </c>
      <c r="D1466" s="58" t="s">
        <v>14058</v>
      </c>
      <c r="E1466" s="58" t="s">
        <v>14059</v>
      </c>
      <c r="F1466" s="58" t="s">
        <v>12843</v>
      </c>
      <c r="H1466" s="58" t="s">
        <v>11943</v>
      </c>
      <c r="I1466" s="58" t="s">
        <v>14060</v>
      </c>
      <c r="K1466" s="73">
        <v>45504.0</v>
      </c>
      <c r="Z1466" s="58" t="s">
        <v>239</v>
      </c>
      <c r="CH1466" s="58" t="s">
        <v>14061</v>
      </c>
      <c r="CI1466" s="73">
        <v>45504.0</v>
      </c>
      <c r="CJ1466" s="58">
        <v>1.0</v>
      </c>
      <c r="CK1466" s="58">
        <v>6.0</v>
      </c>
      <c r="CL1466" s="58" t="s">
        <v>14062</v>
      </c>
      <c r="CM1466" s="58" t="s">
        <v>12847</v>
      </c>
      <c r="CO1466" s="58" t="s">
        <v>14063</v>
      </c>
      <c r="CP1466" s="58" t="s">
        <v>14064</v>
      </c>
      <c r="CT1466" s="58">
        <v>25.0</v>
      </c>
      <c r="CU1466" s="58" t="s">
        <v>239</v>
      </c>
      <c r="DL1466" s="58" t="s">
        <v>14065</v>
      </c>
    </row>
    <row r="1467" ht="15.75" customHeight="1">
      <c r="B1467" s="58" t="s">
        <v>4587</v>
      </c>
      <c r="C1467" s="58">
        <v>2023.0</v>
      </c>
      <c r="D1467" s="58" t="s">
        <v>14066</v>
      </c>
      <c r="E1467" s="58" t="s">
        <v>14067</v>
      </c>
      <c r="F1467" s="58" t="s">
        <v>11551</v>
      </c>
      <c r="H1467" s="58" t="s">
        <v>5264</v>
      </c>
      <c r="I1467" s="58" t="s">
        <v>14068</v>
      </c>
      <c r="K1467" s="73">
        <v>45098.0</v>
      </c>
      <c r="Z1467" s="58" t="s">
        <v>239</v>
      </c>
      <c r="CH1467" s="58" t="s">
        <v>14069</v>
      </c>
      <c r="CI1467" s="73">
        <v>45098.0</v>
      </c>
      <c r="CJ1467" s="58">
        <v>1.0</v>
      </c>
      <c r="CK1467" s="58">
        <v>6.0</v>
      </c>
      <c r="CL1467" s="58" t="s">
        <v>14070</v>
      </c>
      <c r="CM1467" s="58" t="s">
        <v>11555</v>
      </c>
      <c r="CO1467" s="58" t="s">
        <v>14071</v>
      </c>
      <c r="CT1467" s="58">
        <v>13.0</v>
      </c>
      <c r="CU1467" s="58" t="s">
        <v>239</v>
      </c>
      <c r="DL1467" s="58" t="s">
        <v>14072</v>
      </c>
    </row>
    <row r="1468" ht="15.75" customHeight="1">
      <c r="B1468" s="58" t="s">
        <v>4587</v>
      </c>
      <c r="C1468" s="58">
        <v>2024.0</v>
      </c>
      <c r="D1468" s="58" t="s">
        <v>14073</v>
      </c>
      <c r="E1468" s="58" t="s">
        <v>14074</v>
      </c>
      <c r="F1468" s="58" t="s">
        <v>14075</v>
      </c>
      <c r="I1468" s="58" t="s">
        <v>14076</v>
      </c>
      <c r="K1468" s="73">
        <v>45405.0</v>
      </c>
      <c r="Z1468" s="58" t="s">
        <v>239</v>
      </c>
      <c r="CH1468" s="58" t="s">
        <v>14077</v>
      </c>
      <c r="CI1468" s="73">
        <v>45405.0</v>
      </c>
      <c r="CJ1468" s="58">
        <v>727.0</v>
      </c>
      <c r="CK1468" s="58">
        <v>734.0</v>
      </c>
      <c r="CL1468" s="58" t="s">
        <v>14078</v>
      </c>
      <c r="CM1468" s="58" t="s">
        <v>14079</v>
      </c>
      <c r="CO1468" s="58" t="s">
        <v>14080</v>
      </c>
      <c r="CP1468" s="58" t="s">
        <v>14081</v>
      </c>
      <c r="CT1468" s="58">
        <v>17.0</v>
      </c>
      <c r="CU1468" s="58" t="s">
        <v>239</v>
      </c>
      <c r="DL1468" s="58" t="s">
        <v>14082</v>
      </c>
    </row>
    <row r="1469" ht="15.75" customHeight="1">
      <c r="B1469" s="58" t="s">
        <v>4587</v>
      </c>
      <c r="C1469" s="58">
        <v>2023.0</v>
      </c>
      <c r="D1469" s="58" t="s">
        <v>14083</v>
      </c>
      <c r="E1469" s="58" t="s">
        <v>14084</v>
      </c>
      <c r="F1469" s="58" t="s">
        <v>14085</v>
      </c>
      <c r="I1469" s="58" t="s">
        <v>14086</v>
      </c>
      <c r="K1469" s="73">
        <v>45292.0</v>
      </c>
      <c r="Z1469" s="58" t="s">
        <v>239</v>
      </c>
      <c r="CH1469" s="58" t="s">
        <v>14087</v>
      </c>
      <c r="CI1469" s="73">
        <v>45292.0</v>
      </c>
      <c r="CJ1469" s="58">
        <v>1.0</v>
      </c>
      <c r="CK1469" s="58">
        <v>4.0</v>
      </c>
      <c r="CL1469" s="58" t="s">
        <v>14088</v>
      </c>
      <c r="CM1469" s="58" t="s">
        <v>14089</v>
      </c>
      <c r="CO1469" s="58" t="s">
        <v>14090</v>
      </c>
      <c r="CP1469" s="58" t="s">
        <v>14091</v>
      </c>
      <c r="CT1469" s="58">
        <v>15.0</v>
      </c>
      <c r="CU1469" s="58" t="s">
        <v>239</v>
      </c>
      <c r="DL1469" s="58" t="s">
        <v>14092</v>
      </c>
    </row>
    <row r="1470" ht="15.75" customHeight="1">
      <c r="B1470" s="58" t="s">
        <v>4587</v>
      </c>
      <c r="C1470" s="58">
        <v>2023.0</v>
      </c>
      <c r="D1470" s="58" t="s">
        <v>14093</v>
      </c>
      <c r="E1470" s="58" t="s">
        <v>14094</v>
      </c>
      <c r="F1470" s="58" t="s">
        <v>14095</v>
      </c>
      <c r="I1470" s="58" t="s">
        <v>14096</v>
      </c>
      <c r="K1470" s="73">
        <v>45371.0</v>
      </c>
      <c r="Z1470" s="58" t="s">
        <v>239</v>
      </c>
      <c r="CH1470" s="58" t="s">
        <v>14097</v>
      </c>
      <c r="CI1470" s="73">
        <v>45371.0</v>
      </c>
      <c r="CJ1470" s="58">
        <v>1225.0</v>
      </c>
      <c r="CK1470" s="58">
        <v>1230.0</v>
      </c>
      <c r="CL1470" s="58" t="s">
        <v>14098</v>
      </c>
      <c r="CM1470" s="58" t="s">
        <v>14099</v>
      </c>
      <c r="CO1470" s="58" t="s">
        <v>14100</v>
      </c>
      <c r="CP1470" s="58" t="s">
        <v>14101</v>
      </c>
      <c r="CT1470" s="58">
        <v>17.0</v>
      </c>
      <c r="CU1470" s="58" t="s">
        <v>239</v>
      </c>
      <c r="DL1470" s="58" t="s">
        <v>14102</v>
      </c>
    </row>
    <row r="1471" ht="15.75" customHeight="1">
      <c r="B1471" s="58" t="s">
        <v>4587</v>
      </c>
      <c r="C1471" s="58">
        <v>2023.0</v>
      </c>
      <c r="D1471" s="58" t="s">
        <v>14103</v>
      </c>
      <c r="E1471" s="58" t="s">
        <v>14104</v>
      </c>
      <c r="F1471" s="58" t="s">
        <v>12500</v>
      </c>
      <c r="H1471" s="58" t="s">
        <v>12501</v>
      </c>
      <c r="I1471" s="58" t="s">
        <v>14105</v>
      </c>
      <c r="K1471" s="73">
        <v>45252.0</v>
      </c>
      <c r="Z1471" s="58" t="s">
        <v>239</v>
      </c>
      <c r="CH1471" s="58" t="s">
        <v>14106</v>
      </c>
      <c r="CI1471" s="73">
        <v>45252.0</v>
      </c>
      <c r="CJ1471" s="58">
        <v>1.0</v>
      </c>
      <c r="CK1471" s="58">
        <v>6.0</v>
      </c>
      <c r="CL1471" s="58" t="s">
        <v>14107</v>
      </c>
      <c r="CM1471" s="58" t="s">
        <v>12505</v>
      </c>
      <c r="CO1471" s="58" t="s">
        <v>14108</v>
      </c>
      <c r="CP1471" s="58" t="s">
        <v>14109</v>
      </c>
      <c r="CT1471" s="58">
        <v>29.0</v>
      </c>
      <c r="CU1471" s="58" t="s">
        <v>5824</v>
      </c>
      <c r="DL1471" s="58" t="s">
        <v>14110</v>
      </c>
    </row>
    <row r="1472" ht="15.75" customHeight="1">
      <c r="B1472" s="58" t="s">
        <v>4587</v>
      </c>
      <c r="C1472" s="58">
        <v>2023.0</v>
      </c>
      <c r="D1472" s="58" t="s">
        <v>14111</v>
      </c>
      <c r="E1472" s="58" t="s">
        <v>14112</v>
      </c>
      <c r="F1472" s="58" t="s">
        <v>11571</v>
      </c>
      <c r="H1472" s="58" t="s">
        <v>11572</v>
      </c>
      <c r="I1472" s="58" t="s">
        <v>14113</v>
      </c>
      <c r="K1472" s="73">
        <v>44972.0</v>
      </c>
      <c r="Z1472" s="58" t="s">
        <v>239</v>
      </c>
      <c r="CH1472" s="58" t="s">
        <v>14114</v>
      </c>
      <c r="CI1472" s="73">
        <v>44972.0</v>
      </c>
      <c r="CJ1472" s="58">
        <v>626.0</v>
      </c>
      <c r="CK1472" s="58">
        <v>631.0</v>
      </c>
      <c r="CL1472" s="58" t="s">
        <v>14115</v>
      </c>
      <c r="CM1472" s="58" t="s">
        <v>11576</v>
      </c>
      <c r="CO1472" s="58" t="s">
        <v>14116</v>
      </c>
      <c r="CP1472" s="58" t="s">
        <v>14117</v>
      </c>
      <c r="CT1472" s="58">
        <v>19.0</v>
      </c>
      <c r="CU1472" s="58" t="s">
        <v>239</v>
      </c>
      <c r="DL1472" s="58" t="s">
        <v>14118</v>
      </c>
    </row>
    <row r="1473" ht="15.75" customHeight="1">
      <c r="B1473" s="58" t="s">
        <v>4587</v>
      </c>
      <c r="C1473" s="58">
        <v>2024.0</v>
      </c>
      <c r="D1473" s="58" t="s">
        <v>14119</v>
      </c>
      <c r="E1473" s="58" t="s">
        <v>14120</v>
      </c>
      <c r="F1473" s="58" t="s">
        <v>14121</v>
      </c>
      <c r="I1473" s="58" t="s">
        <v>14122</v>
      </c>
      <c r="K1473" s="73">
        <v>45674.0</v>
      </c>
      <c r="Z1473" s="58" t="s">
        <v>239</v>
      </c>
      <c r="CH1473" s="58" t="s">
        <v>14123</v>
      </c>
      <c r="CI1473" s="73">
        <v>45674.0</v>
      </c>
      <c r="CJ1473" s="58">
        <v>1.0</v>
      </c>
      <c r="CK1473" s="58">
        <v>9.0</v>
      </c>
      <c r="CL1473" s="58" t="s">
        <v>14124</v>
      </c>
      <c r="CM1473" s="58" t="s">
        <v>14125</v>
      </c>
      <c r="CO1473" s="58" t="s">
        <v>14126</v>
      </c>
      <c r="CP1473" s="58" t="s">
        <v>14127</v>
      </c>
      <c r="CT1473" s="58">
        <v>45.0</v>
      </c>
      <c r="CU1473" s="58" t="s">
        <v>239</v>
      </c>
      <c r="DL1473" s="58" t="s">
        <v>14128</v>
      </c>
    </row>
    <row r="1474" ht="15.75" customHeight="1">
      <c r="B1474" s="58" t="s">
        <v>4587</v>
      </c>
      <c r="C1474" s="58">
        <v>2024.0</v>
      </c>
      <c r="D1474" s="58" t="s">
        <v>14129</v>
      </c>
      <c r="E1474" s="58" t="s">
        <v>14130</v>
      </c>
      <c r="F1474" s="58" t="s">
        <v>12562</v>
      </c>
      <c r="H1474" s="58" t="s">
        <v>12563</v>
      </c>
      <c r="I1474" s="58" t="s">
        <v>14131</v>
      </c>
      <c r="K1474" s="73">
        <v>45673.0</v>
      </c>
      <c r="Z1474" s="58" t="s">
        <v>239</v>
      </c>
      <c r="CH1474" s="58" t="s">
        <v>14132</v>
      </c>
      <c r="CI1474" s="73">
        <v>45673.0</v>
      </c>
      <c r="CJ1474" s="58">
        <v>2880.0</v>
      </c>
      <c r="CK1474" s="58">
        <v>2887.0</v>
      </c>
      <c r="CL1474" s="58" t="s">
        <v>14133</v>
      </c>
      <c r="CM1474" s="58" t="s">
        <v>12567</v>
      </c>
      <c r="CN1474" s="58" t="s">
        <v>6567</v>
      </c>
      <c r="CO1474" s="58" t="s">
        <v>14134</v>
      </c>
      <c r="CP1474" s="58" t="s">
        <v>14135</v>
      </c>
      <c r="CT1474" s="58">
        <v>18.0</v>
      </c>
      <c r="CU1474" s="58" t="s">
        <v>239</v>
      </c>
      <c r="DL1474" s="58" t="s">
        <v>14136</v>
      </c>
    </row>
    <row r="1475" ht="15.75" customHeight="1">
      <c r="B1475" s="58" t="s">
        <v>4587</v>
      </c>
      <c r="C1475" s="58">
        <v>2023.0</v>
      </c>
      <c r="D1475" s="58" t="s">
        <v>14137</v>
      </c>
      <c r="E1475" s="58" t="s">
        <v>14138</v>
      </c>
      <c r="F1475" s="58" t="s">
        <v>12240</v>
      </c>
      <c r="H1475" s="58" t="s">
        <v>12241</v>
      </c>
      <c r="I1475" s="58" t="s">
        <v>14139</v>
      </c>
      <c r="K1475" s="73">
        <v>45441.0</v>
      </c>
      <c r="Z1475" s="58" t="s">
        <v>239</v>
      </c>
      <c r="CH1475" s="58" t="s">
        <v>14140</v>
      </c>
      <c r="CI1475" s="73">
        <v>45441.0</v>
      </c>
      <c r="CJ1475" s="58">
        <v>1532.0</v>
      </c>
      <c r="CK1475" s="58">
        <v>1539.0</v>
      </c>
      <c r="CL1475" s="58" t="s">
        <v>14141</v>
      </c>
      <c r="CM1475" s="58" t="s">
        <v>12245</v>
      </c>
      <c r="CO1475" s="58" t="s">
        <v>14142</v>
      </c>
      <c r="CP1475" s="58" t="s">
        <v>14143</v>
      </c>
      <c r="CT1475" s="58">
        <v>21.0</v>
      </c>
      <c r="CU1475" s="58" t="s">
        <v>239</v>
      </c>
      <c r="DL1475" s="58" t="s">
        <v>14144</v>
      </c>
    </row>
    <row r="1476" ht="15.75" customHeight="1">
      <c r="B1476" s="58" t="s">
        <v>4587</v>
      </c>
      <c r="C1476" s="58">
        <v>2024.0</v>
      </c>
      <c r="D1476" s="58" t="s">
        <v>14145</v>
      </c>
      <c r="E1476" s="58" t="s">
        <v>14146</v>
      </c>
      <c r="F1476" s="58" t="s">
        <v>12068</v>
      </c>
      <c r="H1476" s="58" t="s">
        <v>5095</v>
      </c>
      <c r="I1476" s="58" t="s">
        <v>14147</v>
      </c>
      <c r="K1476" s="73">
        <v>45492.0</v>
      </c>
      <c r="Z1476" s="58" t="s">
        <v>239</v>
      </c>
      <c r="CH1476" s="58" t="s">
        <v>14148</v>
      </c>
      <c r="CI1476" s="73">
        <v>45492.0</v>
      </c>
      <c r="CJ1476" s="58">
        <v>1175.0</v>
      </c>
      <c r="CK1476" s="58">
        <v>1180.0</v>
      </c>
      <c r="CL1476" s="58" t="s">
        <v>14149</v>
      </c>
      <c r="CM1476" s="58" t="s">
        <v>12072</v>
      </c>
      <c r="CN1476" s="58" t="s">
        <v>5648</v>
      </c>
      <c r="CO1476" s="58" t="s">
        <v>14150</v>
      </c>
      <c r="CT1476" s="58">
        <v>25.0</v>
      </c>
      <c r="CU1476" s="58" t="s">
        <v>239</v>
      </c>
      <c r="DL1476" s="58" t="s">
        <v>14151</v>
      </c>
    </row>
    <row r="1477" ht="15.75" customHeight="1">
      <c r="B1477" s="58" t="s">
        <v>4587</v>
      </c>
      <c r="C1477" s="58">
        <v>2024.0</v>
      </c>
      <c r="D1477" s="58" t="s">
        <v>14152</v>
      </c>
      <c r="E1477" s="58" t="s">
        <v>14153</v>
      </c>
      <c r="F1477" s="58" t="s">
        <v>14154</v>
      </c>
      <c r="H1477" s="58" t="s">
        <v>5818</v>
      </c>
      <c r="I1477" s="58" t="s">
        <v>14155</v>
      </c>
      <c r="K1477" s="73">
        <v>45677.0</v>
      </c>
      <c r="Z1477" s="58" t="s">
        <v>239</v>
      </c>
      <c r="CH1477" s="58" t="s">
        <v>14156</v>
      </c>
      <c r="CI1477" s="73">
        <v>45677.0</v>
      </c>
      <c r="CJ1477" s="58">
        <v>1281.0</v>
      </c>
      <c r="CK1477" s="58">
        <v>1295.0</v>
      </c>
      <c r="CL1477" s="58" t="s">
        <v>14157</v>
      </c>
      <c r="CM1477" s="58" t="s">
        <v>14158</v>
      </c>
      <c r="CO1477" s="58" t="s">
        <v>14159</v>
      </c>
      <c r="CT1477" s="58">
        <v>40.0</v>
      </c>
      <c r="CU1477" s="58" t="s">
        <v>239</v>
      </c>
      <c r="DL1477" s="58" t="s">
        <v>14160</v>
      </c>
    </row>
    <row r="1478" ht="15.75" customHeight="1">
      <c r="B1478" s="58" t="s">
        <v>4587</v>
      </c>
      <c r="C1478" s="58">
        <v>2023.0</v>
      </c>
      <c r="D1478" s="58" t="s">
        <v>14161</v>
      </c>
      <c r="E1478" s="58" t="s">
        <v>14162</v>
      </c>
      <c r="F1478" s="58" t="s">
        <v>14163</v>
      </c>
      <c r="I1478" s="58" t="s">
        <v>14164</v>
      </c>
      <c r="K1478" s="73">
        <v>45415.0</v>
      </c>
      <c r="Z1478" s="58" t="s">
        <v>239</v>
      </c>
      <c r="CH1478" s="58" t="s">
        <v>14165</v>
      </c>
      <c r="CI1478" s="73">
        <v>45415.0</v>
      </c>
      <c r="CJ1478" s="58">
        <v>794.0</v>
      </c>
      <c r="CK1478" s="58">
        <v>798.0</v>
      </c>
      <c r="CL1478" s="58" t="s">
        <v>14166</v>
      </c>
      <c r="CM1478" s="58" t="s">
        <v>14167</v>
      </c>
      <c r="CO1478" s="58" t="s">
        <v>14168</v>
      </c>
      <c r="CP1478" s="58" t="s">
        <v>14169</v>
      </c>
      <c r="CT1478" s="58">
        <v>13.0</v>
      </c>
      <c r="CU1478" s="58" t="s">
        <v>239</v>
      </c>
      <c r="DL1478" s="58" t="s">
        <v>14170</v>
      </c>
    </row>
    <row r="1479" ht="15.75" customHeight="1">
      <c r="B1479" s="58" t="s">
        <v>4587</v>
      </c>
      <c r="C1479" s="58">
        <v>2023.0</v>
      </c>
      <c r="D1479" s="58" t="s">
        <v>14171</v>
      </c>
      <c r="E1479" s="58" t="s">
        <v>14172</v>
      </c>
      <c r="F1479" s="58" t="s">
        <v>14173</v>
      </c>
      <c r="I1479" s="58" t="s">
        <v>14174</v>
      </c>
      <c r="K1479" s="73">
        <v>45308.0</v>
      </c>
      <c r="Z1479" s="58" t="s">
        <v>239</v>
      </c>
      <c r="CH1479" s="58" t="s">
        <v>14175</v>
      </c>
      <c r="CI1479" s="73">
        <v>45308.0</v>
      </c>
      <c r="CJ1479" s="58">
        <v>1.0</v>
      </c>
      <c r="CK1479" s="58">
        <v>4.0</v>
      </c>
      <c r="CL1479" s="58" t="s">
        <v>14176</v>
      </c>
      <c r="CM1479" s="58" t="s">
        <v>14177</v>
      </c>
      <c r="CO1479" s="58" t="s">
        <v>14178</v>
      </c>
      <c r="CP1479" s="58" t="s">
        <v>14179</v>
      </c>
      <c r="CT1479" s="58">
        <v>20.0</v>
      </c>
      <c r="CU1479" s="58" t="s">
        <v>239</v>
      </c>
      <c r="DL1479" s="58" t="s">
        <v>14180</v>
      </c>
    </row>
    <row r="1480" ht="15.75" customHeight="1">
      <c r="B1480" s="58" t="s">
        <v>4587</v>
      </c>
      <c r="C1480" s="58">
        <v>2024.0</v>
      </c>
      <c r="D1480" s="58" t="s">
        <v>14181</v>
      </c>
      <c r="E1480" s="58" t="s">
        <v>14182</v>
      </c>
      <c r="F1480" s="58" t="s">
        <v>14183</v>
      </c>
      <c r="H1480" s="58" t="s">
        <v>11472</v>
      </c>
      <c r="I1480" s="58" t="s">
        <v>14184</v>
      </c>
      <c r="K1480" s="73">
        <v>45580.0</v>
      </c>
      <c r="Z1480" s="58" t="s">
        <v>239</v>
      </c>
      <c r="CH1480" s="58" t="s">
        <v>14185</v>
      </c>
      <c r="CI1480" s="73">
        <v>45580.0</v>
      </c>
      <c r="CJ1480" s="58">
        <v>1188.0</v>
      </c>
      <c r="CK1480" s="58">
        <v>1197.0</v>
      </c>
      <c r="CL1480" s="58" t="s">
        <v>14186</v>
      </c>
      <c r="CM1480" s="58" t="s">
        <v>14187</v>
      </c>
      <c r="CN1480" s="58" t="s">
        <v>9079</v>
      </c>
      <c r="CO1480" s="58" t="s">
        <v>14188</v>
      </c>
      <c r="CP1480" s="58" t="s">
        <v>14189</v>
      </c>
      <c r="CT1480" s="58">
        <v>36.0</v>
      </c>
      <c r="CU1480" s="58" t="s">
        <v>239</v>
      </c>
      <c r="DL1480" s="58" t="s">
        <v>14190</v>
      </c>
    </row>
    <row r="1481" ht="15.75" customHeight="1">
      <c r="B1481" s="58" t="s">
        <v>4587</v>
      </c>
      <c r="C1481" s="58">
        <v>2024.0</v>
      </c>
      <c r="D1481" s="58" t="s">
        <v>14191</v>
      </c>
      <c r="E1481" s="58" t="s">
        <v>14192</v>
      </c>
      <c r="F1481" s="58" t="s">
        <v>12672</v>
      </c>
      <c r="H1481" s="58" t="s">
        <v>5351</v>
      </c>
      <c r="I1481" s="58" t="s">
        <v>14193</v>
      </c>
      <c r="K1481" s="73">
        <v>45596.0</v>
      </c>
      <c r="Z1481" s="58" t="s">
        <v>239</v>
      </c>
      <c r="CH1481" s="58" t="s">
        <v>14194</v>
      </c>
      <c r="CI1481" s="73">
        <v>45596.0</v>
      </c>
      <c r="CJ1481" s="58">
        <v>1.0</v>
      </c>
      <c r="CK1481" s="58">
        <v>6.0</v>
      </c>
      <c r="CL1481" s="58" t="s">
        <v>14195</v>
      </c>
      <c r="CM1481" s="58" t="s">
        <v>12676</v>
      </c>
      <c r="CO1481" s="58" t="s">
        <v>14196</v>
      </c>
      <c r="CP1481" s="58" t="s">
        <v>14197</v>
      </c>
      <c r="CT1481" s="58">
        <v>18.0</v>
      </c>
      <c r="CU1481" s="58" t="s">
        <v>239</v>
      </c>
      <c r="DL1481" s="58" t="s">
        <v>14198</v>
      </c>
    </row>
    <row r="1482" ht="15.75" customHeight="1">
      <c r="B1482" s="58" t="s">
        <v>4587</v>
      </c>
      <c r="C1482" s="58">
        <v>2023.0</v>
      </c>
      <c r="D1482" s="58" t="s">
        <v>14199</v>
      </c>
      <c r="E1482" s="58" t="s">
        <v>14200</v>
      </c>
      <c r="F1482" s="58" t="s">
        <v>14085</v>
      </c>
      <c r="I1482" s="58" t="s">
        <v>14201</v>
      </c>
      <c r="K1482" s="73">
        <v>45292.0</v>
      </c>
      <c r="Z1482" s="58" t="s">
        <v>239</v>
      </c>
      <c r="CH1482" s="58" t="s">
        <v>14202</v>
      </c>
      <c r="CI1482" s="73">
        <v>45292.0</v>
      </c>
      <c r="CJ1482" s="58">
        <v>1.0</v>
      </c>
      <c r="CK1482" s="58">
        <v>4.0</v>
      </c>
      <c r="CL1482" s="58" t="s">
        <v>14203</v>
      </c>
      <c r="CM1482" s="58" t="s">
        <v>14089</v>
      </c>
      <c r="CN1482" s="58" t="s">
        <v>5767</v>
      </c>
      <c r="CO1482" s="58" t="s">
        <v>14204</v>
      </c>
      <c r="CP1482" s="58" t="s">
        <v>14205</v>
      </c>
      <c r="CT1482" s="58">
        <v>13.0</v>
      </c>
      <c r="CU1482" s="58" t="s">
        <v>239</v>
      </c>
      <c r="DL1482" s="58" t="s">
        <v>14206</v>
      </c>
    </row>
    <row r="1483" ht="15.75" customHeight="1">
      <c r="B1483" s="58" t="s">
        <v>4587</v>
      </c>
      <c r="C1483" s="58">
        <v>2023.0</v>
      </c>
      <c r="D1483" s="58" t="s">
        <v>14207</v>
      </c>
      <c r="E1483" s="58" t="s">
        <v>8344</v>
      </c>
      <c r="F1483" s="58" t="s">
        <v>11864</v>
      </c>
      <c r="H1483" s="58" t="s">
        <v>6726</v>
      </c>
      <c r="I1483" s="58" t="s">
        <v>14208</v>
      </c>
      <c r="K1483" s="73">
        <v>45425.0</v>
      </c>
      <c r="Z1483" s="58" t="s">
        <v>239</v>
      </c>
      <c r="CH1483" s="58" t="s">
        <v>14209</v>
      </c>
      <c r="CI1483" s="73">
        <v>45425.0</v>
      </c>
      <c r="CJ1483" s="58">
        <v>1.0</v>
      </c>
      <c r="CK1483" s="58">
        <v>69.0</v>
      </c>
      <c r="CL1483" s="58" t="s">
        <v>14210</v>
      </c>
      <c r="CM1483" s="58" t="s">
        <v>11868</v>
      </c>
      <c r="CO1483" s="58" t="s">
        <v>14211</v>
      </c>
      <c r="CP1483" s="58" t="s">
        <v>8349</v>
      </c>
      <c r="CT1483" s="58">
        <v>56.0</v>
      </c>
      <c r="CU1483" s="58" t="s">
        <v>239</v>
      </c>
      <c r="DL1483" s="58" t="s">
        <v>14212</v>
      </c>
    </row>
    <row r="1484" ht="15.75" customHeight="1">
      <c r="B1484" s="58" t="s">
        <v>4587</v>
      </c>
      <c r="C1484" s="58">
        <v>2024.0</v>
      </c>
      <c r="D1484" s="58" t="s">
        <v>14213</v>
      </c>
      <c r="E1484" s="58" t="s">
        <v>14214</v>
      </c>
      <c r="F1484" s="58" t="s">
        <v>14215</v>
      </c>
      <c r="I1484" s="58" t="s">
        <v>14216</v>
      </c>
      <c r="K1484" s="73">
        <v>45729.0</v>
      </c>
      <c r="R1484" s="58">
        <v>1.0</v>
      </c>
      <c r="Z1484" s="58" t="s">
        <v>239</v>
      </c>
      <c r="CH1484" s="58" t="s">
        <v>14217</v>
      </c>
      <c r="CI1484" s="73">
        <v>45729.0</v>
      </c>
      <c r="CJ1484" s="58">
        <v>28.0</v>
      </c>
      <c r="CK1484" s="58">
        <v>34.0</v>
      </c>
      <c r="CL1484" s="58" t="s">
        <v>14218</v>
      </c>
      <c r="CM1484" s="58" t="s">
        <v>14219</v>
      </c>
      <c r="CO1484" s="58" t="s">
        <v>14220</v>
      </c>
      <c r="CP1484" s="58" t="s">
        <v>14221</v>
      </c>
      <c r="CT1484" s="58">
        <v>20.0</v>
      </c>
      <c r="CU1484" s="58" t="s">
        <v>239</v>
      </c>
      <c r="DL1484" s="58" t="s">
        <v>14222</v>
      </c>
    </row>
    <row r="1485" ht="15.75" customHeight="1">
      <c r="B1485" s="58" t="s">
        <v>4587</v>
      </c>
      <c r="C1485" s="58">
        <v>2023.0</v>
      </c>
      <c r="D1485" s="58" t="s">
        <v>14223</v>
      </c>
      <c r="E1485" s="58" t="s">
        <v>14224</v>
      </c>
      <c r="F1485" s="58" t="s">
        <v>14225</v>
      </c>
      <c r="H1485" s="58" t="s">
        <v>4802</v>
      </c>
      <c r="I1485" s="58" t="s">
        <v>14226</v>
      </c>
      <c r="K1485" s="73">
        <v>45128.0</v>
      </c>
      <c r="Z1485" s="58" t="s">
        <v>239</v>
      </c>
      <c r="CH1485" s="58" t="s">
        <v>14227</v>
      </c>
      <c r="CI1485" s="73">
        <v>45128.0</v>
      </c>
      <c r="CJ1485" s="58">
        <v>7.0</v>
      </c>
      <c r="CK1485" s="58">
        <v>12.0</v>
      </c>
      <c r="CL1485" s="58" t="s">
        <v>14228</v>
      </c>
      <c r="CM1485" s="58" t="s">
        <v>14229</v>
      </c>
      <c r="CO1485" s="58" t="s">
        <v>14230</v>
      </c>
      <c r="CP1485" s="58" t="s">
        <v>14231</v>
      </c>
      <c r="CT1485" s="58">
        <v>15.0</v>
      </c>
      <c r="CU1485" s="58" t="s">
        <v>239</v>
      </c>
      <c r="DL1485" s="58" t="s">
        <v>14232</v>
      </c>
    </row>
    <row r="1486" ht="15.75" customHeight="1">
      <c r="B1486" s="58" t="s">
        <v>4587</v>
      </c>
      <c r="C1486" s="58">
        <v>2024.0</v>
      </c>
      <c r="D1486" s="58" t="s">
        <v>14233</v>
      </c>
      <c r="E1486" s="58" t="s">
        <v>14234</v>
      </c>
      <c r="F1486" s="58" t="s">
        <v>12966</v>
      </c>
      <c r="H1486" s="58" t="s">
        <v>12967</v>
      </c>
      <c r="I1486" s="58" t="s">
        <v>14235</v>
      </c>
      <c r="K1486" s="73">
        <v>45616.0</v>
      </c>
      <c r="Z1486" s="58" t="s">
        <v>239</v>
      </c>
      <c r="CH1486" s="58" t="s">
        <v>14236</v>
      </c>
      <c r="CI1486" s="73">
        <v>45616.0</v>
      </c>
      <c r="CJ1486" s="58">
        <v>1.0</v>
      </c>
      <c r="CK1486" s="58">
        <v>5.0</v>
      </c>
      <c r="CL1486" s="58" t="s">
        <v>14237</v>
      </c>
      <c r="CM1486" s="58" t="s">
        <v>12971</v>
      </c>
      <c r="CO1486" s="58" t="s">
        <v>14238</v>
      </c>
      <c r="CP1486" s="58" t="s">
        <v>14239</v>
      </c>
      <c r="CT1486" s="58">
        <v>10.0</v>
      </c>
      <c r="CU1486" s="58" t="s">
        <v>239</v>
      </c>
      <c r="DL1486" s="58" t="s">
        <v>14240</v>
      </c>
    </row>
    <row r="1487" ht="15.75" customHeight="1">
      <c r="B1487" s="58" t="s">
        <v>4587</v>
      </c>
      <c r="C1487" s="58">
        <v>2024.0</v>
      </c>
      <c r="D1487" s="58" t="s">
        <v>14241</v>
      </c>
      <c r="E1487" s="58" t="s">
        <v>14242</v>
      </c>
      <c r="F1487" s="58" t="s">
        <v>14243</v>
      </c>
      <c r="H1487" s="58" t="s">
        <v>9428</v>
      </c>
      <c r="I1487" s="58" t="s">
        <v>14244</v>
      </c>
      <c r="K1487" s="73">
        <v>45721.0</v>
      </c>
      <c r="Z1487" s="58" t="s">
        <v>239</v>
      </c>
      <c r="CH1487" s="58" t="s">
        <v>14245</v>
      </c>
      <c r="CI1487" s="73">
        <v>45721.0</v>
      </c>
      <c r="CJ1487" s="58">
        <v>1529.0</v>
      </c>
      <c r="CK1487" s="58">
        <v>1532.0</v>
      </c>
      <c r="CL1487" s="58" t="s">
        <v>14246</v>
      </c>
      <c r="CM1487" s="58" t="s">
        <v>14247</v>
      </c>
      <c r="CO1487" s="58" t="s">
        <v>14248</v>
      </c>
      <c r="CP1487" s="58" t="s">
        <v>14249</v>
      </c>
      <c r="CT1487" s="58">
        <v>10.0</v>
      </c>
      <c r="CU1487" s="58" t="s">
        <v>239</v>
      </c>
      <c r="DL1487" s="58" t="s">
        <v>14250</v>
      </c>
    </row>
    <row r="1488" ht="15.75" customHeight="1">
      <c r="B1488" s="58" t="s">
        <v>4587</v>
      </c>
      <c r="C1488" s="58">
        <v>2024.0</v>
      </c>
      <c r="D1488" s="58" t="s">
        <v>14251</v>
      </c>
      <c r="E1488" s="58" t="s">
        <v>14252</v>
      </c>
      <c r="F1488" s="58" t="s">
        <v>11582</v>
      </c>
      <c r="I1488" s="58" t="s">
        <v>14253</v>
      </c>
      <c r="K1488" s="73">
        <v>45435.0</v>
      </c>
      <c r="Z1488" s="58" t="s">
        <v>239</v>
      </c>
      <c r="CH1488" s="58" t="s">
        <v>14254</v>
      </c>
      <c r="CI1488" s="73">
        <v>45435.0</v>
      </c>
      <c r="CJ1488" s="58">
        <v>1.0</v>
      </c>
      <c r="CK1488" s="58">
        <v>6.0</v>
      </c>
      <c r="CL1488" s="58" t="s">
        <v>14255</v>
      </c>
      <c r="CM1488" s="58" t="s">
        <v>11586</v>
      </c>
      <c r="CO1488" s="58" t="s">
        <v>14256</v>
      </c>
      <c r="CP1488" s="58" t="s">
        <v>14257</v>
      </c>
      <c r="CT1488" s="58">
        <v>15.0</v>
      </c>
      <c r="CU1488" s="58" t="s">
        <v>239</v>
      </c>
      <c r="DL1488" s="58" t="s">
        <v>14258</v>
      </c>
    </row>
    <row r="1489" ht="15.75" customHeight="1">
      <c r="B1489" s="58" t="s">
        <v>4587</v>
      </c>
      <c r="C1489" s="58">
        <v>2023.0</v>
      </c>
      <c r="D1489" s="58" t="s">
        <v>14259</v>
      </c>
      <c r="E1489" s="58" t="s">
        <v>14260</v>
      </c>
      <c r="F1489" s="58" t="s">
        <v>12735</v>
      </c>
      <c r="H1489" s="58" t="s">
        <v>12736</v>
      </c>
      <c r="I1489" s="58" t="s">
        <v>14261</v>
      </c>
      <c r="K1489" s="73">
        <v>45412.0</v>
      </c>
      <c r="Z1489" s="58" t="s">
        <v>239</v>
      </c>
      <c r="CH1489" s="58" t="s">
        <v>14262</v>
      </c>
      <c r="CI1489" s="73">
        <v>45412.0</v>
      </c>
      <c r="CJ1489" s="58">
        <v>1186.0</v>
      </c>
      <c r="CK1489" s="58">
        <v>1190.0</v>
      </c>
      <c r="CL1489" s="58" t="s">
        <v>14263</v>
      </c>
      <c r="CM1489" s="58" t="s">
        <v>12740</v>
      </c>
      <c r="CO1489" s="58" t="s">
        <v>14264</v>
      </c>
      <c r="CP1489" s="58" t="s">
        <v>14265</v>
      </c>
      <c r="CT1489" s="58">
        <v>13.0</v>
      </c>
      <c r="CU1489" s="58" t="s">
        <v>239</v>
      </c>
      <c r="DL1489" s="58" t="s">
        <v>14266</v>
      </c>
    </row>
    <row r="1490" ht="15.75" customHeight="1">
      <c r="B1490" s="58" t="s">
        <v>4587</v>
      </c>
      <c r="C1490" s="58">
        <v>2024.0</v>
      </c>
      <c r="D1490" s="58" t="s">
        <v>14267</v>
      </c>
      <c r="E1490" s="58" t="s">
        <v>14268</v>
      </c>
      <c r="F1490" s="58" t="s">
        <v>14269</v>
      </c>
      <c r="I1490" s="58" t="s">
        <v>14270</v>
      </c>
      <c r="K1490" s="73">
        <v>45588.0</v>
      </c>
      <c r="R1490" s="58">
        <v>1.0</v>
      </c>
      <c r="Z1490" s="58" t="s">
        <v>239</v>
      </c>
      <c r="CH1490" s="58" t="s">
        <v>14271</v>
      </c>
      <c r="CI1490" s="73">
        <v>45588.0</v>
      </c>
      <c r="CJ1490" s="58">
        <v>1.0</v>
      </c>
      <c r="CK1490" s="58">
        <v>6.0</v>
      </c>
      <c r="CL1490" s="58" t="s">
        <v>14272</v>
      </c>
      <c r="CM1490" s="58" t="s">
        <v>14273</v>
      </c>
      <c r="CO1490" s="58" t="s">
        <v>14274</v>
      </c>
      <c r="CP1490" s="58" t="s">
        <v>14275</v>
      </c>
      <c r="CT1490" s="58">
        <v>36.0</v>
      </c>
      <c r="CU1490" s="58" t="s">
        <v>239</v>
      </c>
      <c r="DL1490" s="58" t="s">
        <v>14276</v>
      </c>
    </row>
    <row r="1491" ht="15.75" customHeight="1">
      <c r="B1491" s="58" t="s">
        <v>4587</v>
      </c>
      <c r="C1491" s="58">
        <v>2023.0</v>
      </c>
      <c r="D1491" s="58" t="s">
        <v>14277</v>
      </c>
      <c r="E1491" s="58" t="s">
        <v>14278</v>
      </c>
      <c r="F1491" s="58" t="s">
        <v>14279</v>
      </c>
      <c r="I1491" s="58" t="s">
        <v>14280</v>
      </c>
      <c r="K1491" s="73">
        <v>45139.0</v>
      </c>
      <c r="Z1491" s="58" t="s">
        <v>239</v>
      </c>
      <c r="CH1491" s="58" t="s">
        <v>14281</v>
      </c>
      <c r="CI1491" s="73">
        <v>45139.0</v>
      </c>
      <c r="CJ1491" s="58">
        <v>503.0</v>
      </c>
      <c r="CK1491" s="58">
        <v>507.0</v>
      </c>
      <c r="CL1491" s="58" t="s">
        <v>14282</v>
      </c>
      <c r="CM1491" s="58" t="s">
        <v>14283</v>
      </c>
      <c r="CO1491" s="58" t="s">
        <v>14284</v>
      </c>
      <c r="CP1491" s="58" t="s">
        <v>14285</v>
      </c>
      <c r="CT1491" s="58">
        <v>15.0</v>
      </c>
      <c r="CU1491" s="58" t="s">
        <v>239</v>
      </c>
      <c r="DL1491" s="58" t="s">
        <v>14286</v>
      </c>
    </row>
    <row r="1492" ht="15.75" customHeight="1">
      <c r="B1492" s="58" t="s">
        <v>4587</v>
      </c>
      <c r="C1492" s="58">
        <v>2024.0</v>
      </c>
      <c r="D1492" s="58" t="s">
        <v>14287</v>
      </c>
      <c r="E1492" s="58" t="s">
        <v>14288</v>
      </c>
      <c r="F1492" s="58" t="s">
        <v>14289</v>
      </c>
      <c r="H1492" s="58" t="s">
        <v>6872</v>
      </c>
      <c r="I1492" s="58" t="s">
        <v>14290</v>
      </c>
      <c r="K1492" s="73">
        <v>45483.0</v>
      </c>
      <c r="Z1492" s="58" t="s">
        <v>239</v>
      </c>
      <c r="CH1492" s="58" t="s">
        <v>14291</v>
      </c>
      <c r="CI1492" s="73">
        <v>45483.0</v>
      </c>
      <c r="CJ1492" s="58">
        <v>313.0</v>
      </c>
      <c r="CK1492" s="58">
        <v>315.0</v>
      </c>
      <c r="CL1492" s="58" t="s">
        <v>14292</v>
      </c>
      <c r="CM1492" s="58" t="s">
        <v>14293</v>
      </c>
      <c r="CO1492" s="58" t="s">
        <v>14294</v>
      </c>
      <c r="CP1492" s="58" t="s">
        <v>14295</v>
      </c>
      <c r="CT1492" s="58">
        <v>5.0</v>
      </c>
      <c r="CU1492" s="58" t="s">
        <v>239</v>
      </c>
      <c r="DL1492" s="58" t="s">
        <v>14296</v>
      </c>
    </row>
    <row r="1493" ht="15.75" customHeight="1">
      <c r="B1493" s="58" t="s">
        <v>4587</v>
      </c>
      <c r="C1493" s="58">
        <v>2024.0</v>
      </c>
      <c r="D1493" s="58" t="s">
        <v>14297</v>
      </c>
      <c r="E1493" s="58" t="s">
        <v>14298</v>
      </c>
      <c r="F1493" s="58" t="s">
        <v>12725</v>
      </c>
      <c r="I1493" s="58" t="s">
        <v>14299</v>
      </c>
      <c r="K1493" s="73">
        <v>45475.0</v>
      </c>
      <c r="Z1493" s="58" t="s">
        <v>239</v>
      </c>
      <c r="CH1493" s="58" t="s">
        <v>14300</v>
      </c>
      <c r="CI1493" s="73">
        <v>45475.0</v>
      </c>
      <c r="CJ1493" s="58">
        <v>1.0</v>
      </c>
      <c r="CK1493" s="58">
        <v>6.0</v>
      </c>
      <c r="CL1493" s="58" t="s">
        <v>14301</v>
      </c>
      <c r="CM1493" s="58" t="s">
        <v>12729</v>
      </c>
      <c r="CO1493" s="58" t="s">
        <v>14302</v>
      </c>
      <c r="CP1493" s="58" t="s">
        <v>14303</v>
      </c>
      <c r="CT1493" s="58">
        <v>16.0</v>
      </c>
      <c r="CU1493" s="58" t="s">
        <v>239</v>
      </c>
      <c r="DL1493" s="58" t="s">
        <v>14304</v>
      </c>
    </row>
    <row r="1494" ht="15.75" customHeight="1">
      <c r="B1494" s="58" t="s">
        <v>4587</v>
      </c>
      <c r="C1494" s="58">
        <v>2024.0</v>
      </c>
      <c r="D1494" s="58" t="s">
        <v>14305</v>
      </c>
      <c r="E1494" s="58" t="s">
        <v>14306</v>
      </c>
      <c r="F1494" s="58" t="s">
        <v>14183</v>
      </c>
      <c r="H1494" s="58" t="s">
        <v>11472</v>
      </c>
      <c r="I1494" s="58" t="s">
        <v>14307</v>
      </c>
      <c r="K1494" s="73">
        <v>45580.0</v>
      </c>
      <c r="Z1494" s="58" t="s">
        <v>239</v>
      </c>
      <c r="CH1494" s="58" t="s">
        <v>14308</v>
      </c>
      <c r="CI1494" s="73">
        <v>45580.0</v>
      </c>
      <c r="CJ1494" s="58">
        <v>590.0</v>
      </c>
      <c r="CK1494" s="58">
        <v>600.0</v>
      </c>
      <c r="CL1494" s="58" t="s">
        <v>14309</v>
      </c>
      <c r="CM1494" s="58" t="s">
        <v>14187</v>
      </c>
      <c r="CO1494" s="58" t="s">
        <v>14310</v>
      </c>
      <c r="CP1494" s="58" t="s">
        <v>14311</v>
      </c>
      <c r="CT1494" s="58">
        <v>39.0</v>
      </c>
      <c r="CU1494" s="58" t="s">
        <v>239</v>
      </c>
      <c r="DL1494" s="58" t="s">
        <v>14312</v>
      </c>
    </row>
    <row r="1495" ht="15.75" customHeight="1">
      <c r="B1495" s="58" t="s">
        <v>4587</v>
      </c>
      <c r="C1495" s="58">
        <v>2024.0</v>
      </c>
      <c r="D1495" s="58" t="s">
        <v>14313</v>
      </c>
      <c r="E1495" s="58" t="s">
        <v>14314</v>
      </c>
      <c r="F1495" s="58" t="s">
        <v>11482</v>
      </c>
      <c r="I1495" s="58" t="s">
        <v>14315</v>
      </c>
      <c r="K1495" s="73">
        <v>45533.0</v>
      </c>
      <c r="Z1495" s="58" t="s">
        <v>239</v>
      </c>
      <c r="CH1495" s="58" t="s">
        <v>14316</v>
      </c>
      <c r="CI1495" s="73">
        <v>45533.0</v>
      </c>
      <c r="CJ1495" s="58">
        <v>1.0</v>
      </c>
      <c r="CK1495" s="58">
        <v>6.0</v>
      </c>
      <c r="CL1495" s="58" t="s">
        <v>14317</v>
      </c>
      <c r="CM1495" s="58" t="s">
        <v>11486</v>
      </c>
      <c r="CO1495" s="58" t="s">
        <v>14318</v>
      </c>
      <c r="CP1495" s="58" t="s">
        <v>14319</v>
      </c>
      <c r="CT1495" s="58">
        <v>20.0</v>
      </c>
      <c r="CU1495" s="58" t="s">
        <v>239</v>
      </c>
      <c r="DL1495" s="58" t="s">
        <v>14320</v>
      </c>
    </row>
    <row r="1496" ht="15.75" customHeight="1">
      <c r="B1496" s="58" t="s">
        <v>4587</v>
      </c>
      <c r="C1496" s="58">
        <v>2024.0</v>
      </c>
      <c r="D1496" s="58" t="s">
        <v>14321</v>
      </c>
      <c r="E1496" s="58" t="s">
        <v>14322</v>
      </c>
      <c r="F1496" s="58" t="s">
        <v>14323</v>
      </c>
      <c r="I1496" s="58" t="s">
        <v>14324</v>
      </c>
      <c r="K1496" s="73">
        <v>45678.0</v>
      </c>
      <c r="Z1496" s="58" t="s">
        <v>239</v>
      </c>
      <c r="CH1496" s="58" t="s">
        <v>14325</v>
      </c>
      <c r="CI1496" s="73">
        <v>45678.0</v>
      </c>
      <c r="CJ1496" s="58">
        <v>50.0</v>
      </c>
      <c r="CK1496" s="58">
        <v>55.0</v>
      </c>
      <c r="CL1496" s="58" t="s">
        <v>14326</v>
      </c>
      <c r="CM1496" s="58" t="s">
        <v>14327</v>
      </c>
      <c r="CO1496" s="58" t="s">
        <v>14328</v>
      </c>
      <c r="CP1496" s="58" t="s">
        <v>14329</v>
      </c>
      <c r="CT1496" s="58">
        <v>16.0</v>
      </c>
      <c r="CU1496" s="58" t="s">
        <v>239</v>
      </c>
      <c r="DL1496" s="58" t="s">
        <v>14330</v>
      </c>
    </row>
    <row r="1497" ht="15.75" customHeight="1">
      <c r="B1497" s="58" t="s">
        <v>4587</v>
      </c>
      <c r="C1497" s="58">
        <v>2023.0</v>
      </c>
      <c r="D1497" s="58" t="s">
        <v>14331</v>
      </c>
      <c r="E1497" s="58" t="s">
        <v>14332</v>
      </c>
      <c r="F1497" s="58" t="s">
        <v>14333</v>
      </c>
      <c r="I1497" s="58" t="s">
        <v>14334</v>
      </c>
      <c r="K1497" s="73">
        <v>45195.0</v>
      </c>
      <c r="Z1497" s="58" t="s">
        <v>239</v>
      </c>
      <c r="CH1497" s="58" t="s">
        <v>14335</v>
      </c>
      <c r="CI1497" s="73">
        <v>45195.0</v>
      </c>
      <c r="CJ1497" s="58">
        <v>1107.0</v>
      </c>
      <c r="CK1497" s="58">
        <v>1111.0</v>
      </c>
      <c r="CL1497" s="58" t="s">
        <v>14336</v>
      </c>
      <c r="CM1497" s="58" t="s">
        <v>14337</v>
      </c>
      <c r="CO1497" s="58" t="s">
        <v>14338</v>
      </c>
      <c r="CP1497" s="58" t="s">
        <v>14339</v>
      </c>
      <c r="CT1497" s="58">
        <v>7.0</v>
      </c>
      <c r="CU1497" s="58" t="s">
        <v>239</v>
      </c>
      <c r="DL1497" s="58" t="s">
        <v>14340</v>
      </c>
    </row>
    <row r="1498" ht="15.75" customHeight="1">
      <c r="B1498" s="58" t="s">
        <v>4587</v>
      </c>
      <c r="C1498" s="58">
        <v>2024.0</v>
      </c>
      <c r="D1498" s="58" t="s">
        <v>14341</v>
      </c>
      <c r="E1498" s="58" t="s">
        <v>14342</v>
      </c>
      <c r="F1498" s="58" t="s">
        <v>14343</v>
      </c>
      <c r="I1498" s="58" t="s">
        <v>14344</v>
      </c>
      <c r="K1498" s="73">
        <v>45594.0</v>
      </c>
      <c r="Z1498" s="58" t="s">
        <v>239</v>
      </c>
      <c r="CH1498" s="58" t="s">
        <v>14345</v>
      </c>
      <c r="CI1498" s="73">
        <v>45594.0</v>
      </c>
      <c r="CJ1498" s="58">
        <v>1.0</v>
      </c>
      <c r="CK1498" s="58">
        <v>7.0</v>
      </c>
      <c r="CL1498" s="58" t="s">
        <v>14346</v>
      </c>
      <c r="CM1498" s="58" t="s">
        <v>14347</v>
      </c>
      <c r="CO1498" s="58" t="s">
        <v>14348</v>
      </c>
      <c r="CP1498" s="58" t="s">
        <v>14349</v>
      </c>
      <c r="CT1498" s="58">
        <v>15.0</v>
      </c>
      <c r="CU1498" s="58" t="s">
        <v>239</v>
      </c>
      <c r="DL1498" s="58" t="s">
        <v>14350</v>
      </c>
    </row>
    <row r="1499" ht="15.75" customHeight="1">
      <c r="B1499" s="58" t="s">
        <v>4587</v>
      </c>
      <c r="C1499" s="58">
        <v>2024.0</v>
      </c>
      <c r="D1499" s="58" t="s">
        <v>14351</v>
      </c>
      <c r="E1499" s="58" t="s">
        <v>14352</v>
      </c>
      <c r="F1499" s="58" t="s">
        <v>14353</v>
      </c>
      <c r="H1499" s="58" t="s">
        <v>14354</v>
      </c>
      <c r="I1499" s="58" t="s">
        <v>14355</v>
      </c>
      <c r="K1499" s="73">
        <v>45637.0</v>
      </c>
      <c r="Z1499" s="58" t="s">
        <v>239</v>
      </c>
      <c r="CH1499" s="58" t="s">
        <v>14356</v>
      </c>
      <c r="CI1499" s="73">
        <v>45637.0</v>
      </c>
      <c r="CJ1499" s="58">
        <v>1.0</v>
      </c>
      <c r="CK1499" s="58">
        <v>6.0</v>
      </c>
      <c r="CL1499" s="58" t="s">
        <v>14357</v>
      </c>
      <c r="CM1499" s="58" t="s">
        <v>14358</v>
      </c>
      <c r="CO1499" s="58" t="s">
        <v>14359</v>
      </c>
      <c r="CP1499" s="58" t="s">
        <v>14360</v>
      </c>
      <c r="CT1499" s="58">
        <v>53.0</v>
      </c>
      <c r="CU1499" s="58" t="s">
        <v>239</v>
      </c>
      <c r="DL1499" s="58" t="s">
        <v>14361</v>
      </c>
    </row>
    <row r="1500" ht="15.75" customHeight="1">
      <c r="B1500" s="58" t="s">
        <v>4587</v>
      </c>
      <c r="C1500" s="58">
        <v>2023.0</v>
      </c>
      <c r="D1500" s="58" t="s">
        <v>14362</v>
      </c>
      <c r="E1500" s="58" t="s">
        <v>14363</v>
      </c>
      <c r="F1500" s="58" t="s">
        <v>14364</v>
      </c>
      <c r="I1500" s="58" t="s">
        <v>14365</v>
      </c>
      <c r="K1500" s="73">
        <v>45329.0</v>
      </c>
      <c r="Z1500" s="58" t="s">
        <v>239</v>
      </c>
      <c r="CH1500" s="58" t="s">
        <v>14366</v>
      </c>
      <c r="CI1500" s="73">
        <v>45329.0</v>
      </c>
      <c r="CJ1500" s="58">
        <v>9.0</v>
      </c>
      <c r="CK1500" s="58">
        <v>15.0</v>
      </c>
      <c r="CL1500" s="58" t="s">
        <v>14367</v>
      </c>
      <c r="CM1500" s="58" t="s">
        <v>14368</v>
      </c>
      <c r="CN1500" s="58" t="s">
        <v>9079</v>
      </c>
      <c r="CO1500" s="58" t="s">
        <v>14369</v>
      </c>
      <c r="CP1500" s="58" t="s">
        <v>14370</v>
      </c>
      <c r="CT1500" s="58">
        <v>35.0</v>
      </c>
      <c r="CU1500" s="58" t="s">
        <v>239</v>
      </c>
      <c r="DL1500" s="58" t="s">
        <v>14371</v>
      </c>
    </row>
    <row r="1501" ht="15.75" customHeight="1">
      <c r="B1501" s="58" t="s">
        <v>4587</v>
      </c>
      <c r="C1501" s="58">
        <v>2024.0</v>
      </c>
      <c r="D1501" s="58" t="s">
        <v>14372</v>
      </c>
      <c r="E1501" s="58" t="s">
        <v>14373</v>
      </c>
      <c r="F1501" s="58" t="s">
        <v>14374</v>
      </c>
      <c r="I1501" s="58" t="s">
        <v>14375</v>
      </c>
      <c r="K1501" s="73">
        <v>45700.0</v>
      </c>
      <c r="Z1501" s="58" t="s">
        <v>239</v>
      </c>
      <c r="CH1501" s="58" t="s">
        <v>14376</v>
      </c>
      <c r="CI1501" s="73">
        <v>45700.0</v>
      </c>
      <c r="CJ1501" s="58">
        <v>1580.0</v>
      </c>
      <c r="CK1501" s="58">
        <v>1583.0</v>
      </c>
      <c r="CL1501" s="58" t="s">
        <v>14377</v>
      </c>
      <c r="CM1501" s="58" t="s">
        <v>14378</v>
      </c>
      <c r="CO1501" s="58" t="s">
        <v>14379</v>
      </c>
      <c r="CP1501" s="58" t="s">
        <v>14380</v>
      </c>
      <c r="CT1501" s="58">
        <v>8.0</v>
      </c>
      <c r="CU1501" s="58" t="s">
        <v>239</v>
      </c>
      <c r="DL1501" s="58" t="s">
        <v>14381</v>
      </c>
    </row>
    <row r="1502" ht="15.75" customHeight="1">
      <c r="B1502" s="58" t="s">
        <v>4587</v>
      </c>
      <c r="C1502" s="58">
        <v>2023.0</v>
      </c>
      <c r="D1502" s="58" t="s">
        <v>14382</v>
      </c>
      <c r="E1502" s="58" t="s">
        <v>14383</v>
      </c>
      <c r="F1502" s="58" t="s">
        <v>12056</v>
      </c>
      <c r="H1502" s="58" t="s">
        <v>12057</v>
      </c>
      <c r="I1502" s="58" t="s">
        <v>14384</v>
      </c>
      <c r="K1502" s="73">
        <v>45442.0</v>
      </c>
      <c r="Z1502" s="58" t="s">
        <v>239</v>
      </c>
      <c r="CH1502" s="58" t="s">
        <v>14385</v>
      </c>
      <c r="CI1502" s="73">
        <v>45442.0</v>
      </c>
      <c r="CJ1502" s="58">
        <v>1.0</v>
      </c>
      <c r="CK1502" s="58">
        <v>6.0</v>
      </c>
      <c r="CL1502" s="58" t="s">
        <v>14386</v>
      </c>
      <c r="CM1502" s="58" t="s">
        <v>12061</v>
      </c>
      <c r="CO1502" s="58" t="s">
        <v>14387</v>
      </c>
      <c r="CP1502" s="58" t="s">
        <v>14388</v>
      </c>
      <c r="CT1502" s="58">
        <v>12.0</v>
      </c>
      <c r="CU1502" s="58" t="s">
        <v>239</v>
      </c>
      <c r="DL1502" s="58" t="s">
        <v>14389</v>
      </c>
    </row>
    <row r="1503" ht="15.75" customHeight="1">
      <c r="B1503" s="58" t="s">
        <v>4587</v>
      </c>
      <c r="C1503" s="58">
        <v>2024.0</v>
      </c>
      <c r="D1503" s="58" t="s">
        <v>14390</v>
      </c>
      <c r="E1503" s="58" t="s">
        <v>14391</v>
      </c>
      <c r="F1503" s="58" t="s">
        <v>14392</v>
      </c>
      <c r="I1503" s="58" t="s">
        <v>14393</v>
      </c>
      <c r="K1503" s="73">
        <v>45492.0</v>
      </c>
      <c r="Z1503" s="58" t="s">
        <v>239</v>
      </c>
      <c r="CH1503" s="58" t="s">
        <v>14394</v>
      </c>
      <c r="CI1503" s="73">
        <v>45492.0</v>
      </c>
      <c r="CJ1503" s="58">
        <v>133.0</v>
      </c>
      <c r="CK1503" s="58">
        <v>140.0</v>
      </c>
      <c r="CL1503" s="58" t="s">
        <v>14395</v>
      </c>
      <c r="CM1503" s="58" t="s">
        <v>14396</v>
      </c>
      <c r="CO1503" s="58" t="s">
        <v>14397</v>
      </c>
      <c r="CP1503" s="58" t="s">
        <v>14398</v>
      </c>
      <c r="CT1503" s="58">
        <v>22.0</v>
      </c>
      <c r="CU1503" s="58" t="s">
        <v>239</v>
      </c>
      <c r="DL1503" s="58" t="s">
        <v>14399</v>
      </c>
    </row>
    <row r="1504" ht="15.75" customHeight="1">
      <c r="B1504" s="58" t="s">
        <v>4587</v>
      </c>
      <c r="C1504" s="58">
        <v>2024.0</v>
      </c>
      <c r="D1504" s="58" t="s">
        <v>14400</v>
      </c>
      <c r="E1504" s="58" t="s">
        <v>14401</v>
      </c>
      <c r="F1504" s="58" t="s">
        <v>14402</v>
      </c>
      <c r="H1504" s="58" t="s">
        <v>14403</v>
      </c>
      <c r="I1504" s="58" t="s">
        <v>14404</v>
      </c>
      <c r="K1504" s="73">
        <v>45449.0</v>
      </c>
      <c r="Z1504" s="58" t="s">
        <v>239</v>
      </c>
      <c r="CH1504" s="58" t="s">
        <v>14405</v>
      </c>
      <c r="CI1504" s="73">
        <v>45449.0</v>
      </c>
      <c r="CJ1504" s="58">
        <v>982.0</v>
      </c>
      <c r="CK1504" s="58">
        <v>987.0</v>
      </c>
      <c r="CL1504" s="58" t="s">
        <v>14406</v>
      </c>
      <c r="CM1504" s="58" t="s">
        <v>14407</v>
      </c>
      <c r="CO1504" s="58" t="s">
        <v>14408</v>
      </c>
      <c r="CP1504" s="58" t="s">
        <v>14409</v>
      </c>
      <c r="CT1504" s="58">
        <v>12.0</v>
      </c>
      <c r="CU1504" s="58" t="s">
        <v>239</v>
      </c>
      <c r="DL1504" s="58" t="s">
        <v>14410</v>
      </c>
    </row>
    <row r="1505" ht="15.75" customHeight="1">
      <c r="B1505" s="58" t="s">
        <v>4587</v>
      </c>
      <c r="C1505" s="58">
        <v>2024.0</v>
      </c>
      <c r="D1505" s="58" t="s">
        <v>14411</v>
      </c>
      <c r="E1505" s="58" t="s">
        <v>14412</v>
      </c>
      <c r="F1505" s="58" t="s">
        <v>13916</v>
      </c>
      <c r="I1505" s="58" t="s">
        <v>14413</v>
      </c>
      <c r="K1505" s="73">
        <v>45729.0</v>
      </c>
      <c r="Z1505" s="58" t="s">
        <v>239</v>
      </c>
      <c r="CH1505" s="58" t="s">
        <v>14414</v>
      </c>
      <c r="CI1505" s="73">
        <v>45729.0</v>
      </c>
      <c r="CJ1505" s="58">
        <v>1.0</v>
      </c>
      <c r="CK1505" s="58">
        <v>8.0</v>
      </c>
      <c r="CL1505" s="58" t="s">
        <v>14415</v>
      </c>
      <c r="CM1505" s="58" t="s">
        <v>13920</v>
      </c>
      <c r="CO1505" s="58" t="s">
        <v>14416</v>
      </c>
      <c r="CT1505" s="58">
        <v>11.0</v>
      </c>
      <c r="CU1505" s="58" t="s">
        <v>239</v>
      </c>
      <c r="DL1505" s="58" t="s">
        <v>14417</v>
      </c>
    </row>
    <row r="1506" ht="15.75" customHeight="1">
      <c r="B1506" s="58" t="s">
        <v>4587</v>
      </c>
      <c r="C1506" s="58">
        <v>2024.0</v>
      </c>
      <c r="D1506" s="58" t="s">
        <v>14418</v>
      </c>
      <c r="E1506" s="58" t="s">
        <v>14419</v>
      </c>
      <c r="F1506" s="58" t="s">
        <v>14420</v>
      </c>
      <c r="I1506" s="58" t="s">
        <v>14421</v>
      </c>
      <c r="K1506" s="73">
        <v>45672.0</v>
      </c>
      <c r="R1506" s="58">
        <v>7.0</v>
      </c>
      <c r="Z1506" s="58" t="s">
        <v>239</v>
      </c>
      <c r="CH1506" s="58" t="s">
        <v>14422</v>
      </c>
      <c r="CI1506" s="73">
        <v>45672.0</v>
      </c>
      <c r="CJ1506" s="58">
        <v>1603.0</v>
      </c>
      <c r="CK1506" s="58">
        <v>1608.0</v>
      </c>
      <c r="CL1506" s="58" t="s">
        <v>14423</v>
      </c>
      <c r="CM1506" s="58" t="s">
        <v>14424</v>
      </c>
      <c r="CO1506" s="58" t="s">
        <v>14425</v>
      </c>
      <c r="CP1506" s="58" t="s">
        <v>14426</v>
      </c>
      <c r="CT1506" s="58">
        <v>18.0</v>
      </c>
      <c r="CU1506" s="58" t="s">
        <v>239</v>
      </c>
      <c r="DL1506" s="58" t="s">
        <v>14427</v>
      </c>
    </row>
    <row r="1507" ht="15.75" customHeight="1">
      <c r="B1507" s="58" t="s">
        <v>9522</v>
      </c>
      <c r="C1507" s="58">
        <v>2024.0</v>
      </c>
      <c r="D1507" s="58" t="s">
        <v>14428</v>
      </c>
      <c r="E1507" s="58" t="s">
        <v>14429</v>
      </c>
      <c r="F1507" s="58" t="s">
        <v>12853</v>
      </c>
      <c r="I1507" s="58" t="s">
        <v>14430</v>
      </c>
      <c r="K1507" s="73">
        <v>45684.0</v>
      </c>
      <c r="R1507" s="58">
        <v>2024.0</v>
      </c>
      <c r="Z1507" s="58" t="s">
        <v>9527</v>
      </c>
      <c r="CH1507" s="58" t="s">
        <v>14431</v>
      </c>
      <c r="CI1507" s="73">
        <v>45684.0</v>
      </c>
      <c r="CJ1507" s="58">
        <v>59.0</v>
      </c>
      <c r="CK1507" s="58">
        <v>66.0</v>
      </c>
      <c r="CL1507" s="58" t="s">
        <v>14432</v>
      </c>
      <c r="CM1507" s="58" t="s">
        <v>12857</v>
      </c>
      <c r="CO1507" s="58" t="s">
        <v>14433</v>
      </c>
    </row>
    <row r="1508" ht="15.75" customHeight="1">
      <c r="B1508" s="58" t="s">
        <v>4587</v>
      </c>
      <c r="C1508" s="58">
        <v>2024.0</v>
      </c>
      <c r="D1508" s="58" t="s">
        <v>14434</v>
      </c>
      <c r="E1508" s="58" t="s">
        <v>14435</v>
      </c>
      <c r="F1508" s="58" t="s">
        <v>14436</v>
      </c>
      <c r="H1508" s="58" t="s">
        <v>14437</v>
      </c>
      <c r="I1508" s="58" t="s">
        <v>14438</v>
      </c>
      <c r="K1508" s="73">
        <v>45656.0</v>
      </c>
      <c r="Z1508" s="58" t="s">
        <v>239</v>
      </c>
      <c r="CH1508" s="58" t="s">
        <v>14439</v>
      </c>
      <c r="CI1508" s="73">
        <v>45656.0</v>
      </c>
      <c r="CJ1508" s="58">
        <v>479.0</v>
      </c>
      <c r="CK1508" s="58">
        <v>482.0</v>
      </c>
      <c r="CL1508" s="58" t="s">
        <v>14440</v>
      </c>
      <c r="CM1508" s="58" t="s">
        <v>14441</v>
      </c>
      <c r="CO1508" s="58" t="s">
        <v>14442</v>
      </c>
      <c r="CP1508" s="58" t="s">
        <v>14443</v>
      </c>
      <c r="CT1508" s="58">
        <v>9.0</v>
      </c>
      <c r="CU1508" s="58" t="s">
        <v>239</v>
      </c>
      <c r="DL1508" s="58" t="s">
        <v>14444</v>
      </c>
    </row>
    <row r="1509" ht="15.75" customHeight="1">
      <c r="B1509" s="58" t="s">
        <v>4587</v>
      </c>
      <c r="C1509" s="58">
        <v>2024.0</v>
      </c>
      <c r="D1509" s="58" t="s">
        <v>14445</v>
      </c>
      <c r="E1509" s="58" t="s">
        <v>14446</v>
      </c>
      <c r="F1509" s="58" t="s">
        <v>14447</v>
      </c>
      <c r="I1509" s="58" t="s">
        <v>14448</v>
      </c>
      <c r="K1509" s="73">
        <v>45518.0</v>
      </c>
      <c r="Z1509" s="58" t="s">
        <v>239</v>
      </c>
      <c r="CH1509" s="58" t="s">
        <v>14449</v>
      </c>
      <c r="CI1509" s="73">
        <v>45518.0</v>
      </c>
      <c r="CJ1509" s="58">
        <v>54.0</v>
      </c>
      <c r="CK1509" s="58">
        <v>59.0</v>
      </c>
      <c r="CL1509" s="58" t="s">
        <v>14450</v>
      </c>
      <c r="CM1509" s="58" t="s">
        <v>14451</v>
      </c>
      <c r="CO1509" s="58" t="s">
        <v>14452</v>
      </c>
      <c r="CP1509" s="58" t="s">
        <v>14453</v>
      </c>
      <c r="CT1509" s="58">
        <v>9.0</v>
      </c>
      <c r="CU1509" s="58" t="s">
        <v>239</v>
      </c>
      <c r="DL1509" s="58" t="s">
        <v>14454</v>
      </c>
    </row>
    <row r="1510" ht="15.75" customHeight="1">
      <c r="B1510" s="58" t="s">
        <v>4587</v>
      </c>
      <c r="C1510" s="58">
        <v>2024.0</v>
      </c>
      <c r="D1510" s="58" t="s">
        <v>14455</v>
      </c>
      <c r="E1510" s="58" t="s">
        <v>14456</v>
      </c>
      <c r="F1510" s="58" t="s">
        <v>12468</v>
      </c>
      <c r="H1510" s="58" t="s">
        <v>4733</v>
      </c>
      <c r="I1510" s="58" t="s">
        <v>14457</v>
      </c>
      <c r="K1510" s="73">
        <v>45516.0</v>
      </c>
      <c r="Z1510" s="58" t="s">
        <v>239</v>
      </c>
      <c r="CH1510" s="58" t="s">
        <v>14458</v>
      </c>
      <c r="CI1510" s="73">
        <v>45516.0</v>
      </c>
      <c r="CJ1510" s="58">
        <v>1591.0</v>
      </c>
      <c r="CK1510" s="58">
        <v>1600.0</v>
      </c>
      <c r="CL1510" s="58" t="s">
        <v>14459</v>
      </c>
      <c r="CM1510" s="58" t="s">
        <v>12472</v>
      </c>
      <c r="CO1510" s="58" t="s">
        <v>14460</v>
      </c>
      <c r="CT1510" s="58">
        <v>30.0</v>
      </c>
      <c r="CU1510" s="58" t="s">
        <v>239</v>
      </c>
      <c r="DL1510" s="58" t="s">
        <v>14461</v>
      </c>
    </row>
    <row r="1511" ht="15.75" customHeight="1">
      <c r="B1511" s="58" t="s">
        <v>4587</v>
      </c>
      <c r="C1511" s="58">
        <v>2024.0</v>
      </c>
      <c r="D1511" s="58" t="s">
        <v>14462</v>
      </c>
      <c r="E1511" s="58" t="s">
        <v>14463</v>
      </c>
      <c r="F1511" s="58" t="s">
        <v>14464</v>
      </c>
      <c r="I1511" s="58" t="s">
        <v>14465</v>
      </c>
      <c r="K1511" s="73">
        <v>45553.0</v>
      </c>
      <c r="Z1511" s="58" t="s">
        <v>239</v>
      </c>
      <c r="CH1511" s="58" t="s">
        <v>14466</v>
      </c>
      <c r="CI1511" s="73">
        <v>45553.0</v>
      </c>
      <c r="CJ1511" s="58">
        <v>464.0</v>
      </c>
      <c r="CK1511" s="58">
        <v>469.0</v>
      </c>
      <c r="CL1511" s="58" t="s">
        <v>14467</v>
      </c>
      <c r="CM1511" s="58" t="s">
        <v>14468</v>
      </c>
      <c r="CO1511" s="58" t="s">
        <v>14469</v>
      </c>
      <c r="CP1511" s="58" t="s">
        <v>14470</v>
      </c>
      <c r="CT1511" s="58">
        <v>15.0</v>
      </c>
      <c r="CU1511" s="58" t="s">
        <v>239</v>
      </c>
      <c r="DL1511" s="58" t="s">
        <v>14471</v>
      </c>
    </row>
    <row r="1512" ht="15.75" customHeight="1">
      <c r="B1512" s="58" t="s">
        <v>4587</v>
      </c>
      <c r="C1512" s="58">
        <v>2024.0</v>
      </c>
      <c r="D1512" s="58" t="s">
        <v>14472</v>
      </c>
      <c r="E1512" s="58" t="s">
        <v>14473</v>
      </c>
      <c r="F1512" s="58" t="s">
        <v>14474</v>
      </c>
      <c r="H1512" s="58" t="s">
        <v>10318</v>
      </c>
      <c r="I1512" s="58" t="s">
        <v>14475</v>
      </c>
      <c r="K1512" s="73">
        <v>45512.0</v>
      </c>
      <c r="Z1512" s="58" t="s">
        <v>239</v>
      </c>
      <c r="CH1512" s="58" t="s">
        <v>14476</v>
      </c>
      <c r="CI1512" s="73">
        <v>45512.0</v>
      </c>
      <c r="CJ1512" s="58">
        <v>1.0</v>
      </c>
      <c r="CK1512" s="58">
        <v>6.0</v>
      </c>
      <c r="CL1512" s="58" t="s">
        <v>14477</v>
      </c>
      <c r="CM1512" s="58" t="s">
        <v>14478</v>
      </c>
      <c r="CO1512" s="58" t="s">
        <v>14479</v>
      </c>
      <c r="CP1512" s="58" t="s">
        <v>14480</v>
      </c>
      <c r="CT1512" s="58">
        <v>16.0</v>
      </c>
      <c r="CU1512" s="58" t="s">
        <v>239</v>
      </c>
      <c r="DL1512" s="58" t="s">
        <v>14481</v>
      </c>
    </row>
    <row r="1513" ht="15.75" customHeight="1">
      <c r="B1513" s="58" t="s">
        <v>4587</v>
      </c>
      <c r="C1513" s="58">
        <v>2023.0</v>
      </c>
      <c r="D1513" s="58" t="s">
        <v>14482</v>
      </c>
      <c r="E1513" s="58" t="s">
        <v>14483</v>
      </c>
      <c r="F1513" s="58" t="s">
        <v>11161</v>
      </c>
      <c r="I1513" s="58" t="s">
        <v>14484</v>
      </c>
      <c r="K1513" s="73">
        <v>45400.0</v>
      </c>
      <c r="Z1513" s="58" t="s">
        <v>239</v>
      </c>
      <c r="CH1513" s="58" t="s">
        <v>14485</v>
      </c>
      <c r="CI1513" s="73">
        <v>45400.0</v>
      </c>
      <c r="CJ1513" s="58">
        <v>577.0</v>
      </c>
      <c r="CK1513" s="58">
        <v>583.0</v>
      </c>
      <c r="CL1513" s="58" t="s">
        <v>14486</v>
      </c>
      <c r="CM1513" s="58" t="s">
        <v>11165</v>
      </c>
      <c r="CO1513" s="58" t="s">
        <v>14487</v>
      </c>
      <c r="CP1513" s="58" t="s">
        <v>14488</v>
      </c>
      <c r="CT1513" s="58">
        <v>16.0</v>
      </c>
      <c r="CU1513" s="58" t="s">
        <v>239</v>
      </c>
      <c r="DL1513" s="58" t="s">
        <v>14489</v>
      </c>
    </row>
    <row r="1514" ht="15.75" customHeight="1">
      <c r="B1514" s="58" t="s">
        <v>4587</v>
      </c>
      <c r="C1514" s="58">
        <v>2024.0</v>
      </c>
      <c r="D1514" s="58" t="s">
        <v>14490</v>
      </c>
      <c r="E1514" s="58" t="s">
        <v>14491</v>
      </c>
      <c r="F1514" s="58" t="s">
        <v>14492</v>
      </c>
      <c r="H1514" s="58" t="s">
        <v>14493</v>
      </c>
      <c r="I1514" s="58" t="s">
        <v>14494</v>
      </c>
      <c r="K1514" s="73">
        <v>45653.0</v>
      </c>
      <c r="Z1514" s="58" t="s">
        <v>239</v>
      </c>
      <c r="CH1514" s="58" t="s">
        <v>14495</v>
      </c>
      <c r="CI1514" s="73">
        <v>45653.0</v>
      </c>
      <c r="CJ1514" s="58">
        <v>1.0</v>
      </c>
      <c r="CK1514" s="58">
        <v>6.0</v>
      </c>
      <c r="CL1514" s="58" t="s">
        <v>14496</v>
      </c>
      <c r="CM1514" s="58" t="s">
        <v>14497</v>
      </c>
      <c r="CO1514" s="58" t="s">
        <v>14498</v>
      </c>
      <c r="CP1514" s="58" t="s">
        <v>14499</v>
      </c>
      <c r="CT1514" s="58">
        <v>17.0</v>
      </c>
      <c r="CU1514" s="58" t="s">
        <v>239</v>
      </c>
      <c r="DL1514" s="58" t="s">
        <v>14500</v>
      </c>
    </row>
    <row r="1515" ht="15.75" customHeight="1">
      <c r="B1515" s="58" t="s">
        <v>4587</v>
      </c>
      <c r="C1515" s="58">
        <v>2023.0</v>
      </c>
      <c r="D1515" s="58" t="s">
        <v>14501</v>
      </c>
      <c r="E1515" s="58" t="s">
        <v>14502</v>
      </c>
      <c r="F1515" s="58" t="s">
        <v>14503</v>
      </c>
      <c r="I1515" s="58" t="s">
        <v>14504</v>
      </c>
      <c r="K1515" s="73">
        <v>45323.0</v>
      </c>
      <c r="Z1515" s="58" t="s">
        <v>239</v>
      </c>
      <c r="CH1515" s="58" t="s">
        <v>14505</v>
      </c>
      <c r="CI1515" s="73">
        <v>45323.0</v>
      </c>
      <c r="CJ1515" s="58">
        <v>229.0</v>
      </c>
      <c r="CK1515" s="58">
        <v>236.0</v>
      </c>
      <c r="CL1515" s="58" t="s">
        <v>14506</v>
      </c>
      <c r="CM1515" s="58" t="s">
        <v>14507</v>
      </c>
      <c r="CO1515" s="58" t="s">
        <v>14508</v>
      </c>
      <c r="CP1515" s="58" t="s">
        <v>14509</v>
      </c>
      <c r="CT1515" s="58">
        <v>23.0</v>
      </c>
      <c r="CU1515" s="58" t="s">
        <v>239</v>
      </c>
      <c r="DL1515" s="58" t="s">
        <v>14510</v>
      </c>
    </row>
    <row r="1516" ht="15.75" customHeight="1">
      <c r="B1516" s="58" t="s">
        <v>4587</v>
      </c>
      <c r="C1516" s="58">
        <v>2024.0</v>
      </c>
      <c r="D1516" s="58" t="s">
        <v>14511</v>
      </c>
      <c r="E1516" s="58" t="s">
        <v>14512</v>
      </c>
      <c r="F1516" s="58" t="s">
        <v>14513</v>
      </c>
      <c r="H1516" s="58" t="s">
        <v>14514</v>
      </c>
      <c r="I1516" s="58" t="s">
        <v>14515</v>
      </c>
      <c r="K1516" s="73">
        <v>45530.0</v>
      </c>
      <c r="Z1516" s="58" t="s">
        <v>239</v>
      </c>
      <c r="CH1516" s="58" t="s">
        <v>14516</v>
      </c>
      <c r="CI1516" s="73">
        <v>45530.0</v>
      </c>
      <c r="CJ1516" s="58">
        <v>1598.0</v>
      </c>
      <c r="CK1516" s="58">
        <v>1605.0</v>
      </c>
      <c r="CL1516" s="58" t="s">
        <v>14517</v>
      </c>
      <c r="CM1516" s="58" t="s">
        <v>14518</v>
      </c>
      <c r="CO1516" s="58" t="s">
        <v>14519</v>
      </c>
      <c r="CP1516" s="58" t="s">
        <v>14520</v>
      </c>
      <c r="CT1516" s="58">
        <v>23.0</v>
      </c>
      <c r="CU1516" s="58" t="s">
        <v>239</v>
      </c>
      <c r="DL1516" s="58" t="s">
        <v>14521</v>
      </c>
    </row>
    <row r="1517" ht="15.75" customHeight="1">
      <c r="B1517" s="58" t="s">
        <v>4587</v>
      </c>
      <c r="C1517" s="58">
        <v>2024.0</v>
      </c>
      <c r="D1517" s="58" t="s">
        <v>14522</v>
      </c>
      <c r="E1517" s="58" t="s">
        <v>14523</v>
      </c>
      <c r="F1517" s="58" t="s">
        <v>14524</v>
      </c>
      <c r="H1517" s="58" t="s">
        <v>14525</v>
      </c>
      <c r="I1517" s="58" t="s">
        <v>14526</v>
      </c>
      <c r="K1517" s="73">
        <v>45664.0</v>
      </c>
      <c r="Z1517" s="58" t="s">
        <v>239</v>
      </c>
      <c r="CH1517" s="58" t="s">
        <v>14527</v>
      </c>
      <c r="CI1517" s="73">
        <v>45664.0</v>
      </c>
      <c r="CJ1517" s="58">
        <v>1.0</v>
      </c>
      <c r="CK1517" s="58">
        <v>7.0</v>
      </c>
      <c r="CL1517" s="58" t="s">
        <v>14528</v>
      </c>
      <c r="CM1517" s="58" t="s">
        <v>14529</v>
      </c>
      <c r="CO1517" s="58" t="s">
        <v>14530</v>
      </c>
      <c r="CP1517" s="58" t="s">
        <v>14531</v>
      </c>
      <c r="CT1517" s="58">
        <v>19.0</v>
      </c>
      <c r="CU1517" s="58" t="s">
        <v>239</v>
      </c>
      <c r="DL1517" s="58" t="s">
        <v>14532</v>
      </c>
    </row>
    <row r="1518" ht="15.75" customHeight="1">
      <c r="B1518" s="58" t="s">
        <v>4587</v>
      </c>
      <c r="C1518" s="58">
        <v>2024.0</v>
      </c>
      <c r="D1518" s="58" t="s">
        <v>14533</v>
      </c>
      <c r="E1518" s="58" t="s">
        <v>14534</v>
      </c>
      <c r="F1518" s="58" t="s">
        <v>14535</v>
      </c>
      <c r="H1518" s="58" t="s">
        <v>9205</v>
      </c>
      <c r="I1518" s="58" t="s">
        <v>14536</v>
      </c>
      <c r="K1518" s="73">
        <v>45624.0</v>
      </c>
      <c r="Z1518" s="58" t="s">
        <v>239</v>
      </c>
      <c r="CH1518" s="58" t="s">
        <v>14537</v>
      </c>
      <c r="CI1518" s="73">
        <v>45624.0</v>
      </c>
      <c r="CJ1518" s="58">
        <v>366.0</v>
      </c>
      <c r="CK1518" s="58">
        <v>373.0</v>
      </c>
      <c r="CL1518" s="58" t="s">
        <v>14538</v>
      </c>
      <c r="CM1518" s="58" t="s">
        <v>14539</v>
      </c>
      <c r="CO1518" s="58" t="s">
        <v>14540</v>
      </c>
      <c r="CP1518" s="58" t="s">
        <v>14541</v>
      </c>
      <c r="CT1518" s="58">
        <v>28.0</v>
      </c>
      <c r="CU1518" s="58" t="s">
        <v>239</v>
      </c>
      <c r="DL1518" s="58" t="s">
        <v>14542</v>
      </c>
    </row>
    <row r="1519" ht="15.75" customHeight="1">
      <c r="B1519" s="58" t="s">
        <v>4587</v>
      </c>
      <c r="C1519" s="58">
        <v>2023.0</v>
      </c>
      <c r="D1519" s="58" t="s">
        <v>14543</v>
      </c>
      <c r="E1519" s="58" t="s">
        <v>14544</v>
      </c>
      <c r="F1519" s="58" t="s">
        <v>14545</v>
      </c>
      <c r="I1519" s="58" t="s">
        <v>14546</v>
      </c>
      <c r="K1519" s="73">
        <v>45201.0</v>
      </c>
      <c r="Z1519" s="58" t="s">
        <v>239</v>
      </c>
      <c r="CH1519" s="58" t="s">
        <v>14547</v>
      </c>
      <c r="CI1519" s="73">
        <v>45201.0</v>
      </c>
      <c r="CJ1519" s="58">
        <v>1.0</v>
      </c>
      <c r="CK1519" s="58">
        <v>11.0</v>
      </c>
      <c r="CL1519" s="58" t="s">
        <v>14548</v>
      </c>
      <c r="CM1519" s="58" t="s">
        <v>14549</v>
      </c>
      <c r="CO1519" s="58" t="s">
        <v>14550</v>
      </c>
      <c r="CP1519" s="58" t="s">
        <v>14551</v>
      </c>
      <c r="CT1519" s="58">
        <v>11.0</v>
      </c>
      <c r="CU1519" s="58" t="s">
        <v>239</v>
      </c>
      <c r="DL1519" s="58" t="s">
        <v>14552</v>
      </c>
    </row>
    <row r="1520" ht="15.75" customHeight="1">
      <c r="B1520" s="58" t="s">
        <v>4587</v>
      </c>
      <c r="C1520" s="58">
        <v>2024.0</v>
      </c>
      <c r="D1520" s="58" t="s">
        <v>14553</v>
      </c>
      <c r="E1520" s="58" t="s">
        <v>14554</v>
      </c>
      <c r="F1520" s="58" t="s">
        <v>14555</v>
      </c>
      <c r="H1520" s="58" t="s">
        <v>5253</v>
      </c>
      <c r="I1520" s="58" t="s">
        <v>14556</v>
      </c>
      <c r="K1520" s="73">
        <v>45684.0</v>
      </c>
      <c r="Z1520" s="58" t="s">
        <v>239</v>
      </c>
      <c r="CH1520" s="58" t="s">
        <v>14557</v>
      </c>
      <c r="CI1520" s="73">
        <v>45684.0</v>
      </c>
      <c r="CJ1520" s="58">
        <v>383.0</v>
      </c>
      <c r="CK1520" s="58">
        <v>388.0</v>
      </c>
      <c r="CL1520" s="58" t="s">
        <v>14558</v>
      </c>
      <c r="CM1520" s="58" t="s">
        <v>14559</v>
      </c>
      <c r="CO1520" s="58" t="s">
        <v>14560</v>
      </c>
      <c r="CP1520" s="58" t="s">
        <v>14561</v>
      </c>
      <c r="CT1520" s="58">
        <v>16.0</v>
      </c>
      <c r="CU1520" s="58" t="s">
        <v>239</v>
      </c>
      <c r="DL1520" s="58" t="s">
        <v>14562</v>
      </c>
    </row>
    <row r="1521" ht="15.75" customHeight="1">
      <c r="B1521" s="58" t="s">
        <v>4587</v>
      </c>
      <c r="C1521" s="58">
        <v>2024.0</v>
      </c>
      <c r="D1521" s="58" t="s">
        <v>14563</v>
      </c>
      <c r="E1521" s="58" t="s">
        <v>14564</v>
      </c>
      <c r="F1521" s="58" t="s">
        <v>14565</v>
      </c>
      <c r="H1521" s="58" t="s">
        <v>14566</v>
      </c>
      <c r="I1521" s="58" t="s">
        <v>14567</v>
      </c>
      <c r="K1521" s="73">
        <v>45513.0</v>
      </c>
      <c r="Z1521" s="58" t="s">
        <v>239</v>
      </c>
      <c r="CH1521" s="58" t="s">
        <v>14568</v>
      </c>
      <c r="CI1521" s="73">
        <v>45513.0</v>
      </c>
      <c r="CJ1521" s="58">
        <v>132.0</v>
      </c>
      <c r="CK1521" s="58">
        <v>136.0</v>
      </c>
      <c r="CL1521" s="58" t="s">
        <v>14569</v>
      </c>
      <c r="CM1521" s="58" t="s">
        <v>14570</v>
      </c>
      <c r="CO1521" s="58" t="s">
        <v>14571</v>
      </c>
      <c r="CP1521" s="58" t="s">
        <v>14572</v>
      </c>
      <c r="CT1521" s="58">
        <v>10.0</v>
      </c>
      <c r="CU1521" s="58" t="s">
        <v>239</v>
      </c>
      <c r="DL1521" s="58" t="s">
        <v>14573</v>
      </c>
    </row>
    <row r="1522" ht="15.75" customHeight="1">
      <c r="B1522" s="58" t="s">
        <v>4587</v>
      </c>
      <c r="C1522" s="58">
        <v>2024.0</v>
      </c>
      <c r="D1522" s="58" t="s">
        <v>14574</v>
      </c>
      <c r="E1522" s="58" t="s">
        <v>14575</v>
      </c>
      <c r="F1522" s="58" t="s">
        <v>12562</v>
      </c>
      <c r="H1522" s="58" t="s">
        <v>12563</v>
      </c>
      <c r="I1522" s="58" t="s">
        <v>14576</v>
      </c>
      <c r="K1522" s="73">
        <v>45673.0</v>
      </c>
      <c r="Z1522" s="58" t="s">
        <v>239</v>
      </c>
      <c r="CH1522" s="58" t="s">
        <v>14577</v>
      </c>
      <c r="CI1522" s="73">
        <v>45673.0</v>
      </c>
      <c r="CJ1522" s="58">
        <v>5201.0</v>
      </c>
      <c r="CK1522" s="58">
        <v>5210.0</v>
      </c>
      <c r="CL1522" s="58" t="s">
        <v>14578</v>
      </c>
      <c r="CM1522" s="58" t="s">
        <v>12567</v>
      </c>
      <c r="CO1522" s="58" t="s">
        <v>14579</v>
      </c>
      <c r="CT1522" s="58">
        <v>33.0</v>
      </c>
      <c r="CU1522" s="58" t="s">
        <v>239</v>
      </c>
      <c r="DL1522" s="58" t="s">
        <v>14580</v>
      </c>
    </row>
    <row r="1523" ht="15.75" customHeight="1">
      <c r="B1523" s="58" t="s">
        <v>4587</v>
      </c>
      <c r="C1523" s="58">
        <v>2024.0</v>
      </c>
      <c r="D1523" s="58" t="s">
        <v>14581</v>
      </c>
      <c r="E1523" s="58" t="s">
        <v>14582</v>
      </c>
      <c r="F1523" s="58" t="s">
        <v>14583</v>
      </c>
      <c r="I1523" s="58" t="s">
        <v>14584</v>
      </c>
      <c r="K1523" s="73">
        <v>45702.0</v>
      </c>
      <c r="Z1523" s="58" t="s">
        <v>239</v>
      </c>
      <c r="CH1523" s="58" t="s">
        <v>14585</v>
      </c>
      <c r="CI1523" s="73">
        <v>45702.0</v>
      </c>
      <c r="CJ1523" s="58">
        <v>7.0</v>
      </c>
      <c r="CK1523" s="58">
        <v>11.0</v>
      </c>
      <c r="CL1523" s="58" t="s">
        <v>14586</v>
      </c>
      <c r="CM1523" s="58" t="s">
        <v>14587</v>
      </c>
      <c r="CO1523" s="58" t="s">
        <v>14588</v>
      </c>
      <c r="CP1523" s="58" t="s">
        <v>14589</v>
      </c>
      <c r="CT1523" s="58">
        <v>12.0</v>
      </c>
      <c r="CU1523" s="58" t="s">
        <v>239</v>
      </c>
      <c r="DL1523" s="58" t="s">
        <v>14590</v>
      </c>
    </row>
    <row r="1524" ht="15.75" customHeight="1">
      <c r="B1524" s="58" t="s">
        <v>4587</v>
      </c>
      <c r="C1524" s="58">
        <v>2024.0</v>
      </c>
      <c r="D1524" s="58" t="s">
        <v>14591</v>
      </c>
      <c r="E1524" s="58" t="s">
        <v>14592</v>
      </c>
      <c r="F1524" s="58" t="s">
        <v>11854</v>
      </c>
      <c r="H1524" s="58" t="s">
        <v>11493</v>
      </c>
      <c r="I1524" s="58" t="s">
        <v>14593</v>
      </c>
      <c r="K1524" s="73">
        <v>45525.0</v>
      </c>
      <c r="Z1524" s="58" t="s">
        <v>239</v>
      </c>
      <c r="CH1524" s="58" t="s">
        <v>14594</v>
      </c>
      <c r="CI1524" s="73">
        <v>45525.0</v>
      </c>
      <c r="CJ1524" s="58">
        <v>167.0</v>
      </c>
      <c r="CK1524" s="58">
        <v>170.0</v>
      </c>
      <c r="CL1524" s="58" t="s">
        <v>14595</v>
      </c>
      <c r="CM1524" s="58" t="s">
        <v>11858</v>
      </c>
      <c r="CO1524" s="58" t="s">
        <v>14596</v>
      </c>
      <c r="CP1524" s="58" t="s">
        <v>14597</v>
      </c>
      <c r="CT1524" s="58">
        <v>16.0</v>
      </c>
      <c r="CU1524" s="58" t="s">
        <v>239</v>
      </c>
      <c r="DL1524" s="58" t="s">
        <v>14598</v>
      </c>
    </row>
    <row r="1525" ht="15.75" customHeight="1">
      <c r="B1525" s="58" t="s">
        <v>4587</v>
      </c>
      <c r="C1525" s="58">
        <v>2024.0</v>
      </c>
      <c r="D1525" s="58" t="s">
        <v>14599</v>
      </c>
      <c r="E1525" s="58" t="s">
        <v>14600</v>
      </c>
      <c r="F1525" s="58" t="s">
        <v>14601</v>
      </c>
      <c r="H1525" s="58" t="s">
        <v>12057</v>
      </c>
      <c r="I1525" s="58" t="s">
        <v>14602</v>
      </c>
      <c r="K1525" s="73">
        <v>45656.0</v>
      </c>
      <c r="Z1525" s="58" t="s">
        <v>239</v>
      </c>
      <c r="CH1525" s="58" t="s">
        <v>14603</v>
      </c>
      <c r="CI1525" s="73">
        <v>45656.0</v>
      </c>
      <c r="CJ1525" s="58">
        <v>784.0</v>
      </c>
      <c r="CK1525" s="58">
        <v>789.0</v>
      </c>
      <c r="CL1525" s="58" t="s">
        <v>14604</v>
      </c>
      <c r="CM1525" s="58" t="s">
        <v>14605</v>
      </c>
      <c r="CN1525" s="58" t="s">
        <v>14606</v>
      </c>
      <c r="CO1525" s="58" t="s">
        <v>14607</v>
      </c>
      <c r="CP1525" s="58" t="s">
        <v>14608</v>
      </c>
      <c r="CT1525" s="58">
        <v>24.0</v>
      </c>
      <c r="CU1525" s="58" t="s">
        <v>239</v>
      </c>
      <c r="DL1525" s="58" t="s">
        <v>14609</v>
      </c>
    </row>
    <row r="1526" ht="15.75" customHeight="1">
      <c r="B1526" s="58" t="s">
        <v>4587</v>
      </c>
      <c r="C1526" s="58">
        <v>2024.0</v>
      </c>
      <c r="D1526" s="58" t="s">
        <v>14610</v>
      </c>
      <c r="E1526" s="58" t="s">
        <v>14611</v>
      </c>
      <c r="F1526" s="58" t="s">
        <v>12881</v>
      </c>
      <c r="H1526" s="58" t="s">
        <v>5858</v>
      </c>
      <c r="I1526" s="58" t="s">
        <v>14612</v>
      </c>
      <c r="K1526" s="73">
        <v>45526.0</v>
      </c>
      <c r="Z1526" s="58" t="s">
        <v>239</v>
      </c>
      <c r="CH1526" s="58" t="s">
        <v>14613</v>
      </c>
      <c r="CI1526" s="73">
        <v>45526.0</v>
      </c>
      <c r="CJ1526" s="58">
        <v>1.0</v>
      </c>
      <c r="CK1526" s="58">
        <v>9.0</v>
      </c>
      <c r="CL1526" s="58" t="s">
        <v>14614</v>
      </c>
      <c r="CM1526" s="58" t="s">
        <v>12885</v>
      </c>
      <c r="CO1526" s="58" t="s">
        <v>14615</v>
      </c>
      <c r="CP1526" s="58" t="s">
        <v>14616</v>
      </c>
      <c r="CT1526" s="58">
        <v>34.0</v>
      </c>
      <c r="CU1526" s="58" t="s">
        <v>239</v>
      </c>
      <c r="DL1526" s="58" t="s">
        <v>14617</v>
      </c>
    </row>
    <row r="1527" ht="15.75" customHeight="1">
      <c r="B1527" s="58" t="s">
        <v>4587</v>
      </c>
      <c r="C1527" s="58">
        <v>2024.0</v>
      </c>
      <c r="D1527" s="58" t="s">
        <v>14618</v>
      </c>
      <c r="E1527" s="58" t="s">
        <v>14619</v>
      </c>
      <c r="F1527" s="58" t="s">
        <v>12672</v>
      </c>
      <c r="H1527" s="58" t="s">
        <v>5351</v>
      </c>
      <c r="I1527" s="58" t="s">
        <v>14620</v>
      </c>
      <c r="K1527" s="73">
        <v>45596.0</v>
      </c>
      <c r="Z1527" s="58" t="s">
        <v>239</v>
      </c>
      <c r="CH1527" s="58" t="s">
        <v>14621</v>
      </c>
      <c r="CI1527" s="73">
        <v>45596.0</v>
      </c>
      <c r="CJ1527" s="58">
        <v>1.0</v>
      </c>
      <c r="CK1527" s="58">
        <v>6.0</v>
      </c>
      <c r="CL1527" s="58" t="s">
        <v>14622</v>
      </c>
      <c r="CM1527" s="58" t="s">
        <v>12676</v>
      </c>
      <c r="CO1527" s="58" t="s">
        <v>14623</v>
      </c>
      <c r="CP1527" s="58" t="s">
        <v>14624</v>
      </c>
      <c r="CT1527" s="58">
        <v>19.0</v>
      </c>
      <c r="CU1527" s="58" t="s">
        <v>239</v>
      </c>
      <c r="DL1527" s="58" t="s">
        <v>14625</v>
      </c>
    </row>
    <row r="1528" ht="15.75" customHeight="1">
      <c r="B1528" s="58" t="s">
        <v>4587</v>
      </c>
      <c r="C1528" s="58">
        <v>2024.0</v>
      </c>
      <c r="D1528" s="58" t="s">
        <v>14626</v>
      </c>
      <c r="E1528" s="58" t="s">
        <v>14627</v>
      </c>
      <c r="F1528" s="58" t="s">
        <v>14628</v>
      </c>
      <c r="I1528" s="58" t="s">
        <v>14629</v>
      </c>
      <c r="K1528" s="73">
        <v>45730.0</v>
      </c>
      <c r="Z1528" s="58" t="s">
        <v>239</v>
      </c>
      <c r="CH1528" s="58" t="s">
        <v>14630</v>
      </c>
      <c r="CI1528" s="73">
        <v>45730.0</v>
      </c>
      <c r="CJ1528" s="58">
        <v>54.0</v>
      </c>
      <c r="CK1528" s="58">
        <v>60.0</v>
      </c>
      <c r="CL1528" s="58" t="s">
        <v>14631</v>
      </c>
      <c r="CM1528" s="58" t="s">
        <v>14632</v>
      </c>
      <c r="CN1528" s="58" t="s">
        <v>14633</v>
      </c>
      <c r="CO1528" s="58" t="s">
        <v>14634</v>
      </c>
      <c r="CP1528" s="58" t="s">
        <v>14635</v>
      </c>
      <c r="CT1528" s="58">
        <v>15.0</v>
      </c>
      <c r="CU1528" s="58" t="s">
        <v>239</v>
      </c>
      <c r="DL1528" s="58" t="s">
        <v>14636</v>
      </c>
    </row>
    <row r="1529" ht="15.75" customHeight="1">
      <c r="B1529" s="58" t="s">
        <v>4587</v>
      </c>
      <c r="C1529" s="58">
        <v>2024.0</v>
      </c>
      <c r="D1529" s="58" t="s">
        <v>14637</v>
      </c>
      <c r="E1529" s="58" t="s">
        <v>14638</v>
      </c>
      <c r="F1529" s="58" t="s">
        <v>14639</v>
      </c>
      <c r="H1529" s="58" t="s">
        <v>12118</v>
      </c>
      <c r="I1529" s="58" t="s">
        <v>14640</v>
      </c>
      <c r="K1529" s="73">
        <v>45653.0</v>
      </c>
      <c r="Z1529" s="58" t="s">
        <v>239</v>
      </c>
      <c r="CH1529" s="58" t="s">
        <v>14641</v>
      </c>
      <c r="CI1529" s="73">
        <v>45653.0</v>
      </c>
      <c r="CJ1529" s="58">
        <v>364.0</v>
      </c>
      <c r="CK1529" s="58">
        <v>372.0</v>
      </c>
      <c r="CL1529" s="58" t="s">
        <v>14642</v>
      </c>
      <c r="CM1529" s="58" t="s">
        <v>14643</v>
      </c>
      <c r="CN1529" s="58" t="s">
        <v>14644</v>
      </c>
      <c r="CO1529" s="58" t="s">
        <v>14645</v>
      </c>
      <c r="CP1529" s="58" t="s">
        <v>14646</v>
      </c>
      <c r="CT1529" s="58">
        <v>45.0</v>
      </c>
      <c r="CU1529" s="58" t="s">
        <v>239</v>
      </c>
      <c r="DL1529" s="58" t="s">
        <v>14647</v>
      </c>
    </row>
    <row r="1530" ht="15.75" customHeight="1">
      <c r="B1530" s="58" t="s">
        <v>4587</v>
      </c>
      <c r="C1530" s="58">
        <v>2024.0</v>
      </c>
      <c r="D1530" s="58" t="s">
        <v>14648</v>
      </c>
      <c r="E1530" s="58" t="s">
        <v>14649</v>
      </c>
      <c r="F1530" s="58" t="s">
        <v>14650</v>
      </c>
      <c r="I1530" s="58" t="s">
        <v>14651</v>
      </c>
      <c r="K1530" s="73">
        <v>45569.0</v>
      </c>
      <c r="Z1530" s="58" t="s">
        <v>239</v>
      </c>
      <c r="CH1530" s="58" t="s">
        <v>14652</v>
      </c>
      <c r="CI1530" s="73">
        <v>45569.0</v>
      </c>
      <c r="CJ1530" s="58">
        <v>1.0</v>
      </c>
      <c r="CK1530" s="58">
        <v>6.0</v>
      </c>
      <c r="CL1530" s="58" t="s">
        <v>14653</v>
      </c>
      <c r="CM1530" s="58" t="s">
        <v>14654</v>
      </c>
      <c r="CO1530" s="58" t="s">
        <v>14655</v>
      </c>
      <c r="CP1530" s="58" t="s">
        <v>14656</v>
      </c>
      <c r="CT1530" s="58">
        <v>18.0</v>
      </c>
      <c r="CU1530" s="58" t="s">
        <v>239</v>
      </c>
      <c r="DL1530" s="58" t="s">
        <v>14657</v>
      </c>
    </row>
    <row r="1531" ht="15.75" customHeight="1">
      <c r="B1531" s="58" t="s">
        <v>4587</v>
      </c>
      <c r="C1531" s="58">
        <v>2024.0</v>
      </c>
      <c r="D1531" s="58" t="s">
        <v>14658</v>
      </c>
      <c r="E1531" s="58" t="s">
        <v>14659</v>
      </c>
      <c r="F1531" s="58" t="s">
        <v>14660</v>
      </c>
      <c r="I1531" s="58" t="s">
        <v>14661</v>
      </c>
      <c r="K1531" s="73">
        <v>45579.0</v>
      </c>
      <c r="Z1531" s="58" t="s">
        <v>239</v>
      </c>
      <c r="CH1531" s="58" t="s">
        <v>14662</v>
      </c>
      <c r="CI1531" s="73">
        <v>45579.0</v>
      </c>
      <c r="CJ1531" s="58">
        <v>261.0</v>
      </c>
      <c r="CK1531" s="58">
        <v>267.0</v>
      </c>
      <c r="CL1531" s="58" t="s">
        <v>14663</v>
      </c>
      <c r="CM1531" s="58" t="s">
        <v>14664</v>
      </c>
      <c r="CN1531" s="58" t="s">
        <v>14665</v>
      </c>
      <c r="CO1531" s="58" t="s">
        <v>14666</v>
      </c>
      <c r="CP1531" s="58" t="s">
        <v>14667</v>
      </c>
      <c r="CT1531" s="58">
        <v>11.0</v>
      </c>
      <c r="CU1531" s="58" t="s">
        <v>239</v>
      </c>
      <c r="DL1531" s="58" t="s">
        <v>14668</v>
      </c>
    </row>
    <row r="1532" ht="15.75" customHeight="1">
      <c r="B1532" s="58" t="s">
        <v>4587</v>
      </c>
      <c r="C1532" s="58">
        <v>2023.0</v>
      </c>
      <c r="D1532" s="58" t="s">
        <v>14669</v>
      </c>
      <c r="E1532" s="58" t="s">
        <v>14670</v>
      </c>
      <c r="F1532" s="58" t="s">
        <v>14671</v>
      </c>
      <c r="I1532" s="58" t="s">
        <v>14672</v>
      </c>
      <c r="K1532" s="73">
        <v>45328.0</v>
      </c>
      <c r="Z1532" s="58" t="s">
        <v>239</v>
      </c>
      <c r="CH1532" s="58" t="s">
        <v>14673</v>
      </c>
      <c r="CI1532" s="73">
        <v>45328.0</v>
      </c>
      <c r="CJ1532" s="58">
        <v>1.0</v>
      </c>
      <c r="CK1532" s="58">
        <v>8.0</v>
      </c>
      <c r="CL1532" s="58" t="s">
        <v>14674</v>
      </c>
      <c r="CM1532" s="58" t="s">
        <v>14675</v>
      </c>
      <c r="CO1532" s="58" t="s">
        <v>14676</v>
      </c>
      <c r="CP1532" s="58" t="s">
        <v>14677</v>
      </c>
      <c r="CT1532" s="58">
        <v>10.0</v>
      </c>
      <c r="CU1532" s="58" t="s">
        <v>239</v>
      </c>
      <c r="DL1532" s="58" t="s">
        <v>14678</v>
      </c>
    </row>
    <row r="1533" ht="15.75" customHeight="1">
      <c r="B1533" s="58" t="s">
        <v>4587</v>
      </c>
      <c r="C1533" s="58">
        <v>2024.0</v>
      </c>
      <c r="D1533" s="58" t="s">
        <v>14679</v>
      </c>
      <c r="E1533" s="58" t="s">
        <v>14680</v>
      </c>
      <c r="F1533" s="58" t="s">
        <v>14681</v>
      </c>
      <c r="I1533" s="58" t="s">
        <v>14682</v>
      </c>
      <c r="K1533" s="73">
        <v>45728.0</v>
      </c>
      <c r="Z1533" s="58" t="s">
        <v>239</v>
      </c>
      <c r="CH1533" s="58" t="s">
        <v>14683</v>
      </c>
      <c r="CI1533" s="73">
        <v>45728.0</v>
      </c>
      <c r="CJ1533" s="58">
        <v>16.0</v>
      </c>
      <c r="CK1533" s="58">
        <v>23.0</v>
      </c>
      <c r="CL1533" s="58" t="s">
        <v>14684</v>
      </c>
      <c r="CM1533" s="58" t="s">
        <v>14685</v>
      </c>
      <c r="CO1533" s="58" t="s">
        <v>14686</v>
      </c>
      <c r="CP1533" s="58" t="s">
        <v>14687</v>
      </c>
      <c r="CT1533" s="58">
        <v>18.0</v>
      </c>
      <c r="CU1533" s="58" t="s">
        <v>239</v>
      </c>
      <c r="DL1533" s="58" t="s">
        <v>14688</v>
      </c>
    </row>
    <row r="1534" ht="15.75" customHeight="1">
      <c r="B1534" s="58" t="s">
        <v>4587</v>
      </c>
      <c r="C1534" s="58">
        <v>2024.0</v>
      </c>
      <c r="D1534" s="58" t="s">
        <v>14689</v>
      </c>
      <c r="E1534" s="58" t="s">
        <v>14690</v>
      </c>
      <c r="F1534" s="58" t="s">
        <v>14691</v>
      </c>
      <c r="I1534" s="58" t="s">
        <v>14692</v>
      </c>
      <c r="K1534" s="73">
        <v>45595.0</v>
      </c>
      <c r="Z1534" s="58" t="s">
        <v>239</v>
      </c>
      <c r="CH1534" s="58" t="s">
        <v>14693</v>
      </c>
      <c r="CI1534" s="73">
        <v>45595.0</v>
      </c>
      <c r="CJ1534" s="58">
        <v>1.0</v>
      </c>
      <c r="CK1534" s="58">
        <v>4.0</v>
      </c>
      <c r="CL1534" s="58" t="s">
        <v>14694</v>
      </c>
      <c r="CM1534" s="58" t="s">
        <v>14695</v>
      </c>
      <c r="CO1534" s="58" t="s">
        <v>14696</v>
      </c>
      <c r="CP1534" s="58" t="s">
        <v>14697</v>
      </c>
      <c r="CT1534" s="58">
        <v>9.0</v>
      </c>
      <c r="CU1534" s="58" t="s">
        <v>239</v>
      </c>
      <c r="DL1534" s="58" t="s">
        <v>14698</v>
      </c>
    </row>
    <row r="1535" ht="15.75" customHeight="1">
      <c r="B1535" s="58" t="s">
        <v>4587</v>
      </c>
      <c r="C1535" s="58">
        <v>2024.0</v>
      </c>
      <c r="D1535" s="58" t="s">
        <v>14699</v>
      </c>
      <c r="E1535" s="58" t="s">
        <v>14700</v>
      </c>
      <c r="F1535" s="58" t="s">
        <v>14701</v>
      </c>
      <c r="I1535" s="58" t="s">
        <v>14702</v>
      </c>
      <c r="K1535" s="73">
        <v>45643.0</v>
      </c>
      <c r="R1535" s="58">
        <v>10.0</v>
      </c>
      <c r="Z1535" s="58" t="s">
        <v>239</v>
      </c>
      <c r="CH1535" s="58" t="s">
        <v>14703</v>
      </c>
      <c r="CI1535" s="73">
        <v>45643.0</v>
      </c>
      <c r="CJ1535" s="58">
        <v>1.0</v>
      </c>
      <c r="CK1535" s="58">
        <v>8.0</v>
      </c>
      <c r="CL1535" s="58" t="s">
        <v>14704</v>
      </c>
      <c r="CM1535" s="58" t="s">
        <v>14705</v>
      </c>
      <c r="CO1535" s="58" t="s">
        <v>14706</v>
      </c>
      <c r="CP1535" s="58" t="s">
        <v>14707</v>
      </c>
      <c r="CT1535" s="58">
        <v>52.0</v>
      </c>
      <c r="CU1535" s="58" t="s">
        <v>239</v>
      </c>
      <c r="DL1535" s="58" t="s">
        <v>14708</v>
      </c>
    </row>
    <row r="1536" ht="15.75" customHeight="1">
      <c r="B1536" s="58" t="s">
        <v>4587</v>
      </c>
      <c r="C1536" s="58">
        <v>2024.0</v>
      </c>
      <c r="D1536" s="58" t="s">
        <v>14709</v>
      </c>
      <c r="E1536" s="58" t="s">
        <v>14710</v>
      </c>
      <c r="F1536" s="58" t="s">
        <v>14711</v>
      </c>
      <c r="I1536" s="58" t="s">
        <v>14712</v>
      </c>
      <c r="K1536" s="73">
        <v>45483.0</v>
      </c>
      <c r="Z1536" s="58" t="s">
        <v>239</v>
      </c>
      <c r="CH1536" s="58" t="s">
        <v>14713</v>
      </c>
      <c r="CI1536" s="73">
        <v>45483.0</v>
      </c>
      <c r="CJ1536" s="58">
        <v>1022.0</v>
      </c>
      <c r="CK1536" s="58">
        <v>1027.0</v>
      </c>
      <c r="CL1536" s="58" t="s">
        <v>14714</v>
      </c>
      <c r="CM1536" s="58" t="s">
        <v>14715</v>
      </c>
      <c r="CO1536" s="58" t="s">
        <v>14716</v>
      </c>
      <c r="CP1536" s="58" t="s">
        <v>14717</v>
      </c>
      <c r="CT1536" s="58">
        <v>38.0</v>
      </c>
      <c r="CU1536" s="58" t="s">
        <v>239</v>
      </c>
      <c r="DL1536" s="58" t="s">
        <v>14718</v>
      </c>
    </row>
    <row r="1537" ht="15.75" customHeight="1">
      <c r="B1537" s="58" t="s">
        <v>4587</v>
      </c>
      <c r="C1537" s="58">
        <v>2024.0</v>
      </c>
      <c r="D1537" s="58" t="s">
        <v>14719</v>
      </c>
      <c r="E1537" s="58" t="s">
        <v>14720</v>
      </c>
      <c r="F1537" s="58" t="s">
        <v>14721</v>
      </c>
      <c r="H1537" s="58" t="s">
        <v>14722</v>
      </c>
      <c r="I1537" s="58" t="s">
        <v>14723</v>
      </c>
      <c r="K1537" s="73">
        <v>45588.0</v>
      </c>
      <c r="Z1537" s="58" t="s">
        <v>239</v>
      </c>
      <c r="CH1537" s="58" t="s">
        <v>14724</v>
      </c>
      <c r="CI1537" s="73">
        <v>45588.0</v>
      </c>
      <c r="CJ1537" s="58">
        <v>1.0</v>
      </c>
      <c r="CK1537" s="58">
        <v>6.0</v>
      </c>
      <c r="CL1537" s="58" t="s">
        <v>14725</v>
      </c>
      <c r="CM1537" s="58" t="s">
        <v>14726</v>
      </c>
      <c r="CO1537" s="58" t="s">
        <v>14727</v>
      </c>
      <c r="CP1537" s="58" t="s">
        <v>14728</v>
      </c>
      <c r="CT1537" s="58">
        <v>18.0</v>
      </c>
      <c r="CU1537" s="58" t="s">
        <v>239</v>
      </c>
      <c r="DL1537" s="58" t="s">
        <v>14729</v>
      </c>
    </row>
    <row r="1538" ht="15.75" customHeight="1">
      <c r="B1538" s="58" t="s">
        <v>4587</v>
      </c>
      <c r="C1538" s="58">
        <v>2024.0</v>
      </c>
      <c r="D1538" s="58" t="s">
        <v>14730</v>
      </c>
      <c r="E1538" s="58" t="s">
        <v>14731</v>
      </c>
      <c r="F1538" s="58" t="s">
        <v>14732</v>
      </c>
      <c r="I1538" s="58" t="s">
        <v>14733</v>
      </c>
      <c r="K1538" s="73">
        <v>45538.0</v>
      </c>
      <c r="Z1538" s="58" t="s">
        <v>239</v>
      </c>
      <c r="CH1538" s="58" t="s">
        <v>14734</v>
      </c>
      <c r="CI1538" s="73">
        <v>45538.0</v>
      </c>
      <c r="CJ1538" s="58">
        <v>733.0</v>
      </c>
      <c r="CK1538" s="58">
        <v>738.0</v>
      </c>
      <c r="CL1538" s="58" t="s">
        <v>14735</v>
      </c>
      <c r="CM1538" s="58" t="s">
        <v>14736</v>
      </c>
      <c r="CO1538" s="58" t="s">
        <v>14737</v>
      </c>
      <c r="CP1538" s="58" t="s">
        <v>14738</v>
      </c>
      <c r="CT1538" s="58">
        <v>27.0</v>
      </c>
      <c r="CU1538" s="58" t="s">
        <v>239</v>
      </c>
      <c r="DL1538" s="58" t="s">
        <v>14739</v>
      </c>
    </row>
    <row r="1539" ht="15.75" customHeight="1">
      <c r="B1539" s="58" t="s">
        <v>4587</v>
      </c>
      <c r="C1539" s="58">
        <v>2023.0</v>
      </c>
      <c r="D1539" s="58" t="s">
        <v>14740</v>
      </c>
      <c r="E1539" s="58" t="s">
        <v>14741</v>
      </c>
      <c r="F1539" s="58" t="s">
        <v>14742</v>
      </c>
      <c r="I1539" s="58" t="s">
        <v>14743</v>
      </c>
      <c r="K1539" s="73">
        <v>45086.0</v>
      </c>
      <c r="Z1539" s="58" t="s">
        <v>239</v>
      </c>
      <c r="CH1539" s="58" t="s">
        <v>14744</v>
      </c>
      <c r="CI1539" s="73">
        <v>45086.0</v>
      </c>
      <c r="CJ1539" s="58">
        <v>375.0</v>
      </c>
      <c r="CK1539" s="58">
        <v>382.0</v>
      </c>
      <c r="CL1539" s="58" t="s">
        <v>14745</v>
      </c>
      <c r="CM1539" s="58" t="s">
        <v>14746</v>
      </c>
      <c r="CO1539" s="58" t="s">
        <v>14747</v>
      </c>
      <c r="CP1539" s="58" t="s">
        <v>14748</v>
      </c>
      <c r="CT1539" s="58">
        <v>21.0</v>
      </c>
      <c r="CU1539" s="58" t="s">
        <v>239</v>
      </c>
      <c r="DL1539" s="58" t="s">
        <v>14749</v>
      </c>
    </row>
    <row r="1540" ht="15.75" customHeight="1">
      <c r="B1540" s="58" t="s">
        <v>4587</v>
      </c>
      <c r="C1540" s="58">
        <v>2024.0</v>
      </c>
      <c r="D1540" s="58" t="s">
        <v>14750</v>
      </c>
      <c r="E1540" s="58" t="s">
        <v>14751</v>
      </c>
      <c r="F1540" s="58" t="s">
        <v>14752</v>
      </c>
      <c r="H1540" s="58" t="s">
        <v>14753</v>
      </c>
      <c r="I1540" s="58" t="s">
        <v>14754</v>
      </c>
      <c r="K1540" s="73">
        <v>45482.0</v>
      </c>
      <c r="Z1540" s="58" t="s">
        <v>239</v>
      </c>
      <c r="CH1540" s="58" t="s">
        <v>14755</v>
      </c>
      <c r="CI1540" s="73">
        <v>45482.0</v>
      </c>
      <c r="CJ1540" s="58">
        <v>162.0</v>
      </c>
      <c r="CK1540" s="58">
        <v>167.0</v>
      </c>
      <c r="CL1540" s="58" t="s">
        <v>14756</v>
      </c>
      <c r="CM1540" s="58" t="s">
        <v>14757</v>
      </c>
      <c r="CO1540" s="58" t="s">
        <v>14758</v>
      </c>
      <c r="CP1540" s="58" t="s">
        <v>14759</v>
      </c>
      <c r="CT1540" s="58">
        <v>22.0</v>
      </c>
      <c r="CU1540" s="58" t="s">
        <v>239</v>
      </c>
      <c r="DL1540" s="58" t="s">
        <v>14760</v>
      </c>
    </row>
    <row r="1541" ht="15.75" customHeight="1">
      <c r="B1541" s="58" t="s">
        <v>4587</v>
      </c>
      <c r="C1541" s="58">
        <v>2024.0</v>
      </c>
      <c r="D1541" s="58" t="s">
        <v>14761</v>
      </c>
      <c r="E1541" s="58" t="s">
        <v>14762</v>
      </c>
      <c r="F1541" s="58" t="s">
        <v>14763</v>
      </c>
      <c r="H1541" s="58" t="s">
        <v>14764</v>
      </c>
      <c r="I1541" s="58" t="s">
        <v>14765</v>
      </c>
      <c r="K1541" s="73">
        <v>45478.0</v>
      </c>
      <c r="Z1541" s="58" t="s">
        <v>239</v>
      </c>
      <c r="CH1541" s="58" t="s">
        <v>14766</v>
      </c>
      <c r="CI1541" s="73">
        <v>45478.0</v>
      </c>
      <c r="CJ1541" s="58">
        <v>1.0</v>
      </c>
      <c r="CK1541" s="58">
        <v>6.0</v>
      </c>
      <c r="CL1541" s="58" t="s">
        <v>14767</v>
      </c>
      <c r="CM1541" s="58" t="s">
        <v>14768</v>
      </c>
      <c r="CO1541" s="58" t="s">
        <v>14769</v>
      </c>
      <c r="CP1541" s="58" t="s">
        <v>14770</v>
      </c>
      <c r="CT1541" s="58">
        <v>22.0</v>
      </c>
      <c r="CU1541" s="58" t="s">
        <v>239</v>
      </c>
      <c r="DL1541" s="58" t="s">
        <v>14771</v>
      </c>
    </row>
    <row r="1542" ht="15.75" customHeight="1">
      <c r="B1542" s="58" t="s">
        <v>4587</v>
      </c>
      <c r="C1542" s="58">
        <v>2024.0</v>
      </c>
      <c r="D1542" s="58" t="s">
        <v>14772</v>
      </c>
      <c r="E1542" s="58" t="s">
        <v>14773</v>
      </c>
      <c r="F1542" s="58" t="s">
        <v>14774</v>
      </c>
      <c r="I1542" s="58" t="s">
        <v>14775</v>
      </c>
      <c r="K1542" s="73">
        <v>45491.0</v>
      </c>
      <c r="Z1542" s="58" t="s">
        <v>239</v>
      </c>
      <c r="CH1542" s="58" t="s">
        <v>14776</v>
      </c>
      <c r="CI1542" s="73">
        <v>45491.0</v>
      </c>
      <c r="CJ1542" s="58">
        <v>1.0</v>
      </c>
      <c r="CK1542" s="58">
        <v>5.0</v>
      </c>
      <c r="CL1542" s="58" t="s">
        <v>14777</v>
      </c>
      <c r="CM1542" s="58" t="s">
        <v>14778</v>
      </c>
      <c r="CO1542" s="58" t="s">
        <v>14779</v>
      </c>
      <c r="CP1542" s="58" t="s">
        <v>14780</v>
      </c>
      <c r="CT1542" s="58">
        <v>21.0</v>
      </c>
      <c r="CU1542" s="58" t="s">
        <v>239</v>
      </c>
      <c r="DL1542" s="58" t="s">
        <v>14781</v>
      </c>
    </row>
    <row r="1543" ht="15.75" customHeight="1">
      <c r="B1543" s="58" t="s">
        <v>4587</v>
      </c>
      <c r="C1543" s="58">
        <v>2024.0</v>
      </c>
      <c r="D1543" s="58" t="s">
        <v>14782</v>
      </c>
      <c r="E1543" s="58" t="s">
        <v>14783</v>
      </c>
      <c r="F1543" s="58" t="s">
        <v>14784</v>
      </c>
      <c r="H1543" s="58" t="s">
        <v>11669</v>
      </c>
      <c r="I1543" s="58" t="s">
        <v>14785</v>
      </c>
      <c r="K1543" s="73">
        <v>45624.0</v>
      </c>
      <c r="Z1543" s="58" t="s">
        <v>239</v>
      </c>
      <c r="CH1543" s="58" t="s">
        <v>14786</v>
      </c>
      <c r="CI1543" s="73">
        <v>45624.0</v>
      </c>
      <c r="CJ1543" s="58">
        <v>82.0</v>
      </c>
      <c r="CK1543" s="58">
        <v>93.0</v>
      </c>
      <c r="CL1543" s="58" t="s">
        <v>14787</v>
      </c>
      <c r="CM1543" s="58" t="s">
        <v>14788</v>
      </c>
      <c r="CO1543" s="58" t="s">
        <v>14789</v>
      </c>
      <c r="CP1543" s="58" t="s">
        <v>14790</v>
      </c>
      <c r="CT1543" s="58">
        <v>37.0</v>
      </c>
      <c r="CU1543" s="58" t="s">
        <v>239</v>
      </c>
      <c r="DL1543" s="58" t="s">
        <v>14791</v>
      </c>
    </row>
    <row r="1544" ht="15.75" customHeight="1">
      <c r="B1544" s="58" t="s">
        <v>4587</v>
      </c>
      <c r="C1544" s="58">
        <v>2024.0</v>
      </c>
      <c r="D1544" s="58" t="s">
        <v>14792</v>
      </c>
      <c r="E1544" s="58" t="s">
        <v>14793</v>
      </c>
      <c r="F1544" s="58" t="s">
        <v>14794</v>
      </c>
      <c r="I1544" s="58" t="s">
        <v>14795</v>
      </c>
      <c r="K1544" s="73">
        <v>45583.0</v>
      </c>
      <c r="Z1544" s="58" t="s">
        <v>239</v>
      </c>
      <c r="CH1544" s="58" t="s">
        <v>14796</v>
      </c>
      <c r="CI1544" s="73">
        <v>45583.0</v>
      </c>
      <c r="CJ1544" s="58">
        <v>921.0</v>
      </c>
      <c r="CK1544" s="58">
        <v>926.0</v>
      </c>
      <c r="CL1544" s="58" t="s">
        <v>14797</v>
      </c>
      <c r="CM1544" s="58" t="s">
        <v>14798</v>
      </c>
      <c r="CO1544" s="58" t="s">
        <v>14799</v>
      </c>
      <c r="CP1544" s="58" t="s">
        <v>14800</v>
      </c>
      <c r="CT1544" s="58">
        <v>12.0</v>
      </c>
      <c r="CU1544" s="58" t="s">
        <v>239</v>
      </c>
      <c r="DL1544" s="58" t="s">
        <v>14801</v>
      </c>
    </row>
    <row r="1545" ht="15.75" customHeight="1">
      <c r="B1545" s="58" t="s">
        <v>4587</v>
      </c>
      <c r="C1545" s="58">
        <v>2024.0</v>
      </c>
      <c r="D1545" s="58" t="s">
        <v>14802</v>
      </c>
      <c r="E1545" s="58" t="s">
        <v>14803</v>
      </c>
      <c r="F1545" s="58" t="s">
        <v>14121</v>
      </c>
      <c r="I1545" s="58" t="s">
        <v>14804</v>
      </c>
      <c r="K1545" s="73">
        <v>45674.0</v>
      </c>
      <c r="Z1545" s="58" t="s">
        <v>239</v>
      </c>
      <c r="CH1545" s="58" t="s">
        <v>14805</v>
      </c>
      <c r="CI1545" s="73">
        <v>45674.0</v>
      </c>
      <c r="CJ1545" s="58">
        <v>1.0</v>
      </c>
      <c r="CK1545" s="58">
        <v>5.0</v>
      </c>
      <c r="CL1545" s="58" t="s">
        <v>14806</v>
      </c>
      <c r="CM1545" s="58" t="s">
        <v>14125</v>
      </c>
      <c r="CN1545" s="58" t="s">
        <v>14807</v>
      </c>
      <c r="CO1545" s="58" t="s">
        <v>14808</v>
      </c>
      <c r="CP1545" s="58" t="s">
        <v>14809</v>
      </c>
      <c r="CT1545" s="58">
        <v>17.0</v>
      </c>
      <c r="CU1545" s="58" t="s">
        <v>239</v>
      </c>
      <c r="DL1545" s="58" t="s">
        <v>14810</v>
      </c>
    </row>
    <row r="1546" ht="15.75" customHeight="1">
      <c r="B1546" s="58" t="s">
        <v>4587</v>
      </c>
      <c r="C1546" s="58">
        <v>2024.0</v>
      </c>
      <c r="D1546" s="58" t="s">
        <v>14811</v>
      </c>
      <c r="E1546" s="58" t="s">
        <v>14812</v>
      </c>
      <c r="F1546" s="58" t="s">
        <v>12594</v>
      </c>
      <c r="H1546" s="58" t="s">
        <v>6638</v>
      </c>
      <c r="I1546" s="58" t="s">
        <v>14813</v>
      </c>
      <c r="K1546" s="73">
        <v>45524.0</v>
      </c>
      <c r="Z1546" s="58" t="s">
        <v>239</v>
      </c>
      <c r="CH1546" s="58" t="s">
        <v>14814</v>
      </c>
      <c r="CI1546" s="73">
        <v>45524.0</v>
      </c>
      <c r="CJ1546" s="58">
        <v>5497.0</v>
      </c>
      <c r="CK1546" s="58">
        <v>5502.0</v>
      </c>
      <c r="CL1546" s="58" t="s">
        <v>14815</v>
      </c>
      <c r="CM1546" s="58" t="s">
        <v>12598</v>
      </c>
      <c r="CO1546" s="58" t="s">
        <v>14816</v>
      </c>
      <c r="CP1546" s="58" t="s">
        <v>14817</v>
      </c>
      <c r="CT1546" s="58">
        <v>27.0</v>
      </c>
      <c r="CU1546" s="58" t="s">
        <v>239</v>
      </c>
      <c r="DL1546" s="58" t="s">
        <v>14818</v>
      </c>
    </row>
    <row r="1547" ht="15.75" customHeight="1">
      <c r="B1547" s="58" t="s">
        <v>4587</v>
      </c>
      <c r="C1547" s="58">
        <v>2023.0</v>
      </c>
      <c r="D1547" s="58" t="s">
        <v>14819</v>
      </c>
      <c r="E1547" s="58" t="s">
        <v>14820</v>
      </c>
      <c r="F1547" s="58" t="s">
        <v>11192</v>
      </c>
      <c r="H1547" s="58" t="s">
        <v>4972</v>
      </c>
      <c r="I1547" s="58" t="s">
        <v>14821</v>
      </c>
      <c r="K1547" s="73">
        <v>45222.0</v>
      </c>
      <c r="Z1547" s="58" t="s">
        <v>239</v>
      </c>
      <c r="CH1547" s="58" t="s">
        <v>14822</v>
      </c>
      <c r="CI1547" s="73">
        <v>45222.0</v>
      </c>
      <c r="CJ1547" s="58">
        <v>611.0</v>
      </c>
      <c r="CK1547" s="58">
        <v>617.0</v>
      </c>
      <c r="CL1547" s="58" t="s">
        <v>14823</v>
      </c>
      <c r="CM1547" s="58" t="s">
        <v>11196</v>
      </c>
      <c r="CO1547" s="58" t="s">
        <v>14824</v>
      </c>
      <c r="CP1547" s="58" t="s">
        <v>14825</v>
      </c>
      <c r="CT1547" s="58">
        <v>20.0</v>
      </c>
      <c r="CU1547" s="58" t="s">
        <v>239</v>
      </c>
      <c r="DL1547" s="58" t="s">
        <v>14826</v>
      </c>
    </row>
    <row r="1548" ht="15.75" customHeight="1">
      <c r="B1548" s="58" t="s">
        <v>4587</v>
      </c>
      <c r="C1548" s="58">
        <v>2023.0</v>
      </c>
      <c r="D1548" s="58" t="s">
        <v>14827</v>
      </c>
      <c r="E1548" s="58" t="s">
        <v>14828</v>
      </c>
      <c r="F1548" s="58" t="s">
        <v>14829</v>
      </c>
      <c r="I1548" s="58" t="s">
        <v>14830</v>
      </c>
      <c r="K1548" s="73">
        <v>45188.0</v>
      </c>
      <c r="Z1548" s="58" t="s">
        <v>239</v>
      </c>
      <c r="CH1548" s="58" t="s">
        <v>14831</v>
      </c>
      <c r="CI1548" s="73">
        <v>45188.0</v>
      </c>
      <c r="CJ1548" s="58">
        <v>1.0</v>
      </c>
      <c r="CK1548" s="58">
        <v>6.0</v>
      </c>
      <c r="CL1548" s="58" t="s">
        <v>14832</v>
      </c>
      <c r="CM1548" s="58" t="s">
        <v>14833</v>
      </c>
      <c r="CO1548" s="58" t="s">
        <v>14834</v>
      </c>
      <c r="CP1548" s="58" t="s">
        <v>14835</v>
      </c>
      <c r="CT1548" s="58">
        <v>26.0</v>
      </c>
      <c r="CU1548" s="58" t="s">
        <v>239</v>
      </c>
      <c r="DL1548" s="58" t="s">
        <v>14836</v>
      </c>
    </row>
    <row r="1549" ht="15.75" customHeight="1">
      <c r="B1549" s="58" t="s">
        <v>4587</v>
      </c>
      <c r="C1549" s="58">
        <v>2023.0</v>
      </c>
      <c r="D1549" s="58" t="s">
        <v>14837</v>
      </c>
      <c r="E1549" s="58" t="s">
        <v>14838</v>
      </c>
      <c r="F1549" s="58" t="s">
        <v>11688</v>
      </c>
      <c r="H1549" s="58" t="s">
        <v>11689</v>
      </c>
      <c r="I1549" s="58" t="s">
        <v>14839</v>
      </c>
      <c r="K1549" s="73">
        <v>45140.0</v>
      </c>
      <c r="Z1549" s="58" t="s">
        <v>239</v>
      </c>
      <c r="CH1549" s="58" t="s">
        <v>14840</v>
      </c>
      <c r="CI1549" s="73">
        <v>45140.0</v>
      </c>
      <c r="CJ1549" s="58">
        <v>230.0</v>
      </c>
      <c r="CK1549" s="58">
        <v>235.0</v>
      </c>
      <c r="CL1549" s="58" t="s">
        <v>14841</v>
      </c>
      <c r="CM1549" s="58" t="s">
        <v>11693</v>
      </c>
      <c r="CO1549" s="58" t="s">
        <v>14842</v>
      </c>
      <c r="CP1549" s="58" t="s">
        <v>14843</v>
      </c>
      <c r="CT1549" s="58">
        <v>21.0</v>
      </c>
      <c r="CU1549" s="58" t="s">
        <v>239</v>
      </c>
      <c r="DL1549" s="58" t="s">
        <v>14844</v>
      </c>
    </row>
    <row r="1550" ht="15.75" customHeight="1">
      <c r="B1550" s="58" t="s">
        <v>4587</v>
      </c>
      <c r="C1550" s="58">
        <v>2023.0</v>
      </c>
      <c r="D1550" s="58" t="s">
        <v>14845</v>
      </c>
      <c r="E1550" s="58" t="s">
        <v>14846</v>
      </c>
      <c r="F1550" s="58" t="s">
        <v>14847</v>
      </c>
      <c r="I1550" s="58" t="s">
        <v>14848</v>
      </c>
      <c r="K1550" s="73">
        <v>45293.0</v>
      </c>
      <c r="Z1550" s="58" t="s">
        <v>239</v>
      </c>
      <c r="CH1550" s="58" t="s">
        <v>14849</v>
      </c>
      <c r="CI1550" s="73">
        <v>45293.0</v>
      </c>
      <c r="CJ1550" s="58">
        <v>1.0</v>
      </c>
      <c r="CK1550" s="58">
        <v>7.0</v>
      </c>
      <c r="CL1550" s="58" t="s">
        <v>14850</v>
      </c>
      <c r="CM1550" s="58" t="s">
        <v>14851</v>
      </c>
      <c r="CO1550" s="58" t="s">
        <v>14852</v>
      </c>
      <c r="CP1550" s="58" t="s">
        <v>14853</v>
      </c>
      <c r="CT1550" s="58">
        <v>11.0</v>
      </c>
      <c r="CU1550" s="58" t="s">
        <v>239</v>
      </c>
      <c r="DL1550" s="58" t="s">
        <v>14854</v>
      </c>
    </row>
    <row r="1551" ht="15.75" customHeight="1">
      <c r="B1551" s="58" t="s">
        <v>4587</v>
      </c>
      <c r="C1551" s="58">
        <v>2024.0</v>
      </c>
      <c r="D1551" s="58" t="s">
        <v>14855</v>
      </c>
      <c r="E1551" s="58" t="s">
        <v>14856</v>
      </c>
      <c r="F1551" s="58" t="s">
        <v>14857</v>
      </c>
      <c r="H1551" s="58" t="s">
        <v>14858</v>
      </c>
      <c r="I1551" s="58" t="s">
        <v>14859</v>
      </c>
      <c r="K1551" s="73">
        <v>45645.0</v>
      </c>
      <c r="Z1551" s="58" t="s">
        <v>239</v>
      </c>
      <c r="CH1551" s="58" t="s">
        <v>14860</v>
      </c>
      <c r="CI1551" s="73">
        <v>45645.0</v>
      </c>
      <c r="CJ1551" s="58">
        <v>139.0</v>
      </c>
      <c r="CK1551" s="58">
        <v>148.0</v>
      </c>
      <c r="CL1551" s="58" t="s">
        <v>14861</v>
      </c>
      <c r="CM1551" s="58" t="s">
        <v>14862</v>
      </c>
      <c r="CN1551" s="58" t="s">
        <v>14863</v>
      </c>
      <c r="CO1551" s="58" t="s">
        <v>14864</v>
      </c>
      <c r="CP1551" s="58" t="s">
        <v>14865</v>
      </c>
      <c r="CT1551" s="58">
        <v>39.0</v>
      </c>
      <c r="CU1551" s="58" t="s">
        <v>239</v>
      </c>
      <c r="DL1551" s="58" t="s">
        <v>14866</v>
      </c>
    </row>
    <row r="1552" ht="15.75" customHeight="1">
      <c r="B1552" s="58" t="s">
        <v>4587</v>
      </c>
      <c r="C1552" s="58">
        <v>2023.0</v>
      </c>
      <c r="D1552" s="58" t="s">
        <v>14867</v>
      </c>
      <c r="E1552" s="58" t="s">
        <v>14868</v>
      </c>
      <c r="F1552" s="58" t="s">
        <v>14869</v>
      </c>
      <c r="H1552" s="58" t="s">
        <v>14870</v>
      </c>
      <c r="I1552" s="58" t="s">
        <v>14871</v>
      </c>
      <c r="K1552" s="73">
        <v>45391.0</v>
      </c>
      <c r="Z1552" s="58" t="s">
        <v>239</v>
      </c>
      <c r="CH1552" s="58" t="s">
        <v>14872</v>
      </c>
      <c r="CI1552" s="73">
        <v>45391.0</v>
      </c>
      <c r="CJ1552" s="58">
        <v>448.0</v>
      </c>
      <c r="CK1552" s="58">
        <v>453.0</v>
      </c>
      <c r="CL1552" s="58" t="s">
        <v>14873</v>
      </c>
      <c r="CM1552" s="58" t="s">
        <v>14874</v>
      </c>
      <c r="CO1552" s="58" t="s">
        <v>14875</v>
      </c>
      <c r="CT1552" s="58">
        <v>17.0</v>
      </c>
      <c r="CU1552" s="58" t="s">
        <v>239</v>
      </c>
      <c r="DL1552" s="58" t="s">
        <v>14876</v>
      </c>
    </row>
    <row r="1553" ht="15.75" customHeight="1">
      <c r="B1553" s="58" t="s">
        <v>4587</v>
      </c>
      <c r="C1553" s="58">
        <v>2024.0</v>
      </c>
      <c r="D1553" s="58" t="s">
        <v>14877</v>
      </c>
      <c r="E1553" s="58" t="s">
        <v>14878</v>
      </c>
      <c r="F1553" s="58" t="s">
        <v>14879</v>
      </c>
      <c r="I1553" s="58" t="s">
        <v>14880</v>
      </c>
      <c r="K1553" s="73">
        <v>45566.0</v>
      </c>
      <c r="Z1553" s="58" t="s">
        <v>239</v>
      </c>
      <c r="CH1553" s="58" t="s">
        <v>14881</v>
      </c>
      <c r="CI1553" s="73">
        <v>45566.0</v>
      </c>
      <c r="CJ1553" s="58">
        <v>323.0</v>
      </c>
      <c r="CK1553" s="58">
        <v>327.0</v>
      </c>
      <c r="CL1553" s="58" t="s">
        <v>14882</v>
      </c>
      <c r="CM1553" s="58" t="s">
        <v>14883</v>
      </c>
      <c r="CO1553" s="58" t="s">
        <v>14884</v>
      </c>
      <c r="CP1553" s="58" t="s">
        <v>14885</v>
      </c>
      <c r="CT1553" s="58">
        <v>17.0</v>
      </c>
      <c r="CU1553" s="58" t="s">
        <v>239</v>
      </c>
      <c r="DL1553" s="58" t="s">
        <v>14886</v>
      </c>
    </row>
    <row r="1554" ht="15.75" customHeight="1">
      <c r="B1554" s="58" t="s">
        <v>4587</v>
      </c>
      <c r="C1554" s="58">
        <v>2024.0</v>
      </c>
      <c r="D1554" s="58" t="s">
        <v>14887</v>
      </c>
      <c r="E1554" s="58" t="s">
        <v>14888</v>
      </c>
      <c r="F1554" s="58" t="s">
        <v>14121</v>
      </c>
      <c r="I1554" s="58" t="s">
        <v>14889</v>
      </c>
      <c r="K1554" s="73">
        <v>45674.0</v>
      </c>
      <c r="Z1554" s="58" t="s">
        <v>239</v>
      </c>
      <c r="CH1554" s="58" t="s">
        <v>14890</v>
      </c>
      <c r="CI1554" s="73">
        <v>45674.0</v>
      </c>
      <c r="CJ1554" s="58">
        <v>1.0</v>
      </c>
      <c r="CK1554" s="58">
        <v>10.0</v>
      </c>
      <c r="CL1554" s="58" t="s">
        <v>14891</v>
      </c>
      <c r="CM1554" s="58" t="s">
        <v>14125</v>
      </c>
      <c r="CN1554" s="58" t="s">
        <v>14892</v>
      </c>
      <c r="CO1554" s="58" t="s">
        <v>14893</v>
      </c>
      <c r="CP1554" s="58" t="s">
        <v>14894</v>
      </c>
      <c r="CT1554" s="58">
        <v>23.0</v>
      </c>
      <c r="CU1554" s="58" t="s">
        <v>239</v>
      </c>
      <c r="DL1554" s="58" t="s">
        <v>14895</v>
      </c>
    </row>
    <row r="1555" ht="15.75" customHeight="1">
      <c r="B1555" s="58" t="s">
        <v>4587</v>
      </c>
      <c r="C1555" s="58">
        <v>2023.0</v>
      </c>
      <c r="D1555" s="58" t="s">
        <v>14896</v>
      </c>
      <c r="E1555" s="58" t="s">
        <v>14897</v>
      </c>
      <c r="F1555" s="58" t="s">
        <v>14898</v>
      </c>
      <c r="H1555" s="58" t="s">
        <v>14493</v>
      </c>
      <c r="I1555" s="58" t="s">
        <v>14899</v>
      </c>
      <c r="K1555" s="73">
        <v>45264.0</v>
      </c>
      <c r="Z1555" s="58" t="s">
        <v>239</v>
      </c>
      <c r="CH1555" s="58" t="s">
        <v>14900</v>
      </c>
      <c r="CI1555" s="73">
        <v>45264.0</v>
      </c>
      <c r="CJ1555" s="58">
        <v>79.0</v>
      </c>
      <c r="CK1555" s="58">
        <v>85.0</v>
      </c>
      <c r="CL1555" s="58" t="s">
        <v>14901</v>
      </c>
      <c r="CM1555" s="58" t="s">
        <v>14902</v>
      </c>
      <c r="CO1555" s="58" t="s">
        <v>14903</v>
      </c>
      <c r="CP1555" s="58" t="s">
        <v>14904</v>
      </c>
      <c r="CT1555" s="58">
        <v>12.0</v>
      </c>
      <c r="CU1555" s="58" t="s">
        <v>239</v>
      </c>
      <c r="DL1555" s="58" t="s">
        <v>14905</v>
      </c>
    </row>
    <row r="1556" ht="15.75" customHeight="1">
      <c r="B1556" s="58" t="s">
        <v>4587</v>
      </c>
      <c r="C1556" s="58">
        <v>2024.0</v>
      </c>
      <c r="D1556" s="58" t="s">
        <v>14906</v>
      </c>
      <c r="E1556" s="58" t="s">
        <v>14907</v>
      </c>
      <c r="F1556" s="58" t="s">
        <v>14908</v>
      </c>
      <c r="I1556" s="58" t="s">
        <v>14909</v>
      </c>
      <c r="K1556" s="73">
        <v>45702.0</v>
      </c>
      <c r="Z1556" s="58" t="s">
        <v>239</v>
      </c>
      <c r="CH1556" s="58" t="s">
        <v>14910</v>
      </c>
      <c r="CI1556" s="73">
        <v>45702.0</v>
      </c>
      <c r="CJ1556" s="58">
        <v>86.0</v>
      </c>
      <c r="CK1556" s="58">
        <v>91.0</v>
      </c>
      <c r="CL1556" s="58" t="s">
        <v>14911</v>
      </c>
      <c r="CM1556" s="58" t="s">
        <v>14912</v>
      </c>
      <c r="CN1556" s="58" t="s">
        <v>14913</v>
      </c>
      <c r="CO1556" s="58" t="s">
        <v>14914</v>
      </c>
      <c r="CP1556" s="58" t="s">
        <v>14915</v>
      </c>
      <c r="CT1556" s="58">
        <v>32.0</v>
      </c>
      <c r="CU1556" s="58" t="s">
        <v>239</v>
      </c>
      <c r="DL1556" s="58" t="s">
        <v>14916</v>
      </c>
    </row>
    <row r="1557" ht="15.75" customHeight="1">
      <c r="B1557" s="58" t="s">
        <v>4587</v>
      </c>
      <c r="C1557" s="58">
        <v>2024.0</v>
      </c>
      <c r="D1557" s="58" t="s">
        <v>14917</v>
      </c>
      <c r="E1557" s="58" t="s">
        <v>14918</v>
      </c>
      <c r="F1557" s="58" t="s">
        <v>14919</v>
      </c>
      <c r="H1557" s="58" t="s">
        <v>11141</v>
      </c>
      <c r="I1557" s="58" t="s">
        <v>14920</v>
      </c>
      <c r="K1557" s="73">
        <v>45610.0</v>
      </c>
      <c r="Z1557" s="58" t="s">
        <v>239</v>
      </c>
      <c r="CH1557" s="58" t="s">
        <v>14921</v>
      </c>
      <c r="CI1557" s="73">
        <v>45610.0</v>
      </c>
      <c r="CJ1557" s="58">
        <v>126.0</v>
      </c>
      <c r="CK1557" s="58">
        <v>132.0</v>
      </c>
      <c r="CL1557" s="58" t="s">
        <v>14922</v>
      </c>
      <c r="CM1557" s="58" t="s">
        <v>14923</v>
      </c>
      <c r="CO1557" s="58" t="s">
        <v>14924</v>
      </c>
      <c r="CP1557" s="58" t="s">
        <v>14925</v>
      </c>
      <c r="CT1557" s="58">
        <v>21.0</v>
      </c>
      <c r="CU1557" s="58" t="s">
        <v>239</v>
      </c>
      <c r="DL1557" s="58" t="s">
        <v>14926</v>
      </c>
    </row>
    <row r="1558" ht="15.75" customHeight="1">
      <c r="B1558" s="58" t="s">
        <v>4587</v>
      </c>
      <c r="C1558" s="58">
        <v>2024.0</v>
      </c>
      <c r="D1558" s="58" t="s">
        <v>14927</v>
      </c>
      <c r="E1558" s="58" t="s">
        <v>14928</v>
      </c>
      <c r="F1558" s="58" t="s">
        <v>13789</v>
      </c>
      <c r="H1558" s="58" t="s">
        <v>13790</v>
      </c>
      <c r="I1558" s="58" t="s">
        <v>14929</v>
      </c>
      <c r="K1558" s="73">
        <v>45450.0</v>
      </c>
      <c r="Z1558" s="58" t="s">
        <v>239</v>
      </c>
      <c r="CH1558" s="58" t="s">
        <v>14930</v>
      </c>
      <c r="CI1558" s="73">
        <v>45450.0</v>
      </c>
      <c r="CJ1558" s="58">
        <v>1392.0</v>
      </c>
      <c r="CK1558" s="58">
        <v>1398.0</v>
      </c>
      <c r="CL1558" s="58" t="s">
        <v>14931</v>
      </c>
      <c r="CM1558" s="58" t="s">
        <v>13794</v>
      </c>
      <c r="CO1558" s="58" t="s">
        <v>14932</v>
      </c>
      <c r="CP1558" s="58" t="s">
        <v>14933</v>
      </c>
      <c r="CT1558" s="58">
        <v>20.0</v>
      </c>
      <c r="CU1558" s="58" t="s">
        <v>239</v>
      </c>
      <c r="DL1558" s="58" t="s">
        <v>14934</v>
      </c>
    </row>
    <row r="1559" ht="15.75" customHeight="1">
      <c r="B1559" s="58" t="s">
        <v>4587</v>
      </c>
      <c r="C1559" s="58">
        <v>2024.0</v>
      </c>
      <c r="D1559" s="58" t="s">
        <v>14935</v>
      </c>
      <c r="E1559" s="58" t="s">
        <v>14936</v>
      </c>
      <c r="F1559" s="58" t="s">
        <v>14937</v>
      </c>
      <c r="I1559" s="58" t="s">
        <v>14938</v>
      </c>
      <c r="K1559" s="73">
        <v>45628.0</v>
      </c>
      <c r="Z1559" s="58" t="s">
        <v>239</v>
      </c>
      <c r="CH1559" s="58" t="s">
        <v>14939</v>
      </c>
      <c r="CI1559" s="73">
        <v>45628.0</v>
      </c>
      <c r="CJ1559" s="58">
        <v>109.0</v>
      </c>
      <c r="CK1559" s="58">
        <v>114.0</v>
      </c>
      <c r="CL1559" s="58" t="s">
        <v>14940</v>
      </c>
      <c r="CM1559" s="58" t="s">
        <v>14941</v>
      </c>
      <c r="CO1559" s="58" t="s">
        <v>14942</v>
      </c>
      <c r="CP1559" s="58" t="s">
        <v>14943</v>
      </c>
      <c r="CT1559" s="58">
        <v>18.0</v>
      </c>
      <c r="CU1559" s="58" t="s">
        <v>239</v>
      </c>
      <c r="DL1559" s="58" t="s">
        <v>14944</v>
      </c>
    </row>
    <row r="1560" ht="15.75" customHeight="1">
      <c r="B1560" s="58" t="s">
        <v>4587</v>
      </c>
      <c r="C1560" s="58">
        <v>2024.0</v>
      </c>
      <c r="D1560" s="58" t="s">
        <v>14945</v>
      </c>
      <c r="E1560" s="58" t="s">
        <v>14946</v>
      </c>
      <c r="F1560" s="58" t="s">
        <v>14947</v>
      </c>
      <c r="H1560" s="58" t="s">
        <v>14948</v>
      </c>
      <c r="I1560" s="58" t="s">
        <v>14949</v>
      </c>
      <c r="K1560" s="73">
        <v>45593.0</v>
      </c>
      <c r="Z1560" s="58" t="s">
        <v>239</v>
      </c>
      <c r="CH1560" s="58" t="s">
        <v>14950</v>
      </c>
      <c r="CI1560" s="73">
        <v>45593.0</v>
      </c>
      <c r="CJ1560" s="58">
        <v>1.0</v>
      </c>
      <c r="CK1560" s="58">
        <v>7.0</v>
      </c>
      <c r="CL1560" s="58" t="s">
        <v>14951</v>
      </c>
      <c r="CM1560" s="58" t="s">
        <v>14952</v>
      </c>
      <c r="CO1560" s="58" t="s">
        <v>14953</v>
      </c>
      <c r="CP1560" s="58" t="s">
        <v>14954</v>
      </c>
      <c r="CT1560" s="58">
        <v>28.0</v>
      </c>
      <c r="CU1560" s="58" t="s">
        <v>239</v>
      </c>
      <c r="DL1560" s="58" t="s">
        <v>14955</v>
      </c>
    </row>
    <row r="1561" ht="15.75" customHeight="1">
      <c r="B1561" s="58" t="s">
        <v>4587</v>
      </c>
      <c r="C1561" s="58">
        <v>2024.0</v>
      </c>
      <c r="D1561" s="58" t="s">
        <v>14956</v>
      </c>
      <c r="E1561" s="58" t="s">
        <v>14957</v>
      </c>
      <c r="F1561" s="58" t="s">
        <v>14958</v>
      </c>
      <c r="I1561" s="58" t="s">
        <v>14959</v>
      </c>
      <c r="K1561" s="73">
        <v>45608.0</v>
      </c>
      <c r="Z1561" s="58" t="s">
        <v>239</v>
      </c>
      <c r="CH1561" s="58" t="s">
        <v>14960</v>
      </c>
      <c r="CI1561" s="73">
        <v>45608.0</v>
      </c>
      <c r="CJ1561" s="58">
        <v>1.0</v>
      </c>
      <c r="CK1561" s="58">
        <v>5.0</v>
      </c>
      <c r="CL1561" s="58" t="s">
        <v>14961</v>
      </c>
      <c r="CM1561" s="58" t="s">
        <v>14962</v>
      </c>
      <c r="CO1561" s="58" t="s">
        <v>14963</v>
      </c>
      <c r="CP1561" s="58" t="s">
        <v>14964</v>
      </c>
      <c r="CT1561" s="58">
        <v>21.0</v>
      </c>
      <c r="CU1561" s="58" t="s">
        <v>239</v>
      </c>
      <c r="DL1561" s="58" t="s">
        <v>14965</v>
      </c>
    </row>
    <row r="1562" ht="15.75" customHeight="1">
      <c r="B1562" s="58" t="s">
        <v>4587</v>
      </c>
      <c r="C1562" s="58">
        <v>2024.0</v>
      </c>
      <c r="D1562" s="58" t="s">
        <v>14966</v>
      </c>
      <c r="E1562" s="58" t="s">
        <v>14967</v>
      </c>
      <c r="F1562" s="58" t="s">
        <v>12562</v>
      </c>
      <c r="H1562" s="58" t="s">
        <v>12563</v>
      </c>
      <c r="I1562" s="58" t="s">
        <v>14968</v>
      </c>
      <c r="K1562" s="73">
        <v>45673.0</v>
      </c>
      <c r="Z1562" s="58" t="s">
        <v>239</v>
      </c>
      <c r="CH1562" s="58" t="s">
        <v>14969</v>
      </c>
      <c r="CI1562" s="73">
        <v>45673.0</v>
      </c>
      <c r="CJ1562" s="58">
        <v>5476.0</v>
      </c>
      <c r="CK1562" s="58">
        <v>5485.0</v>
      </c>
      <c r="CL1562" s="58" t="s">
        <v>14970</v>
      </c>
      <c r="CM1562" s="58" t="s">
        <v>12567</v>
      </c>
      <c r="CO1562" s="58" t="s">
        <v>14971</v>
      </c>
      <c r="CP1562" s="58" t="s">
        <v>14972</v>
      </c>
      <c r="CT1562" s="58">
        <v>37.0</v>
      </c>
      <c r="CU1562" s="58" t="s">
        <v>239</v>
      </c>
      <c r="DL1562" s="58" t="s">
        <v>14973</v>
      </c>
    </row>
    <row r="1563" ht="15.75" customHeight="1">
      <c r="B1563" s="58" t="s">
        <v>4587</v>
      </c>
      <c r="C1563" s="58">
        <v>2023.0</v>
      </c>
      <c r="D1563" s="58" t="s">
        <v>14974</v>
      </c>
      <c r="E1563" s="58" t="s">
        <v>14975</v>
      </c>
      <c r="F1563" s="58" t="s">
        <v>14976</v>
      </c>
      <c r="H1563" s="58" t="s">
        <v>11844</v>
      </c>
      <c r="I1563" s="58" t="s">
        <v>14977</v>
      </c>
      <c r="K1563" s="73">
        <v>45145.0</v>
      </c>
      <c r="Z1563" s="58" t="s">
        <v>239</v>
      </c>
      <c r="CH1563" s="58" t="s">
        <v>14978</v>
      </c>
      <c r="CI1563" s="73">
        <v>45145.0</v>
      </c>
      <c r="CJ1563" s="58">
        <v>148.0</v>
      </c>
      <c r="CK1563" s="58">
        <v>152.0</v>
      </c>
      <c r="CL1563" s="58" t="s">
        <v>14979</v>
      </c>
      <c r="CM1563" s="58" t="s">
        <v>14980</v>
      </c>
      <c r="CO1563" s="58" t="s">
        <v>14981</v>
      </c>
      <c r="CP1563" s="58" t="s">
        <v>14982</v>
      </c>
      <c r="CT1563" s="58">
        <v>14.0</v>
      </c>
      <c r="CU1563" s="58" t="s">
        <v>239</v>
      </c>
      <c r="DL1563" s="58" t="s">
        <v>14983</v>
      </c>
    </row>
    <row r="1564" ht="15.75" customHeight="1">
      <c r="B1564" s="58" t="s">
        <v>4587</v>
      </c>
      <c r="C1564" s="58">
        <v>2023.0</v>
      </c>
      <c r="D1564" s="58" t="s">
        <v>14984</v>
      </c>
      <c r="E1564" s="58" t="s">
        <v>14985</v>
      </c>
      <c r="F1564" s="58" t="s">
        <v>14986</v>
      </c>
      <c r="I1564" s="58" t="s">
        <v>14987</v>
      </c>
      <c r="K1564" s="73">
        <v>45376.0</v>
      </c>
      <c r="Z1564" s="58" t="s">
        <v>239</v>
      </c>
      <c r="CH1564" s="58" t="s">
        <v>14988</v>
      </c>
      <c r="CI1564" s="73">
        <v>45376.0</v>
      </c>
      <c r="CJ1564" s="58">
        <v>160.0</v>
      </c>
      <c r="CK1564" s="58">
        <v>164.0</v>
      </c>
      <c r="CL1564" s="58" t="s">
        <v>14989</v>
      </c>
      <c r="CM1564" s="58" t="s">
        <v>14990</v>
      </c>
      <c r="CO1564" s="58" t="s">
        <v>14991</v>
      </c>
      <c r="CP1564" s="58" t="s">
        <v>14992</v>
      </c>
      <c r="CT1564" s="58">
        <v>29.0</v>
      </c>
      <c r="CU1564" s="58" t="s">
        <v>239</v>
      </c>
      <c r="DL1564" s="58" t="s">
        <v>14993</v>
      </c>
    </row>
    <row r="1565" ht="15.75" customHeight="1">
      <c r="B1565" s="58" t="s">
        <v>4587</v>
      </c>
      <c r="C1565" s="58">
        <v>2024.0</v>
      </c>
      <c r="D1565" s="58" t="s">
        <v>14994</v>
      </c>
      <c r="E1565" s="58" t="s">
        <v>14995</v>
      </c>
      <c r="F1565" s="58" t="s">
        <v>14996</v>
      </c>
      <c r="H1565" s="58" t="s">
        <v>14997</v>
      </c>
      <c r="I1565" s="58" t="s">
        <v>14998</v>
      </c>
      <c r="K1565" s="73">
        <v>45554.0</v>
      </c>
      <c r="Z1565" s="58" t="s">
        <v>239</v>
      </c>
      <c r="CH1565" s="58" t="s">
        <v>14999</v>
      </c>
      <c r="CI1565" s="73">
        <v>45554.0</v>
      </c>
      <c r="CJ1565" s="58">
        <v>499.0</v>
      </c>
      <c r="CK1565" s="58">
        <v>503.0</v>
      </c>
      <c r="CL1565" s="58" t="s">
        <v>15000</v>
      </c>
      <c r="CM1565" s="58" t="s">
        <v>15001</v>
      </c>
      <c r="CN1565" s="58" t="s">
        <v>11246</v>
      </c>
      <c r="CO1565" s="58" t="s">
        <v>15002</v>
      </c>
      <c r="CP1565" s="58" t="s">
        <v>15003</v>
      </c>
      <c r="CT1565" s="58">
        <v>17.0</v>
      </c>
      <c r="CU1565" s="58" t="s">
        <v>239</v>
      </c>
      <c r="DL1565" s="58" t="s">
        <v>15004</v>
      </c>
    </row>
    <row r="1566" ht="15.75" customHeight="1">
      <c r="B1566" s="58" t="s">
        <v>4587</v>
      </c>
      <c r="C1566" s="58">
        <v>2023.0</v>
      </c>
      <c r="D1566" s="58" t="s">
        <v>15005</v>
      </c>
      <c r="E1566" s="58" t="s">
        <v>15006</v>
      </c>
      <c r="F1566" s="58" t="s">
        <v>11140</v>
      </c>
      <c r="H1566" s="58" t="s">
        <v>11141</v>
      </c>
      <c r="I1566" s="58" t="s">
        <v>15007</v>
      </c>
      <c r="K1566" s="73">
        <v>45236.0</v>
      </c>
      <c r="Z1566" s="58" t="s">
        <v>239</v>
      </c>
      <c r="CH1566" s="58" t="s">
        <v>15008</v>
      </c>
      <c r="CI1566" s="73">
        <v>45236.0</v>
      </c>
      <c r="CJ1566" s="58">
        <v>236.0</v>
      </c>
      <c r="CK1566" s="58">
        <v>238.0</v>
      </c>
      <c r="CL1566" s="58" t="s">
        <v>15009</v>
      </c>
      <c r="CM1566" s="58" t="s">
        <v>11145</v>
      </c>
      <c r="CO1566" s="58" t="s">
        <v>15010</v>
      </c>
      <c r="CP1566" s="58" t="s">
        <v>15011</v>
      </c>
      <c r="CT1566" s="58">
        <v>19.0</v>
      </c>
      <c r="CU1566" s="58" t="s">
        <v>239</v>
      </c>
      <c r="DL1566" s="58" t="s">
        <v>15012</v>
      </c>
    </row>
    <row r="1567" ht="15.75" customHeight="1">
      <c r="B1567" s="58" t="s">
        <v>4587</v>
      </c>
      <c r="C1567" s="58">
        <v>2023.0</v>
      </c>
      <c r="D1567" s="58" t="s">
        <v>15013</v>
      </c>
      <c r="E1567" s="58" t="s">
        <v>15014</v>
      </c>
      <c r="F1567" s="58" t="s">
        <v>11409</v>
      </c>
      <c r="I1567" s="58" t="s">
        <v>15015</v>
      </c>
      <c r="K1567" s="73">
        <v>45040.0</v>
      </c>
      <c r="Z1567" s="58" t="s">
        <v>239</v>
      </c>
      <c r="CH1567" s="58" t="s">
        <v>15016</v>
      </c>
      <c r="CI1567" s="73">
        <v>45040.0</v>
      </c>
      <c r="CJ1567" s="58">
        <v>93.0</v>
      </c>
      <c r="CK1567" s="58">
        <v>104.0</v>
      </c>
      <c r="CL1567" s="58" t="s">
        <v>15017</v>
      </c>
      <c r="CM1567" s="58" t="s">
        <v>11413</v>
      </c>
      <c r="CO1567" s="58" t="s">
        <v>15018</v>
      </c>
      <c r="CP1567" s="58" t="s">
        <v>15019</v>
      </c>
      <c r="CT1567" s="58">
        <v>57.0</v>
      </c>
      <c r="CU1567" s="58" t="s">
        <v>239</v>
      </c>
      <c r="DL1567" s="58" t="s">
        <v>15020</v>
      </c>
    </row>
    <row r="1568" ht="15.75" customHeight="1">
      <c r="B1568" s="58" t="s">
        <v>4587</v>
      </c>
      <c r="C1568" s="58">
        <v>2024.0</v>
      </c>
      <c r="D1568" s="58" t="s">
        <v>15021</v>
      </c>
      <c r="E1568" s="58" t="s">
        <v>15022</v>
      </c>
      <c r="F1568" s="58" t="s">
        <v>15023</v>
      </c>
      <c r="I1568" s="58" t="s">
        <v>15024</v>
      </c>
      <c r="K1568" s="73">
        <v>45448.0</v>
      </c>
      <c r="Z1568" s="58" t="s">
        <v>239</v>
      </c>
      <c r="CH1568" s="58" t="s">
        <v>15025</v>
      </c>
      <c r="CI1568" s="73">
        <v>45448.0</v>
      </c>
      <c r="CJ1568" s="58">
        <v>1.0</v>
      </c>
      <c r="CK1568" s="58">
        <v>10.0</v>
      </c>
      <c r="CL1568" s="58" t="s">
        <v>15026</v>
      </c>
      <c r="CM1568" s="58" t="s">
        <v>15027</v>
      </c>
      <c r="CO1568" s="58" t="s">
        <v>15028</v>
      </c>
      <c r="CP1568" s="58" t="s">
        <v>15029</v>
      </c>
      <c r="CT1568" s="58">
        <v>35.0</v>
      </c>
      <c r="CU1568" s="58" t="s">
        <v>7683</v>
      </c>
      <c r="DL1568" s="58" t="s">
        <v>15030</v>
      </c>
    </row>
    <row r="1569" ht="15.75" customHeight="1">
      <c r="B1569" s="58" t="s">
        <v>4587</v>
      </c>
      <c r="C1569" s="58">
        <v>2024.0</v>
      </c>
      <c r="D1569" s="58" t="s">
        <v>15031</v>
      </c>
      <c r="E1569" s="58" t="s">
        <v>15032</v>
      </c>
      <c r="F1569" s="58" t="s">
        <v>13084</v>
      </c>
      <c r="H1569" s="58" t="s">
        <v>4901</v>
      </c>
      <c r="I1569" s="58" t="s">
        <v>15033</v>
      </c>
      <c r="K1569" s="73">
        <v>45561.0</v>
      </c>
      <c r="Z1569" s="58" t="s">
        <v>239</v>
      </c>
      <c r="CH1569" s="58" t="s">
        <v>15034</v>
      </c>
      <c r="CI1569" s="73">
        <v>45561.0</v>
      </c>
      <c r="CJ1569" s="58">
        <v>25.0</v>
      </c>
      <c r="CK1569" s="58">
        <v>35.0</v>
      </c>
      <c r="CL1569" s="58" t="s">
        <v>15035</v>
      </c>
      <c r="CM1569" s="58" t="s">
        <v>13088</v>
      </c>
      <c r="CN1569" s="58" t="s">
        <v>15036</v>
      </c>
      <c r="CO1569" s="58" t="s">
        <v>15037</v>
      </c>
      <c r="CP1569" s="58" t="s">
        <v>15038</v>
      </c>
      <c r="CT1569" s="58">
        <v>41.0</v>
      </c>
      <c r="CU1569" s="58" t="s">
        <v>239</v>
      </c>
      <c r="DL1569" s="58" t="s">
        <v>15039</v>
      </c>
    </row>
    <row r="1570" ht="15.75" customHeight="1">
      <c r="B1570" s="58" t="s">
        <v>4587</v>
      </c>
      <c r="C1570" s="58">
        <v>2024.0</v>
      </c>
      <c r="D1570" s="58" t="s">
        <v>15040</v>
      </c>
      <c r="E1570" s="58" t="s">
        <v>15041</v>
      </c>
      <c r="F1570" s="58" t="s">
        <v>12490</v>
      </c>
      <c r="I1570" s="58" t="s">
        <v>15042</v>
      </c>
      <c r="K1570" s="73">
        <v>45671.0</v>
      </c>
      <c r="Z1570" s="58" t="s">
        <v>239</v>
      </c>
      <c r="CH1570" s="58" t="s">
        <v>15043</v>
      </c>
      <c r="CI1570" s="73">
        <v>45671.0</v>
      </c>
      <c r="CJ1570" s="58">
        <v>1250.0</v>
      </c>
      <c r="CK1570" s="58">
        <v>1254.0</v>
      </c>
      <c r="CL1570" s="58" t="s">
        <v>15044</v>
      </c>
      <c r="CM1570" s="58" t="s">
        <v>12494</v>
      </c>
      <c r="CO1570" s="58" t="s">
        <v>15045</v>
      </c>
      <c r="CP1570" s="58" t="s">
        <v>15046</v>
      </c>
      <c r="CT1570" s="58">
        <v>16.0</v>
      </c>
      <c r="CU1570" s="58" t="s">
        <v>239</v>
      </c>
      <c r="DL1570" s="58" t="s">
        <v>15047</v>
      </c>
    </row>
    <row r="1571" ht="15.75" customHeight="1">
      <c r="B1571" s="58" t="s">
        <v>4587</v>
      </c>
      <c r="C1571" s="58">
        <v>2024.0</v>
      </c>
      <c r="D1571" s="58" t="s">
        <v>15048</v>
      </c>
      <c r="E1571" s="58" t="s">
        <v>15049</v>
      </c>
      <c r="F1571" s="58" t="s">
        <v>11419</v>
      </c>
      <c r="H1571" s="58" t="s">
        <v>5264</v>
      </c>
      <c r="I1571" s="58" t="s">
        <v>15050</v>
      </c>
      <c r="K1571" s="73">
        <v>45475.0</v>
      </c>
      <c r="Z1571" s="58" t="s">
        <v>239</v>
      </c>
      <c r="CH1571" s="58" t="s">
        <v>15051</v>
      </c>
      <c r="CI1571" s="73">
        <v>45475.0</v>
      </c>
      <c r="CJ1571" s="58">
        <v>1.0</v>
      </c>
      <c r="CK1571" s="58">
        <v>6.0</v>
      </c>
      <c r="CL1571" s="58" t="s">
        <v>15052</v>
      </c>
      <c r="CM1571" s="58" t="s">
        <v>11423</v>
      </c>
      <c r="CO1571" s="58" t="s">
        <v>15053</v>
      </c>
      <c r="CP1571" s="58" t="s">
        <v>15054</v>
      </c>
      <c r="CT1571" s="58">
        <v>27.0</v>
      </c>
      <c r="CU1571" s="58" t="s">
        <v>239</v>
      </c>
      <c r="DL1571" s="58" t="s">
        <v>15055</v>
      </c>
    </row>
    <row r="1572" ht="15.75" customHeight="1">
      <c r="B1572" s="58" t="s">
        <v>4587</v>
      </c>
      <c r="C1572" s="58">
        <v>2024.0</v>
      </c>
      <c r="D1572" s="58" t="s">
        <v>15056</v>
      </c>
      <c r="E1572" s="58" t="s">
        <v>15057</v>
      </c>
      <c r="F1572" s="58" t="s">
        <v>14660</v>
      </c>
      <c r="I1572" s="58" t="s">
        <v>15058</v>
      </c>
      <c r="K1572" s="73">
        <v>45579.0</v>
      </c>
      <c r="Z1572" s="58" t="s">
        <v>239</v>
      </c>
      <c r="CH1572" s="58" t="s">
        <v>15059</v>
      </c>
      <c r="CI1572" s="73">
        <v>45579.0</v>
      </c>
      <c r="CJ1572" s="58">
        <v>176.0</v>
      </c>
      <c r="CK1572" s="58">
        <v>182.0</v>
      </c>
      <c r="CL1572" s="58" t="s">
        <v>15060</v>
      </c>
      <c r="CM1572" s="58" t="s">
        <v>14664</v>
      </c>
      <c r="CO1572" s="58" t="s">
        <v>15061</v>
      </c>
      <c r="CP1572" s="58" t="s">
        <v>15062</v>
      </c>
      <c r="CT1572" s="58">
        <v>22.0</v>
      </c>
      <c r="CU1572" s="58" t="s">
        <v>239</v>
      </c>
      <c r="DL1572" s="58" t="s">
        <v>15063</v>
      </c>
    </row>
    <row r="1573" ht="15.75" customHeight="1">
      <c r="B1573" s="58" t="s">
        <v>4587</v>
      </c>
      <c r="C1573" s="58">
        <v>2024.0</v>
      </c>
      <c r="D1573" s="58" t="s">
        <v>15064</v>
      </c>
      <c r="E1573" s="58" t="s">
        <v>15065</v>
      </c>
      <c r="F1573" s="58" t="s">
        <v>15066</v>
      </c>
      <c r="H1573" s="58" t="s">
        <v>11083</v>
      </c>
      <c r="I1573" s="58" t="s">
        <v>15067</v>
      </c>
      <c r="K1573" s="73">
        <v>45519.0</v>
      </c>
      <c r="Z1573" s="58" t="s">
        <v>239</v>
      </c>
      <c r="CH1573" s="58" t="s">
        <v>15068</v>
      </c>
      <c r="CI1573" s="73">
        <v>45519.0</v>
      </c>
      <c r="CJ1573" s="58">
        <v>259.0</v>
      </c>
      <c r="CK1573" s="58">
        <v>267.0</v>
      </c>
      <c r="CL1573" s="58" t="s">
        <v>15069</v>
      </c>
      <c r="CM1573" s="58" t="s">
        <v>15070</v>
      </c>
      <c r="CO1573" s="58" t="s">
        <v>15071</v>
      </c>
      <c r="CP1573" s="58" t="s">
        <v>15072</v>
      </c>
      <c r="CT1573" s="58">
        <v>27.0</v>
      </c>
      <c r="DL1573" s="58" t="s">
        <v>15073</v>
      </c>
    </row>
    <row r="1574" ht="15.75" customHeight="1">
      <c r="B1574" s="58" t="s">
        <v>4587</v>
      </c>
      <c r="C1574" s="58">
        <v>2024.0</v>
      </c>
      <c r="D1574" s="58" t="s">
        <v>15074</v>
      </c>
      <c r="E1574" s="58" t="s">
        <v>15075</v>
      </c>
      <c r="F1574" s="58" t="s">
        <v>15076</v>
      </c>
      <c r="I1574" s="58" t="s">
        <v>15077</v>
      </c>
      <c r="K1574" s="73">
        <v>45538.0</v>
      </c>
      <c r="R1574" s="58">
        <v>1.0</v>
      </c>
      <c r="Z1574" s="58" t="s">
        <v>239</v>
      </c>
      <c r="CH1574" s="58" t="s">
        <v>15078</v>
      </c>
      <c r="CI1574" s="73">
        <v>45538.0</v>
      </c>
      <c r="CJ1574" s="58">
        <v>1.0</v>
      </c>
      <c r="CK1574" s="58">
        <v>6.0</v>
      </c>
      <c r="CL1574" s="58" t="s">
        <v>15079</v>
      </c>
      <c r="CM1574" s="58" t="s">
        <v>15080</v>
      </c>
      <c r="CO1574" s="58" t="s">
        <v>15081</v>
      </c>
      <c r="CP1574" s="58" t="s">
        <v>15082</v>
      </c>
      <c r="CT1574" s="58">
        <v>16.0</v>
      </c>
      <c r="CU1574" s="58" t="s">
        <v>239</v>
      </c>
      <c r="DL1574" s="58" t="s">
        <v>15083</v>
      </c>
    </row>
    <row r="1575" ht="15.75" customHeight="1">
      <c r="B1575" s="58" t="s">
        <v>4587</v>
      </c>
      <c r="C1575" s="58">
        <v>2024.0</v>
      </c>
      <c r="D1575" s="58" t="s">
        <v>15084</v>
      </c>
      <c r="E1575" s="58" t="s">
        <v>15085</v>
      </c>
      <c r="F1575" s="58" t="s">
        <v>15086</v>
      </c>
      <c r="I1575" s="58" t="s">
        <v>15087</v>
      </c>
      <c r="K1575" s="73">
        <v>45541.0</v>
      </c>
      <c r="Z1575" s="58" t="s">
        <v>239</v>
      </c>
      <c r="CH1575" s="58" t="s">
        <v>15088</v>
      </c>
      <c r="CI1575" s="73">
        <v>45541.0</v>
      </c>
      <c r="CJ1575" s="58">
        <v>1077.0</v>
      </c>
      <c r="CK1575" s="58">
        <v>1082.0</v>
      </c>
      <c r="CL1575" s="58" t="s">
        <v>15089</v>
      </c>
      <c r="CM1575" s="58" t="s">
        <v>15090</v>
      </c>
      <c r="CO1575" s="58" t="s">
        <v>15091</v>
      </c>
      <c r="CP1575" s="58" t="s">
        <v>15092</v>
      </c>
      <c r="CT1575" s="58">
        <v>14.0</v>
      </c>
      <c r="CU1575" s="58" t="s">
        <v>239</v>
      </c>
      <c r="DL1575" s="58" t="s">
        <v>15093</v>
      </c>
    </row>
    <row r="1576" ht="15.75" customHeight="1">
      <c r="B1576" s="58" t="s">
        <v>4587</v>
      </c>
      <c r="C1576" s="58">
        <v>2024.0</v>
      </c>
      <c r="D1576" s="58" t="s">
        <v>15094</v>
      </c>
      <c r="E1576" s="58" t="s">
        <v>15095</v>
      </c>
      <c r="F1576" s="58" t="s">
        <v>14447</v>
      </c>
      <c r="I1576" s="58" t="s">
        <v>15096</v>
      </c>
      <c r="K1576" s="73">
        <v>45518.0</v>
      </c>
      <c r="Z1576" s="58" t="s">
        <v>239</v>
      </c>
      <c r="CH1576" s="58" t="s">
        <v>15097</v>
      </c>
      <c r="CI1576" s="73">
        <v>45518.0</v>
      </c>
      <c r="CJ1576" s="58">
        <v>88.0</v>
      </c>
      <c r="CK1576" s="58">
        <v>93.0</v>
      </c>
      <c r="CL1576" s="58" t="s">
        <v>15098</v>
      </c>
      <c r="CM1576" s="58" t="s">
        <v>14451</v>
      </c>
      <c r="CN1576" s="58" t="s">
        <v>8723</v>
      </c>
      <c r="CO1576" s="58" t="s">
        <v>15099</v>
      </c>
      <c r="CP1576" s="58" t="s">
        <v>15100</v>
      </c>
      <c r="CT1576" s="58">
        <v>22.0</v>
      </c>
      <c r="CU1576" s="58" t="s">
        <v>239</v>
      </c>
      <c r="DL1576" s="58" t="s">
        <v>15101</v>
      </c>
    </row>
    <row r="1577" ht="15.75" customHeight="1">
      <c r="B1577" s="58" t="s">
        <v>4587</v>
      </c>
      <c r="C1577" s="58">
        <v>2024.0</v>
      </c>
      <c r="D1577" s="58" t="s">
        <v>15102</v>
      </c>
      <c r="E1577" s="58" t="s">
        <v>15103</v>
      </c>
      <c r="F1577" s="58" t="s">
        <v>15104</v>
      </c>
      <c r="I1577" s="58" t="s">
        <v>15105</v>
      </c>
      <c r="K1577" s="73">
        <v>45706.0</v>
      </c>
      <c r="Z1577" s="58" t="s">
        <v>239</v>
      </c>
      <c r="CH1577" s="58" t="s">
        <v>15106</v>
      </c>
      <c r="CI1577" s="73">
        <v>45706.0</v>
      </c>
      <c r="CJ1577" s="58">
        <v>67.0</v>
      </c>
      <c r="CK1577" s="58">
        <v>71.0</v>
      </c>
      <c r="CL1577" s="58" t="s">
        <v>15107</v>
      </c>
      <c r="CM1577" s="58" t="s">
        <v>15108</v>
      </c>
      <c r="CO1577" s="58" t="s">
        <v>15109</v>
      </c>
      <c r="CP1577" s="58" t="s">
        <v>15110</v>
      </c>
      <c r="CT1577" s="58">
        <v>14.0</v>
      </c>
      <c r="CU1577" s="58" t="s">
        <v>239</v>
      </c>
      <c r="DL1577" s="58" t="s">
        <v>15111</v>
      </c>
    </row>
    <row r="1578" ht="15.75" customHeight="1">
      <c r="B1578" s="58" t="s">
        <v>4587</v>
      </c>
      <c r="C1578" s="58">
        <v>2024.0</v>
      </c>
      <c r="D1578" s="58" t="s">
        <v>15112</v>
      </c>
      <c r="E1578" s="58" t="s">
        <v>15113</v>
      </c>
      <c r="F1578" s="58" t="s">
        <v>15114</v>
      </c>
      <c r="I1578" s="58" t="s">
        <v>15115</v>
      </c>
      <c r="K1578" s="73">
        <v>45671.0</v>
      </c>
      <c r="Z1578" s="58" t="s">
        <v>239</v>
      </c>
      <c r="CH1578" s="58" t="s">
        <v>15116</v>
      </c>
      <c r="CI1578" s="73">
        <v>45671.0</v>
      </c>
      <c r="CJ1578" s="58">
        <v>16.0</v>
      </c>
      <c r="CK1578" s="58">
        <v>20.0</v>
      </c>
      <c r="CL1578" s="58" t="s">
        <v>15117</v>
      </c>
      <c r="CM1578" s="58" t="s">
        <v>15118</v>
      </c>
      <c r="CO1578" s="58" t="s">
        <v>15119</v>
      </c>
      <c r="CP1578" s="58" t="s">
        <v>15120</v>
      </c>
      <c r="CT1578" s="58">
        <v>12.0</v>
      </c>
      <c r="CU1578" s="58" t="s">
        <v>239</v>
      </c>
      <c r="DL1578" s="58" t="s">
        <v>15121</v>
      </c>
    </row>
    <row r="1579" ht="15.75" customHeight="1">
      <c r="B1579" s="58" t="s">
        <v>4587</v>
      </c>
      <c r="C1579" s="58">
        <v>2024.0</v>
      </c>
      <c r="D1579" s="58" t="s">
        <v>15122</v>
      </c>
      <c r="E1579" s="58" t="s">
        <v>15123</v>
      </c>
      <c r="F1579" s="58" t="s">
        <v>13950</v>
      </c>
      <c r="H1579" s="58" t="s">
        <v>13951</v>
      </c>
      <c r="I1579" s="58" t="s">
        <v>15124</v>
      </c>
      <c r="K1579" s="73">
        <v>45643.0</v>
      </c>
      <c r="Z1579" s="58" t="s">
        <v>239</v>
      </c>
      <c r="CH1579" s="58" t="s">
        <v>15125</v>
      </c>
      <c r="CI1579" s="73">
        <v>45643.0</v>
      </c>
      <c r="CJ1579" s="58">
        <v>1.0</v>
      </c>
      <c r="CK1579" s="58">
        <v>7.0</v>
      </c>
      <c r="CL1579" s="58" t="s">
        <v>15126</v>
      </c>
      <c r="CM1579" s="58" t="s">
        <v>13955</v>
      </c>
      <c r="CO1579" s="58" t="s">
        <v>15127</v>
      </c>
      <c r="CP1579" s="58" t="s">
        <v>15128</v>
      </c>
      <c r="CT1579" s="58">
        <v>19.0</v>
      </c>
      <c r="CU1579" s="58" t="s">
        <v>239</v>
      </c>
      <c r="DL1579" s="58" t="s">
        <v>15129</v>
      </c>
    </row>
    <row r="1580" ht="15.75" customHeight="1">
      <c r="B1580" s="58" t="s">
        <v>4587</v>
      </c>
      <c r="C1580" s="58">
        <v>2023.0</v>
      </c>
      <c r="D1580" s="58" t="s">
        <v>15130</v>
      </c>
      <c r="E1580" s="58" t="s">
        <v>15131</v>
      </c>
      <c r="F1580" s="58" t="s">
        <v>15132</v>
      </c>
      <c r="H1580" s="58" t="s">
        <v>15133</v>
      </c>
      <c r="I1580" s="58" t="s">
        <v>15134</v>
      </c>
      <c r="K1580" s="73">
        <v>45265.0</v>
      </c>
      <c r="Z1580" s="58" t="s">
        <v>239</v>
      </c>
      <c r="CH1580" s="58" t="s">
        <v>15135</v>
      </c>
      <c r="CI1580" s="73">
        <v>45265.0</v>
      </c>
      <c r="CJ1580" s="58">
        <v>102.0</v>
      </c>
      <c r="CK1580" s="58">
        <v>106.0</v>
      </c>
      <c r="CL1580" s="58" t="s">
        <v>15136</v>
      </c>
      <c r="CM1580" s="58" t="s">
        <v>15137</v>
      </c>
      <c r="CO1580" s="58" t="s">
        <v>15138</v>
      </c>
      <c r="CP1580" s="58" t="s">
        <v>15139</v>
      </c>
      <c r="CT1580" s="58">
        <v>17.0</v>
      </c>
      <c r="CU1580" s="58" t="s">
        <v>239</v>
      </c>
      <c r="DL1580" s="58" t="s">
        <v>15140</v>
      </c>
    </row>
    <row r="1581" ht="15.75" customHeight="1">
      <c r="B1581" s="58" t="s">
        <v>4587</v>
      </c>
      <c r="C1581" s="58">
        <v>2023.0</v>
      </c>
      <c r="E1581" s="58" t="s">
        <v>15141</v>
      </c>
      <c r="F1581" s="58" t="s">
        <v>15142</v>
      </c>
      <c r="I1581" s="58" t="s">
        <v>15143</v>
      </c>
      <c r="K1581" s="73">
        <v>45267.0</v>
      </c>
      <c r="Z1581" s="58" t="s">
        <v>239</v>
      </c>
      <c r="CI1581" s="73">
        <v>45267.0</v>
      </c>
      <c r="CJ1581" s="58">
        <v>1.0</v>
      </c>
      <c r="CK1581" s="58">
        <v>184.0</v>
      </c>
      <c r="CL1581" s="58" t="s">
        <v>15144</v>
      </c>
      <c r="CM1581" s="58" t="s">
        <v>15145</v>
      </c>
      <c r="CO1581" s="58" t="s">
        <v>15146</v>
      </c>
      <c r="CU1581" s="58" t="s">
        <v>239</v>
      </c>
      <c r="DL1581" s="58" t="s">
        <v>15147</v>
      </c>
    </row>
    <row r="1582" ht="15.75" customHeight="1">
      <c r="B1582" s="58" t="s">
        <v>4587</v>
      </c>
      <c r="C1582" s="58">
        <v>2023.0</v>
      </c>
      <c r="D1582" s="58" t="s">
        <v>15148</v>
      </c>
      <c r="E1582" s="58" t="s">
        <v>15149</v>
      </c>
      <c r="F1582" s="58" t="s">
        <v>11202</v>
      </c>
      <c r="I1582" s="58" t="s">
        <v>15150</v>
      </c>
      <c r="K1582" s="73">
        <v>45154.0</v>
      </c>
      <c r="Z1582" s="58" t="s">
        <v>239</v>
      </c>
      <c r="CH1582" s="58" t="s">
        <v>15151</v>
      </c>
      <c r="CI1582" s="73">
        <v>45154.0</v>
      </c>
      <c r="CJ1582" s="58">
        <v>182.0</v>
      </c>
      <c r="CK1582" s="58">
        <v>186.0</v>
      </c>
      <c r="CL1582" s="58" t="s">
        <v>15152</v>
      </c>
      <c r="CM1582" s="58" t="s">
        <v>11206</v>
      </c>
      <c r="CO1582" s="58" t="s">
        <v>15153</v>
      </c>
      <c r="CP1582" s="58" t="s">
        <v>15154</v>
      </c>
      <c r="CT1582" s="58">
        <v>15.0</v>
      </c>
      <c r="CU1582" s="58" t="s">
        <v>239</v>
      </c>
      <c r="DL1582" s="58" t="s">
        <v>15155</v>
      </c>
    </row>
    <row r="1583" ht="15.75" customHeight="1">
      <c r="B1583" s="58" t="s">
        <v>4587</v>
      </c>
      <c r="C1583" s="58">
        <v>2024.0</v>
      </c>
      <c r="D1583" s="58" t="s">
        <v>15156</v>
      </c>
      <c r="E1583" s="58" t="s">
        <v>15157</v>
      </c>
      <c r="F1583" s="58" t="s">
        <v>14711</v>
      </c>
      <c r="I1583" s="58" t="s">
        <v>15158</v>
      </c>
      <c r="K1583" s="73">
        <v>45483.0</v>
      </c>
      <c r="Z1583" s="58" t="s">
        <v>239</v>
      </c>
      <c r="CH1583" s="58" t="s">
        <v>15159</v>
      </c>
      <c r="CI1583" s="73">
        <v>45483.0</v>
      </c>
      <c r="CJ1583" s="58">
        <v>1660.0</v>
      </c>
      <c r="CK1583" s="58">
        <v>1665.0</v>
      </c>
      <c r="CL1583" s="58" t="s">
        <v>15160</v>
      </c>
      <c r="CM1583" s="58" t="s">
        <v>14715</v>
      </c>
      <c r="CO1583" s="58" t="s">
        <v>15161</v>
      </c>
      <c r="CP1583" s="58" t="s">
        <v>15162</v>
      </c>
      <c r="CT1583" s="58">
        <v>11.0</v>
      </c>
      <c r="CU1583" s="58" t="s">
        <v>239</v>
      </c>
      <c r="DL1583" s="58" t="s">
        <v>15163</v>
      </c>
    </row>
    <row r="1584" ht="15.75" customHeight="1">
      <c r="B1584" s="58" t="s">
        <v>4587</v>
      </c>
      <c r="C1584" s="58">
        <v>2024.0</v>
      </c>
      <c r="D1584" s="58" t="s">
        <v>15164</v>
      </c>
      <c r="E1584" s="58" t="s">
        <v>15165</v>
      </c>
      <c r="F1584" s="58" t="s">
        <v>15166</v>
      </c>
      <c r="I1584" s="58" t="s">
        <v>15167</v>
      </c>
      <c r="K1584" s="73">
        <v>45733.0</v>
      </c>
      <c r="Z1584" s="58" t="s">
        <v>239</v>
      </c>
      <c r="CH1584" s="58" t="s">
        <v>15168</v>
      </c>
      <c r="CI1584" s="73">
        <v>45733.0</v>
      </c>
      <c r="CJ1584" s="58">
        <v>97.0</v>
      </c>
      <c r="CK1584" s="58">
        <v>101.0</v>
      </c>
      <c r="CL1584" s="58" t="s">
        <v>15169</v>
      </c>
      <c r="CM1584" s="58" t="s">
        <v>15170</v>
      </c>
      <c r="CO1584" s="58" t="s">
        <v>15171</v>
      </c>
      <c r="CP1584" s="58" t="s">
        <v>15172</v>
      </c>
      <c r="CT1584" s="58">
        <v>6.0</v>
      </c>
      <c r="CU1584" s="58" t="s">
        <v>239</v>
      </c>
      <c r="DL1584" s="58" t="s">
        <v>15173</v>
      </c>
    </row>
    <row r="1585" ht="15.75" customHeight="1">
      <c r="B1585" s="58" t="s">
        <v>4587</v>
      </c>
      <c r="C1585" s="58">
        <v>2023.0</v>
      </c>
      <c r="D1585" s="58" t="s">
        <v>15174</v>
      </c>
      <c r="E1585" s="58" t="s">
        <v>15175</v>
      </c>
      <c r="F1585" s="58" t="s">
        <v>15176</v>
      </c>
      <c r="H1585" s="58" t="s">
        <v>6861</v>
      </c>
      <c r="I1585" s="58" t="s">
        <v>15177</v>
      </c>
      <c r="K1585" s="73">
        <v>45169.0</v>
      </c>
      <c r="Z1585" s="58" t="s">
        <v>239</v>
      </c>
      <c r="CH1585" s="58" t="s">
        <v>15178</v>
      </c>
      <c r="CI1585" s="73">
        <v>45169.0</v>
      </c>
      <c r="CJ1585" s="58">
        <v>1.0</v>
      </c>
      <c r="CK1585" s="58">
        <v>5.0</v>
      </c>
      <c r="CL1585" s="58" t="s">
        <v>15179</v>
      </c>
      <c r="CM1585" s="58" t="s">
        <v>15180</v>
      </c>
      <c r="CN1585" s="58" t="s">
        <v>15181</v>
      </c>
      <c r="CO1585" s="58" t="s">
        <v>15182</v>
      </c>
      <c r="CP1585" s="58" t="s">
        <v>15183</v>
      </c>
      <c r="CT1585" s="58">
        <v>14.0</v>
      </c>
      <c r="CU1585" s="58" t="s">
        <v>239</v>
      </c>
      <c r="DL1585" s="58" t="s">
        <v>15184</v>
      </c>
    </row>
    <row r="1586" ht="15.75" customHeight="1">
      <c r="B1586" s="58" t="s">
        <v>4587</v>
      </c>
      <c r="C1586" s="58">
        <v>2024.0</v>
      </c>
      <c r="D1586" s="58" t="s">
        <v>15185</v>
      </c>
      <c r="E1586" s="58" t="s">
        <v>15186</v>
      </c>
      <c r="F1586" s="58" t="s">
        <v>15187</v>
      </c>
      <c r="I1586" s="58" t="s">
        <v>15188</v>
      </c>
      <c r="K1586" s="73">
        <v>45645.0</v>
      </c>
      <c r="Z1586" s="58" t="s">
        <v>239</v>
      </c>
      <c r="CH1586" s="58" t="s">
        <v>15189</v>
      </c>
      <c r="CI1586" s="73">
        <v>45645.0</v>
      </c>
      <c r="CJ1586" s="58">
        <v>40.0</v>
      </c>
      <c r="CK1586" s="58">
        <v>46.0</v>
      </c>
      <c r="CL1586" s="58" t="s">
        <v>15190</v>
      </c>
      <c r="CM1586" s="58" t="s">
        <v>15191</v>
      </c>
      <c r="CN1586" s="58" t="s">
        <v>15192</v>
      </c>
      <c r="CO1586" s="58" t="s">
        <v>15193</v>
      </c>
      <c r="CP1586" s="58" t="s">
        <v>15194</v>
      </c>
      <c r="CT1586" s="58">
        <v>25.0</v>
      </c>
      <c r="CU1586" s="58" t="s">
        <v>239</v>
      </c>
      <c r="DL1586" s="58" t="s">
        <v>15195</v>
      </c>
    </row>
    <row r="1587" ht="15.75" customHeight="1">
      <c r="B1587" s="58" t="s">
        <v>4587</v>
      </c>
      <c r="C1587" s="58">
        <v>2024.0</v>
      </c>
      <c r="D1587" s="58" t="s">
        <v>15196</v>
      </c>
      <c r="E1587" s="58" t="s">
        <v>15197</v>
      </c>
      <c r="F1587" s="58" t="s">
        <v>15198</v>
      </c>
      <c r="I1587" s="58" t="s">
        <v>15199</v>
      </c>
      <c r="K1587" s="73">
        <v>45708.0</v>
      </c>
      <c r="Z1587" s="58" t="s">
        <v>239</v>
      </c>
      <c r="CH1587" s="58" t="s">
        <v>15200</v>
      </c>
      <c r="CI1587" s="73">
        <v>45708.0</v>
      </c>
      <c r="CJ1587" s="58">
        <v>1.0</v>
      </c>
      <c r="CK1587" s="58">
        <v>4.0</v>
      </c>
      <c r="CL1587" s="58" t="s">
        <v>15201</v>
      </c>
      <c r="CM1587" s="58" t="s">
        <v>15202</v>
      </c>
      <c r="CO1587" s="58" t="s">
        <v>15203</v>
      </c>
      <c r="CP1587" s="58" t="s">
        <v>15204</v>
      </c>
      <c r="CT1587" s="58">
        <v>20.0</v>
      </c>
      <c r="CU1587" s="58" t="s">
        <v>239</v>
      </c>
      <c r="DL1587" s="58" t="s">
        <v>15205</v>
      </c>
    </row>
    <row r="1588" ht="15.75" customHeight="1">
      <c r="B1588" s="58" t="s">
        <v>4587</v>
      </c>
      <c r="C1588" s="58">
        <v>2024.0</v>
      </c>
      <c r="D1588" s="58" t="s">
        <v>15206</v>
      </c>
      <c r="E1588" s="58" t="s">
        <v>15207</v>
      </c>
      <c r="F1588" s="58" t="s">
        <v>15208</v>
      </c>
      <c r="I1588" s="58" t="s">
        <v>15209</v>
      </c>
      <c r="K1588" s="73">
        <v>45666.0</v>
      </c>
      <c r="Z1588" s="58" t="s">
        <v>239</v>
      </c>
      <c r="CH1588" s="58" t="s">
        <v>15210</v>
      </c>
      <c r="CI1588" s="73">
        <v>45666.0</v>
      </c>
      <c r="CJ1588" s="58">
        <v>343.0</v>
      </c>
      <c r="CK1588" s="58">
        <v>351.0</v>
      </c>
      <c r="CL1588" s="58" t="s">
        <v>15211</v>
      </c>
      <c r="CM1588" s="58" t="s">
        <v>15212</v>
      </c>
      <c r="CO1588" s="58" t="s">
        <v>15213</v>
      </c>
      <c r="CP1588" s="58" t="s">
        <v>15214</v>
      </c>
      <c r="CT1588" s="58">
        <v>23.0</v>
      </c>
      <c r="CU1588" s="58" t="s">
        <v>239</v>
      </c>
      <c r="DL1588" s="58" t="s">
        <v>15215</v>
      </c>
    </row>
    <row r="1589" ht="15.75" customHeight="1">
      <c r="B1589" s="58" t="s">
        <v>4587</v>
      </c>
      <c r="C1589" s="58">
        <v>2024.0</v>
      </c>
      <c r="D1589" s="58" t="s">
        <v>15216</v>
      </c>
      <c r="E1589" s="58" t="s">
        <v>15217</v>
      </c>
      <c r="F1589" s="58" t="s">
        <v>15218</v>
      </c>
      <c r="I1589" s="58" t="s">
        <v>15219</v>
      </c>
      <c r="K1589" s="73">
        <v>45705.0</v>
      </c>
      <c r="Z1589" s="58" t="s">
        <v>239</v>
      </c>
      <c r="CH1589" s="58" t="s">
        <v>15220</v>
      </c>
      <c r="CI1589" s="73">
        <v>45705.0</v>
      </c>
      <c r="CJ1589" s="58">
        <v>1.0</v>
      </c>
      <c r="CK1589" s="58">
        <v>5.0</v>
      </c>
      <c r="CL1589" s="58" t="s">
        <v>15221</v>
      </c>
      <c r="CM1589" s="58" t="s">
        <v>15222</v>
      </c>
      <c r="CO1589" s="58" t="s">
        <v>15223</v>
      </c>
      <c r="CP1589" s="58" t="s">
        <v>15224</v>
      </c>
      <c r="CT1589" s="58">
        <v>15.0</v>
      </c>
      <c r="CU1589" s="58" t="s">
        <v>239</v>
      </c>
      <c r="DL1589" s="58" t="s">
        <v>15225</v>
      </c>
    </row>
    <row r="1590" ht="15.75" customHeight="1">
      <c r="B1590" s="58" t="s">
        <v>4587</v>
      </c>
      <c r="C1590" s="58">
        <v>2023.0</v>
      </c>
      <c r="D1590" s="58" t="s">
        <v>15226</v>
      </c>
      <c r="E1590" s="58" t="s">
        <v>15227</v>
      </c>
      <c r="F1590" s="58" t="s">
        <v>15228</v>
      </c>
      <c r="H1590" s="58" t="s">
        <v>10919</v>
      </c>
      <c r="I1590" s="58" t="s">
        <v>15229</v>
      </c>
      <c r="K1590" s="73">
        <v>45323.0</v>
      </c>
      <c r="R1590" s="58">
        <v>11.0</v>
      </c>
      <c r="Z1590" s="58" t="s">
        <v>239</v>
      </c>
      <c r="CH1590" s="58" t="s">
        <v>15230</v>
      </c>
      <c r="CI1590" s="73">
        <v>45323.0</v>
      </c>
      <c r="CJ1590" s="58">
        <v>85.0</v>
      </c>
      <c r="CK1590" s="58">
        <v>89.0</v>
      </c>
      <c r="CL1590" s="58" t="s">
        <v>15231</v>
      </c>
      <c r="CM1590" s="58" t="s">
        <v>15232</v>
      </c>
      <c r="CO1590" s="58" t="s">
        <v>15233</v>
      </c>
      <c r="CP1590" s="58" t="s">
        <v>15234</v>
      </c>
      <c r="CT1590" s="58">
        <v>7.0</v>
      </c>
      <c r="CU1590" s="58" t="s">
        <v>239</v>
      </c>
      <c r="DL1590" s="58" t="s">
        <v>15235</v>
      </c>
    </row>
    <row r="1591" ht="15.75" customHeight="1">
      <c r="B1591" s="58" t="s">
        <v>4587</v>
      </c>
      <c r="C1591" s="58">
        <v>2024.0</v>
      </c>
      <c r="D1591" s="58" t="s">
        <v>15236</v>
      </c>
      <c r="E1591" s="58" t="s">
        <v>15237</v>
      </c>
      <c r="F1591" s="58" t="s">
        <v>14121</v>
      </c>
      <c r="I1591" s="58" t="s">
        <v>15238</v>
      </c>
      <c r="K1591" s="73">
        <v>45674.0</v>
      </c>
      <c r="Z1591" s="58" t="s">
        <v>239</v>
      </c>
      <c r="CH1591" s="58" t="s">
        <v>15239</v>
      </c>
      <c r="CI1591" s="73">
        <v>45674.0</v>
      </c>
      <c r="CJ1591" s="58">
        <v>1.0</v>
      </c>
      <c r="CK1591" s="58">
        <v>10.0</v>
      </c>
      <c r="CL1591" s="58" t="s">
        <v>15240</v>
      </c>
      <c r="CM1591" s="58" t="s">
        <v>14125</v>
      </c>
      <c r="CO1591" s="58" t="s">
        <v>15241</v>
      </c>
      <c r="CP1591" s="58" t="s">
        <v>15242</v>
      </c>
      <c r="CT1591" s="58">
        <v>35.0</v>
      </c>
      <c r="CU1591" s="58" t="s">
        <v>239</v>
      </c>
      <c r="DL1591" s="58" t="s">
        <v>15243</v>
      </c>
    </row>
    <row r="1592" ht="15.75" customHeight="1">
      <c r="B1592" s="58" t="s">
        <v>4587</v>
      </c>
      <c r="C1592" s="58">
        <v>2024.0</v>
      </c>
      <c r="D1592" s="58" t="s">
        <v>15244</v>
      </c>
      <c r="E1592" s="58" t="s">
        <v>15245</v>
      </c>
      <c r="F1592" s="58" t="s">
        <v>15066</v>
      </c>
      <c r="H1592" s="58" t="s">
        <v>11083</v>
      </c>
      <c r="I1592" s="58" t="s">
        <v>15246</v>
      </c>
      <c r="K1592" s="73">
        <v>45519.0</v>
      </c>
      <c r="Z1592" s="58" t="s">
        <v>239</v>
      </c>
      <c r="CH1592" s="58" t="s">
        <v>15247</v>
      </c>
      <c r="CI1592" s="73">
        <v>45519.0</v>
      </c>
      <c r="CJ1592" s="58">
        <v>738.0</v>
      </c>
      <c r="CK1592" s="58">
        <v>743.0</v>
      </c>
      <c r="CL1592" s="58" t="s">
        <v>15248</v>
      </c>
      <c r="CM1592" s="58" t="s">
        <v>15070</v>
      </c>
      <c r="CN1592" s="58" t="s">
        <v>15249</v>
      </c>
      <c r="CO1592" s="58" t="s">
        <v>15250</v>
      </c>
      <c r="CP1592" s="58" t="s">
        <v>15251</v>
      </c>
      <c r="CT1592" s="58">
        <v>22.0</v>
      </c>
      <c r="DL1592" s="58" t="s">
        <v>15252</v>
      </c>
    </row>
    <row r="1593" ht="15.75" customHeight="1">
      <c r="B1593" s="58" t="s">
        <v>4587</v>
      </c>
      <c r="C1593" s="58">
        <v>2024.0</v>
      </c>
      <c r="D1593" s="58" t="s">
        <v>15253</v>
      </c>
      <c r="E1593" s="58" t="s">
        <v>15254</v>
      </c>
      <c r="F1593" s="58" t="s">
        <v>14639</v>
      </c>
      <c r="H1593" s="58" t="s">
        <v>12118</v>
      </c>
      <c r="I1593" s="58" t="s">
        <v>15255</v>
      </c>
      <c r="K1593" s="73">
        <v>45653.0</v>
      </c>
      <c r="Z1593" s="58" t="s">
        <v>239</v>
      </c>
      <c r="CH1593" s="58" t="s">
        <v>15256</v>
      </c>
      <c r="CI1593" s="73">
        <v>45653.0</v>
      </c>
      <c r="CJ1593" s="58">
        <v>300.0</v>
      </c>
      <c r="CK1593" s="58">
        <v>308.0</v>
      </c>
      <c r="CL1593" s="58" t="s">
        <v>15257</v>
      </c>
      <c r="CM1593" s="58" t="s">
        <v>14643</v>
      </c>
      <c r="CO1593" s="58" t="s">
        <v>15258</v>
      </c>
      <c r="CP1593" s="58" t="s">
        <v>15259</v>
      </c>
      <c r="CT1593" s="58">
        <v>66.0</v>
      </c>
      <c r="CU1593" s="58" t="s">
        <v>239</v>
      </c>
      <c r="DL1593" s="58" t="s">
        <v>15260</v>
      </c>
    </row>
    <row r="1594" ht="15.75" customHeight="1">
      <c r="B1594" s="58" t="s">
        <v>4587</v>
      </c>
      <c r="C1594" s="58">
        <v>2023.0</v>
      </c>
      <c r="D1594" s="58" t="s">
        <v>15261</v>
      </c>
      <c r="E1594" s="58" t="s">
        <v>15262</v>
      </c>
      <c r="F1594" s="58" t="s">
        <v>13800</v>
      </c>
      <c r="I1594" s="58" t="s">
        <v>15263</v>
      </c>
      <c r="K1594" s="73">
        <v>45314.0</v>
      </c>
      <c r="Z1594" s="58" t="s">
        <v>239</v>
      </c>
      <c r="CH1594" s="58" t="s">
        <v>15264</v>
      </c>
      <c r="CI1594" s="73">
        <v>45314.0</v>
      </c>
      <c r="CJ1594" s="58">
        <v>1394.0</v>
      </c>
      <c r="CK1594" s="58">
        <v>1399.0</v>
      </c>
      <c r="CL1594" s="58" t="s">
        <v>15265</v>
      </c>
      <c r="CM1594" s="58" t="s">
        <v>13804</v>
      </c>
      <c r="CO1594" s="58" t="s">
        <v>15266</v>
      </c>
      <c r="CP1594" s="58" t="s">
        <v>15267</v>
      </c>
      <c r="CT1594" s="58">
        <v>9.0</v>
      </c>
      <c r="CU1594" s="58" t="s">
        <v>239</v>
      </c>
      <c r="DL1594" s="58" t="s">
        <v>15268</v>
      </c>
    </row>
    <row r="1595" ht="15.75" customHeight="1">
      <c r="B1595" s="58" t="s">
        <v>4587</v>
      </c>
      <c r="C1595" s="58">
        <v>2024.0</v>
      </c>
      <c r="D1595" s="58" t="s">
        <v>15269</v>
      </c>
      <c r="E1595" s="58" t="s">
        <v>15270</v>
      </c>
      <c r="F1595" s="58" t="s">
        <v>15218</v>
      </c>
      <c r="I1595" s="58" t="s">
        <v>15271</v>
      </c>
      <c r="K1595" s="73">
        <v>45705.0</v>
      </c>
      <c r="Z1595" s="58" t="s">
        <v>239</v>
      </c>
      <c r="CH1595" s="58" t="s">
        <v>15272</v>
      </c>
      <c r="CI1595" s="73">
        <v>45705.0</v>
      </c>
      <c r="CJ1595" s="58">
        <v>1.0</v>
      </c>
      <c r="CK1595" s="58">
        <v>7.0</v>
      </c>
      <c r="CL1595" s="58" t="s">
        <v>15273</v>
      </c>
      <c r="CM1595" s="58" t="s">
        <v>15222</v>
      </c>
      <c r="CO1595" s="58" t="s">
        <v>15274</v>
      </c>
      <c r="CP1595" s="58" t="s">
        <v>15275</v>
      </c>
      <c r="CT1595" s="58">
        <v>18.0</v>
      </c>
      <c r="CU1595" s="58" t="s">
        <v>239</v>
      </c>
      <c r="DL1595" s="58" t="s">
        <v>15276</v>
      </c>
    </row>
    <row r="1596" ht="15.75" customHeight="1">
      <c r="B1596" s="58" t="s">
        <v>4587</v>
      </c>
      <c r="C1596" s="58">
        <v>2024.0</v>
      </c>
      <c r="D1596" s="58" t="s">
        <v>15277</v>
      </c>
      <c r="E1596" s="58" t="s">
        <v>15278</v>
      </c>
      <c r="F1596" s="58" t="s">
        <v>15279</v>
      </c>
      <c r="H1596" s="58" t="s">
        <v>15280</v>
      </c>
      <c r="I1596" s="58" t="s">
        <v>15281</v>
      </c>
      <c r="K1596" s="73">
        <v>45657.0</v>
      </c>
      <c r="Z1596" s="58" t="s">
        <v>239</v>
      </c>
      <c r="CH1596" s="58" t="s">
        <v>15282</v>
      </c>
      <c r="CI1596" s="73">
        <v>45657.0</v>
      </c>
      <c r="CJ1596" s="58">
        <v>1.0</v>
      </c>
      <c r="CK1596" s="58">
        <v>8.0</v>
      </c>
      <c r="CL1596" s="58" t="s">
        <v>15283</v>
      </c>
      <c r="CM1596" s="58" t="s">
        <v>15284</v>
      </c>
      <c r="CO1596" s="58" t="s">
        <v>15285</v>
      </c>
      <c r="CP1596" s="58" t="s">
        <v>15286</v>
      </c>
      <c r="CT1596" s="58">
        <v>18.0</v>
      </c>
      <c r="CU1596" s="58" t="s">
        <v>239</v>
      </c>
      <c r="DL1596" s="58" t="s">
        <v>15287</v>
      </c>
    </row>
    <row r="1597" ht="15.75" customHeight="1">
      <c r="B1597" s="58" t="s">
        <v>4587</v>
      </c>
      <c r="C1597" s="58">
        <v>2025.0</v>
      </c>
      <c r="D1597" s="58" t="s">
        <v>15288</v>
      </c>
      <c r="E1597" s="58" t="s">
        <v>15289</v>
      </c>
      <c r="F1597" s="58" t="s">
        <v>13597</v>
      </c>
      <c r="H1597" s="58" t="s">
        <v>11572</v>
      </c>
      <c r="I1597" s="58" t="s">
        <v>15290</v>
      </c>
      <c r="K1597" s="73">
        <v>45708.0</v>
      </c>
      <c r="Z1597" s="58" t="s">
        <v>239</v>
      </c>
      <c r="CH1597" s="58" t="s">
        <v>15291</v>
      </c>
      <c r="CI1597" s="73">
        <v>45708.0</v>
      </c>
      <c r="CJ1597" s="58">
        <v>13.0</v>
      </c>
      <c r="CK1597" s="58">
        <v>18.0</v>
      </c>
      <c r="CL1597" s="58" t="s">
        <v>15292</v>
      </c>
      <c r="CM1597" s="58" t="s">
        <v>13601</v>
      </c>
      <c r="CO1597" s="58" t="s">
        <v>15293</v>
      </c>
      <c r="CP1597" s="58" t="s">
        <v>15294</v>
      </c>
      <c r="CT1597" s="58">
        <v>22.0</v>
      </c>
      <c r="CU1597" s="58" t="s">
        <v>239</v>
      </c>
      <c r="DL1597" s="58" t="s">
        <v>15295</v>
      </c>
    </row>
    <row r="1598" ht="15.75" customHeight="1">
      <c r="B1598" s="58" t="s">
        <v>4587</v>
      </c>
      <c r="C1598" s="58">
        <v>2024.0</v>
      </c>
      <c r="D1598" s="58" t="s">
        <v>15296</v>
      </c>
      <c r="E1598" s="58" t="s">
        <v>15297</v>
      </c>
      <c r="F1598" s="58" t="s">
        <v>15298</v>
      </c>
      <c r="I1598" s="58" t="s">
        <v>15299</v>
      </c>
      <c r="K1598" s="73">
        <v>45657.0</v>
      </c>
      <c r="Z1598" s="58" t="s">
        <v>239</v>
      </c>
      <c r="CH1598" s="58" t="s">
        <v>15300</v>
      </c>
      <c r="CI1598" s="73">
        <v>45657.0</v>
      </c>
      <c r="CJ1598" s="58">
        <v>419.0</v>
      </c>
      <c r="CK1598" s="58">
        <v>426.0</v>
      </c>
      <c r="CL1598" s="58" t="s">
        <v>15301</v>
      </c>
      <c r="CM1598" s="58" t="s">
        <v>15302</v>
      </c>
      <c r="CO1598" s="58" t="s">
        <v>15303</v>
      </c>
      <c r="CP1598" s="58" t="s">
        <v>15304</v>
      </c>
      <c r="CT1598" s="58">
        <v>87.0</v>
      </c>
      <c r="CU1598" s="58" t="s">
        <v>239</v>
      </c>
      <c r="DL1598" s="58" t="s">
        <v>15305</v>
      </c>
    </row>
    <row r="1599" ht="15.75" customHeight="1">
      <c r="B1599" s="58" t="s">
        <v>4587</v>
      </c>
      <c r="C1599" s="58">
        <v>2023.0</v>
      </c>
      <c r="D1599" s="58" t="s">
        <v>15306</v>
      </c>
      <c r="E1599" s="58" t="s">
        <v>15307</v>
      </c>
      <c r="F1599" s="58" t="s">
        <v>15308</v>
      </c>
      <c r="I1599" s="58" t="s">
        <v>15309</v>
      </c>
      <c r="K1599" s="73">
        <v>45294.0</v>
      </c>
      <c r="Z1599" s="58" t="s">
        <v>239</v>
      </c>
      <c r="CH1599" s="58" t="s">
        <v>15310</v>
      </c>
      <c r="CI1599" s="73">
        <v>45294.0</v>
      </c>
      <c r="CJ1599" s="58">
        <v>1.0</v>
      </c>
      <c r="CK1599" s="58">
        <v>8.0</v>
      </c>
      <c r="CL1599" s="58" t="s">
        <v>15311</v>
      </c>
      <c r="CM1599" s="58" t="s">
        <v>15312</v>
      </c>
      <c r="CO1599" s="58" t="s">
        <v>15313</v>
      </c>
      <c r="CP1599" s="58" t="s">
        <v>15314</v>
      </c>
      <c r="CT1599" s="58">
        <v>44.0</v>
      </c>
      <c r="CU1599" s="58" t="s">
        <v>239</v>
      </c>
      <c r="DL1599" s="58" t="s">
        <v>15315</v>
      </c>
    </row>
    <row r="1600" ht="15.75" customHeight="1">
      <c r="B1600" s="58" t="s">
        <v>4587</v>
      </c>
      <c r="C1600" s="58">
        <v>2024.0</v>
      </c>
      <c r="D1600" s="58" t="s">
        <v>15316</v>
      </c>
      <c r="E1600" s="58" t="s">
        <v>15317</v>
      </c>
      <c r="F1600" s="58" t="s">
        <v>15318</v>
      </c>
      <c r="H1600" s="58" t="s">
        <v>15319</v>
      </c>
      <c r="I1600" s="58" t="s">
        <v>15320</v>
      </c>
      <c r="K1600" s="73">
        <v>45622.0</v>
      </c>
      <c r="R1600" s="58" t="s">
        <v>15321</v>
      </c>
      <c r="Z1600" s="58" t="s">
        <v>239</v>
      </c>
      <c r="CH1600" s="58" t="s">
        <v>15322</v>
      </c>
      <c r="CI1600" s="73">
        <v>45622.0</v>
      </c>
      <c r="CJ1600" s="58">
        <v>1.0</v>
      </c>
      <c r="CK1600" s="58">
        <v>11.0</v>
      </c>
      <c r="CL1600" s="58" t="s">
        <v>15323</v>
      </c>
      <c r="CM1600" s="58" t="s">
        <v>15324</v>
      </c>
      <c r="CO1600" s="58" t="s">
        <v>15325</v>
      </c>
      <c r="CP1600" s="58" t="s">
        <v>15326</v>
      </c>
      <c r="CT1600" s="58">
        <v>30.0</v>
      </c>
      <c r="CU1600" s="58" t="s">
        <v>239</v>
      </c>
      <c r="DL1600" s="58" t="s">
        <v>15327</v>
      </c>
    </row>
    <row r="1601" ht="15.75" customHeight="1">
      <c r="B1601" s="58" t="s">
        <v>4587</v>
      </c>
      <c r="C1601" s="58">
        <v>2023.0</v>
      </c>
      <c r="D1601" s="58" t="s">
        <v>15328</v>
      </c>
      <c r="E1601" s="58" t="s">
        <v>15329</v>
      </c>
      <c r="F1601" s="58" t="s">
        <v>12439</v>
      </c>
      <c r="I1601" s="58" t="s">
        <v>15330</v>
      </c>
      <c r="K1601" s="73">
        <v>45364.0</v>
      </c>
      <c r="Z1601" s="58" t="s">
        <v>239</v>
      </c>
      <c r="CH1601" s="58" t="s">
        <v>15331</v>
      </c>
      <c r="CI1601" s="73">
        <v>45364.0</v>
      </c>
      <c r="CJ1601" s="58">
        <v>822.0</v>
      </c>
      <c r="CK1601" s="58">
        <v>826.0</v>
      </c>
      <c r="CL1601" s="58" t="s">
        <v>15332</v>
      </c>
      <c r="CM1601" s="58" t="s">
        <v>12443</v>
      </c>
      <c r="CO1601" s="58" t="s">
        <v>15333</v>
      </c>
      <c r="CP1601" s="58" t="s">
        <v>15334</v>
      </c>
      <c r="CT1601" s="58">
        <v>26.0</v>
      </c>
      <c r="CU1601" s="58" t="s">
        <v>239</v>
      </c>
      <c r="DL1601" s="58" t="s">
        <v>15335</v>
      </c>
    </row>
    <row r="1602" ht="15.75" customHeight="1">
      <c r="B1602" s="58" t="s">
        <v>4587</v>
      </c>
      <c r="C1602" s="58">
        <v>2023.0</v>
      </c>
      <c r="D1602" s="58" t="s">
        <v>15336</v>
      </c>
      <c r="E1602" s="58" t="s">
        <v>15337</v>
      </c>
      <c r="F1602" s="58" t="s">
        <v>14333</v>
      </c>
      <c r="I1602" s="58" t="s">
        <v>15338</v>
      </c>
      <c r="K1602" s="73">
        <v>45195.0</v>
      </c>
      <c r="Z1602" s="58" t="s">
        <v>239</v>
      </c>
      <c r="CH1602" s="58" t="s">
        <v>15339</v>
      </c>
      <c r="CI1602" s="73">
        <v>45195.0</v>
      </c>
      <c r="CJ1602" s="58">
        <v>644.0</v>
      </c>
      <c r="CK1602" s="58">
        <v>648.0</v>
      </c>
      <c r="CL1602" s="58" t="s">
        <v>15340</v>
      </c>
      <c r="CM1602" s="58" t="s">
        <v>14337</v>
      </c>
      <c r="CO1602" s="58" t="s">
        <v>15341</v>
      </c>
      <c r="CP1602" s="58" t="s">
        <v>15342</v>
      </c>
      <c r="CT1602" s="58">
        <v>9.0</v>
      </c>
      <c r="CU1602" s="58" t="s">
        <v>239</v>
      </c>
      <c r="DL1602" s="58" t="s">
        <v>15343</v>
      </c>
    </row>
    <row r="1603" ht="15.75" customHeight="1">
      <c r="B1603" s="58" t="s">
        <v>4587</v>
      </c>
      <c r="C1603" s="58">
        <v>2024.0</v>
      </c>
      <c r="D1603" s="58" t="s">
        <v>15344</v>
      </c>
      <c r="E1603" s="58" t="s">
        <v>15345</v>
      </c>
      <c r="F1603" s="58" t="s">
        <v>12881</v>
      </c>
      <c r="H1603" s="58" t="s">
        <v>5858</v>
      </c>
      <c r="I1603" s="58" t="s">
        <v>15346</v>
      </c>
      <c r="K1603" s="73">
        <v>45526.0</v>
      </c>
      <c r="Z1603" s="58" t="s">
        <v>239</v>
      </c>
      <c r="CH1603" s="58" t="s">
        <v>15347</v>
      </c>
      <c r="CI1603" s="73">
        <v>45526.0</v>
      </c>
      <c r="CJ1603" s="58">
        <v>1.0</v>
      </c>
      <c r="CK1603" s="58">
        <v>9.0</v>
      </c>
      <c r="CL1603" s="58" t="s">
        <v>15348</v>
      </c>
      <c r="CM1603" s="58" t="s">
        <v>12885</v>
      </c>
      <c r="CO1603" s="58" t="s">
        <v>15349</v>
      </c>
      <c r="CP1603" s="58" t="s">
        <v>15350</v>
      </c>
      <c r="CT1603" s="58">
        <v>18.0</v>
      </c>
      <c r="CU1603" s="58" t="s">
        <v>239</v>
      </c>
      <c r="DL1603" s="58" t="s">
        <v>15351</v>
      </c>
    </row>
    <row r="1604" ht="15.75" customHeight="1">
      <c r="B1604" s="58" t="s">
        <v>4587</v>
      </c>
      <c r="C1604" s="58">
        <v>2024.0</v>
      </c>
      <c r="D1604" s="58" t="s">
        <v>15352</v>
      </c>
      <c r="E1604" s="58" t="s">
        <v>15353</v>
      </c>
      <c r="F1604" s="58" t="s">
        <v>13548</v>
      </c>
      <c r="I1604" s="58" t="s">
        <v>15354</v>
      </c>
      <c r="K1604" s="73">
        <v>45475.0</v>
      </c>
      <c r="Z1604" s="58" t="s">
        <v>239</v>
      </c>
      <c r="CH1604" s="58" t="s">
        <v>15355</v>
      </c>
      <c r="CI1604" s="73">
        <v>45475.0</v>
      </c>
      <c r="CJ1604" s="58">
        <v>578.0</v>
      </c>
      <c r="CK1604" s="58">
        <v>582.0</v>
      </c>
      <c r="CL1604" s="58" t="s">
        <v>15356</v>
      </c>
      <c r="CM1604" s="58" t="s">
        <v>13552</v>
      </c>
      <c r="CO1604" s="58" t="s">
        <v>15357</v>
      </c>
      <c r="CP1604" s="58" t="s">
        <v>15358</v>
      </c>
      <c r="CT1604" s="58">
        <v>15.0</v>
      </c>
      <c r="CU1604" s="58" t="s">
        <v>239</v>
      </c>
      <c r="DL1604" s="58" t="s">
        <v>15359</v>
      </c>
    </row>
    <row r="1605" ht="15.75" customHeight="1">
      <c r="B1605" s="58" t="s">
        <v>4587</v>
      </c>
      <c r="C1605" s="58">
        <v>2024.0</v>
      </c>
      <c r="D1605" s="58" t="s">
        <v>15360</v>
      </c>
      <c r="E1605" s="58" t="s">
        <v>15361</v>
      </c>
      <c r="F1605" s="58" t="s">
        <v>15362</v>
      </c>
      <c r="I1605" s="58" t="s">
        <v>15363</v>
      </c>
      <c r="K1605" s="73">
        <v>45680.0</v>
      </c>
      <c r="Z1605" s="58" t="s">
        <v>239</v>
      </c>
      <c r="CH1605" s="58" t="s">
        <v>15364</v>
      </c>
      <c r="CI1605" s="73">
        <v>45680.0</v>
      </c>
      <c r="CJ1605" s="58">
        <v>1.0</v>
      </c>
      <c r="CK1605" s="58">
        <v>12.0</v>
      </c>
      <c r="CL1605" s="58" t="s">
        <v>15365</v>
      </c>
      <c r="CM1605" s="58" t="s">
        <v>15366</v>
      </c>
      <c r="CO1605" s="58" t="s">
        <v>15367</v>
      </c>
      <c r="CP1605" s="58" t="s">
        <v>15368</v>
      </c>
      <c r="CT1605" s="58">
        <v>70.0</v>
      </c>
      <c r="CU1605" s="58" t="s">
        <v>239</v>
      </c>
      <c r="DL1605" s="58" t="s">
        <v>15369</v>
      </c>
    </row>
    <row r="1606" ht="15.75" customHeight="1">
      <c r="B1606" s="58" t="s">
        <v>4587</v>
      </c>
      <c r="C1606" s="58">
        <v>2024.0</v>
      </c>
      <c r="D1606" s="58" t="s">
        <v>15370</v>
      </c>
      <c r="E1606" s="58" t="s">
        <v>15371</v>
      </c>
      <c r="F1606" s="58" t="s">
        <v>12562</v>
      </c>
      <c r="H1606" s="58" t="s">
        <v>12563</v>
      </c>
      <c r="I1606" s="58" t="s">
        <v>15372</v>
      </c>
      <c r="K1606" s="73">
        <v>45673.0</v>
      </c>
      <c r="Z1606" s="58" t="s">
        <v>239</v>
      </c>
      <c r="CH1606" s="58" t="s">
        <v>15373</v>
      </c>
      <c r="CI1606" s="73">
        <v>45673.0</v>
      </c>
      <c r="CJ1606" s="58">
        <v>322.0</v>
      </c>
      <c r="CK1606" s="58">
        <v>331.0</v>
      </c>
      <c r="CL1606" s="58" t="s">
        <v>15374</v>
      </c>
      <c r="CM1606" s="58" t="s">
        <v>12567</v>
      </c>
      <c r="CN1606" s="58" t="s">
        <v>15375</v>
      </c>
      <c r="CO1606" s="58" t="s">
        <v>15376</v>
      </c>
      <c r="CP1606" s="58" t="s">
        <v>15377</v>
      </c>
      <c r="CT1606" s="58">
        <v>28.0</v>
      </c>
      <c r="CU1606" s="58" t="s">
        <v>239</v>
      </c>
      <c r="DL1606" s="58" t="s">
        <v>15378</v>
      </c>
    </row>
    <row r="1607" ht="15.75" customHeight="1">
      <c r="B1607" s="58" t="s">
        <v>4587</v>
      </c>
      <c r="C1607" s="58">
        <v>2024.0</v>
      </c>
      <c r="D1607" s="58" t="s">
        <v>15379</v>
      </c>
      <c r="E1607" s="58" t="s">
        <v>15380</v>
      </c>
      <c r="F1607" s="58" t="s">
        <v>15381</v>
      </c>
      <c r="I1607" s="58" t="s">
        <v>15382</v>
      </c>
      <c r="K1607" s="73">
        <v>45685.0</v>
      </c>
      <c r="Z1607" s="58" t="s">
        <v>239</v>
      </c>
      <c r="CH1607" s="58" t="s">
        <v>15383</v>
      </c>
      <c r="CI1607" s="73">
        <v>45685.0</v>
      </c>
      <c r="CJ1607" s="58">
        <v>58.0</v>
      </c>
      <c r="CK1607" s="58">
        <v>63.0</v>
      </c>
      <c r="CL1607" s="58" t="s">
        <v>15384</v>
      </c>
      <c r="CM1607" s="58" t="s">
        <v>15385</v>
      </c>
      <c r="CO1607" s="58" t="s">
        <v>15386</v>
      </c>
      <c r="CP1607" s="58" t="s">
        <v>15387</v>
      </c>
      <c r="CT1607" s="58">
        <v>15.0</v>
      </c>
      <c r="CU1607" s="58" t="s">
        <v>239</v>
      </c>
      <c r="DL1607" s="58" t="s">
        <v>15388</v>
      </c>
    </row>
    <row r="1608" ht="15.75" customHeight="1">
      <c r="B1608" s="58" t="s">
        <v>4587</v>
      </c>
      <c r="C1608" s="58">
        <v>2024.0</v>
      </c>
      <c r="D1608" s="58" t="s">
        <v>15389</v>
      </c>
      <c r="E1608" s="58" t="s">
        <v>15390</v>
      </c>
      <c r="F1608" s="58" t="s">
        <v>15391</v>
      </c>
      <c r="I1608" s="58" t="s">
        <v>15392</v>
      </c>
      <c r="K1608" s="73">
        <v>45664.0</v>
      </c>
      <c r="Z1608" s="58" t="s">
        <v>239</v>
      </c>
      <c r="CH1608" s="58" t="s">
        <v>15393</v>
      </c>
      <c r="CI1608" s="73">
        <v>45664.0</v>
      </c>
      <c r="CJ1608" s="58">
        <v>1.0</v>
      </c>
      <c r="CK1608" s="58">
        <v>5.0</v>
      </c>
      <c r="CL1608" s="58" t="s">
        <v>15394</v>
      </c>
      <c r="CM1608" s="58" t="s">
        <v>15395</v>
      </c>
      <c r="CO1608" s="58" t="s">
        <v>15396</v>
      </c>
      <c r="CP1608" s="58" t="s">
        <v>15397</v>
      </c>
      <c r="CT1608" s="58">
        <v>21.0</v>
      </c>
      <c r="CU1608" s="58" t="s">
        <v>239</v>
      </c>
      <c r="DL1608" s="58" t="s">
        <v>15398</v>
      </c>
    </row>
    <row r="1609" ht="15.75" customHeight="1">
      <c r="B1609" s="58" t="s">
        <v>4587</v>
      </c>
      <c r="C1609" s="58">
        <v>2023.0</v>
      </c>
      <c r="D1609" s="58" t="s">
        <v>15399</v>
      </c>
      <c r="E1609" s="58" t="s">
        <v>15400</v>
      </c>
      <c r="F1609" s="58" t="s">
        <v>15401</v>
      </c>
      <c r="I1609" s="58" t="s">
        <v>15402</v>
      </c>
      <c r="K1609" s="73">
        <v>45072.0</v>
      </c>
      <c r="Z1609" s="58" t="s">
        <v>239</v>
      </c>
      <c r="CH1609" s="58" t="s">
        <v>15403</v>
      </c>
      <c r="CI1609" s="73">
        <v>45072.0</v>
      </c>
      <c r="CJ1609" s="58">
        <v>169.0</v>
      </c>
      <c r="CK1609" s="58">
        <v>172.0</v>
      </c>
      <c r="CL1609" s="58" t="s">
        <v>15404</v>
      </c>
      <c r="CM1609" s="58" t="s">
        <v>15405</v>
      </c>
      <c r="CO1609" s="58" t="s">
        <v>15406</v>
      </c>
      <c r="CP1609" s="58" t="s">
        <v>15407</v>
      </c>
      <c r="CT1609" s="58">
        <v>15.0</v>
      </c>
      <c r="CU1609" s="58" t="s">
        <v>239</v>
      </c>
      <c r="DL1609" s="58" t="s">
        <v>15408</v>
      </c>
    </row>
    <row r="1610" ht="15.75" customHeight="1">
      <c r="B1610" s="58" t="s">
        <v>4587</v>
      </c>
      <c r="C1610" s="58">
        <v>2024.0</v>
      </c>
      <c r="D1610" s="58" t="s">
        <v>15409</v>
      </c>
      <c r="E1610" s="58" t="s">
        <v>15410</v>
      </c>
      <c r="F1610" s="58" t="s">
        <v>15411</v>
      </c>
      <c r="H1610" s="58" t="s">
        <v>15412</v>
      </c>
      <c r="I1610" s="58" t="s">
        <v>15413</v>
      </c>
      <c r="K1610" s="73">
        <v>45621.0</v>
      </c>
      <c r="Z1610" s="58" t="s">
        <v>239</v>
      </c>
      <c r="CH1610" s="58" t="s">
        <v>15414</v>
      </c>
      <c r="CI1610" s="73">
        <v>45621.0</v>
      </c>
      <c r="CJ1610" s="58">
        <v>1.0</v>
      </c>
      <c r="CK1610" s="58">
        <v>6.0</v>
      </c>
      <c r="CL1610" s="58" t="s">
        <v>15415</v>
      </c>
      <c r="CM1610" s="58" t="s">
        <v>15416</v>
      </c>
      <c r="CO1610" s="58" t="s">
        <v>15417</v>
      </c>
      <c r="CP1610" s="58" t="s">
        <v>15418</v>
      </c>
      <c r="CT1610" s="58">
        <v>63.0</v>
      </c>
      <c r="CU1610" s="58" t="s">
        <v>239</v>
      </c>
      <c r="DL1610" s="58" t="s">
        <v>15419</v>
      </c>
    </row>
    <row r="1611" ht="15.75" customHeight="1">
      <c r="B1611" s="58" t="s">
        <v>4587</v>
      </c>
      <c r="C1611" s="58">
        <v>2024.0</v>
      </c>
      <c r="D1611" s="58" t="s">
        <v>15420</v>
      </c>
      <c r="E1611" s="58" t="s">
        <v>15421</v>
      </c>
      <c r="F1611" s="58" t="s">
        <v>13810</v>
      </c>
      <c r="H1611" s="58" t="s">
        <v>13811</v>
      </c>
      <c r="I1611" s="58" t="s">
        <v>15422</v>
      </c>
      <c r="K1611" s="73">
        <v>45600.0</v>
      </c>
      <c r="Z1611" s="58" t="s">
        <v>239</v>
      </c>
      <c r="CH1611" s="58" t="s">
        <v>15423</v>
      </c>
      <c r="CI1611" s="73">
        <v>45600.0</v>
      </c>
      <c r="CJ1611" s="58">
        <v>1.0</v>
      </c>
      <c r="CK1611" s="58">
        <v>10.0</v>
      </c>
      <c r="CL1611" s="58" t="s">
        <v>15424</v>
      </c>
      <c r="CM1611" s="58" t="s">
        <v>13815</v>
      </c>
      <c r="CO1611" s="58" t="s">
        <v>15425</v>
      </c>
      <c r="CP1611" s="58" t="s">
        <v>15426</v>
      </c>
      <c r="CT1611" s="58">
        <v>24.0</v>
      </c>
      <c r="CU1611" s="58" t="s">
        <v>239</v>
      </c>
      <c r="DL1611" s="58" t="s">
        <v>15427</v>
      </c>
    </row>
    <row r="1612" ht="15.75" customHeight="1">
      <c r="B1612" s="58" t="s">
        <v>4587</v>
      </c>
      <c r="C1612" s="58">
        <v>2024.0</v>
      </c>
      <c r="D1612" s="58" t="s">
        <v>15428</v>
      </c>
      <c r="E1612" s="58" t="s">
        <v>15429</v>
      </c>
      <c r="F1612" s="58" t="s">
        <v>15430</v>
      </c>
      <c r="I1612" s="58" t="s">
        <v>15431</v>
      </c>
      <c r="K1612" s="73">
        <v>45526.0</v>
      </c>
      <c r="Z1612" s="58" t="s">
        <v>239</v>
      </c>
      <c r="CH1612" s="58" t="s">
        <v>15432</v>
      </c>
      <c r="CI1612" s="73">
        <v>45526.0</v>
      </c>
      <c r="CJ1612" s="58">
        <v>1.0</v>
      </c>
      <c r="CK1612" s="58">
        <v>6.0</v>
      </c>
      <c r="CL1612" s="58" t="s">
        <v>15433</v>
      </c>
      <c r="CM1612" s="58" t="s">
        <v>15434</v>
      </c>
      <c r="CO1612" s="58" t="s">
        <v>15435</v>
      </c>
      <c r="CP1612" s="58" t="s">
        <v>15436</v>
      </c>
      <c r="CT1612" s="58">
        <v>12.0</v>
      </c>
      <c r="CU1612" s="58" t="s">
        <v>239</v>
      </c>
      <c r="DL1612" s="58" t="s">
        <v>15437</v>
      </c>
    </row>
    <row r="1613" ht="15.75" customHeight="1">
      <c r="B1613" s="58" t="s">
        <v>4587</v>
      </c>
      <c r="C1613" s="58">
        <v>2024.0</v>
      </c>
      <c r="D1613" s="58" t="s">
        <v>15438</v>
      </c>
      <c r="E1613" s="58" t="s">
        <v>15439</v>
      </c>
      <c r="F1613" s="58" t="s">
        <v>15440</v>
      </c>
      <c r="H1613" s="58" t="s">
        <v>15441</v>
      </c>
      <c r="I1613" s="58" t="s">
        <v>15442</v>
      </c>
      <c r="K1613" s="73">
        <v>45429.0</v>
      </c>
      <c r="Z1613" s="58" t="s">
        <v>239</v>
      </c>
      <c r="CH1613" s="58" t="s">
        <v>15443</v>
      </c>
      <c r="CI1613" s="73">
        <v>45429.0</v>
      </c>
      <c r="CJ1613" s="58">
        <v>1.0</v>
      </c>
      <c r="CK1613" s="58">
        <v>6.0</v>
      </c>
      <c r="CL1613" s="58" t="s">
        <v>15444</v>
      </c>
      <c r="CM1613" s="58" t="s">
        <v>15445</v>
      </c>
      <c r="CN1613" s="58" t="s">
        <v>15446</v>
      </c>
      <c r="CO1613" s="58" t="s">
        <v>15447</v>
      </c>
      <c r="CP1613" s="58" t="s">
        <v>15448</v>
      </c>
      <c r="CT1613" s="58">
        <v>16.0</v>
      </c>
      <c r="CU1613" s="58" t="s">
        <v>239</v>
      </c>
      <c r="DL1613" s="58" t="s">
        <v>15449</v>
      </c>
    </row>
    <row r="1614" ht="15.75" customHeight="1">
      <c r="B1614" s="58" t="s">
        <v>4587</v>
      </c>
      <c r="C1614" s="58">
        <v>2024.0</v>
      </c>
      <c r="D1614" s="58" t="s">
        <v>15450</v>
      </c>
      <c r="E1614" s="58" t="s">
        <v>15451</v>
      </c>
      <c r="F1614" s="58" t="s">
        <v>15452</v>
      </c>
      <c r="I1614" s="58" t="s">
        <v>15453</v>
      </c>
      <c r="K1614" s="73">
        <v>45589.0</v>
      </c>
      <c r="Z1614" s="58" t="s">
        <v>239</v>
      </c>
      <c r="CH1614" s="58" t="s">
        <v>15454</v>
      </c>
      <c r="CI1614" s="73">
        <v>45589.0</v>
      </c>
      <c r="CJ1614" s="58">
        <v>1.0</v>
      </c>
      <c r="CK1614" s="58">
        <v>6.0</v>
      </c>
      <c r="CL1614" s="58" t="s">
        <v>15455</v>
      </c>
      <c r="CM1614" s="58" t="s">
        <v>15456</v>
      </c>
      <c r="CO1614" s="58" t="s">
        <v>15457</v>
      </c>
      <c r="CP1614" s="58" t="s">
        <v>15458</v>
      </c>
      <c r="CT1614" s="58">
        <v>18.0</v>
      </c>
      <c r="CU1614" s="58" t="s">
        <v>239</v>
      </c>
      <c r="DL1614" s="58" t="s">
        <v>15459</v>
      </c>
    </row>
    <row r="1615" ht="15.75" customHeight="1">
      <c r="B1615" s="58" t="s">
        <v>9522</v>
      </c>
      <c r="C1615" s="58">
        <v>2024.0</v>
      </c>
      <c r="D1615" s="58" t="s">
        <v>15460</v>
      </c>
      <c r="E1615" s="58" t="s">
        <v>15461</v>
      </c>
      <c r="F1615" s="58" t="s">
        <v>15462</v>
      </c>
      <c r="I1615" s="58" t="s">
        <v>15463</v>
      </c>
      <c r="K1615" s="73">
        <v>45722.0</v>
      </c>
      <c r="R1615" s="58">
        <v>2024.0</v>
      </c>
      <c r="Z1615" s="58" t="s">
        <v>9527</v>
      </c>
      <c r="CH1615" s="58" t="s">
        <v>15464</v>
      </c>
      <c r="CI1615" s="73">
        <v>45722.0</v>
      </c>
      <c r="CJ1615" s="58">
        <v>147.0</v>
      </c>
      <c r="CK1615" s="58">
        <v>152.0</v>
      </c>
      <c r="CL1615" s="58" t="s">
        <v>15465</v>
      </c>
      <c r="CM1615" s="58" t="s">
        <v>15466</v>
      </c>
      <c r="CO1615" s="58" t="s">
        <v>15467</v>
      </c>
    </row>
    <row r="1616" ht="15.75" customHeight="1">
      <c r="B1616" s="58" t="s">
        <v>9522</v>
      </c>
      <c r="C1616" s="58">
        <v>2023.0</v>
      </c>
      <c r="D1616" s="58" t="s">
        <v>15468</v>
      </c>
      <c r="E1616" s="58" t="s">
        <v>15469</v>
      </c>
      <c r="F1616" s="58" t="s">
        <v>12653</v>
      </c>
      <c r="I1616" s="58" t="s">
        <v>15470</v>
      </c>
      <c r="K1616" s="73">
        <v>45198.0</v>
      </c>
      <c r="R1616" s="58">
        <v>2023.0</v>
      </c>
      <c r="Z1616" s="58" t="s">
        <v>9527</v>
      </c>
      <c r="CH1616" s="58" t="s">
        <v>15471</v>
      </c>
      <c r="CI1616" s="73">
        <v>45198.0</v>
      </c>
      <c r="CJ1616" s="58">
        <v>3774.0</v>
      </c>
      <c r="CK1616" s="58">
        <v>3778.0</v>
      </c>
      <c r="CL1616" s="58" t="s">
        <v>15472</v>
      </c>
      <c r="CM1616" s="58" t="s">
        <v>12657</v>
      </c>
      <c r="CO1616" s="58" t="s">
        <v>15473</v>
      </c>
    </row>
    <row r="1617" ht="15.75" customHeight="1">
      <c r="B1617" s="58" t="s">
        <v>4587</v>
      </c>
      <c r="C1617" s="58">
        <v>2023.0</v>
      </c>
      <c r="D1617" s="58" t="s">
        <v>15474</v>
      </c>
      <c r="E1617" s="58" t="s">
        <v>9453</v>
      </c>
      <c r="F1617" s="58" t="s">
        <v>11864</v>
      </c>
      <c r="H1617" s="58" t="s">
        <v>6726</v>
      </c>
      <c r="I1617" s="58" t="s">
        <v>15475</v>
      </c>
      <c r="K1617" s="73">
        <v>45425.0</v>
      </c>
      <c r="Z1617" s="58" t="s">
        <v>239</v>
      </c>
      <c r="CH1617" s="58" t="s">
        <v>15476</v>
      </c>
      <c r="CI1617" s="73">
        <v>45425.0</v>
      </c>
      <c r="CJ1617" s="58">
        <v>1.0</v>
      </c>
      <c r="CK1617" s="58">
        <v>88.0</v>
      </c>
      <c r="CL1617" s="58" t="s">
        <v>15477</v>
      </c>
      <c r="CM1617" s="58" t="s">
        <v>11868</v>
      </c>
      <c r="CO1617" s="58" t="s">
        <v>15478</v>
      </c>
      <c r="CP1617" s="58" t="s">
        <v>9458</v>
      </c>
      <c r="CT1617" s="58">
        <v>65.0</v>
      </c>
      <c r="CU1617" s="58" t="s">
        <v>239</v>
      </c>
      <c r="DL1617" s="58" t="s">
        <v>15479</v>
      </c>
    </row>
    <row r="1618" ht="15.75" customHeight="1">
      <c r="B1618" s="58" t="s">
        <v>4587</v>
      </c>
      <c r="C1618" s="58">
        <v>2024.0</v>
      </c>
      <c r="D1618" s="58" t="s">
        <v>15480</v>
      </c>
      <c r="E1618" s="58" t="s">
        <v>15481</v>
      </c>
      <c r="F1618" s="58" t="s">
        <v>15482</v>
      </c>
      <c r="H1618" s="58" t="s">
        <v>15483</v>
      </c>
      <c r="I1618" s="58" t="s">
        <v>15484</v>
      </c>
      <c r="K1618" s="73">
        <v>45526.0</v>
      </c>
      <c r="Z1618" s="58" t="s">
        <v>239</v>
      </c>
      <c r="CH1618" s="58" t="s">
        <v>15485</v>
      </c>
      <c r="CI1618" s="73">
        <v>45526.0</v>
      </c>
      <c r="CJ1618" s="58">
        <v>327.0</v>
      </c>
      <c r="CK1618" s="58">
        <v>344.0</v>
      </c>
      <c r="CL1618" s="58" t="s">
        <v>15486</v>
      </c>
      <c r="CM1618" s="58" t="s">
        <v>15487</v>
      </c>
      <c r="CN1618" s="58" t="s">
        <v>15488</v>
      </c>
      <c r="CO1618" s="58" t="s">
        <v>15489</v>
      </c>
      <c r="CP1618" s="58" t="s">
        <v>15490</v>
      </c>
      <c r="CT1618" s="58">
        <v>64.0</v>
      </c>
      <c r="CU1618" s="58" t="s">
        <v>239</v>
      </c>
      <c r="DL1618" s="58" t="s">
        <v>15491</v>
      </c>
    </row>
    <row r="1619" ht="15.75" customHeight="1">
      <c r="B1619" s="58" t="s">
        <v>4587</v>
      </c>
      <c r="C1619" s="58">
        <v>2023.0</v>
      </c>
      <c r="D1619" s="58" t="s">
        <v>15492</v>
      </c>
      <c r="E1619" s="58" t="s">
        <v>15493</v>
      </c>
      <c r="F1619" s="58" t="s">
        <v>15494</v>
      </c>
      <c r="H1619" s="58" t="s">
        <v>13790</v>
      </c>
      <c r="I1619" s="58" t="s">
        <v>15495</v>
      </c>
      <c r="K1619" s="73">
        <v>45078.0</v>
      </c>
      <c r="Z1619" s="58" t="s">
        <v>239</v>
      </c>
      <c r="CH1619" s="58" t="s">
        <v>15496</v>
      </c>
      <c r="CI1619" s="73">
        <v>45078.0</v>
      </c>
      <c r="CJ1619" s="58">
        <v>497.0</v>
      </c>
      <c r="CK1619" s="58">
        <v>502.0</v>
      </c>
      <c r="CL1619" s="58" t="s">
        <v>15497</v>
      </c>
      <c r="CM1619" s="58" t="s">
        <v>15498</v>
      </c>
      <c r="CO1619" s="58" t="s">
        <v>15499</v>
      </c>
      <c r="CP1619" s="58" t="s">
        <v>15500</v>
      </c>
      <c r="CT1619" s="58">
        <v>24.0</v>
      </c>
      <c r="CU1619" s="58" t="s">
        <v>239</v>
      </c>
      <c r="DL1619" s="58" t="s">
        <v>15501</v>
      </c>
    </row>
    <row r="1620" ht="15.75" customHeight="1">
      <c r="B1620" s="58" t="s">
        <v>4587</v>
      </c>
      <c r="C1620" s="58">
        <v>2023.0</v>
      </c>
      <c r="D1620" s="58" t="s">
        <v>15502</v>
      </c>
      <c r="E1620" s="58" t="s">
        <v>15503</v>
      </c>
      <c r="F1620" s="58" t="s">
        <v>11592</v>
      </c>
      <c r="H1620" s="58" t="s">
        <v>6850</v>
      </c>
      <c r="I1620" s="58" t="s">
        <v>15504</v>
      </c>
      <c r="K1620" s="73">
        <v>45153.0</v>
      </c>
      <c r="Z1620" s="58" t="s">
        <v>239</v>
      </c>
      <c r="CH1620" s="58" t="s">
        <v>15505</v>
      </c>
      <c r="CI1620" s="73">
        <v>45153.0</v>
      </c>
      <c r="CJ1620" s="58">
        <v>1.0</v>
      </c>
      <c r="CK1620" s="58">
        <v>6.0</v>
      </c>
      <c r="CL1620" s="58" t="s">
        <v>15506</v>
      </c>
      <c r="CM1620" s="58" t="s">
        <v>11596</v>
      </c>
      <c r="CN1620" s="58" t="s">
        <v>15507</v>
      </c>
      <c r="CO1620" s="58" t="s">
        <v>15508</v>
      </c>
      <c r="CP1620" s="58" t="s">
        <v>15509</v>
      </c>
      <c r="CT1620" s="58">
        <v>7.0</v>
      </c>
      <c r="DL1620" s="58" t="s">
        <v>15510</v>
      </c>
    </row>
    <row r="1621" ht="15.75" customHeight="1">
      <c r="B1621" s="58" t="s">
        <v>4587</v>
      </c>
      <c r="C1621" s="58">
        <v>2023.0</v>
      </c>
      <c r="D1621" s="58" t="s">
        <v>15511</v>
      </c>
      <c r="E1621" s="58" t="s">
        <v>15512</v>
      </c>
      <c r="F1621" s="58" t="s">
        <v>11894</v>
      </c>
      <c r="I1621" s="58" t="s">
        <v>15513</v>
      </c>
      <c r="K1621" s="73">
        <v>45321.0</v>
      </c>
      <c r="Z1621" s="58" t="s">
        <v>239</v>
      </c>
      <c r="CH1621" s="58" t="s">
        <v>15514</v>
      </c>
      <c r="CI1621" s="73">
        <v>45321.0</v>
      </c>
      <c r="CJ1621" s="58">
        <v>1.0</v>
      </c>
      <c r="CK1621" s="58">
        <v>5.0</v>
      </c>
      <c r="CL1621" s="58" t="s">
        <v>15515</v>
      </c>
      <c r="CM1621" s="58" t="s">
        <v>11898</v>
      </c>
      <c r="CO1621" s="58" t="s">
        <v>15516</v>
      </c>
      <c r="CP1621" s="58" t="s">
        <v>15517</v>
      </c>
      <c r="CT1621" s="58">
        <v>4.0</v>
      </c>
      <c r="CU1621" s="58" t="s">
        <v>239</v>
      </c>
      <c r="DL1621" s="58" t="s">
        <v>15518</v>
      </c>
    </row>
    <row r="1622" ht="15.75" customHeight="1">
      <c r="B1622" s="58" t="s">
        <v>4587</v>
      </c>
      <c r="C1622" s="58">
        <v>2023.0</v>
      </c>
      <c r="D1622" s="58" t="s">
        <v>15519</v>
      </c>
      <c r="E1622" s="58" t="s">
        <v>15520</v>
      </c>
      <c r="F1622" s="58" t="s">
        <v>15521</v>
      </c>
      <c r="I1622" s="58" t="s">
        <v>15522</v>
      </c>
      <c r="K1622" s="73">
        <v>45320.0</v>
      </c>
      <c r="Z1622" s="58" t="s">
        <v>239</v>
      </c>
      <c r="CH1622" s="58" t="s">
        <v>15523</v>
      </c>
      <c r="CI1622" s="73">
        <v>45320.0</v>
      </c>
      <c r="CJ1622" s="58">
        <v>95.0</v>
      </c>
      <c r="CK1622" s="58">
        <v>102.0</v>
      </c>
      <c r="CL1622" s="58" t="s">
        <v>15524</v>
      </c>
      <c r="CM1622" s="58" t="s">
        <v>15525</v>
      </c>
      <c r="CO1622" s="58" t="s">
        <v>15526</v>
      </c>
      <c r="CP1622" s="58" t="s">
        <v>15527</v>
      </c>
      <c r="CT1622" s="58">
        <v>19.0</v>
      </c>
      <c r="CU1622" s="58" t="s">
        <v>239</v>
      </c>
      <c r="DL1622" s="58" t="s">
        <v>15528</v>
      </c>
    </row>
    <row r="1623" ht="15.75" customHeight="1">
      <c r="B1623" s="58" t="s">
        <v>4587</v>
      </c>
      <c r="C1623" s="58">
        <v>2024.0</v>
      </c>
      <c r="D1623" s="58" t="s">
        <v>15529</v>
      </c>
      <c r="E1623" s="58" t="s">
        <v>15530</v>
      </c>
      <c r="F1623" s="58" t="s">
        <v>15531</v>
      </c>
      <c r="I1623" s="58" t="s">
        <v>15532</v>
      </c>
      <c r="K1623" s="73">
        <v>45705.0</v>
      </c>
      <c r="Z1623" s="58" t="s">
        <v>239</v>
      </c>
      <c r="CH1623" s="58" t="s">
        <v>15533</v>
      </c>
      <c r="CI1623" s="73">
        <v>45705.0</v>
      </c>
      <c r="CJ1623" s="58">
        <v>307.0</v>
      </c>
      <c r="CK1623" s="58">
        <v>312.0</v>
      </c>
      <c r="CL1623" s="58" t="s">
        <v>15534</v>
      </c>
      <c r="CM1623" s="58" t="s">
        <v>15535</v>
      </c>
      <c r="CO1623" s="58" t="s">
        <v>15536</v>
      </c>
      <c r="CP1623" s="58" t="s">
        <v>15537</v>
      </c>
      <c r="CT1623" s="58">
        <v>17.0</v>
      </c>
      <c r="CU1623" s="58" t="s">
        <v>239</v>
      </c>
      <c r="DL1623" s="58" t="s">
        <v>15538</v>
      </c>
    </row>
    <row r="1624" ht="15.75" customHeight="1">
      <c r="B1624" s="58" t="s">
        <v>4587</v>
      </c>
      <c r="C1624" s="58">
        <v>2024.0</v>
      </c>
      <c r="D1624" s="58" t="s">
        <v>15539</v>
      </c>
      <c r="E1624" s="58" t="s">
        <v>15540</v>
      </c>
      <c r="F1624" s="58" t="s">
        <v>14763</v>
      </c>
      <c r="H1624" s="58" t="s">
        <v>14764</v>
      </c>
      <c r="I1624" s="58" t="s">
        <v>15541</v>
      </c>
      <c r="K1624" s="73">
        <v>45478.0</v>
      </c>
      <c r="Z1624" s="58" t="s">
        <v>239</v>
      </c>
      <c r="CH1624" s="58" t="s">
        <v>15542</v>
      </c>
      <c r="CI1624" s="73">
        <v>45478.0</v>
      </c>
      <c r="CJ1624" s="58">
        <v>1.0</v>
      </c>
      <c r="CK1624" s="58">
        <v>6.0</v>
      </c>
      <c r="CL1624" s="58" t="s">
        <v>15543</v>
      </c>
      <c r="CM1624" s="58" t="s">
        <v>14768</v>
      </c>
      <c r="CO1624" s="58" t="s">
        <v>15544</v>
      </c>
      <c r="CP1624" s="58" t="s">
        <v>15545</v>
      </c>
      <c r="CT1624" s="58">
        <v>15.0</v>
      </c>
      <c r="CU1624" s="58" t="s">
        <v>239</v>
      </c>
      <c r="DL1624" s="58" t="s">
        <v>15546</v>
      </c>
    </row>
    <row r="1625" ht="15.75" customHeight="1">
      <c r="B1625" s="58" t="s">
        <v>4587</v>
      </c>
      <c r="C1625" s="58">
        <v>2023.0</v>
      </c>
      <c r="D1625" s="58" t="s">
        <v>15547</v>
      </c>
      <c r="E1625" s="58" t="s">
        <v>15548</v>
      </c>
      <c r="F1625" s="58" t="s">
        <v>15549</v>
      </c>
      <c r="I1625" s="58" t="s">
        <v>15550</v>
      </c>
      <c r="K1625" s="73">
        <v>45289.0</v>
      </c>
      <c r="Z1625" s="58" t="s">
        <v>239</v>
      </c>
      <c r="CH1625" s="58" t="s">
        <v>15551</v>
      </c>
      <c r="CI1625" s="73">
        <v>45289.0</v>
      </c>
      <c r="CJ1625" s="58">
        <v>1.0</v>
      </c>
      <c r="CK1625" s="58">
        <v>12.0</v>
      </c>
      <c r="CL1625" s="58" t="s">
        <v>15552</v>
      </c>
      <c r="CM1625" s="58" t="s">
        <v>15553</v>
      </c>
      <c r="CO1625" s="58" t="s">
        <v>15554</v>
      </c>
      <c r="CP1625" s="58" t="s">
        <v>15555</v>
      </c>
      <c r="CT1625" s="58">
        <v>18.0</v>
      </c>
      <c r="CU1625" s="58" t="s">
        <v>239</v>
      </c>
      <c r="DL1625" s="58" t="s">
        <v>15556</v>
      </c>
    </row>
    <row r="1626" ht="15.75" customHeight="1">
      <c r="B1626" s="58" t="s">
        <v>4587</v>
      </c>
      <c r="C1626" s="58">
        <v>2024.0</v>
      </c>
      <c r="D1626" s="58" t="s">
        <v>15557</v>
      </c>
      <c r="E1626" s="58" t="s">
        <v>15558</v>
      </c>
      <c r="F1626" s="58" t="s">
        <v>15559</v>
      </c>
      <c r="I1626" s="58" t="s">
        <v>15560</v>
      </c>
      <c r="K1626" s="73">
        <v>45628.0</v>
      </c>
      <c r="Z1626" s="58" t="s">
        <v>239</v>
      </c>
      <c r="CH1626" s="58" t="s">
        <v>15561</v>
      </c>
      <c r="CI1626" s="73">
        <v>45628.0</v>
      </c>
      <c r="CJ1626" s="58">
        <v>177.0</v>
      </c>
      <c r="CK1626" s="58">
        <v>184.0</v>
      </c>
      <c r="CL1626" s="58" t="s">
        <v>15562</v>
      </c>
      <c r="CM1626" s="58" t="s">
        <v>15563</v>
      </c>
      <c r="CO1626" s="58" t="s">
        <v>15564</v>
      </c>
      <c r="CP1626" s="58" t="s">
        <v>15565</v>
      </c>
      <c r="CT1626" s="58">
        <v>75.0</v>
      </c>
      <c r="CU1626" s="58" t="s">
        <v>239</v>
      </c>
      <c r="DL1626" s="58" t="s">
        <v>15566</v>
      </c>
    </row>
    <row r="1627" ht="15.75" customHeight="1">
      <c r="B1627" s="58" t="s">
        <v>4587</v>
      </c>
      <c r="C1627" s="58">
        <v>2024.0</v>
      </c>
      <c r="D1627" s="58" t="s">
        <v>15567</v>
      </c>
      <c r="E1627" s="58" t="s">
        <v>15568</v>
      </c>
      <c r="F1627" s="58" t="s">
        <v>15569</v>
      </c>
      <c r="H1627" s="58" t="s">
        <v>15570</v>
      </c>
      <c r="I1627" s="58" t="s">
        <v>15571</v>
      </c>
      <c r="K1627" s="73">
        <v>45625.0</v>
      </c>
      <c r="Z1627" s="58" t="s">
        <v>239</v>
      </c>
      <c r="CH1627" s="58" t="s">
        <v>15572</v>
      </c>
      <c r="CI1627" s="73">
        <v>45625.0</v>
      </c>
      <c r="CJ1627" s="58">
        <v>37.0</v>
      </c>
      <c r="CK1627" s="58">
        <v>38.0</v>
      </c>
      <c r="CL1627" s="58" t="s">
        <v>15573</v>
      </c>
      <c r="CM1627" s="58" t="s">
        <v>15574</v>
      </c>
      <c r="CO1627" s="58" t="s">
        <v>15575</v>
      </c>
      <c r="CT1627" s="58">
        <v>12.0</v>
      </c>
      <c r="CU1627" s="58" t="s">
        <v>239</v>
      </c>
      <c r="DL1627" s="58" t="s">
        <v>15576</v>
      </c>
    </row>
    <row r="1628" ht="15.75" customHeight="1">
      <c r="B1628" s="58" t="s">
        <v>4587</v>
      </c>
      <c r="C1628" s="58">
        <v>2024.0</v>
      </c>
      <c r="D1628" s="58" t="s">
        <v>15577</v>
      </c>
      <c r="E1628" s="58" t="s">
        <v>15578</v>
      </c>
      <c r="F1628" s="58" t="s">
        <v>15579</v>
      </c>
      <c r="I1628" s="58" t="s">
        <v>15580</v>
      </c>
      <c r="K1628" s="73">
        <v>45551.0</v>
      </c>
      <c r="R1628" s="58">
        <v>1.0</v>
      </c>
      <c r="Z1628" s="58" t="s">
        <v>239</v>
      </c>
      <c r="CH1628" s="58" t="s">
        <v>15581</v>
      </c>
      <c r="CI1628" s="73">
        <v>45551.0</v>
      </c>
      <c r="CJ1628" s="58">
        <v>1223.0</v>
      </c>
      <c r="CK1628" s="58">
        <v>1228.0</v>
      </c>
      <c r="CL1628" s="58" t="s">
        <v>15582</v>
      </c>
      <c r="CM1628" s="58" t="s">
        <v>15583</v>
      </c>
      <c r="CO1628" s="58" t="s">
        <v>15584</v>
      </c>
      <c r="CP1628" s="58" t="s">
        <v>15585</v>
      </c>
      <c r="CT1628" s="58">
        <v>15.0</v>
      </c>
      <c r="CU1628" s="58" t="s">
        <v>239</v>
      </c>
      <c r="DL1628" s="58" t="s">
        <v>15586</v>
      </c>
    </row>
    <row r="1629" ht="15.75" customHeight="1">
      <c r="B1629" s="58" t="s">
        <v>4587</v>
      </c>
      <c r="C1629" s="58">
        <v>2024.0</v>
      </c>
      <c r="D1629" s="58" t="s">
        <v>15587</v>
      </c>
      <c r="E1629" s="58" t="s">
        <v>15588</v>
      </c>
      <c r="F1629" s="58" t="s">
        <v>15589</v>
      </c>
      <c r="I1629" s="58" t="s">
        <v>15590</v>
      </c>
      <c r="K1629" s="73">
        <v>45705.0</v>
      </c>
      <c r="Z1629" s="58" t="s">
        <v>239</v>
      </c>
      <c r="CH1629" s="58" t="s">
        <v>15591</v>
      </c>
      <c r="CI1629" s="73">
        <v>45705.0</v>
      </c>
      <c r="CJ1629" s="58">
        <v>1.0</v>
      </c>
      <c r="CK1629" s="58">
        <v>6.0</v>
      </c>
      <c r="CL1629" s="58" t="s">
        <v>15592</v>
      </c>
      <c r="CM1629" s="58" t="s">
        <v>15593</v>
      </c>
      <c r="CO1629" s="58" t="s">
        <v>15594</v>
      </c>
      <c r="CP1629" s="58" t="s">
        <v>15595</v>
      </c>
      <c r="CT1629" s="58">
        <v>25.0</v>
      </c>
      <c r="CU1629" s="58" t="s">
        <v>239</v>
      </c>
      <c r="DL1629" s="58" t="s">
        <v>15596</v>
      </c>
    </row>
    <row r="1630" ht="15.75" customHeight="1">
      <c r="B1630" s="58" t="s">
        <v>4587</v>
      </c>
      <c r="C1630" s="58">
        <v>2023.0</v>
      </c>
      <c r="D1630" s="58" t="s">
        <v>15597</v>
      </c>
      <c r="E1630" s="58" t="s">
        <v>15598</v>
      </c>
      <c r="F1630" s="58" t="s">
        <v>15599</v>
      </c>
      <c r="H1630" s="58" t="s">
        <v>8964</v>
      </c>
      <c r="I1630" s="58" t="s">
        <v>15600</v>
      </c>
      <c r="K1630" s="73">
        <v>45329.0</v>
      </c>
      <c r="Z1630" s="58" t="s">
        <v>239</v>
      </c>
      <c r="CH1630" s="58" t="s">
        <v>15601</v>
      </c>
      <c r="CI1630" s="73">
        <v>45329.0</v>
      </c>
      <c r="CJ1630" s="58">
        <v>315.0</v>
      </c>
      <c r="CK1630" s="58">
        <v>320.0</v>
      </c>
      <c r="CL1630" s="58" t="s">
        <v>15602</v>
      </c>
      <c r="CM1630" s="58" t="s">
        <v>15603</v>
      </c>
      <c r="CO1630" s="58" t="s">
        <v>15604</v>
      </c>
      <c r="CP1630" s="58" t="s">
        <v>15605</v>
      </c>
      <c r="CT1630" s="58">
        <v>15.0</v>
      </c>
      <c r="CU1630" s="58" t="s">
        <v>239</v>
      </c>
      <c r="DL1630" s="58" t="s">
        <v>15606</v>
      </c>
    </row>
    <row r="1631" ht="15.75" customHeight="1">
      <c r="B1631" s="58" t="s">
        <v>4587</v>
      </c>
      <c r="C1631" s="58">
        <v>2024.0</v>
      </c>
      <c r="D1631" s="58" t="s">
        <v>15607</v>
      </c>
      <c r="E1631" s="58" t="s">
        <v>15608</v>
      </c>
      <c r="F1631" s="58" t="s">
        <v>13810</v>
      </c>
      <c r="H1631" s="58" t="s">
        <v>13811</v>
      </c>
      <c r="I1631" s="58" t="s">
        <v>15609</v>
      </c>
      <c r="K1631" s="73">
        <v>45600.0</v>
      </c>
      <c r="Z1631" s="58" t="s">
        <v>239</v>
      </c>
      <c r="CH1631" s="58" t="s">
        <v>15610</v>
      </c>
      <c r="CI1631" s="73">
        <v>45600.0</v>
      </c>
      <c r="CJ1631" s="58">
        <v>1.0</v>
      </c>
      <c r="CK1631" s="58">
        <v>8.0</v>
      </c>
      <c r="CL1631" s="58" t="s">
        <v>15611</v>
      </c>
      <c r="CM1631" s="58" t="s">
        <v>13815</v>
      </c>
      <c r="CO1631" s="58" t="s">
        <v>15612</v>
      </c>
      <c r="CP1631" s="58" t="s">
        <v>15613</v>
      </c>
      <c r="CT1631" s="58">
        <v>15.0</v>
      </c>
      <c r="CU1631" s="58" t="s">
        <v>239</v>
      </c>
      <c r="DL1631" s="58" t="s">
        <v>15614</v>
      </c>
    </row>
    <row r="1632" ht="15.75" customHeight="1">
      <c r="B1632" s="58" t="s">
        <v>4587</v>
      </c>
      <c r="C1632" s="58">
        <v>2024.0</v>
      </c>
      <c r="D1632" s="58" t="s">
        <v>15615</v>
      </c>
      <c r="E1632" s="58" t="s">
        <v>15616</v>
      </c>
      <c r="F1632" s="58" t="s">
        <v>13371</v>
      </c>
      <c r="I1632" s="58" t="s">
        <v>15617</v>
      </c>
      <c r="K1632" s="73">
        <v>45553.0</v>
      </c>
      <c r="Z1632" s="58" t="s">
        <v>239</v>
      </c>
      <c r="CH1632" s="58" t="s">
        <v>15618</v>
      </c>
      <c r="CI1632" s="73">
        <v>45553.0</v>
      </c>
      <c r="CJ1632" s="58">
        <v>141.0</v>
      </c>
      <c r="CK1632" s="58">
        <v>152.0</v>
      </c>
      <c r="CL1632" s="58" t="s">
        <v>15619</v>
      </c>
      <c r="CM1632" s="58" t="s">
        <v>13375</v>
      </c>
      <c r="CO1632" s="58" t="s">
        <v>15620</v>
      </c>
      <c r="CP1632" s="58" t="s">
        <v>15621</v>
      </c>
      <c r="CT1632" s="58">
        <v>66.0</v>
      </c>
      <c r="CU1632" s="58" t="s">
        <v>239</v>
      </c>
      <c r="DL1632" s="58" t="s">
        <v>15622</v>
      </c>
    </row>
    <row r="1633" ht="15.75" customHeight="1">
      <c r="B1633" s="58" t="s">
        <v>4587</v>
      </c>
      <c r="C1633" s="58">
        <v>2023.0</v>
      </c>
      <c r="D1633" s="58" t="s">
        <v>15623</v>
      </c>
      <c r="E1633" s="58" t="s">
        <v>15624</v>
      </c>
      <c r="F1633" s="58" t="s">
        <v>15176</v>
      </c>
      <c r="H1633" s="58" t="s">
        <v>6861</v>
      </c>
      <c r="I1633" s="58" t="s">
        <v>15625</v>
      </c>
      <c r="K1633" s="73">
        <v>45169.0</v>
      </c>
      <c r="Z1633" s="58" t="s">
        <v>239</v>
      </c>
      <c r="CH1633" s="58" t="s">
        <v>15626</v>
      </c>
      <c r="CI1633" s="73">
        <v>45169.0</v>
      </c>
      <c r="CJ1633" s="58">
        <v>1.0</v>
      </c>
      <c r="CK1633" s="58">
        <v>6.0</v>
      </c>
      <c r="CL1633" s="58" t="s">
        <v>15627</v>
      </c>
      <c r="CM1633" s="58" t="s">
        <v>15180</v>
      </c>
      <c r="CN1633" s="58" t="s">
        <v>15628</v>
      </c>
      <c r="CO1633" s="58" t="s">
        <v>15629</v>
      </c>
      <c r="CP1633" s="58" t="s">
        <v>15630</v>
      </c>
      <c r="CT1633" s="58">
        <v>12.0</v>
      </c>
      <c r="CU1633" s="58" t="s">
        <v>239</v>
      </c>
      <c r="DL1633" s="58" t="s">
        <v>15631</v>
      </c>
    </row>
    <row r="1634" ht="15.75" customHeight="1">
      <c r="B1634" s="58" t="s">
        <v>4587</v>
      </c>
      <c r="C1634" s="58">
        <v>2024.0</v>
      </c>
      <c r="D1634" s="58" t="s">
        <v>15632</v>
      </c>
      <c r="E1634" s="58" t="s">
        <v>15633</v>
      </c>
      <c r="F1634" s="58" t="s">
        <v>12672</v>
      </c>
      <c r="H1634" s="58" t="s">
        <v>5351</v>
      </c>
      <c r="I1634" s="58" t="s">
        <v>15634</v>
      </c>
      <c r="K1634" s="73">
        <v>45596.0</v>
      </c>
      <c r="Z1634" s="58" t="s">
        <v>239</v>
      </c>
      <c r="CH1634" s="58" t="s">
        <v>15635</v>
      </c>
      <c r="CI1634" s="73">
        <v>45596.0</v>
      </c>
      <c r="CJ1634" s="58">
        <v>1.0</v>
      </c>
      <c r="CK1634" s="58">
        <v>6.0</v>
      </c>
      <c r="CL1634" s="58" t="s">
        <v>15636</v>
      </c>
      <c r="CM1634" s="58" t="s">
        <v>12676</v>
      </c>
      <c r="CN1634" s="58" t="s">
        <v>15637</v>
      </c>
      <c r="CO1634" s="58" t="s">
        <v>15638</v>
      </c>
      <c r="CP1634" s="58" t="s">
        <v>15639</v>
      </c>
      <c r="CT1634" s="58">
        <v>31.0</v>
      </c>
      <c r="CU1634" s="58" t="s">
        <v>239</v>
      </c>
      <c r="DL1634" s="58" t="s">
        <v>15640</v>
      </c>
    </row>
    <row r="1635" ht="15.75" customHeight="1">
      <c r="B1635" s="58" t="s">
        <v>4587</v>
      </c>
      <c r="C1635" s="58">
        <v>2024.0</v>
      </c>
      <c r="D1635" s="58" t="s">
        <v>15641</v>
      </c>
      <c r="E1635" s="58" t="s">
        <v>15642</v>
      </c>
      <c r="F1635" s="58" t="s">
        <v>13833</v>
      </c>
      <c r="H1635" s="58" t="s">
        <v>13834</v>
      </c>
      <c r="I1635" s="58" t="s">
        <v>15643</v>
      </c>
      <c r="K1635" s="73">
        <v>45644.0</v>
      </c>
      <c r="Z1635" s="58" t="s">
        <v>239</v>
      </c>
      <c r="CH1635" s="58" t="s">
        <v>15644</v>
      </c>
      <c r="CI1635" s="73">
        <v>45644.0</v>
      </c>
      <c r="CJ1635" s="58">
        <v>1.0</v>
      </c>
      <c r="CK1635" s="58">
        <v>7.0</v>
      </c>
      <c r="CL1635" s="58" t="s">
        <v>15645</v>
      </c>
      <c r="CM1635" s="58" t="s">
        <v>13838</v>
      </c>
      <c r="CN1635" s="58" t="s">
        <v>15646</v>
      </c>
      <c r="CO1635" s="58" t="s">
        <v>15647</v>
      </c>
      <c r="CP1635" s="58" t="s">
        <v>15648</v>
      </c>
      <c r="CT1635" s="58">
        <v>22.0</v>
      </c>
      <c r="CU1635" s="58" t="s">
        <v>239</v>
      </c>
      <c r="DL1635" s="58" t="s">
        <v>15649</v>
      </c>
    </row>
    <row r="1636" ht="15.75" customHeight="1">
      <c r="B1636" s="58" t="s">
        <v>4587</v>
      </c>
      <c r="C1636" s="58">
        <v>2024.0</v>
      </c>
      <c r="D1636" s="58" t="s">
        <v>15650</v>
      </c>
      <c r="E1636" s="58" t="s">
        <v>15651</v>
      </c>
      <c r="F1636" s="58" t="s">
        <v>13371</v>
      </c>
      <c r="I1636" s="58" t="s">
        <v>15652</v>
      </c>
      <c r="K1636" s="73">
        <v>45553.0</v>
      </c>
      <c r="Z1636" s="58" t="s">
        <v>239</v>
      </c>
      <c r="CH1636" s="58" t="s">
        <v>15653</v>
      </c>
      <c r="CI1636" s="73">
        <v>45553.0</v>
      </c>
      <c r="CJ1636" s="58">
        <v>43.0</v>
      </c>
      <c r="CK1636" s="58">
        <v>53.0</v>
      </c>
      <c r="CL1636" s="58" t="s">
        <v>15654</v>
      </c>
      <c r="CM1636" s="58" t="s">
        <v>13375</v>
      </c>
      <c r="CO1636" s="58" t="s">
        <v>15655</v>
      </c>
      <c r="CP1636" s="58" t="s">
        <v>15656</v>
      </c>
      <c r="CT1636" s="58">
        <v>24.0</v>
      </c>
      <c r="CU1636" s="58" t="s">
        <v>239</v>
      </c>
      <c r="DL1636" s="58" t="s">
        <v>15657</v>
      </c>
    </row>
    <row r="1637" ht="15.75" customHeight="1">
      <c r="B1637" s="58" t="s">
        <v>4587</v>
      </c>
      <c r="C1637" s="58">
        <v>2023.0</v>
      </c>
      <c r="D1637" s="58" t="s">
        <v>15658</v>
      </c>
      <c r="E1637" s="58" t="s">
        <v>15659</v>
      </c>
      <c r="F1637" s="58" t="s">
        <v>15660</v>
      </c>
      <c r="H1637" s="58" t="s">
        <v>15661</v>
      </c>
      <c r="I1637" s="58" t="s">
        <v>15662</v>
      </c>
      <c r="K1637" s="73">
        <v>45160.0</v>
      </c>
      <c r="Z1637" s="58" t="s">
        <v>239</v>
      </c>
      <c r="CH1637" s="58" t="s">
        <v>8306</v>
      </c>
      <c r="CI1637" s="73">
        <v>45160.0</v>
      </c>
      <c r="CJ1637" s="58">
        <v>1.0</v>
      </c>
      <c r="CK1637" s="58">
        <v>5.0</v>
      </c>
      <c r="CL1637" s="58" t="s">
        <v>15663</v>
      </c>
      <c r="CM1637" s="58" t="s">
        <v>15664</v>
      </c>
      <c r="CO1637" s="58" t="s">
        <v>15665</v>
      </c>
      <c r="CP1637" s="58" t="s">
        <v>15666</v>
      </c>
      <c r="CT1637" s="58">
        <v>17.0</v>
      </c>
      <c r="CU1637" s="58" t="s">
        <v>239</v>
      </c>
      <c r="DL1637" s="58" t="s">
        <v>15667</v>
      </c>
    </row>
    <row r="1638" ht="15.75" customHeight="1">
      <c r="B1638" s="58" t="s">
        <v>4587</v>
      </c>
      <c r="C1638" s="58">
        <v>2024.0</v>
      </c>
      <c r="D1638" s="58" t="s">
        <v>15668</v>
      </c>
      <c r="E1638" s="58" t="s">
        <v>15669</v>
      </c>
      <c r="F1638" s="58" t="s">
        <v>15670</v>
      </c>
      <c r="I1638" s="58" t="s">
        <v>15671</v>
      </c>
      <c r="K1638" s="73">
        <v>45400.0</v>
      </c>
      <c r="Z1638" s="58" t="s">
        <v>239</v>
      </c>
      <c r="CH1638" s="58" t="s">
        <v>15672</v>
      </c>
      <c r="CI1638" s="73">
        <v>45400.0</v>
      </c>
      <c r="CJ1638" s="58">
        <v>504.0</v>
      </c>
      <c r="CK1638" s="58">
        <v>509.0</v>
      </c>
      <c r="CL1638" s="58" t="s">
        <v>15673</v>
      </c>
      <c r="CM1638" s="58" t="s">
        <v>15674</v>
      </c>
      <c r="CO1638" s="58" t="s">
        <v>15675</v>
      </c>
      <c r="CP1638" s="58" t="s">
        <v>15676</v>
      </c>
      <c r="CT1638" s="58">
        <v>26.0</v>
      </c>
      <c r="DL1638" s="58" t="s">
        <v>15677</v>
      </c>
    </row>
    <row r="1639" ht="15.75" customHeight="1">
      <c r="B1639" s="58" t="s">
        <v>4587</v>
      </c>
      <c r="C1639" s="58">
        <v>2024.0</v>
      </c>
      <c r="D1639" s="58" t="s">
        <v>15678</v>
      </c>
      <c r="E1639" s="58" t="s">
        <v>15679</v>
      </c>
      <c r="F1639" s="58" t="s">
        <v>12229</v>
      </c>
      <c r="H1639" s="58" t="s">
        <v>12230</v>
      </c>
      <c r="I1639" s="58" t="s">
        <v>15680</v>
      </c>
      <c r="K1639" s="73">
        <v>45573.0</v>
      </c>
      <c r="Z1639" s="58" t="s">
        <v>239</v>
      </c>
      <c r="CH1639" s="58" t="s">
        <v>15681</v>
      </c>
      <c r="CI1639" s="73">
        <v>45573.0</v>
      </c>
      <c r="CJ1639" s="58">
        <v>148.0</v>
      </c>
      <c r="CK1639" s="58">
        <v>157.0</v>
      </c>
      <c r="CL1639" s="58" t="s">
        <v>15682</v>
      </c>
      <c r="CM1639" s="58" t="s">
        <v>12234</v>
      </c>
      <c r="CN1639" s="58" t="s">
        <v>13441</v>
      </c>
      <c r="CO1639" s="58" t="s">
        <v>15683</v>
      </c>
      <c r="CP1639" s="58" t="s">
        <v>15684</v>
      </c>
      <c r="CT1639" s="58">
        <v>29.0</v>
      </c>
      <c r="CU1639" s="58" t="s">
        <v>239</v>
      </c>
      <c r="DL1639" s="58" t="s">
        <v>15685</v>
      </c>
    </row>
    <row r="1640" ht="15.75" customHeight="1">
      <c r="B1640" s="58" t="s">
        <v>4587</v>
      </c>
      <c r="C1640" s="58">
        <v>2023.0</v>
      </c>
      <c r="D1640" s="58" t="s">
        <v>15686</v>
      </c>
      <c r="E1640" s="58" t="s">
        <v>15687</v>
      </c>
      <c r="F1640" s="58" t="s">
        <v>15688</v>
      </c>
      <c r="H1640" s="58" t="s">
        <v>8071</v>
      </c>
      <c r="I1640" s="58" t="s">
        <v>15689</v>
      </c>
      <c r="K1640" s="73">
        <v>45061.0</v>
      </c>
      <c r="Z1640" s="58" t="s">
        <v>239</v>
      </c>
      <c r="CH1640" s="58" t="s">
        <v>15690</v>
      </c>
      <c r="CI1640" s="73">
        <v>45061.0</v>
      </c>
      <c r="CJ1640" s="58">
        <v>1.0</v>
      </c>
      <c r="CK1640" s="58">
        <v>15.0</v>
      </c>
      <c r="CL1640" s="58" t="s">
        <v>15691</v>
      </c>
      <c r="CM1640" s="58" t="s">
        <v>15692</v>
      </c>
      <c r="CO1640" s="58" t="s">
        <v>15693</v>
      </c>
      <c r="CT1640" s="58">
        <v>43.0</v>
      </c>
      <c r="CU1640" s="58" t="s">
        <v>239</v>
      </c>
      <c r="DL1640" s="58" t="s">
        <v>15694</v>
      </c>
    </row>
    <row r="1641" ht="15.75" customHeight="1">
      <c r="B1641" s="58" t="s">
        <v>4587</v>
      </c>
      <c r="C1641" s="58">
        <v>2023.0</v>
      </c>
      <c r="D1641" s="58" t="s">
        <v>15695</v>
      </c>
      <c r="E1641" s="58" t="s">
        <v>15696</v>
      </c>
      <c r="F1641" s="58" t="s">
        <v>15697</v>
      </c>
      <c r="I1641" s="58" t="s">
        <v>15698</v>
      </c>
      <c r="K1641" s="73">
        <v>45310.0</v>
      </c>
      <c r="Z1641" s="58" t="s">
        <v>239</v>
      </c>
      <c r="CH1641" s="58" t="s">
        <v>15699</v>
      </c>
      <c r="CI1641" s="73">
        <v>45310.0</v>
      </c>
      <c r="CJ1641" s="58">
        <v>129.0</v>
      </c>
      <c r="CK1641" s="58">
        <v>134.0</v>
      </c>
      <c r="CL1641" s="58" t="s">
        <v>15700</v>
      </c>
      <c r="CM1641" s="58" t="s">
        <v>15701</v>
      </c>
      <c r="CO1641" s="58" t="s">
        <v>15702</v>
      </c>
      <c r="CP1641" s="58" t="s">
        <v>15703</v>
      </c>
      <c r="CT1641" s="58">
        <v>20.0</v>
      </c>
      <c r="CU1641" s="58" t="s">
        <v>239</v>
      </c>
      <c r="DL1641" s="58" t="s">
        <v>15704</v>
      </c>
    </row>
    <row r="1642" ht="15.75" customHeight="1">
      <c r="B1642" s="58" t="s">
        <v>4587</v>
      </c>
      <c r="C1642" s="58">
        <v>2023.0</v>
      </c>
      <c r="D1642" s="58" t="s">
        <v>15705</v>
      </c>
      <c r="E1642" s="58" t="s">
        <v>15706</v>
      </c>
      <c r="F1642" s="58" t="s">
        <v>11140</v>
      </c>
      <c r="H1642" s="58" t="s">
        <v>11141</v>
      </c>
      <c r="I1642" s="58" t="s">
        <v>15707</v>
      </c>
      <c r="K1642" s="73">
        <v>45236.0</v>
      </c>
      <c r="Z1642" s="58" t="s">
        <v>239</v>
      </c>
      <c r="CH1642" s="58" t="s">
        <v>15708</v>
      </c>
      <c r="CI1642" s="73">
        <v>45236.0</v>
      </c>
      <c r="CJ1642" s="58">
        <v>21.0</v>
      </c>
      <c r="CK1642" s="58">
        <v>31.0</v>
      </c>
      <c r="CL1642" s="58" t="s">
        <v>15709</v>
      </c>
      <c r="CM1642" s="58" t="s">
        <v>11145</v>
      </c>
      <c r="CO1642" s="58" t="s">
        <v>15710</v>
      </c>
      <c r="CP1642" s="58" t="s">
        <v>15711</v>
      </c>
      <c r="CT1642" s="58">
        <v>51.0</v>
      </c>
      <c r="CU1642" s="58" t="s">
        <v>239</v>
      </c>
      <c r="DL1642" s="58" t="s">
        <v>15712</v>
      </c>
    </row>
    <row r="1643" ht="15.75" customHeight="1">
      <c r="B1643" s="58" t="s">
        <v>4587</v>
      </c>
      <c r="C1643" s="58">
        <v>2023.0</v>
      </c>
      <c r="D1643" s="58" t="s">
        <v>15713</v>
      </c>
      <c r="E1643" s="58" t="s">
        <v>15714</v>
      </c>
      <c r="F1643" s="58" t="s">
        <v>15715</v>
      </c>
      <c r="I1643" s="58" t="s">
        <v>15716</v>
      </c>
      <c r="K1643" s="73">
        <v>45450.0</v>
      </c>
      <c r="Z1643" s="58" t="s">
        <v>239</v>
      </c>
      <c r="CH1643" s="58" t="s">
        <v>15717</v>
      </c>
      <c r="CI1643" s="73">
        <v>45450.0</v>
      </c>
      <c r="CJ1643" s="58">
        <v>1.0</v>
      </c>
      <c r="CK1643" s="58">
        <v>6.0</v>
      </c>
      <c r="CL1643" s="58" t="s">
        <v>15718</v>
      </c>
      <c r="CM1643" s="58" t="s">
        <v>15719</v>
      </c>
      <c r="CO1643" s="58" t="s">
        <v>15720</v>
      </c>
      <c r="CP1643" s="58" t="s">
        <v>15721</v>
      </c>
      <c r="CT1643" s="58">
        <v>23.0</v>
      </c>
      <c r="CU1643" s="58" t="s">
        <v>239</v>
      </c>
      <c r="DL1643" s="58" t="s">
        <v>15722</v>
      </c>
    </row>
    <row r="1644" ht="15.75" customHeight="1">
      <c r="B1644" s="58" t="s">
        <v>4587</v>
      </c>
      <c r="C1644" s="58">
        <v>2024.0</v>
      </c>
      <c r="D1644" s="58" t="s">
        <v>15723</v>
      </c>
      <c r="E1644" s="58" t="s">
        <v>15724</v>
      </c>
      <c r="F1644" s="58" t="s">
        <v>13810</v>
      </c>
      <c r="H1644" s="58" t="s">
        <v>13811</v>
      </c>
      <c r="I1644" s="58" t="s">
        <v>15725</v>
      </c>
      <c r="K1644" s="73">
        <v>45600.0</v>
      </c>
      <c r="Z1644" s="58" t="s">
        <v>239</v>
      </c>
      <c r="CH1644" s="58" t="s">
        <v>15726</v>
      </c>
      <c r="CI1644" s="73">
        <v>45600.0</v>
      </c>
      <c r="CJ1644" s="58">
        <v>1.0</v>
      </c>
      <c r="CK1644" s="58">
        <v>7.0</v>
      </c>
      <c r="CL1644" s="58" t="s">
        <v>15727</v>
      </c>
      <c r="CM1644" s="58" t="s">
        <v>13815</v>
      </c>
      <c r="CO1644" s="58" t="s">
        <v>15728</v>
      </c>
      <c r="CP1644" s="58" t="s">
        <v>15729</v>
      </c>
      <c r="CT1644" s="58">
        <v>16.0</v>
      </c>
      <c r="CU1644" s="58" t="s">
        <v>239</v>
      </c>
      <c r="DL1644" s="58" t="s">
        <v>15730</v>
      </c>
    </row>
    <row r="1645" ht="15.75" customHeight="1">
      <c r="B1645" s="58" t="s">
        <v>4587</v>
      </c>
      <c r="C1645" s="58">
        <v>2024.0</v>
      </c>
      <c r="D1645" s="58" t="s">
        <v>15731</v>
      </c>
      <c r="E1645" s="58" t="s">
        <v>15732</v>
      </c>
      <c r="F1645" s="58" t="s">
        <v>14784</v>
      </c>
      <c r="H1645" s="58" t="s">
        <v>11669</v>
      </c>
      <c r="I1645" s="58" t="s">
        <v>15733</v>
      </c>
      <c r="K1645" s="73">
        <v>45624.0</v>
      </c>
      <c r="Z1645" s="58" t="s">
        <v>239</v>
      </c>
      <c r="CH1645" s="58" t="s">
        <v>15734</v>
      </c>
      <c r="CI1645" s="73">
        <v>45624.0</v>
      </c>
      <c r="CJ1645" s="58">
        <v>94.0</v>
      </c>
      <c r="CK1645" s="58">
        <v>107.0</v>
      </c>
      <c r="CL1645" s="58" t="s">
        <v>15735</v>
      </c>
      <c r="CM1645" s="58" t="s">
        <v>14788</v>
      </c>
      <c r="CO1645" s="58" t="s">
        <v>15736</v>
      </c>
      <c r="CP1645" s="58" t="s">
        <v>15737</v>
      </c>
      <c r="CT1645" s="58">
        <v>52.0</v>
      </c>
      <c r="CU1645" s="58" t="s">
        <v>239</v>
      </c>
      <c r="DL1645" s="58" t="s">
        <v>15738</v>
      </c>
    </row>
    <row r="1646" ht="15.75" customHeight="1">
      <c r="B1646" s="58" t="s">
        <v>4587</v>
      </c>
      <c r="C1646" s="58">
        <v>2024.0</v>
      </c>
      <c r="D1646" s="58" t="s">
        <v>15739</v>
      </c>
      <c r="E1646" s="58" t="s">
        <v>15740</v>
      </c>
      <c r="F1646" s="58" t="s">
        <v>14183</v>
      </c>
      <c r="H1646" s="58" t="s">
        <v>11472</v>
      </c>
      <c r="I1646" s="58" t="s">
        <v>15741</v>
      </c>
      <c r="K1646" s="73">
        <v>45580.0</v>
      </c>
      <c r="Z1646" s="58" t="s">
        <v>239</v>
      </c>
      <c r="CH1646" s="58" t="s">
        <v>15742</v>
      </c>
      <c r="CI1646" s="73">
        <v>45580.0</v>
      </c>
      <c r="CJ1646" s="58">
        <v>944.0</v>
      </c>
      <c r="CK1646" s="58">
        <v>954.0</v>
      </c>
      <c r="CL1646" s="58" t="s">
        <v>15743</v>
      </c>
      <c r="CM1646" s="58" t="s">
        <v>14187</v>
      </c>
      <c r="CO1646" s="58" t="s">
        <v>15744</v>
      </c>
      <c r="CP1646" s="58" t="s">
        <v>15745</v>
      </c>
      <c r="CT1646" s="58">
        <v>42.0</v>
      </c>
      <c r="CU1646" s="58" t="s">
        <v>239</v>
      </c>
      <c r="DL1646" s="58" t="s">
        <v>15746</v>
      </c>
    </row>
    <row r="1647" ht="15.75" customHeight="1">
      <c r="B1647" s="58" t="s">
        <v>4587</v>
      </c>
      <c r="C1647" s="58">
        <v>2024.0</v>
      </c>
      <c r="D1647" s="58" t="s">
        <v>15747</v>
      </c>
      <c r="E1647" s="58" t="s">
        <v>15748</v>
      </c>
      <c r="F1647" s="58" t="s">
        <v>15749</v>
      </c>
      <c r="I1647" s="58" t="s">
        <v>15750</v>
      </c>
      <c r="K1647" s="73">
        <v>45567.0</v>
      </c>
      <c r="Z1647" s="58" t="s">
        <v>239</v>
      </c>
      <c r="CH1647" s="58" t="s">
        <v>15751</v>
      </c>
      <c r="CI1647" s="73">
        <v>45567.0</v>
      </c>
      <c r="CJ1647" s="58">
        <v>660.0</v>
      </c>
      <c r="CK1647" s="58">
        <v>667.0</v>
      </c>
      <c r="CL1647" s="58" t="s">
        <v>15752</v>
      </c>
      <c r="CM1647" s="58" t="s">
        <v>15753</v>
      </c>
      <c r="CN1647" s="58" t="s">
        <v>15754</v>
      </c>
      <c r="CO1647" s="58" t="s">
        <v>15755</v>
      </c>
      <c r="CP1647" s="58" t="s">
        <v>15756</v>
      </c>
      <c r="CT1647" s="58">
        <v>17.0</v>
      </c>
      <c r="CU1647" s="58" t="s">
        <v>239</v>
      </c>
      <c r="DL1647" s="58" t="s">
        <v>15757</v>
      </c>
    </row>
    <row r="1648" ht="15.75" customHeight="1">
      <c r="B1648" s="58" t="s">
        <v>4587</v>
      </c>
      <c r="C1648" s="58">
        <v>2024.0</v>
      </c>
      <c r="D1648" s="58" t="s">
        <v>15758</v>
      </c>
      <c r="E1648" s="58" t="s">
        <v>15759</v>
      </c>
      <c r="F1648" s="58" t="s">
        <v>15760</v>
      </c>
      <c r="I1648" s="58" t="s">
        <v>15761</v>
      </c>
      <c r="K1648" s="73">
        <v>45621.0</v>
      </c>
      <c r="Z1648" s="58" t="s">
        <v>239</v>
      </c>
      <c r="CH1648" s="58" t="s">
        <v>15762</v>
      </c>
      <c r="CI1648" s="73">
        <v>45621.0</v>
      </c>
      <c r="CJ1648" s="58">
        <v>108.0</v>
      </c>
      <c r="CK1648" s="58">
        <v>111.0</v>
      </c>
      <c r="CL1648" s="58" t="s">
        <v>15763</v>
      </c>
      <c r="CM1648" s="58" t="s">
        <v>15764</v>
      </c>
      <c r="CO1648" s="58" t="s">
        <v>15765</v>
      </c>
      <c r="CP1648" s="58" t="s">
        <v>15766</v>
      </c>
      <c r="CT1648" s="58">
        <v>11.0</v>
      </c>
      <c r="CU1648" s="58" t="s">
        <v>239</v>
      </c>
      <c r="DL1648" s="58" t="s">
        <v>15767</v>
      </c>
    </row>
    <row r="1649" ht="15.75" customHeight="1">
      <c r="B1649" s="58" t="s">
        <v>4587</v>
      </c>
      <c r="C1649" s="58">
        <v>2023.0</v>
      </c>
      <c r="D1649" s="58" t="s">
        <v>15768</v>
      </c>
      <c r="E1649" s="58" t="s">
        <v>15769</v>
      </c>
      <c r="F1649" s="58" t="s">
        <v>15770</v>
      </c>
      <c r="H1649" s="58" t="s">
        <v>15771</v>
      </c>
      <c r="I1649" s="58" t="s">
        <v>15772</v>
      </c>
      <c r="K1649" s="73">
        <v>45370.0</v>
      </c>
      <c r="Z1649" s="58" t="s">
        <v>239</v>
      </c>
      <c r="CH1649" s="58" t="s">
        <v>15773</v>
      </c>
      <c r="CI1649" s="73">
        <v>45370.0</v>
      </c>
      <c r="CJ1649" s="58">
        <v>302.0</v>
      </c>
      <c r="CK1649" s="58">
        <v>308.0</v>
      </c>
      <c r="CL1649" s="58" t="s">
        <v>15774</v>
      </c>
      <c r="CM1649" s="58" t="s">
        <v>15775</v>
      </c>
      <c r="CO1649" s="58" t="s">
        <v>15776</v>
      </c>
      <c r="CP1649" s="58" t="s">
        <v>15777</v>
      </c>
      <c r="CT1649" s="58">
        <v>44.0</v>
      </c>
      <c r="CU1649" s="58" t="s">
        <v>239</v>
      </c>
      <c r="DL1649" s="58" t="s">
        <v>15778</v>
      </c>
    </row>
    <row r="1650" ht="15.75" customHeight="1">
      <c r="B1650" s="58" t="s">
        <v>4587</v>
      </c>
      <c r="C1650" s="58">
        <v>2024.0</v>
      </c>
      <c r="D1650" s="58" t="s">
        <v>15779</v>
      </c>
      <c r="E1650" s="58" t="s">
        <v>15780</v>
      </c>
      <c r="F1650" s="58" t="s">
        <v>12229</v>
      </c>
      <c r="H1650" s="58" t="s">
        <v>12230</v>
      </c>
      <c r="I1650" s="58" t="s">
        <v>15781</v>
      </c>
      <c r="K1650" s="73">
        <v>45573.0</v>
      </c>
      <c r="Z1650" s="58" t="s">
        <v>239</v>
      </c>
      <c r="CH1650" s="58" t="s">
        <v>15782</v>
      </c>
      <c r="CI1650" s="73">
        <v>45573.0</v>
      </c>
      <c r="CJ1650" s="58">
        <v>299.0</v>
      </c>
      <c r="CK1650" s="58">
        <v>306.0</v>
      </c>
      <c r="CL1650" s="58" t="s">
        <v>15783</v>
      </c>
      <c r="CM1650" s="58" t="s">
        <v>12234</v>
      </c>
      <c r="CO1650" s="58" t="s">
        <v>15784</v>
      </c>
      <c r="CP1650" s="58" t="s">
        <v>15785</v>
      </c>
      <c r="CT1650" s="58">
        <v>43.0</v>
      </c>
      <c r="CU1650" s="58" t="s">
        <v>239</v>
      </c>
      <c r="DL1650" s="58" t="s">
        <v>15786</v>
      </c>
    </row>
    <row r="1651" ht="15.75" customHeight="1">
      <c r="B1651" s="58" t="s">
        <v>4587</v>
      </c>
      <c r="C1651" s="58">
        <v>2024.0</v>
      </c>
      <c r="D1651" s="58" t="s">
        <v>15787</v>
      </c>
      <c r="E1651" s="58" t="s">
        <v>15788</v>
      </c>
      <c r="F1651" s="58" t="s">
        <v>12068</v>
      </c>
      <c r="H1651" s="58" t="s">
        <v>5095</v>
      </c>
      <c r="I1651" s="58" t="s">
        <v>15789</v>
      </c>
      <c r="K1651" s="73">
        <v>45492.0</v>
      </c>
      <c r="Z1651" s="58" t="s">
        <v>239</v>
      </c>
      <c r="CH1651" s="58" t="s">
        <v>15790</v>
      </c>
      <c r="CI1651" s="73">
        <v>45492.0</v>
      </c>
      <c r="CJ1651" s="58">
        <v>676.0</v>
      </c>
      <c r="CK1651" s="58">
        <v>681.0</v>
      </c>
      <c r="CL1651" s="58" t="s">
        <v>15791</v>
      </c>
      <c r="CM1651" s="58" t="s">
        <v>12072</v>
      </c>
      <c r="CN1651" s="58" t="s">
        <v>6223</v>
      </c>
      <c r="CO1651" s="58" t="s">
        <v>15792</v>
      </c>
      <c r="CP1651" s="58" t="s">
        <v>7193</v>
      </c>
      <c r="CT1651" s="58">
        <v>12.0</v>
      </c>
      <c r="CU1651" s="58" t="s">
        <v>239</v>
      </c>
      <c r="DL1651" s="58" t="s">
        <v>15793</v>
      </c>
    </row>
    <row r="1652" ht="15.75" customHeight="1">
      <c r="B1652" s="58" t="s">
        <v>4587</v>
      </c>
      <c r="C1652" s="58">
        <v>2024.0</v>
      </c>
      <c r="D1652" s="58" t="s">
        <v>15794</v>
      </c>
      <c r="E1652" s="58" t="s">
        <v>15795</v>
      </c>
      <c r="F1652" s="58" t="s">
        <v>15066</v>
      </c>
      <c r="H1652" s="58" t="s">
        <v>11083</v>
      </c>
      <c r="I1652" s="58" t="s">
        <v>15796</v>
      </c>
      <c r="K1652" s="73">
        <v>45519.0</v>
      </c>
      <c r="Z1652" s="58" t="s">
        <v>239</v>
      </c>
      <c r="CH1652" s="58" t="s">
        <v>15797</v>
      </c>
      <c r="CI1652" s="73">
        <v>45519.0</v>
      </c>
      <c r="CJ1652" s="58">
        <v>684.0</v>
      </c>
      <c r="CK1652" s="58">
        <v>689.0</v>
      </c>
      <c r="CL1652" s="58" t="s">
        <v>15798</v>
      </c>
      <c r="CM1652" s="58" t="s">
        <v>15070</v>
      </c>
      <c r="CO1652" s="58" t="s">
        <v>15799</v>
      </c>
      <c r="CP1652" s="58" t="s">
        <v>15800</v>
      </c>
      <c r="CT1652" s="58">
        <v>13.0</v>
      </c>
      <c r="DL1652" s="58" t="s">
        <v>15801</v>
      </c>
    </row>
    <row r="1653" ht="15.75" customHeight="1">
      <c r="B1653" s="58" t="s">
        <v>4587</v>
      </c>
      <c r="C1653" s="58">
        <v>2024.0</v>
      </c>
      <c r="D1653" s="58" t="s">
        <v>15802</v>
      </c>
      <c r="E1653" s="58" t="s">
        <v>15803</v>
      </c>
      <c r="F1653" s="58" t="s">
        <v>15804</v>
      </c>
      <c r="H1653" s="58" t="s">
        <v>4880</v>
      </c>
      <c r="I1653" s="58" t="s">
        <v>15805</v>
      </c>
      <c r="K1653" s="73">
        <v>45384.0</v>
      </c>
      <c r="Z1653" s="58" t="s">
        <v>239</v>
      </c>
      <c r="CH1653" s="58" t="s">
        <v>15806</v>
      </c>
      <c r="CI1653" s="73">
        <v>45384.0</v>
      </c>
      <c r="CJ1653" s="58">
        <v>312.0</v>
      </c>
      <c r="CK1653" s="58">
        <v>329.0</v>
      </c>
      <c r="CL1653" s="58" t="s">
        <v>15807</v>
      </c>
      <c r="CM1653" s="58" t="s">
        <v>15808</v>
      </c>
      <c r="CO1653" s="58" t="s">
        <v>15809</v>
      </c>
      <c r="CP1653" s="58" t="s">
        <v>15810</v>
      </c>
      <c r="CT1653" s="58">
        <v>97.0</v>
      </c>
      <c r="CU1653" s="58" t="s">
        <v>239</v>
      </c>
      <c r="DL1653" s="58" t="s">
        <v>15811</v>
      </c>
    </row>
    <row r="1654" ht="15.75" customHeight="1">
      <c r="B1654" s="58" t="s">
        <v>4587</v>
      </c>
      <c r="C1654" s="58">
        <v>2023.0</v>
      </c>
      <c r="D1654" s="58" t="s">
        <v>15812</v>
      </c>
      <c r="E1654" s="58" t="s">
        <v>15813</v>
      </c>
      <c r="F1654" s="58" t="s">
        <v>15814</v>
      </c>
      <c r="H1654" s="58" t="s">
        <v>15815</v>
      </c>
      <c r="I1654" s="58" t="s">
        <v>15816</v>
      </c>
      <c r="K1654" s="73">
        <v>45173.0</v>
      </c>
      <c r="Z1654" s="58" t="s">
        <v>239</v>
      </c>
      <c r="CH1654" s="58" t="s">
        <v>15817</v>
      </c>
      <c r="CI1654" s="73">
        <v>45173.0</v>
      </c>
      <c r="CJ1654" s="58">
        <v>1.0</v>
      </c>
      <c r="CK1654" s="58">
        <v>6.0</v>
      </c>
      <c r="CL1654" s="58" t="s">
        <v>15818</v>
      </c>
      <c r="CM1654" s="58" t="s">
        <v>15819</v>
      </c>
      <c r="CO1654" s="58" t="s">
        <v>15820</v>
      </c>
      <c r="CP1654" s="58" t="s">
        <v>15821</v>
      </c>
      <c r="CT1654" s="58">
        <v>19.0</v>
      </c>
      <c r="CU1654" s="58" t="s">
        <v>239</v>
      </c>
      <c r="DL1654" s="58" t="s">
        <v>15822</v>
      </c>
    </row>
    <row r="1655" ht="15.75" customHeight="1">
      <c r="B1655" s="58" t="s">
        <v>4587</v>
      </c>
      <c r="C1655" s="58">
        <v>2024.0</v>
      </c>
      <c r="D1655" s="58" t="s">
        <v>15823</v>
      </c>
      <c r="E1655" s="58" t="s">
        <v>15824</v>
      </c>
      <c r="F1655" s="58" t="s">
        <v>15825</v>
      </c>
      <c r="I1655" s="58" t="s">
        <v>15826</v>
      </c>
      <c r="K1655" s="73">
        <v>45705.0</v>
      </c>
      <c r="Z1655" s="58" t="s">
        <v>239</v>
      </c>
      <c r="CH1655" s="58" t="s">
        <v>15827</v>
      </c>
      <c r="CI1655" s="73">
        <v>45705.0</v>
      </c>
      <c r="CJ1655" s="58">
        <v>161.0</v>
      </c>
      <c r="CK1655" s="58">
        <v>167.0</v>
      </c>
      <c r="CL1655" s="58" t="s">
        <v>15828</v>
      </c>
      <c r="CM1655" s="58" t="s">
        <v>15829</v>
      </c>
      <c r="CN1655" s="58" t="s">
        <v>6423</v>
      </c>
      <c r="CO1655" s="58" t="s">
        <v>15830</v>
      </c>
      <c r="CP1655" s="58" t="s">
        <v>15831</v>
      </c>
      <c r="CT1655" s="58">
        <v>36.0</v>
      </c>
      <c r="CU1655" s="58" t="s">
        <v>239</v>
      </c>
      <c r="DL1655" s="58" t="s">
        <v>15832</v>
      </c>
    </row>
    <row r="1656" ht="15.75" customHeight="1">
      <c r="B1656" s="58" t="s">
        <v>4587</v>
      </c>
      <c r="C1656" s="58">
        <v>2023.0</v>
      </c>
      <c r="E1656" s="58" t="s">
        <v>9426</v>
      </c>
      <c r="F1656" s="58" t="s">
        <v>15833</v>
      </c>
      <c r="H1656" s="58" t="s">
        <v>14354</v>
      </c>
      <c r="I1656" s="58" t="s">
        <v>15834</v>
      </c>
      <c r="K1656" s="73">
        <v>45223.0</v>
      </c>
      <c r="Z1656" s="58" t="s">
        <v>239</v>
      </c>
      <c r="CI1656" s="73">
        <v>45223.0</v>
      </c>
      <c r="CJ1656" s="58">
        <v>1.0</v>
      </c>
      <c r="CK1656" s="58">
        <v>609.0</v>
      </c>
      <c r="CM1656" s="58" t="s">
        <v>15835</v>
      </c>
      <c r="CO1656" s="58" t="s">
        <v>15836</v>
      </c>
      <c r="CU1656" s="58" t="s">
        <v>239</v>
      </c>
    </row>
    <row r="1657" ht="15.75" customHeight="1">
      <c r="B1657" s="58" t="s">
        <v>4587</v>
      </c>
      <c r="C1657" s="58">
        <v>2023.0</v>
      </c>
      <c r="E1657" s="58" t="s">
        <v>9426</v>
      </c>
      <c r="F1657" s="58" t="s">
        <v>15837</v>
      </c>
      <c r="I1657" s="58" t="s">
        <v>15838</v>
      </c>
      <c r="K1657" s="73">
        <v>44979.0</v>
      </c>
      <c r="Z1657" s="58" t="s">
        <v>239</v>
      </c>
      <c r="CI1657" s="73">
        <v>44979.0</v>
      </c>
      <c r="CJ1657" s="58" t="s">
        <v>10564</v>
      </c>
      <c r="CK1657" s="58" t="s">
        <v>15839</v>
      </c>
      <c r="CM1657" s="58" t="s">
        <v>15840</v>
      </c>
      <c r="CO1657" s="58" t="s">
        <v>15841</v>
      </c>
      <c r="CU1657" s="58" t="s">
        <v>239</v>
      </c>
    </row>
    <row r="1658" ht="15.75" customHeight="1">
      <c r="B1658" s="58" t="s">
        <v>4587</v>
      </c>
      <c r="C1658" s="58">
        <v>2023.0</v>
      </c>
      <c r="E1658" s="58" t="s">
        <v>15842</v>
      </c>
      <c r="F1658" s="58" t="s">
        <v>15521</v>
      </c>
      <c r="I1658" s="58" t="s">
        <v>15843</v>
      </c>
      <c r="K1658" s="73">
        <v>45320.0</v>
      </c>
      <c r="Z1658" s="58" t="s">
        <v>239</v>
      </c>
      <c r="CI1658" s="73">
        <v>45320.0</v>
      </c>
      <c r="CJ1658" s="58">
        <v>13.0</v>
      </c>
      <c r="CK1658" s="58">
        <v>13.0</v>
      </c>
      <c r="CM1658" s="58" t="s">
        <v>15525</v>
      </c>
      <c r="CO1658" s="58" t="s">
        <v>15844</v>
      </c>
      <c r="CU1658" s="58" t="s">
        <v>239</v>
      </c>
    </row>
    <row r="1659" ht="15.75" customHeight="1">
      <c r="B1659" s="58" t="s">
        <v>4587</v>
      </c>
      <c r="C1659" s="58">
        <v>2024.0</v>
      </c>
      <c r="E1659" s="58" t="s">
        <v>15845</v>
      </c>
      <c r="F1659" s="58" t="s">
        <v>15846</v>
      </c>
      <c r="H1659" s="58" t="s">
        <v>10582</v>
      </c>
      <c r="I1659" s="58" t="s">
        <v>15847</v>
      </c>
      <c r="K1659" s="73">
        <v>45454.0</v>
      </c>
      <c r="R1659" s="58">
        <v>7.0</v>
      </c>
      <c r="Z1659" s="58" t="s">
        <v>239</v>
      </c>
      <c r="CI1659" s="73">
        <v>45454.0</v>
      </c>
      <c r="CJ1659" s="58" t="s">
        <v>10564</v>
      </c>
      <c r="CK1659" s="58" t="s">
        <v>15848</v>
      </c>
      <c r="CM1659" s="58" t="s">
        <v>15849</v>
      </c>
      <c r="CO1659" s="58" t="s">
        <v>15850</v>
      </c>
      <c r="CU1659" s="58" t="s">
        <v>239</v>
      </c>
    </row>
    <row r="1660" ht="15.75" customHeight="1">
      <c r="B1660" s="58" t="s">
        <v>4587</v>
      </c>
      <c r="C1660" s="58">
        <v>2023.0</v>
      </c>
      <c r="E1660" s="58" t="s">
        <v>15851</v>
      </c>
      <c r="F1660" s="58" t="s">
        <v>15852</v>
      </c>
      <c r="I1660" s="58" t="s">
        <v>15853</v>
      </c>
      <c r="K1660" s="73">
        <v>45117.0</v>
      </c>
      <c r="Z1660" s="58" t="s">
        <v>239</v>
      </c>
      <c r="CI1660" s="73">
        <v>45117.0</v>
      </c>
      <c r="CJ1660" s="58">
        <v>1.0</v>
      </c>
      <c r="CK1660" s="58">
        <v>33.0</v>
      </c>
      <c r="CM1660" s="58" t="s">
        <v>15854</v>
      </c>
      <c r="CO1660" s="58" t="s">
        <v>15855</v>
      </c>
      <c r="CU1660" s="58" t="s">
        <v>239</v>
      </c>
    </row>
    <row r="1661" ht="15.75" customHeight="1">
      <c r="B1661" s="58" t="s">
        <v>4587</v>
      </c>
      <c r="C1661" s="58">
        <v>2023.0</v>
      </c>
      <c r="E1661" s="58" t="s">
        <v>15856</v>
      </c>
      <c r="F1661" s="58" t="s">
        <v>15857</v>
      </c>
      <c r="I1661" s="58" t="s">
        <v>15858</v>
      </c>
      <c r="K1661" s="73">
        <v>45209.0</v>
      </c>
      <c r="Z1661" s="58" t="s">
        <v>239</v>
      </c>
      <c r="CI1661" s="73">
        <v>45209.0</v>
      </c>
      <c r="CJ1661" s="58">
        <v>1.0</v>
      </c>
      <c r="CK1661" s="58">
        <v>22.0</v>
      </c>
      <c r="CM1661" s="58" t="s">
        <v>15859</v>
      </c>
      <c r="CO1661" s="58" t="s">
        <v>15860</v>
      </c>
      <c r="CU1661" s="58" t="s">
        <v>239</v>
      </c>
    </row>
    <row r="1662" ht="15.75" customHeight="1">
      <c r="B1662" s="58" t="s">
        <v>4587</v>
      </c>
      <c r="C1662" s="58">
        <v>2024.0</v>
      </c>
      <c r="E1662" s="58" t="s">
        <v>15861</v>
      </c>
      <c r="F1662" s="58" t="s">
        <v>15862</v>
      </c>
      <c r="I1662" s="58" t="s">
        <v>15863</v>
      </c>
      <c r="K1662" s="73">
        <v>45526.0</v>
      </c>
      <c r="Z1662" s="58" t="s">
        <v>239</v>
      </c>
      <c r="CI1662" s="73">
        <v>45526.0</v>
      </c>
      <c r="CJ1662" s="58">
        <v>1.0</v>
      </c>
      <c r="CK1662" s="58">
        <v>23.0</v>
      </c>
      <c r="CM1662" s="58" t="s">
        <v>15864</v>
      </c>
      <c r="CO1662" s="58" t="s">
        <v>15865</v>
      </c>
      <c r="CU1662" s="58" t="s">
        <v>239</v>
      </c>
    </row>
    <row r="1663" ht="15.75" customHeight="1">
      <c r="B1663" s="58" t="s">
        <v>4587</v>
      </c>
      <c r="C1663" s="58">
        <v>2024.0</v>
      </c>
      <c r="E1663" s="58" t="s">
        <v>15866</v>
      </c>
      <c r="F1663" s="58" t="s">
        <v>12412</v>
      </c>
      <c r="I1663" s="58" t="s">
        <v>15867</v>
      </c>
      <c r="K1663" s="73">
        <v>45418.0</v>
      </c>
      <c r="Z1663" s="58" t="s">
        <v>239</v>
      </c>
      <c r="CI1663" s="73">
        <v>45418.0</v>
      </c>
      <c r="CJ1663" s="58">
        <v>1.0</v>
      </c>
      <c r="CK1663" s="58">
        <v>26.0</v>
      </c>
      <c r="CM1663" s="58" t="s">
        <v>12416</v>
      </c>
      <c r="CO1663" s="58" t="s">
        <v>15868</v>
      </c>
      <c r="CU1663" s="58" t="s">
        <v>239</v>
      </c>
    </row>
    <row r="1664" ht="15.75" customHeight="1">
      <c r="B1664" s="58" t="s">
        <v>4587</v>
      </c>
      <c r="C1664" s="58">
        <v>2023.0</v>
      </c>
      <c r="E1664" s="58" t="s">
        <v>15869</v>
      </c>
      <c r="F1664" s="58" t="s">
        <v>15870</v>
      </c>
      <c r="I1664" s="58" t="s">
        <v>15871</v>
      </c>
      <c r="K1664" s="73">
        <v>45173.0</v>
      </c>
      <c r="Z1664" s="58" t="s">
        <v>239</v>
      </c>
      <c r="CI1664" s="73">
        <v>45173.0</v>
      </c>
      <c r="CJ1664" s="58">
        <v>1.0</v>
      </c>
      <c r="CK1664" s="58">
        <v>21.0</v>
      </c>
      <c r="CM1664" s="58" t="s">
        <v>15872</v>
      </c>
      <c r="CO1664" s="58" t="s">
        <v>15873</v>
      </c>
      <c r="CU1664" s="58" t="s">
        <v>239</v>
      </c>
    </row>
    <row r="1665" ht="15.75" customHeight="1">
      <c r="B1665" s="58" t="s">
        <v>4587</v>
      </c>
      <c r="C1665" s="58">
        <v>2024.0</v>
      </c>
      <c r="E1665" s="58" t="s">
        <v>15874</v>
      </c>
      <c r="F1665" s="58" t="s">
        <v>15875</v>
      </c>
      <c r="H1665" s="58" t="s">
        <v>15876</v>
      </c>
      <c r="I1665" s="58" t="s">
        <v>15877</v>
      </c>
      <c r="K1665" s="73">
        <v>45658.0</v>
      </c>
      <c r="Z1665" s="58" t="s">
        <v>239</v>
      </c>
      <c r="CI1665" s="73">
        <v>45658.0</v>
      </c>
      <c r="CJ1665" s="58">
        <v>1.0</v>
      </c>
      <c r="CK1665" s="58">
        <v>25.0</v>
      </c>
      <c r="CM1665" s="58" t="s">
        <v>15878</v>
      </c>
      <c r="CO1665" s="58" t="s">
        <v>15879</v>
      </c>
      <c r="CU1665" s="58" t="s">
        <v>239</v>
      </c>
      <c r="DL1665" s="58" t="s">
        <v>15880</v>
      </c>
    </row>
    <row r="1666" ht="15.75" customHeight="1">
      <c r="B1666" s="58" t="s">
        <v>4587</v>
      </c>
      <c r="C1666" s="58">
        <v>2024.0</v>
      </c>
      <c r="E1666" s="58" t="s">
        <v>15881</v>
      </c>
      <c r="F1666" s="58" t="s">
        <v>15882</v>
      </c>
      <c r="H1666" s="58" t="s">
        <v>5003</v>
      </c>
      <c r="I1666" s="58" t="s">
        <v>15883</v>
      </c>
      <c r="K1666" s="73">
        <v>45727.0</v>
      </c>
      <c r="Z1666" s="58" t="s">
        <v>239</v>
      </c>
      <c r="CI1666" s="73">
        <v>45727.0</v>
      </c>
      <c r="CJ1666" s="58">
        <v>2.0</v>
      </c>
      <c r="CK1666" s="58">
        <v>221.0</v>
      </c>
      <c r="CM1666" s="58" t="s">
        <v>15884</v>
      </c>
      <c r="CO1666" s="58" t="s">
        <v>15885</v>
      </c>
      <c r="CU1666" s="58" t="s">
        <v>239</v>
      </c>
    </row>
    <row r="1667" ht="15.75" customHeight="1">
      <c r="B1667" s="58" t="s">
        <v>4587</v>
      </c>
      <c r="C1667" s="58">
        <v>2023.0</v>
      </c>
      <c r="E1667" s="58" t="s">
        <v>15886</v>
      </c>
      <c r="F1667" s="58" t="s">
        <v>15887</v>
      </c>
      <c r="H1667" s="58" t="s">
        <v>15888</v>
      </c>
      <c r="I1667" s="58" t="s">
        <v>15889</v>
      </c>
      <c r="K1667" s="73">
        <v>45169.0</v>
      </c>
      <c r="Z1667" s="58" t="s">
        <v>239</v>
      </c>
      <c r="CI1667" s="73">
        <v>45169.0</v>
      </c>
      <c r="CJ1667" s="58">
        <v>1.0</v>
      </c>
      <c r="CK1667" s="58">
        <v>891.0</v>
      </c>
      <c r="CM1667" s="58" t="s">
        <v>15890</v>
      </c>
      <c r="CO1667" s="58" t="s">
        <v>15891</v>
      </c>
      <c r="CU1667" s="58" t="s">
        <v>239</v>
      </c>
    </row>
    <row r="1668" ht="15.75" customHeight="1">
      <c r="B1668" s="58" t="s">
        <v>4587</v>
      </c>
      <c r="C1668" s="58">
        <v>2024.0</v>
      </c>
      <c r="E1668" s="58" t="s">
        <v>10597</v>
      </c>
      <c r="F1668" s="58" t="s">
        <v>11628</v>
      </c>
      <c r="H1668" s="58" t="s">
        <v>11629</v>
      </c>
      <c r="I1668" s="58" t="s">
        <v>15892</v>
      </c>
      <c r="K1668" s="73">
        <v>45454.0</v>
      </c>
      <c r="Z1668" s="58" t="s">
        <v>239</v>
      </c>
      <c r="CI1668" s="73">
        <v>45454.0</v>
      </c>
      <c r="CJ1668" s="58" t="s">
        <v>10980</v>
      </c>
      <c r="CK1668" s="58" t="s">
        <v>10649</v>
      </c>
      <c r="CM1668" s="58" t="s">
        <v>11633</v>
      </c>
      <c r="CO1668" s="58" t="s">
        <v>15893</v>
      </c>
      <c r="CU1668" s="58" t="s">
        <v>239</v>
      </c>
    </row>
    <row r="1669" ht="15.75" customHeight="1">
      <c r="B1669" s="58" t="s">
        <v>4587</v>
      </c>
      <c r="C1669" s="58">
        <v>2024.0</v>
      </c>
      <c r="E1669" s="58" t="s">
        <v>10597</v>
      </c>
      <c r="F1669" s="58" t="s">
        <v>14183</v>
      </c>
      <c r="H1669" s="58" t="s">
        <v>11472</v>
      </c>
      <c r="I1669" s="58" t="s">
        <v>15894</v>
      </c>
      <c r="K1669" s="73">
        <v>45580.0</v>
      </c>
      <c r="Z1669" s="58" t="s">
        <v>239</v>
      </c>
      <c r="CI1669" s="73">
        <v>45580.0</v>
      </c>
      <c r="CJ1669" s="58">
        <v>5.0</v>
      </c>
      <c r="CK1669" s="58">
        <v>29.0</v>
      </c>
      <c r="CM1669" s="58" t="s">
        <v>14187</v>
      </c>
      <c r="CO1669" s="58" t="s">
        <v>15895</v>
      </c>
      <c r="CU1669" s="58" t="s">
        <v>239</v>
      </c>
    </row>
    <row r="1670" ht="15.75" customHeight="1">
      <c r="B1670" s="58" t="s">
        <v>4587</v>
      </c>
      <c r="C1670" s="58">
        <v>2024.0</v>
      </c>
      <c r="E1670" s="58" t="s">
        <v>15896</v>
      </c>
      <c r="F1670" s="58" t="s">
        <v>15897</v>
      </c>
      <c r="I1670" s="58" t="s">
        <v>15898</v>
      </c>
      <c r="K1670" s="73">
        <v>45657.0</v>
      </c>
      <c r="Z1670" s="58" t="s">
        <v>239</v>
      </c>
      <c r="CI1670" s="73">
        <v>45657.0</v>
      </c>
      <c r="CJ1670" s="58" t="s">
        <v>10808</v>
      </c>
      <c r="CK1670" s="58" t="s">
        <v>15899</v>
      </c>
      <c r="CM1670" s="58" t="s">
        <v>15900</v>
      </c>
      <c r="CO1670" s="58" t="s">
        <v>15901</v>
      </c>
      <c r="CU1670" s="58" t="s">
        <v>239</v>
      </c>
    </row>
    <row r="1671" ht="15.75" customHeight="1">
      <c r="B1671" s="58" t="s">
        <v>4587</v>
      </c>
      <c r="C1671" s="58">
        <v>2024.0</v>
      </c>
      <c r="E1671" s="58" t="s">
        <v>9426</v>
      </c>
      <c r="F1671" s="58" t="s">
        <v>15902</v>
      </c>
      <c r="H1671" s="58" t="s">
        <v>8510</v>
      </c>
      <c r="I1671" s="58" t="s">
        <v>15903</v>
      </c>
      <c r="K1671" s="73">
        <v>45671.0</v>
      </c>
      <c r="Z1671" s="58" t="s">
        <v>239</v>
      </c>
      <c r="CI1671" s="73">
        <v>45671.0</v>
      </c>
      <c r="CJ1671" s="58">
        <v>1.0</v>
      </c>
      <c r="CK1671" s="58">
        <v>132.0</v>
      </c>
      <c r="CM1671" s="58" t="s">
        <v>15904</v>
      </c>
      <c r="CO1671" s="58" t="s">
        <v>15905</v>
      </c>
      <c r="CU1671" s="58" t="s">
        <v>239</v>
      </c>
    </row>
    <row r="1672" ht="15.75" customHeight="1">
      <c r="B1672" s="58" t="s">
        <v>4587</v>
      </c>
      <c r="C1672" s="58">
        <v>2024.0</v>
      </c>
      <c r="E1672" s="58" t="s">
        <v>10827</v>
      </c>
      <c r="F1672" s="58" t="s">
        <v>15906</v>
      </c>
      <c r="H1672" s="58" t="s">
        <v>15907</v>
      </c>
      <c r="I1672" s="58" t="s">
        <v>15908</v>
      </c>
      <c r="K1672" s="73">
        <v>45653.0</v>
      </c>
      <c r="Z1672" s="58" t="s">
        <v>239</v>
      </c>
      <c r="CI1672" s="73">
        <v>45653.0</v>
      </c>
      <c r="CJ1672" s="58">
        <v>1.0</v>
      </c>
      <c r="CK1672" s="58">
        <v>11.0</v>
      </c>
      <c r="CM1672" s="58" t="s">
        <v>15909</v>
      </c>
      <c r="CO1672" s="58" t="s">
        <v>15910</v>
      </c>
      <c r="CU1672" s="58" t="s">
        <v>239</v>
      </c>
    </row>
    <row r="1673" ht="15.75" customHeight="1">
      <c r="B1673" s="58" t="s">
        <v>4587</v>
      </c>
      <c r="C1673" s="58">
        <v>2023.0</v>
      </c>
      <c r="E1673" s="58" t="s">
        <v>10597</v>
      </c>
      <c r="F1673" s="58" t="s">
        <v>13335</v>
      </c>
      <c r="I1673" s="58" t="s">
        <v>15911</v>
      </c>
      <c r="K1673" s="73">
        <v>45113.0</v>
      </c>
      <c r="R1673" s="58">
        <v>3.0</v>
      </c>
      <c r="Z1673" s="58" t="s">
        <v>239</v>
      </c>
      <c r="CI1673" s="73">
        <v>45113.0</v>
      </c>
      <c r="CJ1673" s="58">
        <v>1.0</v>
      </c>
      <c r="CK1673" s="58">
        <v>22.0</v>
      </c>
      <c r="CM1673" s="58" t="s">
        <v>13339</v>
      </c>
      <c r="CO1673" s="58" t="s">
        <v>15912</v>
      </c>
      <c r="CU1673" s="58" t="s">
        <v>239</v>
      </c>
    </row>
    <row r="1674" ht="15.75" customHeight="1">
      <c r="B1674" s="58" t="s">
        <v>4587</v>
      </c>
      <c r="C1674" s="58">
        <v>2023.0</v>
      </c>
      <c r="E1674" s="58" t="s">
        <v>10597</v>
      </c>
      <c r="F1674" s="58" t="s">
        <v>13469</v>
      </c>
      <c r="H1674" s="58" t="s">
        <v>13470</v>
      </c>
      <c r="I1674" s="58" t="s">
        <v>15913</v>
      </c>
      <c r="K1674" s="73">
        <v>45099.0</v>
      </c>
      <c r="Z1674" s="58" t="s">
        <v>239</v>
      </c>
      <c r="CI1674" s="73">
        <v>45099.0</v>
      </c>
      <c r="CJ1674" s="58" t="s">
        <v>10564</v>
      </c>
      <c r="CK1674" s="58" t="s">
        <v>10694</v>
      </c>
      <c r="CM1674" s="58" t="s">
        <v>13474</v>
      </c>
      <c r="CO1674" s="58" t="s">
        <v>15914</v>
      </c>
      <c r="CU1674" s="58" t="s">
        <v>239</v>
      </c>
    </row>
    <row r="1675" ht="15.75" customHeight="1">
      <c r="B1675" s="58" t="s">
        <v>4587</v>
      </c>
      <c r="C1675" s="58">
        <v>2023.0</v>
      </c>
      <c r="E1675" s="58" t="s">
        <v>15915</v>
      </c>
      <c r="F1675" s="58" t="s">
        <v>15916</v>
      </c>
      <c r="H1675" s="58" t="s">
        <v>8510</v>
      </c>
      <c r="I1675" s="58" t="s">
        <v>15917</v>
      </c>
      <c r="K1675" s="73">
        <v>45314.0</v>
      </c>
      <c r="Z1675" s="58" t="s">
        <v>239</v>
      </c>
      <c r="CI1675" s="73">
        <v>45314.0</v>
      </c>
      <c r="CJ1675" s="58" t="s">
        <v>10564</v>
      </c>
      <c r="CK1675" s="58" t="s">
        <v>15918</v>
      </c>
      <c r="CM1675" s="58" t="s">
        <v>15919</v>
      </c>
      <c r="CO1675" s="58" t="s">
        <v>15920</v>
      </c>
      <c r="CU1675" s="58" t="s">
        <v>239</v>
      </c>
    </row>
    <row r="1676" ht="15.75" customHeight="1">
      <c r="B1676" s="58" t="s">
        <v>4587</v>
      </c>
      <c r="C1676" s="58">
        <v>2023.0</v>
      </c>
      <c r="E1676" s="58" t="s">
        <v>10612</v>
      </c>
      <c r="F1676" s="58" t="s">
        <v>15921</v>
      </c>
      <c r="I1676" s="58" t="s">
        <v>15922</v>
      </c>
      <c r="K1676" s="73">
        <v>45230.0</v>
      </c>
      <c r="Z1676" s="58" t="s">
        <v>239</v>
      </c>
      <c r="CI1676" s="73">
        <v>45230.0</v>
      </c>
      <c r="CJ1676" s="58" t="s">
        <v>10564</v>
      </c>
      <c r="CK1676" s="58" t="s">
        <v>10848</v>
      </c>
      <c r="CM1676" s="58" t="s">
        <v>15923</v>
      </c>
      <c r="CO1676" s="58" t="s">
        <v>15924</v>
      </c>
      <c r="CU1676" s="58" t="s">
        <v>239</v>
      </c>
    </row>
    <row r="1677" ht="15.75" customHeight="1">
      <c r="B1677" s="58" t="s">
        <v>4587</v>
      </c>
      <c r="C1677" s="58">
        <v>2024.0</v>
      </c>
      <c r="E1677" s="58" t="s">
        <v>10597</v>
      </c>
      <c r="F1677" s="58" t="s">
        <v>15925</v>
      </c>
      <c r="H1677" s="58" t="s">
        <v>15926</v>
      </c>
      <c r="I1677" s="58" t="s">
        <v>15927</v>
      </c>
      <c r="K1677" s="73">
        <v>45629.0</v>
      </c>
      <c r="Z1677" s="58" t="s">
        <v>239</v>
      </c>
      <c r="CI1677" s="73">
        <v>45629.0</v>
      </c>
      <c r="CJ1677" s="58">
        <v>1.0</v>
      </c>
      <c r="CK1677" s="58">
        <v>8.0</v>
      </c>
      <c r="CM1677" s="58" t="s">
        <v>15928</v>
      </c>
      <c r="CO1677" s="58" t="s">
        <v>15929</v>
      </c>
      <c r="CU1677" s="58" t="s">
        <v>239</v>
      </c>
    </row>
    <row r="1678" ht="15.75" customHeight="1">
      <c r="B1678" s="58" t="s">
        <v>4587</v>
      </c>
      <c r="C1678" s="58">
        <v>2023.0</v>
      </c>
      <c r="E1678" s="58" t="s">
        <v>9426</v>
      </c>
      <c r="F1678" s="58" t="s">
        <v>15930</v>
      </c>
      <c r="I1678" s="58" t="s">
        <v>15931</v>
      </c>
      <c r="K1678" s="73">
        <v>45139.0</v>
      </c>
      <c r="Z1678" s="58" t="s">
        <v>239</v>
      </c>
      <c r="CI1678" s="73">
        <v>45139.0</v>
      </c>
      <c r="CJ1678" s="58" t="s">
        <v>10564</v>
      </c>
      <c r="CK1678" s="58" t="s">
        <v>10594</v>
      </c>
      <c r="CM1678" s="58" t="s">
        <v>15932</v>
      </c>
      <c r="CO1678" s="58" t="s">
        <v>15933</v>
      </c>
    </row>
    <row r="1679" ht="15.75" customHeight="1">
      <c r="B1679" s="58" t="s">
        <v>4587</v>
      </c>
      <c r="C1679" s="58">
        <v>2023.0</v>
      </c>
      <c r="E1679" s="58" t="s">
        <v>10597</v>
      </c>
      <c r="F1679" s="58" t="s">
        <v>15934</v>
      </c>
      <c r="H1679" s="58" t="s">
        <v>15935</v>
      </c>
      <c r="I1679" s="58" t="s">
        <v>15936</v>
      </c>
      <c r="K1679" s="73">
        <v>45413.0</v>
      </c>
      <c r="Z1679" s="58" t="s">
        <v>239</v>
      </c>
      <c r="CI1679" s="73">
        <v>45413.0</v>
      </c>
      <c r="CJ1679" s="58">
        <v>6.0</v>
      </c>
      <c r="CK1679" s="58">
        <v>24.0</v>
      </c>
      <c r="CM1679" s="58" t="s">
        <v>15937</v>
      </c>
      <c r="CO1679" s="58" t="s">
        <v>15938</v>
      </c>
      <c r="CU1679" s="58" t="s">
        <v>239</v>
      </c>
    </row>
    <row r="1680" ht="15.75" customHeight="1">
      <c r="B1680" s="58" t="s">
        <v>4587</v>
      </c>
      <c r="C1680" s="58">
        <v>2023.0</v>
      </c>
      <c r="E1680" s="58" t="s">
        <v>10597</v>
      </c>
      <c r="F1680" s="58" t="s">
        <v>15939</v>
      </c>
      <c r="I1680" s="58" t="s">
        <v>15940</v>
      </c>
      <c r="K1680" s="73">
        <v>45198.0</v>
      </c>
      <c r="Z1680" s="58" t="s">
        <v>239</v>
      </c>
      <c r="CI1680" s="73">
        <v>45198.0</v>
      </c>
      <c r="CJ1680" s="58" t="s">
        <v>10564</v>
      </c>
      <c r="CK1680" s="58" t="s">
        <v>10848</v>
      </c>
      <c r="CM1680" s="58" t="s">
        <v>15941</v>
      </c>
      <c r="CO1680" s="58" t="s">
        <v>15942</v>
      </c>
      <c r="CU1680" s="58" t="s">
        <v>239</v>
      </c>
    </row>
    <row r="1681" ht="15.75" customHeight="1">
      <c r="B1681" s="58" t="s">
        <v>4587</v>
      </c>
      <c r="C1681" s="58">
        <v>2023.0</v>
      </c>
      <c r="E1681" s="58" t="s">
        <v>10597</v>
      </c>
      <c r="F1681" s="58" t="s">
        <v>14225</v>
      </c>
      <c r="H1681" s="58" t="s">
        <v>4802</v>
      </c>
      <c r="I1681" s="58" t="s">
        <v>15943</v>
      </c>
      <c r="K1681" s="73">
        <v>45128.0</v>
      </c>
      <c r="Z1681" s="58" t="s">
        <v>239</v>
      </c>
      <c r="CI1681" s="73">
        <v>45128.0</v>
      </c>
      <c r="CJ1681" s="58" t="s">
        <v>10564</v>
      </c>
      <c r="CK1681" s="58" t="s">
        <v>15944</v>
      </c>
      <c r="CM1681" s="58" t="s">
        <v>14229</v>
      </c>
      <c r="CO1681" s="58" t="s">
        <v>15945</v>
      </c>
      <c r="CU1681" s="58" t="s">
        <v>239</v>
      </c>
    </row>
    <row r="1682" ht="15.75" customHeight="1">
      <c r="B1682" s="58" t="s">
        <v>4587</v>
      </c>
      <c r="C1682" s="58">
        <v>2023.0</v>
      </c>
      <c r="E1682" s="58" t="s">
        <v>15946</v>
      </c>
      <c r="F1682" s="58" t="s">
        <v>11732</v>
      </c>
      <c r="H1682" s="58" t="s">
        <v>5003</v>
      </c>
      <c r="I1682" s="58" t="s">
        <v>15947</v>
      </c>
      <c r="K1682" s="73">
        <v>45348.0</v>
      </c>
      <c r="Z1682" s="58" t="s">
        <v>239</v>
      </c>
      <c r="CI1682" s="73">
        <v>45348.0</v>
      </c>
      <c r="CJ1682" s="58">
        <v>485.0</v>
      </c>
      <c r="CK1682" s="58">
        <v>543.0</v>
      </c>
      <c r="CM1682" s="58" t="s">
        <v>11736</v>
      </c>
      <c r="CO1682" s="58" t="s">
        <v>15948</v>
      </c>
      <c r="CU1682" s="58" t="s">
        <v>239</v>
      </c>
    </row>
    <row r="1683" ht="15.75" customHeight="1">
      <c r="B1683" s="58" t="s">
        <v>4587</v>
      </c>
      <c r="C1683" s="58">
        <v>2024.0</v>
      </c>
      <c r="E1683" s="58" t="s">
        <v>15949</v>
      </c>
      <c r="F1683" s="58" t="s">
        <v>15950</v>
      </c>
      <c r="H1683" s="58" t="s">
        <v>7812</v>
      </c>
      <c r="I1683" s="58" t="s">
        <v>15951</v>
      </c>
      <c r="K1683" s="73">
        <v>45476.0</v>
      </c>
      <c r="Z1683" s="58" t="s">
        <v>239</v>
      </c>
      <c r="CI1683" s="73">
        <v>45476.0</v>
      </c>
      <c r="CJ1683" s="58" t="s">
        <v>10564</v>
      </c>
      <c r="CK1683" s="58" t="s">
        <v>15952</v>
      </c>
      <c r="CM1683" s="58" t="s">
        <v>15953</v>
      </c>
      <c r="CO1683" s="58" t="s">
        <v>15954</v>
      </c>
      <c r="CU1683" s="58" t="s">
        <v>239</v>
      </c>
    </row>
    <row r="1684" ht="15.75" customHeight="1">
      <c r="B1684" s="58" t="s">
        <v>4587</v>
      </c>
      <c r="C1684" s="58">
        <v>2023.0</v>
      </c>
      <c r="E1684" s="58" t="s">
        <v>15955</v>
      </c>
      <c r="F1684" s="58" t="s">
        <v>15956</v>
      </c>
      <c r="I1684" s="58" t="s">
        <v>15957</v>
      </c>
      <c r="K1684" s="73">
        <v>45329.0</v>
      </c>
      <c r="Z1684" s="58" t="s">
        <v>239</v>
      </c>
      <c r="CI1684" s="73">
        <v>45329.0</v>
      </c>
      <c r="CJ1684" s="58" t="s">
        <v>10564</v>
      </c>
      <c r="CK1684" s="58" t="s">
        <v>15958</v>
      </c>
      <c r="CM1684" s="58" t="s">
        <v>15959</v>
      </c>
      <c r="CO1684" s="58" t="s">
        <v>15960</v>
      </c>
      <c r="CU1684" s="58" t="s">
        <v>239</v>
      </c>
    </row>
    <row r="1685" ht="15.75" customHeight="1">
      <c r="B1685" s="58" t="s">
        <v>4587</v>
      </c>
      <c r="C1685" s="58">
        <v>2024.0</v>
      </c>
      <c r="E1685" s="58" t="s">
        <v>10597</v>
      </c>
      <c r="F1685" s="58" t="s">
        <v>15961</v>
      </c>
      <c r="I1685" s="58" t="s">
        <v>15962</v>
      </c>
      <c r="K1685" s="73">
        <v>45653.0</v>
      </c>
      <c r="Z1685" s="58" t="s">
        <v>239</v>
      </c>
      <c r="CI1685" s="73">
        <v>45653.0</v>
      </c>
      <c r="CJ1685" s="58">
        <v>1.0</v>
      </c>
      <c r="CK1685" s="58">
        <v>9.0</v>
      </c>
      <c r="CM1685" s="58" t="s">
        <v>15963</v>
      </c>
      <c r="CO1685" s="58" t="s">
        <v>15964</v>
      </c>
      <c r="CU1685" s="58" t="s">
        <v>239</v>
      </c>
    </row>
    <row r="1686" ht="15.75" customHeight="1">
      <c r="B1686" s="58" t="s">
        <v>4587</v>
      </c>
      <c r="C1686" s="58">
        <v>2023.0</v>
      </c>
      <c r="E1686" s="58" t="s">
        <v>10597</v>
      </c>
      <c r="F1686" s="58" t="s">
        <v>15965</v>
      </c>
      <c r="H1686" s="58" t="s">
        <v>15966</v>
      </c>
      <c r="I1686" s="58" t="s">
        <v>15967</v>
      </c>
      <c r="K1686" s="73">
        <v>45266.0</v>
      </c>
      <c r="Z1686" s="58" t="s">
        <v>239</v>
      </c>
      <c r="CI1686" s="73">
        <v>45266.0</v>
      </c>
      <c r="CJ1686" s="58" t="s">
        <v>10693</v>
      </c>
      <c r="CK1686" s="58" t="s">
        <v>10808</v>
      </c>
      <c r="CM1686" s="58" t="s">
        <v>15968</v>
      </c>
      <c r="CO1686" s="58" t="s">
        <v>15969</v>
      </c>
      <c r="CU1686" s="58" t="s">
        <v>239</v>
      </c>
    </row>
    <row r="1687" ht="15.75" customHeight="1">
      <c r="B1687" s="58" t="s">
        <v>4587</v>
      </c>
      <c r="C1687" s="58">
        <v>2024.0</v>
      </c>
      <c r="E1687" s="58" t="s">
        <v>15970</v>
      </c>
      <c r="F1687" s="58" t="s">
        <v>14879</v>
      </c>
      <c r="I1687" s="58" t="s">
        <v>15971</v>
      </c>
      <c r="K1687" s="73">
        <v>45566.0</v>
      </c>
      <c r="Z1687" s="58" t="s">
        <v>239</v>
      </c>
      <c r="CI1687" s="73">
        <v>45566.0</v>
      </c>
      <c r="CJ1687" s="58">
        <v>17.0</v>
      </c>
      <c r="CK1687" s="58">
        <v>22.0</v>
      </c>
      <c r="CM1687" s="58" t="s">
        <v>14883</v>
      </c>
      <c r="CO1687" s="58" t="s">
        <v>15972</v>
      </c>
      <c r="CU1687" s="58" t="s">
        <v>239</v>
      </c>
    </row>
    <row r="1688" ht="15.75" customHeight="1">
      <c r="B1688" s="58" t="s">
        <v>4587</v>
      </c>
      <c r="C1688" s="58">
        <v>2024.0</v>
      </c>
      <c r="E1688" s="58" t="s">
        <v>15874</v>
      </c>
      <c r="F1688" s="58" t="s">
        <v>15973</v>
      </c>
      <c r="I1688" s="58" t="s">
        <v>15974</v>
      </c>
      <c r="K1688" s="73">
        <v>45672.0</v>
      </c>
      <c r="Z1688" s="58" t="s">
        <v>239</v>
      </c>
      <c r="CI1688" s="73">
        <v>45672.0</v>
      </c>
      <c r="CJ1688" s="58">
        <v>1.0</v>
      </c>
      <c r="CK1688" s="58">
        <v>13.0</v>
      </c>
      <c r="CM1688" s="58" t="s">
        <v>15975</v>
      </c>
      <c r="CO1688" s="58" t="s">
        <v>15976</v>
      </c>
      <c r="CU1688" s="58" t="s">
        <v>239</v>
      </c>
    </row>
    <row r="1689" ht="15.75" customHeight="1">
      <c r="B1689" s="58" t="s">
        <v>4587</v>
      </c>
      <c r="C1689" s="58">
        <v>2023.0</v>
      </c>
      <c r="E1689" s="58" t="s">
        <v>10597</v>
      </c>
      <c r="F1689" s="58" t="s">
        <v>15977</v>
      </c>
      <c r="H1689" s="58" t="s">
        <v>5351</v>
      </c>
      <c r="I1689" s="58" t="s">
        <v>15978</v>
      </c>
      <c r="K1689" s="73">
        <v>45166.0</v>
      </c>
      <c r="Z1689" s="58" t="s">
        <v>239</v>
      </c>
      <c r="CI1689" s="73">
        <v>45166.0</v>
      </c>
      <c r="CJ1689" s="58">
        <v>1.0</v>
      </c>
      <c r="CK1689" s="58">
        <v>14.0</v>
      </c>
      <c r="CM1689" s="58" t="s">
        <v>15979</v>
      </c>
      <c r="CO1689" s="58" t="s">
        <v>15980</v>
      </c>
      <c r="CU1689" s="58" t="s">
        <v>239</v>
      </c>
    </row>
    <row r="1690" ht="15.75" customHeight="1">
      <c r="B1690" s="58" t="s">
        <v>4587</v>
      </c>
      <c r="C1690" s="58">
        <v>2024.0</v>
      </c>
      <c r="E1690" s="58" t="s">
        <v>15981</v>
      </c>
      <c r="F1690" s="58" t="s">
        <v>15882</v>
      </c>
      <c r="H1690" s="58" t="s">
        <v>5003</v>
      </c>
      <c r="I1690" s="58" t="s">
        <v>15982</v>
      </c>
      <c r="K1690" s="73">
        <v>45727.0</v>
      </c>
      <c r="Z1690" s="58" t="s">
        <v>239</v>
      </c>
      <c r="CI1690" s="73">
        <v>45727.0</v>
      </c>
      <c r="CJ1690" s="58">
        <v>222.0</v>
      </c>
      <c r="CK1690" s="58">
        <v>267.0</v>
      </c>
      <c r="CM1690" s="58" t="s">
        <v>15884</v>
      </c>
      <c r="CO1690" s="58" t="s">
        <v>15983</v>
      </c>
      <c r="CU1690" s="58" t="s">
        <v>239</v>
      </c>
    </row>
    <row r="1691" ht="15.75" customHeight="1">
      <c r="B1691" s="58" t="s">
        <v>4587</v>
      </c>
      <c r="C1691" s="58">
        <v>2023.0</v>
      </c>
      <c r="E1691" s="58" t="s">
        <v>10597</v>
      </c>
      <c r="F1691" s="58" t="s">
        <v>15984</v>
      </c>
      <c r="I1691" s="58" t="s">
        <v>15985</v>
      </c>
      <c r="K1691" s="73">
        <v>45114.0</v>
      </c>
      <c r="Z1691" s="58" t="s">
        <v>239</v>
      </c>
      <c r="CI1691" s="73">
        <v>45114.0</v>
      </c>
      <c r="CJ1691" s="58" t="s">
        <v>10693</v>
      </c>
      <c r="CK1691" s="58" t="s">
        <v>10594</v>
      </c>
      <c r="CM1691" s="58" t="s">
        <v>15986</v>
      </c>
      <c r="CO1691" s="58" t="s">
        <v>15987</v>
      </c>
      <c r="CU1691" s="58" t="s">
        <v>239</v>
      </c>
    </row>
    <row r="1692" ht="15.75" customHeight="1">
      <c r="B1692" s="58" t="s">
        <v>4587</v>
      </c>
      <c r="C1692" s="58">
        <v>2024.0</v>
      </c>
      <c r="E1692" s="58" t="s">
        <v>15988</v>
      </c>
      <c r="F1692" s="58" t="s">
        <v>12672</v>
      </c>
      <c r="H1692" s="58" t="s">
        <v>5351</v>
      </c>
      <c r="I1692" s="58" t="s">
        <v>15989</v>
      </c>
      <c r="K1692" s="73">
        <v>45596.0</v>
      </c>
      <c r="Z1692" s="58" t="s">
        <v>239</v>
      </c>
      <c r="CI1692" s="73">
        <v>45596.0</v>
      </c>
      <c r="CJ1692" s="58" t="s">
        <v>10564</v>
      </c>
      <c r="CK1692" s="58" t="s">
        <v>15990</v>
      </c>
      <c r="CM1692" s="58" t="s">
        <v>12676</v>
      </c>
      <c r="CO1692" s="58" t="s">
        <v>15991</v>
      </c>
      <c r="CU1692" s="58" t="s">
        <v>239</v>
      </c>
    </row>
    <row r="1693" ht="15.75" customHeight="1">
      <c r="B1693" s="58" t="s">
        <v>4587</v>
      </c>
      <c r="C1693" s="58">
        <v>2024.0</v>
      </c>
      <c r="E1693" s="58" t="s">
        <v>15992</v>
      </c>
      <c r="F1693" s="58" t="s">
        <v>11440</v>
      </c>
      <c r="I1693" s="58" t="s">
        <v>15993</v>
      </c>
      <c r="K1693" s="73">
        <v>45390.0</v>
      </c>
      <c r="R1693" s="58">
        <v>5.0</v>
      </c>
      <c r="Z1693" s="58" t="s">
        <v>239</v>
      </c>
      <c r="CI1693" s="73">
        <v>45390.0</v>
      </c>
      <c r="CJ1693" s="58" t="s">
        <v>10564</v>
      </c>
      <c r="CK1693" s="58" t="s">
        <v>10649</v>
      </c>
      <c r="CM1693" s="58" t="s">
        <v>11444</v>
      </c>
      <c r="CO1693" s="58" t="s">
        <v>15994</v>
      </c>
      <c r="CU1693" s="58" t="s">
        <v>239</v>
      </c>
    </row>
    <row r="1694" ht="15.75" customHeight="1">
      <c r="B1694" s="58" t="s">
        <v>4587</v>
      </c>
      <c r="C1694" s="58">
        <v>2024.0</v>
      </c>
      <c r="E1694" s="58" t="s">
        <v>10597</v>
      </c>
      <c r="F1694" s="58" t="s">
        <v>15995</v>
      </c>
      <c r="I1694" s="58" t="s">
        <v>15996</v>
      </c>
      <c r="K1694" s="73">
        <v>45574.0</v>
      </c>
      <c r="Z1694" s="58" t="s">
        <v>239</v>
      </c>
      <c r="CI1694" s="73">
        <v>45574.0</v>
      </c>
      <c r="CJ1694" s="58">
        <v>39.0</v>
      </c>
      <c r="CK1694" s="58">
        <v>42.0</v>
      </c>
      <c r="CM1694" s="58" t="s">
        <v>15997</v>
      </c>
      <c r="CO1694" s="58" t="s">
        <v>15998</v>
      </c>
      <c r="CU1694" s="58" t="s">
        <v>239</v>
      </c>
    </row>
    <row r="1695" ht="15.75" customHeight="1">
      <c r="B1695" s="58" t="s">
        <v>4587</v>
      </c>
      <c r="C1695" s="58">
        <v>2024.0</v>
      </c>
      <c r="E1695" s="58" t="s">
        <v>15999</v>
      </c>
      <c r="F1695" s="58" t="s">
        <v>16000</v>
      </c>
      <c r="H1695" s="58" t="s">
        <v>15661</v>
      </c>
      <c r="I1695" s="58" t="s">
        <v>16001</v>
      </c>
      <c r="K1695" s="73">
        <v>45638.0</v>
      </c>
      <c r="Z1695" s="58" t="s">
        <v>239</v>
      </c>
      <c r="CI1695" s="73">
        <v>45638.0</v>
      </c>
      <c r="CJ1695" s="58">
        <v>1.0</v>
      </c>
      <c r="CK1695" s="58">
        <v>87.0</v>
      </c>
      <c r="CM1695" s="58" t="s">
        <v>16002</v>
      </c>
      <c r="CO1695" s="58" t="s">
        <v>16003</v>
      </c>
      <c r="CU1695" s="58" t="s">
        <v>239</v>
      </c>
    </row>
    <row r="1696" ht="15.75" customHeight="1">
      <c r="B1696" s="58" t="s">
        <v>4587</v>
      </c>
      <c r="C1696" s="58">
        <v>2023.0</v>
      </c>
      <c r="E1696" s="58" t="s">
        <v>15999</v>
      </c>
      <c r="F1696" s="58" t="s">
        <v>15660</v>
      </c>
      <c r="H1696" s="58" t="s">
        <v>15661</v>
      </c>
      <c r="I1696" s="58" t="s">
        <v>16004</v>
      </c>
      <c r="K1696" s="73">
        <v>45160.0</v>
      </c>
      <c r="Z1696" s="58" t="s">
        <v>239</v>
      </c>
      <c r="CI1696" s="73">
        <v>45160.0</v>
      </c>
      <c r="CJ1696" s="58" t="s">
        <v>10564</v>
      </c>
      <c r="CK1696" s="58" t="s">
        <v>10848</v>
      </c>
      <c r="CM1696" s="58" t="s">
        <v>15664</v>
      </c>
      <c r="CO1696" s="58" t="s">
        <v>16005</v>
      </c>
      <c r="CU1696" s="58" t="s">
        <v>239</v>
      </c>
    </row>
    <row r="1697" ht="15.75" customHeight="1">
      <c r="B1697" s="58" t="s">
        <v>4587</v>
      </c>
      <c r="C1697" s="58">
        <v>2024.0</v>
      </c>
      <c r="E1697" s="58" t="s">
        <v>10597</v>
      </c>
      <c r="F1697" s="58" t="s">
        <v>13898</v>
      </c>
      <c r="I1697" s="58" t="s">
        <v>16006</v>
      </c>
      <c r="K1697" s="73">
        <v>45651.0</v>
      </c>
      <c r="Z1697" s="58" t="s">
        <v>239</v>
      </c>
      <c r="CI1697" s="73">
        <v>45651.0</v>
      </c>
      <c r="CJ1697" s="58">
        <v>1.0</v>
      </c>
      <c r="CK1697" s="58">
        <v>19.0</v>
      </c>
      <c r="CM1697" s="58" t="s">
        <v>13902</v>
      </c>
      <c r="CO1697" s="58" t="s">
        <v>16007</v>
      </c>
      <c r="CU1697" s="58" t="s">
        <v>239</v>
      </c>
    </row>
    <row r="1698" ht="15.75" customHeight="1">
      <c r="B1698" s="58" t="s">
        <v>4587</v>
      </c>
      <c r="C1698" s="58">
        <v>2023.0</v>
      </c>
      <c r="E1698" s="58" t="s">
        <v>10612</v>
      </c>
      <c r="F1698" s="58" t="s">
        <v>16008</v>
      </c>
      <c r="H1698" s="58" t="s">
        <v>16009</v>
      </c>
      <c r="I1698" s="58" t="s">
        <v>16010</v>
      </c>
      <c r="K1698" s="73">
        <v>45098.0</v>
      </c>
      <c r="Z1698" s="58" t="s">
        <v>239</v>
      </c>
      <c r="CI1698" s="73">
        <v>45098.0</v>
      </c>
      <c r="CJ1698" s="58">
        <v>27.0</v>
      </c>
      <c r="CK1698" s="58">
        <v>52.0</v>
      </c>
      <c r="CM1698" s="58" t="s">
        <v>16011</v>
      </c>
      <c r="CO1698" s="58" t="s">
        <v>16012</v>
      </c>
      <c r="CU1698" s="58" t="s">
        <v>239</v>
      </c>
    </row>
    <row r="1699" ht="15.75" customHeight="1">
      <c r="B1699" s="58" t="s">
        <v>4587</v>
      </c>
      <c r="C1699" s="58">
        <v>2023.0</v>
      </c>
      <c r="E1699" s="58" t="s">
        <v>16013</v>
      </c>
      <c r="F1699" s="58" t="s">
        <v>15977</v>
      </c>
      <c r="H1699" s="58" t="s">
        <v>5351</v>
      </c>
      <c r="I1699" s="58" t="s">
        <v>16014</v>
      </c>
      <c r="K1699" s="73">
        <v>45166.0</v>
      </c>
      <c r="Z1699" s="58" t="s">
        <v>239</v>
      </c>
      <c r="CI1699" s="73">
        <v>45166.0</v>
      </c>
      <c r="CJ1699" s="58">
        <v>1.0</v>
      </c>
      <c r="CK1699" s="58">
        <v>56.0</v>
      </c>
      <c r="CM1699" s="58" t="s">
        <v>15979</v>
      </c>
      <c r="CO1699" s="58" t="s">
        <v>16015</v>
      </c>
      <c r="CU1699" s="58" t="s">
        <v>239</v>
      </c>
    </row>
    <row r="1700" ht="15.75" customHeight="1">
      <c r="B1700" s="58" t="s">
        <v>4587</v>
      </c>
      <c r="C1700" s="58">
        <v>2023.0</v>
      </c>
      <c r="E1700" s="58" t="s">
        <v>10597</v>
      </c>
      <c r="F1700" s="58" t="s">
        <v>16016</v>
      </c>
      <c r="H1700" s="58" t="s">
        <v>6555</v>
      </c>
      <c r="I1700" s="58" t="s">
        <v>16017</v>
      </c>
      <c r="K1700" s="73">
        <v>45106.0</v>
      </c>
      <c r="Z1700" s="58" t="s">
        <v>239</v>
      </c>
      <c r="CI1700" s="73">
        <v>45106.0</v>
      </c>
      <c r="CJ1700" s="58" t="s">
        <v>10655</v>
      </c>
      <c r="CK1700" s="58" t="s">
        <v>15990</v>
      </c>
      <c r="CM1700" s="58" t="s">
        <v>16018</v>
      </c>
      <c r="CO1700" s="58" t="s">
        <v>16019</v>
      </c>
    </row>
    <row r="1701" ht="15.75" customHeight="1">
      <c r="B1701" s="58" t="s">
        <v>4587</v>
      </c>
      <c r="C1701" s="58">
        <v>2024.0</v>
      </c>
      <c r="E1701" s="58" t="s">
        <v>16020</v>
      </c>
      <c r="F1701" s="58" t="s">
        <v>16021</v>
      </c>
      <c r="H1701" s="58" t="s">
        <v>16022</v>
      </c>
      <c r="I1701" s="58" t="s">
        <v>16023</v>
      </c>
      <c r="K1701" s="73">
        <v>45371.0</v>
      </c>
      <c r="Z1701" s="58" t="s">
        <v>239</v>
      </c>
      <c r="CI1701" s="73">
        <v>45371.0</v>
      </c>
      <c r="CJ1701" s="58">
        <v>1021.0</v>
      </c>
      <c r="CK1701" s="58">
        <v>1031.0</v>
      </c>
      <c r="CM1701" s="58" t="s">
        <v>16024</v>
      </c>
      <c r="CO1701" s="58" t="s">
        <v>16025</v>
      </c>
      <c r="CU1701" s="58" t="s">
        <v>239</v>
      </c>
    </row>
    <row r="1702" ht="15.75" customHeight="1">
      <c r="B1702" s="58" t="s">
        <v>4587</v>
      </c>
      <c r="C1702" s="58">
        <v>2023.0</v>
      </c>
      <c r="E1702" s="58" t="s">
        <v>10597</v>
      </c>
      <c r="F1702" s="58" t="s">
        <v>14333</v>
      </c>
      <c r="I1702" s="58" t="s">
        <v>16026</v>
      </c>
      <c r="K1702" s="73">
        <v>45195.0</v>
      </c>
      <c r="Z1702" s="58" t="s">
        <v>239</v>
      </c>
      <c r="CI1702" s="73">
        <v>45195.0</v>
      </c>
      <c r="CJ1702" s="58" t="s">
        <v>10694</v>
      </c>
      <c r="CK1702" s="58" t="s">
        <v>16027</v>
      </c>
      <c r="CM1702" s="58" t="s">
        <v>14337</v>
      </c>
      <c r="CO1702" s="58" t="s">
        <v>16028</v>
      </c>
      <c r="CU1702" s="58" t="s">
        <v>239</v>
      </c>
    </row>
    <row r="1703" ht="15.75" customHeight="1">
      <c r="B1703" s="58" t="s">
        <v>4587</v>
      </c>
      <c r="C1703" s="58">
        <v>2024.0</v>
      </c>
      <c r="E1703" s="58" t="s">
        <v>16029</v>
      </c>
      <c r="F1703" s="58" t="s">
        <v>15925</v>
      </c>
      <c r="H1703" s="58" t="s">
        <v>15926</v>
      </c>
      <c r="I1703" s="58" t="s">
        <v>16030</v>
      </c>
      <c r="K1703" s="73">
        <v>45629.0</v>
      </c>
      <c r="Z1703" s="58" t="s">
        <v>239</v>
      </c>
      <c r="CI1703" s="73">
        <v>45629.0</v>
      </c>
      <c r="CJ1703" s="58">
        <v>1.0</v>
      </c>
      <c r="CK1703" s="58">
        <v>13.0</v>
      </c>
      <c r="CM1703" s="58" t="s">
        <v>15928</v>
      </c>
      <c r="CO1703" s="58" t="s">
        <v>16031</v>
      </c>
      <c r="CU1703" s="58" t="s">
        <v>239</v>
      </c>
    </row>
    <row r="1704" ht="15.75" customHeight="1">
      <c r="B1704" s="58" t="s">
        <v>4587</v>
      </c>
      <c r="C1704" s="58">
        <v>2024.0</v>
      </c>
      <c r="E1704" s="58" t="s">
        <v>10612</v>
      </c>
      <c r="F1704" s="58" t="s">
        <v>15875</v>
      </c>
      <c r="H1704" s="58" t="s">
        <v>15876</v>
      </c>
      <c r="I1704" s="58" t="s">
        <v>16032</v>
      </c>
      <c r="K1704" s="73">
        <v>45658.0</v>
      </c>
      <c r="Z1704" s="58" t="s">
        <v>239</v>
      </c>
      <c r="CI1704" s="73">
        <v>45658.0</v>
      </c>
      <c r="CJ1704" s="58">
        <v>1.0</v>
      </c>
      <c r="CK1704" s="58">
        <v>23.0</v>
      </c>
      <c r="CM1704" s="58" t="s">
        <v>15878</v>
      </c>
      <c r="CO1704" s="58" t="s">
        <v>16033</v>
      </c>
      <c r="CU1704" s="58" t="s">
        <v>239</v>
      </c>
    </row>
    <row r="1705" ht="15.75" customHeight="1">
      <c r="B1705" s="58" t="s">
        <v>4587</v>
      </c>
      <c r="C1705" s="58">
        <v>2024.0</v>
      </c>
      <c r="E1705" s="58" t="s">
        <v>10597</v>
      </c>
      <c r="F1705" s="58" t="s">
        <v>14513</v>
      </c>
      <c r="H1705" s="58" t="s">
        <v>14514</v>
      </c>
      <c r="I1705" s="58" t="s">
        <v>16034</v>
      </c>
      <c r="K1705" s="73">
        <v>45530.0</v>
      </c>
      <c r="Z1705" s="58" t="s">
        <v>239</v>
      </c>
      <c r="CI1705" s="73">
        <v>45530.0</v>
      </c>
      <c r="CJ1705" s="58" t="s">
        <v>10627</v>
      </c>
      <c r="CK1705" s="58" t="s">
        <v>16035</v>
      </c>
      <c r="CM1705" s="58" t="s">
        <v>14518</v>
      </c>
      <c r="CO1705" s="58" t="s">
        <v>16036</v>
      </c>
      <c r="CU1705" s="58" t="s">
        <v>239</v>
      </c>
    </row>
    <row r="1706" ht="15.75" customHeight="1">
      <c r="B1706" s="58" t="s">
        <v>4587</v>
      </c>
      <c r="C1706" s="58">
        <v>2023.0</v>
      </c>
      <c r="E1706" s="58" t="s">
        <v>16037</v>
      </c>
      <c r="F1706" s="58" t="s">
        <v>16038</v>
      </c>
      <c r="I1706" s="58" t="s">
        <v>16039</v>
      </c>
      <c r="K1706" s="73">
        <v>45237.0</v>
      </c>
      <c r="Z1706" s="58" t="s">
        <v>239</v>
      </c>
      <c r="CI1706" s="73">
        <v>45237.0</v>
      </c>
      <c r="CJ1706" s="58">
        <v>1.0</v>
      </c>
      <c r="CK1706" s="58">
        <v>9.0</v>
      </c>
      <c r="CM1706" s="58" t="s">
        <v>16040</v>
      </c>
      <c r="CO1706" s="58" t="s">
        <v>16041</v>
      </c>
      <c r="CU1706" s="58" t="s">
        <v>239</v>
      </c>
    </row>
    <row r="1707" ht="15.75" customHeight="1">
      <c r="B1707" s="58" t="s">
        <v>4587</v>
      </c>
      <c r="C1707" s="58">
        <v>2024.0</v>
      </c>
      <c r="E1707" s="58" t="s">
        <v>10597</v>
      </c>
      <c r="F1707" s="58" t="s">
        <v>13689</v>
      </c>
      <c r="I1707" s="58" t="s">
        <v>16042</v>
      </c>
      <c r="K1707" s="73">
        <v>45390.0</v>
      </c>
      <c r="Z1707" s="58" t="s">
        <v>239</v>
      </c>
      <c r="CI1707" s="73">
        <v>45390.0</v>
      </c>
      <c r="CJ1707" s="58">
        <v>1.0</v>
      </c>
      <c r="CK1707" s="58">
        <v>21.0</v>
      </c>
      <c r="CM1707" s="58" t="s">
        <v>13693</v>
      </c>
      <c r="CO1707" s="58" t="s">
        <v>16043</v>
      </c>
      <c r="CU1707" s="58" t="s">
        <v>239</v>
      </c>
    </row>
    <row r="1708" ht="15.75" customHeight="1">
      <c r="B1708" s="58" t="s">
        <v>4587</v>
      </c>
      <c r="C1708" s="58">
        <v>2023.0</v>
      </c>
      <c r="E1708" s="58" t="s">
        <v>10597</v>
      </c>
      <c r="F1708" s="58" t="s">
        <v>16044</v>
      </c>
      <c r="H1708" s="58" t="s">
        <v>8877</v>
      </c>
      <c r="I1708" s="58" t="s">
        <v>16045</v>
      </c>
      <c r="K1708" s="73">
        <v>45230.0</v>
      </c>
      <c r="Z1708" s="58" t="s">
        <v>239</v>
      </c>
      <c r="CI1708" s="73">
        <v>45230.0</v>
      </c>
      <c r="CJ1708" s="58">
        <v>1.0</v>
      </c>
      <c r="CK1708" s="58">
        <v>4.0</v>
      </c>
      <c r="CM1708" s="58" t="s">
        <v>16046</v>
      </c>
      <c r="CO1708" s="58" t="s">
        <v>16047</v>
      </c>
      <c r="CU1708" s="58" t="s">
        <v>239</v>
      </c>
    </row>
    <row r="1709" ht="15.75" customHeight="1">
      <c r="B1709" s="58" t="s">
        <v>4587</v>
      </c>
      <c r="C1709" s="58">
        <v>2023.0</v>
      </c>
      <c r="E1709" s="58" t="s">
        <v>16048</v>
      </c>
      <c r="F1709" s="58" t="s">
        <v>16038</v>
      </c>
      <c r="I1709" s="58" t="s">
        <v>16049</v>
      </c>
      <c r="K1709" s="73">
        <v>45237.0</v>
      </c>
      <c r="Z1709" s="58" t="s">
        <v>239</v>
      </c>
      <c r="CI1709" s="73">
        <v>45237.0</v>
      </c>
      <c r="CJ1709" s="58">
        <v>1.0</v>
      </c>
      <c r="CK1709" s="58">
        <v>17.0</v>
      </c>
      <c r="CM1709" s="58" t="s">
        <v>16040</v>
      </c>
      <c r="CO1709" s="58" t="s">
        <v>16050</v>
      </c>
      <c r="CU1709" s="58" t="s">
        <v>239</v>
      </c>
    </row>
    <row r="1710" ht="15.75" customHeight="1">
      <c r="B1710" s="58" t="s">
        <v>4587</v>
      </c>
      <c r="C1710" s="58">
        <v>2024.0</v>
      </c>
      <c r="E1710" s="58" t="s">
        <v>16051</v>
      </c>
      <c r="F1710" s="58" t="s">
        <v>15846</v>
      </c>
      <c r="H1710" s="58" t="s">
        <v>10582</v>
      </c>
      <c r="I1710" s="58" t="s">
        <v>16052</v>
      </c>
      <c r="K1710" s="73">
        <v>45454.0</v>
      </c>
      <c r="R1710" s="58">
        <v>7.0</v>
      </c>
      <c r="Z1710" s="58" t="s">
        <v>239</v>
      </c>
      <c r="CI1710" s="73">
        <v>45454.0</v>
      </c>
      <c r="CJ1710" s="58" t="s">
        <v>10662</v>
      </c>
      <c r="CK1710" s="58" t="s">
        <v>16053</v>
      </c>
      <c r="CM1710" s="58" t="s">
        <v>15849</v>
      </c>
      <c r="CO1710" s="58" t="s">
        <v>16054</v>
      </c>
      <c r="CU1710" s="58" t="s">
        <v>239</v>
      </c>
    </row>
    <row r="1711" ht="15.75" customHeight="1">
      <c r="B1711" s="58" t="s">
        <v>4587</v>
      </c>
      <c r="C1711" s="58">
        <v>2024.0</v>
      </c>
      <c r="E1711" s="58" t="s">
        <v>10597</v>
      </c>
      <c r="F1711" s="58" t="s">
        <v>14908</v>
      </c>
      <c r="I1711" s="58" t="s">
        <v>16055</v>
      </c>
      <c r="K1711" s="73">
        <v>45702.0</v>
      </c>
      <c r="Z1711" s="58" t="s">
        <v>239</v>
      </c>
      <c r="CI1711" s="73">
        <v>45702.0</v>
      </c>
      <c r="CJ1711" s="58">
        <v>5.0</v>
      </c>
      <c r="CK1711" s="58">
        <v>8.0</v>
      </c>
      <c r="CM1711" s="58" t="s">
        <v>14912</v>
      </c>
      <c r="CO1711" s="58" t="s">
        <v>16056</v>
      </c>
      <c r="CU1711" s="58" t="s">
        <v>239</v>
      </c>
    </row>
    <row r="1712" ht="15.75" customHeight="1">
      <c r="B1712" s="58" t="s">
        <v>4587</v>
      </c>
      <c r="C1712" s="58">
        <v>2023.0</v>
      </c>
      <c r="E1712" s="58" t="s">
        <v>10612</v>
      </c>
      <c r="F1712" s="58" t="s">
        <v>11732</v>
      </c>
      <c r="H1712" s="58" t="s">
        <v>5003</v>
      </c>
      <c r="I1712" s="58" t="s">
        <v>16057</v>
      </c>
      <c r="K1712" s="73">
        <v>45348.0</v>
      </c>
      <c r="Z1712" s="58" t="s">
        <v>239</v>
      </c>
      <c r="CI1712" s="73">
        <v>45348.0</v>
      </c>
      <c r="CJ1712" s="58">
        <v>213.0</v>
      </c>
      <c r="CK1712" s="58">
        <v>484.0</v>
      </c>
      <c r="CM1712" s="58" t="s">
        <v>11736</v>
      </c>
      <c r="CO1712" s="58" t="s">
        <v>16058</v>
      </c>
      <c r="CU1712" s="58" t="s">
        <v>239</v>
      </c>
    </row>
    <row r="1713" ht="15.75" customHeight="1">
      <c r="B1713" s="58" t="s">
        <v>4587</v>
      </c>
      <c r="C1713" s="58">
        <v>2024.0</v>
      </c>
      <c r="E1713" s="58" t="s">
        <v>16059</v>
      </c>
      <c r="F1713" s="58" t="s">
        <v>14121</v>
      </c>
      <c r="I1713" s="58" t="s">
        <v>16060</v>
      </c>
      <c r="K1713" s="73">
        <v>45674.0</v>
      </c>
      <c r="Z1713" s="58" t="s">
        <v>239</v>
      </c>
      <c r="CI1713" s="73">
        <v>45674.0</v>
      </c>
      <c r="CJ1713" s="58">
        <v>1.0</v>
      </c>
      <c r="CK1713" s="58">
        <v>19.0</v>
      </c>
      <c r="CM1713" s="58" t="s">
        <v>14125</v>
      </c>
      <c r="CO1713" s="58" t="s">
        <v>16061</v>
      </c>
      <c r="CU1713" s="58" t="s">
        <v>239</v>
      </c>
    </row>
    <row r="1714" ht="15.75" customHeight="1">
      <c r="B1714" s="58" t="s">
        <v>4587</v>
      </c>
      <c r="C1714" s="58">
        <v>2024.0</v>
      </c>
      <c r="E1714" s="58" t="s">
        <v>16062</v>
      </c>
      <c r="F1714" s="58" t="s">
        <v>15925</v>
      </c>
      <c r="H1714" s="58" t="s">
        <v>15926</v>
      </c>
      <c r="I1714" s="58" t="s">
        <v>16063</v>
      </c>
      <c r="K1714" s="73">
        <v>45629.0</v>
      </c>
      <c r="Z1714" s="58" t="s">
        <v>239</v>
      </c>
      <c r="CI1714" s="73">
        <v>45629.0</v>
      </c>
      <c r="CJ1714" s="58">
        <v>19.0</v>
      </c>
      <c r="CK1714" s="58">
        <v>30.0</v>
      </c>
      <c r="CM1714" s="58" t="s">
        <v>15928</v>
      </c>
      <c r="CO1714" s="58" t="s">
        <v>16064</v>
      </c>
      <c r="CU1714" s="58" t="s">
        <v>239</v>
      </c>
    </row>
    <row r="1715" ht="15.75" customHeight="1">
      <c r="B1715" s="58" t="s">
        <v>4587</v>
      </c>
      <c r="C1715" s="58">
        <v>2023.0</v>
      </c>
      <c r="E1715" s="58" t="s">
        <v>10597</v>
      </c>
      <c r="F1715" s="58" t="s">
        <v>16065</v>
      </c>
      <c r="I1715" s="58" t="s">
        <v>16066</v>
      </c>
      <c r="K1715" s="73">
        <v>45282.0</v>
      </c>
      <c r="Z1715" s="58" t="s">
        <v>239</v>
      </c>
      <c r="CI1715" s="73">
        <v>45282.0</v>
      </c>
      <c r="CJ1715" s="58" t="s">
        <v>10627</v>
      </c>
      <c r="CK1715" s="58" t="s">
        <v>10998</v>
      </c>
      <c r="CM1715" s="58" t="s">
        <v>16067</v>
      </c>
      <c r="CO1715" s="58" t="s">
        <v>16068</v>
      </c>
      <c r="CU1715" s="58" t="s">
        <v>239</v>
      </c>
    </row>
    <row r="1716" ht="15.75" customHeight="1">
      <c r="B1716" s="58" t="s">
        <v>4587</v>
      </c>
      <c r="C1716" s="58">
        <v>2024.0</v>
      </c>
      <c r="E1716" s="58" t="s">
        <v>16069</v>
      </c>
      <c r="F1716" s="58" t="s">
        <v>16070</v>
      </c>
      <c r="H1716" s="58" t="s">
        <v>6555</v>
      </c>
      <c r="I1716" s="58" t="s">
        <v>16071</v>
      </c>
      <c r="K1716" s="73">
        <v>45471.0</v>
      </c>
      <c r="Z1716" s="58" t="s">
        <v>239</v>
      </c>
      <c r="CI1716" s="73">
        <v>45471.0</v>
      </c>
      <c r="CJ1716" s="58" t="s">
        <v>16072</v>
      </c>
      <c r="CK1716" s="58" t="s">
        <v>16073</v>
      </c>
      <c r="CM1716" s="58" t="s">
        <v>16074</v>
      </c>
      <c r="CO1716" s="58" t="s">
        <v>16075</v>
      </c>
      <c r="CU1716" s="58" t="s">
        <v>239</v>
      </c>
    </row>
    <row r="1717" ht="15.75" customHeight="1">
      <c r="B1717" s="58" t="s">
        <v>4587</v>
      </c>
      <c r="C1717" s="58">
        <v>2023.0</v>
      </c>
      <c r="E1717" s="58" t="s">
        <v>10612</v>
      </c>
      <c r="F1717" s="58" t="s">
        <v>11192</v>
      </c>
      <c r="H1717" s="58" t="s">
        <v>4972</v>
      </c>
      <c r="I1717" s="58" t="s">
        <v>16076</v>
      </c>
      <c r="K1717" s="73">
        <v>45222.0</v>
      </c>
      <c r="Z1717" s="58" t="s">
        <v>239</v>
      </c>
      <c r="CI1717" s="73">
        <v>45222.0</v>
      </c>
      <c r="CJ1717" s="58">
        <v>34.0</v>
      </c>
      <c r="CK1717" s="58">
        <v>99.0</v>
      </c>
      <c r="CM1717" s="58" t="s">
        <v>11196</v>
      </c>
      <c r="CO1717" s="58" t="s">
        <v>16077</v>
      </c>
      <c r="CU1717" s="58" t="s">
        <v>239</v>
      </c>
    </row>
    <row r="1718" ht="15.75" customHeight="1">
      <c r="B1718" s="58" t="s">
        <v>4587</v>
      </c>
      <c r="C1718" s="58">
        <v>2024.0</v>
      </c>
      <c r="E1718" s="58" t="s">
        <v>10734</v>
      </c>
      <c r="F1718" s="58" t="s">
        <v>12468</v>
      </c>
      <c r="H1718" s="58" t="s">
        <v>4733</v>
      </c>
      <c r="I1718" s="58" t="s">
        <v>16078</v>
      </c>
      <c r="K1718" s="73">
        <v>45516.0</v>
      </c>
      <c r="Z1718" s="58" t="s">
        <v>239</v>
      </c>
      <c r="CI1718" s="73">
        <v>45516.0</v>
      </c>
      <c r="CJ1718" s="58">
        <v>4.0</v>
      </c>
      <c r="CK1718" s="58">
        <v>35.0</v>
      </c>
      <c r="CM1718" s="58" t="s">
        <v>12472</v>
      </c>
      <c r="CO1718" s="58" t="s">
        <v>16079</v>
      </c>
      <c r="CU1718" s="58" t="s">
        <v>239</v>
      </c>
    </row>
    <row r="1719" ht="15.75" customHeight="1">
      <c r="B1719" s="58" t="s">
        <v>4587</v>
      </c>
      <c r="C1719" s="58">
        <v>2024.0</v>
      </c>
      <c r="E1719" s="58" t="s">
        <v>10734</v>
      </c>
      <c r="F1719" s="58" t="s">
        <v>15995</v>
      </c>
      <c r="I1719" s="58" t="s">
        <v>16080</v>
      </c>
      <c r="K1719" s="73">
        <v>45574.0</v>
      </c>
      <c r="Z1719" s="58" t="s">
        <v>239</v>
      </c>
      <c r="CI1719" s="73">
        <v>45574.0</v>
      </c>
      <c r="CJ1719" s="58">
        <v>2.0</v>
      </c>
      <c r="CK1719" s="58">
        <v>2.0</v>
      </c>
      <c r="CM1719" s="58" t="s">
        <v>15997</v>
      </c>
      <c r="CO1719" s="58" t="s">
        <v>16081</v>
      </c>
      <c r="CU1719" s="58" t="s">
        <v>239</v>
      </c>
    </row>
    <row r="1720" ht="15.75" customHeight="1">
      <c r="B1720" s="58" t="s">
        <v>4587</v>
      </c>
      <c r="C1720" s="58">
        <v>2024.0</v>
      </c>
      <c r="E1720" s="58" t="s">
        <v>10597</v>
      </c>
      <c r="F1720" s="58" t="s">
        <v>16082</v>
      </c>
      <c r="I1720" s="58" t="s">
        <v>16083</v>
      </c>
      <c r="K1720" s="73">
        <v>45615.0</v>
      </c>
      <c r="Z1720" s="58" t="s">
        <v>239</v>
      </c>
      <c r="CI1720" s="73">
        <v>45615.0</v>
      </c>
      <c r="CJ1720" s="58">
        <v>1.0</v>
      </c>
      <c r="CK1720" s="58">
        <v>14.0</v>
      </c>
      <c r="CM1720" s="58" t="s">
        <v>16084</v>
      </c>
      <c r="CO1720" s="58" t="s">
        <v>16085</v>
      </c>
      <c r="CU1720" s="58" t="s">
        <v>239</v>
      </c>
    </row>
    <row r="1721" ht="15.75" customHeight="1">
      <c r="B1721" s="58" t="s">
        <v>4587</v>
      </c>
      <c r="C1721" s="58">
        <v>2024.0</v>
      </c>
      <c r="E1721" s="58" t="s">
        <v>16086</v>
      </c>
      <c r="F1721" s="58" t="s">
        <v>16087</v>
      </c>
      <c r="H1721" s="58" t="s">
        <v>5795</v>
      </c>
      <c r="I1721" s="58" t="s">
        <v>16088</v>
      </c>
      <c r="K1721" s="73">
        <v>45560.0</v>
      </c>
      <c r="Z1721" s="58" t="s">
        <v>239</v>
      </c>
      <c r="CI1721" s="73">
        <v>45560.0</v>
      </c>
      <c r="CJ1721" s="58">
        <v>1.0</v>
      </c>
      <c r="CK1721" s="58">
        <v>49.0</v>
      </c>
      <c r="CM1721" s="58" t="s">
        <v>16089</v>
      </c>
      <c r="CO1721" s="58" t="s">
        <v>16090</v>
      </c>
      <c r="CU1721" s="58" t="s">
        <v>239</v>
      </c>
    </row>
    <row r="1722" ht="15.75" customHeight="1">
      <c r="B1722" s="58" t="s">
        <v>4587</v>
      </c>
      <c r="C1722" s="58">
        <v>2024.0</v>
      </c>
      <c r="E1722" s="58" t="s">
        <v>10612</v>
      </c>
      <c r="F1722" s="58" t="s">
        <v>16091</v>
      </c>
      <c r="H1722" s="58" t="s">
        <v>16092</v>
      </c>
      <c r="I1722" s="58" t="s">
        <v>16093</v>
      </c>
      <c r="K1722" s="73">
        <v>45624.0</v>
      </c>
      <c r="Z1722" s="58" t="s">
        <v>239</v>
      </c>
      <c r="CI1722" s="73">
        <v>45624.0</v>
      </c>
      <c r="CJ1722" s="58" t="s">
        <v>10564</v>
      </c>
      <c r="CK1722" s="58" t="s">
        <v>16094</v>
      </c>
      <c r="CM1722" s="58" t="s">
        <v>16095</v>
      </c>
      <c r="CO1722" s="58" t="s">
        <v>16096</v>
      </c>
      <c r="CU1722" s="58" t="s">
        <v>239</v>
      </c>
    </row>
    <row r="1723" ht="15.75" customHeight="1">
      <c r="B1723" s="58" t="s">
        <v>4587</v>
      </c>
      <c r="C1723" s="58">
        <v>2023.0</v>
      </c>
      <c r="E1723" s="58" t="s">
        <v>16097</v>
      </c>
      <c r="F1723" s="58" t="s">
        <v>16098</v>
      </c>
      <c r="I1723" s="58" t="s">
        <v>16099</v>
      </c>
      <c r="K1723" s="73">
        <v>45310.0</v>
      </c>
      <c r="Z1723" s="58" t="s">
        <v>239</v>
      </c>
      <c r="CI1723" s="73">
        <v>45310.0</v>
      </c>
      <c r="CJ1723" s="58" t="s">
        <v>10662</v>
      </c>
      <c r="CK1723" s="58" t="s">
        <v>16100</v>
      </c>
      <c r="CM1723" s="58" t="s">
        <v>16101</v>
      </c>
      <c r="CO1723" s="58" t="s">
        <v>16102</v>
      </c>
      <c r="CU1723" s="58" t="s">
        <v>239</v>
      </c>
    </row>
    <row r="1724" ht="15.75" customHeight="1">
      <c r="B1724" s="58" t="s">
        <v>4587</v>
      </c>
      <c r="C1724" s="58">
        <v>2024.0</v>
      </c>
      <c r="E1724" s="58" t="s">
        <v>10597</v>
      </c>
      <c r="F1724" s="58" t="s">
        <v>16103</v>
      </c>
      <c r="I1724" s="58" t="s">
        <v>16104</v>
      </c>
      <c r="K1724" s="73">
        <v>45456.0</v>
      </c>
      <c r="Z1724" s="58" t="s">
        <v>239</v>
      </c>
      <c r="CI1724" s="73">
        <v>45456.0</v>
      </c>
      <c r="CJ1724" s="58">
        <v>1.0</v>
      </c>
      <c r="CK1724" s="58">
        <v>19.0</v>
      </c>
      <c r="CM1724" s="58" t="s">
        <v>16105</v>
      </c>
      <c r="CO1724" s="58" t="s">
        <v>16106</v>
      </c>
      <c r="CU1724" s="58" t="s">
        <v>239</v>
      </c>
    </row>
    <row r="1725" ht="15.75" customHeight="1">
      <c r="B1725" s="58" t="s">
        <v>4587</v>
      </c>
      <c r="C1725" s="58">
        <v>2024.0</v>
      </c>
      <c r="E1725" s="58" t="s">
        <v>16107</v>
      </c>
      <c r="F1725" s="58" t="s">
        <v>16091</v>
      </c>
      <c r="H1725" s="58" t="s">
        <v>16092</v>
      </c>
      <c r="I1725" s="58" t="s">
        <v>16108</v>
      </c>
      <c r="K1725" s="73">
        <v>45624.0</v>
      </c>
      <c r="Z1725" s="58" t="s">
        <v>239</v>
      </c>
      <c r="CI1725" s="73">
        <v>45624.0</v>
      </c>
      <c r="CJ1725" s="58">
        <v>116.0</v>
      </c>
      <c r="CK1725" s="58">
        <v>159.0</v>
      </c>
      <c r="CM1725" s="58" t="s">
        <v>16095</v>
      </c>
      <c r="CO1725" s="58" t="s">
        <v>16109</v>
      </c>
      <c r="CU1725" s="58" t="s">
        <v>239</v>
      </c>
    </row>
    <row r="1726" ht="15.75" customHeight="1">
      <c r="B1726" s="58" t="s">
        <v>4587</v>
      </c>
      <c r="C1726" s="58">
        <v>2023.0</v>
      </c>
      <c r="E1726" s="58" t="s">
        <v>10597</v>
      </c>
      <c r="F1726" s="58" t="s">
        <v>16110</v>
      </c>
      <c r="I1726" s="58" t="s">
        <v>16111</v>
      </c>
      <c r="K1726" s="73">
        <v>45376.0</v>
      </c>
      <c r="Z1726" s="58" t="s">
        <v>239</v>
      </c>
      <c r="CI1726" s="73">
        <v>45376.0</v>
      </c>
      <c r="CJ1726" s="58" t="s">
        <v>10627</v>
      </c>
      <c r="CK1726" s="58" t="s">
        <v>10848</v>
      </c>
      <c r="CM1726" s="58" t="s">
        <v>16112</v>
      </c>
      <c r="CO1726" s="58" t="s">
        <v>16113</v>
      </c>
      <c r="CU1726" s="58" t="s">
        <v>239</v>
      </c>
    </row>
    <row r="1727" ht="15.75" customHeight="1">
      <c r="B1727" s="58" t="s">
        <v>4587</v>
      </c>
      <c r="C1727" s="58">
        <v>2023.0</v>
      </c>
      <c r="E1727" s="58" t="s">
        <v>13682</v>
      </c>
      <c r="F1727" s="58" t="s">
        <v>12219</v>
      </c>
      <c r="I1727" s="58" t="s">
        <v>16114</v>
      </c>
      <c r="K1727" s="73">
        <v>45372.0</v>
      </c>
      <c r="Z1727" s="58" t="s">
        <v>239</v>
      </c>
      <c r="CI1727" s="73">
        <v>45372.0</v>
      </c>
      <c r="CJ1727" s="58">
        <v>108.0</v>
      </c>
      <c r="CK1727" s="58">
        <v>171.0</v>
      </c>
      <c r="CM1727" s="58" t="s">
        <v>12223</v>
      </c>
      <c r="CO1727" s="58" t="s">
        <v>16115</v>
      </c>
      <c r="CU1727" s="58" t="s">
        <v>239</v>
      </c>
    </row>
    <row r="1728" ht="15.75" customHeight="1">
      <c r="B1728" s="58" t="s">
        <v>4587</v>
      </c>
      <c r="C1728" s="58">
        <v>2024.0</v>
      </c>
      <c r="E1728" s="58" t="s">
        <v>16116</v>
      </c>
      <c r="F1728" s="58" t="s">
        <v>11355</v>
      </c>
      <c r="H1728" s="58" t="s">
        <v>11356</v>
      </c>
      <c r="I1728" s="58" t="s">
        <v>16117</v>
      </c>
      <c r="K1728" s="73">
        <v>45371.0</v>
      </c>
      <c r="Z1728" s="58" t="s">
        <v>239</v>
      </c>
      <c r="CI1728" s="73">
        <v>45371.0</v>
      </c>
      <c r="CJ1728" s="58">
        <v>1.0</v>
      </c>
      <c r="CK1728" s="58">
        <v>40.0</v>
      </c>
      <c r="CM1728" s="58" t="s">
        <v>11360</v>
      </c>
      <c r="CO1728" s="58" t="s">
        <v>16118</v>
      </c>
      <c r="CU1728" s="58" t="s">
        <v>239</v>
      </c>
    </row>
    <row r="1729" ht="15.75" customHeight="1">
      <c r="B1729" s="58" t="s">
        <v>4587</v>
      </c>
      <c r="C1729" s="58">
        <v>2024.0</v>
      </c>
      <c r="E1729" s="58" t="s">
        <v>16119</v>
      </c>
      <c r="F1729" s="58" t="s">
        <v>16091</v>
      </c>
      <c r="H1729" s="58" t="s">
        <v>16092</v>
      </c>
      <c r="I1729" s="58" t="s">
        <v>16120</v>
      </c>
      <c r="K1729" s="73">
        <v>45624.0</v>
      </c>
      <c r="Z1729" s="58" t="s">
        <v>239</v>
      </c>
      <c r="CI1729" s="73">
        <v>45624.0</v>
      </c>
      <c r="CJ1729" s="58" t="s">
        <v>10564</v>
      </c>
      <c r="CK1729" s="58" t="s">
        <v>10703</v>
      </c>
      <c r="CM1729" s="58" t="s">
        <v>16095</v>
      </c>
      <c r="CO1729" s="58" t="s">
        <v>16121</v>
      </c>
      <c r="CU1729" s="58" t="s">
        <v>239</v>
      </c>
    </row>
    <row r="1730" ht="15.75" customHeight="1">
      <c r="B1730" s="58" t="s">
        <v>4587</v>
      </c>
      <c r="C1730" s="58">
        <v>2023.0</v>
      </c>
      <c r="E1730" s="58" t="s">
        <v>16122</v>
      </c>
      <c r="F1730" s="58" t="s">
        <v>12219</v>
      </c>
      <c r="I1730" s="58" t="s">
        <v>16123</v>
      </c>
      <c r="K1730" s="73">
        <v>45372.0</v>
      </c>
      <c r="Z1730" s="58" t="s">
        <v>239</v>
      </c>
      <c r="CI1730" s="73">
        <v>45372.0</v>
      </c>
      <c r="CJ1730" s="58">
        <v>91.0</v>
      </c>
      <c r="CK1730" s="58">
        <v>107.0</v>
      </c>
      <c r="CM1730" s="58" t="s">
        <v>12223</v>
      </c>
      <c r="CO1730" s="58" t="s">
        <v>16124</v>
      </c>
      <c r="CU1730" s="58" t="s">
        <v>239</v>
      </c>
    </row>
    <row r="1731" ht="15.75" customHeight="1">
      <c r="B1731" s="58" t="s">
        <v>4587</v>
      </c>
      <c r="C1731" s="58">
        <v>2023.0</v>
      </c>
      <c r="E1731" s="58" t="s">
        <v>10597</v>
      </c>
      <c r="F1731" s="58" t="s">
        <v>16125</v>
      </c>
      <c r="I1731" s="58" t="s">
        <v>16126</v>
      </c>
      <c r="K1731" s="73">
        <v>45140.0</v>
      </c>
      <c r="Z1731" s="58" t="s">
        <v>239</v>
      </c>
      <c r="CI1731" s="73">
        <v>45140.0</v>
      </c>
      <c r="CJ1731" s="58">
        <v>1.0</v>
      </c>
      <c r="CK1731" s="58">
        <v>11.0</v>
      </c>
      <c r="CM1731" s="58" t="s">
        <v>16127</v>
      </c>
      <c r="CO1731" s="58" t="s">
        <v>16128</v>
      </c>
      <c r="CU1731" s="58" t="s">
        <v>239</v>
      </c>
    </row>
    <row r="1732" ht="15.75" customHeight="1">
      <c r="B1732" s="58" t="s">
        <v>4587</v>
      </c>
      <c r="C1732" s="58">
        <v>2024.0</v>
      </c>
      <c r="E1732" s="58" t="s">
        <v>16129</v>
      </c>
      <c r="F1732" s="58" t="s">
        <v>12311</v>
      </c>
      <c r="I1732" s="58" t="s">
        <v>16130</v>
      </c>
      <c r="K1732" s="73">
        <v>45335.0</v>
      </c>
      <c r="Z1732" s="58" t="s">
        <v>239</v>
      </c>
      <c r="CI1732" s="73">
        <v>45335.0</v>
      </c>
      <c r="CJ1732" s="58" t="s">
        <v>10662</v>
      </c>
      <c r="CK1732" s="58" t="s">
        <v>16131</v>
      </c>
      <c r="CM1732" s="58" t="s">
        <v>12315</v>
      </c>
      <c r="CO1732" s="58" t="s">
        <v>16132</v>
      </c>
      <c r="CU1732" s="58" t="s">
        <v>239</v>
      </c>
    </row>
    <row r="1733" ht="15.75" customHeight="1">
      <c r="B1733" s="58" t="s">
        <v>4587</v>
      </c>
      <c r="C1733" s="58">
        <v>2024.0</v>
      </c>
      <c r="E1733" s="58" t="s">
        <v>10597</v>
      </c>
      <c r="F1733" s="58" t="s">
        <v>16133</v>
      </c>
      <c r="H1733" s="58" t="s">
        <v>4671</v>
      </c>
      <c r="I1733" s="58" t="s">
        <v>16134</v>
      </c>
      <c r="K1733" s="73">
        <v>45526.0</v>
      </c>
      <c r="Z1733" s="58" t="s">
        <v>239</v>
      </c>
      <c r="CI1733" s="73">
        <v>45526.0</v>
      </c>
      <c r="CJ1733" s="58" t="s">
        <v>10627</v>
      </c>
      <c r="CK1733" s="58" t="s">
        <v>16135</v>
      </c>
      <c r="CM1733" s="58" t="s">
        <v>16136</v>
      </c>
      <c r="CO1733" s="58" t="s">
        <v>16137</v>
      </c>
      <c r="CU1733" s="58" t="s">
        <v>239</v>
      </c>
    </row>
    <row r="1734" ht="15.75" customHeight="1">
      <c r="B1734" s="58" t="s">
        <v>4587</v>
      </c>
      <c r="C1734" s="58">
        <v>2023.0</v>
      </c>
      <c r="E1734" s="58" t="s">
        <v>16138</v>
      </c>
      <c r="F1734" s="58" t="s">
        <v>16139</v>
      </c>
      <c r="I1734" s="58" t="s">
        <v>16140</v>
      </c>
      <c r="K1734" s="73">
        <v>45343.0</v>
      </c>
      <c r="Z1734" s="58" t="s">
        <v>239</v>
      </c>
      <c r="CI1734" s="73">
        <v>45343.0</v>
      </c>
      <c r="CJ1734" s="58" t="s">
        <v>10564</v>
      </c>
      <c r="CK1734" s="58" t="s">
        <v>10715</v>
      </c>
      <c r="CM1734" s="58" t="s">
        <v>16141</v>
      </c>
      <c r="CO1734" s="58" t="s">
        <v>16142</v>
      </c>
      <c r="CU1734" s="58" t="s">
        <v>239</v>
      </c>
    </row>
    <row r="1735" ht="15.75" customHeight="1">
      <c r="B1735" s="58" t="s">
        <v>4587</v>
      </c>
      <c r="C1735" s="58">
        <v>2024.0</v>
      </c>
      <c r="E1735" s="58" t="s">
        <v>16143</v>
      </c>
      <c r="F1735" s="58" t="s">
        <v>16144</v>
      </c>
      <c r="H1735" s="58" t="s">
        <v>15888</v>
      </c>
      <c r="I1735" s="58" t="s">
        <v>16145</v>
      </c>
      <c r="K1735" s="73">
        <v>45553.0</v>
      </c>
      <c r="Z1735" s="58" t="s">
        <v>239</v>
      </c>
      <c r="CI1735" s="73">
        <v>45553.0</v>
      </c>
      <c r="CJ1735" s="58">
        <v>1.0</v>
      </c>
      <c r="CK1735" s="58">
        <v>826.0</v>
      </c>
      <c r="CM1735" s="58" t="s">
        <v>16146</v>
      </c>
      <c r="CO1735" s="58" t="s">
        <v>16147</v>
      </c>
      <c r="CU1735" s="58" t="s">
        <v>239</v>
      </c>
    </row>
    <row r="1736" ht="15.75" customHeight="1">
      <c r="B1736" s="58" t="s">
        <v>4587</v>
      </c>
      <c r="C1736" s="58">
        <v>2024.0</v>
      </c>
      <c r="E1736" s="58" t="s">
        <v>16148</v>
      </c>
      <c r="F1736" s="58" t="s">
        <v>15531</v>
      </c>
      <c r="I1736" s="58" t="s">
        <v>16149</v>
      </c>
      <c r="K1736" s="73">
        <v>45705.0</v>
      </c>
      <c r="Z1736" s="58" t="s">
        <v>239</v>
      </c>
      <c r="CI1736" s="73">
        <v>45705.0</v>
      </c>
      <c r="CJ1736" s="58">
        <v>8.0</v>
      </c>
      <c r="CK1736" s="58">
        <v>26.0</v>
      </c>
      <c r="CM1736" s="58" t="s">
        <v>15535</v>
      </c>
      <c r="CO1736" s="58" t="s">
        <v>16150</v>
      </c>
      <c r="CU1736" s="58" t="s">
        <v>239</v>
      </c>
    </row>
    <row r="1737" ht="15.75" customHeight="1">
      <c r="B1737" s="58" t="s">
        <v>4587</v>
      </c>
      <c r="C1737" s="58">
        <v>2024.0</v>
      </c>
      <c r="E1737" s="58" t="s">
        <v>16151</v>
      </c>
      <c r="F1737" s="58" t="s">
        <v>16152</v>
      </c>
      <c r="H1737" s="58" t="s">
        <v>6357</v>
      </c>
      <c r="I1737" s="58" t="s">
        <v>16153</v>
      </c>
      <c r="K1737" s="73">
        <v>45658.0</v>
      </c>
      <c r="Z1737" s="58" t="s">
        <v>239</v>
      </c>
      <c r="CI1737" s="73">
        <v>45658.0</v>
      </c>
      <c r="CJ1737" s="58">
        <v>6.0</v>
      </c>
      <c r="CK1737" s="58">
        <v>74.0</v>
      </c>
      <c r="CM1737" s="58" t="s">
        <v>16154</v>
      </c>
      <c r="CO1737" s="58" t="s">
        <v>16155</v>
      </c>
      <c r="CU1737" s="58" t="s">
        <v>239</v>
      </c>
    </row>
    <row r="1738" ht="15.75" customHeight="1">
      <c r="B1738" s="58" t="s">
        <v>4587</v>
      </c>
      <c r="C1738" s="58">
        <v>2024.0</v>
      </c>
      <c r="E1738" s="58" t="s">
        <v>16156</v>
      </c>
      <c r="F1738" s="58" t="s">
        <v>16157</v>
      </c>
      <c r="I1738" s="58" t="s">
        <v>16158</v>
      </c>
      <c r="K1738" s="73">
        <v>45602.0</v>
      </c>
      <c r="Z1738" s="58" t="s">
        <v>239</v>
      </c>
      <c r="CI1738" s="73">
        <v>45602.0</v>
      </c>
      <c r="CJ1738" s="58" t="s">
        <v>10662</v>
      </c>
      <c r="CK1738" s="58" t="s">
        <v>16159</v>
      </c>
      <c r="CM1738" s="58" t="s">
        <v>16160</v>
      </c>
      <c r="CO1738" s="58" t="s">
        <v>16161</v>
      </c>
      <c r="CU1738" s="58" t="s">
        <v>239</v>
      </c>
    </row>
    <row r="1739" ht="15.75" customHeight="1">
      <c r="B1739" s="58" t="s">
        <v>4587</v>
      </c>
      <c r="C1739" s="58">
        <v>2023.0</v>
      </c>
      <c r="E1739" s="58" t="s">
        <v>10597</v>
      </c>
      <c r="F1739" s="58" t="s">
        <v>15228</v>
      </c>
      <c r="H1739" s="58" t="s">
        <v>10919</v>
      </c>
      <c r="I1739" s="58" t="s">
        <v>16162</v>
      </c>
      <c r="K1739" s="73">
        <v>45323.0</v>
      </c>
      <c r="R1739" s="58">
        <v>11.0</v>
      </c>
      <c r="Z1739" s="58" t="s">
        <v>239</v>
      </c>
      <c r="CI1739" s="73">
        <v>45323.0</v>
      </c>
      <c r="CJ1739" s="58">
        <v>1.0</v>
      </c>
      <c r="CK1739" s="58">
        <v>28.0</v>
      </c>
      <c r="CM1739" s="58" t="s">
        <v>15232</v>
      </c>
      <c r="CO1739" s="58" t="s">
        <v>16163</v>
      </c>
      <c r="CU1739" s="58" t="s">
        <v>239</v>
      </c>
    </row>
    <row r="1740" ht="15.75" customHeight="1">
      <c r="B1740" s="58" t="s">
        <v>4587</v>
      </c>
      <c r="C1740" s="58">
        <v>2024.0</v>
      </c>
      <c r="E1740" s="58" t="s">
        <v>16164</v>
      </c>
      <c r="F1740" s="58" t="s">
        <v>16165</v>
      </c>
      <c r="I1740" s="58" t="s">
        <v>16166</v>
      </c>
      <c r="K1740" s="73">
        <v>45551.0</v>
      </c>
      <c r="Z1740" s="58" t="s">
        <v>239</v>
      </c>
      <c r="CI1740" s="73">
        <v>45551.0</v>
      </c>
      <c r="CJ1740" s="58" t="s">
        <v>10564</v>
      </c>
      <c r="CK1740" s="58" t="s">
        <v>15952</v>
      </c>
      <c r="CM1740" s="58" t="s">
        <v>16167</v>
      </c>
      <c r="CO1740" s="58" t="s">
        <v>16168</v>
      </c>
      <c r="CU1740" s="58" t="s">
        <v>239</v>
      </c>
    </row>
    <row r="1741" ht="15.75" customHeight="1">
      <c r="B1741" s="58" t="s">
        <v>4587</v>
      </c>
      <c r="C1741" s="58">
        <v>2024.0</v>
      </c>
      <c r="E1741" s="58" t="s">
        <v>16169</v>
      </c>
      <c r="F1741" s="58" t="s">
        <v>16170</v>
      </c>
      <c r="H1741" s="58" t="s">
        <v>11874</v>
      </c>
      <c r="I1741" s="58" t="s">
        <v>16171</v>
      </c>
      <c r="K1741" s="73">
        <v>45547.0</v>
      </c>
      <c r="Z1741" s="58" t="s">
        <v>239</v>
      </c>
      <c r="CI1741" s="73">
        <v>45547.0</v>
      </c>
      <c r="CJ1741" s="58" t="s">
        <v>10627</v>
      </c>
      <c r="CK1741" s="58" t="s">
        <v>10907</v>
      </c>
      <c r="CM1741" s="58" t="s">
        <v>16172</v>
      </c>
      <c r="CO1741" s="58" t="s">
        <v>16173</v>
      </c>
      <c r="CU1741" s="58" t="s">
        <v>239</v>
      </c>
    </row>
    <row r="1742" ht="15.75" customHeight="1">
      <c r="B1742" s="58" t="s">
        <v>4587</v>
      </c>
      <c r="C1742" s="58">
        <v>2023.0</v>
      </c>
      <c r="E1742" s="58" t="s">
        <v>16148</v>
      </c>
      <c r="F1742" s="58" t="s">
        <v>16174</v>
      </c>
      <c r="H1742" s="58" t="s">
        <v>16175</v>
      </c>
      <c r="I1742" s="58" t="s">
        <v>16176</v>
      </c>
      <c r="K1742" s="73">
        <v>44979.0</v>
      </c>
      <c r="Z1742" s="58" t="s">
        <v>239</v>
      </c>
      <c r="CI1742" s="73">
        <v>44979.0</v>
      </c>
      <c r="CJ1742" s="58" t="s">
        <v>10564</v>
      </c>
      <c r="CK1742" s="58" t="s">
        <v>10907</v>
      </c>
      <c r="CM1742" s="58" t="s">
        <v>16177</v>
      </c>
      <c r="CO1742" s="58" t="s">
        <v>16178</v>
      </c>
      <c r="CU1742" s="58" t="s">
        <v>239</v>
      </c>
    </row>
    <row r="1743" ht="15.75" customHeight="1">
      <c r="B1743" s="58" t="s">
        <v>4587</v>
      </c>
      <c r="C1743" s="58">
        <v>2024.0</v>
      </c>
      <c r="E1743" s="58" t="s">
        <v>16179</v>
      </c>
      <c r="F1743" s="58" t="s">
        <v>16180</v>
      </c>
      <c r="I1743" s="58" t="s">
        <v>16181</v>
      </c>
      <c r="K1743" s="73">
        <v>45512.0</v>
      </c>
      <c r="Z1743" s="58" t="s">
        <v>239</v>
      </c>
      <c r="CI1743" s="73">
        <v>45512.0</v>
      </c>
      <c r="CJ1743" s="58" t="s">
        <v>10564</v>
      </c>
      <c r="CK1743" s="58" t="s">
        <v>16182</v>
      </c>
      <c r="CM1743" s="58" t="s">
        <v>16183</v>
      </c>
      <c r="CO1743" s="58" t="s">
        <v>16184</v>
      </c>
      <c r="CU1743" s="58" t="s">
        <v>239</v>
      </c>
    </row>
    <row r="1744" ht="15.75" customHeight="1">
      <c r="B1744" s="58" t="s">
        <v>4587</v>
      </c>
      <c r="C1744" s="58">
        <v>2024.0</v>
      </c>
      <c r="E1744" s="58" t="s">
        <v>16185</v>
      </c>
      <c r="F1744" s="58" t="s">
        <v>16186</v>
      </c>
      <c r="H1744" s="58" t="s">
        <v>16187</v>
      </c>
      <c r="I1744" s="58" t="s">
        <v>16188</v>
      </c>
      <c r="K1744" s="73">
        <v>45407.0</v>
      </c>
      <c r="R1744" s="58">
        <v>7.0</v>
      </c>
      <c r="Z1744" s="58" t="s">
        <v>239</v>
      </c>
      <c r="CI1744" s="73">
        <v>45407.0</v>
      </c>
      <c r="CJ1744" s="58">
        <v>1.0</v>
      </c>
      <c r="CK1744" s="58">
        <v>26.0</v>
      </c>
      <c r="CM1744" s="58" t="s">
        <v>16189</v>
      </c>
      <c r="CO1744" s="58" t="s">
        <v>16190</v>
      </c>
      <c r="CU1744" s="58" t="s">
        <v>239</v>
      </c>
    </row>
    <row r="1745" ht="15.75" customHeight="1">
      <c r="B1745" s="58" t="s">
        <v>4587</v>
      </c>
      <c r="C1745" s="58">
        <v>2024.0</v>
      </c>
      <c r="E1745" s="58" t="s">
        <v>10597</v>
      </c>
      <c r="F1745" s="58" t="s">
        <v>16191</v>
      </c>
      <c r="H1745" s="58" t="s">
        <v>11050</v>
      </c>
      <c r="I1745" s="58" t="s">
        <v>16192</v>
      </c>
      <c r="K1745" s="73">
        <v>45588.0</v>
      </c>
      <c r="Z1745" s="58" t="s">
        <v>239</v>
      </c>
      <c r="CI1745" s="73">
        <v>45588.0</v>
      </c>
      <c r="CJ1745" s="58" t="s">
        <v>10564</v>
      </c>
      <c r="CK1745" s="58" t="s">
        <v>10703</v>
      </c>
      <c r="CM1745" s="58" t="s">
        <v>16193</v>
      </c>
      <c r="CO1745" s="58" t="s">
        <v>16194</v>
      </c>
      <c r="CU1745" s="58" t="s">
        <v>239</v>
      </c>
    </row>
    <row r="1746" ht="15.75" customHeight="1">
      <c r="B1746" s="58" t="s">
        <v>4587</v>
      </c>
      <c r="C1746" s="58">
        <v>2023.0</v>
      </c>
      <c r="E1746" s="58" t="s">
        <v>10734</v>
      </c>
      <c r="F1746" s="58" t="s">
        <v>14869</v>
      </c>
      <c r="H1746" s="58" t="s">
        <v>14870</v>
      </c>
      <c r="I1746" s="58" t="s">
        <v>16195</v>
      </c>
      <c r="K1746" s="73">
        <v>45391.0</v>
      </c>
      <c r="Z1746" s="58" t="s">
        <v>239</v>
      </c>
      <c r="CI1746" s="73">
        <v>45391.0</v>
      </c>
      <c r="CJ1746" s="58">
        <v>2.0</v>
      </c>
      <c r="CK1746" s="58">
        <v>13.0</v>
      </c>
      <c r="CM1746" s="58" t="s">
        <v>14874</v>
      </c>
      <c r="CO1746" s="58" t="s">
        <v>16196</v>
      </c>
      <c r="CU1746" s="58" t="s">
        <v>239</v>
      </c>
    </row>
    <row r="1747" ht="15.75" customHeight="1">
      <c r="B1747" s="58" t="s">
        <v>4587</v>
      </c>
      <c r="C1747" s="58">
        <v>2023.0</v>
      </c>
      <c r="E1747" s="58" t="s">
        <v>351</v>
      </c>
      <c r="F1747" s="58" t="s">
        <v>16197</v>
      </c>
      <c r="I1747" s="58" t="s">
        <v>16198</v>
      </c>
      <c r="K1747" s="73">
        <v>45378.0</v>
      </c>
      <c r="Z1747" s="58" t="s">
        <v>239</v>
      </c>
      <c r="CI1747" s="73">
        <v>45378.0</v>
      </c>
      <c r="CJ1747" s="58">
        <v>1.0</v>
      </c>
      <c r="CK1747" s="58">
        <v>17.0</v>
      </c>
      <c r="CM1747" s="58" t="s">
        <v>16199</v>
      </c>
      <c r="CO1747" s="58" t="s">
        <v>16200</v>
      </c>
      <c r="CU1747" s="58" t="s">
        <v>239</v>
      </c>
    </row>
    <row r="1748" ht="15.75" customHeight="1">
      <c r="B1748" s="58" t="s">
        <v>4587</v>
      </c>
      <c r="C1748" s="58">
        <v>2023.0</v>
      </c>
      <c r="E1748" s="58" t="s">
        <v>16201</v>
      </c>
      <c r="F1748" s="58" t="s">
        <v>16202</v>
      </c>
      <c r="I1748" s="58" t="s">
        <v>16203</v>
      </c>
      <c r="K1748" s="73">
        <v>45026.0</v>
      </c>
      <c r="Z1748" s="58" t="s">
        <v>239</v>
      </c>
      <c r="CI1748" s="73">
        <v>45026.0</v>
      </c>
      <c r="CJ1748" s="58" t="s">
        <v>10564</v>
      </c>
      <c r="CK1748" s="58" t="s">
        <v>16204</v>
      </c>
      <c r="CM1748" s="58" t="s">
        <v>16205</v>
      </c>
      <c r="CO1748" s="58" t="s">
        <v>16206</v>
      </c>
      <c r="CU1748" s="58" t="s">
        <v>239</v>
      </c>
    </row>
    <row r="1749" ht="15.75" customHeight="1">
      <c r="B1749" s="58" t="s">
        <v>4587</v>
      </c>
      <c r="C1749" s="58">
        <v>2023.0</v>
      </c>
      <c r="E1749" s="58" t="s">
        <v>10597</v>
      </c>
      <c r="F1749" s="58" t="s">
        <v>16207</v>
      </c>
      <c r="H1749" s="58" t="s">
        <v>6134</v>
      </c>
      <c r="I1749" s="58" t="s">
        <v>16208</v>
      </c>
      <c r="K1749" s="73">
        <v>45155.0</v>
      </c>
      <c r="Z1749" s="58" t="s">
        <v>239</v>
      </c>
      <c r="CI1749" s="73">
        <v>45155.0</v>
      </c>
      <c r="CJ1749" s="58">
        <v>5.0</v>
      </c>
      <c r="CK1749" s="58">
        <v>18.0</v>
      </c>
      <c r="CM1749" s="58" t="s">
        <v>16209</v>
      </c>
      <c r="CO1749" s="58" t="s">
        <v>16210</v>
      </c>
      <c r="CU1749" s="58" t="s">
        <v>239</v>
      </c>
    </row>
    <row r="1750" ht="15.75" customHeight="1">
      <c r="B1750" s="58" t="s">
        <v>4587</v>
      </c>
      <c r="C1750" s="58">
        <v>2025.0</v>
      </c>
      <c r="E1750" s="58" t="s">
        <v>10597</v>
      </c>
      <c r="F1750" s="58" t="s">
        <v>13732</v>
      </c>
      <c r="I1750" s="58" t="s">
        <v>16211</v>
      </c>
      <c r="K1750" s="73">
        <v>45708.0</v>
      </c>
      <c r="Z1750" s="58" t="s">
        <v>239</v>
      </c>
      <c r="CI1750" s="73">
        <v>45708.0</v>
      </c>
      <c r="CJ1750" s="58">
        <v>1.0</v>
      </c>
      <c r="CK1750" s="58">
        <v>21.0</v>
      </c>
      <c r="CM1750" s="58" t="s">
        <v>13736</v>
      </c>
      <c r="CO1750" s="58" t="s">
        <v>16212</v>
      </c>
      <c r="CU1750" s="58" t="s">
        <v>239</v>
      </c>
    </row>
    <row r="1751" ht="15.75" customHeight="1">
      <c r="B1751" s="58" t="s">
        <v>4587</v>
      </c>
      <c r="C1751" s="58">
        <v>2023.0</v>
      </c>
      <c r="E1751" s="58" t="s">
        <v>10597</v>
      </c>
      <c r="F1751" s="58" t="s">
        <v>12262</v>
      </c>
      <c r="H1751" s="58" t="s">
        <v>9205</v>
      </c>
      <c r="I1751" s="58" t="s">
        <v>16213</v>
      </c>
      <c r="K1751" s="73">
        <v>45377.0</v>
      </c>
      <c r="Z1751" s="58" t="s">
        <v>239</v>
      </c>
      <c r="CI1751" s="73">
        <v>45377.0</v>
      </c>
      <c r="CJ1751" s="58">
        <v>5.0</v>
      </c>
      <c r="CK1751" s="58">
        <v>63.0</v>
      </c>
      <c r="CM1751" s="58" t="s">
        <v>12266</v>
      </c>
      <c r="CO1751" s="58" t="s">
        <v>16214</v>
      </c>
      <c r="CU1751" s="58" t="s">
        <v>239</v>
      </c>
    </row>
    <row r="1752" ht="15.75" customHeight="1">
      <c r="B1752" s="58" t="s">
        <v>4587</v>
      </c>
      <c r="C1752" s="58">
        <v>2025.0</v>
      </c>
      <c r="E1752" s="58" t="s">
        <v>9426</v>
      </c>
      <c r="F1752" s="58" t="s">
        <v>16215</v>
      </c>
      <c r="I1752" s="58" t="s">
        <v>16216</v>
      </c>
      <c r="K1752" s="73">
        <v>45721.0</v>
      </c>
      <c r="Z1752" s="58" t="s">
        <v>239</v>
      </c>
      <c r="CI1752" s="73">
        <v>45721.0</v>
      </c>
      <c r="CJ1752" s="58" t="s">
        <v>10564</v>
      </c>
      <c r="CK1752" s="58" t="s">
        <v>10649</v>
      </c>
      <c r="CM1752" s="58" t="s">
        <v>16217</v>
      </c>
      <c r="CO1752" s="58" t="s">
        <v>16218</v>
      </c>
      <c r="CU1752" s="58" t="s">
        <v>239</v>
      </c>
    </row>
    <row r="1753" ht="15.75" customHeight="1">
      <c r="B1753" s="58" t="s">
        <v>4587</v>
      </c>
      <c r="C1753" s="58">
        <v>2024.0</v>
      </c>
      <c r="E1753" s="58" t="s">
        <v>10734</v>
      </c>
      <c r="F1753" s="58" t="s">
        <v>16219</v>
      </c>
      <c r="I1753" s="58" t="s">
        <v>16220</v>
      </c>
      <c r="K1753" s="73">
        <v>45727.0</v>
      </c>
      <c r="Z1753" s="58" t="s">
        <v>239</v>
      </c>
      <c r="CI1753" s="73">
        <v>45727.0</v>
      </c>
      <c r="CJ1753" s="58">
        <v>3.0</v>
      </c>
      <c r="CK1753" s="58">
        <v>126.0</v>
      </c>
      <c r="CM1753" s="58" t="s">
        <v>16221</v>
      </c>
      <c r="CO1753" s="58" t="s">
        <v>16222</v>
      </c>
      <c r="CU1753" s="58" t="s">
        <v>239</v>
      </c>
    </row>
    <row r="1754" ht="15.75" customHeight="1">
      <c r="B1754" s="58" t="s">
        <v>4587</v>
      </c>
      <c r="C1754" s="58">
        <v>2024.0</v>
      </c>
      <c r="E1754" s="58" t="s">
        <v>10597</v>
      </c>
      <c r="F1754" s="58" t="s">
        <v>13314</v>
      </c>
      <c r="H1754" s="58" t="s">
        <v>13315</v>
      </c>
      <c r="I1754" s="58" t="s">
        <v>16223</v>
      </c>
      <c r="K1754" s="73">
        <v>45694.0</v>
      </c>
      <c r="Z1754" s="58" t="s">
        <v>239</v>
      </c>
      <c r="CI1754" s="73">
        <v>45694.0</v>
      </c>
      <c r="CJ1754" s="58" t="s">
        <v>10564</v>
      </c>
      <c r="CK1754" s="58" t="s">
        <v>10694</v>
      </c>
      <c r="CM1754" s="58" t="s">
        <v>13319</v>
      </c>
      <c r="CO1754" s="58" t="s">
        <v>16224</v>
      </c>
      <c r="CU1754" s="58" t="s">
        <v>239</v>
      </c>
    </row>
    <row r="1755" ht="15.75" customHeight="1">
      <c r="B1755" s="58" t="s">
        <v>4587</v>
      </c>
      <c r="C1755" s="58">
        <v>2023.0</v>
      </c>
      <c r="E1755" s="58" t="s">
        <v>16225</v>
      </c>
      <c r="F1755" s="58" t="s">
        <v>15142</v>
      </c>
      <c r="I1755" s="58" t="s">
        <v>16226</v>
      </c>
      <c r="K1755" s="73">
        <v>45267.0</v>
      </c>
      <c r="Z1755" s="58" t="s">
        <v>239</v>
      </c>
      <c r="CI1755" s="73">
        <v>45267.0</v>
      </c>
      <c r="CJ1755" s="58">
        <v>1.0</v>
      </c>
      <c r="CK1755" s="58">
        <v>3.0</v>
      </c>
      <c r="CM1755" s="58" t="s">
        <v>15145</v>
      </c>
      <c r="CO1755" s="58" t="s">
        <v>16227</v>
      </c>
      <c r="CU1755" s="58" t="s">
        <v>239</v>
      </c>
    </row>
    <row r="1756" ht="15.75" customHeight="1">
      <c r="B1756" s="58" t="s">
        <v>4587</v>
      </c>
      <c r="C1756" s="58">
        <v>2024.0</v>
      </c>
      <c r="E1756" s="58" t="s">
        <v>16228</v>
      </c>
      <c r="F1756" s="58" t="s">
        <v>12208</v>
      </c>
      <c r="H1756" s="58" t="s">
        <v>12209</v>
      </c>
      <c r="I1756" s="58" t="s">
        <v>16229</v>
      </c>
      <c r="K1756" s="73">
        <v>45372.0</v>
      </c>
      <c r="Z1756" s="58" t="s">
        <v>239</v>
      </c>
      <c r="CI1756" s="73">
        <v>45372.0</v>
      </c>
      <c r="CJ1756" s="58">
        <v>1.0</v>
      </c>
      <c r="CK1756" s="58">
        <v>66.0</v>
      </c>
      <c r="CL1756" s="58" t="s">
        <v>16230</v>
      </c>
      <c r="CM1756" s="58" t="s">
        <v>12213</v>
      </c>
      <c r="CO1756" s="58" t="s">
        <v>16231</v>
      </c>
      <c r="CU1756" s="58" t="s">
        <v>239</v>
      </c>
    </row>
    <row r="1757" ht="15.75" customHeight="1">
      <c r="B1757" s="58" t="s">
        <v>4587</v>
      </c>
      <c r="C1757" s="58">
        <v>2023.0</v>
      </c>
      <c r="E1757" s="58" t="s">
        <v>16232</v>
      </c>
      <c r="F1757" s="58" t="s">
        <v>15921</v>
      </c>
      <c r="I1757" s="58" t="s">
        <v>16233</v>
      </c>
      <c r="K1757" s="73">
        <v>45230.0</v>
      </c>
      <c r="Z1757" s="58" t="s">
        <v>239</v>
      </c>
      <c r="CI1757" s="73">
        <v>45230.0</v>
      </c>
      <c r="CJ1757" s="58" t="s">
        <v>10564</v>
      </c>
      <c r="CK1757" s="58" t="s">
        <v>10572</v>
      </c>
      <c r="CM1757" s="58" t="s">
        <v>15923</v>
      </c>
      <c r="CO1757" s="58" t="s">
        <v>16234</v>
      </c>
      <c r="CU1757" s="58" t="s">
        <v>239</v>
      </c>
    </row>
    <row r="1758" ht="15.75" customHeight="1">
      <c r="B1758" s="58" t="s">
        <v>4587</v>
      </c>
      <c r="C1758" s="58">
        <v>2024.0</v>
      </c>
      <c r="E1758" s="58" t="s">
        <v>16235</v>
      </c>
      <c r="F1758" s="58" t="s">
        <v>16236</v>
      </c>
      <c r="H1758" s="58" t="s">
        <v>16237</v>
      </c>
      <c r="I1758" s="58" t="s">
        <v>16238</v>
      </c>
      <c r="K1758" s="73">
        <v>45502.0</v>
      </c>
      <c r="Z1758" s="58" t="s">
        <v>239</v>
      </c>
      <c r="CI1758" s="73">
        <v>45502.0</v>
      </c>
      <c r="CJ1758" s="58" t="s">
        <v>10564</v>
      </c>
      <c r="CK1758" s="58" t="s">
        <v>10649</v>
      </c>
      <c r="CM1758" s="58" t="s">
        <v>16239</v>
      </c>
      <c r="CO1758" s="58" t="s">
        <v>16240</v>
      </c>
      <c r="CU1758" s="58" t="s">
        <v>239</v>
      </c>
    </row>
    <row r="1759" ht="15.75" customHeight="1">
      <c r="B1759" s="58" t="s">
        <v>4587</v>
      </c>
      <c r="C1759" s="58">
        <v>2024.0</v>
      </c>
      <c r="E1759" s="58" t="s">
        <v>16241</v>
      </c>
      <c r="F1759" s="58" t="s">
        <v>16242</v>
      </c>
      <c r="I1759" s="58" t="s">
        <v>16243</v>
      </c>
      <c r="K1759" s="73">
        <v>45398.0</v>
      </c>
      <c r="Z1759" s="58" t="s">
        <v>239</v>
      </c>
      <c r="CI1759" s="73">
        <v>45398.0</v>
      </c>
      <c r="CJ1759" s="58" t="s">
        <v>10662</v>
      </c>
      <c r="CK1759" s="58" t="s">
        <v>16244</v>
      </c>
      <c r="CM1759" s="58" t="s">
        <v>16245</v>
      </c>
      <c r="CO1759" s="58" t="s">
        <v>16246</v>
      </c>
      <c r="CU1759" s="58" t="s">
        <v>239</v>
      </c>
    </row>
    <row r="1760" ht="15.75" customHeight="1">
      <c r="B1760" s="58" t="s">
        <v>4587</v>
      </c>
      <c r="C1760" s="58">
        <v>2023.0</v>
      </c>
      <c r="E1760" s="58" t="s">
        <v>16247</v>
      </c>
      <c r="F1760" s="58" t="s">
        <v>13940</v>
      </c>
      <c r="I1760" s="58" t="s">
        <v>16248</v>
      </c>
      <c r="K1760" s="73">
        <v>45335.0</v>
      </c>
      <c r="Z1760" s="58" t="s">
        <v>239</v>
      </c>
      <c r="CI1760" s="73">
        <v>45335.0</v>
      </c>
      <c r="CJ1760" s="58" t="s">
        <v>10564</v>
      </c>
      <c r="CK1760" s="58" t="s">
        <v>15952</v>
      </c>
      <c r="CM1760" s="58" t="s">
        <v>13944</v>
      </c>
      <c r="CO1760" s="58" t="s">
        <v>16249</v>
      </c>
      <c r="CU1760" s="58" t="s">
        <v>239</v>
      </c>
    </row>
    <row r="1761" ht="15.75" customHeight="1">
      <c r="B1761" s="58" t="s">
        <v>4587</v>
      </c>
      <c r="C1761" s="58">
        <v>2023.0</v>
      </c>
      <c r="E1761" s="58" t="s">
        <v>16250</v>
      </c>
      <c r="F1761" s="58" t="s">
        <v>11551</v>
      </c>
      <c r="H1761" s="58" t="s">
        <v>5264</v>
      </c>
      <c r="I1761" s="58" t="s">
        <v>16251</v>
      </c>
      <c r="K1761" s="73">
        <v>45098.0</v>
      </c>
      <c r="Z1761" s="58" t="s">
        <v>239</v>
      </c>
      <c r="CI1761" s="73">
        <v>45098.0</v>
      </c>
      <c r="CJ1761" s="58" t="s">
        <v>10662</v>
      </c>
      <c r="CK1761" s="58" t="s">
        <v>16252</v>
      </c>
      <c r="CM1761" s="58" t="s">
        <v>11555</v>
      </c>
      <c r="CO1761" s="58" t="s">
        <v>16253</v>
      </c>
      <c r="CU1761" s="58" t="s">
        <v>239</v>
      </c>
    </row>
    <row r="1762" ht="15.75" customHeight="1">
      <c r="B1762" s="58" t="s">
        <v>4587</v>
      </c>
      <c r="C1762" s="58">
        <v>2023.0</v>
      </c>
      <c r="E1762" s="58" t="s">
        <v>268</v>
      </c>
      <c r="F1762" s="58" t="s">
        <v>12219</v>
      </c>
      <c r="I1762" s="58" t="s">
        <v>16254</v>
      </c>
      <c r="K1762" s="73">
        <v>45372.0</v>
      </c>
      <c r="Z1762" s="58" t="s">
        <v>239</v>
      </c>
      <c r="CI1762" s="73">
        <v>45372.0</v>
      </c>
      <c r="CJ1762" s="58">
        <v>2.0</v>
      </c>
      <c r="CK1762" s="58">
        <v>90.0</v>
      </c>
      <c r="CL1762" s="58" t="s">
        <v>10759</v>
      </c>
      <c r="CM1762" s="58" t="s">
        <v>12223</v>
      </c>
      <c r="CO1762" s="58" t="s">
        <v>16255</v>
      </c>
      <c r="CU1762" s="58" t="s">
        <v>239</v>
      </c>
    </row>
    <row r="1763" ht="15.75" customHeight="1">
      <c r="B1763" s="58" t="s">
        <v>4587</v>
      </c>
      <c r="C1763" s="58">
        <v>2024.0</v>
      </c>
      <c r="E1763" s="58" t="s">
        <v>16256</v>
      </c>
      <c r="F1763" s="58" t="s">
        <v>16257</v>
      </c>
      <c r="H1763" s="58" t="s">
        <v>10719</v>
      </c>
      <c r="I1763" s="58" t="s">
        <v>16258</v>
      </c>
      <c r="K1763" s="73">
        <v>45475.0</v>
      </c>
      <c r="R1763" s="58">
        <v>6.0</v>
      </c>
      <c r="Z1763" s="58" t="s">
        <v>239</v>
      </c>
      <c r="CI1763" s="73">
        <v>45475.0</v>
      </c>
      <c r="CJ1763" s="58">
        <v>1.0</v>
      </c>
      <c r="CK1763" s="58">
        <v>25.0</v>
      </c>
      <c r="CM1763" s="58" t="s">
        <v>16259</v>
      </c>
      <c r="CO1763" s="58" t="s">
        <v>16260</v>
      </c>
      <c r="CU1763" s="58" t="s">
        <v>239</v>
      </c>
    </row>
    <row r="1764" ht="15.75" customHeight="1">
      <c r="B1764" s="58" t="s">
        <v>4587</v>
      </c>
      <c r="C1764" s="58">
        <v>2024.0</v>
      </c>
      <c r="E1764" s="58" t="s">
        <v>16261</v>
      </c>
      <c r="F1764" s="58" t="s">
        <v>16262</v>
      </c>
      <c r="H1764" s="58" t="s">
        <v>16263</v>
      </c>
      <c r="I1764" s="58" t="s">
        <v>16264</v>
      </c>
      <c r="K1764" s="73">
        <v>45350.0</v>
      </c>
      <c r="Z1764" s="58" t="s">
        <v>239</v>
      </c>
      <c r="CI1764" s="73">
        <v>45350.0</v>
      </c>
      <c r="CJ1764" s="58" t="s">
        <v>10564</v>
      </c>
      <c r="CK1764" s="58" t="s">
        <v>16265</v>
      </c>
      <c r="CM1764" s="58" t="s">
        <v>16266</v>
      </c>
      <c r="CO1764" s="58" t="s">
        <v>16267</v>
      </c>
      <c r="CU1764" s="58" t="s">
        <v>239</v>
      </c>
    </row>
    <row r="1765" ht="15.75" customHeight="1">
      <c r="B1765" s="58" t="s">
        <v>4587</v>
      </c>
      <c r="C1765" s="58">
        <v>2024.0</v>
      </c>
      <c r="E1765" s="58" t="s">
        <v>10827</v>
      </c>
      <c r="F1765" s="58" t="s">
        <v>16082</v>
      </c>
      <c r="I1765" s="58" t="s">
        <v>16268</v>
      </c>
      <c r="K1765" s="73">
        <v>45615.0</v>
      </c>
      <c r="Z1765" s="58" t="s">
        <v>239</v>
      </c>
      <c r="CI1765" s="73">
        <v>45615.0</v>
      </c>
      <c r="CJ1765" s="58">
        <v>1.0</v>
      </c>
      <c r="CK1765" s="58">
        <v>16.0</v>
      </c>
      <c r="CM1765" s="58" t="s">
        <v>16084</v>
      </c>
      <c r="CO1765" s="58" t="s">
        <v>16269</v>
      </c>
      <c r="CU1765" s="58" t="s">
        <v>239</v>
      </c>
    </row>
    <row r="1766" ht="15.75" customHeight="1">
      <c r="B1766" s="58" t="s">
        <v>4587</v>
      </c>
      <c r="C1766" s="58">
        <v>2023.0</v>
      </c>
      <c r="E1766" s="58" t="s">
        <v>16270</v>
      </c>
      <c r="F1766" s="58" t="s">
        <v>16271</v>
      </c>
      <c r="I1766" s="58" t="s">
        <v>16272</v>
      </c>
      <c r="K1766" s="73">
        <v>45372.0</v>
      </c>
      <c r="Z1766" s="58" t="s">
        <v>239</v>
      </c>
      <c r="CI1766" s="73">
        <v>45372.0</v>
      </c>
      <c r="CJ1766" s="58" t="s">
        <v>10693</v>
      </c>
      <c r="CK1766" s="58" t="s">
        <v>10745</v>
      </c>
      <c r="CM1766" s="58" t="s">
        <v>16273</v>
      </c>
      <c r="CO1766" s="58" t="s">
        <v>16274</v>
      </c>
      <c r="CU1766" s="58" t="s">
        <v>239</v>
      </c>
    </row>
    <row r="1767" ht="15.75" customHeight="1">
      <c r="B1767" s="58" t="s">
        <v>4587</v>
      </c>
      <c r="C1767" s="58">
        <v>2023.0</v>
      </c>
      <c r="E1767" s="58" t="s">
        <v>16122</v>
      </c>
      <c r="F1767" s="58" t="s">
        <v>15921</v>
      </c>
      <c r="I1767" s="58" t="s">
        <v>16275</v>
      </c>
      <c r="K1767" s="73">
        <v>45230.0</v>
      </c>
      <c r="Z1767" s="58" t="s">
        <v>239</v>
      </c>
      <c r="CI1767" s="73">
        <v>45230.0</v>
      </c>
      <c r="CJ1767" s="58" t="s">
        <v>10564</v>
      </c>
      <c r="CK1767" s="58" t="s">
        <v>10808</v>
      </c>
      <c r="CM1767" s="58" t="s">
        <v>15923</v>
      </c>
      <c r="CO1767" s="58" t="s">
        <v>16276</v>
      </c>
      <c r="CU1767" s="58" t="s">
        <v>239</v>
      </c>
    </row>
    <row r="1768" ht="15.75" customHeight="1">
      <c r="B1768" s="58" t="s">
        <v>4587</v>
      </c>
      <c r="C1768" s="58">
        <v>2023.0</v>
      </c>
      <c r="D1768" s="58" t="s">
        <v>16277</v>
      </c>
      <c r="E1768" s="58" t="s">
        <v>16278</v>
      </c>
      <c r="F1768" s="58" t="s">
        <v>12056</v>
      </c>
      <c r="H1768" s="58" t="s">
        <v>12057</v>
      </c>
      <c r="I1768" s="58" t="s">
        <v>16279</v>
      </c>
      <c r="K1768" s="73">
        <v>45442.0</v>
      </c>
      <c r="Z1768" s="58" t="s">
        <v>239</v>
      </c>
      <c r="CH1768" s="58" t="s">
        <v>16280</v>
      </c>
      <c r="CI1768" s="73">
        <v>45442.0</v>
      </c>
      <c r="CJ1768" s="58">
        <v>1.0</v>
      </c>
      <c r="CK1768" s="58">
        <v>2.0</v>
      </c>
      <c r="CL1768" s="58" t="s">
        <v>16281</v>
      </c>
      <c r="CM1768" s="58" t="s">
        <v>12061</v>
      </c>
      <c r="CO1768" s="58" t="s">
        <v>16282</v>
      </c>
      <c r="CP1768" s="58" t="s">
        <v>16283</v>
      </c>
      <c r="CT1768" s="58">
        <v>0.0</v>
      </c>
      <c r="CU1768" s="58" t="s">
        <v>239</v>
      </c>
    </row>
    <row r="1769" ht="15.75" customHeight="1">
      <c r="B1769" s="58" t="s">
        <v>4587</v>
      </c>
      <c r="C1769" s="58">
        <v>2024.0</v>
      </c>
      <c r="E1769" s="58" t="s">
        <v>9426</v>
      </c>
      <c r="F1769" s="58" t="s">
        <v>16284</v>
      </c>
      <c r="I1769" s="58" t="s">
        <v>16285</v>
      </c>
      <c r="K1769" s="73">
        <v>45588.0</v>
      </c>
      <c r="Z1769" s="58" t="s">
        <v>239</v>
      </c>
      <c r="CI1769" s="73">
        <v>45588.0</v>
      </c>
      <c r="CJ1769" s="58" t="s">
        <v>10564</v>
      </c>
      <c r="CK1769" s="58" t="s">
        <v>10907</v>
      </c>
      <c r="CM1769" s="58" t="s">
        <v>16286</v>
      </c>
      <c r="CO1769" s="58" t="s">
        <v>16287</v>
      </c>
      <c r="CU1769" s="58" t="s">
        <v>239</v>
      </c>
    </row>
    <row r="1770" ht="15.75" customHeight="1">
      <c r="B1770" s="58" t="s">
        <v>4587</v>
      </c>
      <c r="C1770" s="58">
        <v>2023.0</v>
      </c>
      <c r="E1770" s="58" t="s">
        <v>10597</v>
      </c>
      <c r="F1770" s="58" t="s">
        <v>16288</v>
      </c>
      <c r="H1770" s="58" t="s">
        <v>10379</v>
      </c>
      <c r="I1770" s="58" t="s">
        <v>16289</v>
      </c>
      <c r="K1770" s="73">
        <v>45281.0</v>
      </c>
      <c r="R1770" s="58">
        <v>1.0</v>
      </c>
      <c r="Z1770" s="58" t="s">
        <v>239</v>
      </c>
      <c r="CI1770" s="73">
        <v>45281.0</v>
      </c>
      <c r="CJ1770" s="58" t="s">
        <v>10655</v>
      </c>
      <c r="CK1770" s="58" t="s">
        <v>16135</v>
      </c>
      <c r="CM1770" s="58" t="s">
        <v>16290</v>
      </c>
      <c r="CO1770" s="58" t="s">
        <v>16291</v>
      </c>
      <c r="CU1770" s="58" t="s">
        <v>239</v>
      </c>
    </row>
    <row r="1771" ht="15.75" customHeight="1">
      <c r="B1771" s="58" t="s">
        <v>4587</v>
      </c>
      <c r="C1771" s="58">
        <v>2024.0</v>
      </c>
      <c r="E1771" s="58" t="s">
        <v>16292</v>
      </c>
      <c r="F1771" s="58" t="s">
        <v>14601</v>
      </c>
      <c r="H1771" s="58" t="s">
        <v>12057</v>
      </c>
      <c r="I1771" s="58" t="s">
        <v>16293</v>
      </c>
      <c r="K1771" s="73">
        <v>45656.0</v>
      </c>
      <c r="Z1771" s="58" t="s">
        <v>239</v>
      </c>
      <c r="CI1771" s="73">
        <v>45656.0</v>
      </c>
      <c r="CJ1771" s="58">
        <v>36.0</v>
      </c>
      <c r="CK1771" s="58">
        <v>62.0</v>
      </c>
      <c r="CM1771" s="58" t="s">
        <v>14605</v>
      </c>
      <c r="CO1771" s="58" t="s">
        <v>16294</v>
      </c>
      <c r="CU1771" s="58" t="s">
        <v>239</v>
      </c>
    </row>
    <row r="1772" ht="15.75" customHeight="1">
      <c r="B1772" s="58" t="s">
        <v>4587</v>
      </c>
      <c r="C1772" s="58">
        <v>2023.0</v>
      </c>
      <c r="E1772" s="58" t="s">
        <v>10597</v>
      </c>
      <c r="F1772" s="58" t="s">
        <v>12321</v>
      </c>
      <c r="I1772" s="58" t="s">
        <v>16295</v>
      </c>
      <c r="K1772" s="73">
        <v>45083.0</v>
      </c>
      <c r="Z1772" s="58" t="s">
        <v>239</v>
      </c>
      <c r="CI1772" s="73">
        <v>45083.0</v>
      </c>
      <c r="CJ1772" s="58" t="s">
        <v>10564</v>
      </c>
      <c r="CK1772" s="58" t="s">
        <v>10848</v>
      </c>
      <c r="CM1772" s="58" t="s">
        <v>12325</v>
      </c>
      <c r="CO1772" s="58" t="s">
        <v>16296</v>
      </c>
      <c r="CU1772" s="58" t="s">
        <v>239</v>
      </c>
    </row>
    <row r="1773" ht="15.75" customHeight="1">
      <c r="B1773" s="58" t="s">
        <v>4587</v>
      </c>
      <c r="C1773" s="58">
        <v>2024.0</v>
      </c>
      <c r="E1773" s="58" t="s">
        <v>16297</v>
      </c>
      <c r="F1773" s="58" t="s">
        <v>16170</v>
      </c>
      <c r="H1773" s="58" t="s">
        <v>11874</v>
      </c>
      <c r="I1773" s="58" t="s">
        <v>16298</v>
      </c>
      <c r="K1773" s="73">
        <v>45547.0</v>
      </c>
      <c r="Z1773" s="58" t="s">
        <v>239</v>
      </c>
      <c r="CI1773" s="73">
        <v>45547.0</v>
      </c>
      <c r="CJ1773" s="58" t="s">
        <v>16299</v>
      </c>
      <c r="CK1773" s="58" t="s">
        <v>15958</v>
      </c>
      <c r="CM1773" s="58" t="s">
        <v>16172</v>
      </c>
      <c r="CO1773" s="58" t="s">
        <v>16300</v>
      </c>
      <c r="CU1773" s="58" t="s">
        <v>239</v>
      </c>
    </row>
    <row r="1774" ht="15.75" customHeight="1">
      <c r="B1774" s="58" t="s">
        <v>4587</v>
      </c>
      <c r="C1774" s="58">
        <v>2023.0</v>
      </c>
      <c r="E1774" s="58" t="s">
        <v>10597</v>
      </c>
      <c r="F1774" s="58" t="s">
        <v>16301</v>
      </c>
      <c r="I1774" s="58" t="s">
        <v>16302</v>
      </c>
      <c r="K1774" s="73">
        <v>45393.0</v>
      </c>
      <c r="Z1774" s="58" t="s">
        <v>239</v>
      </c>
      <c r="CI1774" s="73">
        <v>45393.0</v>
      </c>
      <c r="CJ1774" s="58">
        <v>5.0</v>
      </c>
      <c r="CK1774" s="58">
        <v>28.0</v>
      </c>
      <c r="CM1774" s="58" t="s">
        <v>16303</v>
      </c>
      <c r="CO1774" s="58" t="s">
        <v>16304</v>
      </c>
      <c r="CU1774" s="58" t="s">
        <v>239</v>
      </c>
    </row>
    <row r="1775" ht="15.75" customHeight="1">
      <c r="B1775" s="58" t="s">
        <v>4587</v>
      </c>
      <c r="C1775" s="58">
        <v>2023.0</v>
      </c>
      <c r="E1775" s="58" t="s">
        <v>10597</v>
      </c>
      <c r="F1775" s="58" t="s">
        <v>11232</v>
      </c>
      <c r="H1775" s="58" t="s">
        <v>6872</v>
      </c>
      <c r="I1775" s="58" t="s">
        <v>16305</v>
      </c>
      <c r="K1775" s="73">
        <v>45120.0</v>
      </c>
      <c r="Z1775" s="58" t="s">
        <v>239</v>
      </c>
      <c r="CI1775" s="73">
        <v>45120.0</v>
      </c>
      <c r="CJ1775" s="58" t="s">
        <v>16306</v>
      </c>
      <c r="CK1775" s="58" t="s">
        <v>16307</v>
      </c>
      <c r="CM1775" s="58" t="s">
        <v>11236</v>
      </c>
      <c r="CO1775" s="58" t="s">
        <v>16308</v>
      </c>
      <c r="CU1775" s="58" t="s">
        <v>239</v>
      </c>
    </row>
    <row r="1776" ht="15.75" customHeight="1">
      <c r="B1776" s="58" t="s">
        <v>4587</v>
      </c>
      <c r="C1776" s="58">
        <v>2023.0</v>
      </c>
      <c r="E1776" s="58" t="s">
        <v>10597</v>
      </c>
      <c r="F1776" s="58" t="s">
        <v>16309</v>
      </c>
      <c r="I1776" s="58" t="s">
        <v>16310</v>
      </c>
      <c r="K1776" s="73">
        <v>45188.0</v>
      </c>
      <c r="Z1776" s="58" t="s">
        <v>239</v>
      </c>
      <c r="CI1776" s="73">
        <v>45188.0</v>
      </c>
      <c r="CJ1776" s="58" t="s">
        <v>10564</v>
      </c>
      <c r="CK1776" s="58" t="s">
        <v>10594</v>
      </c>
      <c r="CM1776" s="58" t="s">
        <v>16311</v>
      </c>
      <c r="CO1776" s="58" t="s">
        <v>16312</v>
      </c>
      <c r="CU1776" s="58" t="s">
        <v>239</v>
      </c>
    </row>
    <row r="1777" ht="15.75" customHeight="1">
      <c r="B1777" s="58" t="s">
        <v>4587</v>
      </c>
      <c r="C1777" s="58">
        <v>2023.0</v>
      </c>
      <c r="E1777" s="58" t="s">
        <v>10942</v>
      </c>
      <c r="F1777" s="58" t="s">
        <v>12362</v>
      </c>
      <c r="I1777" s="58" t="s">
        <v>16313</v>
      </c>
      <c r="K1777" s="73">
        <v>45337.0</v>
      </c>
      <c r="Z1777" s="58" t="s">
        <v>239</v>
      </c>
      <c r="CI1777" s="73">
        <v>45337.0</v>
      </c>
      <c r="CJ1777" s="58" t="s">
        <v>10857</v>
      </c>
      <c r="CK1777" s="58" t="s">
        <v>10594</v>
      </c>
      <c r="CM1777" s="58" t="s">
        <v>12366</v>
      </c>
      <c r="CO1777" s="58" t="s">
        <v>16314</v>
      </c>
      <c r="CU1777" s="58" t="s">
        <v>239</v>
      </c>
    </row>
    <row r="1778" ht="15.75" customHeight="1">
      <c r="B1778" s="58" t="s">
        <v>4587</v>
      </c>
      <c r="C1778" s="58">
        <v>2023.0</v>
      </c>
      <c r="E1778" s="58" t="s">
        <v>10597</v>
      </c>
      <c r="F1778" s="58" t="s">
        <v>11334</v>
      </c>
      <c r="H1778" s="58" t="s">
        <v>9205</v>
      </c>
      <c r="I1778" s="58" t="s">
        <v>16315</v>
      </c>
      <c r="K1778" s="73">
        <v>45012.0</v>
      </c>
      <c r="Z1778" s="58" t="s">
        <v>239</v>
      </c>
      <c r="CI1778" s="73">
        <v>45012.0</v>
      </c>
      <c r="CJ1778" s="58">
        <v>5.0</v>
      </c>
      <c r="CK1778" s="58">
        <v>20.0</v>
      </c>
      <c r="CM1778" s="58" t="s">
        <v>11338</v>
      </c>
      <c r="CO1778" s="58" t="s">
        <v>16316</v>
      </c>
      <c r="CU1778" s="58" t="s">
        <v>239</v>
      </c>
    </row>
    <row r="1779" ht="15.75" customHeight="1">
      <c r="B1779" s="58" t="s">
        <v>4587</v>
      </c>
      <c r="C1779" s="58">
        <v>2023.0</v>
      </c>
      <c r="E1779" s="58" t="s">
        <v>16317</v>
      </c>
      <c r="F1779" s="58" t="s">
        <v>16197</v>
      </c>
      <c r="I1779" s="58" t="s">
        <v>16318</v>
      </c>
      <c r="K1779" s="73">
        <v>45378.0</v>
      </c>
      <c r="Z1779" s="58" t="s">
        <v>239</v>
      </c>
      <c r="CI1779" s="73">
        <v>45378.0</v>
      </c>
      <c r="CJ1779" s="58">
        <v>1.0</v>
      </c>
      <c r="CK1779" s="58">
        <v>17.0</v>
      </c>
      <c r="CM1779" s="58" t="s">
        <v>16199</v>
      </c>
      <c r="CO1779" s="58" t="s">
        <v>16319</v>
      </c>
      <c r="CU1779" s="58" t="s">
        <v>239</v>
      </c>
    </row>
    <row r="1780" ht="15.75" customHeight="1">
      <c r="B1780" s="58" t="s">
        <v>4587</v>
      </c>
      <c r="C1780" s="58">
        <v>2024.0</v>
      </c>
      <c r="E1780" s="58" t="s">
        <v>10597</v>
      </c>
      <c r="F1780" s="58" t="s">
        <v>16320</v>
      </c>
      <c r="H1780" s="58" t="s">
        <v>16321</v>
      </c>
      <c r="I1780" s="58" t="s">
        <v>16322</v>
      </c>
      <c r="K1780" s="73">
        <v>45525.0</v>
      </c>
      <c r="Z1780" s="58" t="s">
        <v>239</v>
      </c>
      <c r="CI1780" s="73">
        <v>45525.0</v>
      </c>
      <c r="CJ1780" s="58">
        <v>1.0</v>
      </c>
      <c r="CK1780" s="58">
        <v>14.0</v>
      </c>
      <c r="CM1780" s="58" t="s">
        <v>16323</v>
      </c>
      <c r="CO1780" s="58" t="s">
        <v>16324</v>
      </c>
      <c r="CU1780" s="58" t="s">
        <v>239</v>
      </c>
    </row>
    <row r="1781" ht="15.75" customHeight="1">
      <c r="B1781" s="58" t="s">
        <v>4587</v>
      </c>
      <c r="C1781" s="58">
        <v>2024.0</v>
      </c>
      <c r="E1781" s="58" t="s">
        <v>16325</v>
      </c>
      <c r="F1781" s="58" t="s">
        <v>11419</v>
      </c>
      <c r="H1781" s="58" t="s">
        <v>5264</v>
      </c>
      <c r="I1781" s="58" t="s">
        <v>16326</v>
      </c>
      <c r="K1781" s="73">
        <v>45475.0</v>
      </c>
      <c r="Z1781" s="58" t="s">
        <v>239</v>
      </c>
      <c r="CI1781" s="73">
        <v>45475.0</v>
      </c>
      <c r="CJ1781" s="58" t="s">
        <v>10662</v>
      </c>
      <c r="CK1781" s="58" t="s">
        <v>16327</v>
      </c>
      <c r="CM1781" s="58" t="s">
        <v>11423</v>
      </c>
      <c r="CO1781" s="58" t="s">
        <v>16328</v>
      </c>
      <c r="CU1781" s="58" t="s">
        <v>239</v>
      </c>
    </row>
    <row r="1782" ht="15.75" customHeight="1">
      <c r="B1782" s="58" t="s">
        <v>4587</v>
      </c>
      <c r="C1782" s="58">
        <v>2024.0</v>
      </c>
      <c r="E1782" s="58" t="s">
        <v>16329</v>
      </c>
      <c r="F1782" s="58" t="s">
        <v>16262</v>
      </c>
      <c r="H1782" s="58" t="s">
        <v>16263</v>
      </c>
      <c r="I1782" s="58" t="s">
        <v>16330</v>
      </c>
      <c r="K1782" s="73">
        <v>45350.0</v>
      </c>
      <c r="Z1782" s="58" t="s">
        <v>239</v>
      </c>
      <c r="CI1782" s="73">
        <v>45350.0</v>
      </c>
      <c r="CJ1782" s="58" t="s">
        <v>10564</v>
      </c>
      <c r="CK1782" s="58" t="s">
        <v>10694</v>
      </c>
      <c r="CM1782" s="58" t="s">
        <v>16266</v>
      </c>
      <c r="CO1782" s="58" t="s">
        <v>16331</v>
      </c>
      <c r="CU1782" s="58" t="s">
        <v>239</v>
      </c>
    </row>
    <row r="1783" ht="15.75" customHeight="1">
      <c r="B1783" s="58" t="s">
        <v>4587</v>
      </c>
      <c r="C1783" s="58">
        <v>2025.0</v>
      </c>
      <c r="E1783" s="58" t="s">
        <v>10597</v>
      </c>
      <c r="F1783" s="58" t="s">
        <v>13232</v>
      </c>
      <c r="I1783" s="58" t="s">
        <v>16332</v>
      </c>
      <c r="K1783" s="73">
        <v>45729.0</v>
      </c>
      <c r="Z1783" s="58" t="s">
        <v>239</v>
      </c>
      <c r="CI1783" s="73">
        <v>45729.0</v>
      </c>
      <c r="CJ1783" s="58">
        <v>1.0</v>
      </c>
      <c r="CK1783" s="58">
        <v>21.0</v>
      </c>
      <c r="CM1783" s="58" t="s">
        <v>13236</v>
      </c>
      <c r="CO1783" s="58" t="s">
        <v>16333</v>
      </c>
      <c r="CU1783" s="58" t="s">
        <v>239</v>
      </c>
    </row>
    <row r="1784" ht="15.75" customHeight="1">
      <c r="B1784" s="58" t="s">
        <v>4587</v>
      </c>
      <c r="C1784" s="58">
        <v>2023.0</v>
      </c>
      <c r="E1784" s="58" t="s">
        <v>10597</v>
      </c>
      <c r="F1784" s="58" t="s">
        <v>12117</v>
      </c>
      <c r="H1784" s="58" t="s">
        <v>12118</v>
      </c>
      <c r="I1784" s="58" t="s">
        <v>16334</v>
      </c>
      <c r="K1784" s="73">
        <v>45292.0</v>
      </c>
      <c r="Z1784" s="58" t="s">
        <v>239</v>
      </c>
      <c r="CI1784" s="73">
        <v>45292.0</v>
      </c>
      <c r="CJ1784" s="58">
        <v>5.0</v>
      </c>
      <c r="CK1784" s="58">
        <v>12.0</v>
      </c>
      <c r="CM1784" s="58" t="s">
        <v>12122</v>
      </c>
      <c r="CO1784" s="58" t="s">
        <v>16335</v>
      </c>
      <c r="CU1784" s="58" t="s">
        <v>239</v>
      </c>
    </row>
    <row r="1785" ht="15.75" customHeight="1">
      <c r="B1785" s="58" t="s">
        <v>4587</v>
      </c>
      <c r="C1785" s="58">
        <v>2024.0</v>
      </c>
      <c r="E1785" s="58" t="s">
        <v>10597</v>
      </c>
      <c r="F1785" s="58" t="s">
        <v>16336</v>
      </c>
      <c r="H1785" s="58" t="s">
        <v>16337</v>
      </c>
      <c r="I1785" s="58" t="s">
        <v>16338</v>
      </c>
      <c r="K1785" s="73">
        <v>45708.0</v>
      </c>
      <c r="Z1785" s="58" t="s">
        <v>239</v>
      </c>
      <c r="CI1785" s="73">
        <v>45708.0</v>
      </c>
      <c r="CJ1785" s="58">
        <v>6.0</v>
      </c>
      <c r="CK1785" s="58">
        <v>53.0</v>
      </c>
      <c r="CM1785" s="58" t="s">
        <v>16339</v>
      </c>
      <c r="CO1785" s="58" t="s">
        <v>16340</v>
      </c>
      <c r="CU1785" s="58" t="s">
        <v>239</v>
      </c>
    </row>
    <row r="1786" ht="15.75" customHeight="1">
      <c r="B1786" s="58" t="s">
        <v>4587</v>
      </c>
      <c r="C1786" s="58">
        <v>2023.0</v>
      </c>
      <c r="E1786" s="58" t="s">
        <v>16341</v>
      </c>
      <c r="F1786" s="58" t="s">
        <v>12735</v>
      </c>
      <c r="H1786" s="58" t="s">
        <v>12736</v>
      </c>
      <c r="I1786" s="58" t="s">
        <v>16342</v>
      </c>
      <c r="K1786" s="73">
        <v>45412.0</v>
      </c>
      <c r="Z1786" s="58" t="s">
        <v>239</v>
      </c>
      <c r="CI1786" s="73">
        <v>45412.0</v>
      </c>
      <c r="CJ1786" s="58" t="s">
        <v>10693</v>
      </c>
      <c r="CK1786" s="58" t="s">
        <v>11026</v>
      </c>
      <c r="CM1786" s="58" t="s">
        <v>12740</v>
      </c>
      <c r="CO1786" s="58" t="s">
        <v>16343</v>
      </c>
      <c r="CU1786" s="58" t="s">
        <v>239</v>
      </c>
    </row>
    <row r="1787" ht="15.75" customHeight="1">
      <c r="B1787" s="58" t="s">
        <v>4587</v>
      </c>
      <c r="C1787" s="58">
        <v>2024.0</v>
      </c>
      <c r="E1787" s="58" t="s">
        <v>16344</v>
      </c>
      <c r="F1787" s="58" t="s">
        <v>16345</v>
      </c>
      <c r="I1787" s="58" t="s">
        <v>16346</v>
      </c>
      <c r="K1787" s="73">
        <v>45600.0</v>
      </c>
      <c r="R1787" s="58">
        <v>1.0</v>
      </c>
      <c r="Z1787" s="58" t="s">
        <v>239</v>
      </c>
      <c r="CI1787" s="73">
        <v>45600.0</v>
      </c>
      <c r="CJ1787" s="58" t="s">
        <v>10564</v>
      </c>
      <c r="CK1787" s="58" t="s">
        <v>10998</v>
      </c>
      <c r="CM1787" s="58" t="s">
        <v>16347</v>
      </c>
      <c r="CO1787" s="58" t="s">
        <v>16348</v>
      </c>
      <c r="CU1787" s="58" t="s">
        <v>239</v>
      </c>
    </row>
    <row r="1788" ht="15.75" customHeight="1">
      <c r="B1788" s="58" t="s">
        <v>4587</v>
      </c>
      <c r="C1788" s="58">
        <v>2024.0</v>
      </c>
      <c r="E1788" s="58" t="s">
        <v>10734</v>
      </c>
      <c r="F1788" s="58" t="s">
        <v>16349</v>
      </c>
      <c r="H1788" s="58" t="s">
        <v>11572</v>
      </c>
      <c r="I1788" s="58" t="s">
        <v>16350</v>
      </c>
      <c r="K1788" s="73">
        <v>45338.0</v>
      </c>
      <c r="Z1788" s="58" t="s">
        <v>239</v>
      </c>
      <c r="CI1788" s="73">
        <v>45338.0</v>
      </c>
      <c r="CJ1788" s="58">
        <v>1.0</v>
      </c>
      <c r="CK1788" s="58">
        <v>24.0</v>
      </c>
      <c r="CM1788" s="58" t="s">
        <v>16351</v>
      </c>
      <c r="CO1788" s="58" t="s">
        <v>16352</v>
      </c>
      <c r="CU1788" s="58" t="s">
        <v>239</v>
      </c>
    </row>
    <row r="1789" ht="15.75" customHeight="1">
      <c r="B1789" s="58" t="s">
        <v>4587</v>
      </c>
      <c r="C1789" s="58">
        <v>2023.0</v>
      </c>
      <c r="E1789" s="58" t="s">
        <v>16353</v>
      </c>
      <c r="F1789" s="58" t="s">
        <v>16354</v>
      </c>
      <c r="H1789" s="58" t="s">
        <v>6074</v>
      </c>
      <c r="I1789" s="58" t="s">
        <v>16355</v>
      </c>
      <c r="K1789" s="73">
        <v>45209.0</v>
      </c>
      <c r="Z1789" s="58" t="s">
        <v>239</v>
      </c>
      <c r="CI1789" s="73">
        <v>45209.0</v>
      </c>
      <c r="CJ1789" s="58" t="s">
        <v>10564</v>
      </c>
      <c r="CK1789" s="58" t="s">
        <v>10601</v>
      </c>
      <c r="CM1789" s="58" t="s">
        <v>16356</v>
      </c>
      <c r="CO1789" s="58" t="s">
        <v>16357</v>
      </c>
    </row>
    <row r="1790" ht="15.75" customHeight="1">
      <c r="B1790" s="58" t="s">
        <v>4587</v>
      </c>
      <c r="C1790" s="58">
        <v>2024.0</v>
      </c>
      <c r="E1790" s="58" t="s">
        <v>16358</v>
      </c>
      <c r="F1790" s="58" t="s">
        <v>14601</v>
      </c>
      <c r="H1790" s="58" t="s">
        <v>12057</v>
      </c>
      <c r="I1790" s="58" t="s">
        <v>16359</v>
      </c>
      <c r="K1790" s="73">
        <v>45656.0</v>
      </c>
      <c r="Z1790" s="58" t="s">
        <v>239</v>
      </c>
      <c r="CI1790" s="73">
        <v>45656.0</v>
      </c>
      <c r="CJ1790" s="58">
        <v>2.0</v>
      </c>
      <c r="CK1790" s="58">
        <v>13.0</v>
      </c>
      <c r="CM1790" s="58" t="s">
        <v>14605</v>
      </c>
      <c r="CO1790" s="58" t="s">
        <v>16360</v>
      </c>
      <c r="CU1790" s="58" t="s">
        <v>239</v>
      </c>
    </row>
    <row r="1791" ht="15.75" customHeight="1">
      <c r="B1791" s="58" t="s">
        <v>4587</v>
      </c>
      <c r="C1791" s="58">
        <v>2024.0</v>
      </c>
      <c r="E1791" s="58" t="s">
        <v>10597</v>
      </c>
      <c r="F1791" s="58" t="s">
        <v>16361</v>
      </c>
      <c r="I1791" s="58" t="s">
        <v>16362</v>
      </c>
      <c r="K1791" s="73">
        <v>45665.0</v>
      </c>
      <c r="Z1791" s="58" t="s">
        <v>239</v>
      </c>
      <c r="CI1791" s="73">
        <v>45665.0</v>
      </c>
      <c r="CJ1791" s="58">
        <v>3.0</v>
      </c>
      <c r="CK1791" s="58">
        <v>40.0</v>
      </c>
      <c r="CM1791" s="58" t="s">
        <v>1753</v>
      </c>
      <c r="CO1791" s="58" t="s">
        <v>16363</v>
      </c>
      <c r="CU1791" s="58" t="s">
        <v>239</v>
      </c>
    </row>
    <row r="1792" ht="15.75" customHeight="1">
      <c r="B1792" s="58" t="s">
        <v>4587</v>
      </c>
      <c r="C1792" s="58">
        <v>2023.0</v>
      </c>
      <c r="E1792" s="58" t="s">
        <v>10597</v>
      </c>
      <c r="F1792" s="58" t="s">
        <v>16364</v>
      </c>
      <c r="H1792" s="58" t="s">
        <v>16365</v>
      </c>
      <c r="I1792" s="58" t="s">
        <v>16366</v>
      </c>
      <c r="K1792" s="73">
        <v>45121.0</v>
      </c>
      <c r="Z1792" s="58" t="s">
        <v>239</v>
      </c>
      <c r="CI1792" s="73">
        <v>45121.0</v>
      </c>
      <c r="CJ1792" s="58" t="s">
        <v>10627</v>
      </c>
      <c r="CK1792" s="58" t="s">
        <v>10787</v>
      </c>
      <c r="CM1792" s="58" t="s">
        <v>16367</v>
      </c>
      <c r="CO1792" s="58" t="s">
        <v>16368</v>
      </c>
      <c r="CU1792" s="58" t="s">
        <v>239</v>
      </c>
    </row>
    <row r="1793" ht="15.75" customHeight="1">
      <c r="B1793" s="58" t="s">
        <v>4587</v>
      </c>
      <c r="C1793" s="58">
        <v>2024.0</v>
      </c>
      <c r="E1793" s="58" t="s">
        <v>16369</v>
      </c>
      <c r="F1793" s="58" t="s">
        <v>16144</v>
      </c>
      <c r="H1793" s="58" t="s">
        <v>15888</v>
      </c>
      <c r="I1793" s="58" t="s">
        <v>16370</v>
      </c>
      <c r="K1793" s="73">
        <v>45553.0</v>
      </c>
      <c r="Z1793" s="58" t="s">
        <v>239</v>
      </c>
      <c r="CI1793" s="73">
        <v>45553.0</v>
      </c>
      <c r="CJ1793" s="58" t="s">
        <v>10564</v>
      </c>
      <c r="CK1793" s="58" t="s">
        <v>16204</v>
      </c>
      <c r="CM1793" s="58" t="s">
        <v>16146</v>
      </c>
      <c r="CO1793" s="58" t="s">
        <v>16371</v>
      </c>
      <c r="CU1793" s="58" t="s">
        <v>239</v>
      </c>
    </row>
    <row r="1794" ht="15.75" customHeight="1">
      <c r="B1794" s="58" t="s">
        <v>4587</v>
      </c>
      <c r="C1794" s="58">
        <v>2024.0</v>
      </c>
      <c r="E1794" s="58" t="s">
        <v>16372</v>
      </c>
      <c r="F1794" s="58" t="s">
        <v>16373</v>
      </c>
      <c r="I1794" s="58" t="s">
        <v>16374</v>
      </c>
      <c r="K1794" s="73">
        <v>45547.0</v>
      </c>
      <c r="Z1794" s="58" t="s">
        <v>239</v>
      </c>
      <c r="CI1794" s="73">
        <v>45547.0</v>
      </c>
      <c r="CJ1794" s="58" t="s">
        <v>10564</v>
      </c>
      <c r="CK1794" s="58" t="s">
        <v>15952</v>
      </c>
      <c r="CM1794" s="58" t="s">
        <v>16375</v>
      </c>
      <c r="CO1794" s="58" t="s">
        <v>16376</v>
      </c>
      <c r="CU1794" s="58" t="s">
        <v>239</v>
      </c>
    </row>
    <row r="1795" ht="15.75" customHeight="1">
      <c r="B1795" s="58" t="s">
        <v>4587</v>
      </c>
      <c r="C1795" s="58">
        <v>2024.0</v>
      </c>
      <c r="E1795" s="58" t="s">
        <v>16029</v>
      </c>
      <c r="F1795" s="58" t="s">
        <v>13635</v>
      </c>
      <c r="H1795" s="58" t="s">
        <v>4972</v>
      </c>
      <c r="I1795" s="58" t="s">
        <v>16377</v>
      </c>
      <c r="K1795" s="73">
        <v>45516.0</v>
      </c>
      <c r="Z1795" s="58" t="s">
        <v>239</v>
      </c>
      <c r="CI1795" s="73">
        <v>45516.0</v>
      </c>
      <c r="CJ1795" s="58">
        <v>4.0</v>
      </c>
      <c r="CK1795" s="58">
        <v>68.0</v>
      </c>
      <c r="CM1795" s="58" t="s">
        <v>13639</v>
      </c>
      <c r="CO1795" s="58" t="s">
        <v>16378</v>
      </c>
      <c r="CU1795" s="58" t="s">
        <v>239</v>
      </c>
    </row>
    <row r="1796" ht="15.75" customHeight="1">
      <c r="B1796" s="58" t="s">
        <v>4587</v>
      </c>
      <c r="C1796" s="58">
        <v>2024.0</v>
      </c>
      <c r="E1796" s="58" t="s">
        <v>10612</v>
      </c>
      <c r="F1796" s="58" t="s">
        <v>15995</v>
      </c>
      <c r="I1796" s="58" t="s">
        <v>16379</v>
      </c>
      <c r="K1796" s="73">
        <v>45574.0</v>
      </c>
      <c r="Z1796" s="58" t="s">
        <v>239</v>
      </c>
      <c r="CI1796" s="73">
        <v>45574.0</v>
      </c>
      <c r="CJ1796" s="58">
        <v>28.0</v>
      </c>
      <c r="CK1796" s="58">
        <v>36.0</v>
      </c>
      <c r="CM1796" s="58" t="s">
        <v>15997</v>
      </c>
      <c r="CO1796" s="58" t="s">
        <v>16380</v>
      </c>
      <c r="CU1796" s="58" t="s">
        <v>239</v>
      </c>
    </row>
    <row r="1797" ht="15.75" customHeight="1">
      <c r="B1797" s="58" t="s">
        <v>4587</v>
      </c>
      <c r="C1797" s="58">
        <v>2024.0</v>
      </c>
      <c r="E1797" s="58" t="s">
        <v>10597</v>
      </c>
      <c r="F1797" s="58" t="s">
        <v>15973</v>
      </c>
      <c r="I1797" s="58" t="s">
        <v>16381</v>
      </c>
      <c r="K1797" s="73">
        <v>45672.0</v>
      </c>
      <c r="Z1797" s="58" t="s">
        <v>239</v>
      </c>
      <c r="CI1797" s="73">
        <v>45672.0</v>
      </c>
      <c r="CJ1797" s="58">
        <v>1.0</v>
      </c>
      <c r="CK1797" s="58">
        <v>8.0</v>
      </c>
      <c r="CM1797" s="58" t="s">
        <v>15975</v>
      </c>
      <c r="CO1797" s="58" t="s">
        <v>16382</v>
      </c>
      <c r="CU1797" s="58" t="s">
        <v>239</v>
      </c>
    </row>
    <row r="1798" ht="15.75" customHeight="1">
      <c r="B1798" s="58" t="s">
        <v>4587</v>
      </c>
      <c r="C1798" s="58">
        <v>2025.0</v>
      </c>
      <c r="E1798" s="58" t="s">
        <v>16383</v>
      </c>
      <c r="F1798" s="58" t="s">
        <v>13597</v>
      </c>
      <c r="H1798" s="58" t="s">
        <v>11572</v>
      </c>
      <c r="I1798" s="58" t="s">
        <v>16384</v>
      </c>
      <c r="K1798" s="73">
        <v>45708.0</v>
      </c>
      <c r="Z1798" s="58" t="s">
        <v>239</v>
      </c>
      <c r="CI1798" s="73">
        <v>45708.0</v>
      </c>
      <c r="CJ1798" s="58" t="s">
        <v>10564</v>
      </c>
      <c r="CK1798" s="58" t="s">
        <v>10907</v>
      </c>
      <c r="CM1798" s="58" t="s">
        <v>13601</v>
      </c>
      <c r="CO1798" s="58" t="s">
        <v>16385</v>
      </c>
      <c r="CU1798" s="58" t="s">
        <v>239</v>
      </c>
    </row>
    <row r="1799" ht="15.75" customHeight="1">
      <c r="B1799" s="58" t="s">
        <v>4587</v>
      </c>
      <c r="C1799" s="58">
        <v>2023.0</v>
      </c>
      <c r="E1799" s="58" t="s">
        <v>10597</v>
      </c>
      <c r="F1799" s="58" t="s">
        <v>16386</v>
      </c>
      <c r="I1799" s="58" t="s">
        <v>16387</v>
      </c>
      <c r="K1799" s="73">
        <v>45266.0</v>
      </c>
      <c r="Z1799" s="58" t="s">
        <v>239</v>
      </c>
      <c r="CI1799" s="73">
        <v>45266.0</v>
      </c>
      <c r="CJ1799" s="58">
        <v>1.0</v>
      </c>
      <c r="CK1799" s="58">
        <v>37.0</v>
      </c>
      <c r="CM1799" s="58" t="s">
        <v>16388</v>
      </c>
      <c r="CO1799" s="58" t="s">
        <v>16389</v>
      </c>
      <c r="CU1799" s="58" t="s">
        <v>239</v>
      </c>
    </row>
    <row r="1800" ht="15.75" customHeight="1">
      <c r="B1800" s="58" t="s">
        <v>4587</v>
      </c>
      <c r="C1800" s="58">
        <v>2023.0</v>
      </c>
      <c r="E1800" s="58" t="s">
        <v>10597</v>
      </c>
      <c r="F1800" s="58" t="s">
        <v>16288</v>
      </c>
      <c r="H1800" s="58" t="s">
        <v>10379</v>
      </c>
      <c r="I1800" s="58" t="s">
        <v>16390</v>
      </c>
      <c r="K1800" s="73">
        <v>45281.0</v>
      </c>
      <c r="R1800" s="58">
        <v>1.0</v>
      </c>
      <c r="Z1800" s="58" t="s">
        <v>239</v>
      </c>
      <c r="CI1800" s="73">
        <v>45281.0</v>
      </c>
      <c r="CJ1800" s="58" t="s">
        <v>10655</v>
      </c>
      <c r="CK1800" s="58" t="s">
        <v>16135</v>
      </c>
      <c r="CM1800" s="58" t="s">
        <v>16290</v>
      </c>
      <c r="CO1800" s="58" t="s">
        <v>16391</v>
      </c>
      <c r="CU1800" s="58" t="s">
        <v>239</v>
      </c>
    </row>
    <row r="1801" ht="15.75" customHeight="1">
      <c r="B1801" s="58" t="s">
        <v>16392</v>
      </c>
      <c r="C1801" s="58">
        <v>2017.0</v>
      </c>
      <c r="D1801" s="58" t="s">
        <v>16393</v>
      </c>
      <c r="E1801" s="58" t="s">
        <v>16394</v>
      </c>
      <c r="F1801" s="58" t="s">
        <v>16395</v>
      </c>
      <c r="H1801" s="58" t="s">
        <v>16396</v>
      </c>
      <c r="I1801" s="58" t="s">
        <v>16397</v>
      </c>
      <c r="K1801" s="73">
        <v>42873.0</v>
      </c>
      <c r="Q1801" s="58">
        <v>3.0</v>
      </c>
      <c r="R1801" s="58">
        <v>19.0</v>
      </c>
      <c r="Z1801" s="58" t="s">
        <v>239</v>
      </c>
      <c r="CH1801" s="58" t="s">
        <v>16398</v>
      </c>
      <c r="CI1801" s="73">
        <v>42968.0</v>
      </c>
      <c r="CJ1801" s="58">
        <v>1657.0</v>
      </c>
      <c r="CK1801" s="58">
        <v>1681.0</v>
      </c>
      <c r="CL1801" s="58" t="s">
        <v>16399</v>
      </c>
      <c r="CN1801" s="58" t="s">
        <v>16400</v>
      </c>
      <c r="CO1801" s="58" t="s">
        <v>16401</v>
      </c>
      <c r="CP1801" s="58" t="s">
        <v>16402</v>
      </c>
      <c r="CR1801" s="58">
        <v>1361.0</v>
      </c>
      <c r="CT1801" s="58">
        <v>209.0</v>
      </c>
      <c r="CU1801" s="58" t="s">
        <v>239</v>
      </c>
      <c r="DL1801" s="58" t="s">
        <v>16403</v>
      </c>
    </row>
    <row r="1802" ht="15.75" customHeight="1">
      <c r="B1802" s="58" t="s">
        <v>16392</v>
      </c>
      <c r="C1802" s="58">
        <v>2020.0</v>
      </c>
      <c r="D1802" s="58" t="s">
        <v>16404</v>
      </c>
      <c r="E1802" s="58" t="s">
        <v>16405</v>
      </c>
      <c r="F1802" s="58" t="s">
        <v>16395</v>
      </c>
      <c r="H1802" s="58" t="s">
        <v>16396</v>
      </c>
      <c r="I1802" s="58" t="s">
        <v>16406</v>
      </c>
      <c r="K1802" s="73">
        <v>43860.0</v>
      </c>
      <c r="Q1802" s="58">
        <v>2.0</v>
      </c>
      <c r="R1802" s="58">
        <v>22.0</v>
      </c>
      <c r="Z1802" s="58" t="s">
        <v>239</v>
      </c>
      <c r="CH1802" s="58" t="s">
        <v>16407</v>
      </c>
      <c r="CI1802" s="73">
        <v>43978.0</v>
      </c>
      <c r="CJ1802" s="58">
        <v>869.0</v>
      </c>
      <c r="CK1802" s="58">
        <v>904.0</v>
      </c>
      <c r="CL1802" s="58" t="s">
        <v>16408</v>
      </c>
      <c r="CN1802" s="58" t="s">
        <v>16409</v>
      </c>
      <c r="CO1802" s="58" t="s">
        <v>16410</v>
      </c>
      <c r="CP1802" s="58" t="s">
        <v>16411</v>
      </c>
      <c r="CR1802" s="58">
        <v>910.0</v>
      </c>
      <c r="CT1802" s="58">
        <v>134.0</v>
      </c>
      <c r="CU1802" s="58" t="s">
        <v>239</v>
      </c>
      <c r="DL1802" s="58" t="s">
        <v>16412</v>
      </c>
    </row>
    <row r="1803" ht="15.75" customHeight="1">
      <c r="B1803" s="58" t="s">
        <v>16392</v>
      </c>
      <c r="C1803" s="58">
        <v>2021.0</v>
      </c>
      <c r="D1803" s="58" t="s">
        <v>16413</v>
      </c>
      <c r="E1803" s="58" t="s">
        <v>16414</v>
      </c>
      <c r="F1803" s="58" t="s">
        <v>16415</v>
      </c>
      <c r="H1803" s="58" t="s">
        <v>16416</v>
      </c>
      <c r="I1803" s="58" t="s">
        <v>16417</v>
      </c>
      <c r="K1803" s="73">
        <v>44285.0</v>
      </c>
      <c r="Q1803" s="58">
        <v>7.0</v>
      </c>
      <c r="R1803" s="58">
        <v>109.0</v>
      </c>
      <c r="Z1803" s="58" t="s">
        <v>239</v>
      </c>
      <c r="CH1803" s="58" t="s">
        <v>16418</v>
      </c>
      <c r="CI1803" s="73">
        <v>44365.0</v>
      </c>
      <c r="CJ1803" s="58">
        <v>1166.0</v>
      </c>
      <c r="CK1803" s="58">
        <v>1199.0</v>
      </c>
      <c r="CL1803" s="58" t="s">
        <v>16419</v>
      </c>
      <c r="CN1803" s="58" t="s">
        <v>16420</v>
      </c>
      <c r="CO1803" s="58" t="s">
        <v>16421</v>
      </c>
      <c r="CP1803" s="58" t="s">
        <v>16422</v>
      </c>
      <c r="CR1803" s="58">
        <v>840.0</v>
      </c>
      <c r="CT1803" s="58">
        <v>194.0</v>
      </c>
      <c r="CU1803" s="58" t="s">
        <v>16423</v>
      </c>
      <c r="DL1803" s="58" t="s">
        <v>16424</v>
      </c>
    </row>
    <row r="1804" ht="15.75" customHeight="1">
      <c r="B1804" s="58" t="s">
        <v>16392</v>
      </c>
      <c r="C1804" s="58">
        <v>2018.0</v>
      </c>
      <c r="D1804" s="58" t="s">
        <v>16425</v>
      </c>
      <c r="E1804" s="58" t="s">
        <v>16426</v>
      </c>
      <c r="F1804" s="58" t="s">
        <v>16395</v>
      </c>
      <c r="H1804" s="58" t="s">
        <v>16396</v>
      </c>
      <c r="I1804" s="58" t="s">
        <v>16427</v>
      </c>
      <c r="K1804" s="73">
        <v>43180.0</v>
      </c>
      <c r="Q1804" s="58">
        <v>3.0</v>
      </c>
      <c r="R1804" s="58">
        <v>20.0</v>
      </c>
      <c r="Z1804" s="58" t="s">
        <v>239</v>
      </c>
      <c r="CH1804" s="58" t="s">
        <v>16428</v>
      </c>
      <c r="CI1804" s="73">
        <v>43333.0</v>
      </c>
      <c r="CJ1804" s="58">
        <v>2429.0</v>
      </c>
      <c r="CK1804" s="58">
        <v>2453.0</v>
      </c>
      <c r="CL1804" s="58" t="s">
        <v>16429</v>
      </c>
      <c r="CN1804" s="58" t="s">
        <v>16430</v>
      </c>
      <c r="CO1804" s="58" t="s">
        <v>16431</v>
      </c>
      <c r="CP1804" s="58" t="s">
        <v>16432</v>
      </c>
      <c r="CR1804" s="58">
        <v>808.0</v>
      </c>
      <c r="CT1804" s="58">
        <v>169.0</v>
      </c>
      <c r="CU1804" s="58" t="s">
        <v>239</v>
      </c>
      <c r="DL1804" s="58" t="s">
        <v>16433</v>
      </c>
    </row>
    <row r="1805" ht="15.75" customHeight="1">
      <c r="B1805" s="58" t="s">
        <v>16392</v>
      </c>
      <c r="C1805" s="58">
        <v>2018.0</v>
      </c>
      <c r="D1805" s="58" t="s">
        <v>16434</v>
      </c>
      <c r="E1805" s="58" t="s">
        <v>16435</v>
      </c>
      <c r="F1805" s="58" t="s">
        <v>16436</v>
      </c>
      <c r="H1805" s="58" t="s">
        <v>16437</v>
      </c>
      <c r="I1805" s="58" t="s">
        <v>16438</v>
      </c>
      <c r="K1805" s="73">
        <v>43251.0</v>
      </c>
      <c r="R1805" s="58">
        <v>6.0</v>
      </c>
      <c r="Z1805" s="58" t="s">
        <v>239</v>
      </c>
      <c r="CH1805" s="58" t="s">
        <v>16439</v>
      </c>
      <c r="CI1805" s="73">
        <v>43285.0</v>
      </c>
      <c r="CJ1805" s="58">
        <v>32979.0</v>
      </c>
      <c r="CK1805" s="58">
        <v>33001.0</v>
      </c>
      <c r="CL1805" s="58" t="s">
        <v>16440</v>
      </c>
      <c r="CN1805" s="58" t="s">
        <v>16441</v>
      </c>
      <c r="CO1805" s="58" t="s">
        <v>16442</v>
      </c>
      <c r="CP1805" s="58" t="s">
        <v>16443</v>
      </c>
      <c r="CR1805" s="58">
        <v>751.0</v>
      </c>
      <c r="CT1805" s="58">
        <v>209.0</v>
      </c>
      <c r="CU1805" s="58" t="s">
        <v>16444</v>
      </c>
      <c r="DL1805" s="58" t="s">
        <v>16445</v>
      </c>
    </row>
    <row r="1806" ht="15.75" customHeight="1">
      <c r="B1806" s="58" t="s">
        <v>16392</v>
      </c>
      <c r="C1806" s="58">
        <v>2023.0</v>
      </c>
      <c r="D1806" s="58" t="s">
        <v>16446</v>
      </c>
      <c r="E1806" s="58" t="s">
        <v>16447</v>
      </c>
      <c r="F1806" s="58" t="s">
        <v>16395</v>
      </c>
      <c r="H1806" s="58" t="s">
        <v>16396</v>
      </c>
      <c r="I1806" s="58" t="s">
        <v>16448</v>
      </c>
      <c r="K1806" s="73">
        <v>44984.0</v>
      </c>
      <c r="Q1806" s="58">
        <v>2.0</v>
      </c>
      <c r="R1806" s="58">
        <v>25.0</v>
      </c>
      <c r="Z1806" s="58" t="s">
        <v>239</v>
      </c>
      <c r="CH1806" s="58" t="s">
        <v>16449</v>
      </c>
      <c r="CI1806" s="73">
        <v>45068.0</v>
      </c>
      <c r="CJ1806" s="58">
        <v>905.0</v>
      </c>
      <c r="CK1806" s="58">
        <v>974.0</v>
      </c>
      <c r="CL1806" s="58" t="s">
        <v>16450</v>
      </c>
      <c r="CN1806" s="58" t="s">
        <v>16451</v>
      </c>
      <c r="CO1806" s="58" t="s">
        <v>16452</v>
      </c>
      <c r="CP1806" s="58" t="s">
        <v>16453</v>
      </c>
      <c r="CR1806" s="58">
        <v>660.0</v>
      </c>
      <c r="CT1806" s="58">
        <v>662.0</v>
      </c>
      <c r="CU1806" s="58" t="s">
        <v>239</v>
      </c>
      <c r="DL1806" s="58" t="s">
        <v>16454</v>
      </c>
    </row>
    <row r="1807" ht="15.75" customHeight="1">
      <c r="B1807" s="58" t="s">
        <v>16392</v>
      </c>
      <c r="C1807" s="58">
        <v>2020.0</v>
      </c>
      <c r="D1807" s="58" t="s">
        <v>16455</v>
      </c>
      <c r="E1807" s="58" t="s">
        <v>16456</v>
      </c>
      <c r="F1807" s="58" t="s">
        <v>16436</v>
      </c>
      <c r="H1807" s="58" t="s">
        <v>16437</v>
      </c>
      <c r="I1807" s="58" t="s">
        <v>16457</v>
      </c>
      <c r="K1807" s="73">
        <v>43952.0</v>
      </c>
      <c r="R1807" s="58">
        <v>8.0</v>
      </c>
      <c r="Z1807" s="58" t="s">
        <v>239</v>
      </c>
      <c r="CH1807" s="58" t="s">
        <v>16458</v>
      </c>
      <c r="CI1807" s="73">
        <v>43966.0</v>
      </c>
      <c r="CJ1807" s="58">
        <v>85714.0</v>
      </c>
      <c r="CK1807" s="58">
        <v>85728.0</v>
      </c>
      <c r="CL1807" s="58" t="s">
        <v>16459</v>
      </c>
      <c r="CN1807" s="58" t="s">
        <v>16460</v>
      </c>
      <c r="CO1807" s="58" t="s">
        <v>16461</v>
      </c>
      <c r="CP1807" s="58" t="s">
        <v>16462</v>
      </c>
      <c r="CR1807" s="58">
        <v>606.0</v>
      </c>
      <c r="CT1807" s="58">
        <v>62.0</v>
      </c>
      <c r="CU1807" s="58" t="s">
        <v>16423</v>
      </c>
      <c r="DL1807" s="58" t="s">
        <v>16463</v>
      </c>
    </row>
    <row r="1808" ht="15.75" customHeight="1">
      <c r="B1808" s="58" t="s">
        <v>16392</v>
      </c>
      <c r="C1808" s="58">
        <v>2020.0</v>
      </c>
      <c r="D1808" s="58" t="s">
        <v>16464</v>
      </c>
      <c r="E1808" s="58" t="s">
        <v>16465</v>
      </c>
      <c r="F1808" s="58" t="s">
        <v>16436</v>
      </c>
      <c r="H1808" s="58" t="s">
        <v>16437</v>
      </c>
      <c r="I1808" s="58" t="s">
        <v>16466</v>
      </c>
      <c r="K1808" s="73">
        <v>43908.0</v>
      </c>
      <c r="R1808" s="58">
        <v>8.0</v>
      </c>
      <c r="Z1808" s="58" t="s">
        <v>239</v>
      </c>
      <c r="CH1808" s="58" t="s">
        <v>16467</v>
      </c>
      <c r="CI1808" s="73">
        <v>43920.0</v>
      </c>
      <c r="CJ1808" s="58">
        <v>57063.0</v>
      </c>
      <c r="CK1808" s="58">
        <v>57074.0</v>
      </c>
      <c r="CL1808" s="58" t="s">
        <v>16468</v>
      </c>
      <c r="CN1808" s="58" t="s">
        <v>16469</v>
      </c>
      <c r="CO1808" s="58" t="s">
        <v>16470</v>
      </c>
      <c r="CP1808" s="58" t="s">
        <v>16471</v>
      </c>
      <c r="CR1808" s="58">
        <v>529.0</v>
      </c>
      <c r="CT1808" s="58">
        <v>41.0</v>
      </c>
      <c r="CU1808" s="58" t="s">
        <v>16423</v>
      </c>
      <c r="DL1808" s="58" t="s">
        <v>16472</v>
      </c>
    </row>
    <row r="1809" ht="15.75" customHeight="1">
      <c r="B1809" s="58" t="s">
        <v>16392</v>
      </c>
      <c r="C1809" s="58">
        <v>2019.0</v>
      </c>
      <c r="D1809" s="58" t="s">
        <v>16473</v>
      </c>
      <c r="E1809" s="58" t="s">
        <v>16474</v>
      </c>
      <c r="F1809" s="58" t="s">
        <v>16395</v>
      </c>
      <c r="H1809" s="58" t="s">
        <v>16396</v>
      </c>
      <c r="I1809" s="58" t="s">
        <v>16475</v>
      </c>
      <c r="K1809" s="73">
        <v>43488.0</v>
      </c>
      <c r="Q1809" s="58">
        <v>2.0</v>
      </c>
      <c r="R1809" s="58">
        <v>21.0</v>
      </c>
      <c r="Z1809" s="58" t="s">
        <v>239</v>
      </c>
      <c r="CH1809" s="58" t="s">
        <v>16476</v>
      </c>
      <c r="CI1809" s="73">
        <v>43616.0</v>
      </c>
      <c r="CJ1809" s="58">
        <v>1508.0</v>
      </c>
      <c r="CK1809" s="58">
        <v>1532.0</v>
      </c>
      <c r="CL1809" s="58" t="s">
        <v>16477</v>
      </c>
      <c r="CN1809" s="58" t="s">
        <v>16478</v>
      </c>
      <c r="CO1809" s="58" t="s">
        <v>16479</v>
      </c>
      <c r="CP1809" s="58" t="s">
        <v>16480</v>
      </c>
      <c r="CR1809" s="58">
        <v>513.0</v>
      </c>
      <c r="CT1809" s="58">
        <v>132.0</v>
      </c>
      <c r="CU1809" s="58" t="s">
        <v>239</v>
      </c>
      <c r="DL1809" s="58" t="s">
        <v>16481</v>
      </c>
    </row>
    <row r="1810" ht="15.75" customHeight="1">
      <c r="B1810" s="58" t="s">
        <v>16392</v>
      </c>
      <c r="C1810" s="58">
        <v>2020.0</v>
      </c>
      <c r="D1810" s="58" t="s">
        <v>16482</v>
      </c>
      <c r="E1810" s="58" t="s">
        <v>16483</v>
      </c>
      <c r="F1810" s="58" t="s">
        <v>16395</v>
      </c>
      <c r="H1810" s="58" t="s">
        <v>16396</v>
      </c>
      <c r="I1810" s="58" t="s">
        <v>16484</v>
      </c>
      <c r="K1810" s="73">
        <v>44026.0</v>
      </c>
      <c r="Q1810" s="58">
        <v>4.0</v>
      </c>
      <c r="R1810" s="58">
        <v>22.0</v>
      </c>
      <c r="Z1810" s="58" t="s">
        <v>239</v>
      </c>
      <c r="CH1810" s="58" t="s">
        <v>16485</v>
      </c>
      <c r="CI1810" s="73">
        <v>44155.0</v>
      </c>
      <c r="CJ1810" s="58">
        <v>2462.0</v>
      </c>
      <c r="CK1810" s="58">
        <v>2488.0</v>
      </c>
      <c r="CL1810" s="58" t="s">
        <v>16486</v>
      </c>
      <c r="CN1810" s="58" t="s">
        <v>16487</v>
      </c>
      <c r="CO1810" s="58" t="s">
        <v>16488</v>
      </c>
      <c r="CP1810" s="58" t="s">
        <v>16489</v>
      </c>
      <c r="CR1810" s="58">
        <v>482.0</v>
      </c>
      <c r="CT1810" s="58">
        <v>148.0</v>
      </c>
      <c r="CU1810" s="58" t="s">
        <v>239</v>
      </c>
      <c r="DL1810" s="58" t="s">
        <v>16490</v>
      </c>
    </row>
    <row r="1811" ht="15.75" customHeight="1">
      <c r="B1811" s="58" t="s">
        <v>16392</v>
      </c>
      <c r="C1811" s="58">
        <v>2021.0</v>
      </c>
      <c r="D1811" s="58" t="s">
        <v>16491</v>
      </c>
      <c r="E1811" s="58" t="s">
        <v>16492</v>
      </c>
      <c r="F1811" s="58" t="s">
        <v>16493</v>
      </c>
      <c r="H1811" s="58" t="s">
        <v>16494</v>
      </c>
      <c r="I1811" s="58" t="s">
        <v>16495</v>
      </c>
      <c r="K1811" s="73">
        <v>44293.0</v>
      </c>
      <c r="R1811" s="58">
        <v>2.0</v>
      </c>
      <c r="Z1811" s="58" t="s">
        <v>239</v>
      </c>
      <c r="CH1811" s="58" t="s">
        <v>16496</v>
      </c>
      <c r="CI1811" s="73">
        <v>44302.0</v>
      </c>
      <c r="CJ1811" s="58">
        <v>836.0</v>
      </c>
      <c r="CK1811" s="58">
        <v>886.0</v>
      </c>
      <c r="CL1811" s="58" t="s">
        <v>16497</v>
      </c>
      <c r="CN1811" s="58" t="s">
        <v>16498</v>
      </c>
      <c r="CO1811" s="58" t="s">
        <v>16499</v>
      </c>
      <c r="CP1811" s="58" t="s">
        <v>16500</v>
      </c>
      <c r="CR1811" s="58">
        <v>437.0</v>
      </c>
      <c r="CT1811" s="58">
        <v>378.0</v>
      </c>
      <c r="CU1811" s="58" t="s">
        <v>16423</v>
      </c>
      <c r="DL1811" s="58" t="s">
        <v>16501</v>
      </c>
    </row>
    <row r="1812" ht="15.75" customHeight="1">
      <c r="B1812" s="58" t="s">
        <v>16392</v>
      </c>
      <c r="C1812" s="58">
        <v>2021.0</v>
      </c>
      <c r="D1812" s="58" t="s">
        <v>16502</v>
      </c>
      <c r="E1812" s="58" t="s">
        <v>16503</v>
      </c>
      <c r="F1812" s="58" t="s">
        <v>16395</v>
      </c>
      <c r="H1812" s="58" t="s">
        <v>16396</v>
      </c>
      <c r="I1812" s="58" t="s">
        <v>16504</v>
      </c>
      <c r="K1812" s="73">
        <v>44365.0</v>
      </c>
      <c r="Q1812" s="58">
        <v>3.0</v>
      </c>
      <c r="R1812" s="58">
        <v>23.0</v>
      </c>
      <c r="Z1812" s="58" t="s">
        <v>239</v>
      </c>
      <c r="CH1812" s="58" t="s">
        <v>16505</v>
      </c>
      <c r="CI1812" s="73">
        <v>44428.0</v>
      </c>
      <c r="CJ1812" s="58">
        <v>1759.0</v>
      </c>
      <c r="CK1812" s="58">
        <v>1799.0</v>
      </c>
      <c r="CL1812" s="58" t="s">
        <v>16506</v>
      </c>
      <c r="CN1812" s="58" t="s">
        <v>16507</v>
      </c>
      <c r="CO1812" s="58" t="s">
        <v>16508</v>
      </c>
      <c r="CP1812" s="58" t="s">
        <v>16509</v>
      </c>
      <c r="CR1812" s="58">
        <v>434.0</v>
      </c>
      <c r="CT1812" s="58">
        <v>182.0</v>
      </c>
      <c r="CU1812" s="58" t="s">
        <v>239</v>
      </c>
      <c r="DL1812" s="58" t="s">
        <v>16510</v>
      </c>
    </row>
    <row r="1813" ht="15.75" customHeight="1">
      <c r="B1813" s="58" t="s">
        <v>16392</v>
      </c>
      <c r="C1813" s="58">
        <v>2017.0</v>
      </c>
      <c r="D1813" s="58" t="s">
        <v>16511</v>
      </c>
      <c r="E1813" s="58" t="s">
        <v>16512</v>
      </c>
      <c r="F1813" s="58" t="s">
        <v>16395</v>
      </c>
      <c r="H1813" s="58" t="s">
        <v>16396</v>
      </c>
      <c r="I1813" s="58" t="s">
        <v>16513</v>
      </c>
      <c r="K1813" s="73">
        <v>42954.0</v>
      </c>
      <c r="Q1813" s="58">
        <v>4.0</v>
      </c>
      <c r="R1813" s="58">
        <v>19.0</v>
      </c>
      <c r="Z1813" s="58" t="s">
        <v>239</v>
      </c>
      <c r="CH1813" s="58" t="s">
        <v>16514</v>
      </c>
      <c r="CI1813" s="73">
        <v>43059.0</v>
      </c>
      <c r="CJ1813" s="58">
        <v>2456.0</v>
      </c>
      <c r="CK1813" s="58">
        <v>2501.0</v>
      </c>
      <c r="CL1813" s="58" t="s">
        <v>16515</v>
      </c>
      <c r="CO1813" s="58" t="s">
        <v>16516</v>
      </c>
      <c r="CP1813" s="58" t="s">
        <v>16517</v>
      </c>
      <c r="CR1813" s="58">
        <v>426.0</v>
      </c>
      <c r="CT1813" s="58">
        <v>423.0</v>
      </c>
      <c r="CU1813" s="58" t="s">
        <v>239</v>
      </c>
      <c r="DL1813" s="58" t="s">
        <v>16518</v>
      </c>
    </row>
    <row r="1814" ht="15.75" customHeight="1">
      <c r="B1814" s="58" t="s">
        <v>16392</v>
      </c>
      <c r="C1814" s="58">
        <v>2020.0</v>
      </c>
      <c r="D1814" s="58" t="s">
        <v>16519</v>
      </c>
      <c r="E1814" s="58" t="s">
        <v>16520</v>
      </c>
      <c r="F1814" s="58" t="s">
        <v>16415</v>
      </c>
      <c r="H1814" s="58" t="s">
        <v>16416</v>
      </c>
      <c r="I1814" s="58" t="s">
        <v>16521</v>
      </c>
      <c r="K1814" s="73">
        <v>44000.0</v>
      </c>
      <c r="Q1814" s="58">
        <v>10.0</v>
      </c>
      <c r="R1814" s="58">
        <v>108.0</v>
      </c>
      <c r="Z1814" s="58" t="s">
        <v>239</v>
      </c>
      <c r="CH1814" s="58" t="s">
        <v>16522</v>
      </c>
      <c r="CI1814" s="73">
        <v>44102.0</v>
      </c>
      <c r="CJ1814" s="58">
        <v>1785.0</v>
      </c>
      <c r="CK1814" s="58">
        <v>1824.0</v>
      </c>
      <c r="CL1814" s="58" t="s">
        <v>16523</v>
      </c>
      <c r="CO1814" s="58" t="s">
        <v>16524</v>
      </c>
      <c r="CP1814" s="58" t="s">
        <v>16525</v>
      </c>
      <c r="CR1814" s="58">
        <v>413.0</v>
      </c>
      <c r="CT1814" s="58">
        <v>293.0</v>
      </c>
      <c r="CU1814" s="58" t="s">
        <v>239</v>
      </c>
      <c r="DL1814" s="58" t="s">
        <v>16526</v>
      </c>
    </row>
    <row r="1815" ht="15.75" customHeight="1">
      <c r="B1815" s="58" t="s">
        <v>16392</v>
      </c>
      <c r="C1815" s="58">
        <v>2018.0</v>
      </c>
      <c r="D1815" s="58" t="s">
        <v>16527</v>
      </c>
      <c r="E1815" s="58" t="s">
        <v>16528</v>
      </c>
      <c r="F1815" s="58" t="s">
        <v>16436</v>
      </c>
      <c r="H1815" s="58" t="s">
        <v>16437</v>
      </c>
      <c r="I1815" s="58" t="s">
        <v>16529</v>
      </c>
      <c r="K1815" s="73">
        <v>43334.0</v>
      </c>
      <c r="R1815" s="58">
        <v>6.0</v>
      </c>
      <c r="Z1815" s="58" t="s">
        <v>239</v>
      </c>
      <c r="CH1815" s="58" t="s">
        <v>16530</v>
      </c>
      <c r="CI1815" s="73">
        <v>43363.0</v>
      </c>
      <c r="CJ1815" s="58">
        <v>47980.0</v>
      </c>
      <c r="CK1815" s="58">
        <v>48009.0</v>
      </c>
      <c r="CL1815" s="58" t="s">
        <v>16531</v>
      </c>
      <c r="CN1815" s="58" t="s">
        <v>16532</v>
      </c>
      <c r="CO1815" s="58" t="s">
        <v>16533</v>
      </c>
      <c r="CP1815" s="58" t="s">
        <v>16534</v>
      </c>
      <c r="CR1815" s="58">
        <v>393.0</v>
      </c>
      <c r="CT1815" s="58">
        <v>142.0</v>
      </c>
      <c r="CU1815" s="58" t="s">
        <v>16444</v>
      </c>
      <c r="DL1815" s="58" t="s">
        <v>16535</v>
      </c>
    </row>
    <row r="1816" ht="15.75" customHeight="1">
      <c r="B1816" s="58" t="s">
        <v>16392</v>
      </c>
      <c r="C1816" s="58">
        <v>2020.0</v>
      </c>
      <c r="D1816" s="58" t="s">
        <v>16536</v>
      </c>
      <c r="E1816" s="58" t="s">
        <v>16537</v>
      </c>
      <c r="F1816" s="58" t="s">
        <v>16538</v>
      </c>
      <c r="H1816" s="58" t="s">
        <v>16539</v>
      </c>
      <c r="I1816" s="58" t="s">
        <v>16540</v>
      </c>
      <c r="K1816" s="73">
        <v>44005.0</v>
      </c>
      <c r="Q1816" s="58">
        <v>8.0</v>
      </c>
      <c r="R1816" s="58">
        <v>7.0</v>
      </c>
      <c r="Z1816" s="58" t="s">
        <v>239</v>
      </c>
      <c r="CH1816" s="58" t="s">
        <v>16541</v>
      </c>
      <c r="CI1816" s="73">
        <v>44055.0</v>
      </c>
      <c r="CJ1816" s="58">
        <v>6722.0</v>
      </c>
      <c r="CK1816" s="58">
        <v>6747.0</v>
      </c>
      <c r="CL1816" s="58" t="s">
        <v>16542</v>
      </c>
      <c r="CN1816" s="58" t="s">
        <v>16543</v>
      </c>
      <c r="CO1816" s="58" t="s">
        <v>16544</v>
      </c>
      <c r="CP1816" s="58" t="s">
        <v>16545</v>
      </c>
      <c r="CR1816" s="58">
        <v>369.0</v>
      </c>
      <c r="CT1816" s="58">
        <v>192.0</v>
      </c>
      <c r="CU1816" s="58" t="s">
        <v>239</v>
      </c>
      <c r="DL1816" s="58" t="s">
        <v>16546</v>
      </c>
    </row>
    <row r="1817" ht="15.75" customHeight="1">
      <c r="B1817" s="58" t="s">
        <v>16392</v>
      </c>
      <c r="C1817" s="58">
        <v>2023.0</v>
      </c>
      <c r="D1817" s="58" t="s">
        <v>16547</v>
      </c>
      <c r="E1817" s="58" t="s">
        <v>16548</v>
      </c>
      <c r="F1817" s="58" t="s">
        <v>16395</v>
      </c>
      <c r="H1817" s="58" t="s">
        <v>16396</v>
      </c>
      <c r="I1817" s="58" t="s">
        <v>16549</v>
      </c>
      <c r="K1817" s="73">
        <v>44949.0</v>
      </c>
      <c r="Q1817" s="58">
        <v>2.0</v>
      </c>
      <c r="R1817" s="58">
        <v>25.0</v>
      </c>
      <c r="Z1817" s="58" t="s">
        <v>239</v>
      </c>
      <c r="CH1817" s="58" t="s">
        <v>16550</v>
      </c>
      <c r="CI1817" s="73">
        <v>45068.0</v>
      </c>
      <c r="CJ1817" s="58">
        <v>1376.0</v>
      </c>
      <c r="CK1817" s="58">
        <v>1411.0</v>
      </c>
      <c r="CL1817" s="58" t="s">
        <v>16551</v>
      </c>
      <c r="CN1817" s="58" t="s">
        <v>16552</v>
      </c>
      <c r="CO1817" s="58" t="s">
        <v>16553</v>
      </c>
      <c r="CP1817" s="58" t="s">
        <v>16554</v>
      </c>
      <c r="CR1817" s="58">
        <v>341.0</v>
      </c>
      <c r="CT1817" s="58">
        <v>215.0</v>
      </c>
      <c r="CU1817" s="58" t="s">
        <v>16423</v>
      </c>
      <c r="DL1817" s="58" t="s">
        <v>16555</v>
      </c>
    </row>
    <row r="1818" ht="15.75" customHeight="1">
      <c r="B1818" s="58" t="s">
        <v>16392</v>
      </c>
      <c r="C1818" s="58">
        <v>2022.0</v>
      </c>
      <c r="D1818" s="58" t="s">
        <v>16556</v>
      </c>
      <c r="E1818" s="58" t="s">
        <v>16557</v>
      </c>
      <c r="F1818" s="58" t="s">
        <v>16538</v>
      </c>
      <c r="H1818" s="58" t="s">
        <v>16539</v>
      </c>
      <c r="I1818" s="58" t="s">
        <v>16558</v>
      </c>
      <c r="K1818" s="73">
        <v>44321.0</v>
      </c>
      <c r="Q1818" s="58">
        <v>4.0</v>
      </c>
      <c r="R1818" s="58">
        <v>9.0</v>
      </c>
      <c r="Z1818" s="58" t="s">
        <v>239</v>
      </c>
      <c r="CH1818" s="58" t="s">
        <v>16559</v>
      </c>
      <c r="CI1818" s="73">
        <v>44596.0</v>
      </c>
      <c r="CJ1818" s="58">
        <v>2545.0</v>
      </c>
      <c r="CK1818" s="58">
        <v>2554.0</v>
      </c>
      <c r="CL1818" s="58" t="s">
        <v>16560</v>
      </c>
      <c r="CO1818" s="58" t="s">
        <v>16561</v>
      </c>
      <c r="CP1818" s="58" t="s">
        <v>16562</v>
      </c>
      <c r="CR1818" s="58">
        <v>327.0</v>
      </c>
      <c r="CT1818" s="58">
        <v>48.0</v>
      </c>
      <c r="CU1818" s="58" t="s">
        <v>239</v>
      </c>
      <c r="DL1818" s="58" t="s">
        <v>16563</v>
      </c>
    </row>
    <row r="1819" ht="15.75" customHeight="1">
      <c r="B1819" s="58" t="s">
        <v>16392</v>
      </c>
      <c r="C1819" s="58">
        <v>2021.0</v>
      </c>
      <c r="D1819" s="58" t="s">
        <v>16564</v>
      </c>
      <c r="E1819" s="58" t="s">
        <v>16565</v>
      </c>
      <c r="F1819" s="58" t="s">
        <v>16566</v>
      </c>
      <c r="H1819" s="58" t="s">
        <v>16567</v>
      </c>
      <c r="I1819" s="58" t="s">
        <v>16568</v>
      </c>
      <c r="K1819" s="73">
        <v>44265.0</v>
      </c>
      <c r="Q1819" s="58">
        <v>4.0</v>
      </c>
      <c r="R1819" s="58">
        <v>8.0</v>
      </c>
      <c r="Z1819" s="58" t="s">
        <v>239</v>
      </c>
      <c r="CH1819" s="58" t="s">
        <v>16569</v>
      </c>
      <c r="CI1819" s="73">
        <v>44265.0</v>
      </c>
      <c r="CJ1819" s="58">
        <v>718.0</v>
      </c>
      <c r="CK1819" s="58">
        <v>752.0</v>
      </c>
      <c r="CL1819" s="58" t="s">
        <v>16570</v>
      </c>
      <c r="CN1819" s="58" t="s">
        <v>16571</v>
      </c>
      <c r="CO1819" s="58" t="s">
        <v>16572</v>
      </c>
      <c r="CP1819" s="58" t="s">
        <v>16573</v>
      </c>
      <c r="CR1819" s="58">
        <v>325.0</v>
      </c>
      <c r="CT1819" s="58">
        <v>258.0</v>
      </c>
      <c r="DL1819" s="58" t="s">
        <v>16574</v>
      </c>
    </row>
    <row r="1820" ht="15.75" customHeight="1">
      <c r="B1820" s="58" t="s">
        <v>16392</v>
      </c>
      <c r="C1820" s="58">
        <v>2019.0</v>
      </c>
      <c r="D1820" s="58" t="s">
        <v>16575</v>
      </c>
      <c r="E1820" s="58" t="s">
        <v>16576</v>
      </c>
      <c r="F1820" s="58" t="s">
        <v>16415</v>
      </c>
      <c r="H1820" s="58" t="s">
        <v>16416</v>
      </c>
      <c r="I1820" s="58" t="s">
        <v>16577</v>
      </c>
      <c r="K1820" s="73">
        <v>43655.0</v>
      </c>
      <c r="Q1820" s="58">
        <v>8.0</v>
      </c>
      <c r="R1820" s="58">
        <v>107.0</v>
      </c>
      <c r="Z1820" s="58" t="s">
        <v>239</v>
      </c>
      <c r="CH1820" s="58" t="s">
        <v>16578</v>
      </c>
      <c r="CI1820" s="73">
        <v>43683.0</v>
      </c>
      <c r="CJ1820" s="58">
        <v>1584.0</v>
      </c>
      <c r="CK1820" s="58">
        <v>1607.0</v>
      </c>
      <c r="CL1820" s="58" t="s">
        <v>16579</v>
      </c>
      <c r="CN1820" s="58" t="s">
        <v>16580</v>
      </c>
      <c r="CO1820" s="58" t="s">
        <v>16581</v>
      </c>
      <c r="CP1820" s="58" t="s">
        <v>16582</v>
      </c>
      <c r="CR1820" s="58">
        <v>321.0</v>
      </c>
      <c r="CT1820" s="58">
        <v>236.0</v>
      </c>
      <c r="CU1820" s="58" t="s">
        <v>239</v>
      </c>
      <c r="DL1820" s="58" t="s">
        <v>16583</v>
      </c>
    </row>
    <row r="1821" ht="15.75" customHeight="1">
      <c r="B1821" s="58" t="s">
        <v>16392</v>
      </c>
      <c r="C1821" s="58">
        <v>2019.0</v>
      </c>
      <c r="D1821" s="58" t="s">
        <v>16584</v>
      </c>
      <c r="E1821" s="58" t="s">
        <v>16585</v>
      </c>
      <c r="F1821" s="58" t="s">
        <v>16395</v>
      </c>
      <c r="H1821" s="58" t="s">
        <v>16396</v>
      </c>
      <c r="I1821" s="58" t="s">
        <v>16586</v>
      </c>
      <c r="K1821" s="73">
        <v>43313.0</v>
      </c>
      <c r="Q1821" s="58">
        <v>1.0</v>
      </c>
      <c r="R1821" s="58">
        <v>21.0</v>
      </c>
      <c r="Z1821" s="58" t="s">
        <v>239</v>
      </c>
      <c r="CH1821" s="58" t="s">
        <v>16587</v>
      </c>
      <c r="CI1821" s="73">
        <v>43518.0</v>
      </c>
      <c r="CJ1821" s="58">
        <v>812.0</v>
      </c>
      <c r="CK1821" s="58">
        <v>837.0</v>
      </c>
      <c r="CL1821" s="58" t="s">
        <v>16588</v>
      </c>
      <c r="CN1821" s="58" t="s">
        <v>16589</v>
      </c>
      <c r="CO1821" s="58" t="s">
        <v>16590</v>
      </c>
      <c r="CP1821" s="58" t="s">
        <v>16591</v>
      </c>
      <c r="CR1821" s="58">
        <v>305.0</v>
      </c>
      <c r="CT1821" s="58">
        <v>204.0</v>
      </c>
      <c r="CU1821" s="58" t="s">
        <v>239</v>
      </c>
      <c r="DL1821" s="58" t="s">
        <v>16592</v>
      </c>
    </row>
    <row r="1822" ht="15.75" customHeight="1">
      <c r="B1822" s="58" t="s">
        <v>16392</v>
      </c>
      <c r="C1822" s="58">
        <v>2020.0</v>
      </c>
      <c r="D1822" s="58" t="s">
        <v>16593</v>
      </c>
      <c r="E1822" s="58" t="s">
        <v>16594</v>
      </c>
      <c r="F1822" s="58" t="s">
        <v>16436</v>
      </c>
      <c r="H1822" s="58" t="s">
        <v>16437</v>
      </c>
      <c r="I1822" s="58" t="s">
        <v>16595</v>
      </c>
      <c r="K1822" s="73">
        <v>44172.0</v>
      </c>
      <c r="R1822" s="58">
        <v>8.0</v>
      </c>
      <c r="Z1822" s="58" t="s">
        <v>239</v>
      </c>
      <c r="CH1822" s="58" t="s">
        <v>16596</v>
      </c>
      <c r="CI1822" s="73">
        <v>44181.0</v>
      </c>
      <c r="CJ1822" s="58">
        <v>220121.0</v>
      </c>
      <c r="CK1822" s="58">
        <v>220139.0</v>
      </c>
      <c r="CL1822" s="58" t="s">
        <v>16597</v>
      </c>
      <c r="CN1822" s="58" t="s">
        <v>16598</v>
      </c>
      <c r="CO1822" s="58" t="s">
        <v>16599</v>
      </c>
      <c r="CP1822" s="58" t="s">
        <v>16600</v>
      </c>
      <c r="CR1822" s="58">
        <v>290.0</v>
      </c>
      <c r="CT1822" s="58">
        <v>102.0</v>
      </c>
      <c r="CU1822" s="58" t="s">
        <v>16423</v>
      </c>
      <c r="DL1822" s="58" t="s">
        <v>16601</v>
      </c>
    </row>
    <row r="1823" ht="15.75" customHeight="1">
      <c r="B1823" s="58" t="s">
        <v>16392</v>
      </c>
      <c r="C1823" s="58">
        <v>2020.0</v>
      </c>
      <c r="D1823" s="58" t="s">
        <v>16602</v>
      </c>
      <c r="E1823" s="58" t="s">
        <v>16603</v>
      </c>
      <c r="F1823" s="58" t="s">
        <v>16538</v>
      </c>
      <c r="H1823" s="58" t="s">
        <v>16539</v>
      </c>
      <c r="I1823" s="58" t="s">
        <v>16604</v>
      </c>
      <c r="K1823" s="73">
        <v>43931.0</v>
      </c>
      <c r="Q1823" s="58">
        <v>10.0</v>
      </c>
      <c r="R1823" s="58">
        <v>7.0</v>
      </c>
      <c r="Z1823" s="58" t="s">
        <v>239</v>
      </c>
      <c r="CH1823" s="58" t="s">
        <v>16605</v>
      </c>
      <c r="CI1823" s="73">
        <v>44113.0</v>
      </c>
      <c r="CJ1823" s="58">
        <v>10200.0</v>
      </c>
      <c r="CK1823" s="58">
        <v>10232.0</v>
      </c>
      <c r="CL1823" s="58" t="s">
        <v>16606</v>
      </c>
      <c r="CN1823" s="58" t="s">
        <v>16607</v>
      </c>
      <c r="CO1823" s="58" t="s">
        <v>16608</v>
      </c>
      <c r="CP1823" s="58" t="s">
        <v>16609</v>
      </c>
      <c r="CR1823" s="58">
        <v>269.0</v>
      </c>
      <c r="CT1823" s="58">
        <v>241.0</v>
      </c>
      <c r="CU1823" s="58" t="s">
        <v>239</v>
      </c>
      <c r="DL1823" s="58" t="s">
        <v>16610</v>
      </c>
    </row>
    <row r="1824" ht="15.75" customHeight="1">
      <c r="B1824" s="58" t="s">
        <v>16392</v>
      </c>
      <c r="C1824" s="58">
        <v>2018.0</v>
      </c>
      <c r="D1824" s="58" t="s">
        <v>16611</v>
      </c>
      <c r="E1824" s="58" t="s">
        <v>16612</v>
      </c>
      <c r="F1824" s="58" t="s">
        <v>16613</v>
      </c>
      <c r="H1824" s="58" t="s">
        <v>16614</v>
      </c>
      <c r="I1824" s="58" t="s">
        <v>16615</v>
      </c>
      <c r="K1824" s="73">
        <v>42887.0</v>
      </c>
      <c r="Q1824" s="58">
        <v>2.0</v>
      </c>
      <c r="R1824" s="58">
        <v>11.0</v>
      </c>
      <c r="Z1824" s="58" t="s">
        <v>239</v>
      </c>
      <c r="CH1824" s="58" t="s">
        <v>16616</v>
      </c>
      <c r="CI1824" s="73">
        <v>43196.0</v>
      </c>
      <c r="CJ1824" s="58">
        <v>430.0</v>
      </c>
      <c r="CK1824" s="58">
        <v>447.0</v>
      </c>
      <c r="CL1824" s="58" t="s">
        <v>16617</v>
      </c>
      <c r="CN1824" s="58" t="s">
        <v>16618</v>
      </c>
      <c r="CO1824" s="58" t="s">
        <v>16619</v>
      </c>
      <c r="CP1824" s="58" t="s">
        <v>16620</v>
      </c>
      <c r="CR1824" s="58">
        <v>268.0</v>
      </c>
      <c r="CT1824" s="58">
        <v>197.0</v>
      </c>
      <c r="CU1824" s="58" t="s">
        <v>239</v>
      </c>
      <c r="DL1824" s="58" t="s">
        <v>16621</v>
      </c>
    </row>
    <row r="1825" ht="15.75" customHeight="1">
      <c r="B1825" s="58" t="s">
        <v>16392</v>
      </c>
      <c r="C1825" s="58">
        <v>2017.0</v>
      </c>
      <c r="D1825" s="58" t="s">
        <v>16622</v>
      </c>
      <c r="E1825" s="58" t="s">
        <v>16623</v>
      </c>
      <c r="F1825" s="58" t="s">
        <v>16436</v>
      </c>
      <c r="H1825" s="58" t="s">
        <v>16437</v>
      </c>
      <c r="I1825" s="58" t="s">
        <v>16624</v>
      </c>
      <c r="K1825" s="73">
        <v>42862.0</v>
      </c>
      <c r="R1825" s="58">
        <v>5.0</v>
      </c>
      <c r="Z1825" s="58" t="s">
        <v>239</v>
      </c>
      <c r="CH1825" s="58" t="s">
        <v>16625</v>
      </c>
      <c r="CI1825" s="73">
        <v>42905.0</v>
      </c>
      <c r="CJ1825" s="58">
        <v>9882.0</v>
      </c>
      <c r="CK1825" s="58">
        <v>9910.0</v>
      </c>
      <c r="CL1825" s="58" t="s">
        <v>16626</v>
      </c>
      <c r="CN1825" s="58" t="s">
        <v>16627</v>
      </c>
      <c r="CO1825" s="58" t="s">
        <v>16628</v>
      </c>
      <c r="CP1825" s="58" t="s">
        <v>16629</v>
      </c>
      <c r="CR1825" s="58">
        <v>265.0</v>
      </c>
      <c r="CT1825" s="58">
        <v>159.0</v>
      </c>
      <c r="CU1825" s="58" t="s">
        <v>16444</v>
      </c>
      <c r="DL1825" s="58" t="s">
        <v>16630</v>
      </c>
    </row>
    <row r="1826" ht="15.75" customHeight="1">
      <c r="B1826" s="58" t="s">
        <v>16392</v>
      </c>
      <c r="C1826" s="58">
        <v>2021.0</v>
      </c>
      <c r="D1826" s="58" t="s">
        <v>16631</v>
      </c>
      <c r="E1826" s="58" t="s">
        <v>16632</v>
      </c>
      <c r="F1826" s="58" t="s">
        <v>16538</v>
      </c>
      <c r="H1826" s="58" t="s">
        <v>16539</v>
      </c>
      <c r="I1826" s="58" t="s">
        <v>16633</v>
      </c>
      <c r="K1826" s="73">
        <v>44256.0</v>
      </c>
      <c r="Q1826" s="58">
        <v>13.0</v>
      </c>
      <c r="R1826" s="58">
        <v>8.0</v>
      </c>
      <c r="Z1826" s="58" t="s">
        <v>239</v>
      </c>
      <c r="CH1826" s="58" t="s">
        <v>16634</v>
      </c>
      <c r="CI1826" s="73">
        <v>44369.0</v>
      </c>
      <c r="CJ1826" s="58">
        <v>10474.0</v>
      </c>
      <c r="CK1826" s="58">
        <v>10498.0</v>
      </c>
      <c r="CL1826" s="58" t="s">
        <v>16635</v>
      </c>
      <c r="CO1826" s="58" t="s">
        <v>16636</v>
      </c>
      <c r="CP1826" s="58" t="s">
        <v>16637</v>
      </c>
      <c r="CR1826" s="58">
        <v>250.0</v>
      </c>
      <c r="CT1826" s="58">
        <v>165.0</v>
      </c>
      <c r="CU1826" s="58" t="s">
        <v>239</v>
      </c>
      <c r="DL1826" s="58" t="s">
        <v>16638</v>
      </c>
    </row>
    <row r="1827" ht="15.75" customHeight="1">
      <c r="B1827" s="58" t="s">
        <v>16392</v>
      </c>
      <c r="C1827" s="58">
        <v>2023.0</v>
      </c>
      <c r="D1827" s="58" t="s">
        <v>16639</v>
      </c>
      <c r="E1827" s="58" t="s">
        <v>16640</v>
      </c>
      <c r="F1827" s="58" t="s">
        <v>16395</v>
      </c>
      <c r="H1827" s="58" t="s">
        <v>16396</v>
      </c>
      <c r="I1827" s="58" t="s">
        <v>16641</v>
      </c>
      <c r="K1827" s="73">
        <v>44875.0</v>
      </c>
      <c r="Q1827" s="58">
        <v>1.0</v>
      </c>
      <c r="R1827" s="58">
        <v>25.0</v>
      </c>
      <c r="Z1827" s="58" t="s">
        <v>239</v>
      </c>
      <c r="CH1827" s="58" t="s">
        <v>16642</v>
      </c>
      <c r="CI1827" s="73">
        <v>44980.0</v>
      </c>
      <c r="CJ1827" s="58">
        <v>656.0</v>
      </c>
      <c r="CK1827" s="58">
        <v>700.0</v>
      </c>
      <c r="CL1827" s="58" t="s">
        <v>16643</v>
      </c>
      <c r="CN1827" s="58" t="s">
        <v>16644</v>
      </c>
      <c r="CO1827" s="58" t="s">
        <v>16645</v>
      </c>
      <c r="CP1827" s="58" t="s">
        <v>16646</v>
      </c>
      <c r="CR1827" s="58">
        <v>241.0</v>
      </c>
      <c r="CT1827" s="58">
        <v>322.0</v>
      </c>
      <c r="CU1827" s="58" t="s">
        <v>239</v>
      </c>
      <c r="DL1827" s="58" t="s">
        <v>16647</v>
      </c>
    </row>
    <row r="1828" ht="15.75" customHeight="1">
      <c r="B1828" s="58" t="s">
        <v>16392</v>
      </c>
      <c r="C1828" s="58">
        <v>2020.0</v>
      </c>
      <c r="D1828" s="58" t="s">
        <v>16648</v>
      </c>
      <c r="E1828" s="58" t="s">
        <v>16649</v>
      </c>
      <c r="F1828" s="58" t="s">
        <v>16436</v>
      </c>
      <c r="H1828" s="58" t="s">
        <v>16437</v>
      </c>
      <c r="I1828" s="58" t="s">
        <v>16650</v>
      </c>
      <c r="K1828" s="73">
        <v>44069.0</v>
      </c>
      <c r="R1828" s="58">
        <v>8.0</v>
      </c>
      <c r="Z1828" s="58" t="s">
        <v>239</v>
      </c>
      <c r="CH1828" s="58" t="s">
        <v>16651</v>
      </c>
      <c r="CI1828" s="73">
        <v>44106.0</v>
      </c>
      <c r="CJ1828" s="58">
        <v>174792.0</v>
      </c>
      <c r="CK1828" s="58">
        <v>174820.0</v>
      </c>
      <c r="CL1828" s="58" t="s">
        <v>16652</v>
      </c>
      <c r="CN1828" s="58" t="s">
        <v>16653</v>
      </c>
      <c r="CO1828" s="58" t="s">
        <v>16654</v>
      </c>
      <c r="CP1828" s="58" t="s">
        <v>16655</v>
      </c>
      <c r="CR1828" s="58">
        <v>239.0</v>
      </c>
      <c r="CT1828" s="58">
        <v>350.0</v>
      </c>
      <c r="CU1828" s="58" t="s">
        <v>16423</v>
      </c>
      <c r="DL1828" s="58" t="s">
        <v>16656</v>
      </c>
    </row>
    <row r="1829" ht="15.75" customHeight="1">
      <c r="B1829" s="58" t="s">
        <v>16392</v>
      </c>
      <c r="C1829" s="58">
        <v>2021.0</v>
      </c>
      <c r="D1829" s="58" t="s">
        <v>16657</v>
      </c>
      <c r="E1829" s="58" t="s">
        <v>16658</v>
      </c>
      <c r="F1829" s="58" t="s">
        <v>16395</v>
      </c>
      <c r="H1829" s="58" t="s">
        <v>16396</v>
      </c>
      <c r="I1829" s="58" t="s">
        <v>16659</v>
      </c>
      <c r="K1829" s="73">
        <v>44438.0</v>
      </c>
      <c r="Q1829" s="58">
        <v>4.0</v>
      </c>
      <c r="R1829" s="58">
        <v>23.0</v>
      </c>
      <c r="Z1829" s="58" t="s">
        <v>239</v>
      </c>
      <c r="CH1829" s="58" t="s">
        <v>16660</v>
      </c>
      <c r="CI1829" s="73">
        <v>44519.0</v>
      </c>
      <c r="CJ1829" s="58">
        <v>2384.0</v>
      </c>
      <c r="CK1829" s="58">
        <v>2428.0</v>
      </c>
      <c r="CL1829" s="58" t="s">
        <v>16661</v>
      </c>
      <c r="CN1829" s="58" t="s">
        <v>16662</v>
      </c>
      <c r="CO1829" s="58" t="s">
        <v>16663</v>
      </c>
      <c r="CP1829" s="58" t="s">
        <v>16664</v>
      </c>
      <c r="CR1829" s="58">
        <v>235.0</v>
      </c>
      <c r="CT1829" s="58">
        <v>251.0</v>
      </c>
      <c r="CU1829" s="58" t="s">
        <v>239</v>
      </c>
      <c r="DL1829" s="58" t="s">
        <v>16665</v>
      </c>
    </row>
    <row r="1830" ht="15.75" customHeight="1">
      <c r="B1830" s="58" t="s">
        <v>16392</v>
      </c>
      <c r="C1830" s="58">
        <v>2021.0</v>
      </c>
      <c r="D1830" s="58" t="s">
        <v>16666</v>
      </c>
      <c r="E1830" s="58" t="s">
        <v>16667</v>
      </c>
      <c r="F1830" s="58" t="s">
        <v>16493</v>
      </c>
      <c r="H1830" s="58" t="s">
        <v>16494</v>
      </c>
      <c r="I1830" s="58" t="s">
        <v>16668</v>
      </c>
      <c r="K1830" s="73">
        <v>44326.0</v>
      </c>
      <c r="R1830" s="58">
        <v>2.0</v>
      </c>
      <c r="Z1830" s="58" t="s">
        <v>239</v>
      </c>
      <c r="CH1830" s="58" t="s">
        <v>16669</v>
      </c>
      <c r="CI1830" s="73">
        <v>44336.0</v>
      </c>
      <c r="CJ1830" s="58">
        <v>1094.0</v>
      </c>
      <c r="CK1830" s="58">
        <v>1122.0</v>
      </c>
      <c r="CL1830" s="58" t="s">
        <v>16670</v>
      </c>
      <c r="CN1830" s="58" t="s">
        <v>16671</v>
      </c>
      <c r="CO1830" s="58" t="s">
        <v>16672</v>
      </c>
      <c r="CP1830" s="58" t="s">
        <v>16673</v>
      </c>
      <c r="CR1830" s="58">
        <v>212.0</v>
      </c>
      <c r="CT1830" s="58">
        <v>176.0</v>
      </c>
      <c r="CU1830" s="58" t="s">
        <v>16423</v>
      </c>
      <c r="DL1830" s="58" t="s">
        <v>16674</v>
      </c>
    </row>
    <row r="1831" ht="15.75" customHeight="1">
      <c r="B1831" s="58" t="s">
        <v>16392</v>
      </c>
      <c r="C1831" s="58">
        <v>2021.0</v>
      </c>
      <c r="D1831" s="58" t="s">
        <v>16675</v>
      </c>
      <c r="E1831" s="58" t="s">
        <v>16676</v>
      </c>
      <c r="F1831" s="58" t="s">
        <v>16395</v>
      </c>
      <c r="H1831" s="58" t="s">
        <v>16396</v>
      </c>
      <c r="I1831" s="58" t="s">
        <v>16677</v>
      </c>
      <c r="K1831" s="73">
        <v>44253.0</v>
      </c>
      <c r="Q1831" s="58">
        <v>2.0</v>
      </c>
      <c r="R1831" s="58">
        <v>23.0</v>
      </c>
      <c r="Z1831" s="58" t="s">
        <v>239</v>
      </c>
      <c r="CH1831" s="58" t="s">
        <v>16678</v>
      </c>
      <c r="CI1831" s="73">
        <v>44337.0</v>
      </c>
      <c r="CJ1831" s="58">
        <v>1078.0</v>
      </c>
      <c r="CK1831" s="58">
        <v>1124.0</v>
      </c>
      <c r="CL1831" s="58" t="s">
        <v>16679</v>
      </c>
      <c r="CN1831" s="58" t="s">
        <v>16680</v>
      </c>
      <c r="CO1831" s="58" t="s">
        <v>16681</v>
      </c>
      <c r="CP1831" s="58" t="s">
        <v>16682</v>
      </c>
      <c r="CR1831" s="58">
        <v>211.0</v>
      </c>
      <c r="CT1831" s="58">
        <v>208.0</v>
      </c>
      <c r="CU1831" s="58" t="s">
        <v>239</v>
      </c>
      <c r="DL1831" s="58" t="s">
        <v>16683</v>
      </c>
    </row>
    <row r="1832" ht="15.75" customHeight="1">
      <c r="B1832" s="58" t="s">
        <v>16392</v>
      </c>
      <c r="C1832" s="58">
        <v>2019.0</v>
      </c>
      <c r="D1832" s="58" t="s">
        <v>16684</v>
      </c>
      <c r="E1832" s="58" t="s">
        <v>16685</v>
      </c>
      <c r="F1832" s="58" t="s">
        <v>16415</v>
      </c>
      <c r="H1832" s="58" t="s">
        <v>16416</v>
      </c>
      <c r="I1832" s="58" t="s">
        <v>16686</v>
      </c>
      <c r="K1832" s="73">
        <v>43642.0</v>
      </c>
      <c r="Q1832" s="58">
        <v>8.0</v>
      </c>
      <c r="R1832" s="58">
        <v>107.0</v>
      </c>
      <c r="Z1832" s="58" t="s">
        <v>239</v>
      </c>
      <c r="CH1832" s="58" t="s">
        <v>16687</v>
      </c>
      <c r="CI1832" s="73">
        <v>43683.0</v>
      </c>
      <c r="CJ1832" s="58">
        <v>1537.0</v>
      </c>
      <c r="CK1832" s="58">
        <v>1562.0</v>
      </c>
      <c r="CL1832" s="58" t="s">
        <v>16688</v>
      </c>
      <c r="CN1832" s="58" t="s">
        <v>16689</v>
      </c>
      <c r="CO1832" s="58" t="s">
        <v>16690</v>
      </c>
      <c r="CP1832" s="58" t="s">
        <v>16691</v>
      </c>
      <c r="CR1832" s="58">
        <v>210.0</v>
      </c>
      <c r="CT1832" s="58">
        <v>84.0</v>
      </c>
      <c r="CU1832" s="58" t="s">
        <v>239</v>
      </c>
      <c r="DL1832" s="58" t="s">
        <v>16692</v>
      </c>
    </row>
    <row r="1833" ht="15.75" customHeight="1">
      <c r="B1833" s="58" t="s">
        <v>16392</v>
      </c>
      <c r="C1833" s="58">
        <v>2019.0</v>
      </c>
      <c r="D1833" s="58" t="s">
        <v>16693</v>
      </c>
      <c r="E1833" s="58" t="s">
        <v>16694</v>
      </c>
      <c r="F1833" s="58" t="s">
        <v>16538</v>
      </c>
      <c r="H1833" s="58" t="s">
        <v>16539</v>
      </c>
      <c r="I1833" s="58" t="s">
        <v>16695</v>
      </c>
      <c r="K1833" s="73">
        <v>43384.0</v>
      </c>
      <c r="Q1833" s="58">
        <v>3.0</v>
      </c>
      <c r="R1833" s="58">
        <v>6.0</v>
      </c>
      <c r="Z1833" s="58" t="s">
        <v>239</v>
      </c>
      <c r="CH1833" s="58" t="s">
        <v>16696</v>
      </c>
      <c r="CI1833" s="73">
        <v>43634.0</v>
      </c>
      <c r="CJ1833" s="58">
        <v>4118.0</v>
      </c>
      <c r="CK1833" s="58">
        <v>4149.0</v>
      </c>
      <c r="CL1833" s="58" t="s">
        <v>16697</v>
      </c>
      <c r="CO1833" s="58" t="s">
        <v>16698</v>
      </c>
      <c r="CP1833" s="58" t="s">
        <v>16699</v>
      </c>
      <c r="CR1833" s="58">
        <v>195.0</v>
      </c>
      <c r="CT1833" s="58">
        <v>181.0</v>
      </c>
      <c r="CU1833" s="58" t="s">
        <v>239</v>
      </c>
      <c r="DL1833" s="58" t="s">
        <v>16700</v>
      </c>
    </row>
    <row r="1834" ht="15.75" customHeight="1">
      <c r="B1834" s="58" t="s">
        <v>16392</v>
      </c>
      <c r="C1834" s="58">
        <v>2020.0</v>
      </c>
      <c r="D1834" s="58" t="s">
        <v>16701</v>
      </c>
      <c r="E1834" s="58" t="s">
        <v>16702</v>
      </c>
      <c r="F1834" s="58" t="s">
        <v>16436</v>
      </c>
      <c r="H1834" s="58" t="s">
        <v>16437</v>
      </c>
      <c r="I1834" s="58" t="s">
        <v>16703</v>
      </c>
      <c r="K1834" s="73">
        <v>43860.0</v>
      </c>
      <c r="R1834" s="58">
        <v>8.0</v>
      </c>
      <c r="Z1834" s="58" t="s">
        <v>239</v>
      </c>
      <c r="CH1834" s="58" t="s">
        <v>16704</v>
      </c>
      <c r="CI1834" s="73">
        <v>43868.0</v>
      </c>
      <c r="CJ1834" s="58">
        <v>24746.0</v>
      </c>
      <c r="CK1834" s="58">
        <v>24772.0</v>
      </c>
      <c r="CL1834" s="58" t="s">
        <v>16705</v>
      </c>
      <c r="CN1834" s="58" t="s">
        <v>16706</v>
      </c>
      <c r="CO1834" s="58" t="s">
        <v>16707</v>
      </c>
      <c r="CP1834" s="58" t="s">
        <v>16708</v>
      </c>
      <c r="CR1834" s="58">
        <v>184.0</v>
      </c>
      <c r="CT1834" s="58">
        <v>159.0</v>
      </c>
      <c r="CU1834" s="58" t="s">
        <v>16423</v>
      </c>
      <c r="DL1834" s="58" t="s">
        <v>16709</v>
      </c>
    </row>
    <row r="1835" ht="15.75" customHeight="1">
      <c r="B1835" s="58" t="s">
        <v>16392</v>
      </c>
      <c r="C1835" s="58">
        <v>2021.0</v>
      </c>
      <c r="D1835" s="58" t="s">
        <v>16710</v>
      </c>
      <c r="E1835" s="58" t="s">
        <v>16711</v>
      </c>
      <c r="F1835" s="58" t="s">
        <v>16538</v>
      </c>
      <c r="H1835" s="58" t="s">
        <v>16539</v>
      </c>
      <c r="I1835" s="58" t="s">
        <v>16712</v>
      </c>
      <c r="K1835" s="73">
        <v>44361.0</v>
      </c>
      <c r="Q1835" s="58">
        <v>18.0</v>
      </c>
      <c r="R1835" s="58">
        <v>8.0</v>
      </c>
      <c r="Z1835" s="58" t="s">
        <v>239</v>
      </c>
      <c r="CH1835" s="58" t="s">
        <v>16713</v>
      </c>
      <c r="CI1835" s="73">
        <v>44445.0</v>
      </c>
      <c r="CJ1835" s="58">
        <v>13849.0</v>
      </c>
      <c r="CK1835" s="58">
        <v>13875.0</v>
      </c>
      <c r="CL1835" s="58" t="s">
        <v>16714</v>
      </c>
      <c r="CN1835" s="58" t="s">
        <v>16715</v>
      </c>
      <c r="CO1835" s="58" t="s">
        <v>16716</v>
      </c>
      <c r="CP1835" s="58" t="s">
        <v>16717</v>
      </c>
      <c r="CR1835" s="58">
        <v>178.0</v>
      </c>
      <c r="CT1835" s="58">
        <v>131.0</v>
      </c>
      <c r="CU1835" s="58" t="s">
        <v>239</v>
      </c>
      <c r="DL1835" s="58" t="s">
        <v>16718</v>
      </c>
    </row>
    <row r="1836" ht="15.75" customHeight="1">
      <c r="B1836" s="58" t="s">
        <v>16392</v>
      </c>
      <c r="C1836" s="58">
        <v>2021.0</v>
      </c>
      <c r="D1836" s="58" t="s">
        <v>16719</v>
      </c>
      <c r="E1836" s="58" t="s">
        <v>16720</v>
      </c>
      <c r="F1836" s="58" t="s">
        <v>16436</v>
      </c>
      <c r="H1836" s="58" t="s">
        <v>16437</v>
      </c>
      <c r="I1836" s="58" t="s">
        <v>16721</v>
      </c>
      <c r="K1836" s="73">
        <v>44222.0</v>
      </c>
      <c r="R1836" s="58">
        <v>9.0</v>
      </c>
      <c r="Z1836" s="58" t="s">
        <v>239</v>
      </c>
      <c r="CH1836" s="58" t="s">
        <v>16722</v>
      </c>
      <c r="CI1836" s="73">
        <v>44274.0</v>
      </c>
      <c r="CJ1836" s="58">
        <v>43134.0</v>
      </c>
      <c r="CK1836" s="58">
        <v>43167.0</v>
      </c>
      <c r="CL1836" s="58" t="s">
        <v>16723</v>
      </c>
      <c r="CN1836" s="58" t="s">
        <v>16724</v>
      </c>
      <c r="CO1836" s="58" t="s">
        <v>16725</v>
      </c>
      <c r="CP1836" s="58" t="s">
        <v>16726</v>
      </c>
      <c r="CR1836" s="58">
        <v>172.0</v>
      </c>
      <c r="CT1836" s="58">
        <v>159.0</v>
      </c>
      <c r="CU1836" s="58" t="s">
        <v>16727</v>
      </c>
      <c r="DL1836" s="58" t="s">
        <v>16728</v>
      </c>
    </row>
    <row r="1837" ht="15.75" customHeight="1">
      <c r="B1837" s="58" t="s">
        <v>16392</v>
      </c>
      <c r="C1837" s="58">
        <v>2021.0</v>
      </c>
      <c r="D1837" s="58" t="s">
        <v>16729</v>
      </c>
      <c r="E1837" s="58" t="s">
        <v>16730</v>
      </c>
      <c r="F1837" s="58" t="s">
        <v>16731</v>
      </c>
      <c r="H1837" s="58" t="s">
        <v>16732</v>
      </c>
      <c r="I1837" s="58" t="s">
        <v>16733</v>
      </c>
      <c r="K1837" s="73">
        <v>44299.0</v>
      </c>
      <c r="Q1837" s="58">
        <v>11.0</v>
      </c>
      <c r="R1837" s="58">
        <v>17.0</v>
      </c>
      <c r="Z1837" s="58" t="s">
        <v>239</v>
      </c>
      <c r="CH1837" s="58" t="s">
        <v>16734</v>
      </c>
      <c r="CI1837" s="73">
        <v>44407.0</v>
      </c>
      <c r="CJ1837" s="58">
        <v>7806.0</v>
      </c>
      <c r="CK1837" s="58">
        <v>7819.0</v>
      </c>
      <c r="CL1837" s="58" t="s">
        <v>16735</v>
      </c>
      <c r="CN1837" s="58" t="s">
        <v>16736</v>
      </c>
      <c r="CO1837" s="58" t="s">
        <v>16737</v>
      </c>
      <c r="CP1837" s="58" t="s">
        <v>16738</v>
      </c>
      <c r="CR1837" s="58">
        <v>171.0</v>
      </c>
      <c r="CT1837" s="58">
        <v>76.0</v>
      </c>
      <c r="CU1837" s="58" t="s">
        <v>239</v>
      </c>
      <c r="DL1837" s="58" t="s">
        <v>16739</v>
      </c>
    </row>
    <row r="1838" ht="15.75" customHeight="1">
      <c r="B1838" s="58" t="s">
        <v>16392</v>
      </c>
      <c r="C1838" s="58">
        <v>2017.0</v>
      </c>
      <c r="D1838" s="58" t="s">
        <v>16740</v>
      </c>
      <c r="E1838" s="58" t="s">
        <v>16741</v>
      </c>
      <c r="F1838" s="58" t="s">
        <v>16436</v>
      </c>
      <c r="H1838" s="58" t="s">
        <v>16437</v>
      </c>
      <c r="I1838" s="58" t="s">
        <v>16742</v>
      </c>
      <c r="K1838" s="73">
        <v>43020.0</v>
      </c>
      <c r="R1838" s="58">
        <v>5.0</v>
      </c>
      <c r="Z1838" s="58" t="s">
        <v>239</v>
      </c>
      <c r="CH1838" s="58" t="s">
        <v>16743</v>
      </c>
      <c r="CI1838" s="73">
        <v>43076.0</v>
      </c>
      <c r="CJ1838" s="58">
        <v>25487.0</v>
      </c>
      <c r="CK1838" s="58">
        <v>25526.0</v>
      </c>
      <c r="CL1838" s="58" t="s">
        <v>16744</v>
      </c>
      <c r="CO1838" s="58" t="s">
        <v>16745</v>
      </c>
      <c r="CP1838" s="58" t="s">
        <v>16746</v>
      </c>
      <c r="CR1838" s="58">
        <v>170.0</v>
      </c>
      <c r="CT1838" s="58">
        <v>240.0</v>
      </c>
      <c r="CU1838" s="58" t="s">
        <v>16423</v>
      </c>
      <c r="DL1838" s="58" t="s">
        <v>16747</v>
      </c>
    </row>
    <row r="1839" ht="15.75" customHeight="1">
      <c r="B1839" s="58" t="s">
        <v>16392</v>
      </c>
      <c r="C1839" s="58">
        <v>2017.0</v>
      </c>
      <c r="D1839" s="58" t="s">
        <v>16748</v>
      </c>
      <c r="E1839" s="58" t="s">
        <v>16749</v>
      </c>
      <c r="F1839" s="58" t="s">
        <v>16436</v>
      </c>
      <c r="H1839" s="58" t="s">
        <v>16437</v>
      </c>
      <c r="I1839" s="58" t="s">
        <v>16750</v>
      </c>
      <c r="K1839" s="73">
        <v>42961.0</v>
      </c>
      <c r="R1839" s="58">
        <v>5.0</v>
      </c>
      <c r="Z1839" s="58" t="s">
        <v>239</v>
      </c>
      <c r="CH1839" s="58" t="s">
        <v>16751</v>
      </c>
      <c r="CI1839" s="73">
        <v>42984.0</v>
      </c>
      <c r="CJ1839" s="58">
        <v>16441.0</v>
      </c>
      <c r="CK1839" s="58">
        <v>16458.0</v>
      </c>
      <c r="CL1839" s="58" t="s">
        <v>16752</v>
      </c>
      <c r="CN1839" s="58" t="s">
        <v>16753</v>
      </c>
      <c r="CO1839" s="58" t="s">
        <v>16754</v>
      </c>
      <c r="CP1839" s="58" t="s">
        <v>16755</v>
      </c>
      <c r="CR1839" s="58">
        <v>161.0</v>
      </c>
      <c r="CT1839" s="58">
        <v>48.0</v>
      </c>
      <c r="CU1839" s="58" t="s">
        <v>16444</v>
      </c>
      <c r="DL1839" s="58" t="s">
        <v>16756</v>
      </c>
    </row>
    <row r="1840" ht="15.75" customHeight="1">
      <c r="B1840" s="58" t="s">
        <v>16392</v>
      </c>
      <c r="C1840" s="58">
        <v>2020.0</v>
      </c>
      <c r="D1840" s="58" t="s">
        <v>16757</v>
      </c>
      <c r="E1840" s="58" t="s">
        <v>16758</v>
      </c>
      <c r="F1840" s="58" t="s">
        <v>16538</v>
      </c>
      <c r="H1840" s="58" t="s">
        <v>16539</v>
      </c>
      <c r="I1840" s="58" t="s">
        <v>16759</v>
      </c>
      <c r="K1840" s="73">
        <v>43734.0</v>
      </c>
      <c r="Q1840" s="58">
        <v>1.0</v>
      </c>
      <c r="R1840" s="58">
        <v>7.0</v>
      </c>
      <c r="Z1840" s="58" t="s">
        <v>239</v>
      </c>
      <c r="CH1840" s="58" t="s">
        <v>16760</v>
      </c>
      <c r="CI1840" s="73">
        <v>43840.0</v>
      </c>
      <c r="CJ1840" s="58">
        <v>33.0</v>
      </c>
      <c r="CK1840" s="58">
        <v>52.0</v>
      </c>
      <c r="CL1840" s="58" t="s">
        <v>16761</v>
      </c>
      <c r="CN1840" s="58" t="s">
        <v>16762</v>
      </c>
      <c r="CO1840" s="58" t="s">
        <v>16763</v>
      </c>
      <c r="CP1840" s="58" t="s">
        <v>16764</v>
      </c>
      <c r="CR1840" s="58">
        <v>161.0</v>
      </c>
      <c r="CT1840" s="58">
        <v>135.0</v>
      </c>
      <c r="CU1840" s="58" t="s">
        <v>239</v>
      </c>
      <c r="DL1840" s="58" t="s">
        <v>16765</v>
      </c>
    </row>
    <row r="1841" ht="15.75" customHeight="1">
      <c r="B1841" s="58" t="s">
        <v>16392</v>
      </c>
      <c r="C1841" s="58">
        <v>2022.0</v>
      </c>
      <c r="D1841" s="58" t="s">
        <v>16766</v>
      </c>
      <c r="E1841" s="58" t="s">
        <v>16767</v>
      </c>
      <c r="F1841" s="58" t="s">
        <v>16538</v>
      </c>
      <c r="H1841" s="58" t="s">
        <v>16539</v>
      </c>
      <c r="I1841" s="58" t="s">
        <v>16768</v>
      </c>
      <c r="K1841" s="73">
        <v>44622.0</v>
      </c>
      <c r="Q1841" s="58">
        <v>18.0</v>
      </c>
      <c r="R1841" s="58">
        <v>9.0</v>
      </c>
      <c r="Z1841" s="58" t="s">
        <v>239</v>
      </c>
      <c r="CH1841" s="58" t="s">
        <v>16769</v>
      </c>
      <c r="CI1841" s="73">
        <v>44811.0</v>
      </c>
      <c r="CJ1841" s="58">
        <v>17452.0</v>
      </c>
      <c r="CK1841" s="58">
        <v>17467.0</v>
      </c>
      <c r="CL1841" s="58" t="s">
        <v>16770</v>
      </c>
      <c r="CO1841" s="58" t="s">
        <v>16771</v>
      </c>
      <c r="CP1841" s="58" t="s">
        <v>16772</v>
      </c>
      <c r="CR1841" s="58">
        <v>140.0</v>
      </c>
      <c r="CT1841" s="58">
        <v>98.0</v>
      </c>
      <c r="CU1841" s="58" t="s">
        <v>239</v>
      </c>
      <c r="DL1841" s="58" t="s">
        <v>16773</v>
      </c>
    </row>
    <row r="1842" ht="15.75" customHeight="1">
      <c r="B1842" s="58" t="s">
        <v>16392</v>
      </c>
      <c r="C1842" s="58">
        <v>2018.0</v>
      </c>
      <c r="D1842" s="58" t="s">
        <v>16774</v>
      </c>
      <c r="E1842" s="58" t="s">
        <v>16775</v>
      </c>
      <c r="F1842" s="58" t="s">
        <v>16436</v>
      </c>
      <c r="H1842" s="58" t="s">
        <v>16437</v>
      </c>
      <c r="I1842" s="58" t="s">
        <v>16776</v>
      </c>
      <c r="K1842" s="73">
        <v>43056.0</v>
      </c>
      <c r="R1842" s="58">
        <v>6.0</v>
      </c>
      <c r="Z1842" s="58" t="s">
        <v>239</v>
      </c>
      <c r="CH1842" s="58" t="s">
        <v>16777</v>
      </c>
      <c r="CI1842" s="73">
        <v>43146.0</v>
      </c>
      <c r="CJ1842" s="58">
        <v>723.0</v>
      </c>
      <c r="CK1842" s="58">
        <v>737.0</v>
      </c>
      <c r="CL1842" s="58" t="s">
        <v>16778</v>
      </c>
      <c r="CO1842" s="58" t="s">
        <v>16779</v>
      </c>
      <c r="CP1842" s="58" t="s">
        <v>16780</v>
      </c>
      <c r="CR1842" s="58">
        <v>137.0</v>
      </c>
      <c r="CT1842" s="58">
        <v>31.0</v>
      </c>
      <c r="CU1842" s="58" t="s">
        <v>16444</v>
      </c>
      <c r="DL1842" s="58" t="s">
        <v>16781</v>
      </c>
    </row>
    <row r="1843" ht="15.75" customHeight="1">
      <c r="B1843" s="58" t="s">
        <v>16392</v>
      </c>
      <c r="C1843" s="58">
        <v>2021.0</v>
      </c>
      <c r="D1843" s="58" t="s">
        <v>16782</v>
      </c>
      <c r="E1843" s="58" t="s">
        <v>16783</v>
      </c>
      <c r="F1843" s="58" t="s">
        <v>16538</v>
      </c>
      <c r="H1843" s="58" t="s">
        <v>16539</v>
      </c>
      <c r="I1843" s="58" t="s">
        <v>16784</v>
      </c>
      <c r="K1843" s="73">
        <v>44050.0</v>
      </c>
      <c r="Q1843" s="58">
        <v>16.0</v>
      </c>
      <c r="R1843" s="58">
        <v>8.0</v>
      </c>
      <c r="Z1843" s="58" t="s">
        <v>239</v>
      </c>
      <c r="CH1843" s="58" t="s">
        <v>16785</v>
      </c>
      <c r="CI1843" s="73">
        <v>44413.0</v>
      </c>
      <c r="CJ1843" s="58">
        <v>12792.0</v>
      </c>
      <c r="CK1843" s="58">
        <v>12805.0</v>
      </c>
      <c r="CL1843" s="58" t="s">
        <v>16786</v>
      </c>
      <c r="CN1843" s="58" t="s">
        <v>16787</v>
      </c>
      <c r="CO1843" s="58" t="s">
        <v>16788</v>
      </c>
      <c r="CP1843" s="58" t="s">
        <v>16789</v>
      </c>
      <c r="CR1843" s="58">
        <v>133.0</v>
      </c>
      <c r="CT1843" s="58">
        <v>124.0</v>
      </c>
      <c r="CU1843" s="58" t="s">
        <v>239</v>
      </c>
      <c r="DL1843" s="58" t="s">
        <v>16790</v>
      </c>
    </row>
    <row r="1844" ht="15.75" customHeight="1">
      <c r="B1844" s="58" t="s">
        <v>16392</v>
      </c>
      <c r="C1844" s="58">
        <v>2020.0</v>
      </c>
      <c r="D1844" s="58" t="s">
        <v>16791</v>
      </c>
      <c r="E1844" s="58" t="s">
        <v>16792</v>
      </c>
      <c r="F1844" s="58" t="s">
        <v>16436</v>
      </c>
      <c r="H1844" s="58" t="s">
        <v>16437</v>
      </c>
      <c r="I1844" s="58" t="s">
        <v>16793</v>
      </c>
      <c r="K1844" s="73">
        <v>44092.0</v>
      </c>
      <c r="R1844" s="58">
        <v>8.0</v>
      </c>
      <c r="Z1844" s="58" t="s">
        <v>239</v>
      </c>
      <c r="CH1844" s="58" t="s">
        <v>16794</v>
      </c>
      <c r="CI1844" s="73">
        <v>44102.0</v>
      </c>
      <c r="CJ1844" s="58">
        <v>173508.0</v>
      </c>
      <c r="CK1844" s="58">
        <v>173520.0</v>
      </c>
      <c r="CL1844" s="58" t="s">
        <v>16795</v>
      </c>
      <c r="CN1844" s="58" t="s">
        <v>16469</v>
      </c>
      <c r="CO1844" s="58" t="s">
        <v>16796</v>
      </c>
      <c r="CP1844" s="58" t="s">
        <v>13621</v>
      </c>
      <c r="CR1844" s="58">
        <v>130.0</v>
      </c>
      <c r="CT1844" s="58">
        <v>30.0</v>
      </c>
      <c r="CU1844" s="58" t="s">
        <v>16423</v>
      </c>
      <c r="DL1844" s="58" t="s">
        <v>16797</v>
      </c>
    </row>
    <row r="1845" ht="15.75" customHeight="1">
      <c r="B1845" s="58" t="s">
        <v>16392</v>
      </c>
      <c r="C1845" s="58">
        <v>2022.0</v>
      </c>
      <c r="D1845" s="58" t="s">
        <v>16798</v>
      </c>
      <c r="E1845" s="58" t="s">
        <v>16799</v>
      </c>
      <c r="F1845" s="58" t="s">
        <v>16538</v>
      </c>
      <c r="H1845" s="58" t="s">
        <v>16539</v>
      </c>
      <c r="I1845" s="58" t="s">
        <v>16800</v>
      </c>
      <c r="K1845" s="73">
        <v>44482.0</v>
      </c>
      <c r="Q1845" s="58">
        <v>2.0</v>
      </c>
      <c r="R1845" s="58">
        <v>9.0</v>
      </c>
      <c r="Z1845" s="58" t="s">
        <v>239</v>
      </c>
      <c r="CH1845" s="58" t="s">
        <v>16801</v>
      </c>
      <c r="CI1845" s="73">
        <v>44567.0</v>
      </c>
      <c r="CJ1845" s="58">
        <v>964.0</v>
      </c>
      <c r="CK1845" s="58">
        <v>988.0</v>
      </c>
      <c r="CL1845" s="58" t="s">
        <v>16802</v>
      </c>
      <c r="CN1845" s="58" t="s">
        <v>16803</v>
      </c>
      <c r="CO1845" s="58" t="s">
        <v>16804</v>
      </c>
      <c r="CP1845" s="58" t="s">
        <v>16805</v>
      </c>
      <c r="CR1845" s="58">
        <v>130.0</v>
      </c>
      <c r="CT1845" s="58">
        <v>139.0</v>
      </c>
      <c r="CU1845" s="58" t="s">
        <v>239</v>
      </c>
      <c r="DL1845" s="58" t="s">
        <v>16806</v>
      </c>
    </row>
    <row r="1846" ht="15.75" customHeight="1">
      <c r="B1846" s="58" t="s">
        <v>16392</v>
      </c>
      <c r="C1846" s="58">
        <v>2022.0</v>
      </c>
      <c r="D1846" s="58" t="s">
        <v>16807</v>
      </c>
      <c r="E1846" s="58" t="s">
        <v>16808</v>
      </c>
      <c r="F1846" s="58" t="s">
        <v>16395</v>
      </c>
      <c r="H1846" s="58" t="s">
        <v>16396</v>
      </c>
      <c r="I1846" s="58" t="s">
        <v>16809</v>
      </c>
      <c r="K1846" s="73">
        <v>44784.0</v>
      </c>
      <c r="Q1846" s="58">
        <v>4.0</v>
      </c>
      <c r="R1846" s="58">
        <v>24.0</v>
      </c>
      <c r="Z1846" s="58" t="s">
        <v>239</v>
      </c>
      <c r="CH1846" s="58" t="s">
        <v>16810</v>
      </c>
      <c r="CI1846" s="73">
        <v>44886.0</v>
      </c>
      <c r="CJ1846" s="58">
        <v>2230.0</v>
      </c>
      <c r="CK1846" s="58">
        <v>2254.0</v>
      </c>
      <c r="CL1846" s="58" t="s">
        <v>16811</v>
      </c>
      <c r="CN1846" s="58" t="s">
        <v>16812</v>
      </c>
      <c r="CO1846" s="58" t="s">
        <v>16813</v>
      </c>
      <c r="CP1846" s="58" t="s">
        <v>16814</v>
      </c>
      <c r="CR1846" s="58">
        <v>126.0</v>
      </c>
      <c r="CT1846" s="58">
        <v>141.0</v>
      </c>
      <c r="CU1846" s="58" t="s">
        <v>239</v>
      </c>
      <c r="DL1846" s="58" t="s">
        <v>16815</v>
      </c>
    </row>
    <row r="1847" ht="15.75" customHeight="1">
      <c r="B1847" s="58" t="s">
        <v>16392</v>
      </c>
      <c r="C1847" s="58">
        <v>2017.0</v>
      </c>
      <c r="D1847" s="58" t="s">
        <v>16816</v>
      </c>
      <c r="E1847" s="58" t="s">
        <v>16817</v>
      </c>
      <c r="F1847" s="58" t="s">
        <v>16731</v>
      </c>
      <c r="H1847" s="58" t="s">
        <v>16732</v>
      </c>
      <c r="I1847" s="58" t="s">
        <v>16818</v>
      </c>
      <c r="K1847" s="73">
        <v>42683.0</v>
      </c>
      <c r="Q1847" s="58">
        <v>2.0</v>
      </c>
      <c r="R1847" s="58">
        <v>13.0</v>
      </c>
      <c r="Z1847" s="58" t="s">
        <v>239</v>
      </c>
      <c r="CH1847" s="58" t="s">
        <v>16819</v>
      </c>
      <c r="CI1847" s="73">
        <v>42874.0</v>
      </c>
      <c r="CJ1847" s="58">
        <v>832.0</v>
      </c>
      <c r="CK1847" s="58">
        <v>840.0</v>
      </c>
      <c r="CL1847" s="58" t="s">
        <v>16820</v>
      </c>
      <c r="CN1847" s="58" t="s">
        <v>16821</v>
      </c>
      <c r="CO1847" s="58" t="s">
        <v>16822</v>
      </c>
      <c r="CP1847" s="58" t="s">
        <v>16823</v>
      </c>
      <c r="CR1847" s="58">
        <v>126.0</v>
      </c>
      <c r="CT1847" s="58">
        <v>35.0</v>
      </c>
      <c r="CU1847" s="58" t="s">
        <v>239</v>
      </c>
      <c r="DL1847" s="58" t="s">
        <v>16824</v>
      </c>
    </row>
    <row r="1848" ht="15.75" customHeight="1">
      <c r="B1848" s="58" t="s">
        <v>16392</v>
      </c>
      <c r="C1848" s="58">
        <v>2020.0</v>
      </c>
      <c r="D1848" s="58" t="s">
        <v>16825</v>
      </c>
      <c r="E1848" s="58" t="s">
        <v>16826</v>
      </c>
      <c r="F1848" s="58" t="s">
        <v>16436</v>
      </c>
      <c r="H1848" s="58" t="s">
        <v>16437</v>
      </c>
      <c r="I1848" s="58" t="s">
        <v>16827</v>
      </c>
      <c r="K1848" s="73">
        <v>43915.0</v>
      </c>
      <c r="R1848" s="58">
        <v>8.0</v>
      </c>
      <c r="Z1848" s="58" t="s">
        <v>239</v>
      </c>
      <c r="CH1848" s="58" t="s">
        <v>16828</v>
      </c>
      <c r="CI1848" s="73">
        <v>43943.0</v>
      </c>
      <c r="CJ1848" s="58">
        <v>69105.0</v>
      </c>
      <c r="CK1848" s="58">
        <v>69133.0</v>
      </c>
      <c r="CL1848" s="58" t="s">
        <v>16829</v>
      </c>
      <c r="CO1848" s="58" t="s">
        <v>16830</v>
      </c>
      <c r="CP1848" s="58" t="s">
        <v>16831</v>
      </c>
      <c r="CR1848" s="58">
        <v>126.0</v>
      </c>
      <c r="CT1848" s="58">
        <v>191.0</v>
      </c>
      <c r="CU1848" s="58" t="s">
        <v>16423</v>
      </c>
      <c r="DL1848" s="58" t="s">
        <v>16832</v>
      </c>
    </row>
    <row r="1849" ht="15.75" customHeight="1">
      <c r="B1849" s="58" t="s">
        <v>16392</v>
      </c>
      <c r="C1849" s="58">
        <v>2021.0</v>
      </c>
      <c r="D1849" s="58" t="s">
        <v>16833</v>
      </c>
      <c r="E1849" s="58" t="s">
        <v>16834</v>
      </c>
      <c r="F1849" s="58" t="s">
        <v>16835</v>
      </c>
      <c r="H1849" s="58" t="s">
        <v>16836</v>
      </c>
      <c r="I1849" s="58" t="s">
        <v>16837</v>
      </c>
      <c r="K1849" s="73">
        <v>44393.0</v>
      </c>
      <c r="Q1849" s="58">
        <v>16.0</v>
      </c>
      <c r="R1849" s="58">
        <v>39.0</v>
      </c>
      <c r="Z1849" s="58" t="s">
        <v>239</v>
      </c>
      <c r="CH1849" s="58" t="s">
        <v>16838</v>
      </c>
      <c r="CI1849" s="73">
        <v>44438.0</v>
      </c>
      <c r="CJ1849" s="58">
        <v>5232.0</v>
      </c>
      <c r="CK1849" s="58">
        <v>5247.0</v>
      </c>
      <c r="CL1849" s="58" t="s">
        <v>16839</v>
      </c>
      <c r="CO1849" s="58" t="s">
        <v>16840</v>
      </c>
      <c r="CP1849" s="58" t="s">
        <v>16841</v>
      </c>
      <c r="CR1849" s="58">
        <v>125.0</v>
      </c>
      <c r="CT1849" s="58">
        <v>53.0</v>
      </c>
      <c r="CU1849" s="58" t="s">
        <v>16727</v>
      </c>
      <c r="DL1849" s="58" t="s">
        <v>16842</v>
      </c>
    </row>
    <row r="1850" ht="15.75" customHeight="1">
      <c r="B1850" s="58" t="s">
        <v>16392</v>
      </c>
      <c r="C1850" s="58">
        <v>2020.0</v>
      </c>
      <c r="D1850" s="58" t="s">
        <v>16843</v>
      </c>
      <c r="E1850" s="58" t="s">
        <v>16844</v>
      </c>
      <c r="F1850" s="58" t="s">
        <v>16436</v>
      </c>
      <c r="H1850" s="58" t="s">
        <v>16437</v>
      </c>
      <c r="I1850" s="58" t="s">
        <v>16845</v>
      </c>
      <c r="K1850" s="73">
        <v>43959.0</v>
      </c>
      <c r="R1850" s="58">
        <v>8.0</v>
      </c>
      <c r="Z1850" s="58" t="s">
        <v>239</v>
      </c>
      <c r="CH1850" s="58" t="s">
        <v>16846</v>
      </c>
      <c r="CI1850" s="73">
        <v>43979.0</v>
      </c>
      <c r="CJ1850" s="58">
        <v>94880.0</v>
      </c>
      <c r="CK1850" s="58">
        <v>94911.0</v>
      </c>
      <c r="CL1850" s="58" t="s">
        <v>16847</v>
      </c>
      <c r="CO1850" s="58" t="s">
        <v>16848</v>
      </c>
      <c r="CP1850" s="58" t="s">
        <v>16849</v>
      </c>
      <c r="CR1850" s="58">
        <v>123.0</v>
      </c>
      <c r="CT1850" s="58">
        <v>176.0</v>
      </c>
      <c r="CU1850" s="58" t="s">
        <v>16423</v>
      </c>
      <c r="DL1850" s="58" t="s">
        <v>16850</v>
      </c>
    </row>
    <row r="1851" ht="15.75" customHeight="1">
      <c r="B1851" s="58" t="s">
        <v>16392</v>
      </c>
      <c r="C1851" s="58">
        <v>2023.0</v>
      </c>
      <c r="D1851" s="58" t="s">
        <v>16851</v>
      </c>
      <c r="E1851" s="58" t="s">
        <v>16852</v>
      </c>
      <c r="F1851" s="58" t="s">
        <v>16395</v>
      </c>
      <c r="H1851" s="58" t="s">
        <v>16396</v>
      </c>
      <c r="I1851" s="58" t="s">
        <v>16853</v>
      </c>
      <c r="K1851" s="73">
        <v>44866.0</v>
      </c>
      <c r="Q1851" s="58">
        <v>1.0</v>
      </c>
      <c r="R1851" s="58">
        <v>25.0</v>
      </c>
      <c r="Z1851" s="58" t="s">
        <v>239</v>
      </c>
      <c r="CH1851" s="58" t="s">
        <v>16854</v>
      </c>
      <c r="CI1851" s="73">
        <v>44980.0</v>
      </c>
      <c r="CJ1851" s="58">
        <v>591.0</v>
      </c>
      <c r="CK1851" s="58">
        <v>624.0</v>
      </c>
      <c r="CL1851" s="58" t="s">
        <v>16855</v>
      </c>
      <c r="CN1851" s="58" t="s">
        <v>16856</v>
      </c>
      <c r="CO1851" s="58" t="s">
        <v>16857</v>
      </c>
      <c r="CP1851" s="58" t="s">
        <v>16858</v>
      </c>
      <c r="CR1851" s="58">
        <v>115.0</v>
      </c>
      <c r="CT1851" s="58">
        <v>318.0</v>
      </c>
      <c r="CU1851" s="58" t="s">
        <v>239</v>
      </c>
      <c r="DL1851" s="58" t="s">
        <v>16859</v>
      </c>
    </row>
    <row r="1852" ht="15.75" customHeight="1">
      <c r="B1852" s="58" t="s">
        <v>16392</v>
      </c>
      <c r="C1852" s="58">
        <v>2022.0</v>
      </c>
      <c r="D1852" s="58" t="s">
        <v>16860</v>
      </c>
      <c r="E1852" s="58" t="s">
        <v>16861</v>
      </c>
      <c r="F1852" s="58" t="s">
        <v>16538</v>
      </c>
      <c r="H1852" s="58" t="s">
        <v>16539</v>
      </c>
      <c r="I1852" s="58" t="s">
        <v>16862</v>
      </c>
      <c r="K1852" s="73">
        <v>44795.0</v>
      </c>
      <c r="Q1852" s="58">
        <v>23.0</v>
      </c>
      <c r="R1852" s="58">
        <v>9.0</v>
      </c>
      <c r="Z1852" s="58" t="s">
        <v>239</v>
      </c>
      <c r="CH1852" s="58" t="s">
        <v>16863</v>
      </c>
      <c r="CI1852" s="73">
        <v>44883.0</v>
      </c>
      <c r="CJ1852" s="58">
        <v>23472.0</v>
      </c>
      <c r="CK1852" s="58">
        <v>23485.0</v>
      </c>
      <c r="CL1852" s="58" t="s">
        <v>16864</v>
      </c>
      <c r="CN1852" s="58" t="s">
        <v>16865</v>
      </c>
      <c r="CO1852" s="58" t="s">
        <v>16866</v>
      </c>
      <c r="CP1852" s="58" t="s">
        <v>16867</v>
      </c>
      <c r="CR1852" s="58">
        <v>109.0</v>
      </c>
      <c r="CT1852" s="58">
        <v>99.0</v>
      </c>
      <c r="CU1852" s="58" t="s">
        <v>239</v>
      </c>
      <c r="DL1852" s="58" t="s">
        <v>16868</v>
      </c>
    </row>
    <row r="1853" ht="15.75" customHeight="1">
      <c r="B1853" s="58" t="s">
        <v>16392</v>
      </c>
      <c r="C1853" s="58">
        <v>2020.0</v>
      </c>
      <c r="D1853" s="58" t="s">
        <v>16869</v>
      </c>
      <c r="E1853" s="58" t="s">
        <v>16870</v>
      </c>
      <c r="F1853" s="58" t="s">
        <v>16538</v>
      </c>
      <c r="H1853" s="58" t="s">
        <v>16539</v>
      </c>
      <c r="I1853" s="58" t="s">
        <v>16871</v>
      </c>
      <c r="K1853" s="73">
        <v>43713.0</v>
      </c>
      <c r="Q1853" s="58">
        <v>5.0</v>
      </c>
      <c r="R1853" s="58">
        <v>7.0</v>
      </c>
      <c r="Z1853" s="58" t="s">
        <v>239</v>
      </c>
      <c r="CH1853" s="58" t="s">
        <v>16872</v>
      </c>
      <c r="CI1853" s="73">
        <v>43964.0</v>
      </c>
      <c r="CJ1853" s="58">
        <v>4228.0</v>
      </c>
      <c r="CK1853" s="58">
        <v>4237.0</v>
      </c>
      <c r="CL1853" s="58" t="s">
        <v>16873</v>
      </c>
      <c r="CN1853" s="58" t="s">
        <v>16874</v>
      </c>
      <c r="CO1853" s="58" t="s">
        <v>16875</v>
      </c>
      <c r="CP1853" s="58" t="s">
        <v>16876</v>
      </c>
      <c r="CR1853" s="58">
        <v>108.0</v>
      </c>
      <c r="CT1853" s="58">
        <v>39.0</v>
      </c>
      <c r="CU1853" s="58" t="s">
        <v>239</v>
      </c>
      <c r="DL1853" s="58" t="s">
        <v>16877</v>
      </c>
    </row>
    <row r="1854" ht="15.75" customHeight="1">
      <c r="B1854" s="58" t="s">
        <v>16392</v>
      </c>
      <c r="C1854" s="58">
        <v>2020.0</v>
      </c>
      <c r="D1854" s="58" t="s">
        <v>16878</v>
      </c>
      <c r="E1854" s="58" t="s">
        <v>16879</v>
      </c>
      <c r="F1854" s="58" t="s">
        <v>16436</v>
      </c>
      <c r="H1854" s="58" t="s">
        <v>16437</v>
      </c>
      <c r="I1854" s="58" t="s">
        <v>16880</v>
      </c>
      <c r="K1854" s="73">
        <v>44063.0</v>
      </c>
      <c r="R1854" s="58">
        <v>8.0</v>
      </c>
      <c r="Z1854" s="58" t="s">
        <v>239</v>
      </c>
      <c r="CH1854" s="58" t="s">
        <v>16881</v>
      </c>
      <c r="CI1854" s="73">
        <v>44075.0</v>
      </c>
      <c r="CJ1854" s="58">
        <v>153826.0</v>
      </c>
      <c r="CK1854" s="58">
        <v>153848.0</v>
      </c>
      <c r="CL1854" s="58" t="s">
        <v>16882</v>
      </c>
      <c r="CN1854" s="58" t="s">
        <v>16883</v>
      </c>
      <c r="CO1854" s="58" t="s">
        <v>16884</v>
      </c>
      <c r="CP1854" s="58" t="s">
        <v>16885</v>
      </c>
      <c r="CR1854" s="58">
        <v>108.0</v>
      </c>
      <c r="CT1854" s="58">
        <v>100.0</v>
      </c>
      <c r="CU1854" s="58" t="s">
        <v>16423</v>
      </c>
      <c r="DL1854" s="58" t="s">
        <v>16886</v>
      </c>
    </row>
    <row r="1855" ht="15.75" customHeight="1">
      <c r="B1855" s="58" t="s">
        <v>16392</v>
      </c>
      <c r="C1855" s="58">
        <v>2018.0</v>
      </c>
      <c r="D1855" s="58" t="s">
        <v>16887</v>
      </c>
      <c r="E1855" s="58" t="s">
        <v>16888</v>
      </c>
      <c r="F1855" s="58" t="s">
        <v>16436</v>
      </c>
      <c r="H1855" s="58" t="s">
        <v>16437</v>
      </c>
      <c r="I1855" s="58" t="s">
        <v>16889</v>
      </c>
      <c r="K1855" s="73">
        <v>43273.0</v>
      </c>
      <c r="R1855" s="58">
        <v>6.0</v>
      </c>
      <c r="Z1855" s="58" t="s">
        <v>239</v>
      </c>
      <c r="CH1855" s="58" t="s">
        <v>16890</v>
      </c>
      <c r="CI1855" s="73">
        <v>43297.0</v>
      </c>
      <c r="CJ1855" s="58">
        <v>35988.0</v>
      </c>
      <c r="CK1855" s="58">
        <v>36001.0</v>
      </c>
      <c r="CL1855" s="58" t="s">
        <v>16891</v>
      </c>
      <c r="CN1855" s="58" t="s">
        <v>16892</v>
      </c>
      <c r="CO1855" s="58" t="s">
        <v>16893</v>
      </c>
      <c r="CP1855" s="58" t="s">
        <v>16894</v>
      </c>
      <c r="CR1855" s="58">
        <v>107.0</v>
      </c>
      <c r="CT1855" s="58">
        <v>27.0</v>
      </c>
      <c r="CU1855" s="58" t="s">
        <v>16423</v>
      </c>
      <c r="DL1855" s="58" t="s">
        <v>16895</v>
      </c>
    </row>
    <row r="1856" ht="15.75" customHeight="1">
      <c r="B1856" s="58" t="s">
        <v>16392</v>
      </c>
      <c r="C1856" s="58">
        <v>2021.0</v>
      </c>
      <c r="D1856" s="58" t="s">
        <v>16896</v>
      </c>
      <c r="E1856" s="58" t="s">
        <v>16897</v>
      </c>
      <c r="F1856" s="58" t="s">
        <v>16436</v>
      </c>
      <c r="H1856" s="58" t="s">
        <v>16437</v>
      </c>
      <c r="I1856" s="58" t="s">
        <v>16898</v>
      </c>
      <c r="K1856" s="73">
        <v>44288.0</v>
      </c>
      <c r="R1856" s="58">
        <v>9.0</v>
      </c>
      <c r="Z1856" s="58" t="s">
        <v>239</v>
      </c>
      <c r="CH1856" s="58" t="s">
        <v>16899</v>
      </c>
      <c r="CI1856" s="73">
        <v>44299.0</v>
      </c>
      <c r="CJ1856" s="58">
        <v>54478.0</v>
      </c>
      <c r="CK1856" s="58">
        <v>54497.0</v>
      </c>
      <c r="CL1856" s="58" t="s">
        <v>16900</v>
      </c>
      <c r="CO1856" s="58" t="s">
        <v>16901</v>
      </c>
      <c r="CP1856" s="58" t="s">
        <v>16902</v>
      </c>
      <c r="CR1856" s="58">
        <v>103.0</v>
      </c>
      <c r="CT1856" s="58">
        <v>91.0</v>
      </c>
      <c r="CU1856" s="58" t="s">
        <v>16423</v>
      </c>
      <c r="DL1856" s="58" t="s">
        <v>16903</v>
      </c>
    </row>
    <row r="1857" ht="15.75" customHeight="1">
      <c r="B1857" s="58" t="s">
        <v>16392</v>
      </c>
      <c r="C1857" s="58">
        <v>2017.0</v>
      </c>
      <c r="D1857" s="58" t="s">
        <v>16904</v>
      </c>
      <c r="E1857" s="58" t="s">
        <v>16905</v>
      </c>
      <c r="F1857" s="58" t="s">
        <v>16538</v>
      </c>
      <c r="H1857" s="58" t="s">
        <v>16539</v>
      </c>
      <c r="I1857" s="58" t="s">
        <v>16906</v>
      </c>
      <c r="K1857" s="73">
        <v>42895.0</v>
      </c>
      <c r="Q1857" s="58">
        <v>4.0</v>
      </c>
      <c r="R1857" s="58">
        <v>4.0</v>
      </c>
      <c r="Z1857" s="58" t="s">
        <v>239</v>
      </c>
      <c r="CH1857" s="58" t="s">
        <v>16907</v>
      </c>
      <c r="CI1857" s="73">
        <v>42955.0</v>
      </c>
      <c r="CJ1857" s="58">
        <v>1019.0</v>
      </c>
      <c r="CK1857" s="58">
        <v>1030.0</v>
      </c>
      <c r="CL1857" s="58" t="s">
        <v>16908</v>
      </c>
      <c r="CN1857" s="58" t="s">
        <v>16909</v>
      </c>
      <c r="CO1857" s="58" t="s">
        <v>16910</v>
      </c>
      <c r="CP1857" s="58" t="s">
        <v>16911</v>
      </c>
      <c r="CR1857" s="58">
        <v>98.0</v>
      </c>
      <c r="CT1857" s="58">
        <v>41.0</v>
      </c>
      <c r="CU1857" s="58" t="s">
        <v>239</v>
      </c>
      <c r="DL1857" s="58" t="s">
        <v>16912</v>
      </c>
    </row>
    <row r="1858" ht="15.75" customHeight="1">
      <c r="B1858" s="58" t="s">
        <v>16392</v>
      </c>
      <c r="C1858" s="58">
        <v>2020.0</v>
      </c>
      <c r="D1858" s="58" t="s">
        <v>16913</v>
      </c>
      <c r="E1858" s="58" t="s">
        <v>16914</v>
      </c>
      <c r="F1858" s="58" t="s">
        <v>16538</v>
      </c>
      <c r="H1858" s="58" t="s">
        <v>16539</v>
      </c>
      <c r="I1858" s="58" t="s">
        <v>16915</v>
      </c>
      <c r="K1858" s="73">
        <v>43909.0</v>
      </c>
      <c r="Q1858" s="58">
        <v>7.0</v>
      </c>
      <c r="R1858" s="58">
        <v>7.0</v>
      </c>
      <c r="Z1858" s="58" t="s">
        <v>239</v>
      </c>
      <c r="CH1858" s="58" t="s">
        <v>16916</v>
      </c>
      <c r="CI1858" s="73">
        <v>44022.0</v>
      </c>
      <c r="CJ1858" s="58">
        <v>6164.0</v>
      </c>
      <c r="CK1858" s="58">
        <v>6174.0</v>
      </c>
      <c r="CL1858" s="58" t="s">
        <v>16917</v>
      </c>
      <c r="CO1858" s="58" t="s">
        <v>16918</v>
      </c>
      <c r="CP1858" s="58" t="s">
        <v>16919</v>
      </c>
      <c r="CR1858" s="58">
        <v>98.0</v>
      </c>
      <c r="CT1858" s="58">
        <v>56.0</v>
      </c>
      <c r="CU1858" s="58" t="s">
        <v>239</v>
      </c>
      <c r="DL1858" s="58" t="s">
        <v>16920</v>
      </c>
    </row>
    <row r="1859" ht="15.75" customHeight="1">
      <c r="B1859" s="58" t="s">
        <v>16392</v>
      </c>
      <c r="C1859" s="58">
        <v>2019.0</v>
      </c>
      <c r="D1859" s="58" t="s">
        <v>16921</v>
      </c>
      <c r="E1859" s="58" t="s">
        <v>16922</v>
      </c>
      <c r="F1859" s="58" t="s">
        <v>16923</v>
      </c>
      <c r="H1859" s="58" t="s">
        <v>16924</v>
      </c>
      <c r="I1859" s="58" t="s">
        <v>16925</v>
      </c>
      <c r="K1859" s="73">
        <v>43651.0</v>
      </c>
      <c r="Q1859" s="58">
        <v>8.0</v>
      </c>
      <c r="R1859" s="58">
        <v>37.0</v>
      </c>
      <c r="Z1859" s="58" t="s">
        <v>239</v>
      </c>
      <c r="CH1859" s="58" t="s">
        <v>16926</v>
      </c>
      <c r="CI1859" s="73">
        <v>43683.0</v>
      </c>
      <c r="CJ1859" s="58">
        <v>1866.0</v>
      </c>
      <c r="CK1859" s="58">
        <v>1880.0</v>
      </c>
      <c r="CL1859" s="58" t="s">
        <v>16927</v>
      </c>
      <c r="CN1859" s="58" t="s">
        <v>16928</v>
      </c>
      <c r="CO1859" s="58" t="s">
        <v>16929</v>
      </c>
      <c r="CP1859" s="58" t="s">
        <v>16930</v>
      </c>
      <c r="CR1859" s="58">
        <v>95.0</v>
      </c>
      <c r="CT1859" s="58">
        <v>38.0</v>
      </c>
      <c r="CU1859" s="58" t="s">
        <v>239</v>
      </c>
      <c r="DL1859" s="58" t="s">
        <v>16931</v>
      </c>
    </row>
    <row r="1860" ht="15.75" customHeight="1">
      <c r="B1860" s="58" t="s">
        <v>16392</v>
      </c>
      <c r="C1860" s="58">
        <v>2017.0</v>
      </c>
      <c r="D1860" s="58" t="s">
        <v>16932</v>
      </c>
      <c r="E1860" s="58" t="s">
        <v>16933</v>
      </c>
      <c r="F1860" s="58" t="s">
        <v>16395</v>
      </c>
      <c r="H1860" s="58" t="s">
        <v>16396</v>
      </c>
      <c r="I1860" s="58" t="s">
        <v>16934</v>
      </c>
      <c r="K1860" s="73">
        <v>42899.0</v>
      </c>
      <c r="Q1860" s="58">
        <v>4.0</v>
      </c>
      <c r="R1860" s="58">
        <v>19.0</v>
      </c>
      <c r="Z1860" s="58" t="s">
        <v>239</v>
      </c>
      <c r="CH1860" s="58" t="s">
        <v>16935</v>
      </c>
      <c r="CI1860" s="73">
        <v>43059.0</v>
      </c>
      <c r="CJ1860" s="58">
        <v>2232.0</v>
      </c>
      <c r="CK1860" s="58">
        <v>2283.0</v>
      </c>
      <c r="CL1860" s="58" t="s">
        <v>16936</v>
      </c>
      <c r="CO1860" s="58" t="s">
        <v>16937</v>
      </c>
      <c r="CP1860" s="58" t="s">
        <v>16938</v>
      </c>
      <c r="CR1860" s="58">
        <v>94.0</v>
      </c>
      <c r="CT1860" s="58">
        <v>250.0</v>
      </c>
      <c r="CU1860" s="58" t="s">
        <v>239</v>
      </c>
      <c r="DL1860" s="58" t="s">
        <v>16939</v>
      </c>
    </row>
    <row r="1861" ht="15.75" customHeight="1">
      <c r="B1861" s="58" t="s">
        <v>16392</v>
      </c>
      <c r="C1861" s="58">
        <v>2019.0</v>
      </c>
      <c r="D1861" s="58" t="s">
        <v>16940</v>
      </c>
      <c r="E1861" s="58" t="s">
        <v>16941</v>
      </c>
      <c r="F1861" s="58" t="s">
        <v>16436</v>
      </c>
      <c r="H1861" s="58" t="s">
        <v>16437</v>
      </c>
      <c r="I1861" s="58" t="s">
        <v>16942</v>
      </c>
      <c r="K1861" s="73">
        <v>43668.0</v>
      </c>
      <c r="R1861" s="58">
        <v>7.0</v>
      </c>
      <c r="Z1861" s="58" t="s">
        <v>239</v>
      </c>
      <c r="CH1861" s="58" t="s">
        <v>16943</v>
      </c>
      <c r="CI1861" s="73">
        <v>43683.0</v>
      </c>
      <c r="CJ1861" s="58">
        <v>100649.0</v>
      </c>
      <c r="CK1861" s="58">
        <v>100657.0</v>
      </c>
      <c r="CL1861" s="58" t="s">
        <v>16944</v>
      </c>
      <c r="CN1861" s="58" t="s">
        <v>16945</v>
      </c>
      <c r="CO1861" s="58" t="s">
        <v>16946</v>
      </c>
      <c r="CP1861" s="58" t="s">
        <v>16947</v>
      </c>
      <c r="CR1861" s="58">
        <v>93.0</v>
      </c>
      <c r="CT1861" s="58">
        <v>24.0</v>
      </c>
      <c r="CU1861" s="58" t="s">
        <v>16423</v>
      </c>
      <c r="DL1861" s="58" t="s">
        <v>16948</v>
      </c>
    </row>
    <row r="1862" ht="15.75" customHeight="1">
      <c r="B1862" s="58" t="s">
        <v>16392</v>
      </c>
      <c r="C1862" s="58">
        <v>2021.0</v>
      </c>
      <c r="D1862" s="58" t="s">
        <v>16949</v>
      </c>
      <c r="E1862" s="58" t="s">
        <v>16950</v>
      </c>
      <c r="F1862" s="58" t="s">
        <v>16395</v>
      </c>
      <c r="H1862" s="58" t="s">
        <v>16396</v>
      </c>
      <c r="I1862" s="58" t="s">
        <v>16951</v>
      </c>
      <c r="K1862" s="73">
        <v>44096.0</v>
      </c>
      <c r="Q1862" s="58">
        <v>1.0</v>
      </c>
      <c r="R1862" s="58">
        <v>23.0</v>
      </c>
      <c r="Z1862" s="58" t="s">
        <v>239</v>
      </c>
      <c r="CH1862" s="58" t="s">
        <v>16952</v>
      </c>
      <c r="CI1862" s="73">
        <v>44250.0</v>
      </c>
      <c r="CJ1862" s="58">
        <v>472.0</v>
      </c>
      <c r="CK1862" s="58">
        <v>523.0</v>
      </c>
      <c r="CL1862" s="58" t="s">
        <v>16953</v>
      </c>
      <c r="CN1862" s="58" t="s">
        <v>16954</v>
      </c>
      <c r="CO1862" s="58" t="s">
        <v>16955</v>
      </c>
      <c r="CP1862" s="58" t="s">
        <v>16956</v>
      </c>
      <c r="CR1862" s="58">
        <v>93.0</v>
      </c>
      <c r="CT1862" s="58">
        <v>192.0</v>
      </c>
      <c r="CU1862" s="58" t="s">
        <v>16423</v>
      </c>
      <c r="DL1862" s="58" t="s">
        <v>16957</v>
      </c>
    </row>
    <row r="1863" ht="15.75" customHeight="1">
      <c r="B1863" s="58" t="s">
        <v>16392</v>
      </c>
      <c r="C1863" s="58">
        <v>2021.0</v>
      </c>
      <c r="D1863" s="58" t="s">
        <v>4837</v>
      </c>
      <c r="E1863" s="58" t="s">
        <v>16958</v>
      </c>
      <c r="F1863" s="58" t="s">
        <v>16959</v>
      </c>
      <c r="H1863" s="58" t="s">
        <v>16960</v>
      </c>
      <c r="I1863" s="58" t="s">
        <v>16961</v>
      </c>
      <c r="K1863" s="73">
        <v>44215.0</v>
      </c>
      <c r="Q1863" s="58">
        <v>1.0</v>
      </c>
      <c r="R1863" s="58">
        <v>18.0</v>
      </c>
      <c r="Z1863" s="58" t="s">
        <v>239</v>
      </c>
      <c r="CH1863" s="58" t="s">
        <v>16962</v>
      </c>
      <c r="CI1863" s="73">
        <v>44265.0</v>
      </c>
      <c r="CJ1863" s="58">
        <v>958.0</v>
      </c>
      <c r="CK1863" s="58">
        <v>972.0</v>
      </c>
      <c r="CL1863" s="58" t="s">
        <v>16963</v>
      </c>
      <c r="CN1863" s="58" t="s">
        <v>16964</v>
      </c>
      <c r="CO1863" s="58" t="s">
        <v>16965</v>
      </c>
      <c r="CP1863" s="58" t="s">
        <v>16966</v>
      </c>
      <c r="CR1863" s="58">
        <v>92.0</v>
      </c>
      <c r="CT1863" s="58">
        <v>44.0</v>
      </c>
      <c r="CU1863" s="58" t="s">
        <v>239</v>
      </c>
      <c r="DL1863" s="58" t="s">
        <v>16967</v>
      </c>
    </row>
    <row r="1864" ht="15.75" customHeight="1">
      <c r="B1864" s="58" t="s">
        <v>16392</v>
      </c>
      <c r="C1864" s="58">
        <v>2022.0</v>
      </c>
      <c r="D1864" s="58" t="s">
        <v>16968</v>
      </c>
      <c r="E1864" s="58" t="s">
        <v>16969</v>
      </c>
      <c r="F1864" s="58" t="s">
        <v>16436</v>
      </c>
      <c r="H1864" s="58" t="s">
        <v>16437</v>
      </c>
      <c r="I1864" s="58" t="s">
        <v>16970</v>
      </c>
      <c r="K1864" s="73">
        <v>44693.0</v>
      </c>
      <c r="R1864" s="58">
        <v>10.0</v>
      </c>
      <c r="Z1864" s="58" t="s">
        <v>239</v>
      </c>
      <c r="CH1864" s="58" t="s">
        <v>16971</v>
      </c>
      <c r="CI1864" s="73">
        <v>44719.0</v>
      </c>
      <c r="CJ1864" s="58">
        <v>57143.0</v>
      </c>
      <c r="CK1864" s="58">
        <v>57179.0</v>
      </c>
      <c r="CL1864" s="58" t="s">
        <v>16972</v>
      </c>
      <c r="CN1864" s="58" t="s">
        <v>16973</v>
      </c>
      <c r="CO1864" s="58" t="s">
        <v>16974</v>
      </c>
      <c r="CP1864" s="58" t="s">
        <v>16975</v>
      </c>
      <c r="CR1864" s="58">
        <v>91.0</v>
      </c>
      <c r="CT1864" s="58">
        <v>190.0</v>
      </c>
      <c r="CU1864" s="58" t="s">
        <v>16423</v>
      </c>
      <c r="DL1864" s="58" t="s">
        <v>16976</v>
      </c>
    </row>
    <row r="1865" ht="15.75" customHeight="1">
      <c r="B1865" s="58" t="s">
        <v>16392</v>
      </c>
      <c r="C1865" s="58">
        <v>2019.0</v>
      </c>
      <c r="D1865" s="58" t="s">
        <v>16977</v>
      </c>
      <c r="E1865" s="58" t="s">
        <v>16978</v>
      </c>
      <c r="F1865" s="58" t="s">
        <v>16436</v>
      </c>
      <c r="H1865" s="58" t="s">
        <v>16437</v>
      </c>
      <c r="I1865" s="58" t="s">
        <v>16979</v>
      </c>
      <c r="K1865" s="73">
        <v>43475.0</v>
      </c>
      <c r="R1865" s="58">
        <v>7.0</v>
      </c>
      <c r="Z1865" s="58" t="s">
        <v>239</v>
      </c>
      <c r="CH1865" s="58" t="s">
        <v>16980</v>
      </c>
      <c r="CI1865" s="73">
        <v>43501.0</v>
      </c>
      <c r="CJ1865" s="58">
        <v>13260.0</v>
      </c>
      <c r="CK1865" s="58">
        <v>13283.0</v>
      </c>
      <c r="CL1865" s="58" t="s">
        <v>16981</v>
      </c>
      <c r="CN1865" s="58" t="s">
        <v>16982</v>
      </c>
      <c r="CO1865" s="58" t="s">
        <v>16983</v>
      </c>
      <c r="CP1865" s="58" t="s">
        <v>16984</v>
      </c>
      <c r="CR1865" s="58">
        <v>89.0</v>
      </c>
      <c r="CT1865" s="58">
        <v>203.0</v>
      </c>
      <c r="CU1865" s="58" t="s">
        <v>16423</v>
      </c>
      <c r="DL1865" s="58" t="s">
        <v>16985</v>
      </c>
    </row>
    <row r="1866" ht="15.75" customHeight="1">
      <c r="B1866" s="58" t="s">
        <v>16392</v>
      </c>
      <c r="C1866" s="58">
        <v>2021.0</v>
      </c>
      <c r="D1866" s="58" t="s">
        <v>16986</v>
      </c>
      <c r="E1866" s="58" t="s">
        <v>16987</v>
      </c>
      <c r="F1866" s="58" t="s">
        <v>16436</v>
      </c>
      <c r="H1866" s="58" t="s">
        <v>16437</v>
      </c>
      <c r="I1866" s="58" t="s">
        <v>16988</v>
      </c>
      <c r="K1866" s="73">
        <v>44217.0</v>
      </c>
      <c r="R1866" s="58">
        <v>9.0</v>
      </c>
      <c r="Z1866" s="58" t="s">
        <v>239</v>
      </c>
      <c r="CH1866" s="58" t="s">
        <v>16989</v>
      </c>
      <c r="CI1866" s="73">
        <v>44244.0</v>
      </c>
      <c r="CJ1866" s="58">
        <v>18706.0</v>
      </c>
      <c r="CK1866" s="58">
        <v>18721.0</v>
      </c>
      <c r="CL1866" s="58" t="s">
        <v>16990</v>
      </c>
      <c r="CO1866" s="58" t="s">
        <v>16991</v>
      </c>
      <c r="CP1866" s="58" t="s">
        <v>16992</v>
      </c>
      <c r="CR1866" s="58">
        <v>85.0</v>
      </c>
      <c r="CT1866" s="58">
        <v>105.0</v>
      </c>
      <c r="CU1866" s="58" t="s">
        <v>16423</v>
      </c>
      <c r="DL1866" s="58" t="s">
        <v>16993</v>
      </c>
    </row>
    <row r="1867" ht="15.75" customHeight="1">
      <c r="B1867" s="58" t="s">
        <v>16392</v>
      </c>
      <c r="C1867" s="58">
        <v>2019.0</v>
      </c>
      <c r="D1867" s="58" t="s">
        <v>16994</v>
      </c>
      <c r="E1867" s="58" t="s">
        <v>16995</v>
      </c>
      <c r="F1867" s="58" t="s">
        <v>16436</v>
      </c>
      <c r="H1867" s="58" t="s">
        <v>16437</v>
      </c>
      <c r="I1867" s="58" t="s">
        <v>16996</v>
      </c>
      <c r="K1867" s="73">
        <v>43682.0</v>
      </c>
      <c r="R1867" s="58">
        <v>7.0</v>
      </c>
      <c r="Z1867" s="58" t="s">
        <v>239</v>
      </c>
      <c r="CH1867" s="58" t="s">
        <v>16997</v>
      </c>
      <c r="CI1867" s="73">
        <v>43691.0</v>
      </c>
      <c r="CJ1867" s="58">
        <v>107270.0</v>
      </c>
      <c r="CK1867" s="58">
        <v>107299.0</v>
      </c>
      <c r="CL1867" s="58" t="s">
        <v>16998</v>
      </c>
      <c r="CN1867" s="58" t="s">
        <v>16999</v>
      </c>
      <c r="CO1867" s="58" t="s">
        <v>17000</v>
      </c>
      <c r="CP1867" s="58" t="s">
        <v>17001</v>
      </c>
      <c r="CR1867" s="58">
        <v>84.0</v>
      </c>
      <c r="CT1867" s="58">
        <v>73.0</v>
      </c>
      <c r="CU1867" s="58" t="s">
        <v>16423</v>
      </c>
      <c r="DL1867" s="58" t="s">
        <v>17002</v>
      </c>
    </row>
    <row r="1868" ht="15.75" customHeight="1">
      <c r="B1868" s="58" t="s">
        <v>16392</v>
      </c>
      <c r="C1868" s="58">
        <v>2021.0</v>
      </c>
      <c r="D1868" s="58" t="s">
        <v>17003</v>
      </c>
      <c r="E1868" s="58" t="s">
        <v>17004</v>
      </c>
      <c r="F1868" s="58" t="s">
        <v>16731</v>
      </c>
      <c r="H1868" s="58" t="s">
        <v>16732</v>
      </c>
      <c r="I1868" s="58" t="s">
        <v>17005</v>
      </c>
      <c r="K1868" s="73">
        <v>44274.0</v>
      </c>
      <c r="Q1868" s="58">
        <v>11.0</v>
      </c>
      <c r="R1868" s="58">
        <v>17.0</v>
      </c>
      <c r="Z1868" s="58" t="s">
        <v>239</v>
      </c>
      <c r="CH1868" s="58" t="s">
        <v>17006</v>
      </c>
      <c r="CI1868" s="73">
        <v>44407.0</v>
      </c>
      <c r="CJ1868" s="58">
        <v>7791.0</v>
      </c>
      <c r="CK1868" s="58">
        <v>7801.0</v>
      </c>
      <c r="CL1868" s="58" t="s">
        <v>17007</v>
      </c>
      <c r="CN1868" s="58" t="s">
        <v>17008</v>
      </c>
      <c r="CO1868" s="58" t="s">
        <v>17009</v>
      </c>
      <c r="CP1868" s="58" t="s">
        <v>17010</v>
      </c>
      <c r="CR1868" s="58">
        <v>84.0</v>
      </c>
      <c r="CT1868" s="58">
        <v>36.0</v>
      </c>
      <c r="CU1868" s="58" t="s">
        <v>239</v>
      </c>
      <c r="DL1868" s="58" t="s">
        <v>17011</v>
      </c>
    </row>
    <row r="1869" ht="15.75" customHeight="1">
      <c r="B1869" s="58" t="s">
        <v>16392</v>
      </c>
      <c r="C1869" s="58">
        <v>2021.0</v>
      </c>
      <c r="D1869" s="58" t="s">
        <v>17012</v>
      </c>
      <c r="E1869" s="58" t="s">
        <v>17013</v>
      </c>
      <c r="F1869" s="58" t="s">
        <v>16436</v>
      </c>
      <c r="H1869" s="58" t="s">
        <v>16437</v>
      </c>
      <c r="I1869" s="58" t="s">
        <v>17014</v>
      </c>
      <c r="K1869" s="73">
        <v>44204.0</v>
      </c>
      <c r="R1869" s="58">
        <v>9.0</v>
      </c>
      <c r="Z1869" s="58" t="s">
        <v>239</v>
      </c>
      <c r="CH1869" s="58" t="s">
        <v>16989</v>
      </c>
      <c r="CI1869" s="73">
        <v>44216.0</v>
      </c>
      <c r="CJ1869" s="58">
        <v>10903.0</v>
      </c>
      <c r="CK1869" s="58">
        <v>10924.0</v>
      </c>
      <c r="CL1869" s="58" t="s">
        <v>17015</v>
      </c>
      <c r="CN1869" s="58" t="s">
        <v>17016</v>
      </c>
      <c r="CO1869" s="58" t="s">
        <v>17017</v>
      </c>
      <c r="CP1869" s="58" t="s">
        <v>17018</v>
      </c>
      <c r="CR1869" s="58">
        <v>83.0</v>
      </c>
      <c r="CT1869" s="58">
        <v>102.0</v>
      </c>
      <c r="CU1869" s="58" t="s">
        <v>16423</v>
      </c>
      <c r="DL1869" s="58" t="s">
        <v>17019</v>
      </c>
    </row>
    <row r="1870" ht="15.75" customHeight="1">
      <c r="B1870" s="58" t="s">
        <v>16392</v>
      </c>
      <c r="C1870" s="58">
        <v>2022.0</v>
      </c>
      <c r="D1870" s="58" t="s">
        <v>17020</v>
      </c>
      <c r="E1870" s="58" t="s">
        <v>17021</v>
      </c>
      <c r="F1870" s="58" t="s">
        <v>16493</v>
      </c>
      <c r="H1870" s="58" t="s">
        <v>16494</v>
      </c>
      <c r="I1870" s="58" t="s">
        <v>17022</v>
      </c>
      <c r="K1870" s="73">
        <v>44575.0</v>
      </c>
      <c r="R1870" s="58">
        <v>3.0</v>
      </c>
      <c r="Z1870" s="58" t="s">
        <v>239</v>
      </c>
      <c r="CH1870" s="58" t="s">
        <v>17023</v>
      </c>
      <c r="CI1870" s="73">
        <v>44595.0</v>
      </c>
      <c r="CJ1870" s="58">
        <v>82.0</v>
      </c>
      <c r="CK1870" s="58">
        <v>105.0</v>
      </c>
      <c r="CL1870" s="58" t="s">
        <v>17024</v>
      </c>
      <c r="CN1870" s="58" t="s">
        <v>17025</v>
      </c>
      <c r="CO1870" s="58" t="s">
        <v>17026</v>
      </c>
      <c r="CP1870" s="58" t="s">
        <v>17027</v>
      </c>
      <c r="CR1870" s="58">
        <v>83.0</v>
      </c>
      <c r="CT1870" s="58">
        <v>153.0</v>
      </c>
      <c r="CU1870" s="58" t="s">
        <v>16423</v>
      </c>
      <c r="DL1870" s="58" t="s">
        <v>17028</v>
      </c>
    </row>
    <row r="1871" ht="15.75" customHeight="1">
      <c r="B1871" s="58" t="s">
        <v>16392</v>
      </c>
      <c r="C1871" s="58">
        <v>2021.0</v>
      </c>
      <c r="D1871" s="58" t="s">
        <v>17029</v>
      </c>
      <c r="E1871" s="58" t="s">
        <v>17030</v>
      </c>
      <c r="F1871" s="58" t="s">
        <v>16395</v>
      </c>
      <c r="H1871" s="58" t="s">
        <v>16396</v>
      </c>
      <c r="I1871" s="58" t="s">
        <v>17031</v>
      </c>
      <c r="K1871" s="73">
        <v>44466.0</v>
      </c>
      <c r="Q1871" s="58">
        <v>4.0</v>
      </c>
      <c r="R1871" s="58">
        <v>23.0</v>
      </c>
      <c r="Z1871" s="58" t="s">
        <v>239</v>
      </c>
      <c r="CH1871" s="58" t="s">
        <v>17032</v>
      </c>
      <c r="CI1871" s="73">
        <v>44519.0</v>
      </c>
      <c r="CJ1871" s="58">
        <v>2191.0</v>
      </c>
      <c r="CK1871" s="58">
        <v>2217.0</v>
      </c>
      <c r="CL1871" s="58" t="s">
        <v>17033</v>
      </c>
      <c r="CN1871" s="58" t="s">
        <v>17034</v>
      </c>
      <c r="CO1871" s="58" t="s">
        <v>17035</v>
      </c>
      <c r="CP1871" s="58" t="s">
        <v>17036</v>
      </c>
      <c r="CR1871" s="58">
        <v>81.0</v>
      </c>
      <c r="CT1871" s="58">
        <v>181.0</v>
      </c>
      <c r="CU1871" s="58" t="s">
        <v>239</v>
      </c>
      <c r="DL1871" s="58" t="s">
        <v>17037</v>
      </c>
    </row>
    <row r="1872" ht="15.75" customHeight="1">
      <c r="B1872" s="58" t="s">
        <v>16392</v>
      </c>
      <c r="C1872" s="58">
        <v>2021.0</v>
      </c>
      <c r="D1872" s="58" t="s">
        <v>17038</v>
      </c>
      <c r="E1872" s="58" t="s">
        <v>17039</v>
      </c>
      <c r="F1872" s="58" t="s">
        <v>17040</v>
      </c>
      <c r="H1872" s="58" t="s">
        <v>17041</v>
      </c>
      <c r="I1872" s="58" t="s">
        <v>17042</v>
      </c>
      <c r="K1872" s="73">
        <v>44274.0</v>
      </c>
      <c r="Q1872" s="58">
        <v>2.0</v>
      </c>
      <c r="R1872" s="58">
        <v>5.0</v>
      </c>
      <c r="Z1872" s="58" t="s">
        <v>239</v>
      </c>
      <c r="CH1872" s="58" t="s">
        <v>17043</v>
      </c>
      <c r="CI1872" s="73">
        <v>44336.0</v>
      </c>
      <c r="CJ1872" s="58">
        <v>658.0</v>
      </c>
      <c r="CK1872" s="58">
        <v>669.0</v>
      </c>
      <c r="CL1872" s="58" t="s">
        <v>17044</v>
      </c>
      <c r="CN1872" s="58" t="s">
        <v>17045</v>
      </c>
      <c r="CO1872" s="58" t="s">
        <v>17046</v>
      </c>
      <c r="CP1872" s="58" t="s">
        <v>17047</v>
      </c>
      <c r="CR1872" s="58">
        <v>80.0</v>
      </c>
      <c r="CT1872" s="58">
        <v>45.0</v>
      </c>
      <c r="CU1872" s="58" t="s">
        <v>239</v>
      </c>
      <c r="DL1872" s="58" t="s">
        <v>17048</v>
      </c>
    </row>
    <row r="1873" ht="15.75" customHeight="1">
      <c r="B1873" s="58" t="s">
        <v>16392</v>
      </c>
      <c r="C1873" s="58">
        <v>2019.0</v>
      </c>
      <c r="D1873" s="58" t="s">
        <v>17049</v>
      </c>
      <c r="E1873" s="58" t="s">
        <v>17050</v>
      </c>
      <c r="F1873" s="58" t="s">
        <v>17051</v>
      </c>
      <c r="H1873" s="58" t="s">
        <v>17052</v>
      </c>
      <c r="I1873" s="58" t="s">
        <v>17053</v>
      </c>
      <c r="K1873" s="73">
        <v>43690.0</v>
      </c>
      <c r="Q1873" s="58">
        <v>23.0</v>
      </c>
      <c r="R1873" s="58">
        <v>19.0</v>
      </c>
      <c r="Z1873" s="58" t="s">
        <v>239</v>
      </c>
      <c r="CH1873" s="58" t="s">
        <v>17054</v>
      </c>
      <c r="CI1873" s="73">
        <v>43783.0</v>
      </c>
      <c r="CJ1873" s="58">
        <v>10953.0</v>
      </c>
      <c r="CK1873" s="58">
        <v>10971.0</v>
      </c>
      <c r="CL1873" s="58" t="s">
        <v>17055</v>
      </c>
      <c r="CO1873" s="58" t="s">
        <v>17056</v>
      </c>
      <c r="CP1873" s="58" t="s">
        <v>17057</v>
      </c>
      <c r="CR1873" s="58">
        <v>79.0</v>
      </c>
      <c r="CT1873" s="58">
        <v>141.0</v>
      </c>
      <c r="CU1873" s="58" t="s">
        <v>239</v>
      </c>
      <c r="DL1873" s="58" t="s">
        <v>17058</v>
      </c>
    </row>
    <row r="1874" ht="15.75" customHeight="1">
      <c r="B1874" s="58" t="s">
        <v>16392</v>
      </c>
      <c r="C1874" s="58">
        <v>2017.0</v>
      </c>
      <c r="D1874" s="58" t="s">
        <v>17059</v>
      </c>
      <c r="E1874" s="58" t="s">
        <v>17060</v>
      </c>
      <c r="F1874" s="58" t="s">
        <v>17061</v>
      </c>
      <c r="H1874" s="58" t="s">
        <v>17062</v>
      </c>
      <c r="I1874" s="58" t="s">
        <v>17063</v>
      </c>
      <c r="K1874" s="73">
        <v>42839.0</v>
      </c>
      <c r="Q1874" s="58">
        <v>4.0</v>
      </c>
      <c r="R1874" s="58">
        <v>9.0</v>
      </c>
      <c r="Z1874" s="58" t="s">
        <v>239</v>
      </c>
      <c r="CH1874" s="58" t="s">
        <v>17064</v>
      </c>
      <c r="CI1874" s="73">
        <v>42839.0</v>
      </c>
      <c r="CJ1874" s="58" t="s">
        <v>17065</v>
      </c>
      <c r="CK1874" s="58" t="s">
        <v>17066</v>
      </c>
      <c r="CL1874" s="58" t="s">
        <v>17067</v>
      </c>
      <c r="CO1874" s="58" t="s">
        <v>17068</v>
      </c>
      <c r="CP1874" s="58" t="s">
        <v>17069</v>
      </c>
      <c r="CR1874" s="58">
        <v>78.0</v>
      </c>
      <c r="CS1874" s="58">
        <v>7.0</v>
      </c>
      <c r="DL1874" s="58" t="s">
        <v>17070</v>
      </c>
    </row>
    <row r="1875" ht="15.75" customHeight="1">
      <c r="B1875" s="58" t="s">
        <v>16392</v>
      </c>
      <c r="C1875" s="58">
        <v>2022.0</v>
      </c>
      <c r="D1875" s="58" t="s">
        <v>17071</v>
      </c>
      <c r="E1875" s="58" t="s">
        <v>17072</v>
      </c>
      <c r="F1875" s="58" t="s">
        <v>16436</v>
      </c>
      <c r="H1875" s="58" t="s">
        <v>16437</v>
      </c>
      <c r="I1875" s="58" t="s">
        <v>17073</v>
      </c>
      <c r="K1875" s="73">
        <v>44740.0</v>
      </c>
      <c r="R1875" s="58">
        <v>10.0</v>
      </c>
      <c r="Z1875" s="58" t="s">
        <v>239</v>
      </c>
      <c r="CH1875" s="58" t="s">
        <v>17074</v>
      </c>
      <c r="CI1875" s="73">
        <v>44755.0</v>
      </c>
      <c r="CJ1875" s="58">
        <v>69160.0</v>
      </c>
      <c r="CK1875" s="58">
        <v>69199.0</v>
      </c>
      <c r="CL1875" s="58" t="s">
        <v>17075</v>
      </c>
      <c r="CO1875" s="58" t="s">
        <v>17076</v>
      </c>
      <c r="CP1875" s="58" t="s">
        <v>17077</v>
      </c>
      <c r="CR1875" s="58">
        <v>77.0</v>
      </c>
      <c r="CT1875" s="58">
        <v>168.0</v>
      </c>
      <c r="CU1875" s="58" t="s">
        <v>16423</v>
      </c>
      <c r="DL1875" s="58" t="s">
        <v>17078</v>
      </c>
    </row>
    <row r="1876" ht="15.75" customHeight="1">
      <c r="B1876" s="58" t="s">
        <v>16392</v>
      </c>
      <c r="C1876" s="58">
        <v>2022.0</v>
      </c>
      <c r="D1876" s="58" t="s">
        <v>17079</v>
      </c>
      <c r="E1876" s="58" t="s">
        <v>17080</v>
      </c>
      <c r="F1876" s="58" t="s">
        <v>16613</v>
      </c>
      <c r="H1876" s="58" t="s">
        <v>16614</v>
      </c>
      <c r="I1876" s="58" t="s">
        <v>17081</v>
      </c>
      <c r="K1876" s="73">
        <v>44046.0</v>
      </c>
      <c r="Q1876" s="58">
        <v>3.0</v>
      </c>
      <c r="R1876" s="58">
        <v>15.0</v>
      </c>
      <c r="Z1876" s="58" t="s">
        <v>239</v>
      </c>
      <c r="CH1876" s="58" t="s">
        <v>17082</v>
      </c>
      <c r="CI1876" s="73">
        <v>44729.0</v>
      </c>
      <c r="CJ1876" s="58">
        <v>1732.0</v>
      </c>
      <c r="CK1876" s="58">
        <v>1745.0</v>
      </c>
      <c r="CL1876" s="58" t="s">
        <v>17083</v>
      </c>
      <c r="CN1876" s="58" t="s">
        <v>17084</v>
      </c>
      <c r="CO1876" s="58" t="s">
        <v>17085</v>
      </c>
      <c r="CP1876" s="58" t="s">
        <v>17086</v>
      </c>
      <c r="CR1876" s="58">
        <v>75.0</v>
      </c>
      <c r="CT1876" s="58">
        <v>40.0</v>
      </c>
      <c r="CU1876" s="58" t="s">
        <v>239</v>
      </c>
      <c r="DL1876" s="58" t="s">
        <v>17087</v>
      </c>
    </row>
    <row r="1877" ht="15.75" customHeight="1">
      <c r="B1877" s="58" t="s">
        <v>16392</v>
      </c>
      <c r="C1877" s="58">
        <v>2019.0</v>
      </c>
      <c r="D1877" s="58" t="s">
        <v>17088</v>
      </c>
      <c r="E1877" s="58" t="s">
        <v>17089</v>
      </c>
      <c r="F1877" s="58" t="s">
        <v>17090</v>
      </c>
      <c r="H1877" s="58" t="s">
        <v>17091</v>
      </c>
      <c r="I1877" s="58" t="s">
        <v>17092</v>
      </c>
      <c r="K1877" s="73">
        <v>43203.0</v>
      </c>
      <c r="Q1877" s="58">
        <v>3.0</v>
      </c>
      <c r="R1877" s="58">
        <v>10.0</v>
      </c>
      <c r="Z1877" s="58" t="s">
        <v>239</v>
      </c>
      <c r="CH1877" s="58" t="s">
        <v>17093</v>
      </c>
      <c r="CI1877" s="73">
        <v>43577.0</v>
      </c>
      <c r="CJ1877" s="58">
        <v>3430.0</v>
      </c>
      <c r="CK1877" s="58">
        <v>3439.0</v>
      </c>
      <c r="CL1877" s="58" t="s">
        <v>17094</v>
      </c>
      <c r="CN1877" s="58" t="s">
        <v>17095</v>
      </c>
      <c r="CO1877" s="58" t="s">
        <v>17096</v>
      </c>
      <c r="CP1877" s="58" t="s">
        <v>17097</v>
      </c>
      <c r="CR1877" s="58">
        <v>75.0</v>
      </c>
      <c r="CT1877" s="58">
        <v>33.0</v>
      </c>
      <c r="CU1877" s="58" t="s">
        <v>239</v>
      </c>
      <c r="DL1877" s="58" t="s">
        <v>17098</v>
      </c>
    </row>
    <row r="1878" ht="15.75" customHeight="1">
      <c r="B1878" s="58" t="s">
        <v>16392</v>
      </c>
      <c r="C1878" s="58">
        <v>2018.0</v>
      </c>
      <c r="D1878" s="58" t="s">
        <v>17099</v>
      </c>
      <c r="E1878" s="58" t="s">
        <v>17100</v>
      </c>
      <c r="F1878" s="58" t="s">
        <v>16538</v>
      </c>
      <c r="H1878" s="58" t="s">
        <v>16539</v>
      </c>
      <c r="I1878" s="58" t="s">
        <v>17101</v>
      </c>
      <c r="K1878" s="73">
        <v>43112.0</v>
      </c>
      <c r="Q1878" s="58">
        <v>4.0</v>
      </c>
      <c r="R1878" s="58">
        <v>5.0</v>
      </c>
      <c r="Z1878" s="58" t="s">
        <v>239</v>
      </c>
      <c r="CH1878" s="58" t="s">
        <v>17102</v>
      </c>
      <c r="CI1878" s="73">
        <v>43321.0</v>
      </c>
      <c r="CJ1878" s="58">
        <v>2672.0</v>
      </c>
      <c r="CK1878" s="58">
        <v>2681.0</v>
      </c>
      <c r="CL1878" s="58" t="s">
        <v>17103</v>
      </c>
      <c r="CN1878" s="58" t="s">
        <v>17104</v>
      </c>
      <c r="CO1878" s="58" t="s">
        <v>17105</v>
      </c>
      <c r="CP1878" s="58" t="s">
        <v>17106</v>
      </c>
      <c r="CR1878" s="58">
        <v>74.0</v>
      </c>
      <c r="CT1878" s="58">
        <v>25.0</v>
      </c>
      <c r="CU1878" s="58" t="s">
        <v>239</v>
      </c>
      <c r="DL1878" s="58" t="s">
        <v>17107</v>
      </c>
    </row>
    <row r="1879" ht="15.75" customHeight="1">
      <c r="B1879" s="58" t="s">
        <v>16392</v>
      </c>
      <c r="C1879" s="58">
        <v>2020.0</v>
      </c>
      <c r="D1879" s="58" t="s">
        <v>17108</v>
      </c>
      <c r="E1879" s="58" t="s">
        <v>17109</v>
      </c>
      <c r="F1879" s="58" t="s">
        <v>16436</v>
      </c>
      <c r="H1879" s="58" t="s">
        <v>16437</v>
      </c>
      <c r="I1879" s="58" t="s">
        <v>17110</v>
      </c>
      <c r="K1879" s="73">
        <v>43892.0</v>
      </c>
      <c r="R1879" s="58">
        <v>8.0</v>
      </c>
      <c r="Z1879" s="58" t="s">
        <v>239</v>
      </c>
      <c r="CH1879" s="58" t="s">
        <v>17111</v>
      </c>
      <c r="CI1879" s="73">
        <v>43902.0</v>
      </c>
      <c r="CJ1879" s="58">
        <v>45938.0</v>
      </c>
      <c r="CK1879" s="58">
        <v>45950.0</v>
      </c>
      <c r="CL1879" s="58" t="s">
        <v>17112</v>
      </c>
      <c r="CN1879" s="58" t="s">
        <v>17113</v>
      </c>
      <c r="CO1879" s="58" t="s">
        <v>17114</v>
      </c>
      <c r="CP1879" s="58" t="s">
        <v>17115</v>
      </c>
      <c r="CR1879" s="58">
        <v>73.0</v>
      </c>
      <c r="CT1879" s="58">
        <v>36.0</v>
      </c>
      <c r="CU1879" s="58" t="s">
        <v>16423</v>
      </c>
      <c r="DL1879" s="58" t="s">
        <v>17116</v>
      </c>
    </row>
    <row r="1880" ht="15.75" customHeight="1">
      <c r="B1880" s="58" t="s">
        <v>16392</v>
      </c>
      <c r="C1880" s="58">
        <v>2019.0</v>
      </c>
      <c r="D1880" s="58" t="s">
        <v>17117</v>
      </c>
      <c r="E1880" s="58" t="s">
        <v>17118</v>
      </c>
      <c r="F1880" s="58" t="s">
        <v>16436</v>
      </c>
      <c r="H1880" s="58" t="s">
        <v>16437</v>
      </c>
      <c r="I1880" s="58" t="s">
        <v>17119</v>
      </c>
      <c r="K1880" s="73">
        <v>43745.0</v>
      </c>
      <c r="R1880" s="58">
        <v>7.0</v>
      </c>
      <c r="Z1880" s="58" t="s">
        <v>239</v>
      </c>
      <c r="CH1880" s="58" t="s">
        <v>17120</v>
      </c>
      <c r="CI1880" s="73">
        <v>43766.0</v>
      </c>
      <c r="CJ1880" s="58">
        <v>152443.0</v>
      </c>
      <c r="CK1880" s="58">
        <v>152472.0</v>
      </c>
      <c r="CL1880" s="58" t="s">
        <v>17121</v>
      </c>
      <c r="CO1880" s="58" t="s">
        <v>17122</v>
      </c>
      <c r="CP1880" s="58" t="s">
        <v>17123</v>
      </c>
      <c r="CR1880" s="58">
        <v>72.0</v>
      </c>
      <c r="CT1880" s="58">
        <v>138.0</v>
      </c>
      <c r="CU1880" s="58" t="s">
        <v>16423</v>
      </c>
      <c r="DL1880" s="58" t="s">
        <v>17124</v>
      </c>
    </row>
    <row r="1881" ht="15.75" customHeight="1">
      <c r="B1881" s="58" t="s">
        <v>16392</v>
      </c>
      <c r="C1881" s="58">
        <v>2023.0</v>
      </c>
      <c r="D1881" s="58" t="s">
        <v>17125</v>
      </c>
      <c r="E1881" s="58" t="s">
        <v>17126</v>
      </c>
      <c r="F1881" s="58" t="s">
        <v>16436</v>
      </c>
      <c r="H1881" s="58" t="s">
        <v>16437</v>
      </c>
      <c r="I1881" s="58" t="s">
        <v>17127</v>
      </c>
      <c r="K1881" s="73">
        <v>44999.0</v>
      </c>
      <c r="R1881" s="58">
        <v>11.0</v>
      </c>
      <c r="Z1881" s="58" t="s">
        <v>239</v>
      </c>
      <c r="CH1881" s="58" t="s">
        <v>17128</v>
      </c>
      <c r="CI1881" s="73">
        <v>45014.0</v>
      </c>
      <c r="CJ1881" s="58">
        <v>26258.0</v>
      </c>
      <c r="CK1881" s="58">
        <v>26288.0</v>
      </c>
      <c r="CL1881" s="58" t="s">
        <v>17129</v>
      </c>
      <c r="CN1881" s="58" t="s">
        <v>17130</v>
      </c>
      <c r="CO1881" s="58" t="s">
        <v>17131</v>
      </c>
      <c r="CP1881" s="58" t="s">
        <v>17132</v>
      </c>
      <c r="CR1881" s="58">
        <v>71.0</v>
      </c>
      <c r="CT1881" s="58">
        <v>171.0</v>
      </c>
      <c r="CU1881" s="58" t="s">
        <v>16727</v>
      </c>
      <c r="DL1881" s="58" t="s">
        <v>17133</v>
      </c>
    </row>
    <row r="1882" ht="15.75" customHeight="1">
      <c r="B1882" s="58" t="s">
        <v>16392</v>
      </c>
      <c r="C1882" s="58">
        <v>2019.0</v>
      </c>
      <c r="D1882" s="58" t="s">
        <v>17134</v>
      </c>
      <c r="E1882" s="58" t="s">
        <v>17135</v>
      </c>
      <c r="F1882" s="58" t="s">
        <v>17136</v>
      </c>
      <c r="H1882" s="58" t="s">
        <v>17137</v>
      </c>
      <c r="I1882" s="58" t="s">
        <v>17138</v>
      </c>
      <c r="K1882" s="73">
        <v>43340.0</v>
      </c>
      <c r="Q1882" s="58">
        <v>8.0</v>
      </c>
      <c r="R1882" s="58">
        <v>18.0</v>
      </c>
      <c r="Z1882" s="58" t="s">
        <v>239</v>
      </c>
      <c r="CH1882" s="58" t="s">
        <v>17139</v>
      </c>
      <c r="CI1882" s="73">
        <v>43647.0</v>
      </c>
      <c r="CJ1882" s="58">
        <v>1843.0</v>
      </c>
      <c r="CK1882" s="58">
        <v>1856.0</v>
      </c>
      <c r="CL1882" s="58" t="s">
        <v>17140</v>
      </c>
      <c r="CN1882" s="58" t="s">
        <v>17141</v>
      </c>
      <c r="CO1882" s="58" t="s">
        <v>17142</v>
      </c>
      <c r="CP1882" s="58" t="s">
        <v>17143</v>
      </c>
      <c r="CR1882" s="58">
        <v>71.0</v>
      </c>
      <c r="CT1882" s="58">
        <v>45.0</v>
      </c>
      <c r="CU1882" s="58" t="s">
        <v>239</v>
      </c>
      <c r="DL1882" s="58" t="s">
        <v>17144</v>
      </c>
    </row>
    <row r="1883" ht="15.75" customHeight="1">
      <c r="B1883" s="58" t="s">
        <v>16392</v>
      </c>
      <c r="C1883" s="58">
        <v>2020.0</v>
      </c>
      <c r="D1883" s="58" t="s">
        <v>17145</v>
      </c>
      <c r="E1883" s="58" t="s">
        <v>17146</v>
      </c>
      <c r="F1883" s="58" t="s">
        <v>16959</v>
      </c>
      <c r="H1883" s="58" t="s">
        <v>16960</v>
      </c>
      <c r="I1883" s="58" t="s">
        <v>17147</v>
      </c>
      <c r="K1883" s="73">
        <v>43831.0</v>
      </c>
      <c r="Q1883" s="58">
        <v>2.0</v>
      </c>
      <c r="R1883" s="58">
        <v>17.0</v>
      </c>
      <c r="Z1883" s="58" t="s">
        <v>239</v>
      </c>
      <c r="CH1883" s="58" t="s">
        <v>17148</v>
      </c>
      <c r="CI1883" s="73">
        <v>43992.0</v>
      </c>
      <c r="CJ1883" s="58">
        <v>1026.0</v>
      </c>
      <c r="CK1883" s="58">
        <v>1039.0</v>
      </c>
      <c r="CL1883" s="58" t="s">
        <v>17149</v>
      </c>
      <c r="CN1883" s="58" t="s">
        <v>17150</v>
      </c>
      <c r="CO1883" s="58" t="s">
        <v>17151</v>
      </c>
      <c r="CP1883" s="58" t="s">
        <v>17152</v>
      </c>
      <c r="CR1883" s="58">
        <v>70.0</v>
      </c>
      <c r="CT1883" s="58">
        <v>32.0</v>
      </c>
      <c r="CU1883" s="58" t="s">
        <v>239</v>
      </c>
      <c r="DL1883" s="58" t="s">
        <v>17153</v>
      </c>
    </row>
    <row r="1884" ht="15.75" customHeight="1">
      <c r="B1884" s="58" t="s">
        <v>16392</v>
      </c>
      <c r="C1884" s="58">
        <v>2018.0</v>
      </c>
      <c r="D1884" s="58" t="s">
        <v>17154</v>
      </c>
      <c r="E1884" s="58" t="s">
        <v>17155</v>
      </c>
      <c r="F1884" s="58" t="s">
        <v>16538</v>
      </c>
      <c r="H1884" s="58" t="s">
        <v>16539</v>
      </c>
      <c r="I1884" s="58" t="s">
        <v>17156</v>
      </c>
      <c r="K1884" s="73">
        <v>43055.0</v>
      </c>
      <c r="Q1884" s="58">
        <v>1.0</v>
      </c>
      <c r="R1884" s="58">
        <v>5.0</v>
      </c>
      <c r="Z1884" s="58" t="s">
        <v>239</v>
      </c>
      <c r="CH1884" s="58" t="s">
        <v>17157</v>
      </c>
      <c r="CI1884" s="73">
        <v>43140.0</v>
      </c>
      <c r="CJ1884" s="58">
        <v>121.0</v>
      </c>
      <c r="CK1884" s="58">
        <v>131.0</v>
      </c>
      <c r="CL1884" s="58" t="s">
        <v>17158</v>
      </c>
      <c r="CO1884" s="58" t="s">
        <v>17159</v>
      </c>
      <c r="CP1884" s="58" t="s">
        <v>17160</v>
      </c>
      <c r="CR1884" s="58">
        <v>69.0</v>
      </c>
      <c r="CT1884" s="58">
        <v>24.0</v>
      </c>
      <c r="CU1884" s="58" t="s">
        <v>239</v>
      </c>
      <c r="DL1884" s="58" t="s">
        <v>17161</v>
      </c>
    </row>
    <row r="1885" ht="15.75" customHeight="1">
      <c r="B1885" s="58" t="s">
        <v>16392</v>
      </c>
      <c r="C1885" s="58">
        <v>2022.0</v>
      </c>
      <c r="D1885" s="58" t="s">
        <v>17162</v>
      </c>
      <c r="E1885" s="58" t="s">
        <v>17163</v>
      </c>
      <c r="F1885" s="58" t="s">
        <v>17164</v>
      </c>
      <c r="H1885" s="58" t="s">
        <v>17165</v>
      </c>
      <c r="I1885" s="58" t="s">
        <v>17166</v>
      </c>
      <c r="K1885" s="73">
        <v>44515.0</v>
      </c>
      <c r="Q1885" s="58">
        <v>8.0</v>
      </c>
      <c r="R1885" s="58">
        <v>33.0</v>
      </c>
      <c r="Z1885" s="58" t="s">
        <v>239</v>
      </c>
      <c r="CH1885" s="58" t="s">
        <v>17167</v>
      </c>
      <c r="CI1885" s="73">
        <v>44538.0</v>
      </c>
      <c r="CJ1885" s="58">
        <v>1825.0</v>
      </c>
      <c r="CK1885" s="58">
        <v>1840.0</v>
      </c>
      <c r="CL1885" s="58" t="s">
        <v>17168</v>
      </c>
      <c r="CN1885" s="58" t="s">
        <v>17169</v>
      </c>
      <c r="CO1885" s="58" t="s">
        <v>17170</v>
      </c>
      <c r="CP1885" s="58" t="s">
        <v>17171</v>
      </c>
      <c r="CR1885" s="58">
        <v>69.0</v>
      </c>
      <c r="CT1885" s="58">
        <v>57.0</v>
      </c>
      <c r="CU1885" s="58" t="s">
        <v>239</v>
      </c>
      <c r="DL1885" s="58" t="s">
        <v>17172</v>
      </c>
    </row>
    <row r="1886" ht="15.75" customHeight="1">
      <c r="B1886" s="58" t="s">
        <v>16392</v>
      </c>
      <c r="C1886" s="58">
        <v>2022.0</v>
      </c>
      <c r="D1886" s="58" t="s">
        <v>17173</v>
      </c>
      <c r="E1886" s="58" t="s">
        <v>17174</v>
      </c>
      <c r="F1886" s="58" t="s">
        <v>16538</v>
      </c>
      <c r="H1886" s="58" t="s">
        <v>16539</v>
      </c>
      <c r="I1886" s="58" t="s">
        <v>17175</v>
      </c>
      <c r="K1886" s="73">
        <v>44396.0</v>
      </c>
      <c r="Q1886" s="58">
        <v>1.0</v>
      </c>
      <c r="R1886" s="58">
        <v>9.0</v>
      </c>
      <c r="Z1886" s="58" t="s">
        <v>239</v>
      </c>
      <c r="CH1886" s="58" t="s">
        <v>17176</v>
      </c>
      <c r="CI1886" s="73">
        <v>44552.0</v>
      </c>
      <c r="CJ1886" s="58">
        <v>236.0</v>
      </c>
      <c r="CK1886" s="58">
        <v>260.0</v>
      </c>
      <c r="CL1886" s="58" t="s">
        <v>17177</v>
      </c>
      <c r="CN1886" s="58" t="s">
        <v>17178</v>
      </c>
      <c r="CO1886" s="58" t="s">
        <v>17179</v>
      </c>
      <c r="CP1886" s="58" t="s">
        <v>17180</v>
      </c>
      <c r="CR1886" s="58">
        <v>68.0</v>
      </c>
      <c r="CT1886" s="58">
        <v>172.0</v>
      </c>
      <c r="CU1886" s="58" t="s">
        <v>239</v>
      </c>
      <c r="DL1886" s="58" t="s">
        <v>17181</v>
      </c>
    </row>
    <row r="1887" ht="15.75" customHeight="1">
      <c r="B1887" s="58" t="s">
        <v>16392</v>
      </c>
      <c r="C1887" s="58">
        <v>2021.0</v>
      </c>
      <c r="D1887" s="58" t="s">
        <v>17182</v>
      </c>
      <c r="E1887" s="58" t="s">
        <v>17183</v>
      </c>
      <c r="F1887" s="58" t="s">
        <v>16395</v>
      </c>
      <c r="H1887" s="58" t="s">
        <v>16396</v>
      </c>
      <c r="I1887" s="58" t="s">
        <v>17184</v>
      </c>
      <c r="K1887" s="73">
        <v>44207.0</v>
      </c>
      <c r="Q1887" s="58">
        <v>1.0</v>
      </c>
      <c r="R1887" s="58">
        <v>23.0</v>
      </c>
      <c r="Z1887" s="58" t="s">
        <v>239</v>
      </c>
      <c r="CH1887" s="58" t="s">
        <v>17185</v>
      </c>
      <c r="CI1887" s="73">
        <v>44250.0</v>
      </c>
      <c r="CJ1887" s="58">
        <v>256.0</v>
      </c>
      <c r="CK1887" s="58">
        <v>281.0</v>
      </c>
      <c r="CL1887" s="58" t="s">
        <v>17186</v>
      </c>
      <c r="CO1887" s="58" t="s">
        <v>17187</v>
      </c>
      <c r="CP1887" s="58" t="s">
        <v>17188</v>
      </c>
      <c r="CR1887" s="58">
        <v>68.0</v>
      </c>
      <c r="CT1887" s="58">
        <v>196.0</v>
      </c>
      <c r="CU1887" s="58" t="s">
        <v>239</v>
      </c>
      <c r="DL1887" s="58" t="s">
        <v>17189</v>
      </c>
    </row>
    <row r="1888" ht="15.75" customHeight="1">
      <c r="B1888" s="58" t="s">
        <v>16392</v>
      </c>
      <c r="C1888" s="58">
        <v>2018.0</v>
      </c>
      <c r="D1888" s="58" t="s">
        <v>17190</v>
      </c>
      <c r="E1888" s="58" t="s">
        <v>17191</v>
      </c>
      <c r="F1888" s="58" t="s">
        <v>16538</v>
      </c>
      <c r="H1888" s="58" t="s">
        <v>16539</v>
      </c>
      <c r="I1888" s="58" t="s">
        <v>17192</v>
      </c>
      <c r="K1888" s="73">
        <v>42916.0</v>
      </c>
      <c r="Q1888" s="58">
        <v>2.0</v>
      </c>
      <c r="R1888" s="58">
        <v>5.0</v>
      </c>
      <c r="Z1888" s="58" t="s">
        <v>239</v>
      </c>
      <c r="CH1888" s="58" t="s">
        <v>17193</v>
      </c>
      <c r="CI1888" s="73">
        <v>43200.0</v>
      </c>
      <c r="CJ1888" s="58">
        <v>765.0</v>
      </c>
      <c r="CK1888" s="58">
        <v>774.0</v>
      </c>
      <c r="CL1888" s="58" t="s">
        <v>17194</v>
      </c>
      <c r="CN1888" s="58" t="s">
        <v>17195</v>
      </c>
      <c r="CO1888" s="58" t="s">
        <v>17196</v>
      </c>
      <c r="CP1888" s="58" t="s">
        <v>17197</v>
      </c>
      <c r="CR1888" s="58">
        <v>67.0</v>
      </c>
      <c r="CT1888" s="58">
        <v>36.0</v>
      </c>
      <c r="CU1888" s="58" t="s">
        <v>239</v>
      </c>
      <c r="DL1888" s="58" t="s">
        <v>17198</v>
      </c>
    </row>
    <row r="1889" ht="15.75" customHeight="1">
      <c r="B1889" s="58" t="s">
        <v>16392</v>
      </c>
      <c r="C1889" s="58">
        <v>2022.0</v>
      </c>
      <c r="D1889" s="58" t="s">
        <v>17199</v>
      </c>
      <c r="E1889" s="58" t="s">
        <v>17200</v>
      </c>
      <c r="F1889" s="58" t="s">
        <v>16493</v>
      </c>
      <c r="H1889" s="58" t="s">
        <v>16494</v>
      </c>
      <c r="I1889" s="58" t="s">
        <v>17201</v>
      </c>
      <c r="K1889" s="73">
        <v>44783.0</v>
      </c>
      <c r="R1889" s="58">
        <v>3.0</v>
      </c>
      <c r="Z1889" s="58" t="s">
        <v>239</v>
      </c>
      <c r="CH1889" s="58" t="s">
        <v>17202</v>
      </c>
      <c r="CI1889" s="73">
        <v>44796.0</v>
      </c>
      <c r="CJ1889" s="58">
        <v>1360.0</v>
      </c>
      <c r="CK1889" s="58">
        <v>1381.0</v>
      </c>
      <c r="CL1889" s="58" t="s">
        <v>17203</v>
      </c>
      <c r="CN1889" s="58" t="s">
        <v>17204</v>
      </c>
      <c r="CO1889" s="58" t="s">
        <v>17205</v>
      </c>
      <c r="CP1889" s="58" t="s">
        <v>17206</v>
      </c>
      <c r="CR1889" s="58">
        <v>66.0</v>
      </c>
      <c r="CT1889" s="58">
        <v>135.0</v>
      </c>
      <c r="CU1889" s="58" t="s">
        <v>16423</v>
      </c>
      <c r="DL1889" s="58" t="s">
        <v>17207</v>
      </c>
    </row>
    <row r="1890" ht="15.75" customHeight="1">
      <c r="B1890" s="58" t="s">
        <v>16392</v>
      </c>
      <c r="C1890" s="58">
        <v>2021.0</v>
      </c>
      <c r="D1890" s="58" t="s">
        <v>17208</v>
      </c>
      <c r="E1890" s="58" t="s">
        <v>17209</v>
      </c>
      <c r="F1890" s="58" t="s">
        <v>16566</v>
      </c>
      <c r="H1890" s="58" t="s">
        <v>16567</v>
      </c>
      <c r="I1890" s="58" t="s">
        <v>17210</v>
      </c>
      <c r="K1890" s="73">
        <v>44230.0</v>
      </c>
      <c r="Q1890" s="58">
        <v>3.0</v>
      </c>
      <c r="R1890" s="58">
        <v>8.0</v>
      </c>
      <c r="Z1890" s="58" t="s">
        <v>239</v>
      </c>
      <c r="CH1890" s="58" t="s">
        <v>17211</v>
      </c>
      <c r="CI1890" s="73">
        <v>44230.0</v>
      </c>
      <c r="CJ1890" s="58">
        <v>491.0</v>
      </c>
      <c r="CK1890" s="58">
        <v>511.0</v>
      </c>
      <c r="CL1890" s="58" t="s">
        <v>17212</v>
      </c>
      <c r="CN1890" s="58" t="s">
        <v>17213</v>
      </c>
      <c r="CO1890" s="58" t="s">
        <v>17214</v>
      </c>
      <c r="CP1890" s="58" t="s">
        <v>17215</v>
      </c>
      <c r="CR1890" s="58">
        <v>66.0</v>
      </c>
      <c r="CT1890" s="58">
        <v>164.0</v>
      </c>
      <c r="DL1890" s="58" t="s">
        <v>17216</v>
      </c>
    </row>
    <row r="1891" ht="15.75" customHeight="1">
      <c r="B1891" s="58" t="s">
        <v>16392</v>
      </c>
      <c r="C1891" s="58">
        <v>2021.0</v>
      </c>
      <c r="D1891" s="58" t="s">
        <v>17217</v>
      </c>
      <c r="E1891" s="58" t="s">
        <v>17218</v>
      </c>
      <c r="F1891" s="58" t="s">
        <v>16538</v>
      </c>
      <c r="H1891" s="58" t="s">
        <v>16539</v>
      </c>
      <c r="I1891" s="58" t="s">
        <v>17219</v>
      </c>
      <c r="K1891" s="73">
        <v>44215.0</v>
      </c>
      <c r="Q1891" s="58">
        <v>14.0</v>
      </c>
      <c r="R1891" s="58">
        <v>8.0</v>
      </c>
      <c r="Z1891" s="58" t="s">
        <v>239</v>
      </c>
      <c r="CH1891" s="58" t="s">
        <v>17220</v>
      </c>
      <c r="CI1891" s="73">
        <v>44383.0</v>
      </c>
      <c r="CJ1891" s="58">
        <v>11526.0</v>
      </c>
      <c r="CK1891" s="58">
        <v>11547.0</v>
      </c>
      <c r="CL1891" s="58" t="s">
        <v>17221</v>
      </c>
      <c r="CN1891" s="58" t="s">
        <v>17222</v>
      </c>
      <c r="CO1891" s="58" t="s">
        <v>17223</v>
      </c>
      <c r="CP1891" s="58" t="s">
        <v>17224</v>
      </c>
      <c r="CR1891" s="58">
        <v>66.0</v>
      </c>
      <c r="CT1891" s="58">
        <v>72.0</v>
      </c>
      <c r="CU1891" s="58" t="s">
        <v>239</v>
      </c>
      <c r="DL1891" s="58" t="s">
        <v>17225</v>
      </c>
    </row>
    <row r="1892" ht="15.75" customHeight="1">
      <c r="B1892" s="58" t="s">
        <v>16392</v>
      </c>
      <c r="C1892" s="58">
        <v>2020.0</v>
      </c>
      <c r="D1892" s="58" t="s">
        <v>17226</v>
      </c>
      <c r="E1892" s="58" t="s">
        <v>17227</v>
      </c>
      <c r="F1892" s="58" t="s">
        <v>17228</v>
      </c>
      <c r="H1892" s="58" t="s">
        <v>17229</v>
      </c>
      <c r="I1892" s="58" t="s">
        <v>17230</v>
      </c>
      <c r="K1892" s="73">
        <v>43889.0</v>
      </c>
      <c r="Q1892" s="58">
        <v>10.0</v>
      </c>
      <c r="R1892" s="58">
        <v>69.0</v>
      </c>
      <c r="Z1892" s="58" t="s">
        <v>239</v>
      </c>
      <c r="CH1892" s="58" t="s">
        <v>17231</v>
      </c>
      <c r="CI1892" s="73">
        <v>44081.0</v>
      </c>
      <c r="CJ1892" s="58">
        <v>1519.0</v>
      </c>
      <c r="CK1892" s="58">
        <v>1532.0</v>
      </c>
      <c r="CL1892" s="58" t="s">
        <v>17232</v>
      </c>
      <c r="CN1892" s="58" t="s">
        <v>17233</v>
      </c>
      <c r="CO1892" s="58" t="s">
        <v>17234</v>
      </c>
      <c r="CP1892" s="58" t="s">
        <v>17235</v>
      </c>
      <c r="CR1892" s="58">
        <v>64.0</v>
      </c>
      <c r="CT1892" s="58">
        <v>42.0</v>
      </c>
      <c r="CU1892" s="58" t="s">
        <v>239</v>
      </c>
      <c r="DL1892" s="58" t="s">
        <v>17236</v>
      </c>
    </row>
    <row r="1893" ht="15.75" customHeight="1">
      <c r="B1893" s="58" t="s">
        <v>16392</v>
      </c>
      <c r="C1893" s="58">
        <v>2023.0</v>
      </c>
      <c r="D1893" s="58" t="s">
        <v>17237</v>
      </c>
      <c r="E1893" s="58" t="s">
        <v>17238</v>
      </c>
      <c r="F1893" s="58" t="s">
        <v>16395</v>
      </c>
      <c r="H1893" s="58" t="s">
        <v>16396</v>
      </c>
      <c r="I1893" s="58" t="s">
        <v>17239</v>
      </c>
      <c r="K1893" s="73">
        <v>44951.0</v>
      </c>
      <c r="Q1893" s="58">
        <v>2.0</v>
      </c>
      <c r="R1893" s="58">
        <v>25.0</v>
      </c>
      <c r="Z1893" s="58" t="s">
        <v>239</v>
      </c>
      <c r="CH1893" s="58" t="s">
        <v>17240</v>
      </c>
      <c r="CI1893" s="73">
        <v>45068.0</v>
      </c>
      <c r="CJ1893" s="58">
        <v>1199.0</v>
      </c>
      <c r="CK1893" s="58">
        <v>1226.0</v>
      </c>
      <c r="CL1893" s="58" t="s">
        <v>17241</v>
      </c>
      <c r="CN1893" s="58" t="s">
        <v>17242</v>
      </c>
      <c r="CO1893" s="58" t="s">
        <v>17243</v>
      </c>
      <c r="CP1893" s="58" t="s">
        <v>17244</v>
      </c>
      <c r="CR1893" s="58">
        <v>63.0</v>
      </c>
      <c r="CT1893" s="58">
        <v>152.0</v>
      </c>
      <c r="CU1893" s="58" t="s">
        <v>239</v>
      </c>
      <c r="DL1893" s="58" t="s">
        <v>17245</v>
      </c>
    </row>
    <row r="1894" ht="15.75" customHeight="1">
      <c r="B1894" s="58" t="s">
        <v>16392</v>
      </c>
      <c r="C1894" s="58">
        <v>2019.0</v>
      </c>
      <c r="D1894" s="58" t="s">
        <v>17246</v>
      </c>
      <c r="E1894" s="58" t="s">
        <v>17247</v>
      </c>
      <c r="F1894" s="58" t="s">
        <v>16923</v>
      </c>
      <c r="H1894" s="58" t="s">
        <v>16924</v>
      </c>
      <c r="I1894" s="58" t="s">
        <v>17248</v>
      </c>
      <c r="K1894" s="73">
        <v>43496.0</v>
      </c>
      <c r="Q1894" s="58">
        <v>3.0</v>
      </c>
      <c r="R1894" s="58">
        <v>37.0</v>
      </c>
      <c r="Z1894" s="58" t="s">
        <v>239</v>
      </c>
      <c r="CH1894" s="58" t="s">
        <v>17249</v>
      </c>
      <c r="CI1894" s="73">
        <v>43510.0</v>
      </c>
      <c r="CJ1894" s="58">
        <v>540.0</v>
      </c>
      <c r="CK1894" s="58">
        <v>555.0</v>
      </c>
      <c r="CL1894" s="58" t="s">
        <v>17250</v>
      </c>
      <c r="CN1894" s="58" t="s">
        <v>17251</v>
      </c>
      <c r="CO1894" s="58" t="s">
        <v>17252</v>
      </c>
      <c r="CP1894" s="58" t="s">
        <v>17253</v>
      </c>
      <c r="CR1894" s="58">
        <v>63.0</v>
      </c>
      <c r="CT1894" s="58">
        <v>88.0</v>
      </c>
      <c r="CU1894" s="58" t="s">
        <v>239</v>
      </c>
      <c r="DL1894" s="58" t="s">
        <v>17254</v>
      </c>
    </row>
    <row r="1895" ht="15.75" customHeight="1">
      <c r="B1895" s="58" t="s">
        <v>16392</v>
      </c>
      <c r="C1895" s="58">
        <v>2019.0</v>
      </c>
      <c r="D1895" s="58" t="s">
        <v>17255</v>
      </c>
      <c r="E1895" s="58" t="s">
        <v>17256</v>
      </c>
      <c r="F1895" s="58" t="s">
        <v>16436</v>
      </c>
      <c r="H1895" s="58" t="s">
        <v>16437</v>
      </c>
      <c r="I1895" s="58" t="s">
        <v>17257</v>
      </c>
      <c r="K1895" s="73">
        <v>43655.0</v>
      </c>
      <c r="R1895" s="58">
        <v>7.0</v>
      </c>
      <c r="Z1895" s="58" t="s">
        <v>239</v>
      </c>
      <c r="CH1895" s="58" t="s">
        <v>17258</v>
      </c>
      <c r="CI1895" s="73">
        <v>43683.0</v>
      </c>
      <c r="CJ1895" s="58">
        <v>101213.0</v>
      </c>
      <c r="CK1895" s="58">
        <v>101230.0</v>
      </c>
      <c r="CL1895" s="58" t="s">
        <v>17259</v>
      </c>
      <c r="CN1895" s="58" t="s">
        <v>17260</v>
      </c>
      <c r="CO1895" s="58" t="s">
        <v>17261</v>
      </c>
      <c r="CP1895" s="58" t="s">
        <v>17262</v>
      </c>
      <c r="CR1895" s="58">
        <v>63.0</v>
      </c>
      <c r="CT1895" s="58">
        <v>99.0</v>
      </c>
      <c r="CU1895" s="58" t="s">
        <v>16423</v>
      </c>
      <c r="DL1895" s="58" t="s">
        <v>17263</v>
      </c>
    </row>
    <row r="1896" ht="15.75" customHeight="1">
      <c r="B1896" s="58" t="s">
        <v>16392</v>
      </c>
      <c r="C1896" s="58">
        <v>2023.0</v>
      </c>
      <c r="D1896" s="58" t="s">
        <v>17264</v>
      </c>
      <c r="E1896" s="58" t="s">
        <v>17265</v>
      </c>
      <c r="F1896" s="58" t="s">
        <v>16835</v>
      </c>
      <c r="H1896" s="58" t="s">
        <v>16836</v>
      </c>
      <c r="I1896" s="58" t="s">
        <v>17266</v>
      </c>
      <c r="K1896" s="73">
        <v>44837.0</v>
      </c>
      <c r="Q1896" s="58">
        <v>4.0</v>
      </c>
      <c r="R1896" s="58">
        <v>41.0</v>
      </c>
      <c r="Z1896" s="58" t="s">
        <v>239</v>
      </c>
      <c r="CH1896" s="58" t="s">
        <v>17267</v>
      </c>
      <c r="CI1896" s="73">
        <v>44957.0</v>
      </c>
      <c r="CJ1896" s="58">
        <v>1175.0</v>
      </c>
      <c r="CK1896" s="58">
        <v>1191.0</v>
      </c>
      <c r="CL1896" s="58" t="s">
        <v>17268</v>
      </c>
      <c r="CO1896" s="58" t="s">
        <v>17269</v>
      </c>
      <c r="CP1896" s="58" t="s">
        <v>17270</v>
      </c>
      <c r="CR1896" s="58">
        <v>61.0</v>
      </c>
      <c r="CT1896" s="58">
        <v>62.0</v>
      </c>
      <c r="CU1896" s="58" t="s">
        <v>16727</v>
      </c>
      <c r="DL1896" s="58" t="s">
        <v>17271</v>
      </c>
    </row>
    <row r="1897" ht="15.75" customHeight="1">
      <c r="B1897" s="58" t="s">
        <v>16392</v>
      </c>
      <c r="C1897" s="58">
        <v>2021.0</v>
      </c>
      <c r="D1897" s="58" t="s">
        <v>17272</v>
      </c>
      <c r="E1897" s="58" t="s">
        <v>17273</v>
      </c>
      <c r="F1897" s="58" t="s">
        <v>16538</v>
      </c>
      <c r="H1897" s="58" t="s">
        <v>16539</v>
      </c>
      <c r="I1897" s="58" t="s">
        <v>17274</v>
      </c>
      <c r="K1897" s="73">
        <v>44050.0</v>
      </c>
      <c r="Q1897" s="58">
        <v>16.0</v>
      </c>
      <c r="R1897" s="58">
        <v>8.0</v>
      </c>
      <c r="Z1897" s="58" t="s">
        <v>239</v>
      </c>
      <c r="CH1897" s="58" t="s">
        <v>17275</v>
      </c>
      <c r="CI1897" s="73">
        <v>44413.0</v>
      </c>
      <c r="CJ1897" s="58">
        <v>12610.0</v>
      </c>
      <c r="CK1897" s="58">
        <v>12622.0</v>
      </c>
      <c r="CL1897" s="58" t="s">
        <v>17276</v>
      </c>
      <c r="CN1897" s="58" t="s">
        <v>17277</v>
      </c>
      <c r="CO1897" s="58" t="s">
        <v>17278</v>
      </c>
      <c r="CP1897" s="58" t="s">
        <v>17279</v>
      </c>
      <c r="CR1897" s="58">
        <v>60.0</v>
      </c>
      <c r="CT1897" s="58">
        <v>45.0</v>
      </c>
      <c r="CU1897" s="58" t="s">
        <v>239</v>
      </c>
      <c r="DL1897" s="58" t="s">
        <v>17280</v>
      </c>
    </row>
    <row r="1898" ht="15.75" customHeight="1">
      <c r="B1898" s="58" t="s">
        <v>16392</v>
      </c>
      <c r="C1898" s="58">
        <v>2021.0</v>
      </c>
      <c r="D1898" s="58" t="s">
        <v>17281</v>
      </c>
      <c r="E1898" s="58" t="s">
        <v>17282</v>
      </c>
      <c r="F1898" s="58" t="s">
        <v>16436</v>
      </c>
      <c r="H1898" s="58" t="s">
        <v>16437</v>
      </c>
      <c r="I1898" s="58" t="s">
        <v>17283</v>
      </c>
      <c r="K1898" s="73">
        <v>44393.0</v>
      </c>
      <c r="R1898" s="58">
        <v>9.0</v>
      </c>
      <c r="Z1898" s="58" t="s">
        <v>239</v>
      </c>
      <c r="CH1898" s="58" t="s">
        <v>17284</v>
      </c>
      <c r="CI1898" s="73">
        <v>44404.0</v>
      </c>
      <c r="CJ1898" s="58">
        <v>103513.0</v>
      </c>
      <c r="CK1898" s="58">
        <v>103523.0</v>
      </c>
      <c r="CL1898" s="58" t="s">
        <v>17285</v>
      </c>
      <c r="CN1898" s="58" t="s">
        <v>17286</v>
      </c>
      <c r="CO1898" s="58" t="s">
        <v>17287</v>
      </c>
      <c r="CP1898" s="58" t="s">
        <v>17288</v>
      </c>
      <c r="CR1898" s="58">
        <v>60.0</v>
      </c>
      <c r="CT1898" s="58">
        <v>47.0</v>
      </c>
      <c r="CU1898" s="58" t="s">
        <v>16423</v>
      </c>
      <c r="DL1898" s="58" t="s">
        <v>17289</v>
      </c>
    </row>
    <row r="1899" ht="15.75" customHeight="1">
      <c r="B1899" s="58" t="s">
        <v>16392</v>
      </c>
      <c r="C1899" s="58">
        <v>2020.0</v>
      </c>
      <c r="D1899" s="58" t="s">
        <v>17290</v>
      </c>
      <c r="E1899" s="58" t="s">
        <v>17291</v>
      </c>
      <c r="F1899" s="58" t="s">
        <v>16436</v>
      </c>
      <c r="H1899" s="58" t="s">
        <v>16437</v>
      </c>
      <c r="I1899" s="58" t="s">
        <v>17292</v>
      </c>
      <c r="K1899" s="73">
        <v>44062.0</v>
      </c>
      <c r="R1899" s="58">
        <v>8.0</v>
      </c>
      <c r="Z1899" s="58" t="s">
        <v>239</v>
      </c>
      <c r="CH1899" s="58" t="s">
        <v>17293</v>
      </c>
      <c r="CI1899" s="73">
        <v>44071.0</v>
      </c>
      <c r="CJ1899" s="58">
        <v>154166.0</v>
      </c>
      <c r="CK1899" s="58">
        <v>154185.0</v>
      </c>
      <c r="CL1899" s="58" t="s">
        <v>17294</v>
      </c>
      <c r="CN1899" s="58" t="s">
        <v>17295</v>
      </c>
      <c r="CO1899" s="58" t="s">
        <v>17296</v>
      </c>
      <c r="CP1899" s="58" t="s">
        <v>17297</v>
      </c>
      <c r="CR1899" s="58">
        <v>60.0</v>
      </c>
      <c r="CT1899" s="58">
        <v>72.0</v>
      </c>
      <c r="CU1899" s="58" t="s">
        <v>16423</v>
      </c>
      <c r="DL1899" s="58" t="s">
        <v>17298</v>
      </c>
    </row>
    <row r="1900" ht="15.75" customHeight="1">
      <c r="B1900" s="58" t="s">
        <v>16392</v>
      </c>
      <c r="C1900" s="58">
        <v>2022.0</v>
      </c>
      <c r="D1900" s="58" t="s">
        <v>17299</v>
      </c>
      <c r="E1900" s="58" t="s">
        <v>17300</v>
      </c>
      <c r="F1900" s="58" t="s">
        <v>16538</v>
      </c>
      <c r="H1900" s="58" t="s">
        <v>16539</v>
      </c>
      <c r="I1900" s="58" t="s">
        <v>17301</v>
      </c>
      <c r="K1900" s="73">
        <v>44347.0</v>
      </c>
      <c r="Q1900" s="58">
        <v>1.0</v>
      </c>
      <c r="R1900" s="58">
        <v>9.0</v>
      </c>
      <c r="Z1900" s="58" t="s">
        <v>239</v>
      </c>
      <c r="CH1900" s="58" t="s">
        <v>17302</v>
      </c>
      <c r="CI1900" s="73">
        <v>44552.0</v>
      </c>
      <c r="CJ1900" s="58">
        <v>695.0</v>
      </c>
      <c r="CK1900" s="58">
        <v>705.0</v>
      </c>
      <c r="CL1900" s="58" t="s">
        <v>17303</v>
      </c>
      <c r="CN1900" s="58" t="s">
        <v>17304</v>
      </c>
      <c r="CO1900" s="58" t="s">
        <v>17305</v>
      </c>
      <c r="CP1900" s="58" t="s">
        <v>17306</v>
      </c>
      <c r="CR1900" s="58">
        <v>60.0</v>
      </c>
      <c r="CT1900" s="58">
        <v>51.0</v>
      </c>
      <c r="CU1900" s="58" t="s">
        <v>239</v>
      </c>
      <c r="DL1900" s="58" t="s">
        <v>17307</v>
      </c>
    </row>
    <row r="1901" ht="15.75" customHeight="1">
      <c r="B1901" s="58" t="s">
        <v>16392</v>
      </c>
      <c r="C1901" s="58">
        <v>2018.0</v>
      </c>
      <c r="D1901" s="58" t="s">
        <v>17308</v>
      </c>
      <c r="E1901" s="58" t="s">
        <v>17309</v>
      </c>
      <c r="F1901" s="58" t="s">
        <v>16538</v>
      </c>
      <c r="H1901" s="58" t="s">
        <v>16539</v>
      </c>
      <c r="I1901" s="58" t="s">
        <v>17310</v>
      </c>
      <c r="K1901" s="73">
        <v>42999.0</v>
      </c>
      <c r="Q1901" s="58">
        <v>4.0</v>
      </c>
      <c r="R1901" s="58">
        <v>5.0</v>
      </c>
      <c r="Z1901" s="58" t="s">
        <v>239</v>
      </c>
      <c r="CH1901" s="58" t="s">
        <v>17311</v>
      </c>
      <c r="CI1901" s="73">
        <v>43321.0</v>
      </c>
      <c r="CJ1901" s="58">
        <v>2367.0</v>
      </c>
      <c r="CK1901" s="58">
        <v>2374.0</v>
      </c>
      <c r="CL1901" s="58" t="s">
        <v>17312</v>
      </c>
      <c r="CO1901" s="58" t="s">
        <v>17313</v>
      </c>
      <c r="CP1901" s="58" t="s">
        <v>17314</v>
      </c>
      <c r="CR1901" s="58">
        <v>59.0</v>
      </c>
      <c r="CT1901" s="58">
        <v>31.0</v>
      </c>
      <c r="CU1901" s="58" t="s">
        <v>239</v>
      </c>
      <c r="DL1901" s="58" t="s">
        <v>17315</v>
      </c>
    </row>
    <row r="1902" ht="15.75" customHeight="1">
      <c r="B1902" s="58" t="s">
        <v>16392</v>
      </c>
      <c r="C1902" s="58">
        <v>2023.0</v>
      </c>
      <c r="D1902" s="58" t="s">
        <v>17316</v>
      </c>
      <c r="E1902" s="58" t="s">
        <v>17317</v>
      </c>
      <c r="F1902" s="58" t="s">
        <v>16538</v>
      </c>
      <c r="H1902" s="58" t="s">
        <v>16539</v>
      </c>
      <c r="I1902" s="58" t="s">
        <v>17318</v>
      </c>
      <c r="K1902" s="73">
        <v>44908.0</v>
      </c>
      <c r="Q1902" s="58">
        <v>4.0</v>
      </c>
      <c r="R1902" s="58">
        <v>10.0</v>
      </c>
      <c r="Z1902" s="58" t="s">
        <v>239</v>
      </c>
      <c r="CH1902" s="58" t="s">
        <v>17319</v>
      </c>
      <c r="CI1902" s="73">
        <v>44963.0</v>
      </c>
      <c r="CJ1902" s="58">
        <v>3611.0</v>
      </c>
      <c r="CK1902" s="58">
        <v>3641.0</v>
      </c>
      <c r="CL1902" s="58" t="s">
        <v>17320</v>
      </c>
      <c r="CN1902" s="58" t="s">
        <v>17321</v>
      </c>
      <c r="CO1902" s="58" t="s">
        <v>17322</v>
      </c>
      <c r="CP1902" s="58" t="s">
        <v>17323</v>
      </c>
      <c r="CR1902" s="58">
        <v>59.0</v>
      </c>
      <c r="CT1902" s="58">
        <v>250.0</v>
      </c>
      <c r="CU1902" s="58" t="s">
        <v>239</v>
      </c>
      <c r="DL1902" s="58" t="s">
        <v>17324</v>
      </c>
    </row>
    <row r="1903" ht="15.75" customHeight="1">
      <c r="B1903" s="58" t="s">
        <v>16392</v>
      </c>
      <c r="C1903" s="58">
        <v>2021.0</v>
      </c>
      <c r="D1903" s="58" t="s">
        <v>4608</v>
      </c>
      <c r="E1903" s="58" t="s">
        <v>17325</v>
      </c>
      <c r="F1903" s="58" t="s">
        <v>16395</v>
      </c>
      <c r="H1903" s="58" t="s">
        <v>16396</v>
      </c>
      <c r="I1903" s="58" t="s">
        <v>17326</v>
      </c>
      <c r="K1903" s="73">
        <v>44384.0</v>
      </c>
      <c r="Q1903" s="58">
        <v>4.0</v>
      </c>
      <c r="R1903" s="58">
        <v>23.0</v>
      </c>
      <c r="Z1903" s="58" t="s">
        <v>239</v>
      </c>
      <c r="CH1903" s="58" t="s">
        <v>17327</v>
      </c>
      <c r="CI1903" s="73">
        <v>44519.0</v>
      </c>
      <c r="CJ1903" s="58">
        <v>2557.0</v>
      </c>
      <c r="CK1903" s="58">
        <v>2589.0</v>
      </c>
      <c r="CL1903" s="58" t="s">
        <v>17328</v>
      </c>
      <c r="CN1903" s="58" t="s">
        <v>17329</v>
      </c>
      <c r="CO1903" s="58" t="s">
        <v>17330</v>
      </c>
      <c r="CP1903" s="58" t="s">
        <v>17331</v>
      </c>
      <c r="CR1903" s="58">
        <v>57.0</v>
      </c>
      <c r="CT1903" s="58">
        <v>189.0</v>
      </c>
      <c r="CU1903" s="58" t="s">
        <v>239</v>
      </c>
      <c r="DL1903" s="58" t="s">
        <v>17332</v>
      </c>
    </row>
    <row r="1904" ht="15.75" customHeight="1">
      <c r="B1904" s="58" t="s">
        <v>16392</v>
      </c>
      <c r="C1904" s="58">
        <v>2018.0</v>
      </c>
      <c r="D1904" s="58" t="s">
        <v>17333</v>
      </c>
      <c r="E1904" s="58" t="s">
        <v>17334</v>
      </c>
      <c r="F1904" s="58" t="s">
        <v>16436</v>
      </c>
      <c r="H1904" s="58" t="s">
        <v>16437</v>
      </c>
      <c r="I1904" s="58" t="s">
        <v>17335</v>
      </c>
      <c r="K1904" s="73">
        <v>43131.0</v>
      </c>
      <c r="R1904" s="58">
        <v>6.0</v>
      </c>
      <c r="Z1904" s="58" t="s">
        <v>239</v>
      </c>
      <c r="CH1904" s="58" t="s">
        <v>17336</v>
      </c>
      <c r="CI1904" s="73">
        <v>43166.0</v>
      </c>
      <c r="CJ1904" s="58">
        <v>7941.0</v>
      </c>
      <c r="CK1904" s="58">
        <v>7957.0</v>
      </c>
      <c r="CL1904" s="58" t="s">
        <v>17337</v>
      </c>
      <c r="CN1904" s="58" t="s">
        <v>17338</v>
      </c>
      <c r="CO1904" s="58" t="s">
        <v>17339</v>
      </c>
      <c r="CP1904" s="58" t="s">
        <v>17340</v>
      </c>
      <c r="CR1904" s="58">
        <v>56.0</v>
      </c>
      <c r="CT1904" s="58">
        <v>36.0</v>
      </c>
      <c r="CU1904" s="58" t="s">
        <v>16444</v>
      </c>
      <c r="DL1904" s="58" t="s">
        <v>17341</v>
      </c>
    </row>
    <row r="1905" ht="15.75" customHeight="1">
      <c r="B1905" s="58" t="s">
        <v>16392</v>
      </c>
      <c r="C1905" s="58">
        <v>2021.0</v>
      </c>
      <c r="D1905" s="58" t="s">
        <v>17342</v>
      </c>
      <c r="E1905" s="58" t="s">
        <v>17343</v>
      </c>
      <c r="F1905" s="58" t="s">
        <v>16538</v>
      </c>
      <c r="H1905" s="58" t="s">
        <v>16539</v>
      </c>
      <c r="I1905" s="58" t="s">
        <v>17344</v>
      </c>
      <c r="K1905" s="73">
        <v>44154.0</v>
      </c>
      <c r="Q1905" s="58">
        <v>10.0</v>
      </c>
      <c r="R1905" s="58">
        <v>8.0</v>
      </c>
      <c r="Z1905" s="58" t="s">
        <v>239</v>
      </c>
      <c r="CH1905" s="58" t="s">
        <v>17345</v>
      </c>
      <c r="CI1905" s="73">
        <v>44323.0</v>
      </c>
      <c r="CJ1905" s="58">
        <v>7768.0</v>
      </c>
      <c r="CK1905" s="58">
        <v>7788.0</v>
      </c>
      <c r="CL1905" s="58" t="s">
        <v>17346</v>
      </c>
      <c r="CN1905" s="58" t="s">
        <v>17347</v>
      </c>
      <c r="CO1905" s="58" t="s">
        <v>17348</v>
      </c>
      <c r="CP1905" s="58" t="s">
        <v>17349</v>
      </c>
      <c r="CR1905" s="58">
        <v>55.0</v>
      </c>
      <c r="CT1905" s="58">
        <v>99.0</v>
      </c>
      <c r="CU1905" s="58" t="s">
        <v>239</v>
      </c>
      <c r="DL1905" s="58" t="s">
        <v>17350</v>
      </c>
    </row>
    <row r="1906" ht="15.75" customHeight="1">
      <c r="B1906" s="58" t="s">
        <v>16392</v>
      </c>
      <c r="C1906" s="58">
        <v>2021.0</v>
      </c>
      <c r="D1906" s="58" t="s">
        <v>17351</v>
      </c>
      <c r="E1906" s="58" t="s">
        <v>17352</v>
      </c>
      <c r="F1906" s="58" t="s">
        <v>17164</v>
      </c>
      <c r="H1906" s="58" t="s">
        <v>17165</v>
      </c>
      <c r="I1906" s="58" t="s">
        <v>17353</v>
      </c>
      <c r="K1906" s="73">
        <v>44110.0</v>
      </c>
      <c r="Q1906" s="58">
        <v>3.0</v>
      </c>
      <c r="R1906" s="58">
        <v>32.0</v>
      </c>
      <c r="Z1906" s="58" t="s">
        <v>239</v>
      </c>
      <c r="CH1906" s="58" t="s">
        <v>17354</v>
      </c>
      <c r="CI1906" s="73">
        <v>44130.0</v>
      </c>
      <c r="CJ1906" s="58">
        <v>674.0</v>
      </c>
      <c r="CK1906" s="58">
        <v>691.0</v>
      </c>
      <c r="CL1906" s="58" t="s">
        <v>17355</v>
      </c>
      <c r="CO1906" s="58" t="s">
        <v>17356</v>
      </c>
      <c r="CP1906" s="58" t="s">
        <v>17357</v>
      </c>
      <c r="CR1906" s="58">
        <v>54.0</v>
      </c>
      <c r="CT1906" s="58">
        <v>93.0</v>
      </c>
      <c r="CU1906" s="58" t="s">
        <v>16423</v>
      </c>
      <c r="DL1906" s="58" t="s">
        <v>17358</v>
      </c>
    </row>
    <row r="1907" ht="15.75" customHeight="1">
      <c r="B1907" s="58" t="s">
        <v>16392</v>
      </c>
      <c r="C1907" s="58">
        <v>2019.0</v>
      </c>
      <c r="D1907" s="58" t="s">
        <v>17359</v>
      </c>
      <c r="E1907" s="58" t="s">
        <v>17360</v>
      </c>
      <c r="F1907" s="58" t="s">
        <v>16436</v>
      </c>
      <c r="H1907" s="58" t="s">
        <v>16437</v>
      </c>
      <c r="I1907" s="58" t="s">
        <v>17361</v>
      </c>
      <c r="K1907" s="73">
        <v>43517.0</v>
      </c>
      <c r="R1907" s="58">
        <v>7.0</v>
      </c>
      <c r="Z1907" s="58" t="s">
        <v>239</v>
      </c>
      <c r="CH1907" s="58" t="s">
        <v>17362</v>
      </c>
      <c r="CI1907" s="73">
        <v>43531.0</v>
      </c>
      <c r="CJ1907" s="58">
        <v>25690.0</v>
      </c>
      <c r="CK1907" s="58">
        <v>25707.0</v>
      </c>
      <c r="CL1907" s="58" t="s">
        <v>17363</v>
      </c>
      <c r="CN1907" s="58" t="s">
        <v>17364</v>
      </c>
      <c r="CO1907" s="58" t="s">
        <v>17365</v>
      </c>
      <c r="CP1907" s="58" t="s">
        <v>17366</v>
      </c>
      <c r="CR1907" s="58">
        <v>54.0</v>
      </c>
      <c r="CT1907" s="58">
        <v>73.0</v>
      </c>
      <c r="CU1907" s="58" t="s">
        <v>16423</v>
      </c>
      <c r="DL1907" s="58" t="s">
        <v>17367</v>
      </c>
    </row>
    <row r="1908" ht="15.75" customHeight="1">
      <c r="B1908" s="58" t="s">
        <v>16392</v>
      </c>
      <c r="C1908" s="58">
        <v>2021.0</v>
      </c>
      <c r="D1908" s="58" t="s">
        <v>17368</v>
      </c>
      <c r="E1908" s="58" t="s">
        <v>17369</v>
      </c>
      <c r="F1908" s="58" t="s">
        <v>16395</v>
      </c>
      <c r="H1908" s="58" t="s">
        <v>16396</v>
      </c>
      <c r="I1908" s="58" t="s">
        <v>17370</v>
      </c>
      <c r="K1908" s="73">
        <v>44407.0</v>
      </c>
      <c r="Q1908" s="58">
        <v>4.0</v>
      </c>
      <c r="R1908" s="58">
        <v>23.0</v>
      </c>
      <c r="Z1908" s="58" t="s">
        <v>239</v>
      </c>
      <c r="CH1908" s="58" t="s">
        <v>17371</v>
      </c>
      <c r="CI1908" s="73">
        <v>44519.0</v>
      </c>
      <c r="CJ1908" s="58">
        <v>2590.0</v>
      </c>
      <c r="CK1908" s="58">
        <v>2629.0</v>
      </c>
      <c r="CL1908" s="58" t="s">
        <v>17372</v>
      </c>
      <c r="CN1908" s="58" t="s">
        <v>17373</v>
      </c>
      <c r="CO1908" s="58" t="s">
        <v>17374</v>
      </c>
      <c r="CP1908" s="58" t="s">
        <v>17375</v>
      </c>
      <c r="CR1908" s="58">
        <v>53.0</v>
      </c>
      <c r="CT1908" s="58">
        <v>204.0</v>
      </c>
      <c r="CU1908" s="58" t="s">
        <v>16423</v>
      </c>
      <c r="DL1908" s="58" t="s">
        <v>17376</v>
      </c>
    </row>
    <row r="1909" ht="15.75" customHeight="1">
      <c r="B1909" s="58" t="s">
        <v>16392</v>
      </c>
      <c r="C1909" s="58">
        <v>2022.0</v>
      </c>
      <c r="D1909" s="58" t="s">
        <v>17377</v>
      </c>
      <c r="E1909" s="58" t="s">
        <v>17378</v>
      </c>
      <c r="F1909" s="58" t="s">
        <v>16395</v>
      </c>
      <c r="H1909" s="58" t="s">
        <v>16396</v>
      </c>
      <c r="I1909" s="58" t="s">
        <v>17379</v>
      </c>
      <c r="K1909" s="73">
        <v>44840.0</v>
      </c>
      <c r="Q1909" s="58">
        <v>4.0</v>
      </c>
      <c r="R1909" s="58">
        <v>24.0</v>
      </c>
      <c r="Z1909" s="58" t="s">
        <v>239</v>
      </c>
      <c r="CH1909" s="58" t="s">
        <v>17380</v>
      </c>
      <c r="CI1909" s="73">
        <v>44886.0</v>
      </c>
      <c r="CJ1909" s="58">
        <v>2535.0</v>
      </c>
      <c r="CK1909" s="58">
        <v>2578.0</v>
      </c>
      <c r="CL1909" s="58" t="s">
        <v>17381</v>
      </c>
      <c r="CN1909" s="58" t="s">
        <v>17382</v>
      </c>
      <c r="CO1909" s="58" t="s">
        <v>17383</v>
      </c>
      <c r="CP1909" s="58" t="s">
        <v>17384</v>
      </c>
      <c r="CR1909" s="58">
        <v>53.0</v>
      </c>
      <c r="CT1909" s="58">
        <v>284.0</v>
      </c>
      <c r="CU1909" s="58" t="s">
        <v>16423</v>
      </c>
      <c r="DL1909" s="58" t="s">
        <v>17385</v>
      </c>
    </row>
    <row r="1910" ht="15.75" customHeight="1">
      <c r="B1910" s="58" t="s">
        <v>16392</v>
      </c>
      <c r="C1910" s="58">
        <v>2023.0</v>
      </c>
      <c r="D1910" s="58" t="s">
        <v>17386</v>
      </c>
      <c r="E1910" s="58" t="s">
        <v>17387</v>
      </c>
      <c r="F1910" s="58" t="s">
        <v>16395</v>
      </c>
      <c r="H1910" s="58" t="s">
        <v>16396</v>
      </c>
      <c r="I1910" s="58" t="s">
        <v>17388</v>
      </c>
      <c r="K1910" s="73">
        <v>44848.0</v>
      </c>
      <c r="Q1910" s="58">
        <v>1.0</v>
      </c>
      <c r="R1910" s="58">
        <v>25.0</v>
      </c>
      <c r="Z1910" s="58" t="s">
        <v>239</v>
      </c>
      <c r="CH1910" s="58" t="s">
        <v>17389</v>
      </c>
      <c r="CI1910" s="73">
        <v>44980.0</v>
      </c>
      <c r="CJ1910" s="58">
        <v>701.0</v>
      </c>
      <c r="CK1910" s="58">
        <v>761.0</v>
      </c>
      <c r="CL1910" s="58" t="s">
        <v>17390</v>
      </c>
      <c r="CN1910" s="58" t="s">
        <v>17391</v>
      </c>
      <c r="CO1910" s="58" t="s">
        <v>17392</v>
      </c>
      <c r="CP1910" s="58" t="s">
        <v>17393</v>
      </c>
      <c r="CR1910" s="58">
        <v>53.0</v>
      </c>
      <c r="CT1910" s="58">
        <v>177.0</v>
      </c>
      <c r="CU1910" s="58" t="s">
        <v>16423</v>
      </c>
      <c r="DL1910" s="58" t="s">
        <v>17394</v>
      </c>
    </row>
    <row r="1911" ht="15.75" customHeight="1">
      <c r="B1911" s="58" t="s">
        <v>16392</v>
      </c>
      <c r="C1911" s="58">
        <v>2021.0</v>
      </c>
      <c r="D1911" s="58" t="s">
        <v>17395</v>
      </c>
      <c r="E1911" s="58" t="s">
        <v>17396</v>
      </c>
      <c r="F1911" s="58" t="s">
        <v>16436</v>
      </c>
      <c r="H1911" s="58" t="s">
        <v>16437</v>
      </c>
      <c r="I1911" s="58" t="s">
        <v>17397</v>
      </c>
      <c r="K1911" s="73">
        <v>44483.0</v>
      </c>
      <c r="R1911" s="58">
        <v>9.0</v>
      </c>
      <c r="Z1911" s="58" t="s">
        <v>239</v>
      </c>
      <c r="CH1911" s="58" t="s">
        <v>17398</v>
      </c>
      <c r="CI1911" s="73">
        <v>44495.0</v>
      </c>
      <c r="CJ1911" s="58">
        <v>142314.0</v>
      </c>
      <c r="CK1911" s="58">
        <v>142327.0</v>
      </c>
      <c r="CL1911" s="58" t="s">
        <v>17399</v>
      </c>
      <c r="CN1911" s="58" t="s">
        <v>16469</v>
      </c>
      <c r="CO1911" s="58" t="s">
        <v>17400</v>
      </c>
      <c r="CP1911" s="58" t="s">
        <v>17401</v>
      </c>
      <c r="CR1911" s="58">
        <v>53.0</v>
      </c>
      <c r="CT1911" s="58">
        <v>44.0</v>
      </c>
      <c r="CU1911" s="58" t="s">
        <v>16423</v>
      </c>
      <c r="DL1911" s="58" t="s">
        <v>17402</v>
      </c>
    </row>
    <row r="1912" ht="15.75" customHeight="1">
      <c r="B1912" s="58" t="s">
        <v>16392</v>
      </c>
      <c r="C1912" s="58">
        <v>2022.0</v>
      </c>
      <c r="D1912" s="58" t="s">
        <v>17403</v>
      </c>
      <c r="E1912" s="58" t="s">
        <v>17404</v>
      </c>
      <c r="F1912" s="58" t="s">
        <v>16436</v>
      </c>
      <c r="H1912" s="58" t="s">
        <v>16437</v>
      </c>
      <c r="I1912" s="58" t="s">
        <v>17405</v>
      </c>
      <c r="K1912" s="73">
        <v>44746.0</v>
      </c>
      <c r="R1912" s="58">
        <v>10.0</v>
      </c>
      <c r="Z1912" s="58" t="s">
        <v>239</v>
      </c>
      <c r="CH1912" s="58" t="s">
        <v>17406</v>
      </c>
      <c r="CI1912" s="73">
        <v>44754.0</v>
      </c>
      <c r="CJ1912" s="58">
        <v>70850.0</v>
      </c>
      <c r="CK1912" s="58">
        <v>70901.0</v>
      </c>
      <c r="CL1912" s="58" t="s">
        <v>17407</v>
      </c>
      <c r="CO1912" s="58" t="s">
        <v>17408</v>
      </c>
      <c r="CP1912" s="58" t="s">
        <v>17409</v>
      </c>
      <c r="CR1912" s="58">
        <v>53.0</v>
      </c>
      <c r="CT1912" s="58">
        <v>230.0</v>
      </c>
      <c r="CU1912" s="58" t="s">
        <v>16423</v>
      </c>
      <c r="DL1912" s="58" t="s">
        <v>17410</v>
      </c>
    </row>
    <row r="1913" ht="15.75" customHeight="1">
      <c r="B1913" s="58" t="s">
        <v>16392</v>
      </c>
      <c r="C1913" s="58">
        <v>2022.0</v>
      </c>
      <c r="D1913" s="58" t="s">
        <v>17411</v>
      </c>
      <c r="E1913" s="58" t="s">
        <v>17412</v>
      </c>
      <c r="F1913" s="58" t="s">
        <v>16436</v>
      </c>
      <c r="H1913" s="58" t="s">
        <v>16437</v>
      </c>
      <c r="I1913" s="58" t="s">
        <v>17413</v>
      </c>
      <c r="K1913" s="73">
        <v>44552.0</v>
      </c>
      <c r="R1913" s="58">
        <v>10.0</v>
      </c>
      <c r="Z1913" s="58" t="s">
        <v>239</v>
      </c>
      <c r="CH1913" s="58" t="s">
        <v>17414</v>
      </c>
      <c r="CI1913" s="73">
        <v>44565.0</v>
      </c>
      <c r="CJ1913" s="58">
        <v>535.0</v>
      </c>
      <c r="CK1913" s="58">
        <v>563.0</v>
      </c>
      <c r="CL1913" s="58" t="s">
        <v>17415</v>
      </c>
      <c r="CO1913" s="58" t="s">
        <v>17416</v>
      </c>
      <c r="CP1913" s="58" t="s">
        <v>17417</v>
      </c>
      <c r="CR1913" s="58">
        <v>53.0</v>
      </c>
      <c r="CT1913" s="58">
        <v>187.0</v>
      </c>
      <c r="CU1913" s="58" t="s">
        <v>16423</v>
      </c>
      <c r="DL1913" s="58" t="s">
        <v>17418</v>
      </c>
    </row>
    <row r="1914" ht="15.75" customHeight="1">
      <c r="B1914" s="58" t="s">
        <v>16392</v>
      </c>
      <c r="C1914" s="58">
        <v>2022.0</v>
      </c>
      <c r="D1914" s="58" t="s">
        <v>17419</v>
      </c>
      <c r="E1914" s="58" t="s">
        <v>17420</v>
      </c>
      <c r="F1914" s="58" t="s">
        <v>16436</v>
      </c>
      <c r="H1914" s="58" t="s">
        <v>16437</v>
      </c>
      <c r="I1914" s="58" t="s">
        <v>17421</v>
      </c>
      <c r="K1914" s="73">
        <v>44641.0</v>
      </c>
      <c r="R1914" s="58">
        <v>10.0</v>
      </c>
      <c r="Z1914" s="58" t="s">
        <v>239</v>
      </c>
      <c r="CH1914" s="58" t="s">
        <v>17422</v>
      </c>
      <c r="CI1914" s="73">
        <v>44650.0</v>
      </c>
      <c r="CJ1914" s="58">
        <v>32639.0</v>
      </c>
      <c r="CK1914" s="58">
        <v>32688.0</v>
      </c>
      <c r="CL1914" s="58" t="s">
        <v>17423</v>
      </c>
      <c r="CN1914" s="58" t="s">
        <v>17424</v>
      </c>
      <c r="CO1914" s="58" t="s">
        <v>17425</v>
      </c>
      <c r="CP1914" s="58" t="s">
        <v>17426</v>
      </c>
      <c r="CR1914" s="58">
        <v>51.0</v>
      </c>
      <c r="CT1914" s="58">
        <v>284.0</v>
      </c>
      <c r="CU1914" s="58" t="s">
        <v>16423</v>
      </c>
      <c r="DL1914" s="58" t="s">
        <v>17427</v>
      </c>
    </row>
    <row r="1915" ht="15.75" customHeight="1">
      <c r="B1915" s="58" t="s">
        <v>16392</v>
      </c>
      <c r="C1915" s="58">
        <v>2020.0</v>
      </c>
      <c r="D1915" s="58" t="s">
        <v>17428</v>
      </c>
      <c r="E1915" s="58" t="s">
        <v>17429</v>
      </c>
      <c r="F1915" s="58" t="s">
        <v>16436</v>
      </c>
      <c r="H1915" s="58" t="s">
        <v>16437</v>
      </c>
      <c r="I1915" s="58" t="s">
        <v>17430</v>
      </c>
      <c r="K1915" s="73">
        <v>44053.0</v>
      </c>
      <c r="R1915" s="58">
        <v>8.0</v>
      </c>
      <c r="Z1915" s="58" t="s">
        <v>239</v>
      </c>
      <c r="CH1915" s="58" t="s">
        <v>17431</v>
      </c>
      <c r="CI1915" s="73">
        <v>44061.0</v>
      </c>
      <c r="CJ1915" s="58">
        <v>147647.0</v>
      </c>
      <c r="CK1915" s="58">
        <v>147661.0</v>
      </c>
      <c r="CL1915" s="58" t="s">
        <v>17432</v>
      </c>
      <c r="CO1915" s="58" t="s">
        <v>17433</v>
      </c>
      <c r="CP1915" s="58" t="s">
        <v>17434</v>
      </c>
      <c r="CR1915" s="58">
        <v>49.0</v>
      </c>
      <c r="CT1915" s="58">
        <v>68.0</v>
      </c>
      <c r="CU1915" s="58" t="s">
        <v>16423</v>
      </c>
      <c r="DL1915" s="58" t="s">
        <v>17435</v>
      </c>
    </row>
    <row r="1916" ht="15.75" customHeight="1">
      <c r="B1916" s="58" t="s">
        <v>16392</v>
      </c>
      <c r="C1916" s="58">
        <v>2022.0</v>
      </c>
      <c r="D1916" s="58" t="s">
        <v>17436</v>
      </c>
      <c r="E1916" s="58" t="s">
        <v>17437</v>
      </c>
      <c r="F1916" s="58" t="s">
        <v>17438</v>
      </c>
      <c r="H1916" s="58" t="s">
        <v>17439</v>
      </c>
      <c r="I1916" s="58" t="s">
        <v>17440</v>
      </c>
      <c r="K1916" s="73">
        <v>44127.0</v>
      </c>
      <c r="Q1916" s="58">
        <v>4.0</v>
      </c>
      <c r="R1916" s="58">
        <v>10.0</v>
      </c>
      <c r="Z1916" s="58" t="s">
        <v>239</v>
      </c>
      <c r="CH1916" s="58" t="s">
        <v>17441</v>
      </c>
      <c r="CI1916" s="73">
        <v>44900.0</v>
      </c>
      <c r="CJ1916" s="58">
        <v>2834.0</v>
      </c>
      <c r="CK1916" s="58">
        <v>2847.0</v>
      </c>
      <c r="CL1916" s="58" t="s">
        <v>17442</v>
      </c>
      <c r="CN1916" s="58" t="s">
        <v>17443</v>
      </c>
      <c r="CO1916" s="58" t="s">
        <v>17444</v>
      </c>
      <c r="CP1916" s="58" t="s">
        <v>17445</v>
      </c>
      <c r="CR1916" s="58">
        <v>49.0</v>
      </c>
      <c r="CT1916" s="58">
        <v>61.0</v>
      </c>
      <c r="CU1916" s="58" t="s">
        <v>239</v>
      </c>
      <c r="DL1916" s="58" t="s">
        <v>17446</v>
      </c>
    </row>
    <row r="1917" ht="15.75" customHeight="1">
      <c r="B1917" s="58" t="s">
        <v>16392</v>
      </c>
      <c r="C1917" s="58">
        <v>2021.0</v>
      </c>
      <c r="D1917" s="58" t="s">
        <v>17447</v>
      </c>
      <c r="E1917" s="58" t="s">
        <v>17448</v>
      </c>
      <c r="F1917" s="58" t="s">
        <v>16731</v>
      </c>
      <c r="H1917" s="58" t="s">
        <v>16732</v>
      </c>
      <c r="I1917" s="58" t="s">
        <v>17449</v>
      </c>
      <c r="K1917" s="73">
        <v>44082.0</v>
      </c>
      <c r="Q1917" s="58">
        <v>5.0</v>
      </c>
      <c r="R1917" s="58">
        <v>17.0</v>
      </c>
      <c r="Z1917" s="58" t="s">
        <v>239</v>
      </c>
      <c r="CH1917" s="58" t="s">
        <v>17450</v>
      </c>
      <c r="CI1917" s="73">
        <v>44250.0</v>
      </c>
      <c r="CJ1917" s="58">
        <v>3566.0</v>
      </c>
      <c r="CK1917" s="58">
        <v>3576.0</v>
      </c>
      <c r="CL1917" s="58" t="s">
        <v>17451</v>
      </c>
      <c r="CN1917" s="58" t="s">
        <v>17452</v>
      </c>
      <c r="CO1917" s="58" t="s">
        <v>17453</v>
      </c>
      <c r="CP1917" s="58" t="s">
        <v>17454</v>
      </c>
      <c r="CR1917" s="58">
        <v>49.0</v>
      </c>
      <c r="CT1917" s="58">
        <v>32.0</v>
      </c>
      <c r="CU1917" s="58" t="s">
        <v>239</v>
      </c>
      <c r="DL1917" s="58" t="s">
        <v>17455</v>
      </c>
    </row>
    <row r="1918" ht="15.75" customHeight="1">
      <c r="B1918" s="58" t="s">
        <v>16392</v>
      </c>
      <c r="C1918" s="58">
        <v>2021.0</v>
      </c>
      <c r="D1918" s="58" t="s">
        <v>17456</v>
      </c>
      <c r="E1918" s="58" t="s">
        <v>17457</v>
      </c>
      <c r="F1918" s="58" t="s">
        <v>16538</v>
      </c>
      <c r="H1918" s="58" t="s">
        <v>16539</v>
      </c>
      <c r="I1918" s="58" t="s">
        <v>17458</v>
      </c>
      <c r="K1918" s="73">
        <v>44209.0</v>
      </c>
      <c r="Q1918" s="58">
        <v>14.0</v>
      </c>
      <c r="R1918" s="58">
        <v>8.0</v>
      </c>
      <c r="Z1918" s="58" t="s">
        <v>239</v>
      </c>
      <c r="CH1918" s="58" t="s">
        <v>17459</v>
      </c>
      <c r="CI1918" s="73">
        <v>44383.0</v>
      </c>
      <c r="CJ1918" s="58">
        <v>10973.0</v>
      </c>
      <c r="CK1918" s="58">
        <v>10997.0</v>
      </c>
      <c r="CL1918" s="58" t="s">
        <v>17460</v>
      </c>
      <c r="CN1918" s="58" t="s">
        <v>17461</v>
      </c>
      <c r="CO1918" s="58" t="s">
        <v>17462</v>
      </c>
      <c r="CP1918" s="58" t="s">
        <v>17463</v>
      </c>
      <c r="CR1918" s="58">
        <v>48.0</v>
      </c>
      <c r="CT1918" s="58">
        <v>196.0</v>
      </c>
      <c r="CU1918" s="58" t="s">
        <v>239</v>
      </c>
      <c r="DL1918" s="58" t="s">
        <v>17464</v>
      </c>
    </row>
    <row r="1919" ht="15.75" customHeight="1">
      <c r="B1919" s="58" t="s">
        <v>16392</v>
      </c>
      <c r="C1919" s="58">
        <v>2019.0</v>
      </c>
      <c r="D1919" s="58" t="s">
        <v>17465</v>
      </c>
      <c r="E1919" s="58" t="s">
        <v>17466</v>
      </c>
      <c r="F1919" s="58" t="s">
        <v>16436</v>
      </c>
      <c r="H1919" s="58" t="s">
        <v>16437</v>
      </c>
      <c r="I1919" s="58" t="s">
        <v>17467</v>
      </c>
      <c r="K1919" s="73">
        <v>43759.0</v>
      </c>
      <c r="R1919" s="58">
        <v>7.0</v>
      </c>
      <c r="Z1919" s="58" t="s">
        <v>239</v>
      </c>
      <c r="CH1919" s="58" t="s">
        <v>17468</v>
      </c>
      <c r="CI1919" s="73">
        <v>43766.0</v>
      </c>
      <c r="CJ1919" s="58">
        <v>152847.0</v>
      </c>
      <c r="CK1919" s="58">
        <v>152878.0</v>
      </c>
      <c r="CL1919" s="58" t="s">
        <v>17469</v>
      </c>
      <c r="CN1919" s="58" t="s">
        <v>17470</v>
      </c>
      <c r="CO1919" s="58" t="s">
        <v>17471</v>
      </c>
      <c r="CP1919" s="58" t="s">
        <v>17472</v>
      </c>
      <c r="CR1919" s="58">
        <v>48.0</v>
      </c>
      <c r="CT1919" s="58">
        <v>293.0</v>
      </c>
      <c r="CU1919" s="58" t="s">
        <v>16423</v>
      </c>
      <c r="DL1919" s="58" t="s">
        <v>17473</v>
      </c>
    </row>
    <row r="1920" ht="15.75" customHeight="1">
      <c r="B1920" s="58" t="s">
        <v>16392</v>
      </c>
      <c r="C1920" s="58">
        <v>2021.0</v>
      </c>
      <c r="D1920" s="58" t="s">
        <v>17474</v>
      </c>
      <c r="E1920" s="58" t="s">
        <v>17475</v>
      </c>
      <c r="F1920" s="58" t="s">
        <v>16436</v>
      </c>
      <c r="H1920" s="58" t="s">
        <v>16437</v>
      </c>
      <c r="I1920" s="58" t="s">
        <v>17476</v>
      </c>
      <c r="K1920" s="73">
        <v>44320.0</v>
      </c>
      <c r="R1920" s="58">
        <v>9.0</v>
      </c>
      <c r="Z1920" s="58" t="s">
        <v>239</v>
      </c>
      <c r="CH1920" s="58" t="s">
        <v>17477</v>
      </c>
      <c r="CI1920" s="73">
        <v>44327.0</v>
      </c>
      <c r="CJ1920" s="58">
        <v>68028.0</v>
      </c>
      <c r="CK1920" s="58">
        <v>68043.0</v>
      </c>
      <c r="CL1920" s="58" t="s">
        <v>17478</v>
      </c>
      <c r="CO1920" s="58" t="s">
        <v>17479</v>
      </c>
      <c r="CP1920" s="58" t="s">
        <v>17480</v>
      </c>
      <c r="CR1920" s="58">
        <v>46.0</v>
      </c>
      <c r="CT1920" s="58">
        <v>105.0</v>
      </c>
      <c r="CU1920" s="58" t="s">
        <v>16423</v>
      </c>
      <c r="DL1920" s="58" t="s">
        <v>17481</v>
      </c>
    </row>
    <row r="1921" ht="15.75" customHeight="1">
      <c r="B1921" s="58" t="s">
        <v>16392</v>
      </c>
      <c r="C1921" s="58">
        <v>2022.0</v>
      </c>
      <c r="D1921" s="58" t="s">
        <v>17482</v>
      </c>
      <c r="E1921" s="58" t="s">
        <v>17483</v>
      </c>
      <c r="F1921" s="58" t="s">
        <v>16436</v>
      </c>
      <c r="H1921" s="58" t="s">
        <v>16437</v>
      </c>
      <c r="I1921" s="58" t="s">
        <v>17484</v>
      </c>
      <c r="K1921" s="73">
        <v>44739.0</v>
      </c>
      <c r="R1921" s="58">
        <v>10.0</v>
      </c>
      <c r="Z1921" s="58" t="s">
        <v>239</v>
      </c>
      <c r="CH1921" s="58" t="s">
        <v>17485</v>
      </c>
      <c r="CI1921" s="73">
        <v>44749.0</v>
      </c>
      <c r="CJ1921" s="58">
        <v>69605.0</v>
      </c>
      <c r="CK1921" s="58">
        <v>69635.0</v>
      </c>
      <c r="CL1921" s="58" t="s">
        <v>17486</v>
      </c>
      <c r="CO1921" s="58" t="s">
        <v>17487</v>
      </c>
      <c r="CP1921" s="58" t="s">
        <v>17488</v>
      </c>
      <c r="CR1921" s="58">
        <v>46.0</v>
      </c>
      <c r="CT1921" s="58">
        <v>98.0</v>
      </c>
      <c r="CU1921" s="58" t="s">
        <v>16727</v>
      </c>
      <c r="DL1921" s="58" t="s">
        <v>17489</v>
      </c>
    </row>
    <row r="1922" ht="15.75" customHeight="1">
      <c r="B1922" s="58" t="s">
        <v>16392</v>
      </c>
      <c r="C1922" s="58">
        <v>2021.0</v>
      </c>
      <c r="D1922" s="58" t="s">
        <v>17490</v>
      </c>
      <c r="E1922" s="58" t="s">
        <v>17491</v>
      </c>
      <c r="F1922" s="58" t="s">
        <v>16538</v>
      </c>
      <c r="H1922" s="58" t="s">
        <v>16539</v>
      </c>
      <c r="I1922" s="58" t="s">
        <v>17492</v>
      </c>
      <c r="K1922" s="73">
        <v>44337.0</v>
      </c>
      <c r="Q1922" s="58">
        <v>17.0</v>
      </c>
      <c r="R1922" s="58">
        <v>8.0</v>
      </c>
      <c r="Z1922" s="58" t="s">
        <v>239</v>
      </c>
      <c r="CH1922" s="58" t="s">
        <v>17493</v>
      </c>
      <c r="CI1922" s="73">
        <v>44431.0</v>
      </c>
      <c r="CJ1922" s="58">
        <v>13145.0</v>
      </c>
      <c r="CK1922" s="58">
        <v>13164.0</v>
      </c>
      <c r="CL1922" s="58" t="s">
        <v>17494</v>
      </c>
      <c r="CO1922" s="58" t="s">
        <v>17495</v>
      </c>
      <c r="CP1922" s="58" t="s">
        <v>17496</v>
      </c>
      <c r="CR1922" s="58">
        <v>45.0</v>
      </c>
      <c r="CT1922" s="58">
        <v>142.0</v>
      </c>
      <c r="CU1922" s="58" t="s">
        <v>239</v>
      </c>
      <c r="DL1922" s="58" t="s">
        <v>17497</v>
      </c>
    </row>
    <row r="1923" ht="15.75" customHeight="1">
      <c r="B1923" s="58" t="s">
        <v>16392</v>
      </c>
      <c r="C1923" s="58">
        <v>2022.0</v>
      </c>
      <c r="D1923" s="58" t="s">
        <v>17498</v>
      </c>
      <c r="E1923" s="58" t="s">
        <v>17499</v>
      </c>
      <c r="F1923" s="58" t="s">
        <v>16436</v>
      </c>
      <c r="H1923" s="58" t="s">
        <v>16437</v>
      </c>
      <c r="I1923" s="58" t="s">
        <v>17500</v>
      </c>
      <c r="K1923" s="73">
        <v>44686.0</v>
      </c>
      <c r="R1923" s="58">
        <v>10.0</v>
      </c>
      <c r="Z1923" s="58" t="s">
        <v>239</v>
      </c>
      <c r="CH1923" s="58" t="s">
        <v>17501</v>
      </c>
      <c r="CI1923" s="73">
        <v>44697.0</v>
      </c>
      <c r="CJ1923" s="58">
        <v>50335.0</v>
      </c>
      <c r="CK1923" s="58">
        <v>50350.0</v>
      </c>
      <c r="CL1923" s="58" t="s">
        <v>17502</v>
      </c>
      <c r="CN1923" s="58" t="s">
        <v>17503</v>
      </c>
      <c r="CO1923" s="58" t="s">
        <v>17504</v>
      </c>
      <c r="CP1923" s="58" t="s">
        <v>17505</v>
      </c>
      <c r="CR1923" s="58">
        <v>45.0</v>
      </c>
      <c r="CT1923" s="58">
        <v>40.0</v>
      </c>
      <c r="CU1923" s="58" t="s">
        <v>16423</v>
      </c>
      <c r="DL1923" s="58" t="s">
        <v>17506</v>
      </c>
    </row>
    <row r="1924" ht="15.75" customHeight="1">
      <c r="B1924" s="58" t="s">
        <v>16392</v>
      </c>
      <c r="C1924" s="58">
        <v>2021.0</v>
      </c>
      <c r="D1924" s="58" t="s">
        <v>17507</v>
      </c>
      <c r="E1924" s="58" t="s">
        <v>17508</v>
      </c>
      <c r="F1924" s="58" t="s">
        <v>16538</v>
      </c>
      <c r="H1924" s="58" t="s">
        <v>16539</v>
      </c>
      <c r="I1924" s="58" t="s">
        <v>17509</v>
      </c>
      <c r="K1924" s="73">
        <v>44312.0</v>
      </c>
      <c r="Q1924" s="58">
        <v>15.0</v>
      </c>
      <c r="R1924" s="58">
        <v>8.0</v>
      </c>
      <c r="Z1924" s="58" t="s">
        <v>239</v>
      </c>
      <c r="CH1924" s="58" t="s">
        <v>17510</v>
      </c>
      <c r="CI1924" s="73">
        <v>44403.0</v>
      </c>
      <c r="CJ1924" s="58">
        <v>12021.0</v>
      </c>
      <c r="CK1924" s="58">
        <v>12045.0</v>
      </c>
      <c r="CL1924" s="58" t="s">
        <v>17511</v>
      </c>
      <c r="CN1924" s="58" t="s">
        <v>17512</v>
      </c>
      <c r="CO1924" s="58" t="s">
        <v>17513</v>
      </c>
      <c r="CP1924" s="58" t="s">
        <v>17514</v>
      </c>
      <c r="CR1924" s="58">
        <v>44.0</v>
      </c>
      <c r="CT1924" s="58">
        <v>156.0</v>
      </c>
      <c r="CU1924" s="58" t="s">
        <v>239</v>
      </c>
      <c r="DL1924" s="58" t="s">
        <v>17515</v>
      </c>
    </row>
    <row r="1925" ht="15.75" customHeight="1">
      <c r="B1925" s="58" t="s">
        <v>16392</v>
      </c>
      <c r="C1925" s="58">
        <v>2019.0</v>
      </c>
      <c r="D1925" s="58" t="s">
        <v>17516</v>
      </c>
      <c r="E1925" s="58" t="s">
        <v>17517</v>
      </c>
      <c r="F1925" s="58" t="s">
        <v>16436</v>
      </c>
      <c r="H1925" s="58" t="s">
        <v>16437</v>
      </c>
      <c r="I1925" s="58" t="s">
        <v>17518</v>
      </c>
      <c r="K1925" s="73">
        <v>43734.0</v>
      </c>
      <c r="R1925" s="58">
        <v>7.0</v>
      </c>
      <c r="Z1925" s="58" t="s">
        <v>239</v>
      </c>
      <c r="CH1925" s="58" t="s">
        <v>17519</v>
      </c>
      <c r="CI1925" s="73">
        <v>43741.0</v>
      </c>
      <c r="CJ1925" s="58">
        <v>139746.0</v>
      </c>
      <c r="CK1925" s="58">
        <v>139758.0</v>
      </c>
      <c r="CL1925" s="58" t="s">
        <v>17520</v>
      </c>
      <c r="CO1925" s="58" t="s">
        <v>17521</v>
      </c>
      <c r="CP1925" s="58" t="s">
        <v>17522</v>
      </c>
      <c r="CR1925" s="58">
        <v>43.0</v>
      </c>
      <c r="CT1925" s="58">
        <v>34.0</v>
      </c>
      <c r="CU1925" s="58" t="s">
        <v>16423</v>
      </c>
      <c r="DL1925" s="58" t="s">
        <v>17523</v>
      </c>
    </row>
    <row r="1926" ht="15.75" customHeight="1">
      <c r="B1926" s="58" t="s">
        <v>16392</v>
      </c>
      <c r="C1926" s="58">
        <v>2024.0</v>
      </c>
      <c r="D1926" s="58" t="s">
        <v>17524</v>
      </c>
      <c r="E1926" s="58" t="s">
        <v>17525</v>
      </c>
      <c r="F1926" s="58" t="s">
        <v>16395</v>
      </c>
      <c r="H1926" s="58" t="s">
        <v>16396</v>
      </c>
      <c r="I1926" s="58" t="s">
        <v>17526</v>
      </c>
      <c r="K1926" s="73">
        <v>45260.0</v>
      </c>
      <c r="Q1926" s="58">
        <v>1.0</v>
      </c>
      <c r="R1926" s="58">
        <v>26.0</v>
      </c>
      <c r="Z1926" s="58" t="s">
        <v>239</v>
      </c>
      <c r="CH1926" s="58" t="s">
        <v>17527</v>
      </c>
      <c r="CI1926" s="73">
        <v>45348.0</v>
      </c>
      <c r="CJ1926" s="58">
        <v>619.0</v>
      </c>
      <c r="CK1926" s="58">
        <v>669.0</v>
      </c>
      <c r="CL1926" s="58" t="s">
        <v>17528</v>
      </c>
      <c r="CO1926" s="58" t="s">
        <v>17529</v>
      </c>
      <c r="CP1926" s="58" t="s">
        <v>17530</v>
      </c>
      <c r="CR1926" s="58">
        <v>43.0</v>
      </c>
      <c r="CT1926" s="58">
        <v>205.0</v>
      </c>
      <c r="CU1926" s="58" t="s">
        <v>239</v>
      </c>
      <c r="DL1926" s="58" t="s">
        <v>17531</v>
      </c>
    </row>
    <row r="1927" ht="15.75" customHeight="1">
      <c r="B1927" s="58" t="s">
        <v>16392</v>
      </c>
      <c r="C1927" s="58">
        <v>2022.0</v>
      </c>
      <c r="D1927" s="58" t="s">
        <v>17532</v>
      </c>
      <c r="E1927" s="58" t="s">
        <v>17533</v>
      </c>
      <c r="F1927" s="58" t="s">
        <v>17090</v>
      </c>
      <c r="H1927" s="58" t="s">
        <v>17091</v>
      </c>
      <c r="I1927" s="58" t="s">
        <v>17534</v>
      </c>
      <c r="K1927" s="73">
        <v>44615.0</v>
      </c>
      <c r="Q1927" s="58">
        <v>4.0</v>
      </c>
      <c r="R1927" s="58">
        <v>13.0</v>
      </c>
      <c r="Z1927" s="58" t="s">
        <v>239</v>
      </c>
      <c r="CH1927" s="58" t="s">
        <v>17535</v>
      </c>
      <c r="CI1927" s="73">
        <v>44733.0</v>
      </c>
      <c r="CJ1927" s="58">
        <v>3133.0</v>
      </c>
      <c r="CK1927" s="58">
        <v>3144.0</v>
      </c>
      <c r="CL1927" s="58" t="s">
        <v>17536</v>
      </c>
      <c r="CN1927" s="58" t="s">
        <v>17537</v>
      </c>
      <c r="CO1927" s="58" t="s">
        <v>17538</v>
      </c>
      <c r="CP1927" s="58" t="s">
        <v>17539</v>
      </c>
      <c r="CR1927" s="58">
        <v>42.0</v>
      </c>
      <c r="CT1927" s="58">
        <v>44.0</v>
      </c>
      <c r="CU1927" s="58" t="s">
        <v>239</v>
      </c>
      <c r="DL1927" s="58" t="s">
        <v>17540</v>
      </c>
    </row>
    <row r="1928" ht="15.75" customHeight="1">
      <c r="B1928" s="58" t="s">
        <v>16392</v>
      </c>
      <c r="C1928" s="58">
        <v>2021.0</v>
      </c>
      <c r="D1928" s="58" t="s">
        <v>17541</v>
      </c>
      <c r="E1928" s="58" t="s">
        <v>17542</v>
      </c>
      <c r="F1928" s="58" t="s">
        <v>16538</v>
      </c>
      <c r="H1928" s="58" t="s">
        <v>16539</v>
      </c>
      <c r="I1928" s="58" t="s">
        <v>17543</v>
      </c>
      <c r="K1928" s="73">
        <v>44019.0</v>
      </c>
      <c r="Q1928" s="58">
        <v>16.0</v>
      </c>
      <c r="R1928" s="58">
        <v>8.0</v>
      </c>
      <c r="Z1928" s="58" t="s">
        <v>239</v>
      </c>
      <c r="CH1928" s="58" t="s">
        <v>17544</v>
      </c>
      <c r="CI1928" s="73">
        <v>44413.0</v>
      </c>
      <c r="CJ1928" s="58">
        <v>12771.0</v>
      </c>
      <c r="CK1928" s="58">
        <v>12781.0</v>
      </c>
      <c r="CL1928" s="58" t="s">
        <v>17545</v>
      </c>
      <c r="CN1928" s="58" t="s">
        <v>17546</v>
      </c>
      <c r="CO1928" s="58" t="s">
        <v>17547</v>
      </c>
      <c r="CP1928" s="58" t="s">
        <v>17548</v>
      </c>
      <c r="CR1928" s="58">
        <v>42.0</v>
      </c>
      <c r="CT1928" s="58">
        <v>33.0</v>
      </c>
      <c r="CU1928" s="58" t="s">
        <v>239</v>
      </c>
      <c r="DL1928" s="58" t="s">
        <v>17549</v>
      </c>
    </row>
    <row r="1929" ht="15.75" customHeight="1">
      <c r="B1929" s="58" t="s">
        <v>16392</v>
      </c>
      <c r="C1929" s="58">
        <v>2020.0</v>
      </c>
      <c r="D1929" s="58" t="s">
        <v>17550</v>
      </c>
      <c r="E1929" s="58" t="s">
        <v>17551</v>
      </c>
      <c r="F1929" s="58" t="s">
        <v>17051</v>
      </c>
      <c r="H1929" s="58" t="s">
        <v>17052</v>
      </c>
      <c r="I1929" s="58" t="s">
        <v>17552</v>
      </c>
      <c r="K1929" s="73">
        <v>43711.0</v>
      </c>
      <c r="Q1929" s="58">
        <v>3.0</v>
      </c>
      <c r="R1929" s="58">
        <v>20.0</v>
      </c>
      <c r="Z1929" s="58" t="s">
        <v>239</v>
      </c>
      <c r="CH1929" s="58" t="s">
        <v>17553</v>
      </c>
      <c r="CI1929" s="73">
        <v>43847.0</v>
      </c>
      <c r="CJ1929" s="58">
        <v>1564.0</v>
      </c>
      <c r="CK1929" s="58">
        <v>1572.0</v>
      </c>
      <c r="CL1929" s="58" t="s">
        <v>17554</v>
      </c>
      <c r="CO1929" s="58" t="s">
        <v>17555</v>
      </c>
      <c r="CP1929" s="58" t="s">
        <v>17556</v>
      </c>
      <c r="CR1929" s="58">
        <v>41.0</v>
      </c>
      <c r="CT1929" s="58">
        <v>52.0</v>
      </c>
      <c r="CU1929" s="58" t="s">
        <v>239</v>
      </c>
      <c r="DL1929" s="58" t="s">
        <v>17557</v>
      </c>
    </row>
    <row r="1930" ht="15.75" customHeight="1">
      <c r="B1930" s="58" t="s">
        <v>16392</v>
      </c>
      <c r="C1930" s="58">
        <v>2023.0</v>
      </c>
      <c r="D1930" s="58" t="s">
        <v>17558</v>
      </c>
      <c r="E1930" s="58" t="s">
        <v>17559</v>
      </c>
      <c r="F1930" s="58" t="s">
        <v>16731</v>
      </c>
      <c r="H1930" s="58" t="s">
        <v>16732</v>
      </c>
      <c r="I1930" s="58" t="s">
        <v>17560</v>
      </c>
      <c r="K1930" s="73">
        <v>44790.0</v>
      </c>
      <c r="Q1930" s="58">
        <v>1.0</v>
      </c>
      <c r="R1930" s="58">
        <v>19.0</v>
      </c>
      <c r="Z1930" s="58" t="s">
        <v>239</v>
      </c>
      <c r="CH1930" s="58" t="s">
        <v>17561</v>
      </c>
      <c r="CI1930" s="73">
        <v>44874.0</v>
      </c>
      <c r="CJ1930" s="58">
        <v>716.0</v>
      </c>
      <c r="CK1930" s="58">
        <v>729.0</v>
      </c>
      <c r="CL1930" s="58" t="s">
        <v>17562</v>
      </c>
      <c r="CN1930" s="58" t="s">
        <v>17563</v>
      </c>
      <c r="CO1930" s="58" t="s">
        <v>17564</v>
      </c>
      <c r="CP1930" s="58" t="s">
        <v>17565</v>
      </c>
      <c r="CR1930" s="58">
        <v>41.0</v>
      </c>
      <c r="CT1930" s="58">
        <v>100.0</v>
      </c>
      <c r="CU1930" s="58" t="s">
        <v>239</v>
      </c>
      <c r="DL1930" s="58" t="s">
        <v>17566</v>
      </c>
    </row>
    <row r="1931" ht="15.75" customHeight="1">
      <c r="B1931" s="58" t="s">
        <v>16392</v>
      </c>
      <c r="C1931" s="58">
        <v>2020.0</v>
      </c>
      <c r="D1931" s="58" t="s">
        <v>17567</v>
      </c>
      <c r="E1931" s="58" t="s">
        <v>17568</v>
      </c>
      <c r="F1931" s="58" t="s">
        <v>16923</v>
      </c>
      <c r="H1931" s="58" t="s">
        <v>16924</v>
      </c>
      <c r="I1931" s="58" t="s">
        <v>17569</v>
      </c>
      <c r="K1931" s="73">
        <v>43985.0</v>
      </c>
      <c r="Q1931" s="58">
        <v>7.0</v>
      </c>
      <c r="R1931" s="58">
        <v>38.0</v>
      </c>
      <c r="Z1931" s="58" t="s">
        <v>239</v>
      </c>
      <c r="CH1931" s="58" t="s">
        <v>17570</v>
      </c>
      <c r="CI1931" s="73">
        <v>44008.0</v>
      </c>
      <c r="CJ1931" s="58">
        <v>1448.0</v>
      </c>
      <c r="CK1931" s="58">
        <v>1463.0</v>
      </c>
      <c r="CL1931" s="58" t="s">
        <v>17571</v>
      </c>
      <c r="CN1931" s="58" t="s">
        <v>17572</v>
      </c>
      <c r="CO1931" s="58" t="s">
        <v>17573</v>
      </c>
      <c r="CP1931" s="58" t="s">
        <v>17574</v>
      </c>
      <c r="CR1931" s="58">
        <v>41.0</v>
      </c>
      <c r="CT1931" s="58">
        <v>36.0</v>
      </c>
      <c r="CU1931" s="58" t="s">
        <v>239</v>
      </c>
      <c r="DL1931" s="58" t="s">
        <v>17575</v>
      </c>
    </row>
    <row r="1932" ht="15.75" customHeight="1">
      <c r="B1932" s="58" t="s">
        <v>16392</v>
      </c>
      <c r="C1932" s="58">
        <v>2022.0</v>
      </c>
      <c r="D1932" s="58" t="s">
        <v>17576</v>
      </c>
      <c r="E1932" s="58" t="s">
        <v>17577</v>
      </c>
      <c r="F1932" s="58" t="s">
        <v>16436</v>
      </c>
      <c r="H1932" s="58" t="s">
        <v>16437</v>
      </c>
      <c r="I1932" s="58" t="s">
        <v>17578</v>
      </c>
      <c r="K1932" s="73">
        <v>44728.0</v>
      </c>
      <c r="R1932" s="58">
        <v>10.0</v>
      </c>
      <c r="Z1932" s="58" t="s">
        <v>239</v>
      </c>
      <c r="CH1932" s="58" t="s">
        <v>17579</v>
      </c>
      <c r="CI1932" s="73">
        <v>44736.0</v>
      </c>
      <c r="CJ1932" s="58">
        <v>65156.0</v>
      </c>
      <c r="CK1932" s="58">
        <v>65192.0</v>
      </c>
      <c r="CL1932" s="58" t="s">
        <v>17580</v>
      </c>
      <c r="CN1932" s="58" t="s">
        <v>17581</v>
      </c>
      <c r="CO1932" s="58" t="s">
        <v>17582</v>
      </c>
      <c r="CP1932" s="58" t="s">
        <v>17583</v>
      </c>
      <c r="CR1932" s="58">
        <v>40.0</v>
      </c>
      <c r="CT1932" s="58">
        <v>185.0</v>
      </c>
      <c r="CU1932" s="58" t="s">
        <v>16423</v>
      </c>
      <c r="DL1932" s="58" t="s">
        <v>17584</v>
      </c>
    </row>
    <row r="1933" ht="15.75" customHeight="1">
      <c r="B1933" s="58" t="s">
        <v>16392</v>
      </c>
      <c r="C1933" s="58">
        <v>2020.0</v>
      </c>
      <c r="D1933" s="58" t="s">
        <v>17585</v>
      </c>
      <c r="E1933" s="58" t="s">
        <v>17586</v>
      </c>
      <c r="F1933" s="58" t="s">
        <v>17164</v>
      </c>
      <c r="H1933" s="58" t="s">
        <v>17165</v>
      </c>
      <c r="I1933" s="58" t="s">
        <v>17587</v>
      </c>
      <c r="K1933" s="73">
        <v>43944.0</v>
      </c>
      <c r="Q1933" s="58">
        <v>10.0</v>
      </c>
      <c r="R1933" s="58">
        <v>31.0</v>
      </c>
      <c r="Z1933" s="58" t="s">
        <v>239</v>
      </c>
      <c r="CH1933" s="58" t="s">
        <v>17588</v>
      </c>
      <c r="CI1933" s="73">
        <v>43959.0</v>
      </c>
      <c r="CJ1933" s="58">
        <v>2289.0</v>
      </c>
      <c r="CK1933" s="58">
        <v>2301.0</v>
      </c>
      <c r="CL1933" s="58" t="s">
        <v>17589</v>
      </c>
      <c r="CN1933" s="58" t="s">
        <v>17590</v>
      </c>
      <c r="CO1933" s="58" t="s">
        <v>17591</v>
      </c>
      <c r="CP1933" s="58" t="s">
        <v>17592</v>
      </c>
      <c r="CR1933" s="58">
        <v>40.0</v>
      </c>
      <c r="CT1933" s="58">
        <v>29.0</v>
      </c>
      <c r="CU1933" s="58" t="s">
        <v>239</v>
      </c>
      <c r="DL1933" s="58" t="s">
        <v>17593</v>
      </c>
    </row>
    <row r="1934" ht="15.75" customHeight="1">
      <c r="B1934" s="58" t="s">
        <v>16392</v>
      </c>
      <c r="C1934" s="58">
        <v>2020.0</v>
      </c>
      <c r="D1934" s="58" t="s">
        <v>17594</v>
      </c>
      <c r="E1934" s="58" t="s">
        <v>17595</v>
      </c>
      <c r="F1934" s="58" t="s">
        <v>17596</v>
      </c>
      <c r="H1934" s="58" t="s">
        <v>17597</v>
      </c>
      <c r="I1934" s="58" t="s">
        <v>17598</v>
      </c>
      <c r="K1934" s="73">
        <v>43992.0</v>
      </c>
      <c r="Q1934" s="58">
        <v>11.0</v>
      </c>
      <c r="R1934" s="58">
        <v>24.0</v>
      </c>
      <c r="Z1934" s="58" t="s">
        <v>239</v>
      </c>
      <c r="CH1934" s="58" t="s">
        <v>17599</v>
      </c>
      <c r="CI1934" s="73">
        <v>44139.0</v>
      </c>
      <c r="CJ1934" s="58">
        <v>3182.0</v>
      </c>
      <c r="CK1934" s="58">
        <v>3188.0</v>
      </c>
      <c r="CL1934" s="58" t="s">
        <v>17600</v>
      </c>
      <c r="CO1934" s="58" t="s">
        <v>17601</v>
      </c>
      <c r="CP1934" s="58" t="s">
        <v>17602</v>
      </c>
      <c r="CQ1934" s="58" t="s">
        <v>17603</v>
      </c>
      <c r="CR1934" s="58">
        <v>40.0</v>
      </c>
      <c r="CT1934" s="58">
        <v>27.0</v>
      </c>
      <c r="CU1934" s="58" t="s">
        <v>239</v>
      </c>
      <c r="DL1934" s="58" t="s">
        <v>17604</v>
      </c>
    </row>
    <row r="1935" ht="15.75" customHeight="1">
      <c r="B1935" s="58" t="s">
        <v>16392</v>
      </c>
      <c r="C1935" s="58">
        <v>2019.0</v>
      </c>
      <c r="D1935" s="58" t="s">
        <v>17605</v>
      </c>
      <c r="E1935" s="58" t="s">
        <v>17606</v>
      </c>
      <c r="F1935" s="58" t="s">
        <v>16538</v>
      </c>
      <c r="H1935" s="58" t="s">
        <v>16539</v>
      </c>
      <c r="I1935" s="58" t="s">
        <v>17607</v>
      </c>
      <c r="K1935" s="73">
        <v>43294.0</v>
      </c>
      <c r="Q1935" s="58">
        <v>1.0</v>
      </c>
      <c r="R1935" s="58">
        <v>6.0</v>
      </c>
      <c r="Z1935" s="58" t="s">
        <v>239</v>
      </c>
      <c r="CH1935" s="58" t="s">
        <v>17608</v>
      </c>
      <c r="CI1935" s="73">
        <v>43520.0</v>
      </c>
      <c r="CJ1935" s="58">
        <v>734.0</v>
      </c>
      <c r="CK1935" s="58">
        <v>743.0</v>
      </c>
      <c r="CL1935" s="58" t="s">
        <v>17609</v>
      </c>
      <c r="CN1935" s="58" t="s">
        <v>17610</v>
      </c>
      <c r="CO1935" s="58" t="s">
        <v>17611</v>
      </c>
      <c r="CP1935" s="58" t="s">
        <v>17612</v>
      </c>
      <c r="CR1935" s="58">
        <v>39.0</v>
      </c>
      <c r="CT1935" s="58">
        <v>39.0</v>
      </c>
      <c r="CU1935" s="58" t="s">
        <v>239</v>
      </c>
      <c r="DL1935" s="58" t="s">
        <v>17613</v>
      </c>
    </row>
    <row r="1936" ht="15.75" customHeight="1">
      <c r="B1936" s="58" t="s">
        <v>16392</v>
      </c>
      <c r="C1936" s="58">
        <v>2020.0</v>
      </c>
      <c r="D1936" s="58" t="s">
        <v>17614</v>
      </c>
      <c r="E1936" s="58" t="s">
        <v>17615</v>
      </c>
      <c r="F1936" s="58" t="s">
        <v>17616</v>
      </c>
      <c r="H1936" s="58" t="s">
        <v>17617</v>
      </c>
      <c r="I1936" s="58" t="s">
        <v>17618</v>
      </c>
      <c r="K1936" s="73">
        <v>44039.0</v>
      </c>
      <c r="Q1936" s="58">
        <v>5.0</v>
      </c>
      <c r="R1936" s="58">
        <v>7.0</v>
      </c>
      <c r="Z1936" s="58" t="s">
        <v>239</v>
      </c>
      <c r="CH1936" s="58" t="s">
        <v>17619</v>
      </c>
      <c r="CI1936" s="73">
        <v>44145.0</v>
      </c>
      <c r="CJ1936" s="58">
        <v>1146.0</v>
      </c>
      <c r="CK1936" s="58">
        <v>1158.0</v>
      </c>
      <c r="CL1936" s="58" t="s">
        <v>17620</v>
      </c>
      <c r="CN1936" s="58" t="s">
        <v>17621</v>
      </c>
      <c r="CO1936" s="58" t="s">
        <v>17622</v>
      </c>
      <c r="CP1936" s="58" t="s">
        <v>17623</v>
      </c>
      <c r="CR1936" s="58">
        <v>39.0</v>
      </c>
      <c r="CT1936" s="58">
        <v>39.0</v>
      </c>
      <c r="CU1936" s="58" t="s">
        <v>239</v>
      </c>
      <c r="DL1936" s="58" t="s">
        <v>17624</v>
      </c>
    </row>
    <row r="1937" ht="15.75" customHeight="1">
      <c r="B1937" s="58" t="s">
        <v>16392</v>
      </c>
      <c r="C1937" s="58">
        <v>2022.0</v>
      </c>
      <c r="D1937" s="58" t="s">
        <v>17625</v>
      </c>
      <c r="E1937" s="58" t="s">
        <v>17626</v>
      </c>
      <c r="F1937" s="58" t="s">
        <v>16436</v>
      </c>
      <c r="H1937" s="58" t="s">
        <v>16437</v>
      </c>
      <c r="I1937" s="58" t="s">
        <v>17627</v>
      </c>
      <c r="K1937" s="73">
        <v>44763.0</v>
      </c>
      <c r="R1937" s="58">
        <v>10.0</v>
      </c>
      <c r="Z1937" s="58" t="s">
        <v>239</v>
      </c>
      <c r="CH1937" s="58" t="s">
        <v>17628</v>
      </c>
      <c r="CI1937" s="73">
        <v>44797.0</v>
      </c>
      <c r="CJ1937" s="58">
        <v>86904.0</v>
      </c>
      <c r="CK1937" s="58">
        <v>86919.0</v>
      </c>
      <c r="CL1937" s="58" t="s">
        <v>17629</v>
      </c>
      <c r="CN1937" s="58" t="s">
        <v>17630</v>
      </c>
      <c r="CO1937" s="58" t="s">
        <v>17631</v>
      </c>
      <c r="CP1937" s="58" t="s">
        <v>17632</v>
      </c>
      <c r="CR1937" s="58">
        <v>38.0</v>
      </c>
      <c r="CT1937" s="58">
        <v>106.0</v>
      </c>
      <c r="CU1937" s="58" t="s">
        <v>16423</v>
      </c>
      <c r="DL1937" s="58" t="s">
        <v>17633</v>
      </c>
    </row>
    <row r="1938" ht="15.75" customHeight="1">
      <c r="B1938" s="58" t="s">
        <v>16392</v>
      </c>
      <c r="C1938" s="58">
        <v>2019.0</v>
      </c>
      <c r="D1938" s="58" t="s">
        <v>17634</v>
      </c>
      <c r="E1938" s="58" t="s">
        <v>17635</v>
      </c>
      <c r="F1938" s="58" t="s">
        <v>16436</v>
      </c>
      <c r="H1938" s="58" t="s">
        <v>16437</v>
      </c>
      <c r="I1938" s="58" t="s">
        <v>17636</v>
      </c>
      <c r="K1938" s="73">
        <v>43592.0</v>
      </c>
      <c r="R1938" s="58">
        <v>7.0</v>
      </c>
      <c r="Z1938" s="58" t="s">
        <v>239</v>
      </c>
      <c r="CH1938" s="58" t="s">
        <v>17637</v>
      </c>
      <c r="CI1938" s="73">
        <v>43605.0</v>
      </c>
      <c r="CJ1938" s="58">
        <v>60439.0</v>
      </c>
      <c r="CK1938" s="58">
        <v>60464.0</v>
      </c>
      <c r="CL1938" s="58" t="s">
        <v>17638</v>
      </c>
      <c r="CN1938" s="58" t="s">
        <v>17639</v>
      </c>
      <c r="CO1938" s="58" t="s">
        <v>17640</v>
      </c>
      <c r="CP1938" s="58" t="s">
        <v>17641</v>
      </c>
      <c r="CR1938" s="58">
        <v>38.0</v>
      </c>
      <c r="CT1938" s="58">
        <v>202.0</v>
      </c>
      <c r="CU1938" s="58" t="s">
        <v>16444</v>
      </c>
      <c r="DL1938" s="58" t="s">
        <v>17642</v>
      </c>
    </row>
    <row r="1939" ht="15.75" customHeight="1">
      <c r="B1939" s="58" t="s">
        <v>16392</v>
      </c>
      <c r="C1939" s="58">
        <v>2018.0</v>
      </c>
      <c r="D1939" s="58" t="s">
        <v>17643</v>
      </c>
      <c r="E1939" s="58" t="s">
        <v>17644</v>
      </c>
      <c r="F1939" s="58" t="s">
        <v>17164</v>
      </c>
      <c r="H1939" s="58" t="s">
        <v>17165</v>
      </c>
      <c r="I1939" s="58" t="s">
        <v>17645</v>
      </c>
      <c r="K1939" s="73">
        <v>43237.0</v>
      </c>
      <c r="Q1939" s="58">
        <v>11.0</v>
      </c>
      <c r="R1939" s="58">
        <v>29.0</v>
      </c>
      <c r="Z1939" s="58" t="s">
        <v>239</v>
      </c>
      <c r="CH1939" s="58" t="s">
        <v>17646</v>
      </c>
      <c r="CI1939" s="73">
        <v>43382.0</v>
      </c>
      <c r="CJ1939" s="58">
        <v>2568.0</v>
      </c>
      <c r="CK1939" s="58">
        <v>2581.0</v>
      </c>
      <c r="CL1939" s="58" t="s">
        <v>17647</v>
      </c>
      <c r="CN1939" s="58" t="s">
        <v>17648</v>
      </c>
      <c r="CO1939" s="58" t="s">
        <v>17649</v>
      </c>
      <c r="CP1939" s="58" t="s">
        <v>17650</v>
      </c>
      <c r="CR1939" s="58">
        <v>38.0</v>
      </c>
      <c r="CT1939" s="58">
        <v>59.0</v>
      </c>
      <c r="CU1939" s="58" t="s">
        <v>239</v>
      </c>
      <c r="DL1939" s="58" t="s">
        <v>17651</v>
      </c>
    </row>
    <row r="1940" ht="15.75" customHeight="1">
      <c r="B1940" s="58" t="s">
        <v>16392</v>
      </c>
      <c r="C1940" s="58">
        <v>2021.0</v>
      </c>
      <c r="D1940" s="58" t="s">
        <v>17652</v>
      </c>
      <c r="E1940" s="58" t="s">
        <v>17653</v>
      </c>
      <c r="F1940" s="58" t="s">
        <v>17654</v>
      </c>
      <c r="H1940" s="58" t="s">
        <v>17655</v>
      </c>
      <c r="I1940" s="58" t="s">
        <v>17656</v>
      </c>
      <c r="K1940" s="73">
        <v>44105.0</v>
      </c>
      <c r="Q1940" s="58">
        <v>6.0</v>
      </c>
      <c r="R1940" s="58">
        <v>22.0</v>
      </c>
      <c r="Z1940" s="58" t="s">
        <v>239</v>
      </c>
      <c r="CH1940" s="58" t="s">
        <v>17657</v>
      </c>
      <c r="CI1940" s="73">
        <v>44347.0</v>
      </c>
      <c r="CJ1940" s="58">
        <v>3790.0</v>
      </c>
      <c r="CK1940" s="58">
        <v>3799.0</v>
      </c>
      <c r="CL1940" s="58" t="s">
        <v>17658</v>
      </c>
      <c r="CO1940" s="58" t="s">
        <v>17659</v>
      </c>
      <c r="CP1940" s="58" t="s">
        <v>17660</v>
      </c>
      <c r="CR1940" s="58">
        <v>37.0</v>
      </c>
      <c r="CT1940" s="58">
        <v>62.0</v>
      </c>
      <c r="CU1940" s="58" t="s">
        <v>239</v>
      </c>
      <c r="DL1940" s="58" t="s">
        <v>17661</v>
      </c>
    </row>
    <row r="1941" ht="15.75" customHeight="1">
      <c r="B1941" s="58" t="s">
        <v>16392</v>
      </c>
      <c r="C1941" s="58">
        <v>2023.0</v>
      </c>
      <c r="D1941" s="58" t="s">
        <v>17662</v>
      </c>
      <c r="E1941" s="58" t="s">
        <v>17663</v>
      </c>
      <c r="F1941" s="58" t="s">
        <v>16538</v>
      </c>
      <c r="H1941" s="58" t="s">
        <v>16539</v>
      </c>
      <c r="I1941" s="58" t="s">
        <v>17664</v>
      </c>
      <c r="K1941" s="73">
        <v>45152.0</v>
      </c>
      <c r="Q1941" s="58">
        <v>24.0</v>
      </c>
      <c r="R1941" s="58">
        <v>10.0</v>
      </c>
      <c r="Z1941" s="58" t="s">
        <v>239</v>
      </c>
      <c r="CH1941" s="58" t="s">
        <v>17665</v>
      </c>
      <c r="CI1941" s="73">
        <v>45271.0</v>
      </c>
      <c r="CJ1941" s="58">
        <v>21873.0</v>
      </c>
      <c r="CK1941" s="58">
        <v>21891.0</v>
      </c>
      <c r="CL1941" s="58" t="s">
        <v>17666</v>
      </c>
      <c r="CN1941" s="58" t="s">
        <v>17667</v>
      </c>
      <c r="CO1941" s="58" t="s">
        <v>17668</v>
      </c>
      <c r="CP1941" s="58" t="s">
        <v>17669</v>
      </c>
      <c r="CR1941" s="58">
        <v>36.0</v>
      </c>
      <c r="CT1941" s="58">
        <v>111.0</v>
      </c>
      <c r="CU1941" s="58" t="s">
        <v>239</v>
      </c>
      <c r="DL1941" s="58" t="s">
        <v>17670</v>
      </c>
    </row>
    <row r="1942" ht="15.75" customHeight="1">
      <c r="B1942" s="58" t="s">
        <v>16392</v>
      </c>
      <c r="C1942" s="58">
        <v>2020.0</v>
      </c>
      <c r="D1942" s="58" t="s">
        <v>17671</v>
      </c>
      <c r="E1942" s="58" t="s">
        <v>17672</v>
      </c>
      <c r="F1942" s="58" t="s">
        <v>16538</v>
      </c>
      <c r="H1942" s="58" t="s">
        <v>16539</v>
      </c>
      <c r="I1942" s="58" t="s">
        <v>17673</v>
      </c>
      <c r="K1942" s="73">
        <v>44033.0</v>
      </c>
      <c r="Q1942" s="58">
        <v>10.0</v>
      </c>
      <c r="R1942" s="58">
        <v>7.0</v>
      </c>
      <c r="Z1942" s="58" t="s">
        <v>239</v>
      </c>
      <c r="CH1942" s="58" t="s">
        <v>17674</v>
      </c>
      <c r="CI1942" s="73">
        <v>44113.0</v>
      </c>
      <c r="CJ1942" s="58">
        <v>10673.0</v>
      </c>
      <c r="CK1942" s="58">
        <v>10683.0</v>
      </c>
      <c r="CL1942" s="58" t="s">
        <v>17675</v>
      </c>
      <c r="CN1942" s="58" t="s">
        <v>17676</v>
      </c>
      <c r="CO1942" s="58" t="s">
        <v>17677</v>
      </c>
      <c r="CP1942" s="58" t="s">
        <v>17678</v>
      </c>
      <c r="CR1942" s="58">
        <v>36.0</v>
      </c>
      <c r="CT1942" s="58">
        <v>52.0</v>
      </c>
      <c r="CU1942" s="58" t="s">
        <v>239</v>
      </c>
      <c r="DL1942" s="58" t="s">
        <v>17679</v>
      </c>
    </row>
    <row r="1943" ht="15.75" customHeight="1">
      <c r="B1943" s="58" t="s">
        <v>16392</v>
      </c>
      <c r="C1943" s="58">
        <v>2018.0</v>
      </c>
      <c r="D1943" s="58" t="s">
        <v>17680</v>
      </c>
      <c r="E1943" s="58" t="s">
        <v>17681</v>
      </c>
      <c r="F1943" s="58" t="s">
        <v>16436</v>
      </c>
      <c r="H1943" s="58" t="s">
        <v>16437</v>
      </c>
      <c r="I1943" s="58" t="s">
        <v>17682</v>
      </c>
      <c r="K1943" s="73">
        <v>43396.0</v>
      </c>
      <c r="R1943" s="58">
        <v>6.0</v>
      </c>
      <c r="Z1943" s="58" t="s">
        <v>239</v>
      </c>
      <c r="CH1943" s="58" t="s">
        <v>17683</v>
      </c>
      <c r="CI1943" s="73">
        <v>43432.0</v>
      </c>
      <c r="CJ1943" s="58">
        <v>67594.0</v>
      </c>
      <c r="CK1943" s="58">
        <v>67610.0</v>
      </c>
      <c r="CL1943" s="58" t="s">
        <v>17684</v>
      </c>
      <c r="CN1943" s="58" t="s">
        <v>17685</v>
      </c>
      <c r="CO1943" s="58" t="s">
        <v>17686</v>
      </c>
      <c r="CP1943" s="58" t="s">
        <v>17687</v>
      </c>
      <c r="CR1943" s="58">
        <v>36.0</v>
      </c>
      <c r="CT1943" s="58">
        <v>66.0</v>
      </c>
      <c r="CU1943" s="58" t="s">
        <v>16423</v>
      </c>
      <c r="DL1943" s="58" t="s">
        <v>17688</v>
      </c>
    </row>
    <row r="1944" ht="15.75" customHeight="1">
      <c r="B1944" s="58" t="s">
        <v>16392</v>
      </c>
      <c r="C1944" s="58">
        <v>2022.0</v>
      </c>
      <c r="D1944" s="58" t="s">
        <v>17689</v>
      </c>
      <c r="E1944" s="58" t="s">
        <v>17690</v>
      </c>
      <c r="F1944" s="58" t="s">
        <v>16395</v>
      </c>
      <c r="H1944" s="58" t="s">
        <v>16396</v>
      </c>
      <c r="I1944" s="58" t="s">
        <v>17691</v>
      </c>
      <c r="K1944" s="73">
        <v>44838.0</v>
      </c>
      <c r="Q1944" s="58">
        <v>4.0</v>
      </c>
      <c r="R1944" s="58">
        <v>24.0</v>
      </c>
      <c r="Z1944" s="58" t="s">
        <v>239</v>
      </c>
      <c r="CH1944" s="58" t="s">
        <v>17692</v>
      </c>
      <c r="CI1944" s="73">
        <v>44886.0</v>
      </c>
      <c r="CJ1944" s="58">
        <v>2329.0</v>
      </c>
      <c r="CK1944" s="58">
        <v>2365.0</v>
      </c>
      <c r="CL1944" s="58" t="s">
        <v>17693</v>
      </c>
      <c r="CO1944" s="58" t="s">
        <v>17694</v>
      </c>
      <c r="CP1944" s="58" t="s">
        <v>17695</v>
      </c>
      <c r="CR1944" s="58">
        <v>36.0</v>
      </c>
      <c r="CT1944" s="58">
        <v>171.0</v>
      </c>
      <c r="CU1944" s="58" t="s">
        <v>239</v>
      </c>
      <c r="DL1944" s="58" t="s">
        <v>17696</v>
      </c>
    </row>
    <row r="1945" ht="15.75" customHeight="1">
      <c r="B1945" s="58" t="s">
        <v>16392</v>
      </c>
      <c r="C1945" s="58">
        <v>2022.0</v>
      </c>
      <c r="D1945" s="58" t="s">
        <v>17697</v>
      </c>
      <c r="E1945" s="58" t="s">
        <v>17698</v>
      </c>
      <c r="F1945" s="58" t="s">
        <v>17040</v>
      </c>
      <c r="H1945" s="58" t="s">
        <v>17041</v>
      </c>
      <c r="I1945" s="58" t="s">
        <v>17699</v>
      </c>
      <c r="K1945" s="73">
        <v>44512.0</v>
      </c>
      <c r="Q1945" s="58">
        <v>1.0</v>
      </c>
      <c r="R1945" s="58">
        <v>6.0</v>
      </c>
      <c r="Z1945" s="58" t="s">
        <v>239</v>
      </c>
      <c r="CH1945" s="58" t="s">
        <v>17700</v>
      </c>
      <c r="CI1945" s="73">
        <v>44608.0</v>
      </c>
      <c r="CJ1945" s="58">
        <v>571.0</v>
      </c>
      <c r="CK1945" s="58">
        <v>582.0</v>
      </c>
      <c r="CL1945" s="58" t="s">
        <v>17701</v>
      </c>
      <c r="CO1945" s="58" t="s">
        <v>17702</v>
      </c>
      <c r="CP1945" s="58" t="s">
        <v>17703</v>
      </c>
      <c r="CR1945" s="58">
        <v>36.0</v>
      </c>
      <c r="CT1945" s="58">
        <v>41.0</v>
      </c>
      <c r="CU1945" s="58" t="s">
        <v>239</v>
      </c>
      <c r="DL1945" s="58" t="s">
        <v>17704</v>
      </c>
    </row>
    <row r="1946" ht="15.75" customHeight="1">
      <c r="B1946" s="58" t="s">
        <v>16392</v>
      </c>
      <c r="C1946" s="58">
        <v>2023.0</v>
      </c>
      <c r="D1946" s="58" t="s">
        <v>17705</v>
      </c>
      <c r="E1946" s="58" t="s">
        <v>17706</v>
      </c>
      <c r="F1946" s="58" t="s">
        <v>16395</v>
      </c>
      <c r="H1946" s="58" t="s">
        <v>16396</v>
      </c>
      <c r="I1946" s="58" t="s">
        <v>17707</v>
      </c>
      <c r="K1946" s="73">
        <v>45191.0</v>
      </c>
      <c r="Q1946" s="58">
        <v>4.0</v>
      </c>
      <c r="R1946" s="58">
        <v>25.0</v>
      </c>
      <c r="Z1946" s="58" t="s">
        <v>239</v>
      </c>
      <c r="CH1946" s="58" t="s">
        <v>17708</v>
      </c>
      <c r="CI1946" s="73">
        <v>45251.0</v>
      </c>
      <c r="CJ1946" s="58">
        <v>2892.0</v>
      </c>
      <c r="CK1946" s="58">
        <v>2950.0</v>
      </c>
      <c r="CL1946" s="58" t="s">
        <v>17709</v>
      </c>
      <c r="CN1946" s="58" t="s">
        <v>17710</v>
      </c>
      <c r="CO1946" s="58" t="s">
        <v>17711</v>
      </c>
      <c r="CP1946" s="58" t="s">
        <v>17712</v>
      </c>
      <c r="CR1946" s="58">
        <v>36.0</v>
      </c>
      <c r="CT1946" s="58">
        <v>312.0</v>
      </c>
      <c r="CU1946" s="58" t="s">
        <v>239</v>
      </c>
      <c r="DL1946" s="58" t="s">
        <v>17713</v>
      </c>
    </row>
    <row r="1947" ht="15.75" customHeight="1">
      <c r="B1947" s="58" t="s">
        <v>16392</v>
      </c>
      <c r="C1947" s="58">
        <v>2022.0</v>
      </c>
      <c r="D1947" s="58" t="s">
        <v>17714</v>
      </c>
      <c r="E1947" s="58" t="s">
        <v>17715</v>
      </c>
      <c r="F1947" s="58" t="s">
        <v>16436</v>
      </c>
      <c r="H1947" s="58" t="s">
        <v>16437</v>
      </c>
      <c r="I1947" s="58" t="s">
        <v>17716</v>
      </c>
      <c r="K1947" s="73">
        <v>44644.0</v>
      </c>
      <c r="R1947" s="58">
        <v>10.0</v>
      </c>
      <c r="Z1947" s="58" t="s">
        <v>239</v>
      </c>
      <c r="CH1947" s="58" t="s">
        <v>17717</v>
      </c>
      <c r="CI1947" s="73">
        <v>44652.0</v>
      </c>
      <c r="CJ1947" s="58">
        <v>33909.0</v>
      </c>
      <c r="CK1947" s="58">
        <v>33931.0</v>
      </c>
      <c r="CL1947" s="58" t="s">
        <v>17718</v>
      </c>
      <c r="CN1947" s="58" t="s">
        <v>17719</v>
      </c>
      <c r="CO1947" s="58" t="s">
        <v>17720</v>
      </c>
      <c r="CP1947" s="58" t="s">
        <v>17721</v>
      </c>
      <c r="CR1947" s="58">
        <v>35.0</v>
      </c>
      <c r="CT1947" s="58">
        <v>110.0</v>
      </c>
      <c r="CU1947" s="58" t="s">
        <v>16423</v>
      </c>
      <c r="DL1947" s="58" t="s">
        <v>17722</v>
      </c>
    </row>
    <row r="1948" ht="15.75" customHeight="1">
      <c r="B1948" s="58" t="s">
        <v>16392</v>
      </c>
      <c r="C1948" s="58">
        <v>2020.0</v>
      </c>
      <c r="D1948" s="58" t="s">
        <v>17723</v>
      </c>
      <c r="E1948" s="58" t="s">
        <v>17724</v>
      </c>
      <c r="F1948" s="58" t="s">
        <v>16436</v>
      </c>
      <c r="H1948" s="58" t="s">
        <v>16437</v>
      </c>
      <c r="I1948" s="58" t="s">
        <v>17725</v>
      </c>
      <c r="K1948" s="73">
        <v>44145.0</v>
      </c>
      <c r="R1948" s="58">
        <v>8.0</v>
      </c>
      <c r="Z1948" s="58" t="s">
        <v>239</v>
      </c>
      <c r="CH1948" s="58" t="s">
        <v>17726</v>
      </c>
      <c r="CI1948" s="73">
        <v>44153.0</v>
      </c>
      <c r="CJ1948" s="58">
        <v>205340.0</v>
      </c>
      <c r="CK1948" s="58">
        <v>205373.0</v>
      </c>
      <c r="CL1948" s="58" t="s">
        <v>17727</v>
      </c>
      <c r="CN1948" s="58" t="s">
        <v>17728</v>
      </c>
      <c r="CO1948" s="58" t="s">
        <v>17729</v>
      </c>
      <c r="CP1948" s="58" t="s">
        <v>17730</v>
      </c>
      <c r="CR1948" s="58">
        <v>35.0</v>
      </c>
      <c r="CT1948" s="58">
        <v>193.0</v>
      </c>
      <c r="CU1948" s="58" t="s">
        <v>16727</v>
      </c>
      <c r="DL1948" s="58" t="s">
        <v>17731</v>
      </c>
    </row>
    <row r="1949" ht="15.75" customHeight="1">
      <c r="B1949" s="58" t="s">
        <v>16392</v>
      </c>
      <c r="C1949" s="58">
        <v>2023.0</v>
      </c>
      <c r="D1949" s="58" t="s">
        <v>17732</v>
      </c>
      <c r="E1949" s="58" t="s">
        <v>17733</v>
      </c>
      <c r="F1949" s="58" t="s">
        <v>17654</v>
      </c>
      <c r="H1949" s="58" t="s">
        <v>17655</v>
      </c>
      <c r="I1949" s="58" t="s">
        <v>17734</v>
      </c>
      <c r="K1949" s="73">
        <v>45063.0</v>
      </c>
      <c r="Q1949" s="58">
        <v>9.0</v>
      </c>
      <c r="R1949" s="58">
        <v>24.0</v>
      </c>
      <c r="Z1949" s="58" t="s">
        <v>239</v>
      </c>
      <c r="CH1949" s="58" t="s">
        <v>17735</v>
      </c>
      <c r="CI1949" s="73">
        <v>45168.0</v>
      </c>
      <c r="CJ1949" s="58">
        <v>10012.0</v>
      </c>
      <c r="CK1949" s="58">
        <v>10026.0</v>
      </c>
      <c r="CL1949" s="58" t="s">
        <v>17736</v>
      </c>
      <c r="CN1949" s="58" t="s">
        <v>17737</v>
      </c>
      <c r="CO1949" s="58" t="s">
        <v>17738</v>
      </c>
      <c r="CP1949" s="58" t="s">
        <v>17739</v>
      </c>
      <c r="CR1949" s="58">
        <v>35.0</v>
      </c>
      <c r="CT1949" s="58">
        <v>25.0</v>
      </c>
      <c r="CU1949" s="58" t="s">
        <v>239</v>
      </c>
      <c r="DL1949" s="58" t="s">
        <v>17740</v>
      </c>
    </row>
    <row r="1950" ht="15.75" customHeight="1">
      <c r="B1950" s="58" t="s">
        <v>16392</v>
      </c>
      <c r="C1950" s="58">
        <v>2020.0</v>
      </c>
      <c r="D1950" s="58" t="s">
        <v>17741</v>
      </c>
      <c r="E1950" s="58" t="s">
        <v>17742</v>
      </c>
      <c r="F1950" s="58" t="s">
        <v>16436</v>
      </c>
      <c r="H1950" s="58" t="s">
        <v>16437</v>
      </c>
      <c r="I1950" s="58" t="s">
        <v>17743</v>
      </c>
      <c r="K1950" s="73">
        <v>44154.0</v>
      </c>
      <c r="R1950" s="58">
        <v>8.0</v>
      </c>
      <c r="Z1950" s="58" t="s">
        <v>239</v>
      </c>
      <c r="CH1950" s="58" t="s">
        <v>17744</v>
      </c>
      <c r="CI1950" s="73">
        <v>44168.0</v>
      </c>
      <c r="CJ1950" s="58">
        <v>211973.0</v>
      </c>
      <c r="CK1950" s="58">
        <v>211985.0</v>
      </c>
      <c r="CL1950" s="58" t="s">
        <v>17745</v>
      </c>
      <c r="CN1950" s="58" t="s">
        <v>17746</v>
      </c>
      <c r="CO1950" s="58" t="s">
        <v>17747</v>
      </c>
      <c r="CP1950" s="58" t="s">
        <v>17748</v>
      </c>
      <c r="CR1950" s="58">
        <v>35.0</v>
      </c>
      <c r="CT1950" s="58">
        <v>60.0</v>
      </c>
      <c r="CU1950" s="58" t="s">
        <v>16423</v>
      </c>
      <c r="DL1950" s="58" t="s">
        <v>17749</v>
      </c>
    </row>
    <row r="1951" ht="15.75" customHeight="1">
      <c r="B1951" s="58" t="s">
        <v>16392</v>
      </c>
      <c r="C1951" s="58">
        <v>2019.0</v>
      </c>
      <c r="D1951" s="58" t="s">
        <v>17750</v>
      </c>
      <c r="E1951" s="58" t="s">
        <v>17751</v>
      </c>
      <c r="F1951" s="58" t="s">
        <v>16538</v>
      </c>
      <c r="H1951" s="58" t="s">
        <v>16539</v>
      </c>
      <c r="I1951" s="58" t="s">
        <v>17752</v>
      </c>
      <c r="K1951" s="73">
        <v>43315.0</v>
      </c>
      <c r="Q1951" s="58">
        <v>1.0</v>
      </c>
      <c r="R1951" s="58">
        <v>6.0</v>
      </c>
      <c r="Z1951" s="58" t="s">
        <v>239</v>
      </c>
      <c r="CH1951" s="58" t="s">
        <v>17753</v>
      </c>
      <c r="CI1951" s="73">
        <v>43520.0</v>
      </c>
      <c r="CJ1951" s="58">
        <v>472.0</v>
      </c>
      <c r="CK1951" s="58">
        <v>487.0</v>
      </c>
      <c r="CL1951" s="58" t="s">
        <v>17754</v>
      </c>
      <c r="CN1951" s="58" t="s">
        <v>17563</v>
      </c>
      <c r="CO1951" s="58" t="s">
        <v>17755</v>
      </c>
      <c r="CP1951" s="58" t="s">
        <v>17756</v>
      </c>
      <c r="CR1951" s="58">
        <v>34.0</v>
      </c>
      <c r="CT1951" s="58">
        <v>130.0</v>
      </c>
      <c r="CU1951" s="58" t="s">
        <v>239</v>
      </c>
      <c r="DL1951" s="58" t="s">
        <v>17757</v>
      </c>
    </row>
    <row r="1952" ht="15.75" customHeight="1">
      <c r="B1952" s="58" t="s">
        <v>16392</v>
      </c>
      <c r="C1952" s="58">
        <v>2022.0</v>
      </c>
      <c r="D1952" s="58" t="s">
        <v>17758</v>
      </c>
      <c r="E1952" s="58" t="s">
        <v>17759</v>
      </c>
      <c r="F1952" s="58" t="s">
        <v>16436</v>
      </c>
      <c r="H1952" s="58" t="s">
        <v>16437</v>
      </c>
      <c r="I1952" s="58" t="s">
        <v>17760</v>
      </c>
      <c r="K1952" s="73">
        <v>44721.0</v>
      </c>
      <c r="R1952" s="58">
        <v>10.0</v>
      </c>
      <c r="Z1952" s="58" t="s">
        <v>239</v>
      </c>
      <c r="CH1952" s="58" t="s">
        <v>17761</v>
      </c>
      <c r="CI1952" s="73">
        <v>44732.0</v>
      </c>
      <c r="CJ1952" s="58">
        <v>63606.0</v>
      </c>
      <c r="CK1952" s="58">
        <v>63618.0</v>
      </c>
      <c r="CL1952" s="58" t="s">
        <v>17762</v>
      </c>
      <c r="CO1952" s="58" t="s">
        <v>17763</v>
      </c>
      <c r="CP1952" s="58" t="s">
        <v>17764</v>
      </c>
      <c r="CR1952" s="58">
        <v>34.0</v>
      </c>
      <c r="CT1952" s="58">
        <v>98.0</v>
      </c>
      <c r="CU1952" s="58" t="s">
        <v>16423</v>
      </c>
      <c r="DL1952" s="58" t="s">
        <v>17765</v>
      </c>
    </row>
    <row r="1953" ht="15.75" customHeight="1">
      <c r="B1953" s="58" t="s">
        <v>16392</v>
      </c>
      <c r="C1953" s="58">
        <v>2019.0</v>
      </c>
      <c r="D1953" s="58" t="s">
        <v>17766</v>
      </c>
      <c r="E1953" s="58" t="s">
        <v>17767</v>
      </c>
      <c r="F1953" s="58" t="s">
        <v>16436</v>
      </c>
      <c r="H1953" s="58" t="s">
        <v>16437</v>
      </c>
      <c r="I1953" s="58" t="s">
        <v>17768</v>
      </c>
      <c r="K1953" s="73">
        <v>43698.0</v>
      </c>
      <c r="R1953" s="58">
        <v>7.0</v>
      </c>
      <c r="Z1953" s="58" t="s">
        <v>239</v>
      </c>
      <c r="CH1953" s="58" t="s">
        <v>17769</v>
      </c>
      <c r="CI1953" s="73">
        <v>43710.0</v>
      </c>
      <c r="CJ1953" s="58">
        <v>119856.0</v>
      </c>
      <c r="CK1953" s="58">
        <v>119872.0</v>
      </c>
      <c r="CL1953" s="58" t="s">
        <v>17770</v>
      </c>
      <c r="CN1953" s="58" t="s">
        <v>17771</v>
      </c>
      <c r="CO1953" s="58" t="s">
        <v>17772</v>
      </c>
      <c r="CP1953" s="58" t="s">
        <v>17773</v>
      </c>
      <c r="CR1953" s="58">
        <v>34.0</v>
      </c>
      <c r="CT1953" s="58">
        <v>49.0</v>
      </c>
      <c r="CU1953" s="58" t="s">
        <v>16423</v>
      </c>
      <c r="DL1953" s="58" t="s">
        <v>17774</v>
      </c>
    </row>
    <row r="1954" ht="15.75" customHeight="1">
      <c r="B1954" s="58" t="s">
        <v>16392</v>
      </c>
      <c r="C1954" s="58">
        <v>2022.0</v>
      </c>
      <c r="D1954" s="58" t="s">
        <v>17775</v>
      </c>
      <c r="E1954" s="58" t="s">
        <v>17776</v>
      </c>
      <c r="F1954" s="58" t="s">
        <v>17164</v>
      </c>
      <c r="H1954" s="58" t="s">
        <v>17165</v>
      </c>
      <c r="I1954" s="58" t="s">
        <v>17777</v>
      </c>
      <c r="K1954" s="73">
        <v>44603.0</v>
      </c>
      <c r="Q1954" s="58">
        <v>11.0</v>
      </c>
      <c r="R1954" s="58">
        <v>33.0</v>
      </c>
      <c r="Z1954" s="58" t="s">
        <v>239</v>
      </c>
      <c r="CH1954" s="58" t="s">
        <v>17778</v>
      </c>
      <c r="CI1954" s="73">
        <v>44706.0</v>
      </c>
      <c r="CJ1954" s="58">
        <v>2968.0</v>
      </c>
      <c r="CK1954" s="58">
        <v>2978.0</v>
      </c>
      <c r="CL1954" s="58" t="s">
        <v>17779</v>
      </c>
      <c r="CN1954" s="58" t="s">
        <v>17780</v>
      </c>
      <c r="CO1954" s="58" t="s">
        <v>17781</v>
      </c>
      <c r="CP1954" s="58" t="s">
        <v>17782</v>
      </c>
      <c r="CR1954" s="58">
        <v>34.0</v>
      </c>
      <c r="CT1954" s="58">
        <v>49.0</v>
      </c>
      <c r="CU1954" s="58" t="s">
        <v>239</v>
      </c>
      <c r="DL1954" s="58" t="s">
        <v>17783</v>
      </c>
    </row>
    <row r="1955" ht="15.75" customHeight="1">
      <c r="B1955" s="58" t="s">
        <v>16392</v>
      </c>
      <c r="C1955" s="58">
        <v>2018.0</v>
      </c>
      <c r="D1955" s="58" t="s">
        <v>17784</v>
      </c>
      <c r="E1955" s="58" t="s">
        <v>17785</v>
      </c>
      <c r="F1955" s="58" t="s">
        <v>16436</v>
      </c>
      <c r="H1955" s="58" t="s">
        <v>16437</v>
      </c>
      <c r="I1955" s="58" t="s">
        <v>17786</v>
      </c>
      <c r="K1955" s="73">
        <v>43235.0</v>
      </c>
      <c r="R1955" s="58">
        <v>6.0</v>
      </c>
      <c r="Z1955" s="58" t="s">
        <v>239</v>
      </c>
      <c r="CH1955" s="58" t="s">
        <v>17787</v>
      </c>
      <c r="CI1955" s="73">
        <v>43256.0</v>
      </c>
      <c r="CJ1955" s="58">
        <v>26809.0</v>
      </c>
      <c r="CK1955" s="58">
        <v>26819.0</v>
      </c>
      <c r="CL1955" s="58" t="s">
        <v>17788</v>
      </c>
      <c r="CN1955" s="58" t="s">
        <v>17789</v>
      </c>
      <c r="CO1955" s="58" t="s">
        <v>17790</v>
      </c>
      <c r="CP1955" s="58" t="s">
        <v>17791</v>
      </c>
      <c r="CR1955" s="58">
        <v>34.0</v>
      </c>
      <c r="CT1955" s="58">
        <v>29.0</v>
      </c>
      <c r="CU1955" s="58" t="s">
        <v>16444</v>
      </c>
      <c r="DL1955" s="58" t="s">
        <v>17792</v>
      </c>
    </row>
    <row r="1956" ht="15.75" customHeight="1">
      <c r="B1956" s="58" t="s">
        <v>16392</v>
      </c>
      <c r="C1956" s="58">
        <v>2021.0</v>
      </c>
      <c r="D1956" s="58" t="s">
        <v>17793</v>
      </c>
      <c r="E1956" s="58" t="s">
        <v>17794</v>
      </c>
      <c r="F1956" s="58" t="s">
        <v>16959</v>
      </c>
      <c r="H1956" s="58" t="s">
        <v>16960</v>
      </c>
      <c r="I1956" s="58" t="s">
        <v>17795</v>
      </c>
      <c r="K1956" s="73">
        <v>44243.0</v>
      </c>
      <c r="Q1956" s="58">
        <v>3.0</v>
      </c>
      <c r="R1956" s="58">
        <v>18.0</v>
      </c>
      <c r="Z1956" s="58" t="s">
        <v>239</v>
      </c>
      <c r="CH1956" s="58" t="s">
        <v>17796</v>
      </c>
      <c r="CI1956" s="73">
        <v>44447.0</v>
      </c>
      <c r="CJ1956" s="58">
        <v>3595.0</v>
      </c>
      <c r="CK1956" s="58">
        <v>3618.0</v>
      </c>
      <c r="CL1956" s="58" t="s">
        <v>17797</v>
      </c>
      <c r="CN1956" s="58" t="s">
        <v>17798</v>
      </c>
      <c r="CO1956" s="58" t="s">
        <v>17799</v>
      </c>
      <c r="CP1956" s="58" t="s">
        <v>17800</v>
      </c>
      <c r="CR1956" s="58">
        <v>33.0</v>
      </c>
      <c r="CT1956" s="58">
        <v>88.0</v>
      </c>
      <c r="CU1956" s="58" t="s">
        <v>239</v>
      </c>
      <c r="DL1956" s="58" t="s">
        <v>17801</v>
      </c>
    </row>
    <row r="1957" ht="15.75" customHeight="1">
      <c r="B1957" s="58" t="s">
        <v>16392</v>
      </c>
      <c r="C1957" s="58">
        <v>2024.0</v>
      </c>
      <c r="D1957" s="58" t="s">
        <v>17802</v>
      </c>
      <c r="E1957" s="58" t="s">
        <v>17803</v>
      </c>
      <c r="F1957" s="58" t="s">
        <v>16493</v>
      </c>
      <c r="H1957" s="58" t="s">
        <v>16494</v>
      </c>
      <c r="I1957" s="58" t="s">
        <v>17804</v>
      </c>
      <c r="K1957" s="73">
        <v>45320.0</v>
      </c>
      <c r="R1957" s="58">
        <v>5.0</v>
      </c>
      <c r="Z1957" s="58" t="s">
        <v>239</v>
      </c>
      <c r="CH1957" s="58" t="s">
        <v>17805</v>
      </c>
      <c r="CI1957" s="73">
        <v>45320.0</v>
      </c>
      <c r="CJ1957" s="58">
        <v>730.0</v>
      </c>
      <c r="CK1957" s="58">
        <v>778.0</v>
      </c>
      <c r="CL1957" s="58" t="s">
        <v>17806</v>
      </c>
      <c r="CN1957" s="58" t="s">
        <v>17807</v>
      </c>
      <c r="CO1957" s="58" t="s">
        <v>17808</v>
      </c>
      <c r="CP1957" s="58" t="s">
        <v>17809</v>
      </c>
      <c r="CR1957" s="58">
        <v>33.0</v>
      </c>
      <c r="CT1957" s="58">
        <v>307.0</v>
      </c>
      <c r="CU1957" s="58" t="s">
        <v>16727</v>
      </c>
      <c r="DL1957" s="58" t="s">
        <v>17810</v>
      </c>
    </row>
    <row r="1958" ht="15.75" customHeight="1">
      <c r="B1958" s="58" t="s">
        <v>16392</v>
      </c>
      <c r="C1958" s="58">
        <v>2022.0</v>
      </c>
      <c r="D1958" s="58" t="s">
        <v>17811</v>
      </c>
      <c r="E1958" s="58" t="s">
        <v>17812</v>
      </c>
      <c r="F1958" s="58" t="s">
        <v>17438</v>
      </c>
      <c r="H1958" s="58" t="s">
        <v>17439</v>
      </c>
      <c r="I1958" s="58" t="s">
        <v>17813</v>
      </c>
      <c r="K1958" s="73">
        <v>44098.0</v>
      </c>
      <c r="Q1958" s="58">
        <v>3.0</v>
      </c>
      <c r="R1958" s="58">
        <v>10.0</v>
      </c>
      <c r="Z1958" s="58" t="s">
        <v>239</v>
      </c>
      <c r="CH1958" s="58" t="s">
        <v>17814</v>
      </c>
      <c r="CI1958" s="73">
        <v>44806.0</v>
      </c>
      <c r="CJ1958" s="58">
        <v>1500.0</v>
      </c>
      <c r="CK1958" s="58">
        <v>1514.0</v>
      </c>
      <c r="CL1958" s="58" t="s">
        <v>17815</v>
      </c>
      <c r="CN1958" s="58" t="s">
        <v>17816</v>
      </c>
      <c r="CO1958" s="58" t="s">
        <v>17817</v>
      </c>
      <c r="CP1958" s="58" t="s">
        <v>17818</v>
      </c>
      <c r="CR1958" s="58">
        <v>33.0</v>
      </c>
      <c r="CT1958" s="58">
        <v>62.0</v>
      </c>
      <c r="CU1958" s="58" t="s">
        <v>239</v>
      </c>
      <c r="DL1958" s="58" t="s">
        <v>17819</v>
      </c>
    </row>
    <row r="1959" ht="15.75" customHeight="1">
      <c r="B1959" s="58" t="s">
        <v>16392</v>
      </c>
      <c r="C1959" s="58">
        <v>2023.0</v>
      </c>
      <c r="D1959" s="58" t="s">
        <v>17820</v>
      </c>
      <c r="E1959" s="58" t="s">
        <v>17821</v>
      </c>
      <c r="F1959" s="58" t="s">
        <v>16538</v>
      </c>
      <c r="H1959" s="58" t="s">
        <v>16539</v>
      </c>
      <c r="I1959" s="58" t="s">
        <v>17822</v>
      </c>
      <c r="K1959" s="73">
        <v>44973.0</v>
      </c>
      <c r="Q1959" s="58">
        <v>16.0</v>
      </c>
      <c r="R1959" s="58">
        <v>10.0</v>
      </c>
      <c r="Z1959" s="58" t="s">
        <v>239</v>
      </c>
      <c r="CH1959" s="58" t="s">
        <v>17823</v>
      </c>
      <c r="CI1959" s="73">
        <v>45145.0</v>
      </c>
      <c r="CJ1959" s="58">
        <v>14307.0</v>
      </c>
      <c r="CK1959" s="58">
        <v>14331.0</v>
      </c>
      <c r="CL1959" s="58" t="s">
        <v>17824</v>
      </c>
      <c r="CN1959" s="58" t="s">
        <v>17825</v>
      </c>
      <c r="CO1959" s="58" t="s">
        <v>17826</v>
      </c>
      <c r="CP1959" s="58" t="s">
        <v>17827</v>
      </c>
      <c r="CR1959" s="58">
        <v>32.0</v>
      </c>
      <c r="CT1959" s="58">
        <v>204.0</v>
      </c>
      <c r="CU1959" s="58" t="s">
        <v>239</v>
      </c>
      <c r="DL1959" s="58" t="s">
        <v>17828</v>
      </c>
    </row>
    <row r="1960" ht="15.75" customHeight="1">
      <c r="B1960" s="58" t="s">
        <v>16392</v>
      </c>
      <c r="C1960" s="58">
        <v>2023.0</v>
      </c>
      <c r="D1960" s="58" t="s">
        <v>17829</v>
      </c>
      <c r="E1960" s="58" t="s">
        <v>17830</v>
      </c>
      <c r="F1960" s="58" t="s">
        <v>16493</v>
      </c>
      <c r="H1960" s="58" t="s">
        <v>16494</v>
      </c>
      <c r="I1960" s="58" t="s">
        <v>17831</v>
      </c>
      <c r="K1960" s="73">
        <v>45005.0</v>
      </c>
      <c r="R1960" s="58">
        <v>4.0</v>
      </c>
      <c r="Z1960" s="58" t="s">
        <v>239</v>
      </c>
      <c r="CH1960" s="58" t="s">
        <v>17832</v>
      </c>
      <c r="CI1960" s="73">
        <v>45013.0</v>
      </c>
      <c r="CJ1960" s="58">
        <v>768.0</v>
      </c>
      <c r="CK1960" s="58">
        <v>797.0</v>
      </c>
      <c r="CL1960" s="58" t="s">
        <v>17833</v>
      </c>
      <c r="CN1960" s="58" t="s">
        <v>17834</v>
      </c>
      <c r="CO1960" s="58" t="s">
        <v>17835</v>
      </c>
      <c r="CP1960" s="58" t="s">
        <v>17836</v>
      </c>
      <c r="CR1960" s="58">
        <v>32.0</v>
      </c>
      <c r="CT1960" s="58">
        <v>196.0</v>
      </c>
      <c r="CU1960" s="58" t="s">
        <v>16423</v>
      </c>
      <c r="DL1960" s="58" t="s">
        <v>17837</v>
      </c>
    </row>
    <row r="1961" ht="15.75" customHeight="1">
      <c r="B1961" s="58" t="s">
        <v>16392</v>
      </c>
      <c r="C1961" s="58">
        <v>2021.0</v>
      </c>
      <c r="D1961" s="58" t="s">
        <v>17838</v>
      </c>
      <c r="E1961" s="58" t="s">
        <v>17839</v>
      </c>
      <c r="F1961" s="58" t="s">
        <v>17164</v>
      </c>
      <c r="H1961" s="58" t="s">
        <v>17165</v>
      </c>
      <c r="I1961" s="58" t="s">
        <v>17840</v>
      </c>
      <c r="K1961" s="73">
        <v>44047.0</v>
      </c>
      <c r="Q1961" s="58">
        <v>1.0</v>
      </c>
      <c r="R1961" s="58">
        <v>32.0</v>
      </c>
      <c r="Z1961" s="58" t="s">
        <v>239</v>
      </c>
      <c r="CH1961" s="58" t="s">
        <v>17841</v>
      </c>
      <c r="CI1961" s="73">
        <v>44061.0</v>
      </c>
      <c r="CJ1961" s="58">
        <v>184.0</v>
      </c>
      <c r="CK1961" s="58">
        <v>198.0</v>
      </c>
      <c r="CL1961" s="58" t="s">
        <v>17842</v>
      </c>
      <c r="CN1961" s="58" t="s">
        <v>17843</v>
      </c>
      <c r="CO1961" s="58" t="s">
        <v>17844</v>
      </c>
      <c r="CP1961" s="58" t="s">
        <v>17845</v>
      </c>
      <c r="CR1961" s="58">
        <v>32.0</v>
      </c>
      <c r="CT1961" s="58">
        <v>88.0</v>
      </c>
      <c r="CU1961" s="58" t="s">
        <v>239</v>
      </c>
      <c r="DL1961" s="58" t="s">
        <v>17846</v>
      </c>
    </row>
    <row r="1962" ht="15.75" customHeight="1">
      <c r="B1962" s="58" t="s">
        <v>16392</v>
      </c>
      <c r="C1962" s="58">
        <v>2021.0</v>
      </c>
      <c r="D1962" s="58" t="s">
        <v>17847</v>
      </c>
      <c r="E1962" s="58" t="s">
        <v>17848</v>
      </c>
      <c r="F1962" s="58" t="s">
        <v>16538</v>
      </c>
      <c r="H1962" s="58" t="s">
        <v>16539</v>
      </c>
      <c r="I1962" s="58" t="s">
        <v>17849</v>
      </c>
      <c r="K1962" s="73">
        <v>44004.0</v>
      </c>
      <c r="Q1962" s="58">
        <v>1.0</v>
      </c>
      <c r="R1962" s="58">
        <v>8.0</v>
      </c>
      <c r="Z1962" s="58" t="s">
        <v>239</v>
      </c>
      <c r="CH1962" s="58" t="s">
        <v>17850</v>
      </c>
      <c r="CI1962" s="73">
        <v>44187.0</v>
      </c>
      <c r="CJ1962" s="58">
        <v>309.0</v>
      </c>
      <c r="CK1962" s="58">
        <v>319.0</v>
      </c>
      <c r="CL1962" s="58" t="s">
        <v>17851</v>
      </c>
      <c r="CN1962" s="58" t="s">
        <v>17852</v>
      </c>
      <c r="CO1962" s="58" t="s">
        <v>17853</v>
      </c>
      <c r="CP1962" s="58" t="s">
        <v>17854</v>
      </c>
      <c r="CR1962" s="58">
        <v>32.0</v>
      </c>
      <c r="CT1962" s="58">
        <v>32.0</v>
      </c>
      <c r="CU1962" s="58" t="s">
        <v>239</v>
      </c>
      <c r="DL1962" s="58" t="s">
        <v>17855</v>
      </c>
    </row>
    <row r="1963" ht="15.75" customHeight="1">
      <c r="B1963" s="58" t="s">
        <v>16392</v>
      </c>
      <c r="C1963" s="58">
        <v>2021.0</v>
      </c>
      <c r="D1963" s="58" t="s">
        <v>17856</v>
      </c>
      <c r="E1963" s="58" t="s">
        <v>17857</v>
      </c>
      <c r="F1963" s="58" t="s">
        <v>17858</v>
      </c>
      <c r="H1963" s="58" t="s">
        <v>17859</v>
      </c>
      <c r="I1963" s="58" t="s">
        <v>17860</v>
      </c>
      <c r="K1963" s="73">
        <v>44039.0</v>
      </c>
      <c r="Q1963" s="58">
        <v>3.0</v>
      </c>
      <c r="R1963" s="58">
        <v>68.0</v>
      </c>
      <c r="Z1963" s="58" t="s">
        <v>239</v>
      </c>
      <c r="CH1963" s="58" t="s">
        <v>17861</v>
      </c>
      <c r="CI1963" s="73">
        <v>44306.0</v>
      </c>
      <c r="CJ1963" s="58">
        <v>899.0</v>
      </c>
      <c r="CK1963" s="58">
        <v>908.0</v>
      </c>
      <c r="CL1963" s="58" t="s">
        <v>17862</v>
      </c>
      <c r="CN1963" s="58" t="s">
        <v>17863</v>
      </c>
      <c r="CO1963" s="58" t="s">
        <v>17864</v>
      </c>
      <c r="CP1963" s="58" t="s">
        <v>17865</v>
      </c>
      <c r="CR1963" s="58">
        <v>32.0</v>
      </c>
      <c r="CT1963" s="58">
        <v>39.0</v>
      </c>
      <c r="CU1963" s="58" t="s">
        <v>239</v>
      </c>
      <c r="DL1963" s="58" t="s">
        <v>17866</v>
      </c>
    </row>
    <row r="1964" ht="15.75" customHeight="1">
      <c r="B1964" s="58" t="s">
        <v>16392</v>
      </c>
      <c r="C1964" s="58">
        <v>2023.0</v>
      </c>
      <c r="D1964" s="58" t="s">
        <v>17867</v>
      </c>
      <c r="E1964" s="58" t="s">
        <v>17868</v>
      </c>
      <c r="F1964" s="58" t="s">
        <v>16538</v>
      </c>
      <c r="H1964" s="58" t="s">
        <v>16539</v>
      </c>
      <c r="I1964" s="58" t="s">
        <v>17869</v>
      </c>
      <c r="K1964" s="73">
        <v>45012.0</v>
      </c>
      <c r="Q1964" s="58">
        <v>15.0</v>
      </c>
      <c r="R1964" s="58">
        <v>10.0</v>
      </c>
      <c r="Z1964" s="58" t="s">
        <v>239</v>
      </c>
      <c r="CH1964" s="58" t="s">
        <v>17870</v>
      </c>
      <c r="CI1964" s="73">
        <v>45132.0</v>
      </c>
      <c r="CJ1964" s="58">
        <v>13235.0</v>
      </c>
      <c r="CK1964" s="58">
        <v>13246.0</v>
      </c>
      <c r="CL1964" s="58" t="s">
        <v>17871</v>
      </c>
      <c r="CN1964" s="58" t="s">
        <v>17872</v>
      </c>
      <c r="CO1964" s="58" t="s">
        <v>17873</v>
      </c>
      <c r="CP1964" s="58" t="s">
        <v>17874</v>
      </c>
      <c r="CR1964" s="58">
        <v>31.0</v>
      </c>
      <c r="CT1964" s="58">
        <v>44.0</v>
      </c>
      <c r="CU1964" s="58" t="s">
        <v>239</v>
      </c>
      <c r="DL1964" s="58" t="s">
        <v>17875</v>
      </c>
    </row>
    <row r="1965" ht="15.75" customHeight="1">
      <c r="B1965" s="58" t="s">
        <v>16392</v>
      </c>
      <c r="C1965" s="58">
        <v>2020.0</v>
      </c>
      <c r="D1965" s="58" t="s">
        <v>17876</v>
      </c>
      <c r="E1965" s="58" t="s">
        <v>17877</v>
      </c>
      <c r="F1965" s="58" t="s">
        <v>16436</v>
      </c>
      <c r="H1965" s="58" t="s">
        <v>16437</v>
      </c>
      <c r="I1965" s="58" t="s">
        <v>17878</v>
      </c>
      <c r="K1965" s="73">
        <v>44011.0</v>
      </c>
      <c r="R1965" s="58">
        <v>8.0</v>
      </c>
      <c r="Z1965" s="58" t="s">
        <v>239</v>
      </c>
      <c r="CH1965" s="58" t="s">
        <v>17879</v>
      </c>
      <c r="CI1965" s="73">
        <v>44019.0</v>
      </c>
      <c r="CJ1965" s="58">
        <v>119697.0</v>
      </c>
      <c r="CK1965" s="58">
        <v>119709.0</v>
      </c>
      <c r="CL1965" s="58" t="s">
        <v>17880</v>
      </c>
      <c r="CN1965" s="58" t="s">
        <v>17881</v>
      </c>
      <c r="CO1965" s="58" t="s">
        <v>17882</v>
      </c>
      <c r="CP1965" s="58" t="s">
        <v>17883</v>
      </c>
      <c r="CR1965" s="58">
        <v>31.0</v>
      </c>
      <c r="CT1965" s="58">
        <v>46.0</v>
      </c>
      <c r="CU1965" s="58" t="s">
        <v>16423</v>
      </c>
      <c r="DL1965" s="58" t="s">
        <v>17884</v>
      </c>
    </row>
    <row r="1966" ht="15.75" customHeight="1">
      <c r="B1966" s="58" t="s">
        <v>16392</v>
      </c>
      <c r="C1966" s="58">
        <v>2017.0</v>
      </c>
      <c r="D1966" s="58" t="s">
        <v>17885</v>
      </c>
      <c r="E1966" s="58" t="s">
        <v>17886</v>
      </c>
      <c r="F1966" s="58" t="s">
        <v>16731</v>
      </c>
      <c r="H1966" s="58" t="s">
        <v>16732</v>
      </c>
      <c r="I1966" s="58" t="s">
        <v>17887</v>
      </c>
      <c r="K1966" s="73">
        <v>42863.0</v>
      </c>
      <c r="Q1966" s="58">
        <v>6.0</v>
      </c>
      <c r="R1966" s="58">
        <v>13.0</v>
      </c>
      <c r="Z1966" s="58" t="s">
        <v>239</v>
      </c>
      <c r="CH1966" s="58" t="s">
        <v>17888</v>
      </c>
      <c r="CI1966" s="73">
        <v>43076.0</v>
      </c>
      <c r="CJ1966" s="58">
        <v>3265.0</v>
      </c>
      <c r="CK1966" s="58">
        <v>3274.0</v>
      </c>
      <c r="CL1966" s="58" t="s">
        <v>17889</v>
      </c>
      <c r="CN1966" s="58" t="s">
        <v>17890</v>
      </c>
      <c r="CO1966" s="58" t="s">
        <v>17891</v>
      </c>
      <c r="CP1966" s="58" t="s">
        <v>17892</v>
      </c>
      <c r="CR1966" s="58">
        <v>31.0</v>
      </c>
      <c r="CT1966" s="58">
        <v>39.0</v>
      </c>
      <c r="CU1966" s="58" t="s">
        <v>239</v>
      </c>
      <c r="DL1966" s="58" t="s">
        <v>17893</v>
      </c>
    </row>
    <row r="1967" ht="15.75" customHeight="1">
      <c r="B1967" s="58" t="s">
        <v>16392</v>
      </c>
      <c r="C1967" s="58">
        <v>2019.0</v>
      </c>
      <c r="D1967" s="58" t="s">
        <v>17894</v>
      </c>
      <c r="E1967" s="58" t="s">
        <v>17895</v>
      </c>
      <c r="F1967" s="58" t="s">
        <v>16436</v>
      </c>
      <c r="H1967" s="58" t="s">
        <v>16437</v>
      </c>
      <c r="I1967" s="58" t="s">
        <v>17896</v>
      </c>
      <c r="K1967" s="73">
        <v>43661.0</v>
      </c>
      <c r="R1967" s="58">
        <v>7.0</v>
      </c>
      <c r="Z1967" s="58" t="s">
        <v>239</v>
      </c>
      <c r="CH1967" s="58" t="s">
        <v>17897</v>
      </c>
      <c r="CI1967" s="73">
        <v>43669.0</v>
      </c>
      <c r="CJ1967" s="58">
        <v>92259.0</v>
      </c>
      <c r="CK1967" s="58">
        <v>92284.0</v>
      </c>
      <c r="CL1967" s="58" t="s">
        <v>17898</v>
      </c>
      <c r="CO1967" s="58" t="s">
        <v>17899</v>
      </c>
      <c r="CP1967" s="58" t="s">
        <v>17900</v>
      </c>
      <c r="CR1967" s="58">
        <v>31.0</v>
      </c>
      <c r="CT1967" s="58">
        <v>74.0</v>
      </c>
      <c r="CU1967" s="58" t="s">
        <v>16423</v>
      </c>
      <c r="DL1967" s="58" t="s">
        <v>17901</v>
      </c>
    </row>
    <row r="1968" ht="15.75" customHeight="1">
      <c r="B1968" s="58" t="s">
        <v>16392</v>
      </c>
      <c r="C1968" s="58">
        <v>2022.0</v>
      </c>
      <c r="D1968" s="58" t="s">
        <v>17902</v>
      </c>
      <c r="E1968" s="58" t="s">
        <v>17903</v>
      </c>
      <c r="F1968" s="58" t="s">
        <v>16538</v>
      </c>
      <c r="H1968" s="58" t="s">
        <v>16539</v>
      </c>
      <c r="I1968" s="58" t="s">
        <v>17904</v>
      </c>
      <c r="K1968" s="73">
        <v>44602.0</v>
      </c>
      <c r="Q1968" s="58">
        <v>17.0</v>
      </c>
      <c r="R1968" s="58">
        <v>9.0</v>
      </c>
      <c r="Z1968" s="58" t="s">
        <v>239</v>
      </c>
      <c r="CH1968" s="58" t="s">
        <v>17905</v>
      </c>
      <c r="CI1968" s="73">
        <v>44797.0</v>
      </c>
      <c r="CJ1968" s="58">
        <v>16402.0</v>
      </c>
      <c r="CK1968" s="58">
        <v>16417.0</v>
      </c>
      <c r="CL1968" s="58" t="s">
        <v>17906</v>
      </c>
      <c r="CN1968" s="58" t="s">
        <v>17907</v>
      </c>
      <c r="CO1968" s="58" t="s">
        <v>17908</v>
      </c>
      <c r="CP1968" s="58" t="s">
        <v>17909</v>
      </c>
      <c r="CR1968" s="58">
        <v>31.0</v>
      </c>
      <c r="CT1968" s="58">
        <v>49.0</v>
      </c>
      <c r="CU1968" s="58" t="s">
        <v>239</v>
      </c>
      <c r="DL1968" s="58" t="s">
        <v>17910</v>
      </c>
    </row>
    <row r="1969" ht="15.75" customHeight="1">
      <c r="B1969" s="58" t="s">
        <v>16392</v>
      </c>
      <c r="C1969" s="58">
        <v>2022.0</v>
      </c>
      <c r="D1969" s="58" t="s">
        <v>17911</v>
      </c>
      <c r="E1969" s="58" t="s">
        <v>17912</v>
      </c>
      <c r="F1969" s="58" t="s">
        <v>16436</v>
      </c>
      <c r="H1969" s="58" t="s">
        <v>16437</v>
      </c>
      <c r="I1969" s="58" t="s">
        <v>17913</v>
      </c>
      <c r="K1969" s="73">
        <v>44728.0</v>
      </c>
      <c r="R1969" s="58">
        <v>10.0</v>
      </c>
      <c r="Z1969" s="58" t="s">
        <v>239</v>
      </c>
      <c r="CH1969" s="58" t="s">
        <v>17914</v>
      </c>
      <c r="CI1969" s="73">
        <v>44755.0</v>
      </c>
      <c r="CJ1969" s="58">
        <v>69264.0</v>
      </c>
      <c r="CK1969" s="58">
        <v>69302.0</v>
      </c>
      <c r="CL1969" s="58" t="s">
        <v>17915</v>
      </c>
      <c r="CN1969" s="58" t="s">
        <v>17916</v>
      </c>
      <c r="CO1969" s="58" t="s">
        <v>17917</v>
      </c>
      <c r="CP1969" s="58" t="s">
        <v>17918</v>
      </c>
      <c r="CR1969" s="58">
        <v>31.0</v>
      </c>
      <c r="CT1969" s="58">
        <v>373.0</v>
      </c>
      <c r="CU1969" s="58" t="s">
        <v>16423</v>
      </c>
      <c r="DL1969" s="58" t="s">
        <v>17919</v>
      </c>
    </row>
    <row r="1970" ht="15.75" customHeight="1">
      <c r="B1970" s="58" t="s">
        <v>16392</v>
      </c>
      <c r="C1970" s="58">
        <v>2024.0</v>
      </c>
      <c r="D1970" s="58" t="s">
        <v>17920</v>
      </c>
      <c r="E1970" s="58" t="s">
        <v>17921</v>
      </c>
      <c r="F1970" s="58" t="s">
        <v>16395</v>
      </c>
      <c r="H1970" s="58" t="s">
        <v>16396</v>
      </c>
      <c r="I1970" s="58" t="s">
        <v>17922</v>
      </c>
      <c r="K1970" s="73">
        <v>45166.0</v>
      </c>
      <c r="Q1970" s="58">
        <v>1.0</v>
      </c>
      <c r="R1970" s="58">
        <v>26.0</v>
      </c>
      <c r="Z1970" s="58" t="s">
        <v>239</v>
      </c>
      <c r="CH1970" s="58" t="s">
        <v>17923</v>
      </c>
      <c r="CI1970" s="73">
        <v>45348.0</v>
      </c>
      <c r="CJ1970" s="58">
        <v>302.0</v>
      </c>
      <c r="CK1970" s="58">
        <v>346.0</v>
      </c>
      <c r="CL1970" s="58" t="s">
        <v>17924</v>
      </c>
      <c r="CN1970" s="58" t="s">
        <v>17925</v>
      </c>
      <c r="CO1970" s="58" t="s">
        <v>17926</v>
      </c>
      <c r="CP1970" s="58" t="s">
        <v>17927</v>
      </c>
      <c r="CR1970" s="58">
        <v>31.0</v>
      </c>
      <c r="CT1970" s="58">
        <v>236.0</v>
      </c>
      <c r="CU1970" s="58" t="s">
        <v>239</v>
      </c>
      <c r="DL1970" s="58" t="s">
        <v>17928</v>
      </c>
    </row>
    <row r="1971" ht="15.75" customHeight="1">
      <c r="B1971" s="58" t="s">
        <v>16392</v>
      </c>
      <c r="C1971" s="58">
        <v>2021.0</v>
      </c>
      <c r="D1971" s="58" t="s">
        <v>17929</v>
      </c>
      <c r="E1971" s="58" t="s">
        <v>17930</v>
      </c>
      <c r="F1971" s="58" t="s">
        <v>16436</v>
      </c>
      <c r="H1971" s="58" t="s">
        <v>16437</v>
      </c>
      <c r="I1971" s="58" t="s">
        <v>17931</v>
      </c>
      <c r="K1971" s="73">
        <v>44403.0</v>
      </c>
      <c r="R1971" s="58">
        <v>9.0</v>
      </c>
      <c r="Z1971" s="58" t="s">
        <v>239</v>
      </c>
      <c r="CH1971" s="58" t="s">
        <v>17932</v>
      </c>
      <c r="CI1971" s="73">
        <v>44406.0</v>
      </c>
      <c r="CJ1971" s="58">
        <v>103950.0</v>
      </c>
      <c r="CK1971" s="58">
        <v>103966.0</v>
      </c>
      <c r="CL1971" s="58" t="s">
        <v>17933</v>
      </c>
      <c r="CO1971" s="58" t="s">
        <v>17934</v>
      </c>
      <c r="CP1971" s="58" t="s">
        <v>17935</v>
      </c>
      <c r="CR1971" s="58">
        <v>31.0</v>
      </c>
      <c r="CT1971" s="58">
        <v>123.0</v>
      </c>
      <c r="CU1971" s="58" t="s">
        <v>16727</v>
      </c>
      <c r="DL1971" s="58" t="s">
        <v>17936</v>
      </c>
    </row>
    <row r="1972" ht="15.75" customHeight="1">
      <c r="B1972" s="58" t="s">
        <v>16392</v>
      </c>
      <c r="C1972" s="58">
        <v>2019.0</v>
      </c>
      <c r="D1972" s="58" t="s">
        <v>17937</v>
      </c>
      <c r="E1972" s="58" t="s">
        <v>17938</v>
      </c>
      <c r="F1972" s="58" t="s">
        <v>16538</v>
      </c>
      <c r="H1972" s="58" t="s">
        <v>16539</v>
      </c>
      <c r="I1972" s="58" t="s">
        <v>17939</v>
      </c>
      <c r="K1972" s="73">
        <v>43647.0</v>
      </c>
      <c r="Q1972" s="58">
        <v>5.0</v>
      </c>
      <c r="R1972" s="58">
        <v>6.0</v>
      </c>
      <c r="Z1972" s="58" t="s">
        <v>239</v>
      </c>
      <c r="CH1972" s="58" t="s">
        <v>17940</v>
      </c>
      <c r="CI1972" s="73">
        <v>43747.0</v>
      </c>
      <c r="CJ1972" s="58">
        <v>9020.0</v>
      </c>
      <c r="CK1972" s="58">
        <v>9029.0</v>
      </c>
      <c r="CL1972" s="58" t="s">
        <v>17941</v>
      </c>
      <c r="CN1972" s="58" t="s">
        <v>17942</v>
      </c>
      <c r="CO1972" s="58" t="s">
        <v>17943</v>
      </c>
      <c r="CP1972" s="58" t="s">
        <v>17944</v>
      </c>
      <c r="CR1972" s="58">
        <v>31.0</v>
      </c>
      <c r="CT1972" s="58">
        <v>29.0</v>
      </c>
      <c r="CU1972" s="58" t="s">
        <v>239</v>
      </c>
      <c r="DL1972" s="58" t="s">
        <v>17945</v>
      </c>
    </row>
    <row r="1973" ht="15.75" customHeight="1">
      <c r="B1973" s="58" t="s">
        <v>16392</v>
      </c>
      <c r="C1973" s="58">
        <v>2020.0</v>
      </c>
      <c r="D1973" s="58" t="s">
        <v>17946</v>
      </c>
      <c r="E1973" s="58" t="s">
        <v>17947</v>
      </c>
      <c r="F1973" s="58" t="s">
        <v>16436</v>
      </c>
      <c r="H1973" s="58" t="s">
        <v>16437</v>
      </c>
      <c r="I1973" s="58" t="s">
        <v>17948</v>
      </c>
      <c r="K1973" s="73">
        <v>44041.0</v>
      </c>
      <c r="R1973" s="58">
        <v>8.0</v>
      </c>
      <c r="Z1973" s="58" t="s">
        <v>239</v>
      </c>
      <c r="CH1973" s="58" t="s">
        <v>17949</v>
      </c>
      <c r="CI1973" s="73">
        <v>44050.0</v>
      </c>
      <c r="CJ1973" s="58">
        <v>139953.0</v>
      </c>
      <c r="CK1973" s="58">
        <v>139965.0</v>
      </c>
      <c r="CL1973" s="58" t="s">
        <v>17950</v>
      </c>
      <c r="CN1973" s="58" t="s">
        <v>17951</v>
      </c>
      <c r="CO1973" s="58" t="s">
        <v>17952</v>
      </c>
      <c r="CP1973" s="58" t="s">
        <v>17953</v>
      </c>
      <c r="CR1973" s="58">
        <v>29.0</v>
      </c>
      <c r="CT1973" s="58">
        <v>31.0</v>
      </c>
      <c r="CU1973" s="58" t="s">
        <v>16423</v>
      </c>
      <c r="DL1973" s="58" t="s">
        <v>17954</v>
      </c>
    </row>
    <row r="1974" ht="15.75" customHeight="1">
      <c r="B1974" s="58" t="s">
        <v>16392</v>
      </c>
      <c r="C1974" s="58">
        <v>2023.0</v>
      </c>
      <c r="D1974" s="58" t="s">
        <v>17955</v>
      </c>
      <c r="E1974" s="58" t="s">
        <v>17956</v>
      </c>
      <c r="F1974" s="58" t="s">
        <v>16436</v>
      </c>
      <c r="H1974" s="58" t="s">
        <v>16437</v>
      </c>
      <c r="I1974" s="58" t="s">
        <v>17957</v>
      </c>
      <c r="K1974" s="73">
        <v>44959.0</v>
      </c>
      <c r="R1974" s="58">
        <v>11.0</v>
      </c>
      <c r="Z1974" s="58" t="s">
        <v>239</v>
      </c>
      <c r="CH1974" s="58" t="s">
        <v>17958</v>
      </c>
      <c r="CI1974" s="73">
        <v>44967.0</v>
      </c>
      <c r="CJ1974" s="58">
        <v>12555.0</v>
      </c>
      <c r="CK1974" s="58">
        <v>12586.0</v>
      </c>
      <c r="CL1974" s="58" t="s">
        <v>17959</v>
      </c>
      <c r="CO1974" s="58" t="s">
        <v>17960</v>
      </c>
      <c r="CP1974" s="58" t="s">
        <v>17961</v>
      </c>
      <c r="CR1974" s="58">
        <v>29.0</v>
      </c>
      <c r="CT1974" s="58">
        <v>147.0</v>
      </c>
      <c r="CU1974" s="58" t="s">
        <v>16423</v>
      </c>
      <c r="DL1974" s="58" t="s">
        <v>17962</v>
      </c>
    </row>
    <row r="1975" ht="15.75" customHeight="1">
      <c r="B1975" s="58" t="s">
        <v>16392</v>
      </c>
      <c r="C1975" s="58">
        <v>2018.0</v>
      </c>
      <c r="D1975" s="58" t="s">
        <v>17963</v>
      </c>
      <c r="E1975" s="58" t="s">
        <v>17964</v>
      </c>
      <c r="F1975" s="58" t="s">
        <v>16436</v>
      </c>
      <c r="H1975" s="58" t="s">
        <v>16437</v>
      </c>
      <c r="I1975" s="58" t="s">
        <v>17965</v>
      </c>
      <c r="K1975" s="73">
        <v>43200.0</v>
      </c>
      <c r="R1975" s="58">
        <v>6.0</v>
      </c>
      <c r="Z1975" s="58" t="s">
        <v>239</v>
      </c>
      <c r="CH1975" s="58" t="s">
        <v>17966</v>
      </c>
      <c r="CI1975" s="73">
        <v>43235.0</v>
      </c>
      <c r="CJ1975" s="58">
        <v>24048.0</v>
      </c>
      <c r="CK1975" s="58">
        <v>24063.0</v>
      </c>
      <c r="CL1975" s="58" t="s">
        <v>17967</v>
      </c>
      <c r="CN1975" s="58" t="s">
        <v>17968</v>
      </c>
      <c r="CO1975" s="58" t="s">
        <v>17969</v>
      </c>
      <c r="CP1975" s="58" t="s">
        <v>17970</v>
      </c>
      <c r="CR1975" s="58">
        <v>29.0</v>
      </c>
      <c r="CT1975" s="58">
        <v>52.0</v>
      </c>
      <c r="CU1975" s="58" t="s">
        <v>16444</v>
      </c>
      <c r="DL1975" s="58" t="s">
        <v>17971</v>
      </c>
    </row>
    <row r="1976" ht="15.75" customHeight="1">
      <c r="B1976" s="58" t="s">
        <v>16392</v>
      </c>
      <c r="C1976" s="58">
        <v>2023.0</v>
      </c>
      <c r="D1976" s="58" t="s">
        <v>17972</v>
      </c>
      <c r="E1976" s="58" t="s">
        <v>17973</v>
      </c>
      <c r="F1976" s="58" t="s">
        <v>16538</v>
      </c>
      <c r="H1976" s="58" t="s">
        <v>16539</v>
      </c>
      <c r="I1976" s="58" t="s">
        <v>17974</v>
      </c>
      <c r="K1976" s="73">
        <v>44935.0</v>
      </c>
      <c r="Q1976" s="58">
        <v>11.0</v>
      </c>
      <c r="R1976" s="58">
        <v>10.0</v>
      </c>
      <c r="Z1976" s="58" t="s">
        <v>239</v>
      </c>
      <c r="CH1976" s="58" t="s">
        <v>17975</v>
      </c>
      <c r="CI1976" s="73">
        <v>45063.0</v>
      </c>
      <c r="CJ1976" s="58">
        <v>9513.0</v>
      </c>
      <c r="CK1976" s="58">
        <v>9522.0</v>
      </c>
      <c r="CL1976" s="58" t="s">
        <v>17976</v>
      </c>
      <c r="CO1976" s="58" t="s">
        <v>17977</v>
      </c>
      <c r="CP1976" s="58" t="s">
        <v>17978</v>
      </c>
      <c r="CR1976" s="58">
        <v>29.0</v>
      </c>
      <c r="CT1976" s="58">
        <v>24.0</v>
      </c>
      <c r="CU1976" s="58" t="s">
        <v>239</v>
      </c>
      <c r="DL1976" s="58" t="s">
        <v>17979</v>
      </c>
    </row>
    <row r="1977" ht="15.75" customHeight="1">
      <c r="B1977" s="58" t="s">
        <v>16392</v>
      </c>
      <c r="C1977" s="58">
        <v>2021.0</v>
      </c>
      <c r="D1977" s="58" t="s">
        <v>17980</v>
      </c>
      <c r="E1977" s="58" t="s">
        <v>17981</v>
      </c>
      <c r="F1977" s="58" t="s">
        <v>16959</v>
      </c>
      <c r="H1977" s="58" t="s">
        <v>16960</v>
      </c>
      <c r="I1977" s="58" t="s">
        <v>17982</v>
      </c>
      <c r="K1977" s="73">
        <v>44315.0</v>
      </c>
      <c r="Q1977" s="58">
        <v>3.0</v>
      </c>
      <c r="R1977" s="58">
        <v>18.0</v>
      </c>
      <c r="Z1977" s="58" t="s">
        <v>239</v>
      </c>
      <c r="CH1977" s="58" t="s">
        <v>17983</v>
      </c>
      <c r="CI1977" s="73">
        <v>44447.0</v>
      </c>
      <c r="CJ1977" s="58">
        <v>3829.0</v>
      </c>
      <c r="CK1977" s="58">
        <v>3842.0</v>
      </c>
      <c r="CL1977" s="58" t="s">
        <v>17984</v>
      </c>
      <c r="CN1977" s="58" t="s">
        <v>17985</v>
      </c>
      <c r="CO1977" s="58" t="s">
        <v>17986</v>
      </c>
      <c r="CP1977" s="58" t="s">
        <v>17987</v>
      </c>
      <c r="CR1977" s="58">
        <v>29.0</v>
      </c>
      <c r="CT1977" s="58">
        <v>68.0</v>
      </c>
      <c r="CU1977" s="58" t="s">
        <v>239</v>
      </c>
      <c r="DL1977" s="58" t="s">
        <v>17988</v>
      </c>
    </row>
    <row r="1978" ht="15.75" customHeight="1">
      <c r="B1978" s="58" t="s">
        <v>16392</v>
      </c>
      <c r="C1978" s="58">
        <v>2023.0</v>
      </c>
      <c r="D1978" s="58" t="s">
        <v>17989</v>
      </c>
      <c r="E1978" s="58" t="s">
        <v>17990</v>
      </c>
      <c r="F1978" s="58" t="s">
        <v>16959</v>
      </c>
      <c r="H1978" s="58" t="s">
        <v>16960</v>
      </c>
      <c r="I1978" s="58" t="s">
        <v>17991</v>
      </c>
      <c r="K1978" s="73">
        <v>45016.0</v>
      </c>
      <c r="Q1978" s="58">
        <v>4.0</v>
      </c>
      <c r="R1978" s="58">
        <v>20.0</v>
      </c>
      <c r="Z1978" s="58" t="s">
        <v>239</v>
      </c>
      <c r="CH1978" s="58" t="s">
        <v>17992</v>
      </c>
      <c r="CI1978" s="73">
        <v>45272.0</v>
      </c>
      <c r="CJ1978" s="58">
        <v>4698.0</v>
      </c>
      <c r="CK1978" s="58">
        <v>4733.0</v>
      </c>
      <c r="CL1978" s="58" t="s">
        <v>17993</v>
      </c>
      <c r="CN1978" s="58" t="s">
        <v>17994</v>
      </c>
      <c r="CO1978" s="58" t="s">
        <v>17995</v>
      </c>
      <c r="CP1978" s="58" t="s">
        <v>17996</v>
      </c>
      <c r="CR1978" s="58">
        <v>29.0</v>
      </c>
      <c r="CT1978" s="58">
        <v>165.0</v>
      </c>
      <c r="CU1978" s="58" t="s">
        <v>16423</v>
      </c>
      <c r="DL1978" s="58" t="s">
        <v>17997</v>
      </c>
    </row>
    <row r="1979" ht="15.75" customHeight="1">
      <c r="B1979" s="58" t="s">
        <v>16392</v>
      </c>
      <c r="C1979" s="58">
        <v>2020.0</v>
      </c>
      <c r="D1979" s="58" t="s">
        <v>17998</v>
      </c>
      <c r="E1979" s="58" t="s">
        <v>17999</v>
      </c>
      <c r="F1979" s="58" t="s">
        <v>16436</v>
      </c>
      <c r="H1979" s="58" t="s">
        <v>16437</v>
      </c>
      <c r="I1979" s="58" t="s">
        <v>18000</v>
      </c>
      <c r="K1979" s="73">
        <v>43909.0</v>
      </c>
      <c r="R1979" s="58">
        <v>8.0</v>
      </c>
      <c r="Z1979" s="58" t="s">
        <v>239</v>
      </c>
      <c r="CH1979" s="58" t="s">
        <v>18001</v>
      </c>
      <c r="CI1979" s="73">
        <v>43921.0</v>
      </c>
      <c r="CJ1979" s="58">
        <v>56680.0</v>
      </c>
      <c r="CK1979" s="58">
        <v>56694.0</v>
      </c>
      <c r="CL1979" s="58" t="s">
        <v>18002</v>
      </c>
      <c r="CN1979" s="58" t="s">
        <v>18003</v>
      </c>
      <c r="CO1979" s="58" t="s">
        <v>18004</v>
      </c>
      <c r="CP1979" s="58" t="s">
        <v>18005</v>
      </c>
      <c r="CR1979" s="58">
        <v>29.0</v>
      </c>
      <c r="CT1979" s="58">
        <v>27.0</v>
      </c>
      <c r="CU1979" s="58" t="s">
        <v>16423</v>
      </c>
      <c r="DL1979" s="58" t="s">
        <v>18006</v>
      </c>
    </row>
    <row r="1980" ht="15.75" customHeight="1">
      <c r="B1980" s="58" t="s">
        <v>16392</v>
      </c>
      <c r="C1980" s="58">
        <v>2022.0</v>
      </c>
      <c r="D1980" s="58" t="s">
        <v>18007</v>
      </c>
      <c r="E1980" s="58" t="s">
        <v>18008</v>
      </c>
      <c r="F1980" s="58" t="s">
        <v>16959</v>
      </c>
      <c r="H1980" s="58" t="s">
        <v>16960</v>
      </c>
      <c r="I1980" s="58" t="s">
        <v>18009</v>
      </c>
      <c r="K1980" s="73">
        <v>44705.0</v>
      </c>
      <c r="Q1980" s="58">
        <v>3.0</v>
      </c>
      <c r="R1980" s="58">
        <v>19.0</v>
      </c>
      <c r="Z1980" s="58" t="s">
        <v>239</v>
      </c>
      <c r="CH1980" s="58" t="s">
        <v>18010</v>
      </c>
      <c r="CI1980" s="73">
        <v>44846.0</v>
      </c>
      <c r="CJ1980" s="58">
        <v>2309.0</v>
      </c>
      <c r="CK1980" s="58">
        <v>2332.0</v>
      </c>
      <c r="CL1980" s="58" t="s">
        <v>18011</v>
      </c>
      <c r="CN1980" s="58" t="s">
        <v>18012</v>
      </c>
      <c r="CO1980" s="58" t="s">
        <v>18013</v>
      </c>
      <c r="CP1980" s="58" t="s">
        <v>18014</v>
      </c>
      <c r="CR1980" s="58">
        <v>29.0</v>
      </c>
      <c r="CT1980" s="58">
        <v>118.0</v>
      </c>
      <c r="CU1980" s="58" t="s">
        <v>239</v>
      </c>
      <c r="DL1980" s="58" t="s">
        <v>18015</v>
      </c>
    </row>
    <row r="1981" ht="15.75" customHeight="1">
      <c r="B1981" s="58" t="s">
        <v>16392</v>
      </c>
      <c r="C1981" s="58">
        <v>2019.0</v>
      </c>
      <c r="D1981" s="58" t="s">
        <v>18016</v>
      </c>
      <c r="E1981" s="58" t="s">
        <v>18017</v>
      </c>
      <c r="F1981" s="58" t="s">
        <v>18018</v>
      </c>
      <c r="H1981" s="58" t="s">
        <v>18019</v>
      </c>
      <c r="I1981" s="58" t="s">
        <v>18020</v>
      </c>
      <c r="K1981" s="73">
        <v>43157.0</v>
      </c>
      <c r="Q1981" s="58">
        <v>1.0</v>
      </c>
      <c r="R1981" s="58">
        <v>4.0</v>
      </c>
      <c r="Z1981" s="58" t="s">
        <v>239</v>
      </c>
      <c r="CH1981" s="58" t="s">
        <v>18021</v>
      </c>
      <c r="CI1981" s="73">
        <v>43531.0</v>
      </c>
      <c r="CJ1981" s="58">
        <v>53.0</v>
      </c>
      <c r="CK1981" s="58">
        <v>66.0</v>
      </c>
      <c r="CL1981" s="58" t="s">
        <v>18022</v>
      </c>
      <c r="CN1981" s="58" t="s">
        <v>18023</v>
      </c>
      <c r="CO1981" s="58" t="s">
        <v>18024</v>
      </c>
      <c r="CP1981" s="58" t="s">
        <v>18025</v>
      </c>
      <c r="CR1981" s="58">
        <v>29.0</v>
      </c>
      <c r="CT1981" s="58">
        <v>36.0</v>
      </c>
      <c r="CU1981" s="58" t="s">
        <v>239</v>
      </c>
      <c r="DL1981" s="58" t="s">
        <v>18026</v>
      </c>
    </row>
    <row r="1982" ht="15.75" customHeight="1">
      <c r="B1982" s="58" t="s">
        <v>16392</v>
      </c>
      <c r="C1982" s="58">
        <v>2021.0</v>
      </c>
      <c r="D1982" s="58" t="s">
        <v>18027</v>
      </c>
      <c r="E1982" s="58" t="s">
        <v>18028</v>
      </c>
      <c r="F1982" s="58" t="s">
        <v>16959</v>
      </c>
      <c r="H1982" s="58" t="s">
        <v>16960</v>
      </c>
      <c r="I1982" s="58" t="s">
        <v>18029</v>
      </c>
      <c r="K1982" s="73">
        <v>44187.0</v>
      </c>
      <c r="Q1982" s="58">
        <v>1.0</v>
      </c>
      <c r="R1982" s="58">
        <v>18.0</v>
      </c>
      <c r="Z1982" s="58" t="s">
        <v>239</v>
      </c>
      <c r="CH1982" s="58" t="s">
        <v>18030</v>
      </c>
      <c r="CI1982" s="73">
        <v>44265.0</v>
      </c>
      <c r="CJ1982" s="58">
        <v>30.0</v>
      </c>
      <c r="CK1982" s="58">
        <v>48.0</v>
      </c>
      <c r="CL1982" s="58" t="s">
        <v>18031</v>
      </c>
      <c r="CN1982" s="58" t="s">
        <v>18032</v>
      </c>
      <c r="CO1982" s="58" t="s">
        <v>18033</v>
      </c>
      <c r="CP1982" s="58" t="s">
        <v>18034</v>
      </c>
      <c r="CR1982" s="58">
        <v>29.0</v>
      </c>
      <c r="CT1982" s="58">
        <v>162.0</v>
      </c>
      <c r="CU1982" s="58" t="s">
        <v>239</v>
      </c>
      <c r="DL1982" s="58" t="s">
        <v>18035</v>
      </c>
    </row>
    <row r="1983" ht="15.75" customHeight="1">
      <c r="B1983" s="58" t="s">
        <v>16392</v>
      </c>
      <c r="C1983" s="58">
        <v>2022.0</v>
      </c>
      <c r="D1983" s="58" t="s">
        <v>18036</v>
      </c>
      <c r="E1983" s="58" t="s">
        <v>18037</v>
      </c>
      <c r="F1983" s="58" t="s">
        <v>16959</v>
      </c>
      <c r="H1983" s="58" t="s">
        <v>16960</v>
      </c>
      <c r="I1983" s="58" t="s">
        <v>18038</v>
      </c>
      <c r="K1983" s="73">
        <v>44497.0</v>
      </c>
      <c r="Q1983" s="58">
        <v>1.0</v>
      </c>
      <c r="R1983" s="58">
        <v>19.0</v>
      </c>
      <c r="Z1983" s="58" t="s">
        <v>239</v>
      </c>
      <c r="CH1983" s="58" t="s">
        <v>18039</v>
      </c>
      <c r="CI1983" s="73">
        <v>44630.0</v>
      </c>
      <c r="CJ1983" s="58">
        <v>228.0</v>
      </c>
      <c r="CK1983" s="58">
        <v>255.0</v>
      </c>
      <c r="CL1983" s="58" t="s">
        <v>18040</v>
      </c>
      <c r="CN1983" s="58" t="s">
        <v>18041</v>
      </c>
      <c r="CO1983" s="58" t="s">
        <v>18042</v>
      </c>
      <c r="CP1983" s="58" t="s">
        <v>18043</v>
      </c>
      <c r="CR1983" s="58">
        <v>28.0</v>
      </c>
      <c r="CT1983" s="58">
        <v>171.0</v>
      </c>
      <c r="CU1983" s="58" t="s">
        <v>16727</v>
      </c>
      <c r="DL1983" s="58" t="s">
        <v>18044</v>
      </c>
    </row>
    <row r="1984" ht="15.75" customHeight="1">
      <c r="B1984" s="58" t="s">
        <v>16392</v>
      </c>
      <c r="C1984" s="58">
        <v>2023.0</v>
      </c>
      <c r="D1984" s="58" t="s">
        <v>18045</v>
      </c>
      <c r="E1984" s="58" t="s">
        <v>18046</v>
      </c>
      <c r="F1984" s="58" t="s">
        <v>17654</v>
      </c>
      <c r="H1984" s="58" t="s">
        <v>17655</v>
      </c>
      <c r="I1984" s="58" t="s">
        <v>18047</v>
      </c>
      <c r="K1984" s="73">
        <v>44942.0</v>
      </c>
      <c r="Q1984" s="58">
        <v>3.0</v>
      </c>
      <c r="R1984" s="58">
        <v>24.0</v>
      </c>
      <c r="Z1984" s="58" t="s">
        <v>239</v>
      </c>
      <c r="CH1984" s="58" t="s">
        <v>18048</v>
      </c>
      <c r="CI1984" s="73">
        <v>44986.0</v>
      </c>
      <c r="CJ1984" s="58">
        <v>3145.0</v>
      </c>
      <c r="CK1984" s="58">
        <v>3156.0</v>
      </c>
      <c r="CL1984" s="58" t="s">
        <v>18049</v>
      </c>
      <c r="CN1984" s="58" t="s">
        <v>18050</v>
      </c>
      <c r="CO1984" s="58" t="s">
        <v>18051</v>
      </c>
      <c r="CP1984" s="58" t="s">
        <v>18052</v>
      </c>
      <c r="CR1984" s="58">
        <v>28.0</v>
      </c>
      <c r="CT1984" s="58">
        <v>44.0</v>
      </c>
      <c r="CU1984" s="58" t="s">
        <v>239</v>
      </c>
      <c r="DL1984" s="58" t="s">
        <v>18053</v>
      </c>
    </row>
    <row r="1985" ht="15.75" customHeight="1">
      <c r="B1985" s="58" t="s">
        <v>16392</v>
      </c>
      <c r="C1985" s="58">
        <v>2023.0</v>
      </c>
      <c r="D1985" s="58" t="s">
        <v>18054</v>
      </c>
      <c r="E1985" s="58" t="s">
        <v>18055</v>
      </c>
      <c r="F1985" s="58" t="s">
        <v>16538</v>
      </c>
      <c r="H1985" s="58" t="s">
        <v>16539</v>
      </c>
      <c r="I1985" s="58" t="s">
        <v>18056</v>
      </c>
      <c r="K1985" s="73">
        <v>45013.0</v>
      </c>
      <c r="Q1985" s="58">
        <v>15.0</v>
      </c>
      <c r="R1985" s="58">
        <v>10.0</v>
      </c>
      <c r="Z1985" s="58" t="s">
        <v>239</v>
      </c>
      <c r="CH1985" s="58" t="s">
        <v>18057</v>
      </c>
      <c r="CI1985" s="73">
        <v>45132.0</v>
      </c>
      <c r="CJ1985" s="58">
        <v>13489.0</v>
      </c>
      <c r="CK1985" s="58">
        <v>13510.0</v>
      </c>
      <c r="CL1985" s="58" t="s">
        <v>18058</v>
      </c>
      <c r="CN1985" s="58" t="s">
        <v>18059</v>
      </c>
      <c r="CO1985" s="58" t="s">
        <v>18060</v>
      </c>
      <c r="CP1985" s="58" t="s">
        <v>18061</v>
      </c>
      <c r="CR1985" s="58">
        <v>28.0</v>
      </c>
      <c r="CT1985" s="58">
        <v>49.0</v>
      </c>
      <c r="CU1985" s="58" t="s">
        <v>239</v>
      </c>
      <c r="DL1985" s="58" t="s">
        <v>18062</v>
      </c>
    </row>
    <row r="1986" ht="15.75" customHeight="1">
      <c r="B1986" s="58" t="s">
        <v>16392</v>
      </c>
      <c r="C1986" s="58">
        <v>2024.0</v>
      </c>
      <c r="D1986" s="58" t="s">
        <v>18063</v>
      </c>
      <c r="E1986" s="58" t="s">
        <v>18064</v>
      </c>
      <c r="F1986" s="58" t="s">
        <v>16923</v>
      </c>
      <c r="H1986" s="58" t="s">
        <v>16924</v>
      </c>
      <c r="I1986" s="58" t="s">
        <v>18065</v>
      </c>
      <c r="K1986" s="73">
        <v>45258.0</v>
      </c>
      <c r="Q1986" s="58">
        <v>2.0</v>
      </c>
      <c r="R1986" s="58">
        <v>42.0</v>
      </c>
      <c r="Z1986" s="58" t="s">
        <v>239</v>
      </c>
      <c r="CH1986" s="58" t="s">
        <v>18066</v>
      </c>
      <c r="CI1986" s="73">
        <v>45307.0</v>
      </c>
      <c r="CJ1986" s="58">
        <v>245.0</v>
      </c>
      <c r="CK1986" s="58">
        <v>262.0</v>
      </c>
      <c r="CL1986" s="58" t="s">
        <v>18067</v>
      </c>
      <c r="CN1986" s="58" t="s">
        <v>18068</v>
      </c>
      <c r="CO1986" s="58" t="s">
        <v>18069</v>
      </c>
      <c r="CP1986" s="58" t="s">
        <v>18070</v>
      </c>
      <c r="CR1986" s="58">
        <v>28.0</v>
      </c>
      <c r="CT1986" s="58">
        <v>153.0</v>
      </c>
      <c r="CU1986" s="58" t="s">
        <v>239</v>
      </c>
      <c r="DL1986" s="58" t="s">
        <v>18071</v>
      </c>
    </row>
    <row r="1987" ht="15.75" customHeight="1">
      <c r="B1987" s="58" t="s">
        <v>16392</v>
      </c>
      <c r="C1987" s="58">
        <v>2023.0</v>
      </c>
      <c r="D1987" s="58" t="s">
        <v>18072</v>
      </c>
      <c r="E1987" s="58" t="s">
        <v>18073</v>
      </c>
      <c r="F1987" s="58" t="s">
        <v>16493</v>
      </c>
      <c r="H1987" s="58" t="s">
        <v>16494</v>
      </c>
      <c r="I1987" s="58" t="s">
        <v>18074</v>
      </c>
      <c r="K1987" s="73">
        <v>45118.0</v>
      </c>
      <c r="R1987" s="58">
        <v>4.0</v>
      </c>
      <c r="Z1987" s="58" t="s">
        <v>239</v>
      </c>
      <c r="CH1987" s="58" t="s">
        <v>18075</v>
      </c>
      <c r="CI1987" s="73">
        <v>45142.0</v>
      </c>
      <c r="CJ1987" s="58">
        <v>1615.0</v>
      </c>
      <c r="CK1987" s="58">
        <v>1658.0</v>
      </c>
      <c r="CL1987" s="58" t="s">
        <v>18076</v>
      </c>
      <c r="CN1987" s="58" t="s">
        <v>18077</v>
      </c>
      <c r="CO1987" s="58" t="s">
        <v>18078</v>
      </c>
      <c r="CP1987" s="58" t="s">
        <v>18079</v>
      </c>
      <c r="CR1987" s="58">
        <v>28.0</v>
      </c>
      <c r="CT1987" s="58">
        <v>145.0</v>
      </c>
      <c r="CU1987" s="58" t="s">
        <v>16423</v>
      </c>
      <c r="DL1987" s="58" t="s">
        <v>18080</v>
      </c>
    </row>
    <row r="1988" ht="15.75" customHeight="1">
      <c r="B1988" s="58" t="s">
        <v>16392</v>
      </c>
      <c r="C1988" s="58">
        <v>2022.0</v>
      </c>
      <c r="D1988" s="58" t="s">
        <v>18081</v>
      </c>
      <c r="E1988" s="58" t="s">
        <v>18082</v>
      </c>
      <c r="F1988" s="58" t="s">
        <v>16436</v>
      </c>
      <c r="H1988" s="58" t="s">
        <v>16437</v>
      </c>
      <c r="I1988" s="58" t="s">
        <v>18083</v>
      </c>
      <c r="K1988" s="73">
        <v>44679.0</v>
      </c>
      <c r="R1988" s="58">
        <v>10.0</v>
      </c>
      <c r="Z1988" s="58" t="s">
        <v>239</v>
      </c>
      <c r="CH1988" s="58" t="s">
        <v>18084</v>
      </c>
      <c r="CI1988" s="73">
        <v>44686.0</v>
      </c>
      <c r="CJ1988" s="58">
        <v>46633.0</v>
      </c>
      <c r="CK1988" s="58">
        <v>46651.0</v>
      </c>
      <c r="CL1988" s="58" t="s">
        <v>18085</v>
      </c>
      <c r="CN1988" s="58" t="s">
        <v>18086</v>
      </c>
      <c r="CO1988" s="58" t="s">
        <v>18087</v>
      </c>
      <c r="CP1988" s="58" t="s">
        <v>18088</v>
      </c>
      <c r="CR1988" s="58">
        <v>28.0</v>
      </c>
      <c r="CT1988" s="58">
        <v>52.0</v>
      </c>
      <c r="CU1988" s="58" t="s">
        <v>16423</v>
      </c>
      <c r="DL1988" s="58" t="s">
        <v>18089</v>
      </c>
    </row>
    <row r="1989" ht="15.75" customHeight="1">
      <c r="B1989" s="58" t="s">
        <v>16392</v>
      </c>
      <c r="C1989" s="58">
        <v>2020.0</v>
      </c>
      <c r="D1989" s="58" t="s">
        <v>18090</v>
      </c>
      <c r="E1989" s="58" t="s">
        <v>18091</v>
      </c>
      <c r="F1989" s="58" t="s">
        <v>16436</v>
      </c>
      <c r="H1989" s="58" t="s">
        <v>16437</v>
      </c>
      <c r="I1989" s="58" t="s">
        <v>18092</v>
      </c>
      <c r="K1989" s="73">
        <v>44078.0</v>
      </c>
      <c r="R1989" s="58">
        <v>8.0</v>
      </c>
      <c r="Z1989" s="58" t="s">
        <v>239</v>
      </c>
      <c r="CH1989" s="58" t="s">
        <v>18093</v>
      </c>
      <c r="CI1989" s="73">
        <v>44091.0</v>
      </c>
      <c r="CJ1989" s="58">
        <v>164950.0</v>
      </c>
      <c r="CK1989" s="58">
        <v>164971.0</v>
      </c>
      <c r="CL1989" s="58" t="s">
        <v>18094</v>
      </c>
      <c r="CN1989" s="58" t="s">
        <v>18095</v>
      </c>
      <c r="CO1989" s="58" t="s">
        <v>18096</v>
      </c>
      <c r="CP1989" s="58" t="s">
        <v>18097</v>
      </c>
      <c r="CR1989" s="58">
        <v>28.0</v>
      </c>
      <c r="CT1989" s="58">
        <v>61.0</v>
      </c>
      <c r="CU1989" s="58" t="s">
        <v>16423</v>
      </c>
      <c r="DL1989" s="58" t="s">
        <v>18098</v>
      </c>
    </row>
    <row r="1990" ht="15.75" customHeight="1">
      <c r="B1990" s="58" t="s">
        <v>16392</v>
      </c>
      <c r="C1990" s="58">
        <v>2018.0</v>
      </c>
      <c r="D1990" s="58" t="s">
        <v>18099</v>
      </c>
      <c r="E1990" s="58" t="s">
        <v>18100</v>
      </c>
      <c r="F1990" s="58" t="s">
        <v>16395</v>
      </c>
      <c r="H1990" s="58" t="s">
        <v>16396</v>
      </c>
      <c r="I1990" s="58" t="s">
        <v>18101</v>
      </c>
      <c r="K1990" s="73">
        <v>43229.0</v>
      </c>
      <c r="Q1990" s="58">
        <v>3.0</v>
      </c>
      <c r="R1990" s="58">
        <v>20.0</v>
      </c>
      <c r="Z1990" s="58" t="s">
        <v>239</v>
      </c>
      <c r="CH1990" s="58" t="s">
        <v>18102</v>
      </c>
      <c r="CI1990" s="73">
        <v>43333.0</v>
      </c>
      <c r="CJ1990" s="58">
        <v>2454.0</v>
      </c>
      <c r="CK1990" s="58">
        <v>2485.0</v>
      </c>
      <c r="CL1990" s="58" t="s">
        <v>18103</v>
      </c>
      <c r="CN1990" s="58" t="s">
        <v>18104</v>
      </c>
      <c r="CO1990" s="58" t="s">
        <v>18105</v>
      </c>
      <c r="CP1990" s="58" t="s">
        <v>18106</v>
      </c>
      <c r="CR1990" s="58">
        <v>27.0</v>
      </c>
      <c r="CT1990" s="58">
        <v>202.0</v>
      </c>
      <c r="CU1990" s="58" t="s">
        <v>239</v>
      </c>
      <c r="DL1990" s="58" t="s">
        <v>18107</v>
      </c>
    </row>
    <row r="1991" ht="15.75" customHeight="1">
      <c r="B1991" s="58" t="s">
        <v>16392</v>
      </c>
      <c r="C1991" s="58">
        <v>2018.0</v>
      </c>
      <c r="D1991" s="58" t="s">
        <v>9668</v>
      </c>
      <c r="E1991" s="58" t="s">
        <v>18108</v>
      </c>
      <c r="F1991" s="58" t="s">
        <v>16731</v>
      </c>
      <c r="H1991" s="58" t="s">
        <v>16732</v>
      </c>
      <c r="I1991" s="58" t="s">
        <v>18109</v>
      </c>
      <c r="K1991" s="73">
        <v>43061.0</v>
      </c>
      <c r="Q1991" s="58">
        <v>4.0</v>
      </c>
      <c r="R1991" s="58">
        <v>14.0</v>
      </c>
      <c r="Z1991" s="58" t="s">
        <v>239</v>
      </c>
      <c r="CH1991" s="58" t="s">
        <v>18110</v>
      </c>
      <c r="CI1991" s="73">
        <v>43194.0</v>
      </c>
      <c r="CJ1991" s="58">
        <v>1458.0</v>
      </c>
      <c r="CK1991" s="58">
        <v>1468.0</v>
      </c>
      <c r="CL1991" s="58" t="s">
        <v>18111</v>
      </c>
      <c r="CN1991" s="58" t="s">
        <v>18112</v>
      </c>
      <c r="CO1991" s="58" t="s">
        <v>18113</v>
      </c>
      <c r="CP1991" s="58" t="s">
        <v>18114</v>
      </c>
      <c r="CR1991" s="58">
        <v>27.0</v>
      </c>
      <c r="CT1991" s="58">
        <v>22.0</v>
      </c>
      <c r="CU1991" s="58" t="s">
        <v>239</v>
      </c>
      <c r="DL1991" s="58" t="s">
        <v>18115</v>
      </c>
    </row>
    <row r="1992" ht="15.75" customHeight="1">
      <c r="B1992" s="58" t="s">
        <v>16392</v>
      </c>
      <c r="C1992" s="58">
        <v>2021.0</v>
      </c>
      <c r="D1992" s="58" t="s">
        <v>18116</v>
      </c>
      <c r="E1992" s="58" t="s">
        <v>18117</v>
      </c>
      <c r="F1992" s="58" t="s">
        <v>16538</v>
      </c>
      <c r="H1992" s="58" t="s">
        <v>16539</v>
      </c>
      <c r="I1992" s="58" t="s">
        <v>18118</v>
      </c>
      <c r="K1992" s="73">
        <v>44264.0</v>
      </c>
      <c r="Q1992" s="58">
        <v>17.0</v>
      </c>
      <c r="R1992" s="58">
        <v>8.0</v>
      </c>
      <c r="Z1992" s="58" t="s">
        <v>239</v>
      </c>
      <c r="CH1992" s="58" t="s">
        <v>18119</v>
      </c>
      <c r="CI1992" s="73">
        <v>44431.0</v>
      </c>
      <c r="CJ1992" s="58">
        <v>13465.0</v>
      </c>
      <c r="CK1992" s="58">
        <v>13486.0</v>
      </c>
      <c r="CL1992" s="58" t="s">
        <v>18120</v>
      </c>
      <c r="CN1992" s="58" t="s">
        <v>18121</v>
      </c>
      <c r="CO1992" s="58" t="s">
        <v>18122</v>
      </c>
      <c r="CP1992" s="58" t="s">
        <v>18123</v>
      </c>
      <c r="CR1992" s="58">
        <v>27.0</v>
      </c>
      <c r="CT1992" s="58">
        <v>91.0</v>
      </c>
      <c r="CU1992" s="58" t="s">
        <v>239</v>
      </c>
      <c r="DL1992" s="58" t="s">
        <v>18124</v>
      </c>
    </row>
    <row r="1993" ht="15.75" customHeight="1">
      <c r="B1993" s="58" t="s">
        <v>16392</v>
      </c>
      <c r="C1993" s="58">
        <v>2022.0</v>
      </c>
      <c r="D1993" s="58" t="s">
        <v>18125</v>
      </c>
      <c r="E1993" s="58" t="s">
        <v>18126</v>
      </c>
      <c r="F1993" s="58" t="s">
        <v>16731</v>
      </c>
      <c r="H1993" s="58" t="s">
        <v>16732</v>
      </c>
      <c r="I1993" s="58" t="s">
        <v>18127</v>
      </c>
      <c r="K1993" s="73">
        <v>44656.0</v>
      </c>
      <c r="Q1993" s="58">
        <v>12.0</v>
      </c>
      <c r="R1993" s="58">
        <v>18.0</v>
      </c>
      <c r="Z1993" s="58" t="s">
        <v>239</v>
      </c>
      <c r="CH1993" s="58" t="s">
        <v>18128</v>
      </c>
      <c r="CI1993" s="73">
        <v>44834.0</v>
      </c>
      <c r="CJ1993" s="58">
        <v>8967.0</v>
      </c>
      <c r="CK1993" s="58">
        <v>8976.0</v>
      </c>
      <c r="CL1993" s="58" t="s">
        <v>18129</v>
      </c>
      <c r="CN1993" s="58" t="s">
        <v>18130</v>
      </c>
      <c r="CO1993" s="58" t="s">
        <v>18131</v>
      </c>
      <c r="CP1993" s="58" t="s">
        <v>18132</v>
      </c>
      <c r="CR1993" s="58">
        <v>27.0</v>
      </c>
      <c r="CT1993" s="58">
        <v>29.0</v>
      </c>
      <c r="CU1993" s="58" t="s">
        <v>239</v>
      </c>
      <c r="DL1993" s="58" t="s">
        <v>18133</v>
      </c>
    </row>
    <row r="1994" ht="15.75" customHeight="1">
      <c r="B1994" s="58" t="s">
        <v>16392</v>
      </c>
      <c r="C1994" s="58">
        <v>2021.0</v>
      </c>
      <c r="D1994" s="58" t="s">
        <v>18134</v>
      </c>
      <c r="E1994" s="58" t="s">
        <v>18135</v>
      </c>
      <c r="F1994" s="58" t="s">
        <v>16538</v>
      </c>
      <c r="H1994" s="58" t="s">
        <v>16539</v>
      </c>
      <c r="I1994" s="58" t="s">
        <v>18136</v>
      </c>
      <c r="K1994" s="73">
        <v>44060.0</v>
      </c>
      <c r="Q1994" s="58">
        <v>3.0</v>
      </c>
      <c r="R1994" s="58">
        <v>8.0</v>
      </c>
      <c r="Z1994" s="58" t="s">
        <v>239</v>
      </c>
      <c r="CH1994" s="58" t="s">
        <v>18137</v>
      </c>
      <c r="CI1994" s="73">
        <v>44218.0</v>
      </c>
      <c r="CJ1994" s="58">
        <v>1797.0</v>
      </c>
      <c r="CK1994" s="58">
        <v>1816.0</v>
      </c>
      <c r="CL1994" s="58" t="s">
        <v>18138</v>
      </c>
      <c r="CN1994" s="58" t="s">
        <v>18139</v>
      </c>
      <c r="CO1994" s="58" t="s">
        <v>18140</v>
      </c>
      <c r="CP1994" s="58" t="s">
        <v>18141</v>
      </c>
      <c r="CR1994" s="58">
        <v>27.0</v>
      </c>
      <c r="CT1994" s="58">
        <v>66.0</v>
      </c>
      <c r="CU1994" s="58" t="s">
        <v>239</v>
      </c>
      <c r="DL1994" s="58" t="s">
        <v>18142</v>
      </c>
    </row>
    <row r="1995" ht="15.75" customHeight="1">
      <c r="B1995" s="58" t="s">
        <v>16392</v>
      </c>
      <c r="C1995" s="58">
        <v>2022.0</v>
      </c>
      <c r="D1995" s="58" t="s">
        <v>18143</v>
      </c>
      <c r="E1995" s="58" t="s">
        <v>18144</v>
      </c>
      <c r="F1995" s="58" t="s">
        <v>16613</v>
      </c>
      <c r="H1995" s="58" t="s">
        <v>16614</v>
      </c>
      <c r="I1995" s="58" t="s">
        <v>18145</v>
      </c>
      <c r="K1995" s="73">
        <v>43714.0</v>
      </c>
      <c r="Q1995" s="58">
        <v>1.0</v>
      </c>
      <c r="R1995" s="58">
        <v>15.0</v>
      </c>
      <c r="Z1995" s="58" t="s">
        <v>239</v>
      </c>
      <c r="CH1995" s="58" t="s">
        <v>18146</v>
      </c>
      <c r="CI1995" s="73">
        <v>44595.0</v>
      </c>
      <c r="CJ1995" s="58">
        <v>294.0</v>
      </c>
      <c r="CK1995" s="58">
        <v>307.0</v>
      </c>
      <c r="CL1995" s="58" t="s">
        <v>18147</v>
      </c>
      <c r="CN1995" s="58" t="s">
        <v>18148</v>
      </c>
      <c r="CO1995" s="58" t="s">
        <v>18149</v>
      </c>
      <c r="CP1995" s="58" t="s">
        <v>18150</v>
      </c>
      <c r="CR1995" s="58">
        <v>26.0</v>
      </c>
      <c r="CT1995" s="58">
        <v>52.0</v>
      </c>
      <c r="CU1995" s="58" t="s">
        <v>239</v>
      </c>
      <c r="DL1995" s="58" t="s">
        <v>18151</v>
      </c>
    </row>
    <row r="1996" ht="15.75" customHeight="1">
      <c r="B1996" s="58" t="s">
        <v>16392</v>
      </c>
      <c r="C1996" s="58">
        <v>2022.0</v>
      </c>
      <c r="D1996" s="58" t="s">
        <v>18152</v>
      </c>
      <c r="E1996" s="58" t="s">
        <v>18153</v>
      </c>
      <c r="F1996" s="58" t="s">
        <v>16436</v>
      </c>
      <c r="H1996" s="58" t="s">
        <v>16437</v>
      </c>
      <c r="I1996" s="58" t="s">
        <v>18154</v>
      </c>
      <c r="K1996" s="73">
        <v>44704.0</v>
      </c>
      <c r="R1996" s="58">
        <v>10.0</v>
      </c>
      <c r="Z1996" s="58" t="s">
        <v>239</v>
      </c>
      <c r="CH1996" s="58" t="s">
        <v>18155</v>
      </c>
      <c r="CI1996" s="73">
        <v>44713.0</v>
      </c>
      <c r="CJ1996" s="58">
        <v>56094.0</v>
      </c>
      <c r="CK1996" s="58">
        <v>56132.0</v>
      </c>
      <c r="CL1996" s="58" t="s">
        <v>18156</v>
      </c>
      <c r="CN1996" s="58" t="s">
        <v>18157</v>
      </c>
      <c r="CO1996" s="58" t="s">
        <v>18158</v>
      </c>
      <c r="CP1996" s="58" t="s">
        <v>18159</v>
      </c>
      <c r="CR1996" s="58">
        <v>26.0</v>
      </c>
      <c r="CT1996" s="58">
        <v>317.0</v>
      </c>
      <c r="CU1996" s="58" t="s">
        <v>16423</v>
      </c>
      <c r="DL1996" s="58" t="s">
        <v>18160</v>
      </c>
    </row>
    <row r="1997" ht="15.75" customHeight="1">
      <c r="B1997" s="58" t="s">
        <v>16392</v>
      </c>
      <c r="C1997" s="58">
        <v>2023.0</v>
      </c>
      <c r="D1997" s="58" t="s">
        <v>18161</v>
      </c>
      <c r="E1997" s="58" t="s">
        <v>18162</v>
      </c>
      <c r="F1997" s="58" t="s">
        <v>17438</v>
      </c>
      <c r="H1997" s="58" t="s">
        <v>17439</v>
      </c>
      <c r="I1997" s="58" t="s">
        <v>18163</v>
      </c>
      <c r="K1997" s="73">
        <v>44644.0</v>
      </c>
      <c r="Q1997" s="58">
        <v>2.0</v>
      </c>
      <c r="R1997" s="58">
        <v>11.0</v>
      </c>
      <c r="Z1997" s="58" t="s">
        <v>239</v>
      </c>
      <c r="CH1997" s="58" t="s">
        <v>18164</v>
      </c>
      <c r="CI1997" s="73">
        <v>45083.0</v>
      </c>
      <c r="CJ1997" s="58">
        <v>1777.0</v>
      </c>
      <c r="CK1997" s="58">
        <v>1793.0</v>
      </c>
      <c r="CL1997" s="58" t="s">
        <v>18165</v>
      </c>
      <c r="CN1997" s="58" t="s">
        <v>18166</v>
      </c>
      <c r="CO1997" s="58" t="s">
        <v>18167</v>
      </c>
      <c r="CP1997" s="58" t="s">
        <v>18168</v>
      </c>
      <c r="CR1997" s="58">
        <v>26.0</v>
      </c>
      <c r="CT1997" s="58">
        <v>50.0</v>
      </c>
      <c r="CU1997" s="58" t="s">
        <v>239</v>
      </c>
      <c r="DL1997" s="58" t="s">
        <v>18169</v>
      </c>
    </row>
    <row r="1998" ht="15.75" customHeight="1">
      <c r="B1998" s="58" t="s">
        <v>16392</v>
      </c>
      <c r="C1998" s="58">
        <v>2024.0</v>
      </c>
      <c r="D1998" s="58" t="s">
        <v>18170</v>
      </c>
      <c r="E1998" s="58" t="s">
        <v>18171</v>
      </c>
      <c r="F1998" s="58" t="s">
        <v>16436</v>
      </c>
      <c r="H1998" s="58" t="s">
        <v>16437</v>
      </c>
      <c r="I1998" s="58" t="s">
        <v>18172</v>
      </c>
      <c r="K1998" s="73">
        <v>45348.0</v>
      </c>
      <c r="R1998" s="58">
        <v>12.0</v>
      </c>
      <c r="Z1998" s="58" t="s">
        <v>239</v>
      </c>
      <c r="CH1998" s="58" t="s">
        <v>18173</v>
      </c>
      <c r="CI1998" s="73">
        <v>45352.0</v>
      </c>
      <c r="CJ1998" s="58">
        <v>31197.0</v>
      </c>
      <c r="CK1998" s="58">
        <v>31227.0</v>
      </c>
      <c r="CL1998" s="58" t="s">
        <v>18174</v>
      </c>
      <c r="CO1998" s="58" t="s">
        <v>18175</v>
      </c>
      <c r="CP1998" s="58" t="s">
        <v>18176</v>
      </c>
      <c r="CR1998" s="58">
        <v>26.0</v>
      </c>
      <c r="CT1998" s="58">
        <v>175.0</v>
      </c>
      <c r="CU1998" s="58" t="s">
        <v>16727</v>
      </c>
      <c r="DL1998" s="58" t="s">
        <v>18177</v>
      </c>
    </row>
    <row r="1999" ht="15.75" customHeight="1">
      <c r="B1999" s="58" t="s">
        <v>16392</v>
      </c>
      <c r="C1999" s="58">
        <v>2019.0</v>
      </c>
      <c r="D1999" s="58" t="s">
        <v>18178</v>
      </c>
      <c r="E1999" s="58" t="s">
        <v>18179</v>
      </c>
      <c r="F1999" s="58" t="s">
        <v>16436</v>
      </c>
      <c r="H1999" s="58" t="s">
        <v>16437</v>
      </c>
      <c r="I1999" s="58" t="s">
        <v>18180</v>
      </c>
      <c r="K1999" s="73">
        <v>43580.0</v>
      </c>
      <c r="R1999" s="58">
        <v>7.0</v>
      </c>
      <c r="Z1999" s="58" t="s">
        <v>239</v>
      </c>
      <c r="CH1999" s="58" t="s">
        <v>18181</v>
      </c>
      <c r="CI1999" s="73">
        <v>43587.0</v>
      </c>
      <c r="CJ1999" s="58">
        <v>53839.0</v>
      </c>
      <c r="CK1999" s="58">
        <v>53858.0</v>
      </c>
      <c r="CL1999" s="58" t="s">
        <v>18182</v>
      </c>
      <c r="CN1999" s="58" t="s">
        <v>18183</v>
      </c>
      <c r="CO1999" s="58" t="s">
        <v>18184</v>
      </c>
      <c r="CP1999" s="58" t="s">
        <v>18185</v>
      </c>
      <c r="CR1999" s="58">
        <v>26.0</v>
      </c>
      <c r="CT1999" s="58">
        <v>38.0</v>
      </c>
      <c r="CU1999" s="58" t="s">
        <v>16444</v>
      </c>
      <c r="DL1999" s="58" t="s">
        <v>18186</v>
      </c>
    </row>
    <row r="2000" ht="15.75" customHeight="1">
      <c r="B2000" s="58" t="s">
        <v>16392</v>
      </c>
      <c r="C2000" s="58">
        <v>2020.0</v>
      </c>
      <c r="D2000" s="58" t="s">
        <v>18187</v>
      </c>
      <c r="E2000" s="58" t="s">
        <v>18188</v>
      </c>
      <c r="F2000" s="58" t="s">
        <v>16436</v>
      </c>
      <c r="H2000" s="58" t="s">
        <v>16437</v>
      </c>
      <c r="I2000" s="58" t="s">
        <v>18189</v>
      </c>
      <c r="K2000" s="73">
        <v>44092.0</v>
      </c>
      <c r="R2000" s="58">
        <v>8.0</v>
      </c>
      <c r="Z2000" s="58" t="s">
        <v>239</v>
      </c>
      <c r="CH2000" s="58" t="s">
        <v>18190</v>
      </c>
      <c r="CI2000" s="73">
        <v>44103.0</v>
      </c>
      <c r="CJ2000" s="58">
        <v>174049.0</v>
      </c>
      <c r="CK2000" s="58">
        <v>174079.0</v>
      </c>
      <c r="CL2000" s="58" t="s">
        <v>18191</v>
      </c>
      <c r="CN2000" s="58" t="s">
        <v>18192</v>
      </c>
      <c r="CO2000" s="58" t="s">
        <v>18193</v>
      </c>
      <c r="CP2000" s="58" t="s">
        <v>18194</v>
      </c>
      <c r="CR2000" s="58">
        <v>25.0</v>
      </c>
      <c r="CT2000" s="58">
        <v>285.0</v>
      </c>
      <c r="CU2000" s="58" t="s">
        <v>16423</v>
      </c>
      <c r="DL2000" s="58" t="s">
        <v>18195</v>
      </c>
    </row>
    <row r="2001" ht="15.75" customHeight="1">
      <c r="B2001" s="58" t="s">
        <v>16392</v>
      </c>
      <c r="C2001" s="58">
        <v>2022.0</v>
      </c>
      <c r="D2001" s="58" t="s">
        <v>18196</v>
      </c>
      <c r="E2001" s="58" t="s">
        <v>18197</v>
      </c>
      <c r="F2001" s="58" t="s">
        <v>16731</v>
      </c>
      <c r="H2001" s="58" t="s">
        <v>16732</v>
      </c>
      <c r="I2001" s="58" t="s">
        <v>18198</v>
      </c>
      <c r="K2001" s="73">
        <v>44447.0</v>
      </c>
      <c r="Q2001" s="58">
        <v>4.0</v>
      </c>
      <c r="R2001" s="58">
        <v>18.0</v>
      </c>
      <c r="Z2001" s="58" t="s">
        <v>239</v>
      </c>
      <c r="CH2001" s="58" t="s">
        <v>18199</v>
      </c>
      <c r="CI2001" s="73">
        <v>44566.0</v>
      </c>
      <c r="CJ2001" s="58">
        <v>2386.0</v>
      </c>
      <c r="CK2001" s="58">
        <v>2398.0</v>
      </c>
      <c r="CL2001" s="58" t="s">
        <v>18200</v>
      </c>
      <c r="CN2001" s="58" t="s">
        <v>18201</v>
      </c>
      <c r="CO2001" s="58" t="s">
        <v>18202</v>
      </c>
      <c r="CP2001" s="58" t="s">
        <v>18203</v>
      </c>
      <c r="CR2001" s="58">
        <v>25.0</v>
      </c>
      <c r="CT2001" s="58">
        <v>29.0</v>
      </c>
      <c r="CU2001" s="58" t="s">
        <v>239</v>
      </c>
      <c r="DL2001" s="58" t="s">
        <v>18204</v>
      </c>
    </row>
    <row r="2002" ht="15.75" customHeight="1">
      <c r="B2002" s="58" t="s">
        <v>16392</v>
      </c>
      <c r="C2002" s="58">
        <v>2019.0</v>
      </c>
      <c r="D2002" s="58" t="s">
        <v>18205</v>
      </c>
      <c r="E2002" s="58" t="s">
        <v>18206</v>
      </c>
      <c r="F2002" s="58" t="s">
        <v>16923</v>
      </c>
      <c r="H2002" s="58" t="s">
        <v>16924</v>
      </c>
      <c r="I2002" s="58" t="s">
        <v>18207</v>
      </c>
      <c r="K2002" s="73">
        <v>43488.0</v>
      </c>
      <c r="Q2002" s="58">
        <v>3.0</v>
      </c>
      <c r="R2002" s="58">
        <v>37.0</v>
      </c>
      <c r="Z2002" s="58" t="s">
        <v>239</v>
      </c>
      <c r="CH2002" s="58" t="s">
        <v>18208</v>
      </c>
      <c r="CI2002" s="73">
        <v>43510.0</v>
      </c>
      <c r="CJ2002" s="58">
        <v>499.0</v>
      </c>
      <c r="CK2002" s="58">
        <v>514.0</v>
      </c>
      <c r="CL2002" s="58" t="s">
        <v>18209</v>
      </c>
      <c r="CN2002" s="58" t="s">
        <v>18210</v>
      </c>
      <c r="CO2002" s="58" t="s">
        <v>18211</v>
      </c>
      <c r="CP2002" s="58" t="s">
        <v>18212</v>
      </c>
      <c r="CR2002" s="58">
        <v>25.0</v>
      </c>
      <c r="CT2002" s="58">
        <v>55.0</v>
      </c>
      <c r="CU2002" s="58" t="s">
        <v>239</v>
      </c>
      <c r="DL2002" s="58" t="s">
        <v>18213</v>
      </c>
    </row>
    <row r="2003" ht="15.75" customHeight="1">
      <c r="B2003" s="58" t="s">
        <v>16392</v>
      </c>
      <c r="C2003" s="58">
        <v>2016.0</v>
      </c>
      <c r="D2003" s="58" t="s">
        <v>18214</v>
      </c>
      <c r="E2003" s="58" t="s">
        <v>18215</v>
      </c>
      <c r="F2003" s="58" t="s">
        <v>17164</v>
      </c>
      <c r="H2003" s="58" t="s">
        <v>17165</v>
      </c>
      <c r="I2003" s="58" t="s">
        <v>18216</v>
      </c>
      <c r="K2003" s="73">
        <v>42243.0</v>
      </c>
      <c r="Q2003" s="58">
        <v>7.0</v>
      </c>
      <c r="R2003" s="58">
        <v>27.0</v>
      </c>
      <c r="Z2003" s="58" t="s">
        <v>239</v>
      </c>
      <c r="CH2003" s="58" t="s">
        <v>18217</v>
      </c>
      <c r="CI2003" s="73">
        <v>42531.0</v>
      </c>
      <c r="CJ2003" s="58">
        <v>1929.0</v>
      </c>
      <c r="CK2003" s="58">
        <v>1940.0</v>
      </c>
      <c r="CL2003" s="58" t="s">
        <v>18218</v>
      </c>
      <c r="CN2003" s="58" t="s">
        <v>18219</v>
      </c>
      <c r="CO2003" s="58" t="s">
        <v>18220</v>
      </c>
      <c r="CP2003" s="58" t="s">
        <v>18221</v>
      </c>
      <c r="CR2003" s="58">
        <v>25.0</v>
      </c>
      <c r="CT2003" s="58">
        <v>42.0</v>
      </c>
      <c r="CU2003" s="58" t="s">
        <v>239</v>
      </c>
      <c r="DL2003" s="58" t="s">
        <v>18222</v>
      </c>
    </row>
    <row r="2004" ht="15.75" customHeight="1">
      <c r="B2004" s="58" t="s">
        <v>16392</v>
      </c>
      <c r="C2004" s="58">
        <v>2022.0</v>
      </c>
      <c r="D2004" s="58" t="s">
        <v>18223</v>
      </c>
      <c r="E2004" s="58" t="s">
        <v>18224</v>
      </c>
      <c r="F2004" s="58" t="s">
        <v>16436</v>
      </c>
      <c r="H2004" s="58" t="s">
        <v>16437</v>
      </c>
      <c r="I2004" s="58" t="s">
        <v>18225</v>
      </c>
      <c r="K2004" s="73">
        <v>44606.0</v>
      </c>
      <c r="R2004" s="58">
        <v>10.0</v>
      </c>
      <c r="Z2004" s="58" t="s">
        <v>239</v>
      </c>
      <c r="CH2004" s="58" t="s">
        <v>18226</v>
      </c>
      <c r="CI2004" s="73">
        <v>44613.0</v>
      </c>
      <c r="CJ2004" s="58">
        <v>18583.0</v>
      </c>
      <c r="CK2004" s="58">
        <v>18595.0</v>
      </c>
      <c r="CL2004" s="58" t="s">
        <v>18227</v>
      </c>
      <c r="CO2004" s="58" t="s">
        <v>18228</v>
      </c>
      <c r="CP2004" s="58" t="s">
        <v>18229</v>
      </c>
      <c r="CR2004" s="58">
        <v>25.0</v>
      </c>
      <c r="CT2004" s="58">
        <v>30.0</v>
      </c>
      <c r="CU2004" s="58" t="s">
        <v>16423</v>
      </c>
      <c r="DL2004" s="58" t="s">
        <v>18230</v>
      </c>
    </row>
    <row r="2005" ht="15.75" customHeight="1">
      <c r="B2005" s="58" t="s">
        <v>16392</v>
      </c>
      <c r="C2005" s="58">
        <v>2021.0</v>
      </c>
      <c r="D2005" s="58" t="s">
        <v>18231</v>
      </c>
      <c r="E2005" s="58" t="s">
        <v>18232</v>
      </c>
      <c r="F2005" s="58" t="s">
        <v>16538</v>
      </c>
      <c r="H2005" s="58" t="s">
        <v>16539</v>
      </c>
      <c r="I2005" s="58" t="s">
        <v>18233</v>
      </c>
      <c r="K2005" s="73">
        <v>44166.0</v>
      </c>
      <c r="Q2005" s="58">
        <v>10.0</v>
      </c>
      <c r="R2005" s="58">
        <v>8.0</v>
      </c>
      <c r="Z2005" s="58" t="s">
        <v>239</v>
      </c>
      <c r="CH2005" s="58" t="s">
        <v>18234</v>
      </c>
      <c r="CI2005" s="73">
        <v>44323.0</v>
      </c>
      <c r="CJ2005" s="58">
        <v>7902.0</v>
      </c>
      <c r="CK2005" s="58">
        <v>7911.0</v>
      </c>
      <c r="CL2005" s="58" t="s">
        <v>18235</v>
      </c>
      <c r="CN2005" s="58" t="s">
        <v>18236</v>
      </c>
      <c r="CO2005" s="58" t="s">
        <v>18237</v>
      </c>
      <c r="CP2005" s="58" t="s">
        <v>18238</v>
      </c>
      <c r="CR2005" s="58">
        <v>25.0</v>
      </c>
      <c r="CT2005" s="58">
        <v>27.0</v>
      </c>
      <c r="CU2005" s="58" t="s">
        <v>239</v>
      </c>
      <c r="DL2005" s="58" t="s">
        <v>18239</v>
      </c>
    </row>
    <row r="2006" ht="15.75" customHeight="1">
      <c r="B2006" s="58" t="s">
        <v>16392</v>
      </c>
      <c r="C2006" s="58">
        <v>2021.0</v>
      </c>
      <c r="D2006" s="58" t="s">
        <v>18240</v>
      </c>
      <c r="E2006" s="58" t="s">
        <v>18241</v>
      </c>
      <c r="F2006" s="58" t="s">
        <v>18242</v>
      </c>
      <c r="H2006" s="58" t="s">
        <v>18243</v>
      </c>
      <c r="I2006" s="58" t="s">
        <v>18244</v>
      </c>
      <c r="K2006" s="73">
        <v>44432.0</v>
      </c>
      <c r="Q2006" s="58">
        <v>3.0</v>
      </c>
      <c r="R2006" s="58">
        <v>67.0</v>
      </c>
      <c r="Z2006" s="58" t="s">
        <v>239</v>
      </c>
      <c r="CH2006" s="58" t="s">
        <v>18245</v>
      </c>
      <c r="CI2006" s="73">
        <v>44441.0</v>
      </c>
      <c r="CJ2006" s="58">
        <v>558.0</v>
      </c>
      <c r="CK2006" s="58">
        <v>569.0</v>
      </c>
      <c r="CL2006" s="58" t="s">
        <v>18246</v>
      </c>
      <c r="CN2006" s="58" t="s">
        <v>18247</v>
      </c>
      <c r="CO2006" s="58" t="s">
        <v>18248</v>
      </c>
      <c r="CP2006" s="58" t="s">
        <v>18249</v>
      </c>
      <c r="CR2006" s="58">
        <v>24.0</v>
      </c>
      <c r="CT2006" s="58">
        <v>47.0</v>
      </c>
      <c r="CU2006" s="58" t="s">
        <v>239</v>
      </c>
      <c r="DL2006" s="58" t="s">
        <v>18250</v>
      </c>
    </row>
    <row r="2007" ht="15.75" customHeight="1">
      <c r="B2007" s="58" t="s">
        <v>16392</v>
      </c>
      <c r="C2007" s="58">
        <v>2022.0</v>
      </c>
      <c r="D2007" s="58" t="s">
        <v>18251</v>
      </c>
      <c r="E2007" s="58" t="s">
        <v>18252</v>
      </c>
      <c r="F2007" s="58" t="s">
        <v>17596</v>
      </c>
      <c r="H2007" s="58" t="s">
        <v>17597</v>
      </c>
      <c r="I2007" s="58" t="s">
        <v>18253</v>
      </c>
      <c r="K2007" s="73">
        <v>44432.0</v>
      </c>
      <c r="Q2007" s="58">
        <v>5.0</v>
      </c>
      <c r="R2007" s="58">
        <v>26.0</v>
      </c>
      <c r="Z2007" s="58" t="s">
        <v>239</v>
      </c>
      <c r="CH2007" s="58" t="s">
        <v>18254</v>
      </c>
      <c r="CI2007" s="73">
        <v>44686.0</v>
      </c>
      <c r="CJ2007" s="58">
        <v>1961.0</v>
      </c>
      <c r="CK2007" s="58">
        <v>1968.0</v>
      </c>
      <c r="CL2007" s="58" t="s">
        <v>18255</v>
      </c>
      <c r="CN2007" s="58" t="s">
        <v>18256</v>
      </c>
      <c r="CO2007" s="58" t="s">
        <v>18257</v>
      </c>
      <c r="CP2007" s="58" t="s">
        <v>18258</v>
      </c>
      <c r="CQ2007" s="58" t="s">
        <v>18259</v>
      </c>
      <c r="CR2007" s="58">
        <v>24.0</v>
      </c>
      <c r="CT2007" s="58">
        <v>41.0</v>
      </c>
      <c r="CU2007" s="58" t="s">
        <v>239</v>
      </c>
      <c r="DL2007" s="58" t="s">
        <v>18260</v>
      </c>
    </row>
    <row r="2008" ht="15.75" customHeight="1">
      <c r="B2008" s="58" t="s">
        <v>16392</v>
      </c>
      <c r="C2008" s="58">
        <v>2023.0</v>
      </c>
      <c r="D2008" s="58" t="s">
        <v>18261</v>
      </c>
      <c r="E2008" s="58" t="s">
        <v>18262</v>
      </c>
      <c r="F2008" s="58" t="s">
        <v>17438</v>
      </c>
      <c r="H2008" s="58" t="s">
        <v>17439</v>
      </c>
      <c r="I2008" s="58" t="s">
        <v>18263</v>
      </c>
      <c r="K2008" s="73">
        <v>44643.0</v>
      </c>
      <c r="Q2008" s="58">
        <v>2.0</v>
      </c>
      <c r="R2008" s="58">
        <v>11.0</v>
      </c>
      <c r="Z2008" s="58" t="s">
        <v>239</v>
      </c>
      <c r="CH2008" s="58" t="s">
        <v>18264</v>
      </c>
      <c r="CI2008" s="73">
        <v>45083.0</v>
      </c>
      <c r="CJ2008" s="58">
        <v>1746.0</v>
      </c>
      <c r="CK2008" s="58">
        <v>1763.0</v>
      </c>
      <c r="CL2008" s="58" t="s">
        <v>18265</v>
      </c>
      <c r="CN2008" s="58" t="s">
        <v>18266</v>
      </c>
      <c r="CO2008" s="58" t="s">
        <v>18267</v>
      </c>
      <c r="CP2008" s="58" t="s">
        <v>18268</v>
      </c>
      <c r="CR2008" s="58">
        <v>24.0</v>
      </c>
      <c r="CT2008" s="58">
        <v>55.0</v>
      </c>
      <c r="CU2008" s="58" t="s">
        <v>239</v>
      </c>
      <c r="DL2008" s="58" t="s">
        <v>18269</v>
      </c>
    </row>
    <row r="2009" ht="15.75" customHeight="1">
      <c r="B2009" s="58" t="s">
        <v>16392</v>
      </c>
      <c r="C2009" s="58">
        <v>2021.0</v>
      </c>
      <c r="D2009" s="58" t="s">
        <v>18270</v>
      </c>
      <c r="E2009" s="58" t="s">
        <v>18271</v>
      </c>
      <c r="F2009" s="58" t="s">
        <v>16436</v>
      </c>
      <c r="H2009" s="58" t="s">
        <v>16437</v>
      </c>
      <c r="I2009" s="58" t="s">
        <v>18272</v>
      </c>
      <c r="K2009" s="73">
        <v>44434.0</v>
      </c>
      <c r="R2009" s="58">
        <v>9.0</v>
      </c>
      <c r="Z2009" s="58" t="s">
        <v>239</v>
      </c>
      <c r="CH2009" s="58" t="s">
        <v>18273</v>
      </c>
      <c r="CI2009" s="73">
        <v>44448.0</v>
      </c>
      <c r="CJ2009" s="58">
        <v>121507.0</v>
      </c>
      <c r="CK2009" s="58">
        <v>121521.0</v>
      </c>
      <c r="CL2009" s="58" t="s">
        <v>18274</v>
      </c>
      <c r="CN2009" s="58" t="s">
        <v>18275</v>
      </c>
      <c r="CO2009" s="58" t="s">
        <v>18276</v>
      </c>
      <c r="CP2009" s="58" t="s">
        <v>18277</v>
      </c>
      <c r="CR2009" s="58">
        <v>24.0</v>
      </c>
      <c r="CT2009" s="58">
        <v>56.0</v>
      </c>
      <c r="CU2009" s="58" t="s">
        <v>16423</v>
      </c>
      <c r="DL2009" s="58" t="s">
        <v>18278</v>
      </c>
    </row>
    <row r="2010" ht="15.75" customHeight="1">
      <c r="B2010" s="58" t="s">
        <v>16392</v>
      </c>
      <c r="C2010" s="58">
        <v>2023.0</v>
      </c>
      <c r="D2010" s="58" t="s">
        <v>18279</v>
      </c>
      <c r="E2010" s="58" t="s">
        <v>18280</v>
      </c>
      <c r="F2010" s="58" t="s">
        <v>16538</v>
      </c>
      <c r="H2010" s="58" t="s">
        <v>16539</v>
      </c>
      <c r="I2010" s="58" t="s">
        <v>18281</v>
      </c>
      <c r="K2010" s="73">
        <v>44880.0</v>
      </c>
      <c r="Q2010" s="58">
        <v>6.0</v>
      </c>
      <c r="R2010" s="58">
        <v>10.0</v>
      </c>
      <c r="Z2010" s="58" t="s">
        <v>239</v>
      </c>
      <c r="CH2010" s="58" t="s">
        <v>18282</v>
      </c>
      <c r="CI2010" s="73">
        <v>44992.0</v>
      </c>
      <c r="CJ2010" s="58">
        <v>5349.0</v>
      </c>
      <c r="CK2010" s="58">
        <v>5363.0</v>
      </c>
      <c r="CL2010" s="58" t="s">
        <v>18283</v>
      </c>
      <c r="CN2010" s="58" t="s">
        <v>18284</v>
      </c>
      <c r="CO2010" s="58" t="s">
        <v>18285</v>
      </c>
      <c r="CP2010" s="58" t="s">
        <v>18286</v>
      </c>
      <c r="CR2010" s="58">
        <v>24.0</v>
      </c>
      <c r="CT2010" s="58">
        <v>82.0</v>
      </c>
      <c r="CU2010" s="58" t="s">
        <v>16423</v>
      </c>
      <c r="DL2010" s="58" t="s">
        <v>18287</v>
      </c>
    </row>
    <row r="2011" ht="15.75" customHeight="1">
      <c r="B2011" s="58" t="s">
        <v>16392</v>
      </c>
      <c r="C2011" s="58">
        <v>2023.0</v>
      </c>
      <c r="D2011" s="58" t="s">
        <v>18288</v>
      </c>
      <c r="E2011" s="58" t="s">
        <v>18289</v>
      </c>
      <c r="F2011" s="58" t="s">
        <v>16538</v>
      </c>
      <c r="H2011" s="58" t="s">
        <v>16539</v>
      </c>
      <c r="I2011" s="58" t="s">
        <v>18290</v>
      </c>
      <c r="K2011" s="73">
        <v>45142.0</v>
      </c>
      <c r="Q2011" s="58">
        <v>24.0</v>
      </c>
      <c r="R2011" s="58">
        <v>10.0</v>
      </c>
      <c r="Z2011" s="58" t="s">
        <v>239</v>
      </c>
      <c r="CH2011" s="58" t="s">
        <v>18291</v>
      </c>
      <c r="CI2011" s="73">
        <v>45271.0</v>
      </c>
      <c r="CJ2011" s="58">
        <v>21855.0</v>
      </c>
      <c r="CK2011" s="58">
        <v>21872.0</v>
      </c>
      <c r="CL2011" s="58" t="s">
        <v>18292</v>
      </c>
      <c r="CN2011" s="58" t="s">
        <v>18293</v>
      </c>
      <c r="CO2011" s="58" t="s">
        <v>18294</v>
      </c>
      <c r="CP2011" s="58" t="s">
        <v>18295</v>
      </c>
      <c r="CR2011" s="58">
        <v>24.0</v>
      </c>
      <c r="CT2011" s="58">
        <v>153.0</v>
      </c>
      <c r="CU2011" s="58" t="s">
        <v>239</v>
      </c>
      <c r="DL2011" s="58" t="s">
        <v>18296</v>
      </c>
    </row>
    <row r="2012" ht="15.75" customHeight="1">
      <c r="B2012" s="58" t="s">
        <v>16392</v>
      </c>
      <c r="C2012" s="58">
        <v>2023.0</v>
      </c>
      <c r="D2012" s="58" t="s">
        <v>18297</v>
      </c>
      <c r="E2012" s="58" t="s">
        <v>18298</v>
      </c>
      <c r="F2012" s="58" t="s">
        <v>17136</v>
      </c>
      <c r="H2012" s="58" t="s">
        <v>17137</v>
      </c>
      <c r="I2012" s="58" t="s">
        <v>18299</v>
      </c>
      <c r="K2012" s="73">
        <v>44782.0</v>
      </c>
      <c r="Q2012" s="58">
        <v>11.0</v>
      </c>
      <c r="R2012" s="58">
        <v>22.0</v>
      </c>
      <c r="Z2012" s="58" t="s">
        <v>239</v>
      </c>
      <c r="CH2012" s="58" t="s">
        <v>18300</v>
      </c>
      <c r="CI2012" s="73">
        <v>45202.0</v>
      </c>
      <c r="CJ2012" s="58">
        <v>6663.0</v>
      </c>
      <c r="CK2012" s="58">
        <v>6675.0</v>
      </c>
      <c r="CL2012" s="58" t="s">
        <v>18301</v>
      </c>
      <c r="CN2012" s="58" t="s">
        <v>18302</v>
      </c>
      <c r="CO2012" s="58" t="s">
        <v>18303</v>
      </c>
      <c r="CP2012" s="58" t="s">
        <v>18304</v>
      </c>
      <c r="CR2012" s="58">
        <v>23.0</v>
      </c>
      <c r="CT2012" s="58">
        <v>41.0</v>
      </c>
      <c r="CU2012" s="58" t="s">
        <v>239</v>
      </c>
      <c r="DL2012" s="58" t="s">
        <v>18305</v>
      </c>
    </row>
    <row r="2013" ht="15.75" customHeight="1">
      <c r="B2013" s="58" t="s">
        <v>16392</v>
      </c>
      <c r="C2013" s="58">
        <v>2022.0</v>
      </c>
      <c r="D2013" s="58" t="s">
        <v>18306</v>
      </c>
      <c r="E2013" s="58" t="s">
        <v>18307</v>
      </c>
      <c r="F2013" s="58" t="s">
        <v>16436</v>
      </c>
      <c r="H2013" s="58" t="s">
        <v>16437</v>
      </c>
      <c r="I2013" s="58" t="s">
        <v>18308</v>
      </c>
      <c r="K2013" s="73">
        <v>44869.0</v>
      </c>
      <c r="R2013" s="58">
        <v>10.0</v>
      </c>
      <c r="Z2013" s="58" t="s">
        <v>239</v>
      </c>
      <c r="CH2013" s="58" t="s">
        <v>18309</v>
      </c>
      <c r="CI2013" s="73">
        <v>44880.0</v>
      </c>
      <c r="CJ2013" s="58">
        <v>118353.0</v>
      </c>
      <c r="CK2013" s="58">
        <v>118369.0</v>
      </c>
      <c r="CL2013" s="58" t="s">
        <v>18310</v>
      </c>
      <c r="CN2013" s="58" t="s">
        <v>18311</v>
      </c>
      <c r="CO2013" s="58" t="s">
        <v>18312</v>
      </c>
      <c r="CP2013" s="58" t="s">
        <v>18313</v>
      </c>
      <c r="CR2013" s="58">
        <v>23.0</v>
      </c>
      <c r="CT2013" s="58">
        <v>84.0</v>
      </c>
      <c r="CU2013" s="58" t="s">
        <v>16423</v>
      </c>
      <c r="DL2013" s="58" t="s">
        <v>18314</v>
      </c>
    </row>
    <row r="2014" ht="15.75" customHeight="1">
      <c r="B2014" s="58" t="s">
        <v>16392</v>
      </c>
      <c r="C2014" s="58">
        <v>2023.0</v>
      </c>
      <c r="D2014" s="58" t="s">
        <v>18315</v>
      </c>
      <c r="E2014" s="58" t="s">
        <v>18316</v>
      </c>
      <c r="F2014" s="58" t="s">
        <v>16395</v>
      </c>
      <c r="H2014" s="58" t="s">
        <v>16396</v>
      </c>
      <c r="I2014" s="58" t="s">
        <v>18317</v>
      </c>
      <c r="K2014" s="73">
        <v>45188.0</v>
      </c>
      <c r="Q2014" s="58">
        <v>4.0</v>
      </c>
      <c r="R2014" s="58">
        <v>25.0</v>
      </c>
      <c r="Z2014" s="58" t="s">
        <v>239</v>
      </c>
      <c r="CH2014" s="58" t="s">
        <v>18318</v>
      </c>
      <c r="CI2014" s="73">
        <v>45251.0</v>
      </c>
      <c r="CJ2014" s="58">
        <v>2654.0</v>
      </c>
      <c r="CK2014" s="58">
        <v>2713.0</v>
      </c>
      <c r="CL2014" s="58" t="s">
        <v>18319</v>
      </c>
      <c r="CO2014" s="58" t="s">
        <v>18320</v>
      </c>
      <c r="CP2014" s="58" t="s">
        <v>18321</v>
      </c>
      <c r="CR2014" s="58">
        <v>23.0</v>
      </c>
      <c r="CT2014" s="58">
        <v>300.0</v>
      </c>
      <c r="CU2014" s="58" t="s">
        <v>239</v>
      </c>
      <c r="DL2014" s="58" t="s">
        <v>18322</v>
      </c>
    </row>
    <row r="2015" ht="15.75" customHeight="1">
      <c r="B2015" s="58" t="s">
        <v>16392</v>
      </c>
      <c r="C2015" s="58">
        <v>2023.0</v>
      </c>
      <c r="D2015" s="58" t="s">
        <v>18323</v>
      </c>
      <c r="E2015" s="58" t="s">
        <v>18324</v>
      </c>
      <c r="F2015" s="58" t="s">
        <v>17438</v>
      </c>
      <c r="H2015" s="58" t="s">
        <v>17439</v>
      </c>
      <c r="I2015" s="58" t="s">
        <v>18325</v>
      </c>
      <c r="K2015" s="73">
        <v>44672.0</v>
      </c>
      <c r="Q2015" s="58">
        <v>2.0</v>
      </c>
      <c r="R2015" s="58">
        <v>11.0</v>
      </c>
      <c r="Z2015" s="58" t="s">
        <v>239</v>
      </c>
      <c r="CH2015" s="58" t="s">
        <v>18326</v>
      </c>
      <c r="CI2015" s="73">
        <v>45083.0</v>
      </c>
      <c r="CJ2015" s="58">
        <v>1871.0</v>
      </c>
      <c r="CK2015" s="58">
        <v>1885.0</v>
      </c>
      <c r="CL2015" s="58" t="s">
        <v>18327</v>
      </c>
      <c r="CN2015" s="58" t="s">
        <v>18328</v>
      </c>
      <c r="CO2015" s="58" t="s">
        <v>18329</v>
      </c>
      <c r="CP2015" s="58" t="s">
        <v>18330</v>
      </c>
      <c r="CR2015" s="58">
        <v>23.0</v>
      </c>
      <c r="CT2015" s="58">
        <v>40.0</v>
      </c>
      <c r="CU2015" s="58" t="s">
        <v>239</v>
      </c>
      <c r="DL2015" s="58" t="s">
        <v>18331</v>
      </c>
    </row>
    <row r="2016" ht="15.75" customHeight="1">
      <c r="B2016" s="58" t="s">
        <v>16392</v>
      </c>
      <c r="C2016" s="58">
        <v>2022.0</v>
      </c>
      <c r="D2016" s="58" t="s">
        <v>18332</v>
      </c>
      <c r="E2016" s="58" t="s">
        <v>18333</v>
      </c>
      <c r="F2016" s="58" t="s">
        <v>18334</v>
      </c>
      <c r="H2016" s="58" t="s">
        <v>18335</v>
      </c>
      <c r="I2016" s="58" t="s">
        <v>18336</v>
      </c>
      <c r="K2016" s="73">
        <v>44490.0</v>
      </c>
      <c r="Q2016" s="58">
        <v>1.0</v>
      </c>
      <c r="R2016" s="58">
        <v>71.0</v>
      </c>
      <c r="Z2016" s="58" t="s">
        <v>239</v>
      </c>
      <c r="CH2016" s="58" t="s">
        <v>18337</v>
      </c>
      <c r="CI2016" s="73">
        <v>44581.0</v>
      </c>
      <c r="CJ2016" s="58">
        <v>653.0</v>
      </c>
      <c r="CK2016" s="58">
        <v>669.0</v>
      </c>
      <c r="CL2016" s="58" t="s">
        <v>18338</v>
      </c>
      <c r="CN2016" s="58" t="s">
        <v>18339</v>
      </c>
      <c r="CO2016" s="58" t="s">
        <v>18340</v>
      </c>
      <c r="CP2016" s="58" t="s">
        <v>18341</v>
      </c>
      <c r="CR2016" s="58">
        <v>23.0</v>
      </c>
      <c r="CT2016" s="58">
        <v>62.0</v>
      </c>
      <c r="CU2016" s="58" t="s">
        <v>239</v>
      </c>
      <c r="DL2016" s="58" t="s">
        <v>18342</v>
      </c>
    </row>
    <row r="2017" ht="15.75" customHeight="1">
      <c r="B2017" s="58" t="s">
        <v>16392</v>
      </c>
      <c r="C2017" s="58">
        <v>2023.0</v>
      </c>
      <c r="D2017" s="58" t="s">
        <v>18343</v>
      </c>
      <c r="E2017" s="58" t="s">
        <v>18344</v>
      </c>
      <c r="F2017" s="58" t="s">
        <v>16436</v>
      </c>
      <c r="H2017" s="58" t="s">
        <v>16437</v>
      </c>
      <c r="I2017" s="58" t="s">
        <v>18345</v>
      </c>
      <c r="K2017" s="73">
        <v>44986.0</v>
      </c>
      <c r="R2017" s="58">
        <v>11.0</v>
      </c>
      <c r="Z2017" s="58" t="s">
        <v>239</v>
      </c>
      <c r="CH2017" s="58" t="s">
        <v>18346</v>
      </c>
      <c r="CI2017" s="73">
        <v>44994.0</v>
      </c>
      <c r="CJ2017" s="58">
        <v>22266.0</v>
      </c>
      <c r="CK2017" s="58">
        <v>22282.0</v>
      </c>
      <c r="CL2017" s="58" t="s">
        <v>18347</v>
      </c>
      <c r="CN2017" s="58" t="s">
        <v>18348</v>
      </c>
      <c r="CO2017" s="58" t="s">
        <v>18349</v>
      </c>
      <c r="CP2017" s="58" t="s">
        <v>18350</v>
      </c>
      <c r="CR2017" s="58">
        <v>23.0</v>
      </c>
      <c r="CT2017" s="58">
        <v>44.0</v>
      </c>
      <c r="CU2017" s="58" t="s">
        <v>16727</v>
      </c>
      <c r="DL2017" s="58" t="s">
        <v>18351</v>
      </c>
    </row>
    <row r="2018" ht="15.75" customHeight="1">
      <c r="B2018" s="58" t="s">
        <v>16392</v>
      </c>
      <c r="C2018" s="58">
        <v>2021.0</v>
      </c>
      <c r="D2018" s="58" t="s">
        <v>18352</v>
      </c>
      <c r="E2018" s="58" t="s">
        <v>18353</v>
      </c>
      <c r="F2018" s="58" t="s">
        <v>16436</v>
      </c>
      <c r="H2018" s="58" t="s">
        <v>16437</v>
      </c>
      <c r="I2018" s="58" t="s">
        <v>18354</v>
      </c>
      <c r="K2018" s="73">
        <v>44372.0</v>
      </c>
      <c r="R2018" s="58">
        <v>9.0</v>
      </c>
      <c r="Z2018" s="58" t="s">
        <v>239</v>
      </c>
      <c r="CH2018" s="58" t="s">
        <v>18355</v>
      </c>
      <c r="CI2018" s="73">
        <v>44378.0</v>
      </c>
      <c r="CJ2018" s="58">
        <v>92531.0</v>
      </c>
      <c r="CK2018" s="58">
        <v>92552.0</v>
      </c>
      <c r="CL2018" s="58" t="s">
        <v>18356</v>
      </c>
      <c r="CN2018" s="58" t="s">
        <v>18357</v>
      </c>
      <c r="CO2018" s="58" t="s">
        <v>18358</v>
      </c>
      <c r="CP2018" s="58" t="s">
        <v>18359</v>
      </c>
      <c r="CR2018" s="58">
        <v>23.0</v>
      </c>
      <c r="CT2018" s="58">
        <v>53.0</v>
      </c>
      <c r="CU2018" s="58" t="s">
        <v>16423</v>
      </c>
      <c r="DL2018" s="58" t="s">
        <v>18360</v>
      </c>
    </row>
    <row r="2019" ht="15.75" customHeight="1">
      <c r="B2019" s="58" t="s">
        <v>16392</v>
      </c>
      <c r="C2019" s="58">
        <v>2021.0</v>
      </c>
      <c r="D2019" s="58" t="s">
        <v>18361</v>
      </c>
      <c r="E2019" s="58" t="s">
        <v>18362</v>
      </c>
      <c r="F2019" s="58" t="s">
        <v>16436</v>
      </c>
      <c r="H2019" s="58" t="s">
        <v>16437</v>
      </c>
      <c r="I2019" s="58" t="s">
        <v>18363</v>
      </c>
      <c r="K2019" s="73">
        <v>44313.0</v>
      </c>
      <c r="R2019" s="58">
        <v>9.0</v>
      </c>
      <c r="Z2019" s="58" t="s">
        <v>239</v>
      </c>
      <c r="CH2019" s="58" t="s">
        <v>18364</v>
      </c>
      <c r="CI2019" s="73">
        <v>44333.0</v>
      </c>
      <c r="CJ2019" s="58">
        <v>70192.0</v>
      </c>
      <c r="CK2019" s="58">
        <v>70213.0</v>
      </c>
      <c r="CL2019" s="58" t="s">
        <v>18365</v>
      </c>
      <c r="CN2019" s="58" t="s">
        <v>18366</v>
      </c>
      <c r="CO2019" s="58" t="s">
        <v>18367</v>
      </c>
      <c r="CP2019" s="58" t="s">
        <v>18368</v>
      </c>
      <c r="CR2019" s="58">
        <v>22.0</v>
      </c>
      <c r="CT2019" s="58">
        <v>54.0</v>
      </c>
      <c r="CU2019" s="58" t="s">
        <v>16423</v>
      </c>
      <c r="DL2019" s="58" t="s">
        <v>18369</v>
      </c>
    </row>
    <row r="2020" ht="15.75" customHeight="1">
      <c r="B2020" s="58" t="s">
        <v>16392</v>
      </c>
      <c r="C2020" s="58">
        <v>2022.0</v>
      </c>
      <c r="D2020" s="58" t="s">
        <v>18370</v>
      </c>
      <c r="E2020" s="58" t="s">
        <v>18371</v>
      </c>
      <c r="F2020" s="58" t="s">
        <v>16436</v>
      </c>
      <c r="H2020" s="58" t="s">
        <v>16437</v>
      </c>
      <c r="I2020" s="58" t="s">
        <v>18372</v>
      </c>
      <c r="K2020" s="73">
        <v>44837.0</v>
      </c>
      <c r="R2020" s="58">
        <v>10.0</v>
      </c>
      <c r="Z2020" s="58" t="s">
        <v>239</v>
      </c>
      <c r="CH2020" s="58" t="s">
        <v>18373</v>
      </c>
      <c r="CI2020" s="73">
        <v>44853.0</v>
      </c>
      <c r="CJ2020" s="58">
        <v>109395.0</v>
      </c>
      <c r="CK2020" s="58">
        <v>109430.0</v>
      </c>
      <c r="CL2020" s="58" t="s">
        <v>18374</v>
      </c>
      <c r="CN2020" s="58" t="s">
        <v>18375</v>
      </c>
      <c r="CO2020" s="58" t="s">
        <v>18376</v>
      </c>
      <c r="CP2020" s="58" t="s">
        <v>18377</v>
      </c>
      <c r="CR2020" s="58">
        <v>22.0</v>
      </c>
      <c r="CT2020" s="58">
        <v>215.0</v>
      </c>
      <c r="CU2020" s="58" t="s">
        <v>16423</v>
      </c>
      <c r="DL2020" s="58" t="s">
        <v>18378</v>
      </c>
    </row>
    <row r="2021" ht="15.75" customHeight="1">
      <c r="B2021" s="58" t="s">
        <v>16392</v>
      </c>
      <c r="C2021" s="58">
        <v>2020.0</v>
      </c>
      <c r="D2021" s="58" t="s">
        <v>18379</v>
      </c>
      <c r="E2021" s="58" t="s">
        <v>18380</v>
      </c>
      <c r="F2021" s="58" t="s">
        <v>16436</v>
      </c>
      <c r="H2021" s="58" t="s">
        <v>16437</v>
      </c>
      <c r="I2021" s="58" t="s">
        <v>18381</v>
      </c>
      <c r="K2021" s="73">
        <v>44182.0</v>
      </c>
      <c r="R2021" s="58">
        <v>8.0</v>
      </c>
      <c r="Z2021" s="58" t="s">
        <v>239</v>
      </c>
      <c r="CH2021" s="58" t="s">
        <v>18382</v>
      </c>
      <c r="CI2021" s="73">
        <v>44195.0</v>
      </c>
      <c r="CJ2021" s="58">
        <v>229117.0</v>
      </c>
      <c r="CK2021" s="58">
        <v>229131.0</v>
      </c>
      <c r="CL2021" s="58" t="s">
        <v>18383</v>
      </c>
      <c r="CN2021" s="58" t="s">
        <v>18384</v>
      </c>
      <c r="CO2021" s="58" t="s">
        <v>18385</v>
      </c>
      <c r="CP2021" s="58" t="s">
        <v>18386</v>
      </c>
      <c r="CR2021" s="58">
        <v>22.0</v>
      </c>
      <c r="CT2021" s="58">
        <v>54.0</v>
      </c>
      <c r="CU2021" s="58" t="s">
        <v>16423</v>
      </c>
      <c r="DL2021" s="58" t="s">
        <v>18387</v>
      </c>
    </row>
    <row r="2022" ht="15.75" customHeight="1">
      <c r="B2022" s="58" t="s">
        <v>16392</v>
      </c>
      <c r="C2022" s="58">
        <v>2021.0</v>
      </c>
      <c r="D2022" s="58" t="s">
        <v>16782</v>
      </c>
      <c r="E2022" s="58" t="s">
        <v>18388</v>
      </c>
      <c r="F2022" s="58" t="s">
        <v>16538</v>
      </c>
      <c r="H2022" s="58" t="s">
        <v>16539</v>
      </c>
      <c r="I2022" s="58" t="s">
        <v>18389</v>
      </c>
      <c r="K2022" s="73">
        <v>44067.0</v>
      </c>
      <c r="Q2022" s="58">
        <v>12.0</v>
      </c>
      <c r="R2022" s="58">
        <v>8.0</v>
      </c>
      <c r="Z2022" s="58" t="s">
        <v>239</v>
      </c>
      <c r="CH2022" s="58" t="s">
        <v>16785</v>
      </c>
      <c r="CI2022" s="73">
        <v>44351.0</v>
      </c>
      <c r="CJ2022" s="58">
        <v>9568.0</v>
      </c>
      <c r="CK2022" s="58">
        <v>9579.0</v>
      </c>
      <c r="CL2022" s="58" t="s">
        <v>18390</v>
      </c>
      <c r="CN2022" s="58" t="s">
        <v>16787</v>
      </c>
      <c r="CO2022" s="58" t="s">
        <v>18391</v>
      </c>
      <c r="CP2022" s="58" t="s">
        <v>18392</v>
      </c>
      <c r="CR2022" s="58">
        <v>22.0</v>
      </c>
      <c r="CT2022" s="58">
        <v>105.0</v>
      </c>
      <c r="CU2022" s="58" t="s">
        <v>239</v>
      </c>
      <c r="DL2022" s="58" t="s">
        <v>18393</v>
      </c>
    </row>
    <row r="2023" ht="15.75" customHeight="1">
      <c r="B2023" s="58" t="s">
        <v>16392</v>
      </c>
      <c r="C2023" s="58">
        <v>2019.0</v>
      </c>
      <c r="D2023" s="58" t="s">
        <v>18394</v>
      </c>
      <c r="E2023" s="58" t="s">
        <v>18395</v>
      </c>
      <c r="F2023" s="58" t="s">
        <v>16959</v>
      </c>
      <c r="H2023" s="58" t="s">
        <v>16960</v>
      </c>
      <c r="I2023" s="58" t="s">
        <v>18396</v>
      </c>
      <c r="K2023" s="73">
        <v>43761.0</v>
      </c>
      <c r="Q2023" s="58">
        <v>4.0</v>
      </c>
      <c r="R2023" s="58">
        <v>16.0</v>
      </c>
      <c r="Z2023" s="58" t="s">
        <v>239</v>
      </c>
      <c r="CH2023" s="58" t="s">
        <v>18397</v>
      </c>
      <c r="CI2023" s="73">
        <v>43809.0</v>
      </c>
      <c r="CJ2023" s="58">
        <v>1419.0</v>
      </c>
      <c r="CK2023" s="58">
        <v>1434.0</v>
      </c>
      <c r="CL2023" s="58" t="s">
        <v>18398</v>
      </c>
      <c r="CN2023" s="58" t="s">
        <v>18399</v>
      </c>
      <c r="CO2023" s="58" t="s">
        <v>18400</v>
      </c>
      <c r="CP2023" s="58" t="s">
        <v>18401</v>
      </c>
      <c r="CR2023" s="58">
        <v>22.0</v>
      </c>
      <c r="CT2023" s="58">
        <v>47.0</v>
      </c>
      <c r="CU2023" s="58" t="s">
        <v>239</v>
      </c>
      <c r="DL2023" s="58" t="s">
        <v>18402</v>
      </c>
    </row>
    <row r="2024" ht="15.75" customHeight="1">
      <c r="B2024" s="58" t="s">
        <v>16392</v>
      </c>
      <c r="C2024" s="58">
        <v>2022.0</v>
      </c>
      <c r="D2024" s="58" t="s">
        <v>18403</v>
      </c>
      <c r="E2024" s="58" t="s">
        <v>18404</v>
      </c>
      <c r="F2024" s="58" t="s">
        <v>16731</v>
      </c>
      <c r="H2024" s="58" t="s">
        <v>16732</v>
      </c>
      <c r="I2024" s="58" t="s">
        <v>18405</v>
      </c>
      <c r="K2024" s="73">
        <v>44510.0</v>
      </c>
      <c r="Q2024" s="58">
        <v>11.0</v>
      </c>
      <c r="R2024" s="58">
        <v>18.0</v>
      </c>
      <c r="Z2024" s="58" t="s">
        <v>239</v>
      </c>
      <c r="CH2024" s="58" t="s">
        <v>18406</v>
      </c>
      <c r="CI2024" s="73">
        <v>44823.0</v>
      </c>
      <c r="CJ2024" s="58">
        <v>7843.0</v>
      </c>
      <c r="CK2024" s="58">
        <v>7852.0</v>
      </c>
      <c r="CL2024" s="58" t="s">
        <v>18407</v>
      </c>
      <c r="CN2024" s="58" t="s">
        <v>18408</v>
      </c>
      <c r="CO2024" s="58" t="s">
        <v>18409</v>
      </c>
      <c r="CP2024" s="58" t="s">
        <v>18410</v>
      </c>
      <c r="CR2024" s="58">
        <v>22.0</v>
      </c>
      <c r="CT2024" s="58">
        <v>25.0</v>
      </c>
      <c r="CU2024" s="58" t="s">
        <v>239</v>
      </c>
      <c r="DL2024" s="58" t="s">
        <v>18411</v>
      </c>
    </row>
    <row r="2025" ht="15.75" customHeight="1">
      <c r="B2025" s="58" t="s">
        <v>16392</v>
      </c>
      <c r="C2025" s="58">
        <v>2022.0</v>
      </c>
      <c r="D2025" s="58" t="s">
        <v>18412</v>
      </c>
      <c r="E2025" s="58" t="s">
        <v>18413</v>
      </c>
      <c r="F2025" s="58" t="s">
        <v>16436</v>
      </c>
      <c r="H2025" s="58" t="s">
        <v>16437</v>
      </c>
      <c r="I2025" s="58" t="s">
        <v>18414</v>
      </c>
      <c r="K2025" s="73">
        <v>44860.0</v>
      </c>
      <c r="R2025" s="58">
        <v>10.0</v>
      </c>
      <c r="Z2025" s="58" t="s">
        <v>239</v>
      </c>
      <c r="CH2025" s="58" t="s">
        <v>18415</v>
      </c>
      <c r="CI2025" s="73">
        <v>44872.0</v>
      </c>
      <c r="CJ2025" s="58">
        <v>113808.0</v>
      </c>
      <c r="CK2025" s="58">
        <v>113826.0</v>
      </c>
      <c r="CL2025" s="58" t="s">
        <v>18416</v>
      </c>
      <c r="CN2025" s="58" t="s">
        <v>18417</v>
      </c>
      <c r="CO2025" s="58" t="s">
        <v>18418</v>
      </c>
      <c r="CP2025" s="58" t="s">
        <v>18419</v>
      </c>
      <c r="CR2025" s="58">
        <v>22.0</v>
      </c>
      <c r="CT2025" s="58">
        <v>96.0</v>
      </c>
      <c r="CU2025" s="58" t="s">
        <v>16423</v>
      </c>
      <c r="DL2025" s="58" t="s">
        <v>18420</v>
      </c>
    </row>
    <row r="2026" ht="15.75" customHeight="1">
      <c r="B2026" s="58" t="s">
        <v>16392</v>
      </c>
      <c r="C2026" s="58">
        <v>2022.0</v>
      </c>
      <c r="D2026" s="58" t="s">
        <v>18421</v>
      </c>
      <c r="E2026" s="58" t="s">
        <v>18422</v>
      </c>
      <c r="F2026" s="58" t="s">
        <v>16436</v>
      </c>
      <c r="H2026" s="58" t="s">
        <v>16437</v>
      </c>
      <c r="I2026" s="58" t="s">
        <v>18423</v>
      </c>
      <c r="K2026" s="73">
        <v>44832.0</v>
      </c>
      <c r="R2026" s="58">
        <v>10.0</v>
      </c>
      <c r="Z2026" s="58" t="s">
        <v>239</v>
      </c>
      <c r="CH2026" s="58" t="s">
        <v>18424</v>
      </c>
      <c r="CI2026" s="73">
        <v>44845.0</v>
      </c>
      <c r="CJ2026" s="58">
        <v>104769.0</v>
      </c>
      <c r="CK2026" s="58">
        <v>104782.0</v>
      </c>
      <c r="CL2026" s="58" t="s">
        <v>18425</v>
      </c>
      <c r="CN2026" s="58" t="s">
        <v>18426</v>
      </c>
      <c r="CO2026" s="58" t="s">
        <v>18427</v>
      </c>
      <c r="CP2026" s="58" t="s">
        <v>18428</v>
      </c>
      <c r="CR2026" s="58">
        <v>22.0</v>
      </c>
      <c r="CT2026" s="58">
        <v>74.0</v>
      </c>
      <c r="CU2026" s="58" t="s">
        <v>16423</v>
      </c>
      <c r="DL2026" s="58" t="s">
        <v>18429</v>
      </c>
    </row>
    <row r="2027" ht="15.75" customHeight="1">
      <c r="B2027" s="58" t="s">
        <v>16392</v>
      </c>
      <c r="C2027" s="58">
        <v>2022.0</v>
      </c>
      <c r="D2027" s="58" t="s">
        <v>18430</v>
      </c>
      <c r="E2027" s="58" t="s">
        <v>18431</v>
      </c>
      <c r="F2027" s="58" t="s">
        <v>16613</v>
      </c>
      <c r="H2027" s="58" t="s">
        <v>16614</v>
      </c>
      <c r="I2027" s="58" t="s">
        <v>18432</v>
      </c>
      <c r="K2027" s="73">
        <v>44306.0</v>
      </c>
      <c r="Q2027" s="58">
        <v>5.0</v>
      </c>
      <c r="R2027" s="58">
        <v>15.0</v>
      </c>
      <c r="Z2027" s="58" t="s">
        <v>239</v>
      </c>
      <c r="CH2027" s="58" t="s">
        <v>18433</v>
      </c>
      <c r="CI2027" s="73">
        <v>44840.0</v>
      </c>
      <c r="CJ2027" s="58">
        <v>2982.0</v>
      </c>
      <c r="CK2027" s="58">
        <v>2993.0</v>
      </c>
      <c r="CL2027" s="58" t="s">
        <v>18434</v>
      </c>
      <c r="CN2027" s="58" t="s">
        <v>18435</v>
      </c>
      <c r="CO2027" s="58" t="s">
        <v>18436</v>
      </c>
      <c r="CP2027" s="58" t="s">
        <v>18437</v>
      </c>
      <c r="CR2027" s="58">
        <v>21.0</v>
      </c>
      <c r="CT2027" s="58">
        <v>34.0</v>
      </c>
      <c r="CU2027" s="58" t="s">
        <v>239</v>
      </c>
      <c r="DL2027" s="58" t="s">
        <v>18438</v>
      </c>
    </row>
    <row r="2028" ht="15.75" customHeight="1">
      <c r="B2028" s="58" t="s">
        <v>16392</v>
      </c>
      <c r="C2028" s="58">
        <v>2022.0</v>
      </c>
      <c r="D2028" s="58" t="s">
        <v>18439</v>
      </c>
      <c r="E2028" s="58" t="s">
        <v>18440</v>
      </c>
      <c r="F2028" s="58" t="s">
        <v>18018</v>
      </c>
      <c r="H2028" s="58" t="s">
        <v>18019</v>
      </c>
      <c r="I2028" s="58" t="s">
        <v>18441</v>
      </c>
      <c r="K2028" s="73">
        <v>43553.0</v>
      </c>
      <c r="Q2028" s="58">
        <v>2.0</v>
      </c>
      <c r="R2028" s="58">
        <v>7.0</v>
      </c>
      <c r="Z2028" s="58" t="s">
        <v>239</v>
      </c>
      <c r="CH2028" s="58" t="s">
        <v>18442</v>
      </c>
      <c r="CI2028" s="73">
        <v>44721.0</v>
      </c>
      <c r="CJ2028" s="58">
        <v>299.0</v>
      </c>
      <c r="CK2028" s="58">
        <v>312.0</v>
      </c>
      <c r="CL2028" s="58" t="s">
        <v>18443</v>
      </c>
      <c r="CN2028" s="58" t="s">
        <v>18444</v>
      </c>
      <c r="CO2028" s="58" t="s">
        <v>18445</v>
      </c>
      <c r="CP2028" s="58" t="s">
        <v>18446</v>
      </c>
      <c r="CR2028" s="58">
        <v>21.0</v>
      </c>
      <c r="CT2028" s="58">
        <v>56.0</v>
      </c>
      <c r="CU2028" s="58" t="s">
        <v>239</v>
      </c>
      <c r="DL2028" s="58" t="s">
        <v>18447</v>
      </c>
    </row>
    <row r="2029" ht="15.75" customHeight="1">
      <c r="B2029" s="58" t="s">
        <v>16392</v>
      </c>
      <c r="C2029" s="58">
        <v>2022.0</v>
      </c>
      <c r="D2029" s="58" t="s">
        <v>18448</v>
      </c>
      <c r="E2029" s="58" t="s">
        <v>18449</v>
      </c>
      <c r="F2029" s="58" t="s">
        <v>16436</v>
      </c>
      <c r="H2029" s="58" t="s">
        <v>16437</v>
      </c>
      <c r="I2029" s="58" t="s">
        <v>18450</v>
      </c>
      <c r="K2029" s="73">
        <v>44655.0</v>
      </c>
      <c r="R2029" s="58">
        <v>10.0</v>
      </c>
      <c r="Z2029" s="58" t="s">
        <v>239</v>
      </c>
      <c r="CH2029" s="58" t="s">
        <v>18451</v>
      </c>
      <c r="CI2029" s="73">
        <v>44662.0</v>
      </c>
      <c r="CJ2029" s="58">
        <v>37050.0</v>
      </c>
      <c r="CK2029" s="58">
        <v>37063.0</v>
      </c>
      <c r="CL2029" s="58" t="s">
        <v>18452</v>
      </c>
      <c r="CN2029" s="58" t="s">
        <v>18453</v>
      </c>
      <c r="CO2029" s="58" t="s">
        <v>18454</v>
      </c>
      <c r="CP2029" s="58" t="s">
        <v>18455</v>
      </c>
      <c r="CR2029" s="58">
        <v>21.0</v>
      </c>
      <c r="CT2029" s="58">
        <v>73.0</v>
      </c>
      <c r="CU2029" s="58" t="s">
        <v>16423</v>
      </c>
      <c r="DL2029" s="58" t="s">
        <v>18456</v>
      </c>
    </row>
    <row r="2030" ht="15.75" customHeight="1">
      <c r="B2030" s="58" t="s">
        <v>16392</v>
      </c>
      <c r="C2030" s="58">
        <v>2021.0</v>
      </c>
      <c r="D2030" s="58" t="s">
        <v>18457</v>
      </c>
      <c r="E2030" s="58" t="s">
        <v>18458</v>
      </c>
      <c r="F2030" s="58" t="s">
        <v>16436</v>
      </c>
      <c r="H2030" s="58" t="s">
        <v>16437</v>
      </c>
      <c r="I2030" s="58" t="s">
        <v>18459</v>
      </c>
      <c r="K2030" s="73">
        <v>44326.0</v>
      </c>
      <c r="R2030" s="58">
        <v>9.0</v>
      </c>
      <c r="Z2030" s="58" t="s">
        <v>239</v>
      </c>
      <c r="CH2030" s="58" t="s">
        <v>18460</v>
      </c>
      <c r="CI2030" s="73">
        <v>44358.0</v>
      </c>
      <c r="CJ2030" s="58">
        <v>81236.0</v>
      </c>
      <c r="CK2030" s="58">
        <v>81252.0</v>
      </c>
      <c r="CL2030" s="58" t="s">
        <v>18461</v>
      </c>
      <c r="CN2030" s="58" t="s">
        <v>18462</v>
      </c>
      <c r="CO2030" s="58" t="s">
        <v>18463</v>
      </c>
      <c r="CP2030" s="58" t="s">
        <v>18464</v>
      </c>
      <c r="CR2030" s="58">
        <v>21.0</v>
      </c>
      <c r="CT2030" s="58">
        <v>39.0</v>
      </c>
      <c r="CU2030" s="58" t="s">
        <v>16423</v>
      </c>
      <c r="DL2030" s="58" t="s">
        <v>18465</v>
      </c>
    </row>
    <row r="2031" ht="15.75" customHeight="1">
      <c r="B2031" s="58" t="s">
        <v>16392</v>
      </c>
      <c r="C2031" s="58">
        <v>2019.0</v>
      </c>
      <c r="D2031" s="58" t="s">
        <v>18466</v>
      </c>
      <c r="E2031" s="58" t="s">
        <v>18467</v>
      </c>
      <c r="F2031" s="58" t="s">
        <v>16436</v>
      </c>
      <c r="H2031" s="58" t="s">
        <v>16437</v>
      </c>
      <c r="I2031" s="58" t="s">
        <v>18468</v>
      </c>
      <c r="K2031" s="73">
        <v>43804.0</v>
      </c>
      <c r="R2031" s="58">
        <v>7.0</v>
      </c>
      <c r="Z2031" s="58" t="s">
        <v>239</v>
      </c>
      <c r="CH2031" s="58" t="s">
        <v>18469</v>
      </c>
      <c r="CI2031" s="73">
        <v>43829.0</v>
      </c>
      <c r="CJ2031" s="58">
        <v>182796.0</v>
      </c>
      <c r="CK2031" s="58">
        <v>182813.0</v>
      </c>
      <c r="CL2031" s="58" t="s">
        <v>18470</v>
      </c>
      <c r="CN2031" s="58" t="s">
        <v>18471</v>
      </c>
      <c r="CO2031" s="58" t="s">
        <v>18472</v>
      </c>
      <c r="CP2031" s="58" t="s">
        <v>18473</v>
      </c>
      <c r="CR2031" s="58">
        <v>21.0</v>
      </c>
      <c r="CT2031" s="58">
        <v>58.0</v>
      </c>
      <c r="CU2031" s="58" t="s">
        <v>16423</v>
      </c>
      <c r="DL2031" s="58" t="s">
        <v>18474</v>
      </c>
    </row>
    <row r="2032" ht="15.75" customHeight="1">
      <c r="B2032" s="58" t="s">
        <v>16392</v>
      </c>
      <c r="C2032" s="58">
        <v>2022.0</v>
      </c>
      <c r="D2032" s="58" t="s">
        <v>18475</v>
      </c>
      <c r="E2032" s="58" t="s">
        <v>18476</v>
      </c>
      <c r="F2032" s="58" t="s">
        <v>16731</v>
      </c>
      <c r="H2032" s="58" t="s">
        <v>16732</v>
      </c>
      <c r="I2032" s="58" t="s">
        <v>18477</v>
      </c>
      <c r="K2032" s="73">
        <v>44412.0</v>
      </c>
      <c r="Q2032" s="58">
        <v>3.0</v>
      </c>
      <c r="R2032" s="58">
        <v>18.0</v>
      </c>
      <c r="Z2032" s="58" t="s">
        <v>239</v>
      </c>
      <c r="CH2032" s="58" t="s">
        <v>18478</v>
      </c>
      <c r="CI2032" s="73">
        <v>44537.0</v>
      </c>
      <c r="CJ2032" s="58">
        <v>1949.0</v>
      </c>
      <c r="CK2032" s="58">
        <v>1956.0</v>
      </c>
      <c r="CL2032" s="58" t="s">
        <v>18479</v>
      </c>
      <c r="CN2032" s="58" t="s">
        <v>18480</v>
      </c>
      <c r="CO2032" s="58" t="s">
        <v>18481</v>
      </c>
      <c r="CP2032" s="58" t="s">
        <v>18482</v>
      </c>
      <c r="CR2032" s="58">
        <v>20.0</v>
      </c>
      <c r="CT2032" s="58">
        <v>19.0</v>
      </c>
      <c r="CU2032" s="58" t="s">
        <v>239</v>
      </c>
      <c r="DL2032" s="58" t="s">
        <v>18483</v>
      </c>
    </row>
    <row r="2033" ht="15.75" customHeight="1">
      <c r="B2033" s="58" t="s">
        <v>16392</v>
      </c>
      <c r="C2033" s="58">
        <v>2020.0</v>
      </c>
      <c r="D2033" s="58" t="s">
        <v>18484</v>
      </c>
      <c r="E2033" s="58" t="s">
        <v>18485</v>
      </c>
      <c r="F2033" s="58" t="s">
        <v>16538</v>
      </c>
      <c r="H2033" s="58" t="s">
        <v>16539</v>
      </c>
      <c r="I2033" s="58" t="s">
        <v>18486</v>
      </c>
      <c r="K2033" s="73">
        <v>43802.0</v>
      </c>
      <c r="Q2033" s="58">
        <v>5.0</v>
      </c>
      <c r="R2033" s="58">
        <v>7.0</v>
      </c>
      <c r="Z2033" s="58" t="s">
        <v>239</v>
      </c>
      <c r="CH2033" s="58" t="s">
        <v>18487</v>
      </c>
      <c r="CI2033" s="73">
        <v>43964.0</v>
      </c>
      <c r="CJ2033" s="58">
        <v>4418.0</v>
      </c>
      <c r="CK2033" s="58">
        <v>4430.0</v>
      </c>
      <c r="CL2033" s="58" t="s">
        <v>18488</v>
      </c>
      <c r="CN2033" s="58" t="s">
        <v>18489</v>
      </c>
      <c r="CO2033" s="58" t="s">
        <v>18490</v>
      </c>
      <c r="CP2033" s="58" t="s">
        <v>18491</v>
      </c>
      <c r="CR2033" s="58">
        <v>20.0</v>
      </c>
      <c r="CT2033" s="58">
        <v>42.0</v>
      </c>
      <c r="CU2033" s="58" t="s">
        <v>239</v>
      </c>
      <c r="DL2033" s="58" t="s">
        <v>18492</v>
      </c>
    </row>
    <row r="2034" ht="15.75" customHeight="1">
      <c r="B2034" s="58" t="s">
        <v>16392</v>
      </c>
      <c r="C2034" s="58">
        <v>2018.0</v>
      </c>
      <c r="D2034" s="58" t="s">
        <v>18493</v>
      </c>
      <c r="E2034" s="58" t="s">
        <v>18494</v>
      </c>
      <c r="F2034" s="58" t="s">
        <v>16538</v>
      </c>
      <c r="H2034" s="58" t="s">
        <v>16539</v>
      </c>
      <c r="I2034" s="58" t="s">
        <v>18495</v>
      </c>
      <c r="K2034" s="73">
        <v>43417.0</v>
      </c>
      <c r="Q2034" s="58">
        <v>6.0</v>
      </c>
      <c r="R2034" s="58">
        <v>5.0</v>
      </c>
      <c r="Z2034" s="58" t="s">
        <v>239</v>
      </c>
      <c r="CH2034" s="58" t="s">
        <v>18496</v>
      </c>
      <c r="CI2034" s="73">
        <v>43481.0</v>
      </c>
      <c r="CJ2034" s="58">
        <v>5030.0</v>
      </c>
      <c r="CK2034" s="58">
        <v>5045.0</v>
      </c>
      <c r="CL2034" s="58" t="s">
        <v>18497</v>
      </c>
      <c r="CN2034" s="58" t="s">
        <v>18498</v>
      </c>
      <c r="CO2034" s="58" t="s">
        <v>18499</v>
      </c>
      <c r="CP2034" s="58" t="s">
        <v>18500</v>
      </c>
      <c r="CR2034" s="58">
        <v>20.0</v>
      </c>
      <c r="CT2034" s="58">
        <v>77.0</v>
      </c>
      <c r="CU2034" s="58" t="s">
        <v>239</v>
      </c>
      <c r="DL2034" s="58" t="s">
        <v>18501</v>
      </c>
    </row>
    <row r="2035" ht="15.75" customHeight="1">
      <c r="B2035" s="58" t="s">
        <v>16392</v>
      </c>
      <c r="C2035" s="58">
        <v>2021.0</v>
      </c>
      <c r="D2035" s="58" t="s">
        <v>18502</v>
      </c>
      <c r="E2035" s="58" t="s">
        <v>18503</v>
      </c>
      <c r="F2035" s="58" t="s">
        <v>18504</v>
      </c>
      <c r="H2035" s="58" t="s">
        <v>18505</v>
      </c>
      <c r="I2035" s="58" t="s">
        <v>18506</v>
      </c>
      <c r="K2035" s="73">
        <v>44228.0</v>
      </c>
      <c r="R2035" s="58">
        <v>2.0</v>
      </c>
      <c r="Z2035" s="58" t="s">
        <v>239</v>
      </c>
      <c r="CH2035" s="58" t="s">
        <v>18507</v>
      </c>
      <c r="CI2035" s="73">
        <v>44246.0</v>
      </c>
      <c r="CJ2035" s="58">
        <v>153.0</v>
      </c>
      <c r="CK2035" s="58">
        <v>168.0</v>
      </c>
      <c r="CL2035" s="58" t="s">
        <v>18508</v>
      </c>
      <c r="CN2035" s="58" t="s">
        <v>18509</v>
      </c>
      <c r="CO2035" s="58" t="s">
        <v>18510</v>
      </c>
      <c r="CP2035" s="58" t="s">
        <v>18511</v>
      </c>
      <c r="CR2035" s="58">
        <v>20.0</v>
      </c>
      <c r="CT2035" s="58">
        <v>57.0</v>
      </c>
      <c r="CU2035" s="58" t="s">
        <v>16423</v>
      </c>
      <c r="DL2035" s="58" t="s">
        <v>18512</v>
      </c>
    </row>
    <row r="2036" ht="15.75" customHeight="1">
      <c r="B2036" s="58" t="s">
        <v>16392</v>
      </c>
      <c r="C2036" s="58">
        <v>2022.0</v>
      </c>
      <c r="D2036" s="58" t="s">
        <v>18513</v>
      </c>
      <c r="E2036" s="58" t="s">
        <v>18514</v>
      </c>
      <c r="F2036" s="58" t="s">
        <v>17654</v>
      </c>
      <c r="H2036" s="58" t="s">
        <v>17655</v>
      </c>
      <c r="I2036" s="58" t="s">
        <v>18515</v>
      </c>
      <c r="K2036" s="73">
        <v>44466.0</v>
      </c>
      <c r="Q2036" s="58">
        <v>7.0</v>
      </c>
      <c r="R2036" s="58">
        <v>23.0</v>
      </c>
      <c r="Z2036" s="58" t="s">
        <v>239</v>
      </c>
      <c r="CH2036" s="58" t="s">
        <v>18516</v>
      </c>
      <c r="CI2036" s="73">
        <v>44753.0</v>
      </c>
      <c r="CJ2036" s="58">
        <v>9765.0</v>
      </c>
      <c r="CK2036" s="58">
        <v>9774.0</v>
      </c>
      <c r="CL2036" s="58" t="s">
        <v>18517</v>
      </c>
      <c r="CO2036" s="58" t="s">
        <v>18518</v>
      </c>
      <c r="CP2036" s="58" t="s">
        <v>18519</v>
      </c>
      <c r="CR2036" s="58">
        <v>20.0</v>
      </c>
      <c r="CT2036" s="58">
        <v>28.0</v>
      </c>
      <c r="CU2036" s="58" t="s">
        <v>239</v>
      </c>
      <c r="DL2036" s="58" t="s">
        <v>18520</v>
      </c>
    </row>
    <row r="2037" ht="15.75" customHeight="1">
      <c r="B2037" s="58" t="s">
        <v>16392</v>
      </c>
      <c r="C2037" s="58">
        <v>2024.0</v>
      </c>
      <c r="D2037" s="58" t="s">
        <v>18521</v>
      </c>
      <c r="E2037" s="58" t="s">
        <v>18522</v>
      </c>
      <c r="F2037" s="58" t="s">
        <v>16395</v>
      </c>
      <c r="H2037" s="58" t="s">
        <v>16396</v>
      </c>
      <c r="I2037" s="58" t="s">
        <v>18523</v>
      </c>
      <c r="K2037" s="73">
        <v>45307.0</v>
      </c>
      <c r="Q2037" s="58">
        <v>3.0</v>
      </c>
      <c r="R2037" s="58">
        <v>26.0</v>
      </c>
      <c r="Z2037" s="58" t="s">
        <v>239</v>
      </c>
      <c r="CH2037" s="58" t="s">
        <v>18524</v>
      </c>
      <c r="CI2037" s="73">
        <v>45526.0</v>
      </c>
      <c r="CJ2037" s="58">
        <v>2176.0</v>
      </c>
      <c r="CK2037" s="58">
        <v>2212.0</v>
      </c>
      <c r="CL2037" s="58" t="s">
        <v>18525</v>
      </c>
      <c r="CN2037" s="58" t="s">
        <v>18526</v>
      </c>
      <c r="CO2037" s="58" t="s">
        <v>18527</v>
      </c>
      <c r="CP2037" s="58" t="s">
        <v>18528</v>
      </c>
      <c r="CR2037" s="58">
        <v>20.0</v>
      </c>
      <c r="CT2037" s="58">
        <v>222.0</v>
      </c>
      <c r="CU2037" s="58" t="s">
        <v>239</v>
      </c>
      <c r="DL2037" s="58" t="s">
        <v>18529</v>
      </c>
    </row>
    <row r="2038" ht="15.75" customHeight="1">
      <c r="B2038" s="58" t="s">
        <v>16392</v>
      </c>
      <c r="C2038" s="58">
        <v>2019.0</v>
      </c>
      <c r="D2038" s="58" t="s">
        <v>18530</v>
      </c>
      <c r="E2038" s="58" t="s">
        <v>18531</v>
      </c>
      <c r="F2038" s="58" t="s">
        <v>16436</v>
      </c>
      <c r="H2038" s="58" t="s">
        <v>16437</v>
      </c>
      <c r="I2038" s="58" t="s">
        <v>18532</v>
      </c>
      <c r="K2038" s="73">
        <v>43755.0</v>
      </c>
      <c r="R2038" s="58">
        <v>7.0</v>
      </c>
      <c r="Z2038" s="58" t="s">
        <v>239</v>
      </c>
      <c r="CH2038" s="58" t="s">
        <v>18533</v>
      </c>
      <c r="CI2038" s="73">
        <v>43770.0</v>
      </c>
      <c r="CJ2038" s="58">
        <v>155472.0</v>
      </c>
      <c r="CK2038" s="58">
        <v>155488.0</v>
      </c>
      <c r="CL2038" s="58" t="s">
        <v>18534</v>
      </c>
      <c r="CN2038" s="58" t="s">
        <v>18535</v>
      </c>
      <c r="CO2038" s="58" t="s">
        <v>18536</v>
      </c>
      <c r="CP2038" s="58" t="s">
        <v>18537</v>
      </c>
      <c r="CR2038" s="58">
        <v>20.0</v>
      </c>
      <c r="CT2038" s="58">
        <v>80.0</v>
      </c>
      <c r="CU2038" s="58" t="s">
        <v>16423</v>
      </c>
      <c r="DL2038" s="58" t="s">
        <v>18538</v>
      </c>
    </row>
    <row r="2039" ht="15.75" customHeight="1">
      <c r="B2039" s="58" t="s">
        <v>16392</v>
      </c>
      <c r="C2039" s="58">
        <v>2023.0</v>
      </c>
      <c r="D2039" s="58" t="s">
        <v>18539</v>
      </c>
      <c r="E2039" s="58" t="s">
        <v>18540</v>
      </c>
      <c r="F2039" s="58" t="s">
        <v>16436</v>
      </c>
      <c r="H2039" s="58" t="s">
        <v>16437</v>
      </c>
      <c r="I2039" s="58" t="s">
        <v>18541</v>
      </c>
      <c r="K2039" s="73">
        <v>45114.0</v>
      </c>
      <c r="R2039" s="58">
        <v>11.0</v>
      </c>
      <c r="Z2039" s="58" t="s">
        <v>239</v>
      </c>
      <c r="CH2039" s="58" t="s">
        <v>18542</v>
      </c>
      <c r="CI2039" s="73">
        <v>45126.0</v>
      </c>
      <c r="CJ2039" s="58">
        <v>70698.0</v>
      </c>
      <c r="CK2039" s="58">
        <v>70715.0</v>
      </c>
      <c r="CL2039" s="58" t="s">
        <v>18543</v>
      </c>
      <c r="CN2039" s="58" t="s">
        <v>18544</v>
      </c>
      <c r="CO2039" s="58" t="s">
        <v>18545</v>
      </c>
      <c r="CP2039" s="58" t="s">
        <v>18546</v>
      </c>
      <c r="CR2039" s="58">
        <v>20.0</v>
      </c>
      <c r="CT2039" s="58">
        <v>45.0</v>
      </c>
      <c r="CU2039" s="58" t="s">
        <v>16423</v>
      </c>
      <c r="DL2039" s="58" t="s">
        <v>18547</v>
      </c>
    </row>
    <row r="2040" ht="15.75" customHeight="1">
      <c r="B2040" s="58" t="s">
        <v>16392</v>
      </c>
      <c r="C2040" s="58">
        <v>2022.0</v>
      </c>
      <c r="D2040" s="58" t="s">
        <v>18548</v>
      </c>
      <c r="E2040" s="58" t="s">
        <v>18549</v>
      </c>
      <c r="F2040" s="58" t="s">
        <v>16613</v>
      </c>
      <c r="H2040" s="58" t="s">
        <v>16614</v>
      </c>
      <c r="I2040" s="58" t="s">
        <v>18550</v>
      </c>
      <c r="K2040" s="73">
        <v>44379.0</v>
      </c>
      <c r="Q2040" s="58">
        <v>6.0</v>
      </c>
      <c r="R2040" s="58">
        <v>15.0</v>
      </c>
      <c r="Z2040" s="58" t="s">
        <v>239</v>
      </c>
      <c r="CH2040" s="58" t="s">
        <v>18551</v>
      </c>
      <c r="CI2040" s="73">
        <v>44909.0</v>
      </c>
      <c r="CJ2040" s="58">
        <v>3358.0</v>
      </c>
      <c r="CK2040" s="58">
        <v>3371.0</v>
      </c>
      <c r="CL2040" s="58" t="s">
        <v>18552</v>
      </c>
      <c r="CN2040" s="58" t="s">
        <v>18553</v>
      </c>
      <c r="CO2040" s="58" t="s">
        <v>18554</v>
      </c>
      <c r="CP2040" s="58" t="s">
        <v>18555</v>
      </c>
      <c r="CR2040" s="58">
        <v>19.0</v>
      </c>
      <c r="CT2040" s="58">
        <v>46.0</v>
      </c>
      <c r="CU2040" s="58" t="s">
        <v>16423</v>
      </c>
      <c r="DL2040" s="58" t="s">
        <v>18556</v>
      </c>
    </row>
    <row r="2041" ht="15.75" customHeight="1">
      <c r="B2041" s="58" t="s">
        <v>16392</v>
      </c>
      <c r="C2041" s="58">
        <v>2020.0</v>
      </c>
      <c r="D2041" s="58" t="s">
        <v>18557</v>
      </c>
      <c r="E2041" s="58" t="s">
        <v>18558</v>
      </c>
      <c r="F2041" s="58" t="s">
        <v>16436</v>
      </c>
      <c r="H2041" s="58" t="s">
        <v>16437</v>
      </c>
      <c r="I2041" s="58" t="s">
        <v>18559</v>
      </c>
      <c r="K2041" s="73">
        <v>44029.0</v>
      </c>
      <c r="R2041" s="58">
        <v>8.0</v>
      </c>
      <c r="Z2041" s="58" t="s">
        <v>239</v>
      </c>
      <c r="CH2041" s="58" t="s">
        <v>18560</v>
      </c>
      <c r="CI2041" s="73">
        <v>44036.0</v>
      </c>
      <c r="CJ2041" s="58">
        <v>131760.0</v>
      </c>
      <c r="CK2041" s="58">
        <v>131778.0</v>
      </c>
      <c r="CL2041" s="58" t="s">
        <v>18561</v>
      </c>
      <c r="CN2041" s="58" t="s">
        <v>18562</v>
      </c>
      <c r="CO2041" s="58" t="s">
        <v>18563</v>
      </c>
      <c r="CP2041" s="58" t="s">
        <v>18564</v>
      </c>
      <c r="CR2041" s="58">
        <v>19.0</v>
      </c>
      <c r="CT2041" s="58">
        <v>58.0</v>
      </c>
      <c r="CU2041" s="58" t="s">
        <v>16423</v>
      </c>
      <c r="DL2041" s="58" t="s">
        <v>18565</v>
      </c>
    </row>
    <row r="2042" ht="15.75" customHeight="1">
      <c r="B2042" s="58" t="s">
        <v>16392</v>
      </c>
      <c r="C2042" s="58">
        <v>2022.0</v>
      </c>
      <c r="D2042" s="58" t="s">
        <v>18566</v>
      </c>
      <c r="E2042" s="58" t="s">
        <v>18567</v>
      </c>
      <c r="F2042" s="58" t="s">
        <v>18568</v>
      </c>
      <c r="H2042" s="58" t="s">
        <v>18569</v>
      </c>
      <c r="I2042" s="58" t="s">
        <v>18570</v>
      </c>
      <c r="K2042" s="73">
        <v>44790.0</v>
      </c>
      <c r="Q2042" s="58">
        <v>5.0</v>
      </c>
      <c r="R2042" s="58">
        <v>58.0</v>
      </c>
      <c r="Z2042" s="58" t="s">
        <v>239</v>
      </c>
      <c r="CH2042" s="58" t="s">
        <v>18571</v>
      </c>
      <c r="CI2042" s="73">
        <v>44844.0</v>
      </c>
      <c r="CJ2042" s="58">
        <v>3775.0</v>
      </c>
      <c r="CK2042" s="58">
        <v>3785.0</v>
      </c>
      <c r="CL2042" s="58" t="s">
        <v>18572</v>
      </c>
      <c r="CN2042" s="58" t="s">
        <v>18573</v>
      </c>
      <c r="CO2042" s="58" t="s">
        <v>18574</v>
      </c>
      <c r="CP2042" s="58" t="s">
        <v>18575</v>
      </c>
      <c r="CR2042" s="58">
        <v>19.0</v>
      </c>
      <c r="CT2042" s="58">
        <v>42.0</v>
      </c>
      <c r="CU2042" s="58" t="s">
        <v>16423</v>
      </c>
      <c r="DL2042" s="58" t="s">
        <v>18576</v>
      </c>
    </row>
    <row r="2043" ht="15.75" customHeight="1">
      <c r="B2043" s="58" t="s">
        <v>16392</v>
      </c>
      <c r="C2043" s="58">
        <v>2020.0</v>
      </c>
      <c r="D2043" s="58" t="s">
        <v>18577</v>
      </c>
      <c r="E2043" s="58" t="s">
        <v>18578</v>
      </c>
      <c r="F2043" s="58" t="s">
        <v>16436</v>
      </c>
      <c r="H2043" s="58" t="s">
        <v>16437</v>
      </c>
      <c r="I2043" s="58" t="s">
        <v>18579</v>
      </c>
      <c r="K2043" s="73">
        <v>44103.0</v>
      </c>
      <c r="R2043" s="58">
        <v>8.0</v>
      </c>
      <c r="Z2043" s="58" t="s">
        <v>239</v>
      </c>
      <c r="CH2043" s="58" t="s">
        <v>18580</v>
      </c>
      <c r="CI2043" s="73">
        <v>44110.0</v>
      </c>
      <c r="CJ2043" s="58">
        <v>177570.0</v>
      </c>
      <c r="CK2043" s="58">
        <v>177579.0</v>
      </c>
      <c r="CL2043" s="58" t="s">
        <v>18581</v>
      </c>
      <c r="CN2043" s="58" t="s">
        <v>18582</v>
      </c>
      <c r="CO2043" s="58" t="s">
        <v>18583</v>
      </c>
      <c r="CP2043" s="58" t="s">
        <v>18584</v>
      </c>
      <c r="CR2043" s="58">
        <v>19.0</v>
      </c>
      <c r="CT2043" s="58">
        <v>35.0</v>
      </c>
      <c r="CU2043" s="58" t="s">
        <v>16727</v>
      </c>
      <c r="DL2043" s="58" t="s">
        <v>18585</v>
      </c>
    </row>
    <row r="2044" ht="15.75" customHeight="1">
      <c r="B2044" s="58" t="s">
        <v>16392</v>
      </c>
      <c r="C2044" s="58">
        <v>2023.0</v>
      </c>
      <c r="D2044" s="58" t="s">
        <v>18586</v>
      </c>
      <c r="E2044" s="58" t="s">
        <v>18587</v>
      </c>
      <c r="F2044" s="58" t="s">
        <v>16436</v>
      </c>
      <c r="H2044" s="58" t="s">
        <v>16437</v>
      </c>
      <c r="I2044" s="58" t="s">
        <v>18588</v>
      </c>
      <c r="K2044" s="73">
        <v>44931.0</v>
      </c>
      <c r="R2044" s="58">
        <v>11.0</v>
      </c>
      <c r="Z2044" s="58" t="s">
        <v>239</v>
      </c>
      <c r="CH2044" s="58" t="s">
        <v>18589</v>
      </c>
      <c r="CI2044" s="73">
        <v>44937.0</v>
      </c>
      <c r="CJ2044" s="58">
        <v>2621.0</v>
      </c>
      <c r="CK2044" s="58">
        <v>2651.0</v>
      </c>
      <c r="CL2044" s="58" t="s">
        <v>18590</v>
      </c>
      <c r="CO2044" s="58" t="s">
        <v>18591</v>
      </c>
      <c r="CP2044" s="58" t="s">
        <v>18592</v>
      </c>
      <c r="CR2044" s="58">
        <v>19.0</v>
      </c>
      <c r="CT2044" s="58">
        <v>137.0</v>
      </c>
      <c r="CU2044" s="58" t="s">
        <v>16727</v>
      </c>
      <c r="DL2044" s="58" t="s">
        <v>18593</v>
      </c>
    </row>
    <row r="2045" ht="15.75" customHeight="1">
      <c r="B2045" s="58" t="s">
        <v>16392</v>
      </c>
      <c r="C2045" s="58">
        <v>2022.0</v>
      </c>
      <c r="D2045" s="58" t="s">
        <v>18594</v>
      </c>
      <c r="E2045" s="58" t="s">
        <v>18595</v>
      </c>
      <c r="F2045" s="58" t="s">
        <v>16436</v>
      </c>
      <c r="H2045" s="58" t="s">
        <v>16437</v>
      </c>
      <c r="I2045" s="58" t="s">
        <v>18596</v>
      </c>
      <c r="K2045" s="73">
        <v>44746.0</v>
      </c>
      <c r="R2045" s="58">
        <v>10.0</v>
      </c>
      <c r="Z2045" s="58" t="s">
        <v>239</v>
      </c>
      <c r="CH2045" s="58" t="s">
        <v>18597</v>
      </c>
      <c r="CI2045" s="73">
        <v>44754.0</v>
      </c>
      <c r="CJ2045" s="58">
        <v>70630.0</v>
      </c>
      <c r="CK2045" s="58">
        <v>70644.0</v>
      </c>
      <c r="CL2045" s="58" t="s">
        <v>18598</v>
      </c>
      <c r="CN2045" s="58" t="s">
        <v>18599</v>
      </c>
      <c r="CO2045" s="58" t="s">
        <v>18600</v>
      </c>
      <c r="CP2045" s="58" t="s">
        <v>18601</v>
      </c>
      <c r="CR2045" s="58">
        <v>19.0</v>
      </c>
      <c r="CT2045" s="58">
        <v>83.0</v>
      </c>
      <c r="CU2045" s="58" t="s">
        <v>16423</v>
      </c>
      <c r="DL2045" s="58" t="s">
        <v>18602</v>
      </c>
    </row>
    <row r="2046" ht="15.75" customHeight="1">
      <c r="B2046" s="58" t="s">
        <v>16392</v>
      </c>
      <c r="C2046" s="58">
        <v>2022.0</v>
      </c>
      <c r="D2046" s="58" t="s">
        <v>18603</v>
      </c>
      <c r="E2046" s="58" t="s">
        <v>18604</v>
      </c>
      <c r="F2046" s="58" t="s">
        <v>16436</v>
      </c>
      <c r="H2046" s="58" t="s">
        <v>16437</v>
      </c>
      <c r="I2046" s="58" t="s">
        <v>18605</v>
      </c>
      <c r="K2046" s="73">
        <v>44557.0</v>
      </c>
      <c r="R2046" s="58">
        <v>10.0</v>
      </c>
      <c r="Z2046" s="58" t="s">
        <v>239</v>
      </c>
      <c r="CH2046" s="58" t="s">
        <v>18606</v>
      </c>
      <c r="CI2046" s="73">
        <v>44567.0</v>
      </c>
      <c r="CJ2046" s="58">
        <v>981.0</v>
      </c>
      <c r="CK2046" s="58">
        <v>997.0</v>
      </c>
      <c r="CL2046" s="58" t="s">
        <v>18607</v>
      </c>
      <c r="CO2046" s="58" t="s">
        <v>18608</v>
      </c>
      <c r="CP2046" s="58" t="s">
        <v>18609</v>
      </c>
      <c r="CR2046" s="58">
        <v>19.0</v>
      </c>
      <c r="CT2046" s="58">
        <v>52.0</v>
      </c>
      <c r="CU2046" s="58" t="s">
        <v>16423</v>
      </c>
      <c r="DL2046" s="58" t="s">
        <v>18610</v>
      </c>
    </row>
    <row r="2047" ht="15.75" customHeight="1">
      <c r="B2047" s="58" t="s">
        <v>16392</v>
      </c>
      <c r="C2047" s="58">
        <v>2020.0</v>
      </c>
      <c r="D2047" s="58" t="s">
        <v>18611</v>
      </c>
      <c r="E2047" s="58" t="s">
        <v>18612</v>
      </c>
      <c r="F2047" s="58" t="s">
        <v>16436</v>
      </c>
      <c r="H2047" s="58" t="s">
        <v>16437</v>
      </c>
      <c r="I2047" s="58" t="s">
        <v>18613</v>
      </c>
      <c r="K2047" s="73">
        <v>44126.0</v>
      </c>
      <c r="R2047" s="58">
        <v>8.0</v>
      </c>
      <c r="Z2047" s="58" t="s">
        <v>239</v>
      </c>
      <c r="CH2047" s="58" t="s">
        <v>18614</v>
      </c>
      <c r="CI2047" s="73">
        <v>44132.0</v>
      </c>
      <c r="CJ2047" s="58">
        <v>192543.0</v>
      </c>
      <c r="CK2047" s="58">
        <v>192556.0</v>
      </c>
      <c r="CL2047" s="58" t="s">
        <v>18615</v>
      </c>
      <c r="CN2047" s="58" t="s">
        <v>18616</v>
      </c>
      <c r="CO2047" s="58" t="s">
        <v>18617</v>
      </c>
      <c r="CP2047" s="58" t="s">
        <v>18618</v>
      </c>
      <c r="CR2047" s="58">
        <v>19.0</v>
      </c>
      <c r="CT2047" s="58">
        <v>37.0</v>
      </c>
      <c r="CU2047" s="58" t="s">
        <v>16423</v>
      </c>
      <c r="DL2047" s="58" t="s">
        <v>18619</v>
      </c>
    </row>
    <row r="2048" ht="15.75" customHeight="1">
      <c r="B2048" s="58" t="s">
        <v>16392</v>
      </c>
      <c r="C2048" s="58">
        <v>2023.0</v>
      </c>
      <c r="D2048" s="58" t="s">
        <v>18620</v>
      </c>
      <c r="E2048" s="58" t="s">
        <v>18621</v>
      </c>
      <c r="F2048" s="58" t="s">
        <v>16959</v>
      </c>
      <c r="H2048" s="58" t="s">
        <v>16960</v>
      </c>
      <c r="I2048" s="58" t="s">
        <v>18622</v>
      </c>
      <c r="K2048" s="73">
        <v>44914.0</v>
      </c>
      <c r="Q2048" s="58">
        <v>3.0</v>
      </c>
      <c r="R2048" s="58">
        <v>20.0</v>
      </c>
      <c r="Z2048" s="58" t="s">
        <v>239</v>
      </c>
      <c r="CH2048" s="58" t="s">
        <v>18623</v>
      </c>
      <c r="CI2048" s="73">
        <v>45208.0</v>
      </c>
      <c r="CJ2048" s="58">
        <v>3318.0</v>
      </c>
      <c r="CK2048" s="58">
        <v>3333.0</v>
      </c>
      <c r="CL2048" s="58" t="s">
        <v>18624</v>
      </c>
      <c r="CO2048" s="58" t="s">
        <v>18625</v>
      </c>
      <c r="CP2048" s="58" t="s">
        <v>18626</v>
      </c>
      <c r="CR2048" s="58">
        <v>19.0</v>
      </c>
      <c r="CT2048" s="58">
        <v>42.0</v>
      </c>
      <c r="CU2048" s="58" t="s">
        <v>239</v>
      </c>
      <c r="DL2048" s="58" t="s">
        <v>18627</v>
      </c>
    </row>
    <row r="2049" ht="15.75" customHeight="1">
      <c r="B2049" s="58" t="s">
        <v>16392</v>
      </c>
      <c r="C2049" s="58">
        <v>2021.0</v>
      </c>
      <c r="D2049" s="58" t="s">
        <v>18628</v>
      </c>
      <c r="E2049" s="58" t="s">
        <v>18629</v>
      </c>
      <c r="F2049" s="58" t="s">
        <v>16436</v>
      </c>
      <c r="H2049" s="58" t="s">
        <v>16437</v>
      </c>
      <c r="I2049" s="58" t="s">
        <v>18630</v>
      </c>
      <c r="K2049" s="73">
        <v>44232.0</v>
      </c>
      <c r="R2049" s="58">
        <v>9.0</v>
      </c>
      <c r="Z2049" s="58" t="s">
        <v>239</v>
      </c>
      <c r="CH2049" s="58" t="s">
        <v>18631</v>
      </c>
      <c r="CI2049" s="73">
        <v>44242.0</v>
      </c>
      <c r="CJ2049" s="58">
        <v>26119.0</v>
      </c>
      <c r="CK2049" s="58">
        <v>26137.0</v>
      </c>
      <c r="CL2049" s="58" t="s">
        <v>18632</v>
      </c>
      <c r="CN2049" s="58" t="s">
        <v>18633</v>
      </c>
      <c r="CO2049" s="58" t="s">
        <v>18634</v>
      </c>
      <c r="CP2049" s="58" t="s">
        <v>18635</v>
      </c>
      <c r="CR2049" s="58">
        <v>18.0</v>
      </c>
      <c r="CT2049" s="58">
        <v>138.0</v>
      </c>
      <c r="CU2049" s="58" t="s">
        <v>16423</v>
      </c>
      <c r="DL2049" s="58" t="s">
        <v>18636</v>
      </c>
    </row>
    <row r="2050" ht="15.75" customHeight="1">
      <c r="B2050" s="58" t="s">
        <v>16392</v>
      </c>
      <c r="C2050" s="58">
        <v>2023.0</v>
      </c>
      <c r="D2050" s="58" t="s">
        <v>18637</v>
      </c>
      <c r="E2050" s="58" t="s">
        <v>18638</v>
      </c>
      <c r="F2050" s="58" t="s">
        <v>16959</v>
      </c>
      <c r="H2050" s="58" t="s">
        <v>16960</v>
      </c>
      <c r="I2050" s="58" t="s">
        <v>18639</v>
      </c>
      <c r="K2050" s="73">
        <v>45044.0</v>
      </c>
      <c r="Q2050" s="58">
        <v>4.0</v>
      </c>
      <c r="R2050" s="58">
        <v>20.0</v>
      </c>
      <c r="Z2050" s="58" t="s">
        <v>239</v>
      </c>
      <c r="CH2050" s="58" t="s">
        <v>18640</v>
      </c>
      <c r="CI2050" s="73">
        <v>45272.0</v>
      </c>
      <c r="CJ2050" s="58">
        <v>4461.0</v>
      </c>
      <c r="CK2050" s="58">
        <v>4477.0</v>
      </c>
      <c r="CL2050" s="58" t="s">
        <v>18641</v>
      </c>
      <c r="CN2050" s="58" t="s">
        <v>11826</v>
      </c>
      <c r="CO2050" s="58" t="s">
        <v>18642</v>
      </c>
      <c r="CP2050" s="58" t="s">
        <v>18643</v>
      </c>
      <c r="CR2050" s="58">
        <v>18.0</v>
      </c>
      <c r="CT2050" s="58">
        <v>99.0</v>
      </c>
      <c r="CU2050" s="58" t="s">
        <v>239</v>
      </c>
      <c r="DL2050" s="58" t="s">
        <v>18644</v>
      </c>
    </row>
    <row r="2051" ht="15.75" customHeight="1">
      <c r="B2051" s="58" t="s">
        <v>16392</v>
      </c>
      <c r="C2051" s="58">
        <v>2020.0</v>
      </c>
      <c r="D2051" s="58" t="s">
        <v>18645</v>
      </c>
      <c r="E2051" s="58" t="s">
        <v>18646</v>
      </c>
      <c r="F2051" s="58" t="s">
        <v>17164</v>
      </c>
      <c r="H2051" s="58" t="s">
        <v>17165</v>
      </c>
      <c r="I2051" s="58" t="s">
        <v>18647</v>
      </c>
      <c r="K2051" s="73">
        <v>43853.0</v>
      </c>
      <c r="Q2051" s="58">
        <v>7.0</v>
      </c>
      <c r="R2051" s="58">
        <v>31.0</v>
      </c>
      <c r="Z2051" s="58" t="s">
        <v>239</v>
      </c>
      <c r="CH2051" s="58" t="s">
        <v>18648</v>
      </c>
      <c r="CI2051" s="73">
        <v>43881.0</v>
      </c>
      <c r="CJ2051" s="58">
        <v>1518.0</v>
      </c>
      <c r="CK2051" s="58">
        <v>1532.0</v>
      </c>
      <c r="CL2051" s="58" t="s">
        <v>18649</v>
      </c>
      <c r="CN2051" s="58" t="s">
        <v>18650</v>
      </c>
      <c r="CO2051" s="58" t="s">
        <v>18651</v>
      </c>
      <c r="CP2051" s="58" t="s">
        <v>18652</v>
      </c>
      <c r="CR2051" s="58">
        <v>18.0</v>
      </c>
      <c r="CT2051" s="58">
        <v>43.0</v>
      </c>
      <c r="CU2051" s="58" t="s">
        <v>239</v>
      </c>
      <c r="DL2051" s="58" t="s">
        <v>18653</v>
      </c>
    </row>
    <row r="2052" ht="15.75" customHeight="1">
      <c r="B2052" s="58" t="s">
        <v>16392</v>
      </c>
      <c r="C2052" s="58">
        <v>2021.0</v>
      </c>
      <c r="D2052" s="58" t="s">
        <v>18654</v>
      </c>
      <c r="E2052" s="58" t="s">
        <v>18655</v>
      </c>
      <c r="F2052" s="58" t="s">
        <v>16436</v>
      </c>
      <c r="H2052" s="58" t="s">
        <v>16437</v>
      </c>
      <c r="I2052" s="58" t="s">
        <v>18656</v>
      </c>
      <c r="K2052" s="73">
        <v>44446.0</v>
      </c>
      <c r="R2052" s="58">
        <v>9.0</v>
      </c>
      <c r="Z2052" s="58" t="s">
        <v>239</v>
      </c>
      <c r="CH2052" s="58" t="s">
        <v>18657</v>
      </c>
      <c r="CI2052" s="73">
        <v>44456.0</v>
      </c>
      <c r="CJ2052" s="58">
        <v>126502.0</v>
      </c>
      <c r="CK2052" s="58">
        <v>126529.0</v>
      </c>
      <c r="CL2052" s="58" t="s">
        <v>18658</v>
      </c>
      <c r="CN2052" s="58" t="s">
        <v>18659</v>
      </c>
      <c r="CO2052" s="58" t="s">
        <v>18660</v>
      </c>
      <c r="CP2052" s="58" t="s">
        <v>18661</v>
      </c>
      <c r="CR2052" s="58">
        <v>18.0</v>
      </c>
      <c r="CT2052" s="58">
        <v>162.0</v>
      </c>
      <c r="CU2052" s="58" t="s">
        <v>16423</v>
      </c>
      <c r="DL2052" s="58" t="s">
        <v>18662</v>
      </c>
    </row>
    <row r="2053" ht="15.75" customHeight="1">
      <c r="B2053" s="58" t="s">
        <v>16392</v>
      </c>
      <c r="C2053" s="58">
        <v>2020.0</v>
      </c>
      <c r="D2053" s="58" t="s">
        <v>18663</v>
      </c>
      <c r="E2053" s="58" t="s">
        <v>18664</v>
      </c>
      <c r="F2053" s="58" t="s">
        <v>16436</v>
      </c>
      <c r="H2053" s="58" t="s">
        <v>16437</v>
      </c>
      <c r="I2053" s="58" t="s">
        <v>18665</v>
      </c>
      <c r="K2053" s="73">
        <v>43878.0</v>
      </c>
      <c r="R2053" s="58">
        <v>8.0</v>
      </c>
      <c r="Z2053" s="58" t="s">
        <v>239</v>
      </c>
      <c r="CH2053" s="58" t="s">
        <v>18666</v>
      </c>
      <c r="CI2053" s="73">
        <v>43886.0</v>
      </c>
      <c r="CJ2053" s="58">
        <v>34507.0</v>
      </c>
      <c r="CK2053" s="58">
        <v>34521.0</v>
      </c>
      <c r="CL2053" s="58" t="s">
        <v>18667</v>
      </c>
      <c r="CN2053" s="58" t="s">
        <v>18668</v>
      </c>
      <c r="CO2053" s="58" t="s">
        <v>18669</v>
      </c>
      <c r="CP2053" s="58" t="s">
        <v>18670</v>
      </c>
      <c r="CR2053" s="58">
        <v>18.0</v>
      </c>
      <c r="CT2053" s="58">
        <v>40.0</v>
      </c>
      <c r="CU2053" s="58" t="s">
        <v>16423</v>
      </c>
      <c r="DL2053" s="58" t="s">
        <v>18671</v>
      </c>
    </row>
    <row r="2054" ht="15.75" customHeight="1">
      <c r="B2054" s="58" t="s">
        <v>16392</v>
      </c>
      <c r="C2054" s="58">
        <v>2023.0</v>
      </c>
      <c r="D2054" s="58" t="s">
        <v>18672</v>
      </c>
      <c r="E2054" s="58" t="s">
        <v>18673</v>
      </c>
      <c r="F2054" s="58" t="s">
        <v>16436</v>
      </c>
      <c r="H2054" s="58" t="s">
        <v>16437</v>
      </c>
      <c r="I2054" s="58" t="s">
        <v>18674</v>
      </c>
      <c r="K2054" s="73">
        <v>44931.0</v>
      </c>
      <c r="R2054" s="58">
        <v>11.0</v>
      </c>
      <c r="Z2054" s="58" t="s">
        <v>239</v>
      </c>
      <c r="CH2054" s="58" t="s">
        <v>18675</v>
      </c>
      <c r="CI2054" s="73">
        <v>44938.0</v>
      </c>
      <c r="CJ2054" s="58">
        <v>3431.0</v>
      </c>
      <c r="CK2054" s="58">
        <v>3460.0</v>
      </c>
      <c r="CL2054" s="58" t="s">
        <v>18676</v>
      </c>
      <c r="CN2054" s="58" t="s">
        <v>18677</v>
      </c>
      <c r="CO2054" s="58" t="s">
        <v>18678</v>
      </c>
      <c r="CP2054" s="58" t="s">
        <v>18679</v>
      </c>
      <c r="CR2054" s="58">
        <v>18.0</v>
      </c>
      <c r="CT2054" s="58">
        <v>287.0</v>
      </c>
      <c r="CU2054" s="58" t="s">
        <v>16423</v>
      </c>
      <c r="DL2054" s="58" t="s">
        <v>18680</v>
      </c>
    </row>
    <row r="2055" ht="15.75" customHeight="1">
      <c r="B2055" s="58" t="s">
        <v>16392</v>
      </c>
      <c r="C2055" s="58">
        <v>2023.0</v>
      </c>
      <c r="D2055" s="58" t="s">
        <v>18681</v>
      </c>
      <c r="E2055" s="58" t="s">
        <v>18682</v>
      </c>
      <c r="F2055" s="58" t="s">
        <v>16538</v>
      </c>
      <c r="H2055" s="58" t="s">
        <v>16539</v>
      </c>
      <c r="I2055" s="58" t="s">
        <v>18683</v>
      </c>
      <c r="K2055" s="73">
        <v>44480.0</v>
      </c>
      <c r="Q2055" s="58">
        <v>4.0</v>
      </c>
      <c r="R2055" s="58">
        <v>10.0</v>
      </c>
      <c r="Z2055" s="58" t="s">
        <v>239</v>
      </c>
      <c r="CH2055" s="58" t="s">
        <v>18684</v>
      </c>
      <c r="CI2055" s="73">
        <v>44963.0</v>
      </c>
      <c r="CJ2055" s="58">
        <v>3118.0</v>
      </c>
      <c r="CK2055" s="58">
        <v>3129.0</v>
      </c>
      <c r="CL2055" s="58" t="s">
        <v>18685</v>
      </c>
      <c r="CN2055" s="58" t="s">
        <v>18686</v>
      </c>
      <c r="CO2055" s="58" t="s">
        <v>18687</v>
      </c>
      <c r="CP2055" s="58" t="s">
        <v>18688</v>
      </c>
      <c r="CR2055" s="58">
        <v>18.0</v>
      </c>
      <c r="CT2055" s="58">
        <v>34.0</v>
      </c>
      <c r="CU2055" s="58" t="s">
        <v>239</v>
      </c>
      <c r="DL2055" s="58" t="s">
        <v>18689</v>
      </c>
    </row>
    <row r="2056" ht="15.75" customHeight="1">
      <c r="B2056" s="58" t="s">
        <v>16392</v>
      </c>
      <c r="C2056" s="58">
        <v>2021.0</v>
      </c>
      <c r="D2056" s="58" t="s">
        <v>18690</v>
      </c>
      <c r="E2056" s="58" t="s">
        <v>18691</v>
      </c>
      <c r="F2056" s="58" t="s">
        <v>16436</v>
      </c>
      <c r="H2056" s="58" t="s">
        <v>16437</v>
      </c>
      <c r="I2056" s="58" t="s">
        <v>18692</v>
      </c>
      <c r="K2056" s="73">
        <v>44413.0</v>
      </c>
      <c r="R2056" s="58">
        <v>9.0</v>
      </c>
      <c r="Z2056" s="58" t="s">
        <v>239</v>
      </c>
      <c r="CH2056" s="58" t="s">
        <v>18693</v>
      </c>
      <c r="CI2056" s="73">
        <v>44434.0</v>
      </c>
      <c r="CJ2056" s="58">
        <v>115868.0</v>
      </c>
      <c r="CK2056" s="58">
        <v>115884.0</v>
      </c>
      <c r="CL2056" s="58" t="s">
        <v>18694</v>
      </c>
      <c r="CN2056" s="58" t="s">
        <v>18695</v>
      </c>
      <c r="CO2056" s="58" t="s">
        <v>18696</v>
      </c>
      <c r="CP2056" s="58" t="s">
        <v>18697</v>
      </c>
      <c r="CR2056" s="58">
        <v>18.0</v>
      </c>
      <c r="CT2056" s="58">
        <v>38.0</v>
      </c>
      <c r="CU2056" s="58" t="s">
        <v>16423</v>
      </c>
      <c r="DL2056" s="58" t="s">
        <v>18698</v>
      </c>
    </row>
    <row r="2057" ht="15.75" customHeight="1">
      <c r="B2057" s="58" t="s">
        <v>16392</v>
      </c>
      <c r="C2057" s="58">
        <v>2024.0</v>
      </c>
      <c r="D2057" s="58" t="s">
        <v>18699</v>
      </c>
      <c r="E2057" s="58" t="s">
        <v>18700</v>
      </c>
      <c r="F2057" s="58" t="s">
        <v>16493</v>
      </c>
      <c r="H2057" s="58" t="s">
        <v>16494</v>
      </c>
      <c r="I2057" s="58" t="s">
        <v>18701</v>
      </c>
      <c r="K2057" s="73">
        <v>45398.0</v>
      </c>
      <c r="R2057" s="58">
        <v>5.0</v>
      </c>
      <c r="Z2057" s="58" t="s">
        <v>239</v>
      </c>
      <c r="CH2057" s="58" t="s">
        <v>18702</v>
      </c>
      <c r="CI2057" s="73">
        <v>45413.0</v>
      </c>
      <c r="CJ2057" s="58">
        <v>2490.0</v>
      </c>
      <c r="CK2057" s="58">
        <v>2540.0</v>
      </c>
      <c r="CL2057" s="58" t="s">
        <v>18703</v>
      </c>
      <c r="CN2057" s="58" t="s">
        <v>18704</v>
      </c>
      <c r="CO2057" s="58" t="s">
        <v>18705</v>
      </c>
      <c r="CP2057" s="58" t="s">
        <v>18706</v>
      </c>
      <c r="CR2057" s="58">
        <v>18.0</v>
      </c>
      <c r="CT2057" s="58">
        <v>303.0</v>
      </c>
      <c r="CU2057" s="58" t="s">
        <v>16727</v>
      </c>
      <c r="DL2057" s="58" t="s">
        <v>18707</v>
      </c>
    </row>
    <row r="2058" ht="15.75" customHeight="1">
      <c r="B2058" s="58" t="s">
        <v>16392</v>
      </c>
      <c r="C2058" s="58">
        <v>2019.0</v>
      </c>
      <c r="D2058" s="58" t="s">
        <v>18708</v>
      </c>
      <c r="E2058" s="58" t="s">
        <v>18709</v>
      </c>
      <c r="F2058" s="58" t="s">
        <v>16959</v>
      </c>
      <c r="H2058" s="58" t="s">
        <v>16960</v>
      </c>
      <c r="I2058" s="58" t="s">
        <v>18710</v>
      </c>
      <c r="K2058" s="73">
        <v>43724.0</v>
      </c>
      <c r="Q2058" s="58">
        <v>4.0</v>
      </c>
      <c r="R2058" s="58">
        <v>16.0</v>
      </c>
      <c r="Z2058" s="58" t="s">
        <v>239</v>
      </c>
      <c r="CH2058" s="58" t="s">
        <v>18711</v>
      </c>
      <c r="CI2058" s="73">
        <v>43809.0</v>
      </c>
      <c r="CJ2058" s="58">
        <v>1404.0</v>
      </c>
      <c r="CK2058" s="58">
        <v>1418.0</v>
      </c>
      <c r="CL2058" s="58" t="s">
        <v>18712</v>
      </c>
      <c r="CN2058" s="58" t="s">
        <v>18713</v>
      </c>
      <c r="CO2058" s="58" t="s">
        <v>18714</v>
      </c>
      <c r="CP2058" s="58" t="s">
        <v>18715</v>
      </c>
      <c r="CR2058" s="58">
        <v>17.0</v>
      </c>
      <c r="CT2058" s="58">
        <v>33.0</v>
      </c>
      <c r="CU2058" s="58" t="s">
        <v>239</v>
      </c>
      <c r="DL2058" s="58" t="s">
        <v>18716</v>
      </c>
    </row>
    <row r="2059" ht="15.75" customHeight="1">
      <c r="B2059" s="58" t="s">
        <v>16392</v>
      </c>
      <c r="C2059" s="58">
        <v>2024.0</v>
      </c>
      <c r="D2059" s="58" t="s">
        <v>18717</v>
      </c>
      <c r="E2059" s="58" t="s">
        <v>18718</v>
      </c>
      <c r="F2059" s="58" t="s">
        <v>16436</v>
      </c>
      <c r="H2059" s="58" t="s">
        <v>16437</v>
      </c>
      <c r="I2059" s="58" t="s">
        <v>18719</v>
      </c>
      <c r="K2059" s="73">
        <v>45300.0</v>
      </c>
      <c r="R2059" s="58">
        <v>12.0</v>
      </c>
      <c r="Z2059" s="58" t="s">
        <v>239</v>
      </c>
      <c r="CH2059" s="58" t="s">
        <v>18720</v>
      </c>
      <c r="CI2059" s="73">
        <v>45313.0</v>
      </c>
      <c r="CJ2059" s="58">
        <v>9890.0</v>
      </c>
      <c r="CK2059" s="58">
        <v>9930.0</v>
      </c>
      <c r="CL2059" s="58" t="s">
        <v>18721</v>
      </c>
      <c r="CN2059" s="58" t="s">
        <v>18722</v>
      </c>
      <c r="CO2059" s="58" t="s">
        <v>18723</v>
      </c>
      <c r="CP2059" s="58" t="s">
        <v>18724</v>
      </c>
      <c r="CR2059" s="58">
        <v>17.0</v>
      </c>
      <c r="CT2059" s="58">
        <v>240.0</v>
      </c>
      <c r="CU2059" s="58" t="s">
        <v>16727</v>
      </c>
      <c r="DL2059" s="58" t="s">
        <v>18725</v>
      </c>
    </row>
    <row r="2060" ht="15.75" customHeight="1">
      <c r="B2060" s="58" t="s">
        <v>16392</v>
      </c>
      <c r="C2060" s="58">
        <v>2022.0</v>
      </c>
      <c r="D2060" s="58" t="s">
        <v>18726</v>
      </c>
      <c r="E2060" s="58" t="s">
        <v>18727</v>
      </c>
      <c r="F2060" s="58" t="s">
        <v>16436</v>
      </c>
      <c r="H2060" s="58" t="s">
        <v>16437</v>
      </c>
      <c r="I2060" s="58" t="s">
        <v>18728</v>
      </c>
      <c r="K2060" s="73">
        <v>44781.0</v>
      </c>
      <c r="R2060" s="58">
        <v>10.0</v>
      </c>
      <c r="Z2060" s="58" t="s">
        <v>239</v>
      </c>
      <c r="CH2060" s="58" t="s">
        <v>18729</v>
      </c>
      <c r="CI2060" s="73">
        <v>44790.0</v>
      </c>
      <c r="CJ2060" s="58">
        <v>84579.0</v>
      </c>
      <c r="CK2060" s="58">
        <v>84621.0</v>
      </c>
      <c r="CL2060" s="58" t="s">
        <v>18730</v>
      </c>
      <c r="CN2060" s="58" t="s">
        <v>18731</v>
      </c>
      <c r="CO2060" s="58" t="s">
        <v>18732</v>
      </c>
      <c r="CP2060" s="58" t="s">
        <v>18733</v>
      </c>
      <c r="CR2060" s="58">
        <v>17.0</v>
      </c>
      <c r="CT2060" s="58">
        <v>166.0</v>
      </c>
      <c r="CU2060" s="58" t="s">
        <v>16423</v>
      </c>
      <c r="DL2060" s="58" t="s">
        <v>18734</v>
      </c>
    </row>
    <row r="2061" ht="15.75" customHeight="1">
      <c r="B2061" s="58" t="s">
        <v>16392</v>
      </c>
      <c r="C2061" s="58">
        <v>2023.0</v>
      </c>
      <c r="D2061" s="58" t="s">
        <v>18735</v>
      </c>
      <c r="E2061" s="58" t="s">
        <v>18736</v>
      </c>
      <c r="F2061" s="58" t="s">
        <v>16538</v>
      </c>
      <c r="H2061" s="58" t="s">
        <v>16539</v>
      </c>
      <c r="I2061" s="58" t="s">
        <v>18737</v>
      </c>
      <c r="K2061" s="73">
        <v>45149.0</v>
      </c>
      <c r="Q2061" s="58">
        <v>24.0</v>
      </c>
      <c r="R2061" s="58">
        <v>10.0</v>
      </c>
      <c r="Z2061" s="58" t="s">
        <v>239</v>
      </c>
      <c r="CH2061" s="58" t="s">
        <v>18738</v>
      </c>
      <c r="CI2061" s="73">
        <v>45271.0</v>
      </c>
      <c r="CJ2061" s="58">
        <v>22008.0</v>
      </c>
      <c r="CK2061" s="58">
        <v>22032.0</v>
      </c>
      <c r="CL2061" s="58" t="s">
        <v>18739</v>
      </c>
      <c r="CN2061" s="58" t="s">
        <v>18740</v>
      </c>
      <c r="CO2061" s="58" t="s">
        <v>18741</v>
      </c>
      <c r="CP2061" s="58" t="s">
        <v>18742</v>
      </c>
      <c r="CR2061" s="58">
        <v>17.0</v>
      </c>
      <c r="CT2061" s="58">
        <v>165.0</v>
      </c>
      <c r="CU2061" s="58" t="s">
        <v>239</v>
      </c>
      <c r="DL2061" s="58" t="s">
        <v>18743</v>
      </c>
    </row>
    <row r="2062" ht="15.75" customHeight="1">
      <c r="B2062" s="58" t="s">
        <v>16392</v>
      </c>
      <c r="C2062" s="58">
        <v>2023.0</v>
      </c>
      <c r="D2062" s="58" t="s">
        <v>17436</v>
      </c>
      <c r="E2062" s="58" t="s">
        <v>18744</v>
      </c>
      <c r="F2062" s="58" t="s">
        <v>17438</v>
      </c>
      <c r="H2062" s="58" t="s">
        <v>17439</v>
      </c>
      <c r="I2062" s="58" t="s">
        <v>18745</v>
      </c>
      <c r="K2062" s="73">
        <v>44677.0</v>
      </c>
      <c r="Q2062" s="58">
        <v>2.0</v>
      </c>
      <c r="R2062" s="58">
        <v>11.0</v>
      </c>
      <c r="Z2062" s="58" t="s">
        <v>239</v>
      </c>
      <c r="CH2062" s="58" t="s">
        <v>17441</v>
      </c>
      <c r="CI2062" s="73">
        <v>45083.0</v>
      </c>
      <c r="CJ2062" s="58">
        <v>1899.0</v>
      </c>
      <c r="CK2062" s="58">
        <v>1910.0</v>
      </c>
      <c r="CL2062" s="58" t="s">
        <v>18746</v>
      </c>
      <c r="CN2062" s="58" t="s">
        <v>18747</v>
      </c>
      <c r="CO2062" s="58" t="s">
        <v>18748</v>
      </c>
      <c r="CP2062" s="58" t="s">
        <v>18749</v>
      </c>
      <c r="CR2062" s="58">
        <v>17.0</v>
      </c>
      <c r="CT2062" s="58">
        <v>50.0</v>
      </c>
      <c r="CU2062" s="58" t="s">
        <v>239</v>
      </c>
      <c r="DL2062" s="58" t="s">
        <v>18750</v>
      </c>
    </row>
    <row r="2063" ht="15.75" customHeight="1">
      <c r="B2063" s="58" t="s">
        <v>16392</v>
      </c>
      <c r="C2063" s="58">
        <v>2023.0</v>
      </c>
      <c r="D2063" s="58" t="s">
        <v>18751</v>
      </c>
      <c r="E2063" s="58" t="s">
        <v>18752</v>
      </c>
      <c r="F2063" s="58" t="s">
        <v>16436</v>
      </c>
      <c r="H2063" s="58" t="s">
        <v>16437</v>
      </c>
      <c r="I2063" s="58" t="s">
        <v>18753</v>
      </c>
      <c r="K2063" s="73">
        <v>45064.0</v>
      </c>
      <c r="R2063" s="58">
        <v>11.0</v>
      </c>
      <c r="Z2063" s="58" t="s">
        <v>239</v>
      </c>
      <c r="CH2063" s="58" t="s">
        <v>18754</v>
      </c>
      <c r="CI2063" s="73">
        <v>45082.0</v>
      </c>
      <c r="CJ2063" s="58">
        <v>50994.0</v>
      </c>
      <c r="CK2063" s="58">
        <v>51017.0</v>
      </c>
      <c r="CL2063" s="58" t="s">
        <v>18755</v>
      </c>
      <c r="CO2063" s="58" t="s">
        <v>18756</v>
      </c>
      <c r="CP2063" s="58" t="s">
        <v>18757</v>
      </c>
      <c r="CR2063" s="58">
        <v>16.0</v>
      </c>
      <c r="CT2063" s="58">
        <v>79.0</v>
      </c>
      <c r="CU2063" s="58" t="s">
        <v>16727</v>
      </c>
      <c r="DL2063" s="58" t="s">
        <v>18758</v>
      </c>
    </row>
    <row r="2064" ht="15.75" customHeight="1">
      <c r="B2064" s="58" t="s">
        <v>16392</v>
      </c>
      <c r="C2064" s="58">
        <v>2023.0</v>
      </c>
      <c r="D2064" s="58" t="s">
        <v>18759</v>
      </c>
      <c r="E2064" s="58" t="s">
        <v>18760</v>
      </c>
      <c r="F2064" s="58" t="s">
        <v>17654</v>
      </c>
      <c r="H2064" s="58" t="s">
        <v>17655</v>
      </c>
      <c r="I2064" s="58" t="s">
        <v>18761</v>
      </c>
      <c r="K2064" s="73">
        <v>44601.0</v>
      </c>
      <c r="Q2064" s="58">
        <v>2.0</v>
      </c>
      <c r="R2064" s="58">
        <v>24.0</v>
      </c>
      <c r="Z2064" s="58" t="s">
        <v>239</v>
      </c>
      <c r="CH2064" s="58" t="s">
        <v>18762</v>
      </c>
      <c r="CI2064" s="73">
        <v>44965.0</v>
      </c>
      <c r="CJ2064" s="58">
        <v>2265.0</v>
      </c>
      <c r="CK2064" s="58">
        <v>2274.0</v>
      </c>
      <c r="CL2064" s="58" t="s">
        <v>18763</v>
      </c>
      <c r="CN2064" s="58" t="s">
        <v>18764</v>
      </c>
      <c r="CO2064" s="58" t="s">
        <v>18765</v>
      </c>
      <c r="CP2064" s="58" t="s">
        <v>18766</v>
      </c>
      <c r="CR2064" s="58">
        <v>16.0</v>
      </c>
      <c r="CT2064" s="58">
        <v>28.0</v>
      </c>
      <c r="CU2064" s="58" t="s">
        <v>239</v>
      </c>
      <c r="DL2064" s="58" t="s">
        <v>18767</v>
      </c>
    </row>
    <row r="2065" ht="15.75" customHeight="1">
      <c r="B2065" s="58" t="s">
        <v>16392</v>
      </c>
      <c r="C2065" s="58">
        <v>2018.0</v>
      </c>
      <c r="D2065" s="58" t="s">
        <v>18768</v>
      </c>
      <c r="E2065" s="58" t="s">
        <v>18769</v>
      </c>
      <c r="F2065" s="58" t="s">
        <v>16436</v>
      </c>
      <c r="H2065" s="58" t="s">
        <v>16437</v>
      </c>
      <c r="I2065" s="58" t="s">
        <v>18770</v>
      </c>
      <c r="K2065" s="73">
        <v>43378.0</v>
      </c>
      <c r="R2065" s="58">
        <v>6.0</v>
      </c>
      <c r="Z2065" s="58" t="s">
        <v>239</v>
      </c>
      <c r="CH2065" s="58" t="s">
        <v>18771</v>
      </c>
      <c r="CI2065" s="73">
        <v>43394.0</v>
      </c>
      <c r="CJ2065" s="58">
        <v>56765.0</v>
      </c>
      <c r="CK2065" s="58">
        <v>56781.0</v>
      </c>
      <c r="CL2065" s="58" t="s">
        <v>18772</v>
      </c>
      <c r="CN2065" s="58" t="s">
        <v>18773</v>
      </c>
      <c r="CO2065" s="58" t="s">
        <v>18774</v>
      </c>
      <c r="CP2065" s="58" t="s">
        <v>18775</v>
      </c>
      <c r="CR2065" s="58">
        <v>16.0</v>
      </c>
      <c r="CT2065" s="58">
        <v>44.0</v>
      </c>
      <c r="CU2065" s="58" t="s">
        <v>16444</v>
      </c>
      <c r="DL2065" s="58" t="s">
        <v>18776</v>
      </c>
    </row>
    <row r="2066" ht="15.75" customHeight="1">
      <c r="B2066" s="58" t="s">
        <v>16392</v>
      </c>
      <c r="C2066" s="58">
        <v>2022.0</v>
      </c>
      <c r="D2066" s="58" t="s">
        <v>18777</v>
      </c>
      <c r="E2066" s="58" t="s">
        <v>18778</v>
      </c>
      <c r="F2066" s="58" t="s">
        <v>16436</v>
      </c>
      <c r="H2066" s="58" t="s">
        <v>16437</v>
      </c>
      <c r="I2066" s="58" t="s">
        <v>18779</v>
      </c>
      <c r="K2066" s="73">
        <v>44642.0</v>
      </c>
      <c r="R2066" s="58">
        <v>10.0</v>
      </c>
      <c r="Z2066" s="58" t="s">
        <v>239</v>
      </c>
      <c r="CH2066" s="58" t="s">
        <v>18780</v>
      </c>
      <c r="CI2066" s="73">
        <v>44651.0</v>
      </c>
      <c r="CJ2066" s="58">
        <v>33332.0</v>
      </c>
      <c r="CK2066" s="58">
        <v>33348.0</v>
      </c>
      <c r="CL2066" s="58" t="s">
        <v>18781</v>
      </c>
      <c r="CN2066" s="58" t="s">
        <v>18782</v>
      </c>
      <c r="CO2066" s="58" t="s">
        <v>18783</v>
      </c>
      <c r="CP2066" s="58" t="s">
        <v>18784</v>
      </c>
      <c r="CR2066" s="58">
        <v>16.0</v>
      </c>
      <c r="CT2066" s="58">
        <v>41.0</v>
      </c>
      <c r="CU2066" s="58" t="s">
        <v>16423</v>
      </c>
      <c r="DL2066" s="58" t="s">
        <v>18785</v>
      </c>
    </row>
    <row r="2067" ht="15.75" customHeight="1">
      <c r="B2067" s="58" t="s">
        <v>16392</v>
      </c>
      <c r="C2067" s="58">
        <v>2022.0</v>
      </c>
      <c r="D2067" s="58" t="s">
        <v>18786</v>
      </c>
      <c r="E2067" s="58" t="s">
        <v>18787</v>
      </c>
      <c r="F2067" s="58" t="s">
        <v>16436</v>
      </c>
      <c r="H2067" s="58" t="s">
        <v>16437</v>
      </c>
      <c r="I2067" s="58" t="s">
        <v>18788</v>
      </c>
      <c r="K2067" s="73">
        <v>44579.0</v>
      </c>
      <c r="R2067" s="58">
        <v>10.0</v>
      </c>
      <c r="Z2067" s="58" t="s">
        <v>239</v>
      </c>
      <c r="CH2067" s="58" t="s">
        <v>18789</v>
      </c>
      <c r="CI2067" s="73">
        <v>44588.0</v>
      </c>
      <c r="CJ2067" s="58">
        <v>9455.0</v>
      </c>
      <c r="CK2067" s="58">
        <v>9470.0</v>
      </c>
      <c r="CL2067" s="58" t="s">
        <v>18790</v>
      </c>
      <c r="CN2067" s="58" t="s">
        <v>18791</v>
      </c>
      <c r="CO2067" s="58" t="s">
        <v>18792</v>
      </c>
      <c r="CP2067" s="58" t="s">
        <v>18793</v>
      </c>
      <c r="CR2067" s="58">
        <v>16.0</v>
      </c>
      <c r="CT2067" s="58">
        <v>51.0</v>
      </c>
      <c r="CU2067" s="58" t="s">
        <v>16423</v>
      </c>
      <c r="DL2067" s="58" t="s">
        <v>18794</v>
      </c>
    </row>
    <row r="2068" ht="15.75" customHeight="1">
      <c r="B2068" s="58" t="s">
        <v>16392</v>
      </c>
      <c r="C2068" s="58">
        <v>2022.0</v>
      </c>
      <c r="D2068" s="58" t="s">
        <v>18795</v>
      </c>
      <c r="E2068" s="58" t="s">
        <v>18796</v>
      </c>
      <c r="F2068" s="58" t="s">
        <v>17228</v>
      </c>
      <c r="H2068" s="58" t="s">
        <v>17229</v>
      </c>
      <c r="I2068" s="58" t="s">
        <v>18797</v>
      </c>
      <c r="K2068" s="73">
        <v>44202.0</v>
      </c>
      <c r="Q2068" s="58">
        <v>2.0</v>
      </c>
      <c r="R2068" s="58">
        <v>71.0</v>
      </c>
      <c r="Z2068" s="58" t="s">
        <v>239</v>
      </c>
      <c r="CH2068" s="58" t="s">
        <v>18798</v>
      </c>
      <c r="CI2068" s="73">
        <v>44574.0</v>
      </c>
      <c r="CJ2068" s="58">
        <v>337.0</v>
      </c>
      <c r="CK2068" s="58">
        <v>348.0</v>
      </c>
      <c r="CL2068" s="58" t="s">
        <v>18799</v>
      </c>
      <c r="CN2068" s="58" t="s">
        <v>18800</v>
      </c>
      <c r="CO2068" s="58" t="s">
        <v>18801</v>
      </c>
      <c r="CP2068" s="58" t="s">
        <v>18802</v>
      </c>
      <c r="CR2068" s="58">
        <v>16.0</v>
      </c>
      <c r="CT2068" s="58">
        <v>39.0</v>
      </c>
      <c r="CU2068" s="58" t="s">
        <v>239</v>
      </c>
      <c r="DL2068" s="58" t="s">
        <v>18803</v>
      </c>
    </row>
    <row r="2069" ht="15.75" customHeight="1">
      <c r="B2069" s="58" t="s">
        <v>16392</v>
      </c>
      <c r="C2069" s="58">
        <v>2022.0</v>
      </c>
      <c r="D2069" s="58" t="s">
        <v>18804</v>
      </c>
      <c r="E2069" s="58" t="s">
        <v>18805</v>
      </c>
      <c r="F2069" s="58" t="s">
        <v>17164</v>
      </c>
      <c r="H2069" s="58" t="s">
        <v>17165</v>
      </c>
      <c r="I2069" s="58" t="s">
        <v>18806</v>
      </c>
      <c r="K2069" s="73">
        <v>44802.0</v>
      </c>
      <c r="Q2069" s="58">
        <v>12.0</v>
      </c>
      <c r="R2069" s="58">
        <v>33.0</v>
      </c>
      <c r="Z2069" s="58" t="s">
        <v>239</v>
      </c>
      <c r="CH2069" s="58" t="s">
        <v>18807</v>
      </c>
      <c r="CI2069" s="73">
        <v>44833.0</v>
      </c>
      <c r="CJ2069" s="58">
        <v>4818.0</v>
      </c>
      <c r="CK2069" s="58">
        <v>4834.0</v>
      </c>
      <c r="CL2069" s="58" t="s">
        <v>18808</v>
      </c>
      <c r="CN2069" s="58" t="s">
        <v>18809</v>
      </c>
      <c r="CO2069" s="58" t="s">
        <v>18810</v>
      </c>
      <c r="CP2069" s="58" t="s">
        <v>18811</v>
      </c>
      <c r="CR2069" s="58">
        <v>15.0</v>
      </c>
      <c r="CT2069" s="58">
        <v>65.0</v>
      </c>
      <c r="CU2069" s="58" t="s">
        <v>16423</v>
      </c>
      <c r="DL2069" s="58" t="s">
        <v>18812</v>
      </c>
    </row>
    <row r="2070" ht="15.75" customHeight="1">
      <c r="B2070" s="58" t="s">
        <v>16392</v>
      </c>
      <c r="C2070" s="58">
        <v>2022.0</v>
      </c>
      <c r="D2070" s="58" t="s">
        <v>18813</v>
      </c>
      <c r="E2070" s="58" t="s">
        <v>18814</v>
      </c>
      <c r="F2070" s="58" t="s">
        <v>17164</v>
      </c>
      <c r="H2070" s="58" t="s">
        <v>17165</v>
      </c>
      <c r="I2070" s="58" t="s">
        <v>18815</v>
      </c>
      <c r="K2070" s="73">
        <v>44540.0</v>
      </c>
      <c r="Q2070" s="58">
        <v>8.0</v>
      </c>
      <c r="R2070" s="58">
        <v>33.0</v>
      </c>
      <c r="Z2070" s="58" t="s">
        <v>239</v>
      </c>
      <c r="CH2070" s="58" t="s">
        <v>18816</v>
      </c>
      <c r="CI2070" s="73">
        <v>44560.0</v>
      </c>
      <c r="CJ2070" s="58">
        <v>1982.0</v>
      </c>
      <c r="CK2070" s="58">
        <v>1995.0</v>
      </c>
      <c r="CL2070" s="58" t="s">
        <v>18817</v>
      </c>
      <c r="CO2070" s="58" t="s">
        <v>18818</v>
      </c>
      <c r="CP2070" s="58" t="s">
        <v>18819</v>
      </c>
      <c r="CR2070" s="58">
        <v>15.0</v>
      </c>
      <c r="CT2070" s="58">
        <v>59.0</v>
      </c>
      <c r="CU2070" s="58" t="s">
        <v>239</v>
      </c>
      <c r="DL2070" s="58" t="s">
        <v>18820</v>
      </c>
    </row>
    <row r="2071" ht="15.75" customHeight="1">
      <c r="B2071" s="58" t="s">
        <v>16392</v>
      </c>
      <c r="C2071" s="58">
        <v>2022.0</v>
      </c>
      <c r="D2071" s="58" t="s">
        <v>18821</v>
      </c>
      <c r="E2071" s="58" t="s">
        <v>18822</v>
      </c>
      <c r="F2071" s="58" t="s">
        <v>18334</v>
      </c>
      <c r="H2071" s="58" t="s">
        <v>18335</v>
      </c>
      <c r="I2071" s="58" t="s">
        <v>18823</v>
      </c>
      <c r="K2071" s="73">
        <v>44543.0</v>
      </c>
      <c r="Q2071" s="58">
        <v>5.0</v>
      </c>
      <c r="R2071" s="58">
        <v>71.0</v>
      </c>
      <c r="Z2071" s="58" t="s">
        <v>239</v>
      </c>
      <c r="CH2071" s="58" t="s">
        <v>18824</v>
      </c>
      <c r="CI2071" s="73">
        <v>44701.0</v>
      </c>
      <c r="CJ2071" s="58">
        <v>4551.0</v>
      </c>
      <c r="CK2071" s="58">
        <v>4560.0</v>
      </c>
      <c r="CL2071" s="58" t="s">
        <v>18825</v>
      </c>
      <c r="CN2071" s="58" t="s">
        <v>18826</v>
      </c>
      <c r="CO2071" s="58" t="s">
        <v>18827</v>
      </c>
      <c r="CP2071" s="58" t="s">
        <v>18828</v>
      </c>
      <c r="CR2071" s="58">
        <v>15.0</v>
      </c>
      <c r="CT2071" s="58">
        <v>39.0</v>
      </c>
      <c r="CU2071" s="58" t="s">
        <v>239</v>
      </c>
      <c r="DL2071" s="58" t="s">
        <v>18829</v>
      </c>
    </row>
    <row r="2072" ht="15.75" customHeight="1">
      <c r="B2072" s="58" t="s">
        <v>16392</v>
      </c>
      <c r="C2072" s="58">
        <v>2021.0</v>
      </c>
      <c r="D2072" s="58" t="s">
        <v>18830</v>
      </c>
      <c r="E2072" s="58" t="s">
        <v>18831</v>
      </c>
      <c r="F2072" s="58" t="s">
        <v>18832</v>
      </c>
      <c r="H2072" s="58" t="s">
        <v>18833</v>
      </c>
      <c r="I2072" s="58" t="s">
        <v>18834</v>
      </c>
      <c r="K2072" s="73">
        <v>44106.0</v>
      </c>
      <c r="R2072" s="58">
        <v>70.0</v>
      </c>
      <c r="Z2072" s="58" t="s">
        <v>239</v>
      </c>
      <c r="CH2072" s="58" t="s">
        <v>18835</v>
      </c>
      <c r="CI2072" s="73">
        <v>44151.0</v>
      </c>
      <c r="CJ2072" s="58">
        <v>1.0</v>
      </c>
      <c r="CK2072" s="58">
        <v>14.0</v>
      </c>
      <c r="CL2072" s="58" t="s">
        <v>18836</v>
      </c>
      <c r="CN2072" s="58" t="s">
        <v>18837</v>
      </c>
      <c r="CO2072" s="58" t="s">
        <v>18838</v>
      </c>
      <c r="CP2072" s="58" t="s">
        <v>18839</v>
      </c>
      <c r="CR2072" s="58">
        <v>15.0</v>
      </c>
      <c r="CT2072" s="58">
        <v>29.0</v>
      </c>
      <c r="CU2072" s="58" t="s">
        <v>239</v>
      </c>
      <c r="DL2072" s="58" t="s">
        <v>18840</v>
      </c>
    </row>
    <row r="2073" ht="15.75" customHeight="1">
      <c r="B2073" s="58" t="s">
        <v>16392</v>
      </c>
      <c r="C2073" s="58">
        <v>2020.0</v>
      </c>
      <c r="D2073" s="58" t="s">
        <v>18841</v>
      </c>
      <c r="E2073" s="58" t="s">
        <v>18842</v>
      </c>
      <c r="F2073" s="58" t="s">
        <v>16959</v>
      </c>
      <c r="H2073" s="58" t="s">
        <v>16960</v>
      </c>
      <c r="I2073" s="58" t="s">
        <v>18843</v>
      </c>
      <c r="K2073" s="73">
        <v>43823.0</v>
      </c>
      <c r="Q2073" s="58">
        <v>2.0</v>
      </c>
      <c r="R2073" s="58">
        <v>17.0</v>
      </c>
      <c r="Z2073" s="58" t="s">
        <v>239</v>
      </c>
      <c r="CH2073" s="58" t="s">
        <v>18844</v>
      </c>
      <c r="CI2073" s="73">
        <v>43992.0</v>
      </c>
      <c r="CJ2073" s="58">
        <v>779.0</v>
      </c>
      <c r="CK2073" s="58">
        <v>792.0</v>
      </c>
      <c r="CL2073" s="58" t="s">
        <v>18845</v>
      </c>
      <c r="CN2073" s="58" t="s">
        <v>18846</v>
      </c>
      <c r="CO2073" s="58" t="s">
        <v>18847</v>
      </c>
      <c r="CP2073" s="58" t="s">
        <v>18848</v>
      </c>
      <c r="CR2073" s="58">
        <v>15.0</v>
      </c>
      <c r="CT2073" s="58">
        <v>36.0</v>
      </c>
      <c r="CU2073" s="58" t="s">
        <v>239</v>
      </c>
      <c r="DL2073" s="58" t="s">
        <v>18849</v>
      </c>
    </row>
    <row r="2074" ht="15.75" customHeight="1">
      <c r="B2074" s="58" t="s">
        <v>16392</v>
      </c>
      <c r="C2074" s="58">
        <v>2022.0</v>
      </c>
      <c r="D2074" s="58" t="s">
        <v>18850</v>
      </c>
      <c r="E2074" s="58" t="s">
        <v>18851</v>
      </c>
      <c r="F2074" s="58" t="s">
        <v>16731</v>
      </c>
      <c r="H2074" s="58" t="s">
        <v>16732</v>
      </c>
      <c r="I2074" s="58" t="s">
        <v>18852</v>
      </c>
      <c r="K2074" s="73">
        <v>44676.0</v>
      </c>
      <c r="Q2074" s="58">
        <v>12.0</v>
      </c>
      <c r="R2074" s="58">
        <v>18.0</v>
      </c>
      <c r="Z2074" s="58" t="s">
        <v>239</v>
      </c>
      <c r="CH2074" s="58" t="s">
        <v>18853</v>
      </c>
      <c r="CI2074" s="73">
        <v>44834.0</v>
      </c>
      <c r="CJ2074" s="58">
        <v>9206.0</v>
      </c>
      <c r="CK2074" s="58">
        <v>9216.0</v>
      </c>
      <c r="CL2074" s="58" t="s">
        <v>18854</v>
      </c>
      <c r="CN2074" s="58" t="s">
        <v>18855</v>
      </c>
      <c r="CO2074" s="58" t="s">
        <v>18856</v>
      </c>
      <c r="CP2074" s="58" t="s">
        <v>18857</v>
      </c>
      <c r="CR2074" s="58">
        <v>15.0</v>
      </c>
      <c r="CT2074" s="58">
        <v>24.0</v>
      </c>
      <c r="CU2074" s="58" t="s">
        <v>16727</v>
      </c>
      <c r="DL2074" s="58" t="s">
        <v>18858</v>
      </c>
    </row>
    <row r="2075" ht="15.75" customHeight="1">
      <c r="B2075" s="58" t="s">
        <v>16392</v>
      </c>
      <c r="C2075" s="58">
        <v>2021.0</v>
      </c>
      <c r="D2075" s="58" t="s">
        <v>18859</v>
      </c>
      <c r="E2075" s="58" t="s">
        <v>18860</v>
      </c>
      <c r="F2075" s="58" t="s">
        <v>18861</v>
      </c>
      <c r="H2075" s="58" t="s">
        <v>18862</v>
      </c>
      <c r="I2075" s="58" t="s">
        <v>18863</v>
      </c>
      <c r="K2075" s="73">
        <v>44348.0</v>
      </c>
      <c r="R2075" s="58">
        <v>2.0</v>
      </c>
      <c r="Z2075" s="58" t="s">
        <v>239</v>
      </c>
      <c r="CH2075" s="58" t="s">
        <v>18864</v>
      </c>
      <c r="CI2075" s="73">
        <v>44379.0</v>
      </c>
      <c r="CJ2075" s="58">
        <v>227.0</v>
      </c>
      <c r="CK2075" s="58">
        <v>240.0</v>
      </c>
      <c r="CL2075" s="58" t="s">
        <v>18865</v>
      </c>
      <c r="CN2075" s="58" t="s">
        <v>18866</v>
      </c>
      <c r="CO2075" s="58" t="s">
        <v>18867</v>
      </c>
      <c r="CP2075" s="58" t="s">
        <v>18868</v>
      </c>
      <c r="CR2075" s="58">
        <v>15.0</v>
      </c>
      <c r="CT2075" s="58">
        <v>72.0</v>
      </c>
      <c r="CU2075" s="58" t="s">
        <v>16423</v>
      </c>
      <c r="DL2075" s="58" t="s">
        <v>18869</v>
      </c>
    </row>
    <row r="2076" ht="15.75" customHeight="1">
      <c r="B2076" s="58" t="s">
        <v>16392</v>
      </c>
      <c r="C2076" s="58">
        <v>2022.0</v>
      </c>
      <c r="D2076" s="58" t="s">
        <v>18870</v>
      </c>
      <c r="E2076" s="58" t="s">
        <v>18871</v>
      </c>
      <c r="F2076" s="58" t="s">
        <v>16436</v>
      </c>
      <c r="H2076" s="58" t="s">
        <v>16437</v>
      </c>
      <c r="I2076" s="58" t="s">
        <v>18872</v>
      </c>
      <c r="K2076" s="73">
        <v>44862.0</v>
      </c>
      <c r="R2076" s="58">
        <v>10.0</v>
      </c>
      <c r="Z2076" s="58" t="s">
        <v>239</v>
      </c>
      <c r="CH2076" s="58" t="s">
        <v>18873</v>
      </c>
      <c r="CI2076" s="73">
        <v>44881.0</v>
      </c>
      <c r="CJ2076" s="58">
        <v>118900.0</v>
      </c>
      <c r="CK2076" s="58">
        <v>118925.0</v>
      </c>
      <c r="CL2076" s="58" t="s">
        <v>18874</v>
      </c>
      <c r="CO2076" s="58" t="s">
        <v>18875</v>
      </c>
      <c r="CP2076" s="58" t="s">
        <v>18876</v>
      </c>
      <c r="CR2076" s="58">
        <v>15.0</v>
      </c>
      <c r="CT2076" s="58">
        <v>176.0</v>
      </c>
      <c r="CU2076" s="58" t="s">
        <v>16423</v>
      </c>
      <c r="DL2076" s="58" t="s">
        <v>18877</v>
      </c>
    </row>
    <row r="2077" ht="15.75" customHeight="1">
      <c r="B2077" s="58" t="s">
        <v>16392</v>
      </c>
      <c r="C2077" s="58">
        <v>2022.0</v>
      </c>
      <c r="D2077" s="58" t="s">
        <v>18878</v>
      </c>
      <c r="E2077" s="58" t="s">
        <v>18879</v>
      </c>
      <c r="F2077" s="58" t="s">
        <v>16538</v>
      </c>
      <c r="H2077" s="58" t="s">
        <v>16539</v>
      </c>
      <c r="I2077" s="58" t="s">
        <v>18880</v>
      </c>
      <c r="K2077" s="73">
        <v>44575.0</v>
      </c>
      <c r="Q2077" s="58">
        <v>15.0</v>
      </c>
      <c r="R2077" s="58">
        <v>9.0</v>
      </c>
      <c r="Z2077" s="58" t="s">
        <v>239</v>
      </c>
      <c r="CH2077" s="58" t="s">
        <v>18881</v>
      </c>
      <c r="CI2077" s="73">
        <v>44767.0</v>
      </c>
      <c r="CJ2077" s="58">
        <v>13705.0</v>
      </c>
      <c r="CK2077" s="58">
        <v>13724.0</v>
      </c>
      <c r="CL2077" s="58" t="s">
        <v>18882</v>
      </c>
      <c r="CN2077" s="58" t="s">
        <v>18883</v>
      </c>
      <c r="CO2077" s="58" t="s">
        <v>18884</v>
      </c>
      <c r="CP2077" s="58" t="s">
        <v>18885</v>
      </c>
      <c r="CR2077" s="58">
        <v>15.0</v>
      </c>
      <c r="CT2077" s="58">
        <v>61.0</v>
      </c>
      <c r="CU2077" s="58" t="s">
        <v>16423</v>
      </c>
      <c r="DL2077" s="58" t="s">
        <v>18886</v>
      </c>
    </row>
    <row r="2078" ht="15.75" customHeight="1">
      <c r="B2078" s="58" t="s">
        <v>16392</v>
      </c>
      <c r="C2078" s="58">
        <v>2023.0</v>
      </c>
      <c r="D2078" s="58" t="s">
        <v>18887</v>
      </c>
      <c r="E2078" s="58" t="s">
        <v>18888</v>
      </c>
      <c r="F2078" s="58" t="s">
        <v>16436</v>
      </c>
      <c r="H2078" s="58" t="s">
        <v>16437</v>
      </c>
      <c r="I2078" s="58" t="s">
        <v>18889</v>
      </c>
      <c r="K2078" s="73">
        <v>44593.0</v>
      </c>
      <c r="R2078" s="58">
        <v>11.0</v>
      </c>
      <c r="Z2078" s="58" t="s">
        <v>239</v>
      </c>
      <c r="CH2078" s="58" t="s">
        <v>18890</v>
      </c>
      <c r="CI2078" s="73">
        <v>45015.0</v>
      </c>
      <c r="CJ2078" s="58">
        <v>30639.0</v>
      </c>
      <c r="CK2078" s="58">
        <v>30689.0</v>
      </c>
      <c r="CL2078" s="58" t="s">
        <v>18891</v>
      </c>
      <c r="CN2078" s="58" t="s">
        <v>18892</v>
      </c>
      <c r="CO2078" s="58" t="s">
        <v>18893</v>
      </c>
      <c r="CP2078" s="58" t="s">
        <v>18894</v>
      </c>
      <c r="CR2078" s="58">
        <v>15.0</v>
      </c>
      <c r="CT2078" s="58">
        <v>201.0</v>
      </c>
      <c r="CU2078" s="58" t="s">
        <v>16423</v>
      </c>
      <c r="DL2078" s="58" t="s">
        <v>18895</v>
      </c>
    </row>
    <row r="2079" ht="15.75" customHeight="1">
      <c r="B2079" s="58" t="s">
        <v>16392</v>
      </c>
      <c r="C2079" s="58">
        <v>2023.0</v>
      </c>
      <c r="D2079" s="58" t="s">
        <v>18896</v>
      </c>
      <c r="E2079" s="58" t="s">
        <v>18897</v>
      </c>
      <c r="F2079" s="58" t="s">
        <v>16436</v>
      </c>
      <c r="H2079" s="58" t="s">
        <v>16437</v>
      </c>
      <c r="I2079" s="58" t="s">
        <v>18898</v>
      </c>
      <c r="K2079" s="73">
        <v>45141.0</v>
      </c>
      <c r="R2079" s="58">
        <v>11.0</v>
      </c>
      <c r="Z2079" s="58" t="s">
        <v>239</v>
      </c>
      <c r="CH2079" s="58" t="s">
        <v>18899</v>
      </c>
      <c r="CI2079" s="73">
        <v>45167.0</v>
      </c>
      <c r="CJ2079" s="58">
        <v>89644.0</v>
      </c>
      <c r="CK2079" s="58">
        <v>89684.0</v>
      </c>
      <c r="CL2079" s="58" t="s">
        <v>18900</v>
      </c>
      <c r="CN2079" s="58" t="s">
        <v>18901</v>
      </c>
      <c r="CO2079" s="58" t="s">
        <v>18902</v>
      </c>
      <c r="CP2079" s="58" t="s">
        <v>18903</v>
      </c>
      <c r="CR2079" s="58">
        <v>15.0</v>
      </c>
      <c r="CT2079" s="58">
        <v>239.0</v>
      </c>
      <c r="CU2079" s="58" t="s">
        <v>16727</v>
      </c>
      <c r="DL2079" s="58" t="s">
        <v>18904</v>
      </c>
    </row>
    <row r="2080" ht="15.75" customHeight="1">
      <c r="B2080" s="58" t="s">
        <v>16392</v>
      </c>
      <c r="C2080" s="58">
        <v>2020.0</v>
      </c>
      <c r="D2080" s="58" t="s">
        <v>18905</v>
      </c>
      <c r="E2080" s="58" t="s">
        <v>18906</v>
      </c>
      <c r="F2080" s="58" t="s">
        <v>16436</v>
      </c>
      <c r="H2080" s="58" t="s">
        <v>16437</v>
      </c>
      <c r="I2080" s="58" t="s">
        <v>18907</v>
      </c>
      <c r="K2080" s="73">
        <v>43900.0</v>
      </c>
      <c r="R2080" s="58">
        <v>8.0</v>
      </c>
      <c r="Z2080" s="58" t="s">
        <v>239</v>
      </c>
      <c r="CH2080" s="58" t="s">
        <v>18908</v>
      </c>
      <c r="CI2080" s="73">
        <v>43908.0</v>
      </c>
      <c r="CJ2080" s="58">
        <v>49695.0</v>
      </c>
      <c r="CK2080" s="58">
        <v>49704.0</v>
      </c>
      <c r="CL2080" s="58" t="s">
        <v>18909</v>
      </c>
      <c r="CN2080" s="58" t="s">
        <v>18910</v>
      </c>
      <c r="CO2080" s="58" t="s">
        <v>18911</v>
      </c>
      <c r="CP2080" s="58" t="s">
        <v>18912</v>
      </c>
      <c r="CR2080" s="58">
        <v>15.0</v>
      </c>
      <c r="CT2080" s="58">
        <v>36.0</v>
      </c>
      <c r="CU2080" s="58" t="s">
        <v>16423</v>
      </c>
      <c r="DL2080" s="58" t="s">
        <v>18913</v>
      </c>
    </row>
    <row r="2081" ht="15.75" customHeight="1">
      <c r="B2081" s="58" t="s">
        <v>16392</v>
      </c>
      <c r="C2081" s="58">
        <v>2024.0</v>
      </c>
      <c r="D2081" s="58" t="s">
        <v>18914</v>
      </c>
      <c r="E2081" s="58" t="s">
        <v>18915</v>
      </c>
      <c r="F2081" s="58" t="s">
        <v>18916</v>
      </c>
      <c r="H2081" s="58" t="s">
        <v>18917</v>
      </c>
      <c r="I2081" s="58" t="s">
        <v>18918</v>
      </c>
      <c r="K2081" s="73">
        <v>45369.0</v>
      </c>
      <c r="Q2081" s="58">
        <v>2.0</v>
      </c>
      <c r="R2081" s="58">
        <v>70.0</v>
      </c>
      <c r="Z2081" s="58" t="s">
        <v>239</v>
      </c>
      <c r="CH2081" s="58" t="s">
        <v>18919</v>
      </c>
      <c r="CI2081" s="73">
        <v>45533.0</v>
      </c>
      <c r="CJ2081" s="58">
        <v>4858.0</v>
      </c>
      <c r="CK2081" s="58">
        <v>4877.0</v>
      </c>
      <c r="CL2081" s="58" t="s">
        <v>18920</v>
      </c>
      <c r="CN2081" s="58" t="s">
        <v>18921</v>
      </c>
      <c r="CO2081" s="58" t="s">
        <v>18922</v>
      </c>
      <c r="CP2081" s="58" t="s">
        <v>18923</v>
      </c>
      <c r="CR2081" s="58">
        <v>15.0</v>
      </c>
      <c r="CT2081" s="58">
        <v>113.0</v>
      </c>
      <c r="CU2081" s="58" t="s">
        <v>239</v>
      </c>
      <c r="DL2081" s="58" t="s">
        <v>18924</v>
      </c>
    </row>
    <row r="2082" ht="15.75" customHeight="1">
      <c r="B2082" s="58" t="s">
        <v>16392</v>
      </c>
      <c r="C2082" s="58">
        <v>2023.0</v>
      </c>
      <c r="D2082" s="58" t="s">
        <v>18925</v>
      </c>
      <c r="E2082" s="58" t="s">
        <v>18926</v>
      </c>
      <c r="F2082" s="58" t="s">
        <v>16436</v>
      </c>
      <c r="H2082" s="58" t="s">
        <v>16437</v>
      </c>
      <c r="I2082" s="58" t="s">
        <v>18927</v>
      </c>
      <c r="K2082" s="73">
        <v>45098.0</v>
      </c>
      <c r="R2082" s="58">
        <v>11.0</v>
      </c>
      <c r="Z2082" s="58" t="s">
        <v>239</v>
      </c>
      <c r="CH2082" s="58" t="s">
        <v>18928</v>
      </c>
      <c r="CI2082" s="73">
        <v>45107.0</v>
      </c>
      <c r="CJ2082" s="58">
        <v>63496.0</v>
      </c>
      <c r="CK2082" s="58">
        <v>63533.0</v>
      </c>
      <c r="CL2082" s="58" t="s">
        <v>18929</v>
      </c>
      <c r="CN2082" s="58" t="s">
        <v>18930</v>
      </c>
      <c r="CO2082" s="58" t="s">
        <v>18931</v>
      </c>
      <c r="CP2082" s="58" t="s">
        <v>18932</v>
      </c>
      <c r="CR2082" s="58">
        <v>14.0</v>
      </c>
      <c r="CT2082" s="58">
        <v>245.0</v>
      </c>
      <c r="CU2082" s="58" t="s">
        <v>16727</v>
      </c>
      <c r="DL2082" s="58" t="s">
        <v>18933</v>
      </c>
    </row>
    <row r="2083" ht="15.75" customHeight="1">
      <c r="B2083" s="58" t="s">
        <v>16392</v>
      </c>
      <c r="C2083" s="58">
        <v>2020.0</v>
      </c>
      <c r="D2083" s="58" t="s">
        <v>18934</v>
      </c>
      <c r="E2083" s="58" t="s">
        <v>18935</v>
      </c>
      <c r="F2083" s="58" t="s">
        <v>16538</v>
      </c>
      <c r="H2083" s="58" t="s">
        <v>16539</v>
      </c>
      <c r="I2083" s="58" t="s">
        <v>18936</v>
      </c>
      <c r="K2083" s="73">
        <v>43973.0</v>
      </c>
      <c r="Q2083" s="58">
        <v>11.0</v>
      </c>
      <c r="R2083" s="58">
        <v>7.0</v>
      </c>
      <c r="Z2083" s="58" t="s">
        <v>239</v>
      </c>
      <c r="CH2083" s="58" t="s">
        <v>18937</v>
      </c>
      <c r="CI2083" s="73">
        <v>44147.0</v>
      </c>
      <c r="CJ2083" s="58">
        <v>10733.0</v>
      </c>
      <c r="CK2083" s="58">
        <v>10744.0</v>
      </c>
      <c r="CL2083" s="58" t="s">
        <v>18938</v>
      </c>
      <c r="CN2083" s="58" t="s">
        <v>18939</v>
      </c>
      <c r="CO2083" s="58" t="s">
        <v>18940</v>
      </c>
      <c r="CP2083" s="58" t="s">
        <v>18941</v>
      </c>
      <c r="CR2083" s="58">
        <v>14.0</v>
      </c>
      <c r="CT2083" s="58">
        <v>101.0</v>
      </c>
      <c r="CU2083" s="58" t="s">
        <v>239</v>
      </c>
      <c r="DL2083" s="58" t="s">
        <v>18942</v>
      </c>
    </row>
    <row r="2084" ht="15.75" customHeight="1">
      <c r="B2084" s="58" t="s">
        <v>16392</v>
      </c>
      <c r="C2084" s="58">
        <v>2022.0</v>
      </c>
      <c r="D2084" s="58" t="s">
        <v>18943</v>
      </c>
      <c r="E2084" s="58" t="s">
        <v>18944</v>
      </c>
      <c r="F2084" s="58" t="s">
        <v>16538</v>
      </c>
      <c r="H2084" s="58" t="s">
        <v>16539</v>
      </c>
      <c r="I2084" s="58" t="s">
        <v>18945</v>
      </c>
      <c r="K2084" s="73">
        <v>44403.0</v>
      </c>
      <c r="Q2084" s="58">
        <v>5.0</v>
      </c>
      <c r="R2084" s="58">
        <v>9.0</v>
      </c>
      <c r="Z2084" s="58" t="s">
        <v>239</v>
      </c>
      <c r="CH2084" s="58" t="s">
        <v>18946</v>
      </c>
      <c r="CI2084" s="73">
        <v>44613.0</v>
      </c>
      <c r="CJ2084" s="58">
        <v>3298.0</v>
      </c>
      <c r="CK2084" s="58">
        <v>3312.0</v>
      </c>
      <c r="CL2084" s="58" t="s">
        <v>18947</v>
      </c>
      <c r="CN2084" s="58" t="s">
        <v>18948</v>
      </c>
      <c r="CO2084" s="58" t="s">
        <v>18949</v>
      </c>
      <c r="CP2084" s="58" t="s">
        <v>18950</v>
      </c>
      <c r="CR2084" s="58">
        <v>14.0</v>
      </c>
      <c r="CT2084" s="58">
        <v>52.0</v>
      </c>
      <c r="CU2084" s="58" t="s">
        <v>239</v>
      </c>
      <c r="DL2084" s="58" t="s">
        <v>18951</v>
      </c>
    </row>
    <row r="2085" ht="15.75" customHeight="1">
      <c r="B2085" s="58" t="s">
        <v>16392</v>
      </c>
      <c r="C2085" s="58">
        <v>2022.0</v>
      </c>
      <c r="D2085" s="58" t="s">
        <v>18952</v>
      </c>
      <c r="E2085" s="58" t="s">
        <v>18953</v>
      </c>
      <c r="F2085" s="58" t="s">
        <v>16436</v>
      </c>
      <c r="H2085" s="58" t="s">
        <v>16437</v>
      </c>
      <c r="I2085" s="58" t="s">
        <v>18954</v>
      </c>
      <c r="K2085" s="73">
        <v>44628.0</v>
      </c>
      <c r="R2085" s="58">
        <v>10.0</v>
      </c>
      <c r="Z2085" s="58" t="s">
        <v>239</v>
      </c>
      <c r="CH2085" s="58" t="s">
        <v>18955</v>
      </c>
      <c r="CI2085" s="73">
        <v>44641.0</v>
      </c>
      <c r="CJ2085" s="58">
        <v>29612.0</v>
      </c>
      <c r="CK2085" s="58">
        <v>29632.0</v>
      </c>
      <c r="CL2085" s="58" t="s">
        <v>18956</v>
      </c>
      <c r="CN2085" s="58" t="s">
        <v>18957</v>
      </c>
      <c r="CO2085" s="58" t="s">
        <v>18958</v>
      </c>
      <c r="CP2085" s="58" t="s">
        <v>18959</v>
      </c>
      <c r="CR2085" s="58">
        <v>14.0</v>
      </c>
      <c r="CT2085" s="58">
        <v>88.0</v>
      </c>
      <c r="CU2085" s="58" t="s">
        <v>16423</v>
      </c>
      <c r="DL2085" s="58" t="s">
        <v>18960</v>
      </c>
    </row>
    <row r="2086" ht="15.75" customHeight="1">
      <c r="B2086" s="58" t="s">
        <v>16392</v>
      </c>
      <c r="C2086" s="58">
        <v>2019.0</v>
      </c>
      <c r="D2086" s="58" t="s">
        <v>18961</v>
      </c>
      <c r="E2086" s="58" t="s">
        <v>18962</v>
      </c>
      <c r="F2086" s="58" t="s">
        <v>18832</v>
      </c>
      <c r="H2086" s="58" t="s">
        <v>18833</v>
      </c>
      <c r="I2086" s="58" t="s">
        <v>18963</v>
      </c>
      <c r="K2086" s="73">
        <v>43447.0</v>
      </c>
      <c r="Q2086" s="58">
        <v>5.0</v>
      </c>
      <c r="R2086" s="58">
        <v>68.0</v>
      </c>
      <c r="Z2086" s="58" t="s">
        <v>239</v>
      </c>
      <c r="CH2086" s="58" t="s">
        <v>18964</v>
      </c>
      <c r="CI2086" s="73">
        <v>43572.0</v>
      </c>
      <c r="CJ2086" s="58">
        <v>1522.0</v>
      </c>
      <c r="CK2086" s="58">
        <v>1532.0</v>
      </c>
      <c r="CL2086" s="58" t="s">
        <v>18965</v>
      </c>
      <c r="CO2086" s="58" t="s">
        <v>18966</v>
      </c>
      <c r="CP2086" s="58" t="s">
        <v>18967</v>
      </c>
      <c r="CR2086" s="58">
        <v>14.0</v>
      </c>
      <c r="CT2086" s="58">
        <v>38.0</v>
      </c>
      <c r="CU2086" s="58" t="s">
        <v>239</v>
      </c>
      <c r="DL2086" s="58" t="s">
        <v>18968</v>
      </c>
    </row>
    <row r="2087" ht="15.75" customHeight="1">
      <c r="B2087" s="58" t="s">
        <v>16392</v>
      </c>
      <c r="C2087" s="58">
        <v>2021.0</v>
      </c>
      <c r="D2087" s="58" t="s">
        <v>18969</v>
      </c>
      <c r="E2087" s="58" t="s">
        <v>18970</v>
      </c>
      <c r="F2087" s="58" t="s">
        <v>16436</v>
      </c>
      <c r="H2087" s="58" t="s">
        <v>16437</v>
      </c>
      <c r="I2087" s="58" t="s">
        <v>18971</v>
      </c>
      <c r="K2087" s="73">
        <v>44538.0</v>
      </c>
      <c r="R2087" s="58">
        <v>9.0</v>
      </c>
      <c r="Z2087" s="58" t="s">
        <v>239</v>
      </c>
      <c r="CH2087" s="58" t="s">
        <v>18972</v>
      </c>
      <c r="CI2087" s="73">
        <v>44547.0</v>
      </c>
      <c r="CJ2087" s="58">
        <v>163016.0</v>
      </c>
      <c r="CK2087" s="58">
        <v>163032.0</v>
      </c>
      <c r="CL2087" s="58" t="s">
        <v>18973</v>
      </c>
      <c r="CN2087" s="58" t="s">
        <v>18974</v>
      </c>
      <c r="CO2087" s="58" t="s">
        <v>18975</v>
      </c>
      <c r="CP2087" s="58" t="s">
        <v>18976</v>
      </c>
      <c r="CR2087" s="58">
        <v>14.0</v>
      </c>
      <c r="CT2087" s="58">
        <v>34.0</v>
      </c>
      <c r="CU2087" s="58" t="s">
        <v>16423</v>
      </c>
      <c r="DL2087" s="58" t="s">
        <v>18977</v>
      </c>
    </row>
    <row r="2088" ht="15.75" customHeight="1">
      <c r="B2088" s="58" t="s">
        <v>16392</v>
      </c>
      <c r="C2088" s="58">
        <v>2023.0</v>
      </c>
      <c r="D2088" s="58" t="s">
        <v>18978</v>
      </c>
      <c r="E2088" s="58" t="s">
        <v>18979</v>
      </c>
      <c r="F2088" s="58" t="s">
        <v>16436</v>
      </c>
      <c r="H2088" s="58" t="s">
        <v>16437</v>
      </c>
      <c r="I2088" s="58" t="s">
        <v>18980</v>
      </c>
      <c r="K2088" s="73">
        <v>45047.0</v>
      </c>
      <c r="R2088" s="58">
        <v>11.0</v>
      </c>
      <c r="Z2088" s="58" t="s">
        <v>239</v>
      </c>
      <c r="CH2088" s="58" t="s">
        <v>18981</v>
      </c>
      <c r="CI2088" s="73">
        <v>45057.0</v>
      </c>
      <c r="CJ2088" s="58">
        <v>44350.0</v>
      </c>
      <c r="CK2088" s="58">
        <v>44376.0</v>
      </c>
      <c r="CL2088" s="58" t="s">
        <v>18982</v>
      </c>
      <c r="CN2088" s="58" t="s">
        <v>18983</v>
      </c>
      <c r="CO2088" s="58" t="s">
        <v>18984</v>
      </c>
      <c r="CP2088" s="58" t="s">
        <v>18985</v>
      </c>
      <c r="CR2088" s="58">
        <v>14.0</v>
      </c>
      <c r="CT2088" s="58">
        <v>74.0</v>
      </c>
      <c r="CU2088" s="58" t="s">
        <v>16727</v>
      </c>
      <c r="DL2088" s="58" t="s">
        <v>18986</v>
      </c>
    </row>
    <row r="2089" ht="15.75" customHeight="1">
      <c r="B2089" s="58" t="s">
        <v>16392</v>
      </c>
      <c r="C2089" s="58">
        <v>2019.0</v>
      </c>
      <c r="D2089" s="58" t="s">
        <v>18987</v>
      </c>
      <c r="E2089" s="58" t="s">
        <v>18988</v>
      </c>
      <c r="F2089" s="58" t="s">
        <v>16959</v>
      </c>
      <c r="H2089" s="58" t="s">
        <v>16960</v>
      </c>
      <c r="I2089" s="58" t="s">
        <v>18989</v>
      </c>
      <c r="K2089" s="73">
        <v>43670.0</v>
      </c>
      <c r="Q2089" s="58">
        <v>4.0</v>
      </c>
      <c r="R2089" s="58">
        <v>16.0</v>
      </c>
      <c r="Z2089" s="58" t="s">
        <v>239</v>
      </c>
      <c r="CH2089" s="58" t="s">
        <v>18990</v>
      </c>
      <c r="CI2089" s="73">
        <v>43809.0</v>
      </c>
      <c r="CJ2089" s="58">
        <v>1709.0</v>
      </c>
      <c r="CK2089" s="58">
        <v>1723.0</v>
      </c>
      <c r="CL2089" s="58" t="s">
        <v>18991</v>
      </c>
      <c r="CN2089" s="58" t="s">
        <v>18992</v>
      </c>
      <c r="CO2089" s="58" t="s">
        <v>18993</v>
      </c>
      <c r="CP2089" s="58" t="s">
        <v>18994</v>
      </c>
      <c r="CR2089" s="58">
        <v>14.0</v>
      </c>
      <c r="CT2089" s="58">
        <v>29.0</v>
      </c>
      <c r="CU2089" s="58" t="s">
        <v>239</v>
      </c>
      <c r="DL2089" s="58" t="s">
        <v>18995</v>
      </c>
    </row>
    <row r="2090" ht="15.75" customHeight="1">
      <c r="B2090" s="58" t="s">
        <v>16392</v>
      </c>
      <c r="C2090" s="58">
        <v>2021.0</v>
      </c>
      <c r="D2090" s="58" t="s">
        <v>18996</v>
      </c>
      <c r="E2090" s="58" t="s">
        <v>18997</v>
      </c>
      <c r="F2090" s="58" t="s">
        <v>16538</v>
      </c>
      <c r="H2090" s="58" t="s">
        <v>16539</v>
      </c>
      <c r="I2090" s="58" t="s">
        <v>18998</v>
      </c>
      <c r="K2090" s="73">
        <v>44187.0</v>
      </c>
      <c r="Q2090" s="58">
        <v>22.0</v>
      </c>
      <c r="R2090" s="58">
        <v>8.0</v>
      </c>
      <c r="Z2090" s="58" t="s">
        <v>239</v>
      </c>
      <c r="CH2090" s="58" t="s">
        <v>18999</v>
      </c>
      <c r="CI2090" s="73">
        <v>44504.0</v>
      </c>
      <c r="CJ2090" s="58">
        <v>16452.0</v>
      </c>
      <c r="CK2090" s="58">
        <v>16472.0</v>
      </c>
      <c r="CL2090" s="58" t="s">
        <v>19000</v>
      </c>
      <c r="CN2090" s="58" t="s">
        <v>19001</v>
      </c>
      <c r="CO2090" s="58" t="s">
        <v>19002</v>
      </c>
      <c r="CP2090" s="58" t="s">
        <v>19003</v>
      </c>
      <c r="CR2090" s="58">
        <v>14.0</v>
      </c>
      <c r="CT2090" s="58">
        <v>198.0</v>
      </c>
      <c r="CU2090" s="58" t="s">
        <v>239</v>
      </c>
      <c r="DL2090" s="58" t="s">
        <v>19004</v>
      </c>
    </row>
    <row r="2091" ht="15.75" customHeight="1">
      <c r="B2091" s="58" t="s">
        <v>16392</v>
      </c>
      <c r="C2091" s="58">
        <v>2019.0</v>
      </c>
      <c r="D2091" s="58" t="s">
        <v>19005</v>
      </c>
      <c r="E2091" s="58" t="s">
        <v>19006</v>
      </c>
      <c r="F2091" s="58" t="s">
        <v>16538</v>
      </c>
      <c r="H2091" s="58" t="s">
        <v>16539</v>
      </c>
      <c r="I2091" s="58" t="s">
        <v>19007</v>
      </c>
      <c r="K2091" s="73">
        <v>43445.0</v>
      </c>
      <c r="Q2091" s="58">
        <v>3.0</v>
      </c>
      <c r="R2091" s="58">
        <v>6.0</v>
      </c>
      <c r="Z2091" s="58" t="s">
        <v>239</v>
      </c>
      <c r="CH2091" s="58" t="s">
        <v>19008</v>
      </c>
      <c r="CI2091" s="73">
        <v>43634.0</v>
      </c>
      <c r="CJ2091" s="58">
        <v>4561.0</v>
      </c>
      <c r="CK2091" s="58">
        <v>4572.0</v>
      </c>
      <c r="CL2091" s="58" t="s">
        <v>19009</v>
      </c>
      <c r="CN2091" s="58" t="s">
        <v>19010</v>
      </c>
      <c r="CO2091" s="58" t="s">
        <v>19011</v>
      </c>
      <c r="CP2091" s="58" t="s">
        <v>19012</v>
      </c>
      <c r="CR2091" s="58">
        <v>14.0</v>
      </c>
      <c r="CT2091" s="58">
        <v>31.0</v>
      </c>
      <c r="CU2091" s="58" t="s">
        <v>239</v>
      </c>
      <c r="DL2091" s="58" t="s">
        <v>19013</v>
      </c>
    </row>
    <row r="2092" ht="15.75" customHeight="1">
      <c r="B2092" s="58" t="s">
        <v>16392</v>
      </c>
      <c r="C2092" s="58">
        <v>2021.0</v>
      </c>
      <c r="D2092" s="58" t="s">
        <v>19014</v>
      </c>
      <c r="E2092" s="58" t="s">
        <v>19015</v>
      </c>
      <c r="F2092" s="58" t="s">
        <v>16436</v>
      </c>
      <c r="H2092" s="58" t="s">
        <v>16437</v>
      </c>
      <c r="I2092" s="58" t="s">
        <v>19016</v>
      </c>
      <c r="K2092" s="73">
        <v>44376.0</v>
      </c>
      <c r="R2092" s="58">
        <v>9.0</v>
      </c>
      <c r="Z2092" s="58" t="s">
        <v>239</v>
      </c>
      <c r="CH2092" s="58" t="s">
        <v>19017</v>
      </c>
      <c r="CI2092" s="73">
        <v>44392.0</v>
      </c>
      <c r="CJ2092" s="58">
        <v>98169.0</v>
      </c>
      <c r="CK2092" s="58">
        <v>98184.0</v>
      </c>
      <c r="CL2092" s="58" t="s">
        <v>19018</v>
      </c>
      <c r="CN2092" s="58" t="s">
        <v>19019</v>
      </c>
      <c r="CO2092" s="58" t="s">
        <v>19020</v>
      </c>
      <c r="CP2092" s="58" t="s">
        <v>19021</v>
      </c>
      <c r="CR2092" s="58">
        <v>14.0</v>
      </c>
      <c r="CT2092" s="58">
        <v>105.0</v>
      </c>
      <c r="CU2092" s="58" t="s">
        <v>16423</v>
      </c>
      <c r="DL2092" s="58" t="s">
        <v>19022</v>
      </c>
    </row>
    <row r="2093" ht="15.75" customHeight="1">
      <c r="B2093" s="58" t="s">
        <v>16392</v>
      </c>
      <c r="C2093" s="58">
        <v>2021.0</v>
      </c>
      <c r="D2093" s="58" t="s">
        <v>19023</v>
      </c>
      <c r="E2093" s="58" t="s">
        <v>19024</v>
      </c>
      <c r="F2093" s="58" t="s">
        <v>17051</v>
      </c>
      <c r="H2093" s="58" t="s">
        <v>17052</v>
      </c>
      <c r="I2093" s="58" t="s">
        <v>19025</v>
      </c>
      <c r="K2093" s="73">
        <v>44186.0</v>
      </c>
      <c r="Q2093" s="58">
        <v>22.0</v>
      </c>
      <c r="R2093" s="58">
        <v>21.0</v>
      </c>
      <c r="Z2093" s="58" t="s">
        <v>239</v>
      </c>
      <c r="CH2093" s="58" t="s">
        <v>19026</v>
      </c>
      <c r="CI2093" s="73">
        <v>44512.0</v>
      </c>
      <c r="CJ2093" s="58">
        <v>25075.0</v>
      </c>
      <c r="CK2093" s="58">
        <v>25082.0</v>
      </c>
      <c r="CL2093" s="58" t="s">
        <v>19027</v>
      </c>
      <c r="CO2093" s="58" t="s">
        <v>19028</v>
      </c>
      <c r="CP2093" s="58" t="s">
        <v>19029</v>
      </c>
      <c r="CR2093" s="58">
        <v>14.0</v>
      </c>
      <c r="CT2093" s="58">
        <v>20.0</v>
      </c>
      <c r="CU2093" s="58" t="s">
        <v>239</v>
      </c>
      <c r="DL2093" s="58" t="s">
        <v>19030</v>
      </c>
    </row>
    <row r="2094" ht="15.75" customHeight="1">
      <c r="B2094" s="58" t="s">
        <v>16392</v>
      </c>
      <c r="C2094" s="58">
        <v>2024.0</v>
      </c>
      <c r="D2094" s="58" t="s">
        <v>19031</v>
      </c>
      <c r="E2094" s="58" t="s">
        <v>19032</v>
      </c>
      <c r="F2094" s="58" t="s">
        <v>16395</v>
      </c>
      <c r="H2094" s="58" t="s">
        <v>16396</v>
      </c>
      <c r="I2094" s="58" t="s">
        <v>19033</v>
      </c>
      <c r="K2094" s="73">
        <v>45232.0</v>
      </c>
      <c r="Q2094" s="58">
        <v>2.0</v>
      </c>
      <c r="R2094" s="58">
        <v>26.0</v>
      </c>
      <c r="Z2094" s="58" t="s">
        <v>239</v>
      </c>
      <c r="CH2094" s="58" t="s">
        <v>19034</v>
      </c>
      <c r="CI2094" s="73">
        <v>45434.0</v>
      </c>
      <c r="CJ2094" s="58">
        <v>1080.0</v>
      </c>
      <c r="CK2094" s="58">
        <v>1126.0</v>
      </c>
      <c r="CL2094" s="58" t="s">
        <v>19035</v>
      </c>
      <c r="CN2094" s="58" t="s">
        <v>19036</v>
      </c>
      <c r="CO2094" s="58" t="s">
        <v>19037</v>
      </c>
      <c r="CP2094" s="58" t="s">
        <v>19038</v>
      </c>
      <c r="CR2094" s="58">
        <v>14.0</v>
      </c>
      <c r="CT2094" s="58">
        <v>358.0</v>
      </c>
      <c r="CU2094" s="58" t="s">
        <v>239</v>
      </c>
      <c r="DL2094" s="58" t="s">
        <v>19039</v>
      </c>
    </row>
    <row r="2095" ht="15.75" customHeight="1">
      <c r="B2095" s="58" t="s">
        <v>16392</v>
      </c>
      <c r="C2095" s="58">
        <v>2020.0</v>
      </c>
      <c r="D2095" s="58" t="s">
        <v>19040</v>
      </c>
      <c r="E2095" s="58" t="s">
        <v>19041</v>
      </c>
      <c r="F2095" s="58" t="s">
        <v>16436</v>
      </c>
      <c r="H2095" s="58" t="s">
        <v>16437</v>
      </c>
      <c r="I2095" s="58" t="s">
        <v>19042</v>
      </c>
      <c r="K2095" s="73">
        <v>44151.0</v>
      </c>
      <c r="R2095" s="58">
        <v>8.0</v>
      </c>
      <c r="Z2095" s="58" t="s">
        <v>239</v>
      </c>
      <c r="CH2095" s="58" t="s">
        <v>19043</v>
      </c>
      <c r="CI2095" s="73">
        <v>44173.0</v>
      </c>
      <c r="CJ2095" s="58">
        <v>215928.0</v>
      </c>
      <c r="CK2095" s="58">
        <v>215942.0</v>
      </c>
      <c r="CL2095" s="58" t="s">
        <v>19044</v>
      </c>
      <c r="CN2095" s="58" t="s">
        <v>19045</v>
      </c>
      <c r="CO2095" s="58" t="s">
        <v>19046</v>
      </c>
      <c r="CP2095" s="58" t="s">
        <v>19047</v>
      </c>
      <c r="CR2095" s="58">
        <v>14.0</v>
      </c>
      <c r="CT2095" s="58">
        <v>96.0</v>
      </c>
      <c r="CU2095" s="58" t="s">
        <v>16423</v>
      </c>
      <c r="DL2095" s="58" t="s">
        <v>19048</v>
      </c>
    </row>
    <row r="2096" ht="15.75" customHeight="1">
      <c r="B2096" s="58" t="s">
        <v>16392</v>
      </c>
      <c r="C2096" s="58">
        <v>2021.0</v>
      </c>
      <c r="D2096" s="58" t="s">
        <v>19049</v>
      </c>
      <c r="E2096" s="58" t="s">
        <v>19050</v>
      </c>
      <c r="F2096" s="58" t="s">
        <v>16538</v>
      </c>
      <c r="H2096" s="58" t="s">
        <v>16539</v>
      </c>
      <c r="I2096" s="58" t="s">
        <v>19051</v>
      </c>
      <c r="K2096" s="73">
        <v>44259.0</v>
      </c>
      <c r="Q2096" s="58">
        <v>15.0</v>
      </c>
      <c r="R2096" s="58">
        <v>8.0</v>
      </c>
      <c r="Z2096" s="58" t="s">
        <v>239</v>
      </c>
      <c r="CH2096" s="58" t="s">
        <v>19052</v>
      </c>
      <c r="CI2096" s="73">
        <v>44403.0</v>
      </c>
      <c r="CJ2096" s="58">
        <v>12176.0</v>
      </c>
      <c r="CK2096" s="58">
        <v>12188.0</v>
      </c>
      <c r="CL2096" s="58" t="s">
        <v>19053</v>
      </c>
      <c r="CN2096" s="58" t="s">
        <v>19054</v>
      </c>
      <c r="CO2096" s="58" t="s">
        <v>19055</v>
      </c>
      <c r="CP2096" s="58" t="s">
        <v>19056</v>
      </c>
      <c r="CR2096" s="58">
        <v>13.0</v>
      </c>
      <c r="CT2096" s="58">
        <v>34.0</v>
      </c>
      <c r="CU2096" s="58" t="s">
        <v>239</v>
      </c>
      <c r="DL2096" s="58" t="s">
        <v>19057</v>
      </c>
    </row>
    <row r="2097" ht="15.75" customHeight="1">
      <c r="B2097" s="58" t="s">
        <v>16392</v>
      </c>
      <c r="C2097" s="58">
        <v>2023.0</v>
      </c>
      <c r="D2097" s="58" t="s">
        <v>19058</v>
      </c>
      <c r="E2097" s="58" t="s">
        <v>19059</v>
      </c>
      <c r="F2097" s="58" t="s">
        <v>16613</v>
      </c>
      <c r="H2097" s="58" t="s">
        <v>16614</v>
      </c>
      <c r="I2097" s="58" t="s">
        <v>19060</v>
      </c>
      <c r="K2097" s="73">
        <v>44574.0</v>
      </c>
      <c r="Q2097" s="58">
        <v>1.0</v>
      </c>
      <c r="R2097" s="58">
        <v>16.0</v>
      </c>
      <c r="Z2097" s="58" t="s">
        <v>239</v>
      </c>
      <c r="CH2097" s="58" t="s">
        <v>19061</v>
      </c>
      <c r="CI2097" s="73">
        <v>44963.0</v>
      </c>
      <c r="CJ2097" s="58">
        <v>424.0</v>
      </c>
      <c r="CK2097" s="58">
        <v>437.0</v>
      </c>
      <c r="CL2097" s="58" t="s">
        <v>19062</v>
      </c>
      <c r="CN2097" s="58" t="s">
        <v>19063</v>
      </c>
      <c r="CO2097" s="58" t="s">
        <v>19064</v>
      </c>
      <c r="CP2097" s="58" t="s">
        <v>19065</v>
      </c>
      <c r="CR2097" s="58">
        <v>13.0</v>
      </c>
      <c r="CT2097" s="58">
        <v>41.0</v>
      </c>
      <c r="CU2097" s="58" t="s">
        <v>239</v>
      </c>
      <c r="DL2097" s="58" t="s">
        <v>19066</v>
      </c>
    </row>
    <row r="2098" ht="15.75" customHeight="1">
      <c r="B2098" s="58" t="s">
        <v>16392</v>
      </c>
      <c r="C2098" s="58">
        <v>2022.0</v>
      </c>
      <c r="D2098" s="58" t="s">
        <v>19067</v>
      </c>
      <c r="E2098" s="58" t="s">
        <v>19068</v>
      </c>
      <c r="F2098" s="58" t="s">
        <v>16731</v>
      </c>
      <c r="H2098" s="58" t="s">
        <v>16732</v>
      </c>
      <c r="I2098" s="58" t="s">
        <v>19069</v>
      </c>
      <c r="K2098" s="73">
        <v>44676.0</v>
      </c>
      <c r="Q2098" s="58">
        <v>11.0</v>
      </c>
      <c r="R2098" s="58">
        <v>18.0</v>
      </c>
      <c r="Z2098" s="58" t="s">
        <v>239</v>
      </c>
      <c r="CH2098" s="58" t="s">
        <v>19070</v>
      </c>
      <c r="CI2098" s="73">
        <v>44823.0</v>
      </c>
      <c r="CJ2098" s="58">
        <v>8017.0</v>
      </c>
      <c r="CK2098" s="58">
        <v>8026.0</v>
      </c>
      <c r="CL2098" s="58" t="s">
        <v>19071</v>
      </c>
      <c r="CO2098" s="58" t="s">
        <v>19072</v>
      </c>
      <c r="CP2098" s="58" t="s">
        <v>19073</v>
      </c>
      <c r="CR2098" s="58">
        <v>13.0</v>
      </c>
      <c r="CT2098" s="58">
        <v>29.0</v>
      </c>
      <c r="CU2098" s="58" t="s">
        <v>239</v>
      </c>
      <c r="DL2098" s="58" t="s">
        <v>19074</v>
      </c>
    </row>
    <row r="2099" ht="15.75" customHeight="1">
      <c r="B2099" s="58" t="s">
        <v>16392</v>
      </c>
      <c r="C2099" s="58">
        <v>2023.0</v>
      </c>
      <c r="D2099" s="58" t="s">
        <v>19075</v>
      </c>
      <c r="E2099" s="58" t="s">
        <v>19076</v>
      </c>
      <c r="F2099" s="58" t="s">
        <v>18568</v>
      </c>
      <c r="H2099" s="58" t="s">
        <v>18569</v>
      </c>
      <c r="I2099" s="58" t="s">
        <v>19077</v>
      </c>
      <c r="K2099" s="73">
        <v>45076.0</v>
      </c>
      <c r="Q2099" s="58">
        <v>5.0</v>
      </c>
      <c r="R2099" s="58">
        <v>59.0</v>
      </c>
      <c r="Z2099" s="58" t="s">
        <v>239</v>
      </c>
      <c r="CH2099" s="58" t="s">
        <v>19078</v>
      </c>
      <c r="CI2099" s="73">
        <v>45209.0</v>
      </c>
      <c r="CJ2099" s="58">
        <v>6991.0</v>
      </c>
      <c r="CK2099" s="58">
        <v>7003.0</v>
      </c>
      <c r="CL2099" s="58" t="s">
        <v>19079</v>
      </c>
      <c r="CN2099" s="58" t="s">
        <v>19080</v>
      </c>
      <c r="CO2099" s="58" t="s">
        <v>19081</v>
      </c>
      <c r="CP2099" s="58" t="s">
        <v>19082</v>
      </c>
      <c r="CR2099" s="58">
        <v>13.0</v>
      </c>
      <c r="CT2099" s="58">
        <v>43.0</v>
      </c>
      <c r="CU2099" s="58" t="s">
        <v>239</v>
      </c>
      <c r="DL2099" s="58" t="s">
        <v>19083</v>
      </c>
    </row>
    <row r="2100" ht="15.75" customHeight="1">
      <c r="B2100" s="58" t="s">
        <v>16392</v>
      </c>
      <c r="C2100" s="58">
        <v>2022.0</v>
      </c>
      <c r="D2100" s="58" t="s">
        <v>19084</v>
      </c>
      <c r="E2100" s="58" t="s">
        <v>19085</v>
      </c>
      <c r="F2100" s="58" t="s">
        <v>16538</v>
      </c>
      <c r="H2100" s="58" t="s">
        <v>16539</v>
      </c>
      <c r="I2100" s="58" t="s">
        <v>19086</v>
      </c>
      <c r="K2100" s="73">
        <v>44701.0</v>
      </c>
      <c r="Q2100" s="58">
        <v>21.0</v>
      </c>
      <c r="R2100" s="58">
        <v>9.0</v>
      </c>
      <c r="Z2100" s="58" t="s">
        <v>239</v>
      </c>
      <c r="CH2100" s="58" t="s">
        <v>19087</v>
      </c>
      <c r="CI2100" s="73">
        <v>44855.0</v>
      </c>
      <c r="CJ2100" s="58">
        <v>20841.0</v>
      </c>
      <c r="CK2100" s="58">
        <v>20852.0</v>
      </c>
      <c r="CL2100" s="58" t="s">
        <v>19088</v>
      </c>
      <c r="CN2100" s="58" t="s">
        <v>19089</v>
      </c>
      <c r="CO2100" s="58" t="s">
        <v>19090</v>
      </c>
      <c r="CP2100" s="58" t="s">
        <v>19091</v>
      </c>
      <c r="CR2100" s="58">
        <v>13.0</v>
      </c>
      <c r="CT2100" s="58">
        <v>26.0</v>
      </c>
      <c r="CU2100" s="58" t="s">
        <v>239</v>
      </c>
      <c r="DL2100" s="58" t="s">
        <v>19092</v>
      </c>
    </row>
    <row r="2101" ht="15.75" customHeight="1">
      <c r="B2101" s="58" t="s">
        <v>16392</v>
      </c>
      <c r="C2101" s="58">
        <v>2023.0</v>
      </c>
      <c r="D2101" s="58" t="s">
        <v>19093</v>
      </c>
      <c r="E2101" s="58" t="s">
        <v>19094</v>
      </c>
      <c r="F2101" s="58" t="s">
        <v>16436</v>
      </c>
      <c r="H2101" s="58" t="s">
        <v>16437</v>
      </c>
      <c r="I2101" s="58" t="s">
        <v>19095</v>
      </c>
      <c r="K2101" s="73">
        <v>45222.0</v>
      </c>
      <c r="R2101" s="58">
        <v>11.0</v>
      </c>
      <c r="Z2101" s="58" t="s">
        <v>239</v>
      </c>
      <c r="CH2101" s="58" t="s">
        <v>19096</v>
      </c>
      <c r="CI2101" s="73">
        <v>45232.0</v>
      </c>
      <c r="CJ2101" s="58">
        <v>120001.0</v>
      </c>
      <c r="CK2101" s="58">
        <v>120022.0</v>
      </c>
      <c r="CL2101" s="58" t="s">
        <v>19097</v>
      </c>
      <c r="CN2101" s="58" t="s">
        <v>19098</v>
      </c>
      <c r="CO2101" s="58" t="s">
        <v>19099</v>
      </c>
      <c r="CP2101" s="58" t="s">
        <v>19100</v>
      </c>
      <c r="CR2101" s="58">
        <v>13.0</v>
      </c>
      <c r="CT2101" s="58">
        <v>217.0</v>
      </c>
      <c r="CU2101" s="58" t="s">
        <v>16727</v>
      </c>
      <c r="DL2101" s="58" t="s">
        <v>19101</v>
      </c>
    </row>
    <row r="2102" ht="15.75" customHeight="1">
      <c r="B2102" s="58" t="s">
        <v>16392</v>
      </c>
      <c r="C2102" s="58">
        <v>2023.0</v>
      </c>
      <c r="D2102" s="58" t="s">
        <v>19102</v>
      </c>
      <c r="E2102" s="58" t="s">
        <v>19103</v>
      </c>
      <c r="F2102" s="58" t="s">
        <v>16959</v>
      </c>
      <c r="H2102" s="58" t="s">
        <v>16960</v>
      </c>
      <c r="I2102" s="58" t="s">
        <v>19104</v>
      </c>
      <c r="K2102" s="73">
        <v>45055.0</v>
      </c>
      <c r="Q2102" s="58">
        <v>2.0</v>
      </c>
      <c r="R2102" s="58">
        <v>20.0</v>
      </c>
      <c r="Z2102" s="58" t="s">
        <v>239</v>
      </c>
      <c r="CH2102" s="58" t="s">
        <v>19105</v>
      </c>
      <c r="CI2102" s="73">
        <v>45106.0</v>
      </c>
      <c r="CJ2102" s="58">
        <v>1319.0</v>
      </c>
      <c r="CK2102" s="58">
        <v>1331.0</v>
      </c>
      <c r="CL2102" s="58" t="s">
        <v>19106</v>
      </c>
      <c r="CN2102" s="58" t="s">
        <v>19107</v>
      </c>
      <c r="CO2102" s="58" t="s">
        <v>19108</v>
      </c>
      <c r="CP2102" s="58" t="s">
        <v>19109</v>
      </c>
      <c r="CR2102" s="58">
        <v>13.0</v>
      </c>
      <c r="CT2102" s="58">
        <v>39.0</v>
      </c>
      <c r="CU2102" s="58" t="s">
        <v>239</v>
      </c>
      <c r="DL2102" s="58" t="s">
        <v>19110</v>
      </c>
    </row>
    <row r="2103" ht="15.75" customHeight="1">
      <c r="B2103" s="58" t="s">
        <v>16392</v>
      </c>
      <c r="C2103" s="58">
        <v>2023.0</v>
      </c>
      <c r="D2103" s="58" t="s">
        <v>19111</v>
      </c>
      <c r="E2103" s="58" t="s">
        <v>19112</v>
      </c>
      <c r="F2103" s="58" t="s">
        <v>16436</v>
      </c>
      <c r="H2103" s="58" t="s">
        <v>16437</v>
      </c>
      <c r="I2103" s="58" t="s">
        <v>19113</v>
      </c>
      <c r="K2103" s="73">
        <v>45078.0</v>
      </c>
      <c r="R2103" s="58">
        <v>11.0</v>
      </c>
      <c r="Z2103" s="58" t="s">
        <v>239</v>
      </c>
      <c r="CH2103" s="58" t="s">
        <v>19114</v>
      </c>
      <c r="CI2103" s="73">
        <v>45131.0</v>
      </c>
      <c r="CJ2103" s="58">
        <v>73036.0</v>
      </c>
      <c r="CK2103" s="58">
        <v>73052.0</v>
      </c>
      <c r="CL2103" s="58" t="s">
        <v>19115</v>
      </c>
      <c r="CN2103" s="58" t="s">
        <v>19116</v>
      </c>
      <c r="CO2103" s="58" t="s">
        <v>19117</v>
      </c>
      <c r="CP2103" s="58" t="s">
        <v>19118</v>
      </c>
      <c r="CR2103" s="58">
        <v>13.0</v>
      </c>
      <c r="CT2103" s="58">
        <v>91.0</v>
      </c>
      <c r="CU2103" s="58" t="s">
        <v>16727</v>
      </c>
      <c r="DL2103" s="58" t="s">
        <v>19119</v>
      </c>
    </row>
    <row r="2104" ht="15.75" customHeight="1">
      <c r="B2104" s="58" t="s">
        <v>16392</v>
      </c>
      <c r="C2104" s="58">
        <v>2022.0</v>
      </c>
      <c r="D2104" s="58" t="s">
        <v>19120</v>
      </c>
      <c r="E2104" s="58" t="s">
        <v>19121</v>
      </c>
      <c r="F2104" s="58" t="s">
        <v>16436</v>
      </c>
      <c r="H2104" s="58" t="s">
        <v>16437</v>
      </c>
      <c r="I2104" s="58" t="s">
        <v>19122</v>
      </c>
      <c r="K2104" s="73">
        <v>44630.0</v>
      </c>
      <c r="R2104" s="58">
        <v>10.0</v>
      </c>
      <c r="Z2104" s="58" t="s">
        <v>239</v>
      </c>
      <c r="CH2104" s="58" t="s">
        <v>19123</v>
      </c>
      <c r="CI2104" s="73">
        <v>44650.0</v>
      </c>
      <c r="CJ2104" s="58">
        <v>33083.0</v>
      </c>
      <c r="CK2104" s="58">
        <v>33094.0</v>
      </c>
      <c r="CL2104" s="58" t="s">
        <v>19124</v>
      </c>
      <c r="CN2104" s="58" t="s">
        <v>19125</v>
      </c>
      <c r="CO2104" s="58" t="s">
        <v>19126</v>
      </c>
      <c r="CP2104" s="58" t="s">
        <v>19127</v>
      </c>
      <c r="CR2104" s="58">
        <v>13.0</v>
      </c>
      <c r="CT2104" s="58">
        <v>36.0</v>
      </c>
      <c r="CU2104" s="58" t="s">
        <v>16423</v>
      </c>
      <c r="DL2104" s="58" t="s">
        <v>19128</v>
      </c>
    </row>
    <row r="2105" ht="15.75" customHeight="1">
      <c r="B2105" s="58" t="s">
        <v>16392</v>
      </c>
      <c r="C2105" s="58">
        <v>2022.0</v>
      </c>
      <c r="D2105" s="58" t="s">
        <v>19129</v>
      </c>
      <c r="E2105" s="58" t="s">
        <v>19130</v>
      </c>
      <c r="F2105" s="58" t="s">
        <v>16436</v>
      </c>
      <c r="H2105" s="58" t="s">
        <v>16437</v>
      </c>
      <c r="I2105" s="58" t="s">
        <v>19131</v>
      </c>
      <c r="K2105" s="73">
        <v>44699.0</v>
      </c>
      <c r="R2105" s="58">
        <v>10.0</v>
      </c>
      <c r="Z2105" s="58" t="s">
        <v>239</v>
      </c>
      <c r="CH2105" s="58" t="s">
        <v>19132</v>
      </c>
      <c r="CI2105" s="73">
        <v>44711.0</v>
      </c>
      <c r="CJ2105" s="58">
        <v>55308.0</v>
      </c>
      <c r="CK2105" s="58">
        <v>55337.0</v>
      </c>
      <c r="CL2105" s="58" t="s">
        <v>19133</v>
      </c>
      <c r="CN2105" s="58" t="s">
        <v>19134</v>
      </c>
      <c r="CO2105" s="58" t="s">
        <v>19135</v>
      </c>
      <c r="CP2105" s="58" t="s">
        <v>19136</v>
      </c>
      <c r="CR2105" s="58">
        <v>13.0</v>
      </c>
      <c r="CT2105" s="58">
        <v>123.0</v>
      </c>
      <c r="CU2105" s="58" t="s">
        <v>16423</v>
      </c>
      <c r="DL2105" s="58" t="s">
        <v>19137</v>
      </c>
    </row>
    <row r="2106" ht="15.75" customHeight="1">
      <c r="B2106" s="58" t="s">
        <v>16392</v>
      </c>
      <c r="C2106" s="58">
        <v>2024.0</v>
      </c>
      <c r="D2106" s="58" t="s">
        <v>19138</v>
      </c>
      <c r="E2106" s="58" t="s">
        <v>19139</v>
      </c>
      <c r="F2106" s="58" t="s">
        <v>16538</v>
      </c>
      <c r="H2106" s="58" t="s">
        <v>16539</v>
      </c>
      <c r="I2106" s="58" t="s">
        <v>19140</v>
      </c>
      <c r="K2106" s="73">
        <v>45342.0</v>
      </c>
      <c r="Q2106" s="58">
        <v>11.0</v>
      </c>
      <c r="R2106" s="58">
        <v>11.0</v>
      </c>
      <c r="Z2106" s="58" t="s">
        <v>239</v>
      </c>
      <c r="CH2106" s="58" t="s">
        <v>19141</v>
      </c>
      <c r="CI2106" s="73">
        <v>45434.0</v>
      </c>
      <c r="CJ2106" s="58">
        <v>19143.0</v>
      </c>
      <c r="CK2106" s="58">
        <v>19167.0</v>
      </c>
      <c r="CL2106" s="58" t="s">
        <v>19142</v>
      </c>
      <c r="CN2106" s="58" t="s">
        <v>19143</v>
      </c>
      <c r="CO2106" s="58" t="s">
        <v>19144</v>
      </c>
      <c r="CP2106" s="58" t="s">
        <v>19145</v>
      </c>
      <c r="CR2106" s="58">
        <v>13.0</v>
      </c>
      <c r="CT2106" s="58">
        <v>219.0</v>
      </c>
      <c r="CU2106" s="58" t="s">
        <v>239</v>
      </c>
      <c r="DL2106" s="58" t="s">
        <v>19146</v>
      </c>
    </row>
    <row r="2107" ht="15.75" customHeight="1">
      <c r="B2107" s="58" t="s">
        <v>16392</v>
      </c>
      <c r="C2107" s="58">
        <v>2024.0</v>
      </c>
      <c r="D2107" s="58" t="s">
        <v>19147</v>
      </c>
      <c r="E2107" s="58" t="s">
        <v>19148</v>
      </c>
      <c r="F2107" s="58" t="s">
        <v>16395</v>
      </c>
      <c r="H2107" s="58" t="s">
        <v>16396</v>
      </c>
      <c r="I2107" s="58" t="s">
        <v>19149</v>
      </c>
      <c r="K2107" s="73">
        <v>45261.0</v>
      </c>
      <c r="Q2107" s="58">
        <v>2.0</v>
      </c>
      <c r="R2107" s="58">
        <v>26.0</v>
      </c>
      <c r="Z2107" s="58" t="s">
        <v>239</v>
      </c>
      <c r="CH2107" s="58" t="s">
        <v>19150</v>
      </c>
      <c r="CI2107" s="73">
        <v>45434.0</v>
      </c>
      <c r="CJ2107" s="58">
        <v>1322.0</v>
      </c>
      <c r="CK2107" s="58">
        <v>1385.0</v>
      </c>
      <c r="CL2107" s="58" t="s">
        <v>19151</v>
      </c>
      <c r="CN2107" s="58" t="s">
        <v>19152</v>
      </c>
      <c r="CO2107" s="58" t="s">
        <v>19153</v>
      </c>
      <c r="CP2107" s="58" t="s">
        <v>19154</v>
      </c>
      <c r="CR2107" s="58">
        <v>12.0</v>
      </c>
      <c r="CT2107" s="58">
        <v>449.0</v>
      </c>
      <c r="CU2107" s="58" t="s">
        <v>239</v>
      </c>
      <c r="DL2107" s="58" t="s">
        <v>19155</v>
      </c>
    </row>
    <row r="2108" ht="15.75" customHeight="1">
      <c r="B2108" s="58" t="s">
        <v>16392</v>
      </c>
      <c r="C2108" s="58">
        <v>2023.0</v>
      </c>
      <c r="D2108" s="58" t="s">
        <v>19156</v>
      </c>
      <c r="E2108" s="58" t="s">
        <v>19157</v>
      </c>
      <c r="F2108" s="58" t="s">
        <v>16395</v>
      </c>
      <c r="H2108" s="58" t="s">
        <v>16396</v>
      </c>
      <c r="I2108" s="58" t="s">
        <v>19158</v>
      </c>
      <c r="K2108" s="73">
        <v>45209.0</v>
      </c>
      <c r="Q2108" s="58">
        <v>4.0</v>
      </c>
      <c r="R2108" s="58">
        <v>25.0</v>
      </c>
      <c r="Z2108" s="58" t="s">
        <v>239</v>
      </c>
      <c r="CH2108" s="58" t="s">
        <v>19159</v>
      </c>
      <c r="CI2108" s="73">
        <v>45251.0</v>
      </c>
      <c r="CJ2108" s="58">
        <v>2951.0</v>
      </c>
      <c r="CK2108" s="58">
        <v>2982.0</v>
      </c>
      <c r="CL2108" s="58" t="s">
        <v>19160</v>
      </c>
      <c r="CN2108" s="58" t="s">
        <v>19161</v>
      </c>
      <c r="CO2108" s="58" t="s">
        <v>19162</v>
      </c>
      <c r="CP2108" s="58" t="s">
        <v>19163</v>
      </c>
      <c r="CR2108" s="58">
        <v>12.0</v>
      </c>
      <c r="CT2108" s="58">
        <v>290.0</v>
      </c>
      <c r="CU2108" s="58" t="s">
        <v>239</v>
      </c>
      <c r="DL2108" s="58" t="s">
        <v>19164</v>
      </c>
    </row>
    <row r="2109" ht="15.75" customHeight="1">
      <c r="B2109" s="58" t="s">
        <v>16392</v>
      </c>
      <c r="C2109" s="58">
        <v>2023.0</v>
      </c>
      <c r="D2109" s="58" t="s">
        <v>19165</v>
      </c>
      <c r="E2109" s="58" t="s">
        <v>19166</v>
      </c>
      <c r="F2109" s="58" t="s">
        <v>16436</v>
      </c>
      <c r="H2109" s="58" t="s">
        <v>16437</v>
      </c>
      <c r="I2109" s="58" t="s">
        <v>19167</v>
      </c>
      <c r="K2109" s="73">
        <v>45183.0</v>
      </c>
      <c r="R2109" s="58">
        <v>11.0</v>
      </c>
      <c r="Z2109" s="58" t="s">
        <v>239</v>
      </c>
      <c r="CH2109" s="58" t="s">
        <v>19168</v>
      </c>
      <c r="CI2109" s="73">
        <v>45191.0</v>
      </c>
      <c r="CJ2109" s="58">
        <v>101055.0</v>
      </c>
      <c r="CK2109" s="58">
        <v>101086.0</v>
      </c>
      <c r="CL2109" s="58" t="s">
        <v>19169</v>
      </c>
      <c r="CN2109" s="58" t="s">
        <v>19170</v>
      </c>
      <c r="CO2109" s="58" t="s">
        <v>19171</v>
      </c>
      <c r="CP2109" s="58" t="s">
        <v>19172</v>
      </c>
      <c r="CR2109" s="58">
        <v>12.0</v>
      </c>
      <c r="CT2109" s="58">
        <v>99.0</v>
      </c>
      <c r="CU2109" s="58" t="s">
        <v>16727</v>
      </c>
      <c r="DL2109" s="58" t="s">
        <v>19173</v>
      </c>
    </row>
    <row r="2110" ht="15.75" customHeight="1">
      <c r="B2110" s="58" t="s">
        <v>16392</v>
      </c>
      <c r="C2110" s="58">
        <v>2022.0</v>
      </c>
      <c r="D2110" s="58" t="s">
        <v>19174</v>
      </c>
      <c r="E2110" s="58" t="s">
        <v>19175</v>
      </c>
      <c r="F2110" s="58" t="s">
        <v>16436</v>
      </c>
      <c r="H2110" s="58" t="s">
        <v>16437</v>
      </c>
      <c r="I2110" s="58" t="s">
        <v>19176</v>
      </c>
      <c r="K2110" s="73">
        <v>44812.0</v>
      </c>
      <c r="R2110" s="58">
        <v>10.0</v>
      </c>
      <c r="Z2110" s="58" t="s">
        <v>239</v>
      </c>
      <c r="CH2110" s="58" t="s">
        <v>19177</v>
      </c>
      <c r="CI2110" s="73">
        <v>44823.0</v>
      </c>
      <c r="CJ2110" s="58">
        <v>96602.0</v>
      </c>
      <c r="CK2110" s="58">
        <v>96625.0</v>
      </c>
      <c r="CL2110" s="58" t="s">
        <v>19178</v>
      </c>
      <c r="CO2110" s="58" t="s">
        <v>19179</v>
      </c>
      <c r="CP2110" s="58" t="s">
        <v>19180</v>
      </c>
      <c r="CR2110" s="58">
        <v>12.0</v>
      </c>
      <c r="CT2110" s="58">
        <v>62.0</v>
      </c>
      <c r="CU2110" s="58" t="s">
        <v>16423</v>
      </c>
      <c r="DL2110" s="58" t="s">
        <v>19181</v>
      </c>
    </row>
    <row r="2111" ht="15.75" customHeight="1">
      <c r="B2111" s="58" t="s">
        <v>16392</v>
      </c>
      <c r="C2111" s="58">
        <v>2023.0</v>
      </c>
      <c r="D2111" s="58" t="s">
        <v>19182</v>
      </c>
      <c r="E2111" s="58" t="s">
        <v>19183</v>
      </c>
      <c r="F2111" s="58" t="s">
        <v>17654</v>
      </c>
      <c r="H2111" s="58" t="s">
        <v>17655</v>
      </c>
      <c r="I2111" s="58" t="s">
        <v>19184</v>
      </c>
      <c r="K2111" s="73">
        <v>44949.0</v>
      </c>
      <c r="Q2111" s="58">
        <v>4.0</v>
      </c>
      <c r="R2111" s="58">
        <v>24.0</v>
      </c>
      <c r="Z2111" s="58" t="s">
        <v>239</v>
      </c>
      <c r="CH2111" s="58" t="s">
        <v>19185</v>
      </c>
      <c r="CI2111" s="73">
        <v>45014.0</v>
      </c>
      <c r="CJ2111" s="58">
        <v>4060.0</v>
      </c>
      <c r="CK2111" s="58">
        <v>4074.0</v>
      </c>
      <c r="CL2111" s="58" t="s">
        <v>19186</v>
      </c>
      <c r="CN2111" s="58" t="s">
        <v>19187</v>
      </c>
      <c r="CO2111" s="58" t="s">
        <v>19188</v>
      </c>
      <c r="CP2111" s="58" t="s">
        <v>19189</v>
      </c>
      <c r="CR2111" s="58">
        <v>12.0</v>
      </c>
      <c r="CT2111" s="58">
        <v>34.0</v>
      </c>
      <c r="CU2111" s="58" t="s">
        <v>239</v>
      </c>
      <c r="DL2111" s="58" t="s">
        <v>19190</v>
      </c>
    </row>
    <row r="2112" ht="15.75" customHeight="1">
      <c r="B2112" s="58" t="s">
        <v>16392</v>
      </c>
      <c r="C2112" s="58">
        <v>2019.0</v>
      </c>
      <c r="D2112" s="58" t="s">
        <v>19191</v>
      </c>
      <c r="E2112" s="58" t="s">
        <v>19192</v>
      </c>
      <c r="F2112" s="58" t="s">
        <v>16436</v>
      </c>
      <c r="H2112" s="58" t="s">
        <v>16437</v>
      </c>
      <c r="I2112" s="58" t="s">
        <v>19193</v>
      </c>
      <c r="K2112" s="73">
        <v>43670.0</v>
      </c>
      <c r="R2112" s="58">
        <v>7.0</v>
      </c>
      <c r="Z2112" s="58" t="s">
        <v>239</v>
      </c>
      <c r="CH2112" s="58" t="s">
        <v>19194</v>
      </c>
      <c r="CI2112" s="73">
        <v>43684.0</v>
      </c>
      <c r="CJ2112" s="58">
        <v>102772.0</v>
      </c>
      <c r="CK2112" s="58">
        <v>102791.0</v>
      </c>
      <c r="CL2112" s="58" t="s">
        <v>19195</v>
      </c>
      <c r="CO2112" s="58" t="s">
        <v>19196</v>
      </c>
      <c r="CP2112" s="58" t="s">
        <v>19197</v>
      </c>
      <c r="CR2112" s="58">
        <v>12.0</v>
      </c>
      <c r="CT2112" s="58">
        <v>131.0</v>
      </c>
      <c r="CU2112" s="58" t="s">
        <v>16423</v>
      </c>
      <c r="DL2112" s="58" t="s">
        <v>19198</v>
      </c>
    </row>
    <row r="2113" ht="15.75" customHeight="1">
      <c r="B2113" s="58" t="s">
        <v>16392</v>
      </c>
      <c r="C2113" s="58">
        <v>2022.0</v>
      </c>
      <c r="D2113" s="58" t="s">
        <v>19199</v>
      </c>
      <c r="E2113" s="58" t="s">
        <v>19200</v>
      </c>
      <c r="F2113" s="58" t="s">
        <v>16538</v>
      </c>
      <c r="H2113" s="58" t="s">
        <v>16539</v>
      </c>
      <c r="I2113" s="58" t="s">
        <v>19201</v>
      </c>
      <c r="K2113" s="73">
        <v>44392.0</v>
      </c>
      <c r="Q2113" s="58">
        <v>1.0</v>
      </c>
      <c r="R2113" s="58">
        <v>9.0</v>
      </c>
      <c r="Z2113" s="58" t="s">
        <v>239</v>
      </c>
      <c r="CH2113" s="58" t="s">
        <v>19202</v>
      </c>
      <c r="CI2113" s="73">
        <v>44552.0</v>
      </c>
      <c r="CJ2113" s="58">
        <v>261.0</v>
      </c>
      <c r="CK2113" s="58">
        <v>273.0</v>
      </c>
      <c r="CL2113" s="58" t="s">
        <v>19203</v>
      </c>
      <c r="CN2113" s="58" t="s">
        <v>19204</v>
      </c>
      <c r="CO2113" s="58" t="s">
        <v>19205</v>
      </c>
      <c r="CP2113" s="58" t="s">
        <v>19206</v>
      </c>
      <c r="CR2113" s="58">
        <v>12.0</v>
      </c>
      <c r="CT2113" s="58">
        <v>76.0</v>
      </c>
      <c r="CU2113" s="58" t="s">
        <v>239</v>
      </c>
      <c r="DL2113" s="58" t="s">
        <v>19207</v>
      </c>
    </row>
    <row r="2114" ht="15.75" customHeight="1">
      <c r="B2114" s="58" t="s">
        <v>16392</v>
      </c>
      <c r="C2114" s="58">
        <v>2020.0</v>
      </c>
      <c r="D2114" s="58" t="s">
        <v>19208</v>
      </c>
      <c r="E2114" s="58" t="s">
        <v>19209</v>
      </c>
      <c r="F2114" s="58" t="s">
        <v>17654</v>
      </c>
      <c r="H2114" s="58" t="s">
        <v>17655</v>
      </c>
      <c r="I2114" s="58" t="s">
        <v>19210</v>
      </c>
      <c r="K2114" s="73">
        <v>43719.0</v>
      </c>
      <c r="Q2114" s="58">
        <v>10.0</v>
      </c>
      <c r="R2114" s="58">
        <v>21.0</v>
      </c>
      <c r="Z2114" s="58" t="s">
        <v>239</v>
      </c>
      <c r="CH2114" s="58" t="s">
        <v>19211</v>
      </c>
      <c r="CI2114" s="73">
        <v>44106.0</v>
      </c>
      <c r="CJ2114" s="58">
        <v>4149.0</v>
      </c>
      <c r="CK2114" s="58">
        <v>4160.0</v>
      </c>
      <c r="CL2114" s="58" t="s">
        <v>19212</v>
      </c>
      <c r="CN2114" s="58" t="s">
        <v>19213</v>
      </c>
      <c r="CO2114" s="58" t="s">
        <v>19214</v>
      </c>
      <c r="CP2114" s="58" t="s">
        <v>19215</v>
      </c>
      <c r="CR2114" s="58">
        <v>12.0</v>
      </c>
      <c r="CT2114" s="58">
        <v>32.0</v>
      </c>
      <c r="CU2114" s="58" t="s">
        <v>239</v>
      </c>
      <c r="DL2114" s="58" t="s">
        <v>19216</v>
      </c>
    </row>
    <row r="2115" ht="15.75" customHeight="1">
      <c r="B2115" s="58" t="s">
        <v>16392</v>
      </c>
      <c r="C2115" s="58">
        <v>2023.0</v>
      </c>
      <c r="D2115" s="58" t="s">
        <v>19217</v>
      </c>
      <c r="E2115" s="58" t="s">
        <v>19218</v>
      </c>
      <c r="F2115" s="58" t="s">
        <v>16436</v>
      </c>
      <c r="H2115" s="58" t="s">
        <v>16437</v>
      </c>
      <c r="I2115" s="58" t="s">
        <v>19219</v>
      </c>
      <c r="K2115" s="73">
        <v>45076.0</v>
      </c>
      <c r="R2115" s="58">
        <v>11.0</v>
      </c>
      <c r="Z2115" s="58" t="s">
        <v>239</v>
      </c>
      <c r="CH2115" s="58" t="s">
        <v>19220</v>
      </c>
      <c r="CI2115" s="73">
        <v>45091.0</v>
      </c>
      <c r="CJ2115" s="58">
        <v>57174.0</v>
      </c>
      <c r="CK2115" s="58">
        <v>57202.0</v>
      </c>
      <c r="CL2115" s="58" t="s">
        <v>19221</v>
      </c>
      <c r="CO2115" s="58" t="s">
        <v>19222</v>
      </c>
      <c r="CP2115" s="58" t="s">
        <v>19223</v>
      </c>
      <c r="CR2115" s="58">
        <v>12.0</v>
      </c>
      <c r="CT2115" s="58">
        <v>42.0</v>
      </c>
      <c r="CU2115" s="58" t="s">
        <v>16727</v>
      </c>
      <c r="DL2115" s="58" t="s">
        <v>19224</v>
      </c>
    </row>
    <row r="2116" ht="15.75" customHeight="1">
      <c r="B2116" s="58" t="s">
        <v>16392</v>
      </c>
      <c r="C2116" s="58">
        <v>2020.0</v>
      </c>
      <c r="D2116" s="58" t="s">
        <v>19225</v>
      </c>
      <c r="E2116" s="58" t="s">
        <v>19226</v>
      </c>
      <c r="F2116" s="58" t="s">
        <v>16436</v>
      </c>
      <c r="H2116" s="58" t="s">
        <v>16437</v>
      </c>
      <c r="I2116" s="58" t="s">
        <v>19227</v>
      </c>
      <c r="K2116" s="73">
        <v>44112.0</v>
      </c>
      <c r="R2116" s="58">
        <v>8.0</v>
      </c>
      <c r="Z2116" s="58" t="s">
        <v>239</v>
      </c>
      <c r="CH2116" s="58" t="s">
        <v>19228</v>
      </c>
      <c r="CI2116" s="73">
        <v>44123.0</v>
      </c>
      <c r="CJ2116" s="58">
        <v>185964.0</v>
      </c>
      <c r="CK2116" s="58">
        <v>185980.0</v>
      </c>
      <c r="CL2116" s="58" t="s">
        <v>19229</v>
      </c>
      <c r="CN2116" s="58" t="s">
        <v>19230</v>
      </c>
      <c r="CO2116" s="58" t="s">
        <v>19231</v>
      </c>
      <c r="CP2116" s="58" t="s">
        <v>19232</v>
      </c>
      <c r="CR2116" s="58">
        <v>12.0</v>
      </c>
      <c r="CT2116" s="58">
        <v>54.0</v>
      </c>
      <c r="CU2116" s="58" t="s">
        <v>16423</v>
      </c>
      <c r="DL2116" s="58" t="s">
        <v>19233</v>
      </c>
    </row>
    <row r="2117" ht="15.75" customHeight="1">
      <c r="B2117" s="58" t="s">
        <v>16392</v>
      </c>
      <c r="C2117" s="58">
        <v>2023.0</v>
      </c>
      <c r="D2117" s="58" t="s">
        <v>19234</v>
      </c>
      <c r="E2117" s="58" t="s">
        <v>19235</v>
      </c>
      <c r="F2117" s="58" t="s">
        <v>16436</v>
      </c>
      <c r="H2117" s="58" t="s">
        <v>16437</v>
      </c>
      <c r="I2117" s="58" t="s">
        <v>19236</v>
      </c>
      <c r="K2117" s="73">
        <v>45160.0</v>
      </c>
      <c r="R2117" s="58">
        <v>11.0</v>
      </c>
      <c r="Z2117" s="58" t="s">
        <v>239</v>
      </c>
      <c r="CH2117" s="58" t="s">
        <v>19237</v>
      </c>
      <c r="CI2117" s="73">
        <v>45167.0</v>
      </c>
      <c r="CJ2117" s="58">
        <v>90641.0</v>
      </c>
      <c r="CK2117" s="58">
        <v>90669.0</v>
      </c>
      <c r="CL2117" s="58" t="s">
        <v>19238</v>
      </c>
      <c r="CN2117" s="58" t="s">
        <v>19239</v>
      </c>
      <c r="CO2117" s="58" t="s">
        <v>19240</v>
      </c>
      <c r="CP2117" s="58" t="s">
        <v>19241</v>
      </c>
      <c r="CR2117" s="58">
        <v>12.0</v>
      </c>
      <c r="CT2117" s="58">
        <v>207.0</v>
      </c>
      <c r="CU2117" s="58" t="s">
        <v>16727</v>
      </c>
      <c r="DL2117" s="58" t="s">
        <v>19242</v>
      </c>
    </row>
    <row r="2118" ht="15.75" customHeight="1">
      <c r="B2118" s="58" t="s">
        <v>16392</v>
      </c>
      <c r="C2118" s="58">
        <v>2020.0</v>
      </c>
      <c r="D2118" s="58" t="s">
        <v>19243</v>
      </c>
      <c r="E2118" s="58" t="s">
        <v>19244</v>
      </c>
      <c r="F2118" s="58" t="s">
        <v>16538</v>
      </c>
      <c r="H2118" s="58" t="s">
        <v>16539</v>
      </c>
      <c r="I2118" s="58" t="s">
        <v>19245</v>
      </c>
      <c r="K2118" s="73">
        <v>43741.0</v>
      </c>
      <c r="Q2118" s="58">
        <v>1.0</v>
      </c>
      <c r="R2118" s="58">
        <v>7.0</v>
      </c>
      <c r="Z2118" s="58" t="s">
        <v>239</v>
      </c>
      <c r="CH2118" s="58" t="s">
        <v>19246</v>
      </c>
      <c r="CI2118" s="73">
        <v>43840.0</v>
      </c>
      <c r="CJ2118" s="58">
        <v>176.0</v>
      </c>
      <c r="CK2118" s="58">
        <v>188.0</v>
      </c>
      <c r="CL2118" s="58" t="s">
        <v>19247</v>
      </c>
      <c r="CN2118" s="58" t="s">
        <v>19248</v>
      </c>
      <c r="CO2118" s="58" t="s">
        <v>19249</v>
      </c>
      <c r="CP2118" s="58" t="s">
        <v>19250</v>
      </c>
      <c r="CR2118" s="58">
        <v>12.0</v>
      </c>
      <c r="CT2118" s="58">
        <v>37.0</v>
      </c>
      <c r="CU2118" s="58" t="s">
        <v>239</v>
      </c>
      <c r="DL2118" s="58" t="s">
        <v>19251</v>
      </c>
    </row>
    <row r="2119" ht="15.75" customHeight="1">
      <c r="B2119" s="58" t="s">
        <v>16392</v>
      </c>
      <c r="C2119" s="58">
        <v>2021.0</v>
      </c>
      <c r="D2119" s="58" t="s">
        <v>19252</v>
      </c>
      <c r="E2119" s="58" t="s">
        <v>19253</v>
      </c>
      <c r="F2119" s="58" t="s">
        <v>16959</v>
      </c>
      <c r="H2119" s="58" t="s">
        <v>16960</v>
      </c>
      <c r="I2119" s="58" t="s">
        <v>19254</v>
      </c>
      <c r="K2119" s="73">
        <v>44488.0</v>
      </c>
      <c r="Q2119" s="58">
        <v>4.0</v>
      </c>
      <c r="R2119" s="58">
        <v>18.0</v>
      </c>
      <c r="Z2119" s="58" t="s">
        <v>239</v>
      </c>
      <c r="CH2119" s="58" t="s">
        <v>19255</v>
      </c>
      <c r="CI2119" s="73">
        <v>44539.0</v>
      </c>
      <c r="CJ2119" s="58">
        <v>4042.0</v>
      </c>
      <c r="CK2119" s="58">
        <v>4062.0</v>
      </c>
      <c r="CL2119" s="58" t="s">
        <v>19256</v>
      </c>
      <c r="CN2119" s="58" t="s">
        <v>19257</v>
      </c>
      <c r="CO2119" s="58" t="s">
        <v>19258</v>
      </c>
      <c r="CP2119" s="58" t="s">
        <v>19259</v>
      </c>
      <c r="CR2119" s="58">
        <v>12.0</v>
      </c>
      <c r="CT2119" s="58">
        <v>90.0</v>
      </c>
      <c r="CU2119" s="58" t="s">
        <v>239</v>
      </c>
      <c r="DL2119" s="58" t="s">
        <v>19260</v>
      </c>
    </row>
    <row r="2120" ht="15.75" customHeight="1">
      <c r="B2120" s="58" t="s">
        <v>16392</v>
      </c>
      <c r="C2120" s="58">
        <v>2021.0</v>
      </c>
      <c r="D2120" s="58" t="s">
        <v>19261</v>
      </c>
      <c r="E2120" s="58" t="s">
        <v>19262</v>
      </c>
      <c r="F2120" s="58" t="s">
        <v>16835</v>
      </c>
      <c r="H2120" s="58" t="s">
        <v>16836</v>
      </c>
      <c r="I2120" s="58" t="s">
        <v>19263</v>
      </c>
      <c r="K2120" s="73">
        <v>44258.0</v>
      </c>
      <c r="Q2120" s="58">
        <v>10.0</v>
      </c>
      <c r="R2120" s="58">
        <v>39.0</v>
      </c>
      <c r="Z2120" s="58" t="s">
        <v>239</v>
      </c>
      <c r="CH2120" s="58" t="s">
        <v>19264</v>
      </c>
      <c r="CI2120" s="73">
        <v>44323.0</v>
      </c>
      <c r="CJ2120" s="58">
        <v>3037.0</v>
      </c>
      <c r="CK2120" s="58">
        <v>3063.0</v>
      </c>
      <c r="CL2120" s="58" t="s">
        <v>19265</v>
      </c>
      <c r="CN2120" s="58" t="s">
        <v>19266</v>
      </c>
      <c r="CO2120" s="58" t="s">
        <v>19267</v>
      </c>
      <c r="CP2120" s="58" t="s">
        <v>19268</v>
      </c>
      <c r="CR2120" s="58">
        <v>12.0</v>
      </c>
      <c r="CT2120" s="58">
        <v>49.0</v>
      </c>
      <c r="CU2120" s="58" t="s">
        <v>239</v>
      </c>
      <c r="DL2120" s="58" t="s">
        <v>19269</v>
      </c>
    </row>
    <row r="2121" ht="15.75" customHeight="1">
      <c r="B2121" s="58" t="s">
        <v>16392</v>
      </c>
      <c r="C2121" s="58">
        <v>2021.0</v>
      </c>
      <c r="D2121" s="58" t="s">
        <v>19270</v>
      </c>
      <c r="E2121" s="58" t="s">
        <v>19271</v>
      </c>
      <c r="F2121" s="58" t="s">
        <v>16436</v>
      </c>
      <c r="H2121" s="58" t="s">
        <v>16437</v>
      </c>
      <c r="I2121" s="58" t="s">
        <v>19272</v>
      </c>
      <c r="K2121" s="73">
        <v>44413.0</v>
      </c>
      <c r="R2121" s="58">
        <v>9.0</v>
      </c>
      <c r="Z2121" s="58" t="s">
        <v>239</v>
      </c>
      <c r="CH2121" s="58" t="s">
        <v>19273</v>
      </c>
      <c r="CI2121" s="73">
        <v>44421.0</v>
      </c>
      <c r="CJ2121" s="58">
        <v>111833.0</v>
      </c>
      <c r="CK2121" s="58">
        <v>111852.0</v>
      </c>
      <c r="CL2121" s="58" t="s">
        <v>19274</v>
      </c>
      <c r="CN2121" s="58" t="s">
        <v>19275</v>
      </c>
      <c r="CO2121" s="58" t="s">
        <v>19276</v>
      </c>
      <c r="CP2121" s="58" t="s">
        <v>19277</v>
      </c>
      <c r="CR2121" s="58">
        <v>12.0</v>
      </c>
      <c r="CT2121" s="58">
        <v>136.0</v>
      </c>
      <c r="CU2121" s="58" t="s">
        <v>16423</v>
      </c>
      <c r="DL2121" s="58" t="s">
        <v>19278</v>
      </c>
    </row>
    <row r="2122" ht="15.75" customHeight="1">
      <c r="B2122" s="58" t="s">
        <v>16392</v>
      </c>
      <c r="C2122" s="58">
        <v>2023.0</v>
      </c>
      <c r="D2122" s="58" t="s">
        <v>19279</v>
      </c>
      <c r="E2122" s="58" t="s">
        <v>19280</v>
      </c>
      <c r="F2122" s="58" t="s">
        <v>16959</v>
      </c>
      <c r="H2122" s="58" t="s">
        <v>16960</v>
      </c>
      <c r="I2122" s="58" t="s">
        <v>19281</v>
      </c>
      <c r="K2122" s="73">
        <v>44960.0</v>
      </c>
      <c r="Q2122" s="58">
        <v>3.0</v>
      </c>
      <c r="R2122" s="58">
        <v>20.0</v>
      </c>
      <c r="Z2122" s="58" t="s">
        <v>239</v>
      </c>
      <c r="CH2122" s="58" t="s">
        <v>19282</v>
      </c>
      <c r="CI2122" s="73">
        <v>45208.0</v>
      </c>
      <c r="CJ2122" s="58">
        <v>3428.0</v>
      </c>
      <c r="CK2122" s="58">
        <v>3442.0</v>
      </c>
      <c r="CL2122" s="58" t="s">
        <v>19283</v>
      </c>
      <c r="CO2122" s="58" t="s">
        <v>19284</v>
      </c>
      <c r="CP2122" s="58" t="s">
        <v>19285</v>
      </c>
      <c r="CR2122" s="58">
        <v>11.0</v>
      </c>
      <c r="CT2122" s="58">
        <v>50.0</v>
      </c>
      <c r="CU2122" s="58" t="s">
        <v>239</v>
      </c>
      <c r="DL2122" s="58" t="s">
        <v>19286</v>
      </c>
    </row>
    <row r="2123" ht="15.75" customHeight="1">
      <c r="B2123" s="58" t="s">
        <v>16392</v>
      </c>
      <c r="C2123" s="58">
        <v>2023.0</v>
      </c>
      <c r="D2123" s="58" t="s">
        <v>19287</v>
      </c>
      <c r="E2123" s="58" t="s">
        <v>19288</v>
      </c>
      <c r="F2123" s="58" t="s">
        <v>16731</v>
      </c>
      <c r="H2123" s="58" t="s">
        <v>16732</v>
      </c>
      <c r="I2123" s="58" t="s">
        <v>19289</v>
      </c>
      <c r="K2123" s="73">
        <v>44847.0</v>
      </c>
      <c r="Q2123" s="58">
        <v>7.0</v>
      </c>
      <c r="R2123" s="58">
        <v>19.0</v>
      </c>
      <c r="Z2123" s="58" t="s">
        <v>239</v>
      </c>
      <c r="CH2123" s="58" t="s">
        <v>19290</v>
      </c>
      <c r="CI2123" s="73">
        <v>45098.0</v>
      </c>
      <c r="CJ2123" s="58">
        <v>7925.0</v>
      </c>
      <c r="CK2123" s="58">
        <v>7935.0</v>
      </c>
      <c r="CL2123" s="58" t="s">
        <v>19291</v>
      </c>
      <c r="CN2123" s="58" t="s">
        <v>19292</v>
      </c>
      <c r="CO2123" s="58" t="s">
        <v>19293</v>
      </c>
      <c r="CP2123" s="58" t="s">
        <v>19294</v>
      </c>
      <c r="CR2123" s="58">
        <v>11.0</v>
      </c>
      <c r="CT2123" s="58">
        <v>30.0</v>
      </c>
      <c r="CU2123" s="58" t="s">
        <v>239</v>
      </c>
      <c r="DL2123" s="58" t="s">
        <v>19295</v>
      </c>
    </row>
    <row r="2124" ht="15.75" customHeight="1">
      <c r="B2124" s="58" t="s">
        <v>16392</v>
      </c>
      <c r="C2124" s="58">
        <v>2022.0</v>
      </c>
      <c r="D2124" s="58" t="s">
        <v>19296</v>
      </c>
      <c r="E2124" s="58" t="s">
        <v>19297</v>
      </c>
      <c r="F2124" s="58" t="s">
        <v>16436</v>
      </c>
      <c r="H2124" s="58" t="s">
        <v>16437</v>
      </c>
      <c r="I2124" s="58" t="s">
        <v>19298</v>
      </c>
      <c r="K2124" s="73">
        <v>44574.0</v>
      </c>
      <c r="R2124" s="58">
        <v>10.0</v>
      </c>
      <c r="Z2124" s="58" t="s">
        <v>239</v>
      </c>
      <c r="CH2124" s="58" t="s">
        <v>19299</v>
      </c>
      <c r="CI2124" s="73">
        <v>44585.0</v>
      </c>
      <c r="CJ2124" s="58">
        <v>7800.0</v>
      </c>
      <c r="CK2124" s="58">
        <v>7822.0</v>
      </c>
      <c r="CL2124" s="58" t="s">
        <v>19300</v>
      </c>
      <c r="CN2124" s="58" t="s">
        <v>19301</v>
      </c>
      <c r="CO2124" s="58" t="s">
        <v>19302</v>
      </c>
      <c r="CP2124" s="58" t="s">
        <v>19303</v>
      </c>
      <c r="CR2124" s="58">
        <v>11.0</v>
      </c>
      <c r="CT2124" s="58">
        <v>51.0</v>
      </c>
      <c r="CU2124" s="58" t="s">
        <v>16423</v>
      </c>
      <c r="DL2124" s="58" t="s">
        <v>19304</v>
      </c>
    </row>
    <row r="2125" ht="15.75" customHeight="1">
      <c r="B2125" s="58" t="s">
        <v>16392</v>
      </c>
      <c r="C2125" s="58">
        <v>2020.0</v>
      </c>
      <c r="D2125" s="58" t="s">
        <v>19305</v>
      </c>
      <c r="E2125" s="58" t="s">
        <v>19306</v>
      </c>
      <c r="F2125" s="58" t="s">
        <v>16436</v>
      </c>
      <c r="H2125" s="58" t="s">
        <v>16437</v>
      </c>
      <c r="I2125" s="58" t="s">
        <v>19307</v>
      </c>
      <c r="K2125" s="73">
        <v>44139.0</v>
      </c>
      <c r="R2125" s="58">
        <v>8.0</v>
      </c>
      <c r="Z2125" s="58" t="s">
        <v>239</v>
      </c>
      <c r="CH2125" s="58" t="s">
        <v>19308</v>
      </c>
      <c r="CI2125" s="73">
        <v>44152.0</v>
      </c>
      <c r="CJ2125" s="58">
        <v>203591.0</v>
      </c>
      <c r="CK2125" s="58">
        <v>203618.0</v>
      </c>
      <c r="CL2125" s="58" t="s">
        <v>19309</v>
      </c>
      <c r="CN2125" s="58" t="s">
        <v>19310</v>
      </c>
      <c r="CO2125" s="58" t="s">
        <v>19311</v>
      </c>
      <c r="CP2125" s="58" t="s">
        <v>19312</v>
      </c>
      <c r="CR2125" s="58">
        <v>11.0</v>
      </c>
      <c r="CT2125" s="58">
        <v>104.0</v>
      </c>
      <c r="CU2125" s="58" t="s">
        <v>16423</v>
      </c>
      <c r="DL2125" s="58" t="s">
        <v>19313</v>
      </c>
    </row>
    <row r="2126" ht="15.75" customHeight="1">
      <c r="B2126" s="58" t="s">
        <v>16392</v>
      </c>
      <c r="C2126" s="58">
        <v>2023.0</v>
      </c>
      <c r="D2126" s="58" t="s">
        <v>19314</v>
      </c>
      <c r="E2126" s="58" t="s">
        <v>19315</v>
      </c>
      <c r="F2126" s="58" t="s">
        <v>16436</v>
      </c>
      <c r="H2126" s="58" t="s">
        <v>16437</v>
      </c>
      <c r="I2126" s="58" t="s">
        <v>19316</v>
      </c>
      <c r="K2126" s="73">
        <v>45036.0</v>
      </c>
      <c r="R2126" s="58">
        <v>11.0</v>
      </c>
      <c r="Z2126" s="58" t="s">
        <v>239</v>
      </c>
      <c r="CH2126" s="58" t="s">
        <v>19317</v>
      </c>
      <c r="CI2126" s="73">
        <v>45047.0</v>
      </c>
      <c r="CJ2126" s="58">
        <v>40328.0</v>
      </c>
      <c r="CK2126" s="58">
        <v>40372.0</v>
      </c>
      <c r="CL2126" s="58" t="s">
        <v>19318</v>
      </c>
      <c r="CN2126" s="58" t="s">
        <v>19319</v>
      </c>
      <c r="CO2126" s="58" t="s">
        <v>19320</v>
      </c>
      <c r="CP2126" s="58" t="s">
        <v>19321</v>
      </c>
      <c r="CR2126" s="58">
        <v>11.0</v>
      </c>
      <c r="CT2126" s="58">
        <v>138.0</v>
      </c>
      <c r="CU2126" s="58" t="s">
        <v>16727</v>
      </c>
      <c r="DL2126" s="58" t="s">
        <v>19322</v>
      </c>
    </row>
    <row r="2127" ht="15.75" customHeight="1">
      <c r="B2127" s="58" t="s">
        <v>16392</v>
      </c>
      <c r="C2127" s="58">
        <v>2024.0</v>
      </c>
      <c r="D2127" s="58" t="s">
        <v>19323</v>
      </c>
      <c r="E2127" s="58" t="s">
        <v>19324</v>
      </c>
      <c r="F2127" s="58" t="s">
        <v>16395</v>
      </c>
      <c r="H2127" s="58" t="s">
        <v>16396</v>
      </c>
      <c r="I2127" s="58" t="s">
        <v>19325</v>
      </c>
      <c r="K2127" s="73">
        <v>45405.0</v>
      </c>
      <c r="Q2127" s="58">
        <v>4.0</v>
      </c>
      <c r="R2127" s="58">
        <v>26.0</v>
      </c>
      <c r="Z2127" s="58" t="s">
        <v>239</v>
      </c>
      <c r="CH2127" s="58" t="s">
        <v>19326</v>
      </c>
      <c r="CI2127" s="73">
        <v>45617.0</v>
      </c>
      <c r="CJ2127" s="58">
        <v>2914.0</v>
      </c>
      <c r="CK2127" s="58">
        <v>2960.0</v>
      </c>
      <c r="CL2127" s="58" t="s">
        <v>19327</v>
      </c>
      <c r="CO2127" s="58" t="s">
        <v>19328</v>
      </c>
      <c r="CP2127" s="58" t="s">
        <v>19329</v>
      </c>
      <c r="CR2127" s="58">
        <v>11.0</v>
      </c>
      <c r="CT2127" s="58">
        <v>248.0</v>
      </c>
      <c r="CU2127" s="58" t="s">
        <v>239</v>
      </c>
      <c r="DL2127" s="58" t="s">
        <v>19330</v>
      </c>
    </row>
    <row r="2128" ht="15.75" customHeight="1">
      <c r="B2128" s="58" t="s">
        <v>16392</v>
      </c>
      <c r="C2128" s="58">
        <v>2022.0</v>
      </c>
      <c r="D2128" s="58" t="s">
        <v>19331</v>
      </c>
      <c r="E2128" s="58" t="s">
        <v>19332</v>
      </c>
      <c r="F2128" s="58" t="s">
        <v>16436</v>
      </c>
      <c r="H2128" s="58" t="s">
        <v>16437</v>
      </c>
      <c r="I2128" s="58" t="s">
        <v>19333</v>
      </c>
      <c r="K2128" s="73">
        <v>44896.0</v>
      </c>
      <c r="R2128" s="58">
        <v>10.0</v>
      </c>
      <c r="Z2128" s="58" t="s">
        <v>239</v>
      </c>
      <c r="CH2128" s="58" t="s">
        <v>19334</v>
      </c>
      <c r="CI2128" s="73">
        <v>44903.0</v>
      </c>
      <c r="CJ2128" s="58">
        <v>126370.0</v>
      </c>
      <c r="CK2128" s="58">
        <v>126393.0</v>
      </c>
      <c r="CL2128" s="58" t="s">
        <v>19335</v>
      </c>
      <c r="CO2128" s="58" t="s">
        <v>19336</v>
      </c>
      <c r="CP2128" s="58" t="s">
        <v>19337</v>
      </c>
      <c r="CR2128" s="58">
        <v>11.0</v>
      </c>
      <c r="CT2128" s="58">
        <v>109.0</v>
      </c>
      <c r="CU2128" s="58" t="s">
        <v>16727</v>
      </c>
      <c r="DL2128" s="58" t="s">
        <v>19338</v>
      </c>
    </row>
    <row r="2129" ht="15.75" customHeight="1">
      <c r="B2129" s="58" t="s">
        <v>16392</v>
      </c>
      <c r="C2129" s="58">
        <v>2021.0</v>
      </c>
      <c r="D2129" s="58" t="s">
        <v>19339</v>
      </c>
      <c r="E2129" s="58" t="s">
        <v>19340</v>
      </c>
      <c r="F2129" s="58" t="s">
        <v>16538</v>
      </c>
      <c r="H2129" s="58" t="s">
        <v>16539</v>
      </c>
      <c r="I2129" s="58" t="s">
        <v>19341</v>
      </c>
      <c r="K2129" s="73">
        <v>44057.0</v>
      </c>
      <c r="Q2129" s="58">
        <v>21.0</v>
      </c>
      <c r="R2129" s="58">
        <v>8.0</v>
      </c>
      <c r="Z2129" s="58" t="s">
        <v>239</v>
      </c>
      <c r="CH2129" s="58" t="s">
        <v>19342</v>
      </c>
      <c r="CI2129" s="73">
        <v>44494.0</v>
      </c>
      <c r="CJ2129" s="58">
        <v>16181.0</v>
      </c>
      <c r="CK2129" s="58">
        <v>16190.0</v>
      </c>
      <c r="CL2129" s="58" t="s">
        <v>19343</v>
      </c>
      <c r="CO2129" s="58" t="s">
        <v>19344</v>
      </c>
      <c r="CP2129" s="58" t="s">
        <v>19345</v>
      </c>
      <c r="CR2129" s="58">
        <v>11.0</v>
      </c>
      <c r="CT2129" s="58">
        <v>36.0</v>
      </c>
      <c r="CU2129" s="58" t="s">
        <v>239</v>
      </c>
      <c r="DL2129" s="58" t="s">
        <v>19346</v>
      </c>
    </row>
    <row r="2130" ht="15.75" customHeight="1">
      <c r="B2130" s="58" t="s">
        <v>16392</v>
      </c>
      <c r="C2130" s="58">
        <v>2023.0</v>
      </c>
      <c r="D2130" s="58" t="s">
        <v>19347</v>
      </c>
      <c r="E2130" s="58" t="s">
        <v>19348</v>
      </c>
      <c r="F2130" s="58" t="s">
        <v>16493</v>
      </c>
      <c r="H2130" s="58" t="s">
        <v>16494</v>
      </c>
      <c r="I2130" s="58" t="s">
        <v>19349</v>
      </c>
      <c r="K2130" s="73">
        <v>44970.0</v>
      </c>
      <c r="R2130" s="58">
        <v>4.0</v>
      </c>
      <c r="Z2130" s="58" t="s">
        <v>239</v>
      </c>
      <c r="CH2130" s="58" t="s">
        <v>19350</v>
      </c>
      <c r="CI2130" s="73">
        <v>44984.0</v>
      </c>
      <c r="CJ2130" s="58">
        <v>581.0</v>
      </c>
      <c r="CK2130" s="58">
        <v>595.0</v>
      </c>
      <c r="CL2130" s="58" t="s">
        <v>19351</v>
      </c>
      <c r="CN2130" s="58" t="s">
        <v>19352</v>
      </c>
      <c r="CO2130" s="58" t="s">
        <v>19353</v>
      </c>
      <c r="CP2130" s="58" t="s">
        <v>19354</v>
      </c>
      <c r="CR2130" s="58">
        <v>11.0</v>
      </c>
      <c r="CT2130" s="58">
        <v>84.0</v>
      </c>
      <c r="CU2130" s="58" t="s">
        <v>16727</v>
      </c>
      <c r="DL2130" s="58" t="s">
        <v>19355</v>
      </c>
    </row>
    <row r="2131" ht="15.75" customHeight="1">
      <c r="B2131" s="58" t="s">
        <v>16392</v>
      </c>
      <c r="C2131" s="58">
        <v>2018.0</v>
      </c>
      <c r="D2131" s="58" t="s">
        <v>19356</v>
      </c>
      <c r="E2131" s="58" t="s">
        <v>19357</v>
      </c>
      <c r="F2131" s="58" t="s">
        <v>17061</v>
      </c>
      <c r="H2131" s="58" t="s">
        <v>17062</v>
      </c>
      <c r="I2131" s="58" t="s">
        <v>19358</v>
      </c>
      <c r="K2131" s="73">
        <v>43294.0</v>
      </c>
      <c r="Q2131" s="58">
        <v>7.0</v>
      </c>
      <c r="R2131" s="58">
        <v>10.0</v>
      </c>
      <c r="Z2131" s="58" t="s">
        <v>239</v>
      </c>
      <c r="CH2131" s="58" t="s">
        <v>19359</v>
      </c>
      <c r="CI2131" s="73">
        <v>43294.0</v>
      </c>
      <c r="CJ2131" s="58">
        <v>117.0</v>
      </c>
      <c r="CK2131" s="58">
        <v>125.0</v>
      </c>
      <c r="CL2131" s="58" t="s">
        <v>19360</v>
      </c>
      <c r="CO2131" s="58" t="s">
        <v>19361</v>
      </c>
      <c r="CP2131" s="58" t="s">
        <v>19362</v>
      </c>
      <c r="CR2131" s="58">
        <v>11.0</v>
      </c>
      <c r="DL2131" s="58" t="s">
        <v>19363</v>
      </c>
    </row>
    <row r="2132" ht="15.75" customHeight="1">
      <c r="B2132" s="58" t="s">
        <v>16392</v>
      </c>
      <c r="C2132" s="58">
        <v>2021.0</v>
      </c>
      <c r="D2132" s="58" t="s">
        <v>19364</v>
      </c>
      <c r="E2132" s="58" t="s">
        <v>19365</v>
      </c>
      <c r="F2132" s="58" t="s">
        <v>16436</v>
      </c>
      <c r="H2132" s="58" t="s">
        <v>16437</v>
      </c>
      <c r="I2132" s="58" t="s">
        <v>19366</v>
      </c>
      <c r="K2132" s="73">
        <v>44272.0</v>
      </c>
      <c r="R2132" s="58">
        <v>9.0</v>
      </c>
      <c r="Z2132" s="58" t="s">
        <v>239</v>
      </c>
      <c r="CH2132" s="58" t="s">
        <v>19367</v>
      </c>
      <c r="CI2132" s="73">
        <v>44280.0</v>
      </c>
      <c r="CJ2132" s="58">
        <v>45201.0</v>
      </c>
      <c r="CK2132" s="58">
        <v>45229.0</v>
      </c>
      <c r="CL2132" s="58" t="s">
        <v>19368</v>
      </c>
      <c r="CN2132" s="58" t="s">
        <v>19369</v>
      </c>
      <c r="CO2132" s="58" t="s">
        <v>19370</v>
      </c>
      <c r="CP2132" s="58" t="s">
        <v>19371</v>
      </c>
      <c r="CR2132" s="58">
        <v>11.0</v>
      </c>
      <c r="CT2132" s="58">
        <v>110.0</v>
      </c>
      <c r="CU2132" s="58" t="s">
        <v>16423</v>
      </c>
      <c r="DL2132" s="58" t="s">
        <v>19372</v>
      </c>
    </row>
    <row r="2133" ht="15.75" customHeight="1">
      <c r="B2133" s="58" t="s">
        <v>16392</v>
      </c>
      <c r="C2133" s="58">
        <v>2021.0</v>
      </c>
      <c r="D2133" s="58" t="s">
        <v>19373</v>
      </c>
      <c r="E2133" s="58" t="s">
        <v>19374</v>
      </c>
      <c r="F2133" s="58" t="s">
        <v>16613</v>
      </c>
      <c r="H2133" s="58" t="s">
        <v>16614</v>
      </c>
      <c r="I2133" s="58" t="s">
        <v>19375</v>
      </c>
      <c r="K2133" s="73">
        <v>43566.0</v>
      </c>
      <c r="Q2133" s="58">
        <v>6.0</v>
      </c>
      <c r="R2133" s="58">
        <v>14.0</v>
      </c>
      <c r="Z2133" s="58" t="s">
        <v>239</v>
      </c>
      <c r="CH2133" s="58" t="s">
        <v>19376</v>
      </c>
      <c r="CI2133" s="73">
        <v>44538.0</v>
      </c>
      <c r="CJ2133" s="58">
        <v>1849.0</v>
      </c>
      <c r="CK2133" s="58">
        <v>1863.0</v>
      </c>
      <c r="CL2133" s="58" t="s">
        <v>19377</v>
      </c>
      <c r="CN2133" s="58" t="s">
        <v>19378</v>
      </c>
      <c r="CO2133" s="58" t="s">
        <v>19379</v>
      </c>
      <c r="CP2133" s="58" t="s">
        <v>19380</v>
      </c>
      <c r="CR2133" s="58">
        <v>11.0</v>
      </c>
      <c r="CT2133" s="58">
        <v>35.0</v>
      </c>
      <c r="CU2133" s="58" t="s">
        <v>239</v>
      </c>
      <c r="DL2133" s="58" t="s">
        <v>19381</v>
      </c>
    </row>
    <row r="2134" ht="15.75" customHeight="1">
      <c r="B2134" s="58" t="s">
        <v>16392</v>
      </c>
      <c r="C2134" s="58">
        <v>2020.0</v>
      </c>
      <c r="D2134" s="58" t="s">
        <v>19382</v>
      </c>
      <c r="E2134" s="58" t="s">
        <v>19383</v>
      </c>
      <c r="F2134" s="58" t="s">
        <v>16436</v>
      </c>
      <c r="H2134" s="58" t="s">
        <v>16437</v>
      </c>
      <c r="I2134" s="58" t="s">
        <v>19384</v>
      </c>
      <c r="K2134" s="73">
        <v>43983.0</v>
      </c>
      <c r="R2134" s="58">
        <v>8.0</v>
      </c>
      <c r="Z2134" s="58" t="s">
        <v>239</v>
      </c>
      <c r="CH2134" s="58" t="s">
        <v>19385</v>
      </c>
      <c r="CI2134" s="73">
        <v>43991.0</v>
      </c>
      <c r="CJ2134" s="58">
        <v>102947.0</v>
      </c>
      <c r="CK2134" s="58">
        <v>102957.0</v>
      </c>
      <c r="CL2134" s="58" t="s">
        <v>19386</v>
      </c>
      <c r="CN2134" s="58" t="s">
        <v>19387</v>
      </c>
      <c r="CO2134" s="58" t="s">
        <v>19388</v>
      </c>
      <c r="CP2134" s="58" t="s">
        <v>19389</v>
      </c>
      <c r="CR2134" s="58">
        <v>11.0</v>
      </c>
      <c r="CT2134" s="58">
        <v>22.0</v>
      </c>
      <c r="CU2134" s="58" t="s">
        <v>16423</v>
      </c>
      <c r="DL2134" s="58" t="s">
        <v>19390</v>
      </c>
    </row>
    <row r="2135" ht="15.75" customHeight="1">
      <c r="B2135" s="58" t="s">
        <v>16392</v>
      </c>
      <c r="C2135" s="58">
        <v>2018.0</v>
      </c>
      <c r="D2135" s="58" t="s">
        <v>19391</v>
      </c>
      <c r="E2135" s="58" t="s">
        <v>19392</v>
      </c>
      <c r="F2135" s="58" t="s">
        <v>16538</v>
      </c>
      <c r="H2135" s="58" t="s">
        <v>16539</v>
      </c>
      <c r="I2135" s="58" t="s">
        <v>19393</v>
      </c>
      <c r="K2135" s="73">
        <v>43179.0</v>
      </c>
      <c r="Q2135" s="58">
        <v>3.0</v>
      </c>
      <c r="R2135" s="58">
        <v>5.0</v>
      </c>
      <c r="Z2135" s="58" t="s">
        <v>239</v>
      </c>
      <c r="CH2135" s="58" t="s">
        <v>19394</v>
      </c>
      <c r="CI2135" s="73">
        <v>43259.0</v>
      </c>
      <c r="CJ2135" s="58">
        <v>1914.0</v>
      </c>
      <c r="CK2135" s="58">
        <v>1923.0</v>
      </c>
      <c r="CL2135" s="58" t="s">
        <v>19395</v>
      </c>
      <c r="CN2135" s="58" t="s">
        <v>19396</v>
      </c>
      <c r="CO2135" s="58" t="s">
        <v>19397</v>
      </c>
      <c r="CP2135" s="58" t="s">
        <v>19398</v>
      </c>
      <c r="CR2135" s="58">
        <v>11.0</v>
      </c>
      <c r="CT2135" s="58">
        <v>54.0</v>
      </c>
      <c r="CU2135" s="58" t="s">
        <v>239</v>
      </c>
      <c r="DL2135" s="58" t="s">
        <v>19399</v>
      </c>
    </row>
    <row r="2136" ht="15.75" customHeight="1">
      <c r="B2136" s="58" t="s">
        <v>16392</v>
      </c>
      <c r="C2136" s="58">
        <v>2021.0</v>
      </c>
      <c r="D2136" s="58" t="s">
        <v>19400</v>
      </c>
      <c r="E2136" s="58" t="s">
        <v>19401</v>
      </c>
      <c r="F2136" s="58" t="s">
        <v>16436</v>
      </c>
      <c r="H2136" s="58" t="s">
        <v>16437</v>
      </c>
      <c r="I2136" s="58" t="s">
        <v>19402</v>
      </c>
      <c r="K2136" s="73">
        <v>44193.0</v>
      </c>
      <c r="R2136" s="58">
        <v>9.0</v>
      </c>
      <c r="Z2136" s="58" t="s">
        <v>239</v>
      </c>
      <c r="CH2136" s="58" t="s">
        <v>19403</v>
      </c>
      <c r="CI2136" s="73">
        <v>44202.0</v>
      </c>
      <c r="CJ2136" s="58">
        <v>3526.0</v>
      </c>
      <c r="CK2136" s="58">
        <v>3544.0</v>
      </c>
      <c r="CL2136" s="58" t="s">
        <v>19404</v>
      </c>
      <c r="CN2136" s="58" t="s">
        <v>19405</v>
      </c>
      <c r="CO2136" s="58" t="s">
        <v>19406</v>
      </c>
      <c r="CP2136" s="58" t="s">
        <v>19407</v>
      </c>
      <c r="CR2136" s="58">
        <v>11.0</v>
      </c>
      <c r="CT2136" s="58">
        <v>41.0</v>
      </c>
      <c r="CU2136" s="58" t="s">
        <v>16727</v>
      </c>
      <c r="DL2136" s="58" t="s">
        <v>19408</v>
      </c>
    </row>
    <row r="2137" ht="15.75" customHeight="1">
      <c r="B2137" s="58" t="s">
        <v>16392</v>
      </c>
      <c r="C2137" s="58">
        <v>2024.0</v>
      </c>
      <c r="D2137" s="58" t="s">
        <v>19409</v>
      </c>
      <c r="E2137" s="58" t="s">
        <v>19410</v>
      </c>
      <c r="F2137" s="58" t="s">
        <v>17654</v>
      </c>
      <c r="H2137" s="58" t="s">
        <v>17655</v>
      </c>
      <c r="I2137" s="58" t="s">
        <v>19411</v>
      </c>
      <c r="K2137" s="73">
        <v>45180.0</v>
      </c>
      <c r="Q2137" s="58">
        <v>1.0</v>
      </c>
      <c r="R2137" s="58">
        <v>25.0</v>
      </c>
      <c r="Z2137" s="58" t="s">
        <v>239</v>
      </c>
      <c r="CH2137" s="58" t="s">
        <v>19412</v>
      </c>
      <c r="CI2137" s="73">
        <v>45308.0</v>
      </c>
      <c r="CJ2137" s="58">
        <v>33.0</v>
      </c>
      <c r="CK2137" s="58">
        <v>56.0</v>
      </c>
      <c r="CL2137" s="58" t="s">
        <v>19413</v>
      </c>
      <c r="CN2137" s="58" t="s">
        <v>19414</v>
      </c>
      <c r="CO2137" s="58" t="s">
        <v>19415</v>
      </c>
      <c r="CP2137" s="58" t="s">
        <v>19416</v>
      </c>
      <c r="CR2137" s="58">
        <v>11.0</v>
      </c>
      <c r="CT2137" s="58">
        <v>299.0</v>
      </c>
      <c r="CU2137" s="58" t="s">
        <v>239</v>
      </c>
      <c r="DL2137" s="58" t="s">
        <v>19417</v>
      </c>
    </row>
    <row r="2138" ht="15.75" customHeight="1">
      <c r="B2138" s="58" t="s">
        <v>16392</v>
      </c>
      <c r="C2138" s="58">
        <v>2020.0</v>
      </c>
      <c r="D2138" s="58" t="s">
        <v>19418</v>
      </c>
      <c r="E2138" s="58" t="s">
        <v>19419</v>
      </c>
      <c r="F2138" s="58" t="s">
        <v>16415</v>
      </c>
      <c r="H2138" s="58" t="s">
        <v>16416</v>
      </c>
      <c r="I2138" s="58" t="s">
        <v>19420</v>
      </c>
      <c r="K2138" s="73">
        <v>43914.0</v>
      </c>
      <c r="Q2138" s="58">
        <v>7.0</v>
      </c>
      <c r="R2138" s="58">
        <v>108.0</v>
      </c>
      <c r="Z2138" s="58" t="s">
        <v>239</v>
      </c>
      <c r="CH2138" s="58" t="s">
        <v>19421</v>
      </c>
      <c r="CI2138" s="73">
        <v>44000.0</v>
      </c>
      <c r="CJ2138" s="58">
        <v>1047.0</v>
      </c>
      <c r="CK2138" s="58">
        <v>1067.0</v>
      </c>
      <c r="CL2138" s="58" t="s">
        <v>19422</v>
      </c>
      <c r="CN2138" s="58" t="s">
        <v>19423</v>
      </c>
      <c r="CO2138" s="58" t="s">
        <v>19424</v>
      </c>
      <c r="CP2138" s="58" t="s">
        <v>19425</v>
      </c>
      <c r="CR2138" s="58">
        <v>11.0</v>
      </c>
      <c r="CT2138" s="58">
        <v>106.0</v>
      </c>
      <c r="CU2138" s="58" t="s">
        <v>239</v>
      </c>
      <c r="DL2138" s="58" t="s">
        <v>19426</v>
      </c>
    </row>
    <row r="2139" ht="15.75" customHeight="1">
      <c r="B2139" s="58" t="s">
        <v>16392</v>
      </c>
      <c r="C2139" s="58">
        <v>2020.0</v>
      </c>
      <c r="D2139" s="58" t="s">
        <v>19427</v>
      </c>
      <c r="E2139" s="58" t="s">
        <v>19428</v>
      </c>
      <c r="F2139" s="58" t="s">
        <v>16436</v>
      </c>
      <c r="H2139" s="58" t="s">
        <v>16437</v>
      </c>
      <c r="I2139" s="58" t="s">
        <v>19429</v>
      </c>
      <c r="K2139" s="73">
        <v>44026.0</v>
      </c>
      <c r="R2139" s="58">
        <v>8.0</v>
      </c>
      <c r="Z2139" s="58" t="s">
        <v>239</v>
      </c>
      <c r="CH2139" s="58" t="s">
        <v>19430</v>
      </c>
      <c r="CI2139" s="73">
        <v>44036.0</v>
      </c>
      <c r="CJ2139" s="58">
        <v>131461.0</v>
      </c>
      <c r="CK2139" s="58">
        <v>131498.0</v>
      </c>
      <c r="CL2139" s="58" t="s">
        <v>19431</v>
      </c>
      <c r="CN2139" s="58" t="s">
        <v>19432</v>
      </c>
      <c r="CO2139" s="58" t="s">
        <v>19433</v>
      </c>
      <c r="CP2139" s="58" t="s">
        <v>19434</v>
      </c>
      <c r="CR2139" s="58">
        <v>11.0</v>
      </c>
      <c r="CT2139" s="58">
        <v>78.0</v>
      </c>
      <c r="CU2139" s="58" t="s">
        <v>16423</v>
      </c>
      <c r="DL2139" s="58" t="s">
        <v>19435</v>
      </c>
    </row>
    <row r="2140" ht="15.75" customHeight="1">
      <c r="B2140" s="58" t="s">
        <v>16392</v>
      </c>
      <c r="C2140" s="58">
        <v>2023.0</v>
      </c>
      <c r="D2140" s="58" t="s">
        <v>19436</v>
      </c>
      <c r="E2140" s="58" t="s">
        <v>19437</v>
      </c>
      <c r="F2140" s="58" t="s">
        <v>19438</v>
      </c>
      <c r="H2140" s="58" t="s">
        <v>19439</v>
      </c>
      <c r="I2140" s="58" t="s">
        <v>19440</v>
      </c>
      <c r="K2140" s="73">
        <v>44939.0</v>
      </c>
      <c r="Q2140" s="58">
        <v>6.0</v>
      </c>
      <c r="R2140" s="58">
        <v>20.0</v>
      </c>
      <c r="Z2140" s="58" t="s">
        <v>239</v>
      </c>
      <c r="CH2140" s="58" t="s">
        <v>19441</v>
      </c>
      <c r="CI2140" s="73">
        <v>45240.0</v>
      </c>
      <c r="CJ2140" s="58">
        <v>4899.0</v>
      </c>
      <c r="CK2140" s="58">
        <v>4912.0</v>
      </c>
      <c r="CL2140" s="58" t="s">
        <v>19442</v>
      </c>
      <c r="CN2140" s="58" t="s">
        <v>19443</v>
      </c>
      <c r="CO2140" s="58" t="s">
        <v>19444</v>
      </c>
      <c r="CP2140" s="58" t="s">
        <v>19445</v>
      </c>
      <c r="CR2140" s="58">
        <v>10.0</v>
      </c>
      <c r="CT2140" s="58">
        <v>52.0</v>
      </c>
      <c r="CU2140" s="58" t="s">
        <v>239</v>
      </c>
      <c r="DL2140" s="58" t="s">
        <v>19446</v>
      </c>
    </row>
    <row r="2141" ht="15.75" customHeight="1">
      <c r="B2141" s="58" t="s">
        <v>16392</v>
      </c>
      <c r="C2141" s="58">
        <v>2020.0</v>
      </c>
      <c r="D2141" s="58" t="s">
        <v>19447</v>
      </c>
      <c r="E2141" s="58" t="s">
        <v>19448</v>
      </c>
      <c r="F2141" s="58" t="s">
        <v>16538</v>
      </c>
      <c r="H2141" s="58" t="s">
        <v>16539</v>
      </c>
      <c r="I2141" s="58" t="s">
        <v>19449</v>
      </c>
      <c r="K2141" s="73">
        <v>44028.0</v>
      </c>
      <c r="Q2141" s="58">
        <v>10.0</v>
      </c>
      <c r="R2141" s="58">
        <v>7.0</v>
      </c>
      <c r="Z2141" s="58" t="s">
        <v>239</v>
      </c>
      <c r="CH2141" s="58" t="s">
        <v>19450</v>
      </c>
      <c r="CI2141" s="73">
        <v>44113.0</v>
      </c>
      <c r="CJ2141" s="58">
        <v>10189.0</v>
      </c>
      <c r="CK2141" s="58">
        <v>10199.0</v>
      </c>
      <c r="CL2141" s="58" t="s">
        <v>19451</v>
      </c>
      <c r="CN2141" s="58" t="s">
        <v>19452</v>
      </c>
      <c r="CO2141" s="58" t="s">
        <v>19453</v>
      </c>
      <c r="CP2141" s="58" t="s">
        <v>19454</v>
      </c>
      <c r="CR2141" s="58">
        <v>10.0</v>
      </c>
      <c r="CT2141" s="58">
        <v>25.0</v>
      </c>
      <c r="CU2141" s="58" t="s">
        <v>239</v>
      </c>
      <c r="DL2141" s="58" t="s">
        <v>19455</v>
      </c>
    </row>
    <row r="2142" ht="15.75" customHeight="1">
      <c r="B2142" s="58" t="s">
        <v>16392</v>
      </c>
      <c r="C2142" s="58">
        <v>2022.0</v>
      </c>
      <c r="D2142" s="58" t="s">
        <v>19456</v>
      </c>
      <c r="E2142" s="58" t="s">
        <v>19457</v>
      </c>
      <c r="F2142" s="58" t="s">
        <v>16436</v>
      </c>
      <c r="H2142" s="58" t="s">
        <v>16437</v>
      </c>
      <c r="I2142" s="58" t="s">
        <v>19458</v>
      </c>
      <c r="K2142" s="73">
        <v>44704.0</v>
      </c>
      <c r="R2142" s="58">
        <v>10.0</v>
      </c>
      <c r="Z2142" s="58" t="s">
        <v>239</v>
      </c>
      <c r="CH2142" s="58" t="s">
        <v>19459</v>
      </c>
      <c r="CI2142" s="73">
        <v>44719.0</v>
      </c>
      <c r="CJ2142" s="58">
        <v>57696.0</v>
      </c>
      <c r="CK2142" s="58">
        <v>57717.0</v>
      </c>
      <c r="CL2142" s="58" t="s">
        <v>19460</v>
      </c>
      <c r="CN2142" s="58" t="s">
        <v>19461</v>
      </c>
      <c r="CO2142" s="58" t="s">
        <v>19462</v>
      </c>
      <c r="CP2142" s="58" t="s">
        <v>19463</v>
      </c>
      <c r="CR2142" s="58">
        <v>10.0</v>
      </c>
      <c r="CT2142" s="58">
        <v>67.0</v>
      </c>
      <c r="CU2142" s="58" t="s">
        <v>16423</v>
      </c>
      <c r="DL2142" s="58" t="s">
        <v>19464</v>
      </c>
    </row>
    <row r="2143" ht="15.75" customHeight="1">
      <c r="B2143" s="58" t="s">
        <v>16392</v>
      </c>
      <c r="C2143" s="58">
        <v>2024.0</v>
      </c>
      <c r="D2143" s="58" t="s">
        <v>19465</v>
      </c>
      <c r="E2143" s="58" t="s">
        <v>19466</v>
      </c>
      <c r="F2143" s="58" t="s">
        <v>16538</v>
      </c>
      <c r="H2143" s="58" t="s">
        <v>16539</v>
      </c>
      <c r="I2143" s="58" t="s">
        <v>19467</v>
      </c>
      <c r="K2143" s="73">
        <v>45275.0</v>
      </c>
      <c r="Q2143" s="58">
        <v>5.0</v>
      </c>
      <c r="R2143" s="58">
        <v>11.0</v>
      </c>
      <c r="Z2143" s="58" t="s">
        <v>239</v>
      </c>
      <c r="CH2143" s="58" t="s">
        <v>19468</v>
      </c>
      <c r="CI2143" s="73">
        <v>45343.0</v>
      </c>
      <c r="CJ2143" s="58">
        <v>7525.0</v>
      </c>
      <c r="CK2143" s="58">
        <v>7558.0</v>
      </c>
      <c r="CL2143" s="58" t="s">
        <v>19469</v>
      </c>
      <c r="CN2143" s="58" t="s">
        <v>19470</v>
      </c>
      <c r="CO2143" s="58" t="s">
        <v>19471</v>
      </c>
      <c r="CP2143" s="58" t="s">
        <v>19472</v>
      </c>
      <c r="CR2143" s="58">
        <v>10.0</v>
      </c>
      <c r="CT2143" s="58">
        <v>66.0</v>
      </c>
      <c r="CU2143" s="58" t="s">
        <v>239</v>
      </c>
      <c r="DL2143" s="58" t="s">
        <v>19473</v>
      </c>
    </row>
    <row r="2144" ht="15.75" customHeight="1">
      <c r="B2144" s="58" t="s">
        <v>16392</v>
      </c>
      <c r="C2144" s="58">
        <v>2023.0</v>
      </c>
      <c r="D2144" s="58" t="s">
        <v>19474</v>
      </c>
      <c r="E2144" s="58" t="s">
        <v>19475</v>
      </c>
      <c r="F2144" s="58" t="s">
        <v>16436</v>
      </c>
      <c r="H2144" s="58" t="s">
        <v>16437</v>
      </c>
      <c r="I2144" s="58" t="s">
        <v>19476</v>
      </c>
      <c r="K2144" s="73">
        <v>45076.0</v>
      </c>
      <c r="R2144" s="58">
        <v>11.0</v>
      </c>
      <c r="Z2144" s="58" t="s">
        <v>239</v>
      </c>
      <c r="CH2144" s="58" t="s">
        <v>19477</v>
      </c>
      <c r="CI2144" s="73">
        <v>45099.0</v>
      </c>
      <c r="CJ2144" s="58">
        <v>60915.0</v>
      </c>
      <c r="CK2144" s="58">
        <v>60938.0</v>
      </c>
      <c r="CL2144" s="58" t="s">
        <v>19478</v>
      </c>
      <c r="CO2144" s="58" t="s">
        <v>19479</v>
      </c>
      <c r="CP2144" s="58" t="s">
        <v>19480</v>
      </c>
      <c r="CR2144" s="58">
        <v>10.0</v>
      </c>
      <c r="CT2144" s="58">
        <v>60.0</v>
      </c>
      <c r="CU2144" s="58" t="s">
        <v>16423</v>
      </c>
      <c r="DL2144" s="58" t="s">
        <v>19481</v>
      </c>
    </row>
    <row r="2145" ht="15.75" customHeight="1">
      <c r="B2145" s="58" t="s">
        <v>16392</v>
      </c>
      <c r="C2145" s="58">
        <v>2021.0</v>
      </c>
      <c r="D2145" s="58" t="s">
        <v>19482</v>
      </c>
      <c r="E2145" s="58" t="s">
        <v>19483</v>
      </c>
      <c r="F2145" s="58" t="s">
        <v>16959</v>
      </c>
      <c r="H2145" s="58" t="s">
        <v>16960</v>
      </c>
      <c r="I2145" s="58" t="s">
        <v>19484</v>
      </c>
      <c r="K2145" s="73">
        <v>44294.0</v>
      </c>
      <c r="Q2145" s="58">
        <v>2.0</v>
      </c>
      <c r="R2145" s="58">
        <v>18.0</v>
      </c>
      <c r="Z2145" s="58" t="s">
        <v>239</v>
      </c>
      <c r="CH2145" s="58" t="s">
        <v>19485</v>
      </c>
      <c r="CI2145" s="73">
        <v>44357.0</v>
      </c>
      <c r="CJ2145" s="58">
        <v>1287.0</v>
      </c>
      <c r="CK2145" s="58">
        <v>1304.0</v>
      </c>
      <c r="CL2145" s="58" t="s">
        <v>19486</v>
      </c>
      <c r="CN2145" s="58" t="s">
        <v>19487</v>
      </c>
      <c r="CO2145" s="58" t="s">
        <v>19488</v>
      </c>
      <c r="CP2145" s="58" t="s">
        <v>19489</v>
      </c>
      <c r="CR2145" s="58">
        <v>10.0</v>
      </c>
      <c r="CT2145" s="58">
        <v>46.0</v>
      </c>
      <c r="CU2145" s="58" t="s">
        <v>239</v>
      </c>
      <c r="DL2145" s="58" t="s">
        <v>19490</v>
      </c>
    </row>
    <row r="2146" ht="15.75" customHeight="1">
      <c r="B2146" s="58" t="s">
        <v>16392</v>
      </c>
      <c r="C2146" s="58">
        <v>2022.0</v>
      </c>
      <c r="D2146" s="58" t="s">
        <v>19491</v>
      </c>
      <c r="E2146" s="58" t="s">
        <v>19492</v>
      </c>
      <c r="F2146" s="58" t="s">
        <v>16731</v>
      </c>
      <c r="H2146" s="58" t="s">
        <v>16732</v>
      </c>
      <c r="I2146" s="58" t="s">
        <v>19493</v>
      </c>
      <c r="K2146" s="73">
        <v>44452.0</v>
      </c>
      <c r="Q2146" s="58">
        <v>3.0</v>
      </c>
      <c r="R2146" s="58">
        <v>18.0</v>
      </c>
      <c r="Z2146" s="58" t="s">
        <v>239</v>
      </c>
      <c r="CH2146" s="58" t="s">
        <v>19494</v>
      </c>
      <c r="CI2146" s="73">
        <v>44537.0</v>
      </c>
      <c r="CJ2146" s="58">
        <v>1892.0</v>
      </c>
      <c r="CK2146" s="58">
        <v>1895.0</v>
      </c>
      <c r="CL2146" s="58" t="s">
        <v>19495</v>
      </c>
      <c r="CO2146" s="58" t="s">
        <v>19496</v>
      </c>
      <c r="CR2146" s="58">
        <v>10.0</v>
      </c>
      <c r="CT2146" s="58">
        <v>0.0</v>
      </c>
      <c r="CU2146" s="58" t="s">
        <v>239</v>
      </c>
      <c r="DL2146" s="58" t="s">
        <v>19497</v>
      </c>
    </row>
    <row r="2147" ht="15.75" customHeight="1">
      <c r="B2147" s="58" t="s">
        <v>16392</v>
      </c>
      <c r="C2147" s="58">
        <v>2023.0</v>
      </c>
      <c r="D2147" s="58" t="s">
        <v>19498</v>
      </c>
      <c r="E2147" s="58" t="s">
        <v>19499</v>
      </c>
      <c r="F2147" s="58" t="s">
        <v>17654</v>
      </c>
      <c r="H2147" s="58" t="s">
        <v>17655</v>
      </c>
      <c r="I2147" s="58" t="s">
        <v>19500</v>
      </c>
      <c r="K2147" s="73">
        <v>45005.0</v>
      </c>
      <c r="Q2147" s="58">
        <v>7.0</v>
      </c>
      <c r="R2147" s="58">
        <v>24.0</v>
      </c>
      <c r="Z2147" s="58" t="s">
        <v>239</v>
      </c>
      <c r="CH2147" s="58" t="s">
        <v>19501</v>
      </c>
      <c r="CI2147" s="73">
        <v>45114.0</v>
      </c>
      <c r="CJ2147" s="58">
        <v>6820.0</v>
      </c>
      <c r="CK2147" s="58">
        <v>6835.0</v>
      </c>
      <c r="CL2147" s="58" t="s">
        <v>19502</v>
      </c>
      <c r="CN2147" s="58" t="s">
        <v>19503</v>
      </c>
      <c r="CO2147" s="58" t="s">
        <v>19504</v>
      </c>
      <c r="CP2147" s="58" t="s">
        <v>19505</v>
      </c>
      <c r="CR2147" s="58">
        <v>9.0</v>
      </c>
      <c r="CT2147" s="58">
        <v>38.0</v>
      </c>
      <c r="CU2147" s="58" t="s">
        <v>239</v>
      </c>
      <c r="DL2147" s="58" t="s">
        <v>19506</v>
      </c>
    </row>
    <row r="2148" ht="15.75" customHeight="1">
      <c r="B2148" s="58" t="s">
        <v>16392</v>
      </c>
      <c r="C2148" s="58">
        <v>2021.0</v>
      </c>
      <c r="D2148" s="58" t="s">
        <v>19507</v>
      </c>
      <c r="E2148" s="58" t="s">
        <v>19508</v>
      </c>
      <c r="F2148" s="58" t="s">
        <v>16436</v>
      </c>
      <c r="H2148" s="58" t="s">
        <v>16437</v>
      </c>
      <c r="I2148" s="58" t="s">
        <v>19509</v>
      </c>
      <c r="K2148" s="73">
        <v>44420.0</v>
      </c>
      <c r="R2148" s="58">
        <v>9.0</v>
      </c>
      <c r="Z2148" s="58" t="s">
        <v>239</v>
      </c>
      <c r="CH2148" s="58" t="s">
        <v>19510</v>
      </c>
      <c r="CI2148" s="73">
        <v>44431.0</v>
      </c>
      <c r="CJ2148" s="58">
        <v>114468.0</v>
      </c>
      <c r="CK2148" s="58">
        <v>114484.0</v>
      </c>
      <c r="CL2148" s="58" t="s">
        <v>19511</v>
      </c>
      <c r="CO2148" s="58" t="s">
        <v>19512</v>
      </c>
      <c r="CP2148" s="58" t="s">
        <v>19513</v>
      </c>
      <c r="CR2148" s="58">
        <v>9.0</v>
      </c>
      <c r="CT2148" s="58">
        <v>65.0</v>
      </c>
      <c r="CU2148" s="58" t="s">
        <v>16423</v>
      </c>
      <c r="DL2148" s="58" t="s">
        <v>19514</v>
      </c>
    </row>
    <row r="2149" ht="15.75" customHeight="1">
      <c r="B2149" s="58" t="s">
        <v>16392</v>
      </c>
      <c r="C2149" s="58">
        <v>2021.0</v>
      </c>
      <c r="D2149" s="58" t="s">
        <v>19515</v>
      </c>
      <c r="E2149" s="58" t="s">
        <v>19516</v>
      </c>
      <c r="F2149" s="58" t="s">
        <v>16436</v>
      </c>
      <c r="H2149" s="58" t="s">
        <v>16437</v>
      </c>
      <c r="I2149" s="58" t="s">
        <v>19517</v>
      </c>
      <c r="K2149" s="73">
        <v>44279.0</v>
      </c>
      <c r="R2149" s="58">
        <v>9.0</v>
      </c>
      <c r="Z2149" s="58" t="s">
        <v>239</v>
      </c>
      <c r="CH2149" s="58" t="s">
        <v>19518</v>
      </c>
      <c r="CI2149" s="73">
        <v>44417.0</v>
      </c>
      <c r="CJ2149" s="58">
        <v>106220.0</v>
      </c>
      <c r="CK2149" s="58">
        <v>106231.0</v>
      </c>
      <c r="CL2149" s="58" t="s">
        <v>19519</v>
      </c>
      <c r="CN2149" s="58" t="s">
        <v>19520</v>
      </c>
      <c r="CO2149" s="58" t="s">
        <v>19521</v>
      </c>
      <c r="CP2149" s="58" t="s">
        <v>19522</v>
      </c>
      <c r="CR2149" s="58">
        <v>9.0</v>
      </c>
      <c r="CT2149" s="58">
        <v>40.0</v>
      </c>
      <c r="CU2149" s="58" t="s">
        <v>16727</v>
      </c>
      <c r="DL2149" s="58" t="s">
        <v>19523</v>
      </c>
    </row>
    <row r="2150" ht="15.75" customHeight="1">
      <c r="B2150" s="58" t="s">
        <v>16392</v>
      </c>
      <c r="C2150" s="58">
        <v>2024.0</v>
      </c>
      <c r="D2150" s="58" t="s">
        <v>19524</v>
      </c>
      <c r="E2150" s="58" t="s">
        <v>19525</v>
      </c>
      <c r="F2150" s="58" t="s">
        <v>16436</v>
      </c>
      <c r="H2150" s="58" t="s">
        <v>16437</v>
      </c>
      <c r="I2150" s="58" t="s">
        <v>19526</v>
      </c>
      <c r="K2150" s="73">
        <v>45294.0</v>
      </c>
      <c r="R2150" s="58">
        <v>12.0</v>
      </c>
      <c r="Z2150" s="58" t="s">
        <v>239</v>
      </c>
      <c r="CH2150" s="58" t="s">
        <v>19527</v>
      </c>
      <c r="CI2150" s="73">
        <v>45300.0</v>
      </c>
      <c r="CJ2150" s="58">
        <v>4015.0</v>
      </c>
      <c r="CK2150" s="58">
        <v>4047.0</v>
      </c>
      <c r="CL2150" s="58" t="s">
        <v>19528</v>
      </c>
      <c r="CN2150" s="58" t="s">
        <v>19529</v>
      </c>
      <c r="CO2150" s="58" t="s">
        <v>19530</v>
      </c>
      <c r="CP2150" s="58" t="s">
        <v>19531</v>
      </c>
      <c r="CR2150" s="58">
        <v>9.0</v>
      </c>
      <c r="CT2150" s="58">
        <v>123.0</v>
      </c>
      <c r="CU2150" s="58" t="s">
        <v>16423</v>
      </c>
      <c r="DL2150" s="58" t="s">
        <v>19532</v>
      </c>
    </row>
    <row r="2151" ht="15.75" customHeight="1">
      <c r="B2151" s="58" t="s">
        <v>16392</v>
      </c>
      <c r="C2151" s="58">
        <v>2019.0</v>
      </c>
      <c r="D2151" s="58" t="s">
        <v>19533</v>
      </c>
      <c r="E2151" s="58" t="s">
        <v>19534</v>
      </c>
      <c r="F2151" s="58" t="s">
        <v>16436</v>
      </c>
      <c r="H2151" s="58" t="s">
        <v>16437</v>
      </c>
      <c r="I2151" s="58" t="s">
        <v>19535</v>
      </c>
      <c r="K2151" s="73">
        <v>43759.0</v>
      </c>
      <c r="R2151" s="58">
        <v>7.0</v>
      </c>
      <c r="Z2151" s="58" t="s">
        <v>239</v>
      </c>
      <c r="CH2151" s="58" t="s">
        <v>19536</v>
      </c>
      <c r="CI2151" s="73">
        <v>43766.0</v>
      </c>
      <c r="CJ2151" s="58">
        <v>152953.0</v>
      </c>
      <c r="CK2151" s="58">
        <v>152967.0</v>
      </c>
      <c r="CL2151" s="58" t="s">
        <v>19537</v>
      </c>
      <c r="CN2151" s="58" t="s">
        <v>19538</v>
      </c>
      <c r="CO2151" s="58" t="s">
        <v>19539</v>
      </c>
      <c r="CP2151" s="58" t="s">
        <v>19540</v>
      </c>
      <c r="CR2151" s="58">
        <v>9.0</v>
      </c>
      <c r="CT2151" s="58">
        <v>41.0</v>
      </c>
      <c r="CU2151" s="58" t="s">
        <v>16423</v>
      </c>
      <c r="DL2151" s="58" t="s">
        <v>19541</v>
      </c>
    </row>
    <row r="2152" ht="15.75" customHeight="1">
      <c r="B2152" s="58" t="s">
        <v>16392</v>
      </c>
      <c r="C2152" s="58">
        <v>2020.0</v>
      </c>
      <c r="D2152" s="58" t="s">
        <v>19542</v>
      </c>
      <c r="E2152" s="58" t="s">
        <v>19543</v>
      </c>
      <c r="F2152" s="58" t="s">
        <v>16436</v>
      </c>
      <c r="H2152" s="58" t="s">
        <v>16437</v>
      </c>
      <c r="I2152" s="58" t="s">
        <v>19544</v>
      </c>
      <c r="K2152" s="73">
        <v>43937.0</v>
      </c>
      <c r="R2152" s="58">
        <v>8.0</v>
      </c>
      <c r="Z2152" s="58" t="s">
        <v>239</v>
      </c>
      <c r="CH2152" s="58" t="s">
        <v>19545</v>
      </c>
      <c r="CI2152" s="73">
        <v>43949.0</v>
      </c>
      <c r="CJ2152" s="58">
        <v>73730.0</v>
      </c>
      <c r="CK2152" s="58">
        <v>73745.0</v>
      </c>
      <c r="CL2152" s="58" t="s">
        <v>19546</v>
      </c>
      <c r="CN2152" s="58" t="s">
        <v>19547</v>
      </c>
      <c r="CO2152" s="58" t="s">
        <v>19548</v>
      </c>
      <c r="CP2152" s="58" t="s">
        <v>19549</v>
      </c>
      <c r="CR2152" s="58">
        <v>9.0</v>
      </c>
      <c r="CT2152" s="58">
        <v>56.0</v>
      </c>
      <c r="CU2152" s="58" t="s">
        <v>16423</v>
      </c>
      <c r="DL2152" s="58" t="s">
        <v>19550</v>
      </c>
    </row>
    <row r="2153" ht="15.75" customHeight="1">
      <c r="B2153" s="58" t="s">
        <v>16392</v>
      </c>
      <c r="C2153" s="58">
        <v>2023.0</v>
      </c>
      <c r="D2153" s="58" t="s">
        <v>19551</v>
      </c>
      <c r="E2153" s="58" t="s">
        <v>19552</v>
      </c>
      <c r="F2153" s="58" t="s">
        <v>16538</v>
      </c>
      <c r="H2153" s="58" t="s">
        <v>16539</v>
      </c>
      <c r="I2153" s="58" t="s">
        <v>19553</v>
      </c>
      <c r="K2153" s="73">
        <v>44937.0</v>
      </c>
      <c r="Q2153" s="58">
        <v>11.0</v>
      </c>
      <c r="R2153" s="58">
        <v>10.0</v>
      </c>
      <c r="Z2153" s="58" t="s">
        <v>239</v>
      </c>
      <c r="CH2153" s="58" t="s">
        <v>19554</v>
      </c>
      <c r="CI2153" s="73">
        <v>45063.0</v>
      </c>
      <c r="CJ2153" s="58">
        <v>9836.0</v>
      </c>
      <c r="CK2153" s="58">
        <v>9848.0</v>
      </c>
      <c r="CL2153" s="58" t="s">
        <v>19555</v>
      </c>
      <c r="CN2153" s="58" t="s">
        <v>19556</v>
      </c>
      <c r="CO2153" s="58" t="s">
        <v>19557</v>
      </c>
      <c r="CP2153" s="58" t="s">
        <v>19558</v>
      </c>
      <c r="CR2153" s="58">
        <v>9.0</v>
      </c>
      <c r="CT2153" s="58">
        <v>50.0</v>
      </c>
      <c r="CU2153" s="58" t="s">
        <v>239</v>
      </c>
      <c r="DL2153" s="58" t="s">
        <v>19559</v>
      </c>
    </row>
    <row r="2154" ht="15.75" customHeight="1">
      <c r="B2154" s="58" t="s">
        <v>16392</v>
      </c>
      <c r="C2154" s="58">
        <v>2023.0</v>
      </c>
      <c r="D2154" s="58" t="s">
        <v>19560</v>
      </c>
      <c r="E2154" s="58" t="s">
        <v>19561</v>
      </c>
      <c r="F2154" s="58" t="s">
        <v>16436</v>
      </c>
      <c r="H2154" s="58" t="s">
        <v>16437</v>
      </c>
      <c r="I2154" s="58" t="s">
        <v>19562</v>
      </c>
      <c r="K2154" s="73">
        <v>44931.0</v>
      </c>
      <c r="R2154" s="58">
        <v>11.0</v>
      </c>
      <c r="Z2154" s="58" t="s">
        <v>239</v>
      </c>
      <c r="CH2154" s="58" t="s">
        <v>19563</v>
      </c>
      <c r="CI2154" s="73">
        <v>44944.0</v>
      </c>
      <c r="CJ2154" s="58">
        <v>4443.0</v>
      </c>
      <c r="CK2154" s="58">
        <v>4454.0</v>
      </c>
      <c r="CL2154" s="58" t="s">
        <v>19564</v>
      </c>
      <c r="CO2154" s="58" t="s">
        <v>19565</v>
      </c>
      <c r="CP2154" s="58" t="s">
        <v>19566</v>
      </c>
      <c r="CR2154" s="58">
        <v>9.0</v>
      </c>
      <c r="CT2154" s="58">
        <v>14.0</v>
      </c>
      <c r="CU2154" s="58" t="s">
        <v>16423</v>
      </c>
      <c r="DL2154" s="58" t="s">
        <v>19567</v>
      </c>
    </row>
    <row r="2155" ht="15.75" customHeight="1">
      <c r="B2155" s="58" t="s">
        <v>16392</v>
      </c>
      <c r="C2155" s="58">
        <v>2024.0</v>
      </c>
      <c r="D2155" s="58" t="s">
        <v>19568</v>
      </c>
      <c r="E2155" s="58" t="s">
        <v>19569</v>
      </c>
      <c r="F2155" s="58" t="s">
        <v>16538</v>
      </c>
      <c r="H2155" s="58" t="s">
        <v>16539</v>
      </c>
      <c r="I2155" s="58" t="s">
        <v>19570</v>
      </c>
      <c r="K2155" s="73">
        <v>45427.0</v>
      </c>
      <c r="Q2155" s="58">
        <v>14.0</v>
      </c>
      <c r="R2155" s="58">
        <v>11.0</v>
      </c>
      <c r="Z2155" s="58" t="s">
        <v>239</v>
      </c>
      <c r="CH2155" s="58" t="s">
        <v>19571</v>
      </c>
      <c r="CI2155" s="73">
        <v>45481.0</v>
      </c>
      <c r="CJ2155" s="58">
        <v>24581.0</v>
      </c>
      <c r="CK2155" s="58">
        <v>24603.0</v>
      </c>
      <c r="CL2155" s="58" t="s">
        <v>19572</v>
      </c>
      <c r="CN2155" s="58" t="s">
        <v>19573</v>
      </c>
      <c r="CO2155" s="58" t="s">
        <v>19574</v>
      </c>
      <c r="CP2155" s="58" t="s">
        <v>19575</v>
      </c>
      <c r="CR2155" s="58">
        <v>9.0</v>
      </c>
      <c r="CT2155" s="58">
        <v>147.0</v>
      </c>
      <c r="CU2155" s="58" t="s">
        <v>239</v>
      </c>
      <c r="DL2155" s="58" t="s">
        <v>19576</v>
      </c>
    </row>
    <row r="2156" ht="15.75" customHeight="1">
      <c r="B2156" s="58" t="s">
        <v>16392</v>
      </c>
      <c r="C2156" s="58">
        <v>2022.0</v>
      </c>
      <c r="D2156" s="58" t="s">
        <v>19577</v>
      </c>
      <c r="E2156" s="58" t="s">
        <v>19578</v>
      </c>
      <c r="F2156" s="58" t="s">
        <v>16959</v>
      </c>
      <c r="H2156" s="58" t="s">
        <v>16960</v>
      </c>
      <c r="I2156" s="58" t="s">
        <v>19579</v>
      </c>
      <c r="K2156" s="73">
        <v>44572.0</v>
      </c>
      <c r="Q2156" s="58">
        <v>2.0</v>
      </c>
      <c r="R2156" s="58">
        <v>19.0</v>
      </c>
      <c r="Z2156" s="58" t="s">
        <v>239</v>
      </c>
      <c r="CH2156" s="58" t="s">
        <v>19580</v>
      </c>
      <c r="CI2156" s="73">
        <v>44721.0</v>
      </c>
      <c r="CJ2156" s="58">
        <v>784.0</v>
      </c>
      <c r="CK2156" s="58">
        <v>803.0</v>
      </c>
      <c r="CL2156" s="58" t="s">
        <v>19581</v>
      </c>
      <c r="CO2156" s="58" t="s">
        <v>19582</v>
      </c>
      <c r="CP2156" s="58" t="s">
        <v>19583</v>
      </c>
      <c r="CR2156" s="58">
        <v>9.0</v>
      </c>
      <c r="CT2156" s="58">
        <v>61.0</v>
      </c>
      <c r="CU2156" s="58" t="s">
        <v>239</v>
      </c>
      <c r="DL2156" s="58" t="s">
        <v>19584</v>
      </c>
    </row>
    <row r="2157" ht="15.75" customHeight="1">
      <c r="B2157" s="58" t="s">
        <v>16392</v>
      </c>
      <c r="C2157" s="58">
        <v>2024.0</v>
      </c>
      <c r="D2157" s="58" t="s">
        <v>19585</v>
      </c>
      <c r="E2157" s="58" t="s">
        <v>19586</v>
      </c>
      <c r="F2157" s="58" t="s">
        <v>16436</v>
      </c>
      <c r="H2157" s="58" t="s">
        <v>16437</v>
      </c>
      <c r="I2157" s="58" t="s">
        <v>19587</v>
      </c>
      <c r="K2157" s="73">
        <v>45481.0</v>
      </c>
      <c r="R2157" s="58">
        <v>12.0</v>
      </c>
      <c r="Z2157" s="58" t="s">
        <v>239</v>
      </c>
      <c r="CH2157" s="58" t="s">
        <v>19588</v>
      </c>
      <c r="CI2157" s="73">
        <v>45488.0</v>
      </c>
      <c r="CJ2157" s="58">
        <v>94250.0</v>
      </c>
      <c r="CK2157" s="58">
        <v>94295.0</v>
      </c>
      <c r="CL2157" s="58" t="s">
        <v>19589</v>
      </c>
      <c r="CO2157" s="58" t="s">
        <v>19590</v>
      </c>
      <c r="CP2157" s="58" t="s">
        <v>19591</v>
      </c>
      <c r="CR2157" s="58">
        <v>9.0</v>
      </c>
      <c r="CT2157" s="58">
        <v>387.0</v>
      </c>
      <c r="CU2157" s="58" t="s">
        <v>16727</v>
      </c>
      <c r="DL2157" s="58" t="s">
        <v>19592</v>
      </c>
    </row>
    <row r="2158" ht="15.75" customHeight="1">
      <c r="B2158" s="58" t="s">
        <v>16392</v>
      </c>
      <c r="C2158" s="58">
        <v>2023.0</v>
      </c>
      <c r="D2158" s="58" t="s">
        <v>19593</v>
      </c>
      <c r="E2158" s="58" t="s">
        <v>19594</v>
      </c>
      <c r="F2158" s="58" t="s">
        <v>19595</v>
      </c>
      <c r="H2158" s="58" t="s">
        <v>19596</v>
      </c>
      <c r="I2158" s="58" t="s">
        <v>19597</v>
      </c>
      <c r="K2158" s="73">
        <v>44742.0</v>
      </c>
      <c r="R2158" s="58">
        <v>25.0</v>
      </c>
      <c r="Z2158" s="58" t="s">
        <v>239</v>
      </c>
      <c r="CH2158" s="58" t="s">
        <v>19598</v>
      </c>
      <c r="CI2158" s="73">
        <v>45230.0</v>
      </c>
      <c r="CJ2158" s="58">
        <v>5117.0</v>
      </c>
      <c r="CK2158" s="58">
        <v>5129.0</v>
      </c>
      <c r="CL2158" s="58" t="s">
        <v>19599</v>
      </c>
      <c r="CN2158" s="58" t="s">
        <v>19600</v>
      </c>
      <c r="CO2158" s="58" t="s">
        <v>19601</v>
      </c>
      <c r="CP2158" s="58" t="s">
        <v>19602</v>
      </c>
      <c r="CR2158" s="58">
        <v>9.0</v>
      </c>
      <c r="CT2158" s="58">
        <v>50.0</v>
      </c>
      <c r="CU2158" s="58" t="s">
        <v>16423</v>
      </c>
      <c r="DL2158" s="58" t="s">
        <v>19603</v>
      </c>
    </row>
    <row r="2159" ht="15.75" customHeight="1">
      <c r="B2159" s="58" t="s">
        <v>16392</v>
      </c>
      <c r="C2159" s="58">
        <v>2024.0</v>
      </c>
      <c r="D2159" s="58" t="s">
        <v>19604</v>
      </c>
      <c r="E2159" s="58" t="s">
        <v>19605</v>
      </c>
      <c r="F2159" s="58" t="s">
        <v>16395</v>
      </c>
      <c r="H2159" s="58" t="s">
        <v>16396</v>
      </c>
      <c r="I2159" s="58" t="s">
        <v>19606</v>
      </c>
      <c r="K2159" s="73">
        <v>45406.0</v>
      </c>
      <c r="Q2159" s="58">
        <v>4.0</v>
      </c>
      <c r="R2159" s="58">
        <v>26.0</v>
      </c>
      <c r="Z2159" s="58" t="s">
        <v>239</v>
      </c>
      <c r="CH2159" s="58" t="s">
        <v>19607</v>
      </c>
      <c r="CI2159" s="73">
        <v>45617.0</v>
      </c>
      <c r="CJ2159" s="58">
        <v>2647.0</v>
      </c>
      <c r="CK2159" s="58">
        <v>2683.0</v>
      </c>
      <c r="CL2159" s="58" t="s">
        <v>19608</v>
      </c>
      <c r="CN2159" s="58" t="s">
        <v>19609</v>
      </c>
      <c r="CO2159" s="58" t="s">
        <v>19610</v>
      </c>
      <c r="CP2159" s="58" t="s">
        <v>19611</v>
      </c>
      <c r="CR2159" s="58">
        <v>9.0</v>
      </c>
      <c r="CT2159" s="58">
        <v>252.0</v>
      </c>
      <c r="CU2159" s="58" t="s">
        <v>239</v>
      </c>
      <c r="DL2159" s="58" t="s">
        <v>19612</v>
      </c>
    </row>
    <row r="2160" ht="15.75" customHeight="1">
      <c r="B2160" s="58" t="s">
        <v>16392</v>
      </c>
      <c r="C2160" s="58">
        <v>2024.0</v>
      </c>
      <c r="D2160" s="58" t="s">
        <v>19613</v>
      </c>
      <c r="E2160" s="58" t="s">
        <v>19614</v>
      </c>
      <c r="F2160" s="58" t="s">
        <v>16923</v>
      </c>
      <c r="H2160" s="58" t="s">
        <v>16924</v>
      </c>
      <c r="I2160" s="58" t="s">
        <v>19615</v>
      </c>
      <c r="K2160" s="73">
        <v>45258.0</v>
      </c>
      <c r="Q2160" s="58">
        <v>2.0</v>
      </c>
      <c r="R2160" s="58">
        <v>42.0</v>
      </c>
      <c r="Z2160" s="58" t="s">
        <v>239</v>
      </c>
      <c r="CH2160" s="58" t="s">
        <v>19616</v>
      </c>
      <c r="CI2160" s="73">
        <v>45307.0</v>
      </c>
      <c r="CJ2160" s="58">
        <v>473.0</v>
      </c>
      <c r="CK2160" s="58">
        <v>486.0</v>
      </c>
      <c r="CL2160" s="58" t="s">
        <v>19617</v>
      </c>
      <c r="CN2160" s="58" t="s">
        <v>19618</v>
      </c>
      <c r="CO2160" s="58" t="s">
        <v>19619</v>
      </c>
      <c r="CP2160" s="58" t="s">
        <v>19620</v>
      </c>
      <c r="CR2160" s="58">
        <v>9.0</v>
      </c>
      <c r="CT2160" s="58">
        <v>43.0</v>
      </c>
      <c r="CU2160" s="58" t="s">
        <v>16727</v>
      </c>
      <c r="DL2160" s="58" t="s">
        <v>19621</v>
      </c>
    </row>
    <row r="2161" ht="15.75" customHeight="1">
      <c r="B2161" s="58" t="s">
        <v>16392</v>
      </c>
      <c r="C2161" s="58">
        <v>2022.0</v>
      </c>
      <c r="D2161" s="58" t="s">
        <v>19622</v>
      </c>
      <c r="E2161" s="58" t="s">
        <v>19623</v>
      </c>
      <c r="F2161" s="58" t="s">
        <v>17654</v>
      </c>
      <c r="H2161" s="58" t="s">
        <v>17655</v>
      </c>
      <c r="I2161" s="58" t="s">
        <v>19624</v>
      </c>
      <c r="K2161" s="73">
        <v>44664.0</v>
      </c>
      <c r="Q2161" s="58">
        <v>9.0</v>
      </c>
      <c r="R2161" s="58">
        <v>23.0</v>
      </c>
      <c r="Z2161" s="58" t="s">
        <v>239</v>
      </c>
      <c r="CH2161" s="58" t="s">
        <v>19625</v>
      </c>
      <c r="CI2161" s="73">
        <v>44818.0</v>
      </c>
      <c r="CJ2161" s="58">
        <v>14248.0</v>
      </c>
      <c r="CK2161" s="58">
        <v>14266.0</v>
      </c>
      <c r="CL2161" s="58" t="s">
        <v>19626</v>
      </c>
      <c r="CN2161" s="58" t="s">
        <v>19627</v>
      </c>
      <c r="CO2161" s="58" t="s">
        <v>19628</v>
      </c>
      <c r="CP2161" s="58" t="s">
        <v>19629</v>
      </c>
      <c r="CR2161" s="58">
        <v>9.0</v>
      </c>
      <c r="CT2161" s="58">
        <v>205.0</v>
      </c>
      <c r="CU2161" s="58" t="s">
        <v>239</v>
      </c>
      <c r="DL2161" s="58" t="s">
        <v>19630</v>
      </c>
    </row>
    <row r="2162" ht="15.75" customHeight="1">
      <c r="B2162" s="58" t="s">
        <v>16392</v>
      </c>
      <c r="C2162" s="58">
        <v>2023.0</v>
      </c>
      <c r="D2162" s="58" t="s">
        <v>19631</v>
      </c>
      <c r="E2162" s="58" t="s">
        <v>19632</v>
      </c>
      <c r="F2162" s="58" t="s">
        <v>16395</v>
      </c>
      <c r="H2162" s="58" t="s">
        <v>16396</v>
      </c>
      <c r="I2162" s="58" t="s">
        <v>19633</v>
      </c>
      <c r="K2162" s="73">
        <v>45054.0</v>
      </c>
      <c r="Q2162" s="58">
        <v>3.0</v>
      </c>
      <c r="R2162" s="58">
        <v>25.0</v>
      </c>
      <c r="Z2162" s="58" t="s">
        <v>239</v>
      </c>
      <c r="CH2162" s="58" t="s">
        <v>19634</v>
      </c>
      <c r="CI2162" s="73">
        <v>45160.0</v>
      </c>
      <c r="CJ2162" s="58">
        <v>1991.0</v>
      </c>
      <c r="CK2162" s="58">
        <v>2020.0</v>
      </c>
      <c r="CL2162" s="58" t="s">
        <v>19635</v>
      </c>
      <c r="CN2162" s="58" t="s">
        <v>19636</v>
      </c>
      <c r="CO2162" s="58" t="s">
        <v>19637</v>
      </c>
      <c r="CP2162" s="58" t="s">
        <v>19638</v>
      </c>
      <c r="CR2162" s="58">
        <v>9.0</v>
      </c>
      <c r="CT2162" s="58">
        <v>252.0</v>
      </c>
      <c r="CU2162" s="58" t="s">
        <v>239</v>
      </c>
      <c r="DL2162" s="58" t="s">
        <v>19639</v>
      </c>
    </row>
    <row r="2163" ht="15.75" customHeight="1">
      <c r="B2163" s="58" t="s">
        <v>16392</v>
      </c>
      <c r="C2163" s="58">
        <v>2024.0</v>
      </c>
      <c r="D2163" s="58" t="s">
        <v>19640</v>
      </c>
      <c r="E2163" s="58" t="s">
        <v>19641</v>
      </c>
      <c r="F2163" s="58" t="s">
        <v>16415</v>
      </c>
      <c r="H2163" s="58" t="s">
        <v>16416</v>
      </c>
      <c r="I2163" s="58" t="s">
        <v>19642</v>
      </c>
      <c r="K2163" s="73">
        <v>45334.0</v>
      </c>
      <c r="Q2163" s="58">
        <v>1.0</v>
      </c>
      <c r="R2163" s="58">
        <v>112.0</v>
      </c>
      <c r="Z2163" s="58" t="s">
        <v>239</v>
      </c>
      <c r="CH2163" s="58" t="s">
        <v>19643</v>
      </c>
      <c r="CI2163" s="73">
        <v>45355.0</v>
      </c>
      <c r="CJ2163" s="58">
        <v>12.0</v>
      </c>
      <c r="CK2163" s="58">
        <v>46.0</v>
      </c>
      <c r="CL2163" s="58" t="s">
        <v>19644</v>
      </c>
      <c r="CN2163" s="58" t="s">
        <v>19645</v>
      </c>
      <c r="CO2163" s="58" t="s">
        <v>19646</v>
      </c>
      <c r="CP2163" s="58" t="s">
        <v>19647</v>
      </c>
      <c r="CR2163" s="58">
        <v>9.0</v>
      </c>
      <c r="CT2163" s="58">
        <v>299.0</v>
      </c>
      <c r="CU2163" s="58" t="s">
        <v>239</v>
      </c>
      <c r="DL2163" s="58" t="s">
        <v>19648</v>
      </c>
    </row>
    <row r="2164" ht="15.75" customHeight="1">
      <c r="B2164" s="58" t="s">
        <v>16392</v>
      </c>
      <c r="C2164" s="58">
        <v>2024.0</v>
      </c>
      <c r="D2164" s="58" t="s">
        <v>19649</v>
      </c>
      <c r="E2164" s="58" t="s">
        <v>19650</v>
      </c>
      <c r="F2164" s="58" t="s">
        <v>17136</v>
      </c>
      <c r="H2164" s="58" t="s">
        <v>17137</v>
      </c>
      <c r="I2164" s="58" t="s">
        <v>19651</v>
      </c>
      <c r="K2164" s="73">
        <v>45173.0</v>
      </c>
      <c r="Q2164" s="58">
        <v>5.0</v>
      </c>
      <c r="R2164" s="58">
        <v>23.0</v>
      </c>
      <c r="Z2164" s="58" t="s">
        <v>239</v>
      </c>
      <c r="CH2164" s="58" t="s">
        <v>16550</v>
      </c>
      <c r="CI2164" s="73">
        <v>45386.0</v>
      </c>
      <c r="CJ2164" s="58">
        <v>5786.0</v>
      </c>
      <c r="CK2164" s="58">
        <v>5798.0</v>
      </c>
      <c r="CL2164" s="58" t="s">
        <v>19652</v>
      </c>
      <c r="CN2164" s="58" t="s">
        <v>19653</v>
      </c>
      <c r="CO2164" s="58" t="s">
        <v>19654</v>
      </c>
      <c r="CP2164" s="58" t="s">
        <v>19655</v>
      </c>
      <c r="CR2164" s="58">
        <v>9.0</v>
      </c>
      <c r="CT2164" s="58">
        <v>63.0</v>
      </c>
      <c r="CU2164" s="58" t="s">
        <v>239</v>
      </c>
      <c r="DL2164" s="58" t="s">
        <v>19656</v>
      </c>
    </row>
    <row r="2165" ht="15.75" customHeight="1">
      <c r="B2165" s="58" t="s">
        <v>16392</v>
      </c>
      <c r="C2165" s="58">
        <v>2022.0</v>
      </c>
      <c r="D2165" s="58" t="s">
        <v>19657</v>
      </c>
      <c r="E2165" s="58" t="s">
        <v>19658</v>
      </c>
      <c r="F2165" s="58" t="s">
        <v>16538</v>
      </c>
      <c r="H2165" s="58" t="s">
        <v>16539</v>
      </c>
      <c r="I2165" s="58" t="s">
        <v>19659</v>
      </c>
      <c r="K2165" s="73">
        <v>44463.0</v>
      </c>
      <c r="Q2165" s="58">
        <v>16.0</v>
      </c>
      <c r="R2165" s="58">
        <v>9.0</v>
      </c>
      <c r="Z2165" s="58" t="s">
        <v>239</v>
      </c>
      <c r="CH2165" s="58" t="s">
        <v>19660</v>
      </c>
      <c r="CI2165" s="73">
        <v>44781.0</v>
      </c>
      <c r="CJ2165" s="58">
        <v>14876.0</v>
      </c>
      <c r="CK2165" s="58">
        <v>14890.0</v>
      </c>
      <c r="CL2165" s="58" t="s">
        <v>19661</v>
      </c>
      <c r="CN2165" s="58" t="s">
        <v>19662</v>
      </c>
      <c r="CO2165" s="58" t="s">
        <v>19663</v>
      </c>
      <c r="CP2165" s="58" t="s">
        <v>19664</v>
      </c>
      <c r="CR2165" s="58">
        <v>8.0</v>
      </c>
      <c r="CT2165" s="58">
        <v>61.0</v>
      </c>
      <c r="CU2165" s="58" t="s">
        <v>239</v>
      </c>
      <c r="DL2165" s="58" t="s">
        <v>19665</v>
      </c>
    </row>
    <row r="2166" ht="15.75" customHeight="1">
      <c r="B2166" s="58" t="s">
        <v>16392</v>
      </c>
      <c r="C2166" s="58">
        <v>2024.0</v>
      </c>
      <c r="D2166" s="58" t="s">
        <v>17012</v>
      </c>
      <c r="E2166" s="58" t="s">
        <v>19666</v>
      </c>
      <c r="F2166" s="58" t="s">
        <v>16538</v>
      </c>
      <c r="H2166" s="58" t="s">
        <v>16539</v>
      </c>
      <c r="I2166" s="58" t="s">
        <v>19667</v>
      </c>
      <c r="K2166" s="73">
        <v>45112.0</v>
      </c>
      <c r="Q2166" s="58">
        <v>2.0</v>
      </c>
      <c r="R2166" s="58">
        <v>11.0</v>
      </c>
      <c r="Z2166" s="58" t="s">
        <v>239</v>
      </c>
      <c r="CH2166" s="58" t="s">
        <v>19668</v>
      </c>
      <c r="CI2166" s="73">
        <v>45299.0</v>
      </c>
      <c r="CJ2166" s="58">
        <v>2684.0</v>
      </c>
      <c r="CK2166" s="58">
        <v>2700.0</v>
      </c>
      <c r="CL2166" s="58" t="s">
        <v>19669</v>
      </c>
      <c r="CO2166" s="58" t="s">
        <v>19670</v>
      </c>
      <c r="CP2166" s="58" t="s">
        <v>19671</v>
      </c>
      <c r="CR2166" s="58">
        <v>8.0</v>
      </c>
      <c r="CT2166" s="58">
        <v>50.0</v>
      </c>
      <c r="CU2166" s="58" t="s">
        <v>239</v>
      </c>
      <c r="DL2166" s="58" t="s">
        <v>19672</v>
      </c>
    </row>
    <row r="2167" ht="15.75" customHeight="1">
      <c r="B2167" s="58" t="s">
        <v>16392</v>
      </c>
      <c r="C2167" s="58">
        <v>2024.0</v>
      </c>
      <c r="D2167" s="58" t="s">
        <v>19673</v>
      </c>
      <c r="E2167" s="58" t="s">
        <v>19674</v>
      </c>
      <c r="F2167" s="58" t="s">
        <v>16436</v>
      </c>
      <c r="H2167" s="58" t="s">
        <v>16437</v>
      </c>
      <c r="I2167" s="58" t="s">
        <v>19675</v>
      </c>
      <c r="K2167" s="73">
        <v>45379.0</v>
      </c>
      <c r="R2167" s="58">
        <v>12.0</v>
      </c>
      <c r="Z2167" s="58" t="s">
        <v>239</v>
      </c>
      <c r="CH2167" s="58" t="s">
        <v>19676</v>
      </c>
      <c r="CI2167" s="73">
        <v>45407.0</v>
      </c>
      <c r="CJ2167" s="58">
        <v>57128.0</v>
      </c>
      <c r="CK2167" s="58">
        <v>57149.0</v>
      </c>
      <c r="CL2167" s="58" t="s">
        <v>19677</v>
      </c>
      <c r="CN2167" s="58" t="s">
        <v>19678</v>
      </c>
      <c r="CO2167" s="58" t="s">
        <v>19679</v>
      </c>
      <c r="CP2167" s="58" t="s">
        <v>19680</v>
      </c>
      <c r="CR2167" s="58">
        <v>8.0</v>
      </c>
      <c r="CT2167" s="58">
        <v>124.0</v>
      </c>
      <c r="CU2167" s="58" t="s">
        <v>16423</v>
      </c>
      <c r="DL2167" s="58" t="s">
        <v>19681</v>
      </c>
    </row>
    <row r="2168" ht="15.75" customHeight="1">
      <c r="B2168" s="58" t="s">
        <v>16392</v>
      </c>
      <c r="C2168" s="58">
        <v>2020.0</v>
      </c>
      <c r="D2168" s="58" t="s">
        <v>19682</v>
      </c>
      <c r="E2168" s="58" t="s">
        <v>19683</v>
      </c>
      <c r="F2168" s="58" t="s">
        <v>16959</v>
      </c>
      <c r="H2168" s="58" t="s">
        <v>16960</v>
      </c>
      <c r="I2168" s="58" t="s">
        <v>19684</v>
      </c>
      <c r="K2168" s="73">
        <v>44032.0</v>
      </c>
      <c r="Q2168" s="58">
        <v>4.0</v>
      </c>
      <c r="R2168" s="58">
        <v>17.0</v>
      </c>
      <c r="Z2168" s="58" t="s">
        <v>239</v>
      </c>
      <c r="CH2168" s="58" t="s">
        <v>19685</v>
      </c>
      <c r="CI2168" s="73">
        <v>44174.0</v>
      </c>
      <c r="CJ2168" s="58">
        <v>2380.0</v>
      </c>
      <c r="CK2168" s="58">
        <v>2395.0</v>
      </c>
      <c r="CL2168" s="58" t="s">
        <v>19686</v>
      </c>
      <c r="CN2168" s="58" t="s">
        <v>19687</v>
      </c>
      <c r="CO2168" s="58" t="s">
        <v>19688</v>
      </c>
      <c r="CP2168" s="58" t="s">
        <v>19689</v>
      </c>
      <c r="CR2168" s="58">
        <v>8.0</v>
      </c>
      <c r="CT2168" s="58">
        <v>60.0</v>
      </c>
      <c r="CU2168" s="58" t="s">
        <v>239</v>
      </c>
      <c r="DL2168" s="58" t="s">
        <v>19690</v>
      </c>
    </row>
    <row r="2169" ht="15.75" customHeight="1">
      <c r="B2169" s="58" t="s">
        <v>16392</v>
      </c>
      <c r="C2169" s="58">
        <v>2021.0</v>
      </c>
      <c r="D2169" s="58" t="s">
        <v>19691</v>
      </c>
      <c r="E2169" s="58" t="s">
        <v>19692</v>
      </c>
      <c r="F2169" s="58" t="s">
        <v>16436</v>
      </c>
      <c r="H2169" s="58" t="s">
        <v>16437</v>
      </c>
      <c r="I2169" s="58" t="s">
        <v>19693</v>
      </c>
      <c r="K2169" s="73">
        <v>44295.0</v>
      </c>
      <c r="R2169" s="58">
        <v>9.0</v>
      </c>
      <c r="Z2169" s="58" t="s">
        <v>239</v>
      </c>
      <c r="CH2169" s="58" t="s">
        <v>19694</v>
      </c>
      <c r="CI2169" s="73">
        <v>44302.0</v>
      </c>
      <c r="CJ2169" s="58">
        <v>56940.0</v>
      </c>
      <c r="CK2169" s="58">
        <v>56954.0</v>
      </c>
      <c r="CL2169" s="58" t="s">
        <v>19695</v>
      </c>
      <c r="CN2169" s="58" t="s">
        <v>19696</v>
      </c>
      <c r="CO2169" s="58" t="s">
        <v>19697</v>
      </c>
      <c r="CP2169" s="58" t="s">
        <v>19698</v>
      </c>
      <c r="CR2169" s="58">
        <v>8.0</v>
      </c>
      <c r="CT2169" s="58">
        <v>49.0</v>
      </c>
      <c r="CU2169" s="58" t="s">
        <v>16727</v>
      </c>
      <c r="DL2169" s="58" t="s">
        <v>19699</v>
      </c>
    </row>
    <row r="2170" ht="15.75" customHeight="1">
      <c r="B2170" s="58" t="s">
        <v>16392</v>
      </c>
      <c r="C2170" s="58">
        <v>2016.0</v>
      </c>
      <c r="D2170" s="58" t="s">
        <v>19700</v>
      </c>
      <c r="E2170" s="58" t="s">
        <v>19701</v>
      </c>
      <c r="F2170" s="58" t="s">
        <v>16959</v>
      </c>
      <c r="H2170" s="58" t="s">
        <v>16960</v>
      </c>
      <c r="I2170" s="58" t="s">
        <v>19702</v>
      </c>
      <c r="K2170" s="73">
        <v>42439.0</v>
      </c>
      <c r="Q2170" s="58">
        <v>2.0</v>
      </c>
      <c r="R2170" s="58">
        <v>13.0</v>
      </c>
      <c r="Z2170" s="58" t="s">
        <v>239</v>
      </c>
      <c r="CH2170" s="58" t="s">
        <v>19703</v>
      </c>
      <c r="CI2170" s="73">
        <v>42530.0</v>
      </c>
      <c r="CJ2170" s="58">
        <v>295.0</v>
      </c>
      <c r="CK2170" s="58">
        <v>307.0</v>
      </c>
      <c r="CL2170" s="58" t="s">
        <v>19704</v>
      </c>
      <c r="CO2170" s="58" t="s">
        <v>19705</v>
      </c>
      <c r="CP2170" s="58" t="s">
        <v>19706</v>
      </c>
      <c r="CR2170" s="58">
        <v>8.0</v>
      </c>
      <c r="CT2170" s="58">
        <v>50.0</v>
      </c>
      <c r="CU2170" s="58" t="s">
        <v>239</v>
      </c>
      <c r="DL2170" s="58" t="s">
        <v>19707</v>
      </c>
    </row>
    <row r="2171" ht="15.75" customHeight="1">
      <c r="B2171" s="58" t="s">
        <v>16392</v>
      </c>
      <c r="C2171" s="58">
        <v>2022.0</v>
      </c>
      <c r="D2171" s="58" t="s">
        <v>19708</v>
      </c>
      <c r="E2171" s="58" t="s">
        <v>19709</v>
      </c>
      <c r="F2171" s="58" t="s">
        <v>16959</v>
      </c>
      <c r="H2171" s="58" t="s">
        <v>16960</v>
      </c>
      <c r="I2171" s="58" t="s">
        <v>19710</v>
      </c>
      <c r="K2171" s="73">
        <v>44510.0</v>
      </c>
      <c r="Q2171" s="58">
        <v>2.0</v>
      </c>
      <c r="R2171" s="58">
        <v>19.0</v>
      </c>
      <c r="Z2171" s="58" t="s">
        <v>239</v>
      </c>
      <c r="CH2171" s="58" t="s">
        <v>19711</v>
      </c>
      <c r="CI2171" s="73">
        <v>44721.0</v>
      </c>
      <c r="CJ2171" s="58">
        <v>1017.0</v>
      </c>
      <c r="CK2171" s="58">
        <v>1035.0</v>
      </c>
      <c r="CL2171" s="58" t="s">
        <v>19712</v>
      </c>
      <c r="CN2171" s="58" t="s">
        <v>19713</v>
      </c>
      <c r="CO2171" s="58" t="s">
        <v>19714</v>
      </c>
      <c r="CP2171" s="58" t="s">
        <v>19715</v>
      </c>
      <c r="CR2171" s="58">
        <v>8.0</v>
      </c>
      <c r="CT2171" s="58">
        <v>112.0</v>
      </c>
      <c r="CU2171" s="58" t="s">
        <v>239</v>
      </c>
      <c r="DL2171" s="58" t="s">
        <v>19716</v>
      </c>
    </row>
    <row r="2172" ht="15.75" customHeight="1">
      <c r="B2172" s="58" t="s">
        <v>16392</v>
      </c>
      <c r="C2172" s="58">
        <v>2022.0</v>
      </c>
      <c r="D2172" s="58" t="s">
        <v>19717</v>
      </c>
      <c r="E2172" s="58" t="s">
        <v>19718</v>
      </c>
      <c r="F2172" s="58" t="s">
        <v>16538</v>
      </c>
      <c r="H2172" s="58" t="s">
        <v>16539</v>
      </c>
      <c r="I2172" s="58" t="s">
        <v>19719</v>
      </c>
      <c r="K2172" s="73">
        <v>44615.0</v>
      </c>
      <c r="Q2172" s="58">
        <v>18.0</v>
      </c>
      <c r="R2172" s="58">
        <v>9.0</v>
      </c>
      <c r="Z2172" s="58" t="s">
        <v>239</v>
      </c>
      <c r="CH2172" s="58" t="s">
        <v>19720</v>
      </c>
      <c r="CI2172" s="73">
        <v>44811.0</v>
      </c>
      <c r="CJ2172" s="58">
        <v>16807.0</v>
      </c>
      <c r="CK2172" s="58">
        <v>16823.0</v>
      </c>
      <c r="CL2172" s="58" t="s">
        <v>19721</v>
      </c>
      <c r="CN2172" s="58" t="s">
        <v>19722</v>
      </c>
      <c r="CO2172" s="58" t="s">
        <v>19723</v>
      </c>
      <c r="CP2172" s="58" t="s">
        <v>19724</v>
      </c>
      <c r="CR2172" s="58">
        <v>8.0</v>
      </c>
      <c r="CT2172" s="58">
        <v>94.0</v>
      </c>
      <c r="CU2172" s="58" t="s">
        <v>239</v>
      </c>
      <c r="DL2172" s="58" t="s">
        <v>19725</v>
      </c>
    </row>
    <row r="2173" ht="15.75" customHeight="1">
      <c r="B2173" s="58" t="s">
        <v>16392</v>
      </c>
      <c r="C2173" s="58">
        <v>2023.0</v>
      </c>
      <c r="D2173" s="58" t="s">
        <v>19726</v>
      </c>
      <c r="E2173" s="58" t="s">
        <v>19727</v>
      </c>
      <c r="F2173" s="58" t="s">
        <v>16436</v>
      </c>
      <c r="H2173" s="58" t="s">
        <v>16437</v>
      </c>
      <c r="I2173" s="58" t="s">
        <v>19728</v>
      </c>
      <c r="K2173" s="73">
        <v>45218.0</v>
      </c>
      <c r="R2173" s="58">
        <v>11.0</v>
      </c>
      <c r="Z2173" s="58" t="s">
        <v>239</v>
      </c>
      <c r="CH2173" s="58" t="s">
        <v>19729</v>
      </c>
      <c r="CI2173" s="73">
        <v>45229.0</v>
      </c>
      <c r="CJ2173" s="58">
        <v>117261.0</v>
      </c>
      <c r="CK2173" s="58">
        <v>117281.0</v>
      </c>
      <c r="CL2173" s="58" t="s">
        <v>19730</v>
      </c>
      <c r="CN2173" s="58" t="s">
        <v>19731</v>
      </c>
      <c r="CO2173" s="58" t="s">
        <v>19732</v>
      </c>
      <c r="CP2173" s="58" t="s">
        <v>19733</v>
      </c>
      <c r="CR2173" s="58">
        <v>8.0</v>
      </c>
      <c r="CT2173" s="58">
        <v>102.0</v>
      </c>
      <c r="CU2173" s="58" t="s">
        <v>16423</v>
      </c>
      <c r="DL2173" s="58" t="s">
        <v>19734</v>
      </c>
    </row>
    <row r="2174" ht="15.75" customHeight="1">
      <c r="B2174" s="58" t="s">
        <v>16392</v>
      </c>
      <c r="C2174" s="58">
        <v>2021.0</v>
      </c>
      <c r="D2174" s="58" t="s">
        <v>19735</v>
      </c>
      <c r="E2174" s="58" t="s">
        <v>19736</v>
      </c>
      <c r="F2174" s="58" t="s">
        <v>16436</v>
      </c>
      <c r="H2174" s="58" t="s">
        <v>16437</v>
      </c>
      <c r="I2174" s="58" t="s">
        <v>19737</v>
      </c>
      <c r="K2174" s="73">
        <v>44365.0</v>
      </c>
      <c r="R2174" s="58">
        <v>9.0</v>
      </c>
      <c r="Z2174" s="58" t="s">
        <v>239</v>
      </c>
      <c r="CH2174" s="58" t="s">
        <v>19738</v>
      </c>
      <c r="CI2174" s="73">
        <v>44376.0</v>
      </c>
      <c r="CJ2174" s="58">
        <v>89798.0</v>
      </c>
      <c r="CK2174" s="58">
        <v>89811.0</v>
      </c>
      <c r="CL2174" s="58" t="s">
        <v>19739</v>
      </c>
      <c r="CO2174" s="58" t="s">
        <v>19740</v>
      </c>
      <c r="CP2174" s="58" t="s">
        <v>19741</v>
      </c>
      <c r="CR2174" s="58">
        <v>8.0</v>
      </c>
      <c r="CT2174" s="58">
        <v>58.0</v>
      </c>
      <c r="CU2174" s="58" t="s">
        <v>16423</v>
      </c>
      <c r="DL2174" s="58" t="s">
        <v>19742</v>
      </c>
    </row>
    <row r="2175" ht="15.75" customHeight="1">
      <c r="B2175" s="58" t="s">
        <v>16392</v>
      </c>
      <c r="C2175" s="58">
        <v>2024.0</v>
      </c>
      <c r="D2175" s="58" t="s">
        <v>19743</v>
      </c>
      <c r="E2175" s="58" t="s">
        <v>19744</v>
      </c>
      <c r="F2175" s="58" t="s">
        <v>16493</v>
      </c>
      <c r="H2175" s="58" t="s">
        <v>16494</v>
      </c>
      <c r="I2175" s="58" t="s">
        <v>19745</v>
      </c>
      <c r="K2175" s="73">
        <v>45420.0</v>
      </c>
      <c r="R2175" s="58">
        <v>5.0</v>
      </c>
      <c r="Z2175" s="58" t="s">
        <v>239</v>
      </c>
      <c r="CH2175" s="58" t="s">
        <v>19746</v>
      </c>
      <c r="CI2175" s="73">
        <v>45454.0</v>
      </c>
      <c r="CJ2175" s="58">
        <v>3368.0</v>
      </c>
      <c r="CK2175" s="58">
        <v>3394.0</v>
      </c>
      <c r="CL2175" s="58" t="s">
        <v>19747</v>
      </c>
      <c r="CN2175" s="58" t="s">
        <v>19748</v>
      </c>
      <c r="CO2175" s="58" t="s">
        <v>19749</v>
      </c>
      <c r="CP2175" s="58" t="s">
        <v>19750</v>
      </c>
      <c r="CR2175" s="58">
        <v>8.0</v>
      </c>
      <c r="CT2175" s="58">
        <v>103.0</v>
      </c>
      <c r="CU2175" s="58" t="s">
        <v>16727</v>
      </c>
      <c r="DL2175" s="58" t="s">
        <v>19751</v>
      </c>
    </row>
    <row r="2176" ht="15.75" customHeight="1">
      <c r="B2176" s="58" t="s">
        <v>16392</v>
      </c>
      <c r="C2176" s="58">
        <v>2022.0</v>
      </c>
      <c r="D2176" s="58" t="s">
        <v>19752</v>
      </c>
      <c r="E2176" s="58" t="s">
        <v>19753</v>
      </c>
      <c r="F2176" s="58" t="s">
        <v>16436</v>
      </c>
      <c r="H2176" s="58" t="s">
        <v>16437</v>
      </c>
      <c r="I2176" s="58" t="s">
        <v>19754</v>
      </c>
      <c r="K2176" s="73">
        <v>44847.0</v>
      </c>
      <c r="R2176" s="58">
        <v>10.0</v>
      </c>
      <c r="Z2176" s="58" t="s">
        <v>239</v>
      </c>
      <c r="CH2176" s="58" t="s">
        <v>19755</v>
      </c>
      <c r="CI2176" s="73">
        <v>44855.0</v>
      </c>
      <c r="CJ2176" s="58">
        <v>109663.0</v>
      </c>
      <c r="CK2176" s="58">
        <v>109676.0</v>
      </c>
      <c r="CL2176" s="58" t="s">
        <v>19756</v>
      </c>
      <c r="CN2176" s="58" t="s">
        <v>19757</v>
      </c>
      <c r="CO2176" s="58" t="s">
        <v>19758</v>
      </c>
      <c r="CP2176" s="58" t="s">
        <v>19759</v>
      </c>
      <c r="CR2176" s="58">
        <v>8.0</v>
      </c>
      <c r="CT2176" s="58">
        <v>33.0</v>
      </c>
      <c r="CU2176" s="58" t="s">
        <v>16423</v>
      </c>
      <c r="DL2176" s="58" t="s">
        <v>19760</v>
      </c>
    </row>
    <row r="2177" ht="15.75" customHeight="1">
      <c r="B2177" s="58" t="s">
        <v>16392</v>
      </c>
      <c r="C2177" s="58">
        <v>2024.0</v>
      </c>
      <c r="D2177" s="58" t="s">
        <v>19761</v>
      </c>
      <c r="E2177" s="58" t="s">
        <v>19762</v>
      </c>
      <c r="F2177" s="58" t="s">
        <v>19763</v>
      </c>
      <c r="H2177" s="58" t="s">
        <v>19764</v>
      </c>
      <c r="I2177" s="58" t="s">
        <v>19765</v>
      </c>
      <c r="K2177" s="73">
        <v>45268.0</v>
      </c>
      <c r="Q2177" s="58">
        <v>7.0</v>
      </c>
      <c r="R2177" s="58">
        <v>23.0</v>
      </c>
      <c r="Z2177" s="58" t="s">
        <v>239</v>
      </c>
      <c r="CH2177" s="58" t="s">
        <v>19766</v>
      </c>
      <c r="CI2177" s="73">
        <v>45484.0</v>
      </c>
      <c r="CJ2177" s="58">
        <v>7043.0</v>
      </c>
      <c r="CK2177" s="58">
        <v>7059.0</v>
      </c>
      <c r="CL2177" s="58" t="s">
        <v>19767</v>
      </c>
      <c r="CN2177" s="58" t="s">
        <v>19768</v>
      </c>
      <c r="CO2177" s="58" t="s">
        <v>19769</v>
      </c>
      <c r="CP2177" s="58" t="s">
        <v>19770</v>
      </c>
      <c r="CR2177" s="58">
        <v>8.0</v>
      </c>
      <c r="CT2177" s="58">
        <v>53.0</v>
      </c>
      <c r="CU2177" s="58" t="s">
        <v>239</v>
      </c>
      <c r="DL2177" s="58" t="s">
        <v>19771</v>
      </c>
    </row>
    <row r="2178" ht="15.75" customHeight="1">
      <c r="B2178" s="58" t="s">
        <v>19772</v>
      </c>
      <c r="C2178" s="58">
        <v>2021.0</v>
      </c>
      <c r="D2178" s="58" t="s">
        <v>19773</v>
      </c>
      <c r="E2178" s="58" t="s">
        <v>19774</v>
      </c>
      <c r="F2178" s="58" t="s">
        <v>19775</v>
      </c>
      <c r="H2178" s="58" t="s">
        <v>19776</v>
      </c>
      <c r="I2178" s="58" t="s">
        <v>19777</v>
      </c>
      <c r="K2178" s="73">
        <v>45191.0</v>
      </c>
      <c r="Q2178" s="58">
        <v>2.0</v>
      </c>
      <c r="R2178" s="58">
        <v>9.0</v>
      </c>
      <c r="Z2178" s="58" t="s">
        <v>19778</v>
      </c>
      <c r="CH2178" s="58" t="s">
        <v>19779</v>
      </c>
      <c r="CI2178" s="73">
        <v>45191.0</v>
      </c>
      <c r="CJ2178" s="58">
        <v>159.0</v>
      </c>
      <c r="CK2178" s="58">
        <v>200.0</v>
      </c>
      <c r="CL2178" s="58" t="s">
        <v>19780</v>
      </c>
      <c r="CO2178" s="58" t="s">
        <v>19781</v>
      </c>
      <c r="CP2178" s="58" t="s">
        <v>19782</v>
      </c>
      <c r="CR2178" s="58">
        <v>8.0</v>
      </c>
      <c r="CT2178" s="58">
        <v>24.0</v>
      </c>
      <c r="DL2178" s="58" t="s">
        <v>19783</v>
      </c>
    </row>
    <row r="2179" ht="15.75" customHeight="1">
      <c r="B2179" s="58" t="s">
        <v>16392</v>
      </c>
      <c r="C2179" s="58">
        <v>2023.0</v>
      </c>
      <c r="D2179" s="58" t="s">
        <v>19784</v>
      </c>
      <c r="E2179" s="58" t="s">
        <v>19785</v>
      </c>
      <c r="F2179" s="58" t="s">
        <v>17616</v>
      </c>
      <c r="H2179" s="58" t="s">
        <v>17617</v>
      </c>
      <c r="I2179" s="58" t="s">
        <v>19786</v>
      </c>
      <c r="K2179" s="73">
        <v>44755.0</v>
      </c>
      <c r="Q2179" s="58">
        <v>4.0</v>
      </c>
      <c r="R2179" s="58">
        <v>10.0</v>
      </c>
      <c r="Z2179" s="58" t="s">
        <v>239</v>
      </c>
      <c r="CH2179" s="58" t="s">
        <v>19787</v>
      </c>
      <c r="CI2179" s="73">
        <v>45140.0</v>
      </c>
      <c r="CJ2179" s="58">
        <v>1465.0</v>
      </c>
      <c r="CK2179" s="58">
        <v>1478.0</v>
      </c>
      <c r="CL2179" s="58" t="s">
        <v>19788</v>
      </c>
      <c r="CN2179" s="58" t="s">
        <v>19789</v>
      </c>
      <c r="CO2179" s="58" t="s">
        <v>19790</v>
      </c>
      <c r="CP2179" s="58" t="s">
        <v>19791</v>
      </c>
      <c r="CR2179" s="58">
        <v>8.0</v>
      </c>
      <c r="CT2179" s="58">
        <v>152.0</v>
      </c>
      <c r="CU2179" s="58" t="s">
        <v>239</v>
      </c>
      <c r="DL2179" s="58" t="s">
        <v>19792</v>
      </c>
    </row>
    <row r="2180" ht="15.75" customHeight="1">
      <c r="B2180" s="58" t="s">
        <v>16392</v>
      </c>
      <c r="C2180" s="58">
        <v>2022.0</v>
      </c>
      <c r="D2180" s="58" t="s">
        <v>19793</v>
      </c>
      <c r="E2180" s="58" t="s">
        <v>19794</v>
      </c>
      <c r="F2180" s="58" t="s">
        <v>17136</v>
      </c>
      <c r="H2180" s="58" t="s">
        <v>17137</v>
      </c>
      <c r="I2180" s="58" t="s">
        <v>19795</v>
      </c>
      <c r="K2180" s="73">
        <v>44245.0</v>
      </c>
      <c r="Q2180" s="58">
        <v>10.0</v>
      </c>
      <c r="R2180" s="58">
        <v>21.0</v>
      </c>
      <c r="Z2180" s="58" t="s">
        <v>239</v>
      </c>
      <c r="CH2180" s="58" t="s">
        <v>19796</v>
      </c>
      <c r="CI2180" s="73">
        <v>44804.0</v>
      </c>
      <c r="CJ2180" s="58">
        <v>3656.0</v>
      </c>
      <c r="CK2180" s="58">
        <v>3669.0</v>
      </c>
      <c r="CL2180" s="58" t="s">
        <v>19797</v>
      </c>
      <c r="CN2180" s="58" t="s">
        <v>19798</v>
      </c>
      <c r="CO2180" s="58" t="s">
        <v>19799</v>
      </c>
      <c r="CP2180" s="58" t="s">
        <v>19800</v>
      </c>
      <c r="CR2180" s="58">
        <v>7.0</v>
      </c>
      <c r="CT2180" s="58">
        <v>29.0</v>
      </c>
      <c r="CU2180" s="58" t="s">
        <v>239</v>
      </c>
      <c r="DL2180" s="58" t="s">
        <v>19801</v>
      </c>
    </row>
    <row r="2181" ht="15.75" customHeight="1">
      <c r="B2181" s="58" t="s">
        <v>16392</v>
      </c>
      <c r="C2181" s="58">
        <v>2022.0</v>
      </c>
      <c r="D2181" s="58" t="s">
        <v>19802</v>
      </c>
      <c r="E2181" s="58" t="s">
        <v>19803</v>
      </c>
      <c r="F2181" s="58" t="s">
        <v>17438</v>
      </c>
      <c r="H2181" s="58" t="s">
        <v>17439</v>
      </c>
      <c r="I2181" s="58" t="s">
        <v>19804</v>
      </c>
      <c r="K2181" s="73">
        <v>44166.0</v>
      </c>
      <c r="Q2181" s="58">
        <v>4.0</v>
      </c>
      <c r="R2181" s="58">
        <v>10.0</v>
      </c>
      <c r="Z2181" s="58" t="s">
        <v>239</v>
      </c>
      <c r="CH2181" s="58" t="s">
        <v>19805</v>
      </c>
      <c r="CI2181" s="73">
        <v>44900.0</v>
      </c>
      <c r="CJ2181" s="58">
        <v>2664.0</v>
      </c>
      <c r="CK2181" s="58">
        <v>2678.0</v>
      </c>
      <c r="CL2181" s="58" t="s">
        <v>19806</v>
      </c>
      <c r="CN2181" s="58" t="s">
        <v>19807</v>
      </c>
      <c r="CO2181" s="58" t="s">
        <v>19808</v>
      </c>
      <c r="CP2181" s="58" t="s">
        <v>19809</v>
      </c>
      <c r="CR2181" s="58">
        <v>7.0</v>
      </c>
      <c r="CT2181" s="58">
        <v>31.0</v>
      </c>
      <c r="CU2181" s="58" t="s">
        <v>239</v>
      </c>
      <c r="DL2181" s="58" t="s">
        <v>19810</v>
      </c>
    </row>
    <row r="2182" ht="15.75" customHeight="1">
      <c r="B2182" s="58" t="s">
        <v>16392</v>
      </c>
      <c r="C2182" s="58">
        <v>2022.0</v>
      </c>
      <c r="D2182" s="58" t="s">
        <v>19811</v>
      </c>
      <c r="E2182" s="58" t="s">
        <v>19812</v>
      </c>
      <c r="F2182" s="58" t="s">
        <v>16613</v>
      </c>
      <c r="H2182" s="58" t="s">
        <v>16614</v>
      </c>
      <c r="I2182" s="58" t="s">
        <v>19813</v>
      </c>
      <c r="K2182" s="73">
        <v>44309.0</v>
      </c>
      <c r="Q2182" s="58">
        <v>5.0</v>
      </c>
      <c r="R2182" s="58">
        <v>15.0</v>
      </c>
      <c r="Z2182" s="58" t="s">
        <v>239</v>
      </c>
      <c r="CH2182" s="58" t="s">
        <v>19814</v>
      </c>
      <c r="CI2182" s="73">
        <v>44840.0</v>
      </c>
      <c r="CJ2182" s="58">
        <v>2713.0</v>
      </c>
      <c r="CK2182" s="58">
        <v>2727.0</v>
      </c>
      <c r="CL2182" s="58" t="s">
        <v>19815</v>
      </c>
      <c r="CN2182" s="58" t="s">
        <v>19816</v>
      </c>
      <c r="CO2182" s="58" t="s">
        <v>19817</v>
      </c>
      <c r="CR2182" s="58">
        <v>7.0</v>
      </c>
      <c r="CT2182" s="58">
        <v>48.0</v>
      </c>
      <c r="CU2182" s="58" t="s">
        <v>16423</v>
      </c>
      <c r="DL2182" s="58" t="s">
        <v>19818</v>
      </c>
    </row>
    <row r="2183" ht="15.75" customHeight="1">
      <c r="B2183" s="58" t="s">
        <v>16392</v>
      </c>
      <c r="C2183" s="58">
        <v>2023.0</v>
      </c>
      <c r="D2183" s="58" t="s">
        <v>19819</v>
      </c>
      <c r="E2183" s="58" t="s">
        <v>19820</v>
      </c>
      <c r="F2183" s="58" t="s">
        <v>17051</v>
      </c>
      <c r="H2183" s="58" t="s">
        <v>17052</v>
      </c>
      <c r="I2183" s="58" t="s">
        <v>19821</v>
      </c>
      <c r="K2183" s="73">
        <v>45061.0</v>
      </c>
      <c r="Q2183" s="58">
        <v>12.0</v>
      </c>
      <c r="R2183" s="58">
        <v>23.0</v>
      </c>
      <c r="Z2183" s="58" t="s">
        <v>239</v>
      </c>
      <c r="CH2183" s="58" t="s">
        <v>19822</v>
      </c>
      <c r="CI2183" s="73">
        <v>45091.0</v>
      </c>
      <c r="CJ2183" s="58">
        <v>13648.0</v>
      </c>
      <c r="CK2183" s="58">
        <v>13658.0</v>
      </c>
      <c r="CL2183" s="58" t="s">
        <v>19823</v>
      </c>
      <c r="CN2183" s="58" t="s">
        <v>19824</v>
      </c>
      <c r="CO2183" s="58" t="s">
        <v>19825</v>
      </c>
      <c r="CP2183" s="58" t="s">
        <v>19826</v>
      </c>
      <c r="CR2183" s="58">
        <v>7.0</v>
      </c>
      <c r="CT2183" s="58">
        <v>28.0</v>
      </c>
      <c r="CU2183" s="58" t="s">
        <v>239</v>
      </c>
      <c r="DL2183" s="58" t="s">
        <v>19827</v>
      </c>
    </row>
    <row r="2184" ht="15.75" customHeight="1">
      <c r="B2184" s="58" t="s">
        <v>16392</v>
      </c>
      <c r="C2184" s="58">
        <v>2024.0</v>
      </c>
      <c r="D2184" s="58" t="s">
        <v>19828</v>
      </c>
      <c r="E2184" s="58" t="s">
        <v>19829</v>
      </c>
      <c r="F2184" s="58" t="s">
        <v>16436</v>
      </c>
      <c r="H2184" s="58" t="s">
        <v>16437</v>
      </c>
      <c r="I2184" s="58" t="s">
        <v>19830</v>
      </c>
      <c r="K2184" s="73">
        <v>45405.0</v>
      </c>
      <c r="R2184" s="58">
        <v>12.0</v>
      </c>
      <c r="Z2184" s="58" t="s">
        <v>239</v>
      </c>
      <c r="CH2184" s="58" t="s">
        <v>19831</v>
      </c>
      <c r="CI2184" s="73">
        <v>45443.0</v>
      </c>
      <c r="CJ2184" s="58">
        <v>75657.0</v>
      </c>
      <c r="CK2184" s="58">
        <v>75677.0</v>
      </c>
      <c r="CL2184" s="58" t="s">
        <v>19832</v>
      </c>
      <c r="CO2184" s="58" t="s">
        <v>19833</v>
      </c>
      <c r="CP2184" s="58" t="s">
        <v>19834</v>
      </c>
      <c r="CR2184" s="58">
        <v>7.0</v>
      </c>
      <c r="CT2184" s="58">
        <v>107.0</v>
      </c>
      <c r="CU2184" s="58" t="s">
        <v>16727</v>
      </c>
      <c r="DL2184" s="58" t="s">
        <v>19835</v>
      </c>
    </row>
    <row r="2185" ht="15.75" customHeight="1">
      <c r="B2185" s="58" t="s">
        <v>16392</v>
      </c>
      <c r="C2185" s="58">
        <v>2024.0</v>
      </c>
      <c r="D2185" s="58" t="s">
        <v>19836</v>
      </c>
      <c r="E2185" s="58" t="s">
        <v>19837</v>
      </c>
      <c r="F2185" s="58" t="s">
        <v>16923</v>
      </c>
      <c r="H2185" s="58" t="s">
        <v>16924</v>
      </c>
      <c r="I2185" s="58" t="s">
        <v>19838</v>
      </c>
      <c r="K2185" s="73">
        <v>45258.0</v>
      </c>
      <c r="Q2185" s="58">
        <v>2.0</v>
      </c>
      <c r="R2185" s="58">
        <v>42.0</v>
      </c>
      <c r="Z2185" s="58" t="s">
        <v>239</v>
      </c>
      <c r="CH2185" s="58" t="s">
        <v>19839</v>
      </c>
      <c r="CI2185" s="73">
        <v>45307.0</v>
      </c>
      <c r="CJ2185" s="58">
        <v>487.0</v>
      </c>
      <c r="CK2185" s="58">
        <v>505.0</v>
      </c>
      <c r="CL2185" s="58" t="s">
        <v>19840</v>
      </c>
      <c r="CO2185" s="58" t="s">
        <v>19841</v>
      </c>
      <c r="CP2185" s="58" t="s">
        <v>19842</v>
      </c>
      <c r="CR2185" s="58">
        <v>7.0</v>
      </c>
      <c r="CT2185" s="58">
        <v>47.0</v>
      </c>
      <c r="CU2185" s="58" t="s">
        <v>239</v>
      </c>
      <c r="DL2185" s="58" t="s">
        <v>19843</v>
      </c>
    </row>
    <row r="2186" ht="15.75" customHeight="1">
      <c r="B2186" s="58" t="s">
        <v>16392</v>
      </c>
      <c r="C2186" s="58">
        <v>2024.0</v>
      </c>
      <c r="D2186" s="58" t="s">
        <v>19844</v>
      </c>
      <c r="E2186" s="58" t="s">
        <v>19845</v>
      </c>
      <c r="F2186" s="58" t="s">
        <v>16395</v>
      </c>
      <c r="H2186" s="58" t="s">
        <v>16396</v>
      </c>
      <c r="I2186" s="58" t="s">
        <v>19846</v>
      </c>
      <c r="K2186" s="73">
        <v>45352.0</v>
      </c>
      <c r="Q2186" s="58">
        <v>4.0</v>
      </c>
      <c r="R2186" s="58">
        <v>26.0</v>
      </c>
      <c r="Z2186" s="58" t="s">
        <v>239</v>
      </c>
      <c r="CH2186" s="58" t="s">
        <v>19847</v>
      </c>
      <c r="CI2186" s="73">
        <v>45617.0</v>
      </c>
      <c r="CJ2186" s="58">
        <v>2867.0</v>
      </c>
      <c r="CK2186" s="58">
        <v>2913.0</v>
      </c>
      <c r="CL2186" s="58" t="s">
        <v>19848</v>
      </c>
      <c r="CO2186" s="58" t="s">
        <v>19849</v>
      </c>
      <c r="CP2186" s="58" t="s">
        <v>19850</v>
      </c>
      <c r="CR2186" s="58">
        <v>7.0</v>
      </c>
      <c r="CT2186" s="58">
        <v>469.0</v>
      </c>
      <c r="CU2186" s="58" t="s">
        <v>16423</v>
      </c>
      <c r="DL2186" s="58" t="s">
        <v>19851</v>
      </c>
    </row>
    <row r="2187" ht="15.75" customHeight="1">
      <c r="B2187" s="58" t="s">
        <v>16392</v>
      </c>
      <c r="C2187" s="58">
        <v>2022.0</v>
      </c>
      <c r="D2187" s="58" t="s">
        <v>19852</v>
      </c>
      <c r="E2187" s="58" t="s">
        <v>19853</v>
      </c>
      <c r="F2187" s="58" t="s">
        <v>16436</v>
      </c>
      <c r="H2187" s="58" t="s">
        <v>16437</v>
      </c>
      <c r="I2187" s="58" t="s">
        <v>19854</v>
      </c>
      <c r="K2187" s="73">
        <v>44826.0</v>
      </c>
      <c r="R2187" s="58">
        <v>10.0</v>
      </c>
      <c r="Z2187" s="58" t="s">
        <v>239</v>
      </c>
      <c r="CH2187" s="58" t="s">
        <v>19855</v>
      </c>
      <c r="CI2187" s="73">
        <v>44837.0</v>
      </c>
      <c r="CJ2187" s="58">
        <v>102223.0</v>
      </c>
      <c r="CK2187" s="58">
        <v>102236.0</v>
      </c>
      <c r="CL2187" s="58" t="s">
        <v>19856</v>
      </c>
      <c r="CN2187" s="58" t="s">
        <v>19857</v>
      </c>
      <c r="CO2187" s="58" t="s">
        <v>19858</v>
      </c>
      <c r="CP2187" s="58" t="s">
        <v>19859</v>
      </c>
      <c r="CR2187" s="58">
        <v>7.0</v>
      </c>
      <c r="CT2187" s="58">
        <v>28.0</v>
      </c>
      <c r="CU2187" s="58" t="s">
        <v>16423</v>
      </c>
      <c r="DL2187" s="58" t="s">
        <v>19860</v>
      </c>
    </row>
    <row r="2188" ht="15.75" customHeight="1">
      <c r="B2188" s="58" t="s">
        <v>16392</v>
      </c>
      <c r="C2188" s="58">
        <v>2022.0</v>
      </c>
      <c r="D2188" s="58" t="s">
        <v>19861</v>
      </c>
      <c r="E2188" s="58" t="s">
        <v>19862</v>
      </c>
      <c r="F2188" s="58" t="s">
        <v>16436</v>
      </c>
      <c r="H2188" s="58" t="s">
        <v>16437</v>
      </c>
      <c r="I2188" s="58" t="s">
        <v>19863</v>
      </c>
      <c r="K2188" s="73">
        <v>44601.0</v>
      </c>
      <c r="R2188" s="58">
        <v>10.0</v>
      </c>
      <c r="Z2188" s="58" t="s">
        <v>239</v>
      </c>
      <c r="CH2188" s="58" t="s">
        <v>19864</v>
      </c>
      <c r="CI2188" s="73">
        <v>44607.0</v>
      </c>
      <c r="CJ2188" s="58">
        <v>16408.0</v>
      </c>
      <c r="CK2188" s="58">
        <v>16423.0</v>
      </c>
      <c r="CL2188" s="58" t="s">
        <v>19865</v>
      </c>
      <c r="CN2188" s="58" t="s">
        <v>19866</v>
      </c>
      <c r="CO2188" s="58" t="s">
        <v>19867</v>
      </c>
      <c r="CP2188" s="58" t="s">
        <v>19868</v>
      </c>
      <c r="CR2188" s="58">
        <v>7.0</v>
      </c>
      <c r="CT2188" s="58">
        <v>37.0</v>
      </c>
      <c r="CU2188" s="58" t="s">
        <v>16423</v>
      </c>
      <c r="DL2188" s="58" t="s">
        <v>19869</v>
      </c>
    </row>
    <row r="2189" ht="15.75" customHeight="1">
      <c r="B2189" s="58" t="s">
        <v>16392</v>
      </c>
      <c r="C2189" s="58">
        <v>2023.0</v>
      </c>
      <c r="D2189" s="58" t="s">
        <v>19870</v>
      </c>
      <c r="E2189" s="58" t="s">
        <v>19871</v>
      </c>
      <c r="F2189" s="58" t="s">
        <v>17438</v>
      </c>
      <c r="H2189" s="58" t="s">
        <v>17439</v>
      </c>
      <c r="I2189" s="58" t="s">
        <v>19872</v>
      </c>
      <c r="K2189" s="73">
        <v>44545.0</v>
      </c>
      <c r="Q2189" s="58">
        <v>2.0</v>
      </c>
      <c r="R2189" s="58">
        <v>11.0</v>
      </c>
      <c r="Z2189" s="58" t="s">
        <v>239</v>
      </c>
      <c r="CH2189" s="58" t="s">
        <v>19873</v>
      </c>
      <c r="CI2189" s="73">
        <v>45083.0</v>
      </c>
      <c r="CJ2189" s="58">
        <v>1395.0</v>
      </c>
      <c r="CK2189" s="58">
        <v>1413.0</v>
      </c>
      <c r="CL2189" s="58" t="s">
        <v>19874</v>
      </c>
      <c r="CN2189" s="58" t="s">
        <v>19875</v>
      </c>
      <c r="CO2189" s="58" t="s">
        <v>19876</v>
      </c>
      <c r="CP2189" s="58" t="s">
        <v>19877</v>
      </c>
      <c r="CR2189" s="58">
        <v>7.0</v>
      </c>
      <c r="CT2189" s="58">
        <v>55.0</v>
      </c>
      <c r="CU2189" s="58" t="s">
        <v>16423</v>
      </c>
      <c r="DL2189" s="58" t="s">
        <v>19878</v>
      </c>
    </row>
    <row r="2190" ht="15.75" customHeight="1">
      <c r="B2190" s="58" t="s">
        <v>16392</v>
      </c>
      <c r="C2190" s="58">
        <v>2022.0</v>
      </c>
      <c r="D2190" s="58" t="s">
        <v>19879</v>
      </c>
      <c r="E2190" s="58" t="s">
        <v>19880</v>
      </c>
      <c r="F2190" s="58" t="s">
        <v>19881</v>
      </c>
      <c r="H2190" s="58" t="s">
        <v>19882</v>
      </c>
      <c r="I2190" s="58" t="s">
        <v>19883</v>
      </c>
      <c r="K2190" s="73">
        <v>44676.0</v>
      </c>
      <c r="Q2190" s="58">
        <v>2.0</v>
      </c>
      <c r="R2190" s="58">
        <v>50.0</v>
      </c>
      <c r="Z2190" s="58" t="s">
        <v>239</v>
      </c>
      <c r="CH2190" s="58" t="s">
        <v>19884</v>
      </c>
      <c r="CI2190" s="73">
        <v>44768.0</v>
      </c>
      <c r="CJ2190" s="58">
        <v>173.0</v>
      </c>
      <c r="CK2190" s="58">
        <v>188.0</v>
      </c>
      <c r="CL2190" s="58" t="s">
        <v>19885</v>
      </c>
      <c r="CO2190" s="58" t="s">
        <v>19886</v>
      </c>
      <c r="CP2190" s="58" t="s">
        <v>19887</v>
      </c>
      <c r="CR2190" s="58">
        <v>7.0</v>
      </c>
      <c r="CT2190" s="58">
        <v>88.0</v>
      </c>
      <c r="CU2190" s="58" t="s">
        <v>239</v>
      </c>
      <c r="DL2190" s="58" t="s">
        <v>19888</v>
      </c>
    </row>
    <row r="2191" ht="15.75" customHeight="1">
      <c r="B2191" s="58" t="s">
        <v>16392</v>
      </c>
      <c r="C2191" s="58">
        <v>2023.0</v>
      </c>
      <c r="D2191" s="58" t="s">
        <v>19889</v>
      </c>
      <c r="E2191" s="58" t="s">
        <v>19890</v>
      </c>
      <c r="F2191" s="58" t="s">
        <v>16538</v>
      </c>
      <c r="H2191" s="58" t="s">
        <v>16539</v>
      </c>
      <c r="I2191" s="58" t="s">
        <v>19891</v>
      </c>
      <c r="K2191" s="73">
        <v>44971.0</v>
      </c>
      <c r="Q2191" s="58">
        <v>13.0</v>
      </c>
      <c r="R2191" s="58">
        <v>10.0</v>
      </c>
      <c r="Z2191" s="58" t="s">
        <v>239</v>
      </c>
      <c r="CH2191" s="58" t="s">
        <v>19892</v>
      </c>
      <c r="CI2191" s="73">
        <v>45099.0</v>
      </c>
      <c r="CJ2191" s="58">
        <v>11813.0</v>
      </c>
      <c r="CK2191" s="58">
        <v>11824.0</v>
      </c>
      <c r="CL2191" s="58" t="s">
        <v>19893</v>
      </c>
      <c r="CN2191" s="58" t="s">
        <v>19894</v>
      </c>
      <c r="CO2191" s="58" t="s">
        <v>19895</v>
      </c>
      <c r="CP2191" s="58" t="s">
        <v>19896</v>
      </c>
      <c r="CR2191" s="58">
        <v>7.0</v>
      </c>
      <c r="CT2191" s="58">
        <v>45.0</v>
      </c>
      <c r="CU2191" s="58" t="s">
        <v>239</v>
      </c>
      <c r="DL2191" s="58" t="s">
        <v>19897</v>
      </c>
    </row>
    <row r="2192" ht="15.75" customHeight="1">
      <c r="B2192" s="58" t="s">
        <v>19898</v>
      </c>
      <c r="C2192" s="58">
        <v>2024.0</v>
      </c>
      <c r="D2192" s="58" t="s">
        <v>19899</v>
      </c>
      <c r="E2192" s="58" t="s">
        <v>19900</v>
      </c>
      <c r="F2192" s="58" t="s">
        <v>19901</v>
      </c>
      <c r="H2192" s="58" t="s">
        <v>19902</v>
      </c>
      <c r="I2192" s="58" t="s">
        <v>19903</v>
      </c>
      <c r="K2192" s="73">
        <v>45264.0</v>
      </c>
      <c r="Q2192" s="58">
        <v>3.0</v>
      </c>
      <c r="R2192" s="58">
        <v>29.0</v>
      </c>
      <c r="Z2192" s="58" t="s">
        <v>19904</v>
      </c>
      <c r="CH2192" s="58" t="s">
        <v>19905</v>
      </c>
      <c r="CI2192" s="73">
        <v>45264.0</v>
      </c>
      <c r="CJ2192" s="58">
        <v>818.0</v>
      </c>
      <c r="CK2192" s="58">
        <v>842.0</v>
      </c>
      <c r="CL2192" s="58" t="s">
        <v>19906</v>
      </c>
      <c r="CO2192" s="58" t="s">
        <v>19907</v>
      </c>
      <c r="CP2192" s="58" t="s">
        <v>19908</v>
      </c>
      <c r="CR2192" s="58">
        <v>7.0</v>
      </c>
      <c r="CT2192" s="58">
        <v>134.0</v>
      </c>
      <c r="DL2192" s="58" t="s">
        <v>19909</v>
      </c>
    </row>
    <row r="2193" ht="15.75" customHeight="1">
      <c r="B2193" s="58" t="s">
        <v>16392</v>
      </c>
      <c r="C2193" s="58">
        <v>2022.0</v>
      </c>
      <c r="D2193" s="58" t="s">
        <v>19910</v>
      </c>
      <c r="E2193" s="58" t="s">
        <v>19911</v>
      </c>
      <c r="F2193" s="58" t="s">
        <v>16493</v>
      </c>
      <c r="H2193" s="58" t="s">
        <v>16494</v>
      </c>
      <c r="I2193" s="58" t="s">
        <v>19912</v>
      </c>
      <c r="K2193" s="73">
        <v>44602.0</v>
      </c>
      <c r="R2193" s="58">
        <v>3.0</v>
      </c>
      <c r="Z2193" s="58" t="s">
        <v>239</v>
      </c>
      <c r="CH2193" s="58" t="s">
        <v>19913</v>
      </c>
      <c r="CI2193" s="73">
        <v>44620.0</v>
      </c>
      <c r="CJ2193" s="58">
        <v>301.0</v>
      </c>
      <c r="CK2193" s="58">
        <v>321.0</v>
      </c>
      <c r="CL2193" s="58" t="s">
        <v>19914</v>
      </c>
      <c r="CN2193" s="58" t="s">
        <v>19915</v>
      </c>
      <c r="CO2193" s="58" t="s">
        <v>19916</v>
      </c>
      <c r="CP2193" s="58" t="s">
        <v>19917</v>
      </c>
      <c r="CR2193" s="58">
        <v>7.0</v>
      </c>
      <c r="CT2193" s="58">
        <v>54.0</v>
      </c>
      <c r="CU2193" s="58" t="s">
        <v>16423</v>
      </c>
      <c r="DL2193" s="58" t="s">
        <v>19918</v>
      </c>
    </row>
    <row r="2194" ht="15.75" customHeight="1">
      <c r="B2194" s="58" t="s">
        <v>16392</v>
      </c>
      <c r="C2194" s="58">
        <v>2024.0</v>
      </c>
      <c r="D2194" s="58" t="s">
        <v>19919</v>
      </c>
      <c r="E2194" s="58" t="s">
        <v>19920</v>
      </c>
      <c r="F2194" s="58" t="s">
        <v>16395</v>
      </c>
      <c r="H2194" s="58" t="s">
        <v>16396</v>
      </c>
      <c r="I2194" s="58" t="s">
        <v>19921</v>
      </c>
      <c r="K2194" s="73">
        <v>45352.0</v>
      </c>
      <c r="Q2194" s="58">
        <v>3.0</v>
      </c>
      <c r="R2194" s="58">
        <v>26.0</v>
      </c>
      <c r="Z2194" s="58" t="s">
        <v>239</v>
      </c>
      <c r="CH2194" s="58" t="s">
        <v>19922</v>
      </c>
      <c r="CI2194" s="73">
        <v>45526.0</v>
      </c>
      <c r="CJ2194" s="58">
        <v>1989.0</v>
      </c>
      <c r="CK2194" s="58">
        <v>2047.0</v>
      </c>
      <c r="CL2194" s="58" t="s">
        <v>19923</v>
      </c>
      <c r="CN2194" s="58" t="s">
        <v>19924</v>
      </c>
      <c r="CO2194" s="58" t="s">
        <v>19925</v>
      </c>
      <c r="CP2194" s="58" t="s">
        <v>19926</v>
      </c>
      <c r="CR2194" s="58">
        <v>7.0</v>
      </c>
      <c r="CT2194" s="58">
        <v>407.0</v>
      </c>
      <c r="CU2194" s="58" t="s">
        <v>239</v>
      </c>
      <c r="DL2194" s="58" t="s">
        <v>19927</v>
      </c>
    </row>
    <row r="2195" ht="15.75" customHeight="1">
      <c r="B2195" s="58" t="s">
        <v>16392</v>
      </c>
      <c r="C2195" s="58">
        <v>2019.0</v>
      </c>
      <c r="D2195" s="58" t="s">
        <v>19928</v>
      </c>
      <c r="E2195" s="58" t="s">
        <v>19929</v>
      </c>
      <c r="F2195" s="58" t="s">
        <v>16415</v>
      </c>
      <c r="H2195" s="58" t="s">
        <v>16416</v>
      </c>
      <c r="I2195" s="58" t="s">
        <v>19930</v>
      </c>
      <c r="K2195" s="73">
        <v>43668.0</v>
      </c>
      <c r="Q2195" s="58">
        <v>8.0</v>
      </c>
      <c r="R2195" s="58">
        <v>107.0</v>
      </c>
      <c r="Z2195" s="58" t="s">
        <v>239</v>
      </c>
      <c r="CH2195" s="58" t="s">
        <v>19931</v>
      </c>
      <c r="CI2195" s="73">
        <v>43683.0</v>
      </c>
      <c r="CJ2195" s="58">
        <v>1563.0</v>
      </c>
      <c r="CK2195" s="58">
        <v>1583.0</v>
      </c>
      <c r="CL2195" s="58" t="s">
        <v>19932</v>
      </c>
      <c r="CN2195" s="58" t="s">
        <v>19933</v>
      </c>
      <c r="CO2195" s="58" t="s">
        <v>19934</v>
      </c>
      <c r="CP2195" s="58" t="s">
        <v>19935</v>
      </c>
      <c r="CR2195" s="58">
        <v>7.0</v>
      </c>
      <c r="CT2195" s="58">
        <v>35.0</v>
      </c>
      <c r="CU2195" s="58" t="s">
        <v>239</v>
      </c>
      <c r="DL2195" s="58" t="s">
        <v>19936</v>
      </c>
    </row>
    <row r="2196" ht="15.75" customHeight="1">
      <c r="B2196" s="58" t="s">
        <v>16392</v>
      </c>
      <c r="C2196" s="58">
        <v>2018.0</v>
      </c>
      <c r="D2196" s="58" t="s">
        <v>19937</v>
      </c>
      <c r="E2196" s="58" t="s">
        <v>19938</v>
      </c>
      <c r="F2196" s="58" t="s">
        <v>16436</v>
      </c>
      <c r="H2196" s="58" t="s">
        <v>16437</v>
      </c>
      <c r="I2196" s="58" t="s">
        <v>19939</v>
      </c>
      <c r="K2196" s="73">
        <v>43290.0</v>
      </c>
      <c r="R2196" s="58">
        <v>6.0</v>
      </c>
      <c r="Z2196" s="58" t="s">
        <v>239</v>
      </c>
      <c r="CH2196" s="58" t="s">
        <v>19940</v>
      </c>
      <c r="CI2196" s="73">
        <v>43311.0</v>
      </c>
      <c r="CJ2196" s="58">
        <v>38026.0</v>
      </c>
      <c r="CK2196" s="58">
        <v>38040.0</v>
      </c>
      <c r="CL2196" s="58" t="s">
        <v>19941</v>
      </c>
      <c r="CN2196" s="58" t="s">
        <v>19942</v>
      </c>
      <c r="CO2196" s="58" t="s">
        <v>19943</v>
      </c>
      <c r="CP2196" s="58" t="s">
        <v>19944</v>
      </c>
      <c r="CR2196" s="58">
        <v>6.0</v>
      </c>
      <c r="CT2196" s="58">
        <v>54.0</v>
      </c>
      <c r="CU2196" s="58" t="s">
        <v>16444</v>
      </c>
      <c r="DL2196" s="58" t="s">
        <v>19945</v>
      </c>
    </row>
    <row r="2197" ht="15.75" customHeight="1">
      <c r="B2197" s="58" t="s">
        <v>16392</v>
      </c>
      <c r="C2197" s="58">
        <v>2020.0</v>
      </c>
      <c r="D2197" s="58" t="s">
        <v>19946</v>
      </c>
      <c r="E2197" s="58" t="s">
        <v>19947</v>
      </c>
      <c r="F2197" s="58" t="s">
        <v>16436</v>
      </c>
      <c r="H2197" s="58" t="s">
        <v>16437</v>
      </c>
      <c r="I2197" s="58" t="s">
        <v>19948</v>
      </c>
      <c r="K2197" s="73">
        <v>44092.0</v>
      </c>
      <c r="R2197" s="58">
        <v>8.0</v>
      </c>
      <c r="Z2197" s="58" t="s">
        <v>239</v>
      </c>
      <c r="CH2197" s="58" t="s">
        <v>19949</v>
      </c>
      <c r="CI2197" s="73">
        <v>44106.0</v>
      </c>
      <c r="CJ2197" s="58">
        <v>175070.0</v>
      </c>
      <c r="CK2197" s="58">
        <v>175085.0</v>
      </c>
      <c r="CL2197" s="58" t="s">
        <v>19950</v>
      </c>
      <c r="CN2197" s="58" t="s">
        <v>19951</v>
      </c>
      <c r="CO2197" s="58" t="s">
        <v>19952</v>
      </c>
      <c r="CP2197" s="58" t="s">
        <v>19953</v>
      </c>
      <c r="CR2197" s="58">
        <v>6.0</v>
      </c>
      <c r="CT2197" s="58">
        <v>58.0</v>
      </c>
      <c r="CU2197" s="58" t="s">
        <v>16423</v>
      </c>
      <c r="DL2197" s="58" t="s">
        <v>19954</v>
      </c>
    </row>
    <row r="2198" ht="15.75" customHeight="1">
      <c r="B2198" s="58" t="s">
        <v>16392</v>
      </c>
      <c r="C2198" s="58">
        <v>2022.0</v>
      </c>
      <c r="D2198" s="58" t="s">
        <v>19955</v>
      </c>
      <c r="E2198" s="58" t="s">
        <v>19956</v>
      </c>
      <c r="F2198" s="58" t="s">
        <v>16436</v>
      </c>
      <c r="H2198" s="58" t="s">
        <v>16437</v>
      </c>
      <c r="I2198" s="58" t="s">
        <v>19957</v>
      </c>
      <c r="K2198" s="73">
        <v>44886.0</v>
      </c>
      <c r="R2198" s="58">
        <v>10.0</v>
      </c>
      <c r="Z2198" s="58" t="s">
        <v>239</v>
      </c>
      <c r="CH2198" s="58" t="s">
        <v>19958</v>
      </c>
      <c r="CI2198" s="73">
        <v>44894.0</v>
      </c>
      <c r="CJ2198" s="58">
        <v>122431.0</v>
      </c>
      <c r="CK2198" s="58">
        <v>122446.0</v>
      </c>
      <c r="CL2198" s="58" t="s">
        <v>19959</v>
      </c>
      <c r="CO2198" s="58" t="s">
        <v>19960</v>
      </c>
      <c r="CP2198" s="58" t="s">
        <v>19961</v>
      </c>
      <c r="CR2198" s="58">
        <v>6.0</v>
      </c>
      <c r="CT2198" s="58">
        <v>97.0</v>
      </c>
      <c r="CU2198" s="58" t="s">
        <v>16423</v>
      </c>
      <c r="DL2198" s="58" t="s">
        <v>19962</v>
      </c>
    </row>
    <row r="2199" ht="15.75" customHeight="1">
      <c r="B2199" s="58" t="s">
        <v>16392</v>
      </c>
      <c r="C2199" s="58">
        <v>2022.0</v>
      </c>
      <c r="D2199" s="58" t="s">
        <v>19963</v>
      </c>
      <c r="E2199" s="58" t="s">
        <v>19964</v>
      </c>
      <c r="F2199" s="58" t="s">
        <v>17164</v>
      </c>
      <c r="H2199" s="58" t="s">
        <v>17165</v>
      </c>
      <c r="I2199" s="58" t="s">
        <v>19965</v>
      </c>
      <c r="K2199" s="73">
        <v>44396.0</v>
      </c>
      <c r="Q2199" s="58">
        <v>3.0</v>
      </c>
      <c r="R2199" s="58">
        <v>33.0</v>
      </c>
      <c r="Z2199" s="58" t="s">
        <v>239</v>
      </c>
      <c r="CH2199" s="58" t="s">
        <v>19966</v>
      </c>
      <c r="CI2199" s="73">
        <v>44420.0</v>
      </c>
      <c r="CJ2199" s="58">
        <v>617.0</v>
      </c>
      <c r="CK2199" s="58">
        <v>629.0</v>
      </c>
      <c r="CL2199" s="58" t="s">
        <v>19967</v>
      </c>
      <c r="CN2199" s="58" t="s">
        <v>19968</v>
      </c>
      <c r="CO2199" s="58" t="s">
        <v>19969</v>
      </c>
      <c r="CP2199" s="58" t="s">
        <v>19970</v>
      </c>
      <c r="CR2199" s="58">
        <v>6.0</v>
      </c>
      <c r="CT2199" s="58">
        <v>41.0</v>
      </c>
      <c r="CU2199" s="58" t="s">
        <v>239</v>
      </c>
      <c r="DL2199" s="58" t="s">
        <v>19971</v>
      </c>
    </row>
    <row r="2200" ht="15.75" customHeight="1">
      <c r="B2200" s="58" t="s">
        <v>16392</v>
      </c>
      <c r="C2200" s="58">
        <v>2024.0</v>
      </c>
      <c r="D2200" s="58" t="s">
        <v>16434</v>
      </c>
      <c r="E2200" s="58" t="s">
        <v>19972</v>
      </c>
      <c r="F2200" s="58" t="s">
        <v>16436</v>
      </c>
      <c r="H2200" s="58" t="s">
        <v>16437</v>
      </c>
      <c r="I2200" s="58" t="s">
        <v>19973</v>
      </c>
      <c r="K2200" s="73">
        <v>45484.0</v>
      </c>
      <c r="R2200" s="58">
        <v>12.0</v>
      </c>
      <c r="Z2200" s="58" t="s">
        <v>239</v>
      </c>
      <c r="CH2200" s="58" t="s">
        <v>19974</v>
      </c>
      <c r="CI2200" s="73">
        <v>45492.0</v>
      </c>
      <c r="CJ2200" s="58">
        <v>95778.0</v>
      </c>
      <c r="CK2200" s="58">
        <v>95819.0</v>
      </c>
      <c r="CL2200" s="58" t="s">
        <v>19975</v>
      </c>
      <c r="CN2200" s="58" t="s">
        <v>19976</v>
      </c>
      <c r="CO2200" s="58" t="s">
        <v>19977</v>
      </c>
      <c r="CP2200" s="58" t="s">
        <v>19978</v>
      </c>
      <c r="CR2200" s="58">
        <v>6.0</v>
      </c>
      <c r="CT2200" s="58">
        <v>276.0</v>
      </c>
      <c r="CU2200" s="58" t="s">
        <v>16423</v>
      </c>
      <c r="DL2200" s="58" t="s">
        <v>19979</v>
      </c>
    </row>
    <row r="2201" ht="15.75" customHeight="1">
      <c r="B2201" s="58" t="s">
        <v>16392</v>
      </c>
      <c r="C2201" s="58">
        <v>2023.0</v>
      </c>
      <c r="D2201" s="58" t="s">
        <v>19980</v>
      </c>
      <c r="E2201" s="58" t="s">
        <v>19981</v>
      </c>
      <c r="F2201" s="58" t="s">
        <v>16959</v>
      </c>
      <c r="H2201" s="58" t="s">
        <v>16960</v>
      </c>
      <c r="I2201" s="58" t="s">
        <v>19982</v>
      </c>
      <c r="K2201" s="73">
        <v>44963.0</v>
      </c>
      <c r="Q2201" s="58">
        <v>3.0</v>
      </c>
      <c r="R2201" s="58">
        <v>20.0</v>
      </c>
      <c r="Z2201" s="58" t="s">
        <v>239</v>
      </c>
      <c r="CH2201" s="58" t="s">
        <v>19983</v>
      </c>
      <c r="CI2201" s="73">
        <v>45208.0</v>
      </c>
      <c r="CJ2201" s="58">
        <v>3162.0</v>
      </c>
      <c r="CK2201" s="58">
        <v>3176.0</v>
      </c>
      <c r="CL2201" s="58" t="s">
        <v>19984</v>
      </c>
      <c r="CN2201" s="58" t="s">
        <v>19985</v>
      </c>
      <c r="CO2201" s="58" t="s">
        <v>19986</v>
      </c>
      <c r="CP2201" s="58" t="s">
        <v>19987</v>
      </c>
      <c r="CR2201" s="58">
        <v>6.0</v>
      </c>
      <c r="CT2201" s="58">
        <v>43.0</v>
      </c>
      <c r="CU2201" s="58" t="s">
        <v>239</v>
      </c>
      <c r="DL2201" s="58" t="s">
        <v>19988</v>
      </c>
    </row>
    <row r="2202" ht="15.75" customHeight="1">
      <c r="B2202" s="58" t="s">
        <v>16392</v>
      </c>
      <c r="C2202" s="58">
        <v>2024.0</v>
      </c>
      <c r="D2202" s="58" t="s">
        <v>19989</v>
      </c>
      <c r="E2202" s="58" t="s">
        <v>19990</v>
      </c>
      <c r="F2202" s="58" t="s">
        <v>18334</v>
      </c>
      <c r="H2202" s="58" t="s">
        <v>18335</v>
      </c>
      <c r="I2202" s="58" t="s">
        <v>19991</v>
      </c>
      <c r="K2202" s="73">
        <v>45357.0</v>
      </c>
      <c r="Q2202" s="58">
        <v>8.0</v>
      </c>
      <c r="R2202" s="58">
        <v>73.0</v>
      </c>
      <c r="Z2202" s="58" t="s">
        <v>239</v>
      </c>
      <c r="CH2202" s="58" t="s">
        <v>19992</v>
      </c>
      <c r="CI2202" s="73">
        <v>45519.0</v>
      </c>
      <c r="CJ2202" s="58">
        <v>11862.0</v>
      </c>
      <c r="CK2202" s="58">
        <v>11877.0</v>
      </c>
      <c r="CL2202" s="58" t="s">
        <v>19993</v>
      </c>
      <c r="CO2202" s="58" t="s">
        <v>19994</v>
      </c>
      <c r="CP2202" s="58" t="s">
        <v>19995</v>
      </c>
      <c r="CR2202" s="58">
        <v>6.0</v>
      </c>
      <c r="CT2202" s="58">
        <v>50.0</v>
      </c>
      <c r="CU2202" s="58" t="s">
        <v>239</v>
      </c>
      <c r="DL2202" s="58" t="s">
        <v>19996</v>
      </c>
    </row>
    <row r="2203" ht="15.75" customHeight="1">
      <c r="B2203" s="58" t="s">
        <v>16392</v>
      </c>
      <c r="C2203" s="58">
        <v>2025.0</v>
      </c>
      <c r="D2203" s="58" t="s">
        <v>19997</v>
      </c>
      <c r="E2203" s="58" t="s">
        <v>19998</v>
      </c>
      <c r="F2203" s="58" t="s">
        <v>16395</v>
      </c>
      <c r="H2203" s="58" t="s">
        <v>16396</v>
      </c>
      <c r="I2203" s="58" t="s">
        <v>19999</v>
      </c>
      <c r="K2203" s="73">
        <v>45446.0</v>
      </c>
      <c r="Q2203" s="58">
        <v>1.0</v>
      </c>
      <c r="R2203" s="58">
        <v>27.0</v>
      </c>
      <c r="Z2203" s="58" t="s">
        <v>239</v>
      </c>
      <c r="CH2203" s="58" t="s">
        <v>20000</v>
      </c>
      <c r="CI2203" s="73">
        <v>45702.0</v>
      </c>
      <c r="CJ2203" s="58">
        <v>629.0</v>
      </c>
      <c r="CK2203" s="58">
        <v>666.0</v>
      </c>
      <c r="CL2203" s="58" t="s">
        <v>20001</v>
      </c>
      <c r="CN2203" s="58" t="s">
        <v>20002</v>
      </c>
      <c r="CO2203" s="58" t="s">
        <v>20003</v>
      </c>
      <c r="CP2203" s="58" t="s">
        <v>20004</v>
      </c>
      <c r="CR2203" s="58">
        <v>6.0</v>
      </c>
      <c r="CT2203" s="58">
        <v>279.0</v>
      </c>
      <c r="CU2203" s="58" t="s">
        <v>239</v>
      </c>
      <c r="DL2203" s="58" t="s">
        <v>20005</v>
      </c>
    </row>
    <row r="2204" ht="15.75" customHeight="1">
      <c r="B2204" s="58" t="s">
        <v>16392</v>
      </c>
      <c r="C2204" s="58">
        <v>2024.0</v>
      </c>
      <c r="D2204" s="58" t="s">
        <v>20006</v>
      </c>
      <c r="E2204" s="58" t="s">
        <v>20007</v>
      </c>
      <c r="F2204" s="58" t="s">
        <v>16538</v>
      </c>
      <c r="H2204" s="58" t="s">
        <v>16539</v>
      </c>
      <c r="I2204" s="58" t="s">
        <v>20008</v>
      </c>
      <c r="K2204" s="73">
        <v>45390.0</v>
      </c>
      <c r="Q2204" s="58">
        <v>13.0</v>
      </c>
      <c r="R2204" s="58">
        <v>11.0</v>
      </c>
      <c r="Z2204" s="58" t="s">
        <v>239</v>
      </c>
      <c r="CH2204" s="58" t="s">
        <v>20009</v>
      </c>
      <c r="CI2204" s="73">
        <v>45468.0</v>
      </c>
      <c r="CJ2204" s="58">
        <v>23370.0</v>
      </c>
      <c r="CK2204" s="58">
        <v>23383.0</v>
      </c>
      <c r="CL2204" s="58" t="s">
        <v>20010</v>
      </c>
      <c r="CN2204" s="58" t="s">
        <v>20011</v>
      </c>
      <c r="CO2204" s="58" t="s">
        <v>20012</v>
      </c>
      <c r="CP2204" s="58" t="s">
        <v>20013</v>
      </c>
      <c r="CR2204" s="58">
        <v>6.0</v>
      </c>
      <c r="CT2204" s="58">
        <v>41.0</v>
      </c>
      <c r="CU2204" s="58" t="s">
        <v>239</v>
      </c>
      <c r="DL2204" s="58" t="s">
        <v>20014</v>
      </c>
    </row>
    <row r="2205" ht="15.75" customHeight="1">
      <c r="B2205" s="58" t="s">
        <v>16392</v>
      </c>
      <c r="C2205" s="58">
        <v>2024.0</v>
      </c>
      <c r="D2205" s="58" t="s">
        <v>20015</v>
      </c>
      <c r="E2205" s="58" t="s">
        <v>20016</v>
      </c>
      <c r="F2205" s="58" t="s">
        <v>18916</v>
      </c>
      <c r="H2205" s="58" t="s">
        <v>18917</v>
      </c>
      <c r="I2205" s="58" t="s">
        <v>20017</v>
      </c>
      <c r="K2205" s="73">
        <v>45288.0</v>
      </c>
      <c r="Q2205" s="58">
        <v>1.0</v>
      </c>
      <c r="R2205" s="58">
        <v>70.0</v>
      </c>
      <c r="Z2205" s="58" t="s">
        <v>239</v>
      </c>
      <c r="CH2205" s="58" t="s">
        <v>20018</v>
      </c>
      <c r="CI2205" s="73">
        <v>45411.0</v>
      </c>
      <c r="CJ2205" s="58">
        <v>2311.0</v>
      </c>
      <c r="CK2205" s="58">
        <v>2322.0</v>
      </c>
      <c r="CL2205" s="58" t="s">
        <v>20019</v>
      </c>
      <c r="CN2205" s="58" t="s">
        <v>20020</v>
      </c>
      <c r="CO2205" s="58" t="s">
        <v>20021</v>
      </c>
      <c r="CP2205" s="58" t="s">
        <v>20022</v>
      </c>
      <c r="CR2205" s="58">
        <v>6.0</v>
      </c>
      <c r="CT2205" s="58">
        <v>40.0</v>
      </c>
      <c r="CU2205" s="58" t="s">
        <v>239</v>
      </c>
      <c r="DL2205" s="58" t="s">
        <v>20023</v>
      </c>
    </row>
    <row r="2206" ht="15.75" customHeight="1">
      <c r="B2206" s="58" t="s">
        <v>16392</v>
      </c>
      <c r="C2206" s="58">
        <v>2024.0</v>
      </c>
      <c r="D2206" s="58" t="s">
        <v>20024</v>
      </c>
      <c r="E2206" s="58" t="s">
        <v>20025</v>
      </c>
      <c r="F2206" s="58" t="s">
        <v>19438</v>
      </c>
      <c r="H2206" s="58" t="s">
        <v>19439</v>
      </c>
      <c r="I2206" s="58" t="s">
        <v>20026</v>
      </c>
      <c r="K2206" s="73">
        <v>45014.0</v>
      </c>
      <c r="Q2206" s="58">
        <v>2.0</v>
      </c>
      <c r="R2206" s="58">
        <v>21.0</v>
      </c>
      <c r="Z2206" s="58" t="s">
        <v>239</v>
      </c>
      <c r="CH2206" s="58" t="s">
        <v>20027</v>
      </c>
      <c r="CI2206" s="73">
        <v>45364.0</v>
      </c>
      <c r="CJ2206" s="58">
        <v>804.0</v>
      </c>
      <c r="CK2206" s="58">
        <v>818.0</v>
      </c>
      <c r="CL2206" s="58" t="s">
        <v>20028</v>
      </c>
      <c r="CN2206" s="58" t="s">
        <v>20029</v>
      </c>
      <c r="CO2206" s="58" t="s">
        <v>20030</v>
      </c>
      <c r="CP2206" s="58" t="s">
        <v>20031</v>
      </c>
      <c r="CR2206" s="58">
        <v>6.0</v>
      </c>
      <c r="CT2206" s="58">
        <v>53.0</v>
      </c>
      <c r="CU2206" s="58" t="s">
        <v>239</v>
      </c>
      <c r="DL2206" s="58" t="s">
        <v>20032</v>
      </c>
    </row>
    <row r="2207" ht="15.75" customHeight="1">
      <c r="B2207" s="58" t="s">
        <v>16392</v>
      </c>
      <c r="C2207" s="58">
        <v>2021.0</v>
      </c>
      <c r="D2207" s="58" t="s">
        <v>20033</v>
      </c>
      <c r="E2207" s="58" t="s">
        <v>20034</v>
      </c>
      <c r="F2207" s="58" t="s">
        <v>16436</v>
      </c>
      <c r="H2207" s="58" t="s">
        <v>16437</v>
      </c>
      <c r="I2207" s="58" t="s">
        <v>20035</v>
      </c>
      <c r="K2207" s="73">
        <v>44210.0</v>
      </c>
      <c r="R2207" s="58">
        <v>9.0</v>
      </c>
      <c r="Z2207" s="58" t="s">
        <v>239</v>
      </c>
      <c r="CH2207" s="58" t="s">
        <v>20036</v>
      </c>
      <c r="CI2207" s="73">
        <v>44221.0</v>
      </c>
      <c r="CJ2207" s="58">
        <v>14688.0</v>
      </c>
      <c r="CK2207" s="58">
        <v>14709.0</v>
      </c>
      <c r="CL2207" s="58" t="s">
        <v>20037</v>
      </c>
      <c r="CN2207" s="58" t="s">
        <v>20038</v>
      </c>
      <c r="CO2207" s="58" t="s">
        <v>20039</v>
      </c>
      <c r="CP2207" s="58" t="s">
        <v>20040</v>
      </c>
      <c r="CR2207" s="58">
        <v>6.0</v>
      </c>
      <c r="CT2207" s="58">
        <v>64.0</v>
      </c>
      <c r="CU2207" s="58" t="s">
        <v>16727</v>
      </c>
      <c r="DL2207" s="58" t="s">
        <v>20041</v>
      </c>
    </row>
    <row r="2208" ht="15.75" customHeight="1">
      <c r="B2208" s="58" t="s">
        <v>16392</v>
      </c>
      <c r="C2208" s="58">
        <v>2019.0</v>
      </c>
      <c r="D2208" s="58" t="s">
        <v>20042</v>
      </c>
      <c r="E2208" s="58" t="s">
        <v>20043</v>
      </c>
      <c r="F2208" s="58" t="s">
        <v>18242</v>
      </c>
      <c r="H2208" s="58" t="s">
        <v>18243</v>
      </c>
      <c r="I2208" s="58" t="s">
        <v>20044</v>
      </c>
      <c r="K2208" s="73">
        <v>43536.0</v>
      </c>
      <c r="Q2208" s="58">
        <v>2.0</v>
      </c>
      <c r="R2208" s="58">
        <v>65.0</v>
      </c>
      <c r="Z2208" s="58" t="s">
        <v>239</v>
      </c>
      <c r="CH2208" s="58" t="s">
        <v>20045</v>
      </c>
      <c r="CI2208" s="73">
        <v>43622.0</v>
      </c>
      <c r="CJ2208" s="58">
        <v>425.0</v>
      </c>
      <c r="CK2208" s="58">
        <v>433.0</v>
      </c>
      <c r="CL2208" s="58" t="s">
        <v>20046</v>
      </c>
      <c r="CN2208" s="58" t="s">
        <v>20047</v>
      </c>
      <c r="CO2208" s="58" t="s">
        <v>20048</v>
      </c>
      <c r="CP2208" s="58" t="s">
        <v>20049</v>
      </c>
      <c r="CR2208" s="58">
        <v>6.0</v>
      </c>
      <c r="CT2208" s="58">
        <v>26.0</v>
      </c>
      <c r="CU2208" s="58" t="s">
        <v>239</v>
      </c>
      <c r="DL2208" s="58" t="s">
        <v>20050</v>
      </c>
    </row>
    <row r="2209" ht="15.75" customHeight="1">
      <c r="B2209" s="58" t="s">
        <v>16392</v>
      </c>
      <c r="C2209" s="58">
        <v>2023.0</v>
      </c>
      <c r="D2209" s="58" t="s">
        <v>20051</v>
      </c>
      <c r="E2209" s="58" t="s">
        <v>20052</v>
      </c>
      <c r="F2209" s="58" t="s">
        <v>16613</v>
      </c>
      <c r="H2209" s="58" t="s">
        <v>16614</v>
      </c>
      <c r="I2209" s="58" t="s">
        <v>20053</v>
      </c>
      <c r="K2209" s="73">
        <v>45198.0</v>
      </c>
      <c r="Q2209" s="58">
        <v>6.0</v>
      </c>
      <c r="R2209" s="58">
        <v>16.0</v>
      </c>
      <c r="Z2209" s="58" t="s">
        <v>239</v>
      </c>
      <c r="CH2209" s="58" t="s">
        <v>20054</v>
      </c>
      <c r="CI2209" s="73">
        <v>45274.0</v>
      </c>
      <c r="CJ2209" s="58">
        <v>4328.0</v>
      </c>
      <c r="CK2209" s="58">
        <v>4344.0</v>
      </c>
      <c r="CL2209" s="58" t="s">
        <v>20055</v>
      </c>
      <c r="CN2209" s="58" t="s">
        <v>20056</v>
      </c>
      <c r="CO2209" s="58" t="s">
        <v>20057</v>
      </c>
      <c r="CP2209" s="58" t="s">
        <v>20058</v>
      </c>
      <c r="CR2209" s="58">
        <v>6.0</v>
      </c>
      <c r="CT2209" s="58">
        <v>44.0</v>
      </c>
      <c r="CU2209" s="58" t="s">
        <v>239</v>
      </c>
      <c r="DL2209" s="58" t="s">
        <v>20059</v>
      </c>
    </row>
    <row r="2210" ht="15.75" customHeight="1">
      <c r="B2210" s="58" t="s">
        <v>16392</v>
      </c>
      <c r="C2210" s="58">
        <v>2022.0</v>
      </c>
      <c r="D2210" s="58" t="s">
        <v>19861</v>
      </c>
      <c r="E2210" s="58" t="s">
        <v>20060</v>
      </c>
      <c r="F2210" s="58" t="s">
        <v>16436</v>
      </c>
      <c r="H2210" s="58" t="s">
        <v>16437</v>
      </c>
      <c r="I2210" s="58" t="s">
        <v>20061</v>
      </c>
      <c r="K2210" s="73">
        <v>44789.0</v>
      </c>
      <c r="R2210" s="58">
        <v>10.0</v>
      </c>
      <c r="Z2210" s="58" t="s">
        <v>239</v>
      </c>
      <c r="CH2210" s="58" t="s">
        <v>19864</v>
      </c>
      <c r="CI2210" s="73">
        <v>44797.0</v>
      </c>
      <c r="CJ2210" s="58">
        <v>86844.0</v>
      </c>
      <c r="CK2210" s="58">
        <v>86863.0</v>
      </c>
      <c r="CL2210" s="58" t="s">
        <v>20062</v>
      </c>
      <c r="CN2210" s="58" t="s">
        <v>20063</v>
      </c>
      <c r="CO2210" s="58" t="s">
        <v>20064</v>
      </c>
      <c r="CP2210" s="58" t="s">
        <v>20065</v>
      </c>
      <c r="CR2210" s="58">
        <v>6.0</v>
      </c>
      <c r="CT2210" s="58">
        <v>46.0</v>
      </c>
      <c r="CU2210" s="58" t="s">
        <v>16423</v>
      </c>
      <c r="DL2210" s="58" t="s">
        <v>20066</v>
      </c>
    </row>
    <row r="2211" ht="15.75" customHeight="1">
      <c r="B2211" s="58" t="s">
        <v>16392</v>
      </c>
      <c r="C2211" s="58">
        <v>2022.0</v>
      </c>
      <c r="D2211" s="58" t="s">
        <v>20067</v>
      </c>
      <c r="E2211" s="58" t="s">
        <v>20068</v>
      </c>
      <c r="F2211" s="58" t="s">
        <v>16923</v>
      </c>
      <c r="H2211" s="58" t="s">
        <v>16924</v>
      </c>
      <c r="I2211" s="58" t="s">
        <v>20069</v>
      </c>
      <c r="K2211" s="73">
        <v>44844.0</v>
      </c>
      <c r="Q2211" s="58">
        <v>12.0</v>
      </c>
      <c r="R2211" s="58">
        <v>40.0</v>
      </c>
      <c r="Z2211" s="58" t="s">
        <v>239</v>
      </c>
      <c r="CH2211" s="58" t="s">
        <v>20070</v>
      </c>
      <c r="CI2211" s="73">
        <v>44888.0</v>
      </c>
      <c r="CJ2211" s="58">
        <v>3391.0</v>
      </c>
      <c r="CK2211" s="58">
        <v>3404.0</v>
      </c>
      <c r="CL2211" s="58" t="s">
        <v>20071</v>
      </c>
      <c r="CN2211" s="58" t="s">
        <v>20072</v>
      </c>
      <c r="CO2211" s="58" t="s">
        <v>20073</v>
      </c>
      <c r="CP2211" s="58" t="s">
        <v>20074</v>
      </c>
      <c r="CR2211" s="58">
        <v>6.0</v>
      </c>
      <c r="CT2211" s="58">
        <v>36.0</v>
      </c>
      <c r="CU2211" s="58" t="s">
        <v>239</v>
      </c>
      <c r="DL2211" s="58" t="s">
        <v>20075</v>
      </c>
    </row>
    <row r="2212" ht="15.75" customHeight="1">
      <c r="B2212" s="58" t="s">
        <v>16392</v>
      </c>
      <c r="C2212" s="58">
        <v>2020.0</v>
      </c>
      <c r="D2212" s="58" t="s">
        <v>20076</v>
      </c>
      <c r="E2212" s="58" t="s">
        <v>20077</v>
      </c>
      <c r="F2212" s="58" t="s">
        <v>18018</v>
      </c>
      <c r="H2212" s="58" t="s">
        <v>18019</v>
      </c>
      <c r="I2212" s="58" t="s">
        <v>20078</v>
      </c>
      <c r="K2212" s="73">
        <v>43573.0</v>
      </c>
      <c r="Q2212" s="58">
        <v>1.0</v>
      </c>
      <c r="R2212" s="58">
        <v>5.0</v>
      </c>
      <c r="Z2212" s="58" t="s">
        <v>239</v>
      </c>
      <c r="CH2212" s="58" t="s">
        <v>20079</v>
      </c>
      <c r="CI2212" s="73">
        <v>43896.0</v>
      </c>
      <c r="CJ2212" s="58">
        <v>81.0</v>
      </c>
      <c r="CK2212" s="58">
        <v>94.0</v>
      </c>
      <c r="CL2212" s="58" t="s">
        <v>20080</v>
      </c>
      <c r="CN2212" s="58" t="s">
        <v>20081</v>
      </c>
      <c r="CO2212" s="58" t="s">
        <v>20082</v>
      </c>
      <c r="CP2212" s="58" t="s">
        <v>20083</v>
      </c>
      <c r="CR2212" s="58">
        <v>6.0</v>
      </c>
      <c r="CT2212" s="58">
        <v>31.0</v>
      </c>
      <c r="CU2212" s="58" t="s">
        <v>7683</v>
      </c>
      <c r="DL2212" s="58" t="s">
        <v>20084</v>
      </c>
    </row>
    <row r="2213" ht="15.75" customHeight="1">
      <c r="B2213" s="58" t="s">
        <v>16392</v>
      </c>
      <c r="C2213" s="58">
        <v>2023.0</v>
      </c>
      <c r="D2213" s="58" t="s">
        <v>20085</v>
      </c>
      <c r="E2213" s="58" t="s">
        <v>20086</v>
      </c>
      <c r="F2213" s="58" t="s">
        <v>16436</v>
      </c>
      <c r="H2213" s="58" t="s">
        <v>16437</v>
      </c>
      <c r="I2213" s="58" t="s">
        <v>20087</v>
      </c>
      <c r="K2213" s="73">
        <v>44944.0</v>
      </c>
      <c r="R2213" s="58">
        <v>11.0</v>
      </c>
      <c r="Z2213" s="58" t="s">
        <v>239</v>
      </c>
      <c r="CH2213" s="58" t="s">
        <v>20088</v>
      </c>
      <c r="CI2213" s="73">
        <v>44950.0</v>
      </c>
      <c r="CJ2213" s="58">
        <v>6837.0</v>
      </c>
      <c r="CK2213" s="58">
        <v>6856.0</v>
      </c>
      <c r="CL2213" s="58" t="s">
        <v>20089</v>
      </c>
      <c r="CN2213" s="58" t="s">
        <v>20090</v>
      </c>
      <c r="CO2213" s="58" t="s">
        <v>20091</v>
      </c>
      <c r="CP2213" s="58" t="s">
        <v>20092</v>
      </c>
      <c r="CR2213" s="58">
        <v>6.0</v>
      </c>
      <c r="CT2213" s="58">
        <v>45.0</v>
      </c>
      <c r="CU2213" s="58" t="s">
        <v>16423</v>
      </c>
      <c r="DL2213" s="58" t="s">
        <v>20093</v>
      </c>
    </row>
    <row r="2214" ht="15.75" customHeight="1">
      <c r="B2214" s="58" t="s">
        <v>16392</v>
      </c>
      <c r="C2214" s="58">
        <v>2023.0</v>
      </c>
      <c r="D2214" s="58" t="s">
        <v>20094</v>
      </c>
      <c r="E2214" s="58" t="s">
        <v>20095</v>
      </c>
      <c r="F2214" s="58" t="s">
        <v>16436</v>
      </c>
      <c r="H2214" s="58" t="s">
        <v>16437</v>
      </c>
      <c r="I2214" s="58" t="s">
        <v>20096</v>
      </c>
      <c r="K2214" s="73">
        <v>45118.0</v>
      </c>
      <c r="R2214" s="58">
        <v>11.0</v>
      </c>
      <c r="Z2214" s="58" t="s">
        <v>239</v>
      </c>
      <c r="CH2214" s="58" t="s">
        <v>20097</v>
      </c>
      <c r="CI2214" s="73">
        <v>45132.0</v>
      </c>
      <c r="CJ2214" s="58">
        <v>73688.0</v>
      </c>
      <c r="CK2214" s="58">
        <v>73753.0</v>
      </c>
      <c r="CL2214" s="58" t="s">
        <v>20098</v>
      </c>
      <c r="CN2214" s="58" t="s">
        <v>20099</v>
      </c>
      <c r="CO2214" s="58" t="s">
        <v>20100</v>
      </c>
      <c r="CP2214" s="58" t="s">
        <v>20101</v>
      </c>
      <c r="CR2214" s="58">
        <v>6.0</v>
      </c>
      <c r="CT2214" s="58">
        <v>710.0</v>
      </c>
      <c r="CU2214" s="58" t="s">
        <v>16423</v>
      </c>
      <c r="DL2214" s="58" t="s">
        <v>20102</v>
      </c>
    </row>
    <row r="2215" ht="15.75" customHeight="1">
      <c r="B2215" s="58" t="s">
        <v>16392</v>
      </c>
      <c r="C2215" s="58">
        <v>2024.0</v>
      </c>
      <c r="D2215" s="58" t="s">
        <v>20103</v>
      </c>
      <c r="E2215" s="58" t="s">
        <v>20104</v>
      </c>
      <c r="F2215" s="58" t="s">
        <v>16538</v>
      </c>
      <c r="H2215" s="58" t="s">
        <v>16539</v>
      </c>
      <c r="I2215" s="58" t="s">
        <v>20105</v>
      </c>
      <c r="K2215" s="73">
        <v>45306.0</v>
      </c>
      <c r="Q2215" s="58">
        <v>11.0</v>
      </c>
      <c r="R2215" s="58">
        <v>11.0</v>
      </c>
      <c r="Z2215" s="58" t="s">
        <v>239</v>
      </c>
      <c r="CH2215" s="58" t="s">
        <v>20106</v>
      </c>
      <c r="CI2215" s="73">
        <v>45434.0</v>
      </c>
      <c r="CJ2215" s="58">
        <v>18976.0</v>
      </c>
      <c r="CK2215" s="58">
        <v>18999.0</v>
      </c>
      <c r="CL2215" s="58" t="s">
        <v>20107</v>
      </c>
      <c r="CN2215" s="58" t="s">
        <v>20108</v>
      </c>
      <c r="CO2215" s="58" t="s">
        <v>20109</v>
      </c>
      <c r="CP2215" s="58" t="s">
        <v>20110</v>
      </c>
      <c r="CR2215" s="58">
        <v>5.0</v>
      </c>
      <c r="CT2215" s="58">
        <v>124.0</v>
      </c>
      <c r="CU2215" s="58" t="s">
        <v>239</v>
      </c>
      <c r="DL2215" s="58" t="s">
        <v>20111</v>
      </c>
    </row>
    <row r="2216" ht="15.75" customHeight="1">
      <c r="B2216" s="58" t="s">
        <v>16392</v>
      </c>
      <c r="C2216" s="58">
        <v>2023.0</v>
      </c>
      <c r="D2216" s="58" t="s">
        <v>20112</v>
      </c>
      <c r="E2216" s="58" t="s">
        <v>20113</v>
      </c>
      <c r="F2216" s="58" t="s">
        <v>16613</v>
      </c>
      <c r="H2216" s="58" t="s">
        <v>16614</v>
      </c>
      <c r="I2216" s="58" t="s">
        <v>20114</v>
      </c>
      <c r="K2216" s="73">
        <v>44539.0</v>
      </c>
      <c r="Q2216" s="58">
        <v>1.0</v>
      </c>
      <c r="R2216" s="58">
        <v>16.0</v>
      </c>
      <c r="Z2216" s="58" t="s">
        <v>239</v>
      </c>
      <c r="CH2216" s="58" t="s">
        <v>20115</v>
      </c>
      <c r="CI2216" s="73">
        <v>44963.0</v>
      </c>
      <c r="CJ2216" s="58">
        <v>95.0</v>
      </c>
      <c r="CK2216" s="58">
        <v>107.0</v>
      </c>
      <c r="CL2216" s="58" t="s">
        <v>20116</v>
      </c>
      <c r="CO2216" s="58" t="s">
        <v>20117</v>
      </c>
      <c r="CP2216" s="58" t="s">
        <v>20118</v>
      </c>
      <c r="CR2216" s="58">
        <v>5.0</v>
      </c>
      <c r="CT2216" s="58">
        <v>53.0</v>
      </c>
      <c r="CU2216" s="58" t="s">
        <v>239</v>
      </c>
      <c r="DL2216" s="58" t="s">
        <v>20119</v>
      </c>
    </row>
    <row r="2217" ht="15.75" customHeight="1">
      <c r="B2217" s="58" t="s">
        <v>16392</v>
      </c>
      <c r="C2217" s="58">
        <v>2024.0</v>
      </c>
      <c r="D2217" s="58" t="s">
        <v>20120</v>
      </c>
      <c r="E2217" s="58" t="s">
        <v>20121</v>
      </c>
      <c r="F2217" s="58" t="s">
        <v>16436</v>
      </c>
      <c r="H2217" s="58" t="s">
        <v>16437</v>
      </c>
      <c r="I2217" s="58" t="s">
        <v>20122</v>
      </c>
      <c r="K2217" s="73">
        <v>45414.0</v>
      </c>
      <c r="R2217" s="58">
        <v>12.0</v>
      </c>
      <c r="Z2217" s="58" t="s">
        <v>239</v>
      </c>
      <c r="CH2217" s="58" t="s">
        <v>20123</v>
      </c>
      <c r="CI2217" s="73">
        <v>45420.0</v>
      </c>
      <c r="CJ2217" s="58">
        <v>63238.0</v>
      </c>
      <c r="CK2217" s="58">
        <v>63270.0</v>
      </c>
      <c r="CL2217" s="58" t="s">
        <v>20124</v>
      </c>
      <c r="CN2217" s="58" t="s">
        <v>20125</v>
      </c>
      <c r="CO2217" s="58" t="s">
        <v>20126</v>
      </c>
      <c r="CP2217" s="58" t="s">
        <v>20127</v>
      </c>
      <c r="CR2217" s="58">
        <v>5.0</v>
      </c>
      <c r="CT2217" s="58">
        <v>174.0</v>
      </c>
      <c r="CU2217" s="58" t="s">
        <v>16727</v>
      </c>
      <c r="DL2217" s="58" t="s">
        <v>20128</v>
      </c>
    </row>
    <row r="2218" ht="15.75" customHeight="1">
      <c r="B2218" s="58" t="s">
        <v>16392</v>
      </c>
      <c r="C2218" s="58">
        <v>2024.0</v>
      </c>
      <c r="D2218" s="58" t="s">
        <v>20129</v>
      </c>
      <c r="E2218" s="58" t="s">
        <v>20130</v>
      </c>
      <c r="F2218" s="58" t="s">
        <v>16538</v>
      </c>
      <c r="H2218" s="58" t="s">
        <v>16539</v>
      </c>
      <c r="I2218" s="58" t="s">
        <v>20131</v>
      </c>
      <c r="K2218" s="73">
        <v>45093.0</v>
      </c>
      <c r="Q2218" s="58">
        <v>1.0</v>
      </c>
      <c r="R2218" s="58">
        <v>11.0</v>
      </c>
      <c r="Z2218" s="58" t="s">
        <v>239</v>
      </c>
      <c r="CH2218" s="58" t="s">
        <v>20132</v>
      </c>
      <c r="CI2218" s="73">
        <v>45287.0</v>
      </c>
      <c r="CJ2218" s="58">
        <v>573.0</v>
      </c>
      <c r="CK2218" s="58">
        <v>583.0</v>
      </c>
      <c r="CL2218" s="58" t="s">
        <v>20133</v>
      </c>
      <c r="CN2218" s="58" t="s">
        <v>20134</v>
      </c>
      <c r="CO2218" s="58" t="s">
        <v>20135</v>
      </c>
      <c r="CP2218" s="58" t="s">
        <v>20136</v>
      </c>
      <c r="CR2218" s="58">
        <v>5.0</v>
      </c>
      <c r="CT2218" s="58">
        <v>26.0</v>
      </c>
      <c r="CU2218" s="58" t="s">
        <v>16423</v>
      </c>
      <c r="DL2218" s="58" t="s">
        <v>20137</v>
      </c>
    </row>
    <row r="2219" ht="15.75" customHeight="1">
      <c r="B2219" s="58" t="s">
        <v>16392</v>
      </c>
      <c r="C2219" s="58">
        <v>2024.0</v>
      </c>
      <c r="D2219" s="58" t="s">
        <v>20138</v>
      </c>
      <c r="E2219" s="58" t="s">
        <v>20139</v>
      </c>
      <c r="F2219" s="58" t="s">
        <v>16731</v>
      </c>
      <c r="H2219" s="58" t="s">
        <v>16732</v>
      </c>
      <c r="I2219" s="58" t="s">
        <v>20140</v>
      </c>
      <c r="K2219" s="73">
        <v>45275.0</v>
      </c>
      <c r="Q2219" s="58">
        <v>4.0</v>
      </c>
      <c r="R2219" s="58">
        <v>20.0</v>
      </c>
      <c r="Z2219" s="58" t="s">
        <v>239</v>
      </c>
      <c r="CH2219" s="58" t="s">
        <v>20141</v>
      </c>
      <c r="CI2219" s="73">
        <v>45386.0</v>
      </c>
      <c r="CJ2219" s="58">
        <v>5725.0</v>
      </c>
      <c r="CK2219" s="58">
        <v>5736.0</v>
      </c>
      <c r="CL2219" s="58" t="s">
        <v>20142</v>
      </c>
      <c r="CO2219" s="58" t="s">
        <v>20143</v>
      </c>
      <c r="CP2219" s="58" t="s">
        <v>20144</v>
      </c>
      <c r="CR2219" s="58">
        <v>5.0</v>
      </c>
      <c r="CT2219" s="58">
        <v>80.0</v>
      </c>
      <c r="CU2219" s="58" t="s">
        <v>239</v>
      </c>
      <c r="DL2219" s="58" t="s">
        <v>20145</v>
      </c>
    </row>
    <row r="2220" ht="15.75" customHeight="1">
      <c r="B2220" s="58" t="s">
        <v>16392</v>
      </c>
      <c r="C2220" s="58">
        <v>2022.0</v>
      </c>
      <c r="D2220" s="58" t="s">
        <v>20146</v>
      </c>
      <c r="E2220" s="58" t="s">
        <v>20147</v>
      </c>
      <c r="F2220" s="58" t="s">
        <v>16436</v>
      </c>
      <c r="H2220" s="58" t="s">
        <v>16437</v>
      </c>
      <c r="I2220" s="58" t="s">
        <v>20148</v>
      </c>
      <c r="K2220" s="73">
        <v>44701.0</v>
      </c>
      <c r="R2220" s="58">
        <v>10.0</v>
      </c>
      <c r="Z2220" s="58" t="s">
        <v>239</v>
      </c>
      <c r="CH2220" s="58" t="s">
        <v>20149</v>
      </c>
      <c r="CI2220" s="73">
        <v>44713.0</v>
      </c>
      <c r="CJ2220" s="58">
        <v>54164.0</v>
      </c>
      <c r="CK2220" s="58">
        <v>54184.0</v>
      </c>
      <c r="CL2220" s="58" t="s">
        <v>20150</v>
      </c>
      <c r="CN2220" s="58" t="s">
        <v>20151</v>
      </c>
      <c r="CO2220" s="58" t="s">
        <v>20152</v>
      </c>
      <c r="CP2220" s="58" t="s">
        <v>20153</v>
      </c>
      <c r="CR2220" s="58">
        <v>5.0</v>
      </c>
      <c r="CT2220" s="58">
        <v>77.0</v>
      </c>
      <c r="CU2220" s="58" t="s">
        <v>16423</v>
      </c>
      <c r="DL2220" s="58" t="s">
        <v>20154</v>
      </c>
    </row>
    <row r="2221" ht="15.75" customHeight="1">
      <c r="B2221" s="58" t="s">
        <v>16392</v>
      </c>
      <c r="C2221" s="58">
        <v>2022.0</v>
      </c>
      <c r="D2221" s="58" t="s">
        <v>20155</v>
      </c>
      <c r="E2221" s="58" t="s">
        <v>20156</v>
      </c>
      <c r="F2221" s="58" t="s">
        <v>16436</v>
      </c>
      <c r="H2221" s="58" t="s">
        <v>16437</v>
      </c>
      <c r="I2221" s="58" t="s">
        <v>20157</v>
      </c>
      <c r="K2221" s="73">
        <v>44791.0</v>
      </c>
      <c r="R2221" s="58">
        <v>10.0</v>
      </c>
      <c r="Z2221" s="58" t="s">
        <v>239</v>
      </c>
      <c r="CH2221" s="58" t="s">
        <v>20158</v>
      </c>
      <c r="CI2221" s="73">
        <v>44802.0</v>
      </c>
      <c r="CJ2221" s="58">
        <v>87974.0</v>
      </c>
      <c r="CK2221" s="58">
        <v>87989.0</v>
      </c>
      <c r="CL2221" s="58" t="s">
        <v>20159</v>
      </c>
      <c r="CO2221" s="58" t="s">
        <v>20160</v>
      </c>
      <c r="CP2221" s="58" t="s">
        <v>20161</v>
      </c>
      <c r="CR2221" s="58">
        <v>5.0</v>
      </c>
      <c r="CT2221" s="58">
        <v>68.0</v>
      </c>
      <c r="CU2221" s="58" t="s">
        <v>16423</v>
      </c>
      <c r="DL2221" s="58" t="s">
        <v>20162</v>
      </c>
    </row>
    <row r="2222" ht="15.75" customHeight="1">
      <c r="B2222" s="58" t="s">
        <v>16392</v>
      </c>
      <c r="C2222" s="58">
        <v>2024.0</v>
      </c>
      <c r="D2222" s="58" t="s">
        <v>20163</v>
      </c>
      <c r="E2222" s="58" t="s">
        <v>20164</v>
      </c>
      <c r="F2222" s="58" t="s">
        <v>20165</v>
      </c>
      <c r="H2222" s="58" t="s">
        <v>20166</v>
      </c>
      <c r="I2222" s="58" t="s">
        <v>20167</v>
      </c>
      <c r="K2222" s="73">
        <v>45250.0</v>
      </c>
      <c r="R2222" s="58">
        <v>40.0</v>
      </c>
      <c r="Z2222" s="58" t="s">
        <v>239</v>
      </c>
      <c r="CH2222" s="58" t="s">
        <v>20168</v>
      </c>
      <c r="CI2222" s="73">
        <v>45278.0</v>
      </c>
      <c r="CJ2222" s="58">
        <v>540.0</v>
      </c>
      <c r="CK2222" s="58">
        <v>553.0</v>
      </c>
      <c r="CL2222" s="58" t="s">
        <v>20169</v>
      </c>
      <c r="CN2222" s="58" t="s">
        <v>20170</v>
      </c>
      <c r="CO2222" s="58" t="s">
        <v>20171</v>
      </c>
      <c r="CP2222" s="58" t="s">
        <v>20172</v>
      </c>
      <c r="CR2222" s="58">
        <v>5.0</v>
      </c>
      <c r="CT2222" s="58">
        <v>50.0</v>
      </c>
      <c r="CU2222" s="58" t="s">
        <v>16423</v>
      </c>
      <c r="DL2222" s="58" t="s">
        <v>20173</v>
      </c>
    </row>
    <row r="2223" ht="15.75" customHeight="1">
      <c r="B2223" s="58" t="s">
        <v>16392</v>
      </c>
      <c r="C2223" s="58">
        <v>2024.0</v>
      </c>
      <c r="D2223" s="58" t="s">
        <v>20174</v>
      </c>
      <c r="E2223" s="58" t="s">
        <v>20175</v>
      </c>
      <c r="F2223" s="58" t="s">
        <v>17616</v>
      </c>
      <c r="H2223" s="58" t="s">
        <v>17617</v>
      </c>
      <c r="I2223" s="58" t="s">
        <v>20176</v>
      </c>
      <c r="K2223" s="73">
        <v>45023.0</v>
      </c>
      <c r="Q2223" s="58">
        <v>1.0</v>
      </c>
      <c r="R2223" s="58">
        <v>11.0</v>
      </c>
      <c r="Z2223" s="58" t="s">
        <v>239</v>
      </c>
      <c r="CH2223" s="58" t="s">
        <v>20177</v>
      </c>
      <c r="CI2223" s="73">
        <v>45316.0</v>
      </c>
      <c r="CJ2223" s="58">
        <v>1415.0</v>
      </c>
      <c r="CK2223" s="58">
        <v>1429.0</v>
      </c>
      <c r="CL2223" s="58" t="s">
        <v>20178</v>
      </c>
      <c r="CN2223" s="58" t="s">
        <v>20179</v>
      </c>
      <c r="CO2223" s="58" t="s">
        <v>20180</v>
      </c>
      <c r="CP2223" s="58" t="s">
        <v>20181</v>
      </c>
      <c r="CR2223" s="58">
        <v>5.0</v>
      </c>
      <c r="CT2223" s="58">
        <v>36.0</v>
      </c>
      <c r="CU2223" s="58" t="s">
        <v>239</v>
      </c>
      <c r="DL2223" s="58" t="s">
        <v>20182</v>
      </c>
    </row>
    <row r="2224" ht="15.75" customHeight="1">
      <c r="B2224" s="58" t="s">
        <v>16392</v>
      </c>
      <c r="C2224" s="58">
        <v>2024.0</v>
      </c>
      <c r="D2224" s="58" t="s">
        <v>20183</v>
      </c>
      <c r="E2224" s="58" t="s">
        <v>20184</v>
      </c>
      <c r="F2224" s="58" t="s">
        <v>16731</v>
      </c>
      <c r="H2224" s="58" t="s">
        <v>16732</v>
      </c>
      <c r="I2224" s="58" t="s">
        <v>20185</v>
      </c>
      <c r="K2224" s="73">
        <v>45285.0</v>
      </c>
      <c r="Q2224" s="58">
        <v>4.0</v>
      </c>
      <c r="R2224" s="58">
        <v>20.0</v>
      </c>
      <c r="Z2224" s="58" t="s">
        <v>239</v>
      </c>
      <c r="CH2224" s="58" t="s">
        <v>20186</v>
      </c>
      <c r="CI2224" s="73">
        <v>45386.0</v>
      </c>
      <c r="CJ2224" s="58">
        <v>5874.0</v>
      </c>
      <c r="CK2224" s="58">
        <v>5887.0</v>
      </c>
      <c r="CL2224" s="58" t="s">
        <v>20187</v>
      </c>
      <c r="CN2224" s="58" t="s">
        <v>20188</v>
      </c>
      <c r="CO2224" s="58" t="s">
        <v>20189</v>
      </c>
      <c r="CP2224" s="58" t="s">
        <v>20190</v>
      </c>
      <c r="CR2224" s="58">
        <v>5.0</v>
      </c>
      <c r="CT2224" s="58">
        <v>45.0</v>
      </c>
      <c r="CU2224" s="58" t="s">
        <v>16727</v>
      </c>
      <c r="DL2224" s="58" t="s">
        <v>20191</v>
      </c>
    </row>
    <row r="2225" ht="15.75" customHeight="1">
      <c r="B2225" s="58" t="s">
        <v>16392</v>
      </c>
      <c r="C2225" s="58">
        <v>2019.0</v>
      </c>
      <c r="D2225" s="58" t="s">
        <v>20192</v>
      </c>
      <c r="E2225" s="58" t="s">
        <v>20193</v>
      </c>
      <c r="F2225" s="58" t="s">
        <v>16731</v>
      </c>
      <c r="H2225" s="58" t="s">
        <v>16732</v>
      </c>
      <c r="I2225" s="58" t="s">
        <v>20194</v>
      </c>
      <c r="K2225" s="73">
        <v>43595.0</v>
      </c>
      <c r="Q2225" s="58">
        <v>12.0</v>
      </c>
      <c r="R2225" s="58">
        <v>15.0</v>
      </c>
      <c r="Z2225" s="58" t="s">
        <v>239</v>
      </c>
      <c r="CH2225" s="58" t="s">
        <v>20195</v>
      </c>
      <c r="CI2225" s="73">
        <v>43804.0</v>
      </c>
      <c r="CJ2225" s="58">
        <v>6344.0</v>
      </c>
      <c r="CK2225" s="58">
        <v>6353.0</v>
      </c>
      <c r="CL2225" s="58" t="s">
        <v>20196</v>
      </c>
      <c r="CO2225" s="58" t="s">
        <v>20197</v>
      </c>
      <c r="CP2225" s="58" t="s">
        <v>20198</v>
      </c>
      <c r="CR2225" s="58">
        <v>5.0</v>
      </c>
      <c r="CT2225" s="58">
        <v>32.0</v>
      </c>
      <c r="CU2225" s="58" t="s">
        <v>239</v>
      </c>
      <c r="DL2225" s="58" t="s">
        <v>20199</v>
      </c>
    </row>
    <row r="2226" ht="15.75" customHeight="1">
      <c r="B2226" s="58" t="s">
        <v>16392</v>
      </c>
      <c r="C2226" s="58">
        <v>2023.0</v>
      </c>
      <c r="D2226" s="58" t="s">
        <v>20200</v>
      </c>
      <c r="E2226" s="58" t="s">
        <v>20201</v>
      </c>
      <c r="F2226" s="58" t="s">
        <v>16436</v>
      </c>
      <c r="H2226" s="58" t="s">
        <v>16437</v>
      </c>
      <c r="I2226" s="58" t="s">
        <v>20202</v>
      </c>
      <c r="K2226" s="73">
        <v>44960.0</v>
      </c>
      <c r="R2226" s="58">
        <v>11.0</v>
      </c>
      <c r="Z2226" s="58" t="s">
        <v>239</v>
      </c>
      <c r="CH2226" s="58" t="s">
        <v>20203</v>
      </c>
      <c r="CI2226" s="73">
        <v>44981.0</v>
      </c>
      <c r="CJ2226" s="58">
        <v>17983.0</v>
      </c>
      <c r="CK2226" s="58">
        <v>17999.0</v>
      </c>
      <c r="CL2226" s="58" t="s">
        <v>20204</v>
      </c>
      <c r="CN2226" s="58" t="s">
        <v>20205</v>
      </c>
      <c r="CO2226" s="58" t="s">
        <v>20206</v>
      </c>
      <c r="CP2226" s="58" t="s">
        <v>20207</v>
      </c>
      <c r="CR2226" s="58">
        <v>5.0</v>
      </c>
      <c r="CT2226" s="58">
        <v>59.0</v>
      </c>
      <c r="CU2226" s="58" t="s">
        <v>16423</v>
      </c>
      <c r="DL2226" s="58" t="s">
        <v>20208</v>
      </c>
    </row>
    <row r="2227" ht="15.75" customHeight="1">
      <c r="B2227" s="58" t="s">
        <v>16392</v>
      </c>
      <c r="C2227" s="58">
        <v>2023.0</v>
      </c>
      <c r="D2227" s="58" t="s">
        <v>7543</v>
      </c>
      <c r="E2227" s="58" t="s">
        <v>20209</v>
      </c>
      <c r="F2227" s="58" t="s">
        <v>16436</v>
      </c>
      <c r="H2227" s="58" t="s">
        <v>16437</v>
      </c>
      <c r="I2227" s="58" t="s">
        <v>20210</v>
      </c>
      <c r="K2227" s="73">
        <v>45007.0</v>
      </c>
      <c r="R2227" s="58">
        <v>11.0</v>
      </c>
      <c r="Z2227" s="58" t="s">
        <v>239</v>
      </c>
      <c r="CH2227" s="58" t="s">
        <v>20211</v>
      </c>
      <c r="CI2227" s="73">
        <v>45015.0</v>
      </c>
      <c r="CJ2227" s="58">
        <v>29959.0</v>
      </c>
      <c r="CK2227" s="58">
        <v>30007.0</v>
      </c>
      <c r="CL2227" s="58" t="s">
        <v>20212</v>
      </c>
      <c r="CN2227" s="58" t="s">
        <v>20213</v>
      </c>
      <c r="CO2227" s="58" t="s">
        <v>20214</v>
      </c>
      <c r="CP2227" s="58" t="s">
        <v>20215</v>
      </c>
      <c r="CR2227" s="58">
        <v>5.0</v>
      </c>
      <c r="CT2227" s="58">
        <v>256.0</v>
      </c>
      <c r="CU2227" s="58" t="s">
        <v>16423</v>
      </c>
      <c r="DL2227" s="58" t="s">
        <v>20216</v>
      </c>
    </row>
    <row r="2228" ht="15.75" customHeight="1">
      <c r="B2228" s="58" t="s">
        <v>16392</v>
      </c>
      <c r="C2228" s="58">
        <v>2023.0</v>
      </c>
      <c r="D2228" s="58" t="s">
        <v>20217</v>
      </c>
      <c r="E2228" s="58" t="s">
        <v>20218</v>
      </c>
      <c r="F2228" s="58" t="s">
        <v>16436</v>
      </c>
      <c r="H2228" s="58" t="s">
        <v>16437</v>
      </c>
      <c r="I2228" s="58" t="s">
        <v>20219</v>
      </c>
      <c r="K2228" s="73">
        <v>45110.0</v>
      </c>
      <c r="R2228" s="58">
        <v>11.0</v>
      </c>
      <c r="Z2228" s="58" t="s">
        <v>239</v>
      </c>
      <c r="CH2228" s="58" t="s">
        <v>20220</v>
      </c>
      <c r="CI2228" s="73">
        <v>45118.0</v>
      </c>
      <c r="CJ2228" s="58">
        <v>68093.0</v>
      </c>
      <c r="CK2228" s="58">
        <v>68112.0</v>
      </c>
      <c r="CL2228" s="58" t="s">
        <v>20221</v>
      </c>
      <c r="CN2228" s="58" t="s">
        <v>20222</v>
      </c>
      <c r="CO2228" s="58" t="s">
        <v>20223</v>
      </c>
      <c r="CP2228" s="58" t="s">
        <v>20224</v>
      </c>
      <c r="CR2228" s="58">
        <v>5.0</v>
      </c>
      <c r="CT2228" s="58">
        <v>74.0</v>
      </c>
      <c r="CU2228" s="58" t="s">
        <v>16423</v>
      </c>
      <c r="DL2228" s="58" t="s">
        <v>20225</v>
      </c>
    </row>
    <row r="2229" ht="15.75" customHeight="1">
      <c r="B2229" s="58" t="s">
        <v>16392</v>
      </c>
      <c r="C2229" s="58">
        <v>2024.0</v>
      </c>
      <c r="D2229" s="58" t="s">
        <v>20226</v>
      </c>
      <c r="E2229" s="58" t="s">
        <v>20227</v>
      </c>
      <c r="F2229" s="58" t="s">
        <v>16436</v>
      </c>
      <c r="H2229" s="58" t="s">
        <v>16437</v>
      </c>
      <c r="I2229" s="58" t="s">
        <v>20228</v>
      </c>
      <c r="K2229" s="73">
        <v>45296.0</v>
      </c>
      <c r="R2229" s="58">
        <v>12.0</v>
      </c>
      <c r="Z2229" s="58" t="s">
        <v>239</v>
      </c>
      <c r="CH2229" s="58" t="s">
        <v>20229</v>
      </c>
      <c r="CI2229" s="73">
        <v>45302.0</v>
      </c>
      <c r="CJ2229" s="58">
        <v>5284.0</v>
      </c>
      <c r="CK2229" s="58">
        <v>5294.0</v>
      </c>
      <c r="CL2229" s="58" t="s">
        <v>20230</v>
      </c>
      <c r="CN2229" s="58" t="s">
        <v>20231</v>
      </c>
      <c r="CO2229" s="58" t="s">
        <v>20232</v>
      </c>
      <c r="CP2229" s="58" t="s">
        <v>20233</v>
      </c>
      <c r="CR2229" s="58">
        <v>5.0</v>
      </c>
      <c r="CT2229" s="58">
        <v>42.0</v>
      </c>
      <c r="CU2229" s="58" t="s">
        <v>16727</v>
      </c>
      <c r="DL2229" s="58" t="s">
        <v>20234</v>
      </c>
    </row>
    <row r="2230" ht="15.75" customHeight="1">
      <c r="B2230" s="58" t="s">
        <v>16392</v>
      </c>
      <c r="C2230" s="58">
        <v>2024.0</v>
      </c>
      <c r="D2230" s="58" t="s">
        <v>20235</v>
      </c>
      <c r="E2230" s="58" t="s">
        <v>20236</v>
      </c>
      <c r="F2230" s="58" t="s">
        <v>18916</v>
      </c>
      <c r="H2230" s="58" t="s">
        <v>18917</v>
      </c>
      <c r="I2230" s="58" t="s">
        <v>20237</v>
      </c>
      <c r="K2230" s="73">
        <v>45348.0</v>
      </c>
      <c r="Q2230" s="58">
        <v>1.0</v>
      </c>
      <c r="R2230" s="58">
        <v>70.0</v>
      </c>
      <c r="Z2230" s="58" t="s">
        <v>239</v>
      </c>
      <c r="CH2230" s="58" t="s">
        <v>20238</v>
      </c>
      <c r="CI2230" s="73">
        <v>45411.0</v>
      </c>
      <c r="CJ2230" s="58">
        <v>2303.0</v>
      </c>
      <c r="CK2230" s="58">
        <v>2310.0</v>
      </c>
      <c r="CL2230" s="58" t="s">
        <v>20239</v>
      </c>
      <c r="CO2230" s="58" t="s">
        <v>20240</v>
      </c>
      <c r="CP2230" s="58" t="s">
        <v>20241</v>
      </c>
      <c r="CR2230" s="58">
        <v>5.0</v>
      </c>
      <c r="CT2230" s="58">
        <v>23.0</v>
      </c>
      <c r="CU2230" s="58" t="s">
        <v>239</v>
      </c>
      <c r="DL2230" s="58" t="s">
        <v>20242</v>
      </c>
    </row>
    <row r="2231" ht="15.75" customHeight="1">
      <c r="B2231" s="58" t="s">
        <v>16392</v>
      </c>
      <c r="C2231" s="58">
        <v>2022.0</v>
      </c>
      <c r="D2231" s="58" t="s">
        <v>20243</v>
      </c>
      <c r="E2231" s="58" t="s">
        <v>20244</v>
      </c>
      <c r="F2231" s="58" t="s">
        <v>16436</v>
      </c>
      <c r="H2231" s="58" t="s">
        <v>16437</v>
      </c>
      <c r="I2231" s="58" t="s">
        <v>20245</v>
      </c>
      <c r="K2231" s="73">
        <v>44718.0</v>
      </c>
      <c r="R2231" s="58">
        <v>10.0</v>
      </c>
      <c r="Z2231" s="58" t="s">
        <v>239</v>
      </c>
      <c r="CH2231" s="58" t="s">
        <v>20246</v>
      </c>
      <c r="CI2231" s="73">
        <v>44725.0</v>
      </c>
      <c r="CJ2231" s="58">
        <v>60658.0</v>
      </c>
      <c r="CK2231" s="58">
        <v>60673.0</v>
      </c>
      <c r="CL2231" s="58" t="s">
        <v>20247</v>
      </c>
      <c r="CN2231" s="58" t="s">
        <v>20248</v>
      </c>
      <c r="CO2231" s="58" t="s">
        <v>20249</v>
      </c>
      <c r="CP2231" s="58" t="s">
        <v>20250</v>
      </c>
      <c r="CR2231" s="58">
        <v>5.0</v>
      </c>
      <c r="CT2231" s="58">
        <v>63.0</v>
      </c>
      <c r="CU2231" s="58" t="s">
        <v>16727</v>
      </c>
      <c r="DL2231" s="58" t="s">
        <v>20251</v>
      </c>
    </row>
    <row r="2232" ht="15.75" customHeight="1">
      <c r="B2232" s="58" t="s">
        <v>16392</v>
      </c>
      <c r="C2232" s="58">
        <v>2024.0</v>
      </c>
      <c r="D2232" s="58" t="s">
        <v>20252</v>
      </c>
      <c r="E2232" s="58" t="s">
        <v>20253</v>
      </c>
      <c r="F2232" s="58" t="s">
        <v>16436</v>
      </c>
      <c r="H2232" s="58" t="s">
        <v>16437</v>
      </c>
      <c r="I2232" s="58" t="s">
        <v>20254</v>
      </c>
      <c r="K2232" s="73">
        <v>45328.0</v>
      </c>
      <c r="R2232" s="58">
        <v>12.0</v>
      </c>
      <c r="Z2232" s="58" t="s">
        <v>239</v>
      </c>
      <c r="CH2232" s="58" t="s">
        <v>20255</v>
      </c>
      <c r="CI2232" s="73">
        <v>45337.0</v>
      </c>
      <c r="CJ2232" s="58">
        <v>22841.0</v>
      </c>
      <c r="CK2232" s="58">
        <v>22865.0</v>
      </c>
      <c r="CL2232" s="58" t="s">
        <v>20256</v>
      </c>
      <c r="CN2232" s="58" t="s">
        <v>20257</v>
      </c>
      <c r="CO2232" s="58" t="s">
        <v>20258</v>
      </c>
      <c r="CP2232" s="58" t="s">
        <v>20259</v>
      </c>
      <c r="CR2232" s="58">
        <v>5.0</v>
      </c>
      <c r="CT2232" s="58">
        <v>237.0</v>
      </c>
      <c r="CU2232" s="58" t="s">
        <v>16727</v>
      </c>
      <c r="DL2232" s="58" t="s">
        <v>20260</v>
      </c>
    </row>
    <row r="2233" ht="15.75" customHeight="1">
      <c r="B2233" s="58" t="s">
        <v>16392</v>
      </c>
      <c r="C2233" s="58">
        <v>2025.0</v>
      </c>
      <c r="D2233" s="58" t="s">
        <v>20261</v>
      </c>
      <c r="E2233" s="58" t="s">
        <v>20262</v>
      </c>
      <c r="F2233" s="58" t="s">
        <v>16395</v>
      </c>
      <c r="H2233" s="58" t="s">
        <v>16396</v>
      </c>
      <c r="I2233" s="58" t="s">
        <v>20263</v>
      </c>
      <c r="K2233" s="73">
        <v>45446.0</v>
      </c>
      <c r="Q2233" s="58">
        <v>1.0</v>
      </c>
      <c r="R2233" s="58">
        <v>27.0</v>
      </c>
      <c r="Z2233" s="58" t="s">
        <v>239</v>
      </c>
      <c r="CH2233" s="58" t="s">
        <v>20264</v>
      </c>
      <c r="CI2233" s="73">
        <v>45702.0</v>
      </c>
      <c r="CJ2233" s="58">
        <v>372.0</v>
      </c>
      <c r="CK2233" s="58">
        <v>425.0</v>
      </c>
      <c r="CL2233" s="58" t="s">
        <v>20265</v>
      </c>
      <c r="CN2233" s="58" t="s">
        <v>20266</v>
      </c>
      <c r="CO2233" s="58" t="s">
        <v>20267</v>
      </c>
      <c r="CP2233" s="58" t="s">
        <v>20268</v>
      </c>
      <c r="CR2233" s="58">
        <v>5.0</v>
      </c>
      <c r="CT2233" s="58">
        <v>388.0</v>
      </c>
      <c r="CU2233" s="58" t="s">
        <v>239</v>
      </c>
      <c r="DL2233" s="58" t="s">
        <v>20269</v>
      </c>
    </row>
    <row r="2234" ht="15.75" customHeight="1">
      <c r="B2234" s="58" t="s">
        <v>16392</v>
      </c>
      <c r="C2234" s="58">
        <v>2023.0</v>
      </c>
      <c r="D2234" s="58" t="s">
        <v>20270</v>
      </c>
      <c r="E2234" s="58" t="s">
        <v>20271</v>
      </c>
      <c r="F2234" s="58" t="s">
        <v>20272</v>
      </c>
      <c r="H2234" s="58" t="s">
        <v>20273</v>
      </c>
      <c r="I2234" s="58" t="s">
        <v>20274</v>
      </c>
      <c r="K2234" s="73">
        <v>45219.0</v>
      </c>
      <c r="Q2234" s="58">
        <v>4.0</v>
      </c>
      <c r="R2234" s="58">
        <v>17.0</v>
      </c>
      <c r="Z2234" s="58" t="s">
        <v>239</v>
      </c>
      <c r="CH2234" s="58" t="s">
        <v>20275</v>
      </c>
      <c r="CI2234" s="73">
        <v>45272.0</v>
      </c>
      <c r="CJ2234" s="58">
        <v>5346.0</v>
      </c>
      <c r="CK2234" s="58">
        <v>5356.0</v>
      </c>
      <c r="CL2234" s="58" t="s">
        <v>20276</v>
      </c>
      <c r="CN2234" s="58" t="s">
        <v>20277</v>
      </c>
      <c r="CO2234" s="58" t="s">
        <v>20278</v>
      </c>
      <c r="CP2234" s="58" t="s">
        <v>20279</v>
      </c>
      <c r="CR2234" s="58">
        <v>5.0</v>
      </c>
      <c r="CT2234" s="58">
        <v>33.0</v>
      </c>
      <c r="CU2234" s="58" t="s">
        <v>239</v>
      </c>
      <c r="DL2234" s="58" t="s">
        <v>20280</v>
      </c>
    </row>
    <row r="2235" ht="15.75" customHeight="1">
      <c r="B2235" s="58" t="s">
        <v>16392</v>
      </c>
      <c r="C2235" s="58">
        <v>2023.0</v>
      </c>
      <c r="D2235" s="58" t="s">
        <v>20281</v>
      </c>
      <c r="E2235" s="58" t="s">
        <v>20282</v>
      </c>
      <c r="F2235" s="58" t="s">
        <v>16436</v>
      </c>
      <c r="H2235" s="58" t="s">
        <v>16437</v>
      </c>
      <c r="I2235" s="58" t="s">
        <v>20283</v>
      </c>
      <c r="K2235" s="73">
        <v>45247.0</v>
      </c>
      <c r="R2235" s="58">
        <v>11.0</v>
      </c>
      <c r="Z2235" s="58" t="s">
        <v>239</v>
      </c>
      <c r="CH2235" s="58" t="s">
        <v>20284</v>
      </c>
      <c r="CI2235" s="73">
        <v>45253.0</v>
      </c>
      <c r="CJ2235" s="58">
        <v>129536.0</v>
      </c>
      <c r="CK2235" s="58">
        <v>129551.0</v>
      </c>
      <c r="CL2235" s="58" t="s">
        <v>20285</v>
      </c>
      <c r="CN2235" s="58" t="s">
        <v>20286</v>
      </c>
      <c r="CO2235" s="58" t="s">
        <v>20287</v>
      </c>
      <c r="CP2235" s="58" t="s">
        <v>20288</v>
      </c>
      <c r="CR2235" s="58">
        <v>5.0</v>
      </c>
      <c r="CT2235" s="58">
        <v>95.0</v>
      </c>
      <c r="CU2235" s="58" t="s">
        <v>16727</v>
      </c>
      <c r="DL2235" s="58" t="s">
        <v>20289</v>
      </c>
    </row>
    <row r="2236" ht="15.75" customHeight="1">
      <c r="B2236" s="58" t="s">
        <v>16392</v>
      </c>
      <c r="C2236" s="58">
        <v>2024.0</v>
      </c>
      <c r="D2236" s="58" t="s">
        <v>20290</v>
      </c>
      <c r="E2236" s="58" t="s">
        <v>20291</v>
      </c>
      <c r="F2236" s="58" t="s">
        <v>16436</v>
      </c>
      <c r="H2236" s="58" t="s">
        <v>16437</v>
      </c>
      <c r="I2236" s="58" t="s">
        <v>20292</v>
      </c>
      <c r="K2236" s="73">
        <v>45441.0</v>
      </c>
      <c r="R2236" s="58">
        <v>12.0</v>
      </c>
      <c r="Z2236" s="58" t="s">
        <v>239</v>
      </c>
      <c r="CH2236" s="58" t="s">
        <v>20293</v>
      </c>
      <c r="CI2236" s="73">
        <v>45454.0</v>
      </c>
      <c r="CJ2236" s="58">
        <v>79978.0</v>
      </c>
      <c r="CK2236" s="58">
        <v>80008.0</v>
      </c>
      <c r="CL2236" s="58" t="s">
        <v>20294</v>
      </c>
      <c r="CN2236" s="58" t="s">
        <v>20295</v>
      </c>
      <c r="CO2236" s="58" t="s">
        <v>20296</v>
      </c>
      <c r="CP2236" s="58" t="s">
        <v>20297</v>
      </c>
      <c r="CR2236" s="58">
        <v>5.0</v>
      </c>
      <c r="CT2236" s="58">
        <v>73.0</v>
      </c>
      <c r="CU2236" s="58" t="s">
        <v>16727</v>
      </c>
      <c r="DL2236" s="58" t="s">
        <v>20298</v>
      </c>
    </row>
    <row r="2237" ht="15.75" customHeight="1">
      <c r="B2237" s="58" t="s">
        <v>16392</v>
      </c>
      <c r="C2237" s="58">
        <v>2023.0</v>
      </c>
      <c r="D2237" s="58" t="s">
        <v>20299</v>
      </c>
      <c r="E2237" s="58" t="s">
        <v>20300</v>
      </c>
      <c r="F2237" s="58" t="s">
        <v>16538</v>
      </c>
      <c r="H2237" s="58" t="s">
        <v>16539</v>
      </c>
      <c r="I2237" s="58" t="s">
        <v>20301</v>
      </c>
      <c r="K2237" s="73">
        <v>45111.0</v>
      </c>
      <c r="Q2237" s="58">
        <v>21.0</v>
      </c>
      <c r="R2237" s="58">
        <v>10.0</v>
      </c>
      <c r="Z2237" s="58" t="s">
        <v>239</v>
      </c>
      <c r="CH2237" s="58" t="s">
        <v>20302</v>
      </c>
      <c r="CI2237" s="73">
        <v>45218.0</v>
      </c>
      <c r="CJ2237" s="58">
        <v>18941.0</v>
      </c>
      <c r="CK2237" s="58">
        <v>18950.0</v>
      </c>
      <c r="CL2237" s="58" t="s">
        <v>20303</v>
      </c>
      <c r="CN2237" s="58" t="s">
        <v>20304</v>
      </c>
      <c r="CO2237" s="58" t="s">
        <v>20305</v>
      </c>
      <c r="CP2237" s="58" t="s">
        <v>20306</v>
      </c>
      <c r="CR2237" s="58">
        <v>5.0</v>
      </c>
      <c r="CT2237" s="58">
        <v>21.0</v>
      </c>
      <c r="CU2237" s="58" t="s">
        <v>239</v>
      </c>
      <c r="DL2237" s="58" t="s">
        <v>20307</v>
      </c>
    </row>
    <row r="2238" ht="15.75" customHeight="1">
      <c r="B2238" s="58" t="s">
        <v>16392</v>
      </c>
      <c r="C2238" s="58">
        <v>2020.0</v>
      </c>
      <c r="D2238" s="58" t="s">
        <v>20308</v>
      </c>
      <c r="E2238" s="58" t="s">
        <v>20309</v>
      </c>
      <c r="F2238" s="58" t="s">
        <v>16436</v>
      </c>
      <c r="H2238" s="58" t="s">
        <v>16437</v>
      </c>
      <c r="I2238" s="58" t="s">
        <v>20310</v>
      </c>
      <c r="K2238" s="73">
        <v>44050.0</v>
      </c>
      <c r="R2238" s="58">
        <v>8.0</v>
      </c>
      <c r="Z2238" s="58" t="s">
        <v>239</v>
      </c>
      <c r="CH2238" s="58" t="s">
        <v>20311</v>
      </c>
      <c r="CI2238" s="73">
        <v>44060.0</v>
      </c>
      <c r="CJ2238" s="58">
        <v>146648.0</v>
      </c>
      <c r="CK2238" s="58">
        <v>146665.0</v>
      </c>
      <c r="CL2238" s="58" t="s">
        <v>20312</v>
      </c>
      <c r="CN2238" s="58" t="s">
        <v>20313</v>
      </c>
      <c r="CO2238" s="58" t="s">
        <v>20314</v>
      </c>
      <c r="CP2238" s="58" t="s">
        <v>20315</v>
      </c>
      <c r="CR2238" s="58">
        <v>5.0</v>
      </c>
      <c r="CT2238" s="58">
        <v>67.0</v>
      </c>
      <c r="CU2238" s="58" t="s">
        <v>16423</v>
      </c>
      <c r="DL2238" s="58" t="s">
        <v>20316</v>
      </c>
    </row>
    <row r="2239" ht="15.75" customHeight="1">
      <c r="B2239" s="58" t="s">
        <v>16392</v>
      </c>
      <c r="C2239" s="58">
        <v>2020.0</v>
      </c>
      <c r="D2239" s="58" t="s">
        <v>20317</v>
      </c>
      <c r="E2239" s="58" t="s">
        <v>20318</v>
      </c>
      <c r="F2239" s="58" t="s">
        <v>16436</v>
      </c>
      <c r="H2239" s="58" t="s">
        <v>16437</v>
      </c>
      <c r="I2239" s="58" t="s">
        <v>20319</v>
      </c>
      <c r="K2239" s="73">
        <v>43929.0</v>
      </c>
      <c r="R2239" s="58">
        <v>8.0</v>
      </c>
      <c r="Z2239" s="58" t="s">
        <v>239</v>
      </c>
      <c r="CH2239" s="58" t="s">
        <v>20320</v>
      </c>
      <c r="CI2239" s="73">
        <v>43937.0</v>
      </c>
      <c r="CJ2239" s="58">
        <v>66456.0</v>
      </c>
      <c r="CK2239" s="58">
        <v>66474.0</v>
      </c>
      <c r="CL2239" s="58" t="s">
        <v>20321</v>
      </c>
      <c r="CN2239" s="58" t="s">
        <v>20322</v>
      </c>
      <c r="CO2239" s="58" t="s">
        <v>20323</v>
      </c>
      <c r="CP2239" s="58" t="s">
        <v>20324</v>
      </c>
      <c r="CR2239" s="58">
        <v>5.0</v>
      </c>
      <c r="CT2239" s="58">
        <v>51.0</v>
      </c>
      <c r="CU2239" s="58" t="s">
        <v>16423</v>
      </c>
      <c r="DL2239" s="58" t="s">
        <v>20325</v>
      </c>
    </row>
    <row r="2240" ht="15.75" customHeight="1">
      <c r="B2240" s="58" t="s">
        <v>16392</v>
      </c>
      <c r="C2240" s="58">
        <v>2021.0</v>
      </c>
      <c r="D2240" s="58" t="s">
        <v>20326</v>
      </c>
      <c r="E2240" s="58" t="s">
        <v>20327</v>
      </c>
      <c r="F2240" s="58" t="s">
        <v>16436</v>
      </c>
      <c r="H2240" s="58" t="s">
        <v>16437</v>
      </c>
      <c r="I2240" s="58" t="s">
        <v>20328</v>
      </c>
      <c r="K2240" s="73">
        <v>44349.0</v>
      </c>
      <c r="R2240" s="58">
        <v>9.0</v>
      </c>
      <c r="Z2240" s="58" t="s">
        <v>239</v>
      </c>
      <c r="CH2240" s="58" t="s">
        <v>20329</v>
      </c>
      <c r="CI2240" s="73">
        <v>44354.0</v>
      </c>
      <c r="CJ2240" s="58">
        <v>80821.0</v>
      </c>
      <c r="CK2240" s="58">
        <v>80834.0</v>
      </c>
      <c r="CL2240" s="58" t="s">
        <v>20330</v>
      </c>
      <c r="CN2240" s="58" t="s">
        <v>20331</v>
      </c>
      <c r="CO2240" s="58" t="s">
        <v>20332</v>
      </c>
      <c r="CP2240" s="58" t="s">
        <v>20333</v>
      </c>
      <c r="CR2240" s="58">
        <v>4.0</v>
      </c>
      <c r="CT2240" s="58">
        <v>40.0</v>
      </c>
      <c r="CU2240" s="58" t="s">
        <v>16423</v>
      </c>
      <c r="DL2240" s="58" t="s">
        <v>20334</v>
      </c>
    </row>
    <row r="2241" ht="15.75" customHeight="1">
      <c r="B2241" s="58" t="s">
        <v>16392</v>
      </c>
      <c r="C2241" s="58">
        <v>2024.0</v>
      </c>
      <c r="D2241" s="58" t="s">
        <v>20335</v>
      </c>
      <c r="E2241" s="58" t="s">
        <v>20336</v>
      </c>
      <c r="F2241" s="58" t="s">
        <v>16436</v>
      </c>
      <c r="H2241" s="58" t="s">
        <v>16437</v>
      </c>
      <c r="I2241" s="58" t="s">
        <v>20337</v>
      </c>
      <c r="K2241" s="73">
        <v>45454.0</v>
      </c>
      <c r="R2241" s="58">
        <v>12.0</v>
      </c>
      <c r="Z2241" s="58" t="s">
        <v>239</v>
      </c>
      <c r="CH2241" s="58" t="s">
        <v>20338</v>
      </c>
      <c r="CI2241" s="73">
        <v>45457.0</v>
      </c>
      <c r="CJ2241" s="58">
        <v>81889.0</v>
      </c>
      <c r="CK2241" s="58">
        <v>81910.0</v>
      </c>
      <c r="CL2241" s="58" t="s">
        <v>20339</v>
      </c>
      <c r="CN2241" s="58" t="s">
        <v>20340</v>
      </c>
      <c r="CO2241" s="58" t="s">
        <v>20341</v>
      </c>
      <c r="CP2241" s="58" t="s">
        <v>20342</v>
      </c>
      <c r="CR2241" s="58">
        <v>4.0</v>
      </c>
      <c r="CT2241" s="58">
        <v>94.0</v>
      </c>
      <c r="CU2241" s="58" t="s">
        <v>16423</v>
      </c>
      <c r="DL2241" s="58" t="s">
        <v>20343</v>
      </c>
    </row>
    <row r="2242" ht="15.75" customHeight="1">
      <c r="B2242" s="58" t="s">
        <v>16392</v>
      </c>
      <c r="C2242" s="58">
        <v>2024.0</v>
      </c>
      <c r="D2242" s="58" t="s">
        <v>20344</v>
      </c>
      <c r="E2242" s="58" t="s">
        <v>20345</v>
      </c>
      <c r="F2242" s="58" t="s">
        <v>16538</v>
      </c>
      <c r="H2242" s="58" t="s">
        <v>16539</v>
      </c>
      <c r="I2242" s="58" t="s">
        <v>20346</v>
      </c>
      <c r="K2242" s="73">
        <v>45316.0</v>
      </c>
      <c r="Q2242" s="58">
        <v>10.0</v>
      </c>
      <c r="R2242" s="58">
        <v>11.0</v>
      </c>
      <c r="Z2242" s="58" t="s">
        <v>239</v>
      </c>
      <c r="CH2242" s="58" t="s">
        <v>20347</v>
      </c>
      <c r="CI2242" s="73">
        <v>45421.0</v>
      </c>
      <c r="CJ2242" s="58">
        <v>17082.0</v>
      </c>
      <c r="CK2242" s="58">
        <v>17096.0</v>
      </c>
      <c r="CL2242" s="58" t="s">
        <v>20348</v>
      </c>
      <c r="CN2242" s="58" t="s">
        <v>20349</v>
      </c>
      <c r="CO2242" s="58" t="s">
        <v>20350</v>
      </c>
      <c r="CP2242" s="58" t="s">
        <v>20351</v>
      </c>
      <c r="CR2242" s="58">
        <v>4.0</v>
      </c>
      <c r="CT2242" s="58">
        <v>47.0</v>
      </c>
      <c r="CU2242" s="58" t="s">
        <v>239</v>
      </c>
      <c r="DL2242" s="58" t="s">
        <v>20352</v>
      </c>
    </row>
    <row r="2243" ht="15.75" customHeight="1">
      <c r="B2243" s="58" t="s">
        <v>16392</v>
      </c>
      <c r="C2243" s="58">
        <v>2022.0</v>
      </c>
      <c r="D2243" s="58" t="s">
        <v>20353</v>
      </c>
      <c r="E2243" s="58" t="s">
        <v>20354</v>
      </c>
      <c r="F2243" s="58" t="s">
        <v>18018</v>
      </c>
      <c r="H2243" s="58" t="s">
        <v>18019</v>
      </c>
      <c r="I2243" s="58" t="s">
        <v>20355</v>
      </c>
      <c r="K2243" s="73">
        <v>44237.0</v>
      </c>
      <c r="Q2243" s="58">
        <v>1.0</v>
      </c>
      <c r="R2243" s="58">
        <v>7.0</v>
      </c>
      <c r="Z2243" s="58" t="s">
        <v>239</v>
      </c>
      <c r="CH2243" s="58" t="s">
        <v>20356</v>
      </c>
      <c r="CI2243" s="73">
        <v>44628.0</v>
      </c>
      <c r="CJ2243" s="58">
        <v>135.0</v>
      </c>
      <c r="CK2243" s="58">
        <v>143.0</v>
      </c>
      <c r="CL2243" s="58" t="s">
        <v>20357</v>
      </c>
      <c r="CN2243" s="58" t="s">
        <v>20358</v>
      </c>
      <c r="CO2243" s="58" t="s">
        <v>20359</v>
      </c>
      <c r="CP2243" s="58" t="s">
        <v>20360</v>
      </c>
      <c r="CR2243" s="58">
        <v>4.0</v>
      </c>
      <c r="CT2243" s="58">
        <v>32.0</v>
      </c>
      <c r="CU2243" s="58" t="s">
        <v>239</v>
      </c>
      <c r="DL2243" s="58" t="s">
        <v>20361</v>
      </c>
    </row>
    <row r="2244" ht="15.75" customHeight="1">
      <c r="B2244" s="58" t="s">
        <v>16392</v>
      </c>
      <c r="C2244" s="58">
        <v>2020.0</v>
      </c>
      <c r="D2244" s="58" t="s">
        <v>20362</v>
      </c>
      <c r="E2244" s="58" t="s">
        <v>20363</v>
      </c>
      <c r="F2244" s="58" t="s">
        <v>18916</v>
      </c>
      <c r="H2244" s="58" t="s">
        <v>18917</v>
      </c>
      <c r="I2244" s="58" t="s">
        <v>20364</v>
      </c>
      <c r="K2244" s="73">
        <v>44064.0</v>
      </c>
      <c r="Q2244" s="58">
        <v>4.0</v>
      </c>
      <c r="R2244" s="58">
        <v>66.0</v>
      </c>
      <c r="Z2244" s="58" t="s">
        <v>239</v>
      </c>
      <c r="CH2244" s="58" t="s">
        <v>20365</v>
      </c>
      <c r="CI2244" s="73">
        <v>44160.0</v>
      </c>
      <c r="CJ2244" s="58">
        <v>279.0</v>
      </c>
      <c r="CK2244" s="58">
        <v>288.0</v>
      </c>
      <c r="CL2244" s="58" t="s">
        <v>20366</v>
      </c>
      <c r="CN2244" s="58" t="s">
        <v>20367</v>
      </c>
      <c r="CO2244" s="58" t="s">
        <v>20368</v>
      </c>
      <c r="CP2244" s="58" t="s">
        <v>20369</v>
      </c>
      <c r="CR2244" s="58">
        <v>4.0</v>
      </c>
      <c r="CT2244" s="58">
        <v>33.0</v>
      </c>
      <c r="CU2244" s="58" t="s">
        <v>16423</v>
      </c>
      <c r="DL2244" s="58" t="s">
        <v>20370</v>
      </c>
    </row>
    <row r="2245" ht="15.75" customHeight="1">
      <c r="B2245" s="58" t="s">
        <v>16392</v>
      </c>
      <c r="C2245" s="58">
        <v>2023.0</v>
      </c>
      <c r="D2245" s="58" t="s">
        <v>20371</v>
      </c>
      <c r="E2245" s="58" t="s">
        <v>20372</v>
      </c>
      <c r="F2245" s="58" t="s">
        <v>16613</v>
      </c>
      <c r="H2245" s="58" t="s">
        <v>16614</v>
      </c>
      <c r="I2245" s="58" t="s">
        <v>20373</v>
      </c>
      <c r="K2245" s="73">
        <v>44974.0</v>
      </c>
      <c r="Q2245" s="58">
        <v>4.0</v>
      </c>
      <c r="R2245" s="58">
        <v>16.0</v>
      </c>
      <c r="Z2245" s="58" t="s">
        <v>239</v>
      </c>
      <c r="CH2245" s="58" t="s">
        <v>20374</v>
      </c>
      <c r="CI2245" s="73">
        <v>45146.0</v>
      </c>
      <c r="CJ2245" s="58">
        <v>2575.0</v>
      </c>
      <c r="CK2245" s="58">
        <v>2591.0</v>
      </c>
      <c r="CL2245" s="58" t="s">
        <v>20375</v>
      </c>
      <c r="CO2245" s="58" t="s">
        <v>20376</v>
      </c>
      <c r="CP2245" s="58" t="s">
        <v>20377</v>
      </c>
      <c r="CR2245" s="58">
        <v>4.0</v>
      </c>
      <c r="CT2245" s="58">
        <v>56.0</v>
      </c>
      <c r="CU2245" s="58" t="s">
        <v>239</v>
      </c>
      <c r="DL2245" s="58" t="s">
        <v>20378</v>
      </c>
    </row>
    <row r="2246" ht="15.75" customHeight="1">
      <c r="B2246" s="58" t="s">
        <v>16392</v>
      </c>
      <c r="C2246" s="58">
        <v>2024.0</v>
      </c>
      <c r="D2246" s="58" t="s">
        <v>20379</v>
      </c>
      <c r="E2246" s="58" t="s">
        <v>20380</v>
      </c>
      <c r="F2246" s="58" t="s">
        <v>16395</v>
      </c>
      <c r="H2246" s="58" t="s">
        <v>16396</v>
      </c>
      <c r="I2246" s="58" t="s">
        <v>20381</v>
      </c>
      <c r="K2246" s="73">
        <v>45365.0</v>
      </c>
      <c r="Q2246" s="58">
        <v>4.0</v>
      </c>
      <c r="R2246" s="58">
        <v>26.0</v>
      </c>
      <c r="Z2246" s="58" t="s">
        <v>239</v>
      </c>
      <c r="CH2246" s="58" t="s">
        <v>20382</v>
      </c>
      <c r="CI2246" s="73">
        <v>45617.0</v>
      </c>
      <c r="CJ2246" s="58">
        <v>2729.0</v>
      </c>
      <c r="CK2246" s="58">
        <v>2768.0</v>
      </c>
      <c r="CL2246" s="58" t="s">
        <v>20383</v>
      </c>
      <c r="CN2246" s="58" t="s">
        <v>20384</v>
      </c>
      <c r="CO2246" s="58" t="s">
        <v>20385</v>
      </c>
      <c r="CP2246" s="58" t="s">
        <v>20386</v>
      </c>
      <c r="CR2246" s="58">
        <v>4.0</v>
      </c>
      <c r="CT2246" s="58">
        <v>168.0</v>
      </c>
      <c r="CU2246" s="58" t="s">
        <v>16727</v>
      </c>
      <c r="DL2246" s="58" t="s">
        <v>20387</v>
      </c>
    </row>
    <row r="2247" ht="15.75" customHeight="1">
      <c r="B2247" s="58" t="s">
        <v>16392</v>
      </c>
      <c r="C2247" s="58">
        <v>2024.0</v>
      </c>
      <c r="D2247" s="58" t="s">
        <v>20388</v>
      </c>
      <c r="E2247" s="58" t="s">
        <v>20389</v>
      </c>
      <c r="F2247" s="58" t="s">
        <v>16731</v>
      </c>
      <c r="H2247" s="58" t="s">
        <v>16732</v>
      </c>
      <c r="I2247" s="58" t="s">
        <v>20390</v>
      </c>
      <c r="K2247" s="73">
        <v>45506.0</v>
      </c>
      <c r="Q2247" s="58">
        <v>11.0</v>
      </c>
      <c r="R2247" s="58">
        <v>20.0</v>
      </c>
      <c r="Z2247" s="58" t="s">
        <v>239</v>
      </c>
      <c r="CH2247" s="58" t="s">
        <v>20391</v>
      </c>
      <c r="CI2247" s="73">
        <v>45601.0</v>
      </c>
      <c r="CJ2247" s="58">
        <v>12758.0</v>
      </c>
      <c r="CK2247" s="58">
        <v>12770.0</v>
      </c>
      <c r="CL2247" s="58" t="s">
        <v>20392</v>
      </c>
      <c r="CN2247" s="58" t="s">
        <v>20393</v>
      </c>
      <c r="CO2247" s="58" t="s">
        <v>20394</v>
      </c>
      <c r="CP2247" s="58" t="s">
        <v>20395</v>
      </c>
      <c r="CR2247" s="58">
        <v>4.0</v>
      </c>
      <c r="CT2247" s="58">
        <v>38.0</v>
      </c>
      <c r="CU2247" s="58" t="s">
        <v>239</v>
      </c>
      <c r="DL2247" s="58" t="s">
        <v>20396</v>
      </c>
    </row>
    <row r="2248" ht="15.75" customHeight="1">
      <c r="B2248" s="58" t="s">
        <v>16392</v>
      </c>
      <c r="C2248" s="58">
        <v>2022.0</v>
      </c>
      <c r="D2248" s="58" t="s">
        <v>20397</v>
      </c>
      <c r="E2248" s="58" t="s">
        <v>20398</v>
      </c>
      <c r="F2248" s="58" t="s">
        <v>20272</v>
      </c>
      <c r="H2248" s="58" t="s">
        <v>20273</v>
      </c>
      <c r="I2248" s="58" t="s">
        <v>20399</v>
      </c>
      <c r="K2248" s="73">
        <v>44494.0</v>
      </c>
      <c r="Q2248" s="58">
        <v>4.0</v>
      </c>
      <c r="R2248" s="58">
        <v>16.0</v>
      </c>
      <c r="Z2248" s="58" t="s">
        <v>239</v>
      </c>
      <c r="CH2248" s="58" t="s">
        <v>20400</v>
      </c>
      <c r="CI2248" s="73">
        <v>44904.0</v>
      </c>
      <c r="CJ2248" s="58">
        <v>5317.0</v>
      </c>
      <c r="CK2248" s="58">
        <v>5328.0</v>
      </c>
      <c r="CL2248" s="58" t="s">
        <v>20401</v>
      </c>
      <c r="CN2248" s="58" t="s">
        <v>20402</v>
      </c>
      <c r="CO2248" s="58" t="s">
        <v>20403</v>
      </c>
      <c r="CP2248" s="58" t="s">
        <v>20404</v>
      </c>
      <c r="CR2248" s="58">
        <v>4.0</v>
      </c>
      <c r="CT2248" s="58">
        <v>36.0</v>
      </c>
      <c r="CU2248" s="58" t="s">
        <v>239</v>
      </c>
      <c r="DL2248" s="58" t="s">
        <v>20405</v>
      </c>
    </row>
    <row r="2249" ht="15.75" customHeight="1">
      <c r="B2249" s="58" t="s">
        <v>16392</v>
      </c>
      <c r="C2249" s="58">
        <v>2023.0</v>
      </c>
      <c r="D2249" s="58" t="s">
        <v>20406</v>
      </c>
      <c r="E2249" s="58" t="s">
        <v>20407</v>
      </c>
      <c r="F2249" s="58" t="s">
        <v>16959</v>
      </c>
      <c r="H2249" s="58" t="s">
        <v>16960</v>
      </c>
      <c r="I2249" s="58" t="s">
        <v>20408</v>
      </c>
      <c r="K2249" s="73">
        <v>44964.0</v>
      </c>
      <c r="Q2249" s="58">
        <v>3.0</v>
      </c>
      <c r="R2249" s="58">
        <v>20.0</v>
      </c>
      <c r="Z2249" s="58" t="s">
        <v>239</v>
      </c>
      <c r="CH2249" s="58" t="s">
        <v>20409</v>
      </c>
      <c r="CI2249" s="73">
        <v>45208.0</v>
      </c>
      <c r="CJ2249" s="58">
        <v>3233.0</v>
      </c>
      <c r="CK2249" s="58">
        <v>3246.0</v>
      </c>
      <c r="CL2249" s="58" t="s">
        <v>20410</v>
      </c>
      <c r="CN2249" s="58" t="s">
        <v>20411</v>
      </c>
      <c r="CO2249" s="58" t="s">
        <v>20412</v>
      </c>
      <c r="CP2249" s="58" t="s">
        <v>20413</v>
      </c>
      <c r="CR2249" s="58">
        <v>4.0</v>
      </c>
      <c r="CT2249" s="58">
        <v>40.0</v>
      </c>
      <c r="CU2249" s="58" t="s">
        <v>239</v>
      </c>
      <c r="DL2249" s="58" t="s">
        <v>20414</v>
      </c>
    </row>
    <row r="2250" ht="15.75" customHeight="1">
      <c r="B2250" s="58" t="s">
        <v>16392</v>
      </c>
      <c r="C2250" s="58">
        <v>2023.0</v>
      </c>
      <c r="D2250" s="58" t="s">
        <v>20415</v>
      </c>
      <c r="E2250" s="58" t="s">
        <v>20416</v>
      </c>
      <c r="F2250" s="58" t="s">
        <v>16493</v>
      </c>
      <c r="H2250" s="58" t="s">
        <v>16494</v>
      </c>
      <c r="I2250" s="58" t="s">
        <v>20417</v>
      </c>
      <c r="K2250" s="73">
        <v>45231.0</v>
      </c>
      <c r="R2250" s="58">
        <v>4.0</v>
      </c>
      <c r="Z2250" s="58" t="s">
        <v>239</v>
      </c>
      <c r="CH2250" s="58" t="s">
        <v>20418</v>
      </c>
      <c r="CI2250" s="73">
        <v>45252.0</v>
      </c>
      <c r="CJ2250" s="58">
        <v>2913.0</v>
      </c>
      <c r="CK2250" s="58">
        <v>2929.0</v>
      </c>
      <c r="CL2250" s="58" t="s">
        <v>20419</v>
      </c>
      <c r="CN2250" s="58" t="s">
        <v>20420</v>
      </c>
      <c r="CO2250" s="58" t="s">
        <v>20421</v>
      </c>
      <c r="CP2250" s="58" t="s">
        <v>20422</v>
      </c>
      <c r="CR2250" s="58">
        <v>4.0</v>
      </c>
      <c r="CT2250" s="58">
        <v>61.0</v>
      </c>
      <c r="CU2250" s="58" t="s">
        <v>16727</v>
      </c>
      <c r="DL2250" s="58" t="s">
        <v>20423</v>
      </c>
    </row>
    <row r="2251" ht="15.75" customHeight="1">
      <c r="B2251" s="58" t="s">
        <v>16392</v>
      </c>
      <c r="C2251" s="58">
        <v>2023.0</v>
      </c>
      <c r="D2251" s="58" t="s">
        <v>20424</v>
      </c>
      <c r="E2251" s="58" t="s">
        <v>20425</v>
      </c>
      <c r="F2251" s="58" t="s">
        <v>17228</v>
      </c>
      <c r="H2251" s="58" t="s">
        <v>17229</v>
      </c>
      <c r="I2251" s="58" t="s">
        <v>20426</v>
      </c>
      <c r="K2251" s="73">
        <v>44733.0</v>
      </c>
      <c r="Q2251" s="58">
        <v>3.0</v>
      </c>
      <c r="R2251" s="58">
        <v>72.0</v>
      </c>
      <c r="Z2251" s="58" t="s">
        <v>239</v>
      </c>
      <c r="CH2251" s="58" t="s">
        <v>20427</v>
      </c>
      <c r="CI2251" s="73">
        <v>44966.0</v>
      </c>
      <c r="CJ2251" s="58">
        <v>868.0</v>
      </c>
      <c r="CK2251" s="58">
        <v>879.0</v>
      </c>
      <c r="CL2251" s="58" t="s">
        <v>20428</v>
      </c>
      <c r="CO2251" s="58" t="s">
        <v>20429</v>
      </c>
      <c r="CP2251" s="58" t="s">
        <v>20430</v>
      </c>
      <c r="CR2251" s="58">
        <v>4.0</v>
      </c>
      <c r="CT2251" s="58">
        <v>27.0</v>
      </c>
      <c r="CU2251" s="58" t="s">
        <v>239</v>
      </c>
      <c r="DL2251" s="58" t="s">
        <v>20431</v>
      </c>
    </row>
    <row r="2252" ht="15.75" customHeight="1">
      <c r="B2252" s="58" t="s">
        <v>16392</v>
      </c>
      <c r="C2252" s="58">
        <v>2021.0</v>
      </c>
      <c r="D2252" s="58" t="s">
        <v>20432</v>
      </c>
      <c r="E2252" s="58" t="s">
        <v>20433</v>
      </c>
      <c r="F2252" s="58" t="s">
        <v>20434</v>
      </c>
      <c r="H2252" s="58" t="s">
        <v>20435</v>
      </c>
      <c r="I2252" s="58" t="s">
        <v>20436</v>
      </c>
      <c r="K2252" s="73">
        <v>44172.0</v>
      </c>
      <c r="Q2252" s="58">
        <v>1.0</v>
      </c>
      <c r="R2252" s="58">
        <v>5.0</v>
      </c>
      <c r="Z2252" s="58" t="s">
        <v>239</v>
      </c>
      <c r="CH2252" s="58" t="s">
        <v>20437</v>
      </c>
      <c r="CI2252" s="73">
        <v>44216.0</v>
      </c>
      <c r="CJ2252" s="58">
        <v>92.0</v>
      </c>
      <c r="CK2252" s="58">
        <v>107.0</v>
      </c>
      <c r="CL2252" s="58" t="s">
        <v>20438</v>
      </c>
      <c r="CN2252" s="58" t="s">
        <v>20439</v>
      </c>
      <c r="CO2252" s="58" t="s">
        <v>20440</v>
      </c>
      <c r="CP2252" s="58" t="s">
        <v>20441</v>
      </c>
      <c r="CR2252" s="58">
        <v>4.0</v>
      </c>
      <c r="CT2252" s="58">
        <v>181.0</v>
      </c>
      <c r="CU2252" s="58" t="s">
        <v>239</v>
      </c>
      <c r="DL2252" s="58" t="s">
        <v>20442</v>
      </c>
    </row>
    <row r="2253" ht="15.75" customHeight="1">
      <c r="B2253" s="58" t="s">
        <v>16392</v>
      </c>
      <c r="C2253" s="58">
        <v>2024.0</v>
      </c>
      <c r="D2253" s="58" t="s">
        <v>20443</v>
      </c>
      <c r="E2253" s="58" t="s">
        <v>20444</v>
      </c>
      <c r="F2253" s="58" t="s">
        <v>17136</v>
      </c>
      <c r="H2253" s="58" t="s">
        <v>17137</v>
      </c>
      <c r="I2253" s="58" t="s">
        <v>20445</v>
      </c>
      <c r="K2253" s="73">
        <v>45222.0</v>
      </c>
      <c r="Q2253" s="58">
        <v>6.0</v>
      </c>
      <c r="R2253" s="58">
        <v>23.0</v>
      </c>
      <c r="Z2253" s="58" t="s">
        <v>239</v>
      </c>
      <c r="CH2253" s="58" t="s">
        <v>20446</v>
      </c>
      <c r="CI2253" s="73">
        <v>45419.0</v>
      </c>
      <c r="CJ2253" s="58">
        <v>6667.0</v>
      </c>
      <c r="CK2253" s="58">
        <v>6680.0</v>
      </c>
      <c r="CL2253" s="58" t="s">
        <v>20447</v>
      </c>
      <c r="CN2253" s="58" t="s">
        <v>20448</v>
      </c>
      <c r="CO2253" s="58" t="s">
        <v>20449</v>
      </c>
      <c r="CP2253" s="58" t="s">
        <v>20450</v>
      </c>
      <c r="CR2253" s="58">
        <v>4.0</v>
      </c>
      <c r="CT2253" s="58">
        <v>47.0</v>
      </c>
      <c r="CU2253" s="58" t="s">
        <v>239</v>
      </c>
      <c r="DL2253" s="58" t="s">
        <v>20451</v>
      </c>
    </row>
    <row r="2254" ht="15.75" customHeight="1">
      <c r="B2254" s="58" t="s">
        <v>16392</v>
      </c>
      <c r="C2254" s="58">
        <v>2024.0</v>
      </c>
      <c r="D2254" s="58" t="s">
        <v>20452</v>
      </c>
      <c r="E2254" s="58" t="s">
        <v>20453</v>
      </c>
      <c r="F2254" s="58" t="s">
        <v>16613</v>
      </c>
      <c r="H2254" s="58" t="s">
        <v>16614</v>
      </c>
      <c r="I2254" s="58" t="s">
        <v>20454</v>
      </c>
      <c r="K2254" s="73">
        <v>45252.0</v>
      </c>
      <c r="Q2254" s="58">
        <v>1.0</v>
      </c>
      <c r="R2254" s="58">
        <v>17.0</v>
      </c>
      <c r="Z2254" s="58" t="s">
        <v>239</v>
      </c>
      <c r="CH2254" s="58" t="s">
        <v>20455</v>
      </c>
      <c r="CI2254" s="73">
        <v>45327.0</v>
      </c>
      <c r="CJ2254" s="58">
        <v>113.0</v>
      </c>
      <c r="CK2254" s="58">
        <v>126.0</v>
      </c>
      <c r="CL2254" s="58" t="s">
        <v>20456</v>
      </c>
      <c r="CN2254" s="58" t="s">
        <v>20457</v>
      </c>
      <c r="CO2254" s="58" t="s">
        <v>20458</v>
      </c>
      <c r="CP2254" s="58" t="s">
        <v>20459</v>
      </c>
      <c r="CR2254" s="58">
        <v>4.0</v>
      </c>
      <c r="CT2254" s="58">
        <v>45.0</v>
      </c>
      <c r="CU2254" s="58" t="s">
        <v>239</v>
      </c>
      <c r="DL2254" s="58" t="s">
        <v>20460</v>
      </c>
    </row>
    <row r="2255" ht="15.75" customHeight="1">
      <c r="B2255" s="58" t="s">
        <v>16392</v>
      </c>
      <c r="C2255" s="58">
        <v>2022.0</v>
      </c>
      <c r="D2255" s="58" t="s">
        <v>20461</v>
      </c>
      <c r="E2255" s="58" t="s">
        <v>20462</v>
      </c>
      <c r="F2255" s="58" t="s">
        <v>16436</v>
      </c>
      <c r="H2255" s="58" t="s">
        <v>16437</v>
      </c>
      <c r="I2255" s="58" t="s">
        <v>20463</v>
      </c>
      <c r="K2255" s="73">
        <v>44676.0</v>
      </c>
      <c r="R2255" s="58">
        <v>10.0</v>
      </c>
      <c r="Z2255" s="58" t="s">
        <v>239</v>
      </c>
      <c r="CH2255" s="58" t="s">
        <v>20464</v>
      </c>
      <c r="CI2255" s="73">
        <v>44685.0</v>
      </c>
      <c r="CJ2255" s="58">
        <v>46144.0</v>
      </c>
      <c r="CK2255" s="58">
        <v>46161.0</v>
      </c>
      <c r="CL2255" s="58" t="s">
        <v>20465</v>
      </c>
      <c r="CN2255" s="58" t="s">
        <v>20466</v>
      </c>
      <c r="CO2255" s="58" t="s">
        <v>20467</v>
      </c>
      <c r="CP2255" s="58" t="s">
        <v>20468</v>
      </c>
      <c r="CR2255" s="58">
        <v>4.0</v>
      </c>
      <c r="CT2255" s="58">
        <v>92.0</v>
      </c>
      <c r="CU2255" s="58" t="s">
        <v>16423</v>
      </c>
      <c r="DL2255" s="58" t="s">
        <v>20469</v>
      </c>
    </row>
    <row r="2256" ht="15.75" customHeight="1">
      <c r="B2256" s="58" t="s">
        <v>16392</v>
      </c>
      <c r="C2256" s="58">
        <v>2023.0</v>
      </c>
      <c r="D2256" s="58" t="s">
        <v>20470</v>
      </c>
      <c r="E2256" s="58" t="s">
        <v>20471</v>
      </c>
      <c r="F2256" s="58" t="s">
        <v>16436</v>
      </c>
      <c r="H2256" s="58" t="s">
        <v>16437</v>
      </c>
      <c r="I2256" s="58" t="s">
        <v>20472</v>
      </c>
      <c r="K2256" s="73">
        <v>45124.0</v>
      </c>
      <c r="R2256" s="58">
        <v>11.0</v>
      </c>
      <c r="Z2256" s="58" t="s">
        <v>239</v>
      </c>
      <c r="CH2256" s="58" t="s">
        <v>20473</v>
      </c>
      <c r="CI2256" s="73">
        <v>45133.0</v>
      </c>
      <c r="CJ2256" s="58">
        <v>75407.0</v>
      </c>
      <c r="CK2256" s="58">
        <v>75423.0</v>
      </c>
      <c r="CL2256" s="58" t="s">
        <v>20474</v>
      </c>
      <c r="CN2256" s="58" t="s">
        <v>20475</v>
      </c>
      <c r="CO2256" s="58" t="s">
        <v>20476</v>
      </c>
      <c r="CP2256" s="58" t="s">
        <v>20477</v>
      </c>
      <c r="CR2256" s="58">
        <v>4.0</v>
      </c>
      <c r="CT2256" s="58">
        <v>37.0</v>
      </c>
      <c r="CU2256" s="58" t="s">
        <v>16727</v>
      </c>
      <c r="DL2256" s="58" t="s">
        <v>20478</v>
      </c>
    </row>
    <row r="2257" ht="15.75" customHeight="1">
      <c r="B2257" s="58" t="s">
        <v>16392</v>
      </c>
      <c r="C2257" s="58">
        <v>2023.0</v>
      </c>
      <c r="D2257" s="58" t="s">
        <v>20479</v>
      </c>
      <c r="E2257" s="58" t="s">
        <v>20480</v>
      </c>
      <c r="F2257" s="58" t="s">
        <v>17061</v>
      </c>
      <c r="H2257" s="58" t="s">
        <v>17062</v>
      </c>
      <c r="I2257" s="58" t="s">
        <v>20481</v>
      </c>
      <c r="K2257" s="73">
        <v>45099.0</v>
      </c>
      <c r="Q2257" s="58">
        <v>8.0</v>
      </c>
      <c r="R2257" s="58">
        <v>15.0</v>
      </c>
      <c r="Z2257" s="58" t="s">
        <v>239</v>
      </c>
      <c r="CH2257" s="58" t="s">
        <v>20482</v>
      </c>
      <c r="CI2257" s="73">
        <v>45099.0</v>
      </c>
      <c r="CJ2257" s="58" t="s">
        <v>20483</v>
      </c>
      <c r="CK2257" s="58" t="s">
        <v>20484</v>
      </c>
      <c r="CL2257" s="58" t="s">
        <v>20485</v>
      </c>
      <c r="CO2257" s="58" t="s">
        <v>20486</v>
      </c>
      <c r="CR2257" s="58">
        <v>4.0</v>
      </c>
      <c r="DL2257" s="58" t="s">
        <v>20487</v>
      </c>
    </row>
    <row r="2258" ht="15.75" customHeight="1">
      <c r="B2258" s="58" t="s">
        <v>16392</v>
      </c>
      <c r="C2258" s="58">
        <v>2024.0</v>
      </c>
      <c r="D2258" s="58" t="s">
        <v>20488</v>
      </c>
      <c r="E2258" s="58" t="s">
        <v>20489</v>
      </c>
      <c r="F2258" s="58" t="s">
        <v>16436</v>
      </c>
      <c r="H2258" s="58" t="s">
        <v>16437</v>
      </c>
      <c r="I2258" s="58" t="s">
        <v>20490</v>
      </c>
      <c r="K2258" s="73">
        <v>45519.0</v>
      </c>
      <c r="R2258" s="58">
        <v>12.0</v>
      </c>
      <c r="Z2258" s="58" t="s">
        <v>239</v>
      </c>
      <c r="CH2258" s="58" t="s">
        <v>20491</v>
      </c>
      <c r="CI2258" s="73">
        <v>45525.0</v>
      </c>
      <c r="CJ2258" s="58">
        <v>113741.0</v>
      </c>
      <c r="CK2258" s="58">
        <v>113784.0</v>
      </c>
      <c r="CL2258" s="58" t="s">
        <v>20492</v>
      </c>
      <c r="CN2258" s="58" t="s">
        <v>20493</v>
      </c>
      <c r="CO2258" s="58" t="s">
        <v>20494</v>
      </c>
      <c r="CP2258" s="58" t="s">
        <v>20495</v>
      </c>
      <c r="CR2258" s="58">
        <v>4.0</v>
      </c>
      <c r="CT2258" s="58">
        <v>210.0</v>
      </c>
      <c r="CU2258" s="58" t="s">
        <v>16727</v>
      </c>
      <c r="DL2258" s="58" t="s">
        <v>20496</v>
      </c>
    </row>
    <row r="2259" ht="15.75" customHeight="1">
      <c r="B2259" s="58" t="s">
        <v>16392</v>
      </c>
      <c r="C2259" s="58">
        <v>2022.0</v>
      </c>
      <c r="D2259" s="58" t="s">
        <v>20497</v>
      </c>
      <c r="E2259" s="58" t="s">
        <v>20498</v>
      </c>
      <c r="F2259" s="58" t="s">
        <v>17040</v>
      </c>
      <c r="H2259" s="58" t="s">
        <v>17041</v>
      </c>
      <c r="I2259" s="58" t="s">
        <v>20499</v>
      </c>
      <c r="K2259" s="73">
        <v>44434.0</v>
      </c>
      <c r="Q2259" s="58">
        <v>1.0</v>
      </c>
      <c r="R2259" s="58">
        <v>6.0</v>
      </c>
      <c r="Z2259" s="58" t="s">
        <v>239</v>
      </c>
      <c r="CH2259" s="58" t="s">
        <v>20500</v>
      </c>
      <c r="CI2259" s="73">
        <v>44608.0</v>
      </c>
      <c r="CJ2259" s="58">
        <v>472.0</v>
      </c>
      <c r="CK2259" s="58">
        <v>483.0</v>
      </c>
      <c r="CL2259" s="58" t="s">
        <v>20501</v>
      </c>
      <c r="CO2259" s="58" t="s">
        <v>20502</v>
      </c>
      <c r="CP2259" s="58" t="s">
        <v>20503</v>
      </c>
      <c r="CR2259" s="58">
        <v>4.0</v>
      </c>
      <c r="CT2259" s="58">
        <v>38.0</v>
      </c>
      <c r="CU2259" s="58" t="s">
        <v>239</v>
      </c>
      <c r="DL2259" s="58" t="s">
        <v>20504</v>
      </c>
    </row>
    <row r="2260" ht="15.75" customHeight="1">
      <c r="B2260" s="58" t="s">
        <v>16392</v>
      </c>
      <c r="C2260" s="58">
        <v>2023.0</v>
      </c>
      <c r="D2260" s="58" t="s">
        <v>20505</v>
      </c>
      <c r="E2260" s="58" t="s">
        <v>20506</v>
      </c>
      <c r="F2260" s="58" t="s">
        <v>16436</v>
      </c>
      <c r="H2260" s="58" t="s">
        <v>16437</v>
      </c>
      <c r="I2260" s="58" t="s">
        <v>20507</v>
      </c>
      <c r="K2260" s="73">
        <v>45061.0</v>
      </c>
      <c r="R2260" s="58">
        <v>11.0</v>
      </c>
      <c r="Z2260" s="58" t="s">
        <v>239</v>
      </c>
      <c r="CH2260" s="58" t="s">
        <v>20508</v>
      </c>
      <c r="CI2260" s="73">
        <v>45173.0</v>
      </c>
      <c r="CJ2260" s="58">
        <v>93431.0</v>
      </c>
      <c r="CK2260" s="58">
        <v>93463.0</v>
      </c>
      <c r="CL2260" s="58" t="s">
        <v>20509</v>
      </c>
      <c r="CO2260" s="58" t="s">
        <v>20510</v>
      </c>
      <c r="CP2260" s="58" t="s">
        <v>20511</v>
      </c>
      <c r="CR2260" s="58">
        <v>4.0</v>
      </c>
      <c r="CT2260" s="58">
        <v>27.0</v>
      </c>
      <c r="CU2260" s="58" t="s">
        <v>16727</v>
      </c>
      <c r="DL2260" s="58" t="s">
        <v>20512</v>
      </c>
    </row>
    <row r="2261" ht="15.75" customHeight="1">
      <c r="B2261" s="58" t="s">
        <v>16392</v>
      </c>
      <c r="C2261" s="58">
        <v>2023.0</v>
      </c>
      <c r="D2261" s="58" t="s">
        <v>20513</v>
      </c>
      <c r="E2261" s="58" t="s">
        <v>20514</v>
      </c>
      <c r="F2261" s="58" t="s">
        <v>17164</v>
      </c>
      <c r="H2261" s="58" t="s">
        <v>17165</v>
      </c>
      <c r="I2261" s="58" t="s">
        <v>20515</v>
      </c>
      <c r="K2261" s="73">
        <v>45225.0</v>
      </c>
      <c r="Q2261" s="58">
        <v>12.0</v>
      </c>
      <c r="R2261" s="58">
        <v>34.0</v>
      </c>
      <c r="Z2261" s="58" t="s">
        <v>239</v>
      </c>
      <c r="CH2261" s="58" t="s">
        <v>20516</v>
      </c>
      <c r="CI2261" s="73">
        <v>45237.0</v>
      </c>
      <c r="CJ2261" s="58">
        <v>3309.0</v>
      </c>
      <c r="CK2261" s="58">
        <v>3322.0</v>
      </c>
      <c r="CL2261" s="58" t="s">
        <v>20517</v>
      </c>
      <c r="CN2261" s="58" t="s">
        <v>20518</v>
      </c>
      <c r="CO2261" s="58" t="s">
        <v>20519</v>
      </c>
      <c r="CP2261" s="58" t="s">
        <v>20520</v>
      </c>
      <c r="CR2261" s="58">
        <v>4.0</v>
      </c>
      <c r="CT2261" s="58">
        <v>36.0</v>
      </c>
      <c r="CU2261" s="58" t="s">
        <v>239</v>
      </c>
      <c r="DL2261" s="58" t="s">
        <v>20521</v>
      </c>
    </row>
    <row r="2262" ht="15.75" customHeight="1">
      <c r="B2262" s="58" t="s">
        <v>16392</v>
      </c>
      <c r="C2262" s="58">
        <v>2021.0</v>
      </c>
      <c r="D2262" s="58" t="s">
        <v>20522</v>
      </c>
      <c r="E2262" s="58" t="s">
        <v>20523</v>
      </c>
      <c r="F2262" s="58" t="s">
        <v>16493</v>
      </c>
      <c r="H2262" s="58" t="s">
        <v>16494</v>
      </c>
      <c r="I2262" s="58" t="s">
        <v>20524</v>
      </c>
      <c r="K2262" s="73">
        <v>44470.0</v>
      </c>
      <c r="R2262" s="58">
        <v>2.0</v>
      </c>
      <c r="Z2262" s="58" t="s">
        <v>239</v>
      </c>
      <c r="CH2262" s="58" t="s">
        <v>20525</v>
      </c>
      <c r="CI2262" s="73">
        <v>44483.0</v>
      </c>
      <c r="CJ2262" s="58">
        <v>2311.0</v>
      </c>
      <c r="CK2262" s="58">
        <v>2341.0</v>
      </c>
      <c r="CL2262" s="58" t="s">
        <v>20526</v>
      </c>
      <c r="CN2262" s="58" t="s">
        <v>20527</v>
      </c>
      <c r="CO2262" s="58" t="s">
        <v>20528</v>
      </c>
      <c r="CP2262" s="58" t="s">
        <v>20529</v>
      </c>
      <c r="CR2262" s="58">
        <v>4.0</v>
      </c>
      <c r="CT2262" s="58">
        <v>163.0</v>
      </c>
      <c r="CU2262" s="58" t="s">
        <v>16423</v>
      </c>
      <c r="DL2262" s="58" t="s">
        <v>20530</v>
      </c>
    </row>
    <row r="2263" ht="15.75" customHeight="1">
      <c r="B2263" s="58" t="s">
        <v>16392</v>
      </c>
      <c r="C2263" s="58">
        <v>2022.0</v>
      </c>
      <c r="D2263" s="58" t="s">
        <v>20531</v>
      </c>
      <c r="E2263" s="58" t="s">
        <v>20532</v>
      </c>
      <c r="F2263" s="58" t="s">
        <v>16538</v>
      </c>
      <c r="H2263" s="58" t="s">
        <v>16539</v>
      </c>
      <c r="I2263" s="58" t="s">
        <v>20533</v>
      </c>
      <c r="K2263" s="73">
        <v>44350.0</v>
      </c>
      <c r="Q2263" s="58">
        <v>1.0</v>
      </c>
      <c r="R2263" s="58">
        <v>9.0</v>
      </c>
      <c r="Z2263" s="58" t="s">
        <v>239</v>
      </c>
      <c r="CH2263" s="58" t="s">
        <v>20534</v>
      </c>
      <c r="CI2263" s="73">
        <v>44552.0</v>
      </c>
      <c r="CJ2263" s="58">
        <v>671.0</v>
      </c>
      <c r="CK2263" s="58">
        <v>683.0</v>
      </c>
      <c r="CL2263" s="58" t="s">
        <v>20535</v>
      </c>
      <c r="CN2263" s="58" t="s">
        <v>20536</v>
      </c>
      <c r="CO2263" s="58" t="s">
        <v>20537</v>
      </c>
      <c r="CP2263" s="58" t="s">
        <v>20538</v>
      </c>
      <c r="CR2263" s="58">
        <v>4.0</v>
      </c>
      <c r="CT2263" s="58">
        <v>29.0</v>
      </c>
      <c r="CU2263" s="58" t="s">
        <v>239</v>
      </c>
      <c r="DL2263" s="58" t="s">
        <v>20539</v>
      </c>
    </row>
    <row r="2264" ht="15.75" customHeight="1">
      <c r="B2264" s="58" t="s">
        <v>16392</v>
      </c>
      <c r="C2264" s="58">
        <v>2023.0</v>
      </c>
      <c r="D2264" s="58" t="s">
        <v>20540</v>
      </c>
      <c r="E2264" s="58" t="s">
        <v>20541</v>
      </c>
      <c r="F2264" s="58" t="s">
        <v>16436</v>
      </c>
      <c r="H2264" s="58" t="s">
        <v>16437</v>
      </c>
      <c r="I2264" s="58" t="s">
        <v>20542</v>
      </c>
      <c r="K2264" s="73">
        <v>44995.0</v>
      </c>
      <c r="R2264" s="58">
        <v>11.0</v>
      </c>
      <c r="Z2264" s="58" t="s">
        <v>239</v>
      </c>
      <c r="CH2264" s="58" t="s">
        <v>20543</v>
      </c>
      <c r="CI2264" s="73">
        <v>45002.0</v>
      </c>
      <c r="CJ2264" s="58">
        <v>25008.0</v>
      </c>
      <c r="CK2264" s="58">
        <v>25019.0</v>
      </c>
      <c r="CL2264" s="58" t="s">
        <v>20544</v>
      </c>
      <c r="CO2264" s="58" t="s">
        <v>20545</v>
      </c>
      <c r="CP2264" s="58" t="s">
        <v>20546</v>
      </c>
      <c r="CR2264" s="58">
        <v>3.0</v>
      </c>
      <c r="CT2264" s="58">
        <v>23.0</v>
      </c>
      <c r="CU2264" s="58" t="s">
        <v>16727</v>
      </c>
      <c r="DL2264" s="58" t="s">
        <v>20547</v>
      </c>
    </row>
    <row r="2265" ht="15.75" customHeight="1">
      <c r="B2265" s="58" t="s">
        <v>16392</v>
      </c>
      <c r="C2265" s="58">
        <v>2023.0</v>
      </c>
      <c r="D2265" s="58" t="s">
        <v>20548</v>
      </c>
      <c r="E2265" s="58" t="s">
        <v>20549</v>
      </c>
      <c r="F2265" s="58" t="s">
        <v>16436</v>
      </c>
      <c r="H2265" s="58" t="s">
        <v>16437</v>
      </c>
      <c r="I2265" s="58" t="s">
        <v>20550</v>
      </c>
      <c r="K2265" s="73">
        <v>45236.0</v>
      </c>
      <c r="R2265" s="58">
        <v>11.0</v>
      </c>
      <c r="Z2265" s="58" t="s">
        <v>239</v>
      </c>
      <c r="CH2265" s="58" t="s">
        <v>20551</v>
      </c>
      <c r="CI2265" s="73">
        <v>45244.0</v>
      </c>
      <c r="CJ2265" s="58">
        <v>126283.0</v>
      </c>
      <c r="CK2265" s="58">
        <v>126294.0</v>
      </c>
      <c r="CL2265" s="58" t="s">
        <v>20552</v>
      </c>
      <c r="CN2265" s="58" t="s">
        <v>20553</v>
      </c>
      <c r="CO2265" s="58" t="s">
        <v>20554</v>
      </c>
      <c r="CP2265" s="58" t="s">
        <v>20555</v>
      </c>
      <c r="CR2265" s="58">
        <v>3.0</v>
      </c>
      <c r="CT2265" s="58">
        <v>29.0</v>
      </c>
      <c r="CU2265" s="58" t="s">
        <v>16727</v>
      </c>
      <c r="DL2265" s="58" t="s">
        <v>20556</v>
      </c>
    </row>
    <row r="2266" ht="15.75" customHeight="1">
      <c r="B2266" s="58" t="s">
        <v>16392</v>
      </c>
      <c r="C2266" s="58">
        <v>2021.0</v>
      </c>
      <c r="D2266" s="58" t="s">
        <v>20557</v>
      </c>
      <c r="E2266" s="58" t="s">
        <v>20558</v>
      </c>
      <c r="F2266" s="58" t="s">
        <v>20559</v>
      </c>
      <c r="H2266" s="58" t="s">
        <v>20560</v>
      </c>
      <c r="I2266" s="58" t="s">
        <v>20561</v>
      </c>
      <c r="K2266" s="73">
        <v>44511.0</v>
      </c>
      <c r="Q2266" s="58">
        <v>2.0</v>
      </c>
      <c r="R2266" s="58">
        <v>20.0</v>
      </c>
      <c r="Z2266" s="58" t="s">
        <v>239</v>
      </c>
      <c r="CH2266" s="58" t="s">
        <v>20562</v>
      </c>
      <c r="CI2266" s="73">
        <v>44531.0</v>
      </c>
      <c r="CJ2266" s="58">
        <v>166.0</v>
      </c>
      <c r="CK2266" s="58">
        <v>170.0</v>
      </c>
      <c r="CL2266" s="58" t="s">
        <v>20563</v>
      </c>
      <c r="CN2266" s="58" t="s">
        <v>20564</v>
      </c>
      <c r="CO2266" s="58" t="s">
        <v>20565</v>
      </c>
      <c r="CP2266" s="58" t="s">
        <v>20566</v>
      </c>
      <c r="CR2266" s="58">
        <v>3.0</v>
      </c>
      <c r="CT2266" s="58">
        <v>24.0</v>
      </c>
      <c r="CU2266" s="58" t="s">
        <v>239</v>
      </c>
      <c r="DL2266" s="58" t="s">
        <v>20567</v>
      </c>
    </row>
    <row r="2267" ht="15.75" customHeight="1">
      <c r="B2267" s="58" t="s">
        <v>16392</v>
      </c>
      <c r="C2267" s="58">
        <v>2023.0</v>
      </c>
      <c r="D2267" s="58" t="s">
        <v>20568</v>
      </c>
      <c r="E2267" s="58" t="s">
        <v>20569</v>
      </c>
      <c r="F2267" s="58" t="s">
        <v>16436</v>
      </c>
      <c r="H2267" s="58" t="s">
        <v>16437</v>
      </c>
      <c r="I2267" s="58" t="s">
        <v>20570</v>
      </c>
      <c r="K2267" s="73">
        <v>45245.0</v>
      </c>
      <c r="R2267" s="58">
        <v>11.0</v>
      </c>
      <c r="Z2267" s="58" t="s">
        <v>239</v>
      </c>
      <c r="CH2267" s="58" t="s">
        <v>20571</v>
      </c>
      <c r="CI2267" s="73">
        <v>45253.0</v>
      </c>
      <c r="CJ2267" s="58">
        <v>130257.0</v>
      </c>
      <c r="CK2267" s="58">
        <v>130271.0</v>
      </c>
      <c r="CL2267" s="58" t="s">
        <v>20572</v>
      </c>
      <c r="CO2267" s="58" t="s">
        <v>20573</v>
      </c>
      <c r="CP2267" s="58" t="s">
        <v>20574</v>
      </c>
      <c r="CR2267" s="58">
        <v>3.0</v>
      </c>
      <c r="CT2267" s="58">
        <v>33.0</v>
      </c>
      <c r="CU2267" s="58" t="s">
        <v>16727</v>
      </c>
      <c r="DL2267" s="58" t="s">
        <v>20575</v>
      </c>
    </row>
    <row r="2268" ht="15.75" customHeight="1">
      <c r="B2268" s="58" t="s">
        <v>16392</v>
      </c>
      <c r="C2268" s="58">
        <v>2023.0</v>
      </c>
      <c r="D2268" s="58" t="s">
        <v>20576</v>
      </c>
      <c r="E2268" s="58" t="s">
        <v>20577</v>
      </c>
      <c r="F2268" s="58" t="s">
        <v>20578</v>
      </c>
      <c r="H2268" s="58" t="s">
        <v>20579</v>
      </c>
      <c r="I2268" s="58" t="s">
        <v>20580</v>
      </c>
      <c r="K2268" s="73">
        <v>45239.0</v>
      </c>
      <c r="R2268" s="58">
        <v>4.0</v>
      </c>
      <c r="Z2268" s="58" t="s">
        <v>239</v>
      </c>
      <c r="CH2268" s="58" t="s">
        <v>20581</v>
      </c>
      <c r="CI2268" s="73">
        <v>45258.0</v>
      </c>
      <c r="CJ2268" s="58">
        <v>800.0</v>
      </c>
      <c r="CK2268" s="58">
        <v>814.0</v>
      </c>
      <c r="CL2268" s="58" t="s">
        <v>20582</v>
      </c>
      <c r="CN2268" s="58" t="s">
        <v>20583</v>
      </c>
      <c r="CO2268" s="58" t="s">
        <v>20584</v>
      </c>
      <c r="CP2268" s="58" t="s">
        <v>20585</v>
      </c>
      <c r="CR2268" s="58">
        <v>3.0</v>
      </c>
      <c r="CT2268" s="58">
        <v>97.0</v>
      </c>
      <c r="CU2268" s="58" t="s">
        <v>16727</v>
      </c>
      <c r="DL2268" s="58" t="s">
        <v>20586</v>
      </c>
    </row>
    <row r="2269" ht="15.75" customHeight="1">
      <c r="B2269" s="58" t="s">
        <v>16392</v>
      </c>
      <c r="C2269" s="58">
        <v>2023.0</v>
      </c>
      <c r="D2269" s="58" t="s">
        <v>20587</v>
      </c>
      <c r="E2269" s="58" t="s">
        <v>20588</v>
      </c>
      <c r="F2269" s="58" t="s">
        <v>17061</v>
      </c>
      <c r="H2269" s="58" t="s">
        <v>17062</v>
      </c>
      <c r="I2269" s="58" t="s">
        <v>20589</v>
      </c>
      <c r="K2269" s="73">
        <v>45189.0</v>
      </c>
      <c r="Q2269" s="58">
        <v>10.0</v>
      </c>
      <c r="R2269" s="58">
        <v>15.0</v>
      </c>
      <c r="Z2269" s="58" t="s">
        <v>239</v>
      </c>
      <c r="CH2269" s="58" t="s">
        <v>20590</v>
      </c>
      <c r="CI2269" s="73">
        <v>45189.0</v>
      </c>
      <c r="CJ2269" s="58">
        <v>736.0</v>
      </c>
      <c r="CK2269" s="58">
        <v>749.0</v>
      </c>
      <c r="CL2269" s="58" t="s">
        <v>20591</v>
      </c>
      <c r="CO2269" s="58" t="s">
        <v>20592</v>
      </c>
      <c r="CR2269" s="58">
        <v>3.0</v>
      </c>
      <c r="DL2269" s="58" t="s">
        <v>20593</v>
      </c>
    </row>
    <row r="2270" ht="15.75" customHeight="1">
      <c r="B2270" s="58" t="s">
        <v>16392</v>
      </c>
      <c r="C2270" s="58">
        <v>2023.0</v>
      </c>
      <c r="D2270" s="58" t="s">
        <v>20594</v>
      </c>
      <c r="E2270" s="58" t="s">
        <v>20595</v>
      </c>
      <c r="F2270" s="58" t="s">
        <v>20596</v>
      </c>
      <c r="H2270" s="58" t="s">
        <v>20597</v>
      </c>
      <c r="I2270" s="58" t="s">
        <v>20598</v>
      </c>
      <c r="K2270" s="73">
        <v>44995.0</v>
      </c>
      <c r="Q2270" s="58">
        <v>3.0</v>
      </c>
      <c r="R2270" s="58">
        <v>59.0</v>
      </c>
      <c r="Z2270" s="58" t="s">
        <v>239</v>
      </c>
      <c r="CH2270" s="58" t="s">
        <v>20599</v>
      </c>
      <c r="CI2270" s="73">
        <v>45065.0</v>
      </c>
      <c r="CJ2270" s="58">
        <v>3121.0</v>
      </c>
      <c r="CK2270" s="58">
        <v>3132.0</v>
      </c>
      <c r="CL2270" s="58" t="s">
        <v>20600</v>
      </c>
      <c r="CN2270" s="58" t="s">
        <v>20601</v>
      </c>
      <c r="CO2270" s="58" t="s">
        <v>20602</v>
      </c>
      <c r="CP2270" s="58" t="s">
        <v>20603</v>
      </c>
      <c r="CR2270" s="58">
        <v>3.0</v>
      </c>
      <c r="CT2270" s="58">
        <v>36.0</v>
      </c>
      <c r="CU2270" s="58" t="s">
        <v>239</v>
      </c>
      <c r="DL2270" s="58" t="s">
        <v>20604</v>
      </c>
    </row>
    <row r="2271" ht="15.75" customHeight="1">
      <c r="B2271" s="58" t="s">
        <v>16392</v>
      </c>
      <c r="C2271" s="58">
        <v>2024.0</v>
      </c>
      <c r="D2271" s="58" t="s">
        <v>20605</v>
      </c>
      <c r="E2271" s="58" t="s">
        <v>20606</v>
      </c>
      <c r="F2271" s="58" t="s">
        <v>16436</v>
      </c>
      <c r="H2271" s="58" t="s">
        <v>16437</v>
      </c>
      <c r="I2271" s="58" t="s">
        <v>20607</v>
      </c>
      <c r="K2271" s="73">
        <v>45400.0</v>
      </c>
      <c r="R2271" s="58">
        <v>12.0</v>
      </c>
      <c r="Z2271" s="58" t="s">
        <v>239</v>
      </c>
      <c r="CH2271" s="58" t="s">
        <v>20608</v>
      </c>
      <c r="CI2271" s="73">
        <v>45407.0</v>
      </c>
      <c r="CJ2271" s="58">
        <v>56730.0</v>
      </c>
      <c r="CK2271" s="58">
        <v>56748.0</v>
      </c>
      <c r="CL2271" s="58" t="s">
        <v>20609</v>
      </c>
      <c r="CO2271" s="58" t="s">
        <v>20610</v>
      </c>
      <c r="CP2271" s="58" t="s">
        <v>20611</v>
      </c>
      <c r="CR2271" s="58">
        <v>3.0</v>
      </c>
      <c r="CT2271" s="58">
        <v>43.0</v>
      </c>
      <c r="CU2271" s="58" t="s">
        <v>16727</v>
      </c>
      <c r="DL2271" s="58" t="s">
        <v>20612</v>
      </c>
    </row>
    <row r="2272" ht="15.75" customHeight="1">
      <c r="B2272" s="58" t="s">
        <v>16392</v>
      </c>
      <c r="C2272" s="58">
        <v>2023.0</v>
      </c>
      <c r="D2272" s="58" t="s">
        <v>20613</v>
      </c>
      <c r="E2272" s="58" t="s">
        <v>20614</v>
      </c>
      <c r="F2272" s="58" t="s">
        <v>16436</v>
      </c>
      <c r="H2272" s="58" t="s">
        <v>16437</v>
      </c>
      <c r="I2272" s="58" t="s">
        <v>20615</v>
      </c>
      <c r="K2272" s="73">
        <v>45233.0</v>
      </c>
      <c r="R2272" s="58">
        <v>11.0</v>
      </c>
      <c r="Z2272" s="58" t="s">
        <v>239</v>
      </c>
      <c r="CH2272" s="58" t="s">
        <v>20616</v>
      </c>
      <c r="CI2272" s="73">
        <v>45240.0</v>
      </c>
      <c r="CJ2272" s="58">
        <v>125033.0</v>
      </c>
      <c r="CK2272" s="58">
        <v>125054.0</v>
      </c>
      <c r="CL2272" s="58" t="s">
        <v>20617</v>
      </c>
      <c r="CN2272" s="58" t="s">
        <v>20618</v>
      </c>
      <c r="CO2272" s="58" t="s">
        <v>20619</v>
      </c>
      <c r="CP2272" s="58" t="s">
        <v>20620</v>
      </c>
      <c r="CR2272" s="58">
        <v>3.0</v>
      </c>
      <c r="CT2272" s="58">
        <v>38.0</v>
      </c>
      <c r="CU2272" s="58" t="s">
        <v>16727</v>
      </c>
      <c r="DL2272" s="58" t="s">
        <v>20621</v>
      </c>
    </row>
    <row r="2273" ht="15.75" customHeight="1">
      <c r="B2273" s="58" t="s">
        <v>16392</v>
      </c>
      <c r="C2273" s="58">
        <v>2023.0</v>
      </c>
      <c r="D2273" s="58" t="s">
        <v>20622</v>
      </c>
      <c r="E2273" s="58" t="s">
        <v>20623</v>
      </c>
      <c r="F2273" s="58" t="s">
        <v>16538</v>
      </c>
      <c r="H2273" s="58" t="s">
        <v>16539</v>
      </c>
      <c r="I2273" s="58" t="s">
        <v>20624</v>
      </c>
      <c r="K2273" s="73">
        <v>45082.0</v>
      </c>
      <c r="Q2273" s="58">
        <v>21.0</v>
      </c>
      <c r="R2273" s="58">
        <v>10.0</v>
      </c>
      <c r="Z2273" s="58" t="s">
        <v>239</v>
      </c>
      <c r="CH2273" s="58" t="s">
        <v>20625</v>
      </c>
      <c r="CI2273" s="73">
        <v>45218.0</v>
      </c>
      <c r="CJ2273" s="58">
        <v>18799.0</v>
      </c>
      <c r="CK2273" s="58">
        <v>18807.0</v>
      </c>
      <c r="CL2273" s="58" t="s">
        <v>20626</v>
      </c>
      <c r="CN2273" s="58" t="s">
        <v>20627</v>
      </c>
      <c r="CO2273" s="58" t="s">
        <v>20628</v>
      </c>
      <c r="CP2273" s="58" t="s">
        <v>20629</v>
      </c>
      <c r="CR2273" s="58">
        <v>3.0</v>
      </c>
      <c r="CT2273" s="58">
        <v>27.0</v>
      </c>
      <c r="CU2273" s="58" t="s">
        <v>239</v>
      </c>
      <c r="DL2273" s="58" t="s">
        <v>20630</v>
      </c>
    </row>
    <row r="2274" ht="15.75" customHeight="1">
      <c r="B2274" s="58" t="s">
        <v>16392</v>
      </c>
      <c r="C2274" s="58">
        <v>2023.0</v>
      </c>
      <c r="D2274" s="58" t="s">
        <v>20631</v>
      </c>
      <c r="E2274" s="58" t="s">
        <v>20632</v>
      </c>
      <c r="F2274" s="58" t="s">
        <v>16436</v>
      </c>
      <c r="H2274" s="58" t="s">
        <v>16437</v>
      </c>
      <c r="I2274" s="58" t="s">
        <v>20633</v>
      </c>
      <c r="K2274" s="73">
        <v>45180.0</v>
      </c>
      <c r="R2274" s="58">
        <v>11.0</v>
      </c>
      <c r="Z2274" s="58" t="s">
        <v>239</v>
      </c>
      <c r="CH2274" s="58" t="s">
        <v>20634</v>
      </c>
      <c r="CI2274" s="73">
        <v>45191.0</v>
      </c>
      <c r="CJ2274" s="58">
        <v>101474.0</v>
      </c>
      <c r="CK2274" s="58">
        <v>101497.0</v>
      </c>
      <c r="CL2274" s="58" t="s">
        <v>20635</v>
      </c>
      <c r="CN2274" s="58" t="s">
        <v>20636</v>
      </c>
      <c r="CO2274" s="58" t="s">
        <v>20637</v>
      </c>
      <c r="CP2274" s="58" t="s">
        <v>20638</v>
      </c>
      <c r="CR2274" s="58">
        <v>3.0</v>
      </c>
      <c r="CT2274" s="58">
        <v>32.0</v>
      </c>
      <c r="CU2274" s="58" t="s">
        <v>16423</v>
      </c>
      <c r="DL2274" s="58" t="s">
        <v>20639</v>
      </c>
    </row>
    <row r="2275" ht="15.75" customHeight="1">
      <c r="B2275" s="58" t="s">
        <v>16392</v>
      </c>
      <c r="C2275" s="58">
        <v>2023.0</v>
      </c>
      <c r="D2275" s="58" t="s">
        <v>20640</v>
      </c>
      <c r="E2275" s="58" t="s">
        <v>20641</v>
      </c>
      <c r="F2275" s="58" t="s">
        <v>16436</v>
      </c>
      <c r="H2275" s="58" t="s">
        <v>16437</v>
      </c>
      <c r="I2275" s="58" t="s">
        <v>20642</v>
      </c>
      <c r="K2275" s="73">
        <v>45273.0</v>
      </c>
      <c r="R2275" s="58">
        <v>11.0</v>
      </c>
      <c r="Z2275" s="58" t="s">
        <v>239</v>
      </c>
      <c r="CH2275" s="58" t="s">
        <v>20643</v>
      </c>
      <c r="CI2275" s="73">
        <v>45279.0</v>
      </c>
      <c r="CJ2275" s="58">
        <v>140464.0</v>
      </c>
      <c r="CK2275" s="58">
        <v>140480.0</v>
      </c>
      <c r="CL2275" s="58" t="s">
        <v>20644</v>
      </c>
      <c r="CN2275" s="58" t="s">
        <v>20645</v>
      </c>
      <c r="CO2275" s="58" t="s">
        <v>20646</v>
      </c>
      <c r="CP2275" s="58" t="s">
        <v>20647</v>
      </c>
      <c r="CR2275" s="58">
        <v>3.0</v>
      </c>
      <c r="CT2275" s="58">
        <v>54.0</v>
      </c>
      <c r="CU2275" s="58" t="s">
        <v>16727</v>
      </c>
      <c r="DL2275" s="58" t="s">
        <v>20648</v>
      </c>
    </row>
    <row r="2276" ht="15.75" customHeight="1">
      <c r="B2276" s="58" t="s">
        <v>16392</v>
      </c>
      <c r="C2276" s="58">
        <v>2022.0</v>
      </c>
      <c r="D2276" s="58" t="s">
        <v>20649</v>
      </c>
      <c r="E2276" s="58" t="s">
        <v>20650</v>
      </c>
      <c r="F2276" s="58" t="s">
        <v>16538</v>
      </c>
      <c r="H2276" s="58" t="s">
        <v>16539</v>
      </c>
      <c r="I2276" s="58" t="s">
        <v>20651</v>
      </c>
      <c r="K2276" s="73">
        <v>44453.0</v>
      </c>
      <c r="Q2276" s="58">
        <v>10.0</v>
      </c>
      <c r="R2276" s="58">
        <v>9.0</v>
      </c>
      <c r="Z2276" s="58" t="s">
        <v>239</v>
      </c>
      <c r="CH2276" s="58" t="s">
        <v>20652</v>
      </c>
      <c r="CI2276" s="73">
        <v>44687.0</v>
      </c>
      <c r="CJ2276" s="58">
        <v>7362.0</v>
      </c>
      <c r="CK2276" s="58">
        <v>7374.0</v>
      </c>
      <c r="CL2276" s="58" t="s">
        <v>20653</v>
      </c>
      <c r="CO2276" s="58" t="s">
        <v>20654</v>
      </c>
      <c r="CP2276" s="58" t="s">
        <v>20655</v>
      </c>
      <c r="CR2276" s="58">
        <v>3.0</v>
      </c>
      <c r="CT2276" s="58">
        <v>53.0</v>
      </c>
      <c r="CU2276" s="58" t="s">
        <v>239</v>
      </c>
      <c r="DL2276" s="58" t="s">
        <v>20656</v>
      </c>
    </row>
    <row r="2277" ht="15.75" customHeight="1">
      <c r="B2277" s="58" t="s">
        <v>16392</v>
      </c>
      <c r="C2277" s="58">
        <v>2021.0</v>
      </c>
      <c r="D2277" s="58" t="s">
        <v>20657</v>
      </c>
      <c r="E2277" s="58" t="s">
        <v>20658</v>
      </c>
      <c r="F2277" s="58" t="s">
        <v>16436</v>
      </c>
      <c r="H2277" s="58" t="s">
        <v>16437</v>
      </c>
      <c r="I2277" s="58" t="s">
        <v>20659</v>
      </c>
      <c r="K2277" s="73">
        <v>44397.0</v>
      </c>
      <c r="R2277" s="58">
        <v>9.0</v>
      </c>
      <c r="Z2277" s="58" t="s">
        <v>239</v>
      </c>
      <c r="CH2277" s="58" t="s">
        <v>20660</v>
      </c>
      <c r="CI2277" s="73">
        <v>44405.0</v>
      </c>
      <c r="CJ2277" s="58">
        <v>103709.0</v>
      </c>
      <c r="CK2277" s="58">
        <v>103727.0</v>
      </c>
      <c r="CL2277" s="58" t="s">
        <v>20661</v>
      </c>
      <c r="CN2277" s="58" t="s">
        <v>20662</v>
      </c>
      <c r="CO2277" s="58" t="s">
        <v>20663</v>
      </c>
      <c r="CP2277" s="58" t="s">
        <v>20664</v>
      </c>
      <c r="CR2277" s="58">
        <v>3.0</v>
      </c>
      <c r="CT2277" s="58">
        <v>47.0</v>
      </c>
      <c r="CU2277" s="58" t="s">
        <v>16423</v>
      </c>
      <c r="DL2277" s="58" t="s">
        <v>20665</v>
      </c>
    </row>
    <row r="2278" ht="15.75" customHeight="1">
      <c r="B2278" s="58" t="s">
        <v>16392</v>
      </c>
      <c r="C2278" s="58">
        <v>2023.0</v>
      </c>
      <c r="D2278" s="58" t="s">
        <v>20666</v>
      </c>
      <c r="E2278" s="58" t="s">
        <v>20667</v>
      </c>
      <c r="F2278" s="58" t="s">
        <v>16436</v>
      </c>
      <c r="H2278" s="58" t="s">
        <v>16437</v>
      </c>
      <c r="I2278" s="58" t="s">
        <v>20668</v>
      </c>
      <c r="K2278" s="73">
        <v>45265.0</v>
      </c>
      <c r="R2278" s="58">
        <v>11.0</v>
      </c>
      <c r="Z2278" s="58" t="s">
        <v>239</v>
      </c>
      <c r="CH2278" s="58" t="s">
        <v>20669</v>
      </c>
      <c r="CI2278" s="73">
        <v>45275.0</v>
      </c>
      <c r="CJ2278" s="58">
        <v>137577.0</v>
      </c>
      <c r="CK2278" s="58">
        <v>137593.0</v>
      </c>
      <c r="CL2278" s="58" t="s">
        <v>20670</v>
      </c>
      <c r="CN2278" s="58" t="s">
        <v>20671</v>
      </c>
      <c r="CO2278" s="58" t="s">
        <v>20672</v>
      </c>
      <c r="CP2278" s="58" t="s">
        <v>20673</v>
      </c>
      <c r="CR2278" s="58">
        <v>3.0</v>
      </c>
      <c r="CT2278" s="58">
        <v>66.0</v>
      </c>
      <c r="CU2278" s="58" t="s">
        <v>16727</v>
      </c>
      <c r="DL2278" s="58" t="s">
        <v>20674</v>
      </c>
    </row>
    <row r="2279" ht="15.75" customHeight="1">
      <c r="B2279" s="58" t="s">
        <v>16392</v>
      </c>
      <c r="C2279" s="58">
        <v>2024.0</v>
      </c>
      <c r="D2279" s="58" t="s">
        <v>20675</v>
      </c>
      <c r="E2279" s="58" t="s">
        <v>20676</v>
      </c>
      <c r="F2279" s="58" t="s">
        <v>16436</v>
      </c>
      <c r="H2279" s="58" t="s">
        <v>16437</v>
      </c>
      <c r="I2279" s="58" t="s">
        <v>20677</v>
      </c>
      <c r="K2279" s="73">
        <v>45505.0</v>
      </c>
      <c r="R2279" s="58">
        <v>12.0</v>
      </c>
      <c r="Z2279" s="58" t="s">
        <v>239</v>
      </c>
      <c r="CH2279" s="58" t="s">
        <v>20678</v>
      </c>
      <c r="CI2279" s="73">
        <v>45513.0</v>
      </c>
      <c r="CJ2279" s="58">
        <v>107297.0</v>
      </c>
      <c r="CK2279" s="58">
        <v>107336.0</v>
      </c>
      <c r="CL2279" s="58" t="s">
        <v>20679</v>
      </c>
      <c r="CN2279" s="58" t="s">
        <v>20680</v>
      </c>
      <c r="CO2279" s="58" t="s">
        <v>20681</v>
      </c>
      <c r="CP2279" s="58" t="s">
        <v>20682</v>
      </c>
      <c r="CR2279" s="58">
        <v>3.0</v>
      </c>
      <c r="CT2279" s="58">
        <v>222.0</v>
      </c>
      <c r="CU2279" s="58" t="s">
        <v>16423</v>
      </c>
      <c r="DL2279" s="58" t="s">
        <v>20683</v>
      </c>
    </row>
    <row r="2280" ht="15.75" customHeight="1">
      <c r="B2280" s="58" t="s">
        <v>16392</v>
      </c>
      <c r="C2280" s="58">
        <v>2024.0</v>
      </c>
      <c r="D2280" s="58" t="s">
        <v>20684</v>
      </c>
      <c r="E2280" s="58" t="s">
        <v>20685</v>
      </c>
      <c r="F2280" s="58" t="s">
        <v>16395</v>
      </c>
      <c r="H2280" s="58" t="s">
        <v>16396</v>
      </c>
      <c r="I2280" s="58" t="s">
        <v>20686</v>
      </c>
      <c r="K2280" s="73">
        <v>45399.0</v>
      </c>
      <c r="Q2280" s="58">
        <v>4.0</v>
      </c>
      <c r="R2280" s="58">
        <v>26.0</v>
      </c>
      <c r="Z2280" s="58" t="s">
        <v>239</v>
      </c>
      <c r="CH2280" s="58" t="s">
        <v>20687</v>
      </c>
      <c r="CI2280" s="73">
        <v>45617.0</v>
      </c>
      <c r="CJ2280" s="58">
        <v>2836.0</v>
      </c>
      <c r="CK2280" s="58">
        <v>2866.0</v>
      </c>
      <c r="CL2280" s="58" t="s">
        <v>20688</v>
      </c>
      <c r="CN2280" s="58" t="s">
        <v>20689</v>
      </c>
      <c r="CO2280" s="58" t="s">
        <v>20690</v>
      </c>
      <c r="CP2280" s="58" t="s">
        <v>20691</v>
      </c>
      <c r="CR2280" s="58">
        <v>3.0</v>
      </c>
      <c r="CT2280" s="58">
        <v>276.0</v>
      </c>
      <c r="CU2280" s="58" t="s">
        <v>239</v>
      </c>
      <c r="DL2280" s="58" t="s">
        <v>20692</v>
      </c>
    </row>
    <row r="2281" ht="15.75" customHeight="1">
      <c r="B2281" s="58" t="s">
        <v>16392</v>
      </c>
      <c r="C2281" s="58">
        <v>2023.0</v>
      </c>
      <c r="D2281" s="58" t="s">
        <v>20693</v>
      </c>
      <c r="E2281" s="58" t="s">
        <v>20694</v>
      </c>
      <c r="F2281" s="58" t="s">
        <v>18018</v>
      </c>
      <c r="H2281" s="58" t="s">
        <v>18019</v>
      </c>
      <c r="I2281" s="58" t="s">
        <v>20695</v>
      </c>
      <c r="K2281" s="73">
        <v>44880.0</v>
      </c>
      <c r="Q2281" s="58">
        <v>2.0</v>
      </c>
      <c r="R2281" s="58">
        <v>8.0</v>
      </c>
      <c r="Z2281" s="58" t="s">
        <v>239</v>
      </c>
      <c r="CH2281" s="58" t="s">
        <v>12914</v>
      </c>
      <c r="CI2281" s="73">
        <v>45085.0</v>
      </c>
      <c r="CJ2281" s="58">
        <v>180.0</v>
      </c>
      <c r="CK2281" s="58">
        <v>193.0</v>
      </c>
      <c r="CL2281" s="58" t="s">
        <v>20696</v>
      </c>
      <c r="CN2281" s="58" t="s">
        <v>20697</v>
      </c>
      <c r="CO2281" s="58" t="s">
        <v>20698</v>
      </c>
      <c r="CP2281" s="58" t="s">
        <v>20699</v>
      </c>
      <c r="CR2281" s="58">
        <v>3.0</v>
      </c>
      <c r="CT2281" s="58">
        <v>60.0</v>
      </c>
      <c r="CU2281" s="58" t="s">
        <v>239</v>
      </c>
      <c r="DL2281" s="58" t="s">
        <v>20700</v>
      </c>
    </row>
    <row r="2282" ht="15.75" customHeight="1">
      <c r="B2282" s="58" t="s">
        <v>16392</v>
      </c>
      <c r="C2282" s="58">
        <v>2024.0</v>
      </c>
      <c r="D2282" s="58" t="s">
        <v>20701</v>
      </c>
      <c r="E2282" s="58" t="s">
        <v>20702</v>
      </c>
      <c r="F2282" s="58" t="s">
        <v>20703</v>
      </c>
      <c r="H2282" s="58" t="s">
        <v>20704</v>
      </c>
      <c r="I2282" s="58" t="s">
        <v>20705</v>
      </c>
      <c r="K2282" s="73">
        <v>45273.0</v>
      </c>
      <c r="Q2282" s="58">
        <v>2.0</v>
      </c>
      <c r="R2282" s="58">
        <v>10.0</v>
      </c>
      <c r="Z2282" s="58" t="s">
        <v>239</v>
      </c>
      <c r="CH2282" s="58" t="s">
        <v>20706</v>
      </c>
      <c r="CI2282" s="73">
        <v>45364.0</v>
      </c>
      <c r="CJ2282" s="58">
        <v>174.0</v>
      </c>
      <c r="CK2282" s="58">
        <v>193.0</v>
      </c>
      <c r="CL2282" s="58" t="s">
        <v>20707</v>
      </c>
      <c r="CN2282" s="58" t="s">
        <v>20708</v>
      </c>
      <c r="CO2282" s="58" t="s">
        <v>20709</v>
      </c>
      <c r="CP2282" s="58" t="s">
        <v>20710</v>
      </c>
      <c r="CR2282" s="58">
        <v>3.0</v>
      </c>
      <c r="CT2282" s="58">
        <v>130.0</v>
      </c>
      <c r="CU2282" s="58" t="s">
        <v>239</v>
      </c>
      <c r="DL2282" s="58" t="s">
        <v>20711</v>
      </c>
    </row>
    <row r="2283" ht="15.75" customHeight="1">
      <c r="B2283" s="58" t="s">
        <v>16392</v>
      </c>
      <c r="C2283" s="58">
        <v>2023.0</v>
      </c>
      <c r="D2283" s="58" t="s">
        <v>20712</v>
      </c>
      <c r="E2283" s="58" t="s">
        <v>20713</v>
      </c>
      <c r="F2283" s="58" t="s">
        <v>16436</v>
      </c>
      <c r="H2283" s="58" t="s">
        <v>16437</v>
      </c>
      <c r="I2283" s="58" t="s">
        <v>20714</v>
      </c>
      <c r="K2283" s="73">
        <v>45217.0</v>
      </c>
      <c r="R2283" s="58">
        <v>11.0</v>
      </c>
      <c r="Z2283" s="58" t="s">
        <v>239</v>
      </c>
      <c r="CH2283" s="58" t="s">
        <v>20715</v>
      </c>
      <c r="CI2283" s="73">
        <v>45224.0</v>
      </c>
      <c r="CJ2283" s="58">
        <v>114790.0</v>
      </c>
      <c r="CK2283" s="58">
        <v>114810.0</v>
      </c>
      <c r="CL2283" s="58" t="s">
        <v>20716</v>
      </c>
      <c r="CN2283" s="58" t="s">
        <v>20717</v>
      </c>
      <c r="CO2283" s="58" t="s">
        <v>20718</v>
      </c>
      <c r="CP2283" s="58" t="s">
        <v>20719</v>
      </c>
      <c r="CR2283" s="58">
        <v>3.0</v>
      </c>
      <c r="CT2283" s="58">
        <v>36.0</v>
      </c>
      <c r="CU2283" s="58" t="s">
        <v>16727</v>
      </c>
      <c r="DL2283" s="58" t="s">
        <v>20720</v>
      </c>
    </row>
    <row r="2284" ht="15.75" customHeight="1">
      <c r="B2284" s="58" t="s">
        <v>16392</v>
      </c>
      <c r="C2284" s="58">
        <v>2024.0</v>
      </c>
      <c r="D2284" s="58" t="s">
        <v>20721</v>
      </c>
      <c r="E2284" s="58" t="s">
        <v>20722</v>
      </c>
      <c r="F2284" s="58" t="s">
        <v>17051</v>
      </c>
      <c r="H2284" s="58" t="s">
        <v>17052</v>
      </c>
      <c r="I2284" s="58" t="s">
        <v>20723</v>
      </c>
      <c r="K2284" s="73">
        <v>45386.0</v>
      </c>
      <c r="Q2284" s="58">
        <v>10.0</v>
      </c>
      <c r="R2284" s="58">
        <v>24.0</v>
      </c>
      <c r="Z2284" s="58" t="s">
        <v>239</v>
      </c>
      <c r="CH2284" s="58" t="s">
        <v>20724</v>
      </c>
      <c r="CI2284" s="73">
        <v>45427.0</v>
      </c>
      <c r="CJ2284" s="58">
        <v>15748.0</v>
      </c>
      <c r="CK2284" s="58">
        <v>15772.0</v>
      </c>
      <c r="CL2284" s="58" t="s">
        <v>20725</v>
      </c>
      <c r="CN2284" s="58" t="s">
        <v>20726</v>
      </c>
      <c r="CO2284" s="58" t="s">
        <v>20727</v>
      </c>
      <c r="CP2284" s="58" t="s">
        <v>20728</v>
      </c>
      <c r="CR2284" s="58">
        <v>3.0</v>
      </c>
      <c r="CT2284" s="58">
        <v>146.0</v>
      </c>
      <c r="CU2284" s="58" t="s">
        <v>239</v>
      </c>
      <c r="DL2284" s="58" t="s">
        <v>20729</v>
      </c>
    </row>
    <row r="2285" ht="15.75" customHeight="1">
      <c r="B2285" s="58" t="s">
        <v>16392</v>
      </c>
      <c r="C2285" s="58">
        <v>2024.0</v>
      </c>
      <c r="D2285" s="58" t="s">
        <v>20730</v>
      </c>
      <c r="E2285" s="58" t="s">
        <v>20731</v>
      </c>
      <c r="F2285" s="58" t="s">
        <v>16959</v>
      </c>
      <c r="H2285" s="58" t="s">
        <v>16960</v>
      </c>
      <c r="I2285" s="58" t="s">
        <v>20732</v>
      </c>
      <c r="K2285" s="73">
        <v>45323.0</v>
      </c>
      <c r="Q2285" s="58">
        <v>2.0</v>
      </c>
      <c r="R2285" s="58">
        <v>21.0</v>
      </c>
      <c r="Z2285" s="58" t="s">
        <v>239</v>
      </c>
      <c r="CH2285" s="58" t="s">
        <v>20733</v>
      </c>
      <c r="CI2285" s="73">
        <v>45397.0</v>
      </c>
      <c r="CJ2285" s="58">
        <v>1724.0</v>
      </c>
      <c r="CK2285" s="58">
        <v>1736.0</v>
      </c>
      <c r="CL2285" s="58" t="s">
        <v>20734</v>
      </c>
      <c r="CN2285" s="58" t="s">
        <v>20735</v>
      </c>
      <c r="CO2285" s="58" t="s">
        <v>20736</v>
      </c>
      <c r="CP2285" s="58" t="s">
        <v>20737</v>
      </c>
      <c r="CR2285" s="58">
        <v>3.0</v>
      </c>
      <c r="CT2285" s="58">
        <v>31.0</v>
      </c>
      <c r="CU2285" s="58" t="s">
        <v>239</v>
      </c>
      <c r="DL2285" s="58" t="s">
        <v>20738</v>
      </c>
    </row>
    <row r="2286" ht="15.75" customHeight="1">
      <c r="B2286" s="58" t="s">
        <v>16392</v>
      </c>
      <c r="C2286" s="58">
        <v>2024.0</v>
      </c>
      <c r="D2286" s="58" t="s">
        <v>20739</v>
      </c>
      <c r="E2286" s="58" t="s">
        <v>20740</v>
      </c>
      <c r="F2286" s="58" t="s">
        <v>16959</v>
      </c>
      <c r="H2286" s="58" t="s">
        <v>16960</v>
      </c>
      <c r="I2286" s="58" t="s">
        <v>20741</v>
      </c>
      <c r="K2286" s="73">
        <v>45240.0</v>
      </c>
      <c r="Q2286" s="58">
        <v>2.0</v>
      </c>
      <c r="R2286" s="58">
        <v>21.0</v>
      </c>
      <c r="Z2286" s="58" t="s">
        <v>239</v>
      </c>
      <c r="CH2286" s="58" t="s">
        <v>20742</v>
      </c>
      <c r="CI2286" s="73">
        <v>45397.0</v>
      </c>
      <c r="CJ2286" s="58">
        <v>1894.0</v>
      </c>
      <c r="CK2286" s="58">
        <v>1911.0</v>
      </c>
      <c r="CL2286" s="58" t="s">
        <v>20743</v>
      </c>
      <c r="CO2286" s="58" t="s">
        <v>20744</v>
      </c>
      <c r="CP2286" s="58" t="s">
        <v>20745</v>
      </c>
      <c r="CR2286" s="58">
        <v>3.0</v>
      </c>
      <c r="CT2286" s="58">
        <v>37.0</v>
      </c>
      <c r="CU2286" s="58" t="s">
        <v>16423</v>
      </c>
      <c r="DL2286" s="58" t="s">
        <v>20746</v>
      </c>
    </row>
    <row r="2287" ht="15.75" customHeight="1">
      <c r="B2287" s="58" t="s">
        <v>16392</v>
      </c>
      <c r="C2287" s="58">
        <v>2020.0</v>
      </c>
      <c r="D2287" s="58" t="s">
        <v>20747</v>
      </c>
      <c r="E2287" s="58" t="s">
        <v>20748</v>
      </c>
      <c r="F2287" s="58" t="s">
        <v>16436</v>
      </c>
      <c r="H2287" s="58" t="s">
        <v>16437</v>
      </c>
      <c r="I2287" s="58" t="s">
        <v>20749</v>
      </c>
      <c r="K2287" s="73">
        <v>44165.0</v>
      </c>
      <c r="R2287" s="58">
        <v>8.0</v>
      </c>
      <c r="Z2287" s="58" t="s">
        <v>239</v>
      </c>
      <c r="CH2287" s="58" t="s">
        <v>20750</v>
      </c>
      <c r="CI2287" s="73">
        <v>44173.0</v>
      </c>
      <c r="CJ2287" s="58">
        <v>216029.0</v>
      </c>
      <c r="CK2287" s="58">
        <v>216042.0</v>
      </c>
      <c r="CL2287" s="58" t="s">
        <v>20751</v>
      </c>
      <c r="CN2287" s="58" t="s">
        <v>20752</v>
      </c>
      <c r="CO2287" s="58" t="s">
        <v>20753</v>
      </c>
      <c r="CP2287" s="58" t="s">
        <v>20754</v>
      </c>
      <c r="CR2287" s="58">
        <v>3.0</v>
      </c>
      <c r="CT2287" s="58">
        <v>33.0</v>
      </c>
      <c r="CU2287" s="58" t="s">
        <v>16423</v>
      </c>
      <c r="DL2287" s="58" t="s">
        <v>20755</v>
      </c>
    </row>
    <row r="2288" ht="15.75" customHeight="1">
      <c r="B2288" s="58" t="s">
        <v>16392</v>
      </c>
      <c r="C2288" s="58">
        <v>2024.0</v>
      </c>
      <c r="D2288" s="58" t="s">
        <v>20756</v>
      </c>
      <c r="E2288" s="58" t="s">
        <v>20757</v>
      </c>
      <c r="F2288" s="58" t="s">
        <v>16436</v>
      </c>
      <c r="H2288" s="58" t="s">
        <v>16437</v>
      </c>
      <c r="I2288" s="58" t="s">
        <v>20758</v>
      </c>
      <c r="K2288" s="73">
        <v>45369.0</v>
      </c>
      <c r="R2288" s="58">
        <v>12.0</v>
      </c>
      <c r="Z2288" s="58" t="s">
        <v>239</v>
      </c>
      <c r="CH2288" s="58" t="s">
        <v>20759</v>
      </c>
      <c r="CI2288" s="73">
        <v>45433.0</v>
      </c>
      <c r="CJ2288" s="58">
        <v>69765.0</v>
      </c>
      <c r="CK2288" s="58">
        <v>69782.0</v>
      </c>
      <c r="CL2288" s="58" t="s">
        <v>20760</v>
      </c>
      <c r="CO2288" s="58" t="s">
        <v>20761</v>
      </c>
      <c r="CP2288" s="58" t="s">
        <v>20762</v>
      </c>
      <c r="CR2288" s="58">
        <v>3.0</v>
      </c>
      <c r="CT2288" s="58">
        <v>127.0</v>
      </c>
      <c r="CU2288" s="58" t="s">
        <v>16727</v>
      </c>
      <c r="DL2288" s="58" t="s">
        <v>20763</v>
      </c>
    </row>
    <row r="2289" ht="15.75" customHeight="1">
      <c r="B2289" s="58" t="s">
        <v>16392</v>
      </c>
      <c r="C2289" s="58">
        <v>2024.0</v>
      </c>
      <c r="D2289" s="58" t="s">
        <v>20764</v>
      </c>
      <c r="E2289" s="58" t="s">
        <v>20765</v>
      </c>
      <c r="F2289" s="58" t="s">
        <v>16613</v>
      </c>
      <c r="H2289" s="58" t="s">
        <v>16614</v>
      </c>
      <c r="I2289" s="58" t="s">
        <v>20766</v>
      </c>
      <c r="K2289" s="73">
        <v>45243.0</v>
      </c>
      <c r="Q2289" s="58">
        <v>1.0</v>
      </c>
      <c r="R2289" s="58">
        <v>17.0</v>
      </c>
      <c r="Z2289" s="58" t="s">
        <v>239</v>
      </c>
      <c r="CH2289" s="58" t="s">
        <v>20767</v>
      </c>
      <c r="CI2289" s="73">
        <v>45327.0</v>
      </c>
      <c r="CJ2289" s="58">
        <v>47.0</v>
      </c>
      <c r="CK2289" s="58">
        <v>59.0</v>
      </c>
      <c r="CL2289" s="58" t="s">
        <v>20768</v>
      </c>
      <c r="CO2289" s="58" t="s">
        <v>20769</v>
      </c>
      <c r="CP2289" s="58" t="s">
        <v>20770</v>
      </c>
      <c r="CR2289" s="58">
        <v>3.0</v>
      </c>
      <c r="CT2289" s="58">
        <v>48.0</v>
      </c>
      <c r="CU2289" s="58" t="s">
        <v>239</v>
      </c>
      <c r="DL2289" s="58" t="s">
        <v>20771</v>
      </c>
    </row>
    <row r="2290" ht="15.75" customHeight="1">
      <c r="B2290" s="58" t="s">
        <v>20772</v>
      </c>
      <c r="C2290" s="58">
        <v>2023.0</v>
      </c>
      <c r="D2290" s="58" t="s">
        <v>20773</v>
      </c>
      <c r="E2290" s="58" t="s">
        <v>20774</v>
      </c>
      <c r="F2290" s="58" t="s">
        <v>20775</v>
      </c>
      <c r="H2290" s="58" t="s">
        <v>20776</v>
      </c>
      <c r="I2290" s="58" t="s">
        <v>20777</v>
      </c>
      <c r="K2290" s="73">
        <v>45203.0</v>
      </c>
      <c r="Q2290" s="58">
        <v>3.0</v>
      </c>
      <c r="R2290" s="58">
        <v>8.0</v>
      </c>
      <c r="Z2290" s="58" t="s">
        <v>20778</v>
      </c>
      <c r="CH2290" s="58" t="s">
        <v>20779</v>
      </c>
      <c r="CI2290" s="73">
        <v>45203.0</v>
      </c>
      <c r="CJ2290" s="58">
        <v>187.0</v>
      </c>
      <c r="CK2290" s="58">
        <v>202.0</v>
      </c>
      <c r="CL2290" s="58" t="s">
        <v>20780</v>
      </c>
      <c r="CO2290" s="58" t="s">
        <v>20781</v>
      </c>
      <c r="CP2290" s="58" t="s">
        <v>20782</v>
      </c>
      <c r="CR2290" s="58">
        <v>3.0</v>
      </c>
      <c r="DL2290" s="58" t="s">
        <v>20783</v>
      </c>
    </row>
    <row r="2291" ht="15.75" customHeight="1">
      <c r="B2291" s="58" t="s">
        <v>16392</v>
      </c>
      <c r="C2291" s="58">
        <v>2024.0</v>
      </c>
      <c r="D2291" s="58" t="s">
        <v>20784</v>
      </c>
      <c r="E2291" s="58" t="s">
        <v>20785</v>
      </c>
      <c r="F2291" s="58" t="s">
        <v>16436</v>
      </c>
      <c r="H2291" s="58" t="s">
        <v>16437</v>
      </c>
      <c r="I2291" s="58" t="s">
        <v>20786</v>
      </c>
      <c r="K2291" s="73">
        <v>45440.0</v>
      </c>
      <c r="R2291" s="58">
        <v>12.0</v>
      </c>
      <c r="Z2291" s="58" t="s">
        <v>239</v>
      </c>
      <c r="CH2291" s="58" t="s">
        <v>20787</v>
      </c>
      <c r="CI2291" s="73">
        <v>45443.0</v>
      </c>
      <c r="CJ2291" s="58">
        <v>75337.0</v>
      </c>
      <c r="CK2291" s="58">
        <v>75365.0</v>
      </c>
      <c r="CL2291" s="58" t="s">
        <v>20788</v>
      </c>
      <c r="CN2291" s="58" t="s">
        <v>20789</v>
      </c>
      <c r="CO2291" s="58" t="s">
        <v>20790</v>
      </c>
      <c r="CP2291" s="58" t="s">
        <v>20791</v>
      </c>
      <c r="CR2291" s="58">
        <v>3.0</v>
      </c>
      <c r="CT2291" s="58">
        <v>68.0</v>
      </c>
      <c r="CU2291" s="58" t="s">
        <v>16423</v>
      </c>
      <c r="DL2291" s="58" t="s">
        <v>20792</v>
      </c>
    </row>
    <row r="2292" ht="15.75" customHeight="1">
      <c r="B2292" s="58" t="s">
        <v>16392</v>
      </c>
      <c r="C2292" s="58">
        <v>2017.0</v>
      </c>
      <c r="D2292" s="58" t="s">
        <v>20793</v>
      </c>
      <c r="E2292" s="58" t="s">
        <v>20794</v>
      </c>
      <c r="F2292" s="58" t="s">
        <v>16436</v>
      </c>
      <c r="H2292" s="58" t="s">
        <v>16437</v>
      </c>
      <c r="I2292" s="58" t="s">
        <v>20795</v>
      </c>
      <c r="K2292" s="73">
        <v>43035.0</v>
      </c>
      <c r="R2292" s="58">
        <v>5.0</v>
      </c>
      <c r="Z2292" s="58" t="s">
        <v>239</v>
      </c>
      <c r="CH2292" s="58" t="s">
        <v>20796</v>
      </c>
      <c r="CI2292" s="73">
        <v>43052.0</v>
      </c>
      <c r="CJ2292" s="58">
        <v>23532.0</v>
      </c>
      <c r="CK2292" s="58">
        <v>23549.0</v>
      </c>
      <c r="CL2292" s="58" t="s">
        <v>20797</v>
      </c>
      <c r="CO2292" s="58" t="s">
        <v>20798</v>
      </c>
      <c r="CP2292" s="58" t="s">
        <v>20799</v>
      </c>
      <c r="CR2292" s="58">
        <v>3.0</v>
      </c>
      <c r="CT2292" s="58">
        <v>52.0</v>
      </c>
      <c r="CU2292" s="58" t="s">
        <v>16444</v>
      </c>
      <c r="DL2292" s="58" t="s">
        <v>20800</v>
      </c>
    </row>
    <row r="2293" ht="15.75" customHeight="1">
      <c r="B2293" s="58" t="s">
        <v>16392</v>
      </c>
      <c r="C2293" s="58">
        <v>2024.0</v>
      </c>
      <c r="D2293" s="58" t="s">
        <v>20801</v>
      </c>
      <c r="E2293" s="58" t="s">
        <v>20802</v>
      </c>
      <c r="F2293" s="58" t="s">
        <v>16436</v>
      </c>
      <c r="H2293" s="58" t="s">
        <v>16437</v>
      </c>
      <c r="I2293" s="58" t="s">
        <v>20803</v>
      </c>
      <c r="K2293" s="73">
        <v>45390.0</v>
      </c>
      <c r="R2293" s="58">
        <v>12.0</v>
      </c>
      <c r="Z2293" s="58" t="s">
        <v>239</v>
      </c>
      <c r="CH2293" s="58" t="s">
        <v>20804</v>
      </c>
      <c r="CI2293" s="73">
        <v>45464.0</v>
      </c>
      <c r="CJ2293" s="58">
        <v>85259.0</v>
      </c>
      <c r="CK2293" s="58">
        <v>85274.0</v>
      </c>
      <c r="CL2293" s="58" t="s">
        <v>20805</v>
      </c>
      <c r="CN2293" s="58" t="s">
        <v>20806</v>
      </c>
      <c r="CO2293" s="58" t="s">
        <v>20807</v>
      </c>
      <c r="CP2293" s="58" t="s">
        <v>20808</v>
      </c>
      <c r="CR2293" s="58">
        <v>3.0</v>
      </c>
      <c r="CT2293" s="58">
        <v>34.0</v>
      </c>
      <c r="CU2293" s="58" t="s">
        <v>16423</v>
      </c>
      <c r="DL2293" s="58" t="s">
        <v>20809</v>
      </c>
    </row>
    <row r="2294" ht="15.75" customHeight="1">
      <c r="B2294" s="58" t="s">
        <v>16392</v>
      </c>
      <c r="C2294" s="58">
        <v>2024.0</v>
      </c>
      <c r="D2294" s="58" t="s">
        <v>20810</v>
      </c>
      <c r="E2294" s="58" t="s">
        <v>20811</v>
      </c>
      <c r="F2294" s="58" t="s">
        <v>16613</v>
      </c>
      <c r="H2294" s="58" t="s">
        <v>16614</v>
      </c>
      <c r="I2294" s="58" t="s">
        <v>20812</v>
      </c>
      <c r="K2294" s="73">
        <v>45422.0</v>
      </c>
      <c r="Q2294" s="58">
        <v>5.0</v>
      </c>
      <c r="R2294" s="58">
        <v>17.0</v>
      </c>
      <c r="Z2294" s="58" t="s">
        <v>239</v>
      </c>
      <c r="CH2294" s="58" t="s">
        <v>20813</v>
      </c>
      <c r="CI2294" s="73">
        <v>45573.0</v>
      </c>
      <c r="CJ2294" s="58">
        <v>1983.0</v>
      </c>
      <c r="CK2294" s="58">
        <v>1997.0</v>
      </c>
      <c r="CL2294" s="58" t="s">
        <v>20814</v>
      </c>
      <c r="CN2294" s="58" t="s">
        <v>20815</v>
      </c>
      <c r="CO2294" s="58" t="s">
        <v>20816</v>
      </c>
      <c r="CP2294" s="58" t="s">
        <v>20817</v>
      </c>
      <c r="CR2294" s="58">
        <v>3.0</v>
      </c>
      <c r="CT2294" s="58">
        <v>48.0</v>
      </c>
      <c r="CU2294" s="58" t="s">
        <v>239</v>
      </c>
      <c r="DL2294" s="58" t="s">
        <v>20818</v>
      </c>
    </row>
    <row r="2295" ht="15.75" customHeight="1">
      <c r="B2295" s="58" t="s">
        <v>16392</v>
      </c>
      <c r="C2295" s="58">
        <v>2021.0</v>
      </c>
      <c r="D2295" s="58" t="s">
        <v>20819</v>
      </c>
      <c r="E2295" s="58" t="s">
        <v>20820</v>
      </c>
      <c r="F2295" s="58" t="s">
        <v>16959</v>
      </c>
      <c r="H2295" s="58" t="s">
        <v>16960</v>
      </c>
      <c r="I2295" s="58" t="s">
        <v>20821</v>
      </c>
      <c r="K2295" s="73">
        <v>44222.0</v>
      </c>
      <c r="Q2295" s="58">
        <v>2.0</v>
      </c>
      <c r="R2295" s="58">
        <v>18.0</v>
      </c>
      <c r="Z2295" s="58" t="s">
        <v>239</v>
      </c>
      <c r="CH2295" s="58" t="s">
        <v>20822</v>
      </c>
      <c r="CI2295" s="73">
        <v>44357.0</v>
      </c>
      <c r="CJ2295" s="58">
        <v>2405.0</v>
      </c>
      <c r="CK2295" s="58">
        <v>2419.0</v>
      </c>
      <c r="CL2295" s="58" t="s">
        <v>20823</v>
      </c>
      <c r="CN2295" s="58" t="s">
        <v>20824</v>
      </c>
      <c r="CO2295" s="58" t="s">
        <v>20825</v>
      </c>
      <c r="CP2295" s="58" t="s">
        <v>20826</v>
      </c>
      <c r="CR2295" s="58">
        <v>3.0</v>
      </c>
      <c r="CT2295" s="58">
        <v>30.0</v>
      </c>
      <c r="CU2295" s="58" t="s">
        <v>239</v>
      </c>
      <c r="DL2295" s="58" t="s">
        <v>20827</v>
      </c>
    </row>
    <row r="2296" ht="15.75" customHeight="1">
      <c r="B2296" s="58" t="s">
        <v>16392</v>
      </c>
      <c r="C2296" s="58">
        <v>2021.0</v>
      </c>
      <c r="D2296" s="58" t="s">
        <v>20828</v>
      </c>
      <c r="E2296" s="58" t="s">
        <v>20829</v>
      </c>
      <c r="F2296" s="58" t="s">
        <v>17051</v>
      </c>
      <c r="H2296" s="58" t="s">
        <v>17052</v>
      </c>
      <c r="I2296" s="58" t="s">
        <v>20830</v>
      </c>
      <c r="K2296" s="73">
        <v>44119.0</v>
      </c>
      <c r="Q2296" s="58">
        <v>4.0</v>
      </c>
      <c r="R2296" s="58">
        <v>21.0</v>
      </c>
      <c r="Z2296" s="58" t="s">
        <v>239</v>
      </c>
      <c r="CH2296" s="58" t="s">
        <v>20831</v>
      </c>
      <c r="CI2296" s="73">
        <v>44214.0</v>
      </c>
      <c r="CJ2296" s="58">
        <v>5512.0</v>
      </c>
      <c r="CK2296" s="58">
        <v>5528.0</v>
      </c>
      <c r="CL2296" s="58" t="s">
        <v>20832</v>
      </c>
      <c r="CN2296" s="58" t="s">
        <v>20833</v>
      </c>
      <c r="CO2296" s="58" t="s">
        <v>20834</v>
      </c>
      <c r="CP2296" s="58" t="s">
        <v>20835</v>
      </c>
      <c r="CR2296" s="58">
        <v>3.0</v>
      </c>
      <c r="CT2296" s="58">
        <v>30.0</v>
      </c>
      <c r="CU2296" s="58" t="s">
        <v>239</v>
      </c>
      <c r="DL2296" s="58" t="s">
        <v>20836</v>
      </c>
    </row>
    <row r="2297" ht="15.75" customHeight="1">
      <c r="B2297" s="58" t="s">
        <v>16392</v>
      </c>
      <c r="C2297" s="58">
        <v>2024.0</v>
      </c>
      <c r="D2297" s="58" t="s">
        <v>20837</v>
      </c>
      <c r="E2297" s="58" t="s">
        <v>20838</v>
      </c>
      <c r="F2297" s="58" t="s">
        <v>18916</v>
      </c>
      <c r="H2297" s="58" t="s">
        <v>18917</v>
      </c>
      <c r="I2297" s="58" t="s">
        <v>20839</v>
      </c>
      <c r="K2297" s="73">
        <v>45370.0</v>
      </c>
      <c r="Q2297" s="58">
        <v>1.0</v>
      </c>
      <c r="R2297" s="58">
        <v>70.0</v>
      </c>
      <c r="Z2297" s="58" t="s">
        <v>239</v>
      </c>
      <c r="CH2297" s="58" t="s">
        <v>20840</v>
      </c>
      <c r="CI2297" s="73">
        <v>45411.0</v>
      </c>
      <c r="CJ2297" s="58">
        <v>4187.0</v>
      </c>
      <c r="CK2297" s="58">
        <v>4196.0</v>
      </c>
      <c r="CL2297" s="58" t="s">
        <v>20841</v>
      </c>
      <c r="CN2297" s="58" t="s">
        <v>20842</v>
      </c>
      <c r="CO2297" s="58" t="s">
        <v>20843</v>
      </c>
      <c r="CP2297" s="58" t="s">
        <v>20844</v>
      </c>
      <c r="CR2297" s="58">
        <v>2.0</v>
      </c>
      <c r="CT2297" s="58">
        <v>19.0</v>
      </c>
      <c r="CU2297" s="58" t="s">
        <v>239</v>
      </c>
      <c r="DL2297" s="58" t="s">
        <v>20845</v>
      </c>
    </row>
    <row r="2298" ht="15.75" customHeight="1">
      <c r="B2298" s="58" t="s">
        <v>20846</v>
      </c>
      <c r="C2298" s="58">
        <v>2024.0</v>
      </c>
      <c r="D2298" s="58" t="s">
        <v>20847</v>
      </c>
      <c r="E2298" s="58" t="s">
        <v>20848</v>
      </c>
      <c r="F2298" s="58" t="s">
        <v>20849</v>
      </c>
      <c r="H2298" s="58" t="s">
        <v>20850</v>
      </c>
      <c r="I2298" s="58" t="s">
        <v>20851</v>
      </c>
      <c r="K2298" s="73">
        <v>45313.0</v>
      </c>
      <c r="Q2298" s="58">
        <v>1.0</v>
      </c>
      <c r="R2298" s="58">
        <v>33.0</v>
      </c>
      <c r="Z2298" s="58" t="s">
        <v>20852</v>
      </c>
      <c r="CH2298" s="58" t="s">
        <v>20853</v>
      </c>
      <c r="CI2298" s="73">
        <v>45313.0</v>
      </c>
      <c r="CJ2298" s="58">
        <v>1.0</v>
      </c>
      <c r="CK2298" s="58">
        <v>18.0</v>
      </c>
      <c r="CL2298" s="58" t="s">
        <v>20854</v>
      </c>
      <c r="CN2298" s="58" t="s">
        <v>20855</v>
      </c>
      <c r="CO2298" s="58" t="s">
        <v>20856</v>
      </c>
      <c r="CP2298" s="58" t="s">
        <v>20857</v>
      </c>
      <c r="CR2298" s="58">
        <v>2.0</v>
      </c>
      <c r="CT2298" s="58">
        <v>107.0</v>
      </c>
      <c r="DL2298" s="58" t="s">
        <v>20858</v>
      </c>
    </row>
    <row r="2299" ht="15.75" customHeight="1">
      <c r="B2299" s="58" t="s">
        <v>16392</v>
      </c>
      <c r="C2299" s="58">
        <v>2023.0</v>
      </c>
      <c r="D2299" s="58" t="s">
        <v>20859</v>
      </c>
      <c r="E2299" s="58" t="s">
        <v>20860</v>
      </c>
      <c r="F2299" s="58" t="s">
        <v>16436</v>
      </c>
      <c r="H2299" s="58" t="s">
        <v>16437</v>
      </c>
      <c r="I2299" s="58" t="s">
        <v>20861</v>
      </c>
      <c r="K2299" s="73">
        <v>44956.0</v>
      </c>
      <c r="R2299" s="58">
        <v>11.0</v>
      </c>
      <c r="Z2299" s="58" t="s">
        <v>239</v>
      </c>
      <c r="CH2299" s="58" t="s">
        <v>20862</v>
      </c>
      <c r="CI2299" s="73">
        <v>44960.0</v>
      </c>
      <c r="CJ2299" s="58">
        <v>10053.0</v>
      </c>
      <c r="CK2299" s="58">
        <v>10091.0</v>
      </c>
      <c r="CL2299" s="58" t="s">
        <v>20863</v>
      </c>
      <c r="CN2299" s="58" t="s">
        <v>20864</v>
      </c>
      <c r="CO2299" s="58" t="s">
        <v>20865</v>
      </c>
      <c r="CP2299" s="58" t="s">
        <v>20866</v>
      </c>
      <c r="CR2299" s="58">
        <v>2.0</v>
      </c>
      <c r="CT2299" s="58">
        <v>270.0</v>
      </c>
      <c r="CU2299" s="58" t="s">
        <v>16423</v>
      </c>
      <c r="DL2299" s="58" t="s">
        <v>20867</v>
      </c>
    </row>
    <row r="2300" ht="15.75" customHeight="1">
      <c r="B2300" s="58" t="s">
        <v>16392</v>
      </c>
      <c r="C2300" s="58">
        <v>2024.0</v>
      </c>
      <c r="D2300" s="58" t="s">
        <v>20868</v>
      </c>
      <c r="E2300" s="58" t="s">
        <v>20869</v>
      </c>
      <c r="F2300" s="58" t="s">
        <v>16436</v>
      </c>
      <c r="H2300" s="58" t="s">
        <v>16437</v>
      </c>
      <c r="I2300" s="58" t="s">
        <v>20870</v>
      </c>
      <c r="K2300" s="73">
        <v>45539.0</v>
      </c>
      <c r="R2300" s="58">
        <v>12.0</v>
      </c>
      <c r="Z2300" s="58" t="s">
        <v>239</v>
      </c>
      <c r="CH2300" s="58" t="s">
        <v>20871</v>
      </c>
      <c r="CI2300" s="73">
        <v>45552.0</v>
      </c>
      <c r="CJ2300" s="58">
        <v>125284.0</v>
      </c>
      <c r="CK2300" s="58">
        <v>125305.0</v>
      </c>
      <c r="CL2300" s="58" t="s">
        <v>20872</v>
      </c>
      <c r="CN2300" s="58" t="s">
        <v>20873</v>
      </c>
      <c r="CO2300" s="58" t="s">
        <v>20874</v>
      </c>
      <c r="CP2300" s="58" t="s">
        <v>20875</v>
      </c>
      <c r="CR2300" s="58">
        <v>2.0</v>
      </c>
      <c r="CT2300" s="58">
        <v>141.0</v>
      </c>
      <c r="CU2300" s="58" t="s">
        <v>16727</v>
      </c>
      <c r="DL2300" s="58" t="s">
        <v>20876</v>
      </c>
    </row>
    <row r="2301" ht="15.75" customHeight="1">
      <c r="B2301" s="58" t="s">
        <v>16392</v>
      </c>
      <c r="C2301" s="58">
        <v>2024.0</v>
      </c>
      <c r="D2301" s="58" t="s">
        <v>20877</v>
      </c>
      <c r="E2301" s="58" t="s">
        <v>20878</v>
      </c>
      <c r="F2301" s="58" t="s">
        <v>17136</v>
      </c>
      <c r="H2301" s="58" t="s">
        <v>17137</v>
      </c>
      <c r="I2301" s="58" t="s">
        <v>20879</v>
      </c>
      <c r="K2301" s="73">
        <v>45537.0</v>
      </c>
      <c r="Q2301" s="58">
        <v>12.0</v>
      </c>
      <c r="R2301" s="58">
        <v>23.0</v>
      </c>
      <c r="Z2301" s="58" t="s">
        <v>239</v>
      </c>
      <c r="CH2301" s="58" t="s">
        <v>20880</v>
      </c>
      <c r="CI2301" s="73">
        <v>45602.0</v>
      </c>
      <c r="CJ2301" s="58">
        <v>14737.0</v>
      </c>
      <c r="CK2301" s="58">
        <v>14753.0</v>
      </c>
      <c r="CL2301" s="58" t="s">
        <v>20881</v>
      </c>
      <c r="CN2301" s="58" t="s">
        <v>20882</v>
      </c>
      <c r="CO2301" s="58" t="s">
        <v>20883</v>
      </c>
      <c r="CP2301" s="58" t="s">
        <v>20884</v>
      </c>
      <c r="CR2301" s="58">
        <v>2.0</v>
      </c>
      <c r="CT2301" s="58">
        <v>44.0</v>
      </c>
      <c r="CU2301" s="58" t="s">
        <v>239</v>
      </c>
      <c r="DL2301" s="58" t="s">
        <v>20885</v>
      </c>
    </row>
    <row r="2302" ht="15.75" customHeight="1">
      <c r="B2302" s="58" t="s">
        <v>16392</v>
      </c>
      <c r="C2302" s="58">
        <v>2023.0</v>
      </c>
      <c r="D2302" s="58" t="s">
        <v>20886</v>
      </c>
      <c r="E2302" s="58" t="s">
        <v>20887</v>
      </c>
      <c r="F2302" s="58" t="s">
        <v>17438</v>
      </c>
      <c r="H2302" s="58" t="s">
        <v>17439</v>
      </c>
      <c r="I2302" s="58" t="s">
        <v>20888</v>
      </c>
      <c r="K2302" s="73">
        <v>44509.0</v>
      </c>
      <c r="Q2302" s="58">
        <v>2.0</v>
      </c>
      <c r="R2302" s="58">
        <v>11.0</v>
      </c>
      <c r="Z2302" s="58" t="s">
        <v>239</v>
      </c>
      <c r="CH2302" s="58" t="s">
        <v>20889</v>
      </c>
      <c r="CI2302" s="73">
        <v>45083.0</v>
      </c>
      <c r="CJ2302" s="58">
        <v>1257.0</v>
      </c>
      <c r="CK2302" s="58">
        <v>1272.0</v>
      </c>
      <c r="CL2302" s="58" t="s">
        <v>20890</v>
      </c>
      <c r="CN2302" s="58" t="s">
        <v>20891</v>
      </c>
      <c r="CO2302" s="58" t="s">
        <v>20892</v>
      </c>
      <c r="CP2302" s="58" t="s">
        <v>20893</v>
      </c>
      <c r="CR2302" s="58">
        <v>2.0</v>
      </c>
      <c r="CT2302" s="58">
        <v>34.0</v>
      </c>
      <c r="CU2302" s="58" t="s">
        <v>239</v>
      </c>
      <c r="DL2302" s="58" t="s">
        <v>20894</v>
      </c>
    </row>
    <row r="2303" ht="15.75" customHeight="1">
      <c r="B2303" s="58" t="s">
        <v>16392</v>
      </c>
      <c r="C2303" s="58">
        <v>2022.0</v>
      </c>
      <c r="D2303" s="58" t="s">
        <v>20895</v>
      </c>
      <c r="E2303" s="58" t="s">
        <v>20896</v>
      </c>
      <c r="F2303" s="58" t="s">
        <v>16436</v>
      </c>
      <c r="H2303" s="58" t="s">
        <v>16437</v>
      </c>
      <c r="I2303" s="58" t="s">
        <v>20897</v>
      </c>
      <c r="K2303" s="73">
        <v>44882.0</v>
      </c>
      <c r="R2303" s="58">
        <v>10.0</v>
      </c>
      <c r="Z2303" s="58" t="s">
        <v>239</v>
      </c>
      <c r="CH2303" s="58" t="s">
        <v>20898</v>
      </c>
      <c r="CI2303" s="73">
        <v>44894.0</v>
      </c>
      <c r="CJ2303" s="58">
        <v>122933.0</v>
      </c>
      <c r="CK2303" s="58">
        <v>122953.0</v>
      </c>
      <c r="CL2303" s="58" t="s">
        <v>20899</v>
      </c>
      <c r="CN2303" s="58" t="s">
        <v>20900</v>
      </c>
      <c r="CO2303" s="58" t="s">
        <v>20901</v>
      </c>
      <c r="CP2303" s="58" t="s">
        <v>20902</v>
      </c>
      <c r="CR2303" s="58">
        <v>2.0</v>
      </c>
      <c r="CT2303" s="58">
        <v>51.0</v>
      </c>
      <c r="CU2303" s="58" t="s">
        <v>16423</v>
      </c>
      <c r="DL2303" s="58" t="s">
        <v>20903</v>
      </c>
    </row>
    <row r="2304" ht="15.75" customHeight="1">
      <c r="B2304" s="58" t="s">
        <v>16392</v>
      </c>
      <c r="C2304" s="58">
        <v>2024.0</v>
      </c>
      <c r="D2304" s="58" t="s">
        <v>20904</v>
      </c>
      <c r="E2304" s="58" t="s">
        <v>20905</v>
      </c>
      <c r="F2304" s="58" t="s">
        <v>16436</v>
      </c>
      <c r="H2304" s="58" t="s">
        <v>16437</v>
      </c>
      <c r="I2304" s="58" t="s">
        <v>20906</v>
      </c>
      <c r="K2304" s="73">
        <v>45300.0</v>
      </c>
      <c r="R2304" s="58">
        <v>12.0</v>
      </c>
      <c r="Z2304" s="58" t="s">
        <v>239</v>
      </c>
      <c r="CH2304" s="58" t="s">
        <v>20907</v>
      </c>
      <c r="CI2304" s="73">
        <v>45308.0</v>
      </c>
      <c r="CJ2304" s="58">
        <v>7413.0</v>
      </c>
      <c r="CK2304" s="58">
        <v>7429.0</v>
      </c>
      <c r="CL2304" s="58" t="s">
        <v>20908</v>
      </c>
      <c r="CN2304" s="58" t="s">
        <v>20909</v>
      </c>
      <c r="CO2304" s="58" t="s">
        <v>20910</v>
      </c>
      <c r="CP2304" s="58" t="s">
        <v>20911</v>
      </c>
      <c r="CR2304" s="58">
        <v>2.0</v>
      </c>
      <c r="CT2304" s="58">
        <v>59.0</v>
      </c>
      <c r="CU2304" s="58" t="s">
        <v>16423</v>
      </c>
      <c r="DL2304" s="58" t="s">
        <v>20912</v>
      </c>
    </row>
    <row r="2305" ht="15.75" customHeight="1">
      <c r="B2305" s="58" t="s">
        <v>16392</v>
      </c>
      <c r="C2305" s="58">
        <v>2020.0</v>
      </c>
      <c r="D2305" s="58" t="s">
        <v>20913</v>
      </c>
      <c r="E2305" s="58" t="s">
        <v>20914</v>
      </c>
      <c r="F2305" s="58" t="s">
        <v>16436</v>
      </c>
      <c r="H2305" s="58" t="s">
        <v>16437</v>
      </c>
      <c r="I2305" s="58" t="s">
        <v>20915</v>
      </c>
      <c r="K2305" s="73">
        <v>44110.0</v>
      </c>
      <c r="R2305" s="58">
        <v>8.0</v>
      </c>
      <c r="Z2305" s="58" t="s">
        <v>239</v>
      </c>
      <c r="CH2305" s="58" t="s">
        <v>20916</v>
      </c>
      <c r="CI2305" s="73">
        <v>44119.0</v>
      </c>
      <c r="CJ2305" s="58">
        <v>184273.0</v>
      </c>
      <c r="CK2305" s="58">
        <v>184283.0</v>
      </c>
      <c r="CL2305" s="58" t="s">
        <v>20917</v>
      </c>
      <c r="CN2305" s="58" t="s">
        <v>20918</v>
      </c>
      <c r="CO2305" s="58" t="s">
        <v>20919</v>
      </c>
      <c r="CP2305" s="58" t="s">
        <v>20920</v>
      </c>
      <c r="CR2305" s="58">
        <v>2.0</v>
      </c>
      <c r="CT2305" s="58">
        <v>53.0</v>
      </c>
      <c r="CU2305" s="58" t="s">
        <v>16727</v>
      </c>
      <c r="DL2305" s="58" t="s">
        <v>20921</v>
      </c>
    </row>
    <row r="2306" ht="15.75" customHeight="1">
      <c r="B2306" s="58" t="s">
        <v>16392</v>
      </c>
      <c r="C2306" s="58">
        <v>2024.0</v>
      </c>
      <c r="D2306" s="58" t="s">
        <v>20922</v>
      </c>
      <c r="E2306" s="58" t="s">
        <v>20923</v>
      </c>
      <c r="F2306" s="58" t="s">
        <v>17438</v>
      </c>
      <c r="H2306" s="58" t="s">
        <v>17439</v>
      </c>
      <c r="I2306" s="58" t="s">
        <v>20924</v>
      </c>
      <c r="K2306" s="73">
        <v>45323.0</v>
      </c>
      <c r="Q2306" s="58">
        <v>1.0</v>
      </c>
      <c r="R2306" s="58">
        <v>12.0</v>
      </c>
      <c r="Z2306" s="58" t="s">
        <v>239</v>
      </c>
      <c r="CH2306" s="58" t="s">
        <v>20925</v>
      </c>
      <c r="CI2306" s="73">
        <v>45358.0</v>
      </c>
      <c r="CJ2306" s="58">
        <v>277.0</v>
      </c>
      <c r="CK2306" s="58">
        <v>294.0</v>
      </c>
      <c r="CL2306" s="58" t="s">
        <v>20926</v>
      </c>
      <c r="CN2306" s="58" t="s">
        <v>20927</v>
      </c>
      <c r="CO2306" s="58" t="s">
        <v>20928</v>
      </c>
      <c r="CP2306" s="58" t="s">
        <v>20929</v>
      </c>
      <c r="CR2306" s="58">
        <v>2.0</v>
      </c>
      <c r="CT2306" s="58">
        <v>48.0</v>
      </c>
      <c r="CU2306" s="58" t="s">
        <v>16727</v>
      </c>
      <c r="DL2306" s="58" t="s">
        <v>20930</v>
      </c>
    </row>
    <row r="2307" ht="15.75" customHeight="1">
      <c r="B2307" s="58" t="s">
        <v>16392</v>
      </c>
      <c r="C2307" s="58">
        <v>2024.0</v>
      </c>
      <c r="D2307" s="58" t="s">
        <v>20931</v>
      </c>
      <c r="E2307" s="58" t="s">
        <v>20932</v>
      </c>
      <c r="F2307" s="58" t="s">
        <v>16959</v>
      </c>
      <c r="H2307" s="58" t="s">
        <v>16960</v>
      </c>
      <c r="I2307" s="58" t="s">
        <v>20933</v>
      </c>
      <c r="K2307" s="73">
        <v>45525.0</v>
      </c>
      <c r="Q2307" s="58">
        <v>6.0</v>
      </c>
      <c r="R2307" s="58">
        <v>21.0</v>
      </c>
      <c r="Z2307" s="58" t="s">
        <v>239</v>
      </c>
      <c r="CH2307" s="58" t="s">
        <v>20934</v>
      </c>
      <c r="CI2307" s="73">
        <v>45645.0</v>
      </c>
      <c r="CJ2307" s="58">
        <v>6839.0</v>
      </c>
      <c r="CK2307" s="58">
        <v>6856.0</v>
      </c>
      <c r="CL2307" s="58" t="s">
        <v>20935</v>
      </c>
      <c r="CN2307" s="58" t="s">
        <v>20936</v>
      </c>
      <c r="CO2307" s="58" t="s">
        <v>20937</v>
      </c>
      <c r="CP2307" s="58" t="s">
        <v>20938</v>
      </c>
      <c r="CR2307" s="58">
        <v>2.0</v>
      </c>
      <c r="CT2307" s="58">
        <v>41.0</v>
      </c>
      <c r="CU2307" s="58" t="s">
        <v>239</v>
      </c>
      <c r="DL2307" s="58" t="s">
        <v>20939</v>
      </c>
    </row>
    <row r="2308" ht="15.75" customHeight="1">
      <c r="B2308" s="58" t="s">
        <v>16392</v>
      </c>
      <c r="C2308" s="58">
        <v>2024.0</v>
      </c>
      <c r="D2308" s="58" t="s">
        <v>20940</v>
      </c>
      <c r="E2308" s="58" t="s">
        <v>20941</v>
      </c>
      <c r="F2308" s="58" t="s">
        <v>16493</v>
      </c>
      <c r="H2308" s="58" t="s">
        <v>16494</v>
      </c>
      <c r="I2308" s="58" t="s">
        <v>20942</v>
      </c>
      <c r="K2308" s="73">
        <v>45455.0</v>
      </c>
      <c r="R2308" s="58">
        <v>5.0</v>
      </c>
      <c r="Z2308" s="58" t="s">
        <v>239</v>
      </c>
      <c r="CH2308" s="58" t="s">
        <v>20943</v>
      </c>
      <c r="CI2308" s="73">
        <v>45471.0</v>
      </c>
      <c r="CJ2308" s="58">
        <v>3581.0</v>
      </c>
      <c r="CK2308" s="58">
        <v>3594.0</v>
      </c>
      <c r="CL2308" s="58" t="s">
        <v>20944</v>
      </c>
      <c r="CN2308" s="58" t="s">
        <v>20945</v>
      </c>
      <c r="CO2308" s="58" t="s">
        <v>20946</v>
      </c>
      <c r="CP2308" s="58" t="s">
        <v>20947</v>
      </c>
      <c r="CR2308" s="58">
        <v>2.0</v>
      </c>
      <c r="CT2308" s="58">
        <v>63.0</v>
      </c>
      <c r="CU2308" s="58" t="s">
        <v>16423</v>
      </c>
      <c r="DL2308" s="58" t="s">
        <v>20948</v>
      </c>
    </row>
    <row r="2309" ht="15.75" customHeight="1">
      <c r="B2309" s="58" t="s">
        <v>16392</v>
      </c>
      <c r="C2309" s="58">
        <v>2022.0</v>
      </c>
      <c r="D2309" s="58" t="s">
        <v>20949</v>
      </c>
      <c r="E2309" s="58" t="s">
        <v>20950</v>
      </c>
      <c r="F2309" s="58" t="s">
        <v>17040</v>
      </c>
      <c r="H2309" s="58" t="s">
        <v>17041</v>
      </c>
      <c r="I2309" s="58" t="s">
        <v>20951</v>
      </c>
      <c r="K2309" s="73">
        <v>44508.0</v>
      </c>
      <c r="Q2309" s="58">
        <v>1.0</v>
      </c>
      <c r="R2309" s="58">
        <v>6.0</v>
      </c>
      <c r="Z2309" s="58" t="s">
        <v>239</v>
      </c>
      <c r="CH2309" s="58" t="s">
        <v>20952</v>
      </c>
      <c r="CI2309" s="73">
        <v>44608.0</v>
      </c>
      <c r="CJ2309" s="58">
        <v>365.0</v>
      </c>
      <c r="CK2309" s="58">
        <v>375.0</v>
      </c>
      <c r="CL2309" s="58" t="s">
        <v>20953</v>
      </c>
      <c r="CN2309" s="58" t="s">
        <v>20954</v>
      </c>
      <c r="CO2309" s="58" t="s">
        <v>20955</v>
      </c>
      <c r="CP2309" s="58" t="s">
        <v>20956</v>
      </c>
      <c r="CR2309" s="58">
        <v>2.0</v>
      </c>
      <c r="CT2309" s="58">
        <v>25.0</v>
      </c>
      <c r="CU2309" s="58" t="s">
        <v>239</v>
      </c>
      <c r="DL2309" s="58" t="s">
        <v>20957</v>
      </c>
    </row>
    <row r="2310" ht="15.75" customHeight="1">
      <c r="B2310" s="58" t="s">
        <v>16392</v>
      </c>
      <c r="C2310" s="58">
        <v>2023.0</v>
      </c>
      <c r="D2310" s="58" t="s">
        <v>20958</v>
      </c>
      <c r="E2310" s="58" t="s">
        <v>20959</v>
      </c>
      <c r="F2310" s="58" t="s">
        <v>16613</v>
      </c>
      <c r="H2310" s="58" t="s">
        <v>16614</v>
      </c>
      <c r="I2310" s="58" t="s">
        <v>20960</v>
      </c>
      <c r="K2310" s="73">
        <v>44558.0</v>
      </c>
      <c r="Q2310" s="58">
        <v>1.0</v>
      </c>
      <c r="R2310" s="58">
        <v>16.0</v>
      </c>
      <c r="Z2310" s="58" t="s">
        <v>239</v>
      </c>
      <c r="CH2310" s="58" t="s">
        <v>20961</v>
      </c>
      <c r="CI2310" s="73">
        <v>44963.0</v>
      </c>
      <c r="CJ2310" s="58">
        <v>550.0</v>
      </c>
      <c r="CK2310" s="58">
        <v>563.0</v>
      </c>
      <c r="CL2310" s="58" t="s">
        <v>20962</v>
      </c>
      <c r="CN2310" s="58" t="s">
        <v>20963</v>
      </c>
      <c r="CO2310" s="58" t="s">
        <v>20964</v>
      </c>
      <c r="CP2310" s="58" t="s">
        <v>20965</v>
      </c>
      <c r="CR2310" s="58">
        <v>2.0</v>
      </c>
      <c r="CT2310" s="58">
        <v>60.0</v>
      </c>
      <c r="CU2310" s="58" t="s">
        <v>239</v>
      </c>
      <c r="DL2310" s="58" t="s">
        <v>20966</v>
      </c>
    </row>
    <row r="2311" ht="15.75" customHeight="1">
      <c r="B2311" s="58" t="s">
        <v>16392</v>
      </c>
      <c r="C2311" s="58">
        <v>2024.0</v>
      </c>
      <c r="D2311" s="58" t="s">
        <v>20967</v>
      </c>
      <c r="E2311" s="58" t="s">
        <v>20968</v>
      </c>
      <c r="F2311" s="58" t="s">
        <v>16436</v>
      </c>
      <c r="H2311" s="58" t="s">
        <v>16437</v>
      </c>
      <c r="I2311" s="58" t="s">
        <v>20969</v>
      </c>
      <c r="K2311" s="73">
        <v>45301.0</v>
      </c>
      <c r="R2311" s="58">
        <v>12.0</v>
      </c>
      <c r="Z2311" s="58" t="s">
        <v>239</v>
      </c>
      <c r="CH2311" s="58" t="s">
        <v>20970</v>
      </c>
      <c r="CI2311" s="73">
        <v>45390.0</v>
      </c>
      <c r="CJ2311" s="58">
        <v>48910.0</v>
      </c>
      <c r="CK2311" s="58">
        <v>48940.0</v>
      </c>
      <c r="CL2311" s="58" t="s">
        <v>20971</v>
      </c>
      <c r="CN2311" s="58" t="s">
        <v>20972</v>
      </c>
      <c r="CO2311" s="58" t="s">
        <v>20973</v>
      </c>
      <c r="CP2311" s="58" t="s">
        <v>20974</v>
      </c>
      <c r="CR2311" s="58">
        <v>2.0</v>
      </c>
      <c r="CT2311" s="58">
        <v>44.0</v>
      </c>
      <c r="CU2311" s="58" t="s">
        <v>16727</v>
      </c>
      <c r="DL2311" s="58" t="s">
        <v>20975</v>
      </c>
    </row>
    <row r="2312" ht="15.75" customHeight="1">
      <c r="B2312" s="58" t="s">
        <v>16392</v>
      </c>
      <c r="C2312" s="58">
        <v>2024.0</v>
      </c>
      <c r="D2312" s="58" t="s">
        <v>20976</v>
      </c>
      <c r="E2312" s="58" t="s">
        <v>20977</v>
      </c>
      <c r="F2312" s="58" t="s">
        <v>16538</v>
      </c>
      <c r="H2312" s="58" t="s">
        <v>16539</v>
      </c>
      <c r="I2312" s="58" t="s">
        <v>20978</v>
      </c>
      <c r="K2312" s="73">
        <v>45530.0</v>
      </c>
      <c r="Q2312" s="58">
        <v>21.0</v>
      </c>
      <c r="R2312" s="58">
        <v>11.0</v>
      </c>
      <c r="Z2312" s="58" t="s">
        <v>239</v>
      </c>
      <c r="CH2312" s="58" t="s">
        <v>20979</v>
      </c>
      <c r="CI2312" s="73">
        <v>45590.0</v>
      </c>
      <c r="CJ2312" s="58">
        <v>34941.0</v>
      </c>
      <c r="CK2312" s="58">
        <v>34952.0</v>
      </c>
      <c r="CL2312" s="58" t="s">
        <v>20980</v>
      </c>
      <c r="CO2312" s="58" t="s">
        <v>20981</v>
      </c>
      <c r="CP2312" s="58" t="s">
        <v>20982</v>
      </c>
      <c r="CR2312" s="58">
        <v>2.0</v>
      </c>
      <c r="CT2312" s="58">
        <v>135.0</v>
      </c>
      <c r="CU2312" s="58" t="s">
        <v>239</v>
      </c>
      <c r="DL2312" s="58" t="s">
        <v>20983</v>
      </c>
    </row>
    <row r="2313" ht="15.75" customHeight="1">
      <c r="B2313" s="58" t="s">
        <v>16392</v>
      </c>
      <c r="C2313" s="58">
        <v>2024.0</v>
      </c>
      <c r="D2313" s="58" t="s">
        <v>20984</v>
      </c>
      <c r="E2313" s="58" t="s">
        <v>20985</v>
      </c>
      <c r="F2313" s="58" t="s">
        <v>16436</v>
      </c>
      <c r="H2313" s="58" t="s">
        <v>16437</v>
      </c>
      <c r="I2313" s="58" t="s">
        <v>20986</v>
      </c>
      <c r="K2313" s="73">
        <v>45330.0</v>
      </c>
      <c r="R2313" s="58">
        <v>12.0</v>
      </c>
      <c r="Z2313" s="58" t="s">
        <v>239</v>
      </c>
      <c r="CH2313" s="58" t="s">
        <v>20987</v>
      </c>
      <c r="CI2313" s="73">
        <v>45337.0</v>
      </c>
      <c r="CJ2313" s="58">
        <v>22264.0</v>
      </c>
      <c r="CK2313" s="58">
        <v>22277.0</v>
      </c>
      <c r="CL2313" s="58" t="s">
        <v>20988</v>
      </c>
      <c r="CN2313" s="58" t="s">
        <v>18599</v>
      </c>
      <c r="CO2313" s="58" t="s">
        <v>20989</v>
      </c>
      <c r="CP2313" s="58" t="s">
        <v>20990</v>
      </c>
      <c r="CR2313" s="58">
        <v>2.0</v>
      </c>
      <c r="CT2313" s="58">
        <v>28.0</v>
      </c>
      <c r="CU2313" s="58" t="s">
        <v>16727</v>
      </c>
      <c r="DL2313" s="58" t="s">
        <v>20991</v>
      </c>
    </row>
    <row r="2314" ht="15.75" customHeight="1">
      <c r="B2314" s="58" t="s">
        <v>16392</v>
      </c>
      <c r="C2314" s="58">
        <v>2024.0</v>
      </c>
      <c r="D2314" s="58" t="s">
        <v>20992</v>
      </c>
      <c r="E2314" s="58" t="s">
        <v>20993</v>
      </c>
      <c r="F2314" s="58" t="s">
        <v>16436</v>
      </c>
      <c r="H2314" s="58" t="s">
        <v>16437</v>
      </c>
      <c r="I2314" s="58" t="s">
        <v>20994</v>
      </c>
      <c r="K2314" s="73">
        <v>45369.0</v>
      </c>
      <c r="R2314" s="58">
        <v>12.0</v>
      </c>
      <c r="Z2314" s="58" t="s">
        <v>239</v>
      </c>
      <c r="CH2314" s="58" t="s">
        <v>20995</v>
      </c>
      <c r="CI2314" s="73">
        <v>45378.0</v>
      </c>
      <c r="CJ2314" s="58">
        <v>42181.0</v>
      </c>
      <c r="CK2314" s="58">
        <v>42213.0</v>
      </c>
      <c r="CL2314" s="58" t="s">
        <v>20996</v>
      </c>
      <c r="CN2314" s="58" t="s">
        <v>20997</v>
      </c>
      <c r="CO2314" s="58" t="s">
        <v>20998</v>
      </c>
      <c r="CP2314" s="58" t="s">
        <v>20999</v>
      </c>
      <c r="CR2314" s="58">
        <v>2.0</v>
      </c>
      <c r="CT2314" s="58">
        <v>68.0</v>
      </c>
      <c r="CU2314" s="58" t="s">
        <v>16727</v>
      </c>
      <c r="DL2314" s="58" t="s">
        <v>21000</v>
      </c>
    </row>
    <row r="2315" ht="15.75" customHeight="1">
      <c r="B2315" s="58" t="s">
        <v>16392</v>
      </c>
      <c r="C2315" s="58">
        <v>2024.0</v>
      </c>
      <c r="D2315" s="58" t="s">
        <v>21001</v>
      </c>
      <c r="E2315" s="58" t="s">
        <v>21002</v>
      </c>
      <c r="F2315" s="58" t="s">
        <v>16538</v>
      </c>
      <c r="H2315" s="58" t="s">
        <v>16539</v>
      </c>
      <c r="I2315" s="58" t="s">
        <v>21003</v>
      </c>
      <c r="K2315" s="73">
        <v>45222.0</v>
      </c>
      <c r="Q2315" s="58">
        <v>6.0</v>
      </c>
      <c r="R2315" s="58">
        <v>11.0</v>
      </c>
      <c r="Z2315" s="58" t="s">
        <v>239</v>
      </c>
      <c r="CH2315" s="58" t="s">
        <v>21004</v>
      </c>
      <c r="CI2315" s="73">
        <v>45359.0</v>
      </c>
      <c r="CJ2315" s="58">
        <v>10551.0</v>
      </c>
      <c r="CK2315" s="58">
        <v>10562.0</v>
      </c>
      <c r="CL2315" s="58" t="s">
        <v>21005</v>
      </c>
      <c r="CO2315" s="58" t="s">
        <v>21006</v>
      </c>
      <c r="CP2315" s="58" t="s">
        <v>21007</v>
      </c>
      <c r="CR2315" s="58">
        <v>2.0</v>
      </c>
      <c r="CT2315" s="58">
        <v>31.0</v>
      </c>
      <c r="CU2315" s="58" t="s">
        <v>239</v>
      </c>
      <c r="DL2315" s="58" t="s">
        <v>21008</v>
      </c>
    </row>
    <row r="2316" ht="15.75" customHeight="1">
      <c r="B2316" s="58" t="s">
        <v>19898</v>
      </c>
      <c r="C2316" s="58">
        <v>2024.0</v>
      </c>
      <c r="D2316" s="58" t="s">
        <v>21009</v>
      </c>
      <c r="E2316" s="58" t="s">
        <v>21010</v>
      </c>
      <c r="F2316" s="58" t="s">
        <v>21011</v>
      </c>
      <c r="H2316" s="58" t="s">
        <v>21012</v>
      </c>
      <c r="I2316" s="58" t="s">
        <v>21013</v>
      </c>
      <c r="K2316" s="73">
        <v>45404.0</v>
      </c>
      <c r="Q2316" s="58">
        <v>2.0</v>
      </c>
      <c r="R2316" s="58">
        <v>7.0</v>
      </c>
      <c r="Z2316" s="58" t="s">
        <v>19904</v>
      </c>
      <c r="CH2316" s="58" t="s">
        <v>21014</v>
      </c>
      <c r="CI2316" s="73">
        <v>45404.0</v>
      </c>
      <c r="CJ2316" s="58">
        <v>271.0</v>
      </c>
      <c r="CK2316" s="58">
        <v>293.0</v>
      </c>
      <c r="CL2316" s="58" t="s">
        <v>21015</v>
      </c>
      <c r="CO2316" s="58" t="s">
        <v>21016</v>
      </c>
      <c r="CP2316" s="58" t="s">
        <v>21017</v>
      </c>
      <c r="CR2316" s="58">
        <v>2.0</v>
      </c>
      <c r="CT2316" s="58">
        <v>64.0</v>
      </c>
      <c r="DL2316" s="58" t="s">
        <v>21018</v>
      </c>
    </row>
    <row r="2317" ht="15.75" customHeight="1">
      <c r="B2317" s="58" t="s">
        <v>16392</v>
      </c>
      <c r="C2317" s="58">
        <v>2024.0</v>
      </c>
      <c r="D2317" s="58" t="s">
        <v>21019</v>
      </c>
      <c r="E2317" s="58" t="s">
        <v>21020</v>
      </c>
      <c r="F2317" s="58" t="s">
        <v>16959</v>
      </c>
      <c r="H2317" s="58" t="s">
        <v>16960</v>
      </c>
      <c r="I2317" s="58" t="s">
        <v>21021</v>
      </c>
      <c r="K2317" s="73">
        <v>45523.0</v>
      </c>
      <c r="Q2317" s="58">
        <v>6.0</v>
      </c>
      <c r="R2317" s="58">
        <v>21.0</v>
      </c>
      <c r="Z2317" s="58" t="s">
        <v>239</v>
      </c>
      <c r="CH2317" s="58" t="s">
        <v>21022</v>
      </c>
      <c r="CI2317" s="73">
        <v>45645.0</v>
      </c>
      <c r="CJ2317" s="58">
        <v>6364.0</v>
      </c>
      <c r="CK2317" s="58">
        <v>6381.0</v>
      </c>
      <c r="CL2317" s="58" t="s">
        <v>21023</v>
      </c>
      <c r="CN2317" s="58" t="s">
        <v>21024</v>
      </c>
      <c r="CO2317" s="58" t="s">
        <v>21025</v>
      </c>
      <c r="CP2317" s="58" t="s">
        <v>21026</v>
      </c>
      <c r="CR2317" s="58">
        <v>2.0</v>
      </c>
      <c r="CT2317" s="58">
        <v>38.0</v>
      </c>
      <c r="CU2317" s="58" t="s">
        <v>239</v>
      </c>
      <c r="DL2317" s="58" t="s">
        <v>21027</v>
      </c>
    </row>
    <row r="2318" ht="15.75" customHeight="1">
      <c r="B2318" s="58" t="s">
        <v>16392</v>
      </c>
      <c r="C2318" s="58">
        <v>2024.0</v>
      </c>
      <c r="D2318" s="58" t="s">
        <v>21028</v>
      </c>
      <c r="E2318" s="58" t="s">
        <v>21029</v>
      </c>
      <c r="F2318" s="58" t="s">
        <v>16613</v>
      </c>
      <c r="H2318" s="58" t="s">
        <v>16614</v>
      </c>
      <c r="I2318" s="58" t="s">
        <v>21030</v>
      </c>
      <c r="K2318" s="73">
        <v>45307.0</v>
      </c>
      <c r="Q2318" s="58">
        <v>4.0</v>
      </c>
      <c r="R2318" s="58">
        <v>17.0</v>
      </c>
      <c r="Z2318" s="58" t="s">
        <v>239</v>
      </c>
      <c r="CH2318" s="58" t="s">
        <v>21031</v>
      </c>
      <c r="CI2318" s="73">
        <v>45511.0</v>
      </c>
      <c r="CJ2318" s="58">
        <v>1533.0</v>
      </c>
      <c r="CK2318" s="58">
        <v>1547.0</v>
      </c>
      <c r="CL2318" s="58" t="s">
        <v>21032</v>
      </c>
      <c r="CO2318" s="58" t="s">
        <v>21033</v>
      </c>
      <c r="CP2318" s="58" t="s">
        <v>21034</v>
      </c>
      <c r="CR2318" s="58">
        <v>2.0</v>
      </c>
      <c r="CT2318" s="58">
        <v>34.0</v>
      </c>
      <c r="CU2318" s="58" t="s">
        <v>239</v>
      </c>
      <c r="DL2318" s="58" t="s">
        <v>21035</v>
      </c>
    </row>
    <row r="2319" ht="15.75" customHeight="1">
      <c r="B2319" s="58" t="s">
        <v>16392</v>
      </c>
      <c r="C2319" s="58">
        <v>2023.0</v>
      </c>
      <c r="D2319" s="58" t="s">
        <v>21036</v>
      </c>
      <c r="E2319" s="58" t="s">
        <v>21037</v>
      </c>
      <c r="F2319" s="58" t="s">
        <v>16436</v>
      </c>
      <c r="H2319" s="58" t="s">
        <v>16437</v>
      </c>
      <c r="I2319" s="58" t="s">
        <v>21038</v>
      </c>
      <c r="K2319" s="73">
        <v>45062.0</v>
      </c>
      <c r="R2319" s="58">
        <v>11.0</v>
      </c>
      <c r="Z2319" s="58" t="s">
        <v>239</v>
      </c>
      <c r="CH2319" s="58" t="s">
        <v>21039</v>
      </c>
      <c r="CI2319" s="73">
        <v>45069.0</v>
      </c>
      <c r="CJ2319" s="58">
        <v>48236.0</v>
      </c>
      <c r="CK2319" s="58">
        <v>48247.0</v>
      </c>
      <c r="CL2319" s="58" t="s">
        <v>21040</v>
      </c>
      <c r="CO2319" s="58" t="s">
        <v>21041</v>
      </c>
      <c r="CP2319" s="58" t="s">
        <v>21042</v>
      </c>
      <c r="CR2319" s="58">
        <v>2.0</v>
      </c>
      <c r="CT2319" s="58">
        <v>45.0</v>
      </c>
      <c r="CU2319" s="58" t="s">
        <v>16727</v>
      </c>
      <c r="DL2319" s="58" t="s">
        <v>21043</v>
      </c>
    </row>
    <row r="2320" ht="15.75" customHeight="1">
      <c r="B2320" s="58" t="s">
        <v>16392</v>
      </c>
      <c r="C2320" s="58">
        <v>2023.0</v>
      </c>
      <c r="D2320" s="58" t="s">
        <v>21044</v>
      </c>
      <c r="E2320" s="58" t="s">
        <v>21045</v>
      </c>
      <c r="F2320" s="58" t="s">
        <v>16959</v>
      </c>
      <c r="H2320" s="58" t="s">
        <v>16960</v>
      </c>
      <c r="I2320" s="58" t="s">
        <v>21046</v>
      </c>
      <c r="K2320" s="73">
        <v>45034.0</v>
      </c>
      <c r="Q2320" s="58">
        <v>4.0</v>
      </c>
      <c r="R2320" s="58">
        <v>20.0</v>
      </c>
      <c r="Z2320" s="58" t="s">
        <v>239</v>
      </c>
      <c r="CH2320" s="58" t="s">
        <v>21047</v>
      </c>
      <c r="CI2320" s="73">
        <v>45272.0</v>
      </c>
      <c r="CJ2320" s="58">
        <v>4435.0</v>
      </c>
      <c r="CK2320" s="58">
        <v>4447.0</v>
      </c>
      <c r="CL2320" s="58" t="s">
        <v>21048</v>
      </c>
      <c r="CN2320" s="58" t="s">
        <v>21049</v>
      </c>
      <c r="CO2320" s="58" t="s">
        <v>21050</v>
      </c>
      <c r="CP2320" s="58" t="s">
        <v>21051</v>
      </c>
      <c r="CR2320" s="58">
        <v>2.0</v>
      </c>
      <c r="CT2320" s="58">
        <v>67.0</v>
      </c>
      <c r="CU2320" s="58" t="s">
        <v>239</v>
      </c>
      <c r="DL2320" s="58" t="s">
        <v>21052</v>
      </c>
    </row>
    <row r="2321" ht="15.75" customHeight="1">
      <c r="B2321" s="58" t="s">
        <v>16392</v>
      </c>
      <c r="C2321" s="58">
        <v>2023.0</v>
      </c>
      <c r="D2321" s="58" t="s">
        <v>21053</v>
      </c>
      <c r="E2321" s="58" t="s">
        <v>21054</v>
      </c>
      <c r="F2321" s="58" t="s">
        <v>21055</v>
      </c>
      <c r="H2321" s="58" t="s">
        <v>21056</v>
      </c>
      <c r="I2321" s="58" t="s">
        <v>21057</v>
      </c>
      <c r="K2321" s="73">
        <v>45014.0</v>
      </c>
      <c r="Q2321" s="58">
        <v>3.0</v>
      </c>
      <c r="R2321" s="58">
        <v>5.0</v>
      </c>
      <c r="Z2321" s="58" t="s">
        <v>239</v>
      </c>
      <c r="CH2321" s="58" t="s">
        <v>21058</v>
      </c>
      <c r="CI2321" s="73">
        <v>45191.0</v>
      </c>
      <c r="CJ2321" s="58">
        <v>173.0</v>
      </c>
      <c r="CK2321" s="58">
        <v>176.0</v>
      </c>
      <c r="CL2321" s="58" t="s">
        <v>21059</v>
      </c>
      <c r="CN2321" s="58" t="s">
        <v>21060</v>
      </c>
      <c r="CO2321" s="58" t="s">
        <v>21061</v>
      </c>
      <c r="CP2321" s="58" t="s">
        <v>21062</v>
      </c>
      <c r="CR2321" s="58">
        <v>2.0</v>
      </c>
      <c r="CT2321" s="58">
        <v>15.0</v>
      </c>
      <c r="CU2321" s="58" t="s">
        <v>16423</v>
      </c>
      <c r="DL2321" s="58" t="s">
        <v>21063</v>
      </c>
    </row>
    <row r="2322" ht="15.75" customHeight="1">
      <c r="B2322" s="58" t="s">
        <v>19772</v>
      </c>
      <c r="C2322" s="58">
        <v>2022.0</v>
      </c>
      <c r="D2322" s="58" t="s">
        <v>21064</v>
      </c>
      <c r="E2322" s="58" t="s">
        <v>21065</v>
      </c>
      <c r="F2322" s="58" t="s">
        <v>21066</v>
      </c>
      <c r="H2322" s="58" t="s">
        <v>21067</v>
      </c>
      <c r="I2322" s="58" t="s">
        <v>21068</v>
      </c>
      <c r="K2322" s="73">
        <v>45191.0</v>
      </c>
      <c r="Q2322" s="58">
        <v>1.0</v>
      </c>
      <c r="R2322" s="58">
        <v>21.0</v>
      </c>
      <c r="Z2322" s="58" t="s">
        <v>19778</v>
      </c>
      <c r="CH2322" s="58" t="s">
        <v>21069</v>
      </c>
      <c r="CI2322" s="73">
        <v>45191.0</v>
      </c>
      <c r="CJ2322" s="58">
        <v>1.0</v>
      </c>
      <c r="CK2322" s="58">
        <v>26.0</v>
      </c>
      <c r="CL2322" s="58" t="s">
        <v>21070</v>
      </c>
      <c r="CN2322" s="58" t="s">
        <v>21071</v>
      </c>
      <c r="CO2322" s="58" t="s">
        <v>21072</v>
      </c>
      <c r="CP2322" s="58" t="s">
        <v>21073</v>
      </c>
      <c r="CR2322" s="58">
        <v>2.0</v>
      </c>
      <c r="CT2322" s="58">
        <v>28.0</v>
      </c>
      <c r="DL2322" s="58" t="s">
        <v>21074</v>
      </c>
    </row>
    <row r="2323" ht="15.75" customHeight="1">
      <c r="B2323" s="58" t="s">
        <v>16392</v>
      </c>
      <c r="C2323" s="58">
        <v>2019.0</v>
      </c>
      <c r="D2323" s="58" t="s">
        <v>21075</v>
      </c>
      <c r="E2323" s="58" t="s">
        <v>21076</v>
      </c>
      <c r="F2323" s="58" t="s">
        <v>16436</v>
      </c>
      <c r="H2323" s="58" t="s">
        <v>16437</v>
      </c>
      <c r="I2323" s="58" t="s">
        <v>21077</v>
      </c>
      <c r="K2323" s="73">
        <v>43717.0</v>
      </c>
      <c r="R2323" s="58">
        <v>7.0</v>
      </c>
      <c r="Z2323" s="58" t="s">
        <v>239</v>
      </c>
      <c r="CH2323" s="58" t="s">
        <v>21078</v>
      </c>
      <c r="CI2323" s="73">
        <v>43726.0</v>
      </c>
      <c r="CJ2323" s="58">
        <v>127943.0</v>
      </c>
      <c r="CK2323" s="58">
        <v>127955.0</v>
      </c>
      <c r="CL2323" s="58" t="s">
        <v>21079</v>
      </c>
      <c r="CN2323" s="58" t="s">
        <v>16532</v>
      </c>
      <c r="CO2323" s="58" t="s">
        <v>21080</v>
      </c>
      <c r="CP2323" s="58" t="s">
        <v>21081</v>
      </c>
      <c r="CR2323" s="58">
        <v>2.0</v>
      </c>
      <c r="CT2323" s="58">
        <v>47.0</v>
      </c>
      <c r="CU2323" s="58" t="s">
        <v>16423</v>
      </c>
      <c r="DL2323" s="58" t="s">
        <v>21082</v>
      </c>
    </row>
    <row r="2324" ht="15.75" customHeight="1">
      <c r="B2324" s="58" t="s">
        <v>16392</v>
      </c>
      <c r="C2324" s="58">
        <v>2022.0</v>
      </c>
      <c r="D2324" s="58" t="s">
        <v>21083</v>
      </c>
      <c r="E2324" s="58" t="s">
        <v>21084</v>
      </c>
      <c r="F2324" s="58" t="s">
        <v>16436</v>
      </c>
      <c r="H2324" s="58" t="s">
        <v>16437</v>
      </c>
      <c r="I2324" s="58" t="s">
        <v>21085</v>
      </c>
      <c r="K2324" s="73">
        <v>44824.0</v>
      </c>
      <c r="R2324" s="58">
        <v>10.0</v>
      </c>
      <c r="Z2324" s="58" t="s">
        <v>239</v>
      </c>
      <c r="CH2324" s="58" t="s">
        <v>21086</v>
      </c>
      <c r="CI2324" s="73">
        <v>44832.0</v>
      </c>
      <c r="CJ2324" s="58">
        <v>100736.0</v>
      </c>
      <c r="CK2324" s="58">
        <v>100745.0</v>
      </c>
      <c r="CL2324" s="58" t="s">
        <v>21087</v>
      </c>
      <c r="CN2324" s="58" t="s">
        <v>21088</v>
      </c>
      <c r="CO2324" s="58" t="s">
        <v>21089</v>
      </c>
      <c r="CP2324" s="58" t="s">
        <v>21090</v>
      </c>
      <c r="CR2324" s="58">
        <v>2.0</v>
      </c>
      <c r="CT2324" s="58">
        <v>25.0</v>
      </c>
      <c r="CU2324" s="58" t="s">
        <v>16423</v>
      </c>
      <c r="DL2324" s="58" t="s">
        <v>21091</v>
      </c>
    </row>
    <row r="2325" ht="15.75" customHeight="1">
      <c r="B2325" s="58" t="s">
        <v>16392</v>
      </c>
      <c r="C2325" s="58">
        <v>2024.0</v>
      </c>
      <c r="D2325" s="58" t="s">
        <v>21092</v>
      </c>
      <c r="E2325" s="58" t="s">
        <v>21093</v>
      </c>
      <c r="F2325" s="58" t="s">
        <v>16436</v>
      </c>
      <c r="H2325" s="58" t="s">
        <v>16437</v>
      </c>
      <c r="I2325" s="58" t="s">
        <v>21094</v>
      </c>
      <c r="K2325" s="73">
        <v>45425.0</v>
      </c>
      <c r="R2325" s="58">
        <v>12.0</v>
      </c>
      <c r="Z2325" s="58" t="s">
        <v>239</v>
      </c>
      <c r="CH2325" s="58" t="s">
        <v>21095</v>
      </c>
      <c r="CI2325" s="73">
        <v>45429.0</v>
      </c>
      <c r="CJ2325" s="58">
        <v>67600.0</v>
      </c>
      <c r="CK2325" s="58">
        <v>67618.0</v>
      </c>
      <c r="CL2325" s="58" t="s">
        <v>21096</v>
      </c>
      <c r="CN2325" s="58" t="s">
        <v>21097</v>
      </c>
      <c r="CO2325" s="58" t="s">
        <v>21098</v>
      </c>
      <c r="CP2325" s="58" t="s">
        <v>21099</v>
      </c>
      <c r="CR2325" s="58">
        <v>2.0</v>
      </c>
      <c r="CT2325" s="58">
        <v>29.0</v>
      </c>
      <c r="CU2325" s="58" t="s">
        <v>16727</v>
      </c>
      <c r="DL2325" s="58" t="s">
        <v>21100</v>
      </c>
    </row>
    <row r="2326" ht="15.75" customHeight="1">
      <c r="B2326" s="58" t="s">
        <v>16392</v>
      </c>
      <c r="C2326" s="58">
        <v>2024.0</v>
      </c>
      <c r="D2326" s="58" t="s">
        <v>21101</v>
      </c>
      <c r="E2326" s="58" t="s">
        <v>21102</v>
      </c>
      <c r="F2326" s="58" t="s">
        <v>16436</v>
      </c>
      <c r="H2326" s="58" t="s">
        <v>16437</v>
      </c>
      <c r="I2326" s="58" t="s">
        <v>21103</v>
      </c>
      <c r="K2326" s="73">
        <v>45443.0</v>
      </c>
      <c r="R2326" s="58">
        <v>12.0</v>
      </c>
      <c r="Z2326" s="58" t="s">
        <v>239</v>
      </c>
      <c r="CH2326" s="58" t="s">
        <v>21104</v>
      </c>
      <c r="CI2326" s="73">
        <v>45449.0</v>
      </c>
      <c r="CJ2326" s="58">
        <v>78286.0</v>
      </c>
      <c r="CK2326" s="58">
        <v>78303.0</v>
      </c>
      <c r="CL2326" s="58" t="s">
        <v>21105</v>
      </c>
      <c r="CN2326" s="58" t="s">
        <v>21106</v>
      </c>
      <c r="CO2326" s="58" t="s">
        <v>21107</v>
      </c>
      <c r="CP2326" s="58" t="s">
        <v>21108</v>
      </c>
      <c r="CR2326" s="58">
        <v>2.0</v>
      </c>
      <c r="CT2326" s="58">
        <v>30.0</v>
      </c>
      <c r="CU2326" s="58" t="s">
        <v>16727</v>
      </c>
      <c r="DL2326" s="58" t="s">
        <v>21109</v>
      </c>
    </row>
    <row r="2327" ht="15.75" customHeight="1">
      <c r="B2327" s="58" t="s">
        <v>16392</v>
      </c>
      <c r="C2327" s="58">
        <v>2024.0</v>
      </c>
      <c r="D2327" s="58" t="s">
        <v>21110</v>
      </c>
      <c r="E2327" s="58" t="s">
        <v>21111</v>
      </c>
      <c r="F2327" s="58" t="s">
        <v>16538</v>
      </c>
      <c r="H2327" s="58" t="s">
        <v>16539</v>
      </c>
      <c r="I2327" s="58" t="s">
        <v>21112</v>
      </c>
      <c r="K2327" s="73">
        <v>45545.0</v>
      </c>
      <c r="Q2327" s="58">
        <v>22.0</v>
      </c>
      <c r="R2327" s="58">
        <v>11.0</v>
      </c>
      <c r="Z2327" s="58" t="s">
        <v>239</v>
      </c>
      <c r="CH2327" s="58" t="s">
        <v>21113</v>
      </c>
      <c r="CI2327" s="73">
        <v>45603.0</v>
      </c>
      <c r="CJ2327" s="58">
        <v>36168.0</v>
      </c>
      <c r="CK2327" s="58">
        <v>36181.0</v>
      </c>
      <c r="CL2327" s="58" t="s">
        <v>21114</v>
      </c>
      <c r="CN2327" s="58" t="s">
        <v>21115</v>
      </c>
      <c r="CO2327" s="58" t="s">
        <v>21116</v>
      </c>
      <c r="CP2327" s="58" t="s">
        <v>21117</v>
      </c>
      <c r="CR2327" s="58">
        <v>2.0</v>
      </c>
      <c r="CT2327" s="58">
        <v>33.0</v>
      </c>
      <c r="CU2327" s="58" t="s">
        <v>239</v>
      </c>
      <c r="DL2327" s="58" t="s">
        <v>21118</v>
      </c>
    </row>
    <row r="2328" ht="15.75" customHeight="1">
      <c r="B2328" s="58" t="s">
        <v>16392</v>
      </c>
      <c r="C2328" s="58">
        <v>2024.0</v>
      </c>
      <c r="D2328" s="58" t="s">
        <v>21119</v>
      </c>
      <c r="E2328" s="58" t="s">
        <v>21120</v>
      </c>
      <c r="F2328" s="58" t="s">
        <v>16436</v>
      </c>
      <c r="H2328" s="58" t="s">
        <v>16437</v>
      </c>
      <c r="I2328" s="58" t="s">
        <v>21121</v>
      </c>
      <c r="K2328" s="73">
        <v>45420.0</v>
      </c>
      <c r="R2328" s="58">
        <v>12.0</v>
      </c>
      <c r="Z2328" s="58" t="s">
        <v>239</v>
      </c>
      <c r="CH2328" s="58" t="s">
        <v>21122</v>
      </c>
      <c r="CI2328" s="73">
        <v>45429.0</v>
      </c>
      <c r="CJ2328" s="58">
        <v>68015.0</v>
      </c>
      <c r="CK2328" s="58">
        <v>68060.0</v>
      </c>
      <c r="CL2328" s="58" t="s">
        <v>21123</v>
      </c>
      <c r="CN2328" s="58" t="s">
        <v>21124</v>
      </c>
      <c r="CO2328" s="58" t="s">
        <v>21125</v>
      </c>
      <c r="CP2328" s="58" t="s">
        <v>21126</v>
      </c>
      <c r="CR2328" s="58">
        <v>2.0</v>
      </c>
      <c r="CT2328" s="58">
        <v>112.0</v>
      </c>
      <c r="CU2328" s="58" t="s">
        <v>16727</v>
      </c>
      <c r="DL2328" s="58" t="s">
        <v>21127</v>
      </c>
    </row>
    <row r="2329" ht="15.75" customHeight="1">
      <c r="B2329" s="58" t="s">
        <v>16392</v>
      </c>
      <c r="C2329" s="58">
        <v>2023.0</v>
      </c>
      <c r="D2329" s="58" t="s">
        <v>21128</v>
      </c>
      <c r="E2329" s="58" t="s">
        <v>21129</v>
      </c>
      <c r="F2329" s="58" t="s">
        <v>16436</v>
      </c>
      <c r="H2329" s="58" t="s">
        <v>16437</v>
      </c>
      <c r="I2329" s="58" t="s">
        <v>21130</v>
      </c>
      <c r="K2329" s="73">
        <v>45159.0</v>
      </c>
      <c r="R2329" s="58">
        <v>11.0</v>
      </c>
      <c r="Z2329" s="58" t="s">
        <v>239</v>
      </c>
      <c r="CH2329" s="58" t="s">
        <v>21131</v>
      </c>
      <c r="CI2329" s="73">
        <v>45173.0</v>
      </c>
      <c r="CJ2329" s="58">
        <v>93129.0</v>
      </c>
      <c r="CK2329" s="58">
        <v>93150.0</v>
      </c>
      <c r="CL2329" s="58" t="s">
        <v>21132</v>
      </c>
      <c r="CN2329" s="58" t="s">
        <v>21133</v>
      </c>
      <c r="CO2329" s="58" t="s">
        <v>21134</v>
      </c>
      <c r="CP2329" s="58" t="s">
        <v>21135</v>
      </c>
      <c r="CR2329" s="58">
        <v>2.0</v>
      </c>
      <c r="CT2329" s="58">
        <v>57.0</v>
      </c>
      <c r="CU2329" s="58" t="s">
        <v>16727</v>
      </c>
      <c r="DL2329" s="58" t="s">
        <v>21136</v>
      </c>
    </row>
    <row r="2330" ht="15.75" customHeight="1">
      <c r="B2330" s="58" t="s">
        <v>16392</v>
      </c>
      <c r="C2330" s="58">
        <v>2024.0</v>
      </c>
      <c r="D2330" s="58" t="s">
        <v>21137</v>
      </c>
      <c r="E2330" s="58" t="s">
        <v>21138</v>
      </c>
      <c r="F2330" s="58" t="s">
        <v>16436</v>
      </c>
      <c r="H2330" s="58" t="s">
        <v>16437</v>
      </c>
      <c r="I2330" s="58" t="s">
        <v>21139</v>
      </c>
      <c r="K2330" s="73">
        <v>45488.0</v>
      </c>
      <c r="R2330" s="58">
        <v>12.0</v>
      </c>
      <c r="Z2330" s="58" t="s">
        <v>239</v>
      </c>
      <c r="CH2330" s="58" t="s">
        <v>21140</v>
      </c>
      <c r="CI2330" s="73">
        <v>45497.0</v>
      </c>
      <c r="CJ2330" s="58">
        <v>99537.0</v>
      </c>
      <c r="CK2330" s="58">
        <v>99569.0</v>
      </c>
      <c r="CL2330" s="58" t="s">
        <v>21141</v>
      </c>
      <c r="CO2330" s="58" t="s">
        <v>21142</v>
      </c>
      <c r="CP2330" s="58" t="s">
        <v>21143</v>
      </c>
      <c r="CR2330" s="58">
        <v>2.0</v>
      </c>
      <c r="CT2330" s="58">
        <v>235.0</v>
      </c>
      <c r="CU2330" s="58" t="s">
        <v>16727</v>
      </c>
      <c r="DL2330" s="58" t="s">
        <v>21144</v>
      </c>
    </row>
    <row r="2331" ht="15.75" customHeight="1">
      <c r="B2331" s="58" t="s">
        <v>16392</v>
      </c>
      <c r="C2331" s="58">
        <v>2024.0</v>
      </c>
      <c r="D2331" s="58" t="s">
        <v>21145</v>
      </c>
      <c r="E2331" s="58" t="s">
        <v>21146</v>
      </c>
      <c r="F2331" s="58" t="s">
        <v>16538</v>
      </c>
      <c r="H2331" s="58" t="s">
        <v>16539</v>
      </c>
      <c r="I2331" s="58" t="s">
        <v>21147</v>
      </c>
      <c r="K2331" s="73">
        <v>45419.0</v>
      </c>
      <c r="Q2331" s="58">
        <v>16.0</v>
      </c>
      <c r="R2331" s="58">
        <v>11.0</v>
      </c>
      <c r="Z2331" s="58" t="s">
        <v>239</v>
      </c>
      <c r="CH2331" s="58" t="s">
        <v>21148</v>
      </c>
      <c r="CI2331" s="73">
        <v>45509.0</v>
      </c>
      <c r="CJ2331" s="58">
        <v>27275.0</v>
      </c>
      <c r="CK2331" s="58">
        <v>27294.0</v>
      </c>
      <c r="CL2331" s="58" t="s">
        <v>21149</v>
      </c>
      <c r="CN2331" s="58" t="s">
        <v>21150</v>
      </c>
      <c r="CO2331" s="58" t="s">
        <v>21151</v>
      </c>
      <c r="CP2331" s="58" t="s">
        <v>21152</v>
      </c>
      <c r="CR2331" s="58">
        <v>2.0</v>
      </c>
      <c r="CT2331" s="58">
        <v>37.0</v>
      </c>
      <c r="CU2331" s="58" t="s">
        <v>239</v>
      </c>
      <c r="DL2331" s="58" t="s">
        <v>21153</v>
      </c>
    </row>
    <row r="2332" ht="15.75" customHeight="1">
      <c r="B2332" s="58" t="s">
        <v>16392</v>
      </c>
      <c r="C2332" s="58">
        <v>2024.0</v>
      </c>
      <c r="D2332" s="58" t="s">
        <v>21154</v>
      </c>
      <c r="E2332" s="58" t="s">
        <v>21155</v>
      </c>
      <c r="F2332" s="58" t="s">
        <v>16613</v>
      </c>
      <c r="H2332" s="58" t="s">
        <v>16614</v>
      </c>
      <c r="I2332" s="58" t="s">
        <v>21156</v>
      </c>
      <c r="K2332" s="73">
        <v>45411.0</v>
      </c>
      <c r="Q2332" s="58">
        <v>5.0</v>
      </c>
      <c r="R2332" s="58">
        <v>17.0</v>
      </c>
      <c r="Z2332" s="58" t="s">
        <v>239</v>
      </c>
      <c r="CH2332" s="58" t="s">
        <v>21157</v>
      </c>
      <c r="CI2332" s="73">
        <v>45573.0</v>
      </c>
      <c r="CJ2332" s="58">
        <v>2687.0</v>
      </c>
      <c r="CK2332" s="58">
        <v>2703.0</v>
      </c>
      <c r="CL2332" s="58" t="s">
        <v>21158</v>
      </c>
      <c r="CN2332" s="58" t="s">
        <v>21159</v>
      </c>
      <c r="CO2332" s="58" t="s">
        <v>21160</v>
      </c>
      <c r="CP2332" s="58" t="s">
        <v>21161</v>
      </c>
      <c r="CR2332" s="58">
        <v>2.0</v>
      </c>
      <c r="CT2332" s="58">
        <v>60.0</v>
      </c>
      <c r="CU2332" s="58" t="s">
        <v>239</v>
      </c>
      <c r="DL2332" s="58" t="s">
        <v>21162</v>
      </c>
    </row>
    <row r="2333" ht="15.75" customHeight="1">
      <c r="B2333" s="58" t="s">
        <v>16392</v>
      </c>
      <c r="C2333" s="58">
        <v>2024.0</v>
      </c>
      <c r="D2333" s="58" t="s">
        <v>21163</v>
      </c>
      <c r="E2333" s="58" t="s">
        <v>21164</v>
      </c>
      <c r="F2333" s="58" t="s">
        <v>16436</v>
      </c>
      <c r="H2333" s="58" t="s">
        <v>16437</v>
      </c>
      <c r="I2333" s="58" t="s">
        <v>21165</v>
      </c>
      <c r="K2333" s="73">
        <v>45435.0</v>
      </c>
      <c r="R2333" s="58">
        <v>12.0</v>
      </c>
      <c r="Z2333" s="58" t="s">
        <v>239</v>
      </c>
      <c r="CH2333" s="58" t="s">
        <v>21166</v>
      </c>
      <c r="CI2333" s="73">
        <v>45502.0</v>
      </c>
      <c r="CJ2333" s="58">
        <v>101878.0</v>
      </c>
      <c r="CK2333" s="58">
        <v>101894.0</v>
      </c>
      <c r="CL2333" s="58" t="s">
        <v>21167</v>
      </c>
      <c r="CN2333" s="58" t="s">
        <v>21168</v>
      </c>
      <c r="CO2333" s="58" t="s">
        <v>21169</v>
      </c>
      <c r="CP2333" s="58" t="s">
        <v>21170</v>
      </c>
      <c r="CR2333" s="58">
        <v>2.0</v>
      </c>
      <c r="CT2333" s="58">
        <v>59.0</v>
      </c>
      <c r="CU2333" s="58" t="s">
        <v>16727</v>
      </c>
      <c r="DL2333" s="58" t="s">
        <v>21171</v>
      </c>
    </row>
    <row r="2334" ht="15.75" customHeight="1">
      <c r="B2334" s="58" t="s">
        <v>16392</v>
      </c>
      <c r="C2334" s="58">
        <v>2025.0</v>
      </c>
      <c r="D2334" s="58" t="s">
        <v>21172</v>
      </c>
      <c r="E2334" s="58" t="s">
        <v>21173</v>
      </c>
      <c r="F2334" s="58" t="s">
        <v>16493</v>
      </c>
      <c r="H2334" s="58" t="s">
        <v>16494</v>
      </c>
      <c r="I2334" s="58" t="s">
        <v>21174</v>
      </c>
      <c r="K2334" s="73">
        <v>45491.0</v>
      </c>
      <c r="R2334" s="58">
        <v>6.0</v>
      </c>
      <c r="Z2334" s="58" t="s">
        <v>239</v>
      </c>
      <c r="CH2334" s="58" t="s">
        <v>21175</v>
      </c>
      <c r="CI2334" s="73">
        <v>45665.0</v>
      </c>
      <c r="CJ2334" s="58">
        <v>13.0</v>
      </c>
      <c r="CK2334" s="58">
        <v>28.0</v>
      </c>
      <c r="CL2334" s="58" t="s">
        <v>21176</v>
      </c>
      <c r="CN2334" s="58" t="s">
        <v>21177</v>
      </c>
      <c r="CO2334" s="58" t="s">
        <v>21178</v>
      </c>
      <c r="CP2334" s="58" t="s">
        <v>21179</v>
      </c>
      <c r="CR2334" s="58">
        <v>2.0</v>
      </c>
      <c r="CT2334" s="58">
        <v>117.0</v>
      </c>
      <c r="CU2334" s="58" t="s">
        <v>16727</v>
      </c>
      <c r="DL2334" s="58" t="s">
        <v>21180</v>
      </c>
    </row>
    <row r="2335" ht="15.75" customHeight="1">
      <c r="B2335" s="58" t="s">
        <v>16392</v>
      </c>
      <c r="C2335" s="58">
        <v>2023.0</v>
      </c>
      <c r="D2335" s="58" t="s">
        <v>21181</v>
      </c>
      <c r="E2335" s="58" t="s">
        <v>21182</v>
      </c>
      <c r="F2335" s="58" t="s">
        <v>16436</v>
      </c>
      <c r="H2335" s="58" t="s">
        <v>16437</v>
      </c>
      <c r="I2335" s="58" t="s">
        <v>21183</v>
      </c>
      <c r="K2335" s="73">
        <v>45264.0</v>
      </c>
      <c r="R2335" s="58">
        <v>11.0</v>
      </c>
      <c r="Z2335" s="58" t="s">
        <v>239</v>
      </c>
      <c r="CH2335" s="58" t="s">
        <v>21184</v>
      </c>
      <c r="CI2335" s="73">
        <v>45275.0</v>
      </c>
      <c r="CJ2335" s="58">
        <v>137821.0</v>
      </c>
      <c r="CK2335" s="58">
        <v>137836.0</v>
      </c>
      <c r="CL2335" s="58" t="s">
        <v>21185</v>
      </c>
      <c r="CO2335" s="58" t="s">
        <v>21186</v>
      </c>
      <c r="CP2335" s="58" t="s">
        <v>21187</v>
      </c>
      <c r="CR2335" s="58">
        <v>2.0</v>
      </c>
      <c r="CT2335" s="58">
        <v>66.0</v>
      </c>
      <c r="CU2335" s="58" t="s">
        <v>16423</v>
      </c>
      <c r="DL2335" s="58" t="s">
        <v>21188</v>
      </c>
    </row>
    <row r="2336" ht="15.75" customHeight="1">
      <c r="B2336" s="58" t="s">
        <v>16392</v>
      </c>
      <c r="C2336" s="58">
        <v>2024.0</v>
      </c>
      <c r="D2336" s="58" t="s">
        <v>21189</v>
      </c>
      <c r="E2336" s="58" t="s">
        <v>21190</v>
      </c>
      <c r="F2336" s="58" t="s">
        <v>16959</v>
      </c>
      <c r="H2336" s="58" t="s">
        <v>16960</v>
      </c>
      <c r="I2336" s="58" t="s">
        <v>21191</v>
      </c>
      <c r="K2336" s="73">
        <v>45397.0</v>
      </c>
      <c r="Q2336" s="58">
        <v>4.0</v>
      </c>
      <c r="R2336" s="58">
        <v>21.0</v>
      </c>
      <c r="Z2336" s="58" t="s">
        <v>239</v>
      </c>
      <c r="CH2336" s="58" t="s">
        <v>21192</v>
      </c>
      <c r="CI2336" s="73">
        <v>45526.0</v>
      </c>
      <c r="CJ2336" s="58">
        <v>3775.0</v>
      </c>
      <c r="CK2336" s="58">
        <v>3796.0</v>
      </c>
      <c r="CL2336" s="58" t="s">
        <v>21193</v>
      </c>
      <c r="CN2336" s="58" t="s">
        <v>21194</v>
      </c>
      <c r="CO2336" s="58" t="s">
        <v>21195</v>
      </c>
      <c r="CP2336" s="58" t="s">
        <v>21196</v>
      </c>
      <c r="CR2336" s="58">
        <v>2.0</v>
      </c>
      <c r="CT2336" s="58">
        <v>120.0</v>
      </c>
      <c r="CU2336" s="58" t="s">
        <v>239</v>
      </c>
      <c r="DL2336" s="58" t="s">
        <v>21197</v>
      </c>
    </row>
    <row r="2337" ht="15.75" customHeight="1">
      <c r="B2337" s="58" t="s">
        <v>19898</v>
      </c>
      <c r="C2337" s="58">
        <v>2025.0</v>
      </c>
      <c r="D2337" s="58" t="s">
        <v>21198</v>
      </c>
      <c r="E2337" s="58" t="s">
        <v>21199</v>
      </c>
      <c r="F2337" s="58" t="s">
        <v>19901</v>
      </c>
      <c r="H2337" s="58" t="s">
        <v>19902</v>
      </c>
      <c r="I2337" s="58" t="s">
        <v>21200</v>
      </c>
      <c r="K2337" s="73">
        <v>45546.0</v>
      </c>
      <c r="Q2337" s="58">
        <v>1.0</v>
      </c>
      <c r="R2337" s="58">
        <v>30.0</v>
      </c>
      <c r="Z2337" s="58" t="s">
        <v>19904</v>
      </c>
      <c r="CH2337" s="58" t="s">
        <v>21201</v>
      </c>
      <c r="CI2337" s="73">
        <v>45546.0</v>
      </c>
      <c r="CJ2337" s="58">
        <v>34.0</v>
      </c>
      <c r="CK2337" s="58">
        <v>54.0</v>
      </c>
      <c r="CL2337" s="58" t="s">
        <v>21202</v>
      </c>
      <c r="CN2337" s="58" t="s">
        <v>21203</v>
      </c>
      <c r="CO2337" s="58" t="s">
        <v>21204</v>
      </c>
      <c r="CP2337" s="58" t="s">
        <v>21205</v>
      </c>
      <c r="CR2337" s="58">
        <v>1.0</v>
      </c>
      <c r="CT2337" s="58">
        <v>117.0</v>
      </c>
      <c r="DL2337" s="58" t="s">
        <v>21206</v>
      </c>
    </row>
    <row r="2338" ht="15.75" customHeight="1">
      <c r="B2338" s="58" t="s">
        <v>21207</v>
      </c>
      <c r="C2338" s="58">
        <v>2023.0</v>
      </c>
      <c r="D2338" s="58" t="s">
        <v>21208</v>
      </c>
      <c r="E2338" s="58" t="s">
        <v>21209</v>
      </c>
      <c r="F2338" s="58" t="s">
        <v>21210</v>
      </c>
      <c r="H2338" s="58" t="s">
        <v>21211</v>
      </c>
      <c r="I2338" s="58" t="s">
        <v>21212</v>
      </c>
      <c r="K2338" s="73">
        <v>45085.0</v>
      </c>
      <c r="Q2338" s="58">
        <v>3.0</v>
      </c>
      <c r="R2338" s="58">
        <v>25.0</v>
      </c>
      <c r="Z2338" s="58" t="s">
        <v>21213</v>
      </c>
      <c r="CH2338" s="58" t="s">
        <v>21214</v>
      </c>
      <c r="CI2338" s="73">
        <v>45128.0</v>
      </c>
      <c r="CJ2338" s="58">
        <v>381.0</v>
      </c>
      <c r="CK2338" s="58">
        <v>391.0</v>
      </c>
      <c r="CL2338" s="58" t="s">
        <v>21215</v>
      </c>
      <c r="CO2338" s="58" t="s">
        <v>21216</v>
      </c>
      <c r="CP2338" s="58" t="s">
        <v>21217</v>
      </c>
      <c r="CR2338" s="58">
        <v>1.0</v>
      </c>
      <c r="DL2338" s="58" t="s">
        <v>21218</v>
      </c>
    </row>
    <row r="2339" ht="15.75" customHeight="1">
      <c r="B2339" s="58" t="s">
        <v>16392</v>
      </c>
      <c r="C2339" s="58">
        <v>2024.0</v>
      </c>
      <c r="D2339" s="58" t="s">
        <v>21219</v>
      </c>
      <c r="E2339" s="58" t="s">
        <v>21220</v>
      </c>
      <c r="F2339" s="58" t="s">
        <v>16493</v>
      </c>
      <c r="H2339" s="58" t="s">
        <v>16494</v>
      </c>
      <c r="I2339" s="58" t="s">
        <v>21221</v>
      </c>
      <c r="K2339" s="73">
        <v>45386.0</v>
      </c>
      <c r="R2339" s="58">
        <v>5.0</v>
      </c>
      <c r="Z2339" s="58" t="s">
        <v>239</v>
      </c>
      <c r="CH2339" s="58" t="s">
        <v>21222</v>
      </c>
      <c r="CI2339" s="73">
        <v>45408.0</v>
      </c>
      <c r="CJ2339" s="58">
        <v>2377.0</v>
      </c>
      <c r="CK2339" s="58">
        <v>2390.0</v>
      </c>
      <c r="CL2339" s="58" t="s">
        <v>21223</v>
      </c>
      <c r="CO2339" s="58" t="s">
        <v>21224</v>
      </c>
      <c r="CP2339" s="58" t="s">
        <v>21225</v>
      </c>
      <c r="CR2339" s="58">
        <v>1.0</v>
      </c>
      <c r="CT2339" s="58">
        <v>39.0</v>
      </c>
      <c r="CU2339" s="58" t="s">
        <v>16727</v>
      </c>
      <c r="DL2339" s="58" t="s">
        <v>21226</v>
      </c>
    </row>
    <row r="2340" ht="15.75" customHeight="1">
      <c r="B2340" s="58" t="s">
        <v>16392</v>
      </c>
      <c r="C2340" s="58">
        <v>2024.0</v>
      </c>
      <c r="D2340" s="58" t="s">
        <v>21227</v>
      </c>
      <c r="E2340" s="58" t="s">
        <v>21228</v>
      </c>
      <c r="F2340" s="58" t="s">
        <v>18334</v>
      </c>
      <c r="H2340" s="58" t="s">
        <v>18335</v>
      </c>
      <c r="I2340" s="58" t="s">
        <v>21229</v>
      </c>
      <c r="K2340" s="73">
        <v>45314.0</v>
      </c>
      <c r="Q2340" s="58">
        <v>6.0</v>
      </c>
      <c r="R2340" s="58">
        <v>73.0</v>
      </c>
      <c r="Z2340" s="58" t="s">
        <v>239</v>
      </c>
      <c r="CH2340" s="58" t="s">
        <v>21230</v>
      </c>
      <c r="CI2340" s="73">
        <v>45462.0</v>
      </c>
      <c r="CJ2340" s="58">
        <v>8765.0</v>
      </c>
      <c r="CK2340" s="58">
        <v>8781.0</v>
      </c>
      <c r="CL2340" s="58" t="s">
        <v>21231</v>
      </c>
      <c r="CN2340" s="58" t="s">
        <v>21232</v>
      </c>
      <c r="CO2340" s="58" t="s">
        <v>21233</v>
      </c>
      <c r="CP2340" s="58" t="s">
        <v>21234</v>
      </c>
      <c r="CR2340" s="58">
        <v>1.0</v>
      </c>
      <c r="CT2340" s="58">
        <v>60.0</v>
      </c>
      <c r="CU2340" s="58" t="s">
        <v>239</v>
      </c>
      <c r="DL2340" s="58" t="s">
        <v>21235</v>
      </c>
    </row>
    <row r="2341" ht="15.75" customHeight="1">
      <c r="B2341" s="58" t="s">
        <v>16392</v>
      </c>
      <c r="C2341" s="58">
        <v>2024.0</v>
      </c>
      <c r="D2341" s="58" t="s">
        <v>21236</v>
      </c>
      <c r="E2341" s="58" t="s">
        <v>21237</v>
      </c>
      <c r="F2341" s="58" t="s">
        <v>16959</v>
      </c>
      <c r="H2341" s="58" t="s">
        <v>16960</v>
      </c>
      <c r="I2341" s="58" t="s">
        <v>21238</v>
      </c>
      <c r="K2341" s="73">
        <v>45392.0</v>
      </c>
      <c r="Q2341" s="58">
        <v>4.0</v>
      </c>
      <c r="R2341" s="58">
        <v>21.0</v>
      </c>
      <c r="Z2341" s="58" t="s">
        <v>239</v>
      </c>
      <c r="CH2341" s="58" t="s">
        <v>21239</v>
      </c>
      <c r="CI2341" s="73">
        <v>45526.0</v>
      </c>
      <c r="CJ2341" s="58">
        <v>4655.0</v>
      </c>
      <c r="CK2341" s="58">
        <v>4668.0</v>
      </c>
      <c r="CL2341" s="58" t="s">
        <v>21240</v>
      </c>
      <c r="CN2341" s="58" t="s">
        <v>21241</v>
      </c>
      <c r="CO2341" s="58" t="s">
        <v>21242</v>
      </c>
      <c r="CP2341" s="58" t="s">
        <v>21243</v>
      </c>
      <c r="CR2341" s="58">
        <v>1.0</v>
      </c>
      <c r="CT2341" s="58">
        <v>28.0</v>
      </c>
      <c r="CU2341" s="58" t="s">
        <v>239</v>
      </c>
      <c r="DL2341" s="58" t="s">
        <v>21244</v>
      </c>
    </row>
    <row r="2342" ht="15.75" customHeight="1">
      <c r="B2342" s="58" t="s">
        <v>16392</v>
      </c>
      <c r="C2342" s="58">
        <v>2022.0</v>
      </c>
      <c r="D2342" s="58" t="s">
        <v>21245</v>
      </c>
      <c r="E2342" s="58" t="s">
        <v>21246</v>
      </c>
      <c r="F2342" s="58" t="s">
        <v>16436</v>
      </c>
      <c r="H2342" s="58" t="s">
        <v>16437</v>
      </c>
      <c r="I2342" s="58" t="s">
        <v>21247</v>
      </c>
      <c r="K2342" s="73">
        <v>44736.0</v>
      </c>
      <c r="R2342" s="58">
        <v>10.0</v>
      </c>
      <c r="Z2342" s="58" t="s">
        <v>239</v>
      </c>
      <c r="CH2342" s="58" t="s">
        <v>21248</v>
      </c>
      <c r="CI2342" s="73">
        <v>44746.0</v>
      </c>
      <c r="CJ2342" s="58">
        <v>68669.0</v>
      </c>
      <c r="CK2342" s="58">
        <v>68685.0</v>
      </c>
      <c r="CL2342" s="58" t="s">
        <v>21249</v>
      </c>
      <c r="CN2342" s="58" t="s">
        <v>21250</v>
      </c>
      <c r="CO2342" s="58" t="s">
        <v>21251</v>
      </c>
      <c r="CP2342" s="58" t="s">
        <v>21252</v>
      </c>
      <c r="CR2342" s="58">
        <v>1.0</v>
      </c>
      <c r="CT2342" s="58">
        <v>39.0</v>
      </c>
      <c r="CU2342" s="58" t="s">
        <v>16423</v>
      </c>
      <c r="DL2342" s="58" t="s">
        <v>21253</v>
      </c>
    </row>
    <row r="2343" ht="15.75" customHeight="1">
      <c r="B2343" s="58" t="s">
        <v>16392</v>
      </c>
      <c r="C2343" s="58">
        <v>2023.0</v>
      </c>
      <c r="D2343" s="58" t="s">
        <v>20024</v>
      </c>
      <c r="E2343" s="58" t="s">
        <v>21254</v>
      </c>
      <c r="F2343" s="58" t="s">
        <v>21255</v>
      </c>
      <c r="H2343" s="58" t="s">
        <v>21256</v>
      </c>
      <c r="I2343" s="58" t="s">
        <v>21257</v>
      </c>
      <c r="K2343" s="73">
        <v>45068.0</v>
      </c>
      <c r="R2343" s="58">
        <v>18.0</v>
      </c>
      <c r="Z2343" s="58" t="s">
        <v>239</v>
      </c>
      <c r="CH2343" s="58" t="s">
        <v>21258</v>
      </c>
      <c r="CI2343" s="73">
        <v>45082.0</v>
      </c>
      <c r="CJ2343" s="58">
        <v>3277.0</v>
      </c>
      <c r="CK2343" s="58">
        <v>3288.0</v>
      </c>
      <c r="CL2343" s="58" t="s">
        <v>21259</v>
      </c>
      <c r="CN2343" s="58" t="s">
        <v>21260</v>
      </c>
      <c r="CO2343" s="58" t="s">
        <v>21261</v>
      </c>
      <c r="CP2343" s="58" t="s">
        <v>21262</v>
      </c>
      <c r="CR2343" s="58">
        <v>1.0</v>
      </c>
      <c r="CT2343" s="58">
        <v>52.0</v>
      </c>
      <c r="CU2343" s="58" t="s">
        <v>239</v>
      </c>
      <c r="DL2343" s="58" t="s">
        <v>21263</v>
      </c>
    </row>
    <row r="2344" ht="15.75" customHeight="1">
      <c r="B2344" s="58" t="s">
        <v>16392</v>
      </c>
      <c r="C2344" s="58">
        <v>2024.0</v>
      </c>
      <c r="D2344" s="58" t="s">
        <v>21264</v>
      </c>
      <c r="E2344" s="58" t="s">
        <v>21265</v>
      </c>
      <c r="F2344" s="58" t="s">
        <v>16613</v>
      </c>
      <c r="H2344" s="58" t="s">
        <v>16614</v>
      </c>
      <c r="I2344" s="58" t="s">
        <v>21266</v>
      </c>
      <c r="K2344" s="73">
        <v>45464.0</v>
      </c>
      <c r="Q2344" s="58">
        <v>6.0</v>
      </c>
      <c r="R2344" s="58">
        <v>17.0</v>
      </c>
      <c r="Z2344" s="58" t="s">
        <v>239</v>
      </c>
      <c r="CH2344" s="58" t="s">
        <v>21267</v>
      </c>
      <c r="CI2344" s="73">
        <v>45657.0</v>
      </c>
      <c r="CJ2344" s="58">
        <v>3742.0</v>
      </c>
      <c r="CK2344" s="58">
        <v>3757.0</v>
      </c>
      <c r="CL2344" s="58" t="s">
        <v>21268</v>
      </c>
      <c r="CN2344" s="58" t="s">
        <v>21269</v>
      </c>
      <c r="CO2344" s="58" t="s">
        <v>21270</v>
      </c>
      <c r="CP2344" s="58" t="s">
        <v>21271</v>
      </c>
      <c r="CR2344" s="58">
        <v>1.0</v>
      </c>
      <c r="CT2344" s="58">
        <v>35.0</v>
      </c>
      <c r="CU2344" s="58" t="s">
        <v>239</v>
      </c>
      <c r="DL2344" s="58" t="s">
        <v>21272</v>
      </c>
    </row>
    <row r="2345" ht="15.75" customHeight="1">
      <c r="B2345" s="58" t="s">
        <v>16392</v>
      </c>
      <c r="C2345" s="58">
        <v>2024.0</v>
      </c>
      <c r="D2345" s="58" t="s">
        <v>21273</v>
      </c>
      <c r="E2345" s="58" t="s">
        <v>21274</v>
      </c>
      <c r="F2345" s="58" t="s">
        <v>16493</v>
      </c>
      <c r="H2345" s="58" t="s">
        <v>16494</v>
      </c>
      <c r="I2345" s="58" t="s">
        <v>21275</v>
      </c>
      <c r="K2345" s="73">
        <v>45483.0</v>
      </c>
      <c r="R2345" s="58">
        <v>5.0</v>
      </c>
      <c r="Z2345" s="58" t="s">
        <v>239</v>
      </c>
      <c r="CH2345" s="58" t="s">
        <v>21276</v>
      </c>
      <c r="CI2345" s="73">
        <v>45545.0</v>
      </c>
      <c r="CJ2345" s="58">
        <v>5488.0</v>
      </c>
      <c r="CK2345" s="58">
        <v>5539.0</v>
      </c>
      <c r="CL2345" s="58" t="s">
        <v>21277</v>
      </c>
      <c r="CN2345" s="58" t="s">
        <v>21278</v>
      </c>
      <c r="CO2345" s="58" t="s">
        <v>21279</v>
      </c>
      <c r="CP2345" s="58" t="s">
        <v>21280</v>
      </c>
      <c r="CR2345" s="58">
        <v>1.0</v>
      </c>
      <c r="CT2345" s="58">
        <v>431.0</v>
      </c>
      <c r="CU2345" s="58" t="s">
        <v>16423</v>
      </c>
      <c r="DL2345" s="58" t="s">
        <v>21281</v>
      </c>
    </row>
    <row r="2346" ht="15.75" customHeight="1">
      <c r="B2346" s="58" t="s">
        <v>16392</v>
      </c>
      <c r="C2346" s="58">
        <v>2022.0</v>
      </c>
      <c r="D2346" s="58" t="s">
        <v>21282</v>
      </c>
      <c r="E2346" s="58" t="s">
        <v>21283</v>
      </c>
      <c r="F2346" s="58" t="s">
        <v>16436</v>
      </c>
      <c r="H2346" s="58" t="s">
        <v>16437</v>
      </c>
      <c r="I2346" s="58" t="s">
        <v>21284</v>
      </c>
      <c r="K2346" s="73">
        <v>44824.0</v>
      </c>
      <c r="R2346" s="58">
        <v>10.0</v>
      </c>
      <c r="Z2346" s="58" t="s">
        <v>239</v>
      </c>
      <c r="CH2346" s="58" t="s">
        <v>21285</v>
      </c>
      <c r="CI2346" s="73">
        <v>44840.0</v>
      </c>
      <c r="CJ2346" s="58">
        <v>103806.0</v>
      </c>
      <c r="CK2346" s="58">
        <v>103818.0</v>
      </c>
      <c r="CL2346" s="58" t="s">
        <v>21286</v>
      </c>
      <c r="CN2346" s="58" t="s">
        <v>21287</v>
      </c>
      <c r="CO2346" s="58" t="s">
        <v>21288</v>
      </c>
      <c r="CP2346" s="58" t="s">
        <v>21289</v>
      </c>
      <c r="CR2346" s="58">
        <v>1.0</v>
      </c>
      <c r="CT2346" s="58">
        <v>30.0</v>
      </c>
      <c r="CU2346" s="58" t="s">
        <v>16423</v>
      </c>
      <c r="DL2346" s="58" t="s">
        <v>21290</v>
      </c>
    </row>
    <row r="2347" ht="15.75" customHeight="1">
      <c r="B2347" s="58" t="s">
        <v>16392</v>
      </c>
      <c r="C2347" s="58">
        <v>2024.0</v>
      </c>
      <c r="D2347" s="58" t="s">
        <v>21291</v>
      </c>
      <c r="E2347" s="58" t="s">
        <v>21292</v>
      </c>
      <c r="F2347" s="58" t="s">
        <v>16436</v>
      </c>
      <c r="H2347" s="58" t="s">
        <v>16437</v>
      </c>
      <c r="I2347" s="58" t="s">
        <v>21293</v>
      </c>
      <c r="K2347" s="73">
        <v>45397.0</v>
      </c>
      <c r="R2347" s="58">
        <v>12.0</v>
      </c>
      <c r="Z2347" s="58" t="s">
        <v>239</v>
      </c>
      <c r="CH2347" s="58" t="s">
        <v>21294</v>
      </c>
      <c r="CI2347" s="73">
        <v>45643.0</v>
      </c>
      <c r="CJ2347" s="58">
        <v>186710.0</v>
      </c>
      <c r="CK2347" s="58">
        <v>186729.0</v>
      </c>
      <c r="CL2347" s="58" t="s">
        <v>21295</v>
      </c>
      <c r="CN2347" s="58" t="s">
        <v>21296</v>
      </c>
      <c r="CO2347" s="58" t="s">
        <v>21297</v>
      </c>
      <c r="CP2347" s="58" t="s">
        <v>21298</v>
      </c>
      <c r="CR2347" s="58">
        <v>1.0</v>
      </c>
      <c r="CT2347" s="58">
        <v>66.0</v>
      </c>
      <c r="CU2347" s="58" t="s">
        <v>16727</v>
      </c>
      <c r="DL2347" s="58" t="s">
        <v>21299</v>
      </c>
    </row>
    <row r="2348" ht="15.75" customHeight="1">
      <c r="B2348" s="58" t="s">
        <v>16392</v>
      </c>
      <c r="C2348" s="58">
        <v>2024.0</v>
      </c>
      <c r="D2348" s="58" t="s">
        <v>21300</v>
      </c>
      <c r="E2348" s="58" t="s">
        <v>21301</v>
      </c>
      <c r="F2348" s="58" t="s">
        <v>16436</v>
      </c>
      <c r="H2348" s="58" t="s">
        <v>16437</v>
      </c>
      <c r="I2348" s="58" t="s">
        <v>21302</v>
      </c>
      <c r="K2348" s="73">
        <v>45355.0</v>
      </c>
      <c r="R2348" s="58">
        <v>12.0</v>
      </c>
      <c r="Z2348" s="58" t="s">
        <v>239</v>
      </c>
      <c r="CH2348" s="58" t="s">
        <v>21303</v>
      </c>
      <c r="CI2348" s="73">
        <v>45359.0</v>
      </c>
      <c r="CJ2348" s="58">
        <v>35135.0</v>
      </c>
      <c r="CK2348" s="58">
        <v>35153.0</v>
      </c>
      <c r="CL2348" s="58" t="s">
        <v>21304</v>
      </c>
      <c r="CN2348" s="58" t="s">
        <v>21305</v>
      </c>
      <c r="CO2348" s="58" t="s">
        <v>21306</v>
      </c>
      <c r="CP2348" s="58" t="s">
        <v>21307</v>
      </c>
      <c r="CR2348" s="58">
        <v>1.0</v>
      </c>
      <c r="CT2348" s="58">
        <v>54.0</v>
      </c>
      <c r="CU2348" s="58" t="s">
        <v>16423</v>
      </c>
      <c r="DL2348" s="58" t="s">
        <v>21308</v>
      </c>
    </row>
    <row r="2349" ht="15.75" customHeight="1">
      <c r="B2349" s="58" t="s">
        <v>16392</v>
      </c>
      <c r="C2349" s="58">
        <v>2022.0</v>
      </c>
      <c r="D2349" s="58" t="s">
        <v>21309</v>
      </c>
      <c r="E2349" s="58" t="s">
        <v>21310</v>
      </c>
      <c r="F2349" s="58" t="s">
        <v>16436</v>
      </c>
      <c r="H2349" s="58" t="s">
        <v>16437</v>
      </c>
      <c r="I2349" s="58" t="s">
        <v>21311</v>
      </c>
      <c r="K2349" s="73">
        <v>44634.0</v>
      </c>
      <c r="R2349" s="58">
        <v>10.0</v>
      </c>
      <c r="Z2349" s="58" t="s">
        <v>239</v>
      </c>
      <c r="CH2349" s="58" t="s">
        <v>21312</v>
      </c>
      <c r="CI2349" s="73">
        <v>44643.0</v>
      </c>
      <c r="CJ2349" s="58">
        <v>30414.0</v>
      </c>
      <c r="CK2349" s="58">
        <v>30426.0</v>
      </c>
      <c r="CL2349" s="58" t="s">
        <v>21313</v>
      </c>
      <c r="CN2349" s="58" t="s">
        <v>21314</v>
      </c>
      <c r="CO2349" s="58" t="s">
        <v>21315</v>
      </c>
      <c r="CP2349" s="58" t="s">
        <v>21316</v>
      </c>
      <c r="CR2349" s="58">
        <v>1.0</v>
      </c>
      <c r="CT2349" s="58">
        <v>48.0</v>
      </c>
      <c r="CU2349" s="58" t="s">
        <v>16423</v>
      </c>
      <c r="DL2349" s="58" t="s">
        <v>21317</v>
      </c>
    </row>
    <row r="2350" ht="15.75" customHeight="1">
      <c r="B2350" s="58" t="s">
        <v>16392</v>
      </c>
      <c r="C2350" s="58">
        <v>2024.0</v>
      </c>
      <c r="D2350" s="58" t="s">
        <v>21318</v>
      </c>
      <c r="E2350" s="58" t="s">
        <v>21319</v>
      </c>
      <c r="F2350" s="58" t="s">
        <v>21255</v>
      </c>
      <c r="H2350" s="58" t="s">
        <v>21256</v>
      </c>
      <c r="I2350" s="58" t="s">
        <v>21320</v>
      </c>
      <c r="K2350" s="73">
        <v>45434.0</v>
      </c>
      <c r="R2350" s="58">
        <v>19.0</v>
      </c>
      <c r="Z2350" s="58" t="s">
        <v>239</v>
      </c>
      <c r="CH2350" s="58" t="s">
        <v>21321</v>
      </c>
      <c r="CI2350" s="73">
        <v>45441.0</v>
      </c>
      <c r="CJ2350" s="58">
        <v>5767.0</v>
      </c>
      <c r="CK2350" s="58">
        <v>5782.0</v>
      </c>
      <c r="CL2350" s="58" t="s">
        <v>21322</v>
      </c>
      <c r="CO2350" s="58" t="s">
        <v>21323</v>
      </c>
      <c r="CP2350" s="58" t="s">
        <v>21324</v>
      </c>
      <c r="CR2350" s="58">
        <v>1.0</v>
      </c>
      <c r="CT2350" s="58">
        <v>95.0</v>
      </c>
      <c r="CU2350" s="58" t="s">
        <v>16423</v>
      </c>
      <c r="DL2350" s="58" t="s">
        <v>21325</v>
      </c>
    </row>
    <row r="2351" ht="15.75" customHeight="1">
      <c r="B2351" s="58" t="s">
        <v>16392</v>
      </c>
      <c r="C2351" s="58">
        <v>2024.0</v>
      </c>
      <c r="D2351" s="58" t="s">
        <v>21326</v>
      </c>
      <c r="E2351" s="58" t="s">
        <v>21327</v>
      </c>
      <c r="F2351" s="58" t="s">
        <v>16436</v>
      </c>
      <c r="H2351" s="58" t="s">
        <v>16437</v>
      </c>
      <c r="I2351" s="58" t="s">
        <v>21328</v>
      </c>
      <c r="K2351" s="73">
        <v>45412.0</v>
      </c>
      <c r="R2351" s="58">
        <v>12.0</v>
      </c>
      <c r="Z2351" s="58" t="s">
        <v>239</v>
      </c>
      <c r="CH2351" s="58" t="s">
        <v>21329</v>
      </c>
      <c r="CI2351" s="73">
        <v>45419.0</v>
      </c>
      <c r="CJ2351" s="58">
        <v>62804.0</v>
      </c>
      <c r="CK2351" s="58">
        <v>62817.0</v>
      </c>
      <c r="CL2351" s="58" t="s">
        <v>21330</v>
      </c>
      <c r="CN2351" s="58" t="s">
        <v>21331</v>
      </c>
      <c r="CO2351" s="58" t="s">
        <v>21332</v>
      </c>
      <c r="CP2351" s="58" t="s">
        <v>21333</v>
      </c>
      <c r="CR2351" s="58">
        <v>1.0</v>
      </c>
      <c r="CT2351" s="58">
        <v>71.0</v>
      </c>
      <c r="CU2351" s="58" t="s">
        <v>16727</v>
      </c>
      <c r="DL2351" s="58" t="s">
        <v>21334</v>
      </c>
    </row>
    <row r="2352" ht="15.75" customHeight="1">
      <c r="B2352" s="58" t="s">
        <v>16392</v>
      </c>
      <c r="C2352" s="58">
        <v>2024.0</v>
      </c>
      <c r="D2352" s="58" t="s">
        <v>21335</v>
      </c>
      <c r="E2352" s="58" t="s">
        <v>21336</v>
      </c>
      <c r="F2352" s="58" t="s">
        <v>16436</v>
      </c>
      <c r="H2352" s="58" t="s">
        <v>16437</v>
      </c>
      <c r="I2352" s="58" t="s">
        <v>21337</v>
      </c>
      <c r="K2352" s="73">
        <v>45540.0</v>
      </c>
      <c r="R2352" s="58">
        <v>12.0</v>
      </c>
      <c r="Z2352" s="58" t="s">
        <v>239</v>
      </c>
      <c r="CH2352" s="58" t="s">
        <v>21338</v>
      </c>
      <c r="CI2352" s="73">
        <v>45566.0</v>
      </c>
      <c r="CJ2352" s="58">
        <v>139056.0</v>
      </c>
      <c r="CK2352" s="58">
        <v>139075.0</v>
      </c>
      <c r="CL2352" s="58" t="s">
        <v>21339</v>
      </c>
      <c r="CN2352" s="58" t="s">
        <v>21340</v>
      </c>
      <c r="CO2352" s="58" t="s">
        <v>21341</v>
      </c>
      <c r="CP2352" s="58" t="s">
        <v>21342</v>
      </c>
      <c r="CR2352" s="58">
        <v>1.0</v>
      </c>
      <c r="CT2352" s="58">
        <v>37.0</v>
      </c>
      <c r="CU2352" s="58" t="s">
        <v>16727</v>
      </c>
      <c r="DL2352" s="58" t="s">
        <v>21343</v>
      </c>
    </row>
    <row r="2353" ht="15.75" customHeight="1">
      <c r="B2353" s="58" t="s">
        <v>16392</v>
      </c>
      <c r="C2353" s="58">
        <v>2024.0</v>
      </c>
      <c r="D2353" s="58" t="s">
        <v>21344</v>
      </c>
      <c r="E2353" s="58" t="s">
        <v>21345</v>
      </c>
      <c r="F2353" s="58" t="s">
        <v>16436</v>
      </c>
      <c r="H2353" s="58" t="s">
        <v>16437</v>
      </c>
      <c r="I2353" s="58" t="s">
        <v>21346</v>
      </c>
      <c r="K2353" s="73">
        <v>45554.0</v>
      </c>
      <c r="R2353" s="58">
        <v>12.0</v>
      </c>
      <c r="Z2353" s="58" t="s">
        <v>239</v>
      </c>
      <c r="CH2353" s="58" t="s">
        <v>21347</v>
      </c>
      <c r="CI2353" s="73">
        <v>45587.0</v>
      </c>
      <c r="CJ2353" s="58">
        <v>151598.0</v>
      </c>
      <c r="CK2353" s="58">
        <v>151648.0</v>
      </c>
      <c r="CL2353" s="58" t="s">
        <v>21348</v>
      </c>
      <c r="CO2353" s="58" t="s">
        <v>21349</v>
      </c>
      <c r="CP2353" s="58" t="s">
        <v>21350</v>
      </c>
      <c r="CR2353" s="58">
        <v>1.0</v>
      </c>
      <c r="CT2353" s="58">
        <v>153.0</v>
      </c>
      <c r="CU2353" s="58" t="s">
        <v>16727</v>
      </c>
      <c r="DL2353" s="58" t="s">
        <v>21351</v>
      </c>
    </row>
    <row r="2354" ht="15.75" customHeight="1">
      <c r="B2354" s="58" t="s">
        <v>16392</v>
      </c>
      <c r="C2354" s="58">
        <v>2024.0</v>
      </c>
      <c r="D2354" s="58" t="s">
        <v>21352</v>
      </c>
      <c r="E2354" s="58" t="s">
        <v>21353</v>
      </c>
      <c r="F2354" s="58" t="s">
        <v>16436</v>
      </c>
      <c r="H2354" s="58" t="s">
        <v>16437</v>
      </c>
      <c r="I2354" s="58" t="s">
        <v>21354</v>
      </c>
      <c r="K2354" s="73">
        <v>45488.0</v>
      </c>
      <c r="R2354" s="58">
        <v>12.0</v>
      </c>
      <c r="Z2354" s="58" t="s">
        <v>239</v>
      </c>
      <c r="CH2354" s="58" t="s">
        <v>21355</v>
      </c>
      <c r="CI2354" s="73">
        <v>45495.0</v>
      </c>
      <c r="CJ2354" s="58">
        <v>98046.0</v>
      </c>
      <c r="CK2354" s="58">
        <v>98058.0</v>
      </c>
      <c r="CL2354" s="58" t="s">
        <v>21356</v>
      </c>
      <c r="CN2354" s="58" t="s">
        <v>21357</v>
      </c>
      <c r="CO2354" s="58" t="s">
        <v>21358</v>
      </c>
      <c r="CP2354" s="58" t="s">
        <v>21359</v>
      </c>
      <c r="CR2354" s="58">
        <v>1.0</v>
      </c>
      <c r="CT2354" s="58">
        <v>35.0</v>
      </c>
      <c r="CU2354" s="58" t="s">
        <v>16727</v>
      </c>
      <c r="DL2354" s="58" t="s">
        <v>21360</v>
      </c>
    </row>
    <row r="2355" ht="15.75" customHeight="1">
      <c r="B2355" s="58" t="s">
        <v>16392</v>
      </c>
      <c r="C2355" s="58">
        <v>2024.0</v>
      </c>
      <c r="D2355" s="58" t="s">
        <v>21361</v>
      </c>
      <c r="E2355" s="58" t="s">
        <v>21362</v>
      </c>
      <c r="F2355" s="58" t="s">
        <v>16436</v>
      </c>
      <c r="H2355" s="58" t="s">
        <v>16437</v>
      </c>
      <c r="I2355" s="58" t="s">
        <v>21363</v>
      </c>
      <c r="K2355" s="73">
        <v>45551.0</v>
      </c>
      <c r="R2355" s="58">
        <v>12.0</v>
      </c>
      <c r="Z2355" s="58" t="s">
        <v>239</v>
      </c>
      <c r="CH2355" s="58" t="s">
        <v>21364</v>
      </c>
      <c r="CI2355" s="73">
        <v>45565.0</v>
      </c>
      <c r="CJ2355" s="58">
        <v>133110.0</v>
      </c>
      <c r="CK2355" s="58">
        <v>133124.0</v>
      </c>
      <c r="CL2355" s="58" t="s">
        <v>21365</v>
      </c>
      <c r="CN2355" s="58" t="s">
        <v>21366</v>
      </c>
      <c r="CO2355" s="58" t="s">
        <v>21367</v>
      </c>
      <c r="CP2355" s="58" t="s">
        <v>21368</v>
      </c>
      <c r="CR2355" s="58">
        <v>1.0</v>
      </c>
      <c r="CT2355" s="58">
        <v>32.0</v>
      </c>
      <c r="CU2355" s="58" t="s">
        <v>16727</v>
      </c>
      <c r="DL2355" s="58" t="s">
        <v>21369</v>
      </c>
    </row>
    <row r="2356" ht="15.75" customHeight="1">
      <c r="B2356" s="58" t="s">
        <v>16392</v>
      </c>
      <c r="C2356" s="58">
        <v>2024.0</v>
      </c>
      <c r="D2356" s="58" t="s">
        <v>21370</v>
      </c>
      <c r="E2356" s="58" t="s">
        <v>21371</v>
      </c>
      <c r="F2356" s="58" t="s">
        <v>16436</v>
      </c>
      <c r="H2356" s="58" t="s">
        <v>16437</v>
      </c>
      <c r="I2356" s="58" t="s">
        <v>21372</v>
      </c>
      <c r="K2356" s="73">
        <v>45447.0</v>
      </c>
      <c r="R2356" s="58">
        <v>12.0</v>
      </c>
      <c r="Z2356" s="58" t="s">
        <v>239</v>
      </c>
      <c r="CH2356" s="58" t="s">
        <v>21373</v>
      </c>
      <c r="CI2356" s="73">
        <v>45453.0</v>
      </c>
      <c r="CJ2356" s="58">
        <v>79530.0</v>
      </c>
      <c r="CK2356" s="58">
        <v>79548.0</v>
      </c>
      <c r="CL2356" s="58" t="s">
        <v>21374</v>
      </c>
      <c r="CO2356" s="58" t="s">
        <v>21375</v>
      </c>
      <c r="CP2356" s="58" t="s">
        <v>21376</v>
      </c>
      <c r="CR2356" s="58">
        <v>1.0</v>
      </c>
      <c r="CT2356" s="58">
        <v>24.0</v>
      </c>
      <c r="CU2356" s="58" t="s">
        <v>16727</v>
      </c>
      <c r="DL2356" s="58" t="s">
        <v>21377</v>
      </c>
    </row>
    <row r="2357" ht="15.75" customHeight="1">
      <c r="B2357" s="58" t="s">
        <v>16392</v>
      </c>
      <c r="C2357" s="58">
        <v>2024.0</v>
      </c>
      <c r="D2357" s="58" t="s">
        <v>21378</v>
      </c>
      <c r="E2357" s="58" t="s">
        <v>21379</v>
      </c>
      <c r="F2357" s="58" t="s">
        <v>16436</v>
      </c>
      <c r="H2357" s="58" t="s">
        <v>16437</v>
      </c>
      <c r="I2357" s="58" t="s">
        <v>21380</v>
      </c>
      <c r="K2357" s="73">
        <v>45390.0</v>
      </c>
      <c r="R2357" s="58">
        <v>12.0</v>
      </c>
      <c r="Z2357" s="58" t="s">
        <v>239</v>
      </c>
      <c r="CH2357" s="58" t="s">
        <v>21381</v>
      </c>
      <c r="CI2357" s="73">
        <v>45397.0</v>
      </c>
      <c r="CJ2357" s="58">
        <v>51330.0</v>
      </c>
      <c r="CK2357" s="58">
        <v>51345.0</v>
      </c>
      <c r="CL2357" s="58" t="s">
        <v>21382</v>
      </c>
      <c r="CN2357" s="58" t="s">
        <v>21383</v>
      </c>
      <c r="CO2357" s="58" t="s">
        <v>21384</v>
      </c>
      <c r="CP2357" s="58" t="s">
        <v>21385</v>
      </c>
      <c r="CR2357" s="58">
        <v>1.0</v>
      </c>
      <c r="CT2357" s="58">
        <v>41.0</v>
      </c>
      <c r="CU2357" s="58" t="s">
        <v>16727</v>
      </c>
      <c r="DL2357" s="58" t="s">
        <v>21386</v>
      </c>
    </row>
    <row r="2358" ht="15.75" customHeight="1">
      <c r="B2358" s="58" t="s">
        <v>16392</v>
      </c>
      <c r="C2358" s="58">
        <v>2024.0</v>
      </c>
      <c r="D2358" s="58" t="s">
        <v>21387</v>
      </c>
      <c r="E2358" s="58" t="s">
        <v>21388</v>
      </c>
      <c r="F2358" s="58" t="s">
        <v>16538</v>
      </c>
      <c r="H2358" s="58" t="s">
        <v>16539</v>
      </c>
      <c r="I2358" s="58" t="s">
        <v>21389</v>
      </c>
      <c r="K2358" s="73">
        <v>45189.0</v>
      </c>
      <c r="Q2358" s="58">
        <v>5.0</v>
      </c>
      <c r="R2358" s="58">
        <v>11.0</v>
      </c>
      <c r="Z2358" s="58" t="s">
        <v>239</v>
      </c>
      <c r="CH2358" s="58" t="s">
        <v>21390</v>
      </c>
      <c r="CI2358" s="73">
        <v>45343.0</v>
      </c>
      <c r="CJ2358" s="58">
        <v>8170.0</v>
      </c>
      <c r="CK2358" s="58">
        <v>8184.0</v>
      </c>
      <c r="CL2358" s="58" t="s">
        <v>21391</v>
      </c>
      <c r="CN2358" s="58" t="s">
        <v>21392</v>
      </c>
      <c r="CO2358" s="58" t="s">
        <v>21393</v>
      </c>
      <c r="CP2358" s="58" t="s">
        <v>21394</v>
      </c>
      <c r="CR2358" s="58">
        <v>1.0</v>
      </c>
      <c r="CT2358" s="58">
        <v>35.0</v>
      </c>
      <c r="CU2358" s="58" t="s">
        <v>239</v>
      </c>
      <c r="DL2358" s="58" t="s">
        <v>21395</v>
      </c>
    </row>
    <row r="2359" ht="15.75" customHeight="1">
      <c r="B2359" s="58" t="s">
        <v>16392</v>
      </c>
      <c r="C2359" s="58">
        <v>2024.0</v>
      </c>
      <c r="D2359" s="58" t="s">
        <v>21396</v>
      </c>
      <c r="E2359" s="58" t="s">
        <v>21397</v>
      </c>
      <c r="F2359" s="58" t="s">
        <v>16538</v>
      </c>
      <c r="H2359" s="58" t="s">
        <v>16539</v>
      </c>
      <c r="I2359" s="58" t="s">
        <v>21398</v>
      </c>
      <c r="K2359" s="73">
        <v>45616.0</v>
      </c>
      <c r="Q2359" s="58">
        <v>23.0</v>
      </c>
      <c r="R2359" s="58">
        <v>11.0</v>
      </c>
      <c r="Z2359" s="58" t="s">
        <v>239</v>
      </c>
      <c r="CH2359" s="58" t="s">
        <v>21399</v>
      </c>
      <c r="CI2359" s="73">
        <v>45616.0</v>
      </c>
      <c r="CJ2359" s="58">
        <v>37599.0</v>
      </c>
      <c r="CK2359" s="58">
        <v>37616.0</v>
      </c>
      <c r="CL2359" s="58" t="s">
        <v>21400</v>
      </c>
      <c r="CN2359" s="58" t="s">
        <v>21401</v>
      </c>
      <c r="CO2359" s="58" t="s">
        <v>21402</v>
      </c>
      <c r="CP2359" s="58" t="s">
        <v>21403</v>
      </c>
      <c r="CR2359" s="58">
        <v>1.0</v>
      </c>
      <c r="CT2359" s="58">
        <v>103.0</v>
      </c>
      <c r="CU2359" s="58" t="s">
        <v>239</v>
      </c>
      <c r="DL2359" s="58" t="s">
        <v>21404</v>
      </c>
    </row>
    <row r="2360" ht="15.75" customHeight="1">
      <c r="B2360" s="58" t="s">
        <v>16392</v>
      </c>
      <c r="C2360" s="58">
        <v>2025.0</v>
      </c>
      <c r="D2360" s="58" t="s">
        <v>21405</v>
      </c>
      <c r="E2360" s="58" t="s">
        <v>21406</v>
      </c>
      <c r="F2360" s="58" t="s">
        <v>16493</v>
      </c>
      <c r="H2360" s="58" t="s">
        <v>16494</v>
      </c>
      <c r="I2360" s="58" t="s">
        <v>21407</v>
      </c>
      <c r="K2360" s="73">
        <v>45663.0</v>
      </c>
      <c r="R2360" s="58">
        <v>6.0</v>
      </c>
      <c r="Z2360" s="58" t="s">
        <v>239</v>
      </c>
      <c r="CH2360" s="58" t="s">
        <v>21408</v>
      </c>
      <c r="CI2360" s="73">
        <v>45686.0</v>
      </c>
      <c r="CJ2360" s="58">
        <v>840.0</v>
      </c>
      <c r="CK2360" s="58">
        <v>880.0</v>
      </c>
      <c r="CL2360" s="58" t="s">
        <v>21409</v>
      </c>
      <c r="CO2360" s="58" t="s">
        <v>21410</v>
      </c>
      <c r="CP2360" s="58" t="s">
        <v>21411</v>
      </c>
      <c r="CR2360" s="58">
        <v>1.0</v>
      </c>
      <c r="CT2360" s="58">
        <v>180.0</v>
      </c>
      <c r="CU2360" s="58" t="s">
        <v>16423</v>
      </c>
      <c r="DL2360" s="58" t="s">
        <v>21412</v>
      </c>
    </row>
    <row r="2361" ht="15.75" customHeight="1">
      <c r="B2361" s="58" t="s">
        <v>16392</v>
      </c>
      <c r="C2361" s="58">
        <v>2024.0</v>
      </c>
      <c r="D2361" s="58" t="s">
        <v>21413</v>
      </c>
      <c r="E2361" s="58" t="s">
        <v>21414</v>
      </c>
      <c r="F2361" s="58" t="s">
        <v>17438</v>
      </c>
      <c r="H2361" s="58" t="s">
        <v>17439</v>
      </c>
      <c r="I2361" s="58" t="s">
        <v>21415</v>
      </c>
      <c r="K2361" s="73">
        <v>45443.0</v>
      </c>
      <c r="Q2361" s="58">
        <v>3.0</v>
      </c>
      <c r="R2361" s="58">
        <v>12.0</v>
      </c>
      <c r="Z2361" s="58" t="s">
        <v>239</v>
      </c>
      <c r="CH2361" s="58" t="s">
        <v>21416</v>
      </c>
      <c r="CI2361" s="73">
        <v>45540.0</v>
      </c>
      <c r="CJ2361" s="58">
        <v>897.0</v>
      </c>
      <c r="CK2361" s="58">
        <v>912.0</v>
      </c>
      <c r="CL2361" s="58" t="s">
        <v>21417</v>
      </c>
      <c r="CN2361" s="58" t="s">
        <v>21418</v>
      </c>
      <c r="CO2361" s="58" t="s">
        <v>21419</v>
      </c>
      <c r="CP2361" s="58" t="s">
        <v>21420</v>
      </c>
      <c r="CR2361" s="58">
        <v>1.0</v>
      </c>
      <c r="CT2361" s="58">
        <v>41.0</v>
      </c>
      <c r="CU2361" s="58" t="s">
        <v>239</v>
      </c>
      <c r="DL2361" s="58" t="s">
        <v>21421</v>
      </c>
    </row>
    <row r="2362" ht="15.75" customHeight="1">
      <c r="B2362" s="58" t="s">
        <v>16392</v>
      </c>
      <c r="C2362" s="58">
        <v>2024.0</v>
      </c>
      <c r="D2362" s="58" t="s">
        <v>21344</v>
      </c>
      <c r="E2362" s="58" t="s">
        <v>21422</v>
      </c>
      <c r="F2362" s="58" t="s">
        <v>16436</v>
      </c>
      <c r="H2362" s="58" t="s">
        <v>16437</v>
      </c>
      <c r="I2362" s="58" t="s">
        <v>21423</v>
      </c>
      <c r="K2362" s="73">
        <v>45525.0</v>
      </c>
      <c r="R2362" s="58">
        <v>12.0</v>
      </c>
      <c r="Z2362" s="58" t="s">
        <v>239</v>
      </c>
      <c r="CH2362" s="58" t="s">
        <v>21347</v>
      </c>
      <c r="CI2362" s="73">
        <v>45533.0</v>
      </c>
      <c r="CJ2362" s="58">
        <v>118007.0</v>
      </c>
      <c r="CK2362" s="58">
        <v>118059.0</v>
      </c>
      <c r="CL2362" s="58" t="s">
        <v>21424</v>
      </c>
      <c r="CO2362" s="58" t="s">
        <v>21425</v>
      </c>
      <c r="CP2362" s="58" t="s">
        <v>21426</v>
      </c>
      <c r="CR2362" s="58">
        <v>1.0</v>
      </c>
      <c r="CT2362" s="58">
        <v>165.0</v>
      </c>
      <c r="CU2362" s="58" t="s">
        <v>16727</v>
      </c>
      <c r="DL2362" s="58" t="s">
        <v>21427</v>
      </c>
    </row>
    <row r="2363" ht="15.75" customHeight="1">
      <c r="B2363" s="58" t="s">
        <v>16392</v>
      </c>
      <c r="C2363" s="58">
        <v>2024.0</v>
      </c>
      <c r="D2363" s="58" t="s">
        <v>21428</v>
      </c>
      <c r="E2363" s="58" t="s">
        <v>21429</v>
      </c>
      <c r="F2363" s="58" t="s">
        <v>17040</v>
      </c>
      <c r="H2363" s="58" t="s">
        <v>17041</v>
      </c>
      <c r="I2363" s="58" t="s">
        <v>21430</v>
      </c>
      <c r="K2363" s="73">
        <v>45468.0</v>
      </c>
      <c r="Q2363" s="58">
        <v>3.0</v>
      </c>
      <c r="R2363" s="58">
        <v>8.0</v>
      </c>
      <c r="Z2363" s="58" t="s">
        <v>239</v>
      </c>
      <c r="CH2363" s="58" t="s">
        <v>21431</v>
      </c>
      <c r="CI2363" s="73">
        <v>45532.0</v>
      </c>
      <c r="CJ2363" s="58">
        <v>924.0</v>
      </c>
      <c r="CK2363" s="58">
        <v>938.0</v>
      </c>
      <c r="CL2363" s="58" t="s">
        <v>21432</v>
      </c>
      <c r="CN2363" s="58" t="s">
        <v>21433</v>
      </c>
      <c r="CO2363" s="58" t="s">
        <v>21434</v>
      </c>
      <c r="CP2363" s="58" t="s">
        <v>21435</v>
      </c>
      <c r="CR2363" s="58">
        <v>1.0</v>
      </c>
      <c r="CT2363" s="58">
        <v>48.0</v>
      </c>
      <c r="CU2363" s="58" t="s">
        <v>16423</v>
      </c>
      <c r="DL2363" s="58" t="s">
        <v>21436</v>
      </c>
    </row>
    <row r="2364" ht="15.75" customHeight="1">
      <c r="B2364" s="58" t="s">
        <v>16392</v>
      </c>
      <c r="C2364" s="58">
        <v>2024.0</v>
      </c>
      <c r="D2364" s="58" t="s">
        <v>15678</v>
      </c>
      <c r="E2364" s="58" t="s">
        <v>21437</v>
      </c>
      <c r="F2364" s="58" t="s">
        <v>18018</v>
      </c>
      <c r="H2364" s="58" t="s">
        <v>18019</v>
      </c>
      <c r="I2364" s="58" t="s">
        <v>21438</v>
      </c>
      <c r="K2364" s="73">
        <v>45345.0</v>
      </c>
      <c r="Q2364" s="58">
        <v>5.0</v>
      </c>
      <c r="R2364" s="58">
        <v>9.0</v>
      </c>
      <c r="Z2364" s="58" t="s">
        <v>239</v>
      </c>
      <c r="CH2364" s="58" t="s">
        <v>21439</v>
      </c>
      <c r="CI2364" s="73">
        <v>45574.0</v>
      </c>
      <c r="CJ2364" s="58">
        <v>754.0</v>
      </c>
      <c r="CK2364" s="58">
        <v>765.0</v>
      </c>
      <c r="CL2364" s="58" t="s">
        <v>21440</v>
      </c>
      <c r="CN2364" s="58" t="s">
        <v>21441</v>
      </c>
      <c r="CO2364" s="58" t="s">
        <v>21442</v>
      </c>
      <c r="CP2364" s="58" t="s">
        <v>21443</v>
      </c>
      <c r="CR2364" s="58">
        <v>1.0</v>
      </c>
      <c r="CT2364" s="58">
        <v>53.0</v>
      </c>
      <c r="CU2364" s="58" t="s">
        <v>239</v>
      </c>
      <c r="DL2364" s="58" t="s">
        <v>21444</v>
      </c>
    </row>
    <row r="2365" ht="15.75" customHeight="1">
      <c r="B2365" s="58" t="s">
        <v>16392</v>
      </c>
      <c r="C2365" s="58">
        <v>2024.0</v>
      </c>
      <c r="D2365" s="58" t="s">
        <v>21445</v>
      </c>
      <c r="E2365" s="58" t="s">
        <v>21446</v>
      </c>
      <c r="F2365" s="58" t="s">
        <v>16436</v>
      </c>
      <c r="H2365" s="58" t="s">
        <v>16437</v>
      </c>
      <c r="I2365" s="58" t="s">
        <v>21447</v>
      </c>
      <c r="K2365" s="73">
        <v>45475.0</v>
      </c>
      <c r="R2365" s="58">
        <v>12.0</v>
      </c>
      <c r="Z2365" s="58" t="s">
        <v>239</v>
      </c>
      <c r="CH2365" s="58" t="s">
        <v>21448</v>
      </c>
      <c r="CI2365" s="73">
        <v>45489.0</v>
      </c>
      <c r="CJ2365" s="58">
        <v>95986.0</v>
      </c>
      <c r="CK2365" s="58">
        <v>96007.0</v>
      </c>
      <c r="CL2365" s="58" t="s">
        <v>21449</v>
      </c>
      <c r="CO2365" s="58" t="s">
        <v>21450</v>
      </c>
      <c r="CP2365" s="58" t="s">
        <v>21451</v>
      </c>
      <c r="CR2365" s="58">
        <v>1.0</v>
      </c>
      <c r="CT2365" s="58">
        <v>51.0</v>
      </c>
      <c r="CU2365" s="58" t="s">
        <v>16727</v>
      </c>
      <c r="DL2365" s="58" t="s">
        <v>21452</v>
      </c>
    </row>
    <row r="2366" ht="15.75" customHeight="1">
      <c r="B2366" s="58" t="s">
        <v>16392</v>
      </c>
      <c r="C2366" s="58">
        <v>2023.0</v>
      </c>
      <c r="D2366" s="58" t="s">
        <v>21453</v>
      </c>
      <c r="E2366" s="58" t="s">
        <v>21454</v>
      </c>
      <c r="F2366" s="58" t="s">
        <v>16436</v>
      </c>
      <c r="H2366" s="58" t="s">
        <v>16437</v>
      </c>
      <c r="I2366" s="58" t="s">
        <v>21455</v>
      </c>
      <c r="K2366" s="73">
        <v>45267.0</v>
      </c>
      <c r="R2366" s="58">
        <v>11.0</v>
      </c>
      <c r="Z2366" s="58" t="s">
        <v>239</v>
      </c>
      <c r="CH2366" s="58" t="s">
        <v>21456</v>
      </c>
      <c r="CI2366" s="73">
        <v>45279.0</v>
      </c>
      <c r="CJ2366" s="58">
        <v>140826.0</v>
      </c>
      <c r="CK2366" s="58">
        <v>140852.0</v>
      </c>
      <c r="CL2366" s="58" t="s">
        <v>21457</v>
      </c>
      <c r="CN2366" s="58" t="s">
        <v>21296</v>
      </c>
      <c r="CO2366" s="58" t="s">
        <v>21458</v>
      </c>
      <c r="CP2366" s="58" t="s">
        <v>21459</v>
      </c>
      <c r="CR2366" s="58">
        <v>1.0</v>
      </c>
      <c r="CT2366" s="58">
        <v>47.0</v>
      </c>
      <c r="CU2366" s="58" t="s">
        <v>16727</v>
      </c>
      <c r="DL2366" s="58" t="s">
        <v>21460</v>
      </c>
    </row>
    <row r="2367" ht="15.75" customHeight="1">
      <c r="B2367" s="58" t="s">
        <v>16392</v>
      </c>
      <c r="C2367" s="58">
        <v>2025.0</v>
      </c>
      <c r="D2367" s="58" t="s">
        <v>21461</v>
      </c>
      <c r="E2367" s="58" t="s">
        <v>21462</v>
      </c>
      <c r="F2367" s="58" t="s">
        <v>18504</v>
      </c>
      <c r="H2367" s="58" t="s">
        <v>18505</v>
      </c>
      <c r="I2367" s="58" t="s">
        <v>21463</v>
      </c>
      <c r="K2367" s="73">
        <v>45645.0</v>
      </c>
      <c r="R2367" s="58">
        <v>6.0</v>
      </c>
      <c r="Z2367" s="58" t="s">
        <v>239</v>
      </c>
      <c r="CH2367" s="58" t="s">
        <v>21464</v>
      </c>
      <c r="CI2367" s="73">
        <v>45666.0</v>
      </c>
      <c r="CJ2367" s="58">
        <v>1.0</v>
      </c>
      <c r="CK2367" s="58">
        <v>24.0</v>
      </c>
      <c r="CL2367" s="58" t="s">
        <v>21465</v>
      </c>
      <c r="CN2367" s="58" t="s">
        <v>21466</v>
      </c>
      <c r="CO2367" s="58" t="s">
        <v>21467</v>
      </c>
      <c r="CP2367" s="58" t="s">
        <v>21468</v>
      </c>
      <c r="CR2367" s="58">
        <v>1.0</v>
      </c>
      <c r="CT2367" s="58">
        <v>45.0</v>
      </c>
      <c r="CU2367" s="58" t="s">
        <v>16423</v>
      </c>
      <c r="DL2367" s="58" t="s">
        <v>21469</v>
      </c>
    </row>
    <row r="2368" ht="15.75" customHeight="1">
      <c r="B2368" s="58" t="s">
        <v>16392</v>
      </c>
      <c r="C2368" s="58">
        <v>2024.0</v>
      </c>
      <c r="D2368" s="58" t="s">
        <v>21470</v>
      </c>
      <c r="E2368" s="58" t="s">
        <v>21471</v>
      </c>
      <c r="F2368" s="58" t="s">
        <v>16493</v>
      </c>
      <c r="H2368" s="58" t="s">
        <v>16494</v>
      </c>
      <c r="I2368" s="58" t="s">
        <v>21472</v>
      </c>
      <c r="K2368" s="73">
        <v>45421.0</v>
      </c>
      <c r="R2368" s="58">
        <v>5.0</v>
      </c>
      <c r="Z2368" s="58" t="s">
        <v>239</v>
      </c>
      <c r="CH2368" s="58" t="s">
        <v>21473</v>
      </c>
      <c r="CI2368" s="73">
        <v>45434.0</v>
      </c>
      <c r="CJ2368" s="58">
        <v>3104.0</v>
      </c>
      <c r="CK2368" s="58">
        <v>3119.0</v>
      </c>
      <c r="CL2368" s="58" t="s">
        <v>21474</v>
      </c>
      <c r="CN2368" s="58" t="s">
        <v>21475</v>
      </c>
      <c r="CO2368" s="58" t="s">
        <v>21476</v>
      </c>
      <c r="CP2368" s="58" t="s">
        <v>21477</v>
      </c>
      <c r="CR2368" s="58">
        <v>1.0</v>
      </c>
      <c r="CT2368" s="58">
        <v>63.0</v>
      </c>
      <c r="CU2368" s="58" t="s">
        <v>16727</v>
      </c>
      <c r="DL2368" s="58" t="s">
        <v>21478</v>
      </c>
    </row>
    <row r="2369" ht="15.75" customHeight="1">
      <c r="B2369" s="58" t="s">
        <v>16392</v>
      </c>
      <c r="C2369" s="58">
        <v>2024.0</v>
      </c>
      <c r="D2369" s="58" t="s">
        <v>21479</v>
      </c>
      <c r="E2369" s="58" t="s">
        <v>21480</v>
      </c>
      <c r="F2369" s="58" t="s">
        <v>20578</v>
      </c>
      <c r="H2369" s="58" t="s">
        <v>20579</v>
      </c>
      <c r="I2369" s="58" t="s">
        <v>21481</v>
      </c>
      <c r="K2369" s="73">
        <v>45454.0</v>
      </c>
      <c r="R2369" s="58">
        <v>5.0</v>
      </c>
      <c r="Z2369" s="58" t="s">
        <v>239</v>
      </c>
      <c r="CH2369" s="58" t="s">
        <v>21482</v>
      </c>
      <c r="CI2369" s="73">
        <v>45491.0</v>
      </c>
      <c r="CJ2369" s="58">
        <v>342.0</v>
      </c>
      <c r="CK2369" s="58">
        <v>359.0</v>
      </c>
      <c r="CL2369" s="58" t="s">
        <v>21483</v>
      </c>
      <c r="CO2369" s="58" t="s">
        <v>21484</v>
      </c>
      <c r="CP2369" s="58" t="s">
        <v>21485</v>
      </c>
      <c r="CR2369" s="58">
        <v>1.0</v>
      </c>
      <c r="CT2369" s="58">
        <v>30.0</v>
      </c>
      <c r="CU2369" s="58" t="s">
        <v>16423</v>
      </c>
      <c r="DL2369" s="58" t="s">
        <v>21486</v>
      </c>
    </row>
    <row r="2370" ht="15.75" customHeight="1">
      <c r="B2370" s="58" t="s">
        <v>16392</v>
      </c>
      <c r="C2370" s="58">
        <v>2024.0</v>
      </c>
      <c r="D2370" s="58" t="s">
        <v>21487</v>
      </c>
      <c r="E2370" s="58" t="s">
        <v>21488</v>
      </c>
      <c r="F2370" s="58" t="s">
        <v>16538</v>
      </c>
      <c r="H2370" s="58" t="s">
        <v>16539</v>
      </c>
      <c r="I2370" s="58" t="s">
        <v>21489</v>
      </c>
      <c r="K2370" s="73">
        <v>45308.0</v>
      </c>
      <c r="Q2370" s="58">
        <v>9.0</v>
      </c>
      <c r="R2370" s="58">
        <v>11.0</v>
      </c>
      <c r="Z2370" s="58" t="s">
        <v>239</v>
      </c>
      <c r="CH2370" s="58" t="s">
        <v>21490</v>
      </c>
      <c r="CI2370" s="73">
        <v>45407.0</v>
      </c>
      <c r="CJ2370" s="58">
        <v>16545.0</v>
      </c>
      <c r="CK2370" s="58">
        <v>16560.0</v>
      </c>
      <c r="CL2370" s="58" t="s">
        <v>21491</v>
      </c>
      <c r="CO2370" s="58" t="s">
        <v>21492</v>
      </c>
      <c r="CP2370" s="58" t="s">
        <v>21493</v>
      </c>
      <c r="CR2370" s="58">
        <v>1.0</v>
      </c>
      <c r="CT2370" s="58">
        <v>84.0</v>
      </c>
      <c r="CU2370" s="58" t="s">
        <v>239</v>
      </c>
      <c r="DL2370" s="58" t="s">
        <v>21494</v>
      </c>
    </row>
    <row r="2371" ht="15.75" customHeight="1">
      <c r="B2371" s="58" t="s">
        <v>16392</v>
      </c>
      <c r="C2371" s="58">
        <v>2024.0</v>
      </c>
      <c r="D2371" s="58" t="s">
        <v>21495</v>
      </c>
      <c r="E2371" s="58" t="s">
        <v>21496</v>
      </c>
      <c r="F2371" s="58" t="s">
        <v>16436</v>
      </c>
      <c r="H2371" s="58" t="s">
        <v>16437</v>
      </c>
      <c r="I2371" s="58" t="s">
        <v>21497</v>
      </c>
      <c r="K2371" s="73">
        <v>45394.0</v>
      </c>
      <c r="R2371" s="58">
        <v>12.0</v>
      </c>
      <c r="Z2371" s="58" t="s">
        <v>239</v>
      </c>
      <c r="CH2371" s="58" t="s">
        <v>21498</v>
      </c>
      <c r="CI2371" s="73">
        <v>45400.0</v>
      </c>
      <c r="CJ2371" s="58">
        <v>53373.0</v>
      </c>
      <c r="CK2371" s="58">
        <v>53395.0</v>
      </c>
      <c r="CL2371" s="58" t="s">
        <v>21499</v>
      </c>
      <c r="CO2371" s="58" t="s">
        <v>21500</v>
      </c>
      <c r="CP2371" s="58" t="s">
        <v>21501</v>
      </c>
      <c r="CR2371" s="58">
        <v>1.0</v>
      </c>
      <c r="CT2371" s="58">
        <v>64.0</v>
      </c>
      <c r="CU2371" s="58" t="s">
        <v>16727</v>
      </c>
      <c r="DL2371" s="58" t="s">
        <v>21502</v>
      </c>
    </row>
    <row r="2372" ht="15.75" customHeight="1">
      <c r="B2372" s="58" t="s">
        <v>16392</v>
      </c>
      <c r="C2372" s="58">
        <v>2024.0</v>
      </c>
      <c r="D2372" s="58" t="s">
        <v>21503</v>
      </c>
      <c r="E2372" s="58" t="s">
        <v>21504</v>
      </c>
      <c r="F2372" s="58" t="s">
        <v>17136</v>
      </c>
      <c r="H2372" s="58" t="s">
        <v>17137</v>
      </c>
      <c r="I2372" s="58" t="s">
        <v>21505</v>
      </c>
      <c r="K2372" s="73">
        <v>45317.0</v>
      </c>
      <c r="Q2372" s="58">
        <v>10.0</v>
      </c>
      <c r="R2372" s="58">
        <v>23.0</v>
      </c>
      <c r="Z2372" s="58" t="s">
        <v>239</v>
      </c>
      <c r="CH2372" s="58" t="s">
        <v>21506</v>
      </c>
      <c r="CI2372" s="73">
        <v>45538.0</v>
      </c>
      <c r="CJ2372" s="58">
        <v>9191.0</v>
      </c>
      <c r="CK2372" s="58">
        <v>9207.0</v>
      </c>
      <c r="CL2372" s="58" t="s">
        <v>21507</v>
      </c>
      <c r="CN2372" s="58" t="s">
        <v>21508</v>
      </c>
      <c r="CO2372" s="58" t="s">
        <v>21509</v>
      </c>
      <c r="CP2372" s="58" t="s">
        <v>21510</v>
      </c>
      <c r="CR2372" s="58">
        <v>1.0</v>
      </c>
      <c r="CT2372" s="58">
        <v>57.0</v>
      </c>
      <c r="CU2372" s="58" t="s">
        <v>16423</v>
      </c>
      <c r="DL2372" s="58" t="s">
        <v>21511</v>
      </c>
    </row>
    <row r="2373" ht="15.75" customHeight="1">
      <c r="B2373" s="58" t="s">
        <v>16392</v>
      </c>
      <c r="C2373" s="58">
        <v>2024.0</v>
      </c>
      <c r="D2373" s="58" t="s">
        <v>21512</v>
      </c>
      <c r="E2373" s="58" t="s">
        <v>21513</v>
      </c>
      <c r="F2373" s="58" t="s">
        <v>16436</v>
      </c>
      <c r="H2373" s="58" t="s">
        <v>16437</v>
      </c>
      <c r="I2373" s="58" t="s">
        <v>21514</v>
      </c>
      <c r="K2373" s="73">
        <v>45537.0</v>
      </c>
      <c r="R2373" s="58">
        <v>12.0</v>
      </c>
      <c r="Z2373" s="58" t="s">
        <v>239</v>
      </c>
      <c r="CH2373" s="58" t="s">
        <v>21515</v>
      </c>
      <c r="CI2373" s="73">
        <v>45575.0</v>
      </c>
      <c r="CJ2373" s="58">
        <v>145400.0</v>
      </c>
      <c r="CK2373" s="58">
        <v>145416.0</v>
      </c>
      <c r="CL2373" s="58" t="s">
        <v>21516</v>
      </c>
      <c r="CN2373" s="58" t="s">
        <v>21517</v>
      </c>
      <c r="CO2373" s="58" t="s">
        <v>21518</v>
      </c>
      <c r="CP2373" s="58" t="s">
        <v>21519</v>
      </c>
      <c r="CR2373" s="58">
        <v>1.0</v>
      </c>
      <c r="CT2373" s="58">
        <v>174.0</v>
      </c>
      <c r="CU2373" s="58" t="s">
        <v>16727</v>
      </c>
      <c r="DL2373" s="58" t="s">
        <v>21520</v>
      </c>
    </row>
    <row r="2374" ht="15.75" customHeight="1">
      <c r="B2374" s="58" t="s">
        <v>16392</v>
      </c>
      <c r="C2374" s="58">
        <v>2024.0</v>
      </c>
      <c r="D2374" s="58" t="s">
        <v>21521</v>
      </c>
      <c r="E2374" s="58" t="s">
        <v>21522</v>
      </c>
      <c r="F2374" s="58" t="s">
        <v>16436</v>
      </c>
      <c r="H2374" s="58" t="s">
        <v>16437</v>
      </c>
      <c r="I2374" s="58" t="s">
        <v>21523</v>
      </c>
      <c r="K2374" s="73">
        <v>45540.0</v>
      </c>
      <c r="R2374" s="58">
        <v>12.0</v>
      </c>
      <c r="Z2374" s="58" t="s">
        <v>239</v>
      </c>
      <c r="CH2374" s="58" t="s">
        <v>21524</v>
      </c>
      <c r="CI2374" s="73">
        <v>45552.0</v>
      </c>
      <c r="CJ2374" s="58">
        <v>127294.0</v>
      </c>
      <c r="CK2374" s="58">
        <v>127308.0</v>
      </c>
      <c r="CL2374" s="58" t="s">
        <v>21525</v>
      </c>
      <c r="CN2374" s="58" t="s">
        <v>21526</v>
      </c>
      <c r="CO2374" s="58" t="s">
        <v>21527</v>
      </c>
      <c r="CP2374" s="58" t="s">
        <v>21528</v>
      </c>
      <c r="CR2374" s="58">
        <v>1.0</v>
      </c>
      <c r="CT2374" s="58">
        <v>90.0</v>
      </c>
      <c r="CU2374" s="58" t="s">
        <v>16727</v>
      </c>
      <c r="DL2374" s="58" t="s">
        <v>21529</v>
      </c>
    </row>
    <row r="2375" ht="15.75" customHeight="1">
      <c r="B2375" s="58" t="s">
        <v>16392</v>
      </c>
      <c r="C2375" s="58">
        <v>2023.0</v>
      </c>
      <c r="D2375" s="58" t="s">
        <v>21530</v>
      </c>
      <c r="E2375" s="58" t="s">
        <v>21531</v>
      </c>
      <c r="F2375" s="58" t="s">
        <v>17051</v>
      </c>
      <c r="H2375" s="58" t="s">
        <v>17052</v>
      </c>
      <c r="I2375" s="58" t="s">
        <v>21532</v>
      </c>
      <c r="K2375" s="73">
        <v>45182.0</v>
      </c>
      <c r="Q2375" s="58">
        <v>24.0</v>
      </c>
      <c r="R2375" s="58">
        <v>23.0</v>
      </c>
      <c r="Z2375" s="58" t="s">
        <v>239</v>
      </c>
      <c r="CH2375" s="58" t="s">
        <v>21533</v>
      </c>
      <c r="CI2375" s="73">
        <v>45274.0</v>
      </c>
      <c r="CJ2375" s="58">
        <v>30522.0</v>
      </c>
      <c r="CK2375" s="58">
        <v>30534.0</v>
      </c>
      <c r="CL2375" s="58" t="s">
        <v>21534</v>
      </c>
      <c r="CN2375" s="58" t="s">
        <v>21535</v>
      </c>
      <c r="CO2375" s="58" t="s">
        <v>21536</v>
      </c>
      <c r="CP2375" s="58" t="s">
        <v>21537</v>
      </c>
      <c r="CR2375" s="58">
        <v>1.0</v>
      </c>
      <c r="CT2375" s="58">
        <v>45.0</v>
      </c>
      <c r="CU2375" s="58" t="s">
        <v>16423</v>
      </c>
      <c r="DL2375" s="58" t="s">
        <v>21538</v>
      </c>
    </row>
    <row r="2376" ht="15.75" customHeight="1">
      <c r="B2376" s="58" t="s">
        <v>16392</v>
      </c>
      <c r="C2376" s="58">
        <v>2024.0</v>
      </c>
      <c r="D2376" s="58" t="s">
        <v>21539</v>
      </c>
      <c r="E2376" s="58" t="s">
        <v>21540</v>
      </c>
      <c r="F2376" s="58" t="s">
        <v>16613</v>
      </c>
      <c r="H2376" s="58" t="s">
        <v>16614</v>
      </c>
      <c r="I2376" s="58" t="s">
        <v>21541</v>
      </c>
      <c r="K2376" s="73">
        <v>45579.0</v>
      </c>
      <c r="Q2376" s="58">
        <v>6.0</v>
      </c>
      <c r="R2376" s="58">
        <v>17.0</v>
      </c>
      <c r="Z2376" s="58" t="s">
        <v>239</v>
      </c>
      <c r="CH2376" s="58" t="s">
        <v>21542</v>
      </c>
      <c r="CI2376" s="73">
        <v>45657.0</v>
      </c>
      <c r="CJ2376" s="58">
        <v>4324.0</v>
      </c>
      <c r="CK2376" s="58">
        <v>4339.0</v>
      </c>
      <c r="CL2376" s="58" t="s">
        <v>21543</v>
      </c>
      <c r="CN2376" s="58" t="s">
        <v>21544</v>
      </c>
      <c r="CO2376" s="58" t="s">
        <v>21545</v>
      </c>
      <c r="CP2376" s="58" t="s">
        <v>21546</v>
      </c>
      <c r="CR2376" s="58">
        <v>1.0</v>
      </c>
      <c r="CT2376" s="58">
        <v>49.0</v>
      </c>
      <c r="CU2376" s="58" t="s">
        <v>239</v>
      </c>
      <c r="DL2376" s="58" t="s">
        <v>21547</v>
      </c>
    </row>
    <row r="2377" ht="15.75" customHeight="1">
      <c r="B2377" s="58" t="s">
        <v>16392</v>
      </c>
      <c r="C2377" s="58">
        <v>2024.0</v>
      </c>
      <c r="D2377" s="58" t="s">
        <v>21548</v>
      </c>
      <c r="E2377" s="58" t="s">
        <v>21549</v>
      </c>
      <c r="F2377" s="58" t="s">
        <v>21550</v>
      </c>
      <c r="H2377" s="58" t="s">
        <v>21551</v>
      </c>
      <c r="I2377" s="58" t="s">
        <v>21552</v>
      </c>
      <c r="K2377" s="73">
        <v>45496.0</v>
      </c>
      <c r="Q2377" s="58">
        <v>4.0</v>
      </c>
      <c r="R2377" s="58">
        <v>16.0</v>
      </c>
      <c r="Z2377" s="58" t="s">
        <v>239</v>
      </c>
      <c r="CH2377" s="58" t="s">
        <v>21553</v>
      </c>
      <c r="CI2377" s="73">
        <v>45631.0</v>
      </c>
      <c r="CJ2377" s="58">
        <v>501.0</v>
      </c>
      <c r="CK2377" s="58">
        <v>504.0</v>
      </c>
      <c r="CL2377" s="58" t="s">
        <v>21554</v>
      </c>
      <c r="CN2377" s="58" t="s">
        <v>21555</v>
      </c>
      <c r="CO2377" s="58" t="s">
        <v>21556</v>
      </c>
      <c r="CP2377" s="58" t="s">
        <v>21557</v>
      </c>
      <c r="CR2377" s="58">
        <v>1.0</v>
      </c>
      <c r="CT2377" s="58">
        <v>14.0</v>
      </c>
      <c r="CU2377" s="58" t="s">
        <v>239</v>
      </c>
      <c r="DL2377" s="58" t="s">
        <v>21558</v>
      </c>
    </row>
    <row r="2378" ht="15.75" customHeight="1">
      <c r="B2378" s="58" t="s">
        <v>16392</v>
      </c>
      <c r="C2378" s="58">
        <v>2024.0</v>
      </c>
      <c r="D2378" s="58" t="s">
        <v>4799</v>
      </c>
      <c r="E2378" s="58" t="s">
        <v>21559</v>
      </c>
      <c r="F2378" s="58" t="s">
        <v>16959</v>
      </c>
      <c r="H2378" s="58" t="s">
        <v>16960</v>
      </c>
      <c r="I2378" s="58" t="s">
        <v>21560</v>
      </c>
      <c r="K2378" s="73">
        <v>45461.0</v>
      </c>
      <c r="Q2378" s="58">
        <v>5.0</v>
      </c>
      <c r="R2378" s="58">
        <v>21.0</v>
      </c>
      <c r="Z2378" s="58" t="s">
        <v>239</v>
      </c>
      <c r="CH2378" s="58" t="s">
        <v>21561</v>
      </c>
      <c r="CI2378" s="73">
        <v>45576.0</v>
      </c>
      <c r="CJ2378" s="58">
        <v>5445.0</v>
      </c>
      <c r="CK2378" s="58">
        <v>5463.0</v>
      </c>
      <c r="CL2378" s="58" t="s">
        <v>21562</v>
      </c>
      <c r="CO2378" s="58" t="s">
        <v>21563</v>
      </c>
      <c r="CP2378" s="58" t="s">
        <v>21564</v>
      </c>
      <c r="CR2378" s="58">
        <v>1.0</v>
      </c>
      <c r="CT2378" s="58">
        <v>79.0</v>
      </c>
      <c r="CU2378" s="58" t="s">
        <v>239</v>
      </c>
      <c r="DL2378" s="58" t="s">
        <v>21565</v>
      </c>
    </row>
    <row r="2379" ht="15.75" customHeight="1">
      <c r="B2379" s="58" t="s">
        <v>16392</v>
      </c>
      <c r="C2379" s="58">
        <v>2024.0</v>
      </c>
      <c r="D2379" s="58" t="s">
        <v>21566</v>
      </c>
      <c r="E2379" s="58" t="s">
        <v>21567</v>
      </c>
      <c r="F2379" s="58" t="s">
        <v>16436</v>
      </c>
      <c r="H2379" s="58" t="s">
        <v>16437</v>
      </c>
      <c r="I2379" s="58" t="s">
        <v>21568</v>
      </c>
      <c r="K2379" s="73">
        <v>45597.0</v>
      </c>
      <c r="R2379" s="58">
        <v>12.0</v>
      </c>
      <c r="Z2379" s="58" t="s">
        <v>239</v>
      </c>
      <c r="CH2379" s="58" t="s">
        <v>21569</v>
      </c>
      <c r="CI2379" s="73">
        <v>45611.0</v>
      </c>
      <c r="CJ2379" s="58">
        <v>161649.0</v>
      </c>
      <c r="CK2379" s="58">
        <v>161669.0</v>
      </c>
      <c r="CL2379" s="58" t="s">
        <v>21570</v>
      </c>
      <c r="CN2379" s="58" t="s">
        <v>21571</v>
      </c>
      <c r="CO2379" s="58" t="s">
        <v>21572</v>
      </c>
      <c r="CP2379" s="58" t="s">
        <v>21573</v>
      </c>
      <c r="CT2379" s="58">
        <v>64.0</v>
      </c>
      <c r="CU2379" s="58" t="s">
        <v>16423</v>
      </c>
      <c r="DL2379" s="58" t="s">
        <v>21574</v>
      </c>
    </row>
    <row r="2380" ht="15.75" customHeight="1">
      <c r="B2380" s="58" t="s">
        <v>16392</v>
      </c>
      <c r="C2380" s="58">
        <v>2025.0</v>
      </c>
      <c r="D2380" s="58" t="s">
        <v>21575</v>
      </c>
      <c r="E2380" s="58" t="s">
        <v>21576</v>
      </c>
      <c r="F2380" s="58" t="s">
        <v>16436</v>
      </c>
      <c r="H2380" s="58" t="s">
        <v>16437</v>
      </c>
      <c r="I2380" s="58" t="s">
        <v>21577</v>
      </c>
      <c r="K2380" s="73">
        <v>45649.0</v>
      </c>
      <c r="R2380" s="58">
        <v>13.0</v>
      </c>
      <c r="Z2380" s="58" t="s">
        <v>239</v>
      </c>
      <c r="CH2380" s="58" t="s">
        <v>21578</v>
      </c>
      <c r="CI2380" s="73">
        <v>45659.0</v>
      </c>
      <c r="CJ2380" s="58">
        <v>480.0</v>
      </c>
      <c r="CK2380" s="58">
        <v>494.0</v>
      </c>
      <c r="CL2380" s="58" t="s">
        <v>21579</v>
      </c>
      <c r="CN2380" s="58" t="s">
        <v>21580</v>
      </c>
      <c r="CO2380" s="58" t="s">
        <v>21581</v>
      </c>
      <c r="CP2380" s="58" t="s">
        <v>21582</v>
      </c>
      <c r="CT2380" s="58">
        <v>43.0</v>
      </c>
      <c r="CU2380" s="58" t="s">
        <v>16423</v>
      </c>
      <c r="DL2380" s="58" t="s">
        <v>21583</v>
      </c>
    </row>
    <row r="2381" ht="15.75" customHeight="1">
      <c r="B2381" s="58" t="s">
        <v>16392</v>
      </c>
      <c r="C2381" s="58">
        <v>2023.0</v>
      </c>
      <c r="D2381" s="58" t="s">
        <v>21584</v>
      </c>
      <c r="E2381" s="58" t="s">
        <v>21585</v>
      </c>
      <c r="F2381" s="58" t="s">
        <v>16959</v>
      </c>
      <c r="H2381" s="58" t="s">
        <v>16960</v>
      </c>
      <c r="I2381" s="58" t="s">
        <v>21586</v>
      </c>
      <c r="K2381" s="73">
        <v>44838.0</v>
      </c>
      <c r="Q2381" s="58">
        <v>1.0</v>
      </c>
      <c r="R2381" s="58">
        <v>20.0</v>
      </c>
      <c r="Z2381" s="58" t="s">
        <v>239</v>
      </c>
      <c r="CH2381" s="58" t="s">
        <v>21587</v>
      </c>
      <c r="CI2381" s="73">
        <v>44995.0</v>
      </c>
      <c r="CJ2381" s="58">
        <v>846.0</v>
      </c>
      <c r="CK2381" s="58">
        <v>857.0</v>
      </c>
      <c r="CL2381" s="58" t="s">
        <v>21588</v>
      </c>
      <c r="CN2381" s="58" t="s">
        <v>21589</v>
      </c>
      <c r="CO2381" s="58" t="s">
        <v>21590</v>
      </c>
      <c r="CP2381" s="58" t="s">
        <v>21591</v>
      </c>
      <c r="CT2381" s="58">
        <v>66.0</v>
      </c>
      <c r="CU2381" s="58" t="s">
        <v>239</v>
      </c>
      <c r="DL2381" s="58" t="s">
        <v>21592</v>
      </c>
    </row>
    <row r="2382" ht="15.75" customHeight="1">
      <c r="B2382" s="58" t="s">
        <v>16392</v>
      </c>
      <c r="C2382" s="58">
        <v>2025.0</v>
      </c>
      <c r="D2382" s="58" t="s">
        <v>21593</v>
      </c>
      <c r="E2382" s="58" t="s">
        <v>21594</v>
      </c>
      <c r="F2382" s="58" t="s">
        <v>21255</v>
      </c>
      <c r="H2382" s="58" t="s">
        <v>21256</v>
      </c>
      <c r="I2382" s="58" t="s">
        <v>21595</v>
      </c>
      <c r="K2382" s="73">
        <v>45646.0</v>
      </c>
      <c r="R2382" s="58">
        <v>20.0</v>
      </c>
      <c r="Z2382" s="58" t="s">
        <v>239</v>
      </c>
      <c r="CH2382" s="58" t="s">
        <v>21596</v>
      </c>
      <c r="CI2382" s="73">
        <v>45670.0</v>
      </c>
      <c r="CJ2382" s="58">
        <v>1081.0</v>
      </c>
      <c r="CK2382" s="58">
        <v>1091.0</v>
      </c>
      <c r="CL2382" s="58" t="s">
        <v>21597</v>
      </c>
      <c r="CO2382" s="58" t="s">
        <v>21598</v>
      </c>
      <c r="CP2382" s="58" t="s">
        <v>21599</v>
      </c>
      <c r="CT2382" s="58">
        <v>31.0</v>
      </c>
      <c r="CU2382" s="58" t="s">
        <v>239</v>
      </c>
      <c r="DL2382" s="58" t="s">
        <v>21600</v>
      </c>
    </row>
    <row r="2383" ht="15.75" customHeight="1">
      <c r="B2383" s="58" t="s">
        <v>16392</v>
      </c>
      <c r="C2383" s="58">
        <v>2024.0</v>
      </c>
      <c r="D2383" s="58" t="s">
        <v>21601</v>
      </c>
      <c r="E2383" s="58" t="s">
        <v>21602</v>
      </c>
      <c r="F2383" s="58" t="s">
        <v>21255</v>
      </c>
      <c r="H2383" s="58" t="s">
        <v>21256</v>
      </c>
      <c r="I2383" s="58" t="s">
        <v>21603</v>
      </c>
      <c r="K2383" s="73">
        <v>45530.0</v>
      </c>
      <c r="R2383" s="58">
        <v>19.0</v>
      </c>
      <c r="Z2383" s="58" t="s">
        <v>239</v>
      </c>
      <c r="CH2383" s="58" t="s">
        <v>21604</v>
      </c>
      <c r="CI2383" s="73">
        <v>45551.0</v>
      </c>
      <c r="CJ2383" s="58">
        <v>8204.0</v>
      </c>
      <c r="CK2383" s="58">
        <v>8219.0</v>
      </c>
      <c r="CL2383" s="58" t="s">
        <v>21605</v>
      </c>
      <c r="CN2383" s="58" t="s">
        <v>21606</v>
      </c>
      <c r="CO2383" s="58" t="s">
        <v>21607</v>
      </c>
      <c r="CP2383" s="58" t="s">
        <v>21608</v>
      </c>
      <c r="CT2383" s="58">
        <v>83.0</v>
      </c>
      <c r="CU2383" s="58" t="s">
        <v>239</v>
      </c>
      <c r="DL2383" s="58" t="s">
        <v>21609</v>
      </c>
    </row>
    <row r="2384" ht="15.75" customHeight="1">
      <c r="B2384" s="58" t="s">
        <v>16392</v>
      </c>
      <c r="C2384" s="58">
        <v>2024.0</v>
      </c>
      <c r="D2384" s="58" t="s">
        <v>21610</v>
      </c>
      <c r="E2384" s="58" t="s">
        <v>21611</v>
      </c>
      <c r="F2384" s="58" t="s">
        <v>16436</v>
      </c>
      <c r="H2384" s="58" t="s">
        <v>16437</v>
      </c>
      <c r="I2384" s="58" t="s">
        <v>21612</v>
      </c>
      <c r="K2384" s="73">
        <v>45502.0</v>
      </c>
      <c r="R2384" s="58">
        <v>12.0</v>
      </c>
      <c r="Z2384" s="58" t="s">
        <v>239</v>
      </c>
      <c r="CH2384" s="58" t="s">
        <v>21613</v>
      </c>
      <c r="CI2384" s="73">
        <v>45509.0</v>
      </c>
      <c r="CJ2384" s="58">
        <v>104190.0</v>
      </c>
      <c r="CK2384" s="58">
        <v>104203.0</v>
      </c>
      <c r="CL2384" s="58" t="s">
        <v>21614</v>
      </c>
      <c r="CN2384" s="58" t="s">
        <v>21615</v>
      </c>
      <c r="CO2384" s="58" t="s">
        <v>21616</v>
      </c>
      <c r="CP2384" s="58" t="s">
        <v>21617</v>
      </c>
      <c r="CT2384" s="58">
        <v>42.0</v>
      </c>
      <c r="CU2384" s="58" t="s">
        <v>16727</v>
      </c>
      <c r="DL2384" s="58" t="s">
        <v>21618</v>
      </c>
    </row>
    <row r="2385" ht="15.75" customHeight="1">
      <c r="B2385" s="58" t="s">
        <v>16392</v>
      </c>
      <c r="C2385" s="58">
        <v>2023.0</v>
      </c>
      <c r="D2385" s="58" t="s">
        <v>21619</v>
      </c>
      <c r="E2385" s="58" t="s">
        <v>21620</v>
      </c>
      <c r="F2385" s="58" t="s">
        <v>20272</v>
      </c>
      <c r="H2385" s="58" t="s">
        <v>20273</v>
      </c>
      <c r="I2385" s="58" t="s">
        <v>21621</v>
      </c>
      <c r="K2385" s="73">
        <v>45217.0</v>
      </c>
      <c r="Q2385" s="58">
        <v>4.0</v>
      </c>
      <c r="R2385" s="58">
        <v>17.0</v>
      </c>
      <c r="Z2385" s="58" t="s">
        <v>239</v>
      </c>
      <c r="CH2385" s="58" t="s">
        <v>21622</v>
      </c>
      <c r="CI2385" s="73">
        <v>45272.0</v>
      </c>
      <c r="CJ2385" s="58">
        <v>5511.0</v>
      </c>
      <c r="CK2385" s="58">
        <v>5518.0</v>
      </c>
      <c r="CL2385" s="58" t="s">
        <v>21623</v>
      </c>
      <c r="CO2385" s="58" t="s">
        <v>21624</v>
      </c>
      <c r="CP2385" s="58" t="s">
        <v>21625</v>
      </c>
      <c r="CT2385" s="58">
        <v>31.0</v>
      </c>
      <c r="CU2385" s="58" t="s">
        <v>239</v>
      </c>
      <c r="DL2385" s="58" t="s">
        <v>21626</v>
      </c>
    </row>
    <row r="2386" ht="15.75" customHeight="1">
      <c r="B2386" s="58" t="s">
        <v>16392</v>
      </c>
      <c r="C2386" s="58">
        <v>2024.0</v>
      </c>
      <c r="D2386" s="58" t="s">
        <v>21627</v>
      </c>
      <c r="E2386" s="58" t="s">
        <v>21628</v>
      </c>
      <c r="F2386" s="58" t="s">
        <v>16436</v>
      </c>
      <c r="H2386" s="58" t="s">
        <v>16437</v>
      </c>
      <c r="I2386" s="58" t="s">
        <v>21629</v>
      </c>
      <c r="K2386" s="73">
        <v>45589.0</v>
      </c>
      <c r="R2386" s="58">
        <v>12.0</v>
      </c>
      <c r="Z2386" s="58" t="s">
        <v>239</v>
      </c>
      <c r="CH2386" s="58" t="s">
        <v>21630</v>
      </c>
      <c r="CI2386" s="73">
        <v>45597.0</v>
      </c>
      <c r="CJ2386" s="58">
        <v>157612.0</v>
      </c>
      <c r="CK2386" s="58">
        <v>157629.0</v>
      </c>
      <c r="CL2386" s="58" t="s">
        <v>21631</v>
      </c>
      <c r="CN2386" s="58" t="s">
        <v>21632</v>
      </c>
      <c r="CO2386" s="58" t="s">
        <v>21633</v>
      </c>
      <c r="CP2386" s="58" t="s">
        <v>21634</v>
      </c>
      <c r="CT2386" s="58">
        <v>49.0</v>
      </c>
      <c r="CU2386" s="58" t="s">
        <v>16423</v>
      </c>
      <c r="DL2386" s="58" t="s">
        <v>21635</v>
      </c>
    </row>
    <row r="2387" ht="15.75" customHeight="1">
      <c r="B2387" s="58" t="s">
        <v>16392</v>
      </c>
      <c r="C2387" s="58">
        <v>2025.0</v>
      </c>
      <c r="D2387" s="58" t="s">
        <v>21636</v>
      </c>
      <c r="E2387" s="58" t="s">
        <v>21637</v>
      </c>
      <c r="F2387" s="58" t="s">
        <v>16436</v>
      </c>
      <c r="H2387" s="58" t="s">
        <v>16437</v>
      </c>
      <c r="I2387" s="58" t="s">
        <v>21638</v>
      </c>
      <c r="K2387" s="73">
        <v>45692.0</v>
      </c>
      <c r="R2387" s="58">
        <v>13.0</v>
      </c>
      <c r="Z2387" s="58" t="s">
        <v>239</v>
      </c>
      <c r="CH2387" s="58" t="s">
        <v>21639</v>
      </c>
      <c r="CI2387" s="73">
        <v>45702.0</v>
      </c>
      <c r="CJ2387" s="58">
        <v>27767.0</v>
      </c>
      <c r="CK2387" s="58">
        <v>27782.0</v>
      </c>
      <c r="CL2387" s="58" t="s">
        <v>21640</v>
      </c>
      <c r="CN2387" s="58" t="s">
        <v>21641</v>
      </c>
      <c r="CO2387" s="58" t="s">
        <v>21642</v>
      </c>
      <c r="CP2387" s="58" t="s">
        <v>21643</v>
      </c>
      <c r="CT2387" s="58">
        <v>33.0</v>
      </c>
      <c r="CU2387" s="58" t="s">
        <v>16423</v>
      </c>
      <c r="DL2387" s="58" t="s">
        <v>21644</v>
      </c>
    </row>
    <row r="2388" ht="15.75" customHeight="1">
      <c r="B2388" s="58" t="s">
        <v>16392</v>
      </c>
      <c r="C2388" s="58">
        <v>2024.0</v>
      </c>
      <c r="D2388" s="58" t="s">
        <v>21645</v>
      </c>
      <c r="E2388" s="58" t="s">
        <v>21646</v>
      </c>
      <c r="F2388" s="58" t="s">
        <v>16538</v>
      </c>
      <c r="H2388" s="58" t="s">
        <v>16539</v>
      </c>
      <c r="I2388" s="58" t="s">
        <v>21647</v>
      </c>
      <c r="K2388" s="73">
        <v>45502.0</v>
      </c>
      <c r="Q2388" s="58">
        <v>21.0</v>
      </c>
      <c r="R2388" s="58">
        <v>11.0</v>
      </c>
      <c r="Z2388" s="58" t="s">
        <v>239</v>
      </c>
      <c r="CH2388" s="58" t="s">
        <v>21648</v>
      </c>
      <c r="CI2388" s="73">
        <v>45590.0</v>
      </c>
      <c r="CJ2388" s="58">
        <v>35341.0</v>
      </c>
      <c r="CK2388" s="58">
        <v>35360.0</v>
      </c>
      <c r="CL2388" s="58" t="s">
        <v>21649</v>
      </c>
      <c r="CN2388" s="58" t="s">
        <v>21650</v>
      </c>
      <c r="CO2388" s="58" t="s">
        <v>21651</v>
      </c>
      <c r="CP2388" s="58" t="s">
        <v>21652</v>
      </c>
      <c r="CT2388" s="58">
        <v>39.0</v>
      </c>
      <c r="CU2388" s="58" t="s">
        <v>239</v>
      </c>
      <c r="DL2388" s="58" t="s">
        <v>21653</v>
      </c>
    </row>
    <row r="2389" ht="15.75" customHeight="1">
      <c r="B2389" s="58" t="s">
        <v>19772</v>
      </c>
      <c r="C2389" s="58">
        <v>2022.0</v>
      </c>
      <c r="D2389" s="58" t="s">
        <v>21654</v>
      </c>
      <c r="E2389" s="58" t="s">
        <v>21655</v>
      </c>
      <c r="F2389" s="58" t="s">
        <v>21066</v>
      </c>
      <c r="H2389" s="58" t="s">
        <v>21067</v>
      </c>
      <c r="I2389" s="58" t="s">
        <v>21656</v>
      </c>
      <c r="K2389" s="73">
        <v>45191.0</v>
      </c>
      <c r="Q2389" s="58">
        <v>3.0</v>
      </c>
      <c r="R2389" s="58">
        <v>21.0</v>
      </c>
      <c r="Z2389" s="58" t="s">
        <v>19778</v>
      </c>
      <c r="CH2389" s="58" t="s">
        <v>21657</v>
      </c>
      <c r="CI2389" s="73">
        <v>45191.0</v>
      </c>
      <c r="CJ2389" s="58">
        <v>815.0</v>
      </c>
      <c r="CK2389" s="58">
        <v>844.0</v>
      </c>
      <c r="CL2389" s="58" t="s">
        <v>21658</v>
      </c>
      <c r="CN2389" s="58" t="s">
        <v>21659</v>
      </c>
      <c r="CO2389" s="58" t="s">
        <v>21660</v>
      </c>
      <c r="CP2389" s="58" t="s">
        <v>21661</v>
      </c>
      <c r="CT2389" s="58">
        <v>25.0</v>
      </c>
      <c r="DL2389" s="58" t="s">
        <v>21662</v>
      </c>
    </row>
    <row r="2390" ht="15.75" customHeight="1">
      <c r="B2390" s="58" t="s">
        <v>16392</v>
      </c>
      <c r="C2390" s="58">
        <v>2024.0</v>
      </c>
      <c r="D2390" s="58" t="s">
        <v>21663</v>
      </c>
      <c r="E2390" s="58" t="s">
        <v>21664</v>
      </c>
      <c r="F2390" s="58" t="s">
        <v>16436</v>
      </c>
      <c r="H2390" s="58" t="s">
        <v>16437</v>
      </c>
      <c r="I2390" s="58" t="s">
        <v>21665</v>
      </c>
      <c r="K2390" s="73">
        <v>45560.0</v>
      </c>
      <c r="R2390" s="58">
        <v>12.0</v>
      </c>
      <c r="Z2390" s="58" t="s">
        <v>239</v>
      </c>
      <c r="CH2390" s="58" t="s">
        <v>21666</v>
      </c>
      <c r="CI2390" s="73">
        <v>45582.0</v>
      </c>
      <c r="CJ2390" s="58">
        <v>146527.0</v>
      </c>
      <c r="CK2390" s="58">
        <v>146550.0</v>
      </c>
      <c r="CL2390" s="58" t="s">
        <v>21667</v>
      </c>
      <c r="CN2390" s="58" t="s">
        <v>21668</v>
      </c>
      <c r="CO2390" s="58" t="s">
        <v>21669</v>
      </c>
      <c r="CP2390" s="58" t="s">
        <v>21670</v>
      </c>
      <c r="CT2390" s="58">
        <v>206.0</v>
      </c>
      <c r="CU2390" s="58" t="s">
        <v>16727</v>
      </c>
      <c r="DL2390" s="58" t="s">
        <v>21671</v>
      </c>
    </row>
    <row r="2391" ht="15.75" customHeight="1">
      <c r="B2391" s="58" t="s">
        <v>16392</v>
      </c>
      <c r="C2391" s="58">
        <v>2024.0</v>
      </c>
      <c r="D2391" s="58" t="s">
        <v>21672</v>
      </c>
      <c r="E2391" s="58" t="s">
        <v>21673</v>
      </c>
      <c r="F2391" s="58" t="s">
        <v>16436</v>
      </c>
      <c r="H2391" s="58" t="s">
        <v>16437</v>
      </c>
      <c r="I2391" s="58" t="s">
        <v>21674</v>
      </c>
      <c r="K2391" s="73">
        <v>45551.0</v>
      </c>
      <c r="R2391" s="58">
        <v>12.0</v>
      </c>
      <c r="Z2391" s="58" t="s">
        <v>239</v>
      </c>
      <c r="CH2391" s="58" t="s">
        <v>21675</v>
      </c>
      <c r="CI2391" s="73">
        <v>45572.0</v>
      </c>
      <c r="CJ2391" s="58">
        <v>142838.0</v>
      </c>
      <c r="CK2391" s="58">
        <v>142862.0</v>
      </c>
      <c r="CL2391" s="58" t="s">
        <v>21676</v>
      </c>
      <c r="CN2391" s="58" t="s">
        <v>21677</v>
      </c>
      <c r="CO2391" s="58" t="s">
        <v>21678</v>
      </c>
      <c r="CP2391" s="58" t="s">
        <v>21679</v>
      </c>
      <c r="CT2391" s="58">
        <v>77.0</v>
      </c>
      <c r="CU2391" s="58" t="s">
        <v>16423</v>
      </c>
      <c r="DL2391" s="58" t="s">
        <v>21680</v>
      </c>
    </row>
    <row r="2392" ht="15.75" customHeight="1">
      <c r="B2392" s="58" t="s">
        <v>16392</v>
      </c>
      <c r="C2392" s="58">
        <v>2024.0</v>
      </c>
      <c r="D2392" s="58" t="s">
        <v>21681</v>
      </c>
      <c r="E2392" s="58" t="s">
        <v>21682</v>
      </c>
      <c r="F2392" s="58" t="s">
        <v>16436</v>
      </c>
      <c r="H2392" s="58" t="s">
        <v>16437</v>
      </c>
      <c r="I2392" s="58" t="s">
        <v>21683</v>
      </c>
      <c r="K2392" s="73">
        <v>45637.0</v>
      </c>
      <c r="R2392" s="58">
        <v>12.0</v>
      </c>
      <c r="Z2392" s="58" t="s">
        <v>239</v>
      </c>
      <c r="CH2392" s="58" t="s">
        <v>16989</v>
      </c>
      <c r="CI2392" s="73">
        <v>45643.0</v>
      </c>
      <c r="CJ2392" s="58">
        <v>188572.0</v>
      </c>
      <c r="CK2392" s="58">
        <v>188589.0</v>
      </c>
      <c r="CL2392" s="58" t="s">
        <v>21684</v>
      </c>
      <c r="CO2392" s="58" t="s">
        <v>21685</v>
      </c>
      <c r="CP2392" s="58" t="s">
        <v>21686</v>
      </c>
      <c r="CT2392" s="58">
        <v>101.0</v>
      </c>
      <c r="CU2392" s="58" t="s">
        <v>16423</v>
      </c>
      <c r="DL2392" s="58" t="s">
        <v>21687</v>
      </c>
    </row>
    <row r="2393" ht="15.75" customHeight="1">
      <c r="B2393" s="58" t="s">
        <v>16392</v>
      </c>
      <c r="C2393" s="58">
        <v>2025.0</v>
      </c>
      <c r="D2393" s="58" t="s">
        <v>21688</v>
      </c>
      <c r="E2393" s="58" t="s">
        <v>21689</v>
      </c>
      <c r="F2393" s="58" t="s">
        <v>16436</v>
      </c>
      <c r="H2393" s="58" t="s">
        <v>16437</v>
      </c>
      <c r="I2393" s="58" t="s">
        <v>21690</v>
      </c>
      <c r="K2393" s="73">
        <v>45673.0</v>
      </c>
      <c r="R2393" s="58">
        <v>13.0</v>
      </c>
      <c r="Z2393" s="58" t="s">
        <v>239</v>
      </c>
      <c r="CH2393" s="58" t="s">
        <v>21691</v>
      </c>
      <c r="CI2393" s="73">
        <v>45681.0</v>
      </c>
      <c r="CJ2393" s="58">
        <v>14317.0</v>
      </c>
      <c r="CK2393" s="58">
        <v>14343.0</v>
      </c>
      <c r="CL2393" s="58" t="s">
        <v>21692</v>
      </c>
      <c r="CN2393" s="58" t="s">
        <v>21693</v>
      </c>
      <c r="CO2393" s="58" t="s">
        <v>21694</v>
      </c>
      <c r="CP2393" s="58" t="s">
        <v>21695</v>
      </c>
      <c r="CT2393" s="58">
        <v>162.0</v>
      </c>
      <c r="CU2393" s="58" t="s">
        <v>16423</v>
      </c>
      <c r="DL2393" s="58" t="s">
        <v>21696</v>
      </c>
    </row>
    <row r="2394" ht="15.75" customHeight="1">
      <c r="B2394" s="58" t="s">
        <v>16392</v>
      </c>
      <c r="C2394" s="58">
        <v>2024.0</v>
      </c>
      <c r="D2394" s="58" t="s">
        <v>21697</v>
      </c>
      <c r="E2394" s="58" t="s">
        <v>21698</v>
      </c>
      <c r="F2394" s="58" t="s">
        <v>16436</v>
      </c>
      <c r="H2394" s="58" t="s">
        <v>16437</v>
      </c>
      <c r="I2394" s="58" t="s">
        <v>21699</v>
      </c>
      <c r="K2394" s="73">
        <v>45503.0</v>
      </c>
      <c r="R2394" s="58">
        <v>12.0</v>
      </c>
      <c r="Z2394" s="58" t="s">
        <v>239</v>
      </c>
      <c r="CH2394" s="58" t="s">
        <v>21700</v>
      </c>
      <c r="CI2394" s="73">
        <v>45518.0</v>
      </c>
      <c r="CJ2394" s="58">
        <v>110331.0</v>
      </c>
      <c r="CK2394" s="58">
        <v>110352.0</v>
      </c>
      <c r="CL2394" s="58" t="s">
        <v>21701</v>
      </c>
      <c r="CN2394" s="58" t="s">
        <v>21702</v>
      </c>
      <c r="CO2394" s="58" t="s">
        <v>21703</v>
      </c>
      <c r="CP2394" s="58" t="s">
        <v>21704</v>
      </c>
      <c r="CT2394" s="58">
        <v>29.0</v>
      </c>
      <c r="CU2394" s="58" t="s">
        <v>16727</v>
      </c>
      <c r="DL2394" s="58" t="s">
        <v>21705</v>
      </c>
    </row>
    <row r="2395" ht="15.75" customHeight="1">
      <c r="B2395" s="58" t="s">
        <v>16392</v>
      </c>
      <c r="C2395" s="58">
        <v>2024.0</v>
      </c>
      <c r="D2395" s="58" t="s">
        <v>21706</v>
      </c>
      <c r="E2395" s="58" t="s">
        <v>21707</v>
      </c>
      <c r="F2395" s="58" t="s">
        <v>16436</v>
      </c>
      <c r="H2395" s="58" t="s">
        <v>16437</v>
      </c>
      <c r="I2395" s="58" t="s">
        <v>21708</v>
      </c>
      <c r="K2395" s="73">
        <v>45442.0</v>
      </c>
      <c r="R2395" s="58">
        <v>12.0</v>
      </c>
      <c r="Z2395" s="58" t="s">
        <v>239</v>
      </c>
      <c r="CH2395" s="58" t="s">
        <v>21709</v>
      </c>
      <c r="CI2395" s="73">
        <v>45461.0</v>
      </c>
      <c r="CJ2395" s="58">
        <v>83952.0</v>
      </c>
      <c r="CK2395" s="58">
        <v>83993.0</v>
      </c>
      <c r="CL2395" s="58" t="s">
        <v>21710</v>
      </c>
      <c r="CN2395" s="58" t="s">
        <v>21711</v>
      </c>
      <c r="CO2395" s="58" t="s">
        <v>21712</v>
      </c>
      <c r="CP2395" s="58" t="s">
        <v>21713</v>
      </c>
      <c r="CT2395" s="58">
        <v>252.0</v>
      </c>
      <c r="CU2395" s="58" t="s">
        <v>16727</v>
      </c>
      <c r="DL2395" s="58" t="s">
        <v>21714</v>
      </c>
    </row>
    <row r="2396" ht="15.75" customHeight="1">
      <c r="B2396" s="58" t="s">
        <v>16392</v>
      </c>
      <c r="C2396" s="58">
        <v>2024.0</v>
      </c>
      <c r="D2396" s="58" t="s">
        <v>21715</v>
      </c>
      <c r="E2396" s="58" t="s">
        <v>21716</v>
      </c>
      <c r="F2396" s="58" t="s">
        <v>16436</v>
      </c>
      <c r="H2396" s="58" t="s">
        <v>16437</v>
      </c>
      <c r="I2396" s="58" t="s">
        <v>21717</v>
      </c>
      <c r="K2396" s="73">
        <v>45483.0</v>
      </c>
      <c r="R2396" s="58">
        <v>12.0</v>
      </c>
      <c r="Z2396" s="58" t="s">
        <v>239</v>
      </c>
      <c r="CH2396" s="58" t="s">
        <v>21718</v>
      </c>
      <c r="CI2396" s="73">
        <v>45492.0</v>
      </c>
      <c r="CJ2396" s="58">
        <v>96946.0</v>
      </c>
      <c r="CK2396" s="58">
        <v>96996.0</v>
      </c>
      <c r="CL2396" s="58" t="s">
        <v>21719</v>
      </c>
      <c r="CN2396" s="58" t="s">
        <v>21720</v>
      </c>
      <c r="CO2396" s="58" t="s">
        <v>21721</v>
      </c>
      <c r="CP2396" s="58" t="s">
        <v>21722</v>
      </c>
      <c r="CT2396" s="58">
        <v>371.0</v>
      </c>
      <c r="CU2396" s="58" t="s">
        <v>16727</v>
      </c>
      <c r="DL2396" s="58" t="s">
        <v>21723</v>
      </c>
    </row>
    <row r="2397" ht="15.75" customHeight="1">
      <c r="B2397" s="58" t="s">
        <v>16392</v>
      </c>
      <c r="C2397" s="58">
        <v>2023.0</v>
      </c>
      <c r="D2397" s="58" t="s">
        <v>21724</v>
      </c>
      <c r="E2397" s="58" t="s">
        <v>21725</v>
      </c>
      <c r="F2397" s="58" t="s">
        <v>16538</v>
      </c>
      <c r="H2397" s="58" t="s">
        <v>16539</v>
      </c>
      <c r="I2397" s="58" t="s">
        <v>21726</v>
      </c>
      <c r="K2397" s="73">
        <v>45152.0</v>
      </c>
      <c r="Q2397" s="58">
        <v>24.0</v>
      </c>
      <c r="R2397" s="58">
        <v>10.0</v>
      </c>
      <c r="Z2397" s="58" t="s">
        <v>239</v>
      </c>
      <c r="CH2397" s="58" t="s">
        <v>21727</v>
      </c>
      <c r="CI2397" s="73">
        <v>45271.0</v>
      </c>
      <c r="CJ2397" s="58">
        <v>22341.0</v>
      </c>
      <c r="CK2397" s="58">
        <v>22355.0</v>
      </c>
      <c r="CL2397" s="58" t="s">
        <v>21728</v>
      </c>
      <c r="CN2397" s="58" t="s">
        <v>21729</v>
      </c>
      <c r="CO2397" s="58" t="s">
        <v>21730</v>
      </c>
      <c r="CP2397" s="58" t="s">
        <v>21731</v>
      </c>
      <c r="CT2397" s="58">
        <v>30.0</v>
      </c>
      <c r="CU2397" s="58" t="s">
        <v>239</v>
      </c>
      <c r="DL2397" s="58" t="s">
        <v>21732</v>
      </c>
    </row>
    <row r="2398" ht="15.75" customHeight="1">
      <c r="B2398" s="58" t="s">
        <v>16392</v>
      </c>
      <c r="C2398" s="58">
        <v>2024.0</v>
      </c>
      <c r="D2398" s="58" t="s">
        <v>21733</v>
      </c>
      <c r="E2398" s="58" t="s">
        <v>21734</v>
      </c>
      <c r="F2398" s="58" t="s">
        <v>16436</v>
      </c>
      <c r="H2398" s="58" t="s">
        <v>16437</v>
      </c>
      <c r="I2398" s="58" t="s">
        <v>21735</v>
      </c>
      <c r="K2398" s="73">
        <v>45539.0</v>
      </c>
      <c r="R2398" s="58">
        <v>12.0</v>
      </c>
      <c r="Z2398" s="58" t="s">
        <v>239</v>
      </c>
      <c r="CH2398" s="58" t="s">
        <v>21736</v>
      </c>
      <c r="CI2398" s="73">
        <v>45552.0</v>
      </c>
      <c r="CJ2398" s="58">
        <v>124619.0</v>
      </c>
      <c r="CK2398" s="58">
        <v>124635.0</v>
      </c>
      <c r="CL2398" s="58" t="s">
        <v>21737</v>
      </c>
      <c r="CO2398" s="58" t="s">
        <v>21738</v>
      </c>
      <c r="CP2398" s="58" t="s">
        <v>21739</v>
      </c>
      <c r="CT2398" s="58">
        <v>43.0</v>
      </c>
      <c r="CU2398" s="58" t="s">
        <v>16727</v>
      </c>
      <c r="DL2398" s="58" t="s">
        <v>21740</v>
      </c>
    </row>
    <row r="2399" ht="15.75" customHeight="1">
      <c r="B2399" s="58" t="s">
        <v>16392</v>
      </c>
      <c r="C2399" s="58">
        <v>2024.0</v>
      </c>
      <c r="D2399" s="58" t="s">
        <v>21741</v>
      </c>
      <c r="E2399" s="58" t="s">
        <v>21742</v>
      </c>
      <c r="F2399" s="58" t="s">
        <v>16436</v>
      </c>
      <c r="H2399" s="58" t="s">
        <v>16437</v>
      </c>
      <c r="I2399" s="58" t="s">
        <v>21743</v>
      </c>
      <c r="K2399" s="73">
        <v>45637.0</v>
      </c>
      <c r="R2399" s="58">
        <v>12.0</v>
      </c>
      <c r="Z2399" s="58" t="s">
        <v>239</v>
      </c>
      <c r="CH2399" s="58" t="s">
        <v>21744</v>
      </c>
      <c r="CI2399" s="73">
        <v>45657.0</v>
      </c>
      <c r="CJ2399" s="58">
        <v>197488.0</v>
      </c>
      <c r="CK2399" s="58">
        <v>197515.0</v>
      </c>
      <c r="CL2399" s="58" t="s">
        <v>21745</v>
      </c>
      <c r="CO2399" s="58" t="s">
        <v>21746</v>
      </c>
      <c r="CP2399" s="58" t="s">
        <v>21747</v>
      </c>
      <c r="CT2399" s="58">
        <v>162.0</v>
      </c>
      <c r="CU2399" s="58" t="s">
        <v>16423</v>
      </c>
      <c r="DL2399" s="58" t="s">
        <v>21748</v>
      </c>
    </row>
    <row r="2400" ht="15.75" customHeight="1">
      <c r="B2400" s="58" t="s">
        <v>16392</v>
      </c>
      <c r="C2400" s="58">
        <v>2024.0</v>
      </c>
      <c r="D2400" s="58" t="s">
        <v>21749</v>
      </c>
      <c r="E2400" s="58" t="s">
        <v>21750</v>
      </c>
      <c r="F2400" s="58" t="s">
        <v>17438</v>
      </c>
      <c r="H2400" s="58" t="s">
        <v>17439</v>
      </c>
      <c r="I2400" s="58" t="s">
        <v>21751</v>
      </c>
      <c r="K2400" s="73">
        <v>45422.0</v>
      </c>
      <c r="Q2400" s="58">
        <v>2.0</v>
      </c>
      <c r="R2400" s="58">
        <v>12.0</v>
      </c>
      <c r="Z2400" s="58" t="s">
        <v>239</v>
      </c>
      <c r="CH2400" s="58" t="s">
        <v>21752</v>
      </c>
      <c r="CI2400" s="73">
        <v>45449.0</v>
      </c>
      <c r="CJ2400" s="58">
        <v>762.0</v>
      </c>
      <c r="CK2400" s="58">
        <v>776.0</v>
      </c>
      <c r="CL2400" s="58" t="s">
        <v>21753</v>
      </c>
      <c r="CO2400" s="58" t="s">
        <v>21754</v>
      </c>
      <c r="CP2400" s="58" t="s">
        <v>21755</v>
      </c>
      <c r="CT2400" s="58">
        <v>56.0</v>
      </c>
      <c r="CU2400" s="58" t="s">
        <v>239</v>
      </c>
      <c r="DL2400" s="58" t="s">
        <v>21756</v>
      </c>
    </row>
    <row r="2401" ht="15.75" customHeight="1">
      <c r="B2401" s="58" t="s">
        <v>16392</v>
      </c>
      <c r="C2401" s="58">
        <v>2020.0</v>
      </c>
      <c r="D2401" s="58" t="s">
        <v>21757</v>
      </c>
      <c r="E2401" s="58" t="s">
        <v>21758</v>
      </c>
      <c r="F2401" s="58" t="s">
        <v>16436</v>
      </c>
      <c r="H2401" s="58" t="s">
        <v>16437</v>
      </c>
      <c r="I2401" s="58" t="s">
        <v>21759</v>
      </c>
      <c r="K2401" s="73">
        <v>44138.0</v>
      </c>
      <c r="R2401" s="58">
        <v>8.0</v>
      </c>
      <c r="Z2401" s="58" t="s">
        <v>239</v>
      </c>
      <c r="CH2401" s="58" t="s">
        <v>21760</v>
      </c>
      <c r="CI2401" s="73">
        <v>44153.0</v>
      </c>
      <c r="CJ2401" s="58">
        <v>201781.0</v>
      </c>
      <c r="CK2401" s="58">
        <v>201798.0</v>
      </c>
      <c r="CL2401" s="58" t="s">
        <v>21761</v>
      </c>
      <c r="CN2401" s="58" t="s">
        <v>21762</v>
      </c>
      <c r="CO2401" s="58" t="s">
        <v>21763</v>
      </c>
      <c r="CP2401" s="58" t="s">
        <v>21764</v>
      </c>
      <c r="CT2401" s="58">
        <v>45.0</v>
      </c>
      <c r="CU2401" s="58" t="s">
        <v>16423</v>
      </c>
      <c r="DL2401" s="58" t="s">
        <v>21765</v>
      </c>
    </row>
    <row r="2402" ht="15.75" customHeight="1">
      <c r="B2402" s="58" t="s">
        <v>16392</v>
      </c>
      <c r="C2402" s="58">
        <v>2024.0</v>
      </c>
      <c r="D2402" s="58" t="s">
        <v>21766</v>
      </c>
      <c r="E2402" s="58" t="s">
        <v>21767</v>
      </c>
      <c r="F2402" s="58" t="s">
        <v>16613</v>
      </c>
      <c r="H2402" s="58" t="s">
        <v>16614</v>
      </c>
      <c r="I2402" s="58" t="s">
        <v>21768</v>
      </c>
      <c r="K2402" s="73">
        <v>45498.0</v>
      </c>
      <c r="Q2402" s="58">
        <v>6.0</v>
      </c>
      <c r="R2402" s="58">
        <v>17.0</v>
      </c>
      <c r="Z2402" s="58" t="s">
        <v>239</v>
      </c>
      <c r="CH2402" s="58" t="s">
        <v>21769</v>
      </c>
      <c r="CI2402" s="73">
        <v>45657.0</v>
      </c>
      <c r="CJ2402" s="58">
        <v>3971.0</v>
      </c>
      <c r="CK2402" s="58">
        <v>3984.0</v>
      </c>
      <c r="CL2402" s="58" t="s">
        <v>21770</v>
      </c>
      <c r="CN2402" s="58" t="s">
        <v>21771</v>
      </c>
      <c r="CO2402" s="58" t="s">
        <v>21772</v>
      </c>
      <c r="CP2402" s="58" t="s">
        <v>21773</v>
      </c>
      <c r="CT2402" s="58">
        <v>52.0</v>
      </c>
      <c r="CU2402" s="58" t="s">
        <v>239</v>
      </c>
      <c r="DL2402" s="58" t="s">
        <v>21774</v>
      </c>
    </row>
    <row r="2403" ht="15.75" customHeight="1">
      <c r="B2403" s="58" t="s">
        <v>16392</v>
      </c>
      <c r="C2403" s="58">
        <v>2024.0</v>
      </c>
      <c r="D2403" s="58" t="s">
        <v>21775</v>
      </c>
      <c r="E2403" s="58" t="s">
        <v>21776</v>
      </c>
      <c r="F2403" s="58" t="s">
        <v>16959</v>
      </c>
      <c r="H2403" s="58" t="s">
        <v>16960</v>
      </c>
      <c r="I2403" s="58" t="s">
        <v>21777</v>
      </c>
      <c r="K2403" s="73">
        <v>45552.0</v>
      </c>
      <c r="Q2403" s="58">
        <v>6.0</v>
      </c>
      <c r="R2403" s="58">
        <v>21.0</v>
      </c>
      <c r="Z2403" s="58" t="s">
        <v>239</v>
      </c>
      <c r="CH2403" s="58" t="s">
        <v>21778</v>
      </c>
      <c r="CI2403" s="73">
        <v>45645.0</v>
      </c>
      <c r="CJ2403" s="58">
        <v>6437.0</v>
      </c>
      <c r="CK2403" s="58">
        <v>6450.0</v>
      </c>
      <c r="CL2403" s="58" t="s">
        <v>21779</v>
      </c>
      <c r="CN2403" s="58" t="s">
        <v>21780</v>
      </c>
      <c r="CO2403" s="58" t="s">
        <v>21781</v>
      </c>
      <c r="CP2403" s="58" t="s">
        <v>21782</v>
      </c>
      <c r="CT2403" s="58">
        <v>46.0</v>
      </c>
      <c r="CU2403" s="58" t="s">
        <v>239</v>
      </c>
      <c r="DL2403" s="58" t="s">
        <v>21783</v>
      </c>
    </row>
    <row r="2404" ht="15.75" customHeight="1">
      <c r="B2404" s="58" t="s">
        <v>16392</v>
      </c>
      <c r="C2404" s="58">
        <v>2025.0</v>
      </c>
      <c r="D2404" s="58" t="s">
        <v>21784</v>
      </c>
      <c r="E2404" s="58" t="s">
        <v>21785</v>
      </c>
      <c r="F2404" s="58" t="s">
        <v>21786</v>
      </c>
      <c r="H2404" s="58" t="s">
        <v>21787</v>
      </c>
      <c r="I2404" s="58" t="s">
        <v>21788</v>
      </c>
      <c r="K2404" s="73">
        <v>45656.0</v>
      </c>
      <c r="R2404" s="58">
        <v>6.0</v>
      </c>
      <c r="Z2404" s="58" t="s">
        <v>239</v>
      </c>
      <c r="CH2404" s="58" t="s">
        <v>21789</v>
      </c>
      <c r="CI2404" s="73">
        <v>45692.0</v>
      </c>
      <c r="CJ2404" s="58">
        <v>442.0</v>
      </c>
      <c r="CK2404" s="58">
        <v>454.0</v>
      </c>
      <c r="CL2404" s="58" t="s">
        <v>21790</v>
      </c>
      <c r="CO2404" s="58" t="s">
        <v>21791</v>
      </c>
      <c r="CP2404" s="58" t="s">
        <v>21792</v>
      </c>
      <c r="CT2404" s="58">
        <v>118.0</v>
      </c>
      <c r="CU2404" s="58" t="s">
        <v>16423</v>
      </c>
      <c r="DL2404" s="58" t="s">
        <v>21793</v>
      </c>
    </row>
    <row r="2405" ht="15.75" customHeight="1">
      <c r="B2405" s="58" t="s">
        <v>16392</v>
      </c>
      <c r="C2405" s="58">
        <v>2024.0</v>
      </c>
      <c r="D2405" s="58" t="s">
        <v>21794</v>
      </c>
      <c r="E2405" s="58" t="s">
        <v>21795</v>
      </c>
      <c r="F2405" s="58" t="s">
        <v>16436</v>
      </c>
      <c r="H2405" s="58" t="s">
        <v>16437</v>
      </c>
      <c r="I2405" s="58" t="s">
        <v>21796</v>
      </c>
      <c r="K2405" s="73">
        <v>45622.0</v>
      </c>
      <c r="R2405" s="58">
        <v>12.0</v>
      </c>
      <c r="Z2405" s="58" t="s">
        <v>239</v>
      </c>
      <c r="CH2405" s="58" t="s">
        <v>21797</v>
      </c>
      <c r="CI2405" s="73">
        <v>45631.0</v>
      </c>
      <c r="CJ2405" s="58">
        <v>179962.0</v>
      </c>
      <c r="CK2405" s="58">
        <v>179980.0</v>
      </c>
      <c r="CL2405" s="58" t="s">
        <v>21798</v>
      </c>
      <c r="CN2405" s="58" t="s">
        <v>21799</v>
      </c>
      <c r="CO2405" s="58" t="s">
        <v>21800</v>
      </c>
      <c r="CP2405" s="58" t="s">
        <v>21801</v>
      </c>
      <c r="CT2405" s="58">
        <v>40.0</v>
      </c>
      <c r="CU2405" s="58" t="s">
        <v>16423</v>
      </c>
      <c r="DL2405" s="58" t="s">
        <v>21802</v>
      </c>
    </row>
    <row r="2406" ht="15.75" customHeight="1">
      <c r="B2406" s="58" t="s">
        <v>16392</v>
      </c>
      <c r="C2406" s="58">
        <v>2024.0</v>
      </c>
      <c r="D2406" s="58" t="s">
        <v>21803</v>
      </c>
      <c r="E2406" s="58" t="s">
        <v>21804</v>
      </c>
      <c r="F2406" s="58" t="s">
        <v>16436</v>
      </c>
      <c r="H2406" s="58" t="s">
        <v>16437</v>
      </c>
      <c r="I2406" s="58" t="s">
        <v>21805</v>
      </c>
      <c r="K2406" s="73">
        <v>45469.0</v>
      </c>
      <c r="R2406" s="58">
        <v>12.0</v>
      </c>
      <c r="Z2406" s="58" t="s">
        <v>239</v>
      </c>
      <c r="CH2406" s="58" t="s">
        <v>21806</v>
      </c>
      <c r="CI2406" s="73">
        <v>45475.0</v>
      </c>
      <c r="CJ2406" s="58">
        <v>89405.0</v>
      </c>
      <c r="CK2406" s="58">
        <v>89417.0</v>
      </c>
      <c r="CL2406" s="58" t="s">
        <v>21807</v>
      </c>
      <c r="CN2406" s="58" t="s">
        <v>21808</v>
      </c>
      <c r="CO2406" s="58" t="s">
        <v>21809</v>
      </c>
      <c r="CP2406" s="58" t="s">
        <v>21810</v>
      </c>
      <c r="CT2406" s="58">
        <v>38.0</v>
      </c>
      <c r="CU2406" s="58" t="s">
        <v>16423</v>
      </c>
      <c r="DL2406" s="58" t="s">
        <v>21811</v>
      </c>
    </row>
    <row r="2407" ht="15.75" customHeight="1">
      <c r="B2407" s="58" t="s">
        <v>16392</v>
      </c>
      <c r="C2407" s="58">
        <v>2024.0</v>
      </c>
      <c r="D2407" s="58" t="s">
        <v>21812</v>
      </c>
      <c r="E2407" s="58" t="s">
        <v>21813</v>
      </c>
      <c r="F2407" s="58" t="s">
        <v>16613</v>
      </c>
      <c r="H2407" s="58" t="s">
        <v>16614</v>
      </c>
      <c r="I2407" s="58" t="s">
        <v>21814</v>
      </c>
      <c r="K2407" s="73">
        <v>45532.0</v>
      </c>
      <c r="Q2407" s="58">
        <v>6.0</v>
      </c>
      <c r="R2407" s="58">
        <v>17.0</v>
      </c>
      <c r="Z2407" s="58" t="s">
        <v>239</v>
      </c>
      <c r="CH2407" s="58" t="s">
        <v>21815</v>
      </c>
      <c r="CI2407" s="73">
        <v>45657.0</v>
      </c>
      <c r="CJ2407" s="58">
        <v>3985.0</v>
      </c>
      <c r="CK2407" s="58">
        <v>3998.0</v>
      </c>
      <c r="CL2407" s="58" t="s">
        <v>21816</v>
      </c>
      <c r="CN2407" s="58" t="s">
        <v>21817</v>
      </c>
      <c r="CO2407" s="58" t="s">
        <v>21818</v>
      </c>
      <c r="CP2407" s="58" t="s">
        <v>21819</v>
      </c>
      <c r="CT2407" s="58">
        <v>45.0</v>
      </c>
      <c r="CU2407" s="58" t="s">
        <v>239</v>
      </c>
      <c r="DL2407" s="58" t="s">
        <v>21820</v>
      </c>
    </row>
    <row r="2408" ht="15.75" customHeight="1">
      <c r="B2408" s="58" t="s">
        <v>16392</v>
      </c>
      <c r="C2408" s="58">
        <v>2024.0</v>
      </c>
      <c r="D2408" s="58" t="s">
        <v>21821</v>
      </c>
      <c r="E2408" s="58" t="s">
        <v>21822</v>
      </c>
      <c r="F2408" s="58" t="s">
        <v>16436</v>
      </c>
      <c r="H2408" s="58" t="s">
        <v>16437</v>
      </c>
      <c r="I2408" s="58" t="s">
        <v>21823</v>
      </c>
      <c r="K2408" s="73">
        <v>45525.0</v>
      </c>
      <c r="R2408" s="58">
        <v>12.0</v>
      </c>
      <c r="Z2408" s="58" t="s">
        <v>239</v>
      </c>
      <c r="CH2408" s="58" t="s">
        <v>21824</v>
      </c>
      <c r="CI2408" s="73">
        <v>45533.0</v>
      </c>
      <c r="CJ2408" s="58">
        <v>116917.0</v>
      </c>
      <c r="CK2408" s="58">
        <v>116938.0</v>
      </c>
      <c r="CL2408" s="58" t="s">
        <v>21825</v>
      </c>
      <c r="CN2408" s="58" t="s">
        <v>21826</v>
      </c>
      <c r="CO2408" s="58" t="s">
        <v>21827</v>
      </c>
      <c r="CP2408" s="58" t="s">
        <v>21828</v>
      </c>
      <c r="CT2408" s="58">
        <v>86.0</v>
      </c>
      <c r="CU2408" s="58" t="s">
        <v>16423</v>
      </c>
      <c r="DL2408" s="58" t="s">
        <v>21829</v>
      </c>
    </row>
    <row r="2409" ht="15.75" customHeight="1">
      <c r="B2409" s="58" t="s">
        <v>21207</v>
      </c>
      <c r="C2409" s="58">
        <v>2024.0</v>
      </c>
      <c r="D2409" s="58" t="s">
        <v>21830</v>
      </c>
      <c r="E2409" s="58" t="s">
        <v>21831</v>
      </c>
      <c r="F2409" s="58" t="s">
        <v>21210</v>
      </c>
      <c r="H2409" s="58" t="s">
        <v>21211</v>
      </c>
      <c r="I2409" s="58" t="s">
        <v>21832</v>
      </c>
      <c r="K2409" s="73">
        <v>45616.0</v>
      </c>
      <c r="Q2409" s="58">
        <v>6.0</v>
      </c>
      <c r="R2409" s="58">
        <v>26.0</v>
      </c>
      <c r="Z2409" s="58" t="s">
        <v>21213</v>
      </c>
      <c r="CH2409" s="58" t="s">
        <v>21833</v>
      </c>
      <c r="CI2409" s="73">
        <v>45665.0</v>
      </c>
      <c r="CJ2409" s="58">
        <v>666.0</v>
      </c>
      <c r="CK2409" s="58">
        <v>678.0</v>
      </c>
      <c r="CL2409" s="58" t="s">
        <v>21834</v>
      </c>
      <c r="CO2409" s="58" t="s">
        <v>21835</v>
      </c>
      <c r="CP2409" s="58" t="s">
        <v>21836</v>
      </c>
      <c r="DL2409" s="58" t="s">
        <v>21837</v>
      </c>
    </row>
    <row r="2410" ht="15.75" customHeight="1">
      <c r="B2410" s="58" t="s">
        <v>16392</v>
      </c>
      <c r="C2410" s="58">
        <v>2023.0</v>
      </c>
      <c r="D2410" s="58" t="s">
        <v>21838</v>
      </c>
      <c r="E2410" s="58" t="s">
        <v>21839</v>
      </c>
      <c r="F2410" s="58" t="s">
        <v>16959</v>
      </c>
      <c r="H2410" s="58" t="s">
        <v>16960</v>
      </c>
      <c r="I2410" s="58" t="s">
        <v>21840</v>
      </c>
      <c r="K2410" s="73">
        <v>44951.0</v>
      </c>
      <c r="Q2410" s="58">
        <v>3.0</v>
      </c>
      <c r="R2410" s="58">
        <v>20.0</v>
      </c>
      <c r="Z2410" s="58" t="s">
        <v>239</v>
      </c>
      <c r="CH2410" s="58" t="s">
        <v>21841</v>
      </c>
      <c r="CI2410" s="73">
        <v>45208.0</v>
      </c>
      <c r="CJ2410" s="58">
        <v>3190.0</v>
      </c>
      <c r="CK2410" s="58">
        <v>3204.0</v>
      </c>
      <c r="CL2410" s="58" t="s">
        <v>21842</v>
      </c>
      <c r="CN2410" s="58" t="s">
        <v>21843</v>
      </c>
      <c r="CO2410" s="58" t="s">
        <v>21844</v>
      </c>
      <c r="CP2410" s="58" t="s">
        <v>21845</v>
      </c>
      <c r="CT2410" s="58">
        <v>67.0</v>
      </c>
      <c r="CU2410" s="58" t="s">
        <v>239</v>
      </c>
      <c r="DL2410" s="58" t="s">
        <v>21846</v>
      </c>
    </row>
    <row r="2411" ht="15.75" customHeight="1">
      <c r="B2411" s="58" t="s">
        <v>16392</v>
      </c>
      <c r="C2411" s="58">
        <v>2024.0</v>
      </c>
      <c r="D2411" s="58" t="s">
        <v>21847</v>
      </c>
      <c r="E2411" s="58" t="s">
        <v>21848</v>
      </c>
      <c r="F2411" s="58" t="s">
        <v>21849</v>
      </c>
      <c r="H2411" s="58" t="s">
        <v>21850</v>
      </c>
      <c r="I2411" s="58" t="s">
        <v>21851</v>
      </c>
      <c r="K2411" s="73">
        <v>45510.0</v>
      </c>
      <c r="Q2411" s="58">
        <v>5.0</v>
      </c>
      <c r="R2411" s="58">
        <v>10.0</v>
      </c>
      <c r="Z2411" s="58" t="s">
        <v>239</v>
      </c>
      <c r="CH2411" s="58" t="s">
        <v>21852</v>
      </c>
      <c r="CI2411" s="73">
        <v>45572.0</v>
      </c>
      <c r="CJ2411" s="58">
        <v>1635.0</v>
      </c>
      <c r="CK2411" s="58">
        <v>1649.0</v>
      </c>
      <c r="CL2411" s="58" t="s">
        <v>21853</v>
      </c>
      <c r="CN2411" s="58" t="s">
        <v>21854</v>
      </c>
      <c r="CO2411" s="58" t="s">
        <v>21855</v>
      </c>
      <c r="CP2411" s="58" t="s">
        <v>21856</v>
      </c>
      <c r="CT2411" s="58">
        <v>34.0</v>
      </c>
      <c r="CU2411" s="58" t="s">
        <v>239</v>
      </c>
      <c r="DL2411" s="58" t="s">
        <v>21857</v>
      </c>
    </row>
    <row r="2412" ht="15.75" customHeight="1">
      <c r="B2412" s="58" t="s">
        <v>16392</v>
      </c>
      <c r="C2412" s="58">
        <v>2024.0</v>
      </c>
      <c r="D2412" s="58" t="s">
        <v>21858</v>
      </c>
      <c r="E2412" s="58" t="s">
        <v>21859</v>
      </c>
      <c r="F2412" s="58" t="s">
        <v>16436</v>
      </c>
      <c r="H2412" s="58" t="s">
        <v>16437</v>
      </c>
      <c r="I2412" s="58" t="s">
        <v>21860</v>
      </c>
      <c r="K2412" s="73">
        <v>45415.0</v>
      </c>
      <c r="R2412" s="58">
        <v>12.0</v>
      </c>
      <c r="Z2412" s="58" t="s">
        <v>239</v>
      </c>
      <c r="CH2412" s="58" t="s">
        <v>21861</v>
      </c>
      <c r="CI2412" s="73">
        <v>45422.0</v>
      </c>
      <c r="CJ2412" s="58">
        <v>65166.0</v>
      </c>
      <c r="CK2412" s="58">
        <v>65177.0</v>
      </c>
      <c r="CL2412" s="58" t="s">
        <v>21862</v>
      </c>
      <c r="CN2412" s="58" t="s">
        <v>21863</v>
      </c>
      <c r="CO2412" s="58" t="s">
        <v>21864</v>
      </c>
      <c r="CP2412" s="58" t="s">
        <v>21865</v>
      </c>
      <c r="CT2412" s="58">
        <v>32.0</v>
      </c>
      <c r="CU2412" s="58" t="s">
        <v>16727</v>
      </c>
      <c r="DL2412" s="58" t="s">
        <v>21866</v>
      </c>
    </row>
    <row r="2413" ht="15.75" customHeight="1">
      <c r="B2413" s="58" t="s">
        <v>16392</v>
      </c>
      <c r="C2413" s="58">
        <v>2024.0</v>
      </c>
      <c r="D2413" s="58" t="s">
        <v>21867</v>
      </c>
      <c r="E2413" s="58" t="s">
        <v>21868</v>
      </c>
      <c r="F2413" s="58" t="s">
        <v>16436</v>
      </c>
      <c r="H2413" s="58" t="s">
        <v>16437</v>
      </c>
      <c r="I2413" s="58" t="s">
        <v>21869</v>
      </c>
      <c r="K2413" s="73">
        <v>45593.0</v>
      </c>
      <c r="R2413" s="58">
        <v>12.0</v>
      </c>
      <c r="Z2413" s="58" t="s">
        <v>239</v>
      </c>
      <c r="CH2413" s="58" t="s">
        <v>21870</v>
      </c>
      <c r="CI2413" s="73">
        <v>45597.0</v>
      </c>
      <c r="CJ2413" s="58">
        <v>157924.0</v>
      </c>
      <c r="CK2413" s="58">
        <v>157944.0</v>
      </c>
      <c r="CL2413" s="58" t="s">
        <v>21871</v>
      </c>
      <c r="CO2413" s="58" t="s">
        <v>21872</v>
      </c>
      <c r="CP2413" s="58" t="s">
        <v>21873</v>
      </c>
      <c r="CT2413" s="58">
        <v>44.0</v>
      </c>
      <c r="CU2413" s="58" t="s">
        <v>16727</v>
      </c>
      <c r="DL2413" s="58" t="s">
        <v>21874</v>
      </c>
    </row>
    <row r="2414" ht="15.75" customHeight="1">
      <c r="B2414" s="58" t="s">
        <v>16392</v>
      </c>
      <c r="C2414" s="58">
        <v>2024.0</v>
      </c>
      <c r="D2414" s="58" t="s">
        <v>21875</v>
      </c>
      <c r="E2414" s="58" t="s">
        <v>21876</v>
      </c>
      <c r="F2414" s="58" t="s">
        <v>16436</v>
      </c>
      <c r="H2414" s="58" t="s">
        <v>16437</v>
      </c>
      <c r="I2414" s="58" t="s">
        <v>21877</v>
      </c>
      <c r="K2414" s="73">
        <v>45614.0</v>
      </c>
      <c r="R2414" s="58">
        <v>12.0</v>
      </c>
      <c r="Z2414" s="58" t="s">
        <v>239</v>
      </c>
      <c r="CH2414" s="58" t="s">
        <v>21878</v>
      </c>
      <c r="CI2414" s="73">
        <v>45618.0</v>
      </c>
      <c r="CJ2414" s="58">
        <v>172125.0</v>
      </c>
      <c r="CK2414" s="58">
        <v>172148.0</v>
      </c>
      <c r="CL2414" s="58" t="s">
        <v>21879</v>
      </c>
      <c r="CO2414" s="58" t="s">
        <v>21880</v>
      </c>
      <c r="CP2414" s="58" t="s">
        <v>21881</v>
      </c>
      <c r="CT2414" s="58">
        <v>79.0</v>
      </c>
      <c r="CU2414" s="58" t="s">
        <v>16423</v>
      </c>
      <c r="DL2414" s="58" t="s">
        <v>21882</v>
      </c>
    </row>
    <row r="2415" ht="15.75" customHeight="1">
      <c r="B2415" s="58" t="s">
        <v>16392</v>
      </c>
      <c r="C2415" s="58">
        <v>2025.0</v>
      </c>
      <c r="D2415" s="58" t="s">
        <v>21883</v>
      </c>
      <c r="E2415" s="58" t="s">
        <v>21884</v>
      </c>
      <c r="F2415" s="58" t="s">
        <v>16493</v>
      </c>
      <c r="H2415" s="58" t="s">
        <v>16494</v>
      </c>
      <c r="I2415" s="58" t="s">
        <v>21885</v>
      </c>
      <c r="K2415" s="73">
        <v>45684.0</v>
      </c>
      <c r="R2415" s="58">
        <v>6.0</v>
      </c>
      <c r="Z2415" s="58" t="s">
        <v>239</v>
      </c>
      <c r="CH2415" s="58" t="s">
        <v>21886</v>
      </c>
      <c r="CI2415" s="73">
        <v>45714.0</v>
      </c>
      <c r="CJ2415" s="58">
        <v>1372.0</v>
      </c>
      <c r="CK2415" s="58">
        <v>1412.0</v>
      </c>
      <c r="CL2415" s="58" t="s">
        <v>21887</v>
      </c>
      <c r="CN2415" s="58" t="s">
        <v>21888</v>
      </c>
      <c r="CO2415" s="58" t="s">
        <v>21889</v>
      </c>
      <c r="CP2415" s="58" t="s">
        <v>21890</v>
      </c>
      <c r="CT2415" s="58">
        <v>237.0</v>
      </c>
      <c r="CU2415" s="58" t="s">
        <v>16423</v>
      </c>
      <c r="DL2415" s="58" t="s">
        <v>21891</v>
      </c>
    </row>
    <row r="2416" ht="15.75" customHeight="1">
      <c r="B2416" s="58" t="s">
        <v>16392</v>
      </c>
      <c r="C2416" s="58">
        <v>2024.0</v>
      </c>
      <c r="D2416" s="58" t="s">
        <v>21892</v>
      </c>
      <c r="E2416" s="58" t="s">
        <v>21893</v>
      </c>
      <c r="F2416" s="58" t="s">
        <v>16436</v>
      </c>
      <c r="H2416" s="58" t="s">
        <v>16437</v>
      </c>
      <c r="I2416" s="58" t="s">
        <v>21894</v>
      </c>
      <c r="K2416" s="73">
        <v>45509.0</v>
      </c>
      <c r="R2416" s="58">
        <v>12.0</v>
      </c>
      <c r="Z2416" s="58" t="s">
        <v>239</v>
      </c>
      <c r="CH2416" s="58" t="s">
        <v>21895</v>
      </c>
      <c r="CI2416" s="73">
        <v>45544.0</v>
      </c>
      <c r="CJ2416" s="58">
        <v>122878.0</v>
      </c>
      <c r="CK2416" s="58">
        <v>122887.0</v>
      </c>
      <c r="CL2416" s="58" t="s">
        <v>21896</v>
      </c>
      <c r="CO2416" s="58" t="s">
        <v>21897</v>
      </c>
      <c r="CP2416" s="58" t="s">
        <v>21898</v>
      </c>
      <c r="CT2416" s="58">
        <v>23.0</v>
      </c>
      <c r="CU2416" s="58" t="s">
        <v>16727</v>
      </c>
      <c r="DL2416" s="58" t="s">
        <v>21899</v>
      </c>
    </row>
    <row r="2417" ht="15.75" customHeight="1">
      <c r="B2417" s="58" t="s">
        <v>16392</v>
      </c>
      <c r="C2417" s="58">
        <v>2024.0</v>
      </c>
      <c r="D2417" s="58" t="s">
        <v>21900</v>
      </c>
      <c r="E2417" s="58" t="s">
        <v>21901</v>
      </c>
      <c r="F2417" s="58" t="s">
        <v>16436</v>
      </c>
      <c r="H2417" s="58" t="s">
        <v>16437</v>
      </c>
      <c r="I2417" s="58" t="s">
        <v>21902</v>
      </c>
      <c r="K2417" s="73">
        <v>45572.0</v>
      </c>
      <c r="R2417" s="58">
        <v>12.0</v>
      </c>
      <c r="Z2417" s="58" t="s">
        <v>239</v>
      </c>
      <c r="CH2417" s="58" t="s">
        <v>21903</v>
      </c>
      <c r="CI2417" s="73">
        <v>45583.0</v>
      </c>
      <c r="CJ2417" s="58">
        <v>147784.0</v>
      </c>
      <c r="CK2417" s="58">
        <v>147797.0</v>
      </c>
      <c r="CL2417" s="58" t="s">
        <v>21904</v>
      </c>
      <c r="CN2417" s="58" t="s">
        <v>21905</v>
      </c>
      <c r="CO2417" s="58" t="s">
        <v>21906</v>
      </c>
      <c r="CP2417" s="58" t="s">
        <v>21907</v>
      </c>
      <c r="CT2417" s="58">
        <v>35.0</v>
      </c>
      <c r="CU2417" s="58" t="s">
        <v>16727</v>
      </c>
      <c r="DL2417" s="58" t="s">
        <v>21908</v>
      </c>
    </row>
    <row r="2418" ht="15.75" customHeight="1">
      <c r="B2418" s="58" t="s">
        <v>16392</v>
      </c>
      <c r="C2418" s="58">
        <v>2024.0</v>
      </c>
      <c r="D2418" s="58" t="s">
        <v>21909</v>
      </c>
      <c r="E2418" s="58" t="s">
        <v>21910</v>
      </c>
      <c r="F2418" s="58" t="s">
        <v>20272</v>
      </c>
      <c r="H2418" s="58" t="s">
        <v>20273</v>
      </c>
      <c r="I2418" s="58" t="s">
        <v>21911</v>
      </c>
      <c r="K2418" s="73">
        <v>45415.0</v>
      </c>
      <c r="Q2418" s="58">
        <v>2.0</v>
      </c>
      <c r="R2418" s="58">
        <v>18.0</v>
      </c>
      <c r="Z2418" s="58" t="s">
        <v>239</v>
      </c>
      <c r="CH2418" s="58" t="s">
        <v>21912</v>
      </c>
      <c r="CI2418" s="73">
        <v>45463.0</v>
      </c>
      <c r="CJ2418" s="58">
        <v>1447.0</v>
      </c>
      <c r="CK2418" s="58">
        <v>1458.0</v>
      </c>
      <c r="CL2418" s="58" t="s">
        <v>21913</v>
      </c>
      <c r="CN2418" s="58" t="s">
        <v>21914</v>
      </c>
      <c r="CO2418" s="58" t="s">
        <v>21915</v>
      </c>
      <c r="CP2418" s="58" t="s">
        <v>21916</v>
      </c>
      <c r="CT2418" s="58">
        <v>51.0</v>
      </c>
      <c r="CU2418" s="58" t="s">
        <v>16727</v>
      </c>
      <c r="DL2418" s="58" t="s">
        <v>21917</v>
      </c>
    </row>
    <row r="2419" ht="15.75" customHeight="1">
      <c r="B2419" s="58" t="s">
        <v>16392</v>
      </c>
      <c r="C2419" s="58">
        <v>2023.0</v>
      </c>
      <c r="D2419" s="58" t="s">
        <v>21918</v>
      </c>
      <c r="E2419" s="58" t="s">
        <v>21919</v>
      </c>
      <c r="F2419" s="58" t="s">
        <v>16415</v>
      </c>
      <c r="H2419" s="58" t="s">
        <v>16416</v>
      </c>
      <c r="I2419" s="58" t="s">
        <v>21920</v>
      </c>
      <c r="K2419" s="73">
        <v>45251.0</v>
      </c>
      <c r="Q2419" s="58">
        <v>12.0</v>
      </c>
      <c r="R2419" s="58">
        <v>111.0</v>
      </c>
      <c r="Z2419" s="58" t="s">
        <v>239</v>
      </c>
      <c r="CH2419" s="58" t="s">
        <v>21921</v>
      </c>
      <c r="CI2419" s="73">
        <v>45278.0</v>
      </c>
      <c r="CJ2419" s="58">
        <v>1548.0</v>
      </c>
      <c r="CK2419" s="58">
        <v>1571.0</v>
      </c>
      <c r="CL2419" s="58" t="s">
        <v>21922</v>
      </c>
      <c r="CN2419" s="58" t="s">
        <v>21923</v>
      </c>
      <c r="CO2419" s="58" t="s">
        <v>21924</v>
      </c>
      <c r="CP2419" s="58" t="s">
        <v>21925</v>
      </c>
      <c r="CT2419" s="58">
        <v>162.0</v>
      </c>
      <c r="CU2419" s="58" t="s">
        <v>239</v>
      </c>
      <c r="DL2419" s="58" t="s">
        <v>21926</v>
      </c>
    </row>
    <row r="2420" ht="15.75" customHeight="1">
      <c r="B2420" s="58" t="s">
        <v>16392</v>
      </c>
      <c r="C2420" s="58">
        <v>2024.0</v>
      </c>
      <c r="D2420" s="58" t="s">
        <v>21927</v>
      </c>
      <c r="E2420" s="58" t="s">
        <v>21928</v>
      </c>
      <c r="F2420" s="58" t="s">
        <v>16436</v>
      </c>
      <c r="H2420" s="58" t="s">
        <v>16437</v>
      </c>
      <c r="I2420" s="58" t="s">
        <v>21929</v>
      </c>
      <c r="K2420" s="73">
        <v>45630.0</v>
      </c>
      <c r="R2420" s="58">
        <v>12.0</v>
      </c>
      <c r="Z2420" s="58" t="s">
        <v>239</v>
      </c>
      <c r="CH2420" s="58" t="s">
        <v>21930</v>
      </c>
      <c r="CI2420" s="73">
        <v>45637.0</v>
      </c>
      <c r="CJ2420" s="58">
        <v>182752.0</v>
      </c>
      <c r="CK2420" s="58">
        <v>182762.0</v>
      </c>
      <c r="CL2420" s="58" t="s">
        <v>21931</v>
      </c>
      <c r="CN2420" s="58" t="s">
        <v>21932</v>
      </c>
      <c r="CO2420" s="58" t="s">
        <v>21933</v>
      </c>
      <c r="CP2420" s="58" t="s">
        <v>21934</v>
      </c>
      <c r="CT2420" s="58">
        <v>35.0</v>
      </c>
      <c r="CU2420" s="58" t="s">
        <v>16423</v>
      </c>
      <c r="DL2420" s="58" t="s">
        <v>21935</v>
      </c>
    </row>
    <row r="2421" ht="15.75" customHeight="1">
      <c r="B2421" s="58" t="s">
        <v>16392</v>
      </c>
      <c r="C2421" s="58">
        <v>2024.0</v>
      </c>
      <c r="D2421" s="58" t="s">
        <v>21936</v>
      </c>
      <c r="E2421" s="58" t="s">
        <v>21937</v>
      </c>
      <c r="F2421" s="58" t="s">
        <v>21938</v>
      </c>
      <c r="H2421" s="58" t="s">
        <v>21939</v>
      </c>
      <c r="I2421" s="58" t="s">
        <v>21940</v>
      </c>
      <c r="K2421" s="73">
        <v>45356.0</v>
      </c>
      <c r="Q2421" s="58">
        <v>1.0</v>
      </c>
      <c r="R2421" s="58">
        <v>2.0</v>
      </c>
      <c r="Z2421" s="58" t="s">
        <v>239</v>
      </c>
      <c r="CH2421" s="58" t="s">
        <v>21941</v>
      </c>
      <c r="CI2421" s="73">
        <v>45392.0</v>
      </c>
      <c r="CJ2421" s="58">
        <v>125.0</v>
      </c>
      <c r="CK2421" s="58">
        <v>137.0</v>
      </c>
      <c r="CL2421" s="58" t="s">
        <v>21942</v>
      </c>
      <c r="CO2421" s="58" t="s">
        <v>21943</v>
      </c>
      <c r="CP2421" s="58" t="s">
        <v>21944</v>
      </c>
      <c r="CT2421" s="58">
        <v>66.0</v>
      </c>
      <c r="CU2421" s="58" t="s">
        <v>239</v>
      </c>
      <c r="DL2421" s="58" t="s">
        <v>21945</v>
      </c>
    </row>
    <row r="2422" ht="15.75" customHeight="1">
      <c r="B2422" s="58" t="s">
        <v>16392</v>
      </c>
      <c r="C2422" s="58">
        <v>2025.0</v>
      </c>
      <c r="D2422" s="58" t="s">
        <v>21946</v>
      </c>
      <c r="E2422" s="58" t="s">
        <v>21947</v>
      </c>
      <c r="F2422" s="58" t="s">
        <v>16613</v>
      </c>
      <c r="H2422" s="58" t="s">
        <v>16614</v>
      </c>
      <c r="I2422" s="58" t="s">
        <v>21948</v>
      </c>
      <c r="K2422" s="73">
        <v>45617.0</v>
      </c>
      <c r="Q2422" s="58">
        <v>1.0</v>
      </c>
      <c r="R2422" s="58">
        <v>18.0</v>
      </c>
      <c r="Z2422" s="58" t="s">
        <v>239</v>
      </c>
      <c r="CH2422" s="58" t="s">
        <v>21949</v>
      </c>
      <c r="CI2422" s="73">
        <v>45695.0</v>
      </c>
      <c r="CJ2422" s="58">
        <v>328.0</v>
      </c>
      <c r="CK2422" s="58">
        <v>341.0</v>
      </c>
      <c r="CL2422" s="58" t="s">
        <v>21950</v>
      </c>
      <c r="CN2422" s="58" t="s">
        <v>21951</v>
      </c>
      <c r="CO2422" s="58" t="s">
        <v>21952</v>
      </c>
      <c r="CP2422" s="58" t="s">
        <v>21953</v>
      </c>
      <c r="CT2422" s="58">
        <v>53.0</v>
      </c>
      <c r="CU2422" s="58" t="s">
        <v>239</v>
      </c>
      <c r="DL2422" s="58" t="s">
        <v>21954</v>
      </c>
    </row>
    <row r="2423" ht="15.75" customHeight="1">
      <c r="B2423" s="58" t="s">
        <v>16392</v>
      </c>
      <c r="C2423" s="58">
        <v>2025.0</v>
      </c>
      <c r="D2423" s="58" t="s">
        <v>21955</v>
      </c>
      <c r="E2423" s="58" t="s">
        <v>21956</v>
      </c>
      <c r="F2423" s="58" t="s">
        <v>16436</v>
      </c>
      <c r="H2423" s="58" t="s">
        <v>16437</v>
      </c>
      <c r="I2423" s="58" t="s">
        <v>21957</v>
      </c>
      <c r="K2423" s="73">
        <v>45646.0</v>
      </c>
      <c r="R2423" s="58">
        <v>13.0</v>
      </c>
      <c r="Z2423" s="58" t="s">
        <v>239</v>
      </c>
      <c r="CH2423" s="58" t="s">
        <v>21958</v>
      </c>
      <c r="CI2423" s="73">
        <v>45663.0</v>
      </c>
      <c r="CJ2423" s="58">
        <v>2653.0</v>
      </c>
      <c r="CK2423" s="58">
        <v>2670.0</v>
      </c>
      <c r="CL2423" s="58" t="s">
        <v>21959</v>
      </c>
      <c r="CN2423" s="58" t="s">
        <v>21960</v>
      </c>
      <c r="CO2423" s="58" t="s">
        <v>21961</v>
      </c>
      <c r="CP2423" s="58" t="s">
        <v>21962</v>
      </c>
      <c r="CT2423" s="58">
        <v>76.0</v>
      </c>
      <c r="CU2423" s="58" t="s">
        <v>16423</v>
      </c>
      <c r="DL2423" s="58" t="s">
        <v>21963</v>
      </c>
    </row>
    <row r="2424" ht="15.75" customHeight="1">
      <c r="B2424" s="58" t="s">
        <v>16392</v>
      </c>
      <c r="C2424" s="58">
        <v>2025.0</v>
      </c>
      <c r="D2424" s="58" t="s">
        <v>21964</v>
      </c>
      <c r="E2424" s="58" t="s">
        <v>21965</v>
      </c>
      <c r="F2424" s="58" t="s">
        <v>17136</v>
      </c>
      <c r="H2424" s="58" t="s">
        <v>17137</v>
      </c>
      <c r="I2424" s="58" t="s">
        <v>21966</v>
      </c>
      <c r="K2424" s="73">
        <v>45621.0</v>
      </c>
      <c r="Q2424" s="58">
        <v>4.0</v>
      </c>
      <c r="R2424" s="58">
        <v>24.0</v>
      </c>
      <c r="Z2424" s="58" t="s">
        <v>239</v>
      </c>
      <c r="CH2424" s="58" t="s">
        <v>21967</v>
      </c>
      <c r="CI2424" s="73">
        <v>45722.0</v>
      </c>
      <c r="CJ2424" s="58">
        <v>2979.0</v>
      </c>
      <c r="CK2424" s="58">
        <v>2994.0</v>
      </c>
      <c r="CL2424" s="58" t="s">
        <v>21968</v>
      </c>
      <c r="CN2424" s="58" t="s">
        <v>21969</v>
      </c>
      <c r="CO2424" s="58" t="s">
        <v>21970</v>
      </c>
      <c r="CP2424" s="58" t="s">
        <v>21971</v>
      </c>
      <c r="CT2424" s="58">
        <v>40.0</v>
      </c>
      <c r="CU2424" s="58" t="s">
        <v>239</v>
      </c>
      <c r="DL2424" s="58" t="s">
        <v>21972</v>
      </c>
    </row>
    <row r="2425" ht="15.75" customHeight="1">
      <c r="B2425" s="58" t="s">
        <v>16392</v>
      </c>
      <c r="C2425" s="58">
        <v>2025.0</v>
      </c>
      <c r="D2425" s="58" t="s">
        <v>21973</v>
      </c>
      <c r="E2425" s="58" t="s">
        <v>21974</v>
      </c>
      <c r="F2425" s="58" t="s">
        <v>16436</v>
      </c>
      <c r="H2425" s="58" t="s">
        <v>16437</v>
      </c>
      <c r="I2425" s="58" t="s">
        <v>21975</v>
      </c>
      <c r="K2425" s="73">
        <v>45665.0</v>
      </c>
      <c r="R2425" s="58">
        <v>13.0</v>
      </c>
      <c r="Z2425" s="58" t="s">
        <v>239</v>
      </c>
      <c r="CH2425" s="58" t="s">
        <v>21976</v>
      </c>
      <c r="CI2425" s="73">
        <v>45671.0</v>
      </c>
      <c r="CJ2425" s="58">
        <v>8187.0</v>
      </c>
      <c r="CK2425" s="58">
        <v>8200.0</v>
      </c>
      <c r="CL2425" s="58" t="s">
        <v>21977</v>
      </c>
      <c r="CO2425" s="58" t="s">
        <v>21978</v>
      </c>
      <c r="CP2425" s="58" t="s">
        <v>21979</v>
      </c>
      <c r="CT2425" s="58">
        <v>46.0</v>
      </c>
      <c r="CU2425" s="58" t="s">
        <v>16423</v>
      </c>
      <c r="DL2425" s="58" t="s">
        <v>21980</v>
      </c>
    </row>
    <row r="2426" ht="15.75" customHeight="1">
      <c r="B2426" s="58" t="s">
        <v>16392</v>
      </c>
      <c r="C2426" s="58">
        <v>2025.0</v>
      </c>
      <c r="D2426" s="58" t="s">
        <v>21981</v>
      </c>
      <c r="E2426" s="58" t="s">
        <v>21982</v>
      </c>
      <c r="F2426" s="58" t="s">
        <v>18334</v>
      </c>
      <c r="H2426" s="58" t="s">
        <v>18335</v>
      </c>
      <c r="I2426" s="58" t="s">
        <v>21983</v>
      </c>
      <c r="K2426" s="73">
        <v>45603.0</v>
      </c>
      <c r="Q2426" s="58">
        <v>3.0</v>
      </c>
      <c r="R2426" s="58">
        <v>74.0</v>
      </c>
      <c r="Z2426" s="58" t="s">
        <v>239</v>
      </c>
      <c r="CH2426" s="58" t="s">
        <v>21984</v>
      </c>
      <c r="CI2426" s="73">
        <v>45721.0</v>
      </c>
      <c r="CJ2426" s="58">
        <v>4839.0</v>
      </c>
      <c r="CK2426" s="58">
        <v>4854.0</v>
      </c>
      <c r="CL2426" s="58" t="s">
        <v>21985</v>
      </c>
      <c r="CN2426" s="58" t="s">
        <v>21986</v>
      </c>
      <c r="CO2426" s="58" t="s">
        <v>21987</v>
      </c>
      <c r="CP2426" s="58" t="s">
        <v>21988</v>
      </c>
      <c r="CT2426" s="58">
        <v>52.0</v>
      </c>
      <c r="CU2426" s="58" t="s">
        <v>239</v>
      </c>
      <c r="DL2426" s="58" t="s">
        <v>21989</v>
      </c>
    </row>
    <row r="2427" ht="15.75" customHeight="1">
      <c r="B2427" s="58" t="s">
        <v>16392</v>
      </c>
      <c r="C2427" s="58">
        <v>2024.0</v>
      </c>
      <c r="D2427" s="58" t="s">
        <v>21990</v>
      </c>
      <c r="E2427" s="58" t="s">
        <v>21991</v>
      </c>
      <c r="F2427" s="58" t="s">
        <v>16436</v>
      </c>
      <c r="H2427" s="58" t="s">
        <v>16437</v>
      </c>
      <c r="I2427" s="58" t="s">
        <v>21992</v>
      </c>
      <c r="K2427" s="73">
        <v>45418.0</v>
      </c>
      <c r="R2427" s="58">
        <v>12.0</v>
      </c>
      <c r="Z2427" s="58" t="s">
        <v>239</v>
      </c>
      <c r="CH2427" s="58" t="s">
        <v>21993</v>
      </c>
      <c r="CI2427" s="73">
        <v>45421.0</v>
      </c>
      <c r="CJ2427" s="58">
        <v>64531.0</v>
      </c>
      <c r="CK2427" s="58">
        <v>64550.0</v>
      </c>
      <c r="CL2427" s="58" t="s">
        <v>21994</v>
      </c>
      <c r="CN2427" s="58" t="s">
        <v>21995</v>
      </c>
      <c r="CO2427" s="58" t="s">
        <v>21996</v>
      </c>
      <c r="CP2427" s="58" t="s">
        <v>21997</v>
      </c>
      <c r="CT2427" s="58">
        <v>53.0</v>
      </c>
      <c r="CU2427" s="58" t="s">
        <v>16727</v>
      </c>
      <c r="DL2427" s="58" t="s">
        <v>21998</v>
      </c>
    </row>
    <row r="2428" ht="15.75" customHeight="1">
      <c r="B2428" s="58" t="s">
        <v>16392</v>
      </c>
      <c r="C2428" s="58">
        <v>2024.0</v>
      </c>
      <c r="D2428" s="58" t="s">
        <v>21999</v>
      </c>
      <c r="E2428" s="58" t="s">
        <v>22000</v>
      </c>
      <c r="F2428" s="58" t="s">
        <v>16436</v>
      </c>
      <c r="H2428" s="58" t="s">
        <v>16437</v>
      </c>
      <c r="I2428" s="58" t="s">
        <v>22001</v>
      </c>
      <c r="K2428" s="73">
        <v>45595.0</v>
      </c>
      <c r="R2428" s="58">
        <v>12.0</v>
      </c>
      <c r="Z2428" s="58" t="s">
        <v>239</v>
      </c>
      <c r="CH2428" s="58" t="s">
        <v>22002</v>
      </c>
      <c r="CI2428" s="73">
        <v>45621.0</v>
      </c>
      <c r="CJ2428" s="58">
        <v>173255.0</v>
      </c>
      <c r="CK2428" s="58">
        <v>173267.0</v>
      </c>
      <c r="CL2428" s="58" t="s">
        <v>22003</v>
      </c>
      <c r="CO2428" s="58" t="s">
        <v>22004</v>
      </c>
      <c r="CP2428" s="58" t="s">
        <v>22005</v>
      </c>
      <c r="CT2428" s="58">
        <v>25.0</v>
      </c>
      <c r="CU2428" s="58" t="s">
        <v>16727</v>
      </c>
      <c r="DL2428" s="58" t="s">
        <v>22006</v>
      </c>
    </row>
    <row r="2429" ht="15.75" customHeight="1">
      <c r="B2429" s="58" t="s">
        <v>16392</v>
      </c>
      <c r="C2429" s="58">
        <v>2024.0</v>
      </c>
      <c r="D2429" s="58" t="s">
        <v>22007</v>
      </c>
      <c r="E2429" s="58" t="s">
        <v>22008</v>
      </c>
      <c r="F2429" s="58" t="s">
        <v>16436</v>
      </c>
      <c r="H2429" s="58" t="s">
        <v>16437</v>
      </c>
      <c r="I2429" s="58" t="s">
        <v>22009</v>
      </c>
      <c r="K2429" s="73">
        <v>45545.0</v>
      </c>
      <c r="R2429" s="58">
        <v>12.0</v>
      </c>
      <c r="Z2429" s="58" t="s">
        <v>239</v>
      </c>
      <c r="CH2429" s="58" t="s">
        <v>22010</v>
      </c>
      <c r="CI2429" s="73">
        <v>45582.0</v>
      </c>
      <c r="CJ2429" s="58">
        <v>146968.0</v>
      </c>
      <c r="CK2429" s="58">
        <v>146995.0</v>
      </c>
      <c r="CL2429" s="58" t="s">
        <v>22011</v>
      </c>
      <c r="CO2429" s="58" t="s">
        <v>22012</v>
      </c>
      <c r="CP2429" s="58" t="s">
        <v>22013</v>
      </c>
      <c r="CT2429" s="58">
        <v>94.0</v>
      </c>
      <c r="CU2429" s="58" t="s">
        <v>16727</v>
      </c>
      <c r="DL2429" s="58" t="s">
        <v>22014</v>
      </c>
    </row>
    <row r="2430" ht="15.75" customHeight="1">
      <c r="B2430" s="58" t="s">
        <v>16392</v>
      </c>
      <c r="C2430" s="58">
        <v>2025.0</v>
      </c>
      <c r="D2430" s="58" t="s">
        <v>22015</v>
      </c>
      <c r="E2430" s="58" t="s">
        <v>22016</v>
      </c>
      <c r="F2430" s="58" t="s">
        <v>16436</v>
      </c>
      <c r="H2430" s="58" t="s">
        <v>16437</v>
      </c>
      <c r="I2430" s="58" t="s">
        <v>22017</v>
      </c>
      <c r="K2430" s="73">
        <v>45721.0</v>
      </c>
      <c r="R2430" s="58">
        <v>13.0</v>
      </c>
      <c r="Z2430" s="58" t="s">
        <v>239</v>
      </c>
      <c r="CH2430" s="58" t="s">
        <v>22018</v>
      </c>
      <c r="CI2430" s="73">
        <v>45733.0</v>
      </c>
      <c r="CJ2430" s="58">
        <v>44963.0</v>
      </c>
      <c r="CK2430" s="58">
        <v>44996.0</v>
      </c>
      <c r="CL2430" s="58" t="s">
        <v>22019</v>
      </c>
      <c r="CO2430" s="58" t="s">
        <v>22020</v>
      </c>
      <c r="CP2430" s="58" t="s">
        <v>22021</v>
      </c>
      <c r="CT2430" s="58">
        <v>142.0</v>
      </c>
      <c r="CU2430" s="58" t="s">
        <v>16423</v>
      </c>
      <c r="DL2430" s="58" t="s">
        <v>22022</v>
      </c>
    </row>
    <row r="2431" ht="15.75" customHeight="1">
      <c r="B2431" s="58" t="s">
        <v>16392</v>
      </c>
      <c r="C2431" s="58">
        <v>2025.0</v>
      </c>
      <c r="D2431" s="58" t="s">
        <v>22023</v>
      </c>
      <c r="E2431" s="58" t="s">
        <v>22024</v>
      </c>
      <c r="F2431" s="58" t="s">
        <v>17164</v>
      </c>
      <c r="H2431" s="58" t="s">
        <v>17165</v>
      </c>
      <c r="I2431" s="58" t="s">
        <v>22025</v>
      </c>
      <c r="K2431" s="73">
        <v>45702.0</v>
      </c>
      <c r="Q2431" s="58">
        <v>4.0</v>
      </c>
      <c r="R2431" s="58">
        <v>36.0</v>
      </c>
      <c r="Z2431" s="58" t="s">
        <v>239</v>
      </c>
      <c r="CH2431" s="58" t="s">
        <v>22026</v>
      </c>
      <c r="CI2431" s="73">
        <v>45721.0</v>
      </c>
      <c r="CJ2431" s="58">
        <v>759.0</v>
      </c>
      <c r="CK2431" s="58">
        <v>774.0</v>
      </c>
      <c r="CL2431" s="58" t="s">
        <v>22027</v>
      </c>
      <c r="CN2431" s="58" t="s">
        <v>22028</v>
      </c>
      <c r="CO2431" s="58" t="s">
        <v>22029</v>
      </c>
      <c r="CP2431" s="58" t="s">
        <v>22030</v>
      </c>
      <c r="CT2431" s="58">
        <v>55.0</v>
      </c>
      <c r="CU2431" s="58" t="s">
        <v>239</v>
      </c>
      <c r="DL2431" s="58" t="s">
        <v>22031</v>
      </c>
    </row>
    <row r="2432" ht="15.75" customHeight="1">
      <c r="B2432" s="58" t="s">
        <v>16392</v>
      </c>
      <c r="C2432" s="58">
        <v>2025.0</v>
      </c>
      <c r="D2432" s="58" t="s">
        <v>22032</v>
      </c>
      <c r="E2432" s="58" t="s">
        <v>22033</v>
      </c>
      <c r="F2432" s="58" t="s">
        <v>16436</v>
      </c>
      <c r="H2432" s="58" t="s">
        <v>16437</v>
      </c>
      <c r="I2432" s="58" t="s">
        <v>22034</v>
      </c>
      <c r="K2432" s="73">
        <v>45674.0</v>
      </c>
      <c r="R2432" s="58">
        <v>13.0</v>
      </c>
      <c r="Z2432" s="58" t="s">
        <v>239</v>
      </c>
      <c r="CH2432" s="58" t="s">
        <v>22035</v>
      </c>
      <c r="CI2432" s="73">
        <v>45681.0</v>
      </c>
      <c r="CJ2432" s="58">
        <v>13796.0</v>
      </c>
      <c r="CK2432" s="58">
        <v>13815.0</v>
      </c>
      <c r="CL2432" s="58" t="s">
        <v>22036</v>
      </c>
      <c r="CN2432" s="58" t="s">
        <v>22037</v>
      </c>
      <c r="CO2432" s="58" t="s">
        <v>22038</v>
      </c>
      <c r="CP2432" s="58" t="s">
        <v>22039</v>
      </c>
      <c r="CT2432" s="58">
        <v>176.0</v>
      </c>
      <c r="CU2432" s="58" t="s">
        <v>16423</v>
      </c>
      <c r="DL2432" s="58" t="s">
        <v>22040</v>
      </c>
    </row>
    <row r="2433" ht="15.75" customHeight="1">
      <c r="B2433" s="58" t="s">
        <v>19772</v>
      </c>
      <c r="C2433" s="58">
        <v>2022.0</v>
      </c>
      <c r="D2433" s="58" t="s">
        <v>22041</v>
      </c>
      <c r="E2433" s="58" t="s">
        <v>22042</v>
      </c>
      <c r="F2433" s="58" t="s">
        <v>19775</v>
      </c>
      <c r="H2433" s="58" t="s">
        <v>19776</v>
      </c>
      <c r="I2433" s="58" t="s">
        <v>22043</v>
      </c>
      <c r="K2433" s="73">
        <v>45191.0</v>
      </c>
      <c r="Q2433" s="58">
        <v>3.0</v>
      </c>
      <c r="R2433" s="58">
        <v>10.0</v>
      </c>
      <c r="Z2433" s="58" t="s">
        <v>19778</v>
      </c>
      <c r="CH2433" s="58" t="s">
        <v>22044</v>
      </c>
      <c r="CI2433" s="73">
        <v>45191.0</v>
      </c>
      <c r="CJ2433" s="58">
        <v>439.0</v>
      </c>
      <c r="CK2433" s="58">
        <v>467.0</v>
      </c>
      <c r="CL2433" s="58" t="s">
        <v>22045</v>
      </c>
      <c r="CO2433" s="58" t="s">
        <v>22046</v>
      </c>
      <c r="CP2433" s="58" t="s">
        <v>22047</v>
      </c>
      <c r="CT2433" s="58">
        <v>40.0</v>
      </c>
      <c r="DL2433" s="58" t="s">
        <v>22048</v>
      </c>
    </row>
    <row r="2434" ht="15.75" customHeight="1">
      <c r="B2434" s="58" t="s">
        <v>16392</v>
      </c>
      <c r="C2434" s="58">
        <v>2024.0</v>
      </c>
      <c r="D2434" s="58" t="s">
        <v>22049</v>
      </c>
      <c r="E2434" s="58" t="s">
        <v>22050</v>
      </c>
      <c r="F2434" s="58" t="s">
        <v>16436</v>
      </c>
      <c r="H2434" s="58" t="s">
        <v>16437</v>
      </c>
      <c r="I2434" s="58" t="s">
        <v>22051</v>
      </c>
      <c r="K2434" s="73">
        <v>45611.0</v>
      </c>
      <c r="R2434" s="58">
        <v>12.0</v>
      </c>
      <c r="Z2434" s="58" t="s">
        <v>239</v>
      </c>
      <c r="CH2434" s="58" t="s">
        <v>22052</v>
      </c>
      <c r="CI2434" s="73">
        <v>45617.0</v>
      </c>
      <c r="CJ2434" s="58">
        <v>170041.0</v>
      </c>
      <c r="CK2434" s="58">
        <v>170056.0</v>
      </c>
      <c r="CL2434" s="58" t="s">
        <v>22053</v>
      </c>
      <c r="CN2434" s="58" t="s">
        <v>22054</v>
      </c>
      <c r="CO2434" s="58" t="s">
        <v>22055</v>
      </c>
      <c r="CP2434" s="58" t="s">
        <v>22056</v>
      </c>
      <c r="CT2434" s="58">
        <v>39.0</v>
      </c>
      <c r="CU2434" s="58" t="s">
        <v>16727</v>
      </c>
      <c r="DL2434" s="58" t="s">
        <v>22057</v>
      </c>
    </row>
    <row r="2435" ht="15.75" customHeight="1">
      <c r="B2435" s="58" t="s">
        <v>16392</v>
      </c>
      <c r="C2435" s="58">
        <v>2024.0</v>
      </c>
      <c r="D2435" s="58" t="s">
        <v>22058</v>
      </c>
      <c r="E2435" s="58" t="s">
        <v>22059</v>
      </c>
      <c r="F2435" s="58" t="s">
        <v>16436</v>
      </c>
      <c r="H2435" s="58" t="s">
        <v>16437</v>
      </c>
      <c r="I2435" s="58" t="s">
        <v>22060</v>
      </c>
      <c r="K2435" s="73">
        <v>45553.0</v>
      </c>
      <c r="R2435" s="58">
        <v>12.0</v>
      </c>
      <c r="Z2435" s="58" t="s">
        <v>239</v>
      </c>
      <c r="CH2435" s="58" t="s">
        <v>22061</v>
      </c>
      <c r="CI2435" s="73">
        <v>45569.0</v>
      </c>
      <c r="CJ2435" s="58">
        <v>140884.0</v>
      </c>
      <c r="CK2435" s="58">
        <v>140899.0</v>
      </c>
      <c r="CL2435" s="58" t="s">
        <v>22062</v>
      </c>
      <c r="CN2435" s="58" t="s">
        <v>22063</v>
      </c>
      <c r="CO2435" s="58" t="s">
        <v>22064</v>
      </c>
      <c r="CP2435" s="58" t="s">
        <v>22065</v>
      </c>
      <c r="CT2435" s="58">
        <v>32.0</v>
      </c>
      <c r="CU2435" s="58" t="s">
        <v>16727</v>
      </c>
      <c r="DL2435" s="58" t="s">
        <v>22066</v>
      </c>
    </row>
    <row r="2436" ht="15.75" customHeight="1">
      <c r="B2436" s="58" t="s">
        <v>16392</v>
      </c>
      <c r="C2436" s="58">
        <v>2025.0</v>
      </c>
      <c r="D2436" s="58" t="s">
        <v>22067</v>
      </c>
      <c r="E2436" s="58" t="s">
        <v>22068</v>
      </c>
      <c r="F2436" s="58" t="s">
        <v>16538</v>
      </c>
      <c r="H2436" s="58" t="s">
        <v>16539</v>
      </c>
      <c r="I2436" s="58" t="s">
        <v>22069</v>
      </c>
      <c r="K2436" s="73">
        <v>45574.0</v>
      </c>
      <c r="Q2436" s="58">
        <v>3.0</v>
      </c>
      <c r="R2436" s="58">
        <v>12.0</v>
      </c>
      <c r="Z2436" s="58" t="s">
        <v>239</v>
      </c>
      <c r="CH2436" s="58" t="s">
        <v>22070</v>
      </c>
      <c r="CI2436" s="73">
        <v>45681.0</v>
      </c>
      <c r="CJ2436" s="58">
        <v>2979.0</v>
      </c>
      <c r="CK2436" s="58">
        <v>2993.0</v>
      </c>
      <c r="CL2436" s="58" t="s">
        <v>22071</v>
      </c>
      <c r="CN2436" s="58" t="s">
        <v>22072</v>
      </c>
      <c r="CO2436" s="58" t="s">
        <v>22073</v>
      </c>
      <c r="CP2436" s="58" t="s">
        <v>22074</v>
      </c>
      <c r="CT2436" s="58">
        <v>60.0</v>
      </c>
      <c r="CU2436" s="58" t="s">
        <v>239</v>
      </c>
      <c r="DL2436" s="58" t="s">
        <v>22075</v>
      </c>
    </row>
    <row r="2437" ht="15.75" customHeight="1">
      <c r="B2437" s="58" t="s">
        <v>16392</v>
      </c>
      <c r="C2437" s="58">
        <v>2024.0</v>
      </c>
      <c r="D2437" s="58" t="s">
        <v>22076</v>
      </c>
      <c r="E2437" s="58" t="s">
        <v>22077</v>
      </c>
      <c r="F2437" s="58" t="s">
        <v>16538</v>
      </c>
      <c r="H2437" s="58" t="s">
        <v>16539</v>
      </c>
      <c r="I2437" s="58" t="s">
        <v>22078</v>
      </c>
      <c r="K2437" s="73">
        <v>45495.0</v>
      </c>
      <c r="Q2437" s="58">
        <v>24.0</v>
      </c>
      <c r="R2437" s="58">
        <v>11.0</v>
      </c>
      <c r="Z2437" s="58" t="s">
        <v>239</v>
      </c>
      <c r="CH2437" s="58" t="s">
        <v>22079</v>
      </c>
      <c r="CI2437" s="73">
        <v>45635.0</v>
      </c>
      <c r="CJ2437" s="58">
        <v>39424.0</v>
      </c>
      <c r="CK2437" s="58">
        <v>39434.0</v>
      </c>
      <c r="CL2437" s="58" t="s">
        <v>22080</v>
      </c>
      <c r="CN2437" s="58" t="s">
        <v>22081</v>
      </c>
      <c r="CO2437" s="58" t="s">
        <v>22082</v>
      </c>
      <c r="CP2437" s="58" t="s">
        <v>22083</v>
      </c>
      <c r="CT2437" s="58">
        <v>32.0</v>
      </c>
      <c r="CU2437" s="58" t="s">
        <v>239</v>
      </c>
      <c r="DL2437" s="58" t="s">
        <v>22084</v>
      </c>
    </row>
    <row r="2438" ht="15.75" customHeight="1">
      <c r="B2438" s="58" t="s">
        <v>16392</v>
      </c>
      <c r="C2438" s="58">
        <v>2024.0</v>
      </c>
      <c r="D2438" s="58" t="s">
        <v>22085</v>
      </c>
      <c r="E2438" s="58" t="s">
        <v>22086</v>
      </c>
      <c r="F2438" s="58" t="s">
        <v>16959</v>
      </c>
      <c r="H2438" s="58" t="s">
        <v>16960</v>
      </c>
      <c r="I2438" s="58" t="s">
        <v>22087</v>
      </c>
      <c r="K2438" s="73">
        <v>45499.0</v>
      </c>
      <c r="Q2438" s="58">
        <v>6.0</v>
      </c>
      <c r="R2438" s="58">
        <v>21.0</v>
      </c>
      <c r="Z2438" s="58" t="s">
        <v>239</v>
      </c>
      <c r="CH2438" s="58" t="s">
        <v>22088</v>
      </c>
      <c r="CI2438" s="73">
        <v>45645.0</v>
      </c>
      <c r="CJ2438" s="58">
        <v>5992.0</v>
      </c>
      <c r="CK2438" s="58">
        <v>6007.0</v>
      </c>
      <c r="CL2438" s="58" t="s">
        <v>22089</v>
      </c>
      <c r="CN2438" s="58" t="s">
        <v>22090</v>
      </c>
      <c r="CO2438" s="58" t="s">
        <v>22091</v>
      </c>
      <c r="CP2438" s="58" t="s">
        <v>22092</v>
      </c>
      <c r="CT2438" s="58">
        <v>82.0</v>
      </c>
      <c r="CU2438" s="58" t="s">
        <v>16423</v>
      </c>
      <c r="DL2438" s="58" t="s">
        <v>22093</v>
      </c>
    </row>
    <row r="2439" ht="15.75" customHeight="1">
      <c r="B2439" s="58" t="s">
        <v>16392</v>
      </c>
      <c r="C2439" s="58">
        <v>2024.0</v>
      </c>
      <c r="D2439" s="58" t="s">
        <v>22094</v>
      </c>
      <c r="E2439" s="58" t="s">
        <v>22095</v>
      </c>
      <c r="F2439" s="58" t="s">
        <v>16538</v>
      </c>
      <c r="H2439" s="58" t="s">
        <v>16539</v>
      </c>
      <c r="I2439" s="58" t="s">
        <v>22096</v>
      </c>
      <c r="K2439" s="73">
        <v>45267.0</v>
      </c>
      <c r="Q2439" s="58">
        <v>8.0</v>
      </c>
      <c r="R2439" s="58">
        <v>11.0</v>
      </c>
      <c r="Z2439" s="58" t="s">
        <v>239</v>
      </c>
      <c r="CH2439" s="58" t="s">
        <v>22097</v>
      </c>
      <c r="CI2439" s="73">
        <v>45391.0</v>
      </c>
      <c r="CJ2439" s="58">
        <v>13948.0</v>
      </c>
      <c r="CK2439" s="58">
        <v>13960.0</v>
      </c>
      <c r="CL2439" s="58" t="s">
        <v>22098</v>
      </c>
      <c r="CO2439" s="58" t="s">
        <v>22099</v>
      </c>
      <c r="CP2439" s="58" t="s">
        <v>22100</v>
      </c>
      <c r="CT2439" s="58">
        <v>47.0</v>
      </c>
      <c r="CU2439" s="58" t="s">
        <v>239</v>
      </c>
      <c r="DL2439" s="58" t="s">
        <v>22101</v>
      </c>
    </row>
    <row r="2440" ht="15.75" customHeight="1">
      <c r="B2440" s="58" t="s">
        <v>16392</v>
      </c>
      <c r="C2440" s="58">
        <v>2024.0</v>
      </c>
      <c r="D2440" s="58" t="s">
        <v>22102</v>
      </c>
      <c r="E2440" s="58" t="s">
        <v>22103</v>
      </c>
      <c r="F2440" s="58" t="s">
        <v>16436</v>
      </c>
      <c r="H2440" s="58" t="s">
        <v>16437</v>
      </c>
      <c r="I2440" s="58" t="s">
        <v>22104</v>
      </c>
      <c r="K2440" s="73">
        <v>45583.0</v>
      </c>
      <c r="R2440" s="58">
        <v>12.0</v>
      </c>
      <c r="Z2440" s="58" t="s">
        <v>239</v>
      </c>
      <c r="CH2440" s="58" t="s">
        <v>22105</v>
      </c>
      <c r="CI2440" s="73">
        <v>45607.0</v>
      </c>
      <c r="CJ2440" s="58">
        <v>163551.0</v>
      </c>
      <c r="CK2440" s="58">
        <v>163620.0</v>
      </c>
      <c r="CL2440" s="58" t="s">
        <v>22106</v>
      </c>
      <c r="CN2440" s="58" t="s">
        <v>22107</v>
      </c>
      <c r="CO2440" s="58" t="s">
        <v>22108</v>
      </c>
      <c r="CP2440" s="58" t="s">
        <v>22109</v>
      </c>
      <c r="CT2440" s="58">
        <v>365.0</v>
      </c>
      <c r="CU2440" s="58" t="s">
        <v>16423</v>
      </c>
      <c r="DL2440" s="58" t="s">
        <v>22110</v>
      </c>
    </row>
    <row r="2441" ht="15.75" customHeight="1">
      <c r="B2441" s="58" t="s">
        <v>16392</v>
      </c>
      <c r="C2441" s="58">
        <v>2025.0</v>
      </c>
      <c r="D2441" s="58" t="s">
        <v>22111</v>
      </c>
      <c r="E2441" s="58" t="s">
        <v>22112</v>
      </c>
      <c r="F2441" s="58" t="s">
        <v>18504</v>
      </c>
      <c r="H2441" s="58" t="s">
        <v>18505</v>
      </c>
      <c r="I2441" s="58" t="s">
        <v>22113</v>
      </c>
      <c r="K2441" s="73">
        <v>45679.0</v>
      </c>
      <c r="R2441" s="58">
        <v>6.0</v>
      </c>
      <c r="Z2441" s="58" t="s">
        <v>239</v>
      </c>
      <c r="CH2441" s="58" t="s">
        <v>22114</v>
      </c>
      <c r="CI2441" s="73">
        <v>45695.0</v>
      </c>
      <c r="CJ2441" s="58">
        <v>181.0</v>
      </c>
      <c r="CK2441" s="58">
        <v>201.0</v>
      </c>
      <c r="CL2441" s="58" t="s">
        <v>22115</v>
      </c>
      <c r="CN2441" s="58" t="s">
        <v>22116</v>
      </c>
      <c r="CO2441" s="58" t="s">
        <v>22117</v>
      </c>
      <c r="CP2441" s="58" t="s">
        <v>22118</v>
      </c>
      <c r="CT2441" s="58">
        <v>46.0</v>
      </c>
      <c r="CU2441" s="58" t="s">
        <v>16423</v>
      </c>
      <c r="DL2441" s="58" t="s">
        <v>22119</v>
      </c>
    </row>
    <row r="2442" ht="15.75" customHeight="1">
      <c r="B2442" s="58" t="s">
        <v>16392</v>
      </c>
      <c r="C2442" s="58">
        <v>2024.0</v>
      </c>
      <c r="D2442" s="58" t="s">
        <v>22120</v>
      </c>
      <c r="E2442" s="58" t="s">
        <v>22121</v>
      </c>
      <c r="F2442" s="58" t="s">
        <v>16436</v>
      </c>
      <c r="H2442" s="58" t="s">
        <v>16437</v>
      </c>
      <c r="I2442" s="58" t="s">
        <v>22122</v>
      </c>
      <c r="K2442" s="73">
        <v>45623.0</v>
      </c>
      <c r="R2442" s="58">
        <v>12.0</v>
      </c>
      <c r="Z2442" s="58" t="s">
        <v>239</v>
      </c>
      <c r="CH2442" s="58" t="s">
        <v>22123</v>
      </c>
      <c r="CI2442" s="73">
        <v>45635.0</v>
      </c>
      <c r="CJ2442" s="58">
        <v>178586.0</v>
      </c>
      <c r="CK2442" s="58">
        <v>178622.0</v>
      </c>
      <c r="CL2442" s="58" t="s">
        <v>22124</v>
      </c>
      <c r="CN2442" s="58" t="s">
        <v>22125</v>
      </c>
      <c r="CO2442" s="58" t="s">
        <v>22126</v>
      </c>
      <c r="CP2442" s="58" t="s">
        <v>22127</v>
      </c>
      <c r="CT2442" s="58">
        <v>113.0</v>
      </c>
      <c r="CU2442" s="58" t="s">
        <v>16727</v>
      </c>
      <c r="DL2442" s="58" t="s">
        <v>22128</v>
      </c>
    </row>
    <row r="2443" ht="15.75" customHeight="1">
      <c r="B2443" s="58" t="s">
        <v>16392</v>
      </c>
      <c r="C2443" s="58">
        <v>2024.0</v>
      </c>
      <c r="D2443" s="58" t="s">
        <v>22129</v>
      </c>
      <c r="E2443" s="58" t="s">
        <v>22130</v>
      </c>
      <c r="F2443" s="58" t="s">
        <v>16436</v>
      </c>
      <c r="H2443" s="58" t="s">
        <v>16437</v>
      </c>
      <c r="I2443" s="58" t="s">
        <v>22131</v>
      </c>
      <c r="K2443" s="73">
        <v>45568.0</v>
      </c>
      <c r="R2443" s="58">
        <v>12.0</v>
      </c>
      <c r="Z2443" s="58" t="s">
        <v>239</v>
      </c>
      <c r="CH2443" s="58" t="s">
        <v>22132</v>
      </c>
      <c r="CI2443" s="73">
        <v>45582.0</v>
      </c>
      <c r="CJ2443" s="58">
        <v>147012.0</v>
      </c>
      <c r="CK2443" s="58">
        <v>147022.0</v>
      </c>
      <c r="CL2443" s="58" t="s">
        <v>22133</v>
      </c>
      <c r="CO2443" s="58" t="s">
        <v>22134</v>
      </c>
      <c r="CP2443" s="58" t="s">
        <v>22135</v>
      </c>
      <c r="CT2443" s="58">
        <v>16.0</v>
      </c>
      <c r="CU2443" s="58" t="s">
        <v>16727</v>
      </c>
      <c r="DL2443" s="58" t="s">
        <v>22136</v>
      </c>
    </row>
    <row r="2444" ht="15.75" customHeight="1">
      <c r="B2444" s="58" t="s">
        <v>16392</v>
      </c>
      <c r="C2444" s="58">
        <v>2024.0</v>
      </c>
      <c r="D2444" s="58" t="s">
        <v>22137</v>
      </c>
      <c r="E2444" s="58" t="s">
        <v>22138</v>
      </c>
      <c r="F2444" s="58" t="s">
        <v>16436</v>
      </c>
      <c r="H2444" s="58" t="s">
        <v>16437</v>
      </c>
      <c r="I2444" s="58" t="s">
        <v>22139</v>
      </c>
      <c r="K2444" s="73">
        <v>45594.0</v>
      </c>
      <c r="R2444" s="58">
        <v>12.0</v>
      </c>
      <c r="Z2444" s="58" t="s">
        <v>239</v>
      </c>
      <c r="CH2444" s="58" t="s">
        <v>22140</v>
      </c>
      <c r="CI2444" s="73">
        <v>45611.0</v>
      </c>
      <c r="CJ2444" s="58">
        <v>166834.0</v>
      </c>
      <c r="CK2444" s="58">
        <v>166842.0</v>
      </c>
      <c r="CL2444" s="58" t="s">
        <v>22141</v>
      </c>
      <c r="CN2444" s="58" t="s">
        <v>22142</v>
      </c>
      <c r="CO2444" s="58" t="s">
        <v>22143</v>
      </c>
      <c r="CP2444" s="58" t="s">
        <v>22144</v>
      </c>
      <c r="CT2444" s="58">
        <v>39.0</v>
      </c>
      <c r="CU2444" s="58" t="s">
        <v>16727</v>
      </c>
      <c r="DL2444" s="58" t="s">
        <v>22145</v>
      </c>
    </row>
    <row r="2445" ht="15.75" customHeight="1">
      <c r="B2445" s="58" t="s">
        <v>16392</v>
      </c>
      <c r="C2445" s="58">
        <v>2024.0</v>
      </c>
      <c r="D2445" s="58" t="s">
        <v>22146</v>
      </c>
      <c r="E2445" s="58" t="s">
        <v>22147</v>
      </c>
      <c r="F2445" s="58" t="s">
        <v>17438</v>
      </c>
      <c r="H2445" s="58" t="s">
        <v>17439</v>
      </c>
      <c r="I2445" s="58" t="s">
        <v>22148</v>
      </c>
      <c r="K2445" s="73">
        <v>45551.0</v>
      </c>
      <c r="Q2445" s="58">
        <v>4.0</v>
      </c>
      <c r="R2445" s="58">
        <v>12.0</v>
      </c>
      <c r="Z2445" s="58" t="s">
        <v>239</v>
      </c>
      <c r="CH2445" s="58" t="s">
        <v>22149</v>
      </c>
      <c r="CI2445" s="73">
        <v>45631.0</v>
      </c>
      <c r="CJ2445" s="58">
        <v>1291.0</v>
      </c>
      <c r="CK2445" s="58">
        <v>1304.0</v>
      </c>
      <c r="CL2445" s="58" t="s">
        <v>22150</v>
      </c>
      <c r="CN2445" s="58" t="s">
        <v>22151</v>
      </c>
      <c r="CO2445" s="58" t="s">
        <v>22152</v>
      </c>
      <c r="CP2445" s="58" t="s">
        <v>22153</v>
      </c>
      <c r="CT2445" s="58">
        <v>51.0</v>
      </c>
      <c r="CU2445" s="58" t="s">
        <v>239</v>
      </c>
      <c r="DL2445" s="58" t="s">
        <v>22154</v>
      </c>
    </row>
    <row r="2446" ht="15.75" customHeight="1">
      <c r="B2446" s="58" t="s">
        <v>16392</v>
      </c>
      <c r="C2446" s="58">
        <v>2024.0</v>
      </c>
      <c r="D2446" s="58" t="s">
        <v>22155</v>
      </c>
      <c r="E2446" s="58" t="s">
        <v>22156</v>
      </c>
      <c r="F2446" s="58" t="s">
        <v>16538</v>
      </c>
      <c r="H2446" s="58" t="s">
        <v>16539</v>
      </c>
      <c r="I2446" s="58" t="s">
        <v>22157</v>
      </c>
      <c r="K2446" s="73">
        <v>45420.0</v>
      </c>
      <c r="Q2446" s="58">
        <v>16.0</v>
      </c>
      <c r="R2446" s="58">
        <v>11.0</v>
      </c>
      <c r="Z2446" s="58" t="s">
        <v>239</v>
      </c>
      <c r="CH2446" s="58" t="s">
        <v>22158</v>
      </c>
      <c r="CI2446" s="73">
        <v>45509.0</v>
      </c>
      <c r="CJ2446" s="58">
        <v>27463.0</v>
      </c>
      <c r="CK2446" s="58">
        <v>27479.0</v>
      </c>
      <c r="CL2446" s="58" t="s">
        <v>22159</v>
      </c>
      <c r="CN2446" s="58" t="s">
        <v>22160</v>
      </c>
      <c r="CO2446" s="58" t="s">
        <v>22161</v>
      </c>
      <c r="CP2446" s="58" t="s">
        <v>22162</v>
      </c>
      <c r="CT2446" s="58">
        <v>50.0</v>
      </c>
      <c r="CU2446" s="58" t="s">
        <v>239</v>
      </c>
      <c r="DL2446" s="58" t="s">
        <v>22163</v>
      </c>
    </row>
    <row r="2447" ht="15.75" customHeight="1">
      <c r="B2447" s="58" t="s">
        <v>16392</v>
      </c>
      <c r="C2447" s="58">
        <v>2025.0</v>
      </c>
      <c r="D2447" s="58" t="s">
        <v>22164</v>
      </c>
      <c r="E2447" s="58" t="s">
        <v>22165</v>
      </c>
      <c r="F2447" s="58" t="s">
        <v>16538</v>
      </c>
      <c r="H2447" s="58" t="s">
        <v>16539</v>
      </c>
      <c r="I2447" s="58" t="s">
        <v>22166</v>
      </c>
      <c r="K2447" s="73">
        <v>45589.0</v>
      </c>
      <c r="Q2447" s="58">
        <v>4.0</v>
      </c>
      <c r="R2447" s="58">
        <v>12.0</v>
      </c>
      <c r="Z2447" s="58" t="s">
        <v>239</v>
      </c>
      <c r="CH2447" s="58" t="s">
        <v>22167</v>
      </c>
      <c r="CI2447" s="73">
        <v>45693.0</v>
      </c>
      <c r="CJ2447" s="58">
        <v>3846.0</v>
      </c>
      <c r="CK2447" s="58">
        <v>3857.0</v>
      </c>
      <c r="CL2447" s="58" t="s">
        <v>22168</v>
      </c>
      <c r="CN2447" s="58" t="s">
        <v>22169</v>
      </c>
      <c r="CO2447" s="58" t="s">
        <v>22170</v>
      </c>
      <c r="CP2447" s="58" t="s">
        <v>22171</v>
      </c>
      <c r="CT2447" s="58">
        <v>41.0</v>
      </c>
      <c r="CU2447" s="58" t="s">
        <v>239</v>
      </c>
      <c r="DL2447" s="58" t="s">
        <v>22172</v>
      </c>
    </row>
    <row r="2448" ht="15.75" customHeight="1">
      <c r="B2448" s="58" t="s">
        <v>16392</v>
      </c>
      <c r="C2448" s="58">
        <v>2024.0</v>
      </c>
      <c r="D2448" s="58" t="s">
        <v>22173</v>
      </c>
      <c r="E2448" s="58" t="s">
        <v>22174</v>
      </c>
      <c r="F2448" s="58" t="s">
        <v>16493</v>
      </c>
      <c r="H2448" s="58" t="s">
        <v>16494</v>
      </c>
      <c r="I2448" s="58" t="s">
        <v>22175</v>
      </c>
      <c r="K2448" s="73">
        <v>45483.0</v>
      </c>
      <c r="R2448" s="58">
        <v>5.0</v>
      </c>
      <c r="Z2448" s="58" t="s">
        <v>239</v>
      </c>
      <c r="CH2448" s="58" t="s">
        <v>22176</v>
      </c>
      <c r="CI2448" s="73">
        <v>45503.0</v>
      </c>
      <c r="CJ2448" s="58">
        <v>4417.0</v>
      </c>
      <c r="CK2448" s="58">
        <v>4443.0</v>
      </c>
      <c r="CL2448" s="58" t="s">
        <v>22177</v>
      </c>
      <c r="CO2448" s="58" t="s">
        <v>22178</v>
      </c>
      <c r="CP2448" s="58" t="s">
        <v>22179</v>
      </c>
      <c r="CT2448" s="58">
        <v>47.0</v>
      </c>
      <c r="CU2448" s="58" t="s">
        <v>16423</v>
      </c>
      <c r="DL2448" s="58" t="s">
        <v>22180</v>
      </c>
    </row>
    <row r="2449" ht="15.75" customHeight="1">
      <c r="B2449" s="58" t="s">
        <v>16392</v>
      </c>
      <c r="C2449" s="58">
        <v>2025.0</v>
      </c>
      <c r="D2449" s="58" t="s">
        <v>22181</v>
      </c>
      <c r="E2449" s="58" t="s">
        <v>22182</v>
      </c>
      <c r="F2449" s="58" t="s">
        <v>16436</v>
      </c>
      <c r="H2449" s="58" t="s">
        <v>16437</v>
      </c>
      <c r="I2449" s="58" t="s">
        <v>22183</v>
      </c>
      <c r="K2449" s="73">
        <v>45677.0</v>
      </c>
      <c r="R2449" s="58">
        <v>13.0</v>
      </c>
      <c r="Z2449" s="58" t="s">
        <v>239</v>
      </c>
      <c r="CH2449" s="58" t="s">
        <v>22184</v>
      </c>
      <c r="CI2449" s="73">
        <v>45685.0</v>
      </c>
      <c r="CJ2449" s="58">
        <v>16489.0</v>
      </c>
      <c r="CK2449" s="58">
        <v>16538.0</v>
      </c>
      <c r="CL2449" s="58" t="s">
        <v>22185</v>
      </c>
      <c r="CN2449" s="58" t="s">
        <v>22186</v>
      </c>
      <c r="CO2449" s="58" t="s">
        <v>22187</v>
      </c>
      <c r="CP2449" s="58" t="s">
        <v>22188</v>
      </c>
      <c r="CT2449" s="58">
        <v>303.0</v>
      </c>
      <c r="CU2449" s="58" t="s">
        <v>16423</v>
      </c>
      <c r="DL2449" s="58" t="s">
        <v>22189</v>
      </c>
    </row>
    <row r="2450" ht="15.75" customHeight="1">
      <c r="B2450" s="58" t="s">
        <v>16392</v>
      </c>
      <c r="C2450" s="58">
        <v>2024.0</v>
      </c>
      <c r="D2450" s="58" t="s">
        <v>22190</v>
      </c>
      <c r="E2450" s="58" t="s">
        <v>22191</v>
      </c>
      <c r="F2450" s="58" t="s">
        <v>16436</v>
      </c>
      <c r="H2450" s="58" t="s">
        <v>16437</v>
      </c>
      <c r="I2450" s="58" t="s">
        <v>22192</v>
      </c>
      <c r="K2450" s="73">
        <v>45596.0</v>
      </c>
      <c r="R2450" s="58">
        <v>12.0</v>
      </c>
      <c r="Z2450" s="58" t="s">
        <v>239</v>
      </c>
      <c r="CH2450" s="58" t="s">
        <v>22193</v>
      </c>
      <c r="CI2450" s="73">
        <v>45604.0</v>
      </c>
      <c r="CJ2450" s="58">
        <v>162311.0</v>
      </c>
      <c r="CK2450" s="58">
        <v>162326.0</v>
      </c>
      <c r="CL2450" s="58" t="s">
        <v>22194</v>
      </c>
      <c r="CN2450" s="58" t="s">
        <v>22195</v>
      </c>
      <c r="CO2450" s="58" t="s">
        <v>22196</v>
      </c>
      <c r="CP2450" s="58" t="s">
        <v>22197</v>
      </c>
      <c r="CT2450" s="58">
        <v>53.0</v>
      </c>
      <c r="CU2450" s="58" t="s">
        <v>16727</v>
      </c>
      <c r="DL2450" s="58" t="s">
        <v>22198</v>
      </c>
    </row>
    <row r="2451" ht="15.75" customHeight="1">
      <c r="B2451" s="58" t="s">
        <v>16392</v>
      </c>
      <c r="C2451" s="58">
        <v>2024.0</v>
      </c>
      <c r="D2451" s="58" t="s">
        <v>22199</v>
      </c>
      <c r="E2451" s="58" t="s">
        <v>22200</v>
      </c>
      <c r="F2451" s="58" t="s">
        <v>16436</v>
      </c>
      <c r="H2451" s="58" t="s">
        <v>16437</v>
      </c>
      <c r="I2451" s="58" t="s">
        <v>22201</v>
      </c>
      <c r="K2451" s="73">
        <v>45285.0</v>
      </c>
      <c r="R2451" s="58">
        <v>12.0</v>
      </c>
      <c r="Z2451" s="58" t="s">
        <v>239</v>
      </c>
      <c r="CH2451" s="58" t="s">
        <v>22202</v>
      </c>
      <c r="CI2451" s="73">
        <v>45294.0</v>
      </c>
      <c r="CJ2451" s="58">
        <v>1064.0</v>
      </c>
      <c r="CK2451" s="58">
        <v>1075.0</v>
      </c>
      <c r="CL2451" s="58" t="s">
        <v>22203</v>
      </c>
      <c r="CN2451" s="58" t="s">
        <v>22204</v>
      </c>
      <c r="CO2451" s="58" t="s">
        <v>22205</v>
      </c>
      <c r="CP2451" s="58" t="s">
        <v>22206</v>
      </c>
      <c r="CT2451" s="58">
        <v>43.0</v>
      </c>
      <c r="CU2451" s="58" t="s">
        <v>16423</v>
      </c>
      <c r="DL2451" s="58" t="s">
        <v>22207</v>
      </c>
    </row>
    <row r="2452" ht="15.75" customHeight="1">
      <c r="B2452" s="58" t="s">
        <v>16392</v>
      </c>
      <c r="C2452" s="58">
        <v>2024.0</v>
      </c>
      <c r="D2452" s="58" t="s">
        <v>22208</v>
      </c>
      <c r="E2452" s="58" t="s">
        <v>22209</v>
      </c>
      <c r="F2452" s="58" t="s">
        <v>17040</v>
      </c>
      <c r="H2452" s="58" t="s">
        <v>17041</v>
      </c>
      <c r="I2452" s="58" t="s">
        <v>22210</v>
      </c>
      <c r="K2452" s="73">
        <v>45401.0</v>
      </c>
      <c r="Q2452" s="58">
        <v>4.0</v>
      </c>
      <c r="R2452" s="58">
        <v>8.0</v>
      </c>
      <c r="Z2452" s="58" t="s">
        <v>239</v>
      </c>
      <c r="CH2452" s="58" t="s">
        <v>22211</v>
      </c>
      <c r="CI2452" s="73">
        <v>45615.0</v>
      </c>
      <c r="CJ2452" s="58">
        <v>1440.0</v>
      </c>
      <c r="CK2452" s="58">
        <v>1449.0</v>
      </c>
      <c r="CL2452" s="58" t="s">
        <v>22212</v>
      </c>
      <c r="CO2452" s="58" t="s">
        <v>22213</v>
      </c>
      <c r="CP2452" s="58" t="s">
        <v>22214</v>
      </c>
      <c r="CT2452" s="58">
        <v>23.0</v>
      </c>
      <c r="CU2452" s="58" t="s">
        <v>239</v>
      </c>
      <c r="DL2452" s="58" t="s">
        <v>22215</v>
      </c>
    </row>
    <row r="2453" ht="15.75" customHeight="1">
      <c r="B2453" s="58" t="s">
        <v>16392</v>
      </c>
      <c r="C2453" s="58">
        <v>2024.0</v>
      </c>
      <c r="D2453" s="58" t="s">
        <v>22216</v>
      </c>
      <c r="E2453" s="58" t="s">
        <v>22217</v>
      </c>
      <c r="F2453" s="58" t="s">
        <v>16436</v>
      </c>
      <c r="H2453" s="58" t="s">
        <v>16437</v>
      </c>
      <c r="I2453" s="58" t="s">
        <v>22218</v>
      </c>
      <c r="K2453" s="73">
        <v>45552.0</v>
      </c>
      <c r="R2453" s="58">
        <v>12.0</v>
      </c>
      <c r="Z2453" s="58" t="s">
        <v>239</v>
      </c>
      <c r="CH2453" s="58" t="s">
        <v>22219</v>
      </c>
      <c r="CI2453" s="73">
        <v>45565.0</v>
      </c>
      <c r="CJ2453" s="58">
        <v>134453.0</v>
      </c>
      <c r="CK2453" s="58">
        <v>134485.0</v>
      </c>
      <c r="CL2453" s="58" t="s">
        <v>22220</v>
      </c>
      <c r="CN2453" s="58" t="s">
        <v>22221</v>
      </c>
      <c r="CO2453" s="58" t="s">
        <v>22222</v>
      </c>
      <c r="CP2453" s="58" t="s">
        <v>22223</v>
      </c>
      <c r="CT2453" s="58">
        <v>49.0</v>
      </c>
      <c r="CU2453" s="58" t="s">
        <v>16727</v>
      </c>
      <c r="DL2453" s="58" t="s">
        <v>22224</v>
      </c>
    </row>
    <row r="2454" ht="15.75" customHeight="1">
      <c r="B2454" s="58" t="s">
        <v>16392</v>
      </c>
      <c r="C2454" s="58">
        <v>2025.0</v>
      </c>
      <c r="D2454" s="58" t="s">
        <v>22225</v>
      </c>
      <c r="E2454" s="58" t="s">
        <v>22226</v>
      </c>
      <c r="F2454" s="58" t="s">
        <v>17051</v>
      </c>
      <c r="H2454" s="58" t="s">
        <v>17052</v>
      </c>
      <c r="I2454" s="58" t="s">
        <v>22227</v>
      </c>
      <c r="K2454" s="73">
        <v>45621.0</v>
      </c>
      <c r="Q2454" s="58">
        <v>5.0</v>
      </c>
      <c r="R2454" s="58">
        <v>25.0</v>
      </c>
      <c r="Z2454" s="58" t="s">
        <v>239</v>
      </c>
      <c r="CH2454" s="58" t="s">
        <v>22228</v>
      </c>
      <c r="CI2454" s="73">
        <v>45721.0</v>
      </c>
      <c r="CJ2454" s="58">
        <v>7875.0</v>
      </c>
      <c r="CK2454" s="58">
        <v>7885.0</v>
      </c>
      <c r="CL2454" s="58" t="s">
        <v>22229</v>
      </c>
      <c r="CN2454" s="58" t="s">
        <v>22230</v>
      </c>
      <c r="CO2454" s="58" t="s">
        <v>22231</v>
      </c>
      <c r="CP2454" s="58" t="s">
        <v>22232</v>
      </c>
      <c r="CT2454" s="58">
        <v>41.0</v>
      </c>
      <c r="CU2454" s="58" t="s">
        <v>16423</v>
      </c>
      <c r="DL2454" s="58" t="s">
        <v>22233</v>
      </c>
    </row>
    <row r="2455" ht="15.75" customHeight="1">
      <c r="B2455" s="58" t="s">
        <v>16392</v>
      </c>
      <c r="C2455" s="58">
        <v>2024.0</v>
      </c>
      <c r="D2455" s="58" t="s">
        <v>22234</v>
      </c>
      <c r="E2455" s="58" t="s">
        <v>22235</v>
      </c>
      <c r="F2455" s="58" t="s">
        <v>16436</v>
      </c>
      <c r="H2455" s="58" t="s">
        <v>16437</v>
      </c>
      <c r="I2455" s="58" t="s">
        <v>22236</v>
      </c>
      <c r="K2455" s="73">
        <v>45469.0</v>
      </c>
      <c r="R2455" s="58">
        <v>12.0</v>
      </c>
      <c r="Z2455" s="58" t="s">
        <v>239</v>
      </c>
      <c r="CH2455" s="58" t="s">
        <v>22237</v>
      </c>
      <c r="CI2455" s="73">
        <v>45475.0</v>
      </c>
      <c r="CJ2455" s="58">
        <v>88883.0</v>
      </c>
      <c r="CK2455" s="58">
        <v>88896.0</v>
      </c>
      <c r="CL2455" s="58" t="s">
        <v>22238</v>
      </c>
      <c r="CN2455" s="58" t="s">
        <v>22239</v>
      </c>
      <c r="CO2455" s="58" t="s">
        <v>22240</v>
      </c>
      <c r="CP2455" s="58" t="s">
        <v>22241</v>
      </c>
      <c r="CT2455" s="58">
        <v>61.0</v>
      </c>
      <c r="CU2455" s="58" t="s">
        <v>16727</v>
      </c>
      <c r="DL2455" s="58" t="s">
        <v>22242</v>
      </c>
    </row>
    <row r="2456" ht="15.75" customHeight="1">
      <c r="B2456" s="58" t="s">
        <v>16392</v>
      </c>
      <c r="C2456" s="58">
        <v>2024.0</v>
      </c>
      <c r="D2456" s="58" t="s">
        <v>22243</v>
      </c>
      <c r="E2456" s="58" t="s">
        <v>22244</v>
      </c>
      <c r="F2456" s="58" t="s">
        <v>16436</v>
      </c>
      <c r="H2456" s="58" t="s">
        <v>16437</v>
      </c>
      <c r="I2456" s="58" t="s">
        <v>22245</v>
      </c>
      <c r="K2456" s="73">
        <v>45552.0</v>
      </c>
      <c r="R2456" s="58">
        <v>12.0</v>
      </c>
      <c r="Z2456" s="58" t="s">
        <v>239</v>
      </c>
      <c r="CH2456" s="58" t="s">
        <v>22246</v>
      </c>
      <c r="CI2456" s="73">
        <v>45569.0</v>
      </c>
      <c r="CJ2456" s="58">
        <v>139865.0</v>
      </c>
      <c r="CK2456" s="58">
        <v>139882.0</v>
      </c>
      <c r="CL2456" s="58" t="s">
        <v>22247</v>
      </c>
      <c r="CN2456" s="58" t="s">
        <v>22248</v>
      </c>
      <c r="CO2456" s="58" t="s">
        <v>22249</v>
      </c>
      <c r="CP2456" s="58" t="s">
        <v>22250</v>
      </c>
      <c r="CT2456" s="58">
        <v>37.0</v>
      </c>
      <c r="CU2456" s="58" t="s">
        <v>16727</v>
      </c>
      <c r="DL2456" s="58" t="s">
        <v>22251</v>
      </c>
    </row>
    <row r="2457" ht="15.75" customHeight="1">
      <c r="B2457" s="58" t="s">
        <v>16392</v>
      </c>
      <c r="C2457" s="58">
        <v>2023.0</v>
      </c>
      <c r="D2457" s="58" t="s">
        <v>22252</v>
      </c>
      <c r="E2457" s="58" t="s">
        <v>22253</v>
      </c>
      <c r="F2457" s="58" t="s">
        <v>16436</v>
      </c>
      <c r="H2457" s="58" t="s">
        <v>16437</v>
      </c>
      <c r="I2457" s="58" t="s">
        <v>22254</v>
      </c>
      <c r="K2457" s="73">
        <v>45274.0</v>
      </c>
      <c r="R2457" s="58">
        <v>11.0</v>
      </c>
      <c r="Z2457" s="58" t="s">
        <v>239</v>
      </c>
      <c r="CH2457" s="58" t="s">
        <v>22255</v>
      </c>
      <c r="CI2457" s="73">
        <v>45281.0</v>
      </c>
      <c r="CJ2457" s="58">
        <v>142538.0</v>
      </c>
      <c r="CK2457" s="58">
        <v>142551.0</v>
      </c>
      <c r="CL2457" s="58" t="s">
        <v>22256</v>
      </c>
      <c r="CN2457" s="58" t="s">
        <v>22257</v>
      </c>
      <c r="CO2457" s="58" t="s">
        <v>22258</v>
      </c>
      <c r="CP2457" s="58" t="s">
        <v>22259</v>
      </c>
      <c r="CT2457" s="58">
        <v>54.0</v>
      </c>
      <c r="CU2457" s="58" t="s">
        <v>16727</v>
      </c>
      <c r="DL2457" s="58" t="s">
        <v>22260</v>
      </c>
    </row>
    <row r="2458" ht="15.75" customHeight="1">
      <c r="B2458" s="58" t="s">
        <v>16392</v>
      </c>
      <c r="C2458" s="58">
        <v>2024.0</v>
      </c>
      <c r="D2458" s="58" t="s">
        <v>22261</v>
      </c>
      <c r="E2458" s="58" t="s">
        <v>22262</v>
      </c>
      <c r="F2458" s="58" t="s">
        <v>16436</v>
      </c>
      <c r="H2458" s="58" t="s">
        <v>16437</v>
      </c>
      <c r="I2458" s="58" t="s">
        <v>22263</v>
      </c>
      <c r="K2458" s="73">
        <v>45561.0</v>
      </c>
      <c r="R2458" s="58">
        <v>12.0</v>
      </c>
      <c r="Z2458" s="58" t="s">
        <v>239</v>
      </c>
      <c r="CH2458" s="58" t="s">
        <v>22264</v>
      </c>
      <c r="CI2458" s="73">
        <v>45583.0</v>
      </c>
      <c r="CJ2458" s="58">
        <v>148845.0</v>
      </c>
      <c r="CK2458" s="58">
        <v>148867.0</v>
      </c>
      <c r="CL2458" s="58" t="s">
        <v>22265</v>
      </c>
      <c r="CN2458" s="58" t="s">
        <v>22266</v>
      </c>
      <c r="CO2458" s="58" t="s">
        <v>22267</v>
      </c>
      <c r="CP2458" s="58" t="s">
        <v>22268</v>
      </c>
      <c r="CT2458" s="58">
        <v>180.0</v>
      </c>
      <c r="CU2458" s="58" t="s">
        <v>16727</v>
      </c>
      <c r="DL2458" s="58" t="s">
        <v>22269</v>
      </c>
    </row>
    <row r="2459" ht="15.75" customHeight="1">
      <c r="B2459" s="58" t="s">
        <v>16392</v>
      </c>
      <c r="C2459" s="58">
        <v>2025.0</v>
      </c>
      <c r="D2459" s="58" t="s">
        <v>22270</v>
      </c>
      <c r="E2459" s="58" t="s">
        <v>22271</v>
      </c>
      <c r="F2459" s="58" t="s">
        <v>16538</v>
      </c>
      <c r="H2459" s="58" t="s">
        <v>16539</v>
      </c>
      <c r="I2459" s="58" t="s">
        <v>22272</v>
      </c>
      <c r="K2459" s="73">
        <v>45601.0</v>
      </c>
      <c r="Q2459" s="58">
        <v>2.0</v>
      </c>
      <c r="R2459" s="58">
        <v>12.0</v>
      </c>
      <c r="Z2459" s="58" t="s">
        <v>239</v>
      </c>
      <c r="CH2459" s="58" t="s">
        <v>22273</v>
      </c>
      <c r="CI2459" s="73">
        <v>45667.0</v>
      </c>
      <c r="CJ2459" s="58">
        <v>1484.0</v>
      </c>
      <c r="CK2459" s="58">
        <v>1508.0</v>
      </c>
      <c r="CL2459" s="58" t="s">
        <v>22274</v>
      </c>
      <c r="CN2459" s="58" t="s">
        <v>22275</v>
      </c>
      <c r="CO2459" s="58" t="s">
        <v>22276</v>
      </c>
      <c r="CP2459" s="58" t="s">
        <v>22277</v>
      </c>
      <c r="CT2459" s="58">
        <v>109.0</v>
      </c>
      <c r="CU2459" s="58" t="s">
        <v>239</v>
      </c>
      <c r="DL2459" s="58" t="s">
        <v>22278</v>
      </c>
    </row>
    <row r="2460" ht="15.75" customHeight="1">
      <c r="B2460" s="58" t="s">
        <v>16392</v>
      </c>
      <c r="C2460" s="58">
        <v>2025.0</v>
      </c>
      <c r="D2460" s="58" t="s">
        <v>22279</v>
      </c>
      <c r="E2460" s="58" t="s">
        <v>22280</v>
      </c>
      <c r="F2460" s="58" t="s">
        <v>17040</v>
      </c>
      <c r="H2460" s="58" t="s">
        <v>17041</v>
      </c>
      <c r="I2460" s="58" t="s">
        <v>22281</v>
      </c>
      <c r="K2460" s="73">
        <v>45474.0</v>
      </c>
      <c r="Q2460" s="58">
        <v>1.0</v>
      </c>
      <c r="R2460" s="58">
        <v>9.0</v>
      </c>
      <c r="Z2460" s="58" t="s">
        <v>239</v>
      </c>
      <c r="CH2460" s="58" t="s">
        <v>22282</v>
      </c>
      <c r="CI2460" s="73">
        <v>45701.0</v>
      </c>
      <c r="CJ2460" s="58">
        <v>108.0</v>
      </c>
      <c r="CK2460" s="58">
        <v>124.0</v>
      </c>
      <c r="CL2460" s="58" t="s">
        <v>22283</v>
      </c>
      <c r="CN2460" s="58" t="s">
        <v>22284</v>
      </c>
      <c r="CO2460" s="58" t="s">
        <v>22285</v>
      </c>
      <c r="CP2460" s="58" t="s">
        <v>22286</v>
      </c>
      <c r="CT2460" s="58">
        <v>42.0</v>
      </c>
      <c r="CU2460" s="58" t="s">
        <v>239</v>
      </c>
      <c r="DL2460" s="58" t="s">
        <v>22287</v>
      </c>
    </row>
    <row r="2461" ht="15.75" customHeight="1">
      <c r="B2461" s="58" t="s">
        <v>16392</v>
      </c>
      <c r="C2461" s="58">
        <v>2022.0</v>
      </c>
      <c r="D2461" s="58" t="s">
        <v>22288</v>
      </c>
      <c r="E2461" s="58" t="s">
        <v>22289</v>
      </c>
      <c r="F2461" s="58" t="s">
        <v>16436</v>
      </c>
      <c r="H2461" s="58" t="s">
        <v>16437</v>
      </c>
      <c r="I2461" s="58" t="s">
        <v>22290</v>
      </c>
      <c r="K2461" s="73">
        <v>44774.0</v>
      </c>
      <c r="R2461" s="58">
        <v>10.0</v>
      </c>
      <c r="Z2461" s="58" t="s">
        <v>239</v>
      </c>
      <c r="CH2461" s="58" t="s">
        <v>22291</v>
      </c>
      <c r="CI2461" s="73">
        <v>44781.0</v>
      </c>
      <c r="CJ2461" s="58">
        <v>80833.0</v>
      </c>
      <c r="CK2461" s="58">
        <v>80846.0</v>
      </c>
      <c r="CL2461" s="58" t="s">
        <v>22292</v>
      </c>
      <c r="CO2461" s="58" t="s">
        <v>22293</v>
      </c>
      <c r="CP2461" s="58" t="s">
        <v>22294</v>
      </c>
      <c r="CT2461" s="58">
        <v>42.0</v>
      </c>
      <c r="CU2461" s="58" t="s">
        <v>16423</v>
      </c>
      <c r="DL2461" s="58" t="s">
        <v>22295</v>
      </c>
    </row>
    <row r="2462" ht="15.75" customHeight="1">
      <c r="B2462" s="58" t="s">
        <v>16392</v>
      </c>
      <c r="C2462" s="58">
        <v>2024.0</v>
      </c>
      <c r="D2462" s="58" t="s">
        <v>22296</v>
      </c>
      <c r="E2462" s="58" t="s">
        <v>22297</v>
      </c>
      <c r="F2462" s="58" t="s">
        <v>16436</v>
      </c>
      <c r="H2462" s="58" t="s">
        <v>16437</v>
      </c>
      <c r="I2462" s="58" t="s">
        <v>22298</v>
      </c>
      <c r="K2462" s="73">
        <v>45623.0</v>
      </c>
      <c r="R2462" s="58">
        <v>12.0</v>
      </c>
      <c r="Z2462" s="58" t="s">
        <v>239</v>
      </c>
      <c r="CH2462" s="58" t="s">
        <v>22299</v>
      </c>
      <c r="CI2462" s="73">
        <v>45631.0</v>
      </c>
      <c r="CJ2462" s="58">
        <v>179449.0</v>
      </c>
      <c r="CK2462" s="58">
        <v>179463.0</v>
      </c>
      <c r="CL2462" s="58" t="s">
        <v>22300</v>
      </c>
      <c r="CN2462" s="58" t="s">
        <v>22301</v>
      </c>
      <c r="CO2462" s="58" t="s">
        <v>22302</v>
      </c>
      <c r="CP2462" s="58" t="s">
        <v>22303</v>
      </c>
      <c r="CT2462" s="58">
        <v>51.0</v>
      </c>
      <c r="CU2462" s="58" t="s">
        <v>16423</v>
      </c>
      <c r="DL2462" s="58" t="s">
        <v>22304</v>
      </c>
    </row>
    <row r="2463" ht="15.75" customHeight="1">
      <c r="B2463" s="58" t="s">
        <v>16392</v>
      </c>
      <c r="C2463" s="58">
        <v>2023.0</v>
      </c>
      <c r="D2463" s="58" t="s">
        <v>22305</v>
      </c>
      <c r="E2463" s="58" t="s">
        <v>22306</v>
      </c>
      <c r="F2463" s="58" t="s">
        <v>16436</v>
      </c>
      <c r="H2463" s="58" t="s">
        <v>16437</v>
      </c>
      <c r="I2463" s="58" t="s">
        <v>22307</v>
      </c>
      <c r="K2463" s="73">
        <v>45012.0</v>
      </c>
      <c r="R2463" s="58">
        <v>11.0</v>
      </c>
      <c r="Z2463" s="58" t="s">
        <v>239</v>
      </c>
      <c r="CH2463" s="58" t="s">
        <v>22308</v>
      </c>
      <c r="CI2463" s="73">
        <v>45022.0</v>
      </c>
      <c r="CJ2463" s="58">
        <v>33027.0</v>
      </c>
      <c r="CK2463" s="58">
        <v>33036.0</v>
      </c>
      <c r="CL2463" s="58" t="s">
        <v>22309</v>
      </c>
      <c r="CN2463" s="58" t="s">
        <v>22310</v>
      </c>
      <c r="CO2463" s="58" t="s">
        <v>22311</v>
      </c>
      <c r="CP2463" s="58" t="s">
        <v>22312</v>
      </c>
      <c r="CT2463" s="58">
        <v>30.0</v>
      </c>
      <c r="CU2463" s="58" t="s">
        <v>16423</v>
      </c>
      <c r="DL2463" s="58" t="s">
        <v>22313</v>
      </c>
    </row>
    <row r="2464" ht="15.75" customHeight="1">
      <c r="B2464" s="58" t="s">
        <v>16392</v>
      </c>
      <c r="C2464" s="58">
        <v>2024.0</v>
      </c>
      <c r="D2464" s="58" t="s">
        <v>22314</v>
      </c>
      <c r="E2464" s="58" t="s">
        <v>22315</v>
      </c>
      <c r="F2464" s="58" t="s">
        <v>22316</v>
      </c>
      <c r="H2464" s="58" t="s">
        <v>22317</v>
      </c>
      <c r="I2464" s="58" t="s">
        <v>22318</v>
      </c>
      <c r="K2464" s="73">
        <v>45505.0</v>
      </c>
      <c r="Q2464" s="58">
        <v>9.0</v>
      </c>
      <c r="R2464" s="58">
        <v>50.0</v>
      </c>
      <c r="Z2464" s="58" t="s">
        <v>239</v>
      </c>
      <c r="CH2464" s="58" t="s">
        <v>22319</v>
      </c>
      <c r="CI2464" s="73">
        <v>45553.0</v>
      </c>
      <c r="CJ2464" s="58">
        <v>2363.0</v>
      </c>
      <c r="CK2464" s="58">
        <v>2378.0</v>
      </c>
      <c r="CL2464" s="58" t="s">
        <v>22320</v>
      </c>
      <c r="CN2464" s="58" t="s">
        <v>22321</v>
      </c>
      <c r="CO2464" s="58" t="s">
        <v>22322</v>
      </c>
      <c r="CP2464" s="58" t="s">
        <v>22323</v>
      </c>
      <c r="CT2464" s="58">
        <v>67.0</v>
      </c>
      <c r="CU2464" s="58" t="s">
        <v>239</v>
      </c>
      <c r="DL2464" s="58" t="s">
        <v>22324</v>
      </c>
    </row>
    <row r="2465" ht="15.75" customHeight="1">
      <c r="B2465" s="58" t="s">
        <v>16392</v>
      </c>
      <c r="C2465" s="58">
        <v>2025.0</v>
      </c>
      <c r="D2465" s="58" t="s">
        <v>22325</v>
      </c>
      <c r="E2465" s="58" t="s">
        <v>22326</v>
      </c>
      <c r="F2465" s="58" t="s">
        <v>17164</v>
      </c>
      <c r="H2465" s="58" t="s">
        <v>17165</v>
      </c>
      <c r="I2465" s="58" t="s">
        <v>22327</v>
      </c>
      <c r="K2465" s="73">
        <v>45604.0</v>
      </c>
      <c r="Q2465" s="58">
        <v>1.0</v>
      </c>
      <c r="R2465" s="58">
        <v>36.0</v>
      </c>
      <c r="Z2465" s="58" t="s">
        <v>239</v>
      </c>
      <c r="CH2465" s="58" t="s">
        <v>22328</v>
      </c>
      <c r="CI2465" s="73">
        <v>45624.0</v>
      </c>
      <c r="CJ2465" s="58">
        <v>67.0</v>
      </c>
      <c r="CK2465" s="58">
        <v>83.0</v>
      </c>
      <c r="CL2465" s="58" t="s">
        <v>22329</v>
      </c>
      <c r="CN2465" s="58" t="s">
        <v>22330</v>
      </c>
      <c r="CO2465" s="58" t="s">
        <v>22331</v>
      </c>
      <c r="CP2465" s="58" t="s">
        <v>22332</v>
      </c>
      <c r="CT2465" s="58">
        <v>102.0</v>
      </c>
      <c r="CU2465" s="58" t="s">
        <v>239</v>
      </c>
      <c r="DL2465" s="58" t="s">
        <v>22333</v>
      </c>
    </row>
    <row r="2466" ht="15.75" customHeight="1">
      <c r="B2466" s="58" t="s">
        <v>16392</v>
      </c>
      <c r="C2466" s="58">
        <v>2024.0</v>
      </c>
      <c r="D2466" s="58" t="s">
        <v>22334</v>
      </c>
      <c r="E2466" s="58" t="s">
        <v>22335</v>
      </c>
      <c r="F2466" s="58" t="s">
        <v>16436</v>
      </c>
      <c r="H2466" s="58" t="s">
        <v>16437</v>
      </c>
      <c r="I2466" s="58" t="s">
        <v>22336</v>
      </c>
      <c r="K2466" s="73">
        <v>45456.0</v>
      </c>
      <c r="R2466" s="58">
        <v>12.0</v>
      </c>
      <c r="Z2466" s="58" t="s">
        <v>239</v>
      </c>
      <c r="CH2466" s="58" t="s">
        <v>22337</v>
      </c>
      <c r="CI2466" s="73">
        <v>45463.0</v>
      </c>
      <c r="CJ2466" s="58">
        <v>84046.0</v>
      </c>
      <c r="CK2466" s="58">
        <v>84063.0</v>
      </c>
      <c r="CL2466" s="58" t="s">
        <v>22338</v>
      </c>
      <c r="CN2466" s="58" t="s">
        <v>22339</v>
      </c>
      <c r="CO2466" s="58" t="s">
        <v>22340</v>
      </c>
      <c r="CP2466" s="58" t="s">
        <v>22341</v>
      </c>
      <c r="CT2466" s="58">
        <v>40.0</v>
      </c>
      <c r="CU2466" s="58" t="s">
        <v>16727</v>
      </c>
      <c r="DL2466" s="58" t="s">
        <v>22342</v>
      </c>
    </row>
    <row r="2467" ht="15.75" customHeight="1">
      <c r="B2467" s="58" t="s">
        <v>16392</v>
      </c>
      <c r="C2467" s="58">
        <v>2024.0</v>
      </c>
      <c r="D2467" s="58" t="s">
        <v>22343</v>
      </c>
      <c r="E2467" s="58" t="s">
        <v>22344</v>
      </c>
      <c r="F2467" s="58" t="s">
        <v>22345</v>
      </c>
      <c r="H2467" s="58" t="s">
        <v>22346</v>
      </c>
      <c r="I2467" s="58" t="s">
        <v>22347</v>
      </c>
      <c r="K2467" s="73">
        <v>45492.0</v>
      </c>
      <c r="Q2467" s="58">
        <v>11.0</v>
      </c>
      <c r="R2467" s="58">
        <v>54.0</v>
      </c>
      <c r="Z2467" s="58" t="s">
        <v>239</v>
      </c>
      <c r="CH2467" s="58" t="s">
        <v>22348</v>
      </c>
      <c r="CI2467" s="73">
        <v>45595.0</v>
      </c>
      <c r="CJ2467" s="58">
        <v>6679.0</v>
      </c>
      <c r="CK2467" s="58">
        <v>6692.0</v>
      </c>
      <c r="CL2467" s="58" t="s">
        <v>22349</v>
      </c>
      <c r="CN2467" s="58" t="s">
        <v>22350</v>
      </c>
      <c r="CO2467" s="58" t="s">
        <v>22351</v>
      </c>
      <c r="CP2467" s="58" t="s">
        <v>22352</v>
      </c>
      <c r="CT2467" s="58">
        <v>95.0</v>
      </c>
      <c r="CU2467" s="58" t="s">
        <v>239</v>
      </c>
      <c r="DL2467" s="58" t="s">
        <v>22353</v>
      </c>
    </row>
    <row r="2468" ht="15.75" customHeight="1">
      <c r="B2468" s="58" t="s">
        <v>16392</v>
      </c>
      <c r="C2468" s="58">
        <v>2025.0</v>
      </c>
      <c r="D2468" s="58" t="s">
        <v>22354</v>
      </c>
      <c r="E2468" s="58" t="s">
        <v>22355</v>
      </c>
      <c r="F2468" s="58" t="s">
        <v>17438</v>
      </c>
      <c r="H2468" s="58" t="s">
        <v>17439</v>
      </c>
      <c r="I2468" s="58" t="s">
        <v>22356</v>
      </c>
      <c r="K2468" s="73">
        <v>45650.0</v>
      </c>
      <c r="Q2468" s="58">
        <v>1.0</v>
      </c>
      <c r="R2468" s="58">
        <v>13.0</v>
      </c>
      <c r="Z2468" s="58" t="s">
        <v>239</v>
      </c>
      <c r="CH2468" s="58" t="s">
        <v>22357</v>
      </c>
      <c r="CI2468" s="73">
        <v>45723.0</v>
      </c>
      <c r="CJ2468" s="58">
        <v>198.0</v>
      </c>
      <c r="CK2468" s="58">
        <v>212.0</v>
      </c>
      <c r="CL2468" s="58" t="s">
        <v>22358</v>
      </c>
      <c r="CN2468" s="58" t="s">
        <v>22359</v>
      </c>
      <c r="CO2468" s="58" t="s">
        <v>22360</v>
      </c>
      <c r="CP2468" s="58" t="s">
        <v>22361</v>
      </c>
      <c r="CT2468" s="58">
        <v>59.0</v>
      </c>
      <c r="CU2468" s="58" t="s">
        <v>239</v>
      </c>
      <c r="DL2468" s="58" t="s">
        <v>22362</v>
      </c>
    </row>
    <row r="2469" ht="15.75" customHeight="1">
      <c r="B2469" s="58" t="s">
        <v>16392</v>
      </c>
      <c r="C2469" s="58">
        <v>2024.0</v>
      </c>
      <c r="D2469" s="58" t="s">
        <v>22363</v>
      </c>
      <c r="E2469" s="58" t="s">
        <v>22364</v>
      </c>
      <c r="F2469" s="58" t="s">
        <v>16436</v>
      </c>
      <c r="H2469" s="58" t="s">
        <v>16437</v>
      </c>
      <c r="I2469" s="58" t="s">
        <v>22365</v>
      </c>
      <c r="K2469" s="73">
        <v>45635.0</v>
      </c>
      <c r="R2469" s="58">
        <v>12.0</v>
      </c>
      <c r="Z2469" s="58" t="s">
        <v>239</v>
      </c>
      <c r="CH2469" s="58" t="s">
        <v>22366</v>
      </c>
      <c r="CI2469" s="73">
        <v>45643.0</v>
      </c>
      <c r="CJ2469" s="58">
        <v>185918.0</v>
      </c>
      <c r="CK2469" s="58">
        <v>185936.0</v>
      </c>
      <c r="CL2469" s="58" t="s">
        <v>22367</v>
      </c>
      <c r="CN2469" s="58" t="s">
        <v>22368</v>
      </c>
      <c r="CO2469" s="58" t="s">
        <v>22369</v>
      </c>
      <c r="CP2469" s="58" t="s">
        <v>22370</v>
      </c>
      <c r="CT2469" s="58">
        <v>55.0</v>
      </c>
      <c r="CU2469" s="58" t="s">
        <v>16423</v>
      </c>
      <c r="DL2469" s="58" t="s">
        <v>22371</v>
      </c>
    </row>
    <row r="2470" ht="15.75" customHeight="1">
      <c r="B2470" s="58" t="s">
        <v>16392</v>
      </c>
      <c r="C2470" s="58">
        <v>2025.0</v>
      </c>
      <c r="D2470" s="58" t="s">
        <v>22372</v>
      </c>
      <c r="E2470" s="58" t="s">
        <v>22373</v>
      </c>
      <c r="F2470" s="58" t="s">
        <v>16493</v>
      </c>
      <c r="H2470" s="58" t="s">
        <v>16494</v>
      </c>
      <c r="I2470" s="58" t="s">
        <v>22374</v>
      </c>
      <c r="K2470" s="73">
        <v>45671.0</v>
      </c>
      <c r="R2470" s="58">
        <v>6.0</v>
      </c>
      <c r="Z2470" s="58" t="s">
        <v>239</v>
      </c>
      <c r="CH2470" s="58" t="s">
        <v>22375</v>
      </c>
      <c r="CI2470" s="73">
        <v>45688.0</v>
      </c>
      <c r="CJ2470" s="58">
        <v>881.0</v>
      </c>
      <c r="CK2470" s="58">
        <v>925.0</v>
      </c>
      <c r="CL2470" s="58" t="s">
        <v>22376</v>
      </c>
      <c r="CN2470" s="58" t="s">
        <v>22377</v>
      </c>
      <c r="CO2470" s="58" t="s">
        <v>22378</v>
      </c>
      <c r="CP2470" s="58" t="s">
        <v>22379</v>
      </c>
      <c r="CT2470" s="58">
        <v>87.0</v>
      </c>
      <c r="CU2470" s="58" t="s">
        <v>16423</v>
      </c>
      <c r="DL2470" s="58" t="s">
        <v>22380</v>
      </c>
    </row>
    <row r="2471" ht="15.75" customHeight="1">
      <c r="B2471" s="58" t="s">
        <v>20846</v>
      </c>
      <c r="C2471" s="58">
        <v>2020.0</v>
      </c>
      <c r="D2471" s="58" t="s">
        <v>22381</v>
      </c>
      <c r="E2471" s="58" t="s">
        <v>22382</v>
      </c>
      <c r="F2471" s="58" t="s">
        <v>20849</v>
      </c>
      <c r="H2471" s="58" t="s">
        <v>20850</v>
      </c>
      <c r="I2471" s="58" t="s">
        <v>22383</v>
      </c>
      <c r="K2471" s="73">
        <v>45685.0</v>
      </c>
      <c r="Q2471" s="58">
        <v>5.0</v>
      </c>
      <c r="R2471" s="58">
        <v>29.0</v>
      </c>
      <c r="Z2471" s="58" t="s">
        <v>20852</v>
      </c>
      <c r="CH2471" s="58" t="s">
        <v>22384</v>
      </c>
      <c r="CI2471" s="73">
        <v>45685.0</v>
      </c>
      <c r="CJ2471" s="58">
        <v>793.0</v>
      </c>
      <c r="CK2471" s="58">
        <v>811.0</v>
      </c>
      <c r="CL2471" s="58" t="s">
        <v>22385</v>
      </c>
      <c r="CO2471" s="58" t="s">
        <v>22386</v>
      </c>
      <c r="CP2471" s="58" t="s">
        <v>22387</v>
      </c>
      <c r="CT2471" s="58">
        <v>97.0</v>
      </c>
      <c r="DL2471" s="58" t="s">
        <v>22388</v>
      </c>
    </row>
    <row r="2472" ht="15.75" customHeight="1">
      <c r="B2472" s="58" t="s">
        <v>16392</v>
      </c>
      <c r="C2472" s="58">
        <v>2024.0</v>
      </c>
      <c r="D2472" s="58" t="s">
        <v>22389</v>
      </c>
      <c r="E2472" s="58" t="s">
        <v>22390</v>
      </c>
      <c r="F2472" s="58" t="s">
        <v>16436</v>
      </c>
      <c r="H2472" s="58" t="s">
        <v>16437</v>
      </c>
      <c r="I2472" s="58" t="s">
        <v>22391</v>
      </c>
      <c r="K2472" s="73">
        <v>45546.0</v>
      </c>
      <c r="R2472" s="58">
        <v>12.0</v>
      </c>
      <c r="Z2472" s="58" t="s">
        <v>239</v>
      </c>
      <c r="CH2472" s="58" t="s">
        <v>22392</v>
      </c>
      <c r="CI2472" s="73">
        <v>45559.0</v>
      </c>
      <c r="CJ2472" s="58">
        <v>131621.0</v>
      </c>
      <c r="CK2472" s="58">
        <v>131637.0</v>
      </c>
      <c r="CL2472" s="58" t="s">
        <v>22393</v>
      </c>
      <c r="CN2472" s="58" t="s">
        <v>22394</v>
      </c>
      <c r="CO2472" s="58" t="s">
        <v>22395</v>
      </c>
      <c r="CP2472" s="58" t="s">
        <v>22396</v>
      </c>
      <c r="CT2472" s="58">
        <v>110.0</v>
      </c>
      <c r="CU2472" s="58" t="s">
        <v>16423</v>
      </c>
      <c r="DL2472" s="58" t="s">
        <v>22397</v>
      </c>
    </row>
    <row r="2473" ht="15.75" customHeight="1">
      <c r="B2473" s="58" t="s">
        <v>16392</v>
      </c>
      <c r="C2473" s="58">
        <v>2024.0</v>
      </c>
      <c r="D2473" s="58" t="s">
        <v>22398</v>
      </c>
      <c r="E2473" s="58" t="s">
        <v>22399</v>
      </c>
      <c r="F2473" s="58" t="s">
        <v>16436</v>
      </c>
      <c r="H2473" s="58" t="s">
        <v>16437</v>
      </c>
      <c r="I2473" s="58" t="s">
        <v>22400</v>
      </c>
      <c r="K2473" s="73">
        <v>45595.0</v>
      </c>
      <c r="R2473" s="58">
        <v>12.0</v>
      </c>
      <c r="Z2473" s="58" t="s">
        <v>239</v>
      </c>
      <c r="CH2473" s="58" t="s">
        <v>22401</v>
      </c>
      <c r="CI2473" s="73">
        <v>45602.0</v>
      </c>
      <c r="CJ2473" s="58">
        <v>159561.0</v>
      </c>
      <c r="CK2473" s="58">
        <v>159578.0</v>
      </c>
      <c r="CL2473" s="58" t="s">
        <v>22402</v>
      </c>
      <c r="CN2473" s="58" t="s">
        <v>22403</v>
      </c>
      <c r="CO2473" s="58" t="s">
        <v>22404</v>
      </c>
      <c r="CP2473" s="58" t="s">
        <v>22405</v>
      </c>
      <c r="CT2473" s="58">
        <v>47.0</v>
      </c>
      <c r="CU2473" s="58" t="s">
        <v>16727</v>
      </c>
      <c r="DL2473" s="58" t="s">
        <v>22406</v>
      </c>
    </row>
    <row r="2474" ht="15.75" customHeight="1">
      <c r="B2474" s="58" t="s">
        <v>16392</v>
      </c>
      <c r="C2474" s="58">
        <v>2024.0</v>
      </c>
      <c r="D2474" s="58" t="s">
        <v>22407</v>
      </c>
      <c r="E2474" s="58" t="s">
        <v>22408</v>
      </c>
      <c r="F2474" s="58" t="s">
        <v>22316</v>
      </c>
      <c r="H2474" s="58" t="s">
        <v>22317</v>
      </c>
      <c r="I2474" s="58" t="s">
        <v>22409</v>
      </c>
      <c r="K2474" s="73">
        <v>45433.0</v>
      </c>
      <c r="Q2474" s="58">
        <v>7.0</v>
      </c>
      <c r="R2474" s="58">
        <v>50.0</v>
      </c>
      <c r="Z2474" s="58" t="s">
        <v>239</v>
      </c>
      <c r="CH2474" s="58" t="s">
        <v>22410</v>
      </c>
      <c r="CI2474" s="73">
        <v>45490.0</v>
      </c>
      <c r="CJ2474" s="58">
        <v>1827.0</v>
      </c>
      <c r="CK2474" s="58">
        <v>1851.0</v>
      </c>
      <c r="CL2474" s="58" t="s">
        <v>22411</v>
      </c>
      <c r="CO2474" s="58" t="s">
        <v>22412</v>
      </c>
      <c r="CP2474" s="58" t="s">
        <v>22413</v>
      </c>
      <c r="CT2474" s="58">
        <v>76.0</v>
      </c>
      <c r="CU2474" s="58" t="s">
        <v>239</v>
      </c>
      <c r="DL2474" s="58" t="s">
        <v>22414</v>
      </c>
    </row>
    <row r="2475" ht="15.75" customHeight="1">
      <c r="B2475" s="58" t="s">
        <v>16392</v>
      </c>
      <c r="C2475" s="58">
        <v>2025.0</v>
      </c>
      <c r="D2475" s="58" t="s">
        <v>22415</v>
      </c>
      <c r="E2475" s="58" t="s">
        <v>22416</v>
      </c>
      <c r="F2475" s="58" t="s">
        <v>16493</v>
      </c>
      <c r="H2475" s="58" t="s">
        <v>16494</v>
      </c>
      <c r="I2475" s="58" t="s">
        <v>22417</v>
      </c>
      <c r="K2475" s="73">
        <v>45644.0</v>
      </c>
      <c r="R2475" s="58">
        <v>6.0</v>
      </c>
      <c r="Z2475" s="58" t="s">
        <v>239</v>
      </c>
      <c r="CH2475" s="58" t="s">
        <v>22418</v>
      </c>
      <c r="CI2475" s="73">
        <v>45665.0</v>
      </c>
      <c r="CJ2475" s="58">
        <v>332.0</v>
      </c>
      <c r="CK2475" s="58">
        <v>361.0</v>
      </c>
      <c r="CL2475" s="58" t="s">
        <v>22419</v>
      </c>
      <c r="CN2475" s="58" t="s">
        <v>22420</v>
      </c>
      <c r="CO2475" s="58" t="s">
        <v>22421</v>
      </c>
      <c r="CP2475" s="58" t="s">
        <v>22422</v>
      </c>
      <c r="CT2475" s="58">
        <v>172.0</v>
      </c>
      <c r="CU2475" s="58" t="s">
        <v>16423</v>
      </c>
      <c r="DL2475" s="58" t="s">
        <v>22423</v>
      </c>
    </row>
    <row r="2476" ht="15.75" customHeight="1">
      <c r="B2476" s="58" t="s">
        <v>21207</v>
      </c>
      <c r="C2476" s="58">
        <v>2024.0</v>
      </c>
      <c r="D2476" s="58" t="s">
        <v>21830</v>
      </c>
      <c r="E2476" s="58" t="s">
        <v>22424</v>
      </c>
      <c r="F2476" s="58" t="s">
        <v>21210</v>
      </c>
      <c r="H2476" s="58" t="s">
        <v>21211</v>
      </c>
      <c r="I2476" s="58" t="s">
        <v>22425</v>
      </c>
      <c r="K2476" s="73">
        <v>45419.0</v>
      </c>
      <c r="Q2476" s="58">
        <v>2.0</v>
      </c>
      <c r="R2476" s="58">
        <v>26.0</v>
      </c>
      <c r="Z2476" s="58" t="s">
        <v>21213</v>
      </c>
      <c r="CH2476" s="58" t="s">
        <v>21833</v>
      </c>
      <c r="CI2476" s="73">
        <v>45419.0</v>
      </c>
      <c r="CJ2476" s="58">
        <v>215.0</v>
      </c>
      <c r="CK2476" s="58">
        <v>224.0</v>
      </c>
      <c r="CL2476" s="58" t="s">
        <v>22426</v>
      </c>
      <c r="CO2476" s="58" t="s">
        <v>22427</v>
      </c>
      <c r="CP2476" s="58" t="s">
        <v>22428</v>
      </c>
      <c r="DL2476" s="58" t="s">
        <v>22429</v>
      </c>
    </row>
    <row r="2477" ht="15.75" customHeight="1">
      <c r="B2477" s="58" t="s">
        <v>16392</v>
      </c>
      <c r="C2477" s="58">
        <v>2021.0</v>
      </c>
      <c r="D2477" s="58" t="s">
        <v>22430</v>
      </c>
      <c r="E2477" s="58" t="s">
        <v>22431</v>
      </c>
      <c r="F2477" s="58" t="s">
        <v>18334</v>
      </c>
      <c r="H2477" s="58" t="s">
        <v>18335</v>
      </c>
      <c r="I2477" s="58" t="s">
        <v>22432</v>
      </c>
      <c r="K2477" s="73">
        <v>44385.0</v>
      </c>
      <c r="Q2477" s="58">
        <v>6.0</v>
      </c>
      <c r="R2477" s="58">
        <v>70.0</v>
      </c>
      <c r="Z2477" s="58" t="s">
        <v>239</v>
      </c>
      <c r="CH2477" s="58" t="s">
        <v>22433</v>
      </c>
      <c r="CI2477" s="73">
        <v>44385.0</v>
      </c>
      <c r="CJ2477" s="58">
        <v>5192.0</v>
      </c>
      <c r="CK2477" s="58">
        <v>5196.0</v>
      </c>
      <c r="CL2477" s="58" t="s">
        <v>22434</v>
      </c>
      <c r="CO2477" s="58" t="s">
        <v>22435</v>
      </c>
      <c r="CR2477" s="58">
        <v>4.0</v>
      </c>
      <c r="CT2477" s="58">
        <v>0.0</v>
      </c>
      <c r="CU2477" s="58" t="s">
        <v>239</v>
      </c>
      <c r="DL2477" s="58" t="s">
        <v>22436</v>
      </c>
    </row>
    <row r="2478" ht="15.75" customHeight="1">
      <c r="B2478" s="58" t="s">
        <v>16392</v>
      </c>
      <c r="C2478" s="58">
        <v>2023.0</v>
      </c>
      <c r="D2478" s="58" t="s">
        <v>22437</v>
      </c>
      <c r="E2478" s="58" t="s">
        <v>22438</v>
      </c>
      <c r="F2478" s="58" t="s">
        <v>16538</v>
      </c>
      <c r="H2478" s="58" t="s">
        <v>16539</v>
      </c>
      <c r="I2478" s="58" t="s">
        <v>22439</v>
      </c>
      <c r="K2478" s="73">
        <v>44977.0</v>
      </c>
      <c r="Q2478" s="58">
        <v>5.0</v>
      </c>
      <c r="R2478" s="58">
        <v>10.0</v>
      </c>
      <c r="Z2478" s="58" t="s">
        <v>239</v>
      </c>
      <c r="CH2478" s="58" t="s">
        <v>22440</v>
      </c>
      <c r="CI2478" s="73">
        <v>44977.0</v>
      </c>
      <c r="CJ2478" s="58">
        <v>3681.0</v>
      </c>
      <c r="CK2478" s="58">
        <v>3685.0</v>
      </c>
      <c r="CL2478" s="58" t="s">
        <v>22441</v>
      </c>
      <c r="CO2478" s="58" t="s">
        <v>22442</v>
      </c>
      <c r="CR2478" s="58">
        <v>3.0</v>
      </c>
      <c r="CT2478" s="58">
        <v>0.0</v>
      </c>
      <c r="CU2478" s="58" t="s">
        <v>239</v>
      </c>
      <c r="DL2478" s="58" t="s">
        <v>22443</v>
      </c>
    </row>
    <row r="2479" ht="15.75" customHeight="1">
      <c r="B2479" s="58" t="s">
        <v>16392</v>
      </c>
      <c r="C2479" s="58">
        <v>2020.0</v>
      </c>
      <c r="D2479" s="58" t="s">
        <v>22444</v>
      </c>
      <c r="E2479" s="58" t="s">
        <v>22445</v>
      </c>
      <c r="F2479" s="58" t="s">
        <v>16436</v>
      </c>
      <c r="H2479" s="58" t="s">
        <v>16437</v>
      </c>
      <c r="I2479" s="58" t="s">
        <v>22446</v>
      </c>
      <c r="K2479" s="73">
        <v>44187.0</v>
      </c>
      <c r="R2479" s="58">
        <v>8.0</v>
      </c>
      <c r="Z2479" s="58" t="s">
        <v>239</v>
      </c>
      <c r="CH2479" s="58" t="s">
        <v>22447</v>
      </c>
      <c r="CI2479" s="73">
        <v>44187.0</v>
      </c>
      <c r="CJ2479" s="58">
        <v>222859.0</v>
      </c>
      <c r="CK2479" s="58">
        <v>222864.0</v>
      </c>
      <c r="CL2479" s="58" t="s">
        <v>22448</v>
      </c>
      <c r="CO2479" s="58" t="s">
        <v>22449</v>
      </c>
      <c r="CR2479" s="58">
        <v>3.0</v>
      </c>
      <c r="CT2479" s="58">
        <v>0.0</v>
      </c>
      <c r="CU2479" s="58" t="s">
        <v>16423</v>
      </c>
    </row>
    <row r="2480" ht="15.75" customHeight="1">
      <c r="B2480" s="58" t="s">
        <v>16392</v>
      </c>
      <c r="C2480" s="58">
        <v>2021.0</v>
      </c>
      <c r="D2480" s="58" t="s">
        <v>22450</v>
      </c>
      <c r="E2480" s="58" t="s">
        <v>22451</v>
      </c>
      <c r="F2480" s="58" t="s">
        <v>16436</v>
      </c>
      <c r="H2480" s="58" t="s">
        <v>16437</v>
      </c>
      <c r="I2480" s="58" t="s">
        <v>22452</v>
      </c>
      <c r="K2480" s="73">
        <v>44376.0</v>
      </c>
      <c r="R2480" s="58">
        <v>9.0</v>
      </c>
      <c r="Z2480" s="58" t="s">
        <v>239</v>
      </c>
      <c r="CH2480" s="58" t="s">
        <v>22453</v>
      </c>
      <c r="CI2480" s="73">
        <v>44376.0</v>
      </c>
      <c r="CJ2480" s="58">
        <v>90933.0</v>
      </c>
      <c r="CK2480" s="58">
        <v>90936.0</v>
      </c>
      <c r="CL2480" s="58" t="s">
        <v>22454</v>
      </c>
      <c r="CO2480" s="58" t="s">
        <v>22455</v>
      </c>
      <c r="CR2480" s="58">
        <v>3.0</v>
      </c>
      <c r="CT2480" s="58">
        <v>0.0</v>
      </c>
      <c r="CU2480" s="58" t="s">
        <v>16423</v>
      </c>
    </row>
    <row r="2481" ht="15.75" customHeight="1">
      <c r="B2481" s="58" t="s">
        <v>16392</v>
      </c>
      <c r="C2481" s="58">
        <v>2024.0</v>
      </c>
      <c r="D2481" s="58" t="s">
        <v>22456</v>
      </c>
      <c r="E2481" s="58" t="s">
        <v>22457</v>
      </c>
      <c r="F2481" s="58" t="s">
        <v>17616</v>
      </c>
      <c r="H2481" s="58" t="s">
        <v>17617</v>
      </c>
      <c r="I2481" s="58" t="s">
        <v>22458</v>
      </c>
      <c r="K2481" s="73">
        <v>45316.0</v>
      </c>
      <c r="Q2481" s="58">
        <v>1.0</v>
      </c>
      <c r="R2481" s="58">
        <v>11.0</v>
      </c>
      <c r="Z2481" s="58" t="s">
        <v>239</v>
      </c>
      <c r="CH2481" s="58" t="s">
        <v>22459</v>
      </c>
      <c r="CI2481" s="73">
        <v>45316.0</v>
      </c>
      <c r="CJ2481" s="58">
        <v>5.0</v>
      </c>
      <c r="CK2481" s="58">
        <v>24.0</v>
      </c>
      <c r="CL2481" s="58" t="s">
        <v>22460</v>
      </c>
      <c r="CO2481" s="58" t="s">
        <v>22461</v>
      </c>
      <c r="CR2481" s="58">
        <v>2.0</v>
      </c>
      <c r="CT2481" s="58">
        <v>31.0</v>
      </c>
      <c r="CU2481" s="58" t="s">
        <v>239</v>
      </c>
    </row>
    <row r="2482" ht="15.75" customHeight="1">
      <c r="B2482" s="58" t="s">
        <v>16392</v>
      </c>
      <c r="C2482" s="58">
        <v>2021.0</v>
      </c>
      <c r="D2482" s="58" t="s">
        <v>22462</v>
      </c>
      <c r="E2482" s="58" t="s">
        <v>22463</v>
      </c>
      <c r="F2482" s="58" t="s">
        <v>16436</v>
      </c>
      <c r="H2482" s="58" t="s">
        <v>16437</v>
      </c>
      <c r="I2482" s="58" t="s">
        <v>22464</v>
      </c>
      <c r="K2482" s="73">
        <v>44376.0</v>
      </c>
      <c r="R2482" s="58">
        <v>9.0</v>
      </c>
      <c r="Z2482" s="58" t="s">
        <v>239</v>
      </c>
      <c r="CH2482" s="58" t="s">
        <v>22465</v>
      </c>
      <c r="CI2482" s="73">
        <v>44376.0</v>
      </c>
      <c r="CJ2482" s="58">
        <v>90418.0</v>
      </c>
      <c r="CK2482" s="58">
        <v>90427.0</v>
      </c>
      <c r="CL2482" s="58" t="s">
        <v>22466</v>
      </c>
      <c r="CO2482" s="58" t="s">
        <v>22467</v>
      </c>
      <c r="CR2482" s="58">
        <v>2.0</v>
      </c>
      <c r="CT2482" s="58">
        <v>0.0</v>
      </c>
      <c r="CU2482" s="58" t="s">
        <v>16423</v>
      </c>
    </row>
    <row r="2483" ht="15.75" customHeight="1">
      <c r="B2483" s="58" t="s">
        <v>16392</v>
      </c>
      <c r="C2483" s="58">
        <v>2020.0</v>
      </c>
      <c r="D2483" s="58" t="s">
        <v>22468</v>
      </c>
      <c r="E2483" s="58" t="s">
        <v>22469</v>
      </c>
      <c r="F2483" s="58" t="s">
        <v>16538</v>
      </c>
      <c r="H2483" s="58" t="s">
        <v>16539</v>
      </c>
      <c r="I2483" s="58" t="s">
        <v>22470</v>
      </c>
      <c r="K2483" s="73">
        <v>43964.0</v>
      </c>
      <c r="Q2483" s="58">
        <v>5.0</v>
      </c>
      <c r="R2483" s="58">
        <v>7.0</v>
      </c>
      <c r="Z2483" s="58" t="s">
        <v>239</v>
      </c>
      <c r="CH2483" s="58" t="s">
        <v>22471</v>
      </c>
      <c r="CI2483" s="73">
        <v>43964.0</v>
      </c>
      <c r="CJ2483" s="58">
        <v>4155.0</v>
      </c>
      <c r="CK2483" s="58">
        <v>4159.0</v>
      </c>
      <c r="CL2483" s="58" t="s">
        <v>22472</v>
      </c>
      <c r="CO2483" s="58" t="s">
        <v>22473</v>
      </c>
      <c r="CR2483" s="58">
        <v>2.0</v>
      </c>
      <c r="CT2483" s="58">
        <v>0.0</v>
      </c>
      <c r="CU2483" s="58" t="s">
        <v>239</v>
      </c>
      <c r="DL2483" s="58" t="s">
        <v>22474</v>
      </c>
    </row>
    <row r="2484" ht="15.75" customHeight="1">
      <c r="B2484" s="58" t="s">
        <v>16392</v>
      </c>
      <c r="C2484" s="58">
        <v>2020.0</v>
      </c>
      <c r="D2484" s="58" t="s">
        <v>22475</v>
      </c>
      <c r="E2484" s="58" t="s">
        <v>22476</v>
      </c>
      <c r="F2484" s="58" t="s">
        <v>16923</v>
      </c>
      <c r="H2484" s="58" t="s">
        <v>16924</v>
      </c>
      <c r="I2484" s="58" t="s">
        <v>22477</v>
      </c>
      <c r="K2484" s="73">
        <v>43972.0</v>
      </c>
      <c r="Q2484" s="58">
        <v>6.0</v>
      </c>
      <c r="R2484" s="58">
        <v>38.0</v>
      </c>
      <c r="Z2484" s="58" t="s">
        <v>239</v>
      </c>
      <c r="CH2484" s="58" t="s">
        <v>22478</v>
      </c>
      <c r="CI2484" s="73">
        <v>43972.0</v>
      </c>
      <c r="CJ2484" s="58">
        <v>985.0</v>
      </c>
      <c r="CK2484" s="58">
        <v>987.0</v>
      </c>
      <c r="CL2484" s="58" t="s">
        <v>22479</v>
      </c>
      <c r="CO2484" s="58" t="s">
        <v>22480</v>
      </c>
      <c r="CT2484" s="58">
        <v>0.0</v>
      </c>
      <c r="CU2484" s="58" t="s">
        <v>239</v>
      </c>
      <c r="DL2484" s="58" t="s">
        <v>22481</v>
      </c>
    </row>
    <row r="2485" ht="15.75" customHeight="1">
      <c r="B2485" s="58" t="s">
        <v>16392</v>
      </c>
      <c r="C2485" s="58">
        <v>2022.0</v>
      </c>
      <c r="D2485" s="58" t="s">
        <v>22482</v>
      </c>
      <c r="E2485" s="58" t="s">
        <v>22483</v>
      </c>
      <c r="F2485" s="58" t="s">
        <v>22484</v>
      </c>
      <c r="H2485" s="58" t="s">
        <v>22485</v>
      </c>
      <c r="I2485" s="58" t="s">
        <v>22486</v>
      </c>
      <c r="K2485" s="73">
        <v>44623.0</v>
      </c>
      <c r="Q2485" s="58">
        <v>1.0</v>
      </c>
      <c r="R2485" s="58">
        <v>10.0</v>
      </c>
      <c r="Z2485" s="58" t="s">
        <v>239</v>
      </c>
      <c r="CH2485" s="58" t="s">
        <v>22487</v>
      </c>
      <c r="CI2485" s="73">
        <v>44623.0</v>
      </c>
      <c r="CJ2485" s="58">
        <v>6.0</v>
      </c>
      <c r="CK2485" s="58">
        <v>8.0</v>
      </c>
      <c r="CL2485" s="58" t="s">
        <v>22488</v>
      </c>
      <c r="CO2485" s="58" t="s">
        <v>22489</v>
      </c>
      <c r="CT2485" s="58">
        <v>0.0</v>
      </c>
      <c r="CU2485" s="58" t="s">
        <v>239</v>
      </c>
      <c r="DL2485" s="58" t="s">
        <v>22490</v>
      </c>
    </row>
    <row r="2486" ht="15.75" customHeight="1">
      <c r="B2486" s="58" t="s">
        <v>16392</v>
      </c>
      <c r="C2486" s="58">
        <v>2021.0</v>
      </c>
      <c r="D2486" s="58" t="s">
        <v>22491</v>
      </c>
      <c r="E2486" s="58" t="s">
        <v>22492</v>
      </c>
      <c r="F2486" s="58" t="s">
        <v>16538</v>
      </c>
      <c r="H2486" s="58" t="s">
        <v>16539</v>
      </c>
      <c r="I2486" s="58" t="s">
        <v>22493</v>
      </c>
      <c r="K2486" s="73">
        <v>44413.0</v>
      </c>
      <c r="Q2486" s="58">
        <v>16.0</v>
      </c>
      <c r="R2486" s="58">
        <v>8.0</v>
      </c>
      <c r="Z2486" s="58" t="s">
        <v>239</v>
      </c>
      <c r="CH2486" s="58" t="s">
        <v>22494</v>
      </c>
      <c r="CI2486" s="73">
        <v>44413.0</v>
      </c>
      <c r="CJ2486" s="58">
        <v>12478.0</v>
      </c>
      <c r="CK2486" s="58">
        <v>12480.0</v>
      </c>
      <c r="CL2486" s="58" t="s">
        <v>22495</v>
      </c>
      <c r="CO2486" s="58" t="s">
        <v>22496</v>
      </c>
      <c r="CT2486" s="58">
        <v>0.0</v>
      </c>
      <c r="CU2486" s="58" t="s">
        <v>239</v>
      </c>
      <c r="DL2486" s="58" t="s">
        <v>22497</v>
      </c>
    </row>
    <row r="2487" ht="15.75" customHeight="1">
      <c r="B2487" s="58" t="s">
        <v>16392</v>
      </c>
      <c r="C2487" s="58">
        <v>2020.0</v>
      </c>
      <c r="E2487" s="58" t="s">
        <v>22498</v>
      </c>
      <c r="F2487" s="58" t="s">
        <v>17164</v>
      </c>
      <c r="H2487" s="58" t="s">
        <v>17165</v>
      </c>
      <c r="I2487" s="58" t="s">
        <v>22499</v>
      </c>
      <c r="K2487" s="73">
        <v>43819.0</v>
      </c>
      <c r="Q2487" s="58">
        <v>2.0</v>
      </c>
      <c r="R2487" s="58">
        <v>31.0</v>
      </c>
      <c r="Z2487" s="58" t="s">
        <v>239</v>
      </c>
      <c r="CI2487" s="73">
        <v>43819.0</v>
      </c>
      <c r="CJ2487" s="58">
        <v>1.0</v>
      </c>
      <c r="CK2487" s="58">
        <v>33.0</v>
      </c>
      <c r="CL2487" s="58" t="s">
        <v>22500</v>
      </c>
      <c r="CO2487" s="58" t="s">
        <v>22501</v>
      </c>
      <c r="CU2487" s="58" t="s">
        <v>239</v>
      </c>
    </row>
    <row r="2488" ht="15.75" customHeight="1">
      <c r="B2488" s="58" t="s">
        <v>16392</v>
      </c>
      <c r="C2488" s="58">
        <v>2018.0</v>
      </c>
      <c r="E2488" s="58" t="s">
        <v>10618</v>
      </c>
      <c r="F2488" s="58" t="s">
        <v>16538</v>
      </c>
      <c r="H2488" s="58" t="s">
        <v>16539</v>
      </c>
      <c r="I2488" s="58" t="s">
        <v>22502</v>
      </c>
      <c r="K2488" s="73">
        <v>43321.0</v>
      </c>
      <c r="Q2488" s="58">
        <v>4.0</v>
      </c>
      <c r="R2488" s="58">
        <v>5.0</v>
      </c>
      <c r="Z2488" s="58" t="s">
        <v>239</v>
      </c>
      <c r="CI2488" s="73">
        <v>43321.0</v>
      </c>
      <c r="CJ2488" s="58" t="s">
        <v>10564</v>
      </c>
      <c r="CK2488" s="58" t="s">
        <v>10985</v>
      </c>
      <c r="CL2488" s="58" t="s">
        <v>22503</v>
      </c>
      <c r="CO2488" s="58" t="s">
        <v>22504</v>
      </c>
      <c r="CU2488" s="58" t="s">
        <v>239</v>
      </c>
    </row>
    <row r="2489" ht="15.75" customHeight="1">
      <c r="B2489" s="58" t="s">
        <v>16392</v>
      </c>
      <c r="C2489" s="58">
        <v>2023.0</v>
      </c>
      <c r="D2489" s="58" t="s">
        <v>22505</v>
      </c>
      <c r="E2489" s="58" t="s">
        <v>22506</v>
      </c>
      <c r="F2489" s="58" t="s">
        <v>17654</v>
      </c>
      <c r="H2489" s="58" t="s">
        <v>17655</v>
      </c>
      <c r="I2489" s="58" t="s">
        <v>22507</v>
      </c>
      <c r="K2489" s="73">
        <v>45168.0</v>
      </c>
      <c r="Q2489" s="58">
        <v>9.0</v>
      </c>
      <c r="R2489" s="58">
        <v>24.0</v>
      </c>
      <c r="Z2489" s="58" t="s">
        <v>239</v>
      </c>
      <c r="CH2489" s="58" t="s">
        <v>22508</v>
      </c>
      <c r="CI2489" s="73">
        <v>45168.0</v>
      </c>
      <c r="CJ2489" s="58">
        <v>8899.0</v>
      </c>
      <c r="CK2489" s="58">
        <v>8918.0</v>
      </c>
      <c r="CL2489" s="58" t="s">
        <v>22509</v>
      </c>
      <c r="CO2489" s="58" t="s">
        <v>22510</v>
      </c>
      <c r="CT2489" s="58">
        <v>0.0</v>
      </c>
      <c r="CU2489" s="58" t="s">
        <v>239</v>
      </c>
    </row>
    <row r="2490" ht="15.75" customHeight="1">
      <c r="B2490" s="58" t="s">
        <v>16392</v>
      </c>
      <c r="C2490" s="58">
        <v>2018.0</v>
      </c>
      <c r="E2490" s="58" t="s">
        <v>22511</v>
      </c>
      <c r="F2490" s="58" t="s">
        <v>16538</v>
      </c>
      <c r="H2490" s="58" t="s">
        <v>16539</v>
      </c>
      <c r="I2490" s="58" t="s">
        <v>22512</v>
      </c>
      <c r="K2490" s="73">
        <v>43486.0</v>
      </c>
      <c r="Q2490" s="58">
        <v>6.0</v>
      </c>
      <c r="R2490" s="58">
        <v>5.0</v>
      </c>
      <c r="Z2490" s="58" t="s">
        <v>239</v>
      </c>
      <c r="CI2490" s="73">
        <v>43486.0</v>
      </c>
      <c r="CJ2490" s="58">
        <v>5348.0</v>
      </c>
      <c r="CK2490" s="58">
        <v>5413.0</v>
      </c>
      <c r="CL2490" s="58" t="s">
        <v>22513</v>
      </c>
      <c r="CO2490" s="58" t="s">
        <v>22514</v>
      </c>
      <c r="CU2490" s="58" t="s">
        <v>239</v>
      </c>
    </row>
    <row r="2491" ht="15.75" customHeight="1">
      <c r="B2491" s="58" t="s">
        <v>22515</v>
      </c>
      <c r="D2491" s="58" t="s">
        <v>22516</v>
      </c>
      <c r="E2491" s="58" t="s">
        <v>22517</v>
      </c>
      <c r="I2491" s="58" t="s">
        <v>22518</v>
      </c>
      <c r="R2491" s="58">
        <v>30.0</v>
      </c>
      <c r="CL2491" s="58" t="s">
        <v>22519</v>
      </c>
      <c r="CP2491" s="58" t="s">
        <v>22520</v>
      </c>
      <c r="CX2491" s="58" t="s">
        <v>22521</v>
      </c>
      <c r="CY2491" s="58" t="s">
        <v>22522</v>
      </c>
      <c r="CZ2491" s="58">
        <v>2025.0</v>
      </c>
      <c r="DA2491" s="58" t="s">
        <v>22523</v>
      </c>
      <c r="DB2491" s="58">
        <v>101515.0</v>
      </c>
      <c r="DF2491" s="58">
        <v>0.0</v>
      </c>
      <c r="DG2491" s="58" t="s">
        <v>22524</v>
      </c>
      <c r="DH2491" s="58" t="s">
        <v>22525</v>
      </c>
      <c r="DI2491" s="58" t="s">
        <v>22526</v>
      </c>
      <c r="DJ2491" s="58" t="s">
        <v>237</v>
      </c>
      <c r="DK2491" s="58" t="s">
        <v>22527</v>
      </c>
    </row>
    <row r="2492" ht="15.75" customHeight="1">
      <c r="B2492" s="58" t="s">
        <v>22515</v>
      </c>
      <c r="D2492" s="58" t="s">
        <v>22528</v>
      </c>
      <c r="E2492" s="58" t="s">
        <v>22529</v>
      </c>
      <c r="I2492" s="58" t="s">
        <v>22530</v>
      </c>
      <c r="Q2492" s="58">
        <v>15.0</v>
      </c>
      <c r="R2492" s="58">
        <v>80.0</v>
      </c>
      <c r="CL2492" s="58" t="s">
        <v>22531</v>
      </c>
      <c r="CP2492" s="58" t="s">
        <v>22532</v>
      </c>
      <c r="CX2492" s="58" t="s">
        <v>22533</v>
      </c>
      <c r="CY2492" s="58" t="s">
        <v>22534</v>
      </c>
      <c r="CZ2492" s="58">
        <v>2024.0</v>
      </c>
      <c r="DA2492" s="58" t="s">
        <v>22535</v>
      </c>
      <c r="DC2492" s="58">
        <v>21920.0</v>
      </c>
      <c r="DD2492" s="58">
        <v>21951.0</v>
      </c>
      <c r="DE2492" s="58">
        <v>31.0</v>
      </c>
      <c r="DF2492" s="58">
        <v>1.0</v>
      </c>
      <c r="DG2492" s="58" t="s">
        <v>22536</v>
      </c>
      <c r="DH2492" s="58" t="s">
        <v>22525</v>
      </c>
      <c r="DJ2492" s="58" t="s">
        <v>237</v>
      </c>
      <c r="DK2492" s="58" t="s">
        <v>22537</v>
      </c>
      <c r="DL2492" s="58" t="s">
        <v>22538</v>
      </c>
    </row>
    <row r="2493" ht="15.75" customHeight="1">
      <c r="B2493" s="58" t="s">
        <v>22515</v>
      </c>
      <c r="D2493" s="58" t="s">
        <v>22539</v>
      </c>
      <c r="E2493" s="58" t="s">
        <v>22540</v>
      </c>
      <c r="I2493" s="58" t="s">
        <v>22541</v>
      </c>
      <c r="R2493" s="58">
        <v>137.0</v>
      </c>
      <c r="CL2493" s="58" t="s">
        <v>22542</v>
      </c>
      <c r="CP2493" s="58" t="s">
        <v>22543</v>
      </c>
      <c r="CX2493" s="58" t="s">
        <v>22544</v>
      </c>
      <c r="CY2493" s="58" t="s">
        <v>22545</v>
      </c>
      <c r="CZ2493" s="58">
        <v>2024.0</v>
      </c>
      <c r="DA2493" s="58" t="s">
        <v>22546</v>
      </c>
      <c r="DB2493" s="58">
        <v>109104.0</v>
      </c>
      <c r="DF2493" s="58">
        <v>30.0</v>
      </c>
      <c r="DG2493" s="58" t="s">
        <v>22547</v>
      </c>
      <c r="DH2493" s="58" t="s">
        <v>22525</v>
      </c>
      <c r="DJ2493" s="58" t="s">
        <v>237</v>
      </c>
      <c r="DK2493" s="58" t="s">
        <v>22548</v>
      </c>
      <c r="DL2493" s="58" t="s">
        <v>22549</v>
      </c>
    </row>
    <row r="2494" ht="15.75" customHeight="1">
      <c r="B2494" s="58" t="s">
        <v>22515</v>
      </c>
      <c r="D2494" s="58" t="s">
        <v>22550</v>
      </c>
      <c r="E2494" s="58" t="s">
        <v>22551</v>
      </c>
      <c r="I2494" s="58" t="s">
        <v>22552</v>
      </c>
      <c r="Q2494" s="58">
        <v>8.0</v>
      </c>
      <c r="R2494" s="58">
        <v>106.0</v>
      </c>
      <c r="CL2494" s="58" t="s">
        <v>22553</v>
      </c>
      <c r="CP2494" s="58" t="s">
        <v>22554</v>
      </c>
      <c r="CX2494" s="58" t="s">
        <v>22555</v>
      </c>
      <c r="CY2494" s="58" t="s">
        <v>22556</v>
      </c>
      <c r="CZ2494" s="58">
        <v>2024.0</v>
      </c>
      <c r="DA2494" s="58" t="s">
        <v>22557</v>
      </c>
      <c r="DC2494" s="58">
        <v>2737.0</v>
      </c>
      <c r="DD2494" s="58">
        <v>2783.0</v>
      </c>
      <c r="DE2494" s="58">
        <v>46.0</v>
      </c>
      <c r="DF2494" s="58">
        <v>2.0</v>
      </c>
      <c r="DG2494" s="58" t="s">
        <v>22558</v>
      </c>
      <c r="DH2494" s="58" t="s">
        <v>22525</v>
      </c>
      <c r="DJ2494" s="58" t="s">
        <v>237</v>
      </c>
      <c r="DK2494" s="58" t="s">
        <v>22559</v>
      </c>
      <c r="DL2494" s="58" t="s">
        <v>22560</v>
      </c>
    </row>
    <row r="2495" ht="15.75" customHeight="1">
      <c r="B2495" s="58" t="s">
        <v>22515</v>
      </c>
      <c r="D2495" s="58" t="s">
        <v>22561</v>
      </c>
      <c r="E2495" s="58" t="s">
        <v>22562</v>
      </c>
      <c r="I2495" s="58" t="s">
        <v>22563</v>
      </c>
      <c r="Q2495" s="58">
        <v>6.0</v>
      </c>
      <c r="R2495" s="58">
        <v>13.0</v>
      </c>
      <c r="CL2495" s="58" t="s">
        <v>22564</v>
      </c>
      <c r="CP2495" s="58" t="s">
        <v>22565</v>
      </c>
      <c r="CX2495" s="58" t="s">
        <v>22566</v>
      </c>
      <c r="CY2495" s="58" t="s">
        <v>22567</v>
      </c>
      <c r="CZ2495" s="58">
        <v>2024.0</v>
      </c>
      <c r="DA2495" s="58" t="s">
        <v>22568</v>
      </c>
      <c r="DC2495" s="58">
        <v>4475.0</v>
      </c>
      <c r="DD2495" s="58">
        <v>4487.0</v>
      </c>
      <c r="DE2495" s="58">
        <v>12.0</v>
      </c>
      <c r="DF2495" s="58">
        <v>0.0</v>
      </c>
      <c r="DG2495" s="58" t="s">
        <v>22569</v>
      </c>
      <c r="DH2495" s="58" t="s">
        <v>22525</v>
      </c>
      <c r="DJ2495" s="58" t="s">
        <v>237</v>
      </c>
      <c r="DK2495" s="58" t="s">
        <v>22570</v>
      </c>
    </row>
    <row r="2496" ht="15.75" customHeight="1">
      <c r="B2496" s="58" t="s">
        <v>22515</v>
      </c>
      <c r="D2496" s="58" t="s">
        <v>22571</v>
      </c>
      <c r="E2496" s="58" t="s">
        <v>22572</v>
      </c>
      <c r="I2496" s="58" t="s">
        <v>22573</v>
      </c>
      <c r="R2496" s="58">
        <v>30.0</v>
      </c>
      <c r="CL2496" s="58" t="s">
        <v>22574</v>
      </c>
      <c r="CP2496" s="58" t="s">
        <v>22575</v>
      </c>
      <c r="CX2496" s="58" t="s">
        <v>22576</v>
      </c>
      <c r="CY2496" s="58" t="s">
        <v>22577</v>
      </c>
      <c r="CZ2496" s="58">
        <v>2025.0</v>
      </c>
      <c r="DA2496" s="58" t="s">
        <v>22523</v>
      </c>
      <c r="DB2496" s="58">
        <v>101463.0</v>
      </c>
      <c r="DF2496" s="58">
        <v>0.0</v>
      </c>
      <c r="DG2496" s="58" t="s">
        <v>22578</v>
      </c>
      <c r="DH2496" s="58" t="s">
        <v>22525</v>
      </c>
      <c r="DJ2496" s="58" t="s">
        <v>237</v>
      </c>
      <c r="DK2496" s="58" t="s">
        <v>22579</v>
      </c>
    </row>
    <row r="2497" ht="15.75" customHeight="1">
      <c r="B2497" s="58" t="s">
        <v>22515</v>
      </c>
      <c r="D2497" s="58" t="s">
        <v>22580</v>
      </c>
      <c r="E2497" s="58" t="s">
        <v>22581</v>
      </c>
      <c r="I2497" s="58" t="s">
        <v>22582</v>
      </c>
      <c r="CL2497" s="58" t="s">
        <v>22583</v>
      </c>
      <c r="CP2497" s="58" t="s">
        <v>22584</v>
      </c>
      <c r="CX2497" s="58" t="s">
        <v>22585</v>
      </c>
      <c r="CY2497" s="58" t="s">
        <v>22586</v>
      </c>
      <c r="CZ2497" s="58">
        <v>2025.0</v>
      </c>
      <c r="DA2497" s="58" t="s">
        <v>16436</v>
      </c>
      <c r="DF2497" s="58">
        <v>0.0</v>
      </c>
      <c r="DG2497" s="58" t="s">
        <v>22587</v>
      </c>
      <c r="DH2497" s="58" t="s">
        <v>22588</v>
      </c>
      <c r="DJ2497" s="58" t="s">
        <v>237</v>
      </c>
      <c r="DK2497" s="58" t="s">
        <v>22589</v>
      </c>
      <c r="DL2497" s="58" t="s">
        <v>22590</v>
      </c>
    </row>
    <row r="2498" ht="15.75" customHeight="1">
      <c r="B2498" s="58" t="s">
        <v>22515</v>
      </c>
      <c r="D2498" s="58" t="s">
        <v>22591</v>
      </c>
      <c r="E2498" s="58" t="s">
        <v>22592</v>
      </c>
      <c r="I2498" s="58" t="s">
        <v>22593</v>
      </c>
      <c r="Q2498" s="58">
        <v>8.0</v>
      </c>
      <c r="R2498" s="58">
        <v>50.0</v>
      </c>
      <c r="CL2498" s="58" t="s">
        <v>22594</v>
      </c>
      <c r="CP2498" s="58" t="s">
        <v>22595</v>
      </c>
      <c r="CX2498" s="58" t="s">
        <v>22596</v>
      </c>
      <c r="CY2498" s="58" t="s">
        <v>22597</v>
      </c>
      <c r="CZ2498" s="58">
        <v>2024.0</v>
      </c>
      <c r="DA2498" s="58" t="s">
        <v>22598</v>
      </c>
      <c r="DC2498" s="58">
        <v>3324.0</v>
      </c>
      <c r="DD2498" s="58">
        <v>3338.0</v>
      </c>
      <c r="DE2498" s="58">
        <v>14.0</v>
      </c>
      <c r="DF2498" s="58">
        <v>0.0</v>
      </c>
      <c r="DG2498" s="58" t="s">
        <v>22599</v>
      </c>
      <c r="DH2498" s="58" t="s">
        <v>22525</v>
      </c>
      <c r="DJ2498" s="58" t="s">
        <v>237</v>
      </c>
      <c r="DK2498" s="58" t="s">
        <v>22600</v>
      </c>
      <c r="DL2498" s="58" t="s">
        <v>22601</v>
      </c>
    </row>
    <row r="2499" ht="15.75" customHeight="1">
      <c r="B2499" s="58" t="s">
        <v>22515</v>
      </c>
      <c r="D2499" s="58" t="s">
        <v>22602</v>
      </c>
      <c r="E2499" s="58" t="s">
        <v>22603</v>
      </c>
      <c r="I2499" s="58" t="s">
        <v>22604</v>
      </c>
      <c r="R2499" s="58">
        <v>233.0</v>
      </c>
      <c r="CL2499" s="58" t="s">
        <v>22605</v>
      </c>
      <c r="CP2499" s="58" t="s">
        <v>22606</v>
      </c>
      <c r="CX2499" s="58" t="s">
        <v>22607</v>
      </c>
      <c r="CY2499" s="58" t="s">
        <v>22608</v>
      </c>
      <c r="CZ2499" s="58">
        <v>2025.0</v>
      </c>
      <c r="DA2499" s="58" t="s">
        <v>22609</v>
      </c>
      <c r="DB2499" s="58">
        <v>104037.0</v>
      </c>
      <c r="DF2499" s="58">
        <v>2.0</v>
      </c>
      <c r="DG2499" s="58" t="s">
        <v>22610</v>
      </c>
      <c r="DH2499" s="58" t="s">
        <v>22525</v>
      </c>
      <c r="DJ2499" s="58" t="s">
        <v>237</v>
      </c>
      <c r="DK2499" s="58" t="s">
        <v>22611</v>
      </c>
      <c r="DL2499" s="58" t="s">
        <v>22612</v>
      </c>
    </row>
    <row r="2500" ht="15.75" customHeight="1">
      <c r="B2500" s="58" t="s">
        <v>22515</v>
      </c>
      <c r="D2500" s="58" t="s">
        <v>22613</v>
      </c>
      <c r="E2500" s="58" t="s">
        <v>22614</v>
      </c>
      <c r="I2500" s="58" t="s">
        <v>22615</v>
      </c>
      <c r="Q2500" s="58">
        <v>8.0</v>
      </c>
      <c r="R2500" s="58">
        <v>14.0</v>
      </c>
      <c r="CL2500" s="58" t="s">
        <v>22616</v>
      </c>
      <c r="CP2500" s="58" t="s">
        <v>22617</v>
      </c>
      <c r="CX2500" s="58" t="s">
        <v>22618</v>
      </c>
      <c r="CY2500" s="58" t="s">
        <v>22619</v>
      </c>
      <c r="CZ2500" s="58">
        <v>2024.0</v>
      </c>
      <c r="DA2500" s="58" t="s">
        <v>22620</v>
      </c>
      <c r="DB2500" s="58">
        <v>2577.0</v>
      </c>
      <c r="DF2500" s="58">
        <v>0.0</v>
      </c>
      <c r="DG2500" s="58" t="s">
        <v>22621</v>
      </c>
      <c r="DH2500" s="58" t="s">
        <v>22525</v>
      </c>
      <c r="DI2500" s="58" t="s">
        <v>22622</v>
      </c>
      <c r="DJ2500" s="58" t="s">
        <v>237</v>
      </c>
      <c r="DK2500" s="58" t="s">
        <v>22623</v>
      </c>
      <c r="DL2500" s="58" t="s">
        <v>22624</v>
      </c>
    </row>
    <row r="2501" ht="15.75" customHeight="1">
      <c r="B2501" s="58" t="s">
        <v>22515</v>
      </c>
      <c r="D2501" s="58" t="s">
        <v>22625</v>
      </c>
      <c r="E2501" s="58" t="s">
        <v>22626</v>
      </c>
      <c r="I2501" s="58" t="s">
        <v>22627</v>
      </c>
      <c r="Q2501" s="58">
        <v>2.0</v>
      </c>
      <c r="R2501" s="58">
        <v>74.0</v>
      </c>
      <c r="CL2501" s="58" t="s">
        <v>22628</v>
      </c>
      <c r="CP2501" s="58" t="s">
        <v>22629</v>
      </c>
      <c r="CX2501" s="58" t="s">
        <v>22630</v>
      </c>
      <c r="CY2501" s="58" t="s">
        <v>22631</v>
      </c>
      <c r="CZ2501" s="58">
        <v>2025.0</v>
      </c>
      <c r="DA2501" s="58" t="s">
        <v>18334</v>
      </c>
      <c r="DC2501" s="58">
        <v>2390.0</v>
      </c>
      <c r="DD2501" s="58">
        <v>2405.0</v>
      </c>
      <c r="DE2501" s="58">
        <v>15.0</v>
      </c>
      <c r="DF2501" s="58">
        <v>0.0</v>
      </c>
      <c r="DG2501" s="58" t="s">
        <v>22632</v>
      </c>
      <c r="DH2501" s="58" t="s">
        <v>22525</v>
      </c>
      <c r="DJ2501" s="58" t="s">
        <v>237</v>
      </c>
      <c r="DK2501" s="58" t="s">
        <v>22633</v>
      </c>
      <c r="DL2501" s="58" t="s">
        <v>22634</v>
      </c>
    </row>
    <row r="2502" ht="15.75" customHeight="1">
      <c r="B2502" s="58" t="s">
        <v>22515</v>
      </c>
      <c r="D2502" s="58" t="s">
        <v>22635</v>
      </c>
      <c r="E2502" s="58" t="s">
        <v>22636</v>
      </c>
      <c r="I2502" s="58" t="s">
        <v>22637</v>
      </c>
      <c r="R2502" s="58">
        <v>6.0</v>
      </c>
      <c r="CL2502" s="58" t="s">
        <v>22638</v>
      </c>
      <c r="CP2502" s="58" t="s">
        <v>22639</v>
      </c>
      <c r="CX2502" s="58" t="s">
        <v>22640</v>
      </c>
      <c r="CY2502" s="58" t="s">
        <v>22641</v>
      </c>
      <c r="CZ2502" s="58">
        <v>2025.0</v>
      </c>
      <c r="DA2502" s="58" t="s">
        <v>16493</v>
      </c>
      <c r="DC2502" s="58">
        <v>399.0</v>
      </c>
      <c r="DD2502" s="58">
        <v>432.0</v>
      </c>
      <c r="DE2502" s="58">
        <v>33.0</v>
      </c>
      <c r="DF2502" s="58">
        <v>1.0</v>
      </c>
      <c r="DG2502" s="58" t="s">
        <v>22642</v>
      </c>
      <c r="DH2502" s="58" t="s">
        <v>22525</v>
      </c>
      <c r="DI2502" s="58" t="s">
        <v>22643</v>
      </c>
      <c r="DJ2502" s="58" t="s">
        <v>237</v>
      </c>
      <c r="DK2502" s="58" t="s">
        <v>22644</v>
      </c>
      <c r="DL2502" s="58" t="s">
        <v>22645</v>
      </c>
    </row>
    <row r="2503" ht="15.75" customHeight="1">
      <c r="B2503" s="58" t="s">
        <v>22515</v>
      </c>
      <c r="D2503" s="58" t="s">
        <v>22646</v>
      </c>
      <c r="E2503" s="58" t="s">
        <v>22647</v>
      </c>
      <c r="I2503" s="58" t="s">
        <v>22648</v>
      </c>
      <c r="Q2503" s="58">
        <v>9.0</v>
      </c>
      <c r="R2503" s="58" t="s">
        <v>22649</v>
      </c>
      <c r="CL2503" s="58" t="s">
        <v>22650</v>
      </c>
      <c r="CP2503" s="58" t="s">
        <v>22651</v>
      </c>
      <c r="CX2503" s="58" t="s">
        <v>22652</v>
      </c>
      <c r="CY2503" s="58" t="s">
        <v>22653</v>
      </c>
      <c r="CZ2503" s="58">
        <v>2024.0</v>
      </c>
      <c r="DA2503" s="58" t="s">
        <v>22654</v>
      </c>
      <c r="DC2503" s="58">
        <v>1542.0</v>
      </c>
      <c r="DD2503" s="58">
        <v>1555.0</v>
      </c>
      <c r="DE2503" s="58">
        <v>13.0</v>
      </c>
      <c r="DF2503" s="58">
        <v>0.0</v>
      </c>
      <c r="DG2503" s="58" t="s">
        <v>22655</v>
      </c>
      <c r="DH2503" s="58" t="s">
        <v>22525</v>
      </c>
      <c r="DI2503" s="58" t="s">
        <v>22656</v>
      </c>
      <c r="DJ2503" s="58" t="s">
        <v>237</v>
      </c>
      <c r="DK2503" s="58" t="s">
        <v>22657</v>
      </c>
      <c r="DL2503" s="58" t="s">
        <v>22658</v>
      </c>
    </row>
    <row r="2504" ht="15.75" customHeight="1">
      <c r="B2504" s="58" t="s">
        <v>22515</v>
      </c>
      <c r="D2504" s="58" t="s">
        <v>22659</v>
      </c>
      <c r="E2504" s="58" t="s">
        <v>22660</v>
      </c>
      <c r="I2504" s="58" t="s">
        <v>22661</v>
      </c>
      <c r="Q2504" s="58">
        <v>20.0</v>
      </c>
      <c r="R2504" s="58">
        <v>10.0</v>
      </c>
      <c r="CL2504" s="58" t="s">
        <v>22662</v>
      </c>
      <c r="CP2504" s="58" t="s">
        <v>22663</v>
      </c>
      <c r="CX2504" s="58" t="s">
        <v>22664</v>
      </c>
      <c r="CY2504" s="58" t="s">
        <v>22665</v>
      </c>
      <c r="CZ2504" s="58">
        <v>2024.0</v>
      </c>
      <c r="DA2504" s="58" t="s">
        <v>22666</v>
      </c>
      <c r="DB2504" s="58" t="s">
        <v>22667</v>
      </c>
      <c r="DF2504" s="58">
        <v>1.0</v>
      </c>
      <c r="DG2504" s="58" t="s">
        <v>22668</v>
      </c>
      <c r="DH2504" s="58" t="s">
        <v>22525</v>
      </c>
      <c r="DJ2504" s="58" t="s">
        <v>237</v>
      </c>
      <c r="DK2504" s="58" t="s">
        <v>22669</v>
      </c>
    </row>
    <row r="2505" ht="15.75" customHeight="1">
      <c r="B2505" s="58" t="s">
        <v>22515</v>
      </c>
      <c r="D2505" s="58" t="s">
        <v>22670</v>
      </c>
      <c r="E2505" s="58" t="s">
        <v>22671</v>
      </c>
      <c r="I2505" s="58" t="s">
        <v>22672</v>
      </c>
      <c r="R2505" s="58">
        <v>8.0</v>
      </c>
      <c r="CL2505" s="58" t="s">
        <v>22673</v>
      </c>
      <c r="CP2505" s="58" t="s">
        <v>22674</v>
      </c>
      <c r="CX2505" s="58" t="s">
        <v>22675</v>
      </c>
      <c r="CY2505" s="58" t="s">
        <v>22676</v>
      </c>
      <c r="CZ2505" s="58">
        <v>2024.0</v>
      </c>
      <c r="DA2505" s="58" t="s">
        <v>22677</v>
      </c>
      <c r="DB2505" s="58">
        <v>100487.0</v>
      </c>
      <c r="DF2505" s="58">
        <v>27.0</v>
      </c>
      <c r="DG2505" s="58" t="s">
        <v>22678</v>
      </c>
      <c r="DH2505" s="58" t="s">
        <v>22525</v>
      </c>
      <c r="DI2505" s="58" t="s">
        <v>22526</v>
      </c>
      <c r="DJ2505" s="58" t="s">
        <v>237</v>
      </c>
      <c r="DK2505" s="58" t="s">
        <v>22679</v>
      </c>
    </row>
    <row r="2506" ht="15.75" customHeight="1">
      <c r="B2506" s="58" t="s">
        <v>22515</v>
      </c>
      <c r="D2506" s="58" t="s">
        <v>22680</v>
      </c>
      <c r="E2506" s="58" t="s">
        <v>22681</v>
      </c>
      <c r="I2506" s="58" t="s">
        <v>22682</v>
      </c>
      <c r="R2506" s="58">
        <v>101.0</v>
      </c>
      <c r="CL2506" s="58" t="s">
        <v>22683</v>
      </c>
      <c r="CP2506" s="58" t="s">
        <v>22684</v>
      </c>
      <c r="CX2506" s="58" t="s">
        <v>22685</v>
      </c>
      <c r="CY2506" s="58" t="s">
        <v>22686</v>
      </c>
      <c r="CZ2506" s="58">
        <v>2025.0</v>
      </c>
      <c r="DA2506" s="58" t="s">
        <v>22687</v>
      </c>
      <c r="DB2506" s="58">
        <v>111925.0</v>
      </c>
      <c r="DF2506" s="58">
        <v>0.0</v>
      </c>
      <c r="DG2506" s="58" t="s">
        <v>22688</v>
      </c>
      <c r="DH2506" s="58" t="s">
        <v>22525</v>
      </c>
      <c r="DJ2506" s="58" t="s">
        <v>237</v>
      </c>
      <c r="DK2506" s="58" t="s">
        <v>22689</v>
      </c>
      <c r="DL2506" s="58" t="s">
        <v>22690</v>
      </c>
    </row>
    <row r="2507" ht="15.75" customHeight="1">
      <c r="B2507" s="58" t="s">
        <v>22515</v>
      </c>
      <c r="D2507" s="58" t="s">
        <v>22691</v>
      </c>
      <c r="E2507" s="58" t="s">
        <v>22692</v>
      </c>
      <c r="I2507" s="58" t="s">
        <v>22693</v>
      </c>
      <c r="CL2507" s="58" t="s">
        <v>22694</v>
      </c>
      <c r="CP2507" s="58" t="s">
        <v>22695</v>
      </c>
      <c r="CX2507" s="58" t="s">
        <v>22696</v>
      </c>
      <c r="CY2507" s="58" t="s">
        <v>22697</v>
      </c>
      <c r="CZ2507" s="58">
        <v>2025.0</v>
      </c>
      <c r="DA2507" s="58" t="s">
        <v>18018</v>
      </c>
      <c r="DF2507" s="58">
        <v>0.0</v>
      </c>
      <c r="DG2507" s="58" t="s">
        <v>22698</v>
      </c>
      <c r="DH2507" s="58" t="s">
        <v>22588</v>
      </c>
      <c r="DJ2507" s="58" t="s">
        <v>237</v>
      </c>
      <c r="DK2507" s="58" t="s">
        <v>22699</v>
      </c>
      <c r="DL2507" s="58" t="s">
        <v>22700</v>
      </c>
    </row>
    <row r="2508" ht="15.75" customHeight="1">
      <c r="B2508" s="58" t="s">
        <v>22515</v>
      </c>
      <c r="D2508" s="58" t="s">
        <v>22701</v>
      </c>
      <c r="E2508" s="58" t="s">
        <v>22702</v>
      </c>
      <c r="I2508" s="58" t="s">
        <v>22703</v>
      </c>
      <c r="R2508" s="58">
        <v>123.0</v>
      </c>
      <c r="CL2508" s="58" t="s">
        <v>22704</v>
      </c>
      <c r="CP2508" s="58" t="s">
        <v>22705</v>
      </c>
      <c r="CX2508" s="58" t="s">
        <v>22706</v>
      </c>
      <c r="CY2508" s="58" t="s">
        <v>22707</v>
      </c>
      <c r="CZ2508" s="58">
        <v>2025.0</v>
      </c>
      <c r="DA2508" s="58" t="s">
        <v>22708</v>
      </c>
      <c r="DB2508" s="58">
        <v>110080.0</v>
      </c>
      <c r="DF2508" s="58">
        <v>0.0</v>
      </c>
      <c r="DG2508" s="58" t="s">
        <v>22709</v>
      </c>
      <c r="DH2508" s="58" t="s">
        <v>22525</v>
      </c>
      <c r="DJ2508" s="58" t="s">
        <v>237</v>
      </c>
      <c r="DK2508" s="58" t="s">
        <v>22710</v>
      </c>
      <c r="DL2508" s="58" t="s">
        <v>22711</v>
      </c>
    </row>
    <row r="2509" ht="15.75" customHeight="1">
      <c r="B2509" s="58" t="s">
        <v>22515</v>
      </c>
      <c r="D2509" s="58" t="s">
        <v>22712</v>
      </c>
      <c r="E2509" s="58" t="s">
        <v>22713</v>
      </c>
      <c r="I2509" s="58" t="s">
        <v>22714</v>
      </c>
      <c r="R2509" s="58">
        <v>13.0</v>
      </c>
      <c r="CL2509" s="58" t="s">
        <v>22715</v>
      </c>
      <c r="CP2509" s="58" t="s">
        <v>22716</v>
      </c>
      <c r="CX2509" s="58" t="s">
        <v>22717</v>
      </c>
      <c r="CY2509" s="58" t="s">
        <v>22718</v>
      </c>
      <c r="CZ2509" s="58">
        <v>2025.0</v>
      </c>
      <c r="DA2509" s="58" t="s">
        <v>16436</v>
      </c>
      <c r="DC2509" s="58">
        <v>22931.0</v>
      </c>
      <c r="DD2509" s="58">
        <v>22945.0</v>
      </c>
      <c r="DE2509" s="58">
        <v>14.0</v>
      </c>
      <c r="DF2509" s="58">
        <v>0.0</v>
      </c>
      <c r="DG2509" s="58" t="s">
        <v>22719</v>
      </c>
      <c r="DH2509" s="58" t="s">
        <v>22525</v>
      </c>
      <c r="DI2509" s="58" t="s">
        <v>22622</v>
      </c>
      <c r="DJ2509" s="58" t="s">
        <v>237</v>
      </c>
      <c r="DK2509" s="58" t="s">
        <v>22720</v>
      </c>
      <c r="DL2509" s="58" t="s">
        <v>22721</v>
      </c>
    </row>
    <row r="2510" ht="15.75" customHeight="1">
      <c r="B2510" s="58" t="s">
        <v>22515</v>
      </c>
      <c r="D2510" s="58" t="s">
        <v>22722</v>
      </c>
      <c r="E2510" s="58" t="s">
        <v>22723</v>
      </c>
      <c r="I2510" s="58" t="s">
        <v>22724</v>
      </c>
      <c r="Q2510" s="58">
        <v>1.0</v>
      </c>
      <c r="R2510" s="58">
        <v>107.0</v>
      </c>
      <c r="CL2510" s="58" t="s">
        <v>22725</v>
      </c>
      <c r="CP2510" s="58" t="s">
        <v>22726</v>
      </c>
      <c r="CX2510" s="58" t="s">
        <v>22727</v>
      </c>
      <c r="CY2510" s="58" t="s">
        <v>22728</v>
      </c>
      <c r="CZ2510" s="58">
        <v>2025.0</v>
      </c>
      <c r="DA2510" s="58" t="s">
        <v>22557</v>
      </c>
      <c r="DB2510" s="58">
        <v>28.0</v>
      </c>
      <c r="DF2510" s="58">
        <v>1.0</v>
      </c>
      <c r="DG2510" s="58" t="s">
        <v>22729</v>
      </c>
      <c r="DH2510" s="58" t="s">
        <v>22525</v>
      </c>
      <c r="DI2510" s="58" t="s">
        <v>22526</v>
      </c>
      <c r="DJ2510" s="58" t="s">
        <v>237</v>
      </c>
      <c r="DK2510" s="58" t="s">
        <v>22730</v>
      </c>
      <c r="DL2510" s="58" t="s">
        <v>22731</v>
      </c>
    </row>
    <row r="2511" ht="15.75" customHeight="1">
      <c r="B2511" s="58" t="s">
        <v>22515</v>
      </c>
      <c r="D2511" s="58" t="s">
        <v>22732</v>
      </c>
      <c r="E2511" s="58" t="s">
        <v>22733</v>
      </c>
      <c r="I2511" s="58" t="s">
        <v>22734</v>
      </c>
      <c r="Q2511" s="58">
        <v>12.0</v>
      </c>
      <c r="R2511" s="58">
        <v>14.0</v>
      </c>
      <c r="CL2511" s="58" t="s">
        <v>22735</v>
      </c>
      <c r="CP2511" s="58" t="s">
        <v>22736</v>
      </c>
      <c r="CX2511" s="58" t="s">
        <v>22737</v>
      </c>
      <c r="CY2511" s="58">
        <v>1.63063824E10</v>
      </c>
      <c r="CZ2511" s="58">
        <v>2024.0</v>
      </c>
      <c r="DA2511" s="58" t="s">
        <v>22620</v>
      </c>
      <c r="DB2511" s="58">
        <v>3851.0</v>
      </c>
      <c r="DF2511" s="58">
        <v>1.0</v>
      </c>
      <c r="DG2511" s="58" t="s">
        <v>22738</v>
      </c>
      <c r="DH2511" s="58" t="s">
        <v>22525</v>
      </c>
      <c r="DI2511" s="58" t="s">
        <v>22622</v>
      </c>
      <c r="DJ2511" s="58" t="s">
        <v>237</v>
      </c>
      <c r="DK2511" s="58" t="s">
        <v>22739</v>
      </c>
      <c r="DL2511" s="58" t="s">
        <v>22740</v>
      </c>
    </row>
    <row r="2512" ht="15.75" customHeight="1">
      <c r="B2512" s="58" t="s">
        <v>22515</v>
      </c>
      <c r="D2512" s="58" t="s">
        <v>22741</v>
      </c>
      <c r="E2512" s="58" t="s">
        <v>22742</v>
      </c>
      <c r="I2512" s="58" t="s">
        <v>22743</v>
      </c>
      <c r="Q2512" s="58">
        <v>3.0</v>
      </c>
      <c r="R2512" s="58">
        <v>29.0</v>
      </c>
      <c r="CL2512" s="58" t="s">
        <v>22744</v>
      </c>
      <c r="CP2512" s="58" t="s">
        <v>22745</v>
      </c>
      <c r="CX2512" s="58" t="s">
        <v>22746</v>
      </c>
      <c r="CY2512" s="58" t="s">
        <v>22747</v>
      </c>
      <c r="CZ2512" s="58">
        <v>2025.0</v>
      </c>
      <c r="DA2512" s="58" t="s">
        <v>22748</v>
      </c>
      <c r="DC2512" s="58">
        <v>990.0</v>
      </c>
      <c r="DD2512" s="58">
        <v>1014.0</v>
      </c>
      <c r="DE2512" s="58">
        <v>24.0</v>
      </c>
      <c r="DF2512" s="58">
        <v>0.0</v>
      </c>
      <c r="DG2512" s="58" t="s">
        <v>22749</v>
      </c>
      <c r="DH2512" s="58" t="s">
        <v>22525</v>
      </c>
      <c r="DJ2512" s="58" t="s">
        <v>237</v>
      </c>
      <c r="DK2512" s="58" t="s">
        <v>22750</v>
      </c>
    </row>
    <row r="2513" ht="15.75" customHeight="1">
      <c r="B2513" s="58" t="s">
        <v>22515</v>
      </c>
      <c r="D2513" s="58" t="s">
        <v>22751</v>
      </c>
      <c r="E2513" s="58" t="s">
        <v>22752</v>
      </c>
      <c r="I2513" s="58" t="s">
        <v>22753</v>
      </c>
      <c r="CL2513" s="58" t="s">
        <v>22754</v>
      </c>
      <c r="CP2513" s="58" t="s">
        <v>22755</v>
      </c>
      <c r="CX2513" s="58" t="s">
        <v>22756</v>
      </c>
      <c r="CY2513" s="58" t="s">
        <v>22757</v>
      </c>
      <c r="CZ2513" s="58">
        <v>2025.0</v>
      </c>
      <c r="DA2513" s="58" t="s">
        <v>17228</v>
      </c>
      <c r="DF2513" s="58">
        <v>0.0</v>
      </c>
      <c r="DG2513" s="58" t="s">
        <v>22758</v>
      </c>
      <c r="DH2513" s="58" t="s">
        <v>22588</v>
      </c>
      <c r="DJ2513" s="58" t="s">
        <v>237</v>
      </c>
      <c r="DK2513" s="58" t="s">
        <v>22759</v>
      </c>
      <c r="DL2513" s="58" t="s">
        <v>22760</v>
      </c>
    </row>
    <row r="2514" ht="15.75" customHeight="1">
      <c r="B2514" s="58" t="s">
        <v>22515</v>
      </c>
      <c r="D2514" s="58" t="s">
        <v>22761</v>
      </c>
      <c r="E2514" s="58" t="s">
        <v>22762</v>
      </c>
      <c r="I2514" s="58" t="s">
        <v>22763</v>
      </c>
      <c r="Q2514" s="58">
        <v>1.0</v>
      </c>
      <c r="R2514" s="58">
        <v>14.0</v>
      </c>
      <c r="CL2514" s="58" t="s">
        <v>22764</v>
      </c>
      <c r="CX2514" s="58" t="s">
        <v>22765</v>
      </c>
      <c r="CY2514" s="58" t="s">
        <v>22766</v>
      </c>
      <c r="CZ2514" s="58">
        <v>2024.0</v>
      </c>
      <c r="DA2514" s="58" t="s">
        <v>22767</v>
      </c>
      <c r="DB2514" s="58">
        <v>512.0</v>
      </c>
      <c r="DF2514" s="58">
        <v>10.0</v>
      </c>
      <c r="DG2514" s="58" t="s">
        <v>22768</v>
      </c>
      <c r="DH2514" s="58" t="s">
        <v>22525</v>
      </c>
      <c r="DI2514" s="58" t="s">
        <v>22643</v>
      </c>
      <c r="DJ2514" s="58" t="s">
        <v>237</v>
      </c>
      <c r="DK2514" s="58" t="s">
        <v>22769</v>
      </c>
      <c r="DL2514" s="58" t="s">
        <v>22770</v>
      </c>
    </row>
    <row r="2515" ht="15.75" customHeight="1">
      <c r="B2515" s="58" t="s">
        <v>22771</v>
      </c>
      <c r="D2515" s="58" t="s">
        <v>22772</v>
      </c>
      <c r="E2515" s="58" t="s">
        <v>22773</v>
      </c>
      <c r="I2515" s="58" t="s">
        <v>22774</v>
      </c>
      <c r="R2515" s="58" t="s">
        <v>22775</v>
      </c>
      <c r="CL2515" s="58" t="s">
        <v>22776</v>
      </c>
      <c r="CP2515" s="58" t="s">
        <v>22777</v>
      </c>
      <c r="CX2515" s="58" t="s">
        <v>22778</v>
      </c>
      <c r="CY2515" s="58" t="s">
        <v>22779</v>
      </c>
      <c r="CZ2515" s="58">
        <v>2025.0</v>
      </c>
      <c r="DA2515" s="58" t="s">
        <v>22780</v>
      </c>
      <c r="DC2515" s="58">
        <v>368.0</v>
      </c>
      <c r="DD2515" s="58">
        <v>382.0</v>
      </c>
      <c r="DE2515" s="58">
        <v>14.0</v>
      </c>
      <c r="DF2515" s="58">
        <v>0.0</v>
      </c>
      <c r="DG2515" s="58" t="s">
        <v>22781</v>
      </c>
      <c r="DH2515" s="58" t="s">
        <v>22525</v>
      </c>
      <c r="DJ2515" s="58" t="s">
        <v>237</v>
      </c>
      <c r="DK2515" s="58" t="s">
        <v>22782</v>
      </c>
      <c r="DL2515" s="58" t="s">
        <v>22783</v>
      </c>
    </row>
    <row r="2516" ht="15.75" customHeight="1">
      <c r="B2516" s="58" t="s">
        <v>22515</v>
      </c>
      <c r="D2516" s="58" t="s">
        <v>22784</v>
      </c>
      <c r="E2516" s="58" t="s">
        <v>22785</v>
      </c>
      <c r="I2516" s="58" t="s">
        <v>22786</v>
      </c>
      <c r="R2516" s="58">
        <v>273.0</v>
      </c>
      <c r="CL2516" s="58" t="s">
        <v>22787</v>
      </c>
      <c r="CP2516" s="58" t="s">
        <v>22788</v>
      </c>
      <c r="CX2516" s="58" t="s">
        <v>22789</v>
      </c>
      <c r="CY2516" s="58" t="s">
        <v>22790</v>
      </c>
      <c r="CZ2516" s="58">
        <v>2025.0</v>
      </c>
      <c r="DA2516" s="58" t="s">
        <v>22791</v>
      </c>
      <c r="DB2516" s="58">
        <v>126856.0</v>
      </c>
      <c r="DF2516" s="58">
        <v>0.0</v>
      </c>
      <c r="DG2516" s="58" t="s">
        <v>22792</v>
      </c>
      <c r="DH2516" s="58" t="s">
        <v>22525</v>
      </c>
      <c r="DJ2516" s="58" t="s">
        <v>237</v>
      </c>
      <c r="DK2516" s="58" t="s">
        <v>22793</v>
      </c>
      <c r="DL2516" s="58" t="s">
        <v>22794</v>
      </c>
    </row>
    <row r="2517" ht="15.75" customHeight="1">
      <c r="B2517" s="58" t="s">
        <v>22515</v>
      </c>
      <c r="D2517" s="58" t="s">
        <v>22795</v>
      </c>
      <c r="E2517" s="58" t="s">
        <v>22796</v>
      </c>
      <c r="I2517" s="58" t="s">
        <v>22797</v>
      </c>
      <c r="Q2517" s="58">
        <v>17.0</v>
      </c>
      <c r="R2517" s="58">
        <v>24.0</v>
      </c>
      <c r="CL2517" s="58" t="s">
        <v>22798</v>
      </c>
      <c r="CP2517" s="58" t="s">
        <v>22799</v>
      </c>
      <c r="CX2517" s="58" t="s">
        <v>22800</v>
      </c>
      <c r="CY2517" s="58" t="s">
        <v>22801</v>
      </c>
      <c r="CZ2517" s="58">
        <v>2024.0</v>
      </c>
      <c r="DA2517" s="58" t="s">
        <v>22802</v>
      </c>
      <c r="DB2517" s="58">
        <v>5558.0</v>
      </c>
      <c r="DF2517" s="58">
        <v>0.0</v>
      </c>
      <c r="DG2517" s="58" t="s">
        <v>22803</v>
      </c>
      <c r="DH2517" s="58" t="s">
        <v>22525</v>
      </c>
      <c r="DI2517" s="58" t="s">
        <v>22643</v>
      </c>
      <c r="DJ2517" s="58" t="s">
        <v>237</v>
      </c>
      <c r="DK2517" s="58" t="s">
        <v>22804</v>
      </c>
      <c r="DL2517" s="58" t="s">
        <v>22805</v>
      </c>
    </row>
    <row r="2518" ht="15.75" customHeight="1">
      <c r="B2518" s="58" t="s">
        <v>22515</v>
      </c>
      <c r="D2518" s="58" t="s">
        <v>22806</v>
      </c>
      <c r="E2518" s="58" t="s">
        <v>22807</v>
      </c>
      <c r="I2518" s="58" t="s">
        <v>22808</v>
      </c>
      <c r="Q2518" s="58">
        <v>1.0</v>
      </c>
      <c r="R2518" s="58">
        <v>38.0</v>
      </c>
      <c r="CL2518" s="58" t="s">
        <v>22809</v>
      </c>
      <c r="CP2518" s="58" t="s">
        <v>22810</v>
      </c>
      <c r="CX2518" s="58" t="s">
        <v>22811</v>
      </c>
      <c r="CY2518" s="58" t="s">
        <v>22812</v>
      </c>
      <c r="CZ2518" s="58">
        <v>2025.0</v>
      </c>
      <c r="DA2518" s="58" t="s">
        <v>22813</v>
      </c>
      <c r="DB2518" s="58" t="s">
        <v>22814</v>
      </c>
      <c r="DF2518" s="58">
        <v>11.0</v>
      </c>
      <c r="DG2518" s="58" t="s">
        <v>22815</v>
      </c>
      <c r="DH2518" s="58" t="s">
        <v>22525</v>
      </c>
      <c r="DI2518" s="58" t="s">
        <v>22816</v>
      </c>
      <c r="DJ2518" s="58" t="s">
        <v>237</v>
      </c>
      <c r="DK2518" s="58" t="s">
        <v>22817</v>
      </c>
      <c r="DL2518" s="58" t="s">
        <v>22818</v>
      </c>
    </row>
    <row r="2519" ht="15.75" customHeight="1">
      <c r="B2519" s="58" t="s">
        <v>22515</v>
      </c>
      <c r="D2519" s="58" t="s">
        <v>22819</v>
      </c>
      <c r="E2519" s="58" t="s">
        <v>22820</v>
      </c>
      <c r="I2519" s="58" t="s">
        <v>22821</v>
      </c>
      <c r="R2519" s="58">
        <v>218.0</v>
      </c>
      <c r="CL2519" s="58" t="s">
        <v>22822</v>
      </c>
      <c r="CP2519" s="58" t="s">
        <v>22823</v>
      </c>
      <c r="CX2519" s="58" t="s">
        <v>22824</v>
      </c>
      <c r="CY2519" s="58" t="s">
        <v>22825</v>
      </c>
      <c r="CZ2519" s="58">
        <v>2024.0</v>
      </c>
      <c r="DA2519" s="58" t="s">
        <v>22826</v>
      </c>
      <c r="DB2519" s="58">
        <v>112183.0</v>
      </c>
      <c r="DF2519" s="58">
        <v>1.0</v>
      </c>
      <c r="DG2519" s="58" t="s">
        <v>22827</v>
      </c>
      <c r="DH2519" s="58" t="s">
        <v>22525</v>
      </c>
      <c r="DJ2519" s="58" t="s">
        <v>237</v>
      </c>
      <c r="DK2519" s="58" t="s">
        <v>22828</v>
      </c>
      <c r="DL2519" s="58" t="s">
        <v>22829</v>
      </c>
    </row>
    <row r="2520" ht="15.75" customHeight="1">
      <c r="B2520" s="58" t="s">
        <v>22515</v>
      </c>
      <c r="D2520" s="58" t="s">
        <v>22830</v>
      </c>
      <c r="E2520" s="58" t="s">
        <v>22831</v>
      </c>
      <c r="I2520" s="58" t="s">
        <v>22832</v>
      </c>
      <c r="CL2520" s="58" t="s">
        <v>22833</v>
      </c>
      <c r="CP2520" s="58" t="s">
        <v>22834</v>
      </c>
      <c r="CX2520" s="58" t="s">
        <v>22835</v>
      </c>
      <c r="CY2520" s="58" t="s">
        <v>22836</v>
      </c>
      <c r="CZ2520" s="58">
        <v>2025.0</v>
      </c>
      <c r="DA2520" s="58" t="s">
        <v>16436</v>
      </c>
      <c r="DF2520" s="58">
        <v>0.0</v>
      </c>
      <c r="DG2520" s="58" t="s">
        <v>22837</v>
      </c>
      <c r="DH2520" s="58" t="s">
        <v>22588</v>
      </c>
      <c r="DJ2520" s="58" t="s">
        <v>237</v>
      </c>
      <c r="DK2520" s="58" t="s">
        <v>22838</v>
      </c>
      <c r="DL2520" s="58" t="s">
        <v>22839</v>
      </c>
    </row>
    <row r="2521" ht="15.75" customHeight="1">
      <c r="B2521" s="58" t="s">
        <v>22515</v>
      </c>
      <c r="D2521" s="58" t="s">
        <v>22840</v>
      </c>
      <c r="E2521" s="58" t="s">
        <v>22841</v>
      </c>
      <c r="I2521" s="58" t="s">
        <v>22842</v>
      </c>
      <c r="CL2521" s="58" t="s">
        <v>22843</v>
      </c>
      <c r="CP2521" s="58" t="s">
        <v>22844</v>
      </c>
      <c r="CX2521" s="58" t="s">
        <v>22845</v>
      </c>
      <c r="CY2521" s="58" t="s">
        <v>22846</v>
      </c>
      <c r="CZ2521" s="58">
        <v>2025.0</v>
      </c>
      <c r="DA2521" s="58" t="s">
        <v>22847</v>
      </c>
      <c r="DB2521" s="58">
        <v>100398.0</v>
      </c>
      <c r="DF2521" s="58">
        <v>0.0</v>
      </c>
      <c r="DG2521" s="58" t="s">
        <v>22848</v>
      </c>
      <c r="DH2521" s="58" t="s">
        <v>22588</v>
      </c>
      <c r="DJ2521" s="58" t="s">
        <v>237</v>
      </c>
      <c r="DK2521" s="58" t="s">
        <v>22849</v>
      </c>
      <c r="DL2521" s="58" t="s">
        <v>22850</v>
      </c>
    </row>
    <row r="2522" ht="15.75" customHeight="1">
      <c r="B2522" s="58" t="s">
        <v>22515</v>
      </c>
      <c r="D2522" s="58" t="s">
        <v>22851</v>
      </c>
      <c r="E2522" s="58" t="s">
        <v>22852</v>
      </c>
      <c r="I2522" s="58" t="s">
        <v>22853</v>
      </c>
      <c r="Q2522" s="58">
        <v>10.0</v>
      </c>
      <c r="R2522" s="58">
        <v>18.0</v>
      </c>
      <c r="CL2522" s="58" t="s">
        <v>22854</v>
      </c>
      <c r="CP2522" s="58" t="s">
        <v>22855</v>
      </c>
      <c r="CX2522" s="58" t="s">
        <v>22856</v>
      </c>
      <c r="CY2522" s="58" t="s">
        <v>22857</v>
      </c>
      <c r="CZ2522" s="58">
        <v>2024.0</v>
      </c>
      <c r="DA2522" s="58" t="s">
        <v>22858</v>
      </c>
      <c r="DC2522" s="58">
        <v>2551.0</v>
      </c>
      <c r="DD2522" s="58">
        <v>2572.0</v>
      </c>
      <c r="DE2522" s="58">
        <v>21.0</v>
      </c>
      <c r="DF2522" s="58">
        <v>0.0</v>
      </c>
      <c r="DG2522" s="58" t="s">
        <v>22859</v>
      </c>
      <c r="DH2522" s="58" t="s">
        <v>22525</v>
      </c>
      <c r="DJ2522" s="58" t="s">
        <v>237</v>
      </c>
      <c r="DK2522" s="58" t="s">
        <v>22860</v>
      </c>
    </row>
    <row r="2523" ht="15.75" customHeight="1">
      <c r="B2523" s="58" t="s">
        <v>22515</v>
      </c>
      <c r="D2523" s="58" t="s">
        <v>22861</v>
      </c>
      <c r="E2523" s="58" t="s">
        <v>22862</v>
      </c>
      <c r="I2523" s="58" t="s">
        <v>22863</v>
      </c>
      <c r="R2523" s="58">
        <v>46.0</v>
      </c>
      <c r="CL2523" s="58" t="s">
        <v>22864</v>
      </c>
      <c r="CP2523" s="58" t="s">
        <v>22865</v>
      </c>
      <c r="CX2523" s="58" t="s">
        <v>22866</v>
      </c>
      <c r="CY2523" s="58" t="s">
        <v>22867</v>
      </c>
      <c r="CZ2523" s="58">
        <v>2025.0</v>
      </c>
      <c r="DA2523" s="58" t="s">
        <v>22868</v>
      </c>
      <c r="DB2523" s="58">
        <v>101088.0</v>
      </c>
      <c r="DF2523" s="58">
        <v>0.0</v>
      </c>
      <c r="DG2523" s="58" t="s">
        <v>22869</v>
      </c>
      <c r="DH2523" s="58" t="s">
        <v>22525</v>
      </c>
      <c r="DJ2523" s="58" t="s">
        <v>237</v>
      </c>
      <c r="DK2523" s="58" t="s">
        <v>22870</v>
      </c>
      <c r="DL2523" s="58" t="s">
        <v>22871</v>
      </c>
    </row>
    <row r="2524" ht="15.75" customHeight="1">
      <c r="B2524" s="58" t="s">
        <v>22515</v>
      </c>
      <c r="D2524" s="58" t="s">
        <v>22872</v>
      </c>
      <c r="E2524" s="58" t="s">
        <v>22873</v>
      </c>
      <c r="I2524" s="58" t="s">
        <v>22874</v>
      </c>
      <c r="R2524" s="58">
        <v>120.0</v>
      </c>
      <c r="CL2524" s="58" t="s">
        <v>22875</v>
      </c>
      <c r="CP2524" s="58" t="s">
        <v>22876</v>
      </c>
      <c r="CX2524" s="58" t="s">
        <v>22877</v>
      </c>
      <c r="CY2524" s="58" t="s">
        <v>22878</v>
      </c>
      <c r="CZ2524" s="58">
        <v>2024.0</v>
      </c>
      <c r="DA2524" s="58" t="s">
        <v>22708</v>
      </c>
      <c r="DB2524" s="58">
        <v>109737.0</v>
      </c>
      <c r="DF2524" s="58">
        <v>0.0</v>
      </c>
      <c r="DG2524" s="58" t="s">
        <v>22879</v>
      </c>
      <c r="DH2524" s="58" t="s">
        <v>22525</v>
      </c>
      <c r="DJ2524" s="58" t="s">
        <v>237</v>
      </c>
      <c r="DK2524" s="58" t="s">
        <v>22880</v>
      </c>
      <c r="DL2524" s="58" t="s">
        <v>22881</v>
      </c>
    </row>
    <row r="2525" ht="15.75" customHeight="1">
      <c r="B2525" s="58" t="s">
        <v>22515</v>
      </c>
      <c r="D2525" s="58" t="s">
        <v>22882</v>
      </c>
      <c r="E2525" s="58" t="s">
        <v>22883</v>
      </c>
      <c r="I2525" s="58" t="s">
        <v>22884</v>
      </c>
      <c r="Q2525" s="58">
        <v>1.0</v>
      </c>
      <c r="R2525" s="58">
        <v>13.0</v>
      </c>
      <c r="CL2525" s="58" t="s">
        <v>22885</v>
      </c>
      <c r="CP2525" s="58" t="s">
        <v>22886</v>
      </c>
      <c r="CX2525" s="58" t="s">
        <v>22887</v>
      </c>
      <c r="CY2525" s="58" t="s">
        <v>22888</v>
      </c>
      <c r="CZ2525" s="58">
        <v>2024.0</v>
      </c>
      <c r="DA2525" s="58" t="s">
        <v>22889</v>
      </c>
      <c r="DB2525" s="58">
        <v>32.0</v>
      </c>
      <c r="DF2525" s="58">
        <v>1.0</v>
      </c>
      <c r="DG2525" s="58" t="s">
        <v>22890</v>
      </c>
      <c r="DH2525" s="58" t="s">
        <v>22525</v>
      </c>
      <c r="DI2525" s="58" t="s">
        <v>22643</v>
      </c>
      <c r="DJ2525" s="58" t="s">
        <v>237</v>
      </c>
      <c r="DK2525" s="58" t="s">
        <v>22891</v>
      </c>
      <c r="DL2525" s="58" t="s">
        <v>22892</v>
      </c>
    </row>
    <row r="2526" ht="15.75" customHeight="1">
      <c r="B2526" s="58" t="s">
        <v>22515</v>
      </c>
      <c r="D2526" s="58" t="s">
        <v>22893</v>
      </c>
      <c r="E2526" s="58" t="s">
        <v>22894</v>
      </c>
      <c r="I2526" s="58" t="s">
        <v>22895</v>
      </c>
      <c r="Q2526" s="58">
        <v>7.0</v>
      </c>
      <c r="R2526" s="58">
        <v>12.0</v>
      </c>
      <c r="CL2526" s="58" t="s">
        <v>22896</v>
      </c>
      <c r="CP2526" s="58" t="s">
        <v>22897</v>
      </c>
      <c r="CX2526" s="58" t="s">
        <v>22898</v>
      </c>
      <c r="CY2526" s="58" t="s">
        <v>22899</v>
      </c>
      <c r="CZ2526" s="58">
        <v>2024.0</v>
      </c>
      <c r="DA2526" s="58" t="s">
        <v>22900</v>
      </c>
      <c r="DB2526" s="58">
        <v>1328.0</v>
      </c>
      <c r="DF2526" s="58">
        <v>0.0</v>
      </c>
      <c r="DG2526" s="58" t="s">
        <v>22901</v>
      </c>
      <c r="DH2526" s="58" t="s">
        <v>22525</v>
      </c>
      <c r="DI2526" s="58" t="s">
        <v>22622</v>
      </c>
      <c r="DJ2526" s="58" t="s">
        <v>237</v>
      </c>
      <c r="DK2526" s="58" t="s">
        <v>22902</v>
      </c>
      <c r="DL2526" s="58" t="s">
        <v>22903</v>
      </c>
    </row>
    <row r="2527" ht="15.75" customHeight="1">
      <c r="B2527" s="58" t="s">
        <v>22771</v>
      </c>
      <c r="D2527" s="58" t="s">
        <v>22904</v>
      </c>
      <c r="E2527" s="58" t="s">
        <v>22905</v>
      </c>
      <c r="I2527" s="58" t="s">
        <v>22906</v>
      </c>
      <c r="R2527" s="58" t="s">
        <v>22907</v>
      </c>
      <c r="CL2527" s="58" t="s">
        <v>22908</v>
      </c>
      <c r="CP2527" s="58" t="s">
        <v>22909</v>
      </c>
      <c r="CX2527" s="58" t="s">
        <v>22910</v>
      </c>
      <c r="CY2527" s="58" t="s">
        <v>22911</v>
      </c>
      <c r="CZ2527" s="58">
        <v>2025.0</v>
      </c>
      <c r="DA2527" s="58" t="s">
        <v>22912</v>
      </c>
      <c r="DC2527" s="58">
        <v>83.0</v>
      </c>
      <c r="DD2527" s="58">
        <v>99.0</v>
      </c>
      <c r="DE2527" s="58">
        <v>16.0</v>
      </c>
      <c r="DF2527" s="58">
        <v>0.0</v>
      </c>
      <c r="DG2527" s="58" t="s">
        <v>22913</v>
      </c>
      <c r="DH2527" s="58" t="s">
        <v>22525</v>
      </c>
      <c r="DJ2527" s="58" t="s">
        <v>237</v>
      </c>
      <c r="DK2527" s="58" t="s">
        <v>22914</v>
      </c>
      <c r="DL2527" s="58" t="s">
        <v>22915</v>
      </c>
    </row>
    <row r="2528" ht="15.75" customHeight="1">
      <c r="B2528" s="58" t="s">
        <v>22515</v>
      </c>
      <c r="D2528" s="58" t="s">
        <v>22916</v>
      </c>
      <c r="E2528" s="58" t="s">
        <v>22917</v>
      </c>
      <c r="I2528" s="58" t="s">
        <v>22918</v>
      </c>
      <c r="Q2528" s="58">
        <v>14.0</v>
      </c>
      <c r="R2528" s="58">
        <v>44.0</v>
      </c>
      <c r="CL2528" s="58" t="s">
        <v>22919</v>
      </c>
      <c r="CP2528" s="58" t="s">
        <v>22920</v>
      </c>
      <c r="CX2528" s="58" t="s">
        <v>22921</v>
      </c>
      <c r="CY2528" s="58" t="s">
        <v>22922</v>
      </c>
      <c r="CZ2528" s="58">
        <v>2024.0</v>
      </c>
      <c r="DA2528" s="58" t="s">
        <v>22923</v>
      </c>
      <c r="DC2528" s="58">
        <v>5473.0</v>
      </c>
      <c r="DD2528" s="58">
        <v>5495.0</v>
      </c>
      <c r="DE2528" s="58">
        <v>22.0</v>
      </c>
      <c r="DF2528" s="58">
        <v>11.0</v>
      </c>
      <c r="DG2528" s="58" t="s">
        <v>22924</v>
      </c>
      <c r="DH2528" s="58" t="s">
        <v>22525</v>
      </c>
      <c r="DJ2528" s="58" t="s">
        <v>237</v>
      </c>
      <c r="DK2528" s="58" t="s">
        <v>22925</v>
      </c>
      <c r="DL2528" s="58" t="s">
        <v>22926</v>
      </c>
    </row>
    <row r="2529" ht="15.75" customHeight="1">
      <c r="B2529" s="58" t="s">
        <v>22515</v>
      </c>
      <c r="D2529" s="58" t="s">
        <v>22927</v>
      </c>
      <c r="E2529" s="58" t="s">
        <v>22928</v>
      </c>
      <c r="I2529" s="58" t="s">
        <v>22929</v>
      </c>
      <c r="Q2529" s="58">
        <v>1.0</v>
      </c>
      <c r="R2529" s="58">
        <v>11.0</v>
      </c>
      <c r="CL2529" s="58" t="s">
        <v>22930</v>
      </c>
      <c r="CP2529" s="58" t="s">
        <v>22931</v>
      </c>
      <c r="CX2529" s="58" t="s">
        <v>22932</v>
      </c>
      <c r="CY2529" s="58" t="s">
        <v>22933</v>
      </c>
      <c r="CZ2529" s="58">
        <v>2024.0</v>
      </c>
      <c r="DA2529" s="58" t="s">
        <v>22934</v>
      </c>
      <c r="DB2529" s="58">
        <v>123.0</v>
      </c>
      <c r="DF2529" s="58">
        <v>2.0</v>
      </c>
      <c r="DG2529" s="58" t="s">
        <v>22935</v>
      </c>
      <c r="DH2529" s="58" t="s">
        <v>22525</v>
      </c>
      <c r="DI2529" s="58" t="s">
        <v>22622</v>
      </c>
      <c r="DJ2529" s="58" t="s">
        <v>237</v>
      </c>
      <c r="DK2529" s="58" t="s">
        <v>22936</v>
      </c>
      <c r="DL2529" s="58" t="s">
        <v>22937</v>
      </c>
    </row>
    <row r="2530" ht="15.75" customHeight="1">
      <c r="B2530" s="58" t="s">
        <v>22515</v>
      </c>
      <c r="D2530" s="58" t="s">
        <v>22938</v>
      </c>
      <c r="E2530" s="58" t="s">
        <v>22939</v>
      </c>
      <c r="I2530" s="58" t="s">
        <v>22940</v>
      </c>
      <c r="CL2530" s="58" t="s">
        <v>22941</v>
      </c>
      <c r="CP2530" s="58" t="s">
        <v>22942</v>
      </c>
      <c r="CX2530" s="58" t="s">
        <v>22943</v>
      </c>
      <c r="CY2530" s="58" t="s">
        <v>22944</v>
      </c>
      <c r="CZ2530" s="58">
        <v>2025.0</v>
      </c>
      <c r="DA2530" s="58" t="s">
        <v>16731</v>
      </c>
      <c r="DF2530" s="58">
        <v>0.0</v>
      </c>
      <c r="DG2530" s="58" t="s">
        <v>22945</v>
      </c>
      <c r="DH2530" s="58" t="s">
        <v>22588</v>
      </c>
      <c r="DJ2530" s="58" t="s">
        <v>237</v>
      </c>
      <c r="DK2530" s="58" t="s">
        <v>22946</v>
      </c>
      <c r="DL2530" s="58" t="s">
        <v>22947</v>
      </c>
    </row>
    <row r="2531" ht="15.75" customHeight="1">
      <c r="B2531" s="58" t="s">
        <v>22515</v>
      </c>
      <c r="D2531" s="58" t="s">
        <v>22948</v>
      </c>
      <c r="E2531" s="58" t="s">
        <v>22949</v>
      </c>
      <c r="I2531" s="58" t="s">
        <v>22950</v>
      </c>
      <c r="R2531" s="58">
        <v>138.0</v>
      </c>
      <c r="CL2531" s="58" t="s">
        <v>22951</v>
      </c>
      <c r="CP2531" s="58" t="s">
        <v>22952</v>
      </c>
      <c r="CX2531" s="58" t="s">
        <v>22953</v>
      </c>
      <c r="CY2531" s="58" t="s">
        <v>22954</v>
      </c>
      <c r="CZ2531" s="58">
        <v>2025.0</v>
      </c>
      <c r="DA2531" s="58" t="s">
        <v>22955</v>
      </c>
      <c r="DB2531" s="58">
        <v>103042.0</v>
      </c>
      <c r="DF2531" s="58">
        <v>0.0</v>
      </c>
      <c r="DG2531" s="58" t="s">
        <v>22956</v>
      </c>
      <c r="DH2531" s="58" t="s">
        <v>22525</v>
      </c>
      <c r="DJ2531" s="58" t="s">
        <v>237</v>
      </c>
      <c r="DK2531" s="58" t="s">
        <v>22957</v>
      </c>
      <c r="DL2531" s="58" t="s">
        <v>22958</v>
      </c>
    </row>
    <row r="2532" ht="15.75" customHeight="1">
      <c r="B2532" s="58" t="s">
        <v>22515</v>
      </c>
      <c r="D2532" s="58" t="s">
        <v>22959</v>
      </c>
      <c r="E2532" s="58" t="s">
        <v>22960</v>
      </c>
      <c r="I2532" s="58" t="s">
        <v>22961</v>
      </c>
      <c r="R2532" s="58">
        <v>429.0</v>
      </c>
      <c r="CL2532" s="58" t="s">
        <v>22962</v>
      </c>
      <c r="CP2532" s="58" t="s">
        <v>22963</v>
      </c>
      <c r="CX2532" s="58" t="s">
        <v>22964</v>
      </c>
      <c r="CY2532" s="58" t="s">
        <v>22965</v>
      </c>
      <c r="CZ2532" s="58">
        <v>2024.0</v>
      </c>
      <c r="DA2532" s="58" t="s">
        <v>22966</v>
      </c>
      <c r="DB2532" s="58">
        <v>113636.0</v>
      </c>
      <c r="DF2532" s="58">
        <v>1.0</v>
      </c>
      <c r="DG2532" s="58" t="s">
        <v>22967</v>
      </c>
      <c r="DH2532" s="58" t="s">
        <v>22525</v>
      </c>
      <c r="DJ2532" s="58" t="s">
        <v>237</v>
      </c>
      <c r="DK2532" s="58" t="s">
        <v>22968</v>
      </c>
      <c r="DL2532" s="58" t="s">
        <v>22969</v>
      </c>
    </row>
    <row r="2533" ht="15.75" customHeight="1">
      <c r="B2533" s="58" t="s">
        <v>22515</v>
      </c>
      <c r="D2533" s="58" t="s">
        <v>22970</v>
      </c>
      <c r="E2533" s="58" t="s">
        <v>22971</v>
      </c>
      <c r="I2533" s="58" t="s">
        <v>22972</v>
      </c>
      <c r="Q2533" s="58">
        <v>4.0</v>
      </c>
      <c r="R2533" s="58">
        <v>58.0</v>
      </c>
      <c r="CL2533" s="58" t="s">
        <v>22973</v>
      </c>
      <c r="CP2533" s="58" t="s">
        <v>22974</v>
      </c>
      <c r="CX2533" s="58" t="s">
        <v>22975</v>
      </c>
      <c r="CY2533" s="58" t="s">
        <v>22976</v>
      </c>
      <c r="CZ2533" s="58">
        <v>2025.0</v>
      </c>
      <c r="DA2533" s="58" t="s">
        <v>22977</v>
      </c>
      <c r="DB2533" s="58">
        <v>100.0</v>
      </c>
      <c r="DF2533" s="58">
        <v>0.0</v>
      </c>
      <c r="DG2533" s="58" t="s">
        <v>22978</v>
      </c>
      <c r="DH2533" s="58" t="s">
        <v>22525</v>
      </c>
      <c r="DJ2533" s="58" t="s">
        <v>237</v>
      </c>
      <c r="DK2533" s="58" t="s">
        <v>22979</v>
      </c>
      <c r="DL2533" s="58" t="s">
        <v>22980</v>
      </c>
    </row>
    <row r="2534" ht="15.75" customHeight="1">
      <c r="B2534" s="58" t="s">
        <v>22515</v>
      </c>
      <c r="D2534" s="58" t="s">
        <v>22981</v>
      </c>
      <c r="E2534" s="58" t="s">
        <v>22982</v>
      </c>
      <c r="I2534" s="58" t="s">
        <v>22983</v>
      </c>
      <c r="Q2534" s="58">
        <v>4.0</v>
      </c>
      <c r="R2534" s="58">
        <v>27.0</v>
      </c>
      <c r="CL2534" s="58" t="s">
        <v>22984</v>
      </c>
      <c r="CP2534" s="58" t="s">
        <v>22985</v>
      </c>
      <c r="CX2534" s="58" t="s">
        <v>22986</v>
      </c>
      <c r="CY2534" s="58" t="s">
        <v>22987</v>
      </c>
      <c r="CZ2534" s="58">
        <v>2024.0</v>
      </c>
      <c r="DA2534" s="58" t="s">
        <v>22988</v>
      </c>
      <c r="DC2534" s="58">
        <v>4095.0</v>
      </c>
      <c r="DD2534" s="58">
        <v>4125.0</v>
      </c>
      <c r="DE2534" s="58">
        <v>30.0</v>
      </c>
      <c r="DF2534" s="58">
        <v>4.0</v>
      </c>
      <c r="DG2534" s="58" t="s">
        <v>22989</v>
      </c>
      <c r="DH2534" s="58" t="s">
        <v>22525</v>
      </c>
      <c r="DI2534" s="58" t="s">
        <v>22526</v>
      </c>
      <c r="DJ2534" s="58" t="s">
        <v>237</v>
      </c>
      <c r="DK2534" s="58" t="s">
        <v>22990</v>
      </c>
      <c r="DL2534" s="58" t="s">
        <v>22991</v>
      </c>
    </row>
    <row r="2535" ht="15.75" customHeight="1">
      <c r="B2535" s="58" t="s">
        <v>22515</v>
      </c>
      <c r="D2535" s="58" t="s">
        <v>22992</v>
      </c>
      <c r="E2535" s="58" t="s">
        <v>22993</v>
      </c>
      <c r="I2535" s="58" t="s">
        <v>22994</v>
      </c>
      <c r="Q2535" s="58">
        <v>12.0</v>
      </c>
      <c r="R2535" s="58">
        <v>19.0</v>
      </c>
      <c r="CL2535" s="58" t="s">
        <v>22995</v>
      </c>
      <c r="CP2535" s="58" t="s">
        <v>22996</v>
      </c>
      <c r="CX2535" s="58" t="s">
        <v>22997</v>
      </c>
      <c r="CY2535" s="58" t="s">
        <v>22998</v>
      </c>
      <c r="CZ2535" s="58">
        <v>2024.0</v>
      </c>
      <c r="DA2535" s="58" t="s">
        <v>22999</v>
      </c>
      <c r="DC2535" s="58">
        <v>4703.0</v>
      </c>
      <c r="DD2535" s="58">
        <v>4714.0</v>
      </c>
      <c r="DE2535" s="58">
        <v>11.0</v>
      </c>
      <c r="DF2535" s="58">
        <v>0.0</v>
      </c>
      <c r="DG2535" s="58" t="s">
        <v>23000</v>
      </c>
      <c r="DH2535" s="58" t="s">
        <v>22525</v>
      </c>
      <c r="DJ2535" s="58" t="s">
        <v>237</v>
      </c>
      <c r="DK2535" s="58" t="s">
        <v>23001</v>
      </c>
      <c r="DL2535" s="58" t="s">
        <v>23002</v>
      </c>
    </row>
    <row r="2536" ht="15.75" customHeight="1">
      <c r="B2536" s="58" t="s">
        <v>22515</v>
      </c>
      <c r="D2536" s="58" t="s">
        <v>23003</v>
      </c>
      <c r="E2536" s="58" t="s">
        <v>23004</v>
      </c>
      <c r="I2536" s="58" t="s">
        <v>23005</v>
      </c>
      <c r="R2536" s="58">
        <v>105.0</v>
      </c>
      <c r="CL2536" s="58" t="s">
        <v>23006</v>
      </c>
      <c r="CP2536" s="58" t="s">
        <v>23007</v>
      </c>
      <c r="CX2536" s="58" t="s">
        <v>23008</v>
      </c>
      <c r="CY2536" s="58" t="s">
        <v>23009</v>
      </c>
      <c r="CZ2536" s="58">
        <v>2024.0</v>
      </c>
      <c r="DA2536" s="58" t="s">
        <v>23010</v>
      </c>
      <c r="DB2536" s="58">
        <v>101986.0</v>
      </c>
      <c r="DF2536" s="58">
        <v>0.0</v>
      </c>
      <c r="DG2536" s="58" t="s">
        <v>23011</v>
      </c>
      <c r="DH2536" s="58" t="s">
        <v>22525</v>
      </c>
      <c r="DJ2536" s="58" t="s">
        <v>237</v>
      </c>
      <c r="DK2536" s="58" t="s">
        <v>23012</v>
      </c>
      <c r="DL2536" s="58" t="s">
        <v>23013</v>
      </c>
    </row>
    <row r="2537" ht="15.75" customHeight="1">
      <c r="B2537" s="58" t="s">
        <v>22515</v>
      </c>
      <c r="D2537" s="58" t="s">
        <v>23014</v>
      </c>
      <c r="E2537" s="58" t="s">
        <v>23015</v>
      </c>
      <c r="I2537" s="58" t="s">
        <v>23016</v>
      </c>
      <c r="Q2537" s="58">
        <v>6.0</v>
      </c>
      <c r="R2537" s="58">
        <v>27.0</v>
      </c>
      <c r="CL2537" s="58" t="s">
        <v>23017</v>
      </c>
      <c r="CP2537" s="58" t="s">
        <v>23018</v>
      </c>
      <c r="CX2537" s="58" t="s">
        <v>23019</v>
      </c>
      <c r="CY2537" s="58" t="s">
        <v>23020</v>
      </c>
      <c r="CZ2537" s="58">
        <v>2024.0</v>
      </c>
      <c r="DA2537" s="58" t="s">
        <v>22988</v>
      </c>
      <c r="DC2537" s="58">
        <v>8001.0</v>
      </c>
      <c r="DD2537" s="58">
        <v>8013.0</v>
      </c>
      <c r="DE2537" s="58">
        <v>12.0</v>
      </c>
      <c r="DF2537" s="58">
        <v>3.0</v>
      </c>
      <c r="DG2537" s="58" t="s">
        <v>23021</v>
      </c>
      <c r="DH2537" s="58" t="s">
        <v>22525</v>
      </c>
      <c r="DJ2537" s="58" t="s">
        <v>237</v>
      </c>
      <c r="DK2537" s="58" t="s">
        <v>23022</v>
      </c>
      <c r="DL2537" s="58" t="s">
        <v>23023</v>
      </c>
    </row>
    <row r="2538" ht="15.75" customHeight="1">
      <c r="B2538" s="58" t="s">
        <v>22515</v>
      </c>
      <c r="D2538" s="58" t="s">
        <v>23024</v>
      </c>
      <c r="E2538" s="58" t="s">
        <v>23025</v>
      </c>
      <c r="I2538" s="58" t="s">
        <v>23026</v>
      </c>
      <c r="Q2538" s="58">
        <v>9.0</v>
      </c>
      <c r="R2538" s="58">
        <v>47.0</v>
      </c>
      <c r="CL2538" s="58" t="s">
        <v>23027</v>
      </c>
      <c r="CP2538" s="58" t="s">
        <v>23028</v>
      </c>
      <c r="CX2538" s="58" t="s">
        <v>23029</v>
      </c>
      <c r="CY2538" s="58" t="s">
        <v>23030</v>
      </c>
      <c r="CZ2538" s="58">
        <v>2024.0</v>
      </c>
      <c r="DA2538" s="58" t="s">
        <v>23031</v>
      </c>
      <c r="DC2538" s="58">
        <v>2035.0</v>
      </c>
      <c r="DD2538" s="58">
        <v>2058.0</v>
      </c>
      <c r="DE2538" s="58">
        <v>23.0</v>
      </c>
      <c r="DF2538" s="58">
        <v>0.0</v>
      </c>
      <c r="DG2538" s="58" t="s">
        <v>23032</v>
      </c>
      <c r="DH2538" s="58" t="s">
        <v>22525</v>
      </c>
      <c r="DJ2538" s="58" t="s">
        <v>237</v>
      </c>
      <c r="DK2538" s="58" t="s">
        <v>23033</v>
      </c>
      <c r="DL2538" s="58" t="s">
        <v>23034</v>
      </c>
    </row>
    <row r="2539" ht="15.75" customHeight="1">
      <c r="B2539" s="58" t="s">
        <v>22515</v>
      </c>
      <c r="D2539" s="58" t="s">
        <v>23035</v>
      </c>
      <c r="E2539" s="58" t="s">
        <v>23036</v>
      </c>
      <c r="I2539" s="58" t="s">
        <v>23037</v>
      </c>
      <c r="R2539" s="58">
        <v>254.0</v>
      </c>
      <c r="CL2539" s="58" t="s">
        <v>23038</v>
      </c>
      <c r="CP2539" s="58" t="s">
        <v>23039</v>
      </c>
      <c r="CX2539" s="58" t="s">
        <v>23040</v>
      </c>
      <c r="CY2539" s="58" t="s">
        <v>23041</v>
      </c>
      <c r="CZ2539" s="58">
        <v>2024.0</v>
      </c>
      <c r="DA2539" s="58" t="s">
        <v>23042</v>
      </c>
      <c r="DB2539" s="58">
        <v>108268.0</v>
      </c>
      <c r="DF2539" s="58">
        <v>2.0</v>
      </c>
      <c r="DG2539" s="58" t="s">
        <v>23043</v>
      </c>
      <c r="DH2539" s="58" t="s">
        <v>22525</v>
      </c>
      <c r="DJ2539" s="58" t="s">
        <v>237</v>
      </c>
      <c r="DK2539" s="58" t="s">
        <v>23044</v>
      </c>
      <c r="DL2539" s="58" t="s">
        <v>23045</v>
      </c>
    </row>
    <row r="2540" ht="15.75" customHeight="1">
      <c r="B2540" s="58" t="s">
        <v>22515</v>
      </c>
      <c r="D2540" s="58" t="s">
        <v>23046</v>
      </c>
      <c r="E2540" s="58" t="s">
        <v>23047</v>
      </c>
      <c r="I2540" s="58" t="s">
        <v>23048</v>
      </c>
      <c r="R2540" s="58">
        <v>224.0</v>
      </c>
      <c r="CL2540" s="58" t="s">
        <v>23049</v>
      </c>
      <c r="CP2540" s="58" t="s">
        <v>23050</v>
      </c>
      <c r="CX2540" s="58" t="s">
        <v>23051</v>
      </c>
      <c r="CY2540" s="58" t="s">
        <v>23052</v>
      </c>
      <c r="CZ2540" s="58">
        <v>2024.0</v>
      </c>
      <c r="DA2540" s="58" t="s">
        <v>23053</v>
      </c>
      <c r="DC2540" s="58">
        <v>192.0</v>
      </c>
      <c r="DD2540" s="58">
        <v>212.0</v>
      </c>
      <c r="DE2540" s="58">
        <v>20.0</v>
      </c>
      <c r="DF2540" s="58">
        <v>0.0</v>
      </c>
      <c r="DG2540" s="58" t="s">
        <v>23054</v>
      </c>
      <c r="DH2540" s="58" t="s">
        <v>22525</v>
      </c>
      <c r="DI2540" s="58" t="s">
        <v>22526</v>
      </c>
      <c r="DJ2540" s="58" t="s">
        <v>237</v>
      </c>
      <c r="DK2540" s="58" t="s">
        <v>23055</v>
      </c>
      <c r="DL2540" s="58" t="s">
        <v>23056</v>
      </c>
    </row>
    <row r="2541" ht="15.75" customHeight="1">
      <c r="B2541" s="58" t="s">
        <v>22515</v>
      </c>
      <c r="D2541" s="58" t="s">
        <v>23057</v>
      </c>
      <c r="E2541" s="58" t="s">
        <v>23058</v>
      </c>
      <c r="I2541" s="58" t="s">
        <v>23059</v>
      </c>
      <c r="R2541" s="58">
        <v>10.0</v>
      </c>
      <c r="CL2541" s="58" t="s">
        <v>23060</v>
      </c>
      <c r="CP2541" s="58" t="s">
        <v>23061</v>
      </c>
      <c r="CX2541" s="58" t="s">
        <v>23062</v>
      </c>
      <c r="CY2541" s="58" t="s">
        <v>23063</v>
      </c>
      <c r="CZ2541" s="58">
        <v>2025.0</v>
      </c>
      <c r="DA2541" s="58" t="s">
        <v>23064</v>
      </c>
      <c r="DB2541" s="58">
        <v>100449.0</v>
      </c>
      <c r="DF2541" s="58">
        <v>0.0</v>
      </c>
      <c r="DG2541" s="58" t="s">
        <v>23065</v>
      </c>
      <c r="DH2541" s="58" t="s">
        <v>22525</v>
      </c>
      <c r="DI2541" s="58" t="s">
        <v>22622</v>
      </c>
      <c r="DJ2541" s="58" t="s">
        <v>237</v>
      </c>
      <c r="DK2541" s="58" t="s">
        <v>23066</v>
      </c>
    </row>
    <row r="2542" ht="15.75" customHeight="1">
      <c r="B2542" s="58" t="s">
        <v>22515</v>
      </c>
      <c r="D2542" s="58" t="s">
        <v>23067</v>
      </c>
      <c r="E2542" s="58" t="s">
        <v>23068</v>
      </c>
      <c r="I2542" s="58" t="s">
        <v>23069</v>
      </c>
      <c r="Q2542" s="58">
        <v>13.0</v>
      </c>
      <c r="R2542" s="58">
        <v>16.0</v>
      </c>
      <c r="CL2542" s="58" t="s">
        <v>23070</v>
      </c>
      <c r="CP2542" s="58" t="s">
        <v>23071</v>
      </c>
      <c r="CX2542" s="58" t="s">
        <v>23072</v>
      </c>
      <c r="CY2542" s="58" t="s">
        <v>23073</v>
      </c>
      <c r="CZ2542" s="58">
        <v>2024.0</v>
      </c>
      <c r="DA2542" s="58" t="s">
        <v>23074</v>
      </c>
      <c r="DB2542" s="58">
        <v>5738.0</v>
      </c>
      <c r="DF2542" s="58">
        <v>0.0</v>
      </c>
      <c r="DG2542" s="58" t="s">
        <v>23075</v>
      </c>
      <c r="DH2542" s="58" t="s">
        <v>22525</v>
      </c>
      <c r="DI2542" s="58" t="s">
        <v>22622</v>
      </c>
      <c r="DJ2542" s="58" t="s">
        <v>237</v>
      </c>
      <c r="DK2542" s="58" t="s">
        <v>23076</v>
      </c>
      <c r="DL2542" s="58" t="s">
        <v>23077</v>
      </c>
    </row>
    <row r="2543" ht="15.75" customHeight="1">
      <c r="B2543" s="58" t="s">
        <v>22515</v>
      </c>
      <c r="D2543" s="58" t="s">
        <v>23078</v>
      </c>
      <c r="E2543" s="58" t="s">
        <v>23079</v>
      </c>
      <c r="I2543" s="58" t="s">
        <v>23080</v>
      </c>
      <c r="Q2543" s="58">
        <v>5.0</v>
      </c>
      <c r="R2543" s="58">
        <v>30.0</v>
      </c>
      <c r="CL2543" s="58" t="s">
        <v>23081</v>
      </c>
      <c r="CP2543" s="58" t="s">
        <v>23082</v>
      </c>
      <c r="CX2543" s="58" t="s">
        <v>23083</v>
      </c>
      <c r="CY2543" s="58" t="s">
        <v>23084</v>
      </c>
      <c r="CZ2543" s="58">
        <v>2024.0</v>
      </c>
      <c r="DA2543" s="58" t="s">
        <v>23085</v>
      </c>
      <c r="DC2543" s="58">
        <v>3229.0</v>
      </c>
      <c r="DD2543" s="58">
        <v>3255.0</v>
      </c>
      <c r="DE2543" s="58">
        <v>26.0</v>
      </c>
      <c r="DF2543" s="58">
        <v>23.0</v>
      </c>
      <c r="DG2543" s="58" t="s">
        <v>23086</v>
      </c>
      <c r="DH2543" s="58" t="s">
        <v>22525</v>
      </c>
      <c r="DJ2543" s="58" t="s">
        <v>237</v>
      </c>
      <c r="DK2543" s="58" t="s">
        <v>23087</v>
      </c>
      <c r="DL2543" s="58" t="s">
        <v>23088</v>
      </c>
    </row>
    <row r="2544" ht="15.75" customHeight="1">
      <c r="B2544" s="58" t="s">
        <v>22515</v>
      </c>
      <c r="D2544" s="58" t="s">
        <v>23089</v>
      </c>
      <c r="E2544" s="58" t="s">
        <v>23090</v>
      </c>
      <c r="I2544" s="58" t="s">
        <v>23091</v>
      </c>
      <c r="Q2544" s="58">
        <v>1.0</v>
      </c>
      <c r="R2544" s="58">
        <v>14.0</v>
      </c>
      <c r="CL2544" s="58" t="s">
        <v>23092</v>
      </c>
      <c r="CP2544" s="58" t="s">
        <v>23093</v>
      </c>
      <c r="CX2544" s="58" t="s">
        <v>23094</v>
      </c>
      <c r="CY2544" s="58" t="s">
        <v>23095</v>
      </c>
      <c r="CZ2544" s="58">
        <v>2024.0</v>
      </c>
      <c r="DA2544" s="58" t="s">
        <v>22767</v>
      </c>
      <c r="DB2544" s="58">
        <v>28746.0</v>
      </c>
      <c r="DF2544" s="58">
        <v>0.0</v>
      </c>
      <c r="DG2544" s="58" t="s">
        <v>23096</v>
      </c>
      <c r="DH2544" s="58" t="s">
        <v>22525</v>
      </c>
      <c r="DI2544" s="58" t="s">
        <v>22622</v>
      </c>
      <c r="DJ2544" s="58" t="s">
        <v>237</v>
      </c>
      <c r="DK2544" s="58" t="s">
        <v>23097</v>
      </c>
      <c r="DL2544" s="58" t="s">
        <v>23098</v>
      </c>
    </row>
    <row r="2545" ht="15.75" customHeight="1">
      <c r="B2545" s="58" t="s">
        <v>22515</v>
      </c>
      <c r="D2545" s="58" t="s">
        <v>23099</v>
      </c>
      <c r="E2545" s="58" t="s">
        <v>23100</v>
      </c>
      <c r="I2545" s="58" t="s">
        <v>23101</v>
      </c>
      <c r="Q2545" s="58">
        <v>1.0</v>
      </c>
      <c r="R2545" s="58">
        <v>14.0</v>
      </c>
      <c r="CL2545" s="58" t="s">
        <v>23102</v>
      </c>
      <c r="CP2545" s="58" t="s">
        <v>23103</v>
      </c>
      <c r="CX2545" s="58" t="s">
        <v>23104</v>
      </c>
      <c r="CY2545" s="58" t="s">
        <v>23105</v>
      </c>
      <c r="CZ2545" s="58">
        <v>2025.0</v>
      </c>
      <c r="DA2545" s="58" t="s">
        <v>23106</v>
      </c>
      <c r="DC2545" s="58">
        <v>128.0</v>
      </c>
      <c r="DD2545" s="58">
        <v>154.0</v>
      </c>
      <c r="DE2545" s="58">
        <v>26.0</v>
      </c>
      <c r="DF2545" s="58">
        <v>0.0</v>
      </c>
      <c r="DG2545" s="58" t="s">
        <v>23107</v>
      </c>
      <c r="DH2545" s="58" t="s">
        <v>22525</v>
      </c>
      <c r="DI2545" s="58" t="s">
        <v>22622</v>
      </c>
      <c r="DJ2545" s="58" t="s">
        <v>237</v>
      </c>
      <c r="DK2545" s="58" t="s">
        <v>23108</v>
      </c>
    </row>
    <row r="2546" ht="15.75" customHeight="1">
      <c r="B2546" s="58" t="s">
        <v>22515</v>
      </c>
      <c r="D2546" s="58" t="s">
        <v>23109</v>
      </c>
      <c r="E2546" s="58" t="s">
        <v>23110</v>
      </c>
      <c r="I2546" s="58" t="s">
        <v>23111</v>
      </c>
      <c r="R2546" s="58">
        <v>160.0</v>
      </c>
      <c r="CL2546" s="58" t="s">
        <v>23112</v>
      </c>
      <c r="CP2546" s="58" t="s">
        <v>23113</v>
      </c>
      <c r="CX2546" s="58" t="s">
        <v>23114</v>
      </c>
      <c r="CY2546" s="58" t="s">
        <v>23115</v>
      </c>
      <c r="CZ2546" s="58">
        <v>2024.0</v>
      </c>
      <c r="DA2546" s="58" t="s">
        <v>23116</v>
      </c>
      <c r="DC2546" s="58">
        <v>457.0</v>
      </c>
      <c r="DD2546" s="58">
        <v>471.0</v>
      </c>
      <c r="DE2546" s="58">
        <v>14.0</v>
      </c>
      <c r="DF2546" s="58">
        <v>4.0</v>
      </c>
      <c r="DG2546" s="58" t="s">
        <v>23117</v>
      </c>
      <c r="DH2546" s="58" t="s">
        <v>22525</v>
      </c>
      <c r="DI2546" s="58" t="s">
        <v>22526</v>
      </c>
      <c r="DJ2546" s="58" t="s">
        <v>237</v>
      </c>
      <c r="DK2546" s="58" t="s">
        <v>23118</v>
      </c>
      <c r="DL2546" s="58" t="s">
        <v>23119</v>
      </c>
    </row>
    <row r="2547" ht="15.75" customHeight="1">
      <c r="B2547" s="58" t="s">
        <v>22515</v>
      </c>
      <c r="D2547" s="58" t="s">
        <v>23120</v>
      </c>
      <c r="E2547" s="58" t="s">
        <v>23121</v>
      </c>
      <c r="I2547" s="58" t="s">
        <v>23122</v>
      </c>
      <c r="R2547" s="58">
        <v>108.0</v>
      </c>
      <c r="CL2547" s="58" t="s">
        <v>23123</v>
      </c>
      <c r="CP2547" s="58" t="s">
        <v>23124</v>
      </c>
      <c r="CX2547" s="58" t="s">
        <v>23125</v>
      </c>
      <c r="CY2547" s="58" t="s">
        <v>23126</v>
      </c>
      <c r="CZ2547" s="58">
        <v>2025.0</v>
      </c>
      <c r="DA2547" s="58" t="s">
        <v>23010</v>
      </c>
      <c r="DB2547" s="58">
        <v>102028.0</v>
      </c>
      <c r="DF2547" s="58">
        <v>0.0</v>
      </c>
      <c r="DG2547" s="58" t="s">
        <v>23127</v>
      </c>
      <c r="DH2547" s="58" t="s">
        <v>22525</v>
      </c>
      <c r="DJ2547" s="58" t="s">
        <v>237</v>
      </c>
      <c r="DK2547" s="58" t="s">
        <v>23128</v>
      </c>
      <c r="DL2547" s="58" t="s">
        <v>23129</v>
      </c>
    </row>
    <row r="2548" ht="15.75" customHeight="1">
      <c r="B2548" s="58" t="s">
        <v>22515</v>
      </c>
      <c r="D2548" s="58" t="s">
        <v>23130</v>
      </c>
      <c r="E2548" s="58" t="s">
        <v>23131</v>
      </c>
      <c r="I2548" s="58" t="s">
        <v>23132</v>
      </c>
      <c r="R2548" s="58">
        <v>119.0</v>
      </c>
      <c r="CL2548" s="58" t="s">
        <v>23133</v>
      </c>
      <c r="CP2548" s="58" t="s">
        <v>23134</v>
      </c>
      <c r="CX2548" s="58" t="s">
        <v>23135</v>
      </c>
      <c r="CY2548" s="58" t="s">
        <v>23136</v>
      </c>
      <c r="CZ2548" s="58">
        <v>2024.0</v>
      </c>
      <c r="DA2548" s="58" t="s">
        <v>22708</v>
      </c>
      <c r="DB2548" s="58">
        <v>109581.0</v>
      </c>
      <c r="DF2548" s="58">
        <v>4.0</v>
      </c>
      <c r="DG2548" s="58" t="s">
        <v>23137</v>
      </c>
      <c r="DH2548" s="58" t="s">
        <v>22525</v>
      </c>
      <c r="DJ2548" s="58" t="s">
        <v>237</v>
      </c>
      <c r="DK2548" s="58" t="s">
        <v>23138</v>
      </c>
      <c r="DL2548" s="58" t="s">
        <v>23139</v>
      </c>
    </row>
    <row r="2549" ht="15.75" customHeight="1">
      <c r="B2549" s="58" t="s">
        <v>22515</v>
      </c>
      <c r="D2549" s="58" t="s">
        <v>23140</v>
      </c>
      <c r="E2549" s="58" t="s">
        <v>23141</v>
      </c>
      <c r="I2549" s="58" t="s">
        <v>23142</v>
      </c>
      <c r="Q2549" s="58">
        <v>5.0</v>
      </c>
      <c r="R2549" s="58">
        <v>106.0</v>
      </c>
      <c r="CL2549" s="58" t="s">
        <v>23143</v>
      </c>
      <c r="CP2549" s="58" t="s">
        <v>23144</v>
      </c>
      <c r="CX2549" s="58" t="s">
        <v>23145</v>
      </c>
      <c r="CY2549" s="58" t="s">
        <v>23146</v>
      </c>
      <c r="CZ2549" s="58">
        <v>2024.0</v>
      </c>
      <c r="DA2549" s="58" t="s">
        <v>23147</v>
      </c>
      <c r="DC2549" s="58">
        <v>5851.0</v>
      </c>
      <c r="DD2549" s="58">
        <v>5867.0</v>
      </c>
      <c r="DE2549" s="58">
        <v>16.0</v>
      </c>
      <c r="DF2549" s="58">
        <v>4.0</v>
      </c>
      <c r="DG2549" s="58" t="s">
        <v>23148</v>
      </c>
      <c r="DH2549" s="58" t="s">
        <v>22525</v>
      </c>
      <c r="DJ2549" s="58" t="s">
        <v>237</v>
      </c>
      <c r="DK2549" s="58" t="s">
        <v>23149</v>
      </c>
      <c r="DL2549" s="58" t="s">
        <v>23150</v>
      </c>
    </row>
    <row r="2550" ht="15.75" customHeight="1">
      <c r="B2550" s="58" t="s">
        <v>22515</v>
      </c>
      <c r="D2550" s="58" t="s">
        <v>23151</v>
      </c>
      <c r="E2550" s="58" t="s">
        <v>23152</v>
      </c>
      <c r="I2550" s="58" t="s">
        <v>23153</v>
      </c>
      <c r="CL2550" s="58" t="s">
        <v>23154</v>
      </c>
      <c r="CP2550" s="58" t="s">
        <v>23155</v>
      </c>
      <c r="CX2550" s="58" t="s">
        <v>23156</v>
      </c>
      <c r="CY2550" s="58" t="s">
        <v>23157</v>
      </c>
      <c r="CZ2550" s="58">
        <v>2025.0</v>
      </c>
      <c r="DA2550" s="58" t="s">
        <v>17654</v>
      </c>
      <c r="DF2550" s="58">
        <v>0.0</v>
      </c>
      <c r="DG2550" s="58" t="s">
        <v>23158</v>
      </c>
      <c r="DH2550" s="58" t="s">
        <v>22588</v>
      </c>
      <c r="DJ2550" s="58" t="s">
        <v>237</v>
      </c>
      <c r="DK2550" s="58" t="s">
        <v>23159</v>
      </c>
      <c r="DL2550" s="58" t="s">
        <v>23160</v>
      </c>
    </row>
    <row r="2551" ht="15.75" customHeight="1">
      <c r="B2551" s="58" t="s">
        <v>22515</v>
      </c>
      <c r="D2551" s="58" t="s">
        <v>23161</v>
      </c>
      <c r="E2551" s="58" t="s">
        <v>23162</v>
      </c>
      <c r="I2551" s="58" t="s">
        <v>23163</v>
      </c>
      <c r="Q2551" s="58">
        <v>17.0</v>
      </c>
      <c r="R2551" s="58">
        <v>14.0</v>
      </c>
      <c r="CL2551" s="58" t="s">
        <v>23164</v>
      </c>
      <c r="CP2551" s="58" t="s">
        <v>23165</v>
      </c>
      <c r="CX2551" s="58" t="s">
        <v>23166</v>
      </c>
      <c r="CY2551" s="58" t="s">
        <v>23167</v>
      </c>
      <c r="CZ2551" s="58">
        <v>2024.0</v>
      </c>
      <c r="DA2551" s="58" t="s">
        <v>23168</v>
      </c>
      <c r="DB2551" s="58">
        <v>7456.0</v>
      </c>
      <c r="DF2551" s="58">
        <v>1.0</v>
      </c>
      <c r="DG2551" s="58" t="s">
        <v>23169</v>
      </c>
      <c r="DH2551" s="58" t="s">
        <v>22525</v>
      </c>
      <c r="DI2551" s="58" t="s">
        <v>22622</v>
      </c>
      <c r="DJ2551" s="58" t="s">
        <v>237</v>
      </c>
      <c r="DK2551" s="58" t="s">
        <v>23170</v>
      </c>
      <c r="DL2551" s="58" t="s">
        <v>23171</v>
      </c>
    </row>
    <row r="2552" ht="15.75" customHeight="1">
      <c r="B2552" s="58" t="s">
        <v>22515</v>
      </c>
      <c r="D2552" s="58" t="s">
        <v>23172</v>
      </c>
      <c r="E2552" s="58" t="s">
        <v>23173</v>
      </c>
      <c r="I2552" s="58" t="s">
        <v>23174</v>
      </c>
      <c r="R2552" s="58">
        <v>257.0</v>
      </c>
      <c r="CL2552" s="58" t="s">
        <v>23175</v>
      </c>
      <c r="CP2552" s="58" t="s">
        <v>23176</v>
      </c>
      <c r="CX2552" s="58" t="s">
        <v>23177</v>
      </c>
      <c r="CY2552" s="58" t="s">
        <v>23178</v>
      </c>
      <c r="CZ2552" s="58">
        <v>2025.0</v>
      </c>
      <c r="DA2552" s="58" t="s">
        <v>23179</v>
      </c>
      <c r="DB2552" s="58">
        <v>111008.0</v>
      </c>
      <c r="DF2552" s="58">
        <v>0.0</v>
      </c>
      <c r="DG2552" s="58" t="s">
        <v>23180</v>
      </c>
      <c r="DH2552" s="58" t="s">
        <v>22525</v>
      </c>
      <c r="DJ2552" s="58" t="s">
        <v>237</v>
      </c>
      <c r="DK2552" s="58" t="s">
        <v>23181</v>
      </c>
      <c r="DL2552" s="58" t="s">
        <v>23182</v>
      </c>
    </row>
    <row r="2553" ht="15.75" customHeight="1">
      <c r="B2553" s="58" t="s">
        <v>22515</v>
      </c>
      <c r="D2553" s="58" t="s">
        <v>23183</v>
      </c>
      <c r="E2553" s="58" t="s">
        <v>23184</v>
      </c>
      <c r="I2553" s="58" t="s">
        <v>23185</v>
      </c>
      <c r="R2553" s="58">
        <v>123.0</v>
      </c>
      <c r="CL2553" s="58" t="s">
        <v>23186</v>
      </c>
      <c r="CP2553" s="58" t="s">
        <v>23187</v>
      </c>
      <c r="CX2553" s="58" t="s">
        <v>23188</v>
      </c>
      <c r="CY2553" s="58" t="s">
        <v>23189</v>
      </c>
      <c r="CZ2553" s="58">
        <v>2025.0</v>
      </c>
      <c r="DA2553" s="58" t="s">
        <v>22708</v>
      </c>
      <c r="DB2553" s="58">
        <v>110085.0</v>
      </c>
      <c r="DF2553" s="58">
        <v>0.0</v>
      </c>
      <c r="DG2553" s="58" t="s">
        <v>23190</v>
      </c>
      <c r="DH2553" s="58" t="s">
        <v>22525</v>
      </c>
      <c r="DJ2553" s="58" t="s">
        <v>237</v>
      </c>
      <c r="DK2553" s="58" t="s">
        <v>23191</v>
      </c>
      <c r="DL2553" s="58" t="s">
        <v>23192</v>
      </c>
    </row>
    <row r="2554" ht="15.75" customHeight="1">
      <c r="B2554" s="58" t="s">
        <v>22515</v>
      </c>
      <c r="D2554" s="58" t="s">
        <v>23193</v>
      </c>
      <c r="E2554" s="58" t="s">
        <v>23194</v>
      </c>
      <c r="I2554" s="58" t="s">
        <v>23195</v>
      </c>
      <c r="R2554" s="58">
        <v>257.0</v>
      </c>
      <c r="CL2554" s="58" t="s">
        <v>23196</v>
      </c>
      <c r="CP2554" s="58" t="s">
        <v>23197</v>
      </c>
      <c r="CX2554" s="58" t="s">
        <v>23198</v>
      </c>
      <c r="CY2554" s="58" t="s">
        <v>23199</v>
      </c>
      <c r="CZ2554" s="58">
        <v>2025.0</v>
      </c>
      <c r="DA2554" s="58" t="s">
        <v>23200</v>
      </c>
      <c r="DB2554" s="58">
        <v>110832.0</v>
      </c>
      <c r="DF2554" s="58">
        <v>0.0</v>
      </c>
      <c r="DG2554" s="58" t="s">
        <v>23201</v>
      </c>
      <c r="DH2554" s="58" t="s">
        <v>22525</v>
      </c>
      <c r="DJ2554" s="58" t="s">
        <v>237</v>
      </c>
      <c r="DK2554" s="58" t="s">
        <v>23202</v>
      </c>
      <c r="DL2554" s="58" t="s">
        <v>23203</v>
      </c>
    </row>
    <row r="2555" ht="15.75" customHeight="1">
      <c r="B2555" s="58" t="s">
        <v>22515</v>
      </c>
      <c r="D2555" s="58" t="s">
        <v>23204</v>
      </c>
      <c r="E2555" s="58" t="s">
        <v>23205</v>
      </c>
      <c r="I2555" s="58" t="s">
        <v>23206</v>
      </c>
      <c r="Q2555" s="58">
        <v>4.0</v>
      </c>
      <c r="R2555" s="58">
        <v>19.0</v>
      </c>
      <c r="CL2555" s="58" t="s">
        <v>23207</v>
      </c>
      <c r="CP2555" s="58" t="s">
        <v>23208</v>
      </c>
      <c r="CX2555" s="58" t="s">
        <v>23209</v>
      </c>
      <c r="CY2555" s="58" t="s">
        <v>23210</v>
      </c>
      <c r="CZ2555" s="58">
        <v>2025.0</v>
      </c>
      <c r="DA2555" s="58" t="s">
        <v>23211</v>
      </c>
      <c r="DB2555" s="58">
        <v>194203.0</v>
      </c>
      <c r="DF2555" s="58">
        <v>1.0</v>
      </c>
      <c r="DG2555" s="58" t="s">
        <v>23212</v>
      </c>
      <c r="DH2555" s="58" t="s">
        <v>22525</v>
      </c>
      <c r="DJ2555" s="58" t="s">
        <v>237</v>
      </c>
      <c r="DK2555" s="58" t="s">
        <v>23213</v>
      </c>
      <c r="DL2555" s="58" t="s">
        <v>23214</v>
      </c>
    </row>
    <row r="2556" ht="15.75" customHeight="1">
      <c r="B2556" s="58" t="s">
        <v>22515</v>
      </c>
      <c r="D2556" s="58" t="s">
        <v>23215</v>
      </c>
      <c r="E2556" s="58" t="s">
        <v>23216</v>
      </c>
      <c r="I2556" s="58" t="s">
        <v>23217</v>
      </c>
      <c r="R2556" s="58">
        <v>49.0</v>
      </c>
      <c r="CL2556" s="58" t="s">
        <v>23218</v>
      </c>
      <c r="CP2556" s="58" t="s">
        <v>23219</v>
      </c>
      <c r="CX2556" s="58" t="s">
        <v>23220</v>
      </c>
      <c r="CY2556" s="58" t="s">
        <v>23221</v>
      </c>
      <c r="CZ2556" s="58">
        <v>2024.0</v>
      </c>
      <c r="DA2556" s="58" t="s">
        <v>23222</v>
      </c>
      <c r="DB2556" s="58">
        <v>100812.0</v>
      </c>
      <c r="DF2556" s="58">
        <v>2.0</v>
      </c>
      <c r="DG2556" s="58" t="s">
        <v>23223</v>
      </c>
      <c r="DH2556" s="58" t="s">
        <v>22525</v>
      </c>
      <c r="DJ2556" s="58" t="s">
        <v>237</v>
      </c>
      <c r="DK2556" s="58" t="s">
        <v>23224</v>
      </c>
    </row>
    <row r="2557" ht="15.75" customHeight="1">
      <c r="B2557" s="58" t="s">
        <v>22515</v>
      </c>
      <c r="D2557" s="58" t="s">
        <v>23225</v>
      </c>
      <c r="E2557" s="58" t="s">
        <v>23226</v>
      </c>
      <c r="I2557" s="58" t="s">
        <v>23227</v>
      </c>
      <c r="Q2557" s="58">
        <v>24.0</v>
      </c>
      <c r="R2557" s="58">
        <v>14.0</v>
      </c>
      <c r="CL2557" s="58" t="s">
        <v>23228</v>
      </c>
      <c r="CP2557" s="58" t="s">
        <v>23229</v>
      </c>
      <c r="CX2557" s="58" t="s">
        <v>23230</v>
      </c>
      <c r="CY2557" s="58" t="s">
        <v>23231</v>
      </c>
      <c r="CZ2557" s="58">
        <v>2024.0</v>
      </c>
      <c r="DA2557" s="58" t="s">
        <v>23168</v>
      </c>
      <c r="DB2557" s="58">
        <v>11834.0</v>
      </c>
      <c r="DF2557" s="58">
        <v>0.0</v>
      </c>
      <c r="DG2557" s="58" t="s">
        <v>23232</v>
      </c>
      <c r="DH2557" s="58" t="s">
        <v>22525</v>
      </c>
      <c r="DI2557" s="58" t="s">
        <v>22622</v>
      </c>
      <c r="DJ2557" s="58" t="s">
        <v>237</v>
      </c>
      <c r="DK2557" s="58" t="s">
        <v>23233</v>
      </c>
      <c r="DL2557" s="58" t="s">
        <v>23234</v>
      </c>
    </row>
    <row r="2558" ht="15.75" customHeight="1">
      <c r="B2558" s="58" t="s">
        <v>22515</v>
      </c>
      <c r="D2558" s="58" t="s">
        <v>23235</v>
      </c>
      <c r="E2558" s="58" t="s">
        <v>23236</v>
      </c>
      <c r="I2558" s="58" t="s">
        <v>23237</v>
      </c>
      <c r="Q2558" s="58">
        <v>13.0</v>
      </c>
      <c r="R2558" s="58">
        <v>13.0</v>
      </c>
      <c r="CL2558" s="58" t="s">
        <v>23238</v>
      </c>
      <c r="CP2558" s="58" t="s">
        <v>23239</v>
      </c>
      <c r="CX2558" s="58" t="s">
        <v>23240</v>
      </c>
      <c r="CY2558" s="58" t="s">
        <v>23241</v>
      </c>
      <c r="CZ2558" s="58">
        <v>2024.0</v>
      </c>
      <c r="DA2558" s="58" t="s">
        <v>23242</v>
      </c>
      <c r="DB2558" s="58">
        <v>2651.0</v>
      </c>
      <c r="DF2558" s="58">
        <v>8.0</v>
      </c>
      <c r="DG2558" s="58" t="s">
        <v>23243</v>
      </c>
      <c r="DH2558" s="58" t="s">
        <v>22525</v>
      </c>
      <c r="DI2558" s="58" t="s">
        <v>22643</v>
      </c>
      <c r="DJ2558" s="58" t="s">
        <v>237</v>
      </c>
      <c r="DK2558" s="58" t="s">
        <v>23244</v>
      </c>
    </row>
    <row r="2559" ht="15.75" customHeight="1">
      <c r="B2559" s="58" t="s">
        <v>22515</v>
      </c>
      <c r="D2559" s="58" t="s">
        <v>23245</v>
      </c>
      <c r="E2559" s="58" t="s">
        <v>23246</v>
      </c>
      <c r="I2559" s="58" t="s">
        <v>23247</v>
      </c>
      <c r="Q2559" s="58">
        <v>1.0</v>
      </c>
      <c r="R2559" s="58">
        <v>28.0</v>
      </c>
      <c r="CL2559" s="58" t="s">
        <v>23248</v>
      </c>
      <c r="CP2559" s="58" t="s">
        <v>23249</v>
      </c>
      <c r="CX2559" s="58" t="s">
        <v>23250</v>
      </c>
      <c r="CY2559" s="58" t="s">
        <v>23251</v>
      </c>
      <c r="CZ2559" s="58">
        <v>2025.0</v>
      </c>
      <c r="DA2559" s="58" t="s">
        <v>22988</v>
      </c>
      <c r="DB2559" s="58">
        <v>18.0</v>
      </c>
      <c r="DF2559" s="58">
        <v>7.0</v>
      </c>
      <c r="DG2559" s="58" t="s">
        <v>23252</v>
      </c>
      <c r="DH2559" s="58" t="s">
        <v>22525</v>
      </c>
      <c r="DJ2559" s="58" t="s">
        <v>237</v>
      </c>
      <c r="DK2559" s="58" t="s">
        <v>23253</v>
      </c>
      <c r="DL2559" s="58" t="s">
        <v>23254</v>
      </c>
    </row>
    <row r="2560" ht="15.75" customHeight="1">
      <c r="B2560" s="58" t="s">
        <v>22515</v>
      </c>
      <c r="D2560" s="58" t="s">
        <v>23255</v>
      </c>
      <c r="E2560" s="58" t="s">
        <v>23256</v>
      </c>
      <c r="I2560" s="58" t="s">
        <v>23257</v>
      </c>
      <c r="Q2560" s="58">
        <v>1.0</v>
      </c>
      <c r="R2560" s="58">
        <v>81.0</v>
      </c>
      <c r="CL2560" s="58" t="s">
        <v>23258</v>
      </c>
      <c r="CP2560" s="58" t="s">
        <v>23259</v>
      </c>
      <c r="CX2560" s="58" t="s">
        <v>23260</v>
      </c>
      <c r="CY2560" s="58" t="s">
        <v>23261</v>
      </c>
      <c r="CZ2560" s="58">
        <v>2025.0</v>
      </c>
      <c r="DA2560" s="58" t="s">
        <v>22535</v>
      </c>
      <c r="DB2560" s="58">
        <v>310.0</v>
      </c>
      <c r="DF2560" s="58">
        <v>1.0</v>
      </c>
      <c r="DG2560" s="58" t="s">
        <v>23262</v>
      </c>
      <c r="DH2560" s="58" t="s">
        <v>22525</v>
      </c>
      <c r="DJ2560" s="58" t="s">
        <v>237</v>
      </c>
      <c r="DK2560" s="58" t="s">
        <v>23263</v>
      </c>
      <c r="DL2560" s="58" t="s">
        <v>23264</v>
      </c>
    </row>
    <row r="2561" ht="15.75" customHeight="1">
      <c r="B2561" s="58" t="s">
        <v>22515</v>
      </c>
      <c r="D2561" s="58" t="s">
        <v>23265</v>
      </c>
      <c r="E2561" s="58" t="s">
        <v>23266</v>
      </c>
      <c r="I2561" s="58" t="s">
        <v>23267</v>
      </c>
      <c r="R2561" s="58">
        <v>262.0</v>
      </c>
      <c r="CL2561" s="58" t="s">
        <v>23268</v>
      </c>
      <c r="CP2561" s="58" t="s">
        <v>23269</v>
      </c>
      <c r="CX2561" s="58" t="s">
        <v>23270</v>
      </c>
      <c r="CY2561" s="58" t="s">
        <v>23271</v>
      </c>
      <c r="CZ2561" s="58">
        <v>2025.0</v>
      </c>
      <c r="DA2561" s="58" t="s">
        <v>23179</v>
      </c>
      <c r="DB2561" s="58">
        <v>111158.0</v>
      </c>
      <c r="DF2561" s="58">
        <v>0.0</v>
      </c>
      <c r="DG2561" s="58" t="s">
        <v>23272</v>
      </c>
      <c r="DH2561" s="58" t="s">
        <v>22525</v>
      </c>
      <c r="DJ2561" s="58" t="s">
        <v>237</v>
      </c>
      <c r="DK2561" s="58" t="s">
        <v>23273</v>
      </c>
      <c r="DL2561" s="58" t="s">
        <v>23274</v>
      </c>
    </row>
    <row r="2562" ht="15.75" customHeight="1">
      <c r="B2562" s="58" t="s">
        <v>22515</v>
      </c>
      <c r="D2562" s="58" t="s">
        <v>23275</v>
      </c>
      <c r="E2562" s="58" t="s">
        <v>23276</v>
      </c>
      <c r="I2562" s="58" t="s">
        <v>23277</v>
      </c>
      <c r="Q2562" s="58">
        <v>1.0</v>
      </c>
      <c r="R2562" s="58">
        <v>82.0</v>
      </c>
      <c r="CL2562" s="58" t="s">
        <v>23278</v>
      </c>
      <c r="CP2562" s="58" t="s">
        <v>23279</v>
      </c>
      <c r="CX2562" s="58" t="s">
        <v>23280</v>
      </c>
      <c r="CY2562" s="58" t="s">
        <v>23281</v>
      </c>
      <c r="CZ2562" s="58">
        <v>2025.0</v>
      </c>
      <c r="DA2562" s="58" t="s">
        <v>23282</v>
      </c>
      <c r="DC2562" s="58">
        <v>1377.0</v>
      </c>
      <c r="DD2562" s="58">
        <v>1399.0</v>
      </c>
      <c r="DE2562" s="58">
        <v>22.0</v>
      </c>
      <c r="DF2562" s="58">
        <v>0.0</v>
      </c>
      <c r="DG2562" s="58" t="s">
        <v>23283</v>
      </c>
      <c r="DH2562" s="58" t="s">
        <v>22525</v>
      </c>
      <c r="DI2562" s="58" t="s">
        <v>22622</v>
      </c>
      <c r="DJ2562" s="58" t="s">
        <v>237</v>
      </c>
      <c r="DK2562" s="58" t="s">
        <v>23284</v>
      </c>
      <c r="DL2562" s="58" t="s">
        <v>23285</v>
      </c>
    </row>
    <row r="2563" ht="15.75" customHeight="1">
      <c r="B2563" s="58" t="s">
        <v>22515</v>
      </c>
      <c r="D2563" s="58" t="s">
        <v>23286</v>
      </c>
      <c r="E2563" s="58" t="s">
        <v>23287</v>
      </c>
      <c r="I2563" s="58" t="s">
        <v>23288</v>
      </c>
      <c r="R2563" s="58">
        <v>15.0</v>
      </c>
      <c r="CL2563" s="58" t="s">
        <v>23289</v>
      </c>
      <c r="CP2563" s="58" t="s">
        <v>23290</v>
      </c>
      <c r="CX2563" s="58" t="s">
        <v>23291</v>
      </c>
      <c r="CY2563" s="58" t="s">
        <v>23292</v>
      </c>
      <c r="CZ2563" s="58">
        <v>2025.0</v>
      </c>
      <c r="DA2563" s="58" t="s">
        <v>23293</v>
      </c>
      <c r="DB2563" s="58">
        <v>2.0</v>
      </c>
      <c r="DF2563" s="58">
        <v>0.0</v>
      </c>
      <c r="DG2563" s="58" t="s">
        <v>23294</v>
      </c>
      <c r="DH2563" s="58" t="s">
        <v>22525</v>
      </c>
      <c r="DJ2563" s="58" t="s">
        <v>237</v>
      </c>
      <c r="DK2563" s="58" t="s">
        <v>23295</v>
      </c>
      <c r="DL2563" s="58" t="s">
        <v>23296</v>
      </c>
    </row>
    <row r="2564" ht="15.75" customHeight="1">
      <c r="B2564" s="58" t="s">
        <v>22515</v>
      </c>
      <c r="D2564" s="58" t="s">
        <v>23297</v>
      </c>
      <c r="E2564" s="58" t="s">
        <v>23298</v>
      </c>
      <c r="I2564" s="58" t="s">
        <v>23299</v>
      </c>
      <c r="Q2564" s="58">
        <v>3.0</v>
      </c>
      <c r="R2564" s="58">
        <v>28.0</v>
      </c>
      <c r="CL2564" s="58" t="s">
        <v>23300</v>
      </c>
      <c r="CP2564" s="58" t="s">
        <v>23301</v>
      </c>
      <c r="CX2564" s="58" t="s">
        <v>23302</v>
      </c>
      <c r="CY2564" s="58" t="s">
        <v>23303</v>
      </c>
      <c r="CZ2564" s="58">
        <v>2025.0</v>
      </c>
      <c r="DA2564" s="58" t="s">
        <v>22988</v>
      </c>
      <c r="DB2564" s="58">
        <v>155.0</v>
      </c>
      <c r="DF2564" s="58">
        <v>0.0</v>
      </c>
      <c r="DG2564" s="58" t="s">
        <v>23304</v>
      </c>
      <c r="DH2564" s="58" t="s">
        <v>22525</v>
      </c>
      <c r="DJ2564" s="58" t="s">
        <v>237</v>
      </c>
      <c r="DK2564" s="58" t="s">
        <v>23305</v>
      </c>
      <c r="DL2564" s="58" t="s">
        <v>23306</v>
      </c>
    </row>
    <row r="2565" ht="15.75" customHeight="1">
      <c r="B2565" s="58" t="s">
        <v>22515</v>
      </c>
      <c r="D2565" s="58" t="s">
        <v>23307</v>
      </c>
      <c r="E2565" s="58" t="s">
        <v>23308</v>
      </c>
      <c r="I2565" s="58" t="s">
        <v>23309</v>
      </c>
      <c r="Q2565" s="58">
        <v>6.0</v>
      </c>
      <c r="R2565" s="58">
        <v>35.0</v>
      </c>
      <c r="CL2565" s="58" t="s">
        <v>23310</v>
      </c>
      <c r="CP2565" s="58" t="s">
        <v>23311</v>
      </c>
      <c r="CX2565" s="58" t="s">
        <v>23312</v>
      </c>
      <c r="CY2565" s="58" t="s">
        <v>23313</v>
      </c>
      <c r="CZ2565" s="58">
        <v>2024.0</v>
      </c>
      <c r="DA2565" s="58" t="s">
        <v>23314</v>
      </c>
      <c r="DC2565" s="58">
        <v>2699.0</v>
      </c>
      <c r="DD2565" s="58">
        <v>2718.0</v>
      </c>
      <c r="DE2565" s="58">
        <v>19.0</v>
      </c>
      <c r="DF2565" s="58">
        <v>12.0</v>
      </c>
      <c r="DG2565" s="58" t="s">
        <v>23315</v>
      </c>
      <c r="DH2565" s="58" t="s">
        <v>22525</v>
      </c>
      <c r="DI2565" s="58" t="s">
        <v>22526</v>
      </c>
      <c r="DJ2565" s="58" t="s">
        <v>237</v>
      </c>
      <c r="DK2565" s="58" t="s">
        <v>23316</v>
      </c>
      <c r="DL2565" s="58" t="s">
        <v>23317</v>
      </c>
    </row>
    <row r="2566" ht="15.75" customHeight="1">
      <c r="B2566" s="58" t="s">
        <v>22515</v>
      </c>
      <c r="D2566" s="58" t="s">
        <v>23318</v>
      </c>
      <c r="E2566" s="58" t="s">
        <v>23319</v>
      </c>
      <c r="I2566" s="58" t="s">
        <v>23320</v>
      </c>
      <c r="Q2566" s="58">
        <v>5.0</v>
      </c>
      <c r="R2566" s="58">
        <v>16.0</v>
      </c>
      <c r="CL2566" s="58" t="s">
        <v>23321</v>
      </c>
      <c r="CP2566" s="58" t="s">
        <v>23322</v>
      </c>
      <c r="CX2566" s="58" t="s">
        <v>23323</v>
      </c>
      <c r="CY2566" s="58" t="s">
        <v>23324</v>
      </c>
      <c r="CZ2566" s="58">
        <v>2024.0</v>
      </c>
      <c r="DA2566" s="58" t="s">
        <v>23325</v>
      </c>
      <c r="DC2566" s="58">
        <v>1.0</v>
      </c>
      <c r="DD2566" s="58">
        <v>13.0</v>
      </c>
      <c r="DE2566" s="58">
        <v>12.0</v>
      </c>
      <c r="DF2566" s="58">
        <v>0.0</v>
      </c>
      <c r="DG2566" s="58" t="s">
        <v>23326</v>
      </c>
      <c r="DH2566" s="58" t="s">
        <v>22525</v>
      </c>
      <c r="DJ2566" s="58" t="s">
        <v>237</v>
      </c>
      <c r="DK2566" s="58" t="s">
        <v>23327</v>
      </c>
    </row>
    <row r="2567" ht="15.75" customHeight="1">
      <c r="B2567" s="58" t="s">
        <v>22515</v>
      </c>
      <c r="D2567" s="58" t="s">
        <v>23328</v>
      </c>
      <c r="E2567" s="58" t="s">
        <v>23329</v>
      </c>
      <c r="I2567" s="58" t="s">
        <v>23330</v>
      </c>
      <c r="Q2567" s="58">
        <v>1.0</v>
      </c>
      <c r="R2567" s="58">
        <v>28.0</v>
      </c>
      <c r="CL2567" s="58" t="s">
        <v>23331</v>
      </c>
      <c r="CP2567" s="58" t="s">
        <v>23332</v>
      </c>
      <c r="CX2567" s="58" t="s">
        <v>23333</v>
      </c>
      <c r="CY2567" s="58" t="s">
        <v>23334</v>
      </c>
      <c r="CZ2567" s="58">
        <v>2025.0</v>
      </c>
      <c r="DA2567" s="58" t="s">
        <v>22988</v>
      </c>
      <c r="DB2567" s="58">
        <v>38.0</v>
      </c>
      <c r="DF2567" s="58">
        <v>1.0</v>
      </c>
      <c r="DG2567" s="58" t="s">
        <v>23335</v>
      </c>
      <c r="DH2567" s="58" t="s">
        <v>22525</v>
      </c>
      <c r="DJ2567" s="58" t="s">
        <v>237</v>
      </c>
      <c r="DK2567" s="58" t="s">
        <v>23336</v>
      </c>
      <c r="DL2567" s="58" t="s">
        <v>23337</v>
      </c>
    </row>
    <row r="2568" ht="15.75" customHeight="1">
      <c r="B2568" s="58" t="s">
        <v>22771</v>
      </c>
      <c r="D2568" s="58" t="s">
        <v>23338</v>
      </c>
      <c r="E2568" s="58" t="s">
        <v>23339</v>
      </c>
      <c r="I2568" s="58" t="s">
        <v>23340</v>
      </c>
      <c r="CL2568" s="58" t="s">
        <v>23341</v>
      </c>
      <c r="CP2568" s="58" t="s">
        <v>23342</v>
      </c>
      <c r="CX2568" s="58" t="s">
        <v>23343</v>
      </c>
      <c r="CY2568" s="58" t="s">
        <v>23344</v>
      </c>
      <c r="CZ2568" s="58">
        <v>2024.0</v>
      </c>
      <c r="DA2568" s="58" t="s">
        <v>23345</v>
      </c>
      <c r="DC2568" s="58">
        <v>380.0</v>
      </c>
      <c r="DD2568" s="58">
        <v>397.0</v>
      </c>
      <c r="DE2568" s="58">
        <v>17.0</v>
      </c>
      <c r="DF2568" s="58">
        <v>0.0</v>
      </c>
      <c r="DG2568" s="58" t="s">
        <v>23346</v>
      </c>
      <c r="DH2568" s="58" t="s">
        <v>22525</v>
      </c>
      <c r="DJ2568" s="58" t="s">
        <v>237</v>
      </c>
      <c r="DK2568" s="58" t="s">
        <v>23347</v>
      </c>
      <c r="DL2568" s="58" t="s">
        <v>23348</v>
      </c>
    </row>
    <row r="2569" ht="15.75" customHeight="1">
      <c r="B2569" s="58" t="s">
        <v>22515</v>
      </c>
      <c r="D2569" s="58" t="s">
        <v>23349</v>
      </c>
      <c r="E2569" s="58" t="s">
        <v>23350</v>
      </c>
      <c r="I2569" s="58" t="s">
        <v>23351</v>
      </c>
      <c r="R2569" s="58">
        <v>172.0</v>
      </c>
      <c r="CL2569" s="58" t="s">
        <v>23352</v>
      </c>
      <c r="CP2569" s="58" t="s">
        <v>23353</v>
      </c>
      <c r="CX2569" s="58" t="s">
        <v>23354</v>
      </c>
      <c r="CY2569" s="58" t="s">
        <v>23355</v>
      </c>
      <c r="CZ2569" s="58">
        <v>2025.0</v>
      </c>
      <c r="DA2569" s="58" t="s">
        <v>23356</v>
      </c>
      <c r="DB2569" s="58">
        <v>103803.0</v>
      </c>
      <c r="DF2569" s="58">
        <v>0.0</v>
      </c>
      <c r="DG2569" s="58" t="s">
        <v>23357</v>
      </c>
      <c r="DH2569" s="58" t="s">
        <v>22525</v>
      </c>
      <c r="DJ2569" s="58" t="s">
        <v>237</v>
      </c>
      <c r="DK2569" s="58" t="s">
        <v>23358</v>
      </c>
      <c r="DL2569" s="58" t="s">
        <v>23359</v>
      </c>
    </row>
    <row r="2570" ht="15.75" customHeight="1">
      <c r="B2570" s="58" t="s">
        <v>22515</v>
      </c>
      <c r="D2570" s="58" t="s">
        <v>23360</v>
      </c>
      <c r="E2570" s="58" t="s">
        <v>23361</v>
      </c>
      <c r="I2570" s="58" t="s">
        <v>23362</v>
      </c>
      <c r="Q2570" s="58">
        <v>5.0</v>
      </c>
      <c r="R2570" s="58">
        <v>27.0</v>
      </c>
      <c r="CL2570" s="58" t="s">
        <v>23363</v>
      </c>
      <c r="CP2570" s="58" t="s">
        <v>23364</v>
      </c>
      <c r="CX2570" s="58" t="s">
        <v>23365</v>
      </c>
      <c r="CY2570" s="58" t="s">
        <v>23366</v>
      </c>
      <c r="CZ2570" s="58">
        <v>2024.0</v>
      </c>
      <c r="DA2570" s="58" t="s">
        <v>22988</v>
      </c>
      <c r="DC2570" s="58">
        <v>5783.0</v>
      </c>
      <c r="DD2570" s="58">
        <v>5797.0</v>
      </c>
      <c r="DE2570" s="58">
        <v>14.0</v>
      </c>
      <c r="DF2570" s="58">
        <v>9.0</v>
      </c>
      <c r="DG2570" s="58" t="s">
        <v>23367</v>
      </c>
      <c r="DH2570" s="58" t="s">
        <v>22525</v>
      </c>
      <c r="DJ2570" s="58" t="s">
        <v>237</v>
      </c>
      <c r="DK2570" s="58" t="s">
        <v>23368</v>
      </c>
      <c r="DL2570" s="58" t="s">
        <v>23369</v>
      </c>
    </row>
    <row r="2571" ht="15.75" customHeight="1">
      <c r="B2571" s="58" t="s">
        <v>22515</v>
      </c>
      <c r="D2571" s="58" t="s">
        <v>23370</v>
      </c>
      <c r="E2571" s="58" t="s">
        <v>23371</v>
      </c>
      <c r="I2571" s="58" t="s">
        <v>23372</v>
      </c>
      <c r="Q2571" s="58">
        <v>3.0</v>
      </c>
      <c r="R2571" s="58">
        <v>32.0</v>
      </c>
      <c r="CL2571" s="58" t="s">
        <v>23373</v>
      </c>
      <c r="CP2571" s="58" t="s">
        <v>23374</v>
      </c>
      <c r="CX2571" s="58" t="s">
        <v>23375</v>
      </c>
      <c r="CY2571" s="58" t="s">
        <v>23376</v>
      </c>
      <c r="CZ2571" s="58">
        <v>2024.0</v>
      </c>
      <c r="DA2571" s="58" t="s">
        <v>23377</v>
      </c>
      <c r="DB2571" s="58">
        <v>53.0</v>
      </c>
      <c r="DF2571" s="58">
        <v>2.0</v>
      </c>
      <c r="DG2571" s="58" t="s">
        <v>23378</v>
      </c>
      <c r="DH2571" s="58" t="s">
        <v>22525</v>
      </c>
      <c r="DI2571" s="58" t="s">
        <v>22526</v>
      </c>
      <c r="DJ2571" s="58" t="s">
        <v>237</v>
      </c>
      <c r="DK2571" s="58" t="s">
        <v>23379</v>
      </c>
      <c r="DL2571" s="58" t="s">
        <v>23380</v>
      </c>
    </row>
    <row r="2572" ht="15.75" customHeight="1">
      <c r="B2572" s="58" t="s">
        <v>22515</v>
      </c>
      <c r="D2572" s="58" t="s">
        <v>23381</v>
      </c>
      <c r="E2572" s="58" t="s">
        <v>23382</v>
      </c>
      <c r="I2572" s="58" t="s">
        <v>23383</v>
      </c>
      <c r="R2572" s="58">
        <v>235.0</v>
      </c>
      <c r="CL2572" s="58" t="s">
        <v>23384</v>
      </c>
      <c r="CP2572" s="58" t="s">
        <v>23385</v>
      </c>
      <c r="CX2572" s="58" t="s">
        <v>23386</v>
      </c>
      <c r="CY2572" s="58" t="s">
        <v>23387</v>
      </c>
      <c r="CZ2572" s="58">
        <v>2025.0</v>
      </c>
      <c r="DA2572" s="58" t="s">
        <v>22609</v>
      </c>
      <c r="DB2572" s="58">
        <v>104089.0</v>
      </c>
      <c r="DF2572" s="58">
        <v>1.0</v>
      </c>
      <c r="DG2572" s="58" t="s">
        <v>23388</v>
      </c>
      <c r="DH2572" s="58" t="s">
        <v>22525</v>
      </c>
      <c r="DJ2572" s="58" t="s">
        <v>237</v>
      </c>
      <c r="DK2572" s="58" t="s">
        <v>23389</v>
      </c>
      <c r="DL2572" s="58" t="s">
        <v>23390</v>
      </c>
    </row>
    <row r="2573" ht="15.75" customHeight="1">
      <c r="B2573" s="58" t="s">
        <v>22515</v>
      </c>
      <c r="D2573" s="58" t="s">
        <v>23391</v>
      </c>
      <c r="E2573" s="58" t="s">
        <v>23392</v>
      </c>
      <c r="I2573" s="58" t="s">
        <v>23393</v>
      </c>
      <c r="Q2573" s="58">
        <v>8.0</v>
      </c>
      <c r="R2573" s="58">
        <v>16.0</v>
      </c>
      <c r="CL2573" s="58" t="s">
        <v>23394</v>
      </c>
      <c r="CP2573" s="58" t="s">
        <v>23395</v>
      </c>
      <c r="CX2573" s="58" t="s">
        <v>23396</v>
      </c>
      <c r="CY2573" s="58" t="s">
        <v>23397</v>
      </c>
      <c r="CZ2573" s="58">
        <v>2024.0</v>
      </c>
      <c r="DA2573" s="58" t="s">
        <v>23398</v>
      </c>
      <c r="DB2573" s="58">
        <v>296.0</v>
      </c>
      <c r="DF2573" s="58">
        <v>1.0</v>
      </c>
      <c r="DG2573" s="58" t="s">
        <v>23399</v>
      </c>
      <c r="DH2573" s="58" t="s">
        <v>22525</v>
      </c>
      <c r="DJ2573" s="58" t="s">
        <v>237</v>
      </c>
      <c r="DK2573" s="58" t="s">
        <v>23400</v>
      </c>
      <c r="DL2573" s="58" t="s">
        <v>23401</v>
      </c>
    </row>
    <row r="2574" ht="15.75" customHeight="1">
      <c r="B2574" s="58" t="s">
        <v>22515</v>
      </c>
      <c r="D2574" s="58" t="s">
        <v>23402</v>
      </c>
      <c r="E2574" s="58" t="s">
        <v>23403</v>
      </c>
      <c r="I2574" s="58" t="s">
        <v>23404</v>
      </c>
      <c r="Q2574" s="58">
        <v>2.0</v>
      </c>
      <c r="R2574" s="58">
        <v>74.0</v>
      </c>
      <c r="CL2574" s="58" t="s">
        <v>23405</v>
      </c>
      <c r="CP2574" s="58" t="s">
        <v>23406</v>
      </c>
      <c r="CX2574" s="58" t="s">
        <v>23407</v>
      </c>
      <c r="CY2574" s="58" t="s">
        <v>23408</v>
      </c>
      <c r="CZ2574" s="58">
        <v>2025.0</v>
      </c>
      <c r="DA2574" s="58" t="s">
        <v>17228</v>
      </c>
      <c r="DC2574" s="58">
        <v>691.0</v>
      </c>
      <c r="DD2574" s="58">
        <v>704.0</v>
      </c>
      <c r="DE2574" s="58">
        <v>13.0</v>
      </c>
      <c r="DF2574" s="58">
        <v>0.0</v>
      </c>
      <c r="DG2574" s="58" t="s">
        <v>23409</v>
      </c>
      <c r="DH2574" s="58" t="s">
        <v>22525</v>
      </c>
      <c r="DJ2574" s="58" t="s">
        <v>237</v>
      </c>
      <c r="DK2574" s="58" t="s">
        <v>23410</v>
      </c>
      <c r="DL2574" s="58" t="s">
        <v>23411</v>
      </c>
    </row>
    <row r="2575" ht="15.75" customHeight="1">
      <c r="B2575" s="58" t="s">
        <v>22771</v>
      </c>
      <c r="D2575" s="58" t="s">
        <v>23412</v>
      </c>
      <c r="E2575" s="58" t="s">
        <v>23413</v>
      </c>
      <c r="I2575" s="58" t="s">
        <v>23414</v>
      </c>
      <c r="R2575" s="58" t="s">
        <v>23415</v>
      </c>
      <c r="CL2575" s="58" t="s">
        <v>23416</v>
      </c>
      <c r="CP2575" s="58" t="s">
        <v>23417</v>
      </c>
      <c r="CX2575" s="58" t="s">
        <v>23418</v>
      </c>
      <c r="CY2575" s="58" t="s">
        <v>23419</v>
      </c>
      <c r="CZ2575" s="58">
        <v>2025.0</v>
      </c>
      <c r="DA2575" s="58" t="s">
        <v>22780</v>
      </c>
      <c r="DC2575" s="58">
        <v>277.0</v>
      </c>
      <c r="DD2575" s="58">
        <v>297.0</v>
      </c>
      <c r="DE2575" s="58">
        <v>20.0</v>
      </c>
      <c r="DF2575" s="58">
        <v>0.0</v>
      </c>
      <c r="DG2575" s="58" t="s">
        <v>23420</v>
      </c>
      <c r="DH2575" s="58" t="s">
        <v>22525</v>
      </c>
      <c r="DJ2575" s="58" t="s">
        <v>237</v>
      </c>
      <c r="DK2575" s="58" t="s">
        <v>23421</v>
      </c>
      <c r="DL2575" s="58" t="s">
        <v>23422</v>
      </c>
    </row>
    <row r="2576" ht="15.75" customHeight="1">
      <c r="B2576" s="58" t="s">
        <v>22515</v>
      </c>
      <c r="D2576" s="58" t="s">
        <v>23423</v>
      </c>
      <c r="E2576" s="58" t="s">
        <v>23424</v>
      </c>
      <c r="I2576" s="58" t="s">
        <v>23425</v>
      </c>
      <c r="Q2576" s="58">
        <v>7.0</v>
      </c>
      <c r="R2576" s="58">
        <v>16.0</v>
      </c>
      <c r="CL2576" s="58" t="s">
        <v>23426</v>
      </c>
      <c r="CP2576" s="58" t="s">
        <v>23427</v>
      </c>
      <c r="CX2576" s="58" t="s">
        <v>23428</v>
      </c>
      <c r="CY2576" s="58" t="s">
        <v>23429</v>
      </c>
      <c r="CZ2576" s="58">
        <v>2024.0</v>
      </c>
      <c r="DA2576" s="58" t="s">
        <v>23398</v>
      </c>
      <c r="DB2576" s="58">
        <v>248.0</v>
      </c>
      <c r="DF2576" s="58">
        <v>0.0</v>
      </c>
      <c r="DG2576" s="58" t="s">
        <v>23430</v>
      </c>
      <c r="DH2576" s="58" t="s">
        <v>22525</v>
      </c>
      <c r="DI2576" s="58" t="s">
        <v>22622</v>
      </c>
      <c r="DJ2576" s="58" t="s">
        <v>237</v>
      </c>
      <c r="DK2576" s="58" t="s">
        <v>23431</v>
      </c>
      <c r="DL2576" s="58" t="s">
        <v>23432</v>
      </c>
    </row>
    <row r="2577" ht="15.75" customHeight="1">
      <c r="B2577" s="58" t="s">
        <v>22515</v>
      </c>
      <c r="D2577" s="58" t="s">
        <v>23433</v>
      </c>
      <c r="E2577" s="58" t="s">
        <v>23434</v>
      </c>
      <c r="I2577" s="58" t="s">
        <v>23435</v>
      </c>
      <c r="Q2577" s="58">
        <v>1.0</v>
      </c>
      <c r="R2577" s="58">
        <v>5.0</v>
      </c>
      <c r="CL2577" s="58" t="s">
        <v>23436</v>
      </c>
      <c r="CP2577" s="58" t="s">
        <v>23437</v>
      </c>
      <c r="CX2577" s="58" t="s">
        <v>23438</v>
      </c>
      <c r="CY2577" s="58" t="s">
        <v>23439</v>
      </c>
      <c r="CZ2577" s="58">
        <v>2025.0</v>
      </c>
      <c r="DA2577" s="58" t="s">
        <v>23440</v>
      </c>
      <c r="DB2577" s="58">
        <v>12.0</v>
      </c>
      <c r="DF2577" s="58">
        <v>0.0</v>
      </c>
      <c r="DG2577" s="58" t="s">
        <v>23441</v>
      </c>
      <c r="DH2577" s="58" t="s">
        <v>22525</v>
      </c>
      <c r="DJ2577" s="58" t="s">
        <v>237</v>
      </c>
      <c r="DK2577" s="58" t="s">
        <v>23442</v>
      </c>
      <c r="DL2577" s="58" t="s">
        <v>23443</v>
      </c>
    </row>
    <row r="2578" ht="15.75" customHeight="1">
      <c r="B2578" s="58" t="s">
        <v>22515</v>
      </c>
      <c r="D2578" s="58" t="s">
        <v>23444</v>
      </c>
      <c r="E2578" s="58" t="s">
        <v>23445</v>
      </c>
      <c r="I2578" s="58" t="s">
        <v>23446</v>
      </c>
      <c r="Q2578" s="58">
        <v>2.0</v>
      </c>
      <c r="R2578" s="58">
        <v>57.0</v>
      </c>
      <c r="CL2578" s="58" t="s">
        <v>23447</v>
      </c>
      <c r="CP2578" s="58" t="s">
        <v>23448</v>
      </c>
      <c r="CX2578" s="58" t="s">
        <v>23449</v>
      </c>
      <c r="CY2578" s="58" t="s">
        <v>23450</v>
      </c>
      <c r="CZ2578" s="58">
        <v>2024.0</v>
      </c>
      <c r="DA2578" s="58" t="s">
        <v>23451</v>
      </c>
      <c r="DB2578" s="58">
        <v>44.0</v>
      </c>
      <c r="DF2578" s="58">
        <v>1.0</v>
      </c>
      <c r="DG2578" s="58" t="s">
        <v>23452</v>
      </c>
      <c r="DH2578" s="58" t="s">
        <v>22525</v>
      </c>
      <c r="DJ2578" s="58" t="s">
        <v>237</v>
      </c>
      <c r="DK2578" s="58" t="s">
        <v>23453</v>
      </c>
      <c r="DL2578" s="58" t="s">
        <v>23454</v>
      </c>
    </row>
    <row r="2579" ht="15.75" customHeight="1">
      <c r="B2579" s="58" t="s">
        <v>22771</v>
      </c>
      <c r="D2579" s="58" t="s">
        <v>23455</v>
      </c>
      <c r="E2579" s="58" t="s">
        <v>23456</v>
      </c>
      <c r="I2579" s="58" t="s">
        <v>23457</v>
      </c>
      <c r="Q2579" s="58">
        <v>9.0</v>
      </c>
      <c r="R2579" s="58">
        <v>54.0</v>
      </c>
      <c r="CL2579" s="58" t="s">
        <v>23458</v>
      </c>
      <c r="CP2579" s="58" t="s">
        <v>23459</v>
      </c>
      <c r="CX2579" s="58" t="s">
        <v>23460</v>
      </c>
      <c r="CY2579" s="58" t="s">
        <v>23461</v>
      </c>
      <c r="CZ2579" s="58">
        <v>2024.0</v>
      </c>
      <c r="DA2579" s="58" t="s">
        <v>23462</v>
      </c>
      <c r="DC2579" s="58">
        <v>1596.0</v>
      </c>
      <c r="DD2579" s="58">
        <v>1620.0</v>
      </c>
      <c r="DE2579" s="58">
        <v>24.0</v>
      </c>
      <c r="DF2579" s="58">
        <v>5.0</v>
      </c>
      <c r="DG2579" s="58" t="s">
        <v>23463</v>
      </c>
      <c r="DH2579" s="58" t="s">
        <v>22525</v>
      </c>
      <c r="DJ2579" s="58" t="s">
        <v>237</v>
      </c>
      <c r="DK2579" s="58" t="s">
        <v>23464</v>
      </c>
      <c r="DL2579" s="58" t="s">
        <v>23465</v>
      </c>
    </row>
    <row r="2580" ht="15.75" customHeight="1">
      <c r="B2580" s="58" t="s">
        <v>22515</v>
      </c>
      <c r="D2580" s="58" t="s">
        <v>23466</v>
      </c>
      <c r="E2580" s="58" t="s">
        <v>23467</v>
      </c>
      <c r="I2580" s="58" t="s">
        <v>23468</v>
      </c>
      <c r="Q2580" s="58">
        <v>22.0</v>
      </c>
      <c r="R2580" s="58">
        <v>13.0</v>
      </c>
      <c r="CL2580" s="58" t="s">
        <v>23469</v>
      </c>
      <c r="CP2580" s="58" t="s">
        <v>23470</v>
      </c>
      <c r="CX2580" s="58" t="s">
        <v>23471</v>
      </c>
      <c r="CY2580" s="58" t="s">
        <v>23472</v>
      </c>
      <c r="CZ2580" s="58">
        <v>2024.0</v>
      </c>
      <c r="DA2580" s="58" t="s">
        <v>23242</v>
      </c>
      <c r="DB2580" s="58">
        <v>4462.0</v>
      </c>
      <c r="DF2580" s="58">
        <v>0.0</v>
      </c>
      <c r="DG2580" s="58" t="s">
        <v>23473</v>
      </c>
      <c r="DH2580" s="58" t="s">
        <v>22525</v>
      </c>
      <c r="DI2580" s="58" t="s">
        <v>22622</v>
      </c>
      <c r="DJ2580" s="58" t="s">
        <v>237</v>
      </c>
      <c r="DK2580" s="58" t="s">
        <v>23474</v>
      </c>
    </row>
    <row r="2581" ht="15.75" customHeight="1">
      <c r="B2581" s="58" t="s">
        <v>22515</v>
      </c>
      <c r="D2581" s="58" t="s">
        <v>23475</v>
      </c>
      <c r="E2581" s="58" t="s">
        <v>23476</v>
      </c>
      <c r="I2581" s="58" t="s">
        <v>23477</v>
      </c>
      <c r="Q2581" s="58">
        <v>4.0</v>
      </c>
      <c r="R2581" s="58">
        <v>22.0</v>
      </c>
      <c r="CL2581" s="58" t="s">
        <v>23478</v>
      </c>
      <c r="CP2581" s="58" t="s">
        <v>23479</v>
      </c>
      <c r="CX2581" s="58" t="s">
        <v>23480</v>
      </c>
      <c r="CY2581" s="58" t="s">
        <v>23481</v>
      </c>
      <c r="CZ2581" s="58">
        <v>2024.0</v>
      </c>
      <c r="DA2581" s="58" t="s">
        <v>23482</v>
      </c>
      <c r="DB2581" s="58">
        <v>67.0</v>
      </c>
      <c r="DF2581" s="58">
        <v>0.0</v>
      </c>
      <c r="DG2581" s="58" t="s">
        <v>23483</v>
      </c>
      <c r="DH2581" s="58" t="s">
        <v>22525</v>
      </c>
      <c r="DI2581" s="58" t="s">
        <v>22526</v>
      </c>
      <c r="DJ2581" s="58" t="s">
        <v>237</v>
      </c>
      <c r="DK2581" s="58" t="s">
        <v>23484</v>
      </c>
      <c r="DL2581" s="58" t="s">
        <v>23485</v>
      </c>
    </row>
    <row r="2582" ht="15.75" customHeight="1">
      <c r="B2582" s="58" t="s">
        <v>22515</v>
      </c>
      <c r="D2582" s="58" t="s">
        <v>23486</v>
      </c>
      <c r="E2582" s="58" t="s">
        <v>23487</v>
      </c>
      <c r="I2582" s="58" t="s">
        <v>23488</v>
      </c>
      <c r="Q2582" s="58">
        <v>3.0</v>
      </c>
      <c r="R2582" s="58">
        <v>68.0</v>
      </c>
      <c r="CL2582" s="58" t="s">
        <v>23489</v>
      </c>
      <c r="CP2582" s="58" t="s">
        <v>23490</v>
      </c>
      <c r="CX2582" s="58" t="s">
        <v>23491</v>
      </c>
      <c r="CY2582" s="58" t="s">
        <v>23492</v>
      </c>
      <c r="CZ2582" s="58">
        <v>2025.0</v>
      </c>
      <c r="DA2582" s="58" t="s">
        <v>23493</v>
      </c>
      <c r="DB2582" s="58">
        <v>132101.0</v>
      </c>
      <c r="DF2582" s="58">
        <v>0.0</v>
      </c>
      <c r="DG2582" s="58" t="s">
        <v>23494</v>
      </c>
      <c r="DH2582" s="58" t="s">
        <v>22525</v>
      </c>
      <c r="DJ2582" s="58" t="s">
        <v>237</v>
      </c>
      <c r="DK2582" s="58" t="s">
        <v>23495</v>
      </c>
      <c r="DL2582" s="58" t="s">
        <v>23496</v>
      </c>
    </row>
    <row r="2583" ht="15.75" customHeight="1">
      <c r="B2583" s="58" t="s">
        <v>22515</v>
      </c>
      <c r="D2583" s="58" t="s">
        <v>23497</v>
      </c>
      <c r="E2583" s="58" t="s">
        <v>23498</v>
      </c>
      <c r="I2583" s="58" t="s">
        <v>23499</v>
      </c>
      <c r="Q2583" s="58">
        <v>1.0</v>
      </c>
      <c r="R2583" s="58">
        <v>23.0</v>
      </c>
      <c r="CL2583" s="58" t="s">
        <v>23500</v>
      </c>
      <c r="CP2583" s="58" t="s">
        <v>23501</v>
      </c>
      <c r="CX2583" s="58" t="s">
        <v>23502</v>
      </c>
      <c r="CY2583" s="58" t="s">
        <v>23503</v>
      </c>
      <c r="CZ2583" s="58">
        <v>2025.0</v>
      </c>
      <c r="DA2583" s="58" t="s">
        <v>23482</v>
      </c>
      <c r="DB2583" s="58">
        <v>3.0</v>
      </c>
      <c r="DF2583" s="58">
        <v>0.0</v>
      </c>
      <c r="DG2583" s="58" t="s">
        <v>23504</v>
      </c>
      <c r="DH2583" s="58" t="s">
        <v>22525</v>
      </c>
      <c r="DJ2583" s="58" t="s">
        <v>237</v>
      </c>
      <c r="DK2583" s="58" t="s">
        <v>23505</v>
      </c>
      <c r="DL2583" s="58" t="s">
        <v>23506</v>
      </c>
    </row>
    <row r="2584" ht="15.75" customHeight="1">
      <c r="B2584" s="58" t="s">
        <v>22771</v>
      </c>
      <c r="D2584" s="58" t="s">
        <v>23507</v>
      </c>
      <c r="E2584" s="58" t="s">
        <v>23508</v>
      </c>
      <c r="I2584" s="58" t="s">
        <v>23509</v>
      </c>
      <c r="R2584" s="58" t="s">
        <v>23510</v>
      </c>
      <c r="CL2584" s="58" t="s">
        <v>23511</v>
      </c>
      <c r="CP2584" s="58" t="s">
        <v>23512</v>
      </c>
      <c r="CX2584" s="58" t="s">
        <v>23513</v>
      </c>
      <c r="CY2584" s="58" t="s">
        <v>23514</v>
      </c>
      <c r="CZ2584" s="58">
        <v>2025.0</v>
      </c>
      <c r="DA2584" s="58" t="s">
        <v>22780</v>
      </c>
      <c r="DC2584" s="58">
        <v>112.0</v>
      </c>
      <c r="DD2584" s="58">
        <v>127.0</v>
      </c>
      <c r="DE2584" s="58">
        <v>15.0</v>
      </c>
      <c r="DF2584" s="58">
        <v>0.0</v>
      </c>
      <c r="DG2584" s="58" t="s">
        <v>23515</v>
      </c>
      <c r="DH2584" s="58" t="s">
        <v>22525</v>
      </c>
      <c r="DJ2584" s="58" t="s">
        <v>237</v>
      </c>
      <c r="DK2584" s="58" t="s">
        <v>23516</v>
      </c>
    </row>
    <row r="2585" ht="15.75" customHeight="1">
      <c r="B2585" s="58" t="s">
        <v>22515</v>
      </c>
      <c r="D2585" s="58" t="s">
        <v>23517</v>
      </c>
      <c r="E2585" s="58" t="s">
        <v>23518</v>
      </c>
      <c r="I2585" s="58" t="s">
        <v>23519</v>
      </c>
      <c r="Q2585" s="58">
        <v>2.0</v>
      </c>
      <c r="R2585" s="58">
        <v>56.0</v>
      </c>
      <c r="CL2585" s="58" t="s">
        <v>23520</v>
      </c>
      <c r="CP2585" s="58" t="s">
        <v>23521</v>
      </c>
      <c r="CX2585" s="58" t="s">
        <v>23522</v>
      </c>
      <c r="CY2585" s="58" t="s">
        <v>23523</v>
      </c>
      <c r="CZ2585" s="58">
        <v>2024.0</v>
      </c>
      <c r="DA2585" s="58" t="s">
        <v>23451</v>
      </c>
      <c r="DB2585" s="58">
        <v>44.0</v>
      </c>
      <c r="DF2585" s="58">
        <v>3.0</v>
      </c>
      <c r="DG2585" s="58" t="s">
        <v>23524</v>
      </c>
      <c r="DH2585" s="58" t="s">
        <v>22525</v>
      </c>
      <c r="DJ2585" s="58" t="s">
        <v>237</v>
      </c>
      <c r="DK2585" s="58" t="s">
        <v>23525</v>
      </c>
      <c r="DL2585" s="58" t="s">
        <v>23526</v>
      </c>
    </row>
    <row r="2586" ht="15.75" customHeight="1">
      <c r="B2586" s="58" t="s">
        <v>22515</v>
      </c>
      <c r="D2586" s="58" t="s">
        <v>23527</v>
      </c>
      <c r="E2586" s="58" t="s">
        <v>23528</v>
      </c>
      <c r="I2586" s="58" t="s">
        <v>23529</v>
      </c>
      <c r="R2586" s="58">
        <v>133.0</v>
      </c>
      <c r="CL2586" s="58" t="s">
        <v>23530</v>
      </c>
      <c r="CP2586" s="58" t="s">
        <v>23531</v>
      </c>
      <c r="CX2586" s="58" t="s">
        <v>23532</v>
      </c>
      <c r="CY2586" s="58" t="s">
        <v>23533</v>
      </c>
      <c r="CZ2586" s="58">
        <v>2024.0</v>
      </c>
      <c r="DA2586" s="58" t="s">
        <v>22955</v>
      </c>
      <c r="DB2586" s="58">
        <v>102913.0</v>
      </c>
      <c r="DF2586" s="58">
        <v>5.0</v>
      </c>
      <c r="DG2586" s="58" t="s">
        <v>23534</v>
      </c>
      <c r="DH2586" s="58" t="s">
        <v>22525</v>
      </c>
      <c r="DI2586" s="58" t="s">
        <v>22526</v>
      </c>
      <c r="DJ2586" s="58" t="s">
        <v>237</v>
      </c>
      <c r="DK2586" s="58" t="s">
        <v>23535</v>
      </c>
      <c r="DL2586" s="58" t="s">
        <v>23536</v>
      </c>
    </row>
    <row r="2587" ht="15.75" customHeight="1">
      <c r="B2587" s="58" t="s">
        <v>22515</v>
      </c>
      <c r="D2587" s="58" t="s">
        <v>23537</v>
      </c>
      <c r="E2587" s="58" t="s">
        <v>23538</v>
      </c>
      <c r="I2587" s="58" t="s">
        <v>23539</v>
      </c>
      <c r="Q2587" s="58">
        <v>1.0</v>
      </c>
      <c r="R2587" s="58">
        <v>8.0</v>
      </c>
      <c r="CL2587" s="58" t="s">
        <v>23540</v>
      </c>
      <c r="CP2587" s="58" t="s">
        <v>23541</v>
      </c>
      <c r="CX2587" s="58" t="s">
        <v>23542</v>
      </c>
      <c r="CY2587" s="58" t="s">
        <v>23543</v>
      </c>
      <c r="CZ2587" s="58">
        <v>2024.0</v>
      </c>
      <c r="DA2587" s="58" t="s">
        <v>17040</v>
      </c>
      <c r="DC2587" s="58">
        <v>498.0</v>
      </c>
      <c r="DD2587" s="58">
        <v>513.0</v>
      </c>
      <c r="DE2587" s="58">
        <v>15.0</v>
      </c>
      <c r="DF2587" s="58">
        <v>5.0</v>
      </c>
      <c r="DG2587" s="58" t="s">
        <v>23544</v>
      </c>
      <c r="DH2587" s="58" t="s">
        <v>22525</v>
      </c>
      <c r="DI2587" s="58" t="s">
        <v>22526</v>
      </c>
      <c r="DJ2587" s="58" t="s">
        <v>237</v>
      </c>
      <c r="DK2587" s="58" t="s">
        <v>23545</v>
      </c>
      <c r="DL2587" s="58" t="s">
        <v>23546</v>
      </c>
    </row>
    <row r="2588" ht="15.75" customHeight="1">
      <c r="B2588" s="58" t="s">
        <v>22515</v>
      </c>
      <c r="D2588" s="58" t="s">
        <v>23547</v>
      </c>
      <c r="E2588" s="58" t="s">
        <v>23548</v>
      </c>
      <c r="I2588" s="58" t="s">
        <v>23549</v>
      </c>
      <c r="Q2588" s="58">
        <v>3.0</v>
      </c>
      <c r="R2588" s="58">
        <v>49.0</v>
      </c>
      <c r="CL2588" s="58" t="s">
        <v>23550</v>
      </c>
      <c r="CP2588" s="58" t="s">
        <v>23551</v>
      </c>
      <c r="CX2588" s="58" t="s">
        <v>23552</v>
      </c>
      <c r="CY2588" s="58" t="s">
        <v>23553</v>
      </c>
      <c r="CZ2588" s="58">
        <v>2024.0</v>
      </c>
      <c r="DA2588" s="58" t="s">
        <v>23554</v>
      </c>
      <c r="DC2588" s="58">
        <v>453.0</v>
      </c>
      <c r="DD2588" s="58">
        <v>468.0</v>
      </c>
      <c r="DE2588" s="58">
        <v>15.0</v>
      </c>
      <c r="DF2588" s="58">
        <v>0.0</v>
      </c>
      <c r="DG2588" s="58" t="s">
        <v>23555</v>
      </c>
      <c r="DH2588" s="58" t="s">
        <v>22525</v>
      </c>
      <c r="DJ2588" s="58" t="s">
        <v>237</v>
      </c>
      <c r="DK2588" s="58" t="s">
        <v>23556</v>
      </c>
    </row>
    <row r="2589" ht="15.75" customHeight="1">
      <c r="B2589" s="58" t="s">
        <v>22515</v>
      </c>
      <c r="D2589" s="58" t="s">
        <v>23557</v>
      </c>
      <c r="E2589" s="58" t="s">
        <v>23558</v>
      </c>
      <c r="I2589" s="58" t="s">
        <v>23559</v>
      </c>
      <c r="Q2589" s="58">
        <v>3.0</v>
      </c>
      <c r="R2589" s="58">
        <v>57.0</v>
      </c>
      <c r="CL2589" s="58" t="s">
        <v>23560</v>
      </c>
      <c r="CP2589" s="58" t="s">
        <v>23561</v>
      </c>
      <c r="CX2589" s="58" t="s">
        <v>23562</v>
      </c>
      <c r="CY2589" s="58" t="s">
        <v>23563</v>
      </c>
      <c r="CZ2589" s="58">
        <v>2024.0</v>
      </c>
      <c r="DA2589" s="58" t="s">
        <v>22977</v>
      </c>
      <c r="DB2589" s="58">
        <v>61.0</v>
      </c>
      <c r="DF2589" s="58">
        <v>13.0</v>
      </c>
      <c r="DG2589" s="58" t="s">
        <v>23564</v>
      </c>
      <c r="DH2589" s="58" t="s">
        <v>22525</v>
      </c>
      <c r="DJ2589" s="58" t="s">
        <v>237</v>
      </c>
      <c r="DK2589" s="58" t="s">
        <v>23565</v>
      </c>
      <c r="DL2589" s="58" t="s">
        <v>23566</v>
      </c>
    </row>
    <row r="2590" ht="15.75" customHeight="1">
      <c r="B2590" s="58" t="s">
        <v>22515</v>
      </c>
      <c r="D2590" s="58" t="s">
        <v>23567</v>
      </c>
      <c r="E2590" s="58" t="s">
        <v>23568</v>
      </c>
      <c r="I2590" s="58" t="s">
        <v>23569</v>
      </c>
      <c r="R2590" s="58">
        <v>26.0</v>
      </c>
      <c r="CL2590" s="58" t="s">
        <v>23570</v>
      </c>
      <c r="CP2590" s="58" t="s">
        <v>23571</v>
      </c>
      <c r="CX2590" s="58" t="s">
        <v>23572</v>
      </c>
      <c r="CY2590" s="58" t="s">
        <v>23573</v>
      </c>
      <c r="CZ2590" s="58">
        <v>2024.0</v>
      </c>
      <c r="DA2590" s="58" t="s">
        <v>23574</v>
      </c>
      <c r="DB2590" s="58">
        <v>101172.0</v>
      </c>
      <c r="DF2590" s="58">
        <v>2.0</v>
      </c>
      <c r="DG2590" s="58" t="s">
        <v>23575</v>
      </c>
      <c r="DH2590" s="58" t="s">
        <v>22525</v>
      </c>
      <c r="DJ2590" s="58" t="s">
        <v>237</v>
      </c>
      <c r="DK2590" s="58" t="s">
        <v>23576</v>
      </c>
    </row>
    <row r="2591" ht="15.75" customHeight="1">
      <c r="B2591" s="58" t="s">
        <v>22515</v>
      </c>
      <c r="D2591" s="58" t="s">
        <v>23577</v>
      </c>
      <c r="E2591" s="58" t="s">
        <v>23578</v>
      </c>
      <c r="I2591" s="58" t="s">
        <v>23579</v>
      </c>
      <c r="R2591" s="58">
        <v>51.0</v>
      </c>
      <c r="CL2591" s="58" t="s">
        <v>23580</v>
      </c>
      <c r="CP2591" s="58" t="s">
        <v>23581</v>
      </c>
      <c r="CX2591" s="58" t="s">
        <v>23582</v>
      </c>
      <c r="CY2591" s="58">
        <v>5.58483361E10</v>
      </c>
      <c r="CZ2591" s="58">
        <v>2024.0</v>
      </c>
      <c r="DA2591" s="58" t="s">
        <v>23583</v>
      </c>
      <c r="DB2591" s="58">
        <v>101660.0</v>
      </c>
      <c r="DF2591" s="58">
        <v>0.0</v>
      </c>
      <c r="DG2591" s="58" t="s">
        <v>23584</v>
      </c>
      <c r="DH2591" s="58" t="s">
        <v>22525</v>
      </c>
      <c r="DI2591" s="58" t="s">
        <v>22622</v>
      </c>
      <c r="DJ2591" s="58" t="s">
        <v>237</v>
      </c>
      <c r="DK2591" s="58" t="s">
        <v>23585</v>
      </c>
    </row>
    <row r="2592" ht="15.75" customHeight="1">
      <c r="B2592" s="58" t="s">
        <v>22515</v>
      </c>
      <c r="D2592" s="58" t="s">
        <v>23586</v>
      </c>
      <c r="E2592" s="58" t="s">
        <v>23587</v>
      </c>
      <c r="I2592" s="58" t="s">
        <v>23588</v>
      </c>
      <c r="R2592" s="58">
        <v>565.0</v>
      </c>
      <c r="CL2592" s="58" t="s">
        <v>23589</v>
      </c>
      <c r="CP2592" s="58" t="s">
        <v>23590</v>
      </c>
      <c r="CX2592" s="58" t="s">
        <v>23591</v>
      </c>
      <c r="CY2592" s="58" t="s">
        <v>23592</v>
      </c>
      <c r="CZ2592" s="58">
        <v>2024.0</v>
      </c>
      <c r="DA2592" s="58" t="s">
        <v>23593</v>
      </c>
      <c r="DB2592" s="58">
        <v>127017.0</v>
      </c>
      <c r="DF2592" s="58">
        <v>75.0</v>
      </c>
      <c r="DG2592" s="58" t="s">
        <v>23594</v>
      </c>
      <c r="DH2592" s="58" t="s">
        <v>22525</v>
      </c>
      <c r="DI2592" s="58" t="s">
        <v>22526</v>
      </c>
      <c r="DJ2592" s="58" t="s">
        <v>237</v>
      </c>
      <c r="DK2592" s="58" t="s">
        <v>23595</v>
      </c>
      <c r="DL2592" s="58" t="s">
        <v>23596</v>
      </c>
    </row>
    <row r="2593" ht="15.75" customHeight="1">
      <c r="B2593" s="58" t="s">
        <v>22515</v>
      </c>
      <c r="D2593" s="58" t="s">
        <v>23597</v>
      </c>
      <c r="E2593" s="58" t="s">
        <v>23598</v>
      </c>
      <c r="I2593" s="58" t="s">
        <v>23599</v>
      </c>
      <c r="R2593" s="58">
        <v>126.0</v>
      </c>
      <c r="CL2593" s="58" t="s">
        <v>23600</v>
      </c>
      <c r="CP2593" s="58" t="s">
        <v>23601</v>
      </c>
      <c r="CX2593" s="58" t="s">
        <v>23602</v>
      </c>
      <c r="CY2593" s="58" t="s">
        <v>23603</v>
      </c>
      <c r="CZ2593" s="58">
        <v>2024.0</v>
      </c>
      <c r="DA2593" s="58" t="s">
        <v>23604</v>
      </c>
      <c r="DB2593" s="58">
        <v>103064.0</v>
      </c>
      <c r="DF2593" s="58">
        <v>1.0</v>
      </c>
      <c r="DG2593" s="58" t="s">
        <v>23605</v>
      </c>
      <c r="DH2593" s="58" t="s">
        <v>22525</v>
      </c>
      <c r="DI2593" s="58" t="s">
        <v>23606</v>
      </c>
      <c r="DJ2593" s="58" t="s">
        <v>237</v>
      </c>
      <c r="DK2593" s="58" t="s">
        <v>23607</v>
      </c>
      <c r="DL2593" s="58" t="s">
        <v>23608</v>
      </c>
    </row>
    <row r="2594" ht="15.75" customHeight="1">
      <c r="B2594" s="58" t="s">
        <v>22515</v>
      </c>
      <c r="D2594" s="58" t="s">
        <v>23609</v>
      </c>
      <c r="E2594" s="58" t="s">
        <v>23610</v>
      </c>
      <c r="I2594" s="58" t="s">
        <v>23611</v>
      </c>
      <c r="Q2594" s="58">
        <v>2.0</v>
      </c>
      <c r="R2594" s="58">
        <v>10.0</v>
      </c>
      <c r="CL2594" s="58" t="s">
        <v>23612</v>
      </c>
      <c r="CP2594" s="58" t="s">
        <v>23613</v>
      </c>
      <c r="CX2594" s="58" t="s">
        <v>23614</v>
      </c>
      <c r="CY2594" s="58" t="s">
        <v>23615</v>
      </c>
      <c r="CZ2594" s="58">
        <v>2024.0</v>
      </c>
      <c r="DA2594" s="58" t="s">
        <v>23616</v>
      </c>
      <c r="DC2594" s="58">
        <v>237.0</v>
      </c>
      <c r="DD2594" s="58">
        <v>247.0</v>
      </c>
      <c r="DE2594" s="58">
        <v>10.0</v>
      </c>
      <c r="DF2594" s="58">
        <v>32.0</v>
      </c>
      <c r="DG2594" s="58" t="s">
        <v>23617</v>
      </c>
      <c r="DH2594" s="58" t="s">
        <v>22525</v>
      </c>
      <c r="DI2594" s="58" t="s">
        <v>22622</v>
      </c>
      <c r="DJ2594" s="58" t="s">
        <v>237</v>
      </c>
      <c r="DK2594" s="58" t="s">
        <v>23618</v>
      </c>
      <c r="DL2594" s="58" t="s">
        <v>23619</v>
      </c>
    </row>
    <row r="2595" ht="15.75" customHeight="1">
      <c r="B2595" s="58" t="s">
        <v>22771</v>
      </c>
      <c r="D2595" s="58" t="s">
        <v>23620</v>
      </c>
      <c r="E2595" s="58" t="s">
        <v>23621</v>
      </c>
      <c r="I2595" s="58" t="s">
        <v>23622</v>
      </c>
      <c r="CL2595" s="58" t="s">
        <v>23623</v>
      </c>
      <c r="CP2595" s="58" t="s">
        <v>23624</v>
      </c>
      <c r="CX2595" s="58" t="s">
        <v>23625</v>
      </c>
      <c r="CY2595" s="58" t="s">
        <v>23626</v>
      </c>
      <c r="CZ2595" s="58">
        <v>2024.0</v>
      </c>
      <c r="DA2595" s="58" t="s">
        <v>23627</v>
      </c>
      <c r="DC2595" s="58">
        <v>115.0</v>
      </c>
      <c r="DD2595" s="58">
        <v>121.0</v>
      </c>
      <c r="DE2595" s="58">
        <v>6.0</v>
      </c>
      <c r="DF2595" s="58">
        <v>0.0</v>
      </c>
      <c r="DG2595" s="58" t="s">
        <v>23628</v>
      </c>
      <c r="DH2595" s="58" t="s">
        <v>22525</v>
      </c>
      <c r="DJ2595" s="58" t="s">
        <v>237</v>
      </c>
      <c r="DK2595" s="58" t="s">
        <v>23629</v>
      </c>
      <c r="DL2595" s="58" t="s">
        <v>23630</v>
      </c>
    </row>
    <row r="2596" ht="15.75" customHeight="1">
      <c r="B2596" s="58" t="s">
        <v>22515</v>
      </c>
      <c r="D2596" s="58" t="s">
        <v>23631</v>
      </c>
      <c r="E2596" s="58" t="s">
        <v>23632</v>
      </c>
      <c r="I2596" s="58" t="s">
        <v>23633</v>
      </c>
      <c r="Q2596" s="58">
        <v>4.0</v>
      </c>
      <c r="R2596" s="58">
        <v>18.0</v>
      </c>
      <c r="CL2596" s="58" t="s">
        <v>23634</v>
      </c>
      <c r="CP2596" s="58" t="s">
        <v>23635</v>
      </c>
      <c r="CX2596" s="58" t="s">
        <v>23636</v>
      </c>
      <c r="CY2596" s="58" t="s">
        <v>23637</v>
      </c>
      <c r="CZ2596" s="58">
        <v>2024.0</v>
      </c>
      <c r="DA2596" s="58" t="s">
        <v>23638</v>
      </c>
      <c r="DC2596" s="58">
        <v>881.0</v>
      </c>
      <c r="DD2596" s="58">
        <v>902.0</v>
      </c>
      <c r="DE2596" s="58">
        <v>21.0</v>
      </c>
      <c r="DF2596" s="58">
        <v>0.0</v>
      </c>
      <c r="DG2596" s="58" t="s">
        <v>23639</v>
      </c>
      <c r="DH2596" s="58" t="s">
        <v>22525</v>
      </c>
      <c r="DI2596" s="58" t="s">
        <v>22622</v>
      </c>
      <c r="DJ2596" s="58" t="s">
        <v>237</v>
      </c>
      <c r="DK2596" s="58" t="s">
        <v>23640</v>
      </c>
      <c r="DL2596" s="58" t="s">
        <v>23641</v>
      </c>
    </row>
    <row r="2597" ht="15.75" customHeight="1">
      <c r="B2597" s="58" t="s">
        <v>22515</v>
      </c>
      <c r="D2597" s="58" t="s">
        <v>23642</v>
      </c>
      <c r="E2597" s="58" t="s">
        <v>23643</v>
      </c>
      <c r="I2597" s="58" t="s">
        <v>23644</v>
      </c>
      <c r="CL2597" s="58" t="s">
        <v>23645</v>
      </c>
      <c r="CP2597" s="58" t="s">
        <v>23646</v>
      </c>
      <c r="CX2597" s="58" t="s">
        <v>23647</v>
      </c>
      <c r="CY2597" s="58" t="s">
        <v>23648</v>
      </c>
      <c r="CZ2597" s="58">
        <v>2024.0</v>
      </c>
      <c r="DA2597" s="58" t="s">
        <v>18334</v>
      </c>
      <c r="DF2597" s="58">
        <v>0.0</v>
      </c>
      <c r="DG2597" s="58" t="s">
        <v>23649</v>
      </c>
      <c r="DH2597" s="58" t="s">
        <v>22588</v>
      </c>
      <c r="DJ2597" s="58" t="s">
        <v>237</v>
      </c>
      <c r="DK2597" s="58" t="s">
        <v>23650</v>
      </c>
    </row>
    <row r="2598" ht="15.75" customHeight="1">
      <c r="B2598" s="58" t="s">
        <v>22515</v>
      </c>
      <c r="D2598" s="58" t="s">
        <v>23651</v>
      </c>
      <c r="E2598" s="58" t="s">
        <v>23652</v>
      </c>
      <c r="I2598" s="58" t="s">
        <v>23653</v>
      </c>
      <c r="Q2598" s="58">
        <v>4.0</v>
      </c>
      <c r="R2598" s="58">
        <v>27.0</v>
      </c>
      <c r="CL2598" s="58" t="s">
        <v>23654</v>
      </c>
      <c r="CP2598" s="58" t="s">
        <v>23655</v>
      </c>
      <c r="CX2598" s="58" t="s">
        <v>23656</v>
      </c>
      <c r="CY2598" s="58" t="s">
        <v>23657</v>
      </c>
      <c r="CZ2598" s="58">
        <v>2024.0</v>
      </c>
      <c r="DA2598" s="58" t="s">
        <v>22988</v>
      </c>
      <c r="DC2598" s="58">
        <v>4491.0</v>
      </c>
      <c r="DD2598" s="58">
        <v>4514.0</v>
      </c>
      <c r="DE2598" s="58">
        <v>23.0</v>
      </c>
      <c r="DF2598" s="58">
        <v>1.0</v>
      </c>
      <c r="DG2598" s="58" t="s">
        <v>23658</v>
      </c>
      <c r="DH2598" s="58" t="s">
        <v>22525</v>
      </c>
      <c r="DI2598" s="58" t="s">
        <v>22816</v>
      </c>
      <c r="DJ2598" s="58" t="s">
        <v>237</v>
      </c>
      <c r="DK2598" s="58" t="s">
        <v>23659</v>
      </c>
      <c r="DL2598" s="58" t="s">
        <v>23660</v>
      </c>
    </row>
    <row r="2599" ht="15.75" customHeight="1">
      <c r="B2599" s="58" t="s">
        <v>22515</v>
      </c>
      <c r="D2599" s="58" t="s">
        <v>23661</v>
      </c>
      <c r="E2599" s="58" t="s">
        <v>23662</v>
      </c>
      <c r="I2599" s="58" t="s">
        <v>23663</v>
      </c>
      <c r="CL2599" s="58" t="s">
        <v>23664</v>
      </c>
      <c r="CP2599" s="58" t="s">
        <v>23665</v>
      </c>
      <c r="CX2599" s="58" t="s">
        <v>23666</v>
      </c>
      <c r="CY2599" s="58" t="s">
        <v>23667</v>
      </c>
      <c r="CZ2599" s="58">
        <v>2024.0</v>
      </c>
      <c r="DA2599" s="58" t="s">
        <v>23668</v>
      </c>
      <c r="DF2599" s="58">
        <v>0.0</v>
      </c>
      <c r="DG2599" s="58" t="s">
        <v>23669</v>
      </c>
      <c r="DH2599" s="58" t="s">
        <v>22588</v>
      </c>
      <c r="DI2599" s="58" t="s">
        <v>22526</v>
      </c>
      <c r="DJ2599" s="58" t="s">
        <v>237</v>
      </c>
      <c r="DK2599" s="58" t="s">
        <v>23670</v>
      </c>
      <c r="DL2599" s="58" t="s">
        <v>23671</v>
      </c>
    </row>
    <row r="2600" ht="15.75" customHeight="1">
      <c r="B2600" s="58" t="s">
        <v>22515</v>
      </c>
      <c r="D2600" s="58" t="s">
        <v>23672</v>
      </c>
      <c r="E2600" s="58" t="s">
        <v>23673</v>
      </c>
      <c r="I2600" s="58" t="s">
        <v>23674</v>
      </c>
      <c r="Q2600" s="58">
        <v>9.0</v>
      </c>
      <c r="R2600" s="58">
        <v>11.0</v>
      </c>
      <c r="CL2600" s="58" t="s">
        <v>23675</v>
      </c>
      <c r="CP2600" s="58" t="s">
        <v>23676</v>
      </c>
      <c r="CX2600" s="58" t="s">
        <v>23677</v>
      </c>
      <c r="CY2600" s="58" t="s">
        <v>23678</v>
      </c>
      <c r="CZ2600" s="58">
        <v>2024.0</v>
      </c>
      <c r="DA2600" s="58" t="s">
        <v>16538</v>
      </c>
      <c r="DC2600" s="58">
        <v>16033.0</v>
      </c>
      <c r="DD2600" s="58">
        <v>16047.0</v>
      </c>
      <c r="DE2600" s="58">
        <v>14.0</v>
      </c>
      <c r="DF2600" s="58">
        <v>9.0</v>
      </c>
      <c r="DG2600" s="58" t="s">
        <v>23679</v>
      </c>
      <c r="DH2600" s="58" t="s">
        <v>22525</v>
      </c>
      <c r="DJ2600" s="58" t="s">
        <v>237</v>
      </c>
      <c r="DK2600" s="58" t="s">
        <v>23680</v>
      </c>
      <c r="DL2600" s="58" t="s">
        <v>23681</v>
      </c>
    </row>
    <row r="2601" ht="15.75" customHeight="1">
      <c r="B2601" s="58" t="s">
        <v>22515</v>
      </c>
      <c r="D2601" s="58" t="s">
        <v>23682</v>
      </c>
      <c r="E2601" s="58" t="s">
        <v>23683</v>
      </c>
      <c r="I2601" s="58" t="s">
        <v>23684</v>
      </c>
      <c r="CL2601" s="58" t="s">
        <v>23685</v>
      </c>
      <c r="CP2601" s="58" t="s">
        <v>23686</v>
      </c>
      <c r="CX2601" s="58" t="s">
        <v>23687</v>
      </c>
      <c r="CY2601" s="58">
        <v>5.5468464E10</v>
      </c>
      <c r="CZ2601" s="58">
        <v>2024.0</v>
      </c>
      <c r="DA2601" s="58" t="s">
        <v>18916</v>
      </c>
      <c r="DF2601" s="58">
        <v>0.0</v>
      </c>
      <c r="DG2601" s="58" t="s">
        <v>23688</v>
      </c>
      <c r="DH2601" s="58" t="s">
        <v>22588</v>
      </c>
      <c r="DJ2601" s="58" t="s">
        <v>237</v>
      </c>
      <c r="DK2601" s="58" t="s">
        <v>23689</v>
      </c>
      <c r="DL2601" s="58" t="s">
        <v>23690</v>
      </c>
    </row>
    <row r="2602" ht="15.75" customHeight="1">
      <c r="B2602" s="58" t="s">
        <v>22515</v>
      </c>
      <c r="D2602" s="58" t="s">
        <v>23691</v>
      </c>
      <c r="E2602" s="58" t="s">
        <v>23692</v>
      </c>
      <c r="I2602" s="58" t="s">
        <v>23693</v>
      </c>
      <c r="Q2602" s="58">
        <v>9.0</v>
      </c>
      <c r="R2602" s="58">
        <v>12.0</v>
      </c>
      <c r="CL2602" s="58" t="s">
        <v>23694</v>
      </c>
      <c r="CP2602" s="58" t="s">
        <v>23695</v>
      </c>
      <c r="CX2602" s="58" t="s">
        <v>23696</v>
      </c>
      <c r="CY2602" s="58" t="s">
        <v>23697</v>
      </c>
      <c r="CZ2602" s="58">
        <v>2024.0</v>
      </c>
      <c r="DA2602" s="58" t="s">
        <v>23698</v>
      </c>
      <c r="DB2602" s="58">
        <v>1301.0</v>
      </c>
      <c r="DF2602" s="58">
        <v>1.0</v>
      </c>
      <c r="DG2602" s="58" t="s">
        <v>23699</v>
      </c>
      <c r="DH2602" s="58" t="s">
        <v>22525</v>
      </c>
      <c r="DI2602" s="58" t="s">
        <v>22622</v>
      </c>
      <c r="DJ2602" s="58" t="s">
        <v>237</v>
      </c>
      <c r="DK2602" s="58" t="s">
        <v>23700</v>
      </c>
    </row>
    <row r="2603" ht="15.75" customHeight="1">
      <c r="B2603" s="58" t="s">
        <v>22515</v>
      </c>
      <c r="D2603" s="58" t="s">
        <v>23701</v>
      </c>
      <c r="E2603" s="58" t="s">
        <v>23702</v>
      </c>
      <c r="I2603" s="58" t="s">
        <v>23703</v>
      </c>
      <c r="Q2603" s="58">
        <v>1.0</v>
      </c>
      <c r="R2603" s="58">
        <v>27.0</v>
      </c>
      <c r="CL2603" s="58" t="s">
        <v>23704</v>
      </c>
      <c r="CP2603" s="58" t="s">
        <v>23705</v>
      </c>
      <c r="CX2603" s="58" t="s">
        <v>23706</v>
      </c>
      <c r="CY2603" s="58" t="s">
        <v>23707</v>
      </c>
      <c r="CZ2603" s="58">
        <v>2024.0</v>
      </c>
      <c r="DA2603" s="58" t="s">
        <v>22988</v>
      </c>
      <c r="DC2603" s="58">
        <v>931.0</v>
      </c>
      <c r="DD2603" s="58">
        <v>944.0</v>
      </c>
      <c r="DE2603" s="58">
        <v>13.0</v>
      </c>
      <c r="DF2603" s="58">
        <v>3.0</v>
      </c>
      <c r="DG2603" s="58" t="s">
        <v>23708</v>
      </c>
      <c r="DH2603" s="58" t="s">
        <v>22525</v>
      </c>
      <c r="DJ2603" s="58" t="s">
        <v>237</v>
      </c>
      <c r="DK2603" s="58" t="s">
        <v>23709</v>
      </c>
      <c r="DL2603" s="58" t="s">
        <v>23710</v>
      </c>
    </row>
    <row r="2604" ht="15.75" customHeight="1">
      <c r="B2604" s="58" t="s">
        <v>22771</v>
      </c>
      <c r="D2604" s="58" t="s">
        <v>23711</v>
      </c>
      <c r="E2604" s="58" t="s">
        <v>23712</v>
      </c>
      <c r="I2604" s="58" t="s">
        <v>23713</v>
      </c>
      <c r="Q2604" s="58">
        <v>1.0</v>
      </c>
      <c r="R2604" s="58">
        <v>3122.0</v>
      </c>
      <c r="CL2604" s="58" t="s">
        <v>23714</v>
      </c>
      <c r="CP2604" s="58" t="s">
        <v>23715</v>
      </c>
      <c r="CX2604" s="58" t="s">
        <v>23716</v>
      </c>
      <c r="CY2604" s="58" t="s">
        <v>23717</v>
      </c>
      <c r="CZ2604" s="58">
        <v>2024.0</v>
      </c>
      <c r="DA2604" s="58" t="s">
        <v>23718</v>
      </c>
      <c r="DB2604" s="58">
        <v>90007.0</v>
      </c>
      <c r="DF2604" s="58">
        <v>1.0</v>
      </c>
      <c r="DG2604" s="58" t="s">
        <v>23719</v>
      </c>
      <c r="DH2604" s="58" t="s">
        <v>22525</v>
      </c>
      <c r="DJ2604" s="58" t="s">
        <v>237</v>
      </c>
      <c r="DK2604" s="58" t="s">
        <v>23720</v>
      </c>
    </row>
    <row r="2605" ht="15.75" customHeight="1">
      <c r="B2605" s="58" t="s">
        <v>22771</v>
      </c>
      <c r="D2605" s="58" t="s">
        <v>23721</v>
      </c>
      <c r="E2605" s="58" t="s">
        <v>23722</v>
      </c>
      <c r="I2605" s="58" t="s">
        <v>23723</v>
      </c>
      <c r="CL2605" s="58" t="s">
        <v>23724</v>
      </c>
      <c r="CP2605" s="58" t="s">
        <v>23725</v>
      </c>
      <c r="CX2605" s="58" t="s">
        <v>23726</v>
      </c>
      <c r="CY2605" s="58" t="s">
        <v>23727</v>
      </c>
      <c r="CZ2605" s="58">
        <v>2024.0</v>
      </c>
      <c r="DA2605" s="58" t="s">
        <v>23728</v>
      </c>
      <c r="DC2605" s="58">
        <v>637.0</v>
      </c>
      <c r="DD2605" s="58">
        <v>644.0</v>
      </c>
      <c r="DE2605" s="58">
        <v>7.0</v>
      </c>
      <c r="DF2605" s="58">
        <v>0.0</v>
      </c>
      <c r="DG2605" s="58" t="s">
        <v>23729</v>
      </c>
      <c r="DH2605" s="58" t="s">
        <v>22525</v>
      </c>
      <c r="DJ2605" s="58" t="s">
        <v>237</v>
      </c>
      <c r="DK2605" s="58" t="s">
        <v>23730</v>
      </c>
      <c r="DL2605" s="58" t="s">
        <v>23731</v>
      </c>
    </row>
    <row r="2606" ht="15.75" customHeight="1">
      <c r="B2606" s="58" t="s">
        <v>22515</v>
      </c>
      <c r="D2606" s="58" t="s">
        <v>23732</v>
      </c>
      <c r="E2606" s="58" t="s">
        <v>23733</v>
      </c>
      <c r="I2606" s="58" t="s">
        <v>23734</v>
      </c>
      <c r="R2606" s="58">
        <v>150.0</v>
      </c>
      <c r="CL2606" s="58" t="s">
        <v>23735</v>
      </c>
      <c r="CP2606" s="58" t="s">
        <v>23736</v>
      </c>
      <c r="CX2606" s="58" t="s">
        <v>23737</v>
      </c>
      <c r="CY2606" s="58" t="s">
        <v>23738</v>
      </c>
      <c r="CZ2606" s="58">
        <v>2024.0</v>
      </c>
      <c r="DA2606" s="58" t="s">
        <v>23739</v>
      </c>
      <c r="DB2606" s="58">
        <v>103131.0</v>
      </c>
      <c r="DF2606" s="58">
        <v>4.0</v>
      </c>
      <c r="DG2606" s="58" t="s">
        <v>23740</v>
      </c>
      <c r="DH2606" s="58" t="s">
        <v>22525</v>
      </c>
      <c r="DJ2606" s="58" t="s">
        <v>237</v>
      </c>
      <c r="DK2606" s="58" t="s">
        <v>23741</v>
      </c>
      <c r="DL2606" s="58" t="s">
        <v>23742</v>
      </c>
    </row>
    <row r="2607" ht="15.75" customHeight="1">
      <c r="B2607" s="58" t="s">
        <v>22515</v>
      </c>
      <c r="D2607" s="58" t="s">
        <v>23743</v>
      </c>
      <c r="E2607" s="58" t="s">
        <v>23744</v>
      </c>
      <c r="I2607" s="58" t="s">
        <v>23745</v>
      </c>
      <c r="Q2607" s="58">
        <v>6.0</v>
      </c>
      <c r="R2607" s="58">
        <v>16.0</v>
      </c>
      <c r="CL2607" s="58" t="s">
        <v>23746</v>
      </c>
      <c r="CP2607" s="58" t="s">
        <v>23747</v>
      </c>
      <c r="CX2607" s="58" t="s">
        <v>23748</v>
      </c>
      <c r="CY2607" s="58" t="s">
        <v>23749</v>
      </c>
      <c r="CZ2607" s="58">
        <v>2024.0</v>
      </c>
      <c r="DA2607" s="58" t="s">
        <v>23074</v>
      </c>
      <c r="DB2607" s="58">
        <v>2535.0</v>
      </c>
      <c r="DF2607" s="58">
        <v>3.0</v>
      </c>
      <c r="DG2607" s="58" t="s">
        <v>23750</v>
      </c>
      <c r="DH2607" s="58" t="s">
        <v>22525</v>
      </c>
      <c r="DI2607" s="58" t="s">
        <v>22622</v>
      </c>
      <c r="DJ2607" s="58" t="s">
        <v>237</v>
      </c>
      <c r="DK2607" s="58" t="s">
        <v>23751</v>
      </c>
      <c r="DL2607" s="58" t="s">
        <v>23752</v>
      </c>
    </row>
    <row r="2608" ht="15.75" customHeight="1">
      <c r="B2608" s="58" t="s">
        <v>22515</v>
      </c>
      <c r="D2608" s="58" t="s">
        <v>23753</v>
      </c>
      <c r="E2608" s="58" t="s">
        <v>23754</v>
      </c>
      <c r="I2608" s="58" t="s">
        <v>23755</v>
      </c>
      <c r="CL2608" s="58" t="s">
        <v>23756</v>
      </c>
      <c r="CP2608" s="58" t="s">
        <v>23757</v>
      </c>
      <c r="CX2608" s="58" t="s">
        <v>23758</v>
      </c>
      <c r="CY2608" s="58" t="s">
        <v>23759</v>
      </c>
      <c r="CZ2608" s="58">
        <v>2024.0</v>
      </c>
      <c r="DA2608" s="58" t="s">
        <v>23760</v>
      </c>
      <c r="DF2608" s="58">
        <v>4.0</v>
      </c>
      <c r="DG2608" s="58" t="s">
        <v>23761</v>
      </c>
      <c r="DH2608" s="58" t="s">
        <v>22588</v>
      </c>
      <c r="DI2608" s="58" t="s">
        <v>22816</v>
      </c>
      <c r="DJ2608" s="58" t="s">
        <v>237</v>
      </c>
      <c r="DK2608" s="58" t="s">
        <v>23762</v>
      </c>
      <c r="DL2608" s="58" t="s">
        <v>23763</v>
      </c>
    </row>
    <row r="2609" ht="15.75" customHeight="1">
      <c r="B2609" s="58" t="s">
        <v>22771</v>
      </c>
      <c r="D2609" s="58" t="s">
        <v>23764</v>
      </c>
      <c r="E2609" s="58" t="s">
        <v>23765</v>
      </c>
      <c r="I2609" s="58" t="s">
        <v>23766</v>
      </c>
      <c r="Q2609" s="58">
        <v>2024.0</v>
      </c>
      <c r="CL2609" s="58" t="s">
        <v>23767</v>
      </c>
      <c r="CP2609" s="58" t="s">
        <v>23768</v>
      </c>
      <c r="CX2609" s="58" t="s">
        <v>23769</v>
      </c>
      <c r="CY2609" s="58" t="s">
        <v>23770</v>
      </c>
      <c r="CZ2609" s="58">
        <v>2024.0</v>
      </c>
      <c r="DA2609" s="58" t="s">
        <v>23771</v>
      </c>
      <c r="DC2609" s="58">
        <v>499.0</v>
      </c>
      <c r="DD2609" s="58">
        <v>506.0</v>
      </c>
      <c r="DE2609" s="58">
        <v>7.0</v>
      </c>
      <c r="DF2609" s="58">
        <v>0.0</v>
      </c>
      <c r="DG2609" s="58" t="s">
        <v>23772</v>
      </c>
      <c r="DH2609" s="58" t="s">
        <v>22525</v>
      </c>
      <c r="DI2609" s="58" t="s">
        <v>22816</v>
      </c>
      <c r="DJ2609" s="58" t="s">
        <v>237</v>
      </c>
      <c r="DK2609" s="58" t="s">
        <v>23773</v>
      </c>
      <c r="DL2609" s="58" t="s">
        <v>23774</v>
      </c>
    </row>
    <row r="2610" ht="15.75" customHeight="1">
      <c r="B2610" s="58" t="s">
        <v>22515</v>
      </c>
      <c r="D2610" s="58" t="s">
        <v>23775</v>
      </c>
      <c r="E2610" s="58" t="s">
        <v>23776</v>
      </c>
      <c r="I2610" s="58" t="s">
        <v>23777</v>
      </c>
      <c r="Q2610" s="58">
        <v>5.0</v>
      </c>
      <c r="R2610" s="58">
        <v>16.0</v>
      </c>
      <c r="CL2610" s="58" t="s">
        <v>23778</v>
      </c>
      <c r="CP2610" s="58" t="s">
        <v>23779</v>
      </c>
      <c r="CX2610" s="58" t="s">
        <v>23780</v>
      </c>
      <c r="CY2610" s="58" t="s">
        <v>23781</v>
      </c>
      <c r="CZ2610" s="58">
        <v>2024.0</v>
      </c>
      <c r="DA2610" s="58" t="s">
        <v>23782</v>
      </c>
      <c r="DC2610" s="58">
        <v>3205.0</v>
      </c>
      <c r="DD2610" s="58">
        <v>3218.0</v>
      </c>
      <c r="DE2610" s="58">
        <v>13.0</v>
      </c>
      <c r="DF2610" s="58">
        <v>4.0</v>
      </c>
      <c r="DG2610" s="58" t="s">
        <v>23783</v>
      </c>
      <c r="DH2610" s="58" t="s">
        <v>22525</v>
      </c>
      <c r="DJ2610" s="58" t="s">
        <v>237</v>
      </c>
      <c r="DK2610" s="58" t="s">
        <v>23784</v>
      </c>
    </row>
    <row r="2611" ht="15.75" customHeight="1">
      <c r="B2611" s="58" t="s">
        <v>22771</v>
      </c>
      <c r="D2611" s="58" t="s">
        <v>23785</v>
      </c>
      <c r="E2611" s="58" t="s">
        <v>23786</v>
      </c>
      <c r="I2611" s="58" t="s">
        <v>23787</v>
      </c>
      <c r="CL2611" s="58" t="s">
        <v>23788</v>
      </c>
      <c r="CP2611" s="58" t="s">
        <v>23789</v>
      </c>
      <c r="CX2611" s="58" t="s">
        <v>23790</v>
      </c>
      <c r="CY2611" s="58" t="s">
        <v>23791</v>
      </c>
      <c r="CZ2611" s="58">
        <v>2024.0</v>
      </c>
      <c r="DA2611" s="58" t="s">
        <v>23792</v>
      </c>
      <c r="DC2611" s="58">
        <v>353.0</v>
      </c>
      <c r="DD2611" s="58">
        <v>358.0</v>
      </c>
      <c r="DE2611" s="58">
        <v>5.0</v>
      </c>
      <c r="DF2611" s="58">
        <v>0.0</v>
      </c>
      <c r="DG2611" s="58" t="s">
        <v>23793</v>
      </c>
      <c r="DH2611" s="58" t="s">
        <v>22525</v>
      </c>
      <c r="DJ2611" s="58" t="s">
        <v>237</v>
      </c>
      <c r="DK2611" s="58" t="s">
        <v>23794</v>
      </c>
      <c r="DL2611" s="58" t="s">
        <v>23795</v>
      </c>
    </row>
    <row r="2612" ht="15.75" customHeight="1">
      <c r="B2612" s="58" t="s">
        <v>22771</v>
      </c>
      <c r="D2612" s="58" t="s">
        <v>23796</v>
      </c>
      <c r="E2612" s="58" t="s">
        <v>23797</v>
      </c>
      <c r="I2612" s="58" t="s">
        <v>23798</v>
      </c>
      <c r="Q2612" s="58">
        <v>1.0</v>
      </c>
      <c r="R2612" s="58">
        <v>1415.0</v>
      </c>
      <c r="CL2612" s="58" t="s">
        <v>23799</v>
      </c>
      <c r="CX2612" s="58" t="s">
        <v>23800</v>
      </c>
      <c r="CY2612" s="58" t="s">
        <v>23801</v>
      </c>
      <c r="CZ2612" s="58">
        <v>2024.0</v>
      </c>
      <c r="DA2612" s="58" t="s">
        <v>23802</v>
      </c>
      <c r="DB2612" s="58">
        <v>11001.0</v>
      </c>
      <c r="DF2612" s="58">
        <v>0.0</v>
      </c>
      <c r="DG2612" s="58" t="s">
        <v>23803</v>
      </c>
      <c r="DH2612" s="58" t="s">
        <v>22525</v>
      </c>
      <c r="DI2612" s="58" t="s">
        <v>22622</v>
      </c>
      <c r="DJ2612" s="58" t="s">
        <v>237</v>
      </c>
      <c r="DK2612" s="58" t="s">
        <v>23804</v>
      </c>
    </row>
    <row r="2613" ht="15.75" customHeight="1">
      <c r="B2613" s="58" t="s">
        <v>22515</v>
      </c>
      <c r="D2613" s="58" t="s">
        <v>23805</v>
      </c>
      <c r="E2613" s="58" t="s">
        <v>23806</v>
      </c>
      <c r="I2613" s="58" t="s">
        <v>23807</v>
      </c>
      <c r="R2613" s="58">
        <v>305.0</v>
      </c>
      <c r="CL2613" s="58" t="s">
        <v>23808</v>
      </c>
      <c r="CP2613" s="58" t="s">
        <v>23809</v>
      </c>
      <c r="CX2613" s="58" t="s">
        <v>23810</v>
      </c>
      <c r="CY2613" s="58" t="s">
        <v>23811</v>
      </c>
      <c r="CZ2613" s="58">
        <v>2024.0</v>
      </c>
      <c r="DA2613" s="58" t="s">
        <v>23812</v>
      </c>
      <c r="DB2613" s="58">
        <v>118270.0</v>
      </c>
      <c r="DF2613" s="58">
        <v>13.0</v>
      </c>
      <c r="DG2613" s="58" t="s">
        <v>23813</v>
      </c>
      <c r="DH2613" s="58" t="s">
        <v>22525</v>
      </c>
      <c r="DJ2613" s="58" t="s">
        <v>237</v>
      </c>
      <c r="DK2613" s="58" t="s">
        <v>23814</v>
      </c>
      <c r="DL2613" s="58" t="s">
        <v>23815</v>
      </c>
    </row>
    <row r="2614" ht="15.75" customHeight="1">
      <c r="B2614" s="58" t="s">
        <v>22515</v>
      </c>
      <c r="D2614" s="58" t="s">
        <v>23816</v>
      </c>
      <c r="E2614" s="58" t="s">
        <v>23817</v>
      </c>
      <c r="I2614" s="58" t="s">
        <v>23818</v>
      </c>
      <c r="CL2614" s="58" t="s">
        <v>23819</v>
      </c>
      <c r="CP2614" s="58" t="s">
        <v>23820</v>
      </c>
      <c r="CX2614" s="58" t="s">
        <v>23821</v>
      </c>
      <c r="CY2614" s="58" t="s">
        <v>23822</v>
      </c>
      <c r="CZ2614" s="58">
        <v>2024.0</v>
      </c>
      <c r="DA2614" s="58" t="s">
        <v>16538</v>
      </c>
      <c r="DF2614" s="58">
        <v>0.0</v>
      </c>
      <c r="DG2614" s="58" t="s">
        <v>23823</v>
      </c>
      <c r="DH2614" s="58" t="s">
        <v>22588</v>
      </c>
      <c r="DJ2614" s="58" t="s">
        <v>237</v>
      </c>
      <c r="DK2614" s="58" t="s">
        <v>23824</v>
      </c>
      <c r="DL2614" s="58" t="s">
        <v>23825</v>
      </c>
    </row>
    <row r="2615" ht="15.75" customHeight="1">
      <c r="B2615" s="58" t="s">
        <v>22515</v>
      </c>
      <c r="D2615" s="58" t="s">
        <v>23826</v>
      </c>
      <c r="E2615" s="58" t="s">
        <v>23827</v>
      </c>
      <c r="I2615" s="58" t="s">
        <v>23828</v>
      </c>
      <c r="Q2615" s="58">
        <v>8.0</v>
      </c>
      <c r="R2615" s="58">
        <v>80.0</v>
      </c>
      <c r="CL2615" s="58" t="s">
        <v>23829</v>
      </c>
      <c r="CP2615" s="58" t="s">
        <v>23830</v>
      </c>
      <c r="CX2615" s="58" t="s">
        <v>23831</v>
      </c>
      <c r="CY2615" s="58" t="s">
        <v>23832</v>
      </c>
      <c r="CZ2615" s="58">
        <v>2024.0</v>
      </c>
      <c r="DA2615" s="58" t="s">
        <v>22535</v>
      </c>
      <c r="DC2615" s="58">
        <v>10552.0</v>
      </c>
      <c r="DD2615" s="58">
        <v>10583.0</v>
      </c>
      <c r="DE2615" s="58">
        <v>31.0</v>
      </c>
      <c r="DF2615" s="58">
        <v>0.0</v>
      </c>
      <c r="DG2615" s="58" t="s">
        <v>23833</v>
      </c>
      <c r="DH2615" s="58" t="s">
        <v>22525</v>
      </c>
      <c r="DJ2615" s="58" t="s">
        <v>237</v>
      </c>
      <c r="DK2615" s="58" t="s">
        <v>23834</v>
      </c>
      <c r="DL2615" s="58" t="s">
        <v>23835</v>
      </c>
    </row>
    <row r="2616" ht="15.75" customHeight="1">
      <c r="B2616" s="58" t="s">
        <v>22515</v>
      </c>
      <c r="D2616" s="58" t="s">
        <v>23836</v>
      </c>
      <c r="E2616" s="58" t="s">
        <v>23837</v>
      </c>
      <c r="I2616" s="58" t="s">
        <v>23838</v>
      </c>
      <c r="R2616" s="58">
        <v>50.0</v>
      </c>
      <c r="CL2616" s="58" t="s">
        <v>23839</v>
      </c>
      <c r="CP2616" s="58" t="s">
        <v>23840</v>
      </c>
      <c r="CX2616" s="58" t="s">
        <v>23841</v>
      </c>
      <c r="CY2616" s="58" t="s">
        <v>23842</v>
      </c>
      <c r="CZ2616" s="58">
        <v>2024.0</v>
      </c>
      <c r="DA2616" s="58" t="s">
        <v>23843</v>
      </c>
      <c r="DC2616" s="58">
        <v>893.0</v>
      </c>
      <c r="DD2616" s="58">
        <v>909.0</v>
      </c>
      <c r="DE2616" s="58">
        <v>16.0</v>
      </c>
      <c r="DF2616" s="58">
        <v>17.0</v>
      </c>
      <c r="DG2616" s="58" t="s">
        <v>23844</v>
      </c>
      <c r="DH2616" s="58" t="s">
        <v>22525</v>
      </c>
      <c r="DI2616" s="58" t="s">
        <v>22526</v>
      </c>
      <c r="DJ2616" s="58" t="s">
        <v>237</v>
      </c>
      <c r="DK2616" s="58" t="s">
        <v>23845</v>
      </c>
      <c r="DL2616" s="58" t="s">
        <v>23846</v>
      </c>
    </row>
    <row r="2617" ht="15.75" customHeight="1">
      <c r="B2617" s="58" t="s">
        <v>22515</v>
      </c>
      <c r="D2617" s="58" t="s">
        <v>23847</v>
      </c>
      <c r="E2617" s="58" t="s">
        <v>23848</v>
      </c>
      <c r="I2617" s="58" t="s">
        <v>23849</v>
      </c>
      <c r="Q2617" s="58">
        <v>2.0</v>
      </c>
      <c r="R2617" s="58">
        <v>35.0</v>
      </c>
      <c r="CL2617" s="58" t="s">
        <v>23850</v>
      </c>
      <c r="CP2617" s="58" t="s">
        <v>23851</v>
      </c>
      <c r="CX2617" s="58" t="s">
        <v>23852</v>
      </c>
      <c r="CY2617" s="58" t="s">
        <v>23853</v>
      </c>
      <c r="CZ2617" s="58">
        <v>2024.0</v>
      </c>
      <c r="DA2617" s="58" t="s">
        <v>17164</v>
      </c>
      <c r="DC2617" s="58">
        <v>280.0</v>
      </c>
      <c r="DD2617" s="58">
        <v>296.0</v>
      </c>
      <c r="DE2617" s="58">
        <v>16.0</v>
      </c>
      <c r="DF2617" s="58">
        <v>14.0</v>
      </c>
      <c r="DG2617" s="58" t="s">
        <v>23854</v>
      </c>
      <c r="DH2617" s="58" t="s">
        <v>22525</v>
      </c>
      <c r="DI2617" s="58" t="s">
        <v>22816</v>
      </c>
      <c r="DJ2617" s="58" t="s">
        <v>237</v>
      </c>
      <c r="DK2617" s="58" t="s">
        <v>23855</v>
      </c>
      <c r="DL2617" s="58" t="s">
        <v>23856</v>
      </c>
    </row>
    <row r="2618" ht="15.75" customHeight="1">
      <c r="B2618" s="58" t="s">
        <v>22515</v>
      </c>
      <c r="D2618" s="58" t="s">
        <v>23857</v>
      </c>
      <c r="E2618" s="58" t="s">
        <v>23858</v>
      </c>
      <c r="I2618" s="58" t="s">
        <v>23859</v>
      </c>
      <c r="CL2618" s="58" t="s">
        <v>23860</v>
      </c>
      <c r="CP2618" s="58" t="s">
        <v>23861</v>
      </c>
      <c r="CX2618" s="58" t="s">
        <v>23862</v>
      </c>
      <c r="CY2618" s="58" t="s">
        <v>23863</v>
      </c>
      <c r="CZ2618" s="58">
        <v>2024.0</v>
      </c>
      <c r="DA2618" s="58" t="s">
        <v>23314</v>
      </c>
      <c r="DF2618" s="58">
        <v>0.0</v>
      </c>
      <c r="DG2618" s="58" t="s">
        <v>23864</v>
      </c>
      <c r="DH2618" s="58" t="s">
        <v>22588</v>
      </c>
      <c r="DI2618" s="58" t="s">
        <v>22526</v>
      </c>
      <c r="DJ2618" s="58" t="s">
        <v>237</v>
      </c>
      <c r="DK2618" s="58" t="s">
        <v>23865</v>
      </c>
      <c r="DL2618" s="58" t="s">
        <v>23866</v>
      </c>
    </row>
    <row r="2619" ht="15.75" customHeight="1">
      <c r="B2619" s="58" t="s">
        <v>22515</v>
      </c>
      <c r="D2619" s="58" t="s">
        <v>23867</v>
      </c>
      <c r="E2619" s="58" t="s">
        <v>23868</v>
      </c>
      <c r="I2619" s="58" t="s">
        <v>23869</v>
      </c>
      <c r="Q2619" s="58">
        <v>4.0</v>
      </c>
      <c r="R2619" s="58">
        <v>70.0</v>
      </c>
      <c r="CL2619" s="58" t="s">
        <v>23870</v>
      </c>
      <c r="CP2619" s="58" t="s">
        <v>23871</v>
      </c>
      <c r="CX2619" s="58" t="s">
        <v>23872</v>
      </c>
      <c r="CY2619" s="58" t="s">
        <v>23873</v>
      </c>
      <c r="CZ2619" s="58">
        <v>2024.0</v>
      </c>
      <c r="DA2619" s="58" t="s">
        <v>23874</v>
      </c>
      <c r="DC2619" s="58">
        <v>1089.0</v>
      </c>
      <c r="DD2619" s="58">
        <v>1098.0</v>
      </c>
      <c r="DE2619" s="58">
        <v>9.0</v>
      </c>
      <c r="DF2619" s="58">
        <v>0.0</v>
      </c>
      <c r="DG2619" s="58" t="s">
        <v>23875</v>
      </c>
      <c r="DH2619" s="58" t="s">
        <v>22525</v>
      </c>
      <c r="DI2619" s="58" t="s">
        <v>22622</v>
      </c>
      <c r="DJ2619" s="58" t="s">
        <v>237</v>
      </c>
      <c r="DK2619" s="58" t="s">
        <v>23876</v>
      </c>
      <c r="DL2619" s="58" t="s">
        <v>23877</v>
      </c>
    </row>
    <row r="2620" ht="15.75" customHeight="1">
      <c r="B2620" s="58" t="s">
        <v>22515</v>
      </c>
      <c r="D2620" s="58" t="s">
        <v>23878</v>
      </c>
      <c r="E2620" s="58" t="s">
        <v>23879</v>
      </c>
      <c r="I2620" s="58" t="s">
        <v>23880</v>
      </c>
      <c r="CL2620" s="58" t="s">
        <v>23881</v>
      </c>
      <c r="CX2620" s="58" t="s">
        <v>23882</v>
      </c>
      <c r="CY2620" s="58" t="s">
        <v>23883</v>
      </c>
      <c r="CZ2620" s="58">
        <v>2024.0</v>
      </c>
      <c r="DA2620" s="58" t="s">
        <v>18334</v>
      </c>
      <c r="DF2620" s="58">
        <v>1.0</v>
      </c>
      <c r="DG2620" s="58" t="s">
        <v>23884</v>
      </c>
      <c r="DH2620" s="58" t="s">
        <v>22588</v>
      </c>
      <c r="DJ2620" s="58" t="s">
        <v>237</v>
      </c>
      <c r="DK2620" s="58" t="s">
        <v>23885</v>
      </c>
      <c r="DL2620" s="58" t="s">
        <v>23886</v>
      </c>
    </row>
    <row r="2621" ht="15.75" customHeight="1">
      <c r="B2621" s="58" t="s">
        <v>22515</v>
      </c>
      <c r="D2621" s="58" t="s">
        <v>23887</v>
      </c>
      <c r="E2621" s="58" t="s">
        <v>23888</v>
      </c>
      <c r="I2621" s="58" t="s">
        <v>23889</v>
      </c>
      <c r="CL2621" s="58" t="s">
        <v>23890</v>
      </c>
      <c r="CP2621" s="58" t="s">
        <v>23891</v>
      </c>
      <c r="CX2621" s="58" t="s">
        <v>23892</v>
      </c>
      <c r="CY2621" s="58" t="s">
        <v>23893</v>
      </c>
      <c r="CZ2621" s="58">
        <v>2024.0</v>
      </c>
      <c r="DA2621" s="58" t="s">
        <v>16538</v>
      </c>
      <c r="DF2621" s="58">
        <v>1.0</v>
      </c>
      <c r="DG2621" s="58" t="s">
        <v>23894</v>
      </c>
      <c r="DH2621" s="58" t="s">
        <v>22588</v>
      </c>
      <c r="DJ2621" s="58" t="s">
        <v>237</v>
      </c>
      <c r="DK2621" s="58" t="s">
        <v>23895</v>
      </c>
      <c r="DL2621" s="58" t="s">
        <v>23896</v>
      </c>
    </row>
    <row r="2622" ht="15.75" customHeight="1">
      <c r="B2622" s="58" t="s">
        <v>22771</v>
      </c>
      <c r="D2622" s="58" t="s">
        <v>23897</v>
      </c>
      <c r="E2622" s="58" t="s">
        <v>23898</v>
      </c>
      <c r="I2622" s="58" t="s">
        <v>23899</v>
      </c>
      <c r="R2622" s="58" t="s">
        <v>23900</v>
      </c>
      <c r="CL2622" s="58" t="s">
        <v>23901</v>
      </c>
      <c r="CP2622" s="58" t="s">
        <v>23902</v>
      </c>
      <c r="CX2622" s="58" t="s">
        <v>23903</v>
      </c>
      <c r="CY2622" s="58" t="s">
        <v>23904</v>
      </c>
      <c r="CZ2622" s="58">
        <v>2024.0</v>
      </c>
      <c r="DA2622" s="58" t="s">
        <v>23905</v>
      </c>
      <c r="DC2622" s="58">
        <v>414.0</v>
      </c>
      <c r="DD2622" s="58">
        <v>438.0</v>
      </c>
      <c r="DE2622" s="58">
        <v>24.0</v>
      </c>
      <c r="DF2622" s="58">
        <v>0.0</v>
      </c>
      <c r="DG2622" s="58" t="s">
        <v>23906</v>
      </c>
      <c r="DH2622" s="58" t="s">
        <v>22525</v>
      </c>
      <c r="DJ2622" s="58" t="s">
        <v>237</v>
      </c>
      <c r="DK2622" s="58" t="s">
        <v>23907</v>
      </c>
      <c r="DL2622" s="58" t="s">
        <v>23908</v>
      </c>
    </row>
    <row r="2623" ht="15.75" customHeight="1">
      <c r="B2623" s="58" t="s">
        <v>22515</v>
      </c>
      <c r="D2623" s="58" t="s">
        <v>23909</v>
      </c>
      <c r="E2623" s="58" t="s">
        <v>23910</v>
      </c>
      <c r="I2623" s="58" t="s">
        <v>23911</v>
      </c>
      <c r="R2623" s="58">
        <v>25.0</v>
      </c>
      <c r="CL2623" s="58" t="s">
        <v>23912</v>
      </c>
      <c r="CP2623" s="58" t="s">
        <v>23913</v>
      </c>
      <c r="CX2623" s="58" t="s">
        <v>23914</v>
      </c>
      <c r="CY2623" s="58" t="s">
        <v>23915</v>
      </c>
      <c r="CZ2623" s="58">
        <v>2024.0</v>
      </c>
      <c r="DA2623" s="58" t="s">
        <v>23574</v>
      </c>
      <c r="DB2623" s="58">
        <v>101143.0</v>
      </c>
      <c r="DF2623" s="58">
        <v>7.0</v>
      </c>
      <c r="DG2623" s="58" t="s">
        <v>23916</v>
      </c>
      <c r="DH2623" s="58" t="s">
        <v>22525</v>
      </c>
      <c r="DJ2623" s="58" t="s">
        <v>237</v>
      </c>
      <c r="DK2623" s="58" t="s">
        <v>23917</v>
      </c>
    </row>
    <row r="2624" ht="15.75" customHeight="1">
      <c r="B2624" s="58" t="s">
        <v>22515</v>
      </c>
      <c r="D2624" s="58" t="s">
        <v>23918</v>
      </c>
      <c r="E2624" s="58" t="s">
        <v>23919</v>
      </c>
      <c r="I2624" s="58" t="s">
        <v>23920</v>
      </c>
      <c r="CL2624" s="58" t="s">
        <v>23921</v>
      </c>
      <c r="CP2624" s="58" t="s">
        <v>23922</v>
      </c>
      <c r="CX2624" s="58" t="s">
        <v>23923</v>
      </c>
      <c r="CY2624" s="58" t="s">
        <v>23924</v>
      </c>
      <c r="CZ2624" s="58">
        <v>2024.0</v>
      </c>
      <c r="DA2624" s="58" t="s">
        <v>23760</v>
      </c>
      <c r="DF2624" s="58">
        <v>6.0</v>
      </c>
      <c r="DG2624" s="58" t="s">
        <v>23925</v>
      </c>
      <c r="DH2624" s="58" t="s">
        <v>22588</v>
      </c>
      <c r="DI2624" s="58" t="s">
        <v>22816</v>
      </c>
      <c r="DJ2624" s="58" t="s">
        <v>237</v>
      </c>
      <c r="DK2624" s="58" t="s">
        <v>23926</v>
      </c>
      <c r="DL2624" s="58" t="s">
        <v>23927</v>
      </c>
    </row>
    <row r="2625" ht="15.75" customHeight="1">
      <c r="B2625" s="58" t="s">
        <v>22515</v>
      </c>
      <c r="D2625" s="58" t="s">
        <v>23928</v>
      </c>
      <c r="E2625" s="58" t="s">
        <v>23929</v>
      </c>
      <c r="I2625" s="58" t="s">
        <v>23930</v>
      </c>
      <c r="Q2625" s="58">
        <v>3.0</v>
      </c>
      <c r="R2625" s="58">
        <v>24.0</v>
      </c>
      <c r="CL2625" s="58" t="s">
        <v>23931</v>
      </c>
      <c r="CP2625" s="58" t="s">
        <v>23932</v>
      </c>
      <c r="CX2625" s="58" t="s">
        <v>23933</v>
      </c>
      <c r="CY2625" s="58" t="s">
        <v>23934</v>
      </c>
      <c r="CZ2625" s="58">
        <v>2024.0</v>
      </c>
      <c r="DA2625" s="58" t="s">
        <v>22802</v>
      </c>
      <c r="DB2625" s="58">
        <v>968.0</v>
      </c>
      <c r="DF2625" s="58">
        <v>20.0</v>
      </c>
      <c r="DG2625" s="58" t="s">
        <v>23935</v>
      </c>
      <c r="DH2625" s="58" t="s">
        <v>22525</v>
      </c>
      <c r="DI2625" s="58" t="s">
        <v>22643</v>
      </c>
      <c r="DJ2625" s="58" t="s">
        <v>237</v>
      </c>
      <c r="DK2625" s="58" t="s">
        <v>23936</v>
      </c>
      <c r="DL2625" s="58" t="s">
        <v>23937</v>
      </c>
    </row>
    <row r="2626" ht="15.75" customHeight="1">
      <c r="B2626" s="58" t="s">
        <v>22515</v>
      </c>
      <c r="D2626" s="58" t="s">
        <v>23938</v>
      </c>
      <c r="E2626" s="58" t="s">
        <v>23939</v>
      </c>
      <c r="I2626" s="58" t="s">
        <v>23940</v>
      </c>
      <c r="Q2626" s="58">
        <v>3.0</v>
      </c>
      <c r="R2626" s="58">
        <v>11.0</v>
      </c>
      <c r="CL2626" s="58" t="s">
        <v>23941</v>
      </c>
      <c r="CP2626" s="58" t="s">
        <v>23942</v>
      </c>
      <c r="CX2626" s="58" t="s">
        <v>23943</v>
      </c>
      <c r="CY2626" s="58" t="s">
        <v>23944</v>
      </c>
      <c r="CZ2626" s="58">
        <v>2024.0</v>
      </c>
      <c r="DA2626" s="58" t="s">
        <v>23945</v>
      </c>
      <c r="DC2626" s="58">
        <v>160.0</v>
      </c>
      <c r="DD2626" s="58">
        <v>175.0</v>
      </c>
      <c r="DE2626" s="58">
        <v>15.0</v>
      </c>
      <c r="DF2626" s="58">
        <v>1.0</v>
      </c>
      <c r="DG2626" s="58" t="s">
        <v>23946</v>
      </c>
      <c r="DH2626" s="58" t="s">
        <v>22525</v>
      </c>
      <c r="DI2626" s="58" t="s">
        <v>22622</v>
      </c>
      <c r="DJ2626" s="58" t="s">
        <v>237</v>
      </c>
      <c r="DK2626" s="58" t="s">
        <v>23947</v>
      </c>
    </row>
    <row r="2627" ht="15.75" customHeight="1">
      <c r="B2627" s="58" t="s">
        <v>22771</v>
      </c>
      <c r="D2627" s="58" t="s">
        <v>23948</v>
      </c>
      <c r="E2627" s="58" t="s">
        <v>23949</v>
      </c>
      <c r="I2627" s="58" t="s">
        <v>23950</v>
      </c>
      <c r="CL2627" s="58" t="s">
        <v>23951</v>
      </c>
      <c r="CP2627" s="58" t="s">
        <v>23952</v>
      </c>
      <c r="CX2627" s="58" t="s">
        <v>23953</v>
      </c>
      <c r="CY2627" s="58" t="s">
        <v>23954</v>
      </c>
      <c r="CZ2627" s="58">
        <v>2024.0</v>
      </c>
      <c r="DA2627" s="58" t="s">
        <v>23955</v>
      </c>
      <c r="DC2627" s="58">
        <v>942.0</v>
      </c>
      <c r="DD2627" s="58">
        <v>961.0</v>
      </c>
      <c r="DE2627" s="58">
        <v>19.0</v>
      </c>
      <c r="DF2627" s="58">
        <v>0.0</v>
      </c>
      <c r="DG2627" s="58" t="s">
        <v>23956</v>
      </c>
      <c r="DH2627" s="58" t="s">
        <v>22525</v>
      </c>
      <c r="DJ2627" s="58" t="s">
        <v>237</v>
      </c>
      <c r="DK2627" s="58" t="s">
        <v>23957</v>
      </c>
      <c r="DL2627" s="58" t="s">
        <v>23958</v>
      </c>
    </row>
    <row r="2628" ht="15.75" customHeight="1">
      <c r="B2628" s="58" t="s">
        <v>22515</v>
      </c>
      <c r="D2628" s="58" t="s">
        <v>23959</v>
      </c>
      <c r="E2628" s="58" t="s">
        <v>23960</v>
      </c>
      <c r="I2628" s="58" t="s">
        <v>23961</v>
      </c>
      <c r="Q2628" s="58">
        <v>2.0</v>
      </c>
      <c r="R2628" s="58">
        <v>11.0</v>
      </c>
      <c r="CL2628" s="58" t="s">
        <v>23962</v>
      </c>
      <c r="CP2628" s="58" t="s">
        <v>23963</v>
      </c>
      <c r="CX2628" s="58" t="s">
        <v>23964</v>
      </c>
      <c r="CY2628" s="58" t="s">
        <v>23965</v>
      </c>
      <c r="CZ2628" s="58">
        <v>2024.0</v>
      </c>
      <c r="DA2628" s="58" t="s">
        <v>16538</v>
      </c>
      <c r="DC2628" s="58">
        <v>2364.0</v>
      </c>
      <c r="DD2628" s="58">
        <v>2381.0</v>
      </c>
      <c r="DE2628" s="58">
        <v>17.0</v>
      </c>
      <c r="DF2628" s="58">
        <v>3.0</v>
      </c>
      <c r="DG2628" s="58" t="s">
        <v>23966</v>
      </c>
      <c r="DH2628" s="58" t="s">
        <v>22525</v>
      </c>
      <c r="DJ2628" s="58" t="s">
        <v>237</v>
      </c>
      <c r="DK2628" s="58" t="s">
        <v>23967</v>
      </c>
      <c r="DL2628" s="58" t="s">
        <v>23968</v>
      </c>
    </row>
    <row r="2629" ht="15.75" customHeight="1">
      <c r="B2629" s="58" t="s">
        <v>22515</v>
      </c>
      <c r="D2629" s="58" t="s">
        <v>23969</v>
      </c>
      <c r="E2629" s="58" t="s">
        <v>23970</v>
      </c>
      <c r="I2629" s="58" t="s">
        <v>23971</v>
      </c>
      <c r="CL2629" s="58" t="s">
        <v>23972</v>
      </c>
      <c r="CP2629" s="58" t="s">
        <v>23973</v>
      </c>
      <c r="CX2629" s="58" t="s">
        <v>23974</v>
      </c>
      <c r="CY2629" s="58" t="s">
        <v>23975</v>
      </c>
      <c r="CZ2629" s="58">
        <v>2024.0</v>
      </c>
      <c r="DA2629" s="58" t="s">
        <v>23462</v>
      </c>
      <c r="DF2629" s="58">
        <v>0.0</v>
      </c>
      <c r="DG2629" s="58" t="s">
        <v>23976</v>
      </c>
      <c r="DH2629" s="58" t="s">
        <v>22588</v>
      </c>
      <c r="DJ2629" s="58" t="s">
        <v>237</v>
      </c>
      <c r="DK2629" s="58" t="s">
        <v>23977</v>
      </c>
      <c r="DL2629" s="58" t="s">
        <v>23978</v>
      </c>
    </row>
    <row r="2630" ht="15.75" customHeight="1">
      <c r="B2630" s="58" t="s">
        <v>22515</v>
      </c>
      <c r="D2630" s="58" t="s">
        <v>23979</v>
      </c>
      <c r="E2630" s="58" t="s">
        <v>23980</v>
      </c>
      <c r="I2630" s="58" t="s">
        <v>23981</v>
      </c>
      <c r="Q2630" s="58">
        <v>2.0</v>
      </c>
      <c r="R2630" s="58">
        <v>14.0</v>
      </c>
      <c r="CL2630" s="58" t="s">
        <v>23982</v>
      </c>
      <c r="CP2630" s="58" t="s">
        <v>23983</v>
      </c>
      <c r="CX2630" s="58" t="s">
        <v>23984</v>
      </c>
      <c r="CY2630" s="58" t="s">
        <v>23985</v>
      </c>
      <c r="CZ2630" s="58">
        <v>2024.0</v>
      </c>
      <c r="DA2630" s="58" t="s">
        <v>23986</v>
      </c>
      <c r="DC2630" s="58">
        <v>2262.0</v>
      </c>
      <c r="DD2630" s="58">
        <v>2273.0</v>
      </c>
      <c r="DE2630" s="58">
        <v>11.0</v>
      </c>
      <c r="DF2630" s="58">
        <v>2.0</v>
      </c>
      <c r="DG2630" s="58" t="s">
        <v>23987</v>
      </c>
      <c r="DH2630" s="58" t="s">
        <v>22525</v>
      </c>
      <c r="DI2630" s="58" t="s">
        <v>22622</v>
      </c>
      <c r="DJ2630" s="58" t="s">
        <v>237</v>
      </c>
      <c r="DK2630" s="58" t="s">
        <v>23988</v>
      </c>
    </row>
    <row r="2631" ht="15.75" customHeight="1">
      <c r="B2631" s="58" t="s">
        <v>22515</v>
      </c>
      <c r="D2631" s="58" t="s">
        <v>23989</v>
      </c>
      <c r="E2631" s="58" t="s">
        <v>23990</v>
      </c>
      <c r="I2631" s="58" t="s">
        <v>23991</v>
      </c>
      <c r="R2631" s="58">
        <v>132.0</v>
      </c>
      <c r="CL2631" s="58" t="s">
        <v>23992</v>
      </c>
      <c r="CP2631" s="58" t="s">
        <v>23993</v>
      </c>
      <c r="CX2631" s="58" t="s">
        <v>23994</v>
      </c>
      <c r="CY2631" s="58" t="s">
        <v>23995</v>
      </c>
      <c r="CZ2631" s="58">
        <v>2024.0</v>
      </c>
      <c r="DA2631" s="58" t="s">
        <v>23996</v>
      </c>
      <c r="DB2631" s="58">
        <v>107479.0</v>
      </c>
      <c r="DF2631" s="58">
        <v>13.0</v>
      </c>
      <c r="DG2631" s="58" t="s">
        <v>23997</v>
      </c>
      <c r="DH2631" s="58" t="s">
        <v>22525</v>
      </c>
      <c r="DJ2631" s="58" t="s">
        <v>237</v>
      </c>
      <c r="DK2631" s="58" t="s">
        <v>23998</v>
      </c>
      <c r="DL2631" s="58" t="s">
        <v>23999</v>
      </c>
    </row>
    <row r="2632" ht="15.75" customHeight="1">
      <c r="B2632" s="58" t="s">
        <v>22515</v>
      </c>
      <c r="D2632" s="58" t="s">
        <v>24000</v>
      </c>
      <c r="E2632" s="58" t="s">
        <v>24001</v>
      </c>
      <c r="I2632" s="58" t="s">
        <v>24002</v>
      </c>
      <c r="Q2632" s="58">
        <v>12.0</v>
      </c>
      <c r="R2632" s="58">
        <v>36.0</v>
      </c>
      <c r="CL2632" s="58" t="s">
        <v>24003</v>
      </c>
      <c r="CP2632" s="58" t="s">
        <v>24004</v>
      </c>
      <c r="CX2632" s="58" t="s">
        <v>24005</v>
      </c>
      <c r="CY2632" s="58" t="s">
        <v>24006</v>
      </c>
      <c r="CZ2632" s="58">
        <v>2024.0</v>
      </c>
      <c r="DA2632" s="58" t="s">
        <v>24007</v>
      </c>
      <c r="DB2632" s="58" t="s">
        <v>24008</v>
      </c>
      <c r="DF2632" s="58">
        <v>0.0</v>
      </c>
      <c r="DG2632" s="58" t="s">
        <v>24009</v>
      </c>
      <c r="DH2632" s="58" t="s">
        <v>22525</v>
      </c>
      <c r="DJ2632" s="58" t="s">
        <v>237</v>
      </c>
      <c r="DK2632" s="58" t="s">
        <v>24010</v>
      </c>
      <c r="DL2632" s="58" t="s">
        <v>24011</v>
      </c>
    </row>
    <row r="2633" ht="15.75" customHeight="1">
      <c r="B2633" s="58" t="s">
        <v>22515</v>
      </c>
      <c r="D2633" s="58" t="s">
        <v>24012</v>
      </c>
      <c r="E2633" s="58" t="s">
        <v>24013</v>
      </c>
      <c r="I2633" s="58" t="s">
        <v>24014</v>
      </c>
      <c r="Q2633" s="58">
        <v>2.0</v>
      </c>
      <c r="R2633" s="58">
        <v>32.0</v>
      </c>
      <c r="CL2633" s="58" t="s">
        <v>24015</v>
      </c>
      <c r="CP2633" s="58" t="s">
        <v>24016</v>
      </c>
      <c r="CX2633" s="58" t="s">
        <v>24017</v>
      </c>
      <c r="CY2633" s="58" t="s">
        <v>24018</v>
      </c>
      <c r="CZ2633" s="58">
        <v>2024.0</v>
      </c>
      <c r="DA2633" s="58" t="s">
        <v>24019</v>
      </c>
      <c r="DC2633" s="58">
        <v>1391.0</v>
      </c>
      <c r="DD2633" s="58">
        <v>1406.0</v>
      </c>
      <c r="DE2633" s="58">
        <v>15.0</v>
      </c>
      <c r="DF2633" s="58">
        <v>2.0</v>
      </c>
      <c r="DG2633" s="58" t="s">
        <v>24020</v>
      </c>
      <c r="DH2633" s="58" t="s">
        <v>22525</v>
      </c>
      <c r="DJ2633" s="58" t="s">
        <v>237</v>
      </c>
      <c r="DK2633" s="58" t="s">
        <v>24021</v>
      </c>
      <c r="DL2633" s="58" t="s">
        <v>24022</v>
      </c>
    </row>
    <row r="2634" ht="15.75" customHeight="1">
      <c r="B2634" s="58" t="s">
        <v>22515</v>
      </c>
      <c r="D2634" s="58" t="s">
        <v>24023</v>
      </c>
      <c r="E2634" s="58" t="s">
        <v>24024</v>
      </c>
      <c r="I2634" s="58" t="s">
        <v>24025</v>
      </c>
      <c r="R2634" s="58">
        <v>26.0</v>
      </c>
      <c r="CL2634" s="58" t="s">
        <v>24026</v>
      </c>
      <c r="CP2634" s="58" t="s">
        <v>24027</v>
      </c>
      <c r="CX2634" s="58" t="s">
        <v>24028</v>
      </c>
      <c r="CY2634" s="58" t="s">
        <v>24029</v>
      </c>
      <c r="CZ2634" s="58">
        <v>2024.0</v>
      </c>
      <c r="DA2634" s="58" t="s">
        <v>23574</v>
      </c>
      <c r="DB2634" s="58">
        <v>101175.0</v>
      </c>
      <c r="DF2634" s="58">
        <v>5.0</v>
      </c>
      <c r="DG2634" s="58" t="s">
        <v>24030</v>
      </c>
      <c r="DH2634" s="58" t="s">
        <v>22525</v>
      </c>
      <c r="DJ2634" s="58" t="s">
        <v>237</v>
      </c>
      <c r="DK2634" s="58" t="s">
        <v>24031</v>
      </c>
    </row>
    <row r="2635" ht="15.75" customHeight="1">
      <c r="B2635" s="58" t="s">
        <v>22515</v>
      </c>
      <c r="D2635" s="58" t="s">
        <v>24032</v>
      </c>
      <c r="E2635" s="58" t="s">
        <v>24033</v>
      </c>
      <c r="I2635" s="58" t="s">
        <v>24034</v>
      </c>
      <c r="Q2635" s="58">
        <v>10.0</v>
      </c>
      <c r="R2635" s="58">
        <v>11.0</v>
      </c>
      <c r="CL2635" s="58" t="s">
        <v>24035</v>
      </c>
      <c r="CP2635" s="58" t="s">
        <v>24036</v>
      </c>
      <c r="CX2635" s="58" t="s">
        <v>24037</v>
      </c>
      <c r="CY2635" s="58" t="s">
        <v>24038</v>
      </c>
      <c r="CZ2635" s="58">
        <v>2024.0</v>
      </c>
      <c r="DA2635" s="58" t="s">
        <v>16538</v>
      </c>
      <c r="DC2635" s="58">
        <v>18035.0</v>
      </c>
      <c r="DD2635" s="58">
        <v>18046.0</v>
      </c>
      <c r="DE2635" s="58">
        <v>11.0</v>
      </c>
      <c r="DF2635" s="58">
        <v>10.0</v>
      </c>
      <c r="DG2635" s="58" t="s">
        <v>24039</v>
      </c>
      <c r="DH2635" s="58" t="s">
        <v>22525</v>
      </c>
      <c r="DJ2635" s="58" t="s">
        <v>237</v>
      </c>
      <c r="DK2635" s="58" t="s">
        <v>24040</v>
      </c>
      <c r="DL2635" s="58" t="s">
        <v>24041</v>
      </c>
    </row>
    <row r="2636" ht="15.75" customHeight="1">
      <c r="B2636" s="58" t="s">
        <v>22515</v>
      </c>
      <c r="D2636" s="58" t="s">
        <v>24042</v>
      </c>
      <c r="E2636" s="58" t="s">
        <v>24043</v>
      </c>
      <c r="I2636" s="58" t="s">
        <v>24044</v>
      </c>
      <c r="Q2636" s="58">
        <v>6.0</v>
      </c>
      <c r="R2636" s="58">
        <v>15.0</v>
      </c>
      <c r="CL2636" s="58" t="s">
        <v>24045</v>
      </c>
      <c r="CP2636" s="58" t="s">
        <v>24046</v>
      </c>
      <c r="CX2636" s="58" t="s">
        <v>24047</v>
      </c>
      <c r="CY2636" s="58" t="s">
        <v>24048</v>
      </c>
      <c r="CZ2636" s="58">
        <v>2024.0</v>
      </c>
      <c r="DA2636" s="58" t="s">
        <v>24049</v>
      </c>
      <c r="DC2636" s="58">
        <v>499.0</v>
      </c>
      <c r="DD2636" s="58">
        <v>513.0</v>
      </c>
      <c r="DE2636" s="58">
        <v>14.0</v>
      </c>
      <c r="DF2636" s="58">
        <v>0.0</v>
      </c>
      <c r="DG2636" s="58" t="s">
        <v>24050</v>
      </c>
      <c r="DH2636" s="58" t="s">
        <v>22525</v>
      </c>
      <c r="DJ2636" s="58" t="s">
        <v>237</v>
      </c>
      <c r="DK2636" s="58" t="s">
        <v>24051</v>
      </c>
      <c r="DL2636" s="58" t="s">
        <v>24052</v>
      </c>
    </row>
    <row r="2637" ht="15.75" customHeight="1">
      <c r="B2637" s="58" t="s">
        <v>22515</v>
      </c>
      <c r="D2637" s="58" t="s">
        <v>24053</v>
      </c>
      <c r="E2637" s="58" t="s">
        <v>24054</v>
      </c>
      <c r="I2637" s="58" t="s">
        <v>24055</v>
      </c>
      <c r="Q2637" s="58">
        <v>5.0</v>
      </c>
      <c r="R2637" s="58">
        <v>29.0</v>
      </c>
      <c r="CL2637" s="58" t="s">
        <v>24056</v>
      </c>
      <c r="CP2637" s="58" t="s">
        <v>24057</v>
      </c>
      <c r="CX2637" s="58" t="s">
        <v>24058</v>
      </c>
      <c r="CY2637" s="58" t="s">
        <v>24059</v>
      </c>
      <c r="CZ2637" s="58">
        <v>2024.0</v>
      </c>
      <c r="DA2637" s="58" t="s">
        <v>24060</v>
      </c>
      <c r="DB2637" s="58">
        <v>54.0</v>
      </c>
      <c r="DF2637" s="58">
        <v>14.0</v>
      </c>
      <c r="DG2637" s="58" t="s">
        <v>24061</v>
      </c>
      <c r="DH2637" s="58" t="s">
        <v>22525</v>
      </c>
      <c r="DI2637" s="58" t="s">
        <v>22656</v>
      </c>
      <c r="DJ2637" s="58" t="s">
        <v>237</v>
      </c>
      <c r="DK2637" s="58" t="s">
        <v>24062</v>
      </c>
      <c r="DL2637" s="58" t="s">
        <v>24063</v>
      </c>
    </row>
    <row r="2638" ht="15.75" customHeight="1">
      <c r="B2638" s="58" t="s">
        <v>22515</v>
      </c>
      <c r="D2638" s="58" t="s">
        <v>24064</v>
      </c>
      <c r="E2638" s="58" t="s">
        <v>24065</v>
      </c>
      <c r="I2638" s="58" t="s">
        <v>24066</v>
      </c>
      <c r="Q2638" s="58">
        <v>2.0</v>
      </c>
      <c r="R2638" s="58">
        <v>32.0</v>
      </c>
      <c r="CL2638" s="58" t="s">
        <v>24067</v>
      </c>
      <c r="CP2638" s="58" t="s">
        <v>24068</v>
      </c>
      <c r="CX2638" s="58" t="s">
        <v>24069</v>
      </c>
      <c r="CY2638" s="58" t="s">
        <v>24070</v>
      </c>
      <c r="CZ2638" s="58">
        <v>2024.0</v>
      </c>
      <c r="DA2638" s="58" t="s">
        <v>24071</v>
      </c>
      <c r="DC2638" s="58">
        <v>567.0</v>
      </c>
      <c r="DD2638" s="58">
        <v>605.0</v>
      </c>
      <c r="DE2638" s="58">
        <v>38.0</v>
      </c>
      <c r="DF2638" s="58">
        <v>0.0</v>
      </c>
      <c r="DG2638" s="58" t="s">
        <v>24072</v>
      </c>
      <c r="DH2638" s="58" t="s">
        <v>22525</v>
      </c>
      <c r="DI2638" s="58" t="s">
        <v>23606</v>
      </c>
      <c r="DJ2638" s="58" t="s">
        <v>237</v>
      </c>
      <c r="DK2638" s="58" t="s">
        <v>24073</v>
      </c>
      <c r="DL2638" s="58" t="s">
        <v>24074</v>
      </c>
    </row>
    <row r="2639" ht="15.75" customHeight="1">
      <c r="B2639" s="58" t="s">
        <v>22515</v>
      </c>
      <c r="D2639" s="58" t="s">
        <v>24075</v>
      </c>
      <c r="E2639" s="58" t="s">
        <v>24076</v>
      </c>
      <c r="I2639" s="58" t="s">
        <v>24077</v>
      </c>
      <c r="Q2639" s="58">
        <v>4.0</v>
      </c>
      <c r="R2639" s="58">
        <v>2024.0</v>
      </c>
      <c r="CL2639" s="58" t="s">
        <v>24078</v>
      </c>
      <c r="CP2639" s="58" t="s">
        <v>24079</v>
      </c>
      <c r="CX2639" s="58" t="s">
        <v>24080</v>
      </c>
      <c r="CY2639" s="58" t="s">
        <v>24081</v>
      </c>
      <c r="CZ2639" s="58">
        <v>2024.0</v>
      </c>
      <c r="DA2639" s="58" t="s">
        <v>24082</v>
      </c>
      <c r="DC2639" s="58">
        <v>108.0</v>
      </c>
      <c r="DD2639" s="58">
        <v>118.0</v>
      </c>
      <c r="DE2639" s="58">
        <v>10.0</v>
      </c>
      <c r="DF2639" s="58">
        <v>0.0</v>
      </c>
      <c r="DG2639" s="58" t="s">
        <v>24083</v>
      </c>
      <c r="DH2639" s="58" t="s">
        <v>22525</v>
      </c>
      <c r="DJ2639" s="58" t="s">
        <v>237</v>
      </c>
      <c r="DK2639" s="58" t="s">
        <v>24084</v>
      </c>
      <c r="DL2639" s="58" t="s">
        <v>24085</v>
      </c>
    </row>
    <row r="2640" ht="15.75" customHeight="1">
      <c r="B2640" s="58" t="s">
        <v>22515</v>
      </c>
      <c r="D2640" s="58" t="s">
        <v>24086</v>
      </c>
      <c r="E2640" s="58" t="s">
        <v>24087</v>
      </c>
      <c r="I2640" s="58" t="s">
        <v>24088</v>
      </c>
      <c r="R2640" s="58">
        <v>12.0</v>
      </c>
      <c r="CL2640" s="58" t="s">
        <v>24089</v>
      </c>
      <c r="CP2640" s="58" t="s">
        <v>24090</v>
      </c>
      <c r="CX2640" s="58" t="s">
        <v>24091</v>
      </c>
      <c r="CY2640" s="58" t="s">
        <v>24092</v>
      </c>
      <c r="CZ2640" s="58">
        <v>2024.0</v>
      </c>
      <c r="DA2640" s="58" t="s">
        <v>24093</v>
      </c>
      <c r="DC2640" s="58">
        <v>57.0</v>
      </c>
      <c r="DD2640" s="58">
        <v>71.0</v>
      </c>
      <c r="DE2640" s="58">
        <v>14.0</v>
      </c>
      <c r="DF2640" s="58">
        <v>5.0</v>
      </c>
      <c r="DG2640" s="58" t="s">
        <v>24094</v>
      </c>
      <c r="DH2640" s="58" t="s">
        <v>22525</v>
      </c>
      <c r="DI2640" s="58" t="s">
        <v>22622</v>
      </c>
      <c r="DJ2640" s="58" t="s">
        <v>237</v>
      </c>
      <c r="DK2640" s="58" t="s">
        <v>24095</v>
      </c>
      <c r="DL2640" s="58" t="s">
        <v>24096</v>
      </c>
    </row>
    <row r="2641" ht="15.75" customHeight="1">
      <c r="B2641" s="58" t="s">
        <v>22515</v>
      </c>
      <c r="D2641" s="58" t="s">
        <v>24097</v>
      </c>
      <c r="E2641" s="58" t="s">
        <v>24098</v>
      </c>
      <c r="I2641" s="58" t="s">
        <v>24099</v>
      </c>
      <c r="Q2641" s="58">
        <v>8.0</v>
      </c>
      <c r="R2641" s="58">
        <v>24.0</v>
      </c>
      <c r="CL2641" s="58" t="s">
        <v>24100</v>
      </c>
      <c r="CP2641" s="58" t="s">
        <v>24101</v>
      </c>
      <c r="CX2641" s="58" t="s">
        <v>24102</v>
      </c>
      <c r="CY2641" s="58" t="s">
        <v>24103</v>
      </c>
      <c r="CZ2641" s="58">
        <v>2024.0</v>
      </c>
      <c r="DA2641" s="58" t="s">
        <v>22802</v>
      </c>
      <c r="DB2641" s="58">
        <v>2435.0</v>
      </c>
      <c r="DF2641" s="58">
        <v>3.0</v>
      </c>
      <c r="DG2641" s="58" t="s">
        <v>24104</v>
      </c>
      <c r="DH2641" s="58" t="s">
        <v>22525</v>
      </c>
      <c r="DI2641" s="58" t="s">
        <v>22643</v>
      </c>
      <c r="DJ2641" s="58" t="s">
        <v>237</v>
      </c>
      <c r="DK2641" s="58" t="s">
        <v>24105</v>
      </c>
      <c r="DL2641" s="58" t="s">
        <v>24106</v>
      </c>
    </row>
    <row r="2642" ht="15.75" customHeight="1">
      <c r="B2642" s="58" t="s">
        <v>22515</v>
      </c>
      <c r="D2642" s="58" t="s">
        <v>24107</v>
      </c>
      <c r="E2642" s="58" t="s">
        <v>24108</v>
      </c>
      <c r="I2642" s="58" t="s">
        <v>24109</v>
      </c>
      <c r="R2642" s="58">
        <v>155.0</v>
      </c>
      <c r="CL2642" s="58" t="s">
        <v>24110</v>
      </c>
      <c r="CP2642" s="58" t="s">
        <v>24111</v>
      </c>
      <c r="CX2642" s="58" t="s">
        <v>24112</v>
      </c>
      <c r="CY2642" s="58" t="s">
        <v>24113</v>
      </c>
      <c r="CZ2642" s="58">
        <v>2024.0</v>
      </c>
      <c r="DA2642" s="58" t="s">
        <v>23116</v>
      </c>
      <c r="DC2642" s="58">
        <v>204.0</v>
      </c>
      <c r="DD2642" s="58">
        <v>218.0</v>
      </c>
      <c r="DE2642" s="58">
        <v>14.0</v>
      </c>
      <c r="DF2642" s="58">
        <v>4.0</v>
      </c>
      <c r="DG2642" s="58" t="s">
        <v>24114</v>
      </c>
      <c r="DH2642" s="58" t="s">
        <v>22525</v>
      </c>
      <c r="DI2642" s="58" t="s">
        <v>23606</v>
      </c>
      <c r="DJ2642" s="58" t="s">
        <v>237</v>
      </c>
      <c r="DK2642" s="58" t="s">
        <v>24115</v>
      </c>
      <c r="DL2642" s="58" t="s">
        <v>24116</v>
      </c>
    </row>
    <row r="2643" ht="15.75" customHeight="1">
      <c r="B2643" s="58" t="s">
        <v>22515</v>
      </c>
      <c r="D2643" s="58" t="s">
        <v>24117</v>
      </c>
      <c r="E2643" s="58" t="s">
        <v>24118</v>
      </c>
      <c r="I2643" s="58" t="s">
        <v>24119</v>
      </c>
      <c r="CL2643" s="58" t="s">
        <v>24120</v>
      </c>
      <c r="CP2643" s="58" t="s">
        <v>24121</v>
      </c>
      <c r="CX2643" s="58" t="s">
        <v>24122</v>
      </c>
      <c r="CY2643" s="58" t="s">
        <v>24123</v>
      </c>
      <c r="CZ2643" s="58">
        <v>2024.0</v>
      </c>
      <c r="DA2643" s="58" t="s">
        <v>17136</v>
      </c>
      <c r="DF2643" s="58">
        <v>0.0</v>
      </c>
      <c r="DG2643" s="58" t="s">
        <v>24124</v>
      </c>
      <c r="DH2643" s="58" t="s">
        <v>22588</v>
      </c>
      <c r="DJ2643" s="58" t="s">
        <v>237</v>
      </c>
      <c r="DK2643" s="58" t="s">
        <v>24125</v>
      </c>
      <c r="DL2643" s="58" t="s">
        <v>24126</v>
      </c>
    </row>
    <row r="2644" ht="15.75" customHeight="1">
      <c r="B2644" s="58" t="s">
        <v>22515</v>
      </c>
      <c r="D2644" s="58" t="s">
        <v>24127</v>
      </c>
      <c r="E2644" s="58" t="s">
        <v>24128</v>
      </c>
      <c r="I2644" s="58" t="s">
        <v>24129</v>
      </c>
      <c r="Q2644" s="58">
        <v>1.0</v>
      </c>
      <c r="R2644" s="58">
        <v>4.0</v>
      </c>
      <c r="CL2644" s="58" t="s">
        <v>24130</v>
      </c>
      <c r="CP2644" s="58" t="s">
        <v>24131</v>
      </c>
      <c r="CX2644" s="58" t="s">
        <v>24132</v>
      </c>
      <c r="CY2644" s="58" t="s">
        <v>24133</v>
      </c>
      <c r="CZ2644" s="58">
        <v>2024.0</v>
      </c>
      <c r="DA2644" s="58" t="s">
        <v>24134</v>
      </c>
      <c r="DC2644" s="58">
        <v>66.0</v>
      </c>
      <c r="DD2644" s="58">
        <v>80.0</v>
      </c>
      <c r="DE2644" s="58">
        <v>14.0</v>
      </c>
      <c r="DF2644" s="58">
        <v>2.0</v>
      </c>
      <c r="DG2644" s="58" t="s">
        <v>24135</v>
      </c>
      <c r="DH2644" s="58" t="s">
        <v>22525</v>
      </c>
      <c r="DI2644" s="58" t="s">
        <v>22622</v>
      </c>
      <c r="DJ2644" s="58" t="s">
        <v>237</v>
      </c>
      <c r="DK2644" s="58" t="s">
        <v>24136</v>
      </c>
    </row>
    <row r="2645" ht="15.75" customHeight="1">
      <c r="B2645" s="58" t="s">
        <v>22515</v>
      </c>
      <c r="D2645" s="58" t="s">
        <v>24137</v>
      </c>
      <c r="E2645" s="58" t="s">
        <v>24138</v>
      </c>
      <c r="I2645" s="58" t="s">
        <v>24139</v>
      </c>
      <c r="CL2645" s="58" t="s">
        <v>24140</v>
      </c>
      <c r="CP2645" s="58" t="s">
        <v>24141</v>
      </c>
      <c r="CX2645" s="58" t="s">
        <v>24142</v>
      </c>
      <c r="CY2645" s="58" t="s">
        <v>24143</v>
      </c>
      <c r="CZ2645" s="58">
        <v>2024.0</v>
      </c>
      <c r="DA2645" s="58" t="s">
        <v>24144</v>
      </c>
      <c r="DB2645" s="58">
        <v>100517.0</v>
      </c>
      <c r="DF2645" s="58">
        <v>0.0</v>
      </c>
      <c r="DG2645" s="58" t="s">
        <v>24145</v>
      </c>
      <c r="DH2645" s="58" t="s">
        <v>22588</v>
      </c>
      <c r="DJ2645" s="58" t="s">
        <v>237</v>
      </c>
      <c r="DK2645" s="58" t="s">
        <v>24146</v>
      </c>
      <c r="DL2645" s="58" t="s">
        <v>24147</v>
      </c>
    </row>
    <row r="2646" ht="15.75" customHeight="1">
      <c r="B2646" s="58" t="s">
        <v>22515</v>
      </c>
      <c r="D2646" s="58" t="s">
        <v>24148</v>
      </c>
      <c r="E2646" s="58" t="s">
        <v>24149</v>
      </c>
      <c r="I2646" s="58" t="s">
        <v>24150</v>
      </c>
      <c r="CL2646" s="58" t="s">
        <v>24151</v>
      </c>
      <c r="CP2646" s="58" t="s">
        <v>24152</v>
      </c>
      <c r="CX2646" s="58" t="s">
        <v>24153</v>
      </c>
      <c r="CY2646" s="58" t="s">
        <v>24154</v>
      </c>
      <c r="CZ2646" s="58">
        <v>2024.0</v>
      </c>
      <c r="DA2646" s="58" t="s">
        <v>24155</v>
      </c>
      <c r="DF2646" s="58">
        <v>2.0</v>
      </c>
      <c r="DG2646" s="58" t="s">
        <v>24156</v>
      </c>
      <c r="DH2646" s="58" t="s">
        <v>22588</v>
      </c>
      <c r="DJ2646" s="58" t="s">
        <v>237</v>
      </c>
      <c r="DK2646" s="58" t="s">
        <v>24157</v>
      </c>
      <c r="DL2646" s="58" t="s">
        <v>24158</v>
      </c>
    </row>
    <row r="2647" ht="15.75" customHeight="1">
      <c r="B2647" s="58" t="s">
        <v>22515</v>
      </c>
      <c r="D2647" s="58" t="s">
        <v>24159</v>
      </c>
      <c r="E2647" s="58" t="s">
        <v>24160</v>
      </c>
      <c r="I2647" s="58" t="s">
        <v>24161</v>
      </c>
      <c r="CL2647" s="58" t="s">
        <v>24162</v>
      </c>
      <c r="CP2647" s="58" t="s">
        <v>24163</v>
      </c>
      <c r="CX2647" s="58" t="s">
        <v>24164</v>
      </c>
      <c r="CY2647" s="58" t="s">
        <v>24165</v>
      </c>
      <c r="CZ2647" s="58">
        <v>2024.0</v>
      </c>
      <c r="DA2647" s="58" t="s">
        <v>23760</v>
      </c>
      <c r="DF2647" s="58">
        <v>3.0</v>
      </c>
      <c r="DG2647" s="58" t="s">
        <v>24166</v>
      </c>
      <c r="DH2647" s="58" t="s">
        <v>22588</v>
      </c>
      <c r="DJ2647" s="58" t="s">
        <v>237</v>
      </c>
      <c r="DK2647" s="58" t="s">
        <v>24167</v>
      </c>
      <c r="DL2647" s="58" t="s">
        <v>24168</v>
      </c>
    </row>
    <row r="2648" ht="15.75" customHeight="1">
      <c r="B2648" s="58" t="s">
        <v>22771</v>
      </c>
      <c r="D2648" s="58" t="s">
        <v>24169</v>
      </c>
      <c r="E2648" s="58" t="s">
        <v>24170</v>
      </c>
      <c r="I2648" s="58" t="s">
        <v>24171</v>
      </c>
      <c r="CL2648" s="58" t="s">
        <v>24172</v>
      </c>
      <c r="CP2648" s="58" t="s">
        <v>24173</v>
      </c>
      <c r="CX2648" s="58" t="s">
        <v>24174</v>
      </c>
      <c r="CY2648" s="58" t="s">
        <v>24175</v>
      </c>
      <c r="CZ2648" s="58">
        <v>2024.0</v>
      </c>
      <c r="DA2648" s="58" t="s">
        <v>24176</v>
      </c>
      <c r="DC2648" s="58">
        <v>89.0</v>
      </c>
      <c r="DD2648" s="58">
        <v>100.0</v>
      </c>
      <c r="DE2648" s="58">
        <v>11.0</v>
      </c>
      <c r="DF2648" s="58">
        <v>0.0</v>
      </c>
      <c r="DG2648" s="58" t="s">
        <v>24177</v>
      </c>
      <c r="DH2648" s="58" t="s">
        <v>22525</v>
      </c>
      <c r="DJ2648" s="58" t="s">
        <v>237</v>
      </c>
      <c r="DK2648" s="58" t="s">
        <v>24178</v>
      </c>
      <c r="DL2648" s="58" t="s">
        <v>24179</v>
      </c>
    </row>
    <row r="2649" ht="15.75" customHeight="1">
      <c r="B2649" s="58" t="s">
        <v>22515</v>
      </c>
      <c r="D2649" s="58" t="s">
        <v>24180</v>
      </c>
      <c r="E2649" s="58" t="s">
        <v>24181</v>
      </c>
      <c r="I2649" s="58" t="s">
        <v>24182</v>
      </c>
      <c r="Q2649" s="58">
        <v>8.0</v>
      </c>
      <c r="R2649" s="58">
        <v>24.0</v>
      </c>
      <c r="CL2649" s="58" t="s">
        <v>24183</v>
      </c>
      <c r="CP2649" s="58" t="s">
        <v>24184</v>
      </c>
      <c r="CX2649" s="58" t="s">
        <v>24185</v>
      </c>
      <c r="CY2649" s="58" t="s">
        <v>24186</v>
      </c>
      <c r="CZ2649" s="58">
        <v>2024.0</v>
      </c>
      <c r="DA2649" s="58" t="s">
        <v>22802</v>
      </c>
      <c r="DB2649" s="58">
        <v>2381.0</v>
      </c>
      <c r="DF2649" s="58">
        <v>4.0</v>
      </c>
      <c r="DG2649" s="58" t="s">
        <v>24187</v>
      </c>
      <c r="DH2649" s="58" t="s">
        <v>22525</v>
      </c>
      <c r="DI2649" s="58" t="s">
        <v>22622</v>
      </c>
      <c r="DJ2649" s="58" t="s">
        <v>237</v>
      </c>
      <c r="DK2649" s="58" t="s">
        <v>24188</v>
      </c>
      <c r="DL2649" s="58" t="s">
        <v>24189</v>
      </c>
    </row>
    <row r="2650" ht="15.75" customHeight="1">
      <c r="B2650" s="58" t="s">
        <v>22771</v>
      </c>
      <c r="D2650" s="58" t="s">
        <v>24190</v>
      </c>
      <c r="E2650" s="58" t="s">
        <v>24191</v>
      </c>
      <c r="I2650" s="58" t="s">
        <v>24192</v>
      </c>
      <c r="CL2650" s="58" t="s">
        <v>24193</v>
      </c>
      <c r="CP2650" s="58" t="s">
        <v>24194</v>
      </c>
      <c r="CX2650" s="58" t="s">
        <v>24195</v>
      </c>
      <c r="CY2650" s="58" t="s">
        <v>24196</v>
      </c>
      <c r="CZ2650" s="58">
        <v>2024.0</v>
      </c>
      <c r="DA2650" s="58" t="s">
        <v>24197</v>
      </c>
      <c r="DC2650" s="58">
        <v>339.0</v>
      </c>
      <c r="DD2650" s="58">
        <v>345.0</v>
      </c>
      <c r="DE2650" s="58">
        <v>6.0</v>
      </c>
      <c r="DF2650" s="58">
        <v>1.0</v>
      </c>
      <c r="DG2650" s="58" t="s">
        <v>24198</v>
      </c>
      <c r="DH2650" s="58" t="s">
        <v>22525</v>
      </c>
      <c r="DJ2650" s="58" t="s">
        <v>237</v>
      </c>
      <c r="DK2650" s="58" t="s">
        <v>24199</v>
      </c>
      <c r="DL2650" s="58" t="s">
        <v>24200</v>
      </c>
    </row>
    <row r="2651" ht="15.75" customHeight="1">
      <c r="B2651" s="58" t="s">
        <v>22515</v>
      </c>
      <c r="D2651" s="58" t="s">
        <v>24201</v>
      </c>
      <c r="E2651" s="58" t="s">
        <v>24202</v>
      </c>
      <c r="I2651" s="58" t="s">
        <v>24203</v>
      </c>
      <c r="R2651" s="58">
        <v>12.0</v>
      </c>
      <c r="CL2651" s="58" t="s">
        <v>24204</v>
      </c>
      <c r="CP2651" s="58" t="s">
        <v>24205</v>
      </c>
      <c r="CX2651" s="58" t="s">
        <v>24206</v>
      </c>
      <c r="CY2651" s="58" t="s">
        <v>24207</v>
      </c>
      <c r="CZ2651" s="58">
        <v>2024.0</v>
      </c>
      <c r="DA2651" s="58" t="s">
        <v>16436</v>
      </c>
      <c r="DC2651" s="58">
        <v>173647.0</v>
      </c>
      <c r="DD2651" s="58">
        <v>173659.0</v>
      </c>
      <c r="DE2651" s="58">
        <v>12.0</v>
      </c>
      <c r="DF2651" s="58">
        <v>0.0</v>
      </c>
      <c r="DG2651" s="58" t="s">
        <v>24208</v>
      </c>
      <c r="DH2651" s="58" t="s">
        <v>22525</v>
      </c>
      <c r="DJ2651" s="58" t="s">
        <v>237</v>
      </c>
      <c r="DK2651" s="58" t="s">
        <v>24209</v>
      </c>
      <c r="DL2651" s="58" t="s">
        <v>24210</v>
      </c>
    </row>
    <row r="2652" ht="15.75" customHeight="1">
      <c r="B2652" s="58" t="s">
        <v>22515</v>
      </c>
      <c r="D2652" s="58" t="s">
        <v>24211</v>
      </c>
      <c r="E2652" s="58" t="s">
        <v>24212</v>
      </c>
      <c r="I2652" s="58" t="s">
        <v>24213</v>
      </c>
      <c r="Q2652" s="58">
        <v>1.0</v>
      </c>
      <c r="R2652" s="58">
        <v>10.0</v>
      </c>
      <c r="CL2652" s="58" t="s">
        <v>24214</v>
      </c>
      <c r="CP2652" s="58" t="s">
        <v>24215</v>
      </c>
      <c r="CX2652" s="58" t="s">
        <v>24216</v>
      </c>
      <c r="CY2652" s="58" t="s">
        <v>24217</v>
      </c>
      <c r="CZ2652" s="58">
        <v>2024.0</v>
      </c>
      <c r="DA2652" s="58" t="s">
        <v>24218</v>
      </c>
      <c r="DB2652" s="58">
        <v>100223.0</v>
      </c>
      <c r="DF2652" s="58">
        <v>4.0</v>
      </c>
      <c r="DG2652" s="58" t="s">
        <v>24219</v>
      </c>
      <c r="DH2652" s="58" t="s">
        <v>22525</v>
      </c>
      <c r="DI2652" s="58" t="s">
        <v>22622</v>
      </c>
      <c r="DJ2652" s="58" t="s">
        <v>237</v>
      </c>
      <c r="DK2652" s="58" t="s">
        <v>24220</v>
      </c>
    </row>
    <row r="2653" ht="15.75" customHeight="1">
      <c r="B2653" s="58" t="s">
        <v>22515</v>
      </c>
      <c r="D2653" s="58" t="s">
        <v>24221</v>
      </c>
      <c r="E2653" s="58" t="s">
        <v>24222</v>
      </c>
      <c r="I2653" s="58" t="s">
        <v>24223</v>
      </c>
      <c r="R2653" s="58">
        <v>224.0</v>
      </c>
      <c r="CL2653" s="58" t="s">
        <v>24224</v>
      </c>
      <c r="CP2653" s="58" t="s">
        <v>24225</v>
      </c>
      <c r="CX2653" s="58" t="s">
        <v>24226</v>
      </c>
      <c r="CY2653" s="58" t="s">
        <v>24227</v>
      </c>
      <c r="CZ2653" s="58">
        <v>2024.0</v>
      </c>
      <c r="DA2653" s="58" t="s">
        <v>22609</v>
      </c>
      <c r="DB2653" s="58">
        <v>103839.0</v>
      </c>
      <c r="DF2653" s="58">
        <v>6.0</v>
      </c>
      <c r="DG2653" s="58" t="s">
        <v>24228</v>
      </c>
      <c r="DH2653" s="58" t="s">
        <v>22525</v>
      </c>
      <c r="DJ2653" s="58" t="s">
        <v>237</v>
      </c>
      <c r="DK2653" s="58" t="s">
        <v>24229</v>
      </c>
      <c r="DL2653" s="58" t="s">
        <v>24230</v>
      </c>
    </row>
    <row r="2654" ht="15.75" customHeight="1">
      <c r="B2654" s="58" t="s">
        <v>22771</v>
      </c>
      <c r="D2654" s="58" t="s">
        <v>24231</v>
      </c>
      <c r="E2654" s="58" t="s">
        <v>24232</v>
      </c>
      <c r="I2654" s="58" t="s">
        <v>24233</v>
      </c>
      <c r="Q2654" s="58">
        <v>1.0</v>
      </c>
      <c r="R2654" s="58">
        <v>2871.0</v>
      </c>
      <c r="CL2654" s="58" t="s">
        <v>24234</v>
      </c>
      <c r="CX2654" s="58" t="s">
        <v>24235</v>
      </c>
      <c r="CY2654" s="58" t="s">
        <v>24236</v>
      </c>
      <c r="CZ2654" s="58">
        <v>2024.0</v>
      </c>
      <c r="DA2654" s="58" t="s">
        <v>24237</v>
      </c>
      <c r="DB2654" s="58">
        <v>11001.0</v>
      </c>
      <c r="DF2654" s="58">
        <v>1.0</v>
      </c>
      <c r="DG2654" s="58" t="s">
        <v>24238</v>
      </c>
      <c r="DH2654" s="58" t="s">
        <v>22525</v>
      </c>
      <c r="DJ2654" s="58" t="s">
        <v>237</v>
      </c>
      <c r="DK2654" s="58" t="s">
        <v>24239</v>
      </c>
      <c r="DL2654" s="58" t="s">
        <v>24240</v>
      </c>
    </row>
    <row r="2655" ht="15.75" customHeight="1">
      <c r="B2655" s="58" t="s">
        <v>22515</v>
      </c>
      <c r="D2655" s="58" t="s">
        <v>24241</v>
      </c>
      <c r="E2655" s="58" t="s">
        <v>24242</v>
      </c>
      <c r="I2655" s="58" t="s">
        <v>24243</v>
      </c>
      <c r="Q2655" s="58">
        <v>2.0</v>
      </c>
      <c r="R2655" s="58">
        <v>60.0</v>
      </c>
      <c r="CL2655" s="58" t="s">
        <v>24244</v>
      </c>
      <c r="CP2655" s="58" t="s">
        <v>24245</v>
      </c>
      <c r="CX2655" s="58" t="s">
        <v>24246</v>
      </c>
      <c r="CY2655" s="58" t="s">
        <v>24247</v>
      </c>
      <c r="CZ2655" s="58">
        <v>2024.0</v>
      </c>
      <c r="DA2655" s="58" t="s">
        <v>24248</v>
      </c>
      <c r="DC2655" s="58">
        <v>239.0</v>
      </c>
      <c r="DD2655" s="58">
        <v>290.0</v>
      </c>
      <c r="DE2655" s="58">
        <v>51.0</v>
      </c>
      <c r="DF2655" s="58">
        <v>2.0</v>
      </c>
      <c r="DG2655" s="58" t="s">
        <v>24249</v>
      </c>
      <c r="DH2655" s="58" t="s">
        <v>22525</v>
      </c>
      <c r="DI2655" s="58" t="s">
        <v>22526</v>
      </c>
      <c r="DJ2655" s="58" t="s">
        <v>237</v>
      </c>
      <c r="DK2655" s="58" t="s">
        <v>24250</v>
      </c>
      <c r="DL2655" s="58" t="s">
        <v>24251</v>
      </c>
    </row>
    <row r="2656" ht="15.75" customHeight="1">
      <c r="B2656" s="58" t="s">
        <v>22515</v>
      </c>
      <c r="D2656" s="58" t="s">
        <v>24252</v>
      </c>
      <c r="E2656" s="58" t="s">
        <v>24253</v>
      </c>
      <c r="I2656" s="58" t="s">
        <v>24254</v>
      </c>
      <c r="Q2656" s="58">
        <v>2.0</v>
      </c>
      <c r="R2656" s="58">
        <v>13.0</v>
      </c>
      <c r="CL2656" s="58" t="s">
        <v>24255</v>
      </c>
      <c r="CP2656" s="58" t="s">
        <v>24256</v>
      </c>
      <c r="CX2656" s="58" t="s">
        <v>24257</v>
      </c>
      <c r="CY2656" s="58" t="s">
        <v>24258</v>
      </c>
      <c r="CZ2656" s="58">
        <v>2024.0</v>
      </c>
      <c r="DA2656" s="58" t="s">
        <v>24259</v>
      </c>
      <c r="DC2656" s="58">
        <v>1157.0</v>
      </c>
      <c r="DD2656" s="58">
        <v>1166.0</v>
      </c>
      <c r="DE2656" s="58">
        <v>9.0</v>
      </c>
      <c r="DF2656" s="58">
        <v>0.0</v>
      </c>
      <c r="DG2656" s="58" t="s">
        <v>24260</v>
      </c>
      <c r="DH2656" s="58" t="s">
        <v>22525</v>
      </c>
      <c r="DI2656" s="58" t="s">
        <v>22622</v>
      </c>
      <c r="DJ2656" s="58" t="s">
        <v>237</v>
      </c>
      <c r="DK2656" s="58" t="s">
        <v>24261</v>
      </c>
    </row>
    <row r="2657" ht="15.75" customHeight="1">
      <c r="B2657" s="58" t="s">
        <v>22515</v>
      </c>
      <c r="D2657" s="58" t="s">
        <v>24262</v>
      </c>
      <c r="E2657" s="58" t="s">
        <v>24263</v>
      </c>
      <c r="I2657" s="58" t="s">
        <v>24264</v>
      </c>
      <c r="Q2657" s="58">
        <v>4.0</v>
      </c>
      <c r="R2657" s="58">
        <v>12.0</v>
      </c>
      <c r="CL2657" s="58" t="s">
        <v>24265</v>
      </c>
      <c r="CP2657" s="58" t="s">
        <v>24266</v>
      </c>
      <c r="CX2657" s="58" t="s">
        <v>24267</v>
      </c>
      <c r="CY2657" s="58" t="s">
        <v>24268</v>
      </c>
      <c r="CZ2657" s="58">
        <v>2024.0</v>
      </c>
      <c r="DA2657" s="58" t="s">
        <v>17438</v>
      </c>
      <c r="DC2657" s="58">
        <v>1344.0</v>
      </c>
      <c r="DD2657" s="58">
        <v>1358.0</v>
      </c>
      <c r="DE2657" s="58">
        <v>14.0</v>
      </c>
      <c r="DF2657" s="58">
        <v>0.0</v>
      </c>
      <c r="DG2657" s="58" t="s">
        <v>24269</v>
      </c>
      <c r="DH2657" s="58" t="s">
        <v>22525</v>
      </c>
      <c r="DI2657" s="58" t="s">
        <v>22816</v>
      </c>
      <c r="DJ2657" s="58" t="s">
        <v>237</v>
      </c>
      <c r="DK2657" s="58" t="s">
        <v>24270</v>
      </c>
      <c r="DL2657" s="58" t="s">
        <v>24271</v>
      </c>
    </row>
    <row r="2658" ht="15.75" customHeight="1">
      <c r="B2658" s="58" t="s">
        <v>22515</v>
      </c>
      <c r="D2658" s="58" t="s">
        <v>24272</v>
      </c>
      <c r="E2658" s="58" t="s">
        <v>24273</v>
      </c>
      <c r="I2658" s="58" t="s">
        <v>24274</v>
      </c>
      <c r="R2658" s="58">
        <v>25.0</v>
      </c>
      <c r="CL2658" s="58" t="s">
        <v>24275</v>
      </c>
      <c r="CP2658" s="58" t="s">
        <v>24276</v>
      </c>
      <c r="CX2658" s="58" t="s">
        <v>24277</v>
      </c>
      <c r="CY2658" s="58" t="s">
        <v>24278</v>
      </c>
      <c r="CZ2658" s="58">
        <v>2024.0</v>
      </c>
      <c r="DA2658" s="58" t="s">
        <v>23574</v>
      </c>
      <c r="DB2658" s="58">
        <v>101035.0</v>
      </c>
      <c r="DF2658" s="58">
        <v>22.0</v>
      </c>
      <c r="DG2658" s="58" t="s">
        <v>24279</v>
      </c>
      <c r="DH2658" s="58" t="s">
        <v>22525</v>
      </c>
      <c r="DI2658" s="58" t="s">
        <v>22816</v>
      </c>
      <c r="DJ2658" s="58" t="s">
        <v>237</v>
      </c>
      <c r="DK2658" s="58" t="s">
        <v>24280</v>
      </c>
    </row>
    <row r="2659" ht="15.75" customHeight="1">
      <c r="B2659" s="58" t="s">
        <v>22515</v>
      </c>
      <c r="D2659" s="58" t="s">
        <v>24281</v>
      </c>
      <c r="E2659" s="58" t="s">
        <v>24282</v>
      </c>
      <c r="I2659" s="58" t="s">
        <v>24283</v>
      </c>
      <c r="Q2659" s="58" t="s">
        <v>24284</v>
      </c>
      <c r="R2659" s="58">
        <v>55.0</v>
      </c>
      <c r="CL2659" s="58" t="s">
        <v>24285</v>
      </c>
      <c r="CP2659" s="58" t="s">
        <v>24286</v>
      </c>
      <c r="CX2659" s="58" t="s">
        <v>24287</v>
      </c>
      <c r="CY2659" s="58" t="s">
        <v>24288</v>
      </c>
      <c r="CZ2659" s="58">
        <v>2024.0</v>
      </c>
      <c r="DA2659" s="58" t="s">
        <v>23451</v>
      </c>
      <c r="DB2659" s="58">
        <v>297.0</v>
      </c>
      <c r="DF2659" s="58">
        <v>23.0</v>
      </c>
      <c r="DG2659" s="58" t="s">
        <v>24289</v>
      </c>
      <c r="DH2659" s="58" t="s">
        <v>22525</v>
      </c>
      <c r="DI2659" s="58" t="s">
        <v>22816</v>
      </c>
      <c r="DJ2659" s="58" t="s">
        <v>237</v>
      </c>
      <c r="DK2659" s="58" t="s">
        <v>24290</v>
      </c>
      <c r="DL2659" s="58" t="s">
        <v>24291</v>
      </c>
    </row>
    <row r="2660" ht="15.75" customHeight="1">
      <c r="B2660" s="58" t="s">
        <v>22515</v>
      </c>
      <c r="D2660" s="58" t="s">
        <v>24292</v>
      </c>
      <c r="E2660" s="58" t="s">
        <v>24293</v>
      </c>
      <c r="I2660" s="58" t="s">
        <v>24294</v>
      </c>
      <c r="Q2660" s="58">
        <v>2.0</v>
      </c>
      <c r="R2660" s="58">
        <v>12.0</v>
      </c>
      <c r="CL2660" s="58" t="s">
        <v>24295</v>
      </c>
      <c r="CP2660" s="58" t="s">
        <v>24296</v>
      </c>
      <c r="CX2660" s="58" t="s">
        <v>24297</v>
      </c>
      <c r="CY2660" s="58" t="s">
        <v>24298</v>
      </c>
      <c r="CZ2660" s="58">
        <v>2024.0</v>
      </c>
      <c r="DA2660" s="58" t="s">
        <v>17438</v>
      </c>
      <c r="DC2660" s="58">
        <v>594.0</v>
      </c>
      <c r="DD2660" s="58">
        <v>608.0</v>
      </c>
      <c r="DE2660" s="58">
        <v>14.0</v>
      </c>
      <c r="DF2660" s="58">
        <v>2.0</v>
      </c>
      <c r="DG2660" s="58" t="s">
        <v>24299</v>
      </c>
      <c r="DH2660" s="58" t="s">
        <v>22525</v>
      </c>
      <c r="DJ2660" s="58" t="s">
        <v>237</v>
      </c>
      <c r="DK2660" s="58" t="s">
        <v>24300</v>
      </c>
      <c r="DL2660" s="58" t="s">
        <v>24301</v>
      </c>
    </row>
    <row r="2661" ht="15.75" customHeight="1">
      <c r="B2661" s="58" t="s">
        <v>22515</v>
      </c>
      <c r="D2661" s="58" t="s">
        <v>24302</v>
      </c>
      <c r="E2661" s="58" t="s">
        <v>24303</v>
      </c>
      <c r="I2661" s="58" t="s">
        <v>24304</v>
      </c>
      <c r="R2661" s="58">
        <v>12.0</v>
      </c>
      <c r="CL2661" s="58" t="s">
        <v>24305</v>
      </c>
      <c r="CP2661" s="58" t="s">
        <v>24306</v>
      </c>
      <c r="CX2661" s="58" t="s">
        <v>24307</v>
      </c>
      <c r="CY2661" s="58" t="s">
        <v>24308</v>
      </c>
      <c r="CZ2661" s="58">
        <v>2024.0</v>
      </c>
      <c r="DA2661" s="58" t="s">
        <v>16436</v>
      </c>
      <c r="DC2661" s="58">
        <v>178320.0</v>
      </c>
      <c r="DD2661" s="58">
        <v>178344.0</v>
      </c>
      <c r="DE2661" s="58">
        <v>24.0</v>
      </c>
      <c r="DF2661" s="58">
        <v>0.0</v>
      </c>
      <c r="DG2661" s="58" t="s">
        <v>24309</v>
      </c>
      <c r="DH2661" s="58" t="s">
        <v>22525</v>
      </c>
      <c r="DI2661" s="58" t="s">
        <v>22622</v>
      </c>
      <c r="DJ2661" s="58" t="s">
        <v>237</v>
      </c>
      <c r="DK2661" s="58" t="s">
        <v>24310</v>
      </c>
      <c r="DL2661" s="58" t="s">
        <v>24311</v>
      </c>
    </row>
    <row r="2662" ht="15.75" customHeight="1">
      <c r="B2662" s="58" t="s">
        <v>22515</v>
      </c>
      <c r="D2662" s="58" t="s">
        <v>24312</v>
      </c>
      <c r="E2662" s="58" t="s">
        <v>24313</v>
      </c>
      <c r="I2662" s="58" t="s">
        <v>24314</v>
      </c>
      <c r="R2662" s="58">
        <v>25.0</v>
      </c>
      <c r="CL2662" s="58" t="s">
        <v>24315</v>
      </c>
      <c r="CP2662" s="58" t="s">
        <v>24316</v>
      </c>
      <c r="CX2662" s="58" t="s">
        <v>24317</v>
      </c>
      <c r="CY2662" s="58" t="s">
        <v>24318</v>
      </c>
      <c r="CZ2662" s="58">
        <v>2024.0</v>
      </c>
      <c r="DA2662" s="58" t="s">
        <v>23574</v>
      </c>
      <c r="DB2662" s="58">
        <v>101112.0</v>
      </c>
      <c r="DF2662" s="58">
        <v>5.0</v>
      </c>
      <c r="DG2662" s="58" t="s">
        <v>24319</v>
      </c>
      <c r="DH2662" s="58" t="s">
        <v>22525</v>
      </c>
      <c r="DJ2662" s="58" t="s">
        <v>237</v>
      </c>
      <c r="DK2662" s="58" t="s">
        <v>24320</v>
      </c>
    </row>
    <row r="2663" ht="15.75" customHeight="1">
      <c r="B2663" s="58" t="s">
        <v>22515</v>
      </c>
      <c r="D2663" s="58" t="s">
        <v>24321</v>
      </c>
      <c r="E2663" s="58" t="s">
        <v>24322</v>
      </c>
      <c r="I2663" s="58" t="s">
        <v>24323</v>
      </c>
      <c r="CL2663" s="58" t="s">
        <v>24324</v>
      </c>
      <c r="CP2663" s="58" t="s">
        <v>24325</v>
      </c>
      <c r="CX2663" s="58" t="s">
        <v>24326</v>
      </c>
      <c r="CY2663" s="58" t="s">
        <v>24327</v>
      </c>
      <c r="CZ2663" s="58">
        <v>2024.0</v>
      </c>
      <c r="DA2663" s="58" t="s">
        <v>16538</v>
      </c>
      <c r="DF2663" s="58">
        <v>0.0</v>
      </c>
      <c r="DG2663" s="58" t="s">
        <v>24328</v>
      </c>
      <c r="DH2663" s="58" t="s">
        <v>22588</v>
      </c>
      <c r="DJ2663" s="58" t="s">
        <v>237</v>
      </c>
      <c r="DK2663" s="58" t="s">
        <v>24329</v>
      </c>
      <c r="DL2663" s="58" t="s">
        <v>24330</v>
      </c>
    </row>
    <row r="2664" ht="15.75" customHeight="1">
      <c r="B2664" s="58" t="s">
        <v>22515</v>
      </c>
      <c r="D2664" s="58" t="s">
        <v>24331</v>
      </c>
      <c r="E2664" s="58" t="s">
        <v>24332</v>
      </c>
      <c r="I2664" s="58" t="s">
        <v>24333</v>
      </c>
      <c r="Q2664" s="58">
        <v>1.0</v>
      </c>
      <c r="R2664" s="58">
        <v>31.0</v>
      </c>
      <c r="CL2664" s="58" t="s">
        <v>24334</v>
      </c>
      <c r="CP2664" s="58" t="s">
        <v>24335</v>
      </c>
      <c r="CX2664" s="58" t="s">
        <v>24336</v>
      </c>
      <c r="CY2664" s="58" t="s">
        <v>24337</v>
      </c>
      <c r="CZ2664" s="58">
        <v>2024.0</v>
      </c>
      <c r="DA2664" s="58" t="s">
        <v>24338</v>
      </c>
      <c r="DC2664" s="58">
        <v>12.0</v>
      </c>
      <c r="DD2664" s="58">
        <v>28.0</v>
      </c>
      <c r="DE2664" s="58">
        <v>16.0</v>
      </c>
      <c r="DF2664" s="58">
        <v>2.0</v>
      </c>
      <c r="DG2664" s="58" t="s">
        <v>24339</v>
      </c>
      <c r="DH2664" s="58" t="s">
        <v>22525</v>
      </c>
      <c r="DJ2664" s="58" t="s">
        <v>237</v>
      </c>
      <c r="DK2664" s="58" t="s">
        <v>24340</v>
      </c>
      <c r="DL2664" s="58" t="s">
        <v>24341</v>
      </c>
    </row>
    <row r="2665" ht="15.75" customHeight="1">
      <c r="B2665" s="58" t="s">
        <v>22515</v>
      </c>
      <c r="D2665" s="58" t="s">
        <v>24342</v>
      </c>
      <c r="E2665" s="58" t="s">
        <v>24343</v>
      </c>
      <c r="I2665" s="58" t="s">
        <v>24344</v>
      </c>
      <c r="CL2665" s="58" t="s">
        <v>24345</v>
      </c>
      <c r="CP2665" s="58" t="s">
        <v>24346</v>
      </c>
      <c r="CX2665" s="58" t="s">
        <v>24347</v>
      </c>
      <c r="CY2665" s="58" t="s">
        <v>24348</v>
      </c>
      <c r="CZ2665" s="58">
        <v>2024.0</v>
      </c>
      <c r="DA2665" s="58" t="s">
        <v>16959</v>
      </c>
      <c r="DF2665" s="58">
        <v>1.0</v>
      </c>
      <c r="DG2665" s="58" t="s">
        <v>24349</v>
      </c>
      <c r="DH2665" s="58" t="s">
        <v>22588</v>
      </c>
      <c r="DJ2665" s="58" t="s">
        <v>237</v>
      </c>
      <c r="DK2665" s="58" t="s">
        <v>24350</v>
      </c>
      <c r="DL2665" s="58" t="s">
        <v>24351</v>
      </c>
    </row>
    <row r="2666" ht="15.75" customHeight="1">
      <c r="B2666" s="58" t="s">
        <v>22771</v>
      </c>
      <c r="D2666" s="58" t="s">
        <v>24352</v>
      </c>
      <c r="E2666" s="58" t="s">
        <v>24353</v>
      </c>
      <c r="I2666" s="58" t="s">
        <v>24354</v>
      </c>
      <c r="R2666" s="58" t="s">
        <v>24355</v>
      </c>
      <c r="CL2666" s="58" t="s">
        <v>24356</v>
      </c>
      <c r="CP2666" s="58" t="s">
        <v>24357</v>
      </c>
      <c r="CX2666" s="58" t="s">
        <v>24358</v>
      </c>
      <c r="CY2666" s="58" t="s">
        <v>24359</v>
      </c>
      <c r="CZ2666" s="58">
        <v>2024.0</v>
      </c>
      <c r="DA2666" s="58" t="s">
        <v>24360</v>
      </c>
      <c r="DC2666" s="58">
        <v>22.0</v>
      </c>
      <c r="DD2666" s="58">
        <v>35.0</v>
      </c>
      <c r="DE2666" s="58">
        <v>13.0</v>
      </c>
      <c r="DF2666" s="58">
        <v>0.0</v>
      </c>
      <c r="DG2666" s="58" t="s">
        <v>24361</v>
      </c>
      <c r="DH2666" s="58" t="s">
        <v>22525</v>
      </c>
      <c r="DJ2666" s="58" t="s">
        <v>237</v>
      </c>
      <c r="DK2666" s="58" t="s">
        <v>24362</v>
      </c>
      <c r="DL2666" s="58" t="s">
        <v>24363</v>
      </c>
    </row>
    <row r="2667" ht="15.75" customHeight="1">
      <c r="B2667" s="58" t="s">
        <v>22515</v>
      </c>
      <c r="D2667" s="58" t="s">
        <v>24364</v>
      </c>
      <c r="E2667" s="58" t="s">
        <v>24365</v>
      </c>
      <c r="I2667" s="58" t="s">
        <v>24366</v>
      </c>
      <c r="Q2667" s="58">
        <v>12.0</v>
      </c>
      <c r="R2667" s="58">
        <v>72.0</v>
      </c>
      <c r="CL2667" s="58" t="s">
        <v>24367</v>
      </c>
      <c r="CP2667" s="58" t="s">
        <v>24368</v>
      </c>
      <c r="CX2667" s="58" t="s">
        <v>24369</v>
      </c>
      <c r="CY2667" s="58">
        <v>5.7044628E10</v>
      </c>
      <c r="CZ2667" s="58">
        <v>2024.0</v>
      </c>
      <c r="DA2667" s="58" t="s">
        <v>24370</v>
      </c>
      <c r="DC2667" s="58">
        <v>7826.0</v>
      </c>
      <c r="DD2667" s="58">
        <v>7841.0</v>
      </c>
      <c r="DE2667" s="58">
        <v>15.0</v>
      </c>
      <c r="DF2667" s="58">
        <v>0.0</v>
      </c>
      <c r="DG2667" s="58" t="s">
        <v>24371</v>
      </c>
      <c r="DH2667" s="58" t="s">
        <v>22525</v>
      </c>
      <c r="DI2667" s="58" t="s">
        <v>22526</v>
      </c>
      <c r="DJ2667" s="58" t="s">
        <v>237</v>
      </c>
      <c r="DK2667" s="58" t="s">
        <v>24372</v>
      </c>
      <c r="DL2667" s="58" t="s">
        <v>24373</v>
      </c>
    </row>
    <row r="2668" ht="15.75" customHeight="1">
      <c r="B2668" s="58" t="s">
        <v>22515</v>
      </c>
      <c r="D2668" s="58" t="s">
        <v>24374</v>
      </c>
      <c r="E2668" s="58" t="s">
        <v>24375</v>
      </c>
      <c r="I2668" s="58" t="s">
        <v>24376</v>
      </c>
      <c r="Q2668" s="58">
        <v>2.0</v>
      </c>
      <c r="R2668" s="58">
        <v>21.0</v>
      </c>
      <c r="CL2668" s="58" t="s">
        <v>24377</v>
      </c>
      <c r="CP2668" s="58" t="s">
        <v>24378</v>
      </c>
      <c r="CX2668" s="58" t="s">
        <v>24379</v>
      </c>
      <c r="CY2668" s="58" t="s">
        <v>24380</v>
      </c>
      <c r="CZ2668" s="58">
        <v>2024.0</v>
      </c>
      <c r="DA2668" s="58" t="s">
        <v>24381</v>
      </c>
      <c r="DB2668" s="58">
        <v>2023273.0</v>
      </c>
      <c r="DF2668" s="58">
        <v>1.0</v>
      </c>
      <c r="DG2668" s="58" t="s">
        <v>24382</v>
      </c>
      <c r="DH2668" s="58" t="s">
        <v>22525</v>
      </c>
      <c r="DI2668" s="58" t="s">
        <v>22622</v>
      </c>
      <c r="DJ2668" s="58" t="s">
        <v>237</v>
      </c>
      <c r="DK2668" s="58" t="s">
        <v>24383</v>
      </c>
    </row>
    <row r="2669" ht="15.75" customHeight="1">
      <c r="B2669" s="58" t="s">
        <v>22771</v>
      </c>
      <c r="D2669" s="58" t="s">
        <v>24384</v>
      </c>
      <c r="E2669" s="58" t="s">
        <v>24385</v>
      </c>
      <c r="I2669" s="58" t="s">
        <v>24386</v>
      </c>
      <c r="CL2669" s="58" t="s">
        <v>24387</v>
      </c>
      <c r="CP2669" s="58" t="s">
        <v>24388</v>
      </c>
      <c r="CX2669" s="58" t="s">
        <v>24389</v>
      </c>
      <c r="CY2669" s="58" t="s">
        <v>24390</v>
      </c>
      <c r="CZ2669" s="58">
        <v>2024.0</v>
      </c>
      <c r="DA2669" s="58" t="s">
        <v>24391</v>
      </c>
      <c r="DC2669" s="58">
        <v>237.0</v>
      </c>
      <c r="DD2669" s="58">
        <v>243.0</v>
      </c>
      <c r="DE2669" s="58">
        <v>6.0</v>
      </c>
      <c r="DF2669" s="58">
        <v>0.0</v>
      </c>
      <c r="DG2669" s="58" t="s">
        <v>24392</v>
      </c>
      <c r="DH2669" s="58" t="s">
        <v>22525</v>
      </c>
      <c r="DJ2669" s="58" t="s">
        <v>237</v>
      </c>
      <c r="DK2669" s="58" t="s">
        <v>24393</v>
      </c>
      <c r="DL2669" s="58" t="s">
        <v>24394</v>
      </c>
    </row>
    <row r="2670" ht="15.75" customHeight="1">
      <c r="B2670" s="58" t="s">
        <v>22771</v>
      </c>
      <c r="D2670" s="58" t="s">
        <v>24395</v>
      </c>
      <c r="E2670" s="58" t="s">
        <v>24396</v>
      </c>
      <c r="I2670" s="58" t="s">
        <v>24397</v>
      </c>
      <c r="CL2670" s="58" t="s">
        <v>24398</v>
      </c>
      <c r="CP2670" s="58" t="s">
        <v>24399</v>
      </c>
      <c r="CX2670" s="58" t="s">
        <v>24400</v>
      </c>
      <c r="CY2670" s="58" t="s">
        <v>24401</v>
      </c>
      <c r="CZ2670" s="58">
        <v>2024.0</v>
      </c>
      <c r="DA2670" s="58" t="s">
        <v>24402</v>
      </c>
      <c r="DC2670" s="58">
        <v>34.0</v>
      </c>
      <c r="DD2670" s="58">
        <v>45.0</v>
      </c>
      <c r="DE2670" s="58">
        <v>11.0</v>
      </c>
      <c r="DF2670" s="58">
        <v>1.0</v>
      </c>
      <c r="DG2670" s="58" t="s">
        <v>24403</v>
      </c>
      <c r="DH2670" s="58" t="s">
        <v>22525</v>
      </c>
      <c r="DI2670" s="58" t="s">
        <v>22816</v>
      </c>
      <c r="DJ2670" s="58" t="s">
        <v>237</v>
      </c>
      <c r="DK2670" s="58" t="s">
        <v>24404</v>
      </c>
      <c r="DL2670" s="58" t="s">
        <v>24405</v>
      </c>
    </row>
    <row r="2671" ht="15.75" customHeight="1">
      <c r="B2671" s="58" t="s">
        <v>22515</v>
      </c>
      <c r="D2671" s="58" t="s">
        <v>24406</v>
      </c>
      <c r="E2671" s="58" t="s">
        <v>24407</v>
      </c>
      <c r="I2671" s="58" t="s">
        <v>24408</v>
      </c>
      <c r="Q2671" s="58">
        <v>1.0</v>
      </c>
      <c r="R2671" s="58">
        <v>12.0</v>
      </c>
      <c r="CL2671" s="58" t="s">
        <v>24409</v>
      </c>
      <c r="CP2671" s="58" t="s">
        <v>24410</v>
      </c>
      <c r="CX2671" s="58" t="s">
        <v>24411</v>
      </c>
      <c r="CY2671" s="58" t="s">
        <v>24412</v>
      </c>
      <c r="CZ2671" s="58">
        <v>2023.0</v>
      </c>
      <c r="DA2671" s="58" t="s">
        <v>22889</v>
      </c>
      <c r="DB2671" s="58">
        <v>66.0</v>
      </c>
      <c r="DF2671" s="58">
        <v>7.0</v>
      </c>
      <c r="DG2671" s="58" t="s">
        <v>24413</v>
      </c>
      <c r="DH2671" s="58" t="s">
        <v>22525</v>
      </c>
      <c r="DI2671" s="58" t="s">
        <v>22622</v>
      </c>
      <c r="DJ2671" s="58" t="s">
        <v>237</v>
      </c>
      <c r="DK2671" s="58" t="s">
        <v>24414</v>
      </c>
      <c r="DL2671" s="58" t="s">
        <v>24415</v>
      </c>
    </row>
    <row r="2672" ht="15.75" customHeight="1">
      <c r="B2672" s="58" t="s">
        <v>22515</v>
      </c>
      <c r="D2672" s="58" t="s">
        <v>24416</v>
      </c>
      <c r="E2672" s="58" t="s">
        <v>24417</v>
      </c>
      <c r="I2672" s="58" t="s">
        <v>24418</v>
      </c>
      <c r="Q2672" s="58">
        <v>1.0</v>
      </c>
      <c r="R2672" s="58">
        <v>54.0</v>
      </c>
      <c r="CL2672" s="58" t="s">
        <v>24419</v>
      </c>
      <c r="CP2672" s="58" t="s">
        <v>24420</v>
      </c>
      <c r="CX2672" s="58" t="s">
        <v>24421</v>
      </c>
      <c r="CY2672" s="58">
        <v>1.46328599E10</v>
      </c>
      <c r="CZ2672" s="58">
        <v>2024.0</v>
      </c>
      <c r="DA2672" s="58" t="s">
        <v>23462</v>
      </c>
      <c r="DC2672" s="58">
        <v>3.0</v>
      </c>
      <c r="DD2672" s="58">
        <v>23.0</v>
      </c>
      <c r="DE2672" s="58">
        <v>20.0</v>
      </c>
      <c r="DF2672" s="58">
        <v>44.0</v>
      </c>
      <c r="DG2672" s="58" t="s">
        <v>24422</v>
      </c>
      <c r="DH2672" s="58" t="s">
        <v>22525</v>
      </c>
      <c r="DI2672" s="58" t="s">
        <v>22816</v>
      </c>
      <c r="DJ2672" s="58" t="s">
        <v>237</v>
      </c>
      <c r="DK2672" s="58" t="s">
        <v>24423</v>
      </c>
      <c r="DL2672" s="58" t="s">
        <v>24424</v>
      </c>
    </row>
    <row r="2673" ht="15.75" customHeight="1">
      <c r="B2673" s="58" t="s">
        <v>22515</v>
      </c>
      <c r="D2673" s="58" t="s">
        <v>24425</v>
      </c>
      <c r="E2673" s="58" t="s">
        <v>24426</v>
      </c>
      <c r="I2673" s="58" t="s">
        <v>24427</v>
      </c>
      <c r="R2673" s="58">
        <v>10.0</v>
      </c>
      <c r="CL2673" s="58" t="s">
        <v>24428</v>
      </c>
      <c r="CP2673" s="58" t="s">
        <v>24429</v>
      </c>
      <c r="CX2673" s="58" t="s">
        <v>24430</v>
      </c>
      <c r="CY2673" s="58" t="s">
        <v>24431</v>
      </c>
      <c r="CZ2673" s="58">
        <v>2023.0</v>
      </c>
      <c r="DA2673" s="58" t="s">
        <v>24432</v>
      </c>
      <c r="DC2673" s="58">
        <v>3355.0</v>
      </c>
      <c r="DD2673" s="58">
        <v>3372.0</v>
      </c>
      <c r="DE2673" s="58">
        <v>17.0</v>
      </c>
      <c r="DF2673" s="58">
        <v>19.0</v>
      </c>
      <c r="DG2673" s="58" t="s">
        <v>24433</v>
      </c>
      <c r="DH2673" s="58" t="s">
        <v>22525</v>
      </c>
      <c r="DI2673" s="58" t="s">
        <v>22622</v>
      </c>
      <c r="DJ2673" s="58" t="s">
        <v>237</v>
      </c>
      <c r="DK2673" s="58" t="s">
        <v>24434</v>
      </c>
      <c r="DL2673" s="58" t="s">
        <v>24435</v>
      </c>
    </row>
    <row r="2674" ht="15.75" customHeight="1">
      <c r="B2674" s="58" t="s">
        <v>22515</v>
      </c>
      <c r="D2674" s="58" t="s">
        <v>24436</v>
      </c>
      <c r="E2674" s="58" t="s">
        <v>24437</v>
      </c>
      <c r="I2674" s="58" t="s">
        <v>24438</v>
      </c>
      <c r="R2674" s="58">
        <v>12.0</v>
      </c>
      <c r="CL2674" s="58" t="s">
        <v>24439</v>
      </c>
      <c r="CP2674" s="58" t="s">
        <v>24440</v>
      </c>
      <c r="CX2674" s="58" t="s">
        <v>24441</v>
      </c>
      <c r="CY2674" s="58" t="s">
        <v>24442</v>
      </c>
      <c r="CZ2674" s="58">
        <v>2024.0</v>
      </c>
      <c r="DA2674" s="58" t="s">
        <v>16436</v>
      </c>
      <c r="DC2674" s="58">
        <v>76277.0</v>
      </c>
      <c r="DD2674" s="58">
        <v>76303.0</v>
      </c>
      <c r="DE2674" s="58">
        <v>26.0</v>
      </c>
      <c r="DF2674" s="58">
        <v>6.0</v>
      </c>
      <c r="DG2674" s="58" t="s">
        <v>24443</v>
      </c>
      <c r="DH2674" s="58" t="s">
        <v>22525</v>
      </c>
      <c r="DI2674" s="58" t="s">
        <v>22643</v>
      </c>
      <c r="DJ2674" s="58" t="s">
        <v>237</v>
      </c>
      <c r="DK2674" s="58" t="s">
        <v>24444</v>
      </c>
      <c r="DL2674" s="58" t="s">
        <v>24445</v>
      </c>
    </row>
    <row r="2675" ht="15.75" customHeight="1">
      <c r="B2675" s="58" t="s">
        <v>22515</v>
      </c>
      <c r="D2675" s="58" t="s">
        <v>24446</v>
      </c>
      <c r="E2675" s="58" t="s">
        <v>24447</v>
      </c>
      <c r="I2675" s="58" t="s">
        <v>24448</v>
      </c>
      <c r="Q2675" s="58">
        <v>24.0</v>
      </c>
      <c r="R2675" s="58">
        <v>23.0</v>
      </c>
      <c r="CL2675" s="58" t="s">
        <v>24449</v>
      </c>
      <c r="CP2675" s="58" t="s">
        <v>24450</v>
      </c>
      <c r="CX2675" s="58" t="s">
        <v>24451</v>
      </c>
      <c r="CY2675" s="58" t="s">
        <v>24452</v>
      </c>
      <c r="CZ2675" s="58">
        <v>2023.0</v>
      </c>
      <c r="DA2675" s="58" t="s">
        <v>22802</v>
      </c>
      <c r="DB2675" s="58">
        <v>9656.0</v>
      </c>
      <c r="DF2675" s="58">
        <v>2.0</v>
      </c>
      <c r="DG2675" s="58" t="s">
        <v>24453</v>
      </c>
      <c r="DH2675" s="58" t="s">
        <v>22525</v>
      </c>
      <c r="DI2675" s="58" t="s">
        <v>22643</v>
      </c>
      <c r="DJ2675" s="58" t="s">
        <v>237</v>
      </c>
      <c r="DK2675" s="58" t="s">
        <v>24454</v>
      </c>
      <c r="DL2675" s="58" t="s">
        <v>24455</v>
      </c>
    </row>
    <row r="2676" ht="15.75" customHeight="1">
      <c r="B2676" s="58" t="s">
        <v>22515</v>
      </c>
      <c r="D2676" s="58" t="s">
        <v>24456</v>
      </c>
      <c r="E2676" s="58" t="s">
        <v>24457</v>
      </c>
      <c r="I2676" s="58" t="s">
        <v>24458</v>
      </c>
      <c r="Q2676" s="58">
        <v>1.0</v>
      </c>
      <c r="R2676" s="58">
        <v>12.0</v>
      </c>
      <c r="CL2676" s="58" t="s">
        <v>24459</v>
      </c>
      <c r="CP2676" s="58" t="s">
        <v>24460</v>
      </c>
      <c r="CX2676" s="58" t="s">
        <v>24461</v>
      </c>
      <c r="CY2676" s="58" t="s">
        <v>24462</v>
      </c>
      <c r="CZ2676" s="58">
        <v>2023.0</v>
      </c>
      <c r="DA2676" s="58" t="s">
        <v>22889</v>
      </c>
      <c r="DB2676" s="58">
        <v>124.0</v>
      </c>
      <c r="DF2676" s="58">
        <v>11.0</v>
      </c>
      <c r="DG2676" s="58" t="s">
        <v>24463</v>
      </c>
      <c r="DH2676" s="58" t="s">
        <v>22525</v>
      </c>
      <c r="DI2676" s="58" t="s">
        <v>22622</v>
      </c>
      <c r="DJ2676" s="58" t="s">
        <v>237</v>
      </c>
      <c r="DK2676" s="58" t="s">
        <v>24464</v>
      </c>
      <c r="DL2676" s="58" t="s">
        <v>24465</v>
      </c>
    </row>
    <row r="2677" ht="15.75" customHeight="1">
      <c r="B2677" s="58" t="s">
        <v>22515</v>
      </c>
      <c r="D2677" s="58" t="s">
        <v>24466</v>
      </c>
      <c r="E2677" s="58" t="s">
        <v>24467</v>
      </c>
      <c r="I2677" s="58" t="s">
        <v>24468</v>
      </c>
      <c r="Q2677" s="58">
        <v>24.0</v>
      </c>
      <c r="R2677" s="58">
        <v>10.0</v>
      </c>
      <c r="CL2677" s="58" t="s">
        <v>24469</v>
      </c>
      <c r="CP2677" s="58" t="s">
        <v>24470</v>
      </c>
      <c r="CX2677" s="58" t="s">
        <v>24471</v>
      </c>
      <c r="CY2677" s="58" t="s">
        <v>24472</v>
      </c>
      <c r="CZ2677" s="58">
        <v>2023.0</v>
      </c>
      <c r="DA2677" s="58" t="s">
        <v>16538</v>
      </c>
      <c r="DC2677" s="58">
        <v>21959.0</v>
      </c>
      <c r="DD2677" s="58">
        <v>21981.0</v>
      </c>
      <c r="DE2677" s="58">
        <v>22.0</v>
      </c>
      <c r="DF2677" s="58">
        <v>11.0</v>
      </c>
      <c r="DG2677" s="58" t="s">
        <v>24473</v>
      </c>
      <c r="DH2677" s="58" t="s">
        <v>22525</v>
      </c>
      <c r="DJ2677" s="58" t="s">
        <v>237</v>
      </c>
      <c r="DK2677" s="58" t="s">
        <v>24474</v>
      </c>
      <c r="DL2677" s="58" t="s">
        <v>24475</v>
      </c>
    </row>
    <row r="2678" ht="15.75" customHeight="1">
      <c r="B2678" s="58" t="s">
        <v>22515</v>
      </c>
      <c r="D2678" s="58" t="s">
        <v>24476</v>
      </c>
      <c r="E2678" s="58" t="s">
        <v>24477</v>
      </c>
      <c r="I2678" s="58" t="s">
        <v>24478</v>
      </c>
      <c r="Q2678" s="58">
        <v>21.0</v>
      </c>
      <c r="R2678" s="58">
        <v>12.0</v>
      </c>
      <c r="CL2678" s="58" t="s">
        <v>24479</v>
      </c>
      <c r="CP2678" s="58" t="s">
        <v>24480</v>
      </c>
      <c r="CX2678" s="58" t="s">
        <v>24481</v>
      </c>
      <c r="CY2678" s="58" t="s">
        <v>24482</v>
      </c>
      <c r="CZ2678" s="58">
        <v>2023.0</v>
      </c>
      <c r="DA2678" s="58" t="s">
        <v>23242</v>
      </c>
      <c r="DB2678" s="58">
        <v>4453.0</v>
      </c>
      <c r="DF2678" s="58">
        <v>10.0</v>
      </c>
      <c r="DG2678" s="58" t="s">
        <v>24483</v>
      </c>
      <c r="DH2678" s="58" t="s">
        <v>22525</v>
      </c>
      <c r="DI2678" s="58" t="s">
        <v>22622</v>
      </c>
      <c r="DJ2678" s="58" t="s">
        <v>237</v>
      </c>
      <c r="DK2678" s="58" t="s">
        <v>24484</v>
      </c>
    </row>
    <row r="2679" ht="15.75" customHeight="1">
      <c r="B2679" s="58" t="s">
        <v>22515</v>
      </c>
      <c r="D2679" s="58" t="s">
        <v>24485</v>
      </c>
      <c r="E2679" s="58" t="s">
        <v>24486</v>
      </c>
      <c r="I2679" s="58" t="s">
        <v>24487</v>
      </c>
      <c r="Q2679" s="58">
        <v>2.0</v>
      </c>
      <c r="R2679" s="58">
        <v>14.0</v>
      </c>
      <c r="CL2679" s="58" t="s">
        <v>24488</v>
      </c>
      <c r="CP2679" s="58" t="s">
        <v>24489</v>
      </c>
      <c r="CX2679" s="58" t="s">
        <v>24490</v>
      </c>
      <c r="CY2679" s="58" t="s">
        <v>24491</v>
      </c>
      <c r="CZ2679" s="58">
        <v>2024.0</v>
      </c>
      <c r="DA2679" s="58" t="s">
        <v>23168</v>
      </c>
      <c r="DB2679" s="58">
        <v>887.0</v>
      </c>
      <c r="DF2679" s="58">
        <v>2.0</v>
      </c>
      <c r="DG2679" s="58" t="s">
        <v>24492</v>
      </c>
      <c r="DH2679" s="58" t="s">
        <v>22525</v>
      </c>
      <c r="DI2679" s="58" t="s">
        <v>22622</v>
      </c>
      <c r="DJ2679" s="58" t="s">
        <v>237</v>
      </c>
      <c r="DK2679" s="58" t="s">
        <v>24493</v>
      </c>
    </row>
    <row r="2680" ht="15.75" customHeight="1">
      <c r="B2680" s="58" t="s">
        <v>22515</v>
      </c>
      <c r="D2680" s="58" t="s">
        <v>24494</v>
      </c>
      <c r="E2680" s="58" t="s">
        <v>24495</v>
      </c>
      <c r="I2680" s="58" t="s">
        <v>24496</v>
      </c>
      <c r="R2680" s="58">
        <v>238.0</v>
      </c>
      <c r="CL2680" s="58" t="s">
        <v>24497</v>
      </c>
      <c r="CP2680" s="58" t="s">
        <v>24498</v>
      </c>
      <c r="CX2680" s="58" t="s">
        <v>24499</v>
      </c>
      <c r="CY2680" s="58" t="s">
        <v>24500</v>
      </c>
      <c r="CZ2680" s="58">
        <v>2024.0</v>
      </c>
      <c r="DA2680" s="58" t="s">
        <v>23179</v>
      </c>
      <c r="DB2680" s="58">
        <v>110080.0</v>
      </c>
      <c r="DF2680" s="58">
        <v>27.0</v>
      </c>
      <c r="DG2680" s="58" t="s">
        <v>24501</v>
      </c>
      <c r="DH2680" s="58" t="s">
        <v>22525</v>
      </c>
      <c r="DJ2680" s="58" t="s">
        <v>237</v>
      </c>
      <c r="DK2680" s="58" t="s">
        <v>24502</v>
      </c>
      <c r="DL2680" s="58" t="s">
        <v>24503</v>
      </c>
    </row>
    <row r="2681" ht="15.75" customHeight="1">
      <c r="B2681" s="58" t="s">
        <v>22515</v>
      </c>
      <c r="D2681" s="58" t="s">
        <v>24504</v>
      </c>
      <c r="E2681" s="58" t="s">
        <v>24505</v>
      </c>
      <c r="I2681" s="58" t="s">
        <v>24506</v>
      </c>
      <c r="R2681" s="58">
        <v>12.0</v>
      </c>
      <c r="CL2681" s="58" t="s">
        <v>24507</v>
      </c>
      <c r="CP2681" s="58" t="s">
        <v>24508</v>
      </c>
      <c r="CX2681" s="58" t="s">
        <v>24509</v>
      </c>
      <c r="CY2681" s="58" t="s">
        <v>24510</v>
      </c>
      <c r="CZ2681" s="58">
        <v>2024.0</v>
      </c>
      <c r="DA2681" s="58" t="s">
        <v>24511</v>
      </c>
      <c r="DB2681" s="58">
        <v>1435704.0</v>
      </c>
      <c r="DF2681" s="58">
        <v>0.0</v>
      </c>
      <c r="DG2681" s="58" t="s">
        <v>24512</v>
      </c>
      <c r="DH2681" s="58" t="s">
        <v>22525</v>
      </c>
      <c r="DI2681" s="58" t="s">
        <v>22622</v>
      </c>
      <c r="DJ2681" s="58" t="s">
        <v>237</v>
      </c>
      <c r="DK2681" s="58" t="s">
        <v>24513</v>
      </c>
      <c r="DL2681" s="58" t="s">
        <v>24514</v>
      </c>
    </row>
    <row r="2682" ht="15.75" customHeight="1">
      <c r="B2682" s="58" t="s">
        <v>22771</v>
      </c>
      <c r="D2682" s="58" t="s">
        <v>24515</v>
      </c>
      <c r="E2682" s="58" t="s">
        <v>24516</v>
      </c>
      <c r="I2682" s="58" t="s">
        <v>24517</v>
      </c>
      <c r="CL2682" s="58" t="s">
        <v>24518</v>
      </c>
      <c r="CX2682" s="58" t="s">
        <v>24519</v>
      </c>
      <c r="CY2682" s="58" t="s">
        <v>24520</v>
      </c>
      <c r="CZ2682" s="58">
        <v>2024.0</v>
      </c>
      <c r="DA2682" s="58" t="s">
        <v>24521</v>
      </c>
      <c r="DC2682" s="58">
        <v>1043.0</v>
      </c>
      <c r="DD2682" s="58">
        <v>1062.0</v>
      </c>
      <c r="DE2682" s="58">
        <v>19.0</v>
      </c>
      <c r="DF2682" s="58">
        <v>3.0</v>
      </c>
      <c r="DG2682" s="58" t="s">
        <v>24522</v>
      </c>
      <c r="DH2682" s="58" t="s">
        <v>22525</v>
      </c>
      <c r="DJ2682" s="58" t="s">
        <v>237</v>
      </c>
      <c r="DK2682" s="58" t="s">
        <v>24523</v>
      </c>
      <c r="DL2682" s="58" t="s">
        <v>24524</v>
      </c>
    </row>
    <row r="2683" ht="15.75" customHeight="1">
      <c r="B2683" s="58" t="s">
        <v>22515</v>
      </c>
      <c r="D2683" s="58" t="s">
        <v>24525</v>
      </c>
      <c r="E2683" s="58" t="s">
        <v>24526</v>
      </c>
      <c r="I2683" s="58" t="s">
        <v>24527</v>
      </c>
      <c r="Q2683" s="58">
        <v>4.0</v>
      </c>
      <c r="R2683" s="58">
        <v>17.0</v>
      </c>
      <c r="CL2683" s="58" t="s">
        <v>24528</v>
      </c>
      <c r="CP2683" s="58" t="s">
        <v>24529</v>
      </c>
      <c r="CX2683" s="58" t="s">
        <v>24530</v>
      </c>
      <c r="CY2683" s="58" t="s">
        <v>24531</v>
      </c>
      <c r="CZ2683" s="58">
        <v>2024.0</v>
      </c>
      <c r="DA2683" s="58" t="s">
        <v>16613</v>
      </c>
      <c r="DC2683" s="58">
        <v>1636.0</v>
      </c>
      <c r="DD2683" s="58">
        <v>1654.0</v>
      </c>
      <c r="DE2683" s="58">
        <v>18.0</v>
      </c>
      <c r="DF2683" s="58">
        <v>0.0</v>
      </c>
      <c r="DG2683" s="58" t="s">
        <v>24532</v>
      </c>
      <c r="DH2683" s="58" t="s">
        <v>22525</v>
      </c>
      <c r="DI2683" s="58" t="s">
        <v>23606</v>
      </c>
      <c r="DJ2683" s="58" t="s">
        <v>237</v>
      </c>
      <c r="DK2683" s="58" t="s">
        <v>24533</v>
      </c>
      <c r="DL2683" s="58" t="s">
        <v>24534</v>
      </c>
    </row>
    <row r="2684" ht="15.75" customHeight="1">
      <c r="B2684" s="58" t="s">
        <v>22515</v>
      </c>
      <c r="D2684" s="58" t="s">
        <v>24535</v>
      </c>
      <c r="E2684" s="58" t="s">
        <v>24536</v>
      </c>
      <c r="I2684" s="58" t="s">
        <v>24537</v>
      </c>
      <c r="Q2684" s="58" t="s">
        <v>24538</v>
      </c>
      <c r="R2684" s="58">
        <v>55.0</v>
      </c>
      <c r="CL2684" s="58" t="s">
        <v>24539</v>
      </c>
      <c r="CP2684" s="58" t="s">
        <v>24540</v>
      </c>
      <c r="CX2684" s="58" t="s">
        <v>24541</v>
      </c>
      <c r="CY2684" s="58" t="s">
        <v>24542</v>
      </c>
      <c r="CZ2684" s="58">
        <v>2023.0</v>
      </c>
      <c r="DA2684" s="58" t="s">
        <v>23451</v>
      </c>
      <c r="DB2684" s="58">
        <v>336.0</v>
      </c>
      <c r="DF2684" s="58">
        <v>21.0</v>
      </c>
      <c r="DG2684" s="58" t="s">
        <v>24543</v>
      </c>
      <c r="DH2684" s="58" t="s">
        <v>22525</v>
      </c>
      <c r="DI2684" s="58" t="s">
        <v>22656</v>
      </c>
      <c r="DJ2684" s="58" t="s">
        <v>237</v>
      </c>
      <c r="DK2684" s="58" t="s">
        <v>24544</v>
      </c>
      <c r="DL2684" s="58" t="s">
        <v>24545</v>
      </c>
    </row>
    <row r="2685" ht="15.75" customHeight="1">
      <c r="B2685" s="58" t="s">
        <v>22515</v>
      </c>
      <c r="D2685" s="58" t="s">
        <v>24546</v>
      </c>
      <c r="E2685" s="58" t="s">
        <v>24547</v>
      </c>
      <c r="I2685" s="58" t="s">
        <v>24548</v>
      </c>
      <c r="Q2685" s="58">
        <v>1.0</v>
      </c>
      <c r="R2685" s="58">
        <v>35.0</v>
      </c>
      <c r="CL2685" s="58" t="s">
        <v>24549</v>
      </c>
      <c r="CX2685" s="58" t="s">
        <v>24550</v>
      </c>
      <c r="CY2685" s="58" t="s">
        <v>24551</v>
      </c>
      <c r="CZ2685" s="58">
        <v>2024.0</v>
      </c>
      <c r="DA2685" s="58" t="s">
        <v>24552</v>
      </c>
      <c r="DB2685" s="58" t="s">
        <v>24553</v>
      </c>
      <c r="DF2685" s="58">
        <v>7.0</v>
      </c>
      <c r="DG2685" s="58" t="s">
        <v>24554</v>
      </c>
      <c r="DH2685" s="58" t="s">
        <v>22525</v>
      </c>
      <c r="DJ2685" s="58" t="s">
        <v>237</v>
      </c>
      <c r="DK2685" s="58" t="s">
        <v>24555</v>
      </c>
      <c r="DL2685" s="58" t="s">
        <v>24556</v>
      </c>
    </row>
    <row r="2686" ht="15.75" customHeight="1">
      <c r="B2686" s="58" t="s">
        <v>22515</v>
      </c>
      <c r="D2686" s="58" t="s">
        <v>24557</v>
      </c>
      <c r="E2686" s="58" t="s">
        <v>24558</v>
      </c>
      <c r="I2686" s="58" t="s">
        <v>24559</v>
      </c>
      <c r="Q2686" s="58">
        <v>4.0</v>
      </c>
      <c r="R2686" s="58">
        <v>25.0</v>
      </c>
      <c r="CL2686" s="58" t="s">
        <v>24560</v>
      </c>
      <c r="CP2686" s="58" t="s">
        <v>24561</v>
      </c>
      <c r="CX2686" s="58" t="s">
        <v>24562</v>
      </c>
      <c r="CY2686" s="58">
        <v>3.67165379E10</v>
      </c>
      <c r="CZ2686" s="58">
        <v>2024.0</v>
      </c>
      <c r="DA2686" s="58" t="s">
        <v>24563</v>
      </c>
      <c r="DC2686" s="58">
        <v>609.0</v>
      </c>
      <c r="DD2686" s="58">
        <v>617.0</v>
      </c>
      <c r="DE2686" s="58">
        <v>8.0</v>
      </c>
      <c r="DF2686" s="58">
        <v>0.0</v>
      </c>
      <c r="DG2686" s="58" t="s">
        <v>24564</v>
      </c>
      <c r="DH2686" s="58" t="s">
        <v>22525</v>
      </c>
      <c r="DI2686" s="58" t="s">
        <v>22526</v>
      </c>
      <c r="DJ2686" s="58" t="s">
        <v>237</v>
      </c>
      <c r="DK2686" s="58" t="s">
        <v>24565</v>
      </c>
      <c r="DL2686" s="58" t="s">
        <v>24566</v>
      </c>
    </row>
    <row r="2687" ht="15.75" customHeight="1">
      <c r="B2687" s="58" t="s">
        <v>22771</v>
      </c>
      <c r="D2687" s="58" t="s">
        <v>24567</v>
      </c>
      <c r="E2687" s="58" t="s">
        <v>24568</v>
      </c>
      <c r="I2687" s="58" t="s">
        <v>24569</v>
      </c>
      <c r="CL2687" s="58" t="s">
        <v>24570</v>
      </c>
      <c r="CP2687" s="58" t="s">
        <v>24571</v>
      </c>
      <c r="CX2687" s="58" t="s">
        <v>24572</v>
      </c>
      <c r="CY2687" s="58" t="s">
        <v>24573</v>
      </c>
      <c r="CZ2687" s="58">
        <v>2024.0</v>
      </c>
      <c r="DA2687" s="58" t="s">
        <v>24574</v>
      </c>
      <c r="DF2687" s="58">
        <v>0.0</v>
      </c>
      <c r="DG2687" s="58" t="s">
        <v>24575</v>
      </c>
      <c r="DH2687" s="58" t="s">
        <v>22525</v>
      </c>
      <c r="DJ2687" s="58" t="s">
        <v>237</v>
      </c>
      <c r="DK2687" s="58" t="s">
        <v>24576</v>
      </c>
      <c r="DL2687" s="58" t="s">
        <v>24577</v>
      </c>
    </row>
    <row r="2688" ht="15.75" customHeight="1">
      <c r="B2688" s="58" t="s">
        <v>22515</v>
      </c>
      <c r="D2688" s="58" t="s">
        <v>24578</v>
      </c>
      <c r="E2688" s="58" t="s">
        <v>24579</v>
      </c>
      <c r="I2688" s="58" t="s">
        <v>24580</v>
      </c>
      <c r="CL2688" s="58" t="s">
        <v>24581</v>
      </c>
      <c r="CP2688" s="58" t="s">
        <v>24582</v>
      </c>
      <c r="CX2688" s="58" t="s">
        <v>24583</v>
      </c>
      <c r="CY2688" s="58" t="s">
        <v>24584</v>
      </c>
      <c r="CZ2688" s="58">
        <v>2024.0</v>
      </c>
      <c r="DA2688" s="58" t="s">
        <v>24585</v>
      </c>
      <c r="DF2688" s="58">
        <v>0.0</v>
      </c>
      <c r="DG2688" s="58" t="s">
        <v>24586</v>
      </c>
      <c r="DH2688" s="58" t="s">
        <v>22588</v>
      </c>
      <c r="DJ2688" s="58" t="s">
        <v>237</v>
      </c>
      <c r="DK2688" s="58" t="s">
        <v>24587</v>
      </c>
      <c r="DL2688" s="58" t="s">
        <v>24588</v>
      </c>
    </row>
    <row r="2689" ht="15.75" customHeight="1">
      <c r="B2689" s="58" t="s">
        <v>22771</v>
      </c>
      <c r="D2689" s="58" t="s">
        <v>24589</v>
      </c>
      <c r="E2689" s="58" t="s">
        <v>24590</v>
      </c>
      <c r="I2689" s="58" t="s">
        <v>24591</v>
      </c>
      <c r="CL2689" s="58" t="s">
        <v>24592</v>
      </c>
      <c r="CP2689" s="58" t="s">
        <v>24593</v>
      </c>
      <c r="CX2689" s="58" t="s">
        <v>24594</v>
      </c>
      <c r="CY2689" s="58" t="s">
        <v>24595</v>
      </c>
      <c r="CZ2689" s="58">
        <v>2024.0</v>
      </c>
      <c r="DA2689" s="58" t="s">
        <v>24596</v>
      </c>
      <c r="DC2689" s="58">
        <v>452.0</v>
      </c>
      <c r="DD2689" s="58">
        <v>470.0</v>
      </c>
      <c r="DE2689" s="58">
        <v>18.0</v>
      </c>
      <c r="DF2689" s="58">
        <v>9.0</v>
      </c>
      <c r="DG2689" s="58" t="s">
        <v>24597</v>
      </c>
      <c r="DH2689" s="58" t="s">
        <v>22525</v>
      </c>
      <c r="DJ2689" s="58" t="s">
        <v>237</v>
      </c>
      <c r="DK2689" s="58" t="s">
        <v>24598</v>
      </c>
      <c r="DL2689" s="58" t="s">
        <v>24599</v>
      </c>
    </row>
    <row r="2690" ht="15.75" customHeight="1">
      <c r="B2690" s="58" t="s">
        <v>22771</v>
      </c>
      <c r="D2690" s="58" t="s">
        <v>24600</v>
      </c>
      <c r="E2690" s="58" t="s">
        <v>24601</v>
      </c>
      <c r="I2690" s="58" t="s">
        <v>24602</v>
      </c>
      <c r="R2690" s="58" t="s">
        <v>24603</v>
      </c>
      <c r="CL2690" s="58" t="s">
        <v>24604</v>
      </c>
      <c r="CP2690" s="58" t="s">
        <v>24605</v>
      </c>
      <c r="CX2690" s="58" t="s">
        <v>24606</v>
      </c>
      <c r="CY2690" s="58" t="s">
        <v>24607</v>
      </c>
      <c r="CZ2690" s="58">
        <v>2024.0</v>
      </c>
      <c r="DA2690" s="58" t="s">
        <v>24608</v>
      </c>
      <c r="DC2690" s="58">
        <v>15.0</v>
      </c>
      <c r="DD2690" s="58">
        <v>27.0</v>
      </c>
      <c r="DE2690" s="58">
        <v>12.0</v>
      </c>
      <c r="DF2690" s="58">
        <v>0.0</v>
      </c>
      <c r="DG2690" s="58" t="s">
        <v>24609</v>
      </c>
      <c r="DH2690" s="58" t="s">
        <v>22525</v>
      </c>
      <c r="DJ2690" s="58" t="s">
        <v>237</v>
      </c>
      <c r="DK2690" s="58" t="s">
        <v>24610</v>
      </c>
      <c r="DL2690" s="58" t="s">
        <v>24611</v>
      </c>
    </row>
    <row r="2691" ht="15.75" customHeight="1">
      <c r="B2691" s="58" t="s">
        <v>22515</v>
      </c>
      <c r="D2691" s="58" t="s">
        <v>24612</v>
      </c>
      <c r="E2691" s="58" t="s">
        <v>24613</v>
      </c>
      <c r="I2691" s="58" t="s">
        <v>24614</v>
      </c>
      <c r="Q2691" s="58">
        <v>12.0</v>
      </c>
      <c r="R2691" s="58">
        <v>35.0</v>
      </c>
      <c r="CL2691" s="58" t="s">
        <v>24615</v>
      </c>
      <c r="CP2691" s="58" t="s">
        <v>24616</v>
      </c>
      <c r="CX2691" s="58" t="s">
        <v>24617</v>
      </c>
      <c r="CY2691" s="58" t="s">
        <v>24618</v>
      </c>
      <c r="CZ2691" s="58">
        <v>2024.0</v>
      </c>
      <c r="DA2691" s="58" t="s">
        <v>24619</v>
      </c>
      <c r="DC2691" s="58">
        <v>1451.0</v>
      </c>
      <c r="DD2691" s="58">
        <v>1465.0</v>
      </c>
      <c r="DE2691" s="58">
        <v>14.0</v>
      </c>
      <c r="DF2691" s="58">
        <v>2.0</v>
      </c>
      <c r="DG2691" s="58" t="s">
        <v>24620</v>
      </c>
      <c r="DH2691" s="58" t="s">
        <v>22525</v>
      </c>
      <c r="DI2691" s="58" t="s">
        <v>23606</v>
      </c>
      <c r="DJ2691" s="58" t="s">
        <v>237</v>
      </c>
      <c r="DK2691" s="58" t="s">
        <v>24621</v>
      </c>
      <c r="DL2691" s="58" t="s">
        <v>24622</v>
      </c>
    </row>
    <row r="2692" ht="15.75" customHeight="1">
      <c r="B2692" s="58" t="s">
        <v>22771</v>
      </c>
      <c r="D2692" s="58" t="s">
        <v>24623</v>
      </c>
      <c r="E2692" s="58" t="s">
        <v>24624</v>
      </c>
      <c r="I2692" s="58" t="s">
        <v>24625</v>
      </c>
      <c r="CL2692" s="58" t="s">
        <v>24626</v>
      </c>
      <c r="CP2692" s="58" t="s">
        <v>24627</v>
      </c>
      <c r="CX2692" s="58" t="s">
        <v>24628</v>
      </c>
      <c r="CY2692" s="58" t="s">
        <v>24629</v>
      </c>
      <c r="CZ2692" s="58">
        <v>2024.0</v>
      </c>
      <c r="DA2692" s="58" t="s">
        <v>24596</v>
      </c>
      <c r="DC2692" s="58">
        <v>471.0</v>
      </c>
      <c r="DD2692" s="58">
        <v>486.0</v>
      </c>
      <c r="DE2692" s="58">
        <v>15.0</v>
      </c>
      <c r="DF2692" s="58">
        <v>4.0</v>
      </c>
      <c r="DG2692" s="58" t="s">
        <v>24630</v>
      </c>
      <c r="DH2692" s="58" t="s">
        <v>22525</v>
      </c>
      <c r="DJ2692" s="58" t="s">
        <v>237</v>
      </c>
      <c r="DK2692" s="58" t="s">
        <v>24631</v>
      </c>
      <c r="DL2692" s="58" t="s">
        <v>24632</v>
      </c>
    </row>
    <row r="2693" ht="15.75" customHeight="1">
      <c r="B2693" s="58" t="s">
        <v>22771</v>
      </c>
      <c r="D2693" s="58" t="s">
        <v>24633</v>
      </c>
      <c r="E2693" s="58" t="s">
        <v>24634</v>
      </c>
      <c r="I2693" s="58" t="s">
        <v>24635</v>
      </c>
      <c r="CL2693" s="58" t="s">
        <v>24636</v>
      </c>
      <c r="CP2693" s="58" t="s">
        <v>24637</v>
      </c>
      <c r="CX2693" s="58" t="s">
        <v>24638</v>
      </c>
      <c r="CY2693" s="58" t="s">
        <v>24639</v>
      </c>
      <c r="CZ2693" s="58">
        <v>2024.0</v>
      </c>
      <c r="DA2693" s="58" t="s">
        <v>24640</v>
      </c>
      <c r="DC2693" s="58">
        <v>1363.0</v>
      </c>
      <c r="DD2693" s="58">
        <v>1367.0</v>
      </c>
      <c r="DE2693" s="58">
        <v>4.0</v>
      </c>
      <c r="DF2693" s="58">
        <v>0.0</v>
      </c>
      <c r="DG2693" s="58" t="s">
        <v>24641</v>
      </c>
      <c r="DH2693" s="58" t="s">
        <v>22525</v>
      </c>
      <c r="DJ2693" s="58" t="s">
        <v>237</v>
      </c>
      <c r="DK2693" s="58" t="s">
        <v>24642</v>
      </c>
      <c r="DL2693" s="58" t="s">
        <v>24643</v>
      </c>
    </row>
    <row r="2694" ht="15.75" customHeight="1">
      <c r="B2694" s="58" t="s">
        <v>22515</v>
      </c>
      <c r="D2694" s="58" t="s">
        <v>24644</v>
      </c>
      <c r="E2694" s="58" t="s">
        <v>24645</v>
      </c>
      <c r="I2694" s="58" t="s">
        <v>24646</v>
      </c>
      <c r="R2694" s="58">
        <v>35.0</v>
      </c>
      <c r="CL2694" s="58" t="s">
        <v>24647</v>
      </c>
      <c r="CP2694" s="58" t="s">
        <v>24648</v>
      </c>
      <c r="CX2694" s="58" t="s">
        <v>24649</v>
      </c>
      <c r="CY2694" s="58" t="s">
        <v>24650</v>
      </c>
      <c r="CZ2694" s="58">
        <v>2023.0</v>
      </c>
      <c r="DA2694" s="58" t="s">
        <v>24651</v>
      </c>
      <c r="DB2694" s="58">
        <v>100507.0</v>
      </c>
      <c r="DF2694" s="58">
        <v>11.0</v>
      </c>
      <c r="DG2694" s="58" t="s">
        <v>24652</v>
      </c>
      <c r="DH2694" s="58" t="s">
        <v>22525</v>
      </c>
      <c r="DI2694" s="58" t="s">
        <v>23606</v>
      </c>
      <c r="DJ2694" s="58" t="s">
        <v>237</v>
      </c>
      <c r="DK2694" s="58" t="s">
        <v>24653</v>
      </c>
      <c r="DL2694" s="58" t="s">
        <v>24654</v>
      </c>
    </row>
    <row r="2695" ht="15.75" customHeight="1">
      <c r="B2695" s="58" t="s">
        <v>22515</v>
      </c>
      <c r="D2695" s="58" t="s">
        <v>24655</v>
      </c>
      <c r="E2695" s="58" t="s">
        <v>24656</v>
      </c>
      <c r="I2695" s="58" t="s">
        <v>24657</v>
      </c>
      <c r="CL2695" s="58" t="s">
        <v>24658</v>
      </c>
      <c r="CP2695" s="58" t="s">
        <v>24659</v>
      </c>
      <c r="CX2695" s="58" t="s">
        <v>24660</v>
      </c>
      <c r="CY2695" s="58" t="s">
        <v>24661</v>
      </c>
      <c r="CZ2695" s="58">
        <v>2024.0</v>
      </c>
      <c r="DA2695" s="58" t="s">
        <v>18018</v>
      </c>
      <c r="DF2695" s="58">
        <v>0.0</v>
      </c>
      <c r="DG2695" s="58" t="s">
        <v>24662</v>
      </c>
      <c r="DH2695" s="58" t="s">
        <v>22588</v>
      </c>
      <c r="DJ2695" s="58" t="s">
        <v>237</v>
      </c>
      <c r="DK2695" s="58" t="s">
        <v>24663</v>
      </c>
      <c r="DL2695" s="58" t="s">
        <v>24664</v>
      </c>
    </row>
    <row r="2696" ht="15.75" customHeight="1">
      <c r="B2696" s="58" t="s">
        <v>22515</v>
      </c>
      <c r="D2696" s="58" t="s">
        <v>24665</v>
      </c>
      <c r="E2696" s="58" t="s">
        <v>24666</v>
      </c>
      <c r="I2696" s="58" t="s">
        <v>24667</v>
      </c>
      <c r="Q2696" s="58">
        <v>10.0</v>
      </c>
      <c r="R2696" s="58">
        <v>23.0</v>
      </c>
      <c r="CL2696" s="58" t="s">
        <v>24668</v>
      </c>
      <c r="CP2696" s="58" t="s">
        <v>24669</v>
      </c>
      <c r="CX2696" s="58" t="s">
        <v>24670</v>
      </c>
      <c r="CY2696" s="58">
        <v>5.77539955E10</v>
      </c>
      <c r="CZ2696" s="58">
        <v>2023.0</v>
      </c>
      <c r="DA2696" s="58" t="s">
        <v>24671</v>
      </c>
      <c r="DC2696" s="58">
        <v>4272.0</v>
      </c>
      <c r="DD2696" s="58">
        <v>4285.0</v>
      </c>
      <c r="DE2696" s="58">
        <v>13.0</v>
      </c>
      <c r="DF2696" s="58">
        <v>1.0</v>
      </c>
      <c r="DG2696" s="58" t="s">
        <v>24672</v>
      </c>
      <c r="DH2696" s="58" t="s">
        <v>22525</v>
      </c>
      <c r="DI2696" s="58" t="s">
        <v>22622</v>
      </c>
      <c r="DJ2696" s="58" t="s">
        <v>237</v>
      </c>
      <c r="DK2696" s="58" t="s">
        <v>24673</v>
      </c>
      <c r="DL2696" s="58" t="s">
        <v>24674</v>
      </c>
    </row>
    <row r="2697" ht="15.75" customHeight="1">
      <c r="B2697" s="58" t="s">
        <v>22771</v>
      </c>
      <c r="D2697" s="58" t="s">
        <v>24675</v>
      </c>
      <c r="E2697" s="58" t="s">
        <v>24676</v>
      </c>
      <c r="I2697" s="58" t="s">
        <v>24677</v>
      </c>
      <c r="CL2697" s="58" t="s">
        <v>24678</v>
      </c>
      <c r="CP2697" s="58" t="s">
        <v>24679</v>
      </c>
      <c r="CX2697" s="58" t="s">
        <v>24680</v>
      </c>
      <c r="CY2697" s="58" t="s">
        <v>24681</v>
      </c>
      <c r="CZ2697" s="58">
        <v>2024.0</v>
      </c>
      <c r="DA2697" s="58" t="s">
        <v>24682</v>
      </c>
      <c r="DC2697" s="58">
        <v>792.0</v>
      </c>
      <c r="DD2697" s="58">
        <v>803.0</v>
      </c>
      <c r="DE2697" s="58">
        <v>11.0</v>
      </c>
      <c r="DF2697" s="58">
        <v>0.0</v>
      </c>
      <c r="DG2697" s="58" t="s">
        <v>24683</v>
      </c>
      <c r="DH2697" s="58" t="s">
        <v>22525</v>
      </c>
      <c r="DJ2697" s="58" t="s">
        <v>237</v>
      </c>
      <c r="DK2697" s="58" t="s">
        <v>24684</v>
      </c>
      <c r="DL2697" s="58" t="s">
        <v>24685</v>
      </c>
    </row>
    <row r="2698" ht="15.75" customHeight="1">
      <c r="B2698" s="58" t="s">
        <v>22515</v>
      </c>
      <c r="D2698" s="58" t="s">
        <v>24686</v>
      </c>
      <c r="E2698" s="58" t="s">
        <v>24687</v>
      </c>
      <c r="I2698" s="58" t="s">
        <v>24688</v>
      </c>
      <c r="R2698" s="58">
        <v>12.0</v>
      </c>
      <c r="CL2698" s="58" t="s">
        <v>24689</v>
      </c>
      <c r="CP2698" s="58" t="s">
        <v>24690</v>
      </c>
      <c r="CX2698" s="58" t="s">
        <v>24691</v>
      </c>
      <c r="CY2698" s="58" t="s">
        <v>24692</v>
      </c>
      <c r="CZ2698" s="58">
        <v>2024.0</v>
      </c>
      <c r="DA2698" s="58" t="s">
        <v>16436</v>
      </c>
      <c r="DC2698" s="58">
        <v>36239.0</v>
      </c>
      <c r="DD2698" s="58">
        <v>36256.0</v>
      </c>
      <c r="DE2698" s="58">
        <v>17.0</v>
      </c>
      <c r="DF2698" s="58">
        <v>9.0</v>
      </c>
      <c r="DG2698" s="58" t="s">
        <v>24693</v>
      </c>
      <c r="DH2698" s="58" t="s">
        <v>22525</v>
      </c>
      <c r="DI2698" s="58" t="s">
        <v>22622</v>
      </c>
      <c r="DJ2698" s="58" t="s">
        <v>237</v>
      </c>
      <c r="DK2698" s="58" t="s">
        <v>24694</v>
      </c>
      <c r="DL2698" s="58" t="s">
        <v>24695</v>
      </c>
    </row>
    <row r="2699" ht="15.75" customHeight="1">
      <c r="B2699" s="58" t="s">
        <v>22515</v>
      </c>
      <c r="D2699" s="58" t="s">
        <v>24696</v>
      </c>
      <c r="E2699" s="58" t="s">
        <v>24697</v>
      </c>
      <c r="I2699" s="58" t="s">
        <v>24698</v>
      </c>
      <c r="Q2699" s="58">
        <v>7.0</v>
      </c>
      <c r="R2699" s="58">
        <v>60.0</v>
      </c>
      <c r="CL2699" s="58" t="s">
        <v>24699</v>
      </c>
      <c r="CP2699" s="58" t="s">
        <v>24700</v>
      </c>
      <c r="CX2699" s="58" t="s">
        <v>24701</v>
      </c>
      <c r="CY2699" s="58" t="s">
        <v>24702</v>
      </c>
      <c r="CZ2699" s="58">
        <v>2023.0</v>
      </c>
      <c r="DA2699" s="58" t="s">
        <v>24703</v>
      </c>
      <c r="DB2699" s="58">
        <v>103856.0</v>
      </c>
      <c r="DF2699" s="58">
        <v>12.0</v>
      </c>
      <c r="DG2699" s="58" t="s">
        <v>24704</v>
      </c>
      <c r="DH2699" s="58" t="s">
        <v>22525</v>
      </c>
      <c r="DJ2699" s="58" t="s">
        <v>237</v>
      </c>
      <c r="DK2699" s="58" t="s">
        <v>24705</v>
      </c>
      <c r="DL2699" s="58" t="s">
        <v>24706</v>
      </c>
    </row>
    <row r="2700" ht="15.75" customHeight="1">
      <c r="B2700" s="58" t="s">
        <v>22771</v>
      </c>
      <c r="D2700" s="58" t="s">
        <v>24707</v>
      </c>
      <c r="E2700" s="58" t="s">
        <v>24708</v>
      </c>
      <c r="I2700" s="58" t="s">
        <v>24709</v>
      </c>
      <c r="CL2700" s="58" t="s">
        <v>24710</v>
      </c>
      <c r="CX2700" s="58" t="s">
        <v>24711</v>
      </c>
      <c r="CY2700" s="58" t="s">
        <v>24712</v>
      </c>
      <c r="CZ2700" s="58">
        <v>2024.0</v>
      </c>
      <c r="DA2700" s="58" t="s">
        <v>24713</v>
      </c>
      <c r="DF2700" s="58">
        <v>1.0</v>
      </c>
      <c r="DG2700" s="58" t="s">
        <v>24714</v>
      </c>
      <c r="DH2700" s="58" t="s">
        <v>22525</v>
      </c>
      <c r="DJ2700" s="58" t="s">
        <v>237</v>
      </c>
      <c r="DK2700" s="58" t="s">
        <v>24715</v>
      </c>
      <c r="DL2700" s="58" t="s">
        <v>24716</v>
      </c>
    </row>
    <row r="2701" ht="15.75" customHeight="1">
      <c r="B2701" s="58" t="s">
        <v>22515</v>
      </c>
      <c r="D2701" s="58" t="s">
        <v>24717</v>
      </c>
      <c r="E2701" s="58" t="s">
        <v>24718</v>
      </c>
      <c r="I2701" s="58" t="s">
        <v>24719</v>
      </c>
      <c r="Q2701" s="58">
        <v>1.0</v>
      </c>
      <c r="R2701" s="58">
        <v>9.0</v>
      </c>
      <c r="CL2701" s="58" t="s">
        <v>24720</v>
      </c>
      <c r="CP2701" s="58" t="s">
        <v>24721</v>
      </c>
      <c r="CX2701" s="58" t="s">
        <v>24722</v>
      </c>
      <c r="CY2701" s="58" t="s">
        <v>24723</v>
      </c>
      <c r="CZ2701" s="58">
        <v>2024.0</v>
      </c>
      <c r="DA2701" s="58" t="s">
        <v>24724</v>
      </c>
      <c r="DB2701" s="58">
        <v>2.0242738E7</v>
      </c>
      <c r="DF2701" s="58">
        <v>0.0</v>
      </c>
      <c r="DG2701" s="58" t="s">
        <v>24725</v>
      </c>
      <c r="DH2701" s="58" t="s">
        <v>22525</v>
      </c>
      <c r="DI2701" s="58" t="s">
        <v>22622</v>
      </c>
      <c r="DJ2701" s="58" t="s">
        <v>237</v>
      </c>
      <c r="DK2701" s="58" t="s">
        <v>24726</v>
      </c>
      <c r="DL2701" s="58" t="s">
        <v>24727</v>
      </c>
    </row>
    <row r="2702" ht="15.75" customHeight="1">
      <c r="B2702" s="58" t="s">
        <v>22515</v>
      </c>
      <c r="D2702" s="58" t="s">
        <v>24728</v>
      </c>
      <c r="E2702" s="58" t="s">
        <v>24729</v>
      </c>
      <c r="I2702" s="58" t="s">
        <v>24730</v>
      </c>
      <c r="Q2702" s="58">
        <v>12.0</v>
      </c>
      <c r="R2702" s="58">
        <v>48.0</v>
      </c>
      <c r="CL2702" s="58" t="s">
        <v>24731</v>
      </c>
      <c r="CP2702" s="58" t="s">
        <v>24732</v>
      </c>
      <c r="CX2702" s="58" t="s">
        <v>24733</v>
      </c>
      <c r="CY2702" s="58">
        <v>1.00426608E10</v>
      </c>
      <c r="CZ2702" s="58">
        <v>2023.0</v>
      </c>
      <c r="DA2702" s="58" t="s">
        <v>23554</v>
      </c>
      <c r="DC2702" s="58">
        <v>1676.0</v>
      </c>
      <c r="DD2702" s="58">
        <v>1684.0</v>
      </c>
      <c r="DE2702" s="58">
        <v>8.0</v>
      </c>
      <c r="DF2702" s="58">
        <v>0.0</v>
      </c>
      <c r="DG2702" s="58" t="s">
        <v>24734</v>
      </c>
      <c r="DH2702" s="58" t="s">
        <v>22525</v>
      </c>
      <c r="DJ2702" s="58" t="s">
        <v>237</v>
      </c>
      <c r="DK2702" s="58" t="s">
        <v>24735</v>
      </c>
    </row>
    <row r="2703" ht="15.75" customHeight="1">
      <c r="B2703" s="58" t="s">
        <v>22515</v>
      </c>
      <c r="D2703" s="58" t="s">
        <v>24736</v>
      </c>
      <c r="E2703" s="58" t="s">
        <v>24737</v>
      </c>
      <c r="I2703" s="58" t="s">
        <v>24738</v>
      </c>
      <c r="Q2703" s="58">
        <v>12.0</v>
      </c>
      <c r="R2703" s="58">
        <v>38.0</v>
      </c>
      <c r="CL2703" s="58" t="s">
        <v>24739</v>
      </c>
      <c r="CP2703" s="58" t="s">
        <v>24740</v>
      </c>
      <c r="CX2703" s="58" t="s">
        <v>24741</v>
      </c>
      <c r="CY2703" s="58" t="s">
        <v>24742</v>
      </c>
      <c r="CZ2703" s="58">
        <v>2023.0</v>
      </c>
      <c r="DA2703" s="58" t="s">
        <v>24743</v>
      </c>
      <c r="DC2703" s="58">
        <v>2772.0</v>
      </c>
      <c r="DD2703" s="58">
        <v>2792.0</v>
      </c>
      <c r="DE2703" s="58">
        <v>20.0</v>
      </c>
      <c r="DF2703" s="58">
        <v>7.0</v>
      </c>
      <c r="DG2703" s="58" t="s">
        <v>24744</v>
      </c>
      <c r="DH2703" s="58" t="s">
        <v>22525</v>
      </c>
      <c r="DJ2703" s="58" t="s">
        <v>237</v>
      </c>
      <c r="DK2703" s="58" t="s">
        <v>24745</v>
      </c>
    </row>
    <row r="2704" ht="15.75" customHeight="1">
      <c r="B2704" s="58" t="s">
        <v>22515</v>
      </c>
      <c r="D2704" s="58" t="s">
        <v>24746</v>
      </c>
      <c r="E2704" s="58" t="s">
        <v>24747</v>
      </c>
      <c r="I2704" s="58" t="s">
        <v>24748</v>
      </c>
      <c r="R2704" s="58">
        <v>149.0</v>
      </c>
      <c r="CL2704" s="58" t="s">
        <v>24749</v>
      </c>
      <c r="CP2704" s="58" t="s">
        <v>24750</v>
      </c>
      <c r="CX2704" s="58" t="s">
        <v>24751</v>
      </c>
      <c r="CY2704" s="58" t="s">
        <v>24752</v>
      </c>
      <c r="CZ2704" s="58">
        <v>2023.0</v>
      </c>
      <c r="DA2704" s="58" t="s">
        <v>23116</v>
      </c>
      <c r="DC2704" s="58">
        <v>376.0</v>
      </c>
      <c r="DD2704" s="58">
        <v>389.0</v>
      </c>
      <c r="DE2704" s="58">
        <v>13.0</v>
      </c>
      <c r="DF2704" s="58">
        <v>9.0</v>
      </c>
      <c r="DG2704" s="58" t="s">
        <v>24753</v>
      </c>
      <c r="DH2704" s="58" t="s">
        <v>22525</v>
      </c>
      <c r="DJ2704" s="58" t="s">
        <v>237</v>
      </c>
      <c r="DK2704" s="58" t="s">
        <v>24754</v>
      </c>
      <c r="DL2704" s="58" t="s">
        <v>24755</v>
      </c>
    </row>
    <row r="2705" ht="15.75" customHeight="1">
      <c r="B2705" s="58" t="s">
        <v>22515</v>
      </c>
      <c r="D2705" s="58" t="s">
        <v>24756</v>
      </c>
      <c r="E2705" s="58" t="s">
        <v>24757</v>
      </c>
      <c r="I2705" s="58" t="s">
        <v>24758</v>
      </c>
      <c r="Q2705" s="58">
        <v>3.0</v>
      </c>
      <c r="R2705" s="58">
        <v>24.0</v>
      </c>
      <c r="CL2705" s="58" t="s">
        <v>24759</v>
      </c>
      <c r="CP2705" s="58" t="s">
        <v>24760</v>
      </c>
      <c r="CX2705" s="58" t="s">
        <v>24761</v>
      </c>
      <c r="CY2705" s="58" t="s">
        <v>24762</v>
      </c>
      <c r="CZ2705" s="58">
        <v>2024.0</v>
      </c>
      <c r="DA2705" s="58" t="s">
        <v>24763</v>
      </c>
      <c r="DC2705" s="58">
        <v>23.0</v>
      </c>
      <c r="DD2705" s="58">
        <v>32.0</v>
      </c>
      <c r="DE2705" s="58">
        <v>9.0</v>
      </c>
      <c r="DF2705" s="58">
        <v>0.0</v>
      </c>
      <c r="DG2705" s="58" t="s">
        <v>24764</v>
      </c>
      <c r="DH2705" s="58" t="s">
        <v>22525</v>
      </c>
      <c r="DI2705" s="58" t="s">
        <v>22622</v>
      </c>
      <c r="DJ2705" s="58" t="s">
        <v>237</v>
      </c>
      <c r="DK2705" s="58" t="s">
        <v>24765</v>
      </c>
    </row>
    <row r="2706" ht="15.75" customHeight="1">
      <c r="B2706" s="58" t="s">
        <v>22515</v>
      </c>
      <c r="D2706" s="58" t="s">
        <v>24766</v>
      </c>
      <c r="E2706" s="58" t="s">
        <v>24767</v>
      </c>
      <c r="I2706" s="58" t="s">
        <v>24768</v>
      </c>
      <c r="Q2706" s="58">
        <v>4.0</v>
      </c>
      <c r="R2706" s="58">
        <v>21.0</v>
      </c>
      <c r="CL2706" s="58" t="s">
        <v>24769</v>
      </c>
      <c r="CP2706" s="58" t="s">
        <v>24770</v>
      </c>
      <c r="CX2706" s="58" t="s">
        <v>24771</v>
      </c>
      <c r="CY2706" s="58" t="s">
        <v>24772</v>
      </c>
      <c r="CZ2706" s="58">
        <v>2023.0</v>
      </c>
      <c r="DA2706" s="58" t="s">
        <v>23482</v>
      </c>
      <c r="DB2706" s="58">
        <v>61.0</v>
      </c>
      <c r="DF2706" s="58">
        <v>11.0</v>
      </c>
      <c r="DG2706" s="58" t="s">
        <v>24773</v>
      </c>
      <c r="DH2706" s="58" t="s">
        <v>22525</v>
      </c>
      <c r="DJ2706" s="58" t="s">
        <v>237</v>
      </c>
      <c r="DK2706" s="58" t="s">
        <v>24774</v>
      </c>
      <c r="DL2706" s="58" t="s">
        <v>24775</v>
      </c>
    </row>
    <row r="2707" ht="15.75" customHeight="1">
      <c r="B2707" s="58" t="s">
        <v>22515</v>
      </c>
      <c r="D2707" s="58" t="s">
        <v>24776</v>
      </c>
      <c r="E2707" s="58" t="s">
        <v>24777</v>
      </c>
      <c r="I2707" s="58" t="s">
        <v>24778</v>
      </c>
      <c r="Q2707" s="58">
        <v>2.0</v>
      </c>
      <c r="R2707" s="58">
        <v>48.0</v>
      </c>
      <c r="CL2707" s="58" t="s">
        <v>24779</v>
      </c>
      <c r="CP2707" s="58" t="s">
        <v>24780</v>
      </c>
      <c r="CX2707" s="58" t="s">
        <v>24781</v>
      </c>
      <c r="CY2707" s="58" t="s">
        <v>24782</v>
      </c>
      <c r="CZ2707" s="58">
        <v>2024.0</v>
      </c>
      <c r="DA2707" s="58" t="s">
        <v>24783</v>
      </c>
      <c r="DC2707" s="58">
        <v>48.0</v>
      </c>
      <c r="DD2707" s="58">
        <v>63.0</v>
      </c>
      <c r="DE2707" s="58">
        <v>15.0</v>
      </c>
      <c r="DF2707" s="58">
        <v>0.0</v>
      </c>
      <c r="DG2707" s="58" t="s">
        <v>24784</v>
      </c>
      <c r="DH2707" s="58" t="s">
        <v>22525</v>
      </c>
      <c r="DJ2707" s="58" t="s">
        <v>237</v>
      </c>
      <c r="DK2707" s="58" t="s">
        <v>24785</v>
      </c>
      <c r="DL2707" s="58" t="s">
        <v>24786</v>
      </c>
    </row>
    <row r="2708" ht="15.75" customHeight="1">
      <c r="B2708" s="58" t="s">
        <v>22771</v>
      </c>
      <c r="D2708" s="58" t="s">
        <v>24787</v>
      </c>
      <c r="E2708" s="58" t="s">
        <v>24788</v>
      </c>
      <c r="I2708" s="58" t="s">
        <v>24789</v>
      </c>
      <c r="CL2708" s="58" t="s">
        <v>24790</v>
      </c>
      <c r="CP2708" s="58" t="s">
        <v>24791</v>
      </c>
      <c r="CX2708" s="58" t="s">
        <v>24792</v>
      </c>
      <c r="CY2708" s="58" t="s">
        <v>24793</v>
      </c>
      <c r="CZ2708" s="58">
        <v>2024.0</v>
      </c>
      <c r="DA2708" s="58" t="s">
        <v>24794</v>
      </c>
      <c r="DF2708" s="58">
        <v>0.0</v>
      </c>
      <c r="DG2708" s="58" t="s">
        <v>24795</v>
      </c>
      <c r="DH2708" s="58" t="s">
        <v>22525</v>
      </c>
      <c r="DJ2708" s="58" t="s">
        <v>237</v>
      </c>
      <c r="DK2708" s="58" t="s">
        <v>24796</v>
      </c>
      <c r="DL2708" s="58" t="s">
        <v>24797</v>
      </c>
    </row>
    <row r="2709" ht="15.75" customHeight="1">
      <c r="B2709" s="58" t="s">
        <v>22515</v>
      </c>
      <c r="D2709" s="58" t="s">
        <v>24798</v>
      </c>
      <c r="E2709" s="58" t="s">
        <v>24799</v>
      </c>
      <c r="I2709" s="58" t="s">
        <v>24800</v>
      </c>
      <c r="Q2709" s="58">
        <v>21.0</v>
      </c>
      <c r="R2709" s="58">
        <v>11.0</v>
      </c>
      <c r="CL2709" s="58" t="s">
        <v>24801</v>
      </c>
      <c r="CP2709" s="58" t="s">
        <v>24802</v>
      </c>
      <c r="CX2709" s="58" t="s">
        <v>24803</v>
      </c>
      <c r="CY2709" s="58" t="s">
        <v>24804</v>
      </c>
      <c r="CZ2709" s="58">
        <v>2024.0</v>
      </c>
      <c r="DA2709" s="58" t="s">
        <v>16538</v>
      </c>
      <c r="DC2709" s="58">
        <v>34296.0</v>
      </c>
      <c r="DD2709" s="58">
        <v>34311.0</v>
      </c>
      <c r="DE2709" s="58">
        <v>15.0</v>
      </c>
      <c r="DF2709" s="58">
        <v>1.0</v>
      </c>
      <c r="DG2709" s="58" t="s">
        <v>24805</v>
      </c>
      <c r="DH2709" s="58" t="s">
        <v>22525</v>
      </c>
      <c r="DJ2709" s="58" t="s">
        <v>237</v>
      </c>
      <c r="DK2709" s="58" t="s">
        <v>24806</v>
      </c>
      <c r="DL2709" s="58" t="s">
        <v>24807</v>
      </c>
    </row>
    <row r="2710" ht="15.75" customHeight="1">
      <c r="B2710" s="58" t="s">
        <v>22515</v>
      </c>
      <c r="D2710" s="58" t="s">
        <v>24808</v>
      </c>
      <c r="E2710" s="58" t="s">
        <v>24809</v>
      </c>
      <c r="I2710" s="58" t="s">
        <v>24810</v>
      </c>
      <c r="Q2710" s="58">
        <v>18.0</v>
      </c>
      <c r="R2710" s="58">
        <v>11.0</v>
      </c>
      <c r="CL2710" s="58" t="s">
        <v>24811</v>
      </c>
      <c r="CP2710" s="58" t="s">
        <v>24812</v>
      </c>
      <c r="CX2710" s="58" t="s">
        <v>24813</v>
      </c>
      <c r="CY2710" s="58" t="s">
        <v>24814</v>
      </c>
      <c r="CZ2710" s="58">
        <v>2024.0</v>
      </c>
      <c r="DA2710" s="58" t="s">
        <v>16538</v>
      </c>
      <c r="DC2710" s="58">
        <v>29689.0</v>
      </c>
      <c r="DD2710" s="58">
        <v>29708.0</v>
      </c>
      <c r="DE2710" s="58">
        <v>19.0</v>
      </c>
      <c r="DF2710" s="58">
        <v>0.0</v>
      </c>
      <c r="DG2710" s="58" t="s">
        <v>24815</v>
      </c>
      <c r="DH2710" s="58" t="s">
        <v>22525</v>
      </c>
      <c r="DJ2710" s="58" t="s">
        <v>237</v>
      </c>
      <c r="DK2710" s="58" t="s">
        <v>24816</v>
      </c>
      <c r="DL2710" s="58" t="s">
        <v>24817</v>
      </c>
    </row>
    <row r="2711" ht="15.75" customHeight="1">
      <c r="B2711" s="58" t="s">
        <v>22515</v>
      </c>
      <c r="D2711" s="58" t="s">
        <v>24818</v>
      </c>
      <c r="E2711" s="58" t="s">
        <v>24819</v>
      </c>
      <c r="I2711" s="58" t="s">
        <v>24820</v>
      </c>
      <c r="Q2711" s="58">
        <v>23.0</v>
      </c>
      <c r="R2711" s="58">
        <v>13.0</v>
      </c>
      <c r="CL2711" s="58" t="s">
        <v>24821</v>
      </c>
      <c r="CP2711" s="58" t="s">
        <v>24822</v>
      </c>
      <c r="CX2711" s="58" t="s">
        <v>24823</v>
      </c>
      <c r="CY2711" s="58" t="s">
        <v>24824</v>
      </c>
      <c r="CZ2711" s="58">
        <v>2023.0</v>
      </c>
      <c r="DA2711" s="58" t="s">
        <v>23168</v>
      </c>
      <c r="DB2711" s="58">
        <v>12635.0</v>
      </c>
      <c r="DF2711" s="58">
        <v>1.0</v>
      </c>
      <c r="DG2711" s="58" t="s">
        <v>24825</v>
      </c>
      <c r="DH2711" s="58" t="s">
        <v>22525</v>
      </c>
      <c r="DI2711" s="58" t="s">
        <v>22643</v>
      </c>
      <c r="DJ2711" s="58" t="s">
        <v>237</v>
      </c>
      <c r="DK2711" s="58" t="s">
        <v>24826</v>
      </c>
    </row>
    <row r="2712" ht="15.75" customHeight="1">
      <c r="B2712" s="58" t="s">
        <v>22515</v>
      </c>
      <c r="D2712" s="58" t="s">
        <v>24827</v>
      </c>
      <c r="E2712" s="58" t="s">
        <v>24828</v>
      </c>
      <c r="I2712" s="58" t="s">
        <v>24829</v>
      </c>
      <c r="R2712" s="58">
        <v>5.0</v>
      </c>
      <c r="CL2712" s="58" t="s">
        <v>24830</v>
      </c>
      <c r="CP2712" s="58" t="s">
        <v>24831</v>
      </c>
      <c r="CX2712" s="58" t="s">
        <v>24832</v>
      </c>
      <c r="CY2712" s="58" t="s">
        <v>24833</v>
      </c>
      <c r="CZ2712" s="58">
        <v>2024.0</v>
      </c>
      <c r="DA2712" s="58" t="s">
        <v>18504</v>
      </c>
      <c r="DC2712" s="58">
        <v>861.0</v>
      </c>
      <c r="DD2712" s="58">
        <v>885.0</v>
      </c>
      <c r="DE2712" s="58">
        <v>24.0</v>
      </c>
      <c r="DF2712" s="58">
        <v>1.0</v>
      </c>
      <c r="DG2712" s="58" t="s">
        <v>24834</v>
      </c>
      <c r="DH2712" s="58" t="s">
        <v>22525</v>
      </c>
      <c r="DJ2712" s="58" t="s">
        <v>237</v>
      </c>
      <c r="DK2712" s="58" t="s">
        <v>24835</v>
      </c>
      <c r="DL2712" s="58" t="s">
        <v>24836</v>
      </c>
    </row>
    <row r="2713" ht="15.75" customHeight="1">
      <c r="B2713" s="58" t="s">
        <v>22515</v>
      </c>
      <c r="D2713" s="58" t="s">
        <v>24837</v>
      </c>
      <c r="E2713" s="58" t="s">
        <v>24838</v>
      </c>
      <c r="I2713" s="58" t="s">
        <v>24839</v>
      </c>
      <c r="R2713" s="58">
        <v>12.0</v>
      </c>
      <c r="CL2713" s="58" t="s">
        <v>24840</v>
      </c>
      <c r="CP2713" s="58" t="s">
        <v>24841</v>
      </c>
      <c r="CX2713" s="58" t="s">
        <v>24842</v>
      </c>
      <c r="CY2713" s="58" t="s">
        <v>24843</v>
      </c>
      <c r="CZ2713" s="58">
        <v>2024.0</v>
      </c>
      <c r="DA2713" s="58" t="s">
        <v>16436</v>
      </c>
      <c r="DC2713" s="58">
        <v>132444.0</v>
      </c>
      <c r="DD2713" s="58">
        <v>132479.0</v>
      </c>
      <c r="DE2713" s="58">
        <v>35.0</v>
      </c>
      <c r="DF2713" s="58">
        <v>3.0</v>
      </c>
      <c r="DG2713" s="58" t="s">
        <v>24844</v>
      </c>
      <c r="DH2713" s="58" t="s">
        <v>22525</v>
      </c>
      <c r="DI2713" s="58" t="s">
        <v>22622</v>
      </c>
      <c r="DJ2713" s="58" t="s">
        <v>237</v>
      </c>
      <c r="DK2713" s="58" t="s">
        <v>24845</v>
      </c>
      <c r="DL2713" s="58" t="s">
        <v>24846</v>
      </c>
    </row>
    <row r="2714" ht="15.75" customHeight="1">
      <c r="B2714" s="58" t="s">
        <v>22515</v>
      </c>
      <c r="D2714" s="58" t="s">
        <v>24847</v>
      </c>
      <c r="E2714" s="58" t="s">
        <v>24848</v>
      </c>
      <c r="I2714" s="58" t="s">
        <v>24849</v>
      </c>
      <c r="Q2714" s="58">
        <v>5.0</v>
      </c>
      <c r="R2714" s="58">
        <v>33.0</v>
      </c>
      <c r="CL2714" s="58" t="s">
        <v>24850</v>
      </c>
      <c r="CP2714" s="58" t="s">
        <v>24851</v>
      </c>
      <c r="CX2714" s="58" t="s">
        <v>24852</v>
      </c>
      <c r="CY2714" s="58" t="s">
        <v>24853</v>
      </c>
      <c r="CZ2714" s="58">
        <v>2024.0</v>
      </c>
      <c r="DA2714" s="58" t="s">
        <v>24854</v>
      </c>
      <c r="DC2714" s="58">
        <v>5407.0</v>
      </c>
      <c r="DD2714" s="58">
        <v>5427.0</v>
      </c>
      <c r="DE2714" s="58">
        <v>20.0</v>
      </c>
      <c r="DF2714" s="58">
        <v>0.0</v>
      </c>
      <c r="DG2714" s="58" t="s">
        <v>24855</v>
      </c>
      <c r="DH2714" s="58" t="s">
        <v>22525</v>
      </c>
      <c r="DI2714" s="58" t="s">
        <v>22622</v>
      </c>
      <c r="DJ2714" s="58" t="s">
        <v>237</v>
      </c>
      <c r="DK2714" s="58" t="s">
        <v>24856</v>
      </c>
    </row>
    <row r="2715" ht="15.75" customHeight="1">
      <c r="B2715" s="58" t="s">
        <v>22515</v>
      </c>
      <c r="D2715" s="58" t="s">
        <v>24857</v>
      </c>
      <c r="E2715" s="58" t="s">
        <v>24858</v>
      </c>
      <c r="I2715" s="58" t="s">
        <v>24859</v>
      </c>
      <c r="R2715" s="58">
        <v>85.0</v>
      </c>
      <c r="CL2715" s="58" t="s">
        <v>24860</v>
      </c>
      <c r="CP2715" s="58" t="s">
        <v>24861</v>
      </c>
      <c r="CX2715" s="58" t="s">
        <v>24862</v>
      </c>
      <c r="CY2715" s="58" t="s">
        <v>24863</v>
      </c>
      <c r="CZ2715" s="58">
        <v>2023.0</v>
      </c>
      <c r="DA2715" s="58" t="s">
        <v>24864</v>
      </c>
      <c r="DC2715" s="58">
        <v>1.0</v>
      </c>
      <c r="DD2715" s="58">
        <v>8.0</v>
      </c>
      <c r="DE2715" s="58">
        <v>7.0</v>
      </c>
      <c r="DF2715" s="58">
        <v>0.0</v>
      </c>
      <c r="DG2715" s="58" t="s">
        <v>24865</v>
      </c>
      <c r="DH2715" s="58" t="s">
        <v>22525</v>
      </c>
      <c r="DI2715" s="58" t="s">
        <v>22622</v>
      </c>
      <c r="DJ2715" s="58" t="s">
        <v>237</v>
      </c>
      <c r="DK2715" s="58" t="s">
        <v>24866</v>
      </c>
      <c r="DL2715" s="58" t="s">
        <v>24867</v>
      </c>
    </row>
    <row r="2716" ht="15.75" customHeight="1">
      <c r="B2716" s="58" t="s">
        <v>22515</v>
      </c>
      <c r="D2716" s="58" t="s">
        <v>24868</v>
      </c>
      <c r="E2716" s="58" t="s">
        <v>24869</v>
      </c>
      <c r="I2716" s="58" t="s">
        <v>24870</v>
      </c>
      <c r="Q2716" s="58">
        <v>12.0</v>
      </c>
      <c r="R2716" s="58">
        <v>34.0</v>
      </c>
      <c r="CL2716" s="58" t="s">
        <v>24871</v>
      </c>
      <c r="CP2716" s="58" t="s">
        <v>24872</v>
      </c>
      <c r="CX2716" s="58" t="s">
        <v>24873</v>
      </c>
      <c r="CY2716" s="58" t="s">
        <v>24874</v>
      </c>
      <c r="CZ2716" s="58">
        <v>2023.0</v>
      </c>
      <c r="DA2716" s="58" t="s">
        <v>24875</v>
      </c>
      <c r="DC2716" s="58">
        <v>5527.0</v>
      </c>
      <c r="DD2716" s="58">
        <v>5551.0</v>
      </c>
      <c r="DE2716" s="58">
        <v>24.0</v>
      </c>
      <c r="DF2716" s="58">
        <v>4.0</v>
      </c>
      <c r="DG2716" s="58" t="s">
        <v>24876</v>
      </c>
      <c r="DH2716" s="58" t="s">
        <v>22525</v>
      </c>
      <c r="DJ2716" s="58" t="s">
        <v>237</v>
      </c>
      <c r="DK2716" s="58" t="s">
        <v>24877</v>
      </c>
      <c r="DL2716" s="58" t="s">
        <v>24878</v>
      </c>
    </row>
    <row r="2717" ht="15.75" customHeight="1">
      <c r="B2717" s="58" t="s">
        <v>22515</v>
      </c>
      <c r="D2717" s="58" t="s">
        <v>24879</v>
      </c>
      <c r="E2717" s="58" t="s">
        <v>24880</v>
      </c>
      <c r="I2717" s="58" t="s">
        <v>24881</v>
      </c>
      <c r="R2717" s="58">
        <v>12.0</v>
      </c>
      <c r="CL2717" s="58" t="s">
        <v>24882</v>
      </c>
      <c r="CP2717" s="58" t="s">
        <v>24883</v>
      </c>
      <c r="CX2717" s="58" t="s">
        <v>24884</v>
      </c>
      <c r="CY2717" s="58">
        <v>2.33886157E10</v>
      </c>
      <c r="CZ2717" s="58">
        <v>2024.0</v>
      </c>
      <c r="DA2717" s="58" t="s">
        <v>16436</v>
      </c>
      <c r="DC2717" s="58">
        <v>25265.0</v>
      </c>
      <c r="DD2717" s="58">
        <v>25277.0</v>
      </c>
      <c r="DE2717" s="58">
        <v>12.0</v>
      </c>
      <c r="DF2717" s="58">
        <v>2.0</v>
      </c>
      <c r="DG2717" s="58" t="s">
        <v>24885</v>
      </c>
      <c r="DH2717" s="58" t="s">
        <v>22525</v>
      </c>
      <c r="DI2717" s="58" t="s">
        <v>22622</v>
      </c>
      <c r="DJ2717" s="58" t="s">
        <v>237</v>
      </c>
      <c r="DK2717" s="58" t="s">
        <v>24886</v>
      </c>
      <c r="DL2717" s="58" t="s">
        <v>24887</v>
      </c>
    </row>
    <row r="2718" ht="15.75" customHeight="1">
      <c r="B2718" s="58" t="s">
        <v>22515</v>
      </c>
      <c r="D2718" s="58" t="s">
        <v>24888</v>
      </c>
      <c r="E2718" s="58" t="s">
        <v>24889</v>
      </c>
      <c r="I2718" s="58" t="s">
        <v>24890</v>
      </c>
      <c r="Q2718" s="58" t="s">
        <v>24891</v>
      </c>
      <c r="R2718" s="58">
        <v>55.0</v>
      </c>
      <c r="CL2718" s="58" t="s">
        <v>24892</v>
      </c>
      <c r="CP2718" s="58" t="s">
        <v>24893</v>
      </c>
      <c r="CX2718" s="58" t="s">
        <v>24894</v>
      </c>
      <c r="CY2718" s="58" t="s">
        <v>24895</v>
      </c>
      <c r="CZ2718" s="58">
        <v>2023.0</v>
      </c>
      <c r="DA2718" s="58" t="s">
        <v>23451</v>
      </c>
      <c r="DB2718" s="58">
        <v>263.0</v>
      </c>
      <c r="DF2718" s="58">
        <v>100.0</v>
      </c>
      <c r="DG2718" s="58" t="s">
        <v>24896</v>
      </c>
      <c r="DH2718" s="58" t="s">
        <v>22525</v>
      </c>
      <c r="DJ2718" s="58" t="s">
        <v>237</v>
      </c>
      <c r="DK2718" s="58" t="s">
        <v>24897</v>
      </c>
      <c r="DL2718" s="58" t="s">
        <v>24898</v>
      </c>
    </row>
    <row r="2719" ht="15.75" customHeight="1">
      <c r="B2719" s="58" t="s">
        <v>22515</v>
      </c>
      <c r="D2719" s="58" t="s">
        <v>24899</v>
      </c>
      <c r="E2719" s="58" t="s">
        <v>24900</v>
      </c>
      <c r="I2719" s="58" t="s">
        <v>24901</v>
      </c>
      <c r="Q2719" s="58">
        <v>24.0</v>
      </c>
      <c r="R2719" s="58">
        <v>12.0</v>
      </c>
      <c r="CL2719" s="58" t="s">
        <v>24902</v>
      </c>
      <c r="CP2719" s="58" t="s">
        <v>24903</v>
      </c>
      <c r="CX2719" s="58" t="s">
        <v>24904</v>
      </c>
      <c r="CY2719" s="58" t="s">
        <v>24905</v>
      </c>
      <c r="CZ2719" s="58">
        <v>2023.0</v>
      </c>
      <c r="DA2719" s="58" t="s">
        <v>23242</v>
      </c>
      <c r="DB2719" s="58">
        <v>4935.0</v>
      </c>
      <c r="DF2719" s="58">
        <v>4.0</v>
      </c>
      <c r="DG2719" s="58" t="s">
        <v>24906</v>
      </c>
      <c r="DH2719" s="58" t="s">
        <v>22525</v>
      </c>
      <c r="DI2719" s="58" t="s">
        <v>22622</v>
      </c>
      <c r="DJ2719" s="58" t="s">
        <v>237</v>
      </c>
      <c r="DK2719" s="58" t="s">
        <v>24907</v>
      </c>
    </row>
    <row r="2720" ht="15.75" customHeight="1">
      <c r="B2720" s="58" t="s">
        <v>22771</v>
      </c>
      <c r="D2720" s="58" t="s">
        <v>24908</v>
      </c>
      <c r="E2720" s="58" t="s">
        <v>24909</v>
      </c>
      <c r="I2720" s="58" t="s">
        <v>24910</v>
      </c>
      <c r="CL2720" s="58" t="s">
        <v>24911</v>
      </c>
      <c r="CP2720" s="58" t="s">
        <v>24912</v>
      </c>
      <c r="CX2720" s="58" t="s">
        <v>24913</v>
      </c>
      <c r="CY2720" s="58" t="s">
        <v>24914</v>
      </c>
      <c r="CZ2720" s="58">
        <v>2024.0</v>
      </c>
      <c r="DA2720" s="58" t="s">
        <v>24915</v>
      </c>
      <c r="DC2720" s="58">
        <v>74.0</v>
      </c>
      <c r="DD2720" s="58">
        <v>83.0</v>
      </c>
      <c r="DE2720" s="58">
        <v>9.0</v>
      </c>
      <c r="DF2720" s="58">
        <v>0.0</v>
      </c>
      <c r="DG2720" s="58" t="s">
        <v>24916</v>
      </c>
      <c r="DH2720" s="58" t="s">
        <v>22525</v>
      </c>
      <c r="DJ2720" s="58" t="s">
        <v>237</v>
      </c>
      <c r="DK2720" s="58" t="s">
        <v>24917</v>
      </c>
      <c r="DL2720" s="58" t="s">
        <v>24918</v>
      </c>
    </row>
    <row r="2721" ht="15.75" customHeight="1">
      <c r="B2721" s="58" t="s">
        <v>22771</v>
      </c>
      <c r="D2721" s="58" t="s">
        <v>24919</v>
      </c>
      <c r="E2721" s="58" t="s">
        <v>24920</v>
      </c>
      <c r="I2721" s="58" t="s">
        <v>24921</v>
      </c>
      <c r="CL2721" s="58" t="s">
        <v>24922</v>
      </c>
      <c r="CP2721" s="58" t="s">
        <v>24923</v>
      </c>
      <c r="CX2721" s="58" t="s">
        <v>24924</v>
      </c>
      <c r="CY2721" s="58" t="s">
        <v>24925</v>
      </c>
      <c r="CZ2721" s="58">
        <v>2024.0</v>
      </c>
      <c r="DA2721" s="58" t="s">
        <v>24926</v>
      </c>
      <c r="DC2721" s="58">
        <v>211.0</v>
      </c>
      <c r="DD2721" s="58">
        <v>215.0</v>
      </c>
      <c r="DE2721" s="58">
        <v>4.0</v>
      </c>
      <c r="DF2721" s="58">
        <v>0.0</v>
      </c>
      <c r="DG2721" s="58" t="s">
        <v>24927</v>
      </c>
      <c r="DH2721" s="58" t="s">
        <v>22525</v>
      </c>
      <c r="DJ2721" s="58" t="s">
        <v>237</v>
      </c>
      <c r="DK2721" s="58" t="s">
        <v>24928</v>
      </c>
      <c r="DL2721" s="58" t="s">
        <v>24929</v>
      </c>
    </row>
    <row r="2722" ht="15.75" customHeight="1">
      <c r="B2722" s="58" t="s">
        <v>22515</v>
      </c>
      <c r="D2722" s="58" t="s">
        <v>24930</v>
      </c>
      <c r="E2722" s="58" t="s">
        <v>24931</v>
      </c>
      <c r="I2722" s="58" t="s">
        <v>24932</v>
      </c>
      <c r="Q2722" s="58">
        <v>11.0</v>
      </c>
      <c r="R2722" s="58">
        <v>14.0</v>
      </c>
      <c r="CL2722" s="58" t="s">
        <v>24933</v>
      </c>
      <c r="CP2722" s="58" t="s">
        <v>24934</v>
      </c>
      <c r="CX2722" s="58" t="s">
        <v>24935</v>
      </c>
      <c r="CY2722" s="58" t="s">
        <v>24936</v>
      </c>
      <c r="CZ2722" s="58">
        <v>2023.0</v>
      </c>
      <c r="DA2722" s="58" t="s">
        <v>24937</v>
      </c>
      <c r="DB2722" s="58">
        <v>619.0</v>
      </c>
      <c r="DF2722" s="58">
        <v>4.0</v>
      </c>
      <c r="DG2722" s="58" t="s">
        <v>24938</v>
      </c>
      <c r="DH2722" s="58" t="s">
        <v>22525</v>
      </c>
      <c r="DI2722" s="58" t="s">
        <v>22622</v>
      </c>
      <c r="DJ2722" s="58" t="s">
        <v>237</v>
      </c>
      <c r="DK2722" s="58" t="s">
        <v>24939</v>
      </c>
      <c r="DL2722" s="58" t="s">
        <v>24940</v>
      </c>
    </row>
    <row r="2723" ht="15.75" customHeight="1">
      <c r="B2723" s="58" t="s">
        <v>22515</v>
      </c>
      <c r="D2723" s="58" t="s">
        <v>24941</v>
      </c>
      <c r="E2723" s="58" t="s">
        <v>24942</v>
      </c>
      <c r="I2723" s="58" t="s">
        <v>24943</v>
      </c>
      <c r="R2723" s="58">
        <v>12.0</v>
      </c>
      <c r="CL2723" s="58" t="s">
        <v>24944</v>
      </c>
      <c r="CP2723" s="58" t="s">
        <v>24945</v>
      </c>
      <c r="CX2723" s="58" t="s">
        <v>24946</v>
      </c>
      <c r="CY2723" s="58" t="s">
        <v>24947</v>
      </c>
      <c r="CZ2723" s="58">
        <v>2024.0</v>
      </c>
      <c r="DA2723" s="58" t="s">
        <v>24511</v>
      </c>
      <c r="DB2723" s="58">
        <v>1292904.0</v>
      </c>
      <c r="DF2723" s="58">
        <v>1.0</v>
      </c>
      <c r="DG2723" s="58" t="s">
        <v>24948</v>
      </c>
      <c r="DH2723" s="58" t="s">
        <v>22525</v>
      </c>
      <c r="DI2723" s="58" t="s">
        <v>22622</v>
      </c>
      <c r="DJ2723" s="58" t="s">
        <v>237</v>
      </c>
      <c r="DK2723" s="58" t="s">
        <v>24949</v>
      </c>
      <c r="DL2723" s="58" t="s">
        <v>24950</v>
      </c>
    </row>
    <row r="2724" ht="15.75" customHeight="1">
      <c r="B2724" s="58" t="s">
        <v>22515</v>
      </c>
      <c r="D2724" s="58" t="s">
        <v>24951</v>
      </c>
      <c r="E2724" s="58" t="s">
        <v>24952</v>
      </c>
      <c r="I2724" s="58" t="s">
        <v>24953</v>
      </c>
      <c r="R2724" s="58">
        <v>12.0</v>
      </c>
      <c r="CL2724" s="58" t="s">
        <v>24954</v>
      </c>
      <c r="CP2724" s="58" t="s">
        <v>24955</v>
      </c>
      <c r="CX2724" s="58" t="s">
        <v>24956</v>
      </c>
      <c r="CY2724" s="58" t="s">
        <v>24957</v>
      </c>
      <c r="CZ2724" s="58">
        <v>2024.0</v>
      </c>
      <c r="DA2724" s="58" t="s">
        <v>16436</v>
      </c>
      <c r="DC2724" s="58">
        <v>63433.0</v>
      </c>
      <c r="DD2724" s="58">
        <v>63451.0</v>
      </c>
      <c r="DE2724" s="58">
        <v>18.0</v>
      </c>
      <c r="DF2724" s="58">
        <v>1.0</v>
      </c>
      <c r="DG2724" s="58" t="s">
        <v>24958</v>
      </c>
      <c r="DH2724" s="58" t="s">
        <v>22525</v>
      </c>
      <c r="DJ2724" s="58" t="s">
        <v>237</v>
      </c>
      <c r="DK2724" s="58" t="s">
        <v>24959</v>
      </c>
      <c r="DL2724" s="58" t="s">
        <v>24960</v>
      </c>
    </row>
    <row r="2725" ht="15.75" customHeight="1">
      <c r="B2725" s="58" t="s">
        <v>22515</v>
      </c>
      <c r="D2725" s="58" t="s">
        <v>24961</v>
      </c>
      <c r="E2725" s="58" t="s">
        <v>24962</v>
      </c>
      <c r="I2725" s="58" t="s">
        <v>24963</v>
      </c>
      <c r="Q2725" s="58">
        <v>12.0</v>
      </c>
      <c r="R2725" s="58">
        <v>15.0</v>
      </c>
      <c r="CL2725" s="58" t="s">
        <v>24964</v>
      </c>
      <c r="CP2725" s="58" t="s">
        <v>24965</v>
      </c>
      <c r="CX2725" s="58" t="s">
        <v>24966</v>
      </c>
      <c r="CY2725" s="58" t="s">
        <v>24967</v>
      </c>
      <c r="CZ2725" s="58">
        <v>2023.0</v>
      </c>
      <c r="DA2725" s="58" t="s">
        <v>24968</v>
      </c>
      <c r="DB2725" s="58">
        <v>2206.0</v>
      </c>
      <c r="DF2725" s="58">
        <v>0.0</v>
      </c>
      <c r="DG2725" s="58" t="s">
        <v>24969</v>
      </c>
      <c r="DH2725" s="58" t="s">
        <v>22525</v>
      </c>
      <c r="DI2725" s="58" t="s">
        <v>22622</v>
      </c>
      <c r="DJ2725" s="58" t="s">
        <v>237</v>
      </c>
      <c r="DK2725" s="58" t="s">
        <v>24970</v>
      </c>
    </row>
    <row r="2726" ht="15.75" customHeight="1">
      <c r="B2726" s="58" t="s">
        <v>22515</v>
      </c>
      <c r="D2726" s="58" t="s">
        <v>24971</v>
      </c>
      <c r="E2726" s="58" t="s">
        <v>24972</v>
      </c>
      <c r="I2726" s="58" t="s">
        <v>24973</v>
      </c>
      <c r="CL2726" s="58" t="s">
        <v>24974</v>
      </c>
      <c r="CP2726" s="58" t="s">
        <v>24975</v>
      </c>
      <c r="CX2726" s="58" t="s">
        <v>24976</v>
      </c>
      <c r="CY2726" s="58" t="s">
        <v>24977</v>
      </c>
      <c r="CZ2726" s="58">
        <v>2024.0</v>
      </c>
      <c r="DA2726" s="58" t="s">
        <v>24978</v>
      </c>
      <c r="DF2726" s="58">
        <v>5.0</v>
      </c>
      <c r="DG2726" s="58" t="s">
        <v>24979</v>
      </c>
      <c r="DH2726" s="58" t="s">
        <v>22588</v>
      </c>
      <c r="DJ2726" s="58" t="s">
        <v>237</v>
      </c>
      <c r="DK2726" s="58" t="s">
        <v>24980</v>
      </c>
      <c r="DL2726" s="58" t="s">
        <v>24981</v>
      </c>
    </row>
    <row r="2727" ht="15.75" customHeight="1">
      <c r="B2727" s="58" t="s">
        <v>22515</v>
      </c>
      <c r="D2727" s="58" t="s">
        <v>24982</v>
      </c>
      <c r="E2727" s="58" t="s">
        <v>24983</v>
      </c>
      <c r="I2727" s="58" t="s">
        <v>24984</v>
      </c>
      <c r="Q2727" s="58">
        <v>1.0</v>
      </c>
      <c r="R2727" s="58">
        <v>43.0</v>
      </c>
      <c r="CL2727" s="58" t="s">
        <v>24985</v>
      </c>
      <c r="CP2727" s="58" t="s">
        <v>24986</v>
      </c>
      <c r="CX2727" s="58" t="s">
        <v>24987</v>
      </c>
      <c r="CY2727" s="58" t="s">
        <v>24988</v>
      </c>
      <c r="CZ2727" s="58">
        <v>2024.0</v>
      </c>
      <c r="DA2727" s="58" t="s">
        <v>24989</v>
      </c>
      <c r="DC2727" s="58">
        <v>171.0</v>
      </c>
      <c r="DD2727" s="58">
        <v>175.0</v>
      </c>
      <c r="DE2727" s="58">
        <v>4.0</v>
      </c>
      <c r="DF2727" s="58">
        <v>1.0</v>
      </c>
      <c r="DG2727" s="58" t="s">
        <v>24990</v>
      </c>
      <c r="DH2727" s="58" t="s">
        <v>22525</v>
      </c>
      <c r="DJ2727" s="58" t="s">
        <v>237</v>
      </c>
      <c r="DK2727" s="58" t="s">
        <v>24991</v>
      </c>
      <c r="DL2727" s="58" t="s">
        <v>24992</v>
      </c>
    </row>
    <row r="2728" ht="15.75" customHeight="1">
      <c r="B2728" s="58" t="s">
        <v>22515</v>
      </c>
      <c r="D2728" s="58" t="s">
        <v>24993</v>
      </c>
      <c r="E2728" s="58" t="s">
        <v>24994</v>
      </c>
      <c r="I2728" s="58" t="s">
        <v>24995</v>
      </c>
      <c r="R2728" s="58">
        <v>12.0</v>
      </c>
      <c r="CL2728" s="58" t="s">
        <v>24996</v>
      </c>
      <c r="CP2728" s="58" t="s">
        <v>24997</v>
      </c>
      <c r="CX2728" s="58" t="s">
        <v>24998</v>
      </c>
      <c r="CY2728" s="58" t="s">
        <v>24999</v>
      </c>
      <c r="CZ2728" s="58">
        <v>2024.0</v>
      </c>
      <c r="DA2728" s="58" t="s">
        <v>16436</v>
      </c>
      <c r="DC2728" s="58">
        <v>116516.0</v>
      </c>
      <c r="DD2728" s="58">
        <v>116529.0</v>
      </c>
      <c r="DE2728" s="58">
        <v>13.0</v>
      </c>
      <c r="DF2728" s="58">
        <v>0.0</v>
      </c>
      <c r="DG2728" s="58" t="s">
        <v>25000</v>
      </c>
      <c r="DH2728" s="58" t="s">
        <v>22525</v>
      </c>
      <c r="DI2728" s="58" t="s">
        <v>22622</v>
      </c>
      <c r="DJ2728" s="58" t="s">
        <v>237</v>
      </c>
      <c r="DK2728" s="58" t="s">
        <v>25001</v>
      </c>
      <c r="DL2728" s="58" t="s">
        <v>25002</v>
      </c>
    </row>
    <row r="2729" ht="15.75" customHeight="1">
      <c r="B2729" s="58" t="s">
        <v>22515</v>
      </c>
      <c r="D2729" s="58" t="s">
        <v>25003</v>
      </c>
      <c r="E2729" s="58" t="s">
        <v>25004</v>
      </c>
      <c r="I2729" s="58" t="s">
        <v>25005</v>
      </c>
      <c r="Q2729" s="58">
        <v>4.0</v>
      </c>
      <c r="R2729" s="58">
        <v>45.0</v>
      </c>
      <c r="CL2729" s="58" t="s">
        <v>25006</v>
      </c>
      <c r="CP2729" s="58" t="s">
        <v>25007</v>
      </c>
      <c r="CX2729" s="58" t="s">
        <v>25008</v>
      </c>
      <c r="CY2729" s="58" t="s">
        <v>25009</v>
      </c>
      <c r="CZ2729" s="58">
        <v>2023.0</v>
      </c>
      <c r="DA2729" s="58" t="s">
        <v>25010</v>
      </c>
      <c r="DC2729" s="58">
        <v>6209.0</v>
      </c>
      <c r="DD2729" s="58">
        <v>6227.0</v>
      </c>
      <c r="DE2729" s="58">
        <v>18.0</v>
      </c>
      <c r="DF2729" s="58">
        <v>5.0</v>
      </c>
      <c r="DG2729" s="58" t="s">
        <v>25011</v>
      </c>
      <c r="DH2729" s="58" t="s">
        <v>22525</v>
      </c>
      <c r="DJ2729" s="58" t="s">
        <v>237</v>
      </c>
      <c r="DK2729" s="58" t="s">
        <v>25012</v>
      </c>
      <c r="DL2729" s="58" t="s">
        <v>25013</v>
      </c>
    </row>
    <row r="2730" ht="15.75" customHeight="1">
      <c r="B2730" s="58" t="s">
        <v>22515</v>
      </c>
      <c r="D2730" s="58" t="s">
        <v>25014</v>
      </c>
      <c r="E2730" s="58" t="s">
        <v>25015</v>
      </c>
      <c r="I2730" s="58" t="s">
        <v>25016</v>
      </c>
      <c r="R2730" s="58">
        <v>12.0</v>
      </c>
      <c r="CL2730" s="58" t="s">
        <v>25017</v>
      </c>
      <c r="CP2730" s="58" t="s">
        <v>25018</v>
      </c>
      <c r="CX2730" s="58" t="s">
        <v>25019</v>
      </c>
      <c r="CY2730" s="58" t="s">
        <v>25020</v>
      </c>
      <c r="CZ2730" s="58">
        <v>2024.0</v>
      </c>
      <c r="DA2730" s="58" t="s">
        <v>16436</v>
      </c>
      <c r="DC2730" s="58">
        <v>102702.0</v>
      </c>
      <c r="DD2730" s="58">
        <v>102717.0</v>
      </c>
      <c r="DE2730" s="58">
        <v>15.0</v>
      </c>
      <c r="DF2730" s="58">
        <v>0.0</v>
      </c>
      <c r="DG2730" s="58" t="s">
        <v>25021</v>
      </c>
      <c r="DH2730" s="58" t="s">
        <v>22525</v>
      </c>
      <c r="DI2730" s="58" t="s">
        <v>22622</v>
      </c>
      <c r="DJ2730" s="58" t="s">
        <v>237</v>
      </c>
      <c r="DK2730" s="58" t="s">
        <v>25022</v>
      </c>
      <c r="DL2730" s="58" t="s">
        <v>25023</v>
      </c>
    </row>
    <row r="2731" ht="15.75" customHeight="1">
      <c r="B2731" s="58" t="s">
        <v>22515</v>
      </c>
      <c r="D2731" s="58" t="s">
        <v>25024</v>
      </c>
      <c r="E2731" s="58" t="s">
        <v>25025</v>
      </c>
      <c r="I2731" s="58" t="s">
        <v>25026</v>
      </c>
      <c r="Q2731" s="58">
        <v>1.0</v>
      </c>
      <c r="R2731" s="58">
        <v>73.0</v>
      </c>
      <c r="CL2731" s="58" t="s">
        <v>25027</v>
      </c>
      <c r="CP2731" s="58" t="s">
        <v>25028</v>
      </c>
      <c r="CX2731" s="58" t="s">
        <v>25029</v>
      </c>
      <c r="CY2731" s="58" t="s">
        <v>25030</v>
      </c>
      <c r="CZ2731" s="58">
        <v>2024.0</v>
      </c>
      <c r="DA2731" s="58" t="s">
        <v>17228</v>
      </c>
      <c r="DC2731" s="58">
        <v>235.0</v>
      </c>
      <c r="DD2731" s="58">
        <v>248.0</v>
      </c>
      <c r="DE2731" s="58">
        <v>13.0</v>
      </c>
      <c r="DF2731" s="58">
        <v>1.0</v>
      </c>
      <c r="DG2731" s="58" t="s">
        <v>25031</v>
      </c>
      <c r="DH2731" s="58" t="s">
        <v>22525</v>
      </c>
      <c r="DJ2731" s="58" t="s">
        <v>237</v>
      </c>
      <c r="DK2731" s="58" t="s">
        <v>25032</v>
      </c>
      <c r="DL2731" s="58" t="s">
        <v>25033</v>
      </c>
    </row>
    <row r="2732" ht="15.75" customHeight="1">
      <c r="B2732" s="58" t="s">
        <v>22515</v>
      </c>
      <c r="D2732" s="58" t="s">
        <v>25034</v>
      </c>
      <c r="E2732" s="58" t="s">
        <v>25035</v>
      </c>
      <c r="I2732" s="58" t="s">
        <v>25036</v>
      </c>
      <c r="Q2732" s="58">
        <v>12.0</v>
      </c>
      <c r="R2732" s="58">
        <v>34.0</v>
      </c>
      <c r="CL2732" s="58" t="s">
        <v>25037</v>
      </c>
      <c r="CP2732" s="58" t="s">
        <v>25038</v>
      </c>
      <c r="CX2732" s="58" t="s">
        <v>25039</v>
      </c>
      <c r="CY2732" s="58" t="s">
        <v>25040</v>
      </c>
      <c r="CZ2732" s="58">
        <v>2023.0</v>
      </c>
      <c r="DA2732" s="58" t="s">
        <v>24875</v>
      </c>
      <c r="DC2732" s="58">
        <v>5887.0</v>
      </c>
      <c r="DD2732" s="58">
        <v>5904.0</v>
      </c>
      <c r="DE2732" s="58">
        <v>17.0</v>
      </c>
      <c r="DF2732" s="58">
        <v>0.0</v>
      </c>
      <c r="DG2732" s="58" t="s">
        <v>25041</v>
      </c>
      <c r="DH2732" s="58" t="s">
        <v>22525</v>
      </c>
      <c r="DJ2732" s="58" t="s">
        <v>237</v>
      </c>
      <c r="DK2732" s="58" t="s">
        <v>25042</v>
      </c>
      <c r="DL2732" s="58" t="s">
        <v>25043</v>
      </c>
    </row>
    <row r="2733" ht="15.75" customHeight="1">
      <c r="B2733" s="58" t="s">
        <v>22515</v>
      </c>
      <c r="D2733" s="58" t="s">
        <v>25044</v>
      </c>
      <c r="E2733" s="58" t="s">
        <v>25045</v>
      </c>
      <c r="I2733" s="58" t="s">
        <v>25046</v>
      </c>
      <c r="Q2733" s="58">
        <v>4.0</v>
      </c>
      <c r="R2733" s="58">
        <v>133.0</v>
      </c>
      <c r="CL2733" s="58" t="s">
        <v>25047</v>
      </c>
      <c r="CP2733" s="58" t="s">
        <v>25048</v>
      </c>
      <c r="CX2733" s="58" t="s">
        <v>25049</v>
      </c>
      <c r="CY2733" s="58" t="s">
        <v>25050</v>
      </c>
      <c r="CZ2733" s="58">
        <v>2023.0</v>
      </c>
      <c r="DA2733" s="58" t="s">
        <v>25051</v>
      </c>
      <c r="DC2733" s="58">
        <v>2467.0</v>
      </c>
      <c r="DD2733" s="58">
        <v>2501.0</v>
      </c>
      <c r="DE2733" s="58">
        <v>34.0</v>
      </c>
      <c r="DF2733" s="58">
        <v>3.0</v>
      </c>
      <c r="DG2733" s="58" t="s">
        <v>25052</v>
      </c>
      <c r="DH2733" s="58" t="s">
        <v>22525</v>
      </c>
      <c r="DJ2733" s="58" t="s">
        <v>237</v>
      </c>
      <c r="DK2733" s="58" t="s">
        <v>25053</v>
      </c>
      <c r="DL2733" s="58" t="s">
        <v>25054</v>
      </c>
    </row>
    <row r="2734" ht="15.75" customHeight="1">
      <c r="B2734" s="58" t="s">
        <v>22515</v>
      </c>
      <c r="D2734" s="58" t="s">
        <v>25055</v>
      </c>
      <c r="E2734" s="58" t="s">
        <v>25056</v>
      </c>
      <c r="I2734" s="58" t="s">
        <v>25057</v>
      </c>
      <c r="CL2734" s="58" t="s">
        <v>25058</v>
      </c>
      <c r="CP2734" s="58" t="s">
        <v>25059</v>
      </c>
      <c r="CX2734" s="58" t="s">
        <v>25060</v>
      </c>
      <c r="CY2734" s="58" t="s">
        <v>25061</v>
      </c>
      <c r="CZ2734" s="58">
        <v>2024.0</v>
      </c>
      <c r="DA2734" s="58" t="s">
        <v>25062</v>
      </c>
      <c r="DF2734" s="58">
        <v>0.0</v>
      </c>
      <c r="DG2734" s="58" t="s">
        <v>25063</v>
      </c>
      <c r="DH2734" s="58" t="s">
        <v>22588</v>
      </c>
      <c r="DJ2734" s="58" t="s">
        <v>237</v>
      </c>
      <c r="DK2734" s="58" t="s">
        <v>25064</v>
      </c>
      <c r="DL2734" s="58" t="s">
        <v>25065</v>
      </c>
    </row>
    <row r="2735" ht="15.75" customHeight="1">
      <c r="B2735" s="58" t="s">
        <v>22515</v>
      </c>
      <c r="D2735" s="58" t="s">
        <v>25066</v>
      </c>
      <c r="E2735" s="58" t="s">
        <v>25067</v>
      </c>
      <c r="I2735" s="58" t="s">
        <v>25068</v>
      </c>
      <c r="Q2735" s="58">
        <v>3.0</v>
      </c>
      <c r="R2735" s="58">
        <v>21.0</v>
      </c>
      <c r="CL2735" s="58" t="s">
        <v>25069</v>
      </c>
      <c r="CP2735" s="58" t="s">
        <v>25070</v>
      </c>
      <c r="CX2735" s="58" t="s">
        <v>25071</v>
      </c>
      <c r="CY2735" s="58" t="s">
        <v>25072</v>
      </c>
      <c r="CZ2735" s="58">
        <v>2024.0</v>
      </c>
      <c r="DA2735" s="58" t="s">
        <v>25073</v>
      </c>
      <c r="DC2735" s="58">
        <v>2387.0</v>
      </c>
      <c r="DD2735" s="58">
        <v>2399.0</v>
      </c>
      <c r="DE2735" s="58">
        <v>12.0</v>
      </c>
      <c r="DF2735" s="58">
        <v>1.0</v>
      </c>
      <c r="DG2735" s="58" t="s">
        <v>25074</v>
      </c>
      <c r="DH2735" s="58" t="s">
        <v>22525</v>
      </c>
      <c r="DJ2735" s="58" t="s">
        <v>237</v>
      </c>
      <c r="DK2735" s="58" t="s">
        <v>25075</v>
      </c>
      <c r="DL2735" s="58" t="s">
        <v>25076</v>
      </c>
    </row>
    <row r="2736" ht="15.75" customHeight="1">
      <c r="B2736" s="58" t="s">
        <v>22515</v>
      </c>
      <c r="D2736" s="58" t="s">
        <v>25077</v>
      </c>
      <c r="E2736" s="58" t="s">
        <v>25078</v>
      </c>
      <c r="I2736" s="58" t="s">
        <v>25079</v>
      </c>
      <c r="Q2736" s="58">
        <v>2.0</v>
      </c>
      <c r="R2736" s="58">
        <v>78.0</v>
      </c>
      <c r="CL2736" s="58" t="s">
        <v>25080</v>
      </c>
      <c r="CP2736" s="58" t="s">
        <v>25081</v>
      </c>
      <c r="CX2736" s="58" t="s">
        <v>25082</v>
      </c>
      <c r="CY2736" s="58">
        <v>5.8970412E10</v>
      </c>
      <c r="CZ2736" s="58">
        <v>2024.0</v>
      </c>
      <c r="DA2736" s="58" t="s">
        <v>23282</v>
      </c>
      <c r="DC2736" s="58">
        <v>2309.0</v>
      </c>
      <c r="DD2736" s="58">
        <v>2335.0</v>
      </c>
      <c r="DE2736" s="58">
        <v>26.0</v>
      </c>
      <c r="DF2736" s="58">
        <v>1.0</v>
      </c>
      <c r="DG2736" s="58" t="s">
        <v>25083</v>
      </c>
      <c r="DH2736" s="58" t="s">
        <v>22525</v>
      </c>
      <c r="DI2736" s="58" t="s">
        <v>22622</v>
      </c>
      <c r="DJ2736" s="58" t="s">
        <v>237</v>
      </c>
      <c r="DK2736" s="58" t="s">
        <v>25084</v>
      </c>
      <c r="DL2736" s="58" t="s">
        <v>25085</v>
      </c>
    </row>
    <row r="2737" ht="15.75" customHeight="1">
      <c r="B2737" s="58" t="s">
        <v>22515</v>
      </c>
      <c r="D2737" s="58" t="s">
        <v>25086</v>
      </c>
      <c r="E2737" s="58" t="s">
        <v>25087</v>
      </c>
      <c r="I2737" s="58" t="s">
        <v>25088</v>
      </c>
      <c r="CL2737" s="58" t="s">
        <v>25089</v>
      </c>
      <c r="CP2737" s="58" t="s">
        <v>25090</v>
      </c>
      <c r="CX2737" s="58" t="s">
        <v>25091</v>
      </c>
      <c r="CY2737" s="58" t="s">
        <v>25092</v>
      </c>
      <c r="CZ2737" s="58">
        <v>2024.0</v>
      </c>
      <c r="DA2737" s="58" t="s">
        <v>22847</v>
      </c>
      <c r="DF2737" s="58">
        <v>0.0</v>
      </c>
      <c r="DG2737" s="58" t="s">
        <v>25093</v>
      </c>
      <c r="DH2737" s="58" t="s">
        <v>22588</v>
      </c>
      <c r="DJ2737" s="58" t="s">
        <v>237</v>
      </c>
      <c r="DK2737" s="58" t="s">
        <v>25094</v>
      </c>
      <c r="DL2737" s="58" t="s">
        <v>25095</v>
      </c>
    </row>
    <row r="2738" ht="15.75" customHeight="1">
      <c r="B2738" s="58" t="s">
        <v>22515</v>
      </c>
      <c r="D2738" s="58" t="s">
        <v>25096</v>
      </c>
      <c r="E2738" s="58" t="s">
        <v>25097</v>
      </c>
      <c r="I2738" s="58" t="s">
        <v>25098</v>
      </c>
      <c r="R2738" s="58">
        <v>353.0</v>
      </c>
      <c r="CL2738" s="58" t="s">
        <v>25099</v>
      </c>
      <c r="CP2738" s="58" t="s">
        <v>25100</v>
      </c>
      <c r="CX2738" s="58" t="s">
        <v>25101</v>
      </c>
      <c r="CY2738" s="58" t="s">
        <v>25102</v>
      </c>
      <c r="CZ2738" s="58">
        <v>2024.0</v>
      </c>
      <c r="DA2738" s="58" t="s">
        <v>25103</v>
      </c>
      <c r="DB2738" s="58">
        <v>122192.0</v>
      </c>
      <c r="DF2738" s="58">
        <v>10.0</v>
      </c>
      <c r="DG2738" s="58" t="s">
        <v>25104</v>
      </c>
      <c r="DH2738" s="58" t="s">
        <v>22525</v>
      </c>
      <c r="DI2738" s="58" t="s">
        <v>22526</v>
      </c>
      <c r="DJ2738" s="58" t="s">
        <v>237</v>
      </c>
      <c r="DK2738" s="58" t="s">
        <v>25105</v>
      </c>
      <c r="DL2738" s="58" t="s">
        <v>25106</v>
      </c>
    </row>
    <row r="2739" ht="15.75" customHeight="1">
      <c r="B2739" s="58" t="s">
        <v>22515</v>
      </c>
      <c r="D2739" s="58" t="s">
        <v>25107</v>
      </c>
      <c r="E2739" s="58" t="s">
        <v>25108</v>
      </c>
      <c r="I2739" s="58" t="s">
        <v>25109</v>
      </c>
      <c r="Q2739" s="58">
        <v>1.0</v>
      </c>
      <c r="R2739" s="58">
        <v>12.0</v>
      </c>
      <c r="CL2739" s="58" t="s">
        <v>25110</v>
      </c>
      <c r="CP2739" s="58" t="s">
        <v>25111</v>
      </c>
      <c r="CX2739" s="58" t="s">
        <v>25112</v>
      </c>
      <c r="CY2739" s="58" t="s">
        <v>25113</v>
      </c>
      <c r="CZ2739" s="58">
        <v>2023.0</v>
      </c>
      <c r="DA2739" s="58" t="s">
        <v>22889</v>
      </c>
      <c r="DB2739" s="58">
        <v>127.0</v>
      </c>
      <c r="DF2739" s="58">
        <v>40.0</v>
      </c>
      <c r="DG2739" s="58" t="s">
        <v>25114</v>
      </c>
      <c r="DH2739" s="58" t="s">
        <v>22525</v>
      </c>
      <c r="DI2739" s="58" t="s">
        <v>22622</v>
      </c>
      <c r="DJ2739" s="58" t="s">
        <v>237</v>
      </c>
      <c r="DK2739" s="58" t="s">
        <v>25115</v>
      </c>
      <c r="DL2739" s="58" t="s">
        <v>25116</v>
      </c>
    </row>
    <row r="2740" ht="15.75" customHeight="1">
      <c r="B2740" s="58" t="s">
        <v>22515</v>
      </c>
      <c r="D2740" s="58" t="s">
        <v>25117</v>
      </c>
      <c r="E2740" s="58" t="s">
        <v>25118</v>
      </c>
      <c r="I2740" s="58" t="s">
        <v>25119</v>
      </c>
      <c r="Q2740" s="58">
        <v>21.0</v>
      </c>
      <c r="R2740" s="58">
        <v>23.0</v>
      </c>
      <c r="CL2740" s="58" t="s">
        <v>25120</v>
      </c>
      <c r="CP2740" s="58" t="s">
        <v>25121</v>
      </c>
      <c r="CX2740" s="58" t="s">
        <v>25122</v>
      </c>
      <c r="CY2740" s="58" t="s">
        <v>25123</v>
      </c>
      <c r="CZ2740" s="58">
        <v>2023.0</v>
      </c>
      <c r="DA2740" s="58" t="s">
        <v>22802</v>
      </c>
      <c r="DB2740" s="58">
        <v>8953.0</v>
      </c>
      <c r="DF2740" s="58">
        <v>2.0</v>
      </c>
      <c r="DG2740" s="58" t="s">
        <v>25124</v>
      </c>
      <c r="DH2740" s="58" t="s">
        <v>22525</v>
      </c>
      <c r="DI2740" s="58" t="s">
        <v>22643</v>
      </c>
      <c r="DJ2740" s="58" t="s">
        <v>237</v>
      </c>
      <c r="DK2740" s="58" t="s">
        <v>25125</v>
      </c>
      <c r="DL2740" s="58" t="s">
        <v>25126</v>
      </c>
    </row>
    <row r="2741" ht="15.75" customHeight="1">
      <c r="B2741" s="58" t="s">
        <v>22515</v>
      </c>
      <c r="D2741" s="58" t="s">
        <v>25127</v>
      </c>
      <c r="E2741" s="58" t="s">
        <v>25128</v>
      </c>
      <c r="I2741" s="58" t="s">
        <v>25129</v>
      </c>
      <c r="Q2741" s="58">
        <v>3.0</v>
      </c>
      <c r="R2741" s="58">
        <v>70.0</v>
      </c>
      <c r="CL2741" s="58" t="s">
        <v>25130</v>
      </c>
      <c r="CP2741" s="58" t="s">
        <v>25131</v>
      </c>
      <c r="CX2741" s="58" t="s">
        <v>25132</v>
      </c>
      <c r="CY2741" s="58" t="s">
        <v>25133</v>
      </c>
      <c r="CZ2741" s="58">
        <v>2024.0</v>
      </c>
      <c r="DA2741" s="58" t="s">
        <v>18916</v>
      </c>
      <c r="DC2741" s="58">
        <v>5729.0</v>
      </c>
      <c r="DD2741" s="58">
        <v>5736.0</v>
      </c>
      <c r="DE2741" s="58">
        <v>7.0</v>
      </c>
      <c r="DF2741" s="58">
        <v>1.0</v>
      </c>
      <c r="DG2741" s="58" t="s">
        <v>25134</v>
      </c>
      <c r="DH2741" s="58" t="s">
        <v>22525</v>
      </c>
      <c r="DJ2741" s="58" t="s">
        <v>237</v>
      </c>
      <c r="DK2741" s="58" t="s">
        <v>25135</v>
      </c>
      <c r="DL2741" s="58" t="s">
        <v>25136</v>
      </c>
    </row>
    <row r="2742" ht="15.75" customHeight="1">
      <c r="B2742" s="58" t="s">
        <v>22515</v>
      </c>
      <c r="D2742" s="58" t="s">
        <v>25137</v>
      </c>
      <c r="E2742" s="58" t="s">
        <v>25138</v>
      </c>
      <c r="I2742" s="58" t="s">
        <v>25139</v>
      </c>
      <c r="R2742" s="58">
        <v>12.0</v>
      </c>
      <c r="CL2742" s="58" t="s">
        <v>25140</v>
      </c>
      <c r="CP2742" s="58" t="s">
        <v>25141</v>
      </c>
      <c r="CX2742" s="58" t="s">
        <v>25142</v>
      </c>
      <c r="CY2742" s="58" t="s">
        <v>25143</v>
      </c>
      <c r="CZ2742" s="58">
        <v>2024.0</v>
      </c>
      <c r="DA2742" s="58" t="s">
        <v>16436</v>
      </c>
      <c r="DC2742" s="58">
        <v>98856.0</v>
      </c>
      <c r="DD2742" s="58">
        <v>98881.0</v>
      </c>
      <c r="DE2742" s="58">
        <v>25.0</v>
      </c>
      <c r="DF2742" s="58">
        <v>2.0</v>
      </c>
      <c r="DG2742" s="58" t="s">
        <v>25144</v>
      </c>
      <c r="DH2742" s="58" t="s">
        <v>22525</v>
      </c>
      <c r="DI2742" s="58" t="s">
        <v>22622</v>
      </c>
      <c r="DJ2742" s="58" t="s">
        <v>237</v>
      </c>
      <c r="DK2742" s="58" t="s">
        <v>25145</v>
      </c>
      <c r="DL2742" s="58" t="s">
        <v>25146</v>
      </c>
    </row>
    <row r="2743" ht="15.75" customHeight="1">
      <c r="B2743" s="58" t="s">
        <v>22771</v>
      </c>
      <c r="D2743" s="58" t="s">
        <v>25147</v>
      </c>
      <c r="E2743" s="58" t="s">
        <v>25148</v>
      </c>
      <c r="I2743" s="58" t="s">
        <v>25149</v>
      </c>
      <c r="R2743" s="58">
        <v>13159.0</v>
      </c>
      <c r="CL2743" s="58" t="s">
        <v>25150</v>
      </c>
      <c r="CP2743" s="58" t="s">
        <v>25151</v>
      </c>
      <c r="CX2743" s="58" t="s">
        <v>25152</v>
      </c>
      <c r="CY2743" s="58" t="s">
        <v>25153</v>
      </c>
      <c r="CZ2743" s="58">
        <v>2024.0</v>
      </c>
      <c r="DA2743" s="58" t="s">
        <v>25154</v>
      </c>
      <c r="DB2743" s="58" t="s">
        <v>25155</v>
      </c>
      <c r="DF2743" s="58">
        <v>0.0</v>
      </c>
      <c r="DG2743" s="58" t="s">
        <v>25156</v>
      </c>
      <c r="DH2743" s="58" t="s">
        <v>22525</v>
      </c>
      <c r="DJ2743" s="58" t="s">
        <v>237</v>
      </c>
      <c r="DK2743" s="58" t="s">
        <v>25157</v>
      </c>
      <c r="DL2743" s="58" t="s">
        <v>25158</v>
      </c>
    </row>
    <row r="2744" ht="15.75" customHeight="1">
      <c r="B2744" s="58" t="s">
        <v>22515</v>
      </c>
      <c r="D2744" s="58" t="s">
        <v>25159</v>
      </c>
      <c r="E2744" s="58" t="s">
        <v>25160</v>
      </c>
      <c r="I2744" s="58" t="s">
        <v>25161</v>
      </c>
      <c r="R2744" s="58">
        <v>23.0</v>
      </c>
      <c r="CL2744" s="58" t="s">
        <v>25162</v>
      </c>
      <c r="CP2744" s="58" t="s">
        <v>25163</v>
      </c>
      <c r="CX2744" s="58" t="s">
        <v>25164</v>
      </c>
      <c r="CY2744" s="58" t="s">
        <v>25165</v>
      </c>
      <c r="CZ2744" s="58">
        <v>2023.0</v>
      </c>
      <c r="DA2744" s="58" t="s">
        <v>23574</v>
      </c>
      <c r="DB2744" s="58">
        <v>100866.0</v>
      </c>
      <c r="DF2744" s="58">
        <v>61.0</v>
      </c>
      <c r="DG2744" s="58" t="s">
        <v>25166</v>
      </c>
      <c r="DH2744" s="58" t="s">
        <v>22525</v>
      </c>
      <c r="DJ2744" s="58" t="s">
        <v>237</v>
      </c>
      <c r="DK2744" s="58" t="s">
        <v>25167</v>
      </c>
    </row>
    <row r="2745" ht="15.75" customHeight="1">
      <c r="B2745" s="58" t="s">
        <v>22515</v>
      </c>
      <c r="D2745" s="58" t="s">
        <v>25168</v>
      </c>
      <c r="E2745" s="58" t="s">
        <v>25169</v>
      </c>
      <c r="I2745" s="58" t="s">
        <v>25170</v>
      </c>
      <c r="Q2745" s="58">
        <v>4.0</v>
      </c>
      <c r="R2745" s="58">
        <v>21.0</v>
      </c>
      <c r="CL2745" s="58" t="s">
        <v>25171</v>
      </c>
      <c r="CP2745" s="58" t="s">
        <v>25172</v>
      </c>
      <c r="CX2745" s="58" t="s">
        <v>25173</v>
      </c>
      <c r="CY2745" s="58" t="s">
        <v>25174</v>
      </c>
      <c r="CZ2745" s="58">
        <v>2023.0</v>
      </c>
      <c r="DA2745" s="58" t="s">
        <v>23482</v>
      </c>
      <c r="DB2745" s="58">
        <v>55.0</v>
      </c>
      <c r="DF2745" s="58">
        <v>1.0</v>
      </c>
      <c r="DG2745" s="58" t="s">
        <v>25175</v>
      </c>
      <c r="DH2745" s="58" t="s">
        <v>22525</v>
      </c>
      <c r="DJ2745" s="58" t="s">
        <v>237</v>
      </c>
      <c r="DK2745" s="58" t="s">
        <v>25176</v>
      </c>
      <c r="DL2745" s="58" t="s">
        <v>25177</v>
      </c>
    </row>
    <row r="2746" ht="15.75" customHeight="1">
      <c r="B2746" s="58" t="s">
        <v>22515</v>
      </c>
      <c r="D2746" s="58" t="s">
        <v>25178</v>
      </c>
      <c r="E2746" s="58" t="s">
        <v>25179</v>
      </c>
      <c r="I2746" s="58" t="s">
        <v>25180</v>
      </c>
      <c r="Q2746" s="58">
        <v>6.0</v>
      </c>
      <c r="R2746" s="58">
        <v>13.0</v>
      </c>
      <c r="CL2746" s="58" t="s">
        <v>25181</v>
      </c>
      <c r="CP2746" s="58" t="s">
        <v>25182</v>
      </c>
      <c r="CX2746" s="58" t="s">
        <v>25183</v>
      </c>
      <c r="CY2746" s="58" t="s">
        <v>25184</v>
      </c>
      <c r="CZ2746" s="58">
        <v>2023.0</v>
      </c>
      <c r="DA2746" s="58" t="s">
        <v>25185</v>
      </c>
      <c r="DC2746" s="58">
        <v>2388.0</v>
      </c>
      <c r="DD2746" s="58">
        <v>2396.0</v>
      </c>
      <c r="DE2746" s="58">
        <v>8.0</v>
      </c>
      <c r="DF2746" s="58">
        <v>5.0</v>
      </c>
      <c r="DG2746" s="58" t="s">
        <v>25186</v>
      </c>
      <c r="DH2746" s="58" t="s">
        <v>22525</v>
      </c>
      <c r="DI2746" s="58" t="s">
        <v>22526</v>
      </c>
      <c r="DJ2746" s="58" t="s">
        <v>237</v>
      </c>
      <c r="DK2746" s="58" t="s">
        <v>25187</v>
      </c>
    </row>
    <row r="2747" ht="15.75" customHeight="1">
      <c r="B2747" s="58" t="s">
        <v>22515</v>
      </c>
      <c r="D2747" s="58" t="s">
        <v>25188</v>
      </c>
      <c r="E2747" s="58" t="s">
        <v>25189</v>
      </c>
      <c r="I2747" s="58" t="s">
        <v>25190</v>
      </c>
      <c r="Q2747" s="58">
        <v>4.0</v>
      </c>
      <c r="R2747" s="58">
        <v>25.0</v>
      </c>
      <c r="CL2747" s="58" t="s">
        <v>25191</v>
      </c>
      <c r="CP2747" s="58" t="s">
        <v>25192</v>
      </c>
      <c r="CX2747" s="58" t="s">
        <v>25193</v>
      </c>
      <c r="CY2747" s="58" t="s">
        <v>25194</v>
      </c>
      <c r="CZ2747" s="58">
        <v>2023.0</v>
      </c>
      <c r="DA2747" s="58" t="s">
        <v>25195</v>
      </c>
      <c r="DB2747" s="58">
        <v>632.0</v>
      </c>
      <c r="DF2747" s="58">
        <v>9.0</v>
      </c>
      <c r="DG2747" s="58" t="s">
        <v>25196</v>
      </c>
      <c r="DH2747" s="58" t="s">
        <v>22525</v>
      </c>
      <c r="DI2747" s="58" t="s">
        <v>22643</v>
      </c>
      <c r="DJ2747" s="58" t="s">
        <v>237</v>
      </c>
      <c r="DK2747" s="58" t="s">
        <v>25197</v>
      </c>
    </row>
    <row r="2748" ht="15.75" customHeight="1">
      <c r="B2748" s="58" t="s">
        <v>22515</v>
      </c>
      <c r="D2748" s="58" t="s">
        <v>25198</v>
      </c>
      <c r="E2748" s="58" t="s">
        <v>25199</v>
      </c>
      <c r="I2748" s="58" t="s">
        <v>25200</v>
      </c>
      <c r="R2748" s="58">
        <v>140.0</v>
      </c>
      <c r="CL2748" s="58" t="s">
        <v>25201</v>
      </c>
      <c r="CP2748" s="58" t="s">
        <v>25202</v>
      </c>
      <c r="CX2748" s="58" t="s">
        <v>25203</v>
      </c>
      <c r="CY2748" s="58" t="s">
        <v>25204</v>
      </c>
      <c r="CZ2748" s="58">
        <v>2023.0</v>
      </c>
      <c r="DA2748" s="58" t="s">
        <v>25205</v>
      </c>
      <c r="DB2748" s="58">
        <v>105315.0</v>
      </c>
      <c r="DF2748" s="58">
        <v>13.0</v>
      </c>
      <c r="DG2748" s="58" t="s">
        <v>25206</v>
      </c>
      <c r="DH2748" s="58" t="s">
        <v>22525</v>
      </c>
      <c r="DJ2748" s="58" t="s">
        <v>237</v>
      </c>
      <c r="DK2748" s="58" t="s">
        <v>25207</v>
      </c>
      <c r="DL2748" s="58" t="s">
        <v>25208</v>
      </c>
    </row>
    <row r="2749" ht="15.75" customHeight="1">
      <c r="B2749" s="58" t="s">
        <v>22515</v>
      </c>
      <c r="D2749" s="58" t="s">
        <v>25209</v>
      </c>
      <c r="E2749" s="58" t="s">
        <v>25210</v>
      </c>
      <c r="I2749" s="58" t="s">
        <v>25211</v>
      </c>
      <c r="Q2749" s="58">
        <v>12.0</v>
      </c>
      <c r="R2749" s="58">
        <v>79.0</v>
      </c>
      <c r="CL2749" s="58" t="s">
        <v>25212</v>
      </c>
      <c r="CP2749" s="58" t="s">
        <v>25213</v>
      </c>
      <c r="CX2749" s="58" t="s">
        <v>25214</v>
      </c>
      <c r="CY2749" s="58" t="s">
        <v>25215</v>
      </c>
      <c r="CZ2749" s="58">
        <v>2023.0</v>
      </c>
      <c r="DA2749" s="58" t="s">
        <v>22535</v>
      </c>
      <c r="DC2749" s="58">
        <v>13766.0</v>
      </c>
      <c r="DD2749" s="58">
        <v>13793.0</v>
      </c>
      <c r="DE2749" s="58">
        <v>27.0</v>
      </c>
      <c r="DF2749" s="58">
        <v>2.0</v>
      </c>
      <c r="DG2749" s="58" t="s">
        <v>25216</v>
      </c>
      <c r="DH2749" s="58" t="s">
        <v>22525</v>
      </c>
      <c r="DI2749" s="58" t="s">
        <v>23606</v>
      </c>
      <c r="DJ2749" s="58" t="s">
        <v>237</v>
      </c>
      <c r="DK2749" s="58" t="s">
        <v>25217</v>
      </c>
      <c r="DL2749" s="58" t="s">
        <v>25218</v>
      </c>
    </row>
    <row r="2750" ht="15.75" customHeight="1">
      <c r="B2750" s="58" t="s">
        <v>22515</v>
      </c>
      <c r="D2750" s="58" t="s">
        <v>25219</v>
      </c>
      <c r="E2750" s="58" t="s">
        <v>25220</v>
      </c>
      <c r="I2750" s="58" t="s">
        <v>25221</v>
      </c>
      <c r="Q2750" s="58">
        <v>1.0</v>
      </c>
      <c r="R2750" s="58">
        <v>26.0</v>
      </c>
      <c r="CL2750" s="58" t="s">
        <v>25222</v>
      </c>
      <c r="CP2750" s="58" t="s">
        <v>25223</v>
      </c>
      <c r="CX2750" s="58" t="s">
        <v>25224</v>
      </c>
      <c r="CY2750" s="58">
        <v>3.61417768E10</v>
      </c>
      <c r="CZ2750" s="58">
        <v>2023.0</v>
      </c>
      <c r="DA2750" s="58" t="s">
        <v>22988</v>
      </c>
      <c r="DC2750" s="58">
        <v>13.0</v>
      </c>
      <c r="DD2750" s="58">
        <v>23.0</v>
      </c>
      <c r="DE2750" s="58">
        <v>10.0</v>
      </c>
      <c r="DF2750" s="58">
        <v>4.0</v>
      </c>
      <c r="DG2750" s="58" t="s">
        <v>25225</v>
      </c>
      <c r="DH2750" s="58" t="s">
        <v>22525</v>
      </c>
      <c r="DJ2750" s="58" t="s">
        <v>237</v>
      </c>
      <c r="DK2750" s="58" t="s">
        <v>25226</v>
      </c>
      <c r="DL2750" s="58" t="s">
        <v>25227</v>
      </c>
    </row>
    <row r="2751" ht="15.75" customHeight="1">
      <c r="B2751" s="58" t="s">
        <v>22515</v>
      </c>
      <c r="D2751" s="58" t="s">
        <v>25228</v>
      </c>
      <c r="E2751" s="58" t="s">
        <v>25229</v>
      </c>
      <c r="I2751" s="58" t="s">
        <v>25230</v>
      </c>
      <c r="Q2751" s="58">
        <v>5.0</v>
      </c>
      <c r="R2751" s="58">
        <v>13.0</v>
      </c>
      <c r="CL2751" s="58" t="s">
        <v>25231</v>
      </c>
      <c r="CP2751" s="58" t="s">
        <v>25232</v>
      </c>
      <c r="CX2751" s="58" t="s">
        <v>25233</v>
      </c>
      <c r="CY2751" s="58" t="s">
        <v>25234</v>
      </c>
      <c r="CZ2751" s="58">
        <v>2023.0</v>
      </c>
      <c r="DA2751" s="58" t="s">
        <v>23168</v>
      </c>
      <c r="DB2751" s="58">
        <v>2972.0</v>
      </c>
      <c r="DF2751" s="58">
        <v>8.0</v>
      </c>
      <c r="DG2751" s="58" t="s">
        <v>25235</v>
      </c>
      <c r="DH2751" s="58" t="s">
        <v>22525</v>
      </c>
      <c r="DI2751" s="58" t="s">
        <v>22622</v>
      </c>
      <c r="DJ2751" s="58" t="s">
        <v>237</v>
      </c>
      <c r="DK2751" s="58" t="s">
        <v>25236</v>
      </c>
    </row>
    <row r="2752" ht="15.75" customHeight="1">
      <c r="B2752" s="58" t="s">
        <v>22515</v>
      </c>
      <c r="D2752" s="58" t="s">
        <v>25237</v>
      </c>
      <c r="E2752" s="58" t="s">
        <v>25238</v>
      </c>
      <c r="I2752" s="58" t="s">
        <v>25239</v>
      </c>
      <c r="Q2752" s="58">
        <v>13.0</v>
      </c>
      <c r="R2752" s="58">
        <v>16.0</v>
      </c>
      <c r="CL2752" s="58" t="s">
        <v>25240</v>
      </c>
      <c r="CP2752" s="58" t="s">
        <v>25241</v>
      </c>
      <c r="CX2752" s="58" t="s">
        <v>25242</v>
      </c>
      <c r="CY2752" s="58" t="s">
        <v>25243</v>
      </c>
      <c r="CZ2752" s="58">
        <v>2023.0</v>
      </c>
      <c r="DA2752" s="58" t="s">
        <v>25244</v>
      </c>
      <c r="DB2752" s="58">
        <v>4878.0</v>
      </c>
      <c r="DF2752" s="58">
        <v>7.0</v>
      </c>
      <c r="DG2752" s="58" t="s">
        <v>25245</v>
      </c>
      <c r="DH2752" s="58" t="s">
        <v>22525</v>
      </c>
      <c r="DI2752" s="58" t="s">
        <v>22622</v>
      </c>
      <c r="DJ2752" s="58" t="s">
        <v>237</v>
      </c>
      <c r="DK2752" s="58" t="s">
        <v>25246</v>
      </c>
      <c r="DL2752" s="58" t="s">
        <v>25247</v>
      </c>
    </row>
    <row r="2753" ht="15.75" customHeight="1">
      <c r="B2753" s="58" t="s">
        <v>22515</v>
      </c>
      <c r="D2753" s="58" t="s">
        <v>25248</v>
      </c>
      <c r="E2753" s="58" t="s">
        <v>25249</v>
      </c>
      <c r="I2753" s="58" t="s">
        <v>25250</v>
      </c>
      <c r="Q2753" s="58">
        <v>6.0</v>
      </c>
      <c r="R2753" s="58">
        <v>42.0</v>
      </c>
      <c r="CL2753" s="58" t="s">
        <v>25251</v>
      </c>
      <c r="CP2753" s="58" t="s">
        <v>25252</v>
      </c>
      <c r="CX2753" s="58" t="s">
        <v>25253</v>
      </c>
      <c r="CY2753" s="58" t="s">
        <v>25254</v>
      </c>
      <c r="CZ2753" s="58">
        <v>2023.0</v>
      </c>
      <c r="DA2753" s="58" t="s">
        <v>24989</v>
      </c>
      <c r="DC2753" s="58">
        <v>1756.0</v>
      </c>
      <c r="DD2753" s="58">
        <v>1769.0</v>
      </c>
      <c r="DE2753" s="58">
        <v>13.0</v>
      </c>
      <c r="DF2753" s="58">
        <v>24.0</v>
      </c>
      <c r="DG2753" s="58" t="s">
        <v>25255</v>
      </c>
      <c r="DH2753" s="58" t="s">
        <v>22525</v>
      </c>
      <c r="DJ2753" s="58" t="s">
        <v>237</v>
      </c>
      <c r="DK2753" s="58" t="s">
        <v>25256</v>
      </c>
      <c r="DL2753" s="58" t="s">
        <v>25257</v>
      </c>
    </row>
    <row r="2754" ht="15.75" customHeight="1">
      <c r="B2754" s="58" t="s">
        <v>22515</v>
      </c>
      <c r="D2754" s="58" t="s">
        <v>25258</v>
      </c>
      <c r="E2754" s="58" t="s">
        <v>25259</v>
      </c>
      <c r="I2754" s="58" t="s">
        <v>25260</v>
      </c>
      <c r="R2754" s="58">
        <v>92.0</v>
      </c>
      <c r="CL2754" s="58" t="s">
        <v>25261</v>
      </c>
      <c r="CP2754" s="58" t="s">
        <v>25262</v>
      </c>
      <c r="CX2754" s="58" t="s">
        <v>25263</v>
      </c>
      <c r="CY2754" s="58" t="s">
        <v>25264</v>
      </c>
      <c r="CZ2754" s="58">
        <v>2023.0</v>
      </c>
      <c r="DA2754" s="58" t="s">
        <v>23010</v>
      </c>
      <c r="DB2754" s="58">
        <v>101800.0</v>
      </c>
      <c r="DF2754" s="58">
        <v>7.0</v>
      </c>
      <c r="DG2754" s="58" t="s">
        <v>25265</v>
      </c>
      <c r="DH2754" s="58" t="s">
        <v>22525</v>
      </c>
      <c r="DJ2754" s="58" t="s">
        <v>237</v>
      </c>
      <c r="DK2754" s="58" t="s">
        <v>25266</v>
      </c>
      <c r="DL2754" s="58" t="s">
        <v>25267</v>
      </c>
    </row>
    <row r="2755" ht="15.75" customHeight="1">
      <c r="B2755" s="58" t="s">
        <v>22515</v>
      </c>
      <c r="D2755" s="58" t="s">
        <v>25268</v>
      </c>
      <c r="E2755" s="58" t="s">
        <v>25269</v>
      </c>
      <c r="I2755" s="58" t="s">
        <v>25270</v>
      </c>
      <c r="R2755" s="58">
        <v>221.0</v>
      </c>
      <c r="CL2755" s="58" t="s">
        <v>25271</v>
      </c>
      <c r="CP2755" s="58" t="s">
        <v>25272</v>
      </c>
      <c r="CX2755" s="58" t="s">
        <v>25273</v>
      </c>
      <c r="CY2755" s="58" t="s">
        <v>25274</v>
      </c>
      <c r="CZ2755" s="58">
        <v>2023.0</v>
      </c>
      <c r="DA2755" s="58" t="s">
        <v>22791</v>
      </c>
      <c r="DB2755" s="58">
        <v>119744.0</v>
      </c>
      <c r="DF2755" s="58">
        <v>1.0</v>
      </c>
      <c r="DG2755" s="58" t="s">
        <v>25275</v>
      </c>
      <c r="DH2755" s="58" t="s">
        <v>22525</v>
      </c>
      <c r="DJ2755" s="58" t="s">
        <v>237</v>
      </c>
      <c r="DK2755" s="58" t="s">
        <v>25276</v>
      </c>
      <c r="DL2755" s="58" t="s">
        <v>25277</v>
      </c>
    </row>
    <row r="2756" ht="15.75" customHeight="1">
      <c r="B2756" s="58" t="s">
        <v>22515</v>
      </c>
      <c r="D2756" s="58" t="s">
        <v>25278</v>
      </c>
      <c r="E2756" s="58" t="s">
        <v>25279</v>
      </c>
      <c r="I2756" s="58" t="s">
        <v>25280</v>
      </c>
      <c r="Q2756" s="58">
        <v>7.0</v>
      </c>
      <c r="R2756" s="58">
        <v>15.0</v>
      </c>
      <c r="CL2756" s="58" t="s">
        <v>25281</v>
      </c>
      <c r="CP2756" s="58" t="s">
        <v>25282</v>
      </c>
      <c r="CX2756" s="58" t="s">
        <v>25283</v>
      </c>
      <c r="CY2756" s="58" t="s">
        <v>25284</v>
      </c>
      <c r="CZ2756" s="58">
        <v>2023.0</v>
      </c>
      <c r="DA2756" s="58" t="s">
        <v>25285</v>
      </c>
      <c r="DB2756" s="58">
        <v>5983.0</v>
      </c>
      <c r="DF2756" s="58">
        <v>18.0</v>
      </c>
      <c r="DG2756" s="58" t="s">
        <v>25286</v>
      </c>
      <c r="DH2756" s="58" t="s">
        <v>22525</v>
      </c>
      <c r="DI2756" s="58" t="s">
        <v>22643</v>
      </c>
      <c r="DJ2756" s="58" t="s">
        <v>237</v>
      </c>
      <c r="DK2756" s="58" t="s">
        <v>25287</v>
      </c>
      <c r="DL2756" s="58" t="s">
        <v>25288</v>
      </c>
    </row>
    <row r="2757" ht="15.75" customHeight="1">
      <c r="B2757" s="58" t="s">
        <v>22771</v>
      </c>
      <c r="D2757" s="58" t="s">
        <v>25289</v>
      </c>
      <c r="E2757" s="58" t="s">
        <v>25290</v>
      </c>
      <c r="I2757" s="58" t="s">
        <v>25291</v>
      </c>
      <c r="CL2757" s="58" t="s">
        <v>25292</v>
      </c>
      <c r="CP2757" s="58" t="s">
        <v>25293</v>
      </c>
      <c r="CX2757" s="58" t="s">
        <v>25294</v>
      </c>
      <c r="CY2757" s="58" t="s">
        <v>25295</v>
      </c>
      <c r="CZ2757" s="58">
        <v>2023.0</v>
      </c>
      <c r="DA2757" s="58" t="s">
        <v>24596</v>
      </c>
      <c r="DC2757" s="58">
        <v>433.0</v>
      </c>
      <c r="DD2757" s="58">
        <v>445.0</v>
      </c>
      <c r="DE2757" s="58">
        <v>12.0</v>
      </c>
      <c r="DF2757" s="58">
        <v>2.0</v>
      </c>
      <c r="DG2757" s="58" t="s">
        <v>25296</v>
      </c>
      <c r="DH2757" s="58" t="s">
        <v>22525</v>
      </c>
      <c r="DI2757" s="58" t="s">
        <v>22656</v>
      </c>
      <c r="DJ2757" s="58" t="s">
        <v>237</v>
      </c>
      <c r="DK2757" s="58" t="s">
        <v>25297</v>
      </c>
      <c r="DL2757" s="58" t="s">
        <v>25298</v>
      </c>
    </row>
    <row r="2758" ht="15.75" customHeight="1">
      <c r="B2758" s="58" t="s">
        <v>22515</v>
      </c>
      <c r="D2758" s="58" t="s">
        <v>25299</v>
      </c>
      <c r="E2758" s="58" t="s">
        <v>25300</v>
      </c>
      <c r="I2758" s="58" t="s">
        <v>25301</v>
      </c>
      <c r="Q2758" s="58">
        <v>5.0</v>
      </c>
      <c r="R2758" s="58">
        <v>26.0</v>
      </c>
      <c r="CL2758" s="58" t="s">
        <v>25302</v>
      </c>
      <c r="CP2758" s="58" t="s">
        <v>25303</v>
      </c>
      <c r="CX2758" s="58" t="s">
        <v>25304</v>
      </c>
      <c r="CY2758" s="58" t="s">
        <v>25305</v>
      </c>
      <c r="CZ2758" s="58">
        <v>2023.0</v>
      </c>
      <c r="DA2758" s="58" t="s">
        <v>25306</v>
      </c>
      <c r="DC2758" s="58">
        <v>537.0</v>
      </c>
      <c r="DD2758" s="58">
        <v>554.0</v>
      </c>
      <c r="DE2758" s="58">
        <v>17.0</v>
      </c>
      <c r="DF2758" s="58">
        <v>1.0</v>
      </c>
      <c r="DG2758" s="58" t="s">
        <v>25307</v>
      </c>
      <c r="DH2758" s="58" t="s">
        <v>22525</v>
      </c>
      <c r="DI2758" s="58" t="s">
        <v>22816</v>
      </c>
      <c r="DJ2758" s="58" t="s">
        <v>237</v>
      </c>
      <c r="DK2758" s="58" t="s">
        <v>25308</v>
      </c>
      <c r="DL2758" s="58" t="s">
        <v>25309</v>
      </c>
    </row>
    <row r="2759" ht="15.75" customHeight="1">
      <c r="B2759" s="58" t="s">
        <v>22771</v>
      </c>
      <c r="D2759" s="58" t="s">
        <v>25310</v>
      </c>
      <c r="E2759" s="58" t="s">
        <v>25311</v>
      </c>
      <c r="I2759" s="58" t="s">
        <v>25312</v>
      </c>
      <c r="CL2759" s="58" t="s">
        <v>25313</v>
      </c>
      <c r="CP2759" s="58" t="s">
        <v>25314</v>
      </c>
      <c r="CX2759" s="58" t="s">
        <v>25315</v>
      </c>
      <c r="CY2759" s="58" t="s">
        <v>25316</v>
      </c>
      <c r="CZ2759" s="58">
        <v>2023.0</v>
      </c>
      <c r="DA2759" s="58" t="s">
        <v>25317</v>
      </c>
      <c r="DC2759" s="58">
        <v>209.0</v>
      </c>
      <c r="DD2759" s="58">
        <v>214.0</v>
      </c>
      <c r="DE2759" s="58">
        <v>5.0</v>
      </c>
      <c r="DF2759" s="58">
        <v>0.0</v>
      </c>
      <c r="DG2759" s="58" t="s">
        <v>25318</v>
      </c>
      <c r="DH2759" s="58" t="s">
        <v>22525</v>
      </c>
      <c r="DJ2759" s="58" t="s">
        <v>237</v>
      </c>
      <c r="DK2759" s="58" t="s">
        <v>25319</v>
      </c>
      <c r="DL2759" s="58" t="s">
        <v>25320</v>
      </c>
    </row>
    <row r="2760" ht="15.75" customHeight="1">
      <c r="B2760" s="58" t="s">
        <v>22515</v>
      </c>
      <c r="D2760" s="58" t="s">
        <v>25321</v>
      </c>
      <c r="E2760" s="58" t="s">
        <v>25322</v>
      </c>
      <c r="I2760" s="58" t="s">
        <v>25323</v>
      </c>
      <c r="Q2760" s="58">
        <v>16.0</v>
      </c>
      <c r="R2760" s="58">
        <v>23.0</v>
      </c>
      <c r="CL2760" s="58" t="s">
        <v>25324</v>
      </c>
      <c r="CP2760" s="58" t="s">
        <v>25325</v>
      </c>
      <c r="CX2760" s="58" t="s">
        <v>25326</v>
      </c>
      <c r="CY2760" s="58" t="s">
        <v>25327</v>
      </c>
      <c r="CZ2760" s="58">
        <v>2023.0</v>
      </c>
      <c r="DA2760" s="58" t="s">
        <v>22802</v>
      </c>
      <c r="DB2760" s="58">
        <v>7142.0</v>
      </c>
      <c r="DF2760" s="58">
        <v>4.0</v>
      </c>
      <c r="DG2760" s="58" t="s">
        <v>25328</v>
      </c>
      <c r="DH2760" s="58" t="s">
        <v>22525</v>
      </c>
      <c r="DI2760" s="58" t="s">
        <v>22643</v>
      </c>
      <c r="DJ2760" s="58" t="s">
        <v>237</v>
      </c>
      <c r="DK2760" s="58" t="s">
        <v>25329</v>
      </c>
      <c r="DL2760" s="58" t="s">
        <v>25330</v>
      </c>
    </row>
    <row r="2761" ht="15.75" customHeight="1">
      <c r="B2761" s="58" t="s">
        <v>22515</v>
      </c>
      <c r="D2761" s="58" t="s">
        <v>25331</v>
      </c>
      <c r="E2761" s="58" t="s">
        <v>25332</v>
      </c>
      <c r="I2761" s="58" t="s">
        <v>25333</v>
      </c>
      <c r="Q2761" s="58">
        <v>5.0</v>
      </c>
      <c r="R2761" s="58">
        <v>10.0</v>
      </c>
      <c r="CL2761" s="58" t="s">
        <v>25334</v>
      </c>
      <c r="CP2761" s="58" t="s">
        <v>25335</v>
      </c>
      <c r="CX2761" s="58" t="s">
        <v>25336</v>
      </c>
      <c r="CY2761" s="58" t="s">
        <v>25337</v>
      </c>
      <c r="CZ2761" s="58">
        <v>2023.0</v>
      </c>
      <c r="DA2761" s="58" t="s">
        <v>25338</v>
      </c>
      <c r="DC2761" s="58">
        <v>3032.0</v>
      </c>
      <c r="DD2761" s="58">
        <v>3046.0</v>
      </c>
      <c r="DE2761" s="58">
        <v>14.0</v>
      </c>
      <c r="DF2761" s="58">
        <v>54.0</v>
      </c>
      <c r="DG2761" s="58" t="s">
        <v>25339</v>
      </c>
      <c r="DH2761" s="58" t="s">
        <v>22525</v>
      </c>
      <c r="DJ2761" s="58" t="s">
        <v>237</v>
      </c>
      <c r="DK2761" s="58" t="s">
        <v>25340</v>
      </c>
      <c r="DL2761" s="58" t="s">
        <v>25341</v>
      </c>
    </row>
    <row r="2762" ht="15.75" customHeight="1">
      <c r="B2762" s="58" t="s">
        <v>22771</v>
      </c>
      <c r="D2762" s="58" t="s">
        <v>25342</v>
      </c>
      <c r="E2762" s="58" t="s">
        <v>25343</v>
      </c>
      <c r="I2762" s="58" t="s">
        <v>25344</v>
      </c>
      <c r="CL2762" s="58" t="s">
        <v>25345</v>
      </c>
      <c r="CP2762" s="58" t="s">
        <v>25346</v>
      </c>
      <c r="CX2762" s="58" t="s">
        <v>25347</v>
      </c>
      <c r="CY2762" s="58" t="s">
        <v>25348</v>
      </c>
      <c r="CZ2762" s="58">
        <v>2023.0</v>
      </c>
      <c r="DA2762" s="58" t="s">
        <v>25349</v>
      </c>
      <c r="DC2762" s="58">
        <v>757.0</v>
      </c>
      <c r="DD2762" s="58">
        <v>762.0</v>
      </c>
      <c r="DE2762" s="58">
        <v>5.0</v>
      </c>
      <c r="DF2762" s="58">
        <v>2.0</v>
      </c>
      <c r="DG2762" s="58" t="s">
        <v>25350</v>
      </c>
      <c r="DH2762" s="58" t="s">
        <v>22525</v>
      </c>
      <c r="DJ2762" s="58" t="s">
        <v>237</v>
      </c>
      <c r="DK2762" s="58" t="s">
        <v>25351</v>
      </c>
      <c r="DL2762" s="58" t="s">
        <v>25352</v>
      </c>
    </row>
    <row r="2763" ht="15.75" customHeight="1">
      <c r="B2763" s="58" t="s">
        <v>22515</v>
      </c>
      <c r="D2763" s="58" t="s">
        <v>25353</v>
      </c>
      <c r="E2763" s="58" t="s">
        <v>25354</v>
      </c>
      <c r="I2763" s="58" t="s">
        <v>25355</v>
      </c>
      <c r="Q2763" s="58">
        <v>2.0</v>
      </c>
      <c r="R2763" s="58">
        <v>65.0</v>
      </c>
      <c r="CL2763" s="58" t="s">
        <v>25356</v>
      </c>
      <c r="CP2763" s="58" t="s">
        <v>25357</v>
      </c>
      <c r="CX2763" s="58" t="s">
        <v>25358</v>
      </c>
      <c r="CY2763" s="58" t="s">
        <v>25359</v>
      </c>
      <c r="CZ2763" s="58">
        <v>2023.0</v>
      </c>
      <c r="DA2763" s="58" t="s">
        <v>25360</v>
      </c>
      <c r="DC2763" s="58">
        <v>707.0</v>
      </c>
      <c r="DD2763" s="58">
        <v>732.0</v>
      </c>
      <c r="DE2763" s="58">
        <v>25.0</v>
      </c>
      <c r="DF2763" s="58">
        <v>2.0</v>
      </c>
      <c r="DG2763" s="58" t="s">
        <v>25361</v>
      </c>
      <c r="DH2763" s="58" t="s">
        <v>22525</v>
      </c>
      <c r="DJ2763" s="58" t="s">
        <v>237</v>
      </c>
      <c r="DK2763" s="58" t="s">
        <v>25362</v>
      </c>
      <c r="DL2763" s="58" t="s">
        <v>25363</v>
      </c>
    </row>
    <row r="2764" ht="15.75" customHeight="1">
      <c r="B2764" s="58" t="s">
        <v>22771</v>
      </c>
      <c r="D2764" s="58" t="s">
        <v>25364</v>
      </c>
      <c r="E2764" s="58" t="s">
        <v>25365</v>
      </c>
      <c r="I2764" s="58" t="s">
        <v>25366</v>
      </c>
      <c r="CL2764" s="58" t="s">
        <v>25367</v>
      </c>
      <c r="CP2764" s="58" t="s">
        <v>25368</v>
      </c>
      <c r="CX2764" s="58" t="s">
        <v>25369</v>
      </c>
      <c r="CY2764" s="58" t="s">
        <v>25370</v>
      </c>
      <c r="CZ2764" s="58">
        <v>2023.0</v>
      </c>
      <c r="DA2764" s="58" t="s">
        <v>25371</v>
      </c>
      <c r="DC2764" s="58">
        <v>1270.0</v>
      </c>
      <c r="DD2764" s="58">
        <v>1275.0</v>
      </c>
      <c r="DE2764" s="58">
        <v>5.0</v>
      </c>
      <c r="DF2764" s="58">
        <v>3.0</v>
      </c>
      <c r="DG2764" s="58" t="s">
        <v>25372</v>
      </c>
      <c r="DH2764" s="58" t="s">
        <v>22525</v>
      </c>
      <c r="DJ2764" s="58" t="s">
        <v>237</v>
      </c>
      <c r="DK2764" s="58" t="s">
        <v>25373</v>
      </c>
      <c r="DL2764" s="58" t="s">
        <v>25374</v>
      </c>
    </row>
    <row r="2765" ht="15.75" customHeight="1">
      <c r="B2765" s="58" t="s">
        <v>22515</v>
      </c>
      <c r="D2765" s="58" t="s">
        <v>25375</v>
      </c>
      <c r="E2765" s="58" t="s">
        <v>25376</v>
      </c>
      <c r="I2765" s="58" t="s">
        <v>25377</v>
      </c>
      <c r="Q2765" s="58">
        <v>8.0</v>
      </c>
      <c r="R2765" s="58">
        <v>15.0</v>
      </c>
      <c r="CL2765" s="58" t="s">
        <v>25378</v>
      </c>
      <c r="CP2765" s="58" t="s">
        <v>25379</v>
      </c>
      <c r="CX2765" s="58" t="s">
        <v>25380</v>
      </c>
      <c r="CY2765" s="58" t="s">
        <v>25381</v>
      </c>
      <c r="CZ2765" s="58">
        <v>2023.0</v>
      </c>
      <c r="DA2765" s="58" t="s">
        <v>23398</v>
      </c>
      <c r="DB2765" s="58">
        <v>276.0</v>
      </c>
      <c r="DF2765" s="58">
        <v>7.0</v>
      </c>
      <c r="DG2765" s="58" t="s">
        <v>25382</v>
      </c>
      <c r="DH2765" s="58" t="s">
        <v>22525</v>
      </c>
      <c r="DI2765" s="58" t="s">
        <v>22622</v>
      </c>
      <c r="DJ2765" s="58" t="s">
        <v>237</v>
      </c>
      <c r="DK2765" s="58" t="s">
        <v>25383</v>
      </c>
      <c r="DL2765" s="58" t="s">
        <v>25384</v>
      </c>
    </row>
    <row r="2766" ht="15.75" customHeight="1">
      <c r="B2766" s="58" t="s">
        <v>22515</v>
      </c>
      <c r="D2766" s="58" t="s">
        <v>25385</v>
      </c>
      <c r="E2766" s="58" t="s">
        <v>25386</v>
      </c>
      <c r="I2766" s="58" t="s">
        <v>25387</v>
      </c>
      <c r="R2766" s="58">
        <v>13.0</v>
      </c>
      <c r="CL2766" s="58" t="s">
        <v>25388</v>
      </c>
      <c r="CP2766" s="58" t="s">
        <v>25389</v>
      </c>
      <c r="CX2766" s="58" t="s">
        <v>25390</v>
      </c>
      <c r="CY2766" s="58" t="s">
        <v>25391</v>
      </c>
      <c r="CZ2766" s="58">
        <v>2023.0</v>
      </c>
      <c r="DA2766" s="58" t="s">
        <v>25392</v>
      </c>
      <c r="DB2766" s="58">
        <v>100240.0</v>
      </c>
      <c r="DF2766" s="58">
        <v>7.0</v>
      </c>
      <c r="DG2766" s="58" t="s">
        <v>25393</v>
      </c>
      <c r="DH2766" s="58" t="s">
        <v>22525</v>
      </c>
      <c r="DI2766" s="58" t="s">
        <v>22622</v>
      </c>
      <c r="DJ2766" s="58" t="s">
        <v>237</v>
      </c>
      <c r="DK2766" s="58" t="s">
        <v>25394</v>
      </c>
      <c r="DL2766" s="58" t="s">
        <v>25395</v>
      </c>
    </row>
    <row r="2767" ht="15.75" customHeight="1">
      <c r="B2767" s="58" t="s">
        <v>22515</v>
      </c>
      <c r="D2767" s="58" t="s">
        <v>25396</v>
      </c>
      <c r="E2767" s="58" t="s">
        <v>25397</v>
      </c>
      <c r="I2767" s="58" t="s">
        <v>25398</v>
      </c>
      <c r="Q2767" s="58">
        <v>2.0</v>
      </c>
      <c r="R2767" s="58">
        <v>20.0</v>
      </c>
      <c r="CL2767" s="58" t="s">
        <v>25399</v>
      </c>
      <c r="CP2767" s="58" t="s">
        <v>25400</v>
      </c>
      <c r="CX2767" s="58" t="s">
        <v>25401</v>
      </c>
      <c r="CY2767" s="58" t="s">
        <v>25402</v>
      </c>
      <c r="CZ2767" s="58">
        <v>2023.0</v>
      </c>
      <c r="DA2767" s="58" t="s">
        <v>16959</v>
      </c>
      <c r="DC2767" s="58">
        <v>1866.0</v>
      </c>
      <c r="DD2767" s="58">
        <v>1883.0</v>
      </c>
      <c r="DE2767" s="58">
        <v>17.0</v>
      </c>
      <c r="DF2767" s="58">
        <v>8.0</v>
      </c>
      <c r="DG2767" s="58" t="s">
        <v>25403</v>
      </c>
      <c r="DH2767" s="58" t="s">
        <v>22525</v>
      </c>
      <c r="DJ2767" s="58" t="s">
        <v>237</v>
      </c>
      <c r="DK2767" s="58" t="s">
        <v>25404</v>
      </c>
      <c r="DL2767" s="58" t="s">
        <v>25405</v>
      </c>
    </row>
    <row r="2768" ht="15.75" customHeight="1">
      <c r="B2768" s="58" t="s">
        <v>22515</v>
      </c>
      <c r="D2768" s="58" t="s">
        <v>25406</v>
      </c>
      <c r="E2768" s="58" t="s">
        <v>25407</v>
      </c>
      <c r="I2768" s="58" t="s">
        <v>25408</v>
      </c>
      <c r="Q2768" s="58">
        <v>6.0</v>
      </c>
      <c r="R2768" s="58">
        <v>32.0</v>
      </c>
      <c r="CL2768" s="58" t="s">
        <v>25409</v>
      </c>
      <c r="CP2768" s="58" t="s">
        <v>25410</v>
      </c>
      <c r="CX2768" s="58" t="s">
        <v>25411</v>
      </c>
      <c r="CY2768" s="58" t="s">
        <v>25412</v>
      </c>
      <c r="CZ2768" s="58">
        <v>2023.0</v>
      </c>
      <c r="DA2768" s="58" t="s">
        <v>25413</v>
      </c>
      <c r="DC2768" s="58">
        <v>3309.0</v>
      </c>
      <c r="DD2768" s="58">
        <v>3325.0</v>
      </c>
      <c r="DE2768" s="58">
        <v>16.0</v>
      </c>
      <c r="DF2768" s="58">
        <v>18.0</v>
      </c>
      <c r="DG2768" s="58" t="s">
        <v>25414</v>
      </c>
      <c r="DH2768" s="58" t="s">
        <v>22525</v>
      </c>
      <c r="DJ2768" s="58" t="s">
        <v>237</v>
      </c>
      <c r="DK2768" s="58" t="s">
        <v>25415</v>
      </c>
      <c r="DL2768" s="58" t="s">
        <v>25416</v>
      </c>
    </row>
    <row r="2769" ht="15.75" customHeight="1">
      <c r="B2769" s="58" t="s">
        <v>22515</v>
      </c>
      <c r="D2769" s="58" t="s">
        <v>25417</v>
      </c>
      <c r="E2769" s="58" t="s">
        <v>25418</v>
      </c>
      <c r="I2769" s="58" t="s">
        <v>25419</v>
      </c>
      <c r="R2769" s="58">
        <v>11.0</v>
      </c>
      <c r="CL2769" s="58" t="s">
        <v>25420</v>
      </c>
      <c r="CP2769" s="58" t="s">
        <v>25421</v>
      </c>
      <c r="CX2769" s="58" t="s">
        <v>25422</v>
      </c>
      <c r="CY2769" s="58" t="s">
        <v>25423</v>
      </c>
      <c r="CZ2769" s="58">
        <v>2023.0</v>
      </c>
      <c r="DA2769" s="58" t="s">
        <v>16436</v>
      </c>
      <c r="DC2769" s="58">
        <v>107581.0</v>
      </c>
      <c r="DD2769" s="58">
        <v>107604.0</v>
      </c>
      <c r="DE2769" s="58">
        <v>23.0</v>
      </c>
      <c r="DF2769" s="58">
        <v>4.0</v>
      </c>
      <c r="DG2769" s="58" t="s">
        <v>25424</v>
      </c>
      <c r="DH2769" s="58" t="s">
        <v>22525</v>
      </c>
      <c r="DI2769" s="58" t="s">
        <v>22643</v>
      </c>
      <c r="DJ2769" s="58" t="s">
        <v>237</v>
      </c>
      <c r="DK2769" s="58" t="s">
        <v>25425</v>
      </c>
      <c r="DL2769" s="58" t="s">
        <v>25426</v>
      </c>
    </row>
    <row r="2770" ht="15.75" customHeight="1">
      <c r="B2770" s="58" t="s">
        <v>22771</v>
      </c>
      <c r="D2770" s="58" t="s">
        <v>25427</v>
      </c>
      <c r="E2770" s="58" t="s">
        <v>25428</v>
      </c>
      <c r="I2770" s="58" t="s">
        <v>25429</v>
      </c>
      <c r="CL2770" s="58" t="s">
        <v>25430</v>
      </c>
      <c r="CP2770" s="58" t="s">
        <v>25431</v>
      </c>
      <c r="CX2770" s="58" t="s">
        <v>25432</v>
      </c>
      <c r="CY2770" s="58" t="s">
        <v>25433</v>
      </c>
      <c r="CZ2770" s="58">
        <v>2023.0</v>
      </c>
      <c r="DA2770" s="58" t="s">
        <v>25434</v>
      </c>
      <c r="DC2770" s="58">
        <v>293.0</v>
      </c>
      <c r="DD2770" s="58">
        <v>300.0</v>
      </c>
      <c r="DE2770" s="58">
        <v>7.0</v>
      </c>
      <c r="DF2770" s="58">
        <v>3.0</v>
      </c>
      <c r="DG2770" s="58" t="s">
        <v>25435</v>
      </c>
      <c r="DH2770" s="58" t="s">
        <v>22525</v>
      </c>
      <c r="DJ2770" s="58" t="s">
        <v>237</v>
      </c>
      <c r="DK2770" s="58" t="s">
        <v>25436</v>
      </c>
      <c r="DL2770" s="58" t="s">
        <v>25437</v>
      </c>
    </row>
    <row r="2771" ht="15.75" customHeight="1">
      <c r="B2771" s="58" t="s">
        <v>22771</v>
      </c>
      <c r="D2771" s="58" t="s">
        <v>25438</v>
      </c>
      <c r="E2771" s="58" t="s">
        <v>25439</v>
      </c>
      <c r="I2771" s="58" t="s">
        <v>25440</v>
      </c>
      <c r="R2771" s="58" t="s">
        <v>25441</v>
      </c>
      <c r="CL2771" s="58" t="s">
        <v>25442</v>
      </c>
      <c r="CX2771" s="58" t="s">
        <v>25443</v>
      </c>
      <c r="CY2771" s="58" t="s">
        <v>25444</v>
      </c>
      <c r="CZ2771" s="58">
        <v>2023.0</v>
      </c>
      <c r="DA2771" s="58" t="s">
        <v>25445</v>
      </c>
      <c r="DC2771" s="58">
        <v>511.0</v>
      </c>
      <c r="DD2771" s="58">
        <v>522.0</v>
      </c>
      <c r="DE2771" s="58">
        <v>11.0</v>
      </c>
      <c r="DF2771" s="58">
        <v>4.0</v>
      </c>
      <c r="DG2771" s="58" t="s">
        <v>25446</v>
      </c>
      <c r="DH2771" s="58" t="s">
        <v>22525</v>
      </c>
      <c r="DJ2771" s="58" t="s">
        <v>237</v>
      </c>
      <c r="DK2771" s="58" t="s">
        <v>25447</v>
      </c>
      <c r="DL2771" s="58" t="s">
        <v>25448</v>
      </c>
    </row>
    <row r="2772" ht="15.75" customHeight="1">
      <c r="B2772" s="58" t="s">
        <v>22515</v>
      </c>
      <c r="D2772" s="58" t="s">
        <v>25449</v>
      </c>
      <c r="E2772" s="58" t="s">
        <v>25450</v>
      </c>
      <c r="I2772" s="58" t="s">
        <v>25451</v>
      </c>
      <c r="Q2772" s="58">
        <v>8.0</v>
      </c>
      <c r="R2772" s="58">
        <v>105.0</v>
      </c>
      <c r="CL2772" s="58" t="s">
        <v>25452</v>
      </c>
      <c r="CP2772" s="58" t="s">
        <v>25453</v>
      </c>
      <c r="CX2772" s="58" t="s">
        <v>25454</v>
      </c>
      <c r="CY2772" s="58" t="s">
        <v>25455</v>
      </c>
      <c r="CZ2772" s="58">
        <v>2023.0</v>
      </c>
      <c r="DA2772" s="58" t="s">
        <v>22557</v>
      </c>
      <c r="DC2772" s="58">
        <v>1745.0</v>
      </c>
      <c r="DD2772" s="58">
        <v>1768.0</v>
      </c>
      <c r="DE2772" s="58">
        <v>23.0</v>
      </c>
      <c r="DF2772" s="58">
        <v>4.0</v>
      </c>
      <c r="DG2772" s="58" t="s">
        <v>25456</v>
      </c>
      <c r="DH2772" s="58" t="s">
        <v>22525</v>
      </c>
      <c r="DI2772" s="58" t="s">
        <v>22526</v>
      </c>
      <c r="DJ2772" s="58" t="s">
        <v>237</v>
      </c>
      <c r="DK2772" s="58" t="s">
        <v>25457</v>
      </c>
      <c r="DL2772" s="58" t="s">
        <v>25458</v>
      </c>
    </row>
    <row r="2773" ht="15.75" customHeight="1">
      <c r="B2773" s="58" t="s">
        <v>22515</v>
      </c>
      <c r="D2773" s="58" t="s">
        <v>25459</v>
      </c>
      <c r="E2773" s="58" t="s">
        <v>25460</v>
      </c>
      <c r="I2773" s="58" t="s">
        <v>25461</v>
      </c>
      <c r="R2773" s="58">
        <v>123.0</v>
      </c>
      <c r="CL2773" s="58" t="s">
        <v>25462</v>
      </c>
      <c r="CP2773" s="58" t="s">
        <v>25463</v>
      </c>
      <c r="CX2773" s="58" t="s">
        <v>25464</v>
      </c>
      <c r="CY2773" s="58" t="s">
        <v>25465</v>
      </c>
      <c r="CZ2773" s="58">
        <v>2023.0</v>
      </c>
      <c r="DA2773" s="58" t="s">
        <v>25466</v>
      </c>
      <c r="DB2773" s="58">
        <v>102717.0</v>
      </c>
      <c r="DF2773" s="58">
        <v>83.0</v>
      </c>
      <c r="DG2773" s="58" t="s">
        <v>25467</v>
      </c>
      <c r="DH2773" s="58" t="s">
        <v>22525</v>
      </c>
      <c r="DI2773" s="58" t="s">
        <v>23606</v>
      </c>
      <c r="DJ2773" s="58" t="s">
        <v>237</v>
      </c>
      <c r="DK2773" s="58" t="s">
        <v>25468</v>
      </c>
      <c r="DL2773" s="58" t="s">
        <v>25469</v>
      </c>
    </row>
    <row r="2774" ht="15.75" customHeight="1">
      <c r="B2774" s="58" t="s">
        <v>22515</v>
      </c>
      <c r="D2774" s="58" t="s">
        <v>25470</v>
      </c>
      <c r="E2774" s="58" t="s">
        <v>25471</v>
      </c>
      <c r="I2774" s="58" t="s">
        <v>25472</v>
      </c>
      <c r="Q2774" s="58">
        <v>8.0</v>
      </c>
      <c r="R2774" s="58">
        <v>34.0</v>
      </c>
      <c r="CL2774" s="58" t="s">
        <v>25473</v>
      </c>
      <c r="CP2774" s="58" t="s">
        <v>25474</v>
      </c>
      <c r="CX2774" s="58" t="s">
        <v>25475</v>
      </c>
      <c r="CY2774" s="58" t="s">
        <v>25476</v>
      </c>
      <c r="CZ2774" s="58">
        <v>2023.0</v>
      </c>
      <c r="DA2774" s="58" t="s">
        <v>24552</v>
      </c>
      <c r="DB2774" s="58" t="s">
        <v>25477</v>
      </c>
      <c r="DF2774" s="58">
        <v>3.0</v>
      </c>
      <c r="DG2774" s="58" t="s">
        <v>25478</v>
      </c>
      <c r="DH2774" s="58" t="s">
        <v>22525</v>
      </c>
      <c r="DJ2774" s="58" t="s">
        <v>237</v>
      </c>
      <c r="DK2774" s="58" t="s">
        <v>25479</v>
      </c>
      <c r="DL2774" s="58" t="s">
        <v>25480</v>
      </c>
    </row>
    <row r="2775" ht="15.75" customHeight="1">
      <c r="B2775" s="58" t="s">
        <v>22515</v>
      </c>
      <c r="D2775" s="58" t="s">
        <v>25481</v>
      </c>
      <c r="E2775" s="58" t="s">
        <v>25482</v>
      </c>
      <c r="I2775" s="58" t="s">
        <v>25483</v>
      </c>
      <c r="Q2775" s="58">
        <v>2.0</v>
      </c>
      <c r="R2775" s="58">
        <v>20.0</v>
      </c>
      <c r="CL2775" s="58" t="s">
        <v>25484</v>
      </c>
      <c r="CP2775" s="58" t="s">
        <v>25485</v>
      </c>
      <c r="CX2775" s="58" t="s">
        <v>25486</v>
      </c>
      <c r="CY2775" s="58" t="s">
        <v>25487</v>
      </c>
      <c r="CZ2775" s="58">
        <v>2023.0</v>
      </c>
      <c r="DA2775" s="58" t="s">
        <v>16959</v>
      </c>
      <c r="DC2775" s="58">
        <v>1572.0</v>
      </c>
      <c r="DD2775" s="58">
        <v>1586.0</v>
      </c>
      <c r="DE2775" s="58">
        <v>14.0</v>
      </c>
      <c r="DF2775" s="58">
        <v>13.0</v>
      </c>
      <c r="DG2775" s="58" t="s">
        <v>25488</v>
      </c>
      <c r="DH2775" s="58" t="s">
        <v>22525</v>
      </c>
      <c r="DJ2775" s="58" t="s">
        <v>237</v>
      </c>
      <c r="DK2775" s="58" t="s">
        <v>25489</v>
      </c>
      <c r="DL2775" s="58" t="s">
        <v>25490</v>
      </c>
    </row>
    <row r="2776" ht="15.75" customHeight="1">
      <c r="B2776" s="58" t="s">
        <v>22515</v>
      </c>
      <c r="D2776" s="58" t="s">
        <v>25491</v>
      </c>
      <c r="E2776" s="58" t="s">
        <v>25492</v>
      </c>
      <c r="I2776" s="58" t="s">
        <v>25493</v>
      </c>
      <c r="Q2776" s="58">
        <v>13.0</v>
      </c>
      <c r="R2776" s="58">
        <v>23.0</v>
      </c>
      <c r="CL2776" s="58" t="s">
        <v>25494</v>
      </c>
      <c r="CP2776" s="58" t="s">
        <v>25495</v>
      </c>
      <c r="CX2776" s="58" t="s">
        <v>25496</v>
      </c>
      <c r="CY2776" s="58" t="s">
        <v>25497</v>
      </c>
      <c r="CZ2776" s="58">
        <v>2023.0</v>
      </c>
      <c r="DA2776" s="58" t="s">
        <v>22802</v>
      </c>
      <c r="DB2776" s="58">
        <v>6117.0</v>
      </c>
      <c r="DF2776" s="58">
        <v>27.0</v>
      </c>
      <c r="DG2776" s="58" t="s">
        <v>25498</v>
      </c>
      <c r="DH2776" s="58" t="s">
        <v>22525</v>
      </c>
      <c r="DI2776" s="58" t="s">
        <v>22643</v>
      </c>
      <c r="DJ2776" s="58" t="s">
        <v>237</v>
      </c>
      <c r="DK2776" s="58" t="s">
        <v>25499</v>
      </c>
      <c r="DL2776" s="58" t="s">
        <v>25500</v>
      </c>
    </row>
    <row r="2777" ht="15.75" customHeight="1">
      <c r="B2777" s="58" t="s">
        <v>22515</v>
      </c>
      <c r="D2777" s="58" t="s">
        <v>25501</v>
      </c>
      <c r="E2777" s="58" t="s">
        <v>25502</v>
      </c>
      <c r="I2777" s="58" t="s">
        <v>25503</v>
      </c>
      <c r="R2777" s="58">
        <v>2023.0</v>
      </c>
      <c r="CL2777" s="58" t="s">
        <v>25504</v>
      </c>
      <c r="CX2777" s="58" t="s">
        <v>25505</v>
      </c>
      <c r="CY2777" s="58" t="s">
        <v>25506</v>
      </c>
      <c r="CZ2777" s="58">
        <v>2023.0</v>
      </c>
      <c r="DA2777" s="58" t="s">
        <v>25507</v>
      </c>
      <c r="DB2777" s="58">
        <v>6641563.0</v>
      </c>
      <c r="DF2777" s="58">
        <v>2.0</v>
      </c>
      <c r="DG2777" s="58" t="s">
        <v>25508</v>
      </c>
      <c r="DH2777" s="58" t="s">
        <v>22525</v>
      </c>
      <c r="DI2777" s="58" t="s">
        <v>22622</v>
      </c>
      <c r="DJ2777" s="58" t="s">
        <v>237</v>
      </c>
      <c r="DK2777" s="58" t="s">
        <v>25509</v>
      </c>
      <c r="DL2777" s="58" t="s">
        <v>25510</v>
      </c>
    </row>
    <row r="2778" ht="15.75" customHeight="1">
      <c r="B2778" s="58" t="s">
        <v>22515</v>
      </c>
      <c r="D2778" s="58" t="s">
        <v>25511</v>
      </c>
      <c r="E2778" s="58" t="s">
        <v>25512</v>
      </c>
      <c r="I2778" s="58" t="s">
        <v>25513</v>
      </c>
      <c r="R2778" s="58">
        <v>145.0</v>
      </c>
      <c r="CL2778" s="58" t="s">
        <v>25514</v>
      </c>
      <c r="CP2778" s="58" t="s">
        <v>25515</v>
      </c>
      <c r="CX2778" s="58" t="s">
        <v>25516</v>
      </c>
      <c r="CY2778" s="58" t="s">
        <v>25517</v>
      </c>
      <c r="CZ2778" s="58">
        <v>2023.0</v>
      </c>
      <c r="DA2778" s="58" t="s">
        <v>23116</v>
      </c>
      <c r="DC2778" s="58">
        <v>38.0</v>
      </c>
      <c r="DD2778" s="58">
        <v>55.0</v>
      </c>
      <c r="DE2778" s="58">
        <v>17.0</v>
      </c>
      <c r="DF2778" s="58">
        <v>20.0</v>
      </c>
      <c r="DG2778" s="58" t="s">
        <v>25518</v>
      </c>
      <c r="DH2778" s="58" t="s">
        <v>22525</v>
      </c>
      <c r="DI2778" s="58" t="s">
        <v>23606</v>
      </c>
      <c r="DJ2778" s="58" t="s">
        <v>237</v>
      </c>
      <c r="DK2778" s="58" t="s">
        <v>25519</v>
      </c>
      <c r="DL2778" s="58" t="s">
        <v>25520</v>
      </c>
    </row>
    <row r="2779" ht="15.75" customHeight="1">
      <c r="B2779" s="58" t="s">
        <v>22515</v>
      </c>
      <c r="D2779" s="58" t="s">
        <v>25521</v>
      </c>
      <c r="E2779" s="58" t="s">
        <v>25522</v>
      </c>
      <c r="I2779" s="58" t="s">
        <v>25523</v>
      </c>
      <c r="Q2779" s="58">
        <v>4.0</v>
      </c>
      <c r="R2779" s="58">
        <v>82.0</v>
      </c>
      <c r="CL2779" s="58" t="s">
        <v>25524</v>
      </c>
      <c r="CP2779" s="58" t="s">
        <v>25525</v>
      </c>
      <c r="CX2779" s="58" t="s">
        <v>25526</v>
      </c>
      <c r="CY2779" s="58" t="s">
        <v>25527</v>
      </c>
      <c r="CZ2779" s="58">
        <v>2023.0</v>
      </c>
      <c r="DA2779" s="58" t="s">
        <v>25528</v>
      </c>
      <c r="DC2779" s="58">
        <v>465.0</v>
      </c>
      <c r="DD2779" s="58">
        <v>486.0</v>
      </c>
      <c r="DE2779" s="58">
        <v>21.0</v>
      </c>
      <c r="DF2779" s="58">
        <v>11.0</v>
      </c>
      <c r="DG2779" s="58" t="s">
        <v>25529</v>
      </c>
      <c r="DH2779" s="58" t="s">
        <v>22525</v>
      </c>
      <c r="DI2779" s="58" t="s">
        <v>22526</v>
      </c>
      <c r="DJ2779" s="58" t="s">
        <v>237</v>
      </c>
      <c r="DK2779" s="58" t="s">
        <v>25530</v>
      </c>
      <c r="DL2779" s="58" t="s">
        <v>25531</v>
      </c>
    </row>
    <row r="2780" ht="15.75" customHeight="1">
      <c r="B2780" s="58" t="s">
        <v>22515</v>
      </c>
      <c r="D2780" s="58" t="s">
        <v>25532</v>
      </c>
      <c r="E2780" s="58" t="s">
        <v>25533</v>
      </c>
      <c r="I2780" s="58" t="s">
        <v>25534</v>
      </c>
      <c r="Q2780" s="58">
        <v>6.0</v>
      </c>
      <c r="R2780" s="58">
        <v>56.0</v>
      </c>
      <c r="CL2780" s="58" t="s">
        <v>25535</v>
      </c>
      <c r="CP2780" s="58" t="s">
        <v>25536</v>
      </c>
      <c r="CX2780" s="58" t="s">
        <v>25537</v>
      </c>
      <c r="CY2780" s="58" t="s">
        <v>25538</v>
      </c>
      <c r="CZ2780" s="58">
        <v>2023.0</v>
      </c>
      <c r="DA2780" s="58" t="s">
        <v>22977</v>
      </c>
      <c r="DC2780" s="58">
        <v>4929.0</v>
      </c>
      <c r="DD2780" s="58">
        <v>5021.0</v>
      </c>
      <c r="DE2780" s="58">
        <v>92.0</v>
      </c>
      <c r="DF2780" s="58">
        <v>202.0</v>
      </c>
      <c r="DG2780" s="58" t="s">
        <v>25539</v>
      </c>
      <c r="DH2780" s="58" t="s">
        <v>22525</v>
      </c>
      <c r="DI2780" s="58" t="s">
        <v>23606</v>
      </c>
      <c r="DJ2780" s="58" t="s">
        <v>237</v>
      </c>
      <c r="DK2780" s="58" t="s">
        <v>25540</v>
      </c>
      <c r="DL2780" s="58" t="s">
        <v>25541</v>
      </c>
    </row>
    <row r="2781" ht="15.75" customHeight="1">
      <c r="B2781" s="58" t="s">
        <v>22771</v>
      </c>
      <c r="D2781" s="58" t="s">
        <v>25542</v>
      </c>
      <c r="E2781" s="58" t="s">
        <v>25543</v>
      </c>
      <c r="I2781" s="58" t="s">
        <v>25544</v>
      </c>
      <c r="R2781" s="58" t="s">
        <v>25545</v>
      </c>
      <c r="CL2781" s="58" t="s">
        <v>25546</v>
      </c>
      <c r="CP2781" s="58" t="s">
        <v>25547</v>
      </c>
      <c r="CX2781" s="58" t="s">
        <v>25548</v>
      </c>
      <c r="CY2781" s="58" t="s">
        <v>25549</v>
      </c>
      <c r="CZ2781" s="58">
        <v>2023.0</v>
      </c>
      <c r="DA2781" s="58" t="s">
        <v>24608</v>
      </c>
      <c r="DC2781" s="58">
        <v>476.0</v>
      </c>
      <c r="DD2781" s="58">
        <v>491.0</v>
      </c>
      <c r="DE2781" s="58">
        <v>15.0</v>
      </c>
      <c r="DF2781" s="58">
        <v>0.0</v>
      </c>
      <c r="DG2781" s="58" t="s">
        <v>25550</v>
      </c>
      <c r="DH2781" s="58" t="s">
        <v>22525</v>
      </c>
      <c r="DJ2781" s="58" t="s">
        <v>237</v>
      </c>
      <c r="DK2781" s="58" t="s">
        <v>25551</v>
      </c>
      <c r="DL2781" s="58" t="s">
        <v>25552</v>
      </c>
    </row>
    <row r="2782" ht="15.75" customHeight="1">
      <c r="B2782" s="58" t="s">
        <v>22515</v>
      </c>
      <c r="D2782" s="58" t="s">
        <v>25553</v>
      </c>
      <c r="E2782" s="58" t="s">
        <v>25554</v>
      </c>
      <c r="I2782" s="58" t="s">
        <v>25555</v>
      </c>
      <c r="R2782" s="58">
        <v>144.0</v>
      </c>
      <c r="CL2782" s="58" t="s">
        <v>25556</v>
      </c>
      <c r="CP2782" s="58" t="s">
        <v>25557</v>
      </c>
      <c r="CX2782" s="58" t="s">
        <v>25558</v>
      </c>
      <c r="CY2782" s="58" t="s">
        <v>25559</v>
      </c>
      <c r="CZ2782" s="58">
        <v>2023.0</v>
      </c>
      <c r="DA2782" s="58" t="s">
        <v>23116</v>
      </c>
      <c r="DC2782" s="58">
        <v>307.0</v>
      </c>
      <c r="DD2782" s="58">
        <v>326.0</v>
      </c>
      <c r="DE2782" s="58">
        <v>19.0</v>
      </c>
      <c r="DF2782" s="58">
        <v>86.0</v>
      </c>
      <c r="DG2782" s="58" t="s">
        <v>25560</v>
      </c>
      <c r="DH2782" s="58" t="s">
        <v>22525</v>
      </c>
      <c r="DI2782" s="58" t="s">
        <v>22816</v>
      </c>
      <c r="DJ2782" s="58" t="s">
        <v>237</v>
      </c>
      <c r="DK2782" s="58" t="s">
        <v>25561</v>
      </c>
      <c r="DL2782" s="58" t="s">
        <v>25562</v>
      </c>
    </row>
    <row r="2783" ht="15.75" customHeight="1">
      <c r="B2783" s="58" t="s">
        <v>22771</v>
      </c>
      <c r="D2783" s="58" t="s">
        <v>25563</v>
      </c>
      <c r="E2783" s="58" t="s">
        <v>25564</v>
      </c>
      <c r="I2783" s="58" t="s">
        <v>25565</v>
      </c>
      <c r="CL2783" s="58" t="s">
        <v>25566</v>
      </c>
      <c r="CX2783" s="58" t="s">
        <v>25567</v>
      </c>
      <c r="CY2783" s="58" t="s">
        <v>25568</v>
      </c>
      <c r="CZ2783" s="58">
        <v>2023.0</v>
      </c>
      <c r="DA2783" s="58" t="s">
        <v>25569</v>
      </c>
      <c r="DF2783" s="58">
        <v>4.0</v>
      </c>
      <c r="DG2783" s="58" t="s">
        <v>25570</v>
      </c>
      <c r="DH2783" s="58" t="s">
        <v>22525</v>
      </c>
      <c r="DI2783" s="58" t="s">
        <v>22656</v>
      </c>
      <c r="DJ2783" s="58" t="s">
        <v>237</v>
      </c>
      <c r="DK2783" s="58" t="s">
        <v>25571</v>
      </c>
    </row>
    <row r="2784" ht="15.75" customHeight="1">
      <c r="B2784" s="58" t="s">
        <v>22515</v>
      </c>
      <c r="D2784" s="58" t="s">
        <v>25572</v>
      </c>
      <c r="E2784" s="58" t="s">
        <v>25573</v>
      </c>
      <c r="I2784" s="58" t="s">
        <v>25574</v>
      </c>
      <c r="Q2784" s="58">
        <v>15.0</v>
      </c>
      <c r="R2784" s="58">
        <v>23.0</v>
      </c>
      <c r="CL2784" s="58" t="s">
        <v>25575</v>
      </c>
      <c r="CP2784" s="58" t="s">
        <v>25576</v>
      </c>
      <c r="CX2784" s="58" t="s">
        <v>25577</v>
      </c>
      <c r="CY2784" s="58" t="s">
        <v>25578</v>
      </c>
      <c r="CZ2784" s="58">
        <v>2023.0</v>
      </c>
      <c r="DA2784" s="58" t="s">
        <v>17051</v>
      </c>
      <c r="DC2784" s="58">
        <v>17611.0</v>
      </c>
      <c r="DD2784" s="58">
        <v>17618.0</v>
      </c>
      <c r="DE2784" s="58">
        <v>7.0</v>
      </c>
      <c r="DF2784" s="58">
        <v>4.0</v>
      </c>
      <c r="DG2784" s="58" t="s">
        <v>25579</v>
      </c>
      <c r="DH2784" s="58" t="s">
        <v>22525</v>
      </c>
      <c r="DJ2784" s="58" t="s">
        <v>237</v>
      </c>
      <c r="DK2784" s="58" t="s">
        <v>25580</v>
      </c>
      <c r="DL2784" s="58" t="s">
        <v>25581</v>
      </c>
    </row>
    <row r="2785" ht="15.75" customHeight="1">
      <c r="B2785" s="58" t="s">
        <v>22771</v>
      </c>
      <c r="D2785" s="58" t="s">
        <v>25582</v>
      </c>
      <c r="E2785" s="58" t="s">
        <v>25583</v>
      </c>
      <c r="I2785" s="58" t="s">
        <v>25584</v>
      </c>
      <c r="CL2785" s="58" t="s">
        <v>25585</v>
      </c>
      <c r="CP2785" s="58" t="s">
        <v>25586</v>
      </c>
      <c r="CX2785" s="58" t="s">
        <v>25587</v>
      </c>
      <c r="CY2785" s="58" t="s">
        <v>25588</v>
      </c>
      <c r="CZ2785" s="58">
        <v>2023.0</v>
      </c>
      <c r="DA2785" s="58" t="s">
        <v>25589</v>
      </c>
      <c r="DC2785" s="58">
        <v>2410.0</v>
      </c>
      <c r="DD2785" s="58">
        <v>2419.0</v>
      </c>
      <c r="DE2785" s="58">
        <v>9.0</v>
      </c>
      <c r="DF2785" s="58">
        <v>0.0</v>
      </c>
      <c r="DG2785" s="58" t="s">
        <v>25590</v>
      </c>
      <c r="DH2785" s="58" t="s">
        <v>22525</v>
      </c>
      <c r="DJ2785" s="58" t="s">
        <v>237</v>
      </c>
      <c r="DK2785" s="58" t="s">
        <v>25591</v>
      </c>
      <c r="DL2785" s="58" t="s">
        <v>25592</v>
      </c>
    </row>
    <row r="2786" ht="15.75" customHeight="1">
      <c r="B2786" s="58" t="s">
        <v>22515</v>
      </c>
      <c r="D2786" s="58" t="s">
        <v>25593</v>
      </c>
      <c r="E2786" s="58" t="s">
        <v>25594</v>
      </c>
      <c r="I2786" s="58" t="s">
        <v>25595</v>
      </c>
      <c r="R2786" s="58">
        <v>93.0</v>
      </c>
      <c r="CL2786" s="58" t="s">
        <v>25596</v>
      </c>
      <c r="CP2786" s="58" t="s">
        <v>25597</v>
      </c>
      <c r="CX2786" s="58" t="s">
        <v>25598</v>
      </c>
      <c r="CY2786" s="58" t="s">
        <v>25599</v>
      </c>
      <c r="CZ2786" s="58">
        <v>2023.0</v>
      </c>
      <c r="DA2786" s="58" t="s">
        <v>25600</v>
      </c>
      <c r="DB2786" s="58">
        <v>104545.0</v>
      </c>
      <c r="DF2786" s="58">
        <v>7.0</v>
      </c>
      <c r="DG2786" s="58" t="s">
        <v>25601</v>
      </c>
      <c r="DH2786" s="58" t="s">
        <v>22525</v>
      </c>
      <c r="DJ2786" s="58" t="s">
        <v>237</v>
      </c>
      <c r="DK2786" s="58" t="s">
        <v>25602</v>
      </c>
      <c r="DL2786" s="58" t="s">
        <v>25603</v>
      </c>
    </row>
    <row r="2787" ht="15.75" customHeight="1">
      <c r="B2787" s="58" t="s">
        <v>22771</v>
      </c>
      <c r="D2787" s="58" t="s">
        <v>25604</v>
      </c>
      <c r="E2787" s="58" t="s">
        <v>25605</v>
      </c>
      <c r="I2787" s="58" t="s">
        <v>25606</v>
      </c>
      <c r="CL2787" s="58" t="s">
        <v>25607</v>
      </c>
      <c r="CP2787" s="58" t="s">
        <v>25608</v>
      </c>
      <c r="CX2787" s="58" t="s">
        <v>25609</v>
      </c>
      <c r="CY2787" s="58" t="s">
        <v>25610</v>
      </c>
      <c r="CZ2787" s="58">
        <v>2023.0</v>
      </c>
      <c r="DA2787" s="58" t="s">
        <v>25611</v>
      </c>
      <c r="DC2787" s="58">
        <v>1012.0</v>
      </c>
      <c r="DD2787" s="58">
        <v>1027.0</v>
      </c>
      <c r="DE2787" s="58">
        <v>15.0</v>
      </c>
      <c r="DF2787" s="58">
        <v>6.0</v>
      </c>
      <c r="DG2787" s="58" t="s">
        <v>25612</v>
      </c>
      <c r="DH2787" s="58" t="s">
        <v>22525</v>
      </c>
      <c r="DJ2787" s="58" t="s">
        <v>237</v>
      </c>
      <c r="DK2787" s="58" t="s">
        <v>25613</v>
      </c>
      <c r="DL2787" s="58" t="s">
        <v>25614</v>
      </c>
    </row>
    <row r="2788" ht="15.75" customHeight="1">
      <c r="B2788" s="58" t="s">
        <v>22515</v>
      </c>
      <c r="D2788" s="58" t="s">
        <v>25615</v>
      </c>
      <c r="E2788" s="58" t="s">
        <v>25616</v>
      </c>
      <c r="I2788" s="58" t="s">
        <v>25617</v>
      </c>
      <c r="Q2788" s="58">
        <v>4.0</v>
      </c>
      <c r="R2788" s="58">
        <v>14.0</v>
      </c>
      <c r="CL2788" s="58" t="s">
        <v>25618</v>
      </c>
      <c r="CP2788" s="58" t="s">
        <v>25619</v>
      </c>
      <c r="CX2788" s="58" t="s">
        <v>25620</v>
      </c>
      <c r="CY2788" s="58" t="s">
        <v>25621</v>
      </c>
      <c r="CZ2788" s="58">
        <v>2023.0</v>
      </c>
      <c r="DA2788" s="58" t="s">
        <v>25622</v>
      </c>
      <c r="DC2788" s="58">
        <v>4237.0</v>
      </c>
      <c r="DD2788" s="58">
        <v>4255.0</v>
      </c>
      <c r="DE2788" s="58">
        <v>18.0</v>
      </c>
      <c r="DF2788" s="58">
        <v>4.0</v>
      </c>
      <c r="DG2788" s="58" t="s">
        <v>25623</v>
      </c>
      <c r="DH2788" s="58" t="s">
        <v>22525</v>
      </c>
      <c r="DJ2788" s="58" t="s">
        <v>237</v>
      </c>
      <c r="DK2788" s="58" t="s">
        <v>25624</v>
      </c>
      <c r="DL2788" s="58" t="s">
        <v>25625</v>
      </c>
    </row>
    <row r="2789" ht="15.75" customHeight="1">
      <c r="B2789" s="58" t="s">
        <v>22515</v>
      </c>
      <c r="D2789" s="58" t="s">
        <v>25626</v>
      </c>
      <c r="E2789" s="58" t="s">
        <v>25627</v>
      </c>
      <c r="I2789" s="58" t="s">
        <v>25628</v>
      </c>
      <c r="Q2789" s="58">
        <v>106.0</v>
      </c>
      <c r="R2789" s="58">
        <v>10.0</v>
      </c>
      <c r="CL2789" s="58" t="s">
        <v>25629</v>
      </c>
      <c r="CP2789" s="58" t="s">
        <v>25630</v>
      </c>
      <c r="CX2789" s="58" t="s">
        <v>25631</v>
      </c>
      <c r="CY2789" s="58" t="s">
        <v>25632</v>
      </c>
      <c r="CZ2789" s="58">
        <v>2023.0</v>
      </c>
      <c r="DA2789" s="58" t="s">
        <v>25633</v>
      </c>
      <c r="DC2789" s="58">
        <v>1138.0</v>
      </c>
      <c r="DD2789" s="58">
        <v>1150.0</v>
      </c>
      <c r="DE2789" s="58">
        <v>12.0</v>
      </c>
      <c r="DF2789" s="58">
        <v>0.0</v>
      </c>
      <c r="DG2789" s="58" t="s">
        <v>25634</v>
      </c>
      <c r="DH2789" s="58" t="s">
        <v>22525</v>
      </c>
      <c r="DI2789" s="58" t="s">
        <v>22656</v>
      </c>
      <c r="DJ2789" s="58" t="s">
        <v>237</v>
      </c>
      <c r="DK2789" s="58" t="s">
        <v>25635</v>
      </c>
    </row>
    <row r="2790" ht="15.75" customHeight="1">
      <c r="B2790" s="58" t="s">
        <v>22771</v>
      </c>
      <c r="D2790" s="58" t="s">
        <v>25636</v>
      </c>
      <c r="E2790" s="58" t="s">
        <v>25637</v>
      </c>
      <c r="I2790" s="58" t="s">
        <v>25638</v>
      </c>
      <c r="CL2790" s="58" t="s">
        <v>25639</v>
      </c>
      <c r="CP2790" s="58" t="s">
        <v>25640</v>
      </c>
      <c r="CX2790" s="58" t="s">
        <v>25641</v>
      </c>
      <c r="CY2790" s="58" t="s">
        <v>25642</v>
      </c>
      <c r="CZ2790" s="58">
        <v>2023.0</v>
      </c>
      <c r="DA2790" s="58" t="s">
        <v>25643</v>
      </c>
      <c r="DF2790" s="58">
        <v>0.0</v>
      </c>
      <c r="DG2790" s="58" t="s">
        <v>25644</v>
      </c>
      <c r="DH2790" s="58" t="s">
        <v>22525</v>
      </c>
      <c r="DJ2790" s="58" t="s">
        <v>237</v>
      </c>
      <c r="DK2790" s="58" t="s">
        <v>25645</v>
      </c>
      <c r="DL2790" s="58" t="s">
        <v>25646</v>
      </c>
    </row>
    <row r="2791" ht="15.75" customHeight="1">
      <c r="B2791" s="58" t="s">
        <v>22515</v>
      </c>
      <c r="D2791" s="58" t="s">
        <v>25647</v>
      </c>
      <c r="E2791" s="58" t="s">
        <v>25648</v>
      </c>
      <c r="I2791" s="58" t="s">
        <v>25649</v>
      </c>
      <c r="R2791" s="58">
        <v>139.0</v>
      </c>
      <c r="CL2791" s="58" t="s">
        <v>25650</v>
      </c>
      <c r="CP2791" s="58" t="s">
        <v>25651</v>
      </c>
      <c r="CX2791" s="58" t="s">
        <v>25652</v>
      </c>
      <c r="CY2791" s="58" t="s">
        <v>25653</v>
      </c>
      <c r="CZ2791" s="58">
        <v>2023.0</v>
      </c>
      <c r="DA2791" s="58" t="s">
        <v>23116</v>
      </c>
      <c r="DC2791" s="58">
        <v>29.0</v>
      </c>
      <c r="DD2791" s="58">
        <v>37.0</v>
      </c>
      <c r="DE2791" s="58">
        <v>8.0</v>
      </c>
      <c r="DF2791" s="58">
        <v>81.0</v>
      </c>
      <c r="DG2791" s="58" t="s">
        <v>25654</v>
      </c>
      <c r="DH2791" s="58" t="s">
        <v>22525</v>
      </c>
      <c r="DJ2791" s="58" t="s">
        <v>237</v>
      </c>
      <c r="DK2791" s="58" t="s">
        <v>25655</v>
      </c>
      <c r="DL2791" s="58" t="s">
        <v>25656</v>
      </c>
    </row>
    <row r="2792" ht="15.75" customHeight="1">
      <c r="B2792" s="58" t="s">
        <v>22515</v>
      </c>
      <c r="D2792" s="58" t="s">
        <v>25657</v>
      </c>
      <c r="E2792" s="58" t="s">
        <v>25658</v>
      </c>
      <c r="I2792" s="58" t="s">
        <v>25659</v>
      </c>
      <c r="Q2792" s="58">
        <v>1.0</v>
      </c>
      <c r="R2792" s="58">
        <v>20.0</v>
      </c>
      <c r="CL2792" s="58" t="s">
        <v>25660</v>
      </c>
      <c r="CP2792" s="58" t="s">
        <v>25661</v>
      </c>
      <c r="CX2792" s="58" t="s">
        <v>25662</v>
      </c>
      <c r="CY2792" s="58" t="s">
        <v>25663</v>
      </c>
      <c r="CZ2792" s="58">
        <v>2023.0</v>
      </c>
      <c r="DA2792" s="58" t="s">
        <v>16959</v>
      </c>
      <c r="DC2792" s="58">
        <v>276.0</v>
      </c>
      <c r="DD2792" s="58">
        <v>291.0</v>
      </c>
      <c r="DE2792" s="58">
        <v>15.0</v>
      </c>
      <c r="DF2792" s="58">
        <v>10.0</v>
      </c>
      <c r="DG2792" s="58" t="s">
        <v>25664</v>
      </c>
      <c r="DH2792" s="58" t="s">
        <v>22525</v>
      </c>
      <c r="DI2792" s="58" t="s">
        <v>22816</v>
      </c>
      <c r="DJ2792" s="58" t="s">
        <v>237</v>
      </c>
      <c r="DK2792" s="58" t="s">
        <v>25665</v>
      </c>
      <c r="DL2792" s="58" t="s">
        <v>25666</v>
      </c>
    </row>
    <row r="2793" ht="15.75" customHeight="1">
      <c r="B2793" s="58" t="s">
        <v>22771</v>
      </c>
      <c r="D2793" s="58" t="s">
        <v>25667</v>
      </c>
      <c r="E2793" s="58" t="s">
        <v>25668</v>
      </c>
      <c r="I2793" s="58" t="s">
        <v>25669</v>
      </c>
      <c r="CL2793" s="58" t="s">
        <v>25670</v>
      </c>
      <c r="CP2793" s="58" t="s">
        <v>25671</v>
      </c>
      <c r="CX2793" s="58" t="s">
        <v>25672</v>
      </c>
      <c r="CY2793" s="58" t="s">
        <v>25673</v>
      </c>
      <c r="CZ2793" s="58">
        <v>2023.0</v>
      </c>
      <c r="DA2793" s="58" t="s">
        <v>25674</v>
      </c>
      <c r="DC2793" s="58">
        <v>501.0</v>
      </c>
      <c r="DD2793" s="58">
        <v>507.0</v>
      </c>
      <c r="DE2793" s="58">
        <v>6.0</v>
      </c>
      <c r="DF2793" s="58">
        <v>0.0</v>
      </c>
      <c r="DG2793" s="58" t="s">
        <v>25675</v>
      </c>
      <c r="DH2793" s="58" t="s">
        <v>22525</v>
      </c>
      <c r="DJ2793" s="58" t="s">
        <v>237</v>
      </c>
      <c r="DK2793" s="58" t="s">
        <v>25676</v>
      </c>
      <c r="DL2793" s="58" t="s">
        <v>25677</v>
      </c>
    </row>
    <row r="2794" ht="15.75" customHeight="1">
      <c r="B2794" s="58" t="s">
        <v>22515</v>
      </c>
      <c r="D2794" s="58" t="s">
        <v>25678</v>
      </c>
      <c r="E2794" s="58" t="s">
        <v>25679</v>
      </c>
      <c r="I2794" s="58" t="s">
        <v>25680</v>
      </c>
      <c r="Q2794" s="58">
        <v>3.0</v>
      </c>
      <c r="R2794" s="58">
        <v>32.0</v>
      </c>
      <c r="CL2794" s="58" t="s">
        <v>25681</v>
      </c>
      <c r="CP2794" s="58" t="s">
        <v>25682</v>
      </c>
      <c r="CX2794" s="58" t="s">
        <v>25683</v>
      </c>
      <c r="CY2794" s="58" t="s">
        <v>25684</v>
      </c>
      <c r="CZ2794" s="58">
        <v>2023.0</v>
      </c>
      <c r="DA2794" s="58" t="s">
        <v>25685</v>
      </c>
      <c r="DC2794" s="58">
        <v>31.0</v>
      </c>
      <c r="DD2794" s="58">
        <v>43.0</v>
      </c>
      <c r="DE2794" s="58">
        <v>12.0</v>
      </c>
      <c r="DF2794" s="58">
        <v>1.0</v>
      </c>
      <c r="DG2794" s="58" t="s">
        <v>25686</v>
      </c>
      <c r="DH2794" s="58" t="s">
        <v>22525</v>
      </c>
      <c r="DI2794" s="58" t="s">
        <v>22656</v>
      </c>
      <c r="DJ2794" s="58" t="s">
        <v>237</v>
      </c>
      <c r="DK2794" s="58" t="s">
        <v>25687</v>
      </c>
    </row>
    <row r="2795" ht="15.75" customHeight="1">
      <c r="B2795" s="58" t="s">
        <v>22515</v>
      </c>
      <c r="D2795" s="58" t="s">
        <v>25688</v>
      </c>
      <c r="E2795" s="58" t="s">
        <v>25689</v>
      </c>
      <c r="I2795" s="58" t="s">
        <v>25690</v>
      </c>
      <c r="R2795" s="58">
        <v>11.0</v>
      </c>
      <c r="CL2795" s="58" t="s">
        <v>25691</v>
      </c>
      <c r="CP2795" s="58" t="s">
        <v>25692</v>
      </c>
      <c r="CX2795" s="58" t="s">
        <v>25693</v>
      </c>
      <c r="CY2795" s="58" t="s">
        <v>25694</v>
      </c>
      <c r="CZ2795" s="58">
        <v>2023.0</v>
      </c>
      <c r="DA2795" s="58" t="s">
        <v>16436</v>
      </c>
      <c r="DC2795" s="58">
        <v>129285.0</v>
      </c>
      <c r="DD2795" s="58">
        <v>129299.0</v>
      </c>
      <c r="DE2795" s="58">
        <v>14.0</v>
      </c>
      <c r="DF2795" s="58">
        <v>1.0</v>
      </c>
      <c r="DG2795" s="58" t="s">
        <v>25695</v>
      </c>
      <c r="DH2795" s="58" t="s">
        <v>22525</v>
      </c>
      <c r="DI2795" s="58" t="s">
        <v>22622</v>
      </c>
      <c r="DJ2795" s="58" t="s">
        <v>237</v>
      </c>
      <c r="DK2795" s="58" t="s">
        <v>25696</v>
      </c>
      <c r="DL2795" s="58" t="s">
        <v>25697</v>
      </c>
    </row>
    <row r="2796" ht="15.75" customHeight="1">
      <c r="B2796" s="58" t="s">
        <v>22515</v>
      </c>
      <c r="D2796" s="58" t="s">
        <v>25698</v>
      </c>
      <c r="E2796" s="58" t="s">
        <v>25699</v>
      </c>
      <c r="I2796" s="58" t="s">
        <v>25700</v>
      </c>
      <c r="R2796" s="58">
        <v>189.0</v>
      </c>
      <c r="CL2796" s="58" t="s">
        <v>25701</v>
      </c>
      <c r="CP2796" s="58" t="s">
        <v>25702</v>
      </c>
      <c r="CX2796" s="58" t="s">
        <v>25703</v>
      </c>
      <c r="CY2796" s="58" t="s">
        <v>25704</v>
      </c>
      <c r="CZ2796" s="58">
        <v>2023.0</v>
      </c>
      <c r="DA2796" s="58" t="s">
        <v>25705</v>
      </c>
      <c r="DB2796" s="58">
        <v>122357.0</v>
      </c>
      <c r="DF2796" s="58">
        <v>8.0</v>
      </c>
      <c r="DG2796" s="58" t="s">
        <v>25706</v>
      </c>
      <c r="DH2796" s="58" t="s">
        <v>22525</v>
      </c>
      <c r="DI2796" s="58" t="s">
        <v>22526</v>
      </c>
      <c r="DJ2796" s="58" t="s">
        <v>237</v>
      </c>
      <c r="DK2796" s="58" t="s">
        <v>25707</v>
      </c>
      <c r="DL2796" s="58" t="s">
        <v>25708</v>
      </c>
    </row>
    <row r="2797" ht="15.75" customHeight="1">
      <c r="B2797" s="58" t="s">
        <v>22515</v>
      </c>
      <c r="D2797" s="58" t="s">
        <v>25709</v>
      </c>
      <c r="E2797" s="58" t="s">
        <v>25710</v>
      </c>
      <c r="I2797" s="58" t="s">
        <v>25711</v>
      </c>
      <c r="R2797" s="58">
        <v>204.0</v>
      </c>
      <c r="CL2797" s="58" t="s">
        <v>25712</v>
      </c>
      <c r="CP2797" s="58" t="s">
        <v>25713</v>
      </c>
      <c r="CX2797" s="58" t="s">
        <v>25714</v>
      </c>
      <c r="CY2797" s="58" t="s">
        <v>25715</v>
      </c>
      <c r="CZ2797" s="58">
        <v>2023.0</v>
      </c>
      <c r="DA2797" s="58" t="s">
        <v>22826</v>
      </c>
      <c r="DB2797" s="58">
        <v>111789.0</v>
      </c>
      <c r="DF2797" s="58">
        <v>1.0</v>
      </c>
      <c r="DG2797" s="58" t="s">
        <v>25716</v>
      </c>
      <c r="DH2797" s="58" t="s">
        <v>22525</v>
      </c>
      <c r="DJ2797" s="58" t="s">
        <v>237</v>
      </c>
      <c r="DK2797" s="58" t="s">
        <v>25717</v>
      </c>
      <c r="DL2797" s="58" t="s">
        <v>25718</v>
      </c>
    </row>
    <row r="2798" ht="15.75" customHeight="1">
      <c r="B2798" s="58" t="s">
        <v>22771</v>
      </c>
      <c r="D2798" s="58" t="s">
        <v>25719</v>
      </c>
      <c r="E2798" s="58" t="s">
        <v>25720</v>
      </c>
      <c r="I2798" s="58" t="s">
        <v>25721</v>
      </c>
      <c r="CL2798" s="58" t="s">
        <v>25722</v>
      </c>
      <c r="CP2798" s="58" t="s">
        <v>25723</v>
      </c>
      <c r="CX2798" s="58" t="s">
        <v>25724</v>
      </c>
      <c r="CY2798" s="58" t="s">
        <v>25725</v>
      </c>
      <c r="CZ2798" s="58">
        <v>2023.0</v>
      </c>
      <c r="DA2798" s="58" t="s">
        <v>25726</v>
      </c>
      <c r="DC2798" s="58">
        <v>255.0</v>
      </c>
      <c r="DD2798" s="58">
        <v>257.0</v>
      </c>
      <c r="DE2798" s="58">
        <v>2.0</v>
      </c>
      <c r="DF2798" s="58">
        <v>1.0</v>
      </c>
      <c r="DG2798" s="58" t="s">
        <v>25727</v>
      </c>
      <c r="DH2798" s="58" t="s">
        <v>22525</v>
      </c>
      <c r="DJ2798" s="58" t="s">
        <v>237</v>
      </c>
      <c r="DK2798" s="58" t="s">
        <v>25728</v>
      </c>
      <c r="DL2798" s="58" t="s">
        <v>25729</v>
      </c>
    </row>
    <row r="2799" ht="15.75" customHeight="1">
      <c r="B2799" s="58" t="s">
        <v>22515</v>
      </c>
      <c r="D2799" s="58" t="s">
        <v>25730</v>
      </c>
      <c r="E2799" s="58" t="s">
        <v>25731</v>
      </c>
      <c r="I2799" s="58" t="s">
        <v>25732</v>
      </c>
      <c r="Q2799" s="58">
        <v>9.0</v>
      </c>
      <c r="R2799" s="58">
        <v>7.0</v>
      </c>
      <c r="CL2799" s="58" t="s">
        <v>25733</v>
      </c>
      <c r="CP2799" s="58" t="s">
        <v>25734</v>
      </c>
      <c r="CX2799" s="58" t="s">
        <v>25735</v>
      </c>
      <c r="CY2799" s="58" t="s">
        <v>25736</v>
      </c>
      <c r="CZ2799" s="58">
        <v>2023.0</v>
      </c>
      <c r="DA2799" s="58" t="s">
        <v>25737</v>
      </c>
      <c r="DB2799" s="58">
        <v>5502304.0</v>
      </c>
      <c r="DF2799" s="58">
        <v>2.0</v>
      </c>
      <c r="DG2799" s="58" t="s">
        <v>25738</v>
      </c>
      <c r="DH2799" s="58" t="s">
        <v>22525</v>
      </c>
      <c r="DI2799" s="58" t="s">
        <v>22816</v>
      </c>
      <c r="DJ2799" s="58" t="s">
        <v>237</v>
      </c>
      <c r="DK2799" s="58" t="s">
        <v>25739</v>
      </c>
      <c r="DL2799" s="58" t="s">
        <v>25740</v>
      </c>
    </row>
    <row r="2800" ht="15.75" customHeight="1">
      <c r="B2800" s="58" t="s">
        <v>22515</v>
      </c>
      <c r="D2800" s="58" t="s">
        <v>25741</v>
      </c>
      <c r="E2800" s="58" t="s">
        <v>25742</v>
      </c>
      <c r="I2800" s="58" t="s">
        <v>25743</v>
      </c>
      <c r="Q2800" s="58">
        <v>6.0</v>
      </c>
      <c r="R2800" s="58">
        <v>9.0</v>
      </c>
      <c r="CL2800" s="58" t="s">
        <v>25744</v>
      </c>
      <c r="CP2800" s="58" t="s">
        <v>25745</v>
      </c>
      <c r="CX2800" s="58" t="s">
        <v>25746</v>
      </c>
      <c r="CY2800" s="58" t="s">
        <v>25747</v>
      </c>
      <c r="CZ2800" s="58">
        <v>2023.0</v>
      </c>
      <c r="DA2800" s="58" t="s">
        <v>22666</v>
      </c>
      <c r="DB2800" s="58" t="s">
        <v>25748</v>
      </c>
      <c r="DF2800" s="58">
        <v>5.0</v>
      </c>
      <c r="DG2800" s="58" t="s">
        <v>25749</v>
      </c>
      <c r="DH2800" s="58" t="s">
        <v>22525</v>
      </c>
      <c r="DI2800" s="58" t="s">
        <v>22643</v>
      </c>
      <c r="DJ2800" s="58" t="s">
        <v>237</v>
      </c>
      <c r="DK2800" s="58" t="s">
        <v>25750</v>
      </c>
    </row>
    <row r="2801" ht="15.75" customHeight="1">
      <c r="B2801" s="58" t="s">
        <v>22771</v>
      </c>
      <c r="D2801" s="58" t="s">
        <v>25751</v>
      </c>
      <c r="E2801" s="58" t="s">
        <v>25752</v>
      </c>
      <c r="I2801" s="58" t="s">
        <v>25753</v>
      </c>
      <c r="CL2801" s="58" t="s">
        <v>25754</v>
      </c>
      <c r="CP2801" s="58" t="s">
        <v>25755</v>
      </c>
      <c r="CX2801" s="58" t="s">
        <v>25756</v>
      </c>
      <c r="CY2801" s="58" t="s">
        <v>25757</v>
      </c>
      <c r="CZ2801" s="58">
        <v>2023.0</v>
      </c>
      <c r="DA2801" s="58" t="s">
        <v>25758</v>
      </c>
      <c r="DC2801" s="58">
        <v>1016.0</v>
      </c>
      <c r="DD2801" s="58">
        <v>1023.0</v>
      </c>
      <c r="DE2801" s="58">
        <v>7.0</v>
      </c>
      <c r="DF2801" s="58">
        <v>3.0</v>
      </c>
      <c r="DG2801" s="58" t="s">
        <v>25759</v>
      </c>
      <c r="DH2801" s="58" t="s">
        <v>22525</v>
      </c>
      <c r="DJ2801" s="58" t="s">
        <v>237</v>
      </c>
      <c r="DK2801" s="58" t="s">
        <v>25760</v>
      </c>
      <c r="DL2801" s="58" t="s">
        <v>25761</v>
      </c>
    </row>
    <row r="2802" ht="15.75" customHeight="1">
      <c r="B2802" s="58" t="s">
        <v>22515</v>
      </c>
      <c r="D2802" s="58" t="s">
        <v>25762</v>
      </c>
      <c r="E2802" s="58" t="s">
        <v>25763</v>
      </c>
      <c r="I2802" s="58" t="s">
        <v>25764</v>
      </c>
      <c r="Q2802" s="58">
        <v>15.0</v>
      </c>
      <c r="R2802" s="58">
        <v>12.0</v>
      </c>
      <c r="CL2802" s="58" t="s">
        <v>25765</v>
      </c>
      <c r="CP2802" s="58" t="s">
        <v>25766</v>
      </c>
      <c r="CX2802" s="58" t="s">
        <v>25767</v>
      </c>
      <c r="CY2802" s="58" t="s">
        <v>25768</v>
      </c>
      <c r="CZ2802" s="58">
        <v>2023.0</v>
      </c>
      <c r="DA2802" s="58" t="s">
        <v>23242</v>
      </c>
      <c r="DB2802" s="58">
        <v>3283.0</v>
      </c>
      <c r="DF2802" s="58">
        <v>50.0</v>
      </c>
      <c r="DG2802" s="58" t="s">
        <v>25769</v>
      </c>
      <c r="DH2802" s="58" t="s">
        <v>22525</v>
      </c>
      <c r="DI2802" s="58" t="s">
        <v>22622</v>
      </c>
      <c r="DJ2802" s="58" t="s">
        <v>237</v>
      </c>
      <c r="DK2802" s="58" t="s">
        <v>25770</v>
      </c>
    </row>
    <row r="2803" ht="15.75" customHeight="1">
      <c r="B2803" s="58" t="s">
        <v>22515</v>
      </c>
      <c r="D2803" s="58" t="s">
        <v>25771</v>
      </c>
      <c r="E2803" s="58" t="s">
        <v>25772</v>
      </c>
      <c r="I2803" s="58" t="s">
        <v>25773</v>
      </c>
      <c r="R2803" s="58">
        <v>188.0</v>
      </c>
      <c r="CL2803" s="58" t="s">
        <v>25774</v>
      </c>
      <c r="CP2803" s="58" t="s">
        <v>25775</v>
      </c>
      <c r="CX2803" s="58" t="s">
        <v>25776</v>
      </c>
      <c r="CY2803" s="58" t="s">
        <v>25777</v>
      </c>
      <c r="CZ2803" s="58">
        <v>2023.0</v>
      </c>
      <c r="DA2803" s="58" t="s">
        <v>25705</v>
      </c>
      <c r="DB2803" s="58">
        <v>122265.0</v>
      </c>
      <c r="DF2803" s="58">
        <v>31.0</v>
      </c>
      <c r="DG2803" s="58" t="s">
        <v>25778</v>
      </c>
      <c r="DH2803" s="58" t="s">
        <v>22525</v>
      </c>
      <c r="DJ2803" s="58" t="s">
        <v>237</v>
      </c>
      <c r="DK2803" s="58" t="s">
        <v>25779</v>
      </c>
      <c r="DL2803" s="58" t="s">
        <v>25780</v>
      </c>
    </row>
    <row r="2804" ht="15.75" customHeight="1">
      <c r="B2804" s="58" t="s">
        <v>22515</v>
      </c>
      <c r="D2804" s="58" t="s">
        <v>25781</v>
      </c>
      <c r="E2804" s="58" t="s">
        <v>25782</v>
      </c>
      <c r="I2804" s="58" t="s">
        <v>25783</v>
      </c>
      <c r="Q2804" s="58">
        <v>2.0</v>
      </c>
      <c r="R2804" s="58">
        <v>11.0</v>
      </c>
      <c r="CL2804" s="58" t="s">
        <v>25784</v>
      </c>
      <c r="CP2804" s="58" t="s">
        <v>25785</v>
      </c>
      <c r="CX2804" s="58" t="s">
        <v>25786</v>
      </c>
      <c r="CY2804" s="58" t="s">
        <v>25787</v>
      </c>
      <c r="CZ2804" s="58">
        <v>2023.0</v>
      </c>
      <c r="DA2804" s="58" t="s">
        <v>25788</v>
      </c>
      <c r="DB2804" s="58">
        <v>56.0</v>
      </c>
      <c r="DF2804" s="58">
        <v>14.0</v>
      </c>
      <c r="DG2804" s="58" t="s">
        <v>25789</v>
      </c>
      <c r="DH2804" s="58" t="s">
        <v>22525</v>
      </c>
      <c r="DI2804" s="58" t="s">
        <v>22622</v>
      </c>
      <c r="DJ2804" s="58" t="s">
        <v>237</v>
      </c>
      <c r="DK2804" s="58" t="s">
        <v>25790</v>
      </c>
    </row>
    <row r="2805" ht="15.75" customHeight="1">
      <c r="B2805" s="58" t="s">
        <v>22515</v>
      </c>
      <c r="D2805" s="58" t="s">
        <v>25791</v>
      </c>
      <c r="E2805" s="58" t="s">
        <v>25792</v>
      </c>
      <c r="I2805" s="58" t="s">
        <v>25793</v>
      </c>
      <c r="Q2805" s="58">
        <v>11.0</v>
      </c>
      <c r="R2805" s="58">
        <v>53.0</v>
      </c>
      <c r="CL2805" s="58" t="s">
        <v>25794</v>
      </c>
      <c r="CP2805" s="58" t="s">
        <v>25795</v>
      </c>
      <c r="CX2805" s="58" t="s">
        <v>25796</v>
      </c>
      <c r="CY2805" s="58" t="s">
        <v>25797</v>
      </c>
      <c r="CZ2805" s="58">
        <v>2023.0</v>
      </c>
      <c r="DA2805" s="58" t="s">
        <v>25798</v>
      </c>
      <c r="DC2805" s="58">
        <v>13643.0</v>
      </c>
      <c r="DD2805" s="58">
        <v>13664.0</v>
      </c>
      <c r="DE2805" s="58">
        <v>21.0</v>
      </c>
      <c r="DF2805" s="58">
        <v>1.0</v>
      </c>
      <c r="DG2805" s="58" t="s">
        <v>25799</v>
      </c>
      <c r="DH2805" s="58" t="s">
        <v>22525</v>
      </c>
      <c r="DJ2805" s="58" t="s">
        <v>237</v>
      </c>
      <c r="DK2805" s="58" t="s">
        <v>25800</v>
      </c>
      <c r="DL2805" s="58" t="s">
        <v>25801</v>
      </c>
    </row>
    <row r="2806" ht="15.75" customHeight="1">
      <c r="B2806" s="58" t="s">
        <v>22515</v>
      </c>
      <c r="D2806" s="58" t="s">
        <v>25802</v>
      </c>
      <c r="E2806" s="58" t="s">
        <v>25803</v>
      </c>
      <c r="I2806" s="58" t="s">
        <v>25804</v>
      </c>
      <c r="Q2806" s="58">
        <v>3.0</v>
      </c>
      <c r="R2806" s="58">
        <v>30.0</v>
      </c>
      <c r="CL2806" s="58" t="s">
        <v>25805</v>
      </c>
      <c r="CP2806" s="58" t="s">
        <v>25806</v>
      </c>
      <c r="CX2806" s="58" t="s">
        <v>25807</v>
      </c>
      <c r="CY2806" s="58" t="s">
        <v>25808</v>
      </c>
      <c r="CZ2806" s="58">
        <v>2023.0</v>
      </c>
      <c r="DA2806" s="58" t="s">
        <v>25809</v>
      </c>
      <c r="DC2806" s="58">
        <v>78.0</v>
      </c>
      <c r="DD2806" s="58">
        <v>87.0</v>
      </c>
      <c r="DE2806" s="58">
        <v>9.0</v>
      </c>
      <c r="DF2806" s="58">
        <v>1.0</v>
      </c>
      <c r="DG2806" s="58" t="s">
        <v>25810</v>
      </c>
      <c r="DH2806" s="58" t="s">
        <v>22525</v>
      </c>
      <c r="DJ2806" s="58" t="s">
        <v>237</v>
      </c>
      <c r="DK2806" s="58" t="s">
        <v>25811</v>
      </c>
      <c r="DL2806" s="58" t="s">
        <v>25812</v>
      </c>
    </row>
    <row r="2807" ht="15.75" customHeight="1">
      <c r="B2807" s="58" t="s">
        <v>22771</v>
      </c>
      <c r="D2807" s="58" t="s">
        <v>25813</v>
      </c>
      <c r="E2807" s="58" t="s">
        <v>25814</v>
      </c>
      <c r="I2807" s="58" t="s">
        <v>25815</v>
      </c>
      <c r="R2807" s="58" t="s">
        <v>25441</v>
      </c>
      <c r="CL2807" s="58" t="s">
        <v>25816</v>
      </c>
      <c r="CP2807" s="58" t="s">
        <v>25817</v>
      </c>
      <c r="CX2807" s="58" t="s">
        <v>25818</v>
      </c>
      <c r="CY2807" s="58" t="s">
        <v>25819</v>
      </c>
      <c r="CZ2807" s="58">
        <v>2023.0</v>
      </c>
      <c r="DA2807" s="58" t="s">
        <v>24915</v>
      </c>
      <c r="DC2807" s="58">
        <v>1.0</v>
      </c>
      <c r="DD2807" s="58">
        <v>11.0</v>
      </c>
      <c r="DE2807" s="58">
        <v>10.0</v>
      </c>
      <c r="DF2807" s="58">
        <v>7.0</v>
      </c>
      <c r="DG2807" s="58" t="s">
        <v>25820</v>
      </c>
      <c r="DH2807" s="58" t="s">
        <v>22525</v>
      </c>
      <c r="DJ2807" s="58" t="s">
        <v>237</v>
      </c>
      <c r="DK2807" s="58" t="s">
        <v>25821</v>
      </c>
      <c r="DL2807" s="58" t="s">
        <v>25822</v>
      </c>
    </row>
    <row r="2808" ht="15.75" customHeight="1">
      <c r="B2808" s="58" t="s">
        <v>22771</v>
      </c>
      <c r="D2808" s="58" t="s">
        <v>25823</v>
      </c>
      <c r="E2808" s="58" t="s">
        <v>25824</v>
      </c>
      <c r="I2808" s="58" t="s">
        <v>25825</v>
      </c>
      <c r="CL2808" s="58" t="s">
        <v>25826</v>
      </c>
      <c r="CP2808" s="58" t="s">
        <v>25827</v>
      </c>
      <c r="CX2808" s="58" t="s">
        <v>25828</v>
      </c>
      <c r="CY2808" s="58" t="s">
        <v>25829</v>
      </c>
      <c r="CZ2808" s="58">
        <v>2023.0</v>
      </c>
      <c r="DA2808" s="58" t="s">
        <v>25830</v>
      </c>
      <c r="DC2808" s="58">
        <v>1551.0</v>
      </c>
      <c r="DD2808" s="58">
        <v>1561.0</v>
      </c>
      <c r="DE2808" s="58">
        <v>10.0</v>
      </c>
      <c r="DF2808" s="58">
        <v>7.0</v>
      </c>
      <c r="DG2808" s="58" t="s">
        <v>25831</v>
      </c>
      <c r="DH2808" s="58" t="s">
        <v>22525</v>
      </c>
      <c r="DJ2808" s="58" t="s">
        <v>237</v>
      </c>
      <c r="DK2808" s="58" t="s">
        <v>25832</v>
      </c>
      <c r="DL2808" s="58" t="s">
        <v>25833</v>
      </c>
    </row>
    <row r="2809" ht="15.75" customHeight="1">
      <c r="B2809" s="58" t="s">
        <v>22771</v>
      </c>
      <c r="D2809" s="58" t="s">
        <v>25834</v>
      </c>
      <c r="E2809" s="58" t="s">
        <v>25835</v>
      </c>
      <c r="I2809" s="58" t="s">
        <v>25836</v>
      </c>
      <c r="R2809" s="58">
        <v>184.0</v>
      </c>
      <c r="CL2809" s="58" t="s">
        <v>25837</v>
      </c>
      <c r="CP2809" s="58" t="s">
        <v>25838</v>
      </c>
      <c r="CX2809" s="58" t="s">
        <v>25839</v>
      </c>
      <c r="CY2809" s="58" t="s">
        <v>25840</v>
      </c>
      <c r="CZ2809" s="58">
        <v>2023.0</v>
      </c>
      <c r="DA2809" s="58" t="s">
        <v>25841</v>
      </c>
      <c r="DC2809" s="58">
        <v>130.0</v>
      </c>
      <c r="DD2809" s="58">
        <v>139.0</v>
      </c>
      <c r="DE2809" s="58">
        <v>9.0</v>
      </c>
      <c r="DF2809" s="58">
        <v>0.0</v>
      </c>
      <c r="DG2809" s="58" t="s">
        <v>25842</v>
      </c>
      <c r="DH2809" s="58" t="s">
        <v>22525</v>
      </c>
      <c r="DJ2809" s="58" t="s">
        <v>237</v>
      </c>
      <c r="DK2809" s="58" t="s">
        <v>25843</v>
      </c>
      <c r="DL2809" s="58" t="s">
        <v>25844</v>
      </c>
    </row>
    <row r="2810" ht="15.75" customHeight="1">
      <c r="B2810" s="58" t="s">
        <v>22515</v>
      </c>
      <c r="D2810" s="58" t="s">
        <v>25845</v>
      </c>
      <c r="E2810" s="58" t="s">
        <v>25846</v>
      </c>
      <c r="I2810" s="58" t="s">
        <v>25847</v>
      </c>
      <c r="CL2810" s="58" t="s">
        <v>25848</v>
      </c>
      <c r="CP2810" s="58" t="s">
        <v>25849</v>
      </c>
      <c r="CX2810" s="58" t="s">
        <v>25850</v>
      </c>
      <c r="CY2810" s="58" t="s">
        <v>25851</v>
      </c>
      <c r="CZ2810" s="58">
        <v>2023.0</v>
      </c>
      <c r="DA2810" s="58" t="s">
        <v>25852</v>
      </c>
      <c r="DF2810" s="58">
        <v>0.0</v>
      </c>
      <c r="DG2810" s="58" t="s">
        <v>25853</v>
      </c>
      <c r="DH2810" s="58" t="s">
        <v>22525</v>
      </c>
      <c r="DI2810" s="58" t="s">
        <v>22526</v>
      </c>
      <c r="DJ2810" s="58" t="s">
        <v>237</v>
      </c>
      <c r="DK2810" s="58" t="s">
        <v>25854</v>
      </c>
      <c r="DL2810" s="58" t="s">
        <v>25855</v>
      </c>
    </row>
    <row r="2811" ht="15.75" customHeight="1">
      <c r="B2811" s="58" t="s">
        <v>22515</v>
      </c>
      <c r="D2811" s="58" t="s">
        <v>25856</v>
      </c>
      <c r="E2811" s="58" t="s">
        <v>25857</v>
      </c>
      <c r="I2811" s="58" t="s">
        <v>25858</v>
      </c>
      <c r="Q2811" s="58">
        <v>2.0</v>
      </c>
      <c r="R2811" s="58">
        <v>15.0</v>
      </c>
      <c r="CL2811" s="58" t="s">
        <v>25859</v>
      </c>
      <c r="CX2811" s="58" t="s">
        <v>25860</v>
      </c>
      <c r="CY2811" s="58" t="s">
        <v>25861</v>
      </c>
      <c r="CZ2811" s="58">
        <v>2023.0</v>
      </c>
      <c r="DA2811" s="58" t="s">
        <v>25862</v>
      </c>
      <c r="DC2811" s="58">
        <v>115.0</v>
      </c>
      <c r="DD2811" s="58">
        <v>127.0</v>
      </c>
      <c r="DE2811" s="58">
        <v>12.0</v>
      </c>
      <c r="DF2811" s="58">
        <v>2.0</v>
      </c>
      <c r="DG2811" s="58" t="s">
        <v>25863</v>
      </c>
      <c r="DH2811" s="58" t="s">
        <v>22525</v>
      </c>
      <c r="DJ2811" s="58" t="s">
        <v>237</v>
      </c>
      <c r="DK2811" s="58" t="s">
        <v>25864</v>
      </c>
      <c r="DL2811" s="58" t="s">
        <v>25865</v>
      </c>
    </row>
    <row r="2812" ht="15.75" customHeight="1">
      <c r="B2812" s="58" t="s">
        <v>22515</v>
      </c>
      <c r="D2812" s="58" t="s">
        <v>25866</v>
      </c>
      <c r="E2812" s="58" t="s">
        <v>25867</v>
      </c>
      <c r="I2812" s="58" t="s">
        <v>25868</v>
      </c>
      <c r="Q2812" s="58">
        <v>13.0</v>
      </c>
      <c r="R2812" s="58">
        <v>23.0</v>
      </c>
      <c r="CL2812" s="58" t="s">
        <v>25869</v>
      </c>
      <c r="CP2812" s="58" t="s">
        <v>25870</v>
      </c>
      <c r="CX2812" s="58" t="s">
        <v>25871</v>
      </c>
      <c r="CY2812" s="58" t="s">
        <v>22522</v>
      </c>
      <c r="CZ2812" s="58">
        <v>2023.0</v>
      </c>
      <c r="DA2812" s="58" t="s">
        <v>22802</v>
      </c>
      <c r="DB2812" s="58">
        <v>6039.0</v>
      </c>
      <c r="DF2812" s="58">
        <v>12.0</v>
      </c>
      <c r="DG2812" s="58" t="s">
        <v>25872</v>
      </c>
      <c r="DH2812" s="58" t="s">
        <v>22525</v>
      </c>
      <c r="DI2812" s="58" t="s">
        <v>22643</v>
      </c>
      <c r="DJ2812" s="58" t="s">
        <v>237</v>
      </c>
      <c r="DK2812" s="58" t="s">
        <v>25873</v>
      </c>
      <c r="DL2812" s="58" t="s">
        <v>25874</v>
      </c>
    </row>
    <row r="2813" ht="15.75" customHeight="1">
      <c r="B2813" s="58" t="s">
        <v>22515</v>
      </c>
      <c r="D2813" s="58" t="s">
        <v>25875</v>
      </c>
      <c r="E2813" s="58" t="s">
        <v>25876</v>
      </c>
      <c r="I2813" s="58" t="s">
        <v>25877</v>
      </c>
      <c r="Q2813" s="58">
        <v>2.0</v>
      </c>
      <c r="R2813" s="58">
        <v>17.0</v>
      </c>
      <c r="CL2813" s="58" t="s">
        <v>25878</v>
      </c>
      <c r="CP2813" s="58" t="s">
        <v>25879</v>
      </c>
      <c r="CX2813" s="58" t="s">
        <v>25880</v>
      </c>
      <c r="CY2813" s="58" t="s">
        <v>25881</v>
      </c>
      <c r="CZ2813" s="58">
        <v>2023.0</v>
      </c>
      <c r="DA2813" s="58" t="s">
        <v>20272</v>
      </c>
      <c r="DC2813" s="58">
        <v>2616.0</v>
      </c>
      <c r="DD2813" s="58">
        <v>2627.0</v>
      </c>
      <c r="DE2813" s="58">
        <v>11.0</v>
      </c>
      <c r="DF2813" s="58">
        <v>10.0</v>
      </c>
      <c r="DG2813" s="58" t="s">
        <v>25882</v>
      </c>
      <c r="DH2813" s="58" t="s">
        <v>22525</v>
      </c>
      <c r="DJ2813" s="58" t="s">
        <v>237</v>
      </c>
      <c r="DK2813" s="58" t="s">
        <v>25883</v>
      </c>
      <c r="DL2813" s="58" t="s">
        <v>25884</v>
      </c>
    </row>
    <row r="2814" ht="15.75" customHeight="1">
      <c r="B2814" s="58" t="s">
        <v>22515</v>
      </c>
      <c r="D2814" s="58" t="s">
        <v>25885</v>
      </c>
      <c r="E2814" s="58" t="s">
        <v>25886</v>
      </c>
      <c r="I2814" s="58" t="s">
        <v>25887</v>
      </c>
      <c r="R2814" s="58">
        <v>197.0</v>
      </c>
      <c r="CL2814" s="58" t="s">
        <v>25888</v>
      </c>
      <c r="CP2814" s="58" t="s">
        <v>25889</v>
      </c>
      <c r="CX2814" s="58" t="s">
        <v>25890</v>
      </c>
      <c r="CY2814" s="58" t="s">
        <v>25891</v>
      </c>
      <c r="CZ2814" s="58">
        <v>2023.0</v>
      </c>
      <c r="DA2814" s="58" t="s">
        <v>22826</v>
      </c>
      <c r="DB2814" s="58">
        <v>111558.0</v>
      </c>
      <c r="DF2814" s="58">
        <v>13.0</v>
      </c>
      <c r="DG2814" s="58" t="s">
        <v>25892</v>
      </c>
      <c r="DH2814" s="58" t="s">
        <v>22525</v>
      </c>
      <c r="DI2814" s="58" t="s">
        <v>22656</v>
      </c>
      <c r="DJ2814" s="58" t="s">
        <v>237</v>
      </c>
      <c r="DK2814" s="58" t="s">
        <v>25893</v>
      </c>
      <c r="DL2814" s="58" t="s">
        <v>25894</v>
      </c>
    </row>
    <row r="2815" ht="15.75" customHeight="1">
      <c r="B2815" s="58" t="s">
        <v>22515</v>
      </c>
      <c r="D2815" s="58" t="s">
        <v>25895</v>
      </c>
      <c r="E2815" s="58" t="s">
        <v>25896</v>
      </c>
      <c r="I2815" s="58" t="s">
        <v>25897</v>
      </c>
      <c r="Q2815" s="58">
        <v>10.0</v>
      </c>
      <c r="R2815" s="58">
        <v>53.0</v>
      </c>
      <c r="CL2815" s="58" t="s">
        <v>25898</v>
      </c>
      <c r="CP2815" s="58" t="s">
        <v>25899</v>
      </c>
      <c r="CX2815" s="58" t="s">
        <v>25900</v>
      </c>
      <c r="CY2815" s="58" t="s">
        <v>25901</v>
      </c>
      <c r="CZ2815" s="58">
        <v>2023.0</v>
      </c>
      <c r="DA2815" s="58" t="s">
        <v>23462</v>
      </c>
      <c r="DC2815" s="58">
        <v>1853.0</v>
      </c>
      <c r="DD2815" s="58">
        <v>1886.0</v>
      </c>
      <c r="DE2815" s="58">
        <v>33.0</v>
      </c>
      <c r="DF2815" s="58">
        <v>8.0</v>
      </c>
      <c r="DG2815" s="58" t="s">
        <v>25902</v>
      </c>
      <c r="DH2815" s="58" t="s">
        <v>22525</v>
      </c>
      <c r="DI2815" s="58" t="s">
        <v>22816</v>
      </c>
      <c r="DJ2815" s="58" t="s">
        <v>237</v>
      </c>
      <c r="DK2815" s="58" t="s">
        <v>25903</v>
      </c>
      <c r="DL2815" s="58" t="s">
        <v>25904</v>
      </c>
    </row>
    <row r="2816" ht="15.75" customHeight="1">
      <c r="B2816" s="58" t="s">
        <v>22515</v>
      </c>
      <c r="D2816" s="58" t="s">
        <v>25905</v>
      </c>
      <c r="E2816" s="58" t="s">
        <v>25906</v>
      </c>
      <c r="I2816" s="58" t="s">
        <v>25907</v>
      </c>
      <c r="Q2816" s="58">
        <v>2.0</v>
      </c>
      <c r="R2816" s="58">
        <v>7.0</v>
      </c>
      <c r="CL2816" s="58" t="s">
        <v>25908</v>
      </c>
      <c r="CP2816" s="58" t="s">
        <v>25909</v>
      </c>
      <c r="CX2816" s="58" t="s">
        <v>25910</v>
      </c>
      <c r="CY2816" s="58" t="s">
        <v>25911</v>
      </c>
      <c r="CZ2816" s="58">
        <v>2023.0</v>
      </c>
      <c r="DA2816" s="58" t="s">
        <v>17040</v>
      </c>
      <c r="DC2816" s="58">
        <v>1066.0</v>
      </c>
      <c r="DD2816" s="58">
        <v>1077.0</v>
      </c>
      <c r="DE2816" s="58">
        <v>11.0</v>
      </c>
      <c r="DF2816" s="58">
        <v>4.0</v>
      </c>
      <c r="DG2816" s="58" t="s">
        <v>25912</v>
      </c>
      <c r="DH2816" s="58" t="s">
        <v>22525</v>
      </c>
      <c r="DJ2816" s="58" t="s">
        <v>237</v>
      </c>
      <c r="DK2816" s="58" t="s">
        <v>25913</v>
      </c>
      <c r="DL2816" s="58" t="s">
        <v>25914</v>
      </c>
    </row>
    <row r="2817" ht="15.75" customHeight="1">
      <c r="B2817" s="58" t="s">
        <v>22515</v>
      </c>
      <c r="D2817" s="58" t="s">
        <v>25915</v>
      </c>
      <c r="E2817" s="58" t="s">
        <v>25916</v>
      </c>
      <c r="I2817" s="58" t="s">
        <v>25917</v>
      </c>
      <c r="Q2817" s="58">
        <v>18.0</v>
      </c>
      <c r="R2817" s="58">
        <v>23.0</v>
      </c>
      <c r="CL2817" s="58" t="s">
        <v>25918</v>
      </c>
      <c r="CP2817" s="58" t="s">
        <v>25919</v>
      </c>
      <c r="CX2817" s="58" t="s">
        <v>25920</v>
      </c>
      <c r="CY2817" s="58" t="s">
        <v>25921</v>
      </c>
      <c r="CZ2817" s="58">
        <v>2023.0</v>
      </c>
      <c r="DA2817" s="58" t="s">
        <v>22802</v>
      </c>
      <c r="DB2817" s="58">
        <v>7697.0</v>
      </c>
      <c r="DF2817" s="58">
        <v>9.0</v>
      </c>
      <c r="DG2817" s="58" t="s">
        <v>25922</v>
      </c>
      <c r="DH2817" s="58" t="s">
        <v>22525</v>
      </c>
      <c r="DI2817" s="58" t="s">
        <v>22643</v>
      </c>
      <c r="DJ2817" s="58" t="s">
        <v>237</v>
      </c>
      <c r="DK2817" s="58" t="s">
        <v>25923</v>
      </c>
      <c r="DL2817" s="58" t="s">
        <v>25924</v>
      </c>
    </row>
    <row r="2818" ht="15.75" customHeight="1">
      <c r="B2818" s="58" t="s">
        <v>22515</v>
      </c>
      <c r="D2818" s="58" t="s">
        <v>25925</v>
      </c>
      <c r="E2818" s="58" t="s">
        <v>25926</v>
      </c>
      <c r="I2818" s="58" t="s">
        <v>25927</v>
      </c>
      <c r="Q2818" s="58">
        <v>2.0</v>
      </c>
      <c r="R2818" s="58">
        <v>11.0</v>
      </c>
      <c r="CL2818" s="58" t="s">
        <v>25928</v>
      </c>
      <c r="CP2818" s="58" t="s">
        <v>25929</v>
      </c>
      <c r="CX2818" s="58" t="s">
        <v>25930</v>
      </c>
      <c r="CY2818" s="58" t="s">
        <v>25931</v>
      </c>
      <c r="CZ2818" s="58">
        <v>2023.0</v>
      </c>
      <c r="DA2818" s="58" t="s">
        <v>17438</v>
      </c>
      <c r="DC2818" s="58">
        <v>2188.0</v>
      </c>
      <c r="DD2818" s="58">
        <v>2203.0</v>
      </c>
      <c r="DE2818" s="58">
        <v>15.0</v>
      </c>
      <c r="DF2818" s="58">
        <v>4.0</v>
      </c>
      <c r="DG2818" s="58" t="s">
        <v>25932</v>
      </c>
      <c r="DH2818" s="58" t="s">
        <v>22525</v>
      </c>
      <c r="DJ2818" s="58" t="s">
        <v>237</v>
      </c>
      <c r="DK2818" s="58" t="s">
        <v>25933</v>
      </c>
      <c r="DL2818" s="58" t="s">
        <v>25934</v>
      </c>
    </row>
    <row r="2819" ht="15.75" customHeight="1">
      <c r="B2819" s="58" t="s">
        <v>22771</v>
      </c>
      <c r="D2819" s="58" t="s">
        <v>25935</v>
      </c>
      <c r="E2819" s="58" t="s">
        <v>25936</v>
      </c>
      <c r="I2819" s="58" t="s">
        <v>25937</v>
      </c>
      <c r="CL2819" s="58" t="s">
        <v>25938</v>
      </c>
      <c r="CP2819" s="58" t="s">
        <v>25939</v>
      </c>
      <c r="CX2819" s="58" t="s">
        <v>25940</v>
      </c>
      <c r="CY2819" s="58" t="s">
        <v>25941</v>
      </c>
      <c r="CZ2819" s="58">
        <v>2023.0</v>
      </c>
      <c r="DA2819" s="58" t="s">
        <v>25942</v>
      </c>
      <c r="DC2819" s="58">
        <v>198.0</v>
      </c>
      <c r="DD2819" s="58">
        <v>203.0</v>
      </c>
      <c r="DE2819" s="58">
        <v>5.0</v>
      </c>
      <c r="DF2819" s="58">
        <v>0.0</v>
      </c>
      <c r="DG2819" s="58" t="s">
        <v>25943</v>
      </c>
      <c r="DH2819" s="58" t="s">
        <v>22525</v>
      </c>
      <c r="DJ2819" s="58" t="s">
        <v>237</v>
      </c>
      <c r="DK2819" s="58" t="s">
        <v>25944</v>
      </c>
      <c r="DL2819" s="58" t="s">
        <v>25945</v>
      </c>
    </row>
    <row r="2820" ht="15.75" customHeight="1">
      <c r="B2820" s="58" t="s">
        <v>22771</v>
      </c>
      <c r="D2820" s="58" t="s">
        <v>25946</v>
      </c>
      <c r="E2820" s="58" t="s">
        <v>25947</v>
      </c>
      <c r="I2820" s="58" t="s">
        <v>25948</v>
      </c>
      <c r="R2820" s="58" t="s">
        <v>25441</v>
      </c>
      <c r="CL2820" s="58" t="s">
        <v>25949</v>
      </c>
      <c r="CP2820" s="58" t="s">
        <v>25950</v>
      </c>
      <c r="CX2820" s="58" t="s">
        <v>25951</v>
      </c>
      <c r="CY2820" s="58" t="s">
        <v>25952</v>
      </c>
      <c r="CZ2820" s="58">
        <v>2023.0</v>
      </c>
      <c r="DA2820" s="58" t="s">
        <v>25953</v>
      </c>
      <c r="DC2820" s="58">
        <v>505.0</v>
      </c>
      <c r="DD2820" s="58">
        <v>515.0</v>
      </c>
      <c r="DE2820" s="58">
        <v>10.0</v>
      </c>
      <c r="DF2820" s="58">
        <v>3.0</v>
      </c>
      <c r="DG2820" s="58" t="s">
        <v>25954</v>
      </c>
      <c r="DH2820" s="58" t="s">
        <v>22525</v>
      </c>
      <c r="DI2820" s="58" t="s">
        <v>22816</v>
      </c>
      <c r="DJ2820" s="58" t="s">
        <v>237</v>
      </c>
      <c r="DK2820" s="58" t="s">
        <v>25955</v>
      </c>
      <c r="DL2820" s="58" t="s">
        <v>25956</v>
      </c>
    </row>
    <row r="2821" ht="15.75" customHeight="1">
      <c r="B2821" s="58" t="s">
        <v>22515</v>
      </c>
      <c r="D2821" s="58" t="s">
        <v>25957</v>
      </c>
      <c r="E2821" s="58" t="s">
        <v>25958</v>
      </c>
      <c r="I2821" s="58" t="s">
        <v>25959</v>
      </c>
      <c r="R2821" s="58">
        <v>82.0</v>
      </c>
      <c r="CL2821" s="58" t="s">
        <v>25960</v>
      </c>
      <c r="CP2821" s="58" t="s">
        <v>25961</v>
      </c>
      <c r="CX2821" s="58" t="s">
        <v>25962</v>
      </c>
      <c r="CY2821" s="58" t="s">
        <v>25963</v>
      </c>
      <c r="CZ2821" s="58">
        <v>2023.0</v>
      </c>
      <c r="DA2821" s="58" t="s">
        <v>25964</v>
      </c>
      <c r="DB2821" s="58">
        <v>102520.0</v>
      </c>
      <c r="DF2821" s="58">
        <v>20.0</v>
      </c>
      <c r="DG2821" s="58" t="s">
        <v>25965</v>
      </c>
      <c r="DH2821" s="58" t="s">
        <v>22525</v>
      </c>
      <c r="DI2821" s="58" t="s">
        <v>23606</v>
      </c>
      <c r="DJ2821" s="58" t="s">
        <v>237</v>
      </c>
      <c r="DK2821" s="58" t="s">
        <v>25966</v>
      </c>
      <c r="DL2821" s="58" t="s">
        <v>25967</v>
      </c>
    </row>
    <row r="2822" ht="15.75" customHeight="1">
      <c r="B2822" s="58" t="s">
        <v>22515</v>
      </c>
      <c r="D2822" s="58" t="s">
        <v>25968</v>
      </c>
      <c r="E2822" s="58" t="s">
        <v>25969</v>
      </c>
      <c r="I2822" s="58" t="s">
        <v>25970</v>
      </c>
      <c r="Q2822" s="58">
        <v>3.0</v>
      </c>
      <c r="R2822" s="58">
        <v>19.0</v>
      </c>
      <c r="CL2822" s="58" t="s">
        <v>25971</v>
      </c>
      <c r="CP2822" s="58" t="s">
        <v>25972</v>
      </c>
      <c r="CX2822" s="58" t="s">
        <v>25973</v>
      </c>
      <c r="CY2822" s="58" t="s">
        <v>25974</v>
      </c>
      <c r="CZ2822" s="58">
        <v>2023.0</v>
      </c>
      <c r="DA2822" s="58" t="s">
        <v>25975</v>
      </c>
      <c r="DB2822" s="58">
        <v>55.0</v>
      </c>
      <c r="DF2822" s="58">
        <v>12.0</v>
      </c>
      <c r="DG2822" s="58" t="s">
        <v>25976</v>
      </c>
      <c r="DH2822" s="58" t="s">
        <v>22525</v>
      </c>
      <c r="DJ2822" s="58" t="s">
        <v>237</v>
      </c>
      <c r="DK2822" s="58" t="s">
        <v>25977</v>
      </c>
      <c r="DL2822" s="58" t="s">
        <v>25978</v>
      </c>
    </row>
    <row r="2823" ht="15.75" customHeight="1">
      <c r="B2823" s="58" t="s">
        <v>22515</v>
      </c>
      <c r="D2823" s="58" t="s">
        <v>25979</v>
      </c>
      <c r="E2823" s="58" t="s">
        <v>25980</v>
      </c>
      <c r="I2823" s="58" t="s">
        <v>25981</v>
      </c>
      <c r="Q2823" s="58">
        <v>4.0</v>
      </c>
      <c r="R2823" s="58">
        <v>4.0</v>
      </c>
      <c r="CL2823" s="58" t="s">
        <v>25982</v>
      </c>
      <c r="CP2823" s="58" t="s">
        <v>25983</v>
      </c>
      <c r="CX2823" s="58" t="s">
        <v>25984</v>
      </c>
      <c r="CY2823" s="58" t="s">
        <v>25985</v>
      </c>
      <c r="CZ2823" s="58">
        <v>2023.0</v>
      </c>
      <c r="DA2823" s="58" t="s">
        <v>25986</v>
      </c>
      <c r="DC2823" s="58">
        <v>121.0</v>
      </c>
      <c r="DD2823" s="58">
        <v>150.0</v>
      </c>
      <c r="DE2823" s="58">
        <v>29.0</v>
      </c>
      <c r="DF2823" s="58">
        <v>3.0</v>
      </c>
      <c r="DG2823" s="58" t="s">
        <v>25987</v>
      </c>
      <c r="DH2823" s="58" t="s">
        <v>22525</v>
      </c>
      <c r="DI2823" s="58" t="s">
        <v>22622</v>
      </c>
      <c r="DJ2823" s="58" t="s">
        <v>237</v>
      </c>
      <c r="DK2823" s="58" t="s">
        <v>25988</v>
      </c>
      <c r="DL2823" s="58" t="s">
        <v>25989</v>
      </c>
    </row>
    <row r="2824" ht="15.75" customHeight="1">
      <c r="B2824" s="58" t="s">
        <v>22771</v>
      </c>
      <c r="D2824" s="58" t="s">
        <v>25990</v>
      </c>
      <c r="E2824" s="58" t="s">
        <v>25991</v>
      </c>
      <c r="I2824" s="58" t="s">
        <v>25992</v>
      </c>
      <c r="Q2824" s="58">
        <v>1.0</v>
      </c>
      <c r="R2824" s="58">
        <v>2570.0</v>
      </c>
      <c r="CL2824" s="58" t="s">
        <v>25993</v>
      </c>
      <c r="CP2824" s="58" t="s">
        <v>25994</v>
      </c>
      <c r="CX2824" s="58" t="s">
        <v>25995</v>
      </c>
      <c r="CY2824" s="58" t="s">
        <v>25996</v>
      </c>
      <c r="CZ2824" s="58">
        <v>2023.0</v>
      </c>
      <c r="DA2824" s="58" t="s">
        <v>24237</v>
      </c>
      <c r="DB2824" s="58">
        <v>12029.0</v>
      </c>
      <c r="DF2824" s="58">
        <v>0.0</v>
      </c>
      <c r="DG2824" s="58" t="s">
        <v>25997</v>
      </c>
      <c r="DH2824" s="58" t="s">
        <v>22525</v>
      </c>
      <c r="DI2824" s="58" t="s">
        <v>22622</v>
      </c>
      <c r="DJ2824" s="58" t="s">
        <v>237</v>
      </c>
      <c r="DK2824" s="58" t="s">
        <v>25998</v>
      </c>
      <c r="DL2824" s="58" t="s">
        <v>25999</v>
      </c>
    </row>
    <row r="2825" ht="15.75" customHeight="1">
      <c r="B2825" s="58" t="s">
        <v>22515</v>
      </c>
      <c r="D2825" s="58" t="s">
        <v>26000</v>
      </c>
      <c r="E2825" s="58" t="s">
        <v>26001</v>
      </c>
      <c r="I2825" s="58" t="s">
        <v>26002</v>
      </c>
      <c r="Q2825" s="58">
        <v>3.0</v>
      </c>
      <c r="R2825" s="58">
        <v>28.0</v>
      </c>
      <c r="CL2825" s="58" t="s">
        <v>26003</v>
      </c>
      <c r="CP2825" s="58" t="s">
        <v>26004</v>
      </c>
      <c r="CX2825" s="58" t="s">
        <v>26005</v>
      </c>
      <c r="CY2825" s="58" t="s">
        <v>26006</v>
      </c>
      <c r="CZ2825" s="58">
        <v>2023.0</v>
      </c>
      <c r="DA2825" s="58" t="s">
        <v>26007</v>
      </c>
      <c r="DB2825" s="58">
        <v>67.0</v>
      </c>
      <c r="DF2825" s="58">
        <v>2.0</v>
      </c>
      <c r="DG2825" s="58" t="s">
        <v>26008</v>
      </c>
      <c r="DH2825" s="58" t="s">
        <v>22525</v>
      </c>
      <c r="DI2825" s="58" t="s">
        <v>22526</v>
      </c>
      <c r="DJ2825" s="58" t="s">
        <v>237</v>
      </c>
      <c r="DK2825" s="58" t="s">
        <v>26009</v>
      </c>
      <c r="DL2825" s="58" t="s">
        <v>26010</v>
      </c>
    </row>
    <row r="2826" ht="15.75" customHeight="1">
      <c r="B2826" s="58" t="s">
        <v>22515</v>
      </c>
      <c r="D2826" s="58" t="s">
        <v>26011</v>
      </c>
      <c r="E2826" s="58" t="s">
        <v>26012</v>
      </c>
      <c r="I2826" s="58" t="s">
        <v>26013</v>
      </c>
      <c r="R2826" s="58">
        <v>11.0</v>
      </c>
      <c r="CL2826" s="58" t="s">
        <v>26014</v>
      </c>
      <c r="CP2826" s="58" t="s">
        <v>26015</v>
      </c>
      <c r="CX2826" s="58" t="s">
        <v>26016</v>
      </c>
      <c r="CY2826" s="58" t="s">
        <v>26017</v>
      </c>
      <c r="CZ2826" s="58">
        <v>2023.0</v>
      </c>
      <c r="DA2826" s="58" t="s">
        <v>16436</v>
      </c>
      <c r="DC2826" s="58">
        <v>69144.0</v>
      </c>
      <c r="DD2826" s="58">
        <v>69163.0</v>
      </c>
      <c r="DE2826" s="58">
        <v>19.0</v>
      </c>
      <c r="DF2826" s="58">
        <v>9.0</v>
      </c>
      <c r="DG2826" s="58" t="s">
        <v>26018</v>
      </c>
      <c r="DH2826" s="58" t="s">
        <v>22525</v>
      </c>
      <c r="DI2826" s="58" t="s">
        <v>22643</v>
      </c>
      <c r="DJ2826" s="58" t="s">
        <v>237</v>
      </c>
      <c r="DK2826" s="58" t="s">
        <v>26019</v>
      </c>
      <c r="DL2826" s="58" t="s">
        <v>26020</v>
      </c>
    </row>
    <row r="2827" ht="15.75" customHeight="1">
      <c r="B2827" s="58" t="s">
        <v>22515</v>
      </c>
      <c r="D2827" s="58" t="s">
        <v>26021</v>
      </c>
      <c r="E2827" s="58" t="s">
        <v>26022</v>
      </c>
      <c r="I2827" s="58" t="s">
        <v>26023</v>
      </c>
      <c r="Q2827" s="58">
        <v>10.0</v>
      </c>
      <c r="R2827" s="58">
        <v>12.0</v>
      </c>
      <c r="CL2827" s="58" t="s">
        <v>26024</v>
      </c>
      <c r="CP2827" s="58" t="s">
        <v>26025</v>
      </c>
      <c r="CX2827" s="58" t="s">
        <v>26026</v>
      </c>
      <c r="CY2827" s="58" t="s">
        <v>26027</v>
      </c>
      <c r="CZ2827" s="58">
        <v>2022.0</v>
      </c>
      <c r="DA2827" s="58" t="s">
        <v>22620</v>
      </c>
      <c r="DB2827" s="58">
        <v>1533.0</v>
      </c>
      <c r="DF2827" s="58">
        <v>1.0</v>
      </c>
      <c r="DG2827" s="58" t="s">
        <v>26028</v>
      </c>
      <c r="DH2827" s="58" t="s">
        <v>22525</v>
      </c>
      <c r="DI2827" s="58" t="s">
        <v>22622</v>
      </c>
      <c r="DJ2827" s="58" t="s">
        <v>237</v>
      </c>
      <c r="DK2827" s="58" t="s">
        <v>26029</v>
      </c>
    </row>
    <row r="2828" ht="15.75" customHeight="1">
      <c r="B2828" s="58" t="s">
        <v>22515</v>
      </c>
      <c r="D2828" s="58" t="s">
        <v>26030</v>
      </c>
      <c r="E2828" s="58" t="s">
        <v>26031</v>
      </c>
      <c r="I2828" s="58" t="s">
        <v>26032</v>
      </c>
      <c r="R2828" s="58">
        <v>11.0</v>
      </c>
      <c r="CL2828" s="58" t="s">
        <v>26033</v>
      </c>
      <c r="CP2828" s="58" t="s">
        <v>26034</v>
      </c>
      <c r="CX2828" s="58" t="s">
        <v>26035</v>
      </c>
      <c r="CY2828" s="58" t="s">
        <v>26036</v>
      </c>
      <c r="CZ2828" s="58">
        <v>2023.0</v>
      </c>
      <c r="DA2828" s="58" t="s">
        <v>16436</v>
      </c>
      <c r="DC2828" s="58">
        <v>43909.0</v>
      </c>
      <c r="DD2828" s="58">
        <v>43924.0</v>
      </c>
      <c r="DE2828" s="58">
        <v>15.0</v>
      </c>
      <c r="DF2828" s="58">
        <v>7.0</v>
      </c>
      <c r="DG2828" s="58" t="s">
        <v>26037</v>
      </c>
      <c r="DH2828" s="58" t="s">
        <v>22525</v>
      </c>
      <c r="DI2828" s="58" t="s">
        <v>22622</v>
      </c>
      <c r="DJ2828" s="58" t="s">
        <v>237</v>
      </c>
      <c r="DK2828" s="58" t="s">
        <v>26038</v>
      </c>
      <c r="DL2828" s="58" t="s">
        <v>26039</v>
      </c>
    </row>
    <row r="2829" ht="15.75" customHeight="1">
      <c r="B2829" s="58" t="s">
        <v>22515</v>
      </c>
      <c r="D2829" s="58" t="s">
        <v>26040</v>
      </c>
      <c r="E2829" s="58" t="s">
        <v>26041</v>
      </c>
      <c r="I2829" s="58" t="s">
        <v>26042</v>
      </c>
      <c r="Q2829" s="58">
        <v>1.0</v>
      </c>
      <c r="R2829" s="58">
        <v>12.0</v>
      </c>
      <c r="CL2829" s="58" t="s">
        <v>26043</v>
      </c>
      <c r="CP2829" s="58" t="s">
        <v>26044</v>
      </c>
      <c r="CX2829" s="58" t="s">
        <v>26045</v>
      </c>
      <c r="CY2829" s="58" t="s">
        <v>26046</v>
      </c>
      <c r="CZ2829" s="58">
        <v>2023.0</v>
      </c>
      <c r="DA2829" s="58" t="s">
        <v>23242</v>
      </c>
      <c r="DB2829" s="58">
        <v>75.0</v>
      </c>
      <c r="DF2829" s="58">
        <v>1.0</v>
      </c>
      <c r="DG2829" s="58" t="s">
        <v>26047</v>
      </c>
      <c r="DH2829" s="58" t="s">
        <v>22525</v>
      </c>
      <c r="DI2829" s="58" t="s">
        <v>22643</v>
      </c>
      <c r="DJ2829" s="58" t="s">
        <v>237</v>
      </c>
      <c r="DK2829" s="58" t="s">
        <v>26048</v>
      </c>
    </row>
    <row r="2830" ht="15.75" customHeight="1">
      <c r="B2830" s="58" t="s">
        <v>22515</v>
      </c>
      <c r="D2830" s="58" t="s">
        <v>26049</v>
      </c>
      <c r="E2830" s="58" t="s">
        <v>26050</v>
      </c>
      <c r="I2830" s="58" t="s">
        <v>26051</v>
      </c>
      <c r="Q2830" s="58">
        <v>1.0</v>
      </c>
      <c r="R2830" s="58">
        <v>11.0</v>
      </c>
      <c r="CL2830" s="58" t="s">
        <v>26052</v>
      </c>
      <c r="CP2830" s="58" t="s">
        <v>26053</v>
      </c>
      <c r="CX2830" s="58" t="s">
        <v>26054</v>
      </c>
      <c r="CY2830" s="58" t="s">
        <v>26055</v>
      </c>
      <c r="CZ2830" s="58">
        <v>2022.0</v>
      </c>
      <c r="DA2830" s="58" t="s">
        <v>22889</v>
      </c>
      <c r="DB2830" s="58">
        <v>97.0</v>
      </c>
      <c r="DF2830" s="58">
        <v>7.0</v>
      </c>
      <c r="DG2830" s="58" t="s">
        <v>26056</v>
      </c>
      <c r="DH2830" s="58" t="s">
        <v>22525</v>
      </c>
      <c r="DI2830" s="58" t="s">
        <v>22643</v>
      </c>
      <c r="DJ2830" s="58" t="s">
        <v>237</v>
      </c>
      <c r="DK2830" s="58" t="s">
        <v>26057</v>
      </c>
      <c r="DL2830" s="58" t="s">
        <v>26058</v>
      </c>
    </row>
    <row r="2831" ht="15.75" customHeight="1">
      <c r="B2831" s="58" t="s">
        <v>22515</v>
      </c>
      <c r="D2831" s="58" t="s">
        <v>26059</v>
      </c>
      <c r="E2831" s="58" t="s">
        <v>26060</v>
      </c>
      <c r="I2831" s="58" t="s">
        <v>26061</v>
      </c>
      <c r="R2831" s="58">
        <v>33.0</v>
      </c>
      <c r="CL2831" s="58" t="s">
        <v>26062</v>
      </c>
      <c r="CP2831" s="58" t="s">
        <v>26063</v>
      </c>
      <c r="CX2831" s="58" t="s">
        <v>26064</v>
      </c>
      <c r="CY2831" s="58" t="s">
        <v>26065</v>
      </c>
      <c r="CZ2831" s="58">
        <v>2023.0</v>
      </c>
      <c r="DA2831" s="58" t="s">
        <v>26066</v>
      </c>
      <c r="DB2831" s="58" t="s">
        <v>26067</v>
      </c>
      <c r="DF2831" s="58">
        <v>1.0</v>
      </c>
      <c r="DG2831" s="58" t="s">
        <v>26068</v>
      </c>
      <c r="DH2831" s="58" t="s">
        <v>22525</v>
      </c>
      <c r="DJ2831" s="58" t="s">
        <v>237</v>
      </c>
      <c r="DK2831" s="58" t="s">
        <v>26069</v>
      </c>
    </row>
    <row r="2832" ht="15.75" customHeight="1">
      <c r="B2832" s="58" t="s">
        <v>22515</v>
      </c>
      <c r="D2832" s="58" t="s">
        <v>26070</v>
      </c>
      <c r="E2832" s="58" t="s">
        <v>26071</v>
      </c>
      <c r="I2832" s="58" t="s">
        <v>26072</v>
      </c>
      <c r="Q2832" s="58">
        <v>1.0</v>
      </c>
      <c r="R2832" s="58">
        <v>19.0</v>
      </c>
      <c r="CL2832" s="58" t="s">
        <v>26073</v>
      </c>
      <c r="CP2832" s="58" t="s">
        <v>26074</v>
      </c>
      <c r="CX2832" s="58" t="s">
        <v>26075</v>
      </c>
      <c r="CY2832" s="58" t="s">
        <v>26076</v>
      </c>
      <c r="CZ2832" s="58">
        <v>2023.0</v>
      </c>
      <c r="DA2832" s="58" t="s">
        <v>26077</v>
      </c>
      <c r="DC2832" s="58">
        <v>79.0</v>
      </c>
      <c r="DD2832" s="58">
        <v>112.0</v>
      </c>
      <c r="DE2832" s="58">
        <v>33.0</v>
      </c>
      <c r="DF2832" s="58">
        <v>0.0</v>
      </c>
      <c r="DG2832" s="58" t="s">
        <v>26078</v>
      </c>
      <c r="DH2832" s="58" t="s">
        <v>22525</v>
      </c>
      <c r="DJ2832" s="58" t="s">
        <v>237</v>
      </c>
      <c r="DK2832" s="58" t="s">
        <v>26079</v>
      </c>
      <c r="DL2832" s="58" t="s">
        <v>26080</v>
      </c>
    </row>
    <row r="2833" ht="15.75" customHeight="1">
      <c r="B2833" s="58" t="s">
        <v>22515</v>
      </c>
      <c r="D2833" s="58" t="s">
        <v>26081</v>
      </c>
      <c r="E2833" s="58" t="s">
        <v>26082</v>
      </c>
      <c r="I2833" s="58" t="s">
        <v>26083</v>
      </c>
      <c r="R2833" s="58">
        <v>13.0</v>
      </c>
      <c r="CL2833" s="58" t="s">
        <v>26084</v>
      </c>
      <c r="CP2833" s="58" t="s">
        <v>26085</v>
      </c>
      <c r="CX2833" s="58" t="s">
        <v>26086</v>
      </c>
      <c r="CY2833" s="58">
        <v>5.78145408E10</v>
      </c>
      <c r="CZ2833" s="58">
        <v>2022.0</v>
      </c>
      <c r="DA2833" s="58" t="s">
        <v>26087</v>
      </c>
      <c r="DB2833" s="58">
        <v>936290.0</v>
      </c>
      <c r="DF2833" s="58">
        <v>4.0</v>
      </c>
      <c r="DG2833" s="58" t="s">
        <v>26088</v>
      </c>
      <c r="DH2833" s="58" t="s">
        <v>22525</v>
      </c>
      <c r="DI2833" s="58" t="s">
        <v>22643</v>
      </c>
      <c r="DJ2833" s="58" t="s">
        <v>237</v>
      </c>
      <c r="DK2833" s="58" t="s">
        <v>26089</v>
      </c>
    </row>
    <row r="2834" ht="15.75" customHeight="1">
      <c r="B2834" s="58" t="s">
        <v>22515</v>
      </c>
      <c r="D2834" s="58" t="s">
        <v>26090</v>
      </c>
      <c r="E2834" s="58" t="s">
        <v>26091</v>
      </c>
      <c r="I2834" s="58" t="s">
        <v>26092</v>
      </c>
      <c r="Q2834" s="58">
        <v>12.0</v>
      </c>
      <c r="R2834" s="58">
        <v>12.0</v>
      </c>
      <c r="CL2834" s="58" t="s">
        <v>26093</v>
      </c>
      <c r="CP2834" s="58" t="s">
        <v>26094</v>
      </c>
      <c r="CX2834" s="58" t="s">
        <v>26095</v>
      </c>
      <c r="CY2834" s="58" t="s">
        <v>26096</v>
      </c>
      <c r="CZ2834" s="58">
        <v>2022.0</v>
      </c>
      <c r="DA2834" s="58" t="s">
        <v>23168</v>
      </c>
      <c r="DB2834" s="58">
        <v>5793.0</v>
      </c>
      <c r="DF2834" s="58">
        <v>20.0</v>
      </c>
      <c r="DG2834" s="58" t="s">
        <v>26097</v>
      </c>
      <c r="DH2834" s="58" t="s">
        <v>22525</v>
      </c>
      <c r="DI2834" s="58" t="s">
        <v>22622</v>
      </c>
      <c r="DJ2834" s="58" t="s">
        <v>237</v>
      </c>
      <c r="DK2834" s="58" t="s">
        <v>26098</v>
      </c>
    </row>
    <row r="2835" ht="15.75" customHeight="1">
      <c r="B2835" s="58" t="s">
        <v>22515</v>
      </c>
      <c r="D2835" s="58" t="s">
        <v>26099</v>
      </c>
      <c r="E2835" s="58" t="s">
        <v>26100</v>
      </c>
      <c r="I2835" s="58" t="s">
        <v>26101</v>
      </c>
      <c r="Q2835" s="58">
        <v>4.0</v>
      </c>
      <c r="R2835" s="58">
        <v>33.0</v>
      </c>
      <c r="CL2835" s="58" t="s">
        <v>26102</v>
      </c>
      <c r="CX2835" s="58" t="s">
        <v>26103</v>
      </c>
      <c r="CY2835" s="58" t="s">
        <v>26104</v>
      </c>
      <c r="CZ2835" s="58">
        <v>2022.0</v>
      </c>
      <c r="DA2835" s="58" t="s">
        <v>24552</v>
      </c>
      <c r="DB2835" s="58" t="s">
        <v>26105</v>
      </c>
      <c r="DF2835" s="58">
        <v>16.0</v>
      </c>
      <c r="DG2835" s="58" t="s">
        <v>26106</v>
      </c>
      <c r="DH2835" s="58" t="s">
        <v>22525</v>
      </c>
      <c r="DJ2835" s="58" t="s">
        <v>237</v>
      </c>
      <c r="DK2835" s="58" t="s">
        <v>26107</v>
      </c>
      <c r="DL2835" s="58" t="s">
        <v>26108</v>
      </c>
    </row>
    <row r="2836" ht="15.75" customHeight="1">
      <c r="B2836" s="58" t="s">
        <v>22515</v>
      </c>
      <c r="D2836" s="58" t="s">
        <v>26109</v>
      </c>
      <c r="E2836" s="58" t="s">
        <v>26110</v>
      </c>
      <c r="I2836" s="58" t="s">
        <v>26111</v>
      </c>
      <c r="R2836" s="58">
        <v>19.0</v>
      </c>
      <c r="CL2836" s="58" t="s">
        <v>26112</v>
      </c>
      <c r="CP2836" s="58" t="s">
        <v>26113</v>
      </c>
      <c r="CX2836" s="58" t="s">
        <v>26114</v>
      </c>
      <c r="CY2836" s="58" t="s">
        <v>26115</v>
      </c>
      <c r="CZ2836" s="58">
        <v>2022.0</v>
      </c>
      <c r="DA2836" s="58" t="s">
        <v>26116</v>
      </c>
      <c r="DC2836" s="58">
        <v>166.0</v>
      </c>
      <c r="DD2836" s="58">
        <v>179.0</v>
      </c>
      <c r="DE2836" s="58">
        <v>13.0</v>
      </c>
      <c r="DF2836" s="58">
        <v>17.0</v>
      </c>
      <c r="DG2836" s="58" t="s">
        <v>26117</v>
      </c>
      <c r="DH2836" s="58" t="s">
        <v>22525</v>
      </c>
      <c r="DI2836" s="58" t="s">
        <v>22622</v>
      </c>
      <c r="DJ2836" s="58" t="s">
        <v>237</v>
      </c>
      <c r="DK2836" s="58" t="s">
        <v>26118</v>
      </c>
      <c r="DL2836" s="58" t="s">
        <v>26119</v>
      </c>
    </row>
    <row r="2837" ht="15.75" customHeight="1">
      <c r="B2837" s="58" t="s">
        <v>22515</v>
      </c>
      <c r="D2837" s="58" t="s">
        <v>26120</v>
      </c>
      <c r="E2837" s="58" t="s">
        <v>26121</v>
      </c>
      <c r="I2837" s="58" t="s">
        <v>26122</v>
      </c>
      <c r="Q2837" s="58">
        <v>6.0</v>
      </c>
      <c r="R2837" s="58">
        <v>27.0</v>
      </c>
      <c r="CL2837" s="58" t="s">
        <v>26123</v>
      </c>
      <c r="CP2837" s="58" t="s">
        <v>26124</v>
      </c>
      <c r="CX2837" s="58" t="s">
        <v>26125</v>
      </c>
      <c r="CY2837" s="58" t="s">
        <v>26126</v>
      </c>
      <c r="CZ2837" s="58">
        <v>2022.0</v>
      </c>
      <c r="DA2837" s="58" t="s">
        <v>26007</v>
      </c>
      <c r="DB2837" s="58">
        <v>143.0</v>
      </c>
      <c r="DF2837" s="58">
        <v>22.0</v>
      </c>
      <c r="DG2837" s="58" t="s">
        <v>26127</v>
      </c>
      <c r="DH2837" s="58" t="s">
        <v>22525</v>
      </c>
      <c r="DI2837" s="58" t="s">
        <v>23606</v>
      </c>
      <c r="DJ2837" s="58" t="s">
        <v>237</v>
      </c>
      <c r="DK2837" s="58" t="s">
        <v>26128</v>
      </c>
      <c r="DL2837" s="58" t="s">
        <v>26129</v>
      </c>
    </row>
    <row r="2838" ht="15.75" customHeight="1">
      <c r="B2838" s="58" t="s">
        <v>22515</v>
      </c>
      <c r="D2838" s="58" t="s">
        <v>26130</v>
      </c>
      <c r="E2838" s="58" t="s">
        <v>26131</v>
      </c>
      <c r="I2838" s="58" t="s">
        <v>26132</v>
      </c>
      <c r="Q2838" s="58">
        <v>15.0</v>
      </c>
      <c r="R2838" s="58">
        <v>22.0</v>
      </c>
      <c r="CL2838" s="58" t="s">
        <v>26133</v>
      </c>
      <c r="CP2838" s="58" t="s">
        <v>26134</v>
      </c>
      <c r="CX2838" s="58" t="s">
        <v>26135</v>
      </c>
      <c r="CY2838" s="58" t="s">
        <v>26136</v>
      </c>
      <c r="CZ2838" s="58">
        <v>2022.0</v>
      </c>
      <c r="DA2838" s="58" t="s">
        <v>22802</v>
      </c>
      <c r="DB2838" s="58">
        <v>5816.0</v>
      </c>
      <c r="DF2838" s="58">
        <v>2.0</v>
      </c>
      <c r="DG2838" s="58" t="s">
        <v>26137</v>
      </c>
      <c r="DH2838" s="58" t="s">
        <v>22525</v>
      </c>
      <c r="DI2838" s="58" t="s">
        <v>22643</v>
      </c>
      <c r="DJ2838" s="58" t="s">
        <v>237</v>
      </c>
      <c r="DK2838" s="58" t="s">
        <v>26138</v>
      </c>
      <c r="DL2838" s="58" t="s">
        <v>26139</v>
      </c>
    </row>
    <row r="2839" ht="15.75" customHeight="1">
      <c r="B2839" s="58" t="s">
        <v>22515</v>
      </c>
      <c r="D2839" s="58" t="s">
        <v>26140</v>
      </c>
      <c r="E2839" s="58" t="s">
        <v>26141</v>
      </c>
      <c r="I2839" s="58" t="s">
        <v>26142</v>
      </c>
      <c r="Q2839" s="58">
        <v>2.0</v>
      </c>
      <c r="R2839" s="58">
        <v>27.0</v>
      </c>
      <c r="CL2839" s="58" t="s">
        <v>26143</v>
      </c>
      <c r="CP2839" s="58" t="s">
        <v>26144</v>
      </c>
      <c r="CX2839" s="58" t="s">
        <v>26145</v>
      </c>
      <c r="CY2839" s="58" t="s">
        <v>26146</v>
      </c>
      <c r="CZ2839" s="58">
        <v>2023.0</v>
      </c>
      <c r="DA2839" s="58" t="s">
        <v>26147</v>
      </c>
      <c r="DC2839" s="58">
        <v>1015.0</v>
      </c>
      <c r="DD2839" s="58">
        <v>1031.0</v>
      </c>
      <c r="DE2839" s="58">
        <v>16.0</v>
      </c>
      <c r="DF2839" s="58">
        <v>5.0</v>
      </c>
      <c r="DG2839" s="58" t="s">
        <v>26148</v>
      </c>
      <c r="DH2839" s="58" t="s">
        <v>22525</v>
      </c>
      <c r="DJ2839" s="58" t="s">
        <v>237</v>
      </c>
      <c r="DK2839" s="58" t="s">
        <v>26149</v>
      </c>
      <c r="DL2839" s="58" t="s">
        <v>26150</v>
      </c>
    </row>
    <row r="2840" ht="15.75" customHeight="1">
      <c r="B2840" s="58" t="s">
        <v>22515</v>
      </c>
      <c r="D2840" s="58" t="s">
        <v>26151</v>
      </c>
      <c r="E2840" s="58" t="s">
        <v>26152</v>
      </c>
      <c r="I2840" s="58" t="s">
        <v>26153</v>
      </c>
      <c r="Q2840" s="58">
        <v>4.0</v>
      </c>
      <c r="R2840" s="58">
        <v>10.0</v>
      </c>
      <c r="CL2840" s="58" t="s">
        <v>26154</v>
      </c>
      <c r="CP2840" s="58" t="s">
        <v>26155</v>
      </c>
      <c r="CX2840" s="58" t="s">
        <v>26156</v>
      </c>
      <c r="CY2840" s="58" t="s">
        <v>26157</v>
      </c>
      <c r="CZ2840" s="58">
        <v>2022.0</v>
      </c>
      <c r="DA2840" s="58" t="s">
        <v>22900</v>
      </c>
      <c r="DB2840" s="58">
        <v>671.0</v>
      </c>
      <c r="DF2840" s="58">
        <v>10.0</v>
      </c>
      <c r="DG2840" s="58" t="s">
        <v>26158</v>
      </c>
      <c r="DH2840" s="58" t="s">
        <v>22525</v>
      </c>
      <c r="DI2840" s="58" t="s">
        <v>22622</v>
      </c>
      <c r="DJ2840" s="58" t="s">
        <v>237</v>
      </c>
      <c r="DK2840" s="58" t="s">
        <v>26159</v>
      </c>
    </row>
    <row r="2841" ht="15.75" customHeight="1">
      <c r="B2841" s="58" t="s">
        <v>22515</v>
      </c>
      <c r="D2841" s="58" t="s">
        <v>26160</v>
      </c>
      <c r="E2841" s="58" t="s">
        <v>26161</v>
      </c>
      <c r="I2841" s="58" t="s">
        <v>26162</v>
      </c>
      <c r="R2841" s="58">
        <v>11.0</v>
      </c>
      <c r="CL2841" s="58" t="s">
        <v>26163</v>
      </c>
      <c r="CP2841" s="58" t="s">
        <v>26164</v>
      </c>
      <c r="CX2841" s="58" t="s">
        <v>26165</v>
      </c>
      <c r="CY2841" s="58" t="s">
        <v>26166</v>
      </c>
      <c r="CZ2841" s="58">
        <v>2023.0</v>
      </c>
      <c r="DA2841" s="58" t="s">
        <v>16436</v>
      </c>
      <c r="DC2841" s="58">
        <v>31244.0</v>
      </c>
      <c r="DD2841" s="58">
        <v>31261.0</v>
      </c>
      <c r="DE2841" s="58">
        <v>17.0</v>
      </c>
      <c r="DF2841" s="58">
        <v>6.0</v>
      </c>
      <c r="DG2841" s="58" t="s">
        <v>26167</v>
      </c>
      <c r="DH2841" s="58" t="s">
        <v>22525</v>
      </c>
      <c r="DI2841" s="58" t="s">
        <v>22622</v>
      </c>
      <c r="DJ2841" s="58" t="s">
        <v>237</v>
      </c>
      <c r="DK2841" s="58" t="s">
        <v>26168</v>
      </c>
      <c r="DL2841" s="58" t="s">
        <v>26169</v>
      </c>
    </row>
    <row r="2842" ht="15.75" customHeight="1">
      <c r="B2842" s="58" t="s">
        <v>22515</v>
      </c>
      <c r="D2842" s="58" t="s">
        <v>26170</v>
      </c>
      <c r="E2842" s="58" t="s">
        <v>26171</v>
      </c>
      <c r="I2842" s="58" t="s">
        <v>26172</v>
      </c>
      <c r="Q2842" s="58">
        <v>13.0</v>
      </c>
      <c r="R2842" s="58">
        <v>14.0</v>
      </c>
      <c r="CL2842" s="58" t="s">
        <v>26173</v>
      </c>
      <c r="CP2842" s="58" t="s">
        <v>26174</v>
      </c>
      <c r="CX2842" s="58" t="s">
        <v>26175</v>
      </c>
      <c r="CY2842" s="58" t="s">
        <v>26176</v>
      </c>
      <c r="CZ2842" s="58">
        <v>2022.0</v>
      </c>
      <c r="DA2842" s="58" t="s">
        <v>25285</v>
      </c>
      <c r="DB2842" s="58">
        <v>7961.0</v>
      </c>
      <c r="DF2842" s="58">
        <v>25.0</v>
      </c>
      <c r="DG2842" s="58" t="s">
        <v>26177</v>
      </c>
      <c r="DH2842" s="58" t="s">
        <v>22525</v>
      </c>
      <c r="DI2842" s="58" t="s">
        <v>22622</v>
      </c>
      <c r="DJ2842" s="58" t="s">
        <v>237</v>
      </c>
      <c r="DK2842" s="58" t="s">
        <v>26178</v>
      </c>
      <c r="DL2842" s="58" t="s">
        <v>26179</v>
      </c>
    </row>
    <row r="2843" ht="15.75" customHeight="1">
      <c r="B2843" s="58" t="s">
        <v>22515</v>
      </c>
      <c r="D2843" s="58" t="s">
        <v>26180</v>
      </c>
      <c r="E2843" s="58" t="s">
        <v>26181</v>
      </c>
      <c r="I2843" s="58" t="s">
        <v>26182</v>
      </c>
      <c r="Q2843" s="58">
        <v>4.0</v>
      </c>
      <c r="R2843" s="58">
        <v>21.0</v>
      </c>
      <c r="CL2843" s="58" t="s">
        <v>26183</v>
      </c>
      <c r="CP2843" s="58" t="s">
        <v>26184</v>
      </c>
      <c r="CX2843" s="58" t="s">
        <v>26185</v>
      </c>
      <c r="CY2843" s="58" t="s">
        <v>26186</v>
      </c>
      <c r="CZ2843" s="58">
        <v>2022.0</v>
      </c>
      <c r="DA2843" s="58" t="s">
        <v>24155</v>
      </c>
      <c r="DC2843" s="58">
        <v>1551.0</v>
      </c>
      <c r="DD2843" s="58">
        <v>1581.0</v>
      </c>
      <c r="DE2843" s="58">
        <v>30.0</v>
      </c>
      <c r="DF2843" s="58">
        <v>2.0</v>
      </c>
      <c r="DG2843" s="58" t="s">
        <v>26187</v>
      </c>
      <c r="DH2843" s="58" t="s">
        <v>22525</v>
      </c>
      <c r="DJ2843" s="58" t="s">
        <v>237</v>
      </c>
      <c r="DK2843" s="58" t="s">
        <v>26188</v>
      </c>
      <c r="DL2843" s="58" t="s">
        <v>26189</v>
      </c>
    </row>
    <row r="2844" ht="15.75" customHeight="1">
      <c r="B2844" s="58" t="s">
        <v>22771</v>
      </c>
      <c r="D2844" s="58" t="s">
        <v>26190</v>
      </c>
      <c r="E2844" s="58" t="s">
        <v>26191</v>
      </c>
      <c r="I2844" s="58" t="s">
        <v>26192</v>
      </c>
      <c r="R2844" s="58">
        <v>552.0</v>
      </c>
      <c r="CL2844" s="58" t="s">
        <v>26193</v>
      </c>
      <c r="CP2844" s="58" t="s">
        <v>26194</v>
      </c>
      <c r="CX2844" s="58" t="s">
        <v>26195</v>
      </c>
      <c r="CY2844" s="58" t="s">
        <v>26196</v>
      </c>
      <c r="CZ2844" s="58">
        <v>2023.0</v>
      </c>
      <c r="DA2844" s="58" t="s">
        <v>23905</v>
      </c>
      <c r="DC2844" s="58">
        <v>587.0</v>
      </c>
      <c r="DD2844" s="58">
        <v>598.0</v>
      </c>
      <c r="DE2844" s="58">
        <v>11.0</v>
      </c>
      <c r="DF2844" s="58">
        <v>0.0</v>
      </c>
      <c r="DG2844" s="58" t="s">
        <v>26197</v>
      </c>
      <c r="DH2844" s="58" t="s">
        <v>22525</v>
      </c>
      <c r="DJ2844" s="58" t="s">
        <v>237</v>
      </c>
      <c r="DK2844" s="58" t="s">
        <v>26198</v>
      </c>
      <c r="DL2844" s="58" t="s">
        <v>26199</v>
      </c>
    </row>
    <row r="2845" ht="15.75" customHeight="1">
      <c r="B2845" s="58" t="s">
        <v>22515</v>
      </c>
      <c r="D2845" s="58" t="s">
        <v>26200</v>
      </c>
      <c r="E2845" s="58" t="s">
        <v>26201</v>
      </c>
      <c r="I2845" s="58" t="s">
        <v>26202</v>
      </c>
      <c r="R2845" s="58">
        <v>507.0</v>
      </c>
      <c r="CL2845" s="58" t="s">
        <v>26203</v>
      </c>
      <c r="CP2845" s="58" t="s">
        <v>26204</v>
      </c>
      <c r="CX2845" s="58" t="s">
        <v>26205</v>
      </c>
      <c r="CY2845" s="58" t="s">
        <v>26206</v>
      </c>
      <c r="CZ2845" s="58">
        <v>2022.0</v>
      </c>
      <c r="DA2845" s="58" t="s">
        <v>23593</v>
      </c>
      <c r="DC2845" s="58">
        <v>265.0</v>
      </c>
      <c r="DD2845" s="58">
        <v>281.0</v>
      </c>
      <c r="DE2845" s="58">
        <v>16.0</v>
      </c>
      <c r="DF2845" s="58">
        <v>4.0</v>
      </c>
      <c r="DG2845" s="58" t="s">
        <v>26207</v>
      </c>
      <c r="DH2845" s="58" t="s">
        <v>22525</v>
      </c>
      <c r="DJ2845" s="58" t="s">
        <v>237</v>
      </c>
      <c r="DK2845" s="58" t="s">
        <v>26208</v>
      </c>
      <c r="DL2845" s="58" t="s">
        <v>26209</v>
      </c>
    </row>
    <row r="2846" ht="15.75" customHeight="1">
      <c r="B2846" s="58" t="s">
        <v>22515</v>
      </c>
      <c r="D2846" s="58" t="s">
        <v>26210</v>
      </c>
      <c r="E2846" s="58" t="s">
        <v>26211</v>
      </c>
      <c r="I2846" s="58" t="s">
        <v>26212</v>
      </c>
      <c r="R2846" s="58">
        <v>191.0</v>
      </c>
      <c r="CL2846" s="58" t="s">
        <v>26213</v>
      </c>
      <c r="CP2846" s="58" t="s">
        <v>26214</v>
      </c>
      <c r="CX2846" s="58" t="s">
        <v>26215</v>
      </c>
      <c r="CY2846" s="58" t="s">
        <v>26216</v>
      </c>
      <c r="CZ2846" s="58">
        <v>2022.0</v>
      </c>
      <c r="DA2846" s="58" t="s">
        <v>23053</v>
      </c>
      <c r="DC2846" s="58">
        <v>78.0</v>
      </c>
      <c r="DD2846" s="58">
        <v>91.0</v>
      </c>
      <c r="DE2846" s="58">
        <v>13.0</v>
      </c>
      <c r="DF2846" s="58">
        <v>6.0</v>
      </c>
      <c r="DG2846" s="58" t="s">
        <v>26217</v>
      </c>
      <c r="DH2846" s="58" t="s">
        <v>22525</v>
      </c>
      <c r="DI2846" s="58" t="s">
        <v>22816</v>
      </c>
      <c r="DJ2846" s="58" t="s">
        <v>237</v>
      </c>
      <c r="DK2846" s="58" t="s">
        <v>26218</v>
      </c>
      <c r="DL2846" s="58" t="s">
        <v>26219</v>
      </c>
    </row>
    <row r="2847" ht="15.75" customHeight="1">
      <c r="B2847" s="58" t="s">
        <v>22515</v>
      </c>
      <c r="D2847" s="58" t="s">
        <v>26220</v>
      </c>
      <c r="E2847" s="58" t="s">
        <v>26221</v>
      </c>
      <c r="I2847" s="58" t="s">
        <v>26222</v>
      </c>
      <c r="Q2847" s="58">
        <v>11.0</v>
      </c>
      <c r="R2847" s="58">
        <v>78.0</v>
      </c>
      <c r="CL2847" s="58" t="s">
        <v>26223</v>
      </c>
      <c r="CP2847" s="58" t="s">
        <v>26224</v>
      </c>
      <c r="CX2847" s="58" t="s">
        <v>26225</v>
      </c>
      <c r="CY2847" s="58" t="s">
        <v>26226</v>
      </c>
      <c r="CZ2847" s="58">
        <v>2022.0</v>
      </c>
      <c r="DA2847" s="58" t="s">
        <v>22535</v>
      </c>
      <c r="DC2847" s="58">
        <v>13145.0</v>
      </c>
      <c r="DD2847" s="58">
        <v>13204.0</v>
      </c>
      <c r="DE2847" s="58">
        <v>59.0</v>
      </c>
      <c r="DF2847" s="58">
        <v>22.0</v>
      </c>
      <c r="DG2847" s="58" t="s">
        <v>26227</v>
      </c>
      <c r="DH2847" s="58" t="s">
        <v>22525</v>
      </c>
      <c r="DJ2847" s="58" t="s">
        <v>237</v>
      </c>
      <c r="DK2847" s="58" t="s">
        <v>26228</v>
      </c>
      <c r="DL2847" s="58" t="s">
        <v>26229</v>
      </c>
    </row>
    <row r="2848" ht="15.75" customHeight="1">
      <c r="B2848" s="58" t="s">
        <v>22515</v>
      </c>
      <c r="D2848" s="58" t="s">
        <v>26230</v>
      </c>
      <c r="E2848" s="58" t="s">
        <v>26231</v>
      </c>
      <c r="I2848" s="58" t="s">
        <v>26232</v>
      </c>
      <c r="R2848" s="58">
        <v>140.0</v>
      </c>
      <c r="CL2848" s="58" t="s">
        <v>26233</v>
      </c>
      <c r="CP2848" s="58" t="s">
        <v>26234</v>
      </c>
      <c r="CX2848" s="58" t="s">
        <v>26235</v>
      </c>
      <c r="CY2848" s="58" t="s">
        <v>26236</v>
      </c>
      <c r="CZ2848" s="58">
        <v>2022.0</v>
      </c>
      <c r="DA2848" s="58" t="s">
        <v>26237</v>
      </c>
      <c r="DC2848" s="58">
        <v>245.0</v>
      </c>
      <c r="DD2848" s="58">
        <v>263.0</v>
      </c>
      <c r="DE2848" s="58">
        <v>18.0</v>
      </c>
      <c r="DF2848" s="58">
        <v>13.0</v>
      </c>
      <c r="DG2848" s="58" t="s">
        <v>26238</v>
      </c>
      <c r="DH2848" s="58" t="s">
        <v>22525</v>
      </c>
      <c r="DJ2848" s="58" t="s">
        <v>237</v>
      </c>
      <c r="DK2848" s="58" t="s">
        <v>26239</v>
      </c>
    </row>
    <row r="2849" ht="15.75" customHeight="1">
      <c r="B2849" s="58" t="s">
        <v>22515</v>
      </c>
      <c r="D2849" s="58" t="s">
        <v>26240</v>
      </c>
      <c r="E2849" s="58" t="s">
        <v>26241</v>
      </c>
      <c r="I2849" s="58" t="s">
        <v>26242</v>
      </c>
      <c r="R2849" s="58">
        <v>139.0</v>
      </c>
      <c r="CL2849" s="58" t="s">
        <v>26243</v>
      </c>
      <c r="CP2849" s="58" t="s">
        <v>26244</v>
      </c>
      <c r="CX2849" s="58" t="s">
        <v>26245</v>
      </c>
      <c r="CY2849" s="58" t="s">
        <v>26246</v>
      </c>
      <c r="CZ2849" s="58">
        <v>2022.0</v>
      </c>
      <c r="DA2849" s="58" t="s">
        <v>26247</v>
      </c>
      <c r="DB2849" s="58">
        <v>101971.0</v>
      </c>
      <c r="DF2849" s="58">
        <v>12.0</v>
      </c>
      <c r="DG2849" s="58" t="s">
        <v>26248</v>
      </c>
      <c r="DH2849" s="58" t="s">
        <v>22525</v>
      </c>
      <c r="DJ2849" s="58" t="s">
        <v>237</v>
      </c>
      <c r="DK2849" s="58" t="s">
        <v>26249</v>
      </c>
      <c r="DL2849" s="58" t="s">
        <v>26250</v>
      </c>
    </row>
    <row r="2850" ht="15.75" customHeight="1">
      <c r="B2850" s="58" t="s">
        <v>22515</v>
      </c>
      <c r="D2850" s="58" t="s">
        <v>26251</v>
      </c>
      <c r="E2850" s="58" t="s">
        <v>26252</v>
      </c>
      <c r="I2850" s="58" t="s">
        <v>26253</v>
      </c>
      <c r="Q2850" s="58">
        <v>12.0</v>
      </c>
      <c r="R2850" s="58">
        <v>9.0</v>
      </c>
      <c r="CL2850" s="58" t="s">
        <v>26254</v>
      </c>
      <c r="CP2850" s="58" t="s">
        <v>26255</v>
      </c>
      <c r="CX2850" s="58" t="s">
        <v>26256</v>
      </c>
      <c r="CY2850" s="58" t="s">
        <v>26257</v>
      </c>
      <c r="CZ2850" s="58">
        <v>2022.0</v>
      </c>
      <c r="DA2850" s="58" t="s">
        <v>16538</v>
      </c>
      <c r="DC2850" s="58">
        <v>9214.0</v>
      </c>
      <c r="DD2850" s="58">
        <v>9231.0</v>
      </c>
      <c r="DE2850" s="58">
        <v>17.0</v>
      </c>
      <c r="DF2850" s="58">
        <v>151.0</v>
      </c>
      <c r="DG2850" s="58" t="s">
        <v>26258</v>
      </c>
      <c r="DH2850" s="58" t="s">
        <v>22525</v>
      </c>
      <c r="DJ2850" s="58" t="s">
        <v>237</v>
      </c>
      <c r="DK2850" s="58" t="s">
        <v>26259</v>
      </c>
      <c r="DL2850" s="58" t="s">
        <v>26260</v>
      </c>
    </row>
    <row r="2851" ht="15.75" customHeight="1">
      <c r="B2851" s="58" t="s">
        <v>22771</v>
      </c>
      <c r="D2851" s="58" t="s">
        <v>26261</v>
      </c>
      <c r="E2851" s="58" t="s">
        <v>26262</v>
      </c>
      <c r="I2851" s="58" t="s">
        <v>26263</v>
      </c>
      <c r="R2851" s="58" t="s">
        <v>26264</v>
      </c>
      <c r="CL2851" s="58" t="s">
        <v>26265</v>
      </c>
      <c r="CP2851" s="58" t="s">
        <v>26266</v>
      </c>
      <c r="CX2851" s="58" t="s">
        <v>26267</v>
      </c>
      <c r="CY2851" s="58" t="s">
        <v>26268</v>
      </c>
      <c r="CZ2851" s="58">
        <v>2023.0</v>
      </c>
      <c r="DA2851" s="58" t="s">
        <v>26269</v>
      </c>
      <c r="DF2851" s="58">
        <v>3.0</v>
      </c>
      <c r="DG2851" s="58" t="s">
        <v>26270</v>
      </c>
      <c r="DH2851" s="58" t="s">
        <v>22525</v>
      </c>
      <c r="DJ2851" s="58" t="s">
        <v>237</v>
      </c>
      <c r="DK2851" s="58" t="s">
        <v>26271</v>
      </c>
      <c r="DL2851" s="58" t="s">
        <v>26272</v>
      </c>
    </row>
    <row r="2852" ht="15.75" customHeight="1">
      <c r="B2852" s="58" t="s">
        <v>22515</v>
      </c>
      <c r="D2852" s="58" t="s">
        <v>26273</v>
      </c>
      <c r="E2852" s="58" t="s">
        <v>26274</v>
      </c>
      <c r="I2852" s="58" t="s">
        <v>26275</v>
      </c>
      <c r="R2852" s="58">
        <v>36.0</v>
      </c>
      <c r="CL2852" s="58" t="s">
        <v>26276</v>
      </c>
      <c r="CP2852" s="58" t="s">
        <v>26277</v>
      </c>
      <c r="CX2852" s="58" t="s">
        <v>26278</v>
      </c>
      <c r="CY2852" s="58" t="s">
        <v>26279</v>
      </c>
      <c r="CZ2852" s="58">
        <v>2022.0</v>
      </c>
      <c r="DA2852" s="58" t="s">
        <v>22868</v>
      </c>
      <c r="DB2852" s="58">
        <v>100812.0</v>
      </c>
      <c r="DF2852" s="58">
        <v>11.0</v>
      </c>
      <c r="DG2852" s="58" t="s">
        <v>26280</v>
      </c>
      <c r="DH2852" s="58" t="s">
        <v>22525</v>
      </c>
      <c r="DJ2852" s="58" t="s">
        <v>237</v>
      </c>
      <c r="DK2852" s="58" t="s">
        <v>26281</v>
      </c>
      <c r="DL2852" s="58" t="s">
        <v>26282</v>
      </c>
    </row>
    <row r="2853" ht="15.75" customHeight="1">
      <c r="B2853" s="58" t="s">
        <v>22771</v>
      </c>
      <c r="D2853" s="58" t="s">
        <v>26283</v>
      </c>
      <c r="E2853" s="58" t="s">
        <v>26284</v>
      </c>
      <c r="I2853" s="58" t="s">
        <v>26285</v>
      </c>
      <c r="CL2853" s="58" t="s">
        <v>26286</v>
      </c>
      <c r="CP2853" s="58" t="s">
        <v>26287</v>
      </c>
      <c r="CX2853" s="58" t="s">
        <v>26288</v>
      </c>
      <c r="CY2853" s="58" t="s">
        <v>26289</v>
      </c>
      <c r="CZ2853" s="58">
        <v>2022.0</v>
      </c>
      <c r="DA2853" s="58" t="s">
        <v>26290</v>
      </c>
      <c r="DC2853" s="58">
        <v>16.0</v>
      </c>
      <c r="DD2853" s="58">
        <v>32.0</v>
      </c>
      <c r="DE2853" s="58">
        <v>16.0</v>
      </c>
      <c r="DF2853" s="58">
        <v>1.0</v>
      </c>
      <c r="DG2853" s="58" t="s">
        <v>26291</v>
      </c>
      <c r="DH2853" s="58" t="s">
        <v>22525</v>
      </c>
      <c r="DJ2853" s="58" t="s">
        <v>237</v>
      </c>
      <c r="DK2853" s="58" t="s">
        <v>26292</v>
      </c>
      <c r="DL2853" s="58" t="s">
        <v>26293</v>
      </c>
    </row>
    <row r="2854" ht="15.75" customHeight="1">
      <c r="B2854" s="58" t="s">
        <v>22515</v>
      </c>
      <c r="D2854" s="58" t="s">
        <v>26294</v>
      </c>
      <c r="E2854" s="58" t="s">
        <v>26295</v>
      </c>
      <c r="I2854" s="58" t="s">
        <v>26296</v>
      </c>
      <c r="Q2854" s="58">
        <v>8.0</v>
      </c>
      <c r="R2854" s="58">
        <v>9.0</v>
      </c>
      <c r="CL2854" s="58" t="s">
        <v>26297</v>
      </c>
      <c r="CP2854" s="58" t="s">
        <v>26298</v>
      </c>
      <c r="CX2854" s="58" t="s">
        <v>26299</v>
      </c>
      <c r="CY2854" s="58" t="s">
        <v>26300</v>
      </c>
      <c r="CZ2854" s="58">
        <v>2022.0</v>
      </c>
      <c r="DA2854" s="58" t="s">
        <v>26301</v>
      </c>
      <c r="DB2854" s="58">
        <v>451.0</v>
      </c>
      <c r="DF2854" s="58">
        <v>3.0</v>
      </c>
      <c r="DG2854" s="58" t="s">
        <v>26302</v>
      </c>
      <c r="DH2854" s="58" t="s">
        <v>22525</v>
      </c>
      <c r="DI2854" s="58" t="s">
        <v>22622</v>
      </c>
      <c r="DJ2854" s="58" t="s">
        <v>237</v>
      </c>
      <c r="DK2854" s="58" t="s">
        <v>26303</v>
      </c>
    </row>
    <row r="2855" ht="15.75" customHeight="1">
      <c r="B2855" s="58" t="s">
        <v>22515</v>
      </c>
      <c r="D2855" s="58" t="s">
        <v>26304</v>
      </c>
      <c r="E2855" s="58" t="s">
        <v>26305</v>
      </c>
      <c r="I2855" s="58" t="s">
        <v>26306</v>
      </c>
      <c r="Q2855" s="58">
        <v>12.0</v>
      </c>
      <c r="R2855" s="58">
        <v>78.0</v>
      </c>
      <c r="CL2855" s="58" t="s">
        <v>26307</v>
      </c>
      <c r="CP2855" s="58" t="s">
        <v>26308</v>
      </c>
      <c r="CX2855" s="58" t="s">
        <v>26309</v>
      </c>
      <c r="CY2855" s="58" t="s">
        <v>26310</v>
      </c>
      <c r="CZ2855" s="58">
        <v>2022.0</v>
      </c>
      <c r="DA2855" s="58" t="s">
        <v>22535</v>
      </c>
      <c r="DC2855" s="58">
        <v>14448.0</v>
      </c>
      <c r="DD2855" s="58">
        <v>14470.0</v>
      </c>
      <c r="DE2855" s="58">
        <v>22.0</v>
      </c>
      <c r="DF2855" s="58">
        <v>10.0</v>
      </c>
      <c r="DG2855" s="58" t="s">
        <v>26311</v>
      </c>
      <c r="DH2855" s="58" t="s">
        <v>22525</v>
      </c>
      <c r="DJ2855" s="58" t="s">
        <v>237</v>
      </c>
      <c r="DK2855" s="58" t="s">
        <v>26312</v>
      </c>
      <c r="DL2855" s="58" t="s">
        <v>26313</v>
      </c>
    </row>
    <row r="2856" ht="15.75" customHeight="1">
      <c r="B2856" s="58" t="s">
        <v>22515</v>
      </c>
      <c r="D2856" s="58" t="s">
        <v>26314</v>
      </c>
      <c r="E2856" s="58" t="s">
        <v>26315</v>
      </c>
      <c r="I2856" s="58" t="s">
        <v>26316</v>
      </c>
      <c r="Q2856" s="58">
        <v>18.0</v>
      </c>
      <c r="R2856" s="58">
        <v>9.0</v>
      </c>
      <c r="CL2856" s="58" t="s">
        <v>26317</v>
      </c>
      <c r="CP2856" s="58" t="s">
        <v>26318</v>
      </c>
      <c r="CX2856" s="58" t="s">
        <v>26319</v>
      </c>
      <c r="CY2856" s="58" t="s">
        <v>26320</v>
      </c>
      <c r="CZ2856" s="58">
        <v>2022.0</v>
      </c>
      <c r="DA2856" s="58" t="s">
        <v>16538</v>
      </c>
      <c r="DC2856" s="58">
        <v>17513.0</v>
      </c>
      <c r="DD2856" s="58">
        <v>17525.0</v>
      </c>
      <c r="DE2856" s="58">
        <v>12.0</v>
      </c>
      <c r="DF2856" s="58">
        <v>11.0</v>
      </c>
      <c r="DG2856" s="58" t="s">
        <v>26321</v>
      </c>
      <c r="DH2856" s="58" t="s">
        <v>22525</v>
      </c>
      <c r="DJ2856" s="58" t="s">
        <v>237</v>
      </c>
      <c r="DK2856" s="58" t="s">
        <v>26322</v>
      </c>
      <c r="DL2856" s="58" t="s">
        <v>26323</v>
      </c>
    </row>
    <row r="2857" ht="15.75" customHeight="1">
      <c r="B2857" s="58" t="s">
        <v>22515</v>
      </c>
      <c r="D2857" s="58" t="s">
        <v>26324</v>
      </c>
      <c r="E2857" s="58" t="s">
        <v>26325</v>
      </c>
      <c r="I2857" s="58" t="s">
        <v>26326</v>
      </c>
      <c r="Q2857" s="58">
        <v>22.0</v>
      </c>
      <c r="R2857" s="58">
        <v>12.0</v>
      </c>
      <c r="CL2857" s="58" t="s">
        <v>26327</v>
      </c>
      <c r="CP2857" s="58" t="s">
        <v>26328</v>
      </c>
      <c r="CX2857" s="58" t="s">
        <v>26329</v>
      </c>
      <c r="CY2857" s="58" t="s">
        <v>26330</v>
      </c>
      <c r="CZ2857" s="58">
        <v>2022.0</v>
      </c>
      <c r="DA2857" s="58" t="s">
        <v>23168</v>
      </c>
      <c r="DB2857" s="58">
        <v>11650.0</v>
      </c>
      <c r="DF2857" s="58">
        <v>10.0</v>
      </c>
      <c r="DG2857" s="58" t="s">
        <v>26331</v>
      </c>
      <c r="DH2857" s="58" t="s">
        <v>22525</v>
      </c>
      <c r="DI2857" s="58" t="s">
        <v>22622</v>
      </c>
      <c r="DJ2857" s="58" t="s">
        <v>237</v>
      </c>
      <c r="DK2857" s="58" t="s">
        <v>26332</v>
      </c>
    </row>
    <row r="2858" ht="15.75" customHeight="1">
      <c r="B2858" s="58" t="s">
        <v>22515</v>
      </c>
      <c r="D2858" s="58" t="s">
        <v>26333</v>
      </c>
      <c r="E2858" s="58" t="s">
        <v>26334</v>
      </c>
      <c r="I2858" s="58" t="s">
        <v>26335</v>
      </c>
      <c r="R2858" s="58">
        <v>190.0</v>
      </c>
      <c r="CL2858" s="58" t="s">
        <v>26336</v>
      </c>
      <c r="CP2858" s="58" t="s">
        <v>26337</v>
      </c>
      <c r="CX2858" s="58" t="s">
        <v>26338</v>
      </c>
      <c r="CY2858" s="58" t="s">
        <v>26339</v>
      </c>
      <c r="CZ2858" s="58">
        <v>2022.0</v>
      </c>
      <c r="DA2858" s="58" t="s">
        <v>22826</v>
      </c>
      <c r="DB2858" s="58">
        <v>111351.0</v>
      </c>
      <c r="DF2858" s="58">
        <v>134.0</v>
      </c>
      <c r="DG2858" s="58" t="s">
        <v>26340</v>
      </c>
      <c r="DH2858" s="58" t="s">
        <v>22525</v>
      </c>
      <c r="DI2858" s="58" t="s">
        <v>22816</v>
      </c>
      <c r="DJ2858" s="58" t="s">
        <v>237</v>
      </c>
      <c r="DK2858" s="58" t="s">
        <v>26341</v>
      </c>
      <c r="DL2858" s="58" t="s">
        <v>26342</v>
      </c>
    </row>
    <row r="2859" ht="15.75" customHeight="1">
      <c r="B2859" s="58" t="s">
        <v>22515</v>
      </c>
      <c r="D2859" s="58" t="s">
        <v>26343</v>
      </c>
      <c r="E2859" s="58" t="s">
        <v>26344</v>
      </c>
      <c r="I2859" s="58" t="s">
        <v>26345</v>
      </c>
      <c r="Q2859" s="58">
        <v>1.0</v>
      </c>
      <c r="R2859" s="58">
        <v>12.0</v>
      </c>
      <c r="CL2859" s="58" t="s">
        <v>26346</v>
      </c>
      <c r="CP2859" s="58" t="s">
        <v>26347</v>
      </c>
      <c r="CX2859" s="58" t="s">
        <v>26348</v>
      </c>
      <c r="CY2859" s="58" t="s">
        <v>26349</v>
      </c>
      <c r="CZ2859" s="58">
        <v>2023.0</v>
      </c>
      <c r="DA2859" s="58" t="s">
        <v>23242</v>
      </c>
      <c r="DB2859" s="58">
        <v>17.0</v>
      </c>
      <c r="DF2859" s="58">
        <v>8.0</v>
      </c>
      <c r="DG2859" s="58" t="s">
        <v>26350</v>
      </c>
      <c r="DH2859" s="58" t="s">
        <v>22525</v>
      </c>
      <c r="DI2859" s="58" t="s">
        <v>22622</v>
      </c>
      <c r="DJ2859" s="58" t="s">
        <v>237</v>
      </c>
      <c r="DK2859" s="58" t="s">
        <v>26351</v>
      </c>
    </row>
    <row r="2860" ht="15.75" customHeight="1">
      <c r="B2860" s="58" t="s">
        <v>22515</v>
      </c>
      <c r="D2860" s="58" t="s">
        <v>26352</v>
      </c>
      <c r="E2860" s="58" t="s">
        <v>26353</v>
      </c>
      <c r="I2860" s="58" t="s">
        <v>26354</v>
      </c>
      <c r="Q2860" s="58">
        <v>7.0</v>
      </c>
      <c r="R2860" s="58">
        <v>22.0</v>
      </c>
      <c r="CL2860" s="58" t="s">
        <v>26355</v>
      </c>
      <c r="CP2860" s="58" t="s">
        <v>26356</v>
      </c>
      <c r="CX2860" s="58" t="s">
        <v>26357</v>
      </c>
      <c r="CY2860" s="58" t="s">
        <v>26358</v>
      </c>
      <c r="CZ2860" s="58">
        <v>2022.0</v>
      </c>
      <c r="DA2860" s="58" t="s">
        <v>22802</v>
      </c>
      <c r="DB2860" s="58">
        <v>2445.0</v>
      </c>
      <c r="DF2860" s="58">
        <v>35.0</v>
      </c>
      <c r="DG2860" s="58" t="s">
        <v>26359</v>
      </c>
      <c r="DH2860" s="58" t="s">
        <v>22525</v>
      </c>
      <c r="DI2860" s="58" t="s">
        <v>22643</v>
      </c>
      <c r="DJ2860" s="58" t="s">
        <v>237</v>
      </c>
      <c r="DK2860" s="58" t="s">
        <v>26360</v>
      </c>
      <c r="DL2860" s="58" t="s">
        <v>26361</v>
      </c>
    </row>
    <row r="2861" ht="15.75" customHeight="1">
      <c r="B2861" s="58" t="s">
        <v>22515</v>
      </c>
      <c r="D2861" s="58" t="s">
        <v>26362</v>
      </c>
      <c r="E2861" s="58" t="s">
        <v>26363</v>
      </c>
      <c r="I2861" s="58" t="s">
        <v>26364</v>
      </c>
      <c r="Q2861" s="58">
        <v>8.0</v>
      </c>
      <c r="R2861" s="58">
        <v>46.0</v>
      </c>
      <c r="CL2861" s="58" t="s">
        <v>26365</v>
      </c>
      <c r="CP2861" s="58" t="s">
        <v>26366</v>
      </c>
      <c r="CX2861" s="58" t="s">
        <v>26367</v>
      </c>
      <c r="CY2861" s="58" t="s">
        <v>26368</v>
      </c>
      <c r="CZ2861" s="58">
        <v>2022.0</v>
      </c>
      <c r="DA2861" s="58" t="s">
        <v>26369</v>
      </c>
      <c r="DC2861" s="58">
        <v>1.0</v>
      </c>
      <c r="DD2861" s="58">
        <v>10.0</v>
      </c>
      <c r="DE2861" s="58">
        <v>9.0</v>
      </c>
      <c r="DF2861" s="58">
        <v>2.0</v>
      </c>
      <c r="DG2861" s="58" t="s">
        <v>26370</v>
      </c>
      <c r="DH2861" s="58" t="s">
        <v>22525</v>
      </c>
      <c r="DJ2861" s="58" t="s">
        <v>237</v>
      </c>
      <c r="DK2861" s="58" t="s">
        <v>26371</v>
      </c>
      <c r="DL2861" s="58" t="s">
        <v>26372</v>
      </c>
    </row>
    <row r="2862" ht="15.75" customHeight="1">
      <c r="B2862" s="58" t="s">
        <v>22515</v>
      </c>
      <c r="D2862" s="58" t="s">
        <v>26373</v>
      </c>
      <c r="E2862" s="58" t="s">
        <v>26374</v>
      </c>
      <c r="I2862" s="58" t="s">
        <v>26375</v>
      </c>
      <c r="Q2862" s="58">
        <v>2.0</v>
      </c>
      <c r="R2862" s="58">
        <v>19.0</v>
      </c>
      <c r="CL2862" s="58" t="s">
        <v>26376</v>
      </c>
      <c r="CP2862" s="58" t="s">
        <v>26377</v>
      </c>
      <c r="CX2862" s="58" t="s">
        <v>26378</v>
      </c>
      <c r="CY2862" s="58" t="s">
        <v>26379</v>
      </c>
      <c r="CZ2862" s="58">
        <v>2022.0</v>
      </c>
      <c r="DA2862" s="58" t="s">
        <v>25073</v>
      </c>
      <c r="DC2862" s="58">
        <v>1137.0</v>
      </c>
      <c r="DD2862" s="58">
        <v>1150.0</v>
      </c>
      <c r="DE2862" s="58">
        <v>13.0</v>
      </c>
      <c r="DF2862" s="58">
        <v>29.0</v>
      </c>
      <c r="DG2862" s="58" t="s">
        <v>26380</v>
      </c>
      <c r="DH2862" s="58" t="s">
        <v>22525</v>
      </c>
      <c r="DJ2862" s="58" t="s">
        <v>237</v>
      </c>
      <c r="DK2862" s="58" t="s">
        <v>26381</v>
      </c>
      <c r="DL2862" s="58" t="s">
        <v>26382</v>
      </c>
    </row>
    <row r="2863" ht="15.75" customHeight="1">
      <c r="B2863" s="58" t="s">
        <v>22515</v>
      </c>
      <c r="D2863" s="58" t="s">
        <v>26383</v>
      </c>
      <c r="E2863" s="58" t="s">
        <v>26384</v>
      </c>
      <c r="I2863" s="58" t="s">
        <v>26385</v>
      </c>
      <c r="Q2863" s="58">
        <v>8.0</v>
      </c>
      <c r="R2863" s="58">
        <v>10.0</v>
      </c>
      <c r="CL2863" s="58" t="s">
        <v>26386</v>
      </c>
      <c r="CP2863" s="58" t="s">
        <v>26387</v>
      </c>
      <c r="CX2863" s="58" t="s">
        <v>26388</v>
      </c>
      <c r="CY2863" s="58" t="s">
        <v>26389</v>
      </c>
      <c r="CZ2863" s="58">
        <v>2022.0</v>
      </c>
      <c r="DA2863" s="58" t="s">
        <v>23698</v>
      </c>
      <c r="DB2863" s="58">
        <v>1258.0</v>
      </c>
      <c r="DF2863" s="58">
        <v>10.0</v>
      </c>
      <c r="DG2863" s="58" t="s">
        <v>26390</v>
      </c>
      <c r="DH2863" s="58" t="s">
        <v>22525</v>
      </c>
      <c r="DI2863" s="58" t="s">
        <v>22622</v>
      </c>
      <c r="DJ2863" s="58" t="s">
        <v>237</v>
      </c>
      <c r="DK2863" s="58" t="s">
        <v>26391</v>
      </c>
    </row>
    <row r="2864" ht="15.75" customHeight="1">
      <c r="B2864" s="58" t="s">
        <v>22515</v>
      </c>
      <c r="D2864" s="58" t="s">
        <v>26392</v>
      </c>
      <c r="E2864" s="58" t="s">
        <v>26393</v>
      </c>
      <c r="I2864" s="58" t="s">
        <v>26394</v>
      </c>
      <c r="R2864" s="58">
        <v>135.0</v>
      </c>
      <c r="CL2864" s="58" t="s">
        <v>26395</v>
      </c>
      <c r="CP2864" s="58" t="s">
        <v>26396</v>
      </c>
      <c r="CX2864" s="58" t="s">
        <v>26397</v>
      </c>
      <c r="CY2864" s="58" t="s">
        <v>26398</v>
      </c>
      <c r="CZ2864" s="58">
        <v>2022.0</v>
      </c>
      <c r="DA2864" s="58" t="s">
        <v>23116</v>
      </c>
      <c r="DC2864" s="58">
        <v>303.0</v>
      </c>
      <c r="DD2864" s="58">
        <v>314.0</v>
      </c>
      <c r="DE2864" s="58">
        <v>11.0</v>
      </c>
      <c r="DF2864" s="58">
        <v>18.0</v>
      </c>
      <c r="DG2864" s="58" t="s">
        <v>26399</v>
      </c>
      <c r="DH2864" s="58" t="s">
        <v>22525</v>
      </c>
      <c r="DJ2864" s="58" t="s">
        <v>237</v>
      </c>
      <c r="DK2864" s="58" t="s">
        <v>26400</v>
      </c>
      <c r="DL2864" s="58" t="s">
        <v>26401</v>
      </c>
    </row>
    <row r="2865" ht="15.75" customHeight="1">
      <c r="B2865" s="58" t="s">
        <v>22515</v>
      </c>
      <c r="D2865" s="58" t="s">
        <v>26402</v>
      </c>
      <c r="E2865" s="58" t="s">
        <v>26403</v>
      </c>
      <c r="I2865" s="58" t="s">
        <v>26404</v>
      </c>
      <c r="Q2865" s="58">
        <v>17.0</v>
      </c>
      <c r="R2865" s="58">
        <v>15.0</v>
      </c>
      <c r="CL2865" s="58" t="s">
        <v>26405</v>
      </c>
      <c r="CP2865" s="58" t="s">
        <v>26406</v>
      </c>
      <c r="CX2865" s="58" t="s">
        <v>26407</v>
      </c>
      <c r="CY2865" s="58" t="s">
        <v>26408</v>
      </c>
      <c r="CZ2865" s="58">
        <v>2022.0</v>
      </c>
      <c r="DA2865" s="58" t="s">
        <v>25244</v>
      </c>
      <c r="DB2865" s="58">
        <v>6140.0</v>
      </c>
      <c r="DF2865" s="58">
        <v>94.0</v>
      </c>
      <c r="DG2865" s="58" t="s">
        <v>26409</v>
      </c>
      <c r="DH2865" s="58" t="s">
        <v>22525</v>
      </c>
      <c r="DI2865" s="58" t="s">
        <v>22622</v>
      </c>
      <c r="DJ2865" s="58" t="s">
        <v>237</v>
      </c>
      <c r="DK2865" s="58" t="s">
        <v>26410</v>
      </c>
      <c r="DL2865" s="58" t="s">
        <v>26411</v>
      </c>
    </row>
    <row r="2866" ht="15.75" customHeight="1">
      <c r="B2866" s="58" t="s">
        <v>22515</v>
      </c>
      <c r="D2866" s="58" t="s">
        <v>26412</v>
      </c>
      <c r="E2866" s="58" t="s">
        <v>26413</v>
      </c>
      <c r="I2866" s="58" t="s">
        <v>26414</v>
      </c>
      <c r="R2866" s="58">
        <v>101.0</v>
      </c>
      <c r="CL2866" s="58" t="s">
        <v>26415</v>
      </c>
      <c r="CP2866" s="58" t="s">
        <v>26416</v>
      </c>
      <c r="CX2866" s="58" t="s">
        <v>26417</v>
      </c>
      <c r="CY2866" s="58" t="s">
        <v>26418</v>
      </c>
      <c r="CZ2866" s="58">
        <v>2023.0</v>
      </c>
      <c r="DA2866" s="58" t="s">
        <v>26419</v>
      </c>
      <c r="DB2866" s="58" t="s">
        <v>26420</v>
      </c>
      <c r="DF2866" s="58">
        <v>21.0</v>
      </c>
      <c r="DG2866" s="58" t="s">
        <v>26421</v>
      </c>
      <c r="DH2866" s="58" t="s">
        <v>22525</v>
      </c>
      <c r="DI2866" s="58" t="s">
        <v>22816</v>
      </c>
      <c r="DJ2866" s="58" t="s">
        <v>237</v>
      </c>
      <c r="DK2866" s="58" t="s">
        <v>26422</v>
      </c>
      <c r="DL2866" s="58" t="s">
        <v>26423</v>
      </c>
    </row>
    <row r="2867" ht="15.75" customHeight="1">
      <c r="B2867" s="58" t="s">
        <v>22515</v>
      </c>
      <c r="D2867" s="58" t="s">
        <v>26424</v>
      </c>
      <c r="E2867" s="58" t="s">
        <v>26425</v>
      </c>
      <c r="I2867" s="58" t="s">
        <v>26426</v>
      </c>
      <c r="Q2867" s="58">
        <v>4.0</v>
      </c>
      <c r="R2867" s="58">
        <v>7.0</v>
      </c>
      <c r="CL2867" s="58" t="s">
        <v>26427</v>
      </c>
      <c r="CP2867" s="58" t="s">
        <v>26428</v>
      </c>
      <c r="CX2867" s="58" t="s">
        <v>26429</v>
      </c>
      <c r="CY2867" s="58" t="s">
        <v>26430</v>
      </c>
      <c r="CZ2867" s="58">
        <v>2022.0</v>
      </c>
      <c r="DA2867" s="58" t="s">
        <v>26431</v>
      </c>
      <c r="DB2867" s="58">
        <v>116.0</v>
      </c>
      <c r="DF2867" s="58">
        <v>4.0</v>
      </c>
      <c r="DG2867" s="58" t="s">
        <v>26432</v>
      </c>
      <c r="DH2867" s="58" t="s">
        <v>22525</v>
      </c>
      <c r="DI2867" s="58" t="s">
        <v>22643</v>
      </c>
      <c r="DJ2867" s="58" t="s">
        <v>237</v>
      </c>
      <c r="DK2867" s="58" t="s">
        <v>26433</v>
      </c>
    </row>
    <row r="2868" ht="15.75" customHeight="1">
      <c r="B2868" s="58" t="s">
        <v>22515</v>
      </c>
      <c r="D2868" s="58" t="s">
        <v>26434</v>
      </c>
      <c r="E2868" s="58" t="s">
        <v>26435</v>
      </c>
      <c r="I2868" s="58" t="s">
        <v>26436</v>
      </c>
      <c r="R2868" s="58">
        <v>257.0</v>
      </c>
      <c r="CL2868" s="58" t="s">
        <v>26437</v>
      </c>
      <c r="CP2868" s="58" t="s">
        <v>26438</v>
      </c>
      <c r="CX2868" s="58" t="s">
        <v>26439</v>
      </c>
      <c r="CY2868" s="58" t="s">
        <v>26440</v>
      </c>
      <c r="CZ2868" s="58">
        <v>2022.0</v>
      </c>
      <c r="DA2868" s="58" t="s">
        <v>26441</v>
      </c>
      <c r="DB2868" s="58">
        <v>111762.0</v>
      </c>
      <c r="DF2868" s="58">
        <v>85.0</v>
      </c>
      <c r="DG2868" s="58" t="s">
        <v>26442</v>
      </c>
      <c r="DH2868" s="58" t="s">
        <v>22525</v>
      </c>
      <c r="DJ2868" s="58" t="s">
        <v>237</v>
      </c>
      <c r="DK2868" s="58" t="s">
        <v>26443</v>
      </c>
      <c r="DL2868" s="58" t="s">
        <v>26444</v>
      </c>
    </row>
    <row r="2869" ht="15.75" customHeight="1">
      <c r="B2869" s="58" t="s">
        <v>22515</v>
      </c>
      <c r="D2869" s="58" t="s">
        <v>26445</v>
      </c>
      <c r="E2869" s="58" t="s">
        <v>26446</v>
      </c>
      <c r="I2869" s="58" t="s">
        <v>26447</v>
      </c>
      <c r="R2869" s="58">
        <v>196.0</v>
      </c>
      <c r="CL2869" s="58" t="s">
        <v>26448</v>
      </c>
      <c r="CP2869" s="58" t="s">
        <v>26449</v>
      </c>
      <c r="CX2869" s="58" t="s">
        <v>26450</v>
      </c>
      <c r="CY2869" s="58" t="s">
        <v>26451</v>
      </c>
      <c r="CZ2869" s="58">
        <v>2022.0</v>
      </c>
      <c r="DA2869" s="58" t="s">
        <v>26452</v>
      </c>
      <c r="DB2869" s="58">
        <v>106897.0</v>
      </c>
      <c r="DF2869" s="58">
        <v>16.0</v>
      </c>
      <c r="DG2869" s="58" t="s">
        <v>26453</v>
      </c>
      <c r="DH2869" s="58" t="s">
        <v>22525</v>
      </c>
      <c r="DJ2869" s="58" t="s">
        <v>237</v>
      </c>
      <c r="DK2869" s="58" t="s">
        <v>26454</v>
      </c>
      <c r="DL2869" s="58" t="s">
        <v>26455</v>
      </c>
    </row>
    <row r="2870" ht="15.75" customHeight="1">
      <c r="B2870" s="58" t="s">
        <v>22515</v>
      </c>
      <c r="D2870" s="58" t="s">
        <v>26456</v>
      </c>
      <c r="E2870" s="58" t="s">
        <v>26457</v>
      </c>
      <c r="I2870" s="58" t="s">
        <v>26458</v>
      </c>
      <c r="Q2870" s="58">
        <v>3.0</v>
      </c>
      <c r="R2870" s="58">
        <v>124.0</v>
      </c>
      <c r="CL2870" s="58" t="s">
        <v>26459</v>
      </c>
      <c r="CP2870" s="58" t="s">
        <v>26460</v>
      </c>
      <c r="CX2870" s="58" t="s">
        <v>26461</v>
      </c>
      <c r="CY2870" s="58" t="s">
        <v>26462</v>
      </c>
      <c r="CZ2870" s="58">
        <v>2022.0</v>
      </c>
      <c r="DA2870" s="58" t="s">
        <v>25051</v>
      </c>
      <c r="DC2870" s="58">
        <v>2735.0</v>
      </c>
      <c r="DD2870" s="58">
        <v>2770.0</v>
      </c>
      <c r="DE2870" s="58">
        <v>35.0</v>
      </c>
      <c r="DF2870" s="58">
        <v>48.0</v>
      </c>
      <c r="DG2870" s="58" t="s">
        <v>26463</v>
      </c>
      <c r="DH2870" s="58" t="s">
        <v>22525</v>
      </c>
      <c r="DJ2870" s="58" t="s">
        <v>237</v>
      </c>
      <c r="DK2870" s="58" t="s">
        <v>26464</v>
      </c>
      <c r="DL2870" s="58" t="s">
        <v>26465</v>
      </c>
    </row>
    <row r="2871" ht="15.75" customHeight="1">
      <c r="B2871" s="58" t="s">
        <v>22515</v>
      </c>
      <c r="D2871" s="58" t="s">
        <v>26466</v>
      </c>
      <c r="E2871" s="58" t="s">
        <v>26467</v>
      </c>
      <c r="I2871" s="58" t="s">
        <v>26468</v>
      </c>
      <c r="Q2871" s="58">
        <v>3.0</v>
      </c>
      <c r="R2871" s="58">
        <v>11.0</v>
      </c>
      <c r="CL2871" s="58" t="s">
        <v>26469</v>
      </c>
      <c r="CP2871" s="58" t="s">
        <v>26470</v>
      </c>
      <c r="CX2871" s="58" t="s">
        <v>26471</v>
      </c>
      <c r="CY2871" s="58" t="s">
        <v>26472</v>
      </c>
      <c r="CZ2871" s="58">
        <v>2022.0</v>
      </c>
      <c r="DA2871" s="58" t="s">
        <v>26473</v>
      </c>
      <c r="DC2871" s="58">
        <v>265.0</v>
      </c>
      <c r="DD2871" s="58">
        <v>274.0</v>
      </c>
      <c r="DE2871" s="58">
        <v>9.0</v>
      </c>
      <c r="DF2871" s="58">
        <v>1.0</v>
      </c>
      <c r="DG2871" s="58" t="s">
        <v>26474</v>
      </c>
      <c r="DH2871" s="58" t="s">
        <v>22525</v>
      </c>
      <c r="DI2871" s="58" t="s">
        <v>22643</v>
      </c>
      <c r="DJ2871" s="58" t="s">
        <v>237</v>
      </c>
      <c r="DK2871" s="58" t="s">
        <v>26475</v>
      </c>
    </row>
    <row r="2872" ht="15.75" customHeight="1">
      <c r="B2872" s="58" t="s">
        <v>22771</v>
      </c>
      <c r="D2872" s="58" t="s">
        <v>26476</v>
      </c>
      <c r="E2872" s="58" t="s">
        <v>26477</v>
      </c>
      <c r="I2872" s="58" t="s">
        <v>26478</v>
      </c>
      <c r="R2872" s="58" t="s">
        <v>26479</v>
      </c>
      <c r="CL2872" s="58" t="s">
        <v>26480</v>
      </c>
      <c r="CP2872" s="58" t="s">
        <v>26481</v>
      </c>
      <c r="CX2872" s="58" t="s">
        <v>26482</v>
      </c>
      <c r="CY2872" s="58" t="s">
        <v>26483</v>
      </c>
      <c r="CZ2872" s="58">
        <v>2023.0</v>
      </c>
      <c r="DA2872" s="58" t="s">
        <v>23905</v>
      </c>
      <c r="DC2872" s="58">
        <v>233.0</v>
      </c>
      <c r="DD2872" s="58">
        <v>257.0</v>
      </c>
      <c r="DE2872" s="58">
        <v>24.0</v>
      </c>
      <c r="DF2872" s="58">
        <v>4.0</v>
      </c>
      <c r="DG2872" s="58" t="s">
        <v>26484</v>
      </c>
      <c r="DH2872" s="58" t="s">
        <v>22525</v>
      </c>
      <c r="DJ2872" s="58" t="s">
        <v>237</v>
      </c>
      <c r="DK2872" s="58" t="s">
        <v>26485</v>
      </c>
    </row>
    <row r="2873" ht="15.75" customHeight="1">
      <c r="B2873" s="58" t="s">
        <v>22515</v>
      </c>
      <c r="D2873" s="58" t="s">
        <v>26486</v>
      </c>
      <c r="E2873" s="58" t="s">
        <v>26487</v>
      </c>
      <c r="I2873" s="58" t="s">
        <v>26488</v>
      </c>
      <c r="Q2873" s="58">
        <v>21.0</v>
      </c>
      <c r="R2873" s="58">
        <v>55.0</v>
      </c>
      <c r="CL2873" s="58" t="s">
        <v>26489</v>
      </c>
      <c r="CP2873" s="58" t="s">
        <v>26490</v>
      </c>
      <c r="CX2873" s="58" t="s">
        <v>26491</v>
      </c>
      <c r="CY2873" s="58" t="s">
        <v>26492</v>
      </c>
      <c r="CZ2873" s="58">
        <v>2022.0</v>
      </c>
      <c r="DA2873" s="58" t="s">
        <v>26493</v>
      </c>
      <c r="DC2873" s="58">
        <v>4158.0</v>
      </c>
      <c r="DD2873" s="58">
        <v>4174.0</v>
      </c>
      <c r="DE2873" s="58">
        <v>16.0</v>
      </c>
      <c r="DF2873" s="58">
        <v>0.0</v>
      </c>
      <c r="DG2873" s="58" t="s">
        <v>26494</v>
      </c>
      <c r="DH2873" s="58" t="s">
        <v>22525</v>
      </c>
      <c r="DJ2873" s="58" t="s">
        <v>237</v>
      </c>
      <c r="DK2873" s="58" t="s">
        <v>26495</v>
      </c>
      <c r="DL2873" s="58" t="s">
        <v>26496</v>
      </c>
    </row>
    <row r="2874" ht="15.75" customHeight="1">
      <c r="B2874" s="58" t="s">
        <v>22515</v>
      </c>
      <c r="D2874" s="58" t="s">
        <v>26497</v>
      </c>
      <c r="E2874" s="58" t="s">
        <v>26498</v>
      </c>
      <c r="I2874" s="58" t="s">
        <v>26499</v>
      </c>
      <c r="Q2874" s="58">
        <v>1.0</v>
      </c>
      <c r="R2874" s="58">
        <v>11.0</v>
      </c>
      <c r="CL2874" s="58" t="s">
        <v>26500</v>
      </c>
      <c r="CP2874" s="58" t="s">
        <v>26501</v>
      </c>
      <c r="CX2874" s="58" t="s">
        <v>26502</v>
      </c>
      <c r="CY2874" s="58" t="s">
        <v>26503</v>
      </c>
      <c r="CZ2874" s="58">
        <v>2022.0</v>
      </c>
      <c r="DA2874" s="58" t="s">
        <v>22889</v>
      </c>
      <c r="DB2874" s="58">
        <v>26.0</v>
      </c>
      <c r="DF2874" s="58">
        <v>44.0</v>
      </c>
      <c r="DG2874" s="58" t="s">
        <v>26504</v>
      </c>
      <c r="DH2874" s="58" t="s">
        <v>22525</v>
      </c>
      <c r="DI2874" s="58" t="s">
        <v>22622</v>
      </c>
      <c r="DJ2874" s="58" t="s">
        <v>237</v>
      </c>
      <c r="DK2874" s="58" t="s">
        <v>26505</v>
      </c>
      <c r="DL2874" s="58" t="s">
        <v>26506</v>
      </c>
    </row>
    <row r="2875" ht="15.75" customHeight="1">
      <c r="B2875" s="58" t="s">
        <v>22515</v>
      </c>
      <c r="D2875" s="58" t="s">
        <v>26507</v>
      </c>
      <c r="E2875" s="58" t="s">
        <v>26508</v>
      </c>
      <c r="I2875" s="58" t="s">
        <v>26509</v>
      </c>
      <c r="Q2875" s="58">
        <v>15.0</v>
      </c>
      <c r="R2875" s="58">
        <v>15.0</v>
      </c>
      <c r="CL2875" s="58" t="s">
        <v>26510</v>
      </c>
      <c r="CP2875" s="58" t="s">
        <v>26511</v>
      </c>
      <c r="CX2875" s="58" t="s">
        <v>26512</v>
      </c>
      <c r="CY2875" s="58" t="s">
        <v>26513</v>
      </c>
      <c r="CZ2875" s="58">
        <v>2022.0</v>
      </c>
      <c r="DA2875" s="58" t="s">
        <v>25244</v>
      </c>
      <c r="DB2875" s="58">
        <v>5516.0</v>
      </c>
      <c r="DF2875" s="58">
        <v>7.0</v>
      </c>
      <c r="DG2875" s="58" t="s">
        <v>26514</v>
      </c>
      <c r="DH2875" s="58" t="s">
        <v>22525</v>
      </c>
      <c r="DI2875" s="58" t="s">
        <v>22622</v>
      </c>
      <c r="DJ2875" s="58" t="s">
        <v>237</v>
      </c>
      <c r="DK2875" s="58" t="s">
        <v>26515</v>
      </c>
      <c r="DL2875" s="58" t="s">
        <v>26516</v>
      </c>
    </row>
    <row r="2876" ht="15.75" customHeight="1">
      <c r="B2876" s="58" t="s">
        <v>22771</v>
      </c>
      <c r="D2876" s="58" t="s">
        <v>26517</v>
      </c>
      <c r="E2876" s="58" t="s">
        <v>26518</v>
      </c>
      <c r="I2876" s="58" t="s">
        <v>26519</v>
      </c>
      <c r="CL2876" s="58" t="s">
        <v>26520</v>
      </c>
      <c r="CP2876" s="58" t="s">
        <v>26521</v>
      </c>
      <c r="CX2876" s="58" t="s">
        <v>26522</v>
      </c>
      <c r="CY2876" s="58" t="s">
        <v>26523</v>
      </c>
      <c r="CZ2876" s="58">
        <v>2023.0</v>
      </c>
      <c r="DA2876" s="58" t="s">
        <v>26524</v>
      </c>
      <c r="DC2876" s="58">
        <v>769.0</v>
      </c>
      <c r="DD2876" s="58">
        <v>776.0</v>
      </c>
      <c r="DE2876" s="58">
        <v>7.0</v>
      </c>
      <c r="DF2876" s="58">
        <v>1.0</v>
      </c>
      <c r="DG2876" s="58" t="s">
        <v>26525</v>
      </c>
      <c r="DH2876" s="58" t="s">
        <v>22525</v>
      </c>
      <c r="DI2876" s="58" t="s">
        <v>22816</v>
      </c>
      <c r="DJ2876" s="58" t="s">
        <v>237</v>
      </c>
      <c r="DK2876" s="58" t="s">
        <v>26526</v>
      </c>
      <c r="DL2876" s="58" t="s">
        <v>26527</v>
      </c>
    </row>
    <row r="2877" ht="15.75" customHeight="1">
      <c r="B2877" s="58" t="s">
        <v>22515</v>
      </c>
      <c r="D2877" s="58" t="s">
        <v>26528</v>
      </c>
      <c r="E2877" s="58" t="s">
        <v>26529</v>
      </c>
      <c r="I2877" s="58" t="s">
        <v>26530</v>
      </c>
      <c r="Q2877" s="58">
        <v>23.0</v>
      </c>
      <c r="R2877" s="58">
        <v>34.0</v>
      </c>
      <c r="CL2877" s="58" t="s">
        <v>26531</v>
      </c>
      <c r="CP2877" s="58" t="s">
        <v>26532</v>
      </c>
      <c r="CX2877" s="58" t="s">
        <v>26533</v>
      </c>
      <c r="CY2877" s="58" t="s">
        <v>26534</v>
      </c>
      <c r="CZ2877" s="58">
        <v>2022.0</v>
      </c>
      <c r="DA2877" s="58" t="s">
        <v>24007</v>
      </c>
      <c r="DB2877" s="58" t="s">
        <v>26535</v>
      </c>
      <c r="DF2877" s="58">
        <v>1.0</v>
      </c>
      <c r="DG2877" s="58" t="s">
        <v>26536</v>
      </c>
      <c r="DH2877" s="58" t="s">
        <v>22525</v>
      </c>
      <c r="DJ2877" s="58" t="s">
        <v>237</v>
      </c>
      <c r="DK2877" s="58" t="s">
        <v>26537</v>
      </c>
      <c r="DL2877" s="58" t="s">
        <v>26538</v>
      </c>
    </row>
    <row r="2878" ht="15.75" customHeight="1">
      <c r="B2878" s="58" t="s">
        <v>22771</v>
      </c>
      <c r="D2878" s="58" t="s">
        <v>26539</v>
      </c>
      <c r="E2878" s="58" t="s">
        <v>26540</v>
      </c>
      <c r="I2878" s="58" t="s">
        <v>26541</v>
      </c>
      <c r="R2878" s="58" t="s">
        <v>26542</v>
      </c>
      <c r="CL2878" s="58" t="s">
        <v>26543</v>
      </c>
      <c r="CP2878" s="58" t="s">
        <v>26544</v>
      </c>
      <c r="CX2878" s="58" t="s">
        <v>26545</v>
      </c>
      <c r="CY2878" s="58" t="s">
        <v>26546</v>
      </c>
      <c r="CZ2878" s="58">
        <v>2023.0</v>
      </c>
      <c r="DA2878" s="58" t="s">
        <v>24608</v>
      </c>
      <c r="DC2878" s="58">
        <v>327.0</v>
      </c>
      <c r="DD2878" s="58">
        <v>343.0</v>
      </c>
      <c r="DE2878" s="58">
        <v>16.0</v>
      </c>
      <c r="DF2878" s="58">
        <v>12.0</v>
      </c>
      <c r="DG2878" s="58" t="s">
        <v>26547</v>
      </c>
      <c r="DH2878" s="58" t="s">
        <v>22525</v>
      </c>
      <c r="DJ2878" s="58" t="s">
        <v>237</v>
      </c>
      <c r="DK2878" s="58" t="s">
        <v>26548</v>
      </c>
      <c r="DL2878" s="58" t="s">
        <v>26549</v>
      </c>
    </row>
    <row r="2879" ht="15.75" customHeight="1">
      <c r="B2879" s="58" t="s">
        <v>22515</v>
      </c>
      <c r="D2879" s="58" t="s">
        <v>26550</v>
      </c>
      <c r="E2879" s="58" t="s">
        <v>26551</v>
      </c>
      <c r="I2879" s="58" t="s">
        <v>26552</v>
      </c>
      <c r="Q2879" s="58">
        <v>4.0</v>
      </c>
      <c r="R2879" s="58">
        <v>28.0</v>
      </c>
      <c r="CL2879" s="58" t="s">
        <v>26553</v>
      </c>
      <c r="CP2879" s="58" t="s">
        <v>26554</v>
      </c>
      <c r="CX2879" s="58" t="s">
        <v>26555</v>
      </c>
      <c r="CY2879" s="58" t="s">
        <v>26556</v>
      </c>
      <c r="CZ2879" s="58">
        <v>2022.0</v>
      </c>
      <c r="DA2879" s="58" t="s">
        <v>23085</v>
      </c>
      <c r="DC2879" s="58">
        <v>1563.0</v>
      </c>
      <c r="DD2879" s="58">
        <v>1585.0</v>
      </c>
      <c r="DE2879" s="58">
        <v>22.0</v>
      </c>
      <c r="DF2879" s="58">
        <v>34.0</v>
      </c>
      <c r="DG2879" s="58" t="s">
        <v>26557</v>
      </c>
      <c r="DH2879" s="58" t="s">
        <v>22525</v>
      </c>
      <c r="DJ2879" s="58" t="s">
        <v>237</v>
      </c>
      <c r="DK2879" s="58" t="s">
        <v>26558</v>
      </c>
      <c r="DL2879" s="58" t="s">
        <v>26559</v>
      </c>
    </row>
    <row r="2880" ht="15.75" customHeight="1">
      <c r="B2880" s="58" t="s">
        <v>22515</v>
      </c>
      <c r="D2880" s="58" t="s">
        <v>25615</v>
      </c>
      <c r="E2880" s="58" t="s">
        <v>26560</v>
      </c>
      <c r="I2880" s="58" t="s">
        <v>26561</v>
      </c>
      <c r="Q2880" s="58">
        <v>15.0</v>
      </c>
      <c r="R2880" s="58">
        <v>78.0</v>
      </c>
      <c r="CL2880" s="58" t="s">
        <v>26562</v>
      </c>
      <c r="CP2880" s="58" t="s">
        <v>26563</v>
      </c>
      <c r="CX2880" s="58" t="s">
        <v>25620</v>
      </c>
      <c r="CY2880" s="58" t="s">
        <v>25621</v>
      </c>
      <c r="CZ2880" s="58">
        <v>2022.0</v>
      </c>
      <c r="DA2880" s="58" t="s">
        <v>22535</v>
      </c>
      <c r="DC2880" s="58">
        <v>16997.0</v>
      </c>
      <c r="DD2880" s="58">
        <v>17026.0</v>
      </c>
      <c r="DE2880" s="58">
        <v>29.0</v>
      </c>
      <c r="DF2880" s="58">
        <v>8.0</v>
      </c>
      <c r="DG2880" s="58" t="s">
        <v>26564</v>
      </c>
      <c r="DH2880" s="58" t="s">
        <v>22525</v>
      </c>
      <c r="DJ2880" s="58" t="s">
        <v>237</v>
      </c>
      <c r="DK2880" s="58" t="s">
        <v>26565</v>
      </c>
      <c r="DL2880" s="58" t="s">
        <v>26566</v>
      </c>
    </row>
    <row r="2881" ht="15.75" customHeight="1">
      <c r="B2881" s="58" t="s">
        <v>22515</v>
      </c>
      <c r="D2881" s="58" t="s">
        <v>26567</v>
      </c>
      <c r="E2881" s="58" t="s">
        <v>26568</v>
      </c>
      <c r="I2881" s="58" t="s">
        <v>26569</v>
      </c>
      <c r="Q2881" s="58">
        <v>22.0</v>
      </c>
      <c r="R2881" s="58">
        <v>22.0</v>
      </c>
      <c r="CL2881" s="58" t="s">
        <v>26570</v>
      </c>
      <c r="CP2881" s="58" t="s">
        <v>26571</v>
      </c>
      <c r="CX2881" s="58" t="s">
        <v>26572</v>
      </c>
      <c r="CY2881" s="58" t="s">
        <v>26573</v>
      </c>
      <c r="CZ2881" s="58">
        <v>2022.0</v>
      </c>
      <c r="DA2881" s="58" t="s">
        <v>22802</v>
      </c>
      <c r="DB2881" s="58">
        <v>9003.0</v>
      </c>
      <c r="DF2881" s="58">
        <v>19.0</v>
      </c>
      <c r="DG2881" s="58" t="s">
        <v>26574</v>
      </c>
      <c r="DH2881" s="58" t="s">
        <v>22525</v>
      </c>
      <c r="DI2881" s="58" t="s">
        <v>22643</v>
      </c>
      <c r="DJ2881" s="58" t="s">
        <v>237</v>
      </c>
      <c r="DK2881" s="58" t="s">
        <v>26575</v>
      </c>
      <c r="DL2881" s="58" t="s">
        <v>26576</v>
      </c>
    </row>
    <row r="2882" ht="15.75" customHeight="1">
      <c r="B2882" s="58" t="s">
        <v>22515</v>
      </c>
      <c r="D2882" s="58" t="s">
        <v>26577</v>
      </c>
      <c r="E2882" s="58" t="s">
        <v>26578</v>
      </c>
      <c r="I2882" s="58" t="s">
        <v>26579</v>
      </c>
      <c r="Q2882" s="58">
        <v>6.0</v>
      </c>
      <c r="R2882" s="58">
        <v>20.0</v>
      </c>
      <c r="CL2882" s="58" t="s">
        <v>26580</v>
      </c>
      <c r="CP2882" s="58" t="s">
        <v>26581</v>
      </c>
      <c r="CX2882" s="58" t="s">
        <v>26582</v>
      </c>
      <c r="CY2882" s="58" t="s">
        <v>26583</v>
      </c>
      <c r="CZ2882" s="58">
        <v>2022.0</v>
      </c>
      <c r="DA2882" s="58" t="s">
        <v>26584</v>
      </c>
      <c r="DC2882" s="58">
        <v>1399.0</v>
      </c>
      <c r="DD2882" s="58">
        <v>1420.0</v>
      </c>
      <c r="DE2882" s="58">
        <v>21.0</v>
      </c>
      <c r="DF2882" s="58">
        <v>14.0</v>
      </c>
      <c r="DG2882" s="58" t="s">
        <v>26585</v>
      </c>
      <c r="DH2882" s="58" t="s">
        <v>22525</v>
      </c>
      <c r="DI2882" s="58" t="s">
        <v>23606</v>
      </c>
      <c r="DJ2882" s="58" t="s">
        <v>237</v>
      </c>
      <c r="DK2882" s="58" t="s">
        <v>26586</v>
      </c>
    </row>
    <row r="2883" ht="15.75" customHeight="1">
      <c r="B2883" s="58" t="s">
        <v>22515</v>
      </c>
      <c r="D2883" s="58" t="s">
        <v>26587</v>
      </c>
      <c r="E2883" s="58" t="s">
        <v>26588</v>
      </c>
      <c r="I2883" s="58" t="s">
        <v>26589</v>
      </c>
      <c r="Q2883" s="58">
        <v>5.0</v>
      </c>
      <c r="R2883" s="58">
        <v>69.0</v>
      </c>
      <c r="CL2883" s="58" t="s">
        <v>26590</v>
      </c>
      <c r="CP2883" s="58" t="s">
        <v>26591</v>
      </c>
      <c r="CX2883" s="58" t="s">
        <v>26592</v>
      </c>
      <c r="CY2883" s="58" t="s">
        <v>26593</v>
      </c>
      <c r="CZ2883" s="58">
        <v>2022.0</v>
      </c>
      <c r="DA2883" s="58" t="s">
        <v>26594</v>
      </c>
      <c r="DC2883" s="58">
        <v>1919.0</v>
      </c>
      <c r="DD2883" s="58">
        <v>1931.0</v>
      </c>
      <c r="DE2883" s="58">
        <v>12.0</v>
      </c>
      <c r="DF2883" s="58">
        <v>6.0</v>
      </c>
      <c r="DG2883" s="58" t="s">
        <v>26595</v>
      </c>
      <c r="DH2883" s="58" t="s">
        <v>22525</v>
      </c>
      <c r="DI2883" s="58" t="s">
        <v>22656</v>
      </c>
      <c r="DJ2883" s="58" t="s">
        <v>237</v>
      </c>
      <c r="DK2883" s="58" t="s">
        <v>26596</v>
      </c>
      <c r="DL2883" s="58" t="s">
        <v>26597</v>
      </c>
    </row>
    <row r="2884" ht="15.75" customHeight="1">
      <c r="B2884" s="58" t="s">
        <v>22771</v>
      </c>
      <c r="D2884" s="58" t="s">
        <v>26598</v>
      </c>
      <c r="E2884" s="58" t="s">
        <v>26599</v>
      </c>
      <c r="I2884" s="58" t="s">
        <v>26600</v>
      </c>
      <c r="R2884" s="58" t="s">
        <v>26601</v>
      </c>
      <c r="CL2884" s="58" t="s">
        <v>26602</v>
      </c>
      <c r="CP2884" s="58" t="s">
        <v>26603</v>
      </c>
      <c r="CX2884" s="58" t="s">
        <v>26604</v>
      </c>
      <c r="CY2884" s="58" t="s">
        <v>26605</v>
      </c>
      <c r="CZ2884" s="58">
        <v>2023.0</v>
      </c>
      <c r="DA2884" s="58" t="s">
        <v>24521</v>
      </c>
      <c r="DC2884" s="58">
        <v>499.0</v>
      </c>
      <c r="DD2884" s="58">
        <v>515.0</v>
      </c>
      <c r="DE2884" s="58">
        <v>16.0</v>
      </c>
      <c r="DF2884" s="58">
        <v>19.0</v>
      </c>
      <c r="DG2884" s="58" t="s">
        <v>26606</v>
      </c>
      <c r="DH2884" s="58" t="s">
        <v>22525</v>
      </c>
      <c r="DJ2884" s="58" t="s">
        <v>237</v>
      </c>
      <c r="DK2884" s="58" t="s">
        <v>26607</v>
      </c>
      <c r="DL2884" s="58" t="s">
        <v>26608</v>
      </c>
    </row>
    <row r="2885" ht="15.75" customHeight="1">
      <c r="B2885" s="58" t="s">
        <v>22515</v>
      </c>
      <c r="D2885" s="58" t="s">
        <v>26609</v>
      </c>
      <c r="E2885" s="58" t="s">
        <v>26610</v>
      </c>
      <c r="I2885" s="58" t="s">
        <v>26611</v>
      </c>
      <c r="Q2885" s="58">
        <v>12.0</v>
      </c>
      <c r="R2885" s="58">
        <v>14.0</v>
      </c>
      <c r="CL2885" s="58" t="s">
        <v>26612</v>
      </c>
      <c r="CP2885" s="58" t="s">
        <v>26613</v>
      </c>
      <c r="CX2885" s="58" t="s">
        <v>26614</v>
      </c>
      <c r="CY2885" s="58" t="s">
        <v>26615</v>
      </c>
      <c r="CZ2885" s="58">
        <v>2022.0</v>
      </c>
      <c r="DA2885" s="58" t="s">
        <v>25285</v>
      </c>
      <c r="DB2885" s="58">
        <v>7267.0</v>
      </c>
      <c r="DF2885" s="58">
        <v>41.0</v>
      </c>
      <c r="DG2885" s="58" t="s">
        <v>26616</v>
      </c>
      <c r="DH2885" s="58" t="s">
        <v>22525</v>
      </c>
      <c r="DI2885" s="58" t="s">
        <v>22622</v>
      </c>
      <c r="DJ2885" s="58" t="s">
        <v>237</v>
      </c>
      <c r="DK2885" s="58" t="s">
        <v>26617</v>
      </c>
      <c r="DL2885" s="58" t="s">
        <v>26618</v>
      </c>
    </row>
    <row r="2886" ht="15.75" customHeight="1">
      <c r="B2886" s="58" t="s">
        <v>22515</v>
      </c>
      <c r="D2886" s="58" t="s">
        <v>26619</v>
      </c>
      <c r="E2886" s="58" t="s">
        <v>26620</v>
      </c>
      <c r="I2886" s="58" t="s">
        <v>26621</v>
      </c>
      <c r="Q2886" s="58">
        <v>17.0</v>
      </c>
      <c r="R2886" s="58">
        <v>22.0</v>
      </c>
      <c r="CL2886" s="58" t="s">
        <v>26622</v>
      </c>
      <c r="CP2886" s="58" t="s">
        <v>26623</v>
      </c>
      <c r="CX2886" s="58" t="s">
        <v>26624</v>
      </c>
      <c r="CY2886" s="58" t="s">
        <v>26625</v>
      </c>
      <c r="CZ2886" s="58">
        <v>2022.0</v>
      </c>
      <c r="DA2886" s="58" t="s">
        <v>22802</v>
      </c>
      <c r="DB2886" s="58">
        <v>6436.0</v>
      </c>
      <c r="DF2886" s="58">
        <v>31.0</v>
      </c>
      <c r="DG2886" s="58" t="s">
        <v>26626</v>
      </c>
      <c r="DH2886" s="58" t="s">
        <v>22525</v>
      </c>
      <c r="DI2886" s="58" t="s">
        <v>22643</v>
      </c>
      <c r="DJ2886" s="58" t="s">
        <v>237</v>
      </c>
      <c r="DK2886" s="58" t="s">
        <v>26627</v>
      </c>
      <c r="DL2886" s="58" t="s">
        <v>26628</v>
      </c>
    </row>
    <row r="2887" ht="15.75" customHeight="1">
      <c r="B2887" s="58" t="s">
        <v>22515</v>
      </c>
      <c r="D2887" s="58" t="s">
        <v>26629</v>
      </c>
      <c r="E2887" s="58" t="s">
        <v>26630</v>
      </c>
      <c r="I2887" s="58" t="s">
        <v>26631</v>
      </c>
      <c r="Q2887" s="58">
        <v>4.0</v>
      </c>
      <c r="R2887" s="58">
        <v>8.0</v>
      </c>
      <c r="CL2887" s="58" t="s">
        <v>26632</v>
      </c>
      <c r="CP2887" s="58" t="s">
        <v>26633</v>
      </c>
      <c r="CX2887" s="58" t="s">
        <v>26634</v>
      </c>
      <c r="CY2887" s="58" t="s">
        <v>26635</v>
      </c>
      <c r="CZ2887" s="58">
        <v>2022.0</v>
      </c>
      <c r="DA2887" s="58" t="s">
        <v>23616</v>
      </c>
      <c r="DC2887" s="58">
        <v>476.0</v>
      </c>
      <c r="DD2887" s="58">
        <v>484.0</v>
      </c>
      <c r="DE2887" s="58">
        <v>8.0</v>
      </c>
      <c r="DF2887" s="58">
        <v>12.0</v>
      </c>
      <c r="DG2887" s="58" t="s">
        <v>26636</v>
      </c>
      <c r="DH2887" s="58" t="s">
        <v>22525</v>
      </c>
      <c r="DI2887" s="58" t="s">
        <v>22622</v>
      </c>
      <c r="DJ2887" s="58" t="s">
        <v>237</v>
      </c>
      <c r="DK2887" s="58" t="s">
        <v>26637</v>
      </c>
      <c r="DL2887" s="58" t="s">
        <v>26638</v>
      </c>
    </row>
    <row r="2888" ht="15.75" customHeight="1">
      <c r="B2888" s="58" t="s">
        <v>22515</v>
      </c>
      <c r="D2888" s="58" t="s">
        <v>26639</v>
      </c>
      <c r="E2888" s="58" t="s">
        <v>26640</v>
      </c>
      <c r="I2888" s="58" t="s">
        <v>26641</v>
      </c>
      <c r="R2888" s="58">
        <v>10.0</v>
      </c>
      <c r="CL2888" s="58" t="s">
        <v>26642</v>
      </c>
      <c r="CP2888" s="58" t="s">
        <v>26643</v>
      </c>
      <c r="CX2888" s="58" t="s">
        <v>26644</v>
      </c>
      <c r="CY2888" s="58" t="s">
        <v>26645</v>
      </c>
      <c r="CZ2888" s="58">
        <v>2022.0</v>
      </c>
      <c r="DA2888" s="58" t="s">
        <v>24511</v>
      </c>
      <c r="DB2888" s="58">
        <v>967856.0</v>
      </c>
      <c r="DF2888" s="58">
        <v>0.0</v>
      </c>
      <c r="DG2888" s="58" t="s">
        <v>26646</v>
      </c>
      <c r="DH2888" s="58" t="s">
        <v>22525</v>
      </c>
      <c r="DI2888" s="58" t="s">
        <v>22622</v>
      </c>
      <c r="DJ2888" s="58" t="s">
        <v>237</v>
      </c>
      <c r="DK2888" s="58" t="s">
        <v>26647</v>
      </c>
      <c r="DL2888" s="58" t="s">
        <v>26648</v>
      </c>
    </row>
    <row r="2889" ht="15.75" customHeight="1">
      <c r="B2889" s="58" t="s">
        <v>22515</v>
      </c>
      <c r="D2889" s="58" t="s">
        <v>26649</v>
      </c>
      <c r="E2889" s="58" t="s">
        <v>26650</v>
      </c>
      <c r="I2889" s="58" t="s">
        <v>26651</v>
      </c>
      <c r="Q2889" s="58">
        <v>14.0</v>
      </c>
      <c r="R2889" s="58">
        <v>12.0</v>
      </c>
      <c r="CL2889" s="58" t="s">
        <v>26652</v>
      </c>
      <c r="CP2889" s="58" t="s">
        <v>26653</v>
      </c>
      <c r="CX2889" s="58" t="s">
        <v>26654</v>
      </c>
      <c r="CY2889" s="58" t="s">
        <v>26655</v>
      </c>
      <c r="CZ2889" s="58">
        <v>2022.0</v>
      </c>
      <c r="DA2889" s="58" t="s">
        <v>23168</v>
      </c>
      <c r="DB2889" s="58">
        <v>6981.0</v>
      </c>
      <c r="DF2889" s="58">
        <v>20.0</v>
      </c>
      <c r="DG2889" s="58" t="s">
        <v>26656</v>
      </c>
      <c r="DH2889" s="58" t="s">
        <v>22525</v>
      </c>
      <c r="DI2889" s="58" t="s">
        <v>22622</v>
      </c>
      <c r="DJ2889" s="58" t="s">
        <v>237</v>
      </c>
      <c r="DK2889" s="58" t="s">
        <v>26657</v>
      </c>
    </row>
    <row r="2890" ht="15.75" customHeight="1">
      <c r="B2890" s="58" t="s">
        <v>22515</v>
      </c>
      <c r="D2890" s="58" t="s">
        <v>26658</v>
      </c>
      <c r="E2890" s="58" t="s">
        <v>26659</v>
      </c>
      <c r="I2890" s="58" t="s">
        <v>26660</v>
      </c>
      <c r="Q2890" s="58">
        <v>3.0</v>
      </c>
      <c r="R2890" s="58">
        <v>20.0</v>
      </c>
      <c r="CL2890" s="58" t="s">
        <v>26661</v>
      </c>
      <c r="CP2890" s="58" t="s">
        <v>26662</v>
      </c>
      <c r="CX2890" s="58" t="s">
        <v>26663</v>
      </c>
      <c r="CY2890" s="58" t="s">
        <v>26664</v>
      </c>
      <c r="CZ2890" s="58">
        <v>2022.0</v>
      </c>
      <c r="DA2890" s="58" t="s">
        <v>23482</v>
      </c>
      <c r="DB2890" s="58">
        <v>27.0</v>
      </c>
      <c r="DF2890" s="58">
        <v>9.0</v>
      </c>
      <c r="DG2890" s="58" t="s">
        <v>26665</v>
      </c>
      <c r="DH2890" s="58" t="s">
        <v>22525</v>
      </c>
      <c r="DJ2890" s="58" t="s">
        <v>237</v>
      </c>
      <c r="DK2890" s="58" t="s">
        <v>26666</v>
      </c>
      <c r="DL2890" s="58" t="s">
        <v>26667</v>
      </c>
    </row>
    <row r="2891" ht="15.75" customHeight="1">
      <c r="B2891" s="58" t="s">
        <v>22515</v>
      </c>
      <c r="D2891" s="58" t="s">
        <v>26668</v>
      </c>
      <c r="E2891" s="58" t="s">
        <v>26669</v>
      </c>
      <c r="I2891" s="58" t="s">
        <v>26670</v>
      </c>
      <c r="R2891" s="58">
        <v>120.0</v>
      </c>
      <c r="CL2891" s="58" t="s">
        <v>26671</v>
      </c>
      <c r="CP2891" s="58" t="s">
        <v>26672</v>
      </c>
      <c r="CX2891" s="58" t="s">
        <v>26673</v>
      </c>
      <c r="CY2891" s="58" t="s">
        <v>26674</v>
      </c>
      <c r="CZ2891" s="58">
        <v>2022.0</v>
      </c>
      <c r="DA2891" s="58" t="s">
        <v>26675</v>
      </c>
      <c r="DB2891" s="58">
        <v>102776.0</v>
      </c>
      <c r="DF2891" s="58">
        <v>7.0</v>
      </c>
      <c r="DG2891" s="58" t="s">
        <v>26676</v>
      </c>
      <c r="DH2891" s="58" t="s">
        <v>22525</v>
      </c>
      <c r="DI2891" s="58" t="s">
        <v>22526</v>
      </c>
      <c r="DJ2891" s="58" t="s">
        <v>237</v>
      </c>
      <c r="DK2891" s="58" t="s">
        <v>26677</v>
      </c>
      <c r="DL2891" s="58" t="s">
        <v>26678</v>
      </c>
    </row>
    <row r="2892" ht="15.75" customHeight="1">
      <c r="B2892" s="58" t="s">
        <v>22515</v>
      </c>
      <c r="D2892" s="58" t="s">
        <v>26679</v>
      </c>
      <c r="E2892" s="58" t="s">
        <v>26680</v>
      </c>
      <c r="I2892" s="58" t="s">
        <v>26681</v>
      </c>
      <c r="Q2892" s="58">
        <v>2.0</v>
      </c>
      <c r="R2892" s="58">
        <v>19.0</v>
      </c>
      <c r="CL2892" s="58" t="s">
        <v>26682</v>
      </c>
      <c r="CP2892" s="58" t="s">
        <v>26683</v>
      </c>
      <c r="CX2892" s="58" t="s">
        <v>26684</v>
      </c>
      <c r="CY2892" s="58" t="s">
        <v>26685</v>
      </c>
      <c r="CZ2892" s="58">
        <v>2022.0</v>
      </c>
      <c r="DA2892" s="58" t="s">
        <v>16959</v>
      </c>
      <c r="DC2892" s="58">
        <v>1382.0</v>
      </c>
      <c r="DD2892" s="58">
        <v>1398.0</v>
      </c>
      <c r="DE2892" s="58">
        <v>16.0</v>
      </c>
      <c r="DF2892" s="58">
        <v>10.0</v>
      </c>
      <c r="DG2892" s="58" t="s">
        <v>26686</v>
      </c>
      <c r="DH2892" s="58" t="s">
        <v>22525</v>
      </c>
      <c r="DJ2892" s="58" t="s">
        <v>237</v>
      </c>
      <c r="DK2892" s="58" t="s">
        <v>26687</v>
      </c>
      <c r="DL2892" s="58" t="s">
        <v>26688</v>
      </c>
    </row>
    <row r="2893" ht="15.75" customHeight="1">
      <c r="B2893" s="58" t="s">
        <v>22515</v>
      </c>
      <c r="D2893" s="58" t="s">
        <v>26689</v>
      </c>
      <c r="E2893" s="58" t="s">
        <v>26690</v>
      </c>
      <c r="I2893" s="58" t="s">
        <v>26691</v>
      </c>
      <c r="Q2893" s="58">
        <v>2.0</v>
      </c>
      <c r="R2893" s="58">
        <v>70.0</v>
      </c>
      <c r="CL2893" s="58" t="s">
        <v>26692</v>
      </c>
      <c r="CP2893" s="58" t="s">
        <v>26693</v>
      </c>
      <c r="CX2893" s="58" t="s">
        <v>26694</v>
      </c>
      <c r="CY2893" s="58" t="s">
        <v>26695</v>
      </c>
      <c r="CZ2893" s="58">
        <v>2022.0</v>
      </c>
      <c r="DA2893" s="58" t="s">
        <v>24370</v>
      </c>
      <c r="DC2893" s="58">
        <v>1058.0</v>
      </c>
      <c r="DD2893" s="58">
        <v>1071.0</v>
      </c>
      <c r="DE2893" s="58">
        <v>13.0</v>
      </c>
      <c r="DF2893" s="58">
        <v>35.0</v>
      </c>
      <c r="DG2893" s="58" t="s">
        <v>26696</v>
      </c>
      <c r="DH2893" s="58" t="s">
        <v>22525</v>
      </c>
      <c r="DJ2893" s="58" t="s">
        <v>237</v>
      </c>
      <c r="DK2893" s="58" t="s">
        <v>26697</v>
      </c>
      <c r="DL2893" s="58" t="s">
        <v>26698</v>
      </c>
    </row>
    <row r="2894" ht="15.75" customHeight="1">
      <c r="B2894" s="58" t="s">
        <v>22515</v>
      </c>
      <c r="D2894" s="58" t="s">
        <v>26699</v>
      </c>
      <c r="E2894" s="58" t="s">
        <v>26700</v>
      </c>
      <c r="I2894" s="58" t="s">
        <v>26701</v>
      </c>
      <c r="Q2894" s="58">
        <v>3.0</v>
      </c>
      <c r="R2894" s="58">
        <v>78.0</v>
      </c>
      <c r="CL2894" s="58" t="s">
        <v>26702</v>
      </c>
      <c r="CP2894" s="58" t="s">
        <v>26703</v>
      </c>
      <c r="CX2894" s="58" t="s">
        <v>26704</v>
      </c>
      <c r="CY2894" s="58" t="s">
        <v>26705</v>
      </c>
      <c r="CZ2894" s="58">
        <v>2022.0</v>
      </c>
      <c r="DA2894" s="58" t="s">
        <v>22535</v>
      </c>
      <c r="DC2894" s="58">
        <v>3374.0</v>
      </c>
      <c r="DD2894" s="58">
        <v>3401.0</v>
      </c>
      <c r="DE2894" s="58">
        <v>27.0</v>
      </c>
      <c r="DF2894" s="58">
        <v>40.0</v>
      </c>
      <c r="DG2894" s="58" t="s">
        <v>26706</v>
      </c>
      <c r="DH2894" s="58" t="s">
        <v>22525</v>
      </c>
      <c r="DI2894" s="58" t="s">
        <v>22526</v>
      </c>
      <c r="DJ2894" s="58" t="s">
        <v>237</v>
      </c>
      <c r="DK2894" s="58" t="s">
        <v>26707</v>
      </c>
      <c r="DL2894" s="58" t="s">
        <v>26708</v>
      </c>
    </row>
    <row r="2895" ht="15.75" customHeight="1">
      <c r="B2895" s="58" t="s">
        <v>22515</v>
      </c>
      <c r="D2895" s="58" t="s">
        <v>26709</v>
      </c>
      <c r="E2895" s="58" t="s">
        <v>26710</v>
      </c>
      <c r="I2895" s="58" t="s">
        <v>26711</v>
      </c>
      <c r="R2895" s="58">
        <v>135.0</v>
      </c>
      <c r="CL2895" s="58" t="s">
        <v>26712</v>
      </c>
      <c r="CP2895" s="58" t="s">
        <v>26713</v>
      </c>
      <c r="CX2895" s="58" t="s">
        <v>26714</v>
      </c>
      <c r="CY2895" s="58" t="s">
        <v>26715</v>
      </c>
      <c r="CZ2895" s="58">
        <v>2022.0</v>
      </c>
      <c r="DA2895" s="58" t="s">
        <v>23116</v>
      </c>
      <c r="DC2895" s="58">
        <v>315.0</v>
      </c>
      <c r="DD2895" s="58">
        <v>332.0</v>
      </c>
      <c r="DE2895" s="58">
        <v>17.0</v>
      </c>
      <c r="DF2895" s="58">
        <v>18.0</v>
      </c>
      <c r="DG2895" s="58" t="s">
        <v>26716</v>
      </c>
      <c r="DH2895" s="58" t="s">
        <v>22525</v>
      </c>
      <c r="DJ2895" s="58" t="s">
        <v>237</v>
      </c>
      <c r="DK2895" s="58" t="s">
        <v>26717</v>
      </c>
      <c r="DL2895" s="58" t="s">
        <v>26718</v>
      </c>
    </row>
    <row r="2896" ht="15.75" customHeight="1">
      <c r="B2896" s="58" t="s">
        <v>22515</v>
      </c>
      <c r="D2896" s="58" t="s">
        <v>26719</v>
      </c>
      <c r="E2896" s="58" t="s">
        <v>26720</v>
      </c>
      <c r="I2896" s="58" t="s">
        <v>26721</v>
      </c>
      <c r="Q2896" s="58">
        <v>8.0</v>
      </c>
      <c r="R2896" s="58">
        <v>14.0</v>
      </c>
      <c r="CL2896" s="58" t="s">
        <v>26722</v>
      </c>
      <c r="CP2896" s="58" t="s">
        <v>26723</v>
      </c>
      <c r="CX2896" s="58" t="s">
        <v>26724</v>
      </c>
      <c r="CY2896" s="58" t="s">
        <v>26725</v>
      </c>
      <c r="CZ2896" s="58">
        <v>2023.0</v>
      </c>
      <c r="DA2896" s="58" t="s">
        <v>26726</v>
      </c>
      <c r="DC2896" s="58">
        <v>947.0</v>
      </c>
      <c r="DD2896" s="58">
        <v>957.0</v>
      </c>
      <c r="DE2896" s="58">
        <v>10.0</v>
      </c>
      <c r="DF2896" s="58">
        <v>1.0</v>
      </c>
      <c r="DG2896" s="58" t="s">
        <v>26727</v>
      </c>
      <c r="DH2896" s="58" t="s">
        <v>22525</v>
      </c>
      <c r="DI2896" s="58" t="s">
        <v>22622</v>
      </c>
      <c r="DJ2896" s="58" t="s">
        <v>237</v>
      </c>
      <c r="DK2896" s="58" t="s">
        <v>26728</v>
      </c>
      <c r="DL2896" s="58" t="s">
        <v>26729</v>
      </c>
    </row>
    <row r="2897" ht="15.75" customHeight="1">
      <c r="B2897" s="58" t="s">
        <v>22515</v>
      </c>
      <c r="D2897" s="58" t="s">
        <v>26730</v>
      </c>
      <c r="E2897" s="58" t="s">
        <v>26731</v>
      </c>
      <c r="I2897" s="58" t="s">
        <v>26732</v>
      </c>
      <c r="Q2897" s="58">
        <v>3.0</v>
      </c>
      <c r="R2897" s="58">
        <v>30.0</v>
      </c>
      <c r="CL2897" s="58" t="s">
        <v>26733</v>
      </c>
      <c r="CP2897" s="58" t="s">
        <v>26734</v>
      </c>
      <c r="CX2897" s="58" t="s">
        <v>26735</v>
      </c>
      <c r="CY2897" s="58" t="s">
        <v>26736</v>
      </c>
      <c r="CZ2897" s="58">
        <v>2022.0</v>
      </c>
      <c r="DA2897" s="58" t="s">
        <v>23377</v>
      </c>
      <c r="DB2897" s="58">
        <v>47.0</v>
      </c>
      <c r="DF2897" s="58">
        <v>24.0</v>
      </c>
      <c r="DG2897" s="58" t="s">
        <v>26737</v>
      </c>
      <c r="DH2897" s="58" t="s">
        <v>22525</v>
      </c>
      <c r="DJ2897" s="58" t="s">
        <v>237</v>
      </c>
      <c r="DK2897" s="58" t="s">
        <v>26738</v>
      </c>
      <c r="DL2897" s="58" t="s">
        <v>26739</v>
      </c>
    </row>
    <row r="2898" ht="15.75" customHeight="1">
      <c r="B2898" s="58" t="s">
        <v>22771</v>
      </c>
      <c r="D2898" s="58" t="s">
        <v>26740</v>
      </c>
      <c r="E2898" s="58" t="s">
        <v>26741</v>
      </c>
      <c r="I2898" s="58" t="s">
        <v>26742</v>
      </c>
      <c r="R2898" s="58" t="s">
        <v>26743</v>
      </c>
      <c r="CL2898" s="58" t="s">
        <v>26744</v>
      </c>
      <c r="CP2898" s="58" t="s">
        <v>26745</v>
      </c>
      <c r="CX2898" s="58" t="s">
        <v>26746</v>
      </c>
      <c r="CY2898" s="58" t="s">
        <v>26747</v>
      </c>
      <c r="CZ2898" s="58">
        <v>2023.0</v>
      </c>
      <c r="DA2898" s="58" t="s">
        <v>26748</v>
      </c>
      <c r="DC2898" s="58">
        <v>444.0</v>
      </c>
      <c r="DD2898" s="58">
        <v>452.0</v>
      </c>
      <c r="DE2898" s="58">
        <v>8.0</v>
      </c>
      <c r="DF2898" s="58">
        <v>3.0</v>
      </c>
      <c r="DG2898" s="58" t="s">
        <v>26749</v>
      </c>
      <c r="DH2898" s="58" t="s">
        <v>22525</v>
      </c>
      <c r="DI2898" s="58" t="s">
        <v>22526</v>
      </c>
      <c r="DJ2898" s="58" t="s">
        <v>237</v>
      </c>
      <c r="DK2898" s="58" t="s">
        <v>26750</v>
      </c>
      <c r="DL2898" s="58" t="s">
        <v>26751</v>
      </c>
    </row>
    <row r="2899" ht="15.75" customHeight="1">
      <c r="B2899" s="58" t="s">
        <v>22515</v>
      </c>
      <c r="D2899" s="58" t="s">
        <v>26752</v>
      </c>
      <c r="E2899" s="58" t="s">
        <v>26753</v>
      </c>
      <c r="I2899" s="58" t="s">
        <v>26754</v>
      </c>
      <c r="R2899" s="58">
        <v>149.0</v>
      </c>
      <c r="CL2899" s="58" t="s">
        <v>26755</v>
      </c>
      <c r="CP2899" s="58" t="s">
        <v>26756</v>
      </c>
      <c r="CX2899" s="58" t="s">
        <v>26757</v>
      </c>
      <c r="CY2899" s="58" t="s">
        <v>26758</v>
      </c>
      <c r="CZ2899" s="58">
        <v>2022.0</v>
      </c>
      <c r="DA2899" s="58" t="s">
        <v>26759</v>
      </c>
      <c r="DB2899" s="58">
        <v>106944.0</v>
      </c>
      <c r="DF2899" s="58">
        <v>3.0</v>
      </c>
      <c r="DG2899" s="58" t="s">
        <v>26760</v>
      </c>
      <c r="DH2899" s="58" t="s">
        <v>22525</v>
      </c>
      <c r="DI2899" s="58" t="s">
        <v>22526</v>
      </c>
      <c r="DJ2899" s="58" t="s">
        <v>237</v>
      </c>
      <c r="DK2899" s="58" t="s">
        <v>26761</v>
      </c>
      <c r="DL2899" s="58" t="s">
        <v>26762</v>
      </c>
    </row>
    <row r="2900" ht="15.75" customHeight="1">
      <c r="B2900" s="58" t="s">
        <v>22515</v>
      </c>
      <c r="D2900" s="58" t="s">
        <v>26763</v>
      </c>
      <c r="E2900" s="58" t="s">
        <v>26764</v>
      </c>
      <c r="I2900" s="58" t="s">
        <v>26765</v>
      </c>
      <c r="Q2900" s="58">
        <v>1.0</v>
      </c>
      <c r="R2900" s="58">
        <v>7.0</v>
      </c>
      <c r="CL2900" s="58" t="s">
        <v>26766</v>
      </c>
      <c r="CP2900" s="58" t="s">
        <v>26767</v>
      </c>
      <c r="CX2900" s="58" t="s">
        <v>26768</v>
      </c>
      <c r="CY2900" s="58" t="s">
        <v>26769</v>
      </c>
      <c r="CZ2900" s="58">
        <v>2023.0</v>
      </c>
      <c r="DA2900" s="58" t="s">
        <v>26770</v>
      </c>
      <c r="DC2900" s="58">
        <v>1.0</v>
      </c>
      <c r="DD2900" s="58">
        <v>46.0</v>
      </c>
      <c r="DE2900" s="58">
        <v>45.0</v>
      </c>
      <c r="DF2900" s="58">
        <v>30.0</v>
      </c>
      <c r="DG2900" s="58" t="s">
        <v>26771</v>
      </c>
      <c r="DH2900" s="58" t="s">
        <v>22525</v>
      </c>
      <c r="DI2900" s="58" t="s">
        <v>22622</v>
      </c>
      <c r="DJ2900" s="58" t="s">
        <v>237</v>
      </c>
      <c r="DK2900" s="58" t="s">
        <v>26772</v>
      </c>
      <c r="DL2900" s="58" t="s">
        <v>26773</v>
      </c>
    </row>
    <row r="2901" ht="15.75" customHeight="1">
      <c r="B2901" s="58" t="s">
        <v>22515</v>
      </c>
      <c r="D2901" s="58" t="s">
        <v>26774</v>
      </c>
      <c r="E2901" s="58" t="s">
        <v>26775</v>
      </c>
      <c r="I2901" s="58" t="s">
        <v>26776</v>
      </c>
      <c r="Q2901" s="58">
        <v>3.0</v>
      </c>
      <c r="R2901" s="58">
        <v>3.0</v>
      </c>
      <c r="CL2901" s="58" t="s">
        <v>26777</v>
      </c>
      <c r="CP2901" s="58" t="s">
        <v>26778</v>
      </c>
      <c r="CX2901" s="58" t="s">
        <v>26779</v>
      </c>
      <c r="CY2901" s="58" t="s">
        <v>26780</v>
      </c>
      <c r="CZ2901" s="58">
        <v>2022.0</v>
      </c>
      <c r="DA2901" s="58" t="s">
        <v>26781</v>
      </c>
      <c r="DC2901" s="58">
        <v>587.0</v>
      </c>
      <c r="DD2901" s="58">
        <v>610.0</v>
      </c>
      <c r="DE2901" s="58">
        <v>23.0</v>
      </c>
      <c r="DF2901" s="58">
        <v>7.0</v>
      </c>
      <c r="DG2901" s="58" t="s">
        <v>26782</v>
      </c>
      <c r="DH2901" s="58" t="s">
        <v>22525</v>
      </c>
      <c r="DI2901" s="58" t="s">
        <v>22622</v>
      </c>
      <c r="DJ2901" s="58" t="s">
        <v>237</v>
      </c>
      <c r="DK2901" s="58" t="s">
        <v>26783</v>
      </c>
    </row>
    <row r="2902" ht="15.75" customHeight="1">
      <c r="B2902" s="58" t="s">
        <v>22771</v>
      </c>
      <c r="D2902" s="58" t="s">
        <v>26784</v>
      </c>
      <c r="E2902" s="58" t="s">
        <v>26785</v>
      </c>
      <c r="I2902" s="58" t="s">
        <v>26786</v>
      </c>
      <c r="CL2902" s="58" t="s">
        <v>26787</v>
      </c>
      <c r="CP2902" s="58" t="s">
        <v>26788</v>
      </c>
      <c r="CX2902" s="58" t="s">
        <v>26789</v>
      </c>
      <c r="CY2902" s="58" t="s">
        <v>26790</v>
      </c>
      <c r="CZ2902" s="58">
        <v>2023.0</v>
      </c>
      <c r="DA2902" s="58" t="s">
        <v>26791</v>
      </c>
      <c r="DF2902" s="58">
        <v>0.0</v>
      </c>
      <c r="DG2902" s="58" t="s">
        <v>26792</v>
      </c>
      <c r="DH2902" s="58" t="s">
        <v>22525</v>
      </c>
      <c r="DJ2902" s="58" t="s">
        <v>237</v>
      </c>
      <c r="DK2902" s="58" t="s">
        <v>26793</v>
      </c>
      <c r="DL2902" s="58" t="s">
        <v>26794</v>
      </c>
    </row>
    <row r="2903" ht="15.75" customHeight="1">
      <c r="B2903" s="58" t="s">
        <v>22515</v>
      </c>
      <c r="D2903" s="58" t="s">
        <v>26795</v>
      </c>
      <c r="E2903" s="58" t="s">
        <v>26796</v>
      </c>
      <c r="I2903" s="58" t="s">
        <v>26797</v>
      </c>
      <c r="Q2903" s="58">
        <v>10.0</v>
      </c>
      <c r="R2903" s="58">
        <v>35.0</v>
      </c>
      <c r="CL2903" s="58" t="s">
        <v>26798</v>
      </c>
      <c r="CP2903" s="58" t="s">
        <v>26799</v>
      </c>
      <c r="CX2903" s="58" t="s">
        <v>26800</v>
      </c>
      <c r="CY2903" s="58" t="s">
        <v>26801</v>
      </c>
      <c r="CZ2903" s="58">
        <v>2022.0</v>
      </c>
      <c r="DA2903" s="58" t="s">
        <v>22813</v>
      </c>
      <c r="DB2903" s="58" t="s">
        <v>26802</v>
      </c>
      <c r="DF2903" s="58">
        <v>17.0</v>
      </c>
      <c r="DG2903" s="58" t="s">
        <v>26803</v>
      </c>
      <c r="DH2903" s="58" t="s">
        <v>22525</v>
      </c>
      <c r="DJ2903" s="58" t="s">
        <v>237</v>
      </c>
      <c r="DK2903" s="58" t="s">
        <v>26804</v>
      </c>
      <c r="DL2903" s="58" t="s">
        <v>26805</v>
      </c>
    </row>
    <row r="2904" ht="15.75" customHeight="1">
      <c r="B2904" s="58" t="s">
        <v>22515</v>
      </c>
      <c r="D2904" s="58" t="s">
        <v>26806</v>
      </c>
      <c r="E2904" s="58" t="s">
        <v>26807</v>
      </c>
      <c r="I2904" s="58" t="s">
        <v>26808</v>
      </c>
      <c r="Q2904" s="58">
        <v>7.0</v>
      </c>
      <c r="R2904" s="58">
        <v>14.0</v>
      </c>
      <c r="CL2904" s="58" t="s">
        <v>26809</v>
      </c>
      <c r="CP2904" s="58" t="s">
        <v>26810</v>
      </c>
      <c r="CX2904" s="58" t="s">
        <v>26811</v>
      </c>
      <c r="CY2904" s="58" t="s">
        <v>26812</v>
      </c>
      <c r="CZ2904" s="58">
        <v>2023.0</v>
      </c>
      <c r="DA2904" s="58" t="s">
        <v>26726</v>
      </c>
      <c r="DC2904" s="58">
        <v>1059.0</v>
      </c>
      <c r="DD2904" s="58">
        <v>1071.0</v>
      </c>
      <c r="DE2904" s="58">
        <v>12.0</v>
      </c>
      <c r="DF2904" s="58">
        <v>2.0</v>
      </c>
      <c r="DG2904" s="58" t="s">
        <v>26813</v>
      </c>
      <c r="DH2904" s="58" t="s">
        <v>22525</v>
      </c>
      <c r="DI2904" s="58" t="s">
        <v>22622</v>
      </c>
      <c r="DJ2904" s="58" t="s">
        <v>237</v>
      </c>
      <c r="DK2904" s="58" t="s">
        <v>26814</v>
      </c>
      <c r="DL2904" s="58" t="s">
        <v>26815</v>
      </c>
    </row>
    <row r="2905" ht="15.75" customHeight="1">
      <c r="B2905" s="58" t="s">
        <v>22515</v>
      </c>
      <c r="D2905" s="58" t="s">
        <v>26816</v>
      </c>
      <c r="E2905" s="58" t="s">
        <v>26817</v>
      </c>
      <c r="I2905" s="58" t="s">
        <v>26818</v>
      </c>
      <c r="R2905" s="58">
        <v>134.0</v>
      </c>
      <c r="CL2905" s="58" t="s">
        <v>26819</v>
      </c>
      <c r="CP2905" s="58" t="s">
        <v>26820</v>
      </c>
      <c r="CX2905" s="58" t="s">
        <v>26821</v>
      </c>
      <c r="CY2905" s="58" t="s">
        <v>26822</v>
      </c>
      <c r="CZ2905" s="58">
        <v>2022.0</v>
      </c>
      <c r="DA2905" s="58" t="s">
        <v>23116</v>
      </c>
      <c r="DC2905" s="58">
        <v>204.0</v>
      </c>
      <c r="DD2905" s="58">
        <v>218.0</v>
      </c>
      <c r="DE2905" s="58">
        <v>14.0</v>
      </c>
      <c r="DF2905" s="58">
        <v>9.0</v>
      </c>
      <c r="DG2905" s="58" t="s">
        <v>26823</v>
      </c>
      <c r="DH2905" s="58" t="s">
        <v>22525</v>
      </c>
      <c r="DJ2905" s="58" t="s">
        <v>237</v>
      </c>
      <c r="DK2905" s="58" t="s">
        <v>26824</v>
      </c>
      <c r="DL2905" s="58" t="s">
        <v>26825</v>
      </c>
    </row>
    <row r="2906" ht="15.75" customHeight="1">
      <c r="B2906" s="58" t="s">
        <v>22515</v>
      </c>
      <c r="D2906" s="58" t="s">
        <v>26826</v>
      </c>
      <c r="E2906" s="58" t="s">
        <v>26827</v>
      </c>
      <c r="I2906" s="58" t="s">
        <v>26828</v>
      </c>
      <c r="Q2906" s="58">
        <v>23.0</v>
      </c>
      <c r="R2906" s="58">
        <v>11.0</v>
      </c>
      <c r="CL2906" s="58" t="s">
        <v>26829</v>
      </c>
      <c r="CP2906" s="58" t="s">
        <v>26830</v>
      </c>
      <c r="CX2906" s="58" t="s">
        <v>26831</v>
      </c>
      <c r="CY2906" s="58" t="s">
        <v>26832</v>
      </c>
      <c r="CZ2906" s="58">
        <v>2022.0</v>
      </c>
      <c r="DA2906" s="58" t="s">
        <v>23242</v>
      </c>
      <c r="DB2906" s="58">
        <v>3982.0</v>
      </c>
      <c r="DF2906" s="58">
        <v>8.0</v>
      </c>
      <c r="DG2906" s="58" t="s">
        <v>26833</v>
      </c>
      <c r="DH2906" s="58" t="s">
        <v>22525</v>
      </c>
      <c r="DI2906" s="58" t="s">
        <v>22643</v>
      </c>
      <c r="DJ2906" s="58" t="s">
        <v>237</v>
      </c>
      <c r="DK2906" s="58" t="s">
        <v>26834</v>
      </c>
    </row>
    <row r="2907" ht="15.75" customHeight="1">
      <c r="B2907" s="58" t="s">
        <v>22515</v>
      </c>
      <c r="D2907" s="58" t="s">
        <v>26835</v>
      </c>
      <c r="E2907" s="58" t="s">
        <v>26836</v>
      </c>
      <c r="I2907" s="58" t="s">
        <v>26837</v>
      </c>
      <c r="Q2907" s="58">
        <v>1.0</v>
      </c>
      <c r="R2907" s="58">
        <v>4.0</v>
      </c>
      <c r="CL2907" s="58" t="s">
        <v>26838</v>
      </c>
      <c r="CP2907" s="58" t="s">
        <v>26839</v>
      </c>
      <c r="CX2907" s="58" t="s">
        <v>26840</v>
      </c>
      <c r="CY2907" s="58" t="s">
        <v>26841</v>
      </c>
      <c r="CZ2907" s="58">
        <v>2023.0</v>
      </c>
      <c r="DA2907" s="58" t="s">
        <v>26842</v>
      </c>
      <c r="DC2907" s="58">
        <v>60.0</v>
      </c>
      <c r="DD2907" s="58">
        <v>70.0</v>
      </c>
      <c r="DE2907" s="58">
        <v>10.0</v>
      </c>
      <c r="DF2907" s="58">
        <v>3.0</v>
      </c>
      <c r="DG2907" s="58" t="s">
        <v>26843</v>
      </c>
      <c r="DH2907" s="58" t="s">
        <v>22525</v>
      </c>
      <c r="DI2907" s="58" t="s">
        <v>22622</v>
      </c>
      <c r="DJ2907" s="58" t="s">
        <v>237</v>
      </c>
      <c r="DK2907" s="58" t="s">
        <v>26844</v>
      </c>
    </row>
    <row r="2908" ht="15.75" customHeight="1">
      <c r="B2908" s="58" t="s">
        <v>22515</v>
      </c>
      <c r="D2908" s="58" t="s">
        <v>26845</v>
      </c>
      <c r="E2908" s="58" t="s">
        <v>26846</v>
      </c>
      <c r="I2908" s="58" t="s">
        <v>26847</v>
      </c>
      <c r="Q2908" s="58">
        <v>10.0</v>
      </c>
      <c r="R2908" s="58">
        <v>33.0</v>
      </c>
      <c r="CL2908" s="58" t="s">
        <v>26848</v>
      </c>
      <c r="CP2908" s="58" t="s">
        <v>26849</v>
      </c>
      <c r="CX2908" s="58" t="s">
        <v>26850</v>
      </c>
      <c r="CY2908" s="58" t="s">
        <v>26851</v>
      </c>
      <c r="CZ2908" s="58">
        <v>2022.0</v>
      </c>
      <c r="DA2908" s="58" t="s">
        <v>17164</v>
      </c>
      <c r="DC2908" s="58">
        <v>2496.0</v>
      </c>
      <c r="DD2908" s="58">
        <v>2508.0</v>
      </c>
      <c r="DE2908" s="58">
        <v>12.0</v>
      </c>
      <c r="DF2908" s="58">
        <v>45.0</v>
      </c>
      <c r="DG2908" s="58" t="s">
        <v>26852</v>
      </c>
      <c r="DH2908" s="58" t="s">
        <v>22525</v>
      </c>
      <c r="DJ2908" s="58" t="s">
        <v>237</v>
      </c>
      <c r="DK2908" s="58" t="s">
        <v>26853</v>
      </c>
      <c r="DL2908" s="58" t="s">
        <v>26854</v>
      </c>
    </row>
    <row r="2909" ht="15.75" customHeight="1">
      <c r="B2909" s="58" t="s">
        <v>22515</v>
      </c>
      <c r="D2909" s="58" t="s">
        <v>26855</v>
      </c>
      <c r="E2909" s="58" t="s">
        <v>26856</v>
      </c>
      <c r="I2909" s="58" t="s">
        <v>26857</v>
      </c>
      <c r="Q2909" s="58">
        <v>18.0</v>
      </c>
      <c r="R2909" s="58">
        <v>13.0</v>
      </c>
      <c r="CL2909" s="58" t="s">
        <v>26858</v>
      </c>
      <c r="CP2909" s="58" t="s">
        <v>26859</v>
      </c>
      <c r="CX2909" s="58" t="s">
        <v>26860</v>
      </c>
      <c r="CY2909" s="58" t="s">
        <v>26861</v>
      </c>
      <c r="CZ2909" s="58">
        <v>2021.0</v>
      </c>
      <c r="DA2909" s="58" t="s">
        <v>25285</v>
      </c>
      <c r="DB2909" s="58">
        <v>10057.0</v>
      </c>
      <c r="DF2909" s="58">
        <v>53.0</v>
      </c>
      <c r="DG2909" s="58" t="s">
        <v>26862</v>
      </c>
      <c r="DH2909" s="58" t="s">
        <v>22525</v>
      </c>
      <c r="DI2909" s="58" t="s">
        <v>22643</v>
      </c>
      <c r="DJ2909" s="58" t="s">
        <v>237</v>
      </c>
      <c r="DK2909" s="58" t="s">
        <v>26863</v>
      </c>
      <c r="DL2909" s="58" t="s">
        <v>26864</v>
      </c>
    </row>
    <row r="2910" ht="15.75" customHeight="1">
      <c r="B2910" s="58" t="s">
        <v>22515</v>
      </c>
      <c r="D2910" s="58" t="s">
        <v>26120</v>
      </c>
      <c r="E2910" s="58" t="s">
        <v>26865</v>
      </c>
      <c r="I2910" s="58" t="s">
        <v>26866</v>
      </c>
      <c r="R2910" s="58">
        <v>25.0</v>
      </c>
      <c r="CL2910" s="58" t="s">
        <v>26867</v>
      </c>
      <c r="CP2910" s="58" t="s">
        <v>26868</v>
      </c>
      <c r="CX2910" s="58" t="s">
        <v>26125</v>
      </c>
      <c r="CY2910" s="58" t="s">
        <v>26126</v>
      </c>
      <c r="CZ2910" s="58">
        <v>2021.0</v>
      </c>
      <c r="DA2910" s="58" t="s">
        <v>26869</v>
      </c>
      <c r="DB2910" s="58">
        <v>100209.0</v>
      </c>
      <c r="DF2910" s="58">
        <v>29.0</v>
      </c>
      <c r="DG2910" s="58" t="s">
        <v>26870</v>
      </c>
      <c r="DH2910" s="58" t="s">
        <v>22525</v>
      </c>
      <c r="DI2910" s="58" t="s">
        <v>22816</v>
      </c>
      <c r="DJ2910" s="58" t="s">
        <v>237</v>
      </c>
      <c r="DK2910" s="58" t="s">
        <v>26871</v>
      </c>
      <c r="DL2910" s="58" t="s">
        <v>26872</v>
      </c>
    </row>
    <row r="2911" ht="15.75" customHeight="1">
      <c r="B2911" s="58" t="s">
        <v>22515</v>
      </c>
      <c r="D2911" s="58" t="s">
        <v>26873</v>
      </c>
      <c r="E2911" s="58" t="s">
        <v>26874</v>
      </c>
      <c r="I2911" s="58" t="s">
        <v>26875</v>
      </c>
      <c r="Q2911" s="58">
        <v>12.0</v>
      </c>
      <c r="R2911" s="58">
        <v>32.0</v>
      </c>
      <c r="CL2911" s="58" t="s">
        <v>26876</v>
      </c>
      <c r="CX2911" s="58" t="s">
        <v>26877</v>
      </c>
      <c r="CY2911" s="58">
        <v>2.78675648E10</v>
      </c>
      <c r="CZ2911" s="58">
        <v>2021.0</v>
      </c>
      <c r="DA2911" s="58" t="s">
        <v>24552</v>
      </c>
      <c r="DB2911" s="58" t="s">
        <v>26878</v>
      </c>
      <c r="DF2911" s="58">
        <v>7.0</v>
      </c>
      <c r="DG2911" s="58" t="s">
        <v>26879</v>
      </c>
      <c r="DH2911" s="58" t="s">
        <v>22525</v>
      </c>
      <c r="DJ2911" s="58" t="s">
        <v>237</v>
      </c>
      <c r="DK2911" s="58" t="s">
        <v>26880</v>
      </c>
      <c r="DL2911" s="58" t="s">
        <v>26881</v>
      </c>
    </row>
    <row r="2912" ht="15.75" customHeight="1">
      <c r="B2912" s="58" t="s">
        <v>22771</v>
      </c>
      <c r="D2912" s="58" t="s">
        <v>26882</v>
      </c>
      <c r="E2912" s="58" t="s">
        <v>26883</v>
      </c>
      <c r="I2912" s="58" t="s">
        <v>26884</v>
      </c>
      <c r="CL2912" s="58" t="s">
        <v>26885</v>
      </c>
      <c r="CP2912" s="58" t="s">
        <v>26886</v>
      </c>
      <c r="CX2912" s="58" t="s">
        <v>26887</v>
      </c>
      <c r="CY2912" s="58" t="s">
        <v>26888</v>
      </c>
      <c r="CZ2912" s="58">
        <v>2021.0</v>
      </c>
      <c r="DA2912" s="58" t="s">
        <v>26889</v>
      </c>
      <c r="DF2912" s="58">
        <v>1.0</v>
      </c>
      <c r="DG2912" s="58" t="s">
        <v>26890</v>
      </c>
      <c r="DH2912" s="58" t="s">
        <v>22525</v>
      </c>
      <c r="DJ2912" s="58" t="s">
        <v>237</v>
      </c>
      <c r="DK2912" s="58" t="s">
        <v>26891</v>
      </c>
      <c r="DL2912" s="58" t="s">
        <v>26892</v>
      </c>
    </row>
    <row r="2913" ht="15.75" customHeight="1">
      <c r="B2913" s="58" t="s">
        <v>22771</v>
      </c>
      <c r="D2913" s="58" t="s">
        <v>26893</v>
      </c>
      <c r="E2913" s="58" t="s">
        <v>26894</v>
      </c>
      <c r="I2913" s="58" t="s">
        <v>26895</v>
      </c>
      <c r="CL2913" s="58" t="s">
        <v>26896</v>
      </c>
      <c r="CP2913" s="58" t="s">
        <v>26897</v>
      </c>
      <c r="CX2913" s="58" t="s">
        <v>26898</v>
      </c>
      <c r="CY2913" s="58" t="s">
        <v>26899</v>
      </c>
      <c r="CZ2913" s="58">
        <v>2022.0</v>
      </c>
      <c r="DA2913" s="58" t="s">
        <v>26900</v>
      </c>
      <c r="DC2913" s="58">
        <v>340.0</v>
      </c>
      <c r="DD2913" s="58">
        <v>343.0</v>
      </c>
      <c r="DE2913" s="58">
        <v>3.0</v>
      </c>
      <c r="DF2913" s="58">
        <v>0.0</v>
      </c>
      <c r="DG2913" s="58" t="s">
        <v>26901</v>
      </c>
      <c r="DH2913" s="58" t="s">
        <v>22525</v>
      </c>
      <c r="DJ2913" s="58" t="s">
        <v>237</v>
      </c>
      <c r="DK2913" s="58" t="s">
        <v>26902</v>
      </c>
      <c r="DL2913" s="58" t="s">
        <v>26903</v>
      </c>
    </row>
    <row r="2914" ht="15.75" customHeight="1">
      <c r="B2914" s="58" t="s">
        <v>22771</v>
      </c>
      <c r="D2914" s="58" t="s">
        <v>26904</v>
      </c>
      <c r="E2914" s="58" t="s">
        <v>26905</v>
      </c>
      <c r="I2914" s="58" t="s">
        <v>26906</v>
      </c>
      <c r="R2914" s="58">
        <v>306.0</v>
      </c>
      <c r="CL2914" s="58" t="s">
        <v>26907</v>
      </c>
      <c r="CP2914" s="58" t="s">
        <v>26908</v>
      </c>
      <c r="CX2914" s="58" t="s">
        <v>26909</v>
      </c>
      <c r="CY2914" s="58" t="s">
        <v>26910</v>
      </c>
      <c r="CZ2914" s="58">
        <v>2022.0</v>
      </c>
      <c r="DA2914" s="58" t="s">
        <v>23905</v>
      </c>
      <c r="DC2914" s="58">
        <v>209.0</v>
      </c>
      <c r="DD2914" s="58">
        <v>228.0</v>
      </c>
      <c r="DE2914" s="58">
        <v>19.0</v>
      </c>
      <c r="DF2914" s="58">
        <v>0.0</v>
      </c>
      <c r="DG2914" s="58" t="s">
        <v>26911</v>
      </c>
      <c r="DH2914" s="58" t="s">
        <v>22525</v>
      </c>
      <c r="DJ2914" s="58" t="s">
        <v>237</v>
      </c>
      <c r="DK2914" s="58" t="s">
        <v>26912</v>
      </c>
    </row>
    <row r="2915" ht="15.75" customHeight="1">
      <c r="B2915" s="58" t="s">
        <v>22515</v>
      </c>
      <c r="D2915" s="58" t="s">
        <v>26913</v>
      </c>
      <c r="E2915" s="58" t="s">
        <v>26914</v>
      </c>
      <c r="I2915" s="58" t="s">
        <v>26915</v>
      </c>
      <c r="R2915" s="58">
        <v>8.0</v>
      </c>
      <c r="CL2915" s="58" t="s">
        <v>26916</v>
      </c>
      <c r="CP2915" s="58" t="s">
        <v>26917</v>
      </c>
      <c r="CX2915" s="58" t="s">
        <v>26918</v>
      </c>
      <c r="CY2915" s="58" t="s">
        <v>26919</v>
      </c>
      <c r="CZ2915" s="58">
        <v>2022.0</v>
      </c>
      <c r="DA2915" s="58" t="s">
        <v>26920</v>
      </c>
      <c r="DB2915" s="58" t="s">
        <v>26921</v>
      </c>
      <c r="DF2915" s="58">
        <v>21.0</v>
      </c>
      <c r="DG2915" s="58" t="s">
        <v>26922</v>
      </c>
      <c r="DH2915" s="58" t="s">
        <v>22525</v>
      </c>
      <c r="DI2915" s="58" t="s">
        <v>22643</v>
      </c>
      <c r="DJ2915" s="58" t="s">
        <v>237</v>
      </c>
      <c r="DK2915" s="58" t="s">
        <v>26923</v>
      </c>
      <c r="DL2915" s="58" t="s">
        <v>26924</v>
      </c>
    </row>
    <row r="2916" ht="15.75" customHeight="1">
      <c r="B2916" s="58" t="s">
        <v>22771</v>
      </c>
      <c r="D2916" s="58" t="s">
        <v>26925</v>
      </c>
      <c r="E2916" s="58" t="s">
        <v>26926</v>
      </c>
      <c r="I2916" s="58" t="s">
        <v>26927</v>
      </c>
      <c r="R2916" s="58" t="s">
        <v>26928</v>
      </c>
      <c r="CL2916" s="58" t="s">
        <v>26929</v>
      </c>
      <c r="CP2916" s="58" t="s">
        <v>26930</v>
      </c>
      <c r="CX2916" s="58" t="s">
        <v>26931</v>
      </c>
      <c r="CY2916" s="58" t="s">
        <v>26932</v>
      </c>
      <c r="CZ2916" s="58">
        <v>2022.0</v>
      </c>
      <c r="DA2916" s="58" t="s">
        <v>22912</v>
      </c>
      <c r="DC2916" s="58">
        <v>189.0</v>
      </c>
      <c r="DD2916" s="58">
        <v>200.0</v>
      </c>
      <c r="DE2916" s="58">
        <v>11.0</v>
      </c>
      <c r="DF2916" s="58">
        <v>0.0</v>
      </c>
      <c r="DG2916" s="58" t="s">
        <v>26933</v>
      </c>
      <c r="DH2916" s="58" t="s">
        <v>22525</v>
      </c>
      <c r="DJ2916" s="58" t="s">
        <v>237</v>
      </c>
      <c r="DK2916" s="58" t="s">
        <v>26934</v>
      </c>
      <c r="DL2916" s="58" t="s">
        <v>26935</v>
      </c>
    </row>
    <row r="2917" ht="15.75" customHeight="1">
      <c r="B2917" s="58" t="s">
        <v>22515</v>
      </c>
      <c r="D2917" s="58" t="s">
        <v>26936</v>
      </c>
      <c r="E2917" s="58" t="s">
        <v>26937</v>
      </c>
      <c r="I2917" s="58" t="s">
        <v>26938</v>
      </c>
      <c r="R2917" s="58">
        <v>2022.0</v>
      </c>
      <c r="CL2917" s="58" t="s">
        <v>26939</v>
      </c>
      <c r="CX2917" s="58" t="s">
        <v>26940</v>
      </c>
      <c r="CY2917" s="58" t="s">
        <v>26941</v>
      </c>
      <c r="CZ2917" s="58">
        <v>2022.0</v>
      </c>
      <c r="DA2917" s="58" t="s">
        <v>26942</v>
      </c>
      <c r="DB2917" s="58">
        <v>2372748.0</v>
      </c>
      <c r="DF2917" s="58">
        <v>13.0</v>
      </c>
      <c r="DG2917" s="58" t="s">
        <v>26943</v>
      </c>
      <c r="DH2917" s="58" t="s">
        <v>22525</v>
      </c>
      <c r="DI2917" s="58" t="s">
        <v>22622</v>
      </c>
      <c r="DJ2917" s="58" t="s">
        <v>237</v>
      </c>
      <c r="DK2917" s="58" t="s">
        <v>26944</v>
      </c>
      <c r="DL2917" s="58" t="s">
        <v>26945</v>
      </c>
    </row>
    <row r="2918" ht="15.75" customHeight="1">
      <c r="B2918" s="58" t="s">
        <v>22771</v>
      </c>
      <c r="D2918" s="58" t="s">
        <v>25657</v>
      </c>
      <c r="E2918" s="58" t="s">
        <v>26946</v>
      </c>
      <c r="I2918" s="58" t="s">
        <v>26947</v>
      </c>
      <c r="CL2918" s="58" t="s">
        <v>26948</v>
      </c>
      <c r="CP2918" s="58" t="s">
        <v>26949</v>
      </c>
      <c r="CX2918" s="58" t="s">
        <v>25662</v>
      </c>
      <c r="CY2918" s="58" t="s">
        <v>25663</v>
      </c>
      <c r="CZ2918" s="58">
        <v>2022.0</v>
      </c>
      <c r="DA2918" s="58" t="s">
        <v>26950</v>
      </c>
      <c r="DC2918" s="58">
        <v>28.0</v>
      </c>
      <c r="DD2918" s="58">
        <v>40.0</v>
      </c>
      <c r="DE2918" s="58">
        <v>12.0</v>
      </c>
      <c r="DF2918" s="58">
        <v>4.0</v>
      </c>
      <c r="DG2918" s="58" t="s">
        <v>26951</v>
      </c>
      <c r="DH2918" s="58" t="s">
        <v>22525</v>
      </c>
      <c r="DI2918" s="58" t="s">
        <v>22816</v>
      </c>
      <c r="DJ2918" s="58" t="s">
        <v>237</v>
      </c>
      <c r="DK2918" s="58" t="s">
        <v>26952</v>
      </c>
      <c r="DL2918" s="58" t="s">
        <v>26953</v>
      </c>
    </row>
    <row r="2919" ht="15.75" customHeight="1">
      <c r="B2919" s="58" t="s">
        <v>22515</v>
      </c>
      <c r="D2919" s="58" t="s">
        <v>26954</v>
      </c>
      <c r="E2919" s="58" t="s">
        <v>26955</v>
      </c>
      <c r="I2919" s="58" t="s">
        <v>26956</v>
      </c>
      <c r="Q2919" s="58">
        <v>9.0</v>
      </c>
      <c r="R2919" s="58">
        <v>46.0</v>
      </c>
      <c r="CL2919" s="58" t="s">
        <v>26957</v>
      </c>
      <c r="CP2919" s="58" t="s">
        <v>26958</v>
      </c>
      <c r="CX2919" s="58" t="s">
        <v>26959</v>
      </c>
      <c r="CY2919" s="58" t="s">
        <v>26960</v>
      </c>
      <c r="CZ2919" s="58">
        <v>2021.0</v>
      </c>
      <c r="DA2919" s="58" t="s">
        <v>26961</v>
      </c>
      <c r="DC2919" s="58">
        <v>8585.0</v>
      </c>
      <c r="DD2919" s="58">
        <v>8601.0</v>
      </c>
      <c r="DE2919" s="58">
        <v>16.0</v>
      </c>
      <c r="DF2919" s="58">
        <v>73.0</v>
      </c>
      <c r="DG2919" s="58" t="s">
        <v>26962</v>
      </c>
      <c r="DH2919" s="58" t="s">
        <v>22525</v>
      </c>
      <c r="DJ2919" s="58" t="s">
        <v>237</v>
      </c>
      <c r="DK2919" s="58" t="s">
        <v>26963</v>
      </c>
    </row>
    <row r="2920" ht="15.75" customHeight="1">
      <c r="B2920" s="58" t="s">
        <v>22515</v>
      </c>
      <c r="D2920" s="58" t="s">
        <v>26964</v>
      </c>
      <c r="E2920" s="58" t="s">
        <v>26965</v>
      </c>
      <c r="I2920" s="58" t="s">
        <v>26966</v>
      </c>
      <c r="R2920" s="58">
        <v>10.0</v>
      </c>
      <c r="CL2920" s="58" t="s">
        <v>26967</v>
      </c>
      <c r="CP2920" s="58" t="s">
        <v>26968</v>
      </c>
      <c r="CX2920" s="58" t="s">
        <v>26969</v>
      </c>
      <c r="CY2920" s="58" t="s">
        <v>26970</v>
      </c>
      <c r="CZ2920" s="58">
        <v>2022.0</v>
      </c>
      <c r="DA2920" s="58" t="s">
        <v>16436</v>
      </c>
      <c r="DC2920" s="58">
        <v>84853.0</v>
      </c>
      <c r="DD2920" s="58">
        <v>84881.0</v>
      </c>
      <c r="DE2920" s="58">
        <v>28.0</v>
      </c>
      <c r="DF2920" s="58">
        <v>26.0</v>
      </c>
      <c r="DG2920" s="58" t="s">
        <v>26971</v>
      </c>
      <c r="DH2920" s="58" t="s">
        <v>22525</v>
      </c>
      <c r="DI2920" s="58" t="s">
        <v>22622</v>
      </c>
      <c r="DJ2920" s="58" t="s">
        <v>237</v>
      </c>
      <c r="DK2920" s="58" t="s">
        <v>26972</v>
      </c>
      <c r="DL2920" s="58" t="s">
        <v>26973</v>
      </c>
    </row>
    <row r="2921" ht="15.75" customHeight="1">
      <c r="B2921" s="58" t="s">
        <v>22771</v>
      </c>
      <c r="D2921" s="58" t="s">
        <v>26974</v>
      </c>
      <c r="E2921" s="58" t="s">
        <v>26975</v>
      </c>
      <c r="I2921" s="58" t="s">
        <v>26976</v>
      </c>
      <c r="CL2921" s="58" t="s">
        <v>26977</v>
      </c>
      <c r="CP2921" s="58" t="s">
        <v>26978</v>
      </c>
      <c r="CX2921" s="58" t="s">
        <v>26979</v>
      </c>
      <c r="CY2921" s="58">
        <v>5.79267348E10</v>
      </c>
      <c r="CZ2921" s="58">
        <v>2022.0</v>
      </c>
      <c r="DA2921" s="58" t="s">
        <v>26980</v>
      </c>
      <c r="DC2921" s="58">
        <v>351.0</v>
      </c>
      <c r="DD2921" s="58">
        <v>358.0</v>
      </c>
      <c r="DE2921" s="58">
        <v>7.0</v>
      </c>
      <c r="DF2921" s="58">
        <v>1.0</v>
      </c>
      <c r="DG2921" s="58" t="s">
        <v>26981</v>
      </c>
      <c r="DH2921" s="58" t="s">
        <v>22525</v>
      </c>
      <c r="DJ2921" s="58" t="s">
        <v>237</v>
      </c>
      <c r="DK2921" s="58" t="s">
        <v>26982</v>
      </c>
      <c r="DL2921" s="58" t="s">
        <v>26983</v>
      </c>
    </row>
    <row r="2922" ht="15.75" customHeight="1">
      <c r="B2922" s="58" t="s">
        <v>22515</v>
      </c>
      <c r="D2922" s="58" t="s">
        <v>26984</v>
      </c>
      <c r="E2922" s="58" t="s">
        <v>26985</v>
      </c>
      <c r="I2922" s="58" t="s">
        <v>26986</v>
      </c>
      <c r="R2922" s="58">
        <v>2022.0</v>
      </c>
      <c r="CL2922" s="58" t="s">
        <v>26987</v>
      </c>
      <c r="CX2922" s="58" t="s">
        <v>26988</v>
      </c>
      <c r="CY2922" s="58" t="s">
        <v>26989</v>
      </c>
      <c r="CZ2922" s="58">
        <v>2022.0</v>
      </c>
      <c r="DA2922" s="58" t="s">
        <v>26990</v>
      </c>
      <c r="DB2922" s="58">
        <v>1344720.0</v>
      </c>
      <c r="DF2922" s="58">
        <v>0.0</v>
      </c>
      <c r="DG2922" s="58" t="s">
        <v>26991</v>
      </c>
      <c r="DH2922" s="58" t="s">
        <v>22525</v>
      </c>
      <c r="DI2922" s="58" t="s">
        <v>22622</v>
      </c>
      <c r="DJ2922" s="58" t="s">
        <v>237</v>
      </c>
      <c r="DK2922" s="58" t="s">
        <v>26992</v>
      </c>
      <c r="DL2922" s="58" t="s">
        <v>26993</v>
      </c>
    </row>
    <row r="2923" ht="15.75" customHeight="1">
      <c r="B2923" s="58" t="s">
        <v>22515</v>
      </c>
      <c r="D2923" s="58" t="s">
        <v>26994</v>
      </c>
      <c r="E2923" s="58" t="s">
        <v>26995</v>
      </c>
      <c r="I2923" s="58" t="s">
        <v>26996</v>
      </c>
      <c r="Q2923" s="58">
        <v>3.0</v>
      </c>
      <c r="R2923" s="58">
        <v>18.0</v>
      </c>
      <c r="CL2923" s="58" t="s">
        <v>26997</v>
      </c>
      <c r="CP2923" s="58" t="s">
        <v>26998</v>
      </c>
      <c r="CX2923" s="58" t="s">
        <v>26999</v>
      </c>
      <c r="CY2923" s="58" t="s">
        <v>27000</v>
      </c>
      <c r="CZ2923" s="58">
        <v>2021.0</v>
      </c>
      <c r="DA2923" s="58" t="s">
        <v>16959</v>
      </c>
      <c r="DB2923" s="58">
        <v>9459426.0</v>
      </c>
      <c r="DC2923" s="58">
        <v>2460.0</v>
      </c>
      <c r="DD2923" s="58">
        <v>2477.0</v>
      </c>
      <c r="DE2923" s="58">
        <v>17.0</v>
      </c>
      <c r="DF2923" s="58">
        <v>14.0</v>
      </c>
      <c r="DG2923" s="58" t="s">
        <v>27001</v>
      </c>
      <c r="DH2923" s="58" t="s">
        <v>22525</v>
      </c>
      <c r="DI2923" s="58" t="s">
        <v>22816</v>
      </c>
      <c r="DJ2923" s="58" t="s">
        <v>237</v>
      </c>
      <c r="DK2923" s="58" t="s">
        <v>27002</v>
      </c>
      <c r="DL2923" s="58" t="s">
        <v>27003</v>
      </c>
    </row>
    <row r="2924" ht="15.75" customHeight="1">
      <c r="B2924" s="58" t="s">
        <v>22515</v>
      </c>
      <c r="D2924" s="58" t="s">
        <v>27004</v>
      </c>
      <c r="E2924" s="58" t="s">
        <v>27005</v>
      </c>
      <c r="I2924" s="58" t="s">
        <v>27006</v>
      </c>
      <c r="Q2924" s="58">
        <v>7.0</v>
      </c>
      <c r="R2924" s="58">
        <v>35.0</v>
      </c>
      <c r="CL2924" s="58" t="s">
        <v>27007</v>
      </c>
      <c r="CP2924" s="58" t="s">
        <v>27008</v>
      </c>
      <c r="CX2924" s="58" t="s">
        <v>27009</v>
      </c>
      <c r="CY2924" s="58" t="s">
        <v>27010</v>
      </c>
      <c r="CZ2924" s="58">
        <v>2022.0</v>
      </c>
      <c r="DA2924" s="58" t="s">
        <v>27011</v>
      </c>
      <c r="DC2924" s="58">
        <v>679.0</v>
      </c>
      <c r="DD2924" s="58">
        <v>705.0</v>
      </c>
      <c r="DE2924" s="58">
        <v>26.0</v>
      </c>
      <c r="DF2924" s="58">
        <v>26.0</v>
      </c>
      <c r="DG2924" s="58" t="s">
        <v>27012</v>
      </c>
      <c r="DH2924" s="58" t="s">
        <v>22525</v>
      </c>
      <c r="DJ2924" s="58" t="s">
        <v>237</v>
      </c>
      <c r="DK2924" s="58" t="s">
        <v>27013</v>
      </c>
      <c r="DL2924" s="58" t="s">
        <v>27014</v>
      </c>
    </row>
    <row r="2925" ht="15.75" customHeight="1">
      <c r="B2925" s="58" t="s">
        <v>22515</v>
      </c>
      <c r="D2925" s="58" t="s">
        <v>27015</v>
      </c>
      <c r="E2925" s="58" t="s">
        <v>27016</v>
      </c>
      <c r="I2925" s="58" t="s">
        <v>27017</v>
      </c>
      <c r="R2925" s="58">
        <v>130.0</v>
      </c>
      <c r="CL2925" s="58" t="s">
        <v>27018</v>
      </c>
      <c r="CP2925" s="58" t="s">
        <v>27019</v>
      </c>
      <c r="CX2925" s="58" t="s">
        <v>27020</v>
      </c>
      <c r="CY2925" s="58" t="s">
        <v>27021</v>
      </c>
      <c r="CZ2925" s="58">
        <v>2021.0</v>
      </c>
      <c r="DA2925" s="58" t="s">
        <v>27022</v>
      </c>
      <c r="DB2925" s="58">
        <v>103469.0</v>
      </c>
      <c r="DF2925" s="58">
        <v>531.0</v>
      </c>
      <c r="DG2925" s="58" t="s">
        <v>27023</v>
      </c>
      <c r="DH2925" s="58" t="s">
        <v>22525</v>
      </c>
      <c r="DI2925" s="58" t="s">
        <v>27024</v>
      </c>
      <c r="DJ2925" s="58" t="s">
        <v>237</v>
      </c>
      <c r="DK2925" s="58" t="s">
        <v>27025</v>
      </c>
      <c r="DL2925" s="58" t="s">
        <v>27026</v>
      </c>
    </row>
    <row r="2926" ht="15.75" customHeight="1">
      <c r="B2926" s="58" t="s">
        <v>22771</v>
      </c>
      <c r="D2926" s="58" t="s">
        <v>27027</v>
      </c>
      <c r="E2926" s="58" t="s">
        <v>27028</v>
      </c>
      <c r="I2926" s="58" t="s">
        <v>27029</v>
      </c>
      <c r="R2926" s="58">
        <v>216.0</v>
      </c>
      <c r="CL2926" s="58" t="s">
        <v>27030</v>
      </c>
      <c r="CP2926" s="58" t="s">
        <v>27031</v>
      </c>
      <c r="CX2926" s="58" t="s">
        <v>27032</v>
      </c>
      <c r="CY2926" s="58" t="s">
        <v>27033</v>
      </c>
      <c r="CZ2926" s="58">
        <v>2022.0</v>
      </c>
      <c r="DA2926" s="58" t="s">
        <v>27034</v>
      </c>
      <c r="DC2926" s="58">
        <v>204.0</v>
      </c>
      <c r="DD2926" s="58">
        <v>212.0</v>
      </c>
      <c r="DE2926" s="58">
        <v>8.0</v>
      </c>
      <c r="DF2926" s="58">
        <v>3.0</v>
      </c>
      <c r="DG2926" s="58" t="s">
        <v>27035</v>
      </c>
      <c r="DH2926" s="58" t="s">
        <v>22525</v>
      </c>
      <c r="DI2926" s="58" t="s">
        <v>22622</v>
      </c>
      <c r="DJ2926" s="58" t="s">
        <v>237</v>
      </c>
      <c r="DK2926" s="58" t="s">
        <v>27036</v>
      </c>
      <c r="DL2926" s="58" t="s">
        <v>27037</v>
      </c>
    </row>
    <row r="2927" ht="15.75" customHeight="1">
      <c r="B2927" s="58" t="s">
        <v>22771</v>
      </c>
      <c r="D2927" s="58" t="s">
        <v>27038</v>
      </c>
      <c r="E2927" s="58" t="s">
        <v>27039</v>
      </c>
      <c r="I2927" s="58" t="s">
        <v>27040</v>
      </c>
      <c r="Q2927" s="58">
        <v>9.0</v>
      </c>
      <c r="R2927" s="58">
        <v>55.0</v>
      </c>
      <c r="CL2927" s="58" t="s">
        <v>27041</v>
      </c>
      <c r="CP2927" s="58" t="s">
        <v>27042</v>
      </c>
      <c r="CX2927" s="58" t="s">
        <v>27043</v>
      </c>
      <c r="CY2927" s="58">
        <v>1.26451116E10</v>
      </c>
      <c r="CZ2927" s="58">
        <v>2022.0</v>
      </c>
      <c r="DA2927" s="58" t="s">
        <v>27044</v>
      </c>
      <c r="DC2927" s="58">
        <v>460.0</v>
      </c>
      <c r="DD2927" s="58">
        <v>465.0</v>
      </c>
      <c r="DE2927" s="58">
        <v>5.0</v>
      </c>
      <c r="DF2927" s="58">
        <v>11.0</v>
      </c>
      <c r="DG2927" s="58" t="s">
        <v>27045</v>
      </c>
      <c r="DH2927" s="58" t="s">
        <v>22525</v>
      </c>
      <c r="DI2927" s="58" t="s">
        <v>22622</v>
      </c>
      <c r="DJ2927" s="58" t="s">
        <v>237</v>
      </c>
      <c r="DK2927" s="58" t="s">
        <v>27046</v>
      </c>
      <c r="DL2927" s="58" t="s">
        <v>27047</v>
      </c>
    </row>
    <row r="2928" ht="15.75" customHeight="1">
      <c r="B2928" s="58" t="s">
        <v>22515</v>
      </c>
      <c r="D2928" s="58" t="s">
        <v>27048</v>
      </c>
      <c r="E2928" s="58" t="s">
        <v>27049</v>
      </c>
      <c r="I2928" s="58" t="s">
        <v>27050</v>
      </c>
      <c r="R2928" s="58">
        <v>2.0</v>
      </c>
      <c r="CL2928" s="58" t="s">
        <v>27051</v>
      </c>
      <c r="CP2928" s="58" t="s">
        <v>27052</v>
      </c>
      <c r="CX2928" s="58" t="s">
        <v>27053</v>
      </c>
      <c r="CY2928" s="58" t="s">
        <v>27054</v>
      </c>
      <c r="CZ2928" s="58">
        <v>2022.0</v>
      </c>
      <c r="DA2928" s="58" t="s">
        <v>27055</v>
      </c>
      <c r="DC2928" s="58">
        <v>49.0</v>
      </c>
      <c r="DD2928" s="58">
        <v>62.0</v>
      </c>
      <c r="DE2928" s="58">
        <v>13.0</v>
      </c>
      <c r="DF2928" s="58">
        <v>82.0</v>
      </c>
      <c r="DG2928" s="58" t="s">
        <v>27056</v>
      </c>
      <c r="DH2928" s="58" t="s">
        <v>22525</v>
      </c>
      <c r="DI2928" s="58" t="s">
        <v>22622</v>
      </c>
      <c r="DJ2928" s="58" t="s">
        <v>237</v>
      </c>
      <c r="DK2928" s="58" t="s">
        <v>27057</v>
      </c>
      <c r="DL2928" s="58" t="s">
        <v>27058</v>
      </c>
    </row>
    <row r="2929" ht="15.75" customHeight="1">
      <c r="B2929" s="58" t="s">
        <v>22515</v>
      </c>
      <c r="D2929" s="58" t="s">
        <v>27059</v>
      </c>
      <c r="E2929" s="58" t="s">
        <v>27060</v>
      </c>
      <c r="I2929" s="58" t="s">
        <v>27061</v>
      </c>
      <c r="R2929" s="58">
        <v>314.0</v>
      </c>
      <c r="CL2929" s="58" t="s">
        <v>27062</v>
      </c>
      <c r="CP2929" s="58" t="s">
        <v>27063</v>
      </c>
      <c r="CX2929" s="58" t="s">
        <v>27064</v>
      </c>
      <c r="CY2929" s="58" t="s">
        <v>27065</v>
      </c>
      <c r="CZ2929" s="58">
        <v>2021.0</v>
      </c>
      <c r="DA2929" s="58" t="s">
        <v>27066</v>
      </c>
      <c r="DB2929" s="58">
        <v>127904.0</v>
      </c>
      <c r="DF2929" s="58">
        <v>40.0</v>
      </c>
      <c r="DG2929" s="58" t="s">
        <v>27067</v>
      </c>
      <c r="DH2929" s="58" t="s">
        <v>22525</v>
      </c>
      <c r="DJ2929" s="58" t="s">
        <v>237</v>
      </c>
      <c r="DK2929" s="58" t="s">
        <v>27068</v>
      </c>
      <c r="DL2929" s="58" t="s">
        <v>27069</v>
      </c>
    </row>
    <row r="2930" ht="15.75" customHeight="1">
      <c r="B2930" s="58" t="s">
        <v>22771</v>
      </c>
      <c r="D2930" s="58" t="s">
        <v>27070</v>
      </c>
      <c r="E2930" s="58" t="s">
        <v>27071</v>
      </c>
      <c r="I2930" s="58" t="s">
        <v>27072</v>
      </c>
      <c r="R2930" s="58" t="s">
        <v>27073</v>
      </c>
      <c r="CL2930" s="58" t="s">
        <v>27074</v>
      </c>
      <c r="CP2930" s="58" t="s">
        <v>27075</v>
      </c>
      <c r="CX2930" s="58" t="s">
        <v>27076</v>
      </c>
      <c r="CY2930" s="58" t="s">
        <v>27077</v>
      </c>
      <c r="CZ2930" s="58">
        <v>2021.0</v>
      </c>
      <c r="DA2930" s="58" t="s">
        <v>25953</v>
      </c>
      <c r="DC2930" s="58">
        <v>168.0</v>
      </c>
      <c r="DD2930" s="58">
        <v>178.0</v>
      </c>
      <c r="DE2930" s="58">
        <v>10.0</v>
      </c>
      <c r="DF2930" s="58">
        <v>12.0</v>
      </c>
      <c r="DG2930" s="58" t="s">
        <v>27078</v>
      </c>
      <c r="DH2930" s="58" t="s">
        <v>22525</v>
      </c>
      <c r="DJ2930" s="58" t="s">
        <v>237</v>
      </c>
      <c r="DK2930" s="58" t="s">
        <v>27079</v>
      </c>
      <c r="DL2930" s="58" t="s">
        <v>27080</v>
      </c>
    </row>
    <row r="2931" ht="15.75" customHeight="1">
      <c r="B2931" s="58" t="s">
        <v>22771</v>
      </c>
      <c r="D2931" s="58" t="s">
        <v>27081</v>
      </c>
      <c r="E2931" s="58" t="s">
        <v>27082</v>
      </c>
      <c r="I2931" s="58" t="s">
        <v>27083</v>
      </c>
      <c r="R2931" s="58" t="s">
        <v>27084</v>
      </c>
      <c r="CL2931" s="58" t="s">
        <v>27085</v>
      </c>
      <c r="CP2931" s="58" t="s">
        <v>27086</v>
      </c>
      <c r="CX2931" s="58" t="s">
        <v>27087</v>
      </c>
      <c r="CY2931" s="58" t="s">
        <v>27088</v>
      </c>
      <c r="CZ2931" s="58">
        <v>2022.0</v>
      </c>
      <c r="DA2931" s="58" t="s">
        <v>24608</v>
      </c>
      <c r="DC2931" s="58">
        <v>621.0</v>
      </c>
      <c r="DD2931" s="58">
        <v>627.0</v>
      </c>
      <c r="DE2931" s="58">
        <v>6.0</v>
      </c>
      <c r="DF2931" s="58">
        <v>5.0</v>
      </c>
      <c r="DG2931" s="58" t="s">
        <v>27089</v>
      </c>
      <c r="DH2931" s="58" t="s">
        <v>22525</v>
      </c>
      <c r="DJ2931" s="58" t="s">
        <v>237</v>
      </c>
      <c r="DK2931" s="58" t="s">
        <v>27090</v>
      </c>
      <c r="DL2931" s="58" t="s">
        <v>27091</v>
      </c>
    </row>
    <row r="2932" ht="15.75" customHeight="1">
      <c r="B2932" s="58" t="s">
        <v>22771</v>
      </c>
      <c r="D2932" s="58" t="s">
        <v>27092</v>
      </c>
      <c r="E2932" s="58" t="s">
        <v>27093</v>
      </c>
      <c r="I2932" s="58" t="s">
        <v>27094</v>
      </c>
      <c r="R2932" s="58" t="s">
        <v>27095</v>
      </c>
      <c r="CL2932" s="58" t="s">
        <v>27096</v>
      </c>
      <c r="CP2932" s="58" t="s">
        <v>27097</v>
      </c>
      <c r="CX2932" s="58" t="s">
        <v>27098</v>
      </c>
      <c r="CY2932" s="58" t="s">
        <v>27099</v>
      </c>
      <c r="CZ2932" s="58">
        <v>2022.0</v>
      </c>
      <c r="DA2932" s="58" t="s">
        <v>24915</v>
      </c>
      <c r="DC2932" s="58">
        <v>153.0</v>
      </c>
      <c r="DD2932" s="58">
        <v>158.0</v>
      </c>
      <c r="DE2932" s="58">
        <v>5.0</v>
      </c>
      <c r="DF2932" s="58">
        <v>2.0</v>
      </c>
      <c r="DG2932" s="58" t="s">
        <v>27100</v>
      </c>
      <c r="DH2932" s="58" t="s">
        <v>22525</v>
      </c>
      <c r="DJ2932" s="58" t="s">
        <v>237</v>
      </c>
      <c r="DK2932" s="58" t="s">
        <v>27101</v>
      </c>
      <c r="DL2932" s="58" t="s">
        <v>27102</v>
      </c>
    </row>
    <row r="2933" ht="15.75" customHeight="1">
      <c r="B2933" s="58" t="s">
        <v>22515</v>
      </c>
      <c r="D2933" s="58" t="s">
        <v>27103</v>
      </c>
      <c r="E2933" s="58" t="s">
        <v>27104</v>
      </c>
      <c r="I2933" s="58" t="s">
        <v>27105</v>
      </c>
      <c r="Q2933" s="58">
        <v>2.0</v>
      </c>
      <c r="R2933" s="58">
        <v>104.0</v>
      </c>
      <c r="CL2933" s="58" t="s">
        <v>27106</v>
      </c>
      <c r="CP2933" s="58" t="s">
        <v>27107</v>
      </c>
      <c r="CX2933" s="58" t="s">
        <v>27108</v>
      </c>
      <c r="CY2933" s="58" t="s">
        <v>27109</v>
      </c>
      <c r="CZ2933" s="58">
        <v>2022.0</v>
      </c>
      <c r="DA2933" s="58" t="s">
        <v>22557</v>
      </c>
      <c r="DC2933" s="58">
        <v>433.0</v>
      </c>
      <c r="DD2933" s="58">
        <v>457.0</v>
      </c>
      <c r="DE2933" s="58">
        <v>24.0</v>
      </c>
      <c r="DF2933" s="58">
        <v>39.0</v>
      </c>
      <c r="DG2933" s="58" t="s">
        <v>27110</v>
      </c>
      <c r="DH2933" s="58" t="s">
        <v>22525</v>
      </c>
      <c r="DJ2933" s="58" t="s">
        <v>237</v>
      </c>
      <c r="DK2933" s="58" t="s">
        <v>27111</v>
      </c>
      <c r="DL2933" s="58" t="s">
        <v>27112</v>
      </c>
    </row>
    <row r="2934" ht="15.75" customHeight="1">
      <c r="B2934" s="58" t="s">
        <v>22771</v>
      </c>
      <c r="D2934" s="58" t="s">
        <v>27113</v>
      </c>
      <c r="E2934" s="58" t="s">
        <v>27114</v>
      </c>
      <c r="I2934" s="58" t="s">
        <v>27115</v>
      </c>
      <c r="R2934" s="58" t="s">
        <v>27116</v>
      </c>
      <c r="CL2934" s="58" t="s">
        <v>27117</v>
      </c>
      <c r="CP2934" s="58" t="s">
        <v>27118</v>
      </c>
      <c r="CX2934" s="58" t="s">
        <v>27119</v>
      </c>
      <c r="CY2934" s="58" t="s">
        <v>27120</v>
      </c>
      <c r="CZ2934" s="58">
        <v>2022.0</v>
      </c>
      <c r="DA2934" s="58" t="s">
        <v>24360</v>
      </c>
      <c r="DC2934" s="58">
        <v>497.0</v>
      </c>
      <c r="DD2934" s="58">
        <v>509.0</v>
      </c>
      <c r="DE2934" s="58">
        <v>12.0</v>
      </c>
      <c r="DF2934" s="58">
        <v>0.0</v>
      </c>
      <c r="DG2934" s="58" t="s">
        <v>27121</v>
      </c>
      <c r="DH2934" s="58" t="s">
        <v>22525</v>
      </c>
      <c r="DJ2934" s="58" t="s">
        <v>237</v>
      </c>
      <c r="DK2934" s="58" t="s">
        <v>27122</v>
      </c>
      <c r="DL2934" s="58" t="s">
        <v>27123</v>
      </c>
    </row>
    <row r="2935" ht="15.75" customHeight="1">
      <c r="B2935" s="58" t="s">
        <v>22771</v>
      </c>
      <c r="D2935" s="58" t="s">
        <v>27124</v>
      </c>
      <c r="E2935" s="58" t="s">
        <v>27125</v>
      </c>
      <c r="I2935" s="58" t="s">
        <v>27126</v>
      </c>
      <c r="CL2935" s="58" t="s">
        <v>27127</v>
      </c>
      <c r="CP2935" s="58" t="s">
        <v>27128</v>
      </c>
      <c r="CX2935" s="58" t="s">
        <v>27129</v>
      </c>
      <c r="CY2935" s="58" t="s">
        <v>27130</v>
      </c>
      <c r="CZ2935" s="58">
        <v>2022.0</v>
      </c>
      <c r="DA2935" s="58" t="s">
        <v>27131</v>
      </c>
      <c r="DC2935" s="58">
        <v>380.0</v>
      </c>
      <c r="DD2935" s="58">
        <v>388.0</v>
      </c>
      <c r="DE2935" s="58">
        <v>8.0</v>
      </c>
      <c r="DF2935" s="58">
        <v>0.0</v>
      </c>
      <c r="DG2935" s="58" t="s">
        <v>27132</v>
      </c>
      <c r="DH2935" s="58" t="s">
        <v>22525</v>
      </c>
      <c r="DJ2935" s="58" t="s">
        <v>237</v>
      </c>
      <c r="DK2935" s="58" t="s">
        <v>27133</v>
      </c>
      <c r="DL2935" s="58" t="s">
        <v>27134</v>
      </c>
    </row>
    <row r="2936" ht="15.75" customHeight="1">
      <c r="B2936" s="58" t="s">
        <v>22515</v>
      </c>
      <c r="D2936" s="58" t="s">
        <v>27135</v>
      </c>
      <c r="E2936" s="58" t="s">
        <v>27136</v>
      </c>
      <c r="I2936" s="58" t="s">
        <v>27137</v>
      </c>
      <c r="R2936" s="58">
        <v>178.0</v>
      </c>
      <c r="CL2936" s="58" t="s">
        <v>27138</v>
      </c>
      <c r="CP2936" s="58" t="s">
        <v>27139</v>
      </c>
      <c r="CX2936" s="58" t="s">
        <v>27140</v>
      </c>
      <c r="CY2936" s="58" t="s">
        <v>27141</v>
      </c>
      <c r="CZ2936" s="58">
        <v>2021.0</v>
      </c>
      <c r="DA2936" s="58" t="s">
        <v>22826</v>
      </c>
      <c r="DB2936" s="58">
        <v>110969.0</v>
      </c>
      <c r="DF2936" s="58">
        <v>20.0</v>
      </c>
      <c r="DG2936" s="58" t="s">
        <v>27142</v>
      </c>
      <c r="DH2936" s="58" t="s">
        <v>22525</v>
      </c>
      <c r="DI2936" s="58" t="s">
        <v>22526</v>
      </c>
      <c r="DJ2936" s="58" t="s">
        <v>237</v>
      </c>
      <c r="DK2936" s="58" t="s">
        <v>27143</v>
      </c>
      <c r="DL2936" s="58" t="s">
        <v>27144</v>
      </c>
    </row>
    <row r="2937" ht="15.75" customHeight="1">
      <c r="B2937" s="58" t="s">
        <v>22515</v>
      </c>
      <c r="D2937" s="58" t="s">
        <v>27145</v>
      </c>
      <c r="E2937" s="58" t="s">
        <v>27146</v>
      </c>
      <c r="I2937" s="58" t="s">
        <v>27147</v>
      </c>
      <c r="Q2937" s="58">
        <v>21.0</v>
      </c>
      <c r="R2937" s="58">
        <v>21.0</v>
      </c>
      <c r="CL2937" s="58" t="s">
        <v>27148</v>
      </c>
      <c r="CP2937" s="58" t="s">
        <v>27149</v>
      </c>
      <c r="CX2937" s="58" t="s">
        <v>27150</v>
      </c>
      <c r="CY2937" s="58" t="s">
        <v>27151</v>
      </c>
      <c r="CZ2937" s="58">
        <v>2021.0</v>
      </c>
      <c r="DA2937" s="58" t="s">
        <v>22802</v>
      </c>
      <c r="DB2937" s="58">
        <v>6972.0</v>
      </c>
      <c r="DF2937" s="58">
        <v>13.0</v>
      </c>
      <c r="DG2937" s="58" t="s">
        <v>27152</v>
      </c>
      <c r="DH2937" s="58" t="s">
        <v>22525</v>
      </c>
      <c r="DI2937" s="58" t="s">
        <v>22643</v>
      </c>
      <c r="DJ2937" s="58" t="s">
        <v>237</v>
      </c>
      <c r="DK2937" s="58" t="s">
        <v>27153</v>
      </c>
      <c r="DL2937" s="58" t="s">
        <v>27154</v>
      </c>
    </row>
    <row r="2938" ht="15.75" customHeight="1">
      <c r="B2938" s="58" t="s">
        <v>22515</v>
      </c>
      <c r="D2938" s="58" t="s">
        <v>27155</v>
      </c>
      <c r="E2938" s="58" t="s">
        <v>27156</v>
      </c>
      <c r="I2938" s="58" t="s">
        <v>27157</v>
      </c>
      <c r="Q2938" s="58">
        <v>21.0</v>
      </c>
      <c r="R2938" s="58">
        <v>21.0</v>
      </c>
      <c r="CL2938" s="58" t="s">
        <v>27158</v>
      </c>
      <c r="CP2938" s="58" t="s">
        <v>27159</v>
      </c>
      <c r="CX2938" s="58" t="s">
        <v>27160</v>
      </c>
      <c r="CY2938" s="58" t="s">
        <v>27161</v>
      </c>
      <c r="CZ2938" s="58">
        <v>2021.0</v>
      </c>
      <c r="DA2938" s="58" t="s">
        <v>22802</v>
      </c>
      <c r="DB2938" s="58">
        <v>7366.0</v>
      </c>
      <c r="DF2938" s="58">
        <v>6.0</v>
      </c>
      <c r="DG2938" s="58" t="s">
        <v>27162</v>
      </c>
      <c r="DH2938" s="58" t="s">
        <v>22525</v>
      </c>
      <c r="DI2938" s="58" t="s">
        <v>22643</v>
      </c>
      <c r="DJ2938" s="58" t="s">
        <v>237</v>
      </c>
      <c r="DK2938" s="58" t="s">
        <v>27163</v>
      </c>
      <c r="DL2938" s="58" t="s">
        <v>27164</v>
      </c>
    </row>
    <row r="2939" ht="15.75" customHeight="1">
      <c r="B2939" s="58" t="s">
        <v>22771</v>
      </c>
      <c r="D2939" s="58" t="s">
        <v>27165</v>
      </c>
      <c r="E2939" s="58" t="s">
        <v>27166</v>
      </c>
      <c r="I2939" s="58" t="s">
        <v>27167</v>
      </c>
      <c r="CL2939" s="58" t="s">
        <v>27168</v>
      </c>
      <c r="CP2939" s="58" t="s">
        <v>27169</v>
      </c>
      <c r="CX2939" s="58" t="s">
        <v>27170</v>
      </c>
      <c r="CY2939" s="58">
        <v>7.406127415E9</v>
      </c>
      <c r="CZ2939" s="58">
        <v>2022.0</v>
      </c>
      <c r="DA2939" s="58" t="s">
        <v>27171</v>
      </c>
      <c r="DF2939" s="58">
        <v>2.0</v>
      </c>
      <c r="DG2939" s="58" t="s">
        <v>27172</v>
      </c>
      <c r="DH2939" s="58" t="s">
        <v>22525</v>
      </c>
      <c r="DJ2939" s="58" t="s">
        <v>237</v>
      </c>
      <c r="DK2939" s="58" t="s">
        <v>27173</v>
      </c>
      <c r="DL2939" s="58" t="s">
        <v>27174</v>
      </c>
    </row>
    <row r="2940" ht="15.75" customHeight="1">
      <c r="B2940" s="58" t="s">
        <v>22771</v>
      </c>
      <c r="D2940" s="58" t="s">
        <v>27175</v>
      </c>
      <c r="E2940" s="58" t="s">
        <v>27176</v>
      </c>
      <c r="I2940" s="58" t="s">
        <v>27177</v>
      </c>
      <c r="R2940" s="58">
        <v>308.0</v>
      </c>
      <c r="CL2940" s="58" t="s">
        <v>27178</v>
      </c>
      <c r="CP2940" s="58" t="s">
        <v>27179</v>
      </c>
      <c r="CX2940" s="58" t="s">
        <v>27180</v>
      </c>
      <c r="CY2940" s="58" t="s">
        <v>27181</v>
      </c>
      <c r="CZ2940" s="58">
        <v>2022.0</v>
      </c>
      <c r="DA2940" s="58" t="s">
        <v>27182</v>
      </c>
      <c r="DC2940" s="58">
        <v>75.0</v>
      </c>
      <c r="DD2940" s="58">
        <v>85.0</v>
      </c>
      <c r="DE2940" s="58">
        <v>10.0</v>
      </c>
      <c r="DF2940" s="58">
        <v>13.0</v>
      </c>
      <c r="DG2940" s="58" t="s">
        <v>27183</v>
      </c>
      <c r="DH2940" s="58" t="s">
        <v>22525</v>
      </c>
      <c r="DJ2940" s="58" t="s">
        <v>237</v>
      </c>
      <c r="DK2940" s="58" t="s">
        <v>27184</v>
      </c>
      <c r="DL2940" s="58" t="s">
        <v>27185</v>
      </c>
    </row>
    <row r="2941" ht="15.75" customHeight="1">
      <c r="B2941" s="58" t="s">
        <v>22515</v>
      </c>
      <c r="D2941" s="58" t="s">
        <v>27186</v>
      </c>
      <c r="E2941" s="58" t="s">
        <v>27187</v>
      </c>
      <c r="I2941" s="58" t="s">
        <v>27188</v>
      </c>
      <c r="Q2941" s="58">
        <v>2.0</v>
      </c>
      <c r="R2941" s="58">
        <v>18.0</v>
      </c>
      <c r="CL2941" s="58" t="s">
        <v>27189</v>
      </c>
      <c r="CP2941" s="58" t="s">
        <v>27190</v>
      </c>
      <c r="CX2941" s="58" t="s">
        <v>27191</v>
      </c>
      <c r="CY2941" s="58" t="s">
        <v>27192</v>
      </c>
      <c r="CZ2941" s="58">
        <v>2022.0</v>
      </c>
      <c r="DA2941" s="58" t="s">
        <v>26077</v>
      </c>
      <c r="DC2941" s="58">
        <v>168.0</v>
      </c>
      <c r="DD2941" s="58">
        <v>193.0</v>
      </c>
      <c r="DE2941" s="58">
        <v>25.0</v>
      </c>
      <c r="DF2941" s="58">
        <v>34.0</v>
      </c>
      <c r="DG2941" s="58" t="s">
        <v>27193</v>
      </c>
      <c r="DH2941" s="58" t="s">
        <v>22525</v>
      </c>
      <c r="DJ2941" s="58" t="s">
        <v>237</v>
      </c>
      <c r="DK2941" s="58" t="s">
        <v>27194</v>
      </c>
      <c r="DL2941" s="58" t="s">
        <v>27195</v>
      </c>
    </row>
    <row r="2942" ht="15.75" customHeight="1">
      <c r="B2942" s="58" t="s">
        <v>22771</v>
      </c>
      <c r="D2942" s="58" t="s">
        <v>27196</v>
      </c>
      <c r="E2942" s="58" t="s">
        <v>27197</v>
      </c>
      <c r="I2942" s="58" t="s">
        <v>27198</v>
      </c>
      <c r="CL2942" s="58" t="s">
        <v>27199</v>
      </c>
      <c r="CP2942" s="58" t="s">
        <v>27200</v>
      </c>
      <c r="CX2942" s="58" t="s">
        <v>27201</v>
      </c>
      <c r="CY2942" s="58" t="s">
        <v>27202</v>
      </c>
      <c r="CZ2942" s="58">
        <v>2022.0</v>
      </c>
      <c r="DA2942" s="58" t="s">
        <v>27203</v>
      </c>
      <c r="DC2942" s="58">
        <v>279.0</v>
      </c>
      <c r="DD2942" s="58">
        <v>284.0</v>
      </c>
      <c r="DE2942" s="58">
        <v>5.0</v>
      </c>
      <c r="DF2942" s="58">
        <v>0.0</v>
      </c>
      <c r="DG2942" s="58" t="s">
        <v>27204</v>
      </c>
      <c r="DH2942" s="58" t="s">
        <v>22525</v>
      </c>
      <c r="DJ2942" s="58" t="s">
        <v>237</v>
      </c>
      <c r="DK2942" s="58" t="s">
        <v>27205</v>
      </c>
      <c r="DL2942" s="58" t="s">
        <v>27206</v>
      </c>
    </row>
    <row r="2943" ht="15.75" customHeight="1">
      <c r="B2943" s="58" t="s">
        <v>22771</v>
      </c>
      <c r="D2943" s="58" t="s">
        <v>27207</v>
      </c>
      <c r="E2943" s="58" t="s">
        <v>27208</v>
      </c>
      <c r="I2943" s="58" t="s">
        <v>27209</v>
      </c>
      <c r="CL2943" s="58" t="s">
        <v>27210</v>
      </c>
      <c r="CP2943" s="58" t="s">
        <v>27211</v>
      </c>
      <c r="CX2943" s="58" t="s">
        <v>27212</v>
      </c>
      <c r="CY2943" s="58" t="s">
        <v>27213</v>
      </c>
      <c r="CZ2943" s="58">
        <v>2021.0</v>
      </c>
      <c r="DA2943" s="58" t="s">
        <v>27214</v>
      </c>
      <c r="DC2943" s="58">
        <v>37.0</v>
      </c>
      <c r="DD2943" s="58">
        <v>53.0</v>
      </c>
      <c r="DE2943" s="58">
        <v>16.0</v>
      </c>
      <c r="DF2943" s="58">
        <v>79.0</v>
      </c>
      <c r="DG2943" s="58" t="s">
        <v>27215</v>
      </c>
      <c r="DH2943" s="58" t="s">
        <v>22525</v>
      </c>
      <c r="DJ2943" s="58" t="s">
        <v>237</v>
      </c>
      <c r="DK2943" s="58" t="s">
        <v>27216</v>
      </c>
      <c r="DL2943" s="58" t="s">
        <v>27217</v>
      </c>
    </row>
    <row r="2944" ht="15.75" customHeight="1">
      <c r="B2944" s="58" t="s">
        <v>22515</v>
      </c>
      <c r="D2944" s="58" t="s">
        <v>27218</v>
      </c>
      <c r="E2944" s="58" t="s">
        <v>27219</v>
      </c>
      <c r="I2944" s="58" t="s">
        <v>27220</v>
      </c>
      <c r="Q2944" s="58">
        <v>12.0</v>
      </c>
      <c r="R2944" s="58">
        <v>35.0</v>
      </c>
      <c r="CL2944" s="58" t="s">
        <v>27221</v>
      </c>
      <c r="CP2944" s="58" t="s">
        <v>27222</v>
      </c>
      <c r="CX2944" s="58" t="s">
        <v>27223</v>
      </c>
      <c r="CY2944" s="58" t="s">
        <v>27224</v>
      </c>
      <c r="CZ2944" s="58">
        <v>2022.0</v>
      </c>
      <c r="DA2944" s="58" t="s">
        <v>27011</v>
      </c>
      <c r="DC2944" s="58">
        <v>1310.0</v>
      </c>
      <c r="DD2944" s="58">
        <v>1334.0</v>
      </c>
      <c r="DE2944" s="58">
        <v>24.0</v>
      </c>
      <c r="DF2944" s="58">
        <v>11.0</v>
      </c>
      <c r="DG2944" s="58" t="s">
        <v>27225</v>
      </c>
      <c r="DH2944" s="58" t="s">
        <v>22525</v>
      </c>
      <c r="DI2944" s="58" t="s">
        <v>22816</v>
      </c>
      <c r="DJ2944" s="58" t="s">
        <v>237</v>
      </c>
      <c r="DK2944" s="58" t="s">
        <v>27226</v>
      </c>
      <c r="DL2944" s="58" t="s">
        <v>27227</v>
      </c>
    </row>
    <row r="2945" ht="15.75" customHeight="1">
      <c r="B2945" s="58" t="s">
        <v>22515</v>
      </c>
      <c r="D2945" s="58" t="s">
        <v>27228</v>
      </c>
      <c r="E2945" s="58" t="s">
        <v>27229</v>
      </c>
      <c r="I2945" s="58" t="s">
        <v>27230</v>
      </c>
      <c r="Q2945" s="58">
        <v>7.0</v>
      </c>
      <c r="R2945" s="58">
        <v>16.0</v>
      </c>
      <c r="CL2945" s="58" t="s">
        <v>27231</v>
      </c>
      <c r="CP2945" s="58" t="s">
        <v>27232</v>
      </c>
      <c r="CX2945" s="58" t="s">
        <v>27233</v>
      </c>
      <c r="CY2945" s="58" t="s">
        <v>27234</v>
      </c>
      <c r="CZ2945" s="58">
        <v>2022.0</v>
      </c>
      <c r="DA2945" s="58" t="s">
        <v>27235</v>
      </c>
      <c r="DB2945" s="58">
        <v>1883122.0</v>
      </c>
      <c r="DF2945" s="58">
        <v>66.0</v>
      </c>
      <c r="DG2945" s="58" t="s">
        <v>27236</v>
      </c>
      <c r="DH2945" s="58" t="s">
        <v>22525</v>
      </c>
      <c r="DJ2945" s="58" t="s">
        <v>237</v>
      </c>
      <c r="DK2945" s="58" t="s">
        <v>27237</v>
      </c>
      <c r="DL2945" s="58" t="s">
        <v>27238</v>
      </c>
    </row>
    <row r="2946" ht="15.75" customHeight="1">
      <c r="B2946" s="58" t="s">
        <v>22515</v>
      </c>
      <c r="D2946" s="58" t="s">
        <v>27239</v>
      </c>
      <c r="E2946" s="58" t="s">
        <v>27240</v>
      </c>
      <c r="I2946" s="58" t="s">
        <v>27241</v>
      </c>
      <c r="R2946" s="58">
        <v>455.0</v>
      </c>
      <c r="CL2946" s="58" t="s">
        <v>27242</v>
      </c>
      <c r="CP2946" s="58" t="s">
        <v>27243</v>
      </c>
      <c r="CX2946" s="58" t="s">
        <v>27244</v>
      </c>
      <c r="CY2946" s="58" t="s">
        <v>27245</v>
      </c>
      <c r="CZ2946" s="58">
        <v>2021.0</v>
      </c>
      <c r="DA2946" s="58" t="s">
        <v>23593</v>
      </c>
      <c r="DC2946" s="58">
        <v>419.0</v>
      </c>
      <c r="DD2946" s="58">
        <v>430.0</v>
      </c>
      <c r="DE2946" s="58">
        <v>11.0</v>
      </c>
      <c r="DF2946" s="58">
        <v>31.0</v>
      </c>
      <c r="DG2946" s="58" t="s">
        <v>27246</v>
      </c>
      <c r="DH2946" s="58" t="s">
        <v>22525</v>
      </c>
      <c r="DJ2946" s="58" t="s">
        <v>237</v>
      </c>
      <c r="DK2946" s="58" t="s">
        <v>27247</v>
      </c>
      <c r="DL2946" s="58" t="s">
        <v>27248</v>
      </c>
    </row>
    <row r="2947" ht="15.75" customHeight="1">
      <c r="B2947" s="58" t="s">
        <v>22771</v>
      </c>
      <c r="D2947" s="58" t="s">
        <v>27249</v>
      </c>
      <c r="E2947" s="58" t="s">
        <v>27250</v>
      </c>
      <c r="I2947" s="58" t="s">
        <v>27251</v>
      </c>
      <c r="R2947" s="58" t="s">
        <v>27252</v>
      </c>
      <c r="CL2947" s="58" t="s">
        <v>27253</v>
      </c>
      <c r="CP2947" s="58" t="s">
        <v>27254</v>
      </c>
      <c r="CX2947" s="58" t="s">
        <v>27255</v>
      </c>
      <c r="CY2947" s="58" t="s">
        <v>27256</v>
      </c>
      <c r="CZ2947" s="58">
        <v>2022.0</v>
      </c>
      <c r="DA2947" s="58" t="s">
        <v>27257</v>
      </c>
      <c r="DF2947" s="58">
        <v>2.0</v>
      </c>
      <c r="DG2947" s="58" t="s">
        <v>27258</v>
      </c>
      <c r="DH2947" s="58" t="s">
        <v>22525</v>
      </c>
      <c r="DJ2947" s="58" t="s">
        <v>237</v>
      </c>
      <c r="DK2947" s="58" t="s">
        <v>27259</v>
      </c>
      <c r="DL2947" s="58" t="s">
        <v>27260</v>
      </c>
    </row>
    <row r="2948" ht="15.75" customHeight="1">
      <c r="B2948" s="58" t="s">
        <v>22771</v>
      </c>
      <c r="D2948" s="58" t="s">
        <v>27261</v>
      </c>
      <c r="E2948" s="58" t="s">
        <v>27262</v>
      </c>
      <c r="I2948" s="58" t="s">
        <v>27263</v>
      </c>
      <c r="CL2948" s="58" t="s">
        <v>27264</v>
      </c>
      <c r="CP2948" s="58" t="s">
        <v>27265</v>
      </c>
      <c r="CX2948" s="58" t="s">
        <v>27266</v>
      </c>
      <c r="CY2948" s="58" t="s">
        <v>27267</v>
      </c>
      <c r="CZ2948" s="58">
        <v>2022.0</v>
      </c>
      <c r="DA2948" s="58" t="s">
        <v>27268</v>
      </c>
      <c r="DC2948" s="58">
        <v>1534.0</v>
      </c>
      <c r="DD2948" s="58">
        <v>1539.0</v>
      </c>
      <c r="DE2948" s="58">
        <v>5.0</v>
      </c>
      <c r="DF2948" s="58">
        <v>7.0</v>
      </c>
      <c r="DG2948" s="58" t="s">
        <v>27269</v>
      </c>
      <c r="DH2948" s="58" t="s">
        <v>22525</v>
      </c>
      <c r="DJ2948" s="58" t="s">
        <v>237</v>
      </c>
      <c r="DK2948" s="58" t="s">
        <v>27270</v>
      </c>
      <c r="DL2948" s="58" t="s">
        <v>27271</v>
      </c>
    </row>
    <row r="2949" ht="15.75" customHeight="1">
      <c r="B2949" s="58" t="s">
        <v>22771</v>
      </c>
      <c r="D2949" s="58" t="s">
        <v>27272</v>
      </c>
      <c r="E2949" s="58" t="s">
        <v>27273</v>
      </c>
      <c r="I2949" s="58" t="s">
        <v>27274</v>
      </c>
      <c r="CL2949" s="58" t="s">
        <v>27275</v>
      </c>
      <c r="CP2949" s="58" t="s">
        <v>27276</v>
      </c>
      <c r="CX2949" s="58" t="s">
        <v>27277</v>
      </c>
      <c r="CY2949" s="58" t="s">
        <v>27278</v>
      </c>
      <c r="CZ2949" s="58">
        <v>2021.0</v>
      </c>
      <c r="DA2949" s="58" t="s">
        <v>27279</v>
      </c>
      <c r="DC2949" s="58">
        <v>117.0</v>
      </c>
      <c r="DD2949" s="58">
        <v>125.0</v>
      </c>
      <c r="DE2949" s="58">
        <v>8.0</v>
      </c>
      <c r="DF2949" s="58">
        <v>6.0</v>
      </c>
      <c r="DG2949" s="58" t="s">
        <v>27280</v>
      </c>
      <c r="DH2949" s="58" t="s">
        <v>22525</v>
      </c>
      <c r="DJ2949" s="58" t="s">
        <v>237</v>
      </c>
      <c r="DK2949" s="58" t="s">
        <v>27281</v>
      </c>
      <c r="DL2949" s="58" t="s">
        <v>27282</v>
      </c>
    </row>
    <row r="2950" ht="15.75" customHeight="1">
      <c r="B2950" s="58" t="s">
        <v>22771</v>
      </c>
      <c r="D2950" s="58" t="s">
        <v>27283</v>
      </c>
      <c r="E2950" s="58" t="s">
        <v>27284</v>
      </c>
      <c r="I2950" s="58" t="s">
        <v>27285</v>
      </c>
      <c r="CL2950" s="58" t="s">
        <v>27286</v>
      </c>
      <c r="CP2950" s="58" t="s">
        <v>27287</v>
      </c>
      <c r="CX2950" s="58" t="s">
        <v>27288</v>
      </c>
      <c r="CY2950" s="58" t="s">
        <v>27289</v>
      </c>
      <c r="CZ2950" s="58">
        <v>2021.0</v>
      </c>
      <c r="DA2950" s="58" t="s">
        <v>27290</v>
      </c>
      <c r="DC2950" s="58">
        <v>426.0</v>
      </c>
      <c r="DD2950" s="58">
        <v>432.0</v>
      </c>
      <c r="DE2950" s="58">
        <v>6.0</v>
      </c>
      <c r="DF2950" s="58">
        <v>7.0</v>
      </c>
      <c r="DG2950" s="58" t="s">
        <v>27291</v>
      </c>
      <c r="DH2950" s="58" t="s">
        <v>22525</v>
      </c>
      <c r="DI2950" s="58" t="s">
        <v>22656</v>
      </c>
      <c r="DJ2950" s="58" t="s">
        <v>237</v>
      </c>
      <c r="DK2950" s="58" t="s">
        <v>27292</v>
      </c>
      <c r="DL2950" s="58" t="s">
        <v>27293</v>
      </c>
    </row>
    <row r="2951" ht="15.75" customHeight="1">
      <c r="B2951" s="58" t="s">
        <v>22771</v>
      </c>
      <c r="D2951" s="58" t="s">
        <v>24241</v>
      </c>
      <c r="E2951" s="58" t="s">
        <v>27294</v>
      </c>
      <c r="I2951" s="58" t="s">
        <v>27295</v>
      </c>
      <c r="R2951" s="58" t="s">
        <v>27296</v>
      </c>
      <c r="CL2951" s="58" t="s">
        <v>27297</v>
      </c>
      <c r="CX2951" s="58" t="s">
        <v>24246</v>
      </c>
      <c r="CY2951" s="58" t="s">
        <v>24247</v>
      </c>
      <c r="CZ2951" s="58">
        <v>2022.0</v>
      </c>
      <c r="DA2951" s="58" t="s">
        <v>27298</v>
      </c>
      <c r="DC2951" s="58">
        <v>277.0</v>
      </c>
      <c r="DD2951" s="58">
        <v>290.0</v>
      </c>
      <c r="DE2951" s="58">
        <v>13.0</v>
      </c>
      <c r="DF2951" s="58">
        <v>23.0</v>
      </c>
      <c r="DG2951" s="58" t="s">
        <v>27299</v>
      </c>
      <c r="DH2951" s="58" t="s">
        <v>22525</v>
      </c>
      <c r="DI2951" s="58" t="s">
        <v>22816</v>
      </c>
      <c r="DJ2951" s="58" t="s">
        <v>237</v>
      </c>
      <c r="DK2951" s="58" t="s">
        <v>27300</v>
      </c>
      <c r="DL2951" s="58" t="s">
        <v>27301</v>
      </c>
    </row>
    <row r="2952" ht="15.75" customHeight="1">
      <c r="B2952" s="58" t="s">
        <v>22515</v>
      </c>
      <c r="D2952" s="58" t="s">
        <v>27302</v>
      </c>
      <c r="E2952" s="58" t="s">
        <v>27303</v>
      </c>
      <c r="I2952" s="58" t="s">
        <v>27304</v>
      </c>
      <c r="Q2952" s="58">
        <v>4.0</v>
      </c>
      <c r="R2952" s="58">
        <v>47.0</v>
      </c>
      <c r="CL2952" s="58" t="s">
        <v>27305</v>
      </c>
      <c r="CP2952" s="58" t="s">
        <v>27306</v>
      </c>
      <c r="CX2952" s="58" t="s">
        <v>27307</v>
      </c>
      <c r="CY2952" s="58" t="s">
        <v>27308</v>
      </c>
      <c r="CZ2952" s="58">
        <v>2021.0</v>
      </c>
      <c r="DA2952" s="58" t="s">
        <v>27309</v>
      </c>
      <c r="DC2952" s="58">
        <v>335.0</v>
      </c>
      <c r="DD2952" s="58">
        <v>344.0</v>
      </c>
      <c r="DE2952" s="58">
        <v>9.0</v>
      </c>
      <c r="DF2952" s="58">
        <v>11.0</v>
      </c>
      <c r="DG2952" s="58" t="s">
        <v>27310</v>
      </c>
      <c r="DH2952" s="58" t="s">
        <v>22525</v>
      </c>
      <c r="DJ2952" s="58" t="s">
        <v>237</v>
      </c>
      <c r="DK2952" s="58" t="s">
        <v>27311</v>
      </c>
      <c r="DL2952" s="58" t="s">
        <v>27312</v>
      </c>
    </row>
    <row r="2953" ht="15.75" customHeight="1">
      <c r="B2953" s="58" t="s">
        <v>22771</v>
      </c>
      <c r="D2953" s="58" t="s">
        <v>27313</v>
      </c>
      <c r="E2953" s="58" t="s">
        <v>27314</v>
      </c>
      <c r="I2953" s="58" t="s">
        <v>27315</v>
      </c>
      <c r="Q2953" s="58">
        <v>1.0</v>
      </c>
      <c r="R2953" s="58">
        <v>1979.0</v>
      </c>
      <c r="CL2953" s="58" t="s">
        <v>27316</v>
      </c>
      <c r="CP2953" s="58" t="s">
        <v>27317</v>
      </c>
      <c r="CX2953" s="58" t="s">
        <v>27318</v>
      </c>
      <c r="CY2953" s="58" t="s">
        <v>27319</v>
      </c>
      <c r="CZ2953" s="58">
        <v>2021.0</v>
      </c>
      <c r="DA2953" s="58" t="s">
        <v>24237</v>
      </c>
      <c r="DB2953" s="58">
        <v>12036.0</v>
      </c>
      <c r="DF2953" s="58">
        <v>8.0</v>
      </c>
      <c r="DG2953" s="58" t="s">
        <v>27320</v>
      </c>
      <c r="DH2953" s="58" t="s">
        <v>22525</v>
      </c>
      <c r="DI2953" s="58" t="s">
        <v>22622</v>
      </c>
      <c r="DJ2953" s="58" t="s">
        <v>237</v>
      </c>
      <c r="DK2953" s="58" t="s">
        <v>27321</v>
      </c>
      <c r="DL2953" s="58" t="s">
        <v>27322</v>
      </c>
    </row>
    <row r="2954" ht="15.75" customHeight="1">
      <c r="B2954" s="58" t="s">
        <v>22515</v>
      </c>
      <c r="D2954" s="58" t="s">
        <v>27323</v>
      </c>
      <c r="E2954" s="58" t="s">
        <v>27324</v>
      </c>
      <c r="I2954" s="58" t="s">
        <v>27325</v>
      </c>
      <c r="Q2954" s="58">
        <v>3.0</v>
      </c>
      <c r="R2954" s="58">
        <v>7.0</v>
      </c>
      <c r="CL2954" s="58" t="s">
        <v>27326</v>
      </c>
      <c r="CP2954" s="58" t="s">
        <v>27327</v>
      </c>
      <c r="CX2954" s="58" t="s">
        <v>27328</v>
      </c>
      <c r="CY2954" s="58" t="s">
        <v>27329</v>
      </c>
      <c r="CZ2954" s="58">
        <v>2021.0</v>
      </c>
      <c r="DA2954" s="58" t="s">
        <v>21849</v>
      </c>
      <c r="DC2954" s="58">
        <v>881.0</v>
      </c>
      <c r="DD2954" s="58">
        <v>892.0</v>
      </c>
      <c r="DE2954" s="58">
        <v>11.0</v>
      </c>
      <c r="DF2954" s="58">
        <v>176.0</v>
      </c>
      <c r="DG2954" s="58" t="s">
        <v>27330</v>
      </c>
      <c r="DH2954" s="58" t="s">
        <v>22525</v>
      </c>
      <c r="DI2954" s="58" t="s">
        <v>22816</v>
      </c>
      <c r="DJ2954" s="58" t="s">
        <v>237</v>
      </c>
      <c r="DK2954" s="58" t="s">
        <v>27331</v>
      </c>
      <c r="DL2954" s="58" t="s">
        <v>27332</v>
      </c>
    </row>
    <row r="2955" ht="15.75" customHeight="1">
      <c r="B2955" s="58" t="s">
        <v>22771</v>
      </c>
      <c r="D2955" s="58" t="s">
        <v>27333</v>
      </c>
      <c r="E2955" s="58" t="s">
        <v>27334</v>
      </c>
      <c r="I2955" s="58" t="s">
        <v>27335</v>
      </c>
      <c r="CL2955" s="58" t="s">
        <v>27336</v>
      </c>
      <c r="CP2955" s="58" t="s">
        <v>27337</v>
      </c>
      <c r="CX2955" s="58" t="s">
        <v>27338</v>
      </c>
      <c r="CY2955" s="58" t="s">
        <v>27339</v>
      </c>
      <c r="CZ2955" s="58">
        <v>2022.0</v>
      </c>
      <c r="DA2955" s="58" t="s">
        <v>26748</v>
      </c>
      <c r="DC2955" s="58">
        <v>150.0</v>
      </c>
      <c r="DD2955" s="58">
        <v>161.0</v>
      </c>
      <c r="DE2955" s="58">
        <v>11.0</v>
      </c>
      <c r="DF2955" s="58">
        <v>0.0</v>
      </c>
      <c r="DG2955" s="58" t="s">
        <v>27340</v>
      </c>
      <c r="DH2955" s="58" t="s">
        <v>22525</v>
      </c>
      <c r="DI2955" s="58" t="s">
        <v>22526</v>
      </c>
      <c r="DJ2955" s="58" t="s">
        <v>237</v>
      </c>
      <c r="DK2955" s="58" t="s">
        <v>27341</v>
      </c>
      <c r="DL2955" s="58" t="s">
        <v>27342</v>
      </c>
    </row>
    <row r="2956" ht="15.75" customHeight="1">
      <c r="B2956" s="58" t="s">
        <v>22515</v>
      </c>
      <c r="D2956" s="58" t="s">
        <v>27343</v>
      </c>
      <c r="E2956" s="58" t="s">
        <v>27344</v>
      </c>
      <c r="I2956" s="58" t="s">
        <v>27345</v>
      </c>
      <c r="Q2956" s="58">
        <v>23.0</v>
      </c>
      <c r="R2956" s="58">
        <v>21.0</v>
      </c>
      <c r="CL2956" s="58" t="s">
        <v>27346</v>
      </c>
      <c r="CP2956" s="58" t="s">
        <v>27347</v>
      </c>
      <c r="CX2956" s="58" t="s">
        <v>27348</v>
      </c>
      <c r="CY2956" s="58" t="s">
        <v>27349</v>
      </c>
      <c r="CZ2956" s="58">
        <v>2021.0</v>
      </c>
      <c r="DA2956" s="58" t="s">
        <v>22802</v>
      </c>
      <c r="DB2956" s="58">
        <v>8061.0</v>
      </c>
      <c r="DF2956" s="58">
        <v>16.0</v>
      </c>
      <c r="DG2956" s="58" t="s">
        <v>27350</v>
      </c>
      <c r="DH2956" s="58" t="s">
        <v>22525</v>
      </c>
      <c r="DI2956" s="58" t="s">
        <v>22643</v>
      </c>
      <c r="DJ2956" s="58" t="s">
        <v>237</v>
      </c>
      <c r="DK2956" s="58" t="s">
        <v>27351</v>
      </c>
      <c r="DL2956" s="58" t="s">
        <v>27352</v>
      </c>
    </row>
    <row r="2957" ht="15.75" customHeight="1">
      <c r="B2957" s="58" t="s">
        <v>22515</v>
      </c>
      <c r="D2957" s="58" t="s">
        <v>27353</v>
      </c>
      <c r="E2957" s="58" t="s">
        <v>27354</v>
      </c>
      <c r="I2957" s="58" t="s">
        <v>27355</v>
      </c>
      <c r="Q2957" s="58">
        <v>6.0</v>
      </c>
      <c r="R2957" s="58">
        <v>13.0</v>
      </c>
      <c r="CL2957" s="58" t="s">
        <v>27356</v>
      </c>
      <c r="CP2957" s="58" t="s">
        <v>27357</v>
      </c>
      <c r="CX2957" s="58" t="s">
        <v>27358</v>
      </c>
      <c r="CY2957" s="58" t="s">
        <v>27359</v>
      </c>
      <c r="CZ2957" s="58">
        <v>2022.0</v>
      </c>
      <c r="DA2957" s="58" t="s">
        <v>24049</v>
      </c>
      <c r="DC2957" s="58">
        <v>607.0</v>
      </c>
      <c r="DD2957" s="58">
        <v>623.0</v>
      </c>
      <c r="DE2957" s="58">
        <v>16.0</v>
      </c>
      <c r="DF2957" s="58">
        <v>1.0</v>
      </c>
      <c r="DG2957" s="58" t="s">
        <v>27360</v>
      </c>
      <c r="DH2957" s="58" t="s">
        <v>22525</v>
      </c>
      <c r="DJ2957" s="58" t="s">
        <v>237</v>
      </c>
      <c r="DK2957" s="58" t="s">
        <v>27361</v>
      </c>
      <c r="DL2957" s="58" t="s">
        <v>27362</v>
      </c>
    </row>
    <row r="2958" ht="15.75" customHeight="1">
      <c r="B2958" s="58" t="s">
        <v>22515</v>
      </c>
      <c r="D2958" s="58" t="s">
        <v>27363</v>
      </c>
      <c r="E2958" s="58" t="s">
        <v>27364</v>
      </c>
      <c r="I2958" s="58" t="s">
        <v>27365</v>
      </c>
      <c r="R2958" s="58">
        <v>114.0</v>
      </c>
      <c r="CL2958" s="58" t="s">
        <v>27366</v>
      </c>
      <c r="CP2958" s="58" t="s">
        <v>27367</v>
      </c>
      <c r="CX2958" s="58" t="s">
        <v>27368</v>
      </c>
      <c r="CY2958" s="58" t="s">
        <v>27369</v>
      </c>
      <c r="CZ2958" s="58">
        <v>2022.0</v>
      </c>
      <c r="DA2958" s="58" t="s">
        <v>22955</v>
      </c>
      <c r="DB2958" s="58">
        <v>102402.0</v>
      </c>
      <c r="DF2958" s="58">
        <v>7.0</v>
      </c>
      <c r="DG2958" s="58" t="s">
        <v>27370</v>
      </c>
      <c r="DH2958" s="58" t="s">
        <v>22525</v>
      </c>
      <c r="DJ2958" s="58" t="s">
        <v>237</v>
      </c>
      <c r="DK2958" s="58" t="s">
        <v>27371</v>
      </c>
      <c r="DL2958" s="58" t="s">
        <v>27372</v>
      </c>
    </row>
    <row r="2959" ht="15.75" customHeight="1">
      <c r="B2959" s="58" t="s">
        <v>22515</v>
      </c>
      <c r="D2959" s="58" t="s">
        <v>27373</v>
      </c>
      <c r="E2959" s="58" t="s">
        <v>27374</v>
      </c>
      <c r="I2959" s="58" t="s">
        <v>27375</v>
      </c>
      <c r="Q2959" s="74">
        <v>45748.0</v>
      </c>
      <c r="R2959" s="58">
        <v>39.0</v>
      </c>
      <c r="CL2959" s="58" t="s">
        <v>27376</v>
      </c>
      <c r="CP2959" s="58" t="s">
        <v>27377</v>
      </c>
      <c r="CX2959" s="58" t="s">
        <v>27378</v>
      </c>
      <c r="CY2959" s="58" t="s">
        <v>27379</v>
      </c>
      <c r="CZ2959" s="58">
        <v>2021.0</v>
      </c>
      <c r="DA2959" s="58" t="s">
        <v>27380</v>
      </c>
      <c r="DB2959" s="58">
        <v>3524452.0</v>
      </c>
      <c r="DF2959" s="58">
        <v>12.0</v>
      </c>
      <c r="DG2959" s="58" t="s">
        <v>27381</v>
      </c>
      <c r="DH2959" s="58" t="s">
        <v>22525</v>
      </c>
      <c r="DI2959" s="58" t="s">
        <v>27024</v>
      </c>
      <c r="DJ2959" s="58" t="s">
        <v>237</v>
      </c>
      <c r="DK2959" s="58" t="s">
        <v>27382</v>
      </c>
      <c r="DL2959" s="58" t="s">
        <v>27383</v>
      </c>
    </row>
    <row r="2960" ht="15.75" customHeight="1">
      <c r="B2960" s="58" t="s">
        <v>22515</v>
      </c>
      <c r="D2960" s="58" t="s">
        <v>27384</v>
      </c>
      <c r="E2960" s="58" t="s">
        <v>27385</v>
      </c>
      <c r="I2960" s="58" t="s">
        <v>27386</v>
      </c>
      <c r="R2960" s="58">
        <v>2022.0</v>
      </c>
      <c r="CL2960" s="58" t="s">
        <v>27387</v>
      </c>
      <c r="CX2960" s="58" t="s">
        <v>27388</v>
      </c>
      <c r="CY2960" s="58" t="s">
        <v>27389</v>
      </c>
      <c r="CZ2960" s="58">
        <v>2022.0</v>
      </c>
      <c r="DA2960" s="58" t="s">
        <v>26942</v>
      </c>
      <c r="DB2960" s="58">
        <v>6709797.0</v>
      </c>
      <c r="DF2960" s="58">
        <v>1.0</v>
      </c>
      <c r="DG2960" s="58" t="s">
        <v>27390</v>
      </c>
      <c r="DH2960" s="58" t="s">
        <v>22525</v>
      </c>
      <c r="DI2960" s="58" t="s">
        <v>22622</v>
      </c>
      <c r="DJ2960" s="58" t="s">
        <v>237</v>
      </c>
      <c r="DK2960" s="58" t="s">
        <v>27391</v>
      </c>
      <c r="DL2960" s="58" t="s">
        <v>27392</v>
      </c>
    </row>
    <row r="2961" ht="15.75" customHeight="1">
      <c r="B2961" s="58" t="s">
        <v>22515</v>
      </c>
      <c r="D2961" s="58" t="s">
        <v>27393</v>
      </c>
      <c r="E2961" s="58" t="s">
        <v>27394</v>
      </c>
      <c r="I2961" s="58" t="s">
        <v>27395</v>
      </c>
      <c r="R2961" s="58">
        <v>10.0</v>
      </c>
      <c r="CL2961" s="58" t="s">
        <v>27396</v>
      </c>
      <c r="CP2961" s="58" t="s">
        <v>27397</v>
      </c>
      <c r="CX2961" s="58" t="s">
        <v>27398</v>
      </c>
      <c r="CY2961" s="58" t="s">
        <v>27399</v>
      </c>
      <c r="CZ2961" s="58">
        <v>2022.0</v>
      </c>
      <c r="DA2961" s="58" t="s">
        <v>16436</v>
      </c>
      <c r="DC2961" s="58">
        <v>23593.0</v>
      </c>
      <c r="DD2961" s="58">
        <v>23604.0</v>
      </c>
      <c r="DE2961" s="58">
        <v>11.0</v>
      </c>
      <c r="DF2961" s="58">
        <v>21.0</v>
      </c>
      <c r="DG2961" s="58" t="s">
        <v>27400</v>
      </c>
      <c r="DH2961" s="58" t="s">
        <v>22525</v>
      </c>
      <c r="DI2961" s="58" t="s">
        <v>22622</v>
      </c>
      <c r="DJ2961" s="58" t="s">
        <v>237</v>
      </c>
      <c r="DK2961" s="58" t="s">
        <v>27401</v>
      </c>
      <c r="DL2961" s="58" t="s">
        <v>27402</v>
      </c>
    </row>
    <row r="2962" ht="15.75" customHeight="1">
      <c r="B2962" s="58" t="s">
        <v>22771</v>
      </c>
      <c r="D2962" s="58" t="s">
        <v>25657</v>
      </c>
      <c r="E2962" s="58" t="s">
        <v>27403</v>
      </c>
      <c r="I2962" s="58" t="s">
        <v>27404</v>
      </c>
      <c r="R2962" s="58" t="s">
        <v>27095</v>
      </c>
      <c r="CL2962" s="58" t="s">
        <v>27405</v>
      </c>
      <c r="CP2962" s="58" t="s">
        <v>27406</v>
      </c>
      <c r="CX2962" s="58" t="s">
        <v>25662</v>
      </c>
      <c r="CY2962" s="58" t="s">
        <v>25663</v>
      </c>
      <c r="CZ2962" s="58">
        <v>2022.0</v>
      </c>
      <c r="DA2962" s="58" t="s">
        <v>25953</v>
      </c>
      <c r="DC2962" s="58">
        <v>331.0</v>
      </c>
      <c r="DD2962" s="58">
        <v>341.0</v>
      </c>
      <c r="DE2962" s="58">
        <v>10.0</v>
      </c>
      <c r="DF2962" s="58">
        <v>1.0</v>
      </c>
      <c r="DG2962" s="58" t="s">
        <v>27407</v>
      </c>
      <c r="DH2962" s="58" t="s">
        <v>22525</v>
      </c>
      <c r="DI2962" s="58" t="s">
        <v>22816</v>
      </c>
      <c r="DJ2962" s="58" t="s">
        <v>237</v>
      </c>
      <c r="DK2962" s="58" t="s">
        <v>27408</v>
      </c>
      <c r="DL2962" s="58" t="s">
        <v>27409</v>
      </c>
    </row>
    <row r="2963" ht="15.75" customHeight="1">
      <c r="B2963" s="58" t="s">
        <v>22515</v>
      </c>
      <c r="D2963" s="58" t="s">
        <v>27410</v>
      </c>
      <c r="E2963" s="58" t="s">
        <v>27411</v>
      </c>
      <c r="I2963" s="58" t="s">
        <v>27412</v>
      </c>
      <c r="Q2963" s="58">
        <v>5.0</v>
      </c>
      <c r="R2963" s="58">
        <v>10.0</v>
      </c>
      <c r="CL2963" s="58" t="s">
        <v>27413</v>
      </c>
      <c r="CP2963" s="58" t="s">
        <v>27414</v>
      </c>
      <c r="CX2963" s="58" t="s">
        <v>27415</v>
      </c>
      <c r="CY2963" s="58">
        <v>5.7203517108E10</v>
      </c>
      <c r="CZ2963" s="58">
        <v>2021.0</v>
      </c>
      <c r="DA2963" s="58" t="s">
        <v>27416</v>
      </c>
      <c r="DC2963" s="58">
        <v>3691.0</v>
      </c>
      <c r="DD2963" s="58">
        <v>3697.0</v>
      </c>
      <c r="DE2963" s="58">
        <v>6.0</v>
      </c>
      <c r="DF2963" s="58">
        <v>1.0</v>
      </c>
      <c r="DG2963" s="58" t="s">
        <v>27417</v>
      </c>
      <c r="DH2963" s="58" t="s">
        <v>22525</v>
      </c>
      <c r="DI2963" s="58" t="s">
        <v>22622</v>
      </c>
      <c r="DJ2963" s="58" t="s">
        <v>237</v>
      </c>
      <c r="DK2963" s="58" t="s">
        <v>27418</v>
      </c>
    </row>
    <row r="2964" ht="15.75" customHeight="1">
      <c r="B2964" s="58" t="s">
        <v>22515</v>
      </c>
      <c r="D2964" s="58" t="s">
        <v>27419</v>
      </c>
      <c r="E2964" s="58" t="s">
        <v>27420</v>
      </c>
      <c r="I2964" s="58" t="s">
        <v>27421</v>
      </c>
      <c r="Q2964" s="58">
        <v>8.0</v>
      </c>
      <c r="R2964" s="58">
        <v>32.0</v>
      </c>
      <c r="CL2964" s="58" t="s">
        <v>27422</v>
      </c>
      <c r="CX2964" s="58" t="s">
        <v>27423</v>
      </c>
      <c r="CY2964" s="58" t="s">
        <v>27424</v>
      </c>
      <c r="CZ2964" s="58">
        <v>2021.0</v>
      </c>
      <c r="DA2964" s="58" t="s">
        <v>24552</v>
      </c>
      <c r="DB2964" s="58" t="s">
        <v>27425</v>
      </c>
      <c r="DF2964" s="58">
        <v>80.0</v>
      </c>
      <c r="DG2964" s="58" t="s">
        <v>27426</v>
      </c>
      <c r="DH2964" s="58" t="s">
        <v>22525</v>
      </c>
      <c r="DJ2964" s="58" t="s">
        <v>237</v>
      </c>
      <c r="DK2964" s="58" t="s">
        <v>27427</v>
      </c>
      <c r="DL2964" s="58" t="s">
        <v>27428</v>
      </c>
    </row>
    <row r="2965" ht="15.75" customHeight="1">
      <c r="B2965" s="58" t="s">
        <v>22515</v>
      </c>
      <c r="D2965" s="58" t="s">
        <v>27429</v>
      </c>
      <c r="E2965" s="58" t="s">
        <v>27430</v>
      </c>
      <c r="I2965" s="58" t="s">
        <v>27431</v>
      </c>
      <c r="Q2965" s="58">
        <v>2.0</v>
      </c>
      <c r="R2965" s="58">
        <v>16.0</v>
      </c>
      <c r="CL2965" s="58" t="s">
        <v>27432</v>
      </c>
      <c r="CP2965" s="58" t="s">
        <v>27433</v>
      </c>
      <c r="CX2965" s="58" t="s">
        <v>27434</v>
      </c>
      <c r="CY2965" s="58">
        <v>5.7210969503E10</v>
      </c>
      <c r="CZ2965" s="58">
        <v>2022.0</v>
      </c>
      <c r="DA2965" s="58" t="s">
        <v>27235</v>
      </c>
      <c r="DC2965" s="58">
        <v>208.0</v>
      </c>
      <c r="DD2965" s="58">
        <v>222.0</v>
      </c>
      <c r="DE2965" s="58">
        <v>14.0</v>
      </c>
      <c r="DF2965" s="58">
        <v>5.0</v>
      </c>
      <c r="DG2965" s="58" t="s">
        <v>27435</v>
      </c>
      <c r="DH2965" s="58" t="s">
        <v>22525</v>
      </c>
      <c r="DJ2965" s="58" t="s">
        <v>237</v>
      </c>
      <c r="DK2965" s="58" t="s">
        <v>27436</v>
      </c>
      <c r="DL2965" s="58" t="s">
        <v>27437</v>
      </c>
    </row>
    <row r="2966" ht="15.75" customHeight="1">
      <c r="B2966" s="58" t="s">
        <v>22515</v>
      </c>
      <c r="D2966" s="58" t="s">
        <v>27438</v>
      </c>
      <c r="E2966" s="58" t="s">
        <v>27439</v>
      </c>
      <c r="I2966" s="58" t="s">
        <v>27440</v>
      </c>
      <c r="Q2966" s="58">
        <v>4.0</v>
      </c>
      <c r="R2966" s="58">
        <v>29.0</v>
      </c>
      <c r="CL2966" s="58" t="s">
        <v>27441</v>
      </c>
      <c r="CP2966" s="58" t="s">
        <v>27442</v>
      </c>
      <c r="CX2966" s="58" t="s">
        <v>27443</v>
      </c>
      <c r="CY2966" s="58" t="s">
        <v>27444</v>
      </c>
      <c r="CZ2966" s="58">
        <v>2021.0</v>
      </c>
      <c r="DA2966" s="58" t="s">
        <v>24019</v>
      </c>
      <c r="DB2966" s="58">
        <v>9411679.0</v>
      </c>
      <c r="DC2966" s="58">
        <v>1867.0</v>
      </c>
      <c r="DD2966" s="58">
        <v>1880.0</v>
      </c>
      <c r="DE2966" s="58">
        <v>13.0</v>
      </c>
      <c r="DF2966" s="58">
        <v>14.0</v>
      </c>
      <c r="DG2966" s="58" t="s">
        <v>27445</v>
      </c>
      <c r="DH2966" s="58" t="s">
        <v>22525</v>
      </c>
      <c r="DI2966" s="58" t="s">
        <v>22816</v>
      </c>
      <c r="DJ2966" s="58" t="s">
        <v>237</v>
      </c>
      <c r="DK2966" s="58" t="s">
        <v>27446</v>
      </c>
      <c r="DL2966" s="58" t="s">
        <v>27447</v>
      </c>
    </row>
    <row r="2967" ht="15.75" customHeight="1">
      <c r="B2967" s="58" t="s">
        <v>22771</v>
      </c>
      <c r="D2967" s="58" t="s">
        <v>27448</v>
      </c>
      <c r="E2967" s="58" t="s">
        <v>27449</v>
      </c>
      <c r="I2967" s="58" t="s">
        <v>27450</v>
      </c>
      <c r="CL2967" s="58" t="s">
        <v>27451</v>
      </c>
      <c r="CP2967" s="58" t="s">
        <v>27452</v>
      </c>
      <c r="CX2967" s="58" t="s">
        <v>27453</v>
      </c>
      <c r="CY2967" s="58" t="s">
        <v>27454</v>
      </c>
      <c r="CZ2967" s="58">
        <v>2022.0</v>
      </c>
      <c r="DA2967" s="58" t="s">
        <v>27455</v>
      </c>
      <c r="DC2967" s="58">
        <v>165.0</v>
      </c>
      <c r="DD2967" s="58">
        <v>168.0</v>
      </c>
      <c r="DE2967" s="58">
        <v>3.0</v>
      </c>
      <c r="DF2967" s="58">
        <v>0.0</v>
      </c>
      <c r="DG2967" s="58" t="s">
        <v>27456</v>
      </c>
      <c r="DH2967" s="58" t="s">
        <v>22525</v>
      </c>
      <c r="DJ2967" s="58" t="s">
        <v>237</v>
      </c>
      <c r="DK2967" s="58" t="s">
        <v>27457</v>
      </c>
      <c r="DL2967" s="58" t="s">
        <v>27458</v>
      </c>
    </row>
    <row r="2968" ht="15.75" customHeight="1">
      <c r="B2968" s="58" t="s">
        <v>22771</v>
      </c>
      <c r="D2968" s="58" t="s">
        <v>27459</v>
      </c>
      <c r="E2968" s="58" t="s">
        <v>27460</v>
      </c>
      <c r="I2968" s="58" t="s">
        <v>27461</v>
      </c>
      <c r="CL2968" s="58" t="s">
        <v>27462</v>
      </c>
      <c r="CP2968" s="58" t="s">
        <v>27463</v>
      </c>
      <c r="CX2968" s="58" t="s">
        <v>27464</v>
      </c>
      <c r="CY2968" s="58" t="s">
        <v>27465</v>
      </c>
      <c r="CZ2968" s="58">
        <v>2021.0</v>
      </c>
      <c r="DA2968" s="58" t="s">
        <v>27466</v>
      </c>
      <c r="DC2968" s="58">
        <v>1.0</v>
      </c>
      <c r="DD2968" s="58">
        <v>8.0</v>
      </c>
      <c r="DE2968" s="58">
        <v>7.0</v>
      </c>
      <c r="DF2968" s="58">
        <v>9.0</v>
      </c>
      <c r="DG2968" s="58" t="s">
        <v>27467</v>
      </c>
      <c r="DH2968" s="58" t="s">
        <v>22525</v>
      </c>
      <c r="DJ2968" s="58" t="s">
        <v>237</v>
      </c>
      <c r="DK2968" s="58" t="s">
        <v>27468</v>
      </c>
      <c r="DL2968" s="58" t="s">
        <v>27469</v>
      </c>
    </row>
    <row r="2969" ht="15.75" customHeight="1">
      <c r="B2969" s="58" t="s">
        <v>22515</v>
      </c>
      <c r="D2969" s="58" t="s">
        <v>27470</v>
      </c>
      <c r="E2969" s="58" t="s">
        <v>27471</v>
      </c>
      <c r="I2969" s="58" t="s">
        <v>27472</v>
      </c>
      <c r="Q2969" s="58">
        <v>7.0</v>
      </c>
      <c r="R2969" s="58">
        <v>13.0</v>
      </c>
      <c r="CL2969" s="58" t="s">
        <v>27473</v>
      </c>
      <c r="CP2969" s="58" t="s">
        <v>27474</v>
      </c>
      <c r="CX2969" s="58" t="s">
        <v>27475</v>
      </c>
      <c r="CY2969" s="58" t="s">
        <v>27476</v>
      </c>
      <c r="CZ2969" s="58">
        <v>2022.0</v>
      </c>
      <c r="DA2969" s="58" t="s">
        <v>27477</v>
      </c>
      <c r="DF2969" s="58">
        <v>2.0</v>
      </c>
      <c r="DG2969" s="58" t="s">
        <v>27478</v>
      </c>
      <c r="DH2969" s="58" t="s">
        <v>22525</v>
      </c>
      <c r="DJ2969" s="58" t="s">
        <v>237</v>
      </c>
      <c r="DK2969" s="58" t="s">
        <v>27479</v>
      </c>
      <c r="DL2969" s="58" t="s">
        <v>27480</v>
      </c>
    </row>
    <row r="2970" ht="15.75" customHeight="1">
      <c r="B2970" s="58" t="s">
        <v>22515</v>
      </c>
      <c r="D2970" s="58" t="s">
        <v>27481</v>
      </c>
      <c r="E2970" s="58" t="s">
        <v>27482</v>
      </c>
      <c r="I2970" s="58" t="s">
        <v>27483</v>
      </c>
      <c r="Q2970" s="58">
        <v>6.0</v>
      </c>
      <c r="R2970" s="58">
        <v>48.0</v>
      </c>
      <c r="CL2970" s="58" t="s">
        <v>27484</v>
      </c>
      <c r="CP2970" s="58" t="s">
        <v>27485</v>
      </c>
      <c r="CX2970" s="58" t="s">
        <v>27486</v>
      </c>
      <c r="CY2970" s="58" t="s">
        <v>27487</v>
      </c>
      <c r="CZ2970" s="58">
        <v>2021.0</v>
      </c>
      <c r="DA2970" s="58" t="s">
        <v>27488</v>
      </c>
      <c r="DC2970" s="58">
        <v>32.0</v>
      </c>
      <c r="DD2970" s="58">
        <v>39.0</v>
      </c>
      <c r="DE2970" s="58">
        <v>7.0</v>
      </c>
      <c r="DF2970" s="58">
        <v>0.0</v>
      </c>
      <c r="DG2970" s="58" t="s">
        <v>27489</v>
      </c>
      <c r="DH2970" s="58" t="s">
        <v>22525</v>
      </c>
      <c r="DJ2970" s="58" t="s">
        <v>237</v>
      </c>
      <c r="DK2970" s="58" t="s">
        <v>27490</v>
      </c>
      <c r="DL2970" s="58" t="s">
        <v>27491</v>
      </c>
    </row>
    <row r="2971" ht="15.75" customHeight="1">
      <c r="B2971" s="58" t="s">
        <v>22515</v>
      </c>
      <c r="D2971" s="58" t="s">
        <v>27492</v>
      </c>
      <c r="E2971" s="58" t="s">
        <v>27493</v>
      </c>
      <c r="I2971" s="58" t="s">
        <v>27494</v>
      </c>
      <c r="Q2971" s="58">
        <v>17.0</v>
      </c>
      <c r="R2971" s="58">
        <v>11.0</v>
      </c>
      <c r="CL2971" s="58" t="s">
        <v>27495</v>
      </c>
      <c r="CP2971" s="58" t="s">
        <v>27496</v>
      </c>
      <c r="CX2971" s="58" t="s">
        <v>27497</v>
      </c>
      <c r="CY2971" s="58" t="s">
        <v>27498</v>
      </c>
      <c r="CZ2971" s="58">
        <v>2021.0</v>
      </c>
      <c r="DA2971" s="58" t="s">
        <v>23168</v>
      </c>
      <c r="DB2971" s="58">
        <v>8117.0</v>
      </c>
      <c r="DF2971" s="58">
        <v>82.0</v>
      </c>
      <c r="DG2971" s="58" t="s">
        <v>27499</v>
      </c>
      <c r="DH2971" s="58" t="s">
        <v>22525</v>
      </c>
      <c r="DI2971" s="58" t="s">
        <v>22622</v>
      </c>
      <c r="DJ2971" s="58" t="s">
        <v>237</v>
      </c>
      <c r="DK2971" s="58" t="s">
        <v>27500</v>
      </c>
    </row>
    <row r="2972" ht="15.75" customHeight="1">
      <c r="B2972" s="58" t="s">
        <v>22515</v>
      </c>
      <c r="D2972" s="58" t="s">
        <v>27501</v>
      </c>
      <c r="E2972" s="58" t="s">
        <v>27502</v>
      </c>
      <c r="I2972" s="58" t="s">
        <v>27503</v>
      </c>
      <c r="Q2972" s="58">
        <v>1.0</v>
      </c>
      <c r="R2972" s="58">
        <v>15.0</v>
      </c>
      <c r="CL2972" s="58" t="s">
        <v>27504</v>
      </c>
      <c r="CP2972" s="58" t="s">
        <v>27505</v>
      </c>
      <c r="CX2972" s="58" t="s">
        <v>27506</v>
      </c>
      <c r="CY2972" s="58" t="s">
        <v>27507</v>
      </c>
      <c r="CZ2972" s="58">
        <v>2022.0</v>
      </c>
      <c r="DA2972" s="58" t="s">
        <v>27508</v>
      </c>
      <c r="DC2972" s="58">
        <v>18.0</v>
      </c>
      <c r="DD2972" s="58">
        <v>31.0</v>
      </c>
      <c r="DE2972" s="58">
        <v>13.0</v>
      </c>
      <c r="DF2972" s="58">
        <v>1.0</v>
      </c>
      <c r="DG2972" s="58" t="s">
        <v>27509</v>
      </c>
      <c r="DH2972" s="58" t="s">
        <v>22525</v>
      </c>
      <c r="DJ2972" s="58" t="s">
        <v>237</v>
      </c>
      <c r="DK2972" s="58" t="s">
        <v>27510</v>
      </c>
      <c r="DL2972" s="58" t="s">
        <v>27511</v>
      </c>
    </row>
    <row r="2973" ht="15.75" customHeight="1">
      <c r="B2973" s="58" t="s">
        <v>22515</v>
      </c>
      <c r="D2973" s="58" t="s">
        <v>27512</v>
      </c>
      <c r="E2973" s="58" t="s">
        <v>27513</v>
      </c>
      <c r="I2973" s="58" t="s">
        <v>27514</v>
      </c>
      <c r="Q2973" s="58">
        <v>1.0</v>
      </c>
      <c r="R2973" s="58">
        <v>14.0</v>
      </c>
      <c r="CL2973" s="58" t="s">
        <v>27515</v>
      </c>
      <c r="CP2973" s="58" t="s">
        <v>27516</v>
      </c>
      <c r="CX2973" s="58" t="s">
        <v>27517</v>
      </c>
      <c r="CY2973" s="58" t="s">
        <v>27518</v>
      </c>
      <c r="CZ2973" s="58">
        <v>2022.0</v>
      </c>
      <c r="DA2973" s="58" t="s">
        <v>27519</v>
      </c>
      <c r="DC2973" s="58">
        <v>26.0</v>
      </c>
      <c r="DD2973" s="58">
        <v>50.0</v>
      </c>
      <c r="DE2973" s="58">
        <v>24.0</v>
      </c>
      <c r="DF2973" s="58">
        <v>66.0</v>
      </c>
      <c r="DG2973" s="58" t="s">
        <v>27520</v>
      </c>
      <c r="DH2973" s="58" t="s">
        <v>22525</v>
      </c>
      <c r="DI2973" s="58" t="s">
        <v>22643</v>
      </c>
      <c r="DJ2973" s="58" t="s">
        <v>237</v>
      </c>
      <c r="DK2973" s="58" t="s">
        <v>27521</v>
      </c>
    </row>
    <row r="2974" ht="15.75" customHeight="1">
      <c r="B2974" s="58" t="s">
        <v>22771</v>
      </c>
      <c r="D2974" s="58" t="s">
        <v>27522</v>
      </c>
      <c r="E2974" s="58" t="s">
        <v>27523</v>
      </c>
      <c r="I2974" s="58" t="s">
        <v>27524</v>
      </c>
      <c r="R2974" s="58" t="s">
        <v>27525</v>
      </c>
      <c r="CL2974" s="58" t="s">
        <v>27526</v>
      </c>
      <c r="CP2974" s="58" t="s">
        <v>27527</v>
      </c>
      <c r="CX2974" s="58" t="s">
        <v>27528</v>
      </c>
      <c r="CY2974" s="58" t="s">
        <v>27529</v>
      </c>
      <c r="CZ2974" s="58">
        <v>2022.0</v>
      </c>
      <c r="DA2974" s="58" t="s">
        <v>24608</v>
      </c>
      <c r="DC2974" s="58">
        <v>153.0</v>
      </c>
      <c r="DD2974" s="58">
        <v>181.0</v>
      </c>
      <c r="DE2974" s="58">
        <v>28.0</v>
      </c>
      <c r="DF2974" s="58">
        <v>4.0</v>
      </c>
      <c r="DG2974" s="58" t="s">
        <v>27530</v>
      </c>
      <c r="DH2974" s="58" t="s">
        <v>22525</v>
      </c>
      <c r="DJ2974" s="58" t="s">
        <v>237</v>
      </c>
      <c r="DK2974" s="58" t="s">
        <v>27531</v>
      </c>
      <c r="DL2974" s="58" t="s">
        <v>27532</v>
      </c>
    </row>
    <row r="2975" ht="15.75" customHeight="1">
      <c r="B2975" s="58" t="s">
        <v>22771</v>
      </c>
      <c r="D2975" s="58" t="s">
        <v>27533</v>
      </c>
      <c r="E2975" s="58" t="s">
        <v>27534</v>
      </c>
      <c r="I2975" s="58" t="s">
        <v>27535</v>
      </c>
      <c r="Q2975" s="58">
        <v>11.0</v>
      </c>
      <c r="R2975" s="58">
        <v>51.0</v>
      </c>
      <c r="CL2975" s="58" t="s">
        <v>27536</v>
      </c>
      <c r="CP2975" s="58" t="s">
        <v>27537</v>
      </c>
      <c r="CX2975" s="58" t="s">
        <v>27538</v>
      </c>
      <c r="CY2975" s="58" t="s">
        <v>27539</v>
      </c>
      <c r="CZ2975" s="58">
        <v>2021.0</v>
      </c>
      <c r="DA2975" s="58" t="s">
        <v>23462</v>
      </c>
      <c r="DC2975" s="58">
        <v>2225.0</v>
      </c>
      <c r="DD2975" s="58">
        <v>2237.0</v>
      </c>
      <c r="DE2975" s="58">
        <v>12.0</v>
      </c>
      <c r="DF2975" s="58">
        <v>17.0</v>
      </c>
      <c r="DG2975" s="58" t="s">
        <v>27540</v>
      </c>
      <c r="DH2975" s="58" t="s">
        <v>22525</v>
      </c>
      <c r="DJ2975" s="58" t="s">
        <v>237</v>
      </c>
      <c r="DK2975" s="58" t="s">
        <v>27541</v>
      </c>
      <c r="DL2975" s="58" t="s">
        <v>27542</v>
      </c>
    </row>
    <row r="2976" ht="15.75" customHeight="1">
      <c r="B2976" s="58" t="s">
        <v>22515</v>
      </c>
      <c r="D2976" s="58" t="s">
        <v>27543</v>
      </c>
      <c r="E2976" s="58" t="s">
        <v>27544</v>
      </c>
      <c r="I2976" s="58" t="s">
        <v>27545</v>
      </c>
      <c r="Q2976" s="58">
        <v>17.0</v>
      </c>
      <c r="R2976" s="58">
        <v>8.0</v>
      </c>
      <c r="CL2976" s="58" t="s">
        <v>27546</v>
      </c>
      <c r="CP2976" s="58" t="s">
        <v>27547</v>
      </c>
      <c r="CX2976" s="58" t="s">
        <v>27548</v>
      </c>
      <c r="CY2976" s="58" t="s">
        <v>27549</v>
      </c>
      <c r="CZ2976" s="58">
        <v>2021.0</v>
      </c>
      <c r="DA2976" s="58" t="s">
        <v>16538</v>
      </c>
      <c r="DB2976" s="58">
        <v>9451193.0</v>
      </c>
      <c r="DC2976" s="58">
        <v>13165.0</v>
      </c>
      <c r="DD2976" s="58">
        <v>13182.0</v>
      </c>
      <c r="DE2976" s="58">
        <v>17.0</v>
      </c>
      <c r="DF2976" s="58">
        <v>12.0</v>
      </c>
      <c r="DG2976" s="58" t="s">
        <v>27550</v>
      </c>
      <c r="DH2976" s="58" t="s">
        <v>22525</v>
      </c>
      <c r="DJ2976" s="58" t="s">
        <v>237</v>
      </c>
      <c r="DK2976" s="58" t="s">
        <v>27551</v>
      </c>
      <c r="DL2976" s="58" t="s">
        <v>27552</v>
      </c>
    </row>
    <row r="2977" ht="15.75" customHeight="1">
      <c r="B2977" s="58" t="s">
        <v>22515</v>
      </c>
      <c r="D2977" s="58" t="s">
        <v>27553</v>
      </c>
      <c r="E2977" s="58" t="s">
        <v>27554</v>
      </c>
      <c r="I2977" s="58" t="s">
        <v>27555</v>
      </c>
      <c r="R2977" s="58">
        <v>2022.0</v>
      </c>
      <c r="CL2977" s="58" t="s">
        <v>27556</v>
      </c>
      <c r="CX2977" s="58" t="s">
        <v>27557</v>
      </c>
      <c r="CY2977" s="58" t="s">
        <v>27558</v>
      </c>
      <c r="CZ2977" s="58">
        <v>2022.0</v>
      </c>
      <c r="DA2977" s="58" t="s">
        <v>27559</v>
      </c>
      <c r="DB2977" s="58">
        <v>2332769.0</v>
      </c>
      <c r="DF2977" s="58">
        <v>0.0</v>
      </c>
      <c r="DG2977" s="58" t="s">
        <v>27560</v>
      </c>
      <c r="DH2977" s="58" t="s">
        <v>22525</v>
      </c>
      <c r="DI2977" s="58" t="s">
        <v>22622</v>
      </c>
      <c r="DJ2977" s="58" t="s">
        <v>237</v>
      </c>
      <c r="DK2977" s="58" t="s">
        <v>27561</v>
      </c>
      <c r="DL2977" s="58" t="s">
        <v>27562</v>
      </c>
    </row>
    <row r="2978" ht="15.75" customHeight="1">
      <c r="B2978" s="58" t="s">
        <v>22771</v>
      </c>
      <c r="D2978" s="58" t="s">
        <v>27563</v>
      </c>
      <c r="E2978" s="58" t="s">
        <v>27564</v>
      </c>
      <c r="I2978" s="58" t="s">
        <v>27565</v>
      </c>
      <c r="CL2978" s="58" t="s">
        <v>27566</v>
      </c>
      <c r="CP2978" s="58" t="s">
        <v>27567</v>
      </c>
      <c r="CX2978" s="58" t="s">
        <v>27568</v>
      </c>
      <c r="CY2978" s="58" t="s">
        <v>27569</v>
      </c>
      <c r="CZ2978" s="58">
        <v>2022.0</v>
      </c>
      <c r="DA2978" s="58" t="s">
        <v>27570</v>
      </c>
      <c r="DC2978" s="58">
        <v>75.0</v>
      </c>
      <c r="DD2978" s="58">
        <v>80.0</v>
      </c>
      <c r="DE2978" s="58">
        <v>5.0</v>
      </c>
      <c r="DF2978" s="58">
        <v>0.0</v>
      </c>
      <c r="DG2978" s="58" t="s">
        <v>27571</v>
      </c>
      <c r="DH2978" s="58" t="s">
        <v>22525</v>
      </c>
      <c r="DJ2978" s="58" t="s">
        <v>237</v>
      </c>
      <c r="DK2978" s="58" t="s">
        <v>27572</v>
      </c>
      <c r="DL2978" s="58" t="s">
        <v>27573</v>
      </c>
    </row>
    <row r="2979" ht="15.75" customHeight="1">
      <c r="B2979" s="58" t="s">
        <v>22515</v>
      </c>
      <c r="D2979" s="58" t="s">
        <v>27574</v>
      </c>
      <c r="E2979" s="58" t="s">
        <v>27575</v>
      </c>
      <c r="I2979" s="58" t="s">
        <v>27576</v>
      </c>
      <c r="Q2979" s="58">
        <v>1.0</v>
      </c>
      <c r="R2979" s="58">
        <v>23.0</v>
      </c>
      <c r="CL2979" s="58" t="s">
        <v>27577</v>
      </c>
      <c r="CP2979" s="58" t="s">
        <v>27578</v>
      </c>
      <c r="CX2979" s="58" t="s">
        <v>27579</v>
      </c>
      <c r="CY2979" s="58" t="s">
        <v>27580</v>
      </c>
      <c r="CZ2979" s="58">
        <v>2022.0</v>
      </c>
      <c r="DA2979" s="58" t="s">
        <v>27581</v>
      </c>
      <c r="DB2979" s="58">
        <v>2.0</v>
      </c>
      <c r="DC2979" s="58">
        <v>329.0</v>
      </c>
      <c r="DD2979" s="58">
        <v>371.0</v>
      </c>
      <c r="DE2979" s="58">
        <v>42.0</v>
      </c>
      <c r="DF2979" s="58">
        <v>24.0</v>
      </c>
      <c r="DG2979" s="58" t="s">
        <v>27582</v>
      </c>
      <c r="DH2979" s="58" t="s">
        <v>22525</v>
      </c>
      <c r="DJ2979" s="58" t="s">
        <v>237</v>
      </c>
      <c r="DK2979" s="58" t="s">
        <v>27583</v>
      </c>
      <c r="DL2979" s="58" t="s">
        <v>27584</v>
      </c>
    </row>
    <row r="2980" ht="15.75" customHeight="1">
      <c r="B2980" s="58" t="s">
        <v>22515</v>
      </c>
      <c r="D2980" s="58" t="s">
        <v>27585</v>
      </c>
      <c r="E2980" s="58" t="s">
        <v>27586</v>
      </c>
      <c r="I2980" s="58" t="s">
        <v>27587</v>
      </c>
      <c r="Q2980" s="58">
        <v>2.0</v>
      </c>
      <c r="R2980" s="58">
        <v>12.0</v>
      </c>
      <c r="CL2980" s="58" t="s">
        <v>27588</v>
      </c>
      <c r="CP2980" s="58" t="s">
        <v>27589</v>
      </c>
      <c r="CX2980" s="58" t="s">
        <v>27590</v>
      </c>
      <c r="CY2980" s="58" t="s">
        <v>27591</v>
      </c>
      <c r="CZ2980" s="58">
        <v>2022.0</v>
      </c>
      <c r="DA2980" s="58" t="s">
        <v>27592</v>
      </c>
      <c r="DC2980" s="58">
        <v>79.0</v>
      </c>
      <c r="DD2980" s="58">
        <v>136.0</v>
      </c>
      <c r="DE2980" s="58">
        <v>57.0</v>
      </c>
      <c r="DF2980" s="58">
        <v>6.0</v>
      </c>
      <c r="DG2980" s="58" t="s">
        <v>27593</v>
      </c>
      <c r="DH2980" s="58" t="s">
        <v>22525</v>
      </c>
      <c r="DI2980" s="58" t="s">
        <v>22622</v>
      </c>
      <c r="DJ2980" s="58" t="s">
        <v>237</v>
      </c>
      <c r="DK2980" s="58" t="s">
        <v>27594</v>
      </c>
    </row>
    <row r="2981" ht="15.75" customHeight="1">
      <c r="B2981" s="58" t="s">
        <v>22771</v>
      </c>
      <c r="D2981" s="58" t="s">
        <v>27595</v>
      </c>
      <c r="E2981" s="58" t="s">
        <v>27596</v>
      </c>
      <c r="I2981" s="58" t="s">
        <v>27597</v>
      </c>
      <c r="R2981" s="58" t="s">
        <v>27598</v>
      </c>
      <c r="CL2981" s="58" t="s">
        <v>27599</v>
      </c>
      <c r="CP2981" s="58" t="s">
        <v>27600</v>
      </c>
      <c r="CX2981" s="58" t="s">
        <v>27601</v>
      </c>
      <c r="CY2981" s="58" t="s">
        <v>27602</v>
      </c>
      <c r="CZ2981" s="58">
        <v>2022.0</v>
      </c>
      <c r="DA2981" s="58" t="s">
        <v>24360</v>
      </c>
      <c r="DC2981" s="58">
        <v>169.0</v>
      </c>
      <c r="DD2981" s="58">
        <v>181.0</v>
      </c>
      <c r="DE2981" s="58">
        <v>12.0</v>
      </c>
      <c r="DF2981" s="58">
        <v>2.0</v>
      </c>
      <c r="DG2981" s="58" t="s">
        <v>27603</v>
      </c>
      <c r="DH2981" s="58" t="s">
        <v>22525</v>
      </c>
      <c r="DJ2981" s="58" t="s">
        <v>237</v>
      </c>
      <c r="DK2981" s="58" t="s">
        <v>27604</v>
      </c>
      <c r="DL2981" s="58" t="s">
        <v>27605</v>
      </c>
    </row>
    <row r="2982" ht="15.75" customHeight="1">
      <c r="B2982" s="58" t="s">
        <v>22515</v>
      </c>
      <c r="D2982" s="58" t="s">
        <v>27606</v>
      </c>
      <c r="E2982" s="58" t="s">
        <v>27607</v>
      </c>
      <c r="I2982" s="58" t="s">
        <v>27608</v>
      </c>
      <c r="Q2982" s="58">
        <v>2.0</v>
      </c>
      <c r="R2982" s="58">
        <v>15.0</v>
      </c>
      <c r="CL2982" s="58" t="s">
        <v>27609</v>
      </c>
      <c r="CP2982" s="58" t="s">
        <v>27610</v>
      </c>
      <c r="CX2982" s="58" t="s">
        <v>27611</v>
      </c>
      <c r="CY2982" s="58" t="s">
        <v>27612</v>
      </c>
      <c r="CZ2982" s="58">
        <v>2022.0</v>
      </c>
      <c r="DA2982" s="58" t="s">
        <v>16613</v>
      </c>
      <c r="DC2982" s="58">
        <v>656.0</v>
      </c>
      <c r="DD2982" s="58">
        <v>668.0</v>
      </c>
      <c r="DE2982" s="58">
        <v>12.0</v>
      </c>
      <c r="DF2982" s="58">
        <v>4.0</v>
      </c>
      <c r="DG2982" s="58" t="s">
        <v>27613</v>
      </c>
      <c r="DH2982" s="58" t="s">
        <v>22525</v>
      </c>
      <c r="DI2982" s="58" t="s">
        <v>22816</v>
      </c>
      <c r="DJ2982" s="58" t="s">
        <v>237</v>
      </c>
      <c r="DK2982" s="58" t="s">
        <v>27614</v>
      </c>
      <c r="DL2982" s="58" t="s">
        <v>27615</v>
      </c>
    </row>
    <row r="2983" ht="15.75" customHeight="1">
      <c r="B2983" s="58" t="s">
        <v>22515</v>
      </c>
      <c r="D2983" s="58" t="s">
        <v>27616</v>
      </c>
      <c r="E2983" s="58" t="s">
        <v>27617</v>
      </c>
      <c r="I2983" s="58" t="s">
        <v>27618</v>
      </c>
      <c r="R2983" s="58">
        <v>2022.0</v>
      </c>
      <c r="CL2983" s="58" t="s">
        <v>27619</v>
      </c>
      <c r="CX2983" s="58" t="s">
        <v>27620</v>
      </c>
      <c r="CY2983" s="58" t="s">
        <v>27621</v>
      </c>
      <c r="CZ2983" s="58">
        <v>2022.0</v>
      </c>
      <c r="DA2983" s="58" t="s">
        <v>27622</v>
      </c>
      <c r="DB2983" s="58">
        <v>8327006.0</v>
      </c>
      <c r="DF2983" s="58">
        <v>3.0</v>
      </c>
      <c r="DG2983" s="58" t="s">
        <v>27623</v>
      </c>
      <c r="DH2983" s="58" t="s">
        <v>22525</v>
      </c>
      <c r="DI2983" s="58" t="s">
        <v>22643</v>
      </c>
      <c r="DJ2983" s="58" t="s">
        <v>237</v>
      </c>
      <c r="DK2983" s="58" t="s">
        <v>27624</v>
      </c>
      <c r="DL2983" s="58" t="s">
        <v>27625</v>
      </c>
    </row>
    <row r="2984" ht="15.75" customHeight="1">
      <c r="B2984" s="58" t="s">
        <v>22515</v>
      </c>
      <c r="D2984" s="58" t="s">
        <v>27626</v>
      </c>
      <c r="E2984" s="58" t="s">
        <v>27627</v>
      </c>
      <c r="I2984" s="58" t="s">
        <v>27628</v>
      </c>
      <c r="R2984" s="58">
        <v>10.0</v>
      </c>
      <c r="CL2984" s="58" t="s">
        <v>27629</v>
      </c>
      <c r="CP2984" s="58" t="s">
        <v>27630</v>
      </c>
      <c r="CX2984" s="58" t="s">
        <v>27631</v>
      </c>
      <c r="CY2984" s="58" t="s">
        <v>27632</v>
      </c>
      <c r="CZ2984" s="58">
        <v>2022.0</v>
      </c>
      <c r="DA2984" s="58" t="s">
        <v>16436</v>
      </c>
      <c r="DC2984" s="58">
        <v>84078.0</v>
      </c>
      <c r="DD2984" s="58">
        <v>84093.0</v>
      </c>
      <c r="DE2984" s="58">
        <v>15.0</v>
      </c>
      <c r="DF2984" s="58">
        <v>1.0</v>
      </c>
      <c r="DG2984" s="58" t="s">
        <v>27633</v>
      </c>
      <c r="DH2984" s="58" t="s">
        <v>22525</v>
      </c>
      <c r="DI2984" s="58" t="s">
        <v>22622</v>
      </c>
      <c r="DJ2984" s="58" t="s">
        <v>237</v>
      </c>
      <c r="DK2984" s="58" t="s">
        <v>27634</v>
      </c>
      <c r="DL2984" s="58" t="s">
        <v>27635</v>
      </c>
    </row>
    <row r="2985" ht="15.75" customHeight="1">
      <c r="B2985" s="58" t="s">
        <v>22515</v>
      </c>
      <c r="D2985" s="58" t="s">
        <v>27636</v>
      </c>
      <c r="E2985" s="58" t="s">
        <v>27637</v>
      </c>
      <c r="I2985" s="58" t="s">
        <v>27638</v>
      </c>
      <c r="Q2985" s="58">
        <v>13.0</v>
      </c>
      <c r="R2985" s="58">
        <v>21.0</v>
      </c>
      <c r="CL2985" s="58" t="s">
        <v>27639</v>
      </c>
      <c r="CP2985" s="58" t="s">
        <v>27640</v>
      </c>
      <c r="CX2985" s="58" t="s">
        <v>27641</v>
      </c>
      <c r="CY2985" s="58" t="s">
        <v>27642</v>
      </c>
      <c r="CZ2985" s="58">
        <v>2021.0</v>
      </c>
      <c r="DA2985" s="58" t="s">
        <v>22802</v>
      </c>
      <c r="DB2985" s="58">
        <v>4527.0</v>
      </c>
      <c r="DF2985" s="58">
        <v>44.0</v>
      </c>
      <c r="DG2985" s="58" t="s">
        <v>27643</v>
      </c>
      <c r="DH2985" s="58" t="s">
        <v>22525</v>
      </c>
      <c r="DI2985" s="58" t="s">
        <v>22643</v>
      </c>
      <c r="DJ2985" s="58" t="s">
        <v>237</v>
      </c>
      <c r="DK2985" s="58" t="s">
        <v>27644</v>
      </c>
      <c r="DL2985" s="58" t="s">
        <v>27645</v>
      </c>
    </row>
    <row r="2986" ht="15.75" customHeight="1">
      <c r="B2986" s="58" t="s">
        <v>22515</v>
      </c>
      <c r="D2986" s="58" t="s">
        <v>27646</v>
      </c>
      <c r="E2986" s="58" t="s">
        <v>27647</v>
      </c>
      <c r="I2986" s="58" t="s">
        <v>27648</v>
      </c>
      <c r="Q2986" s="58">
        <v>4.0</v>
      </c>
      <c r="R2986" s="58">
        <v>18.0</v>
      </c>
      <c r="CL2986" s="58" t="s">
        <v>27649</v>
      </c>
      <c r="CP2986" s="58" t="s">
        <v>27650</v>
      </c>
      <c r="CX2986" s="58" t="s">
        <v>27651</v>
      </c>
      <c r="CY2986" s="58" t="s">
        <v>27652</v>
      </c>
      <c r="CZ2986" s="58">
        <v>2021.0</v>
      </c>
      <c r="DA2986" s="58" t="s">
        <v>27653</v>
      </c>
      <c r="DB2986" s="58">
        <v>3460352.0</v>
      </c>
      <c r="DF2986" s="58">
        <v>30.0</v>
      </c>
      <c r="DG2986" s="58" t="s">
        <v>27654</v>
      </c>
      <c r="DH2986" s="58" t="s">
        <v>22525</v>
      </c>
      <c r="DI2986" s="58" t="s">
        <v>22622</v>
      </c>
      <c r="DJ2986" s="58" t="s">
        <v>237</v>
      </c>
      <c r="DK2986" s="58" t="s">
        <v>27655</v>
      </c>
      <c r="DL2986" s="58" t="s">
        <v>27656</v>
      </c>
    </row>
    <row r="2987" ht="15.75" customHeight="1">
      <c r="B2987" s="58" t="s">
        <v>22515</v>
      </c>
      <c r="D2987" s="58" t="s">
        <v>27657</v>
      </c>
      <c r="E2987" s="58" t="s">
        <v>27658</v>
      </c>
      <c r="I2987" s="58" t="s">
        <v>27659</v>
      </c>
      <c r="Q2987" s="58">
        <v>15.0</v>
      </c>
      <c r="R2987" s="58">
        <v>11.0</v>
      </c>
      <c r="CL2987" s="58" t="s">
        <v>27660</v>
      </c>
      <c r="CP2987" s="58" t="s">
        <v>27661</v>
      </c>
      <c r="CX2987" s="58" t="s">
        <v>27662</v>
      </c>
      <c r="CY2987" s="58" t="s">
        <v>27663</v>
      </c>
      <c r="CZ2987" s="58">
        <v>2021.0</v>
      </c>
      <c r="DA2987" s="58" t="s">
        <v>23168</v>
      </c>
      <c r="DB2987" s="58">
        <v>6722.0</v>
      </c>
      <c r="DF2987" s="58">
        <v>6.0</v>
      </c>
      <c r="DG2987" s="58" t="s">
        <v>27664</v>
      </c>
      <c r="DH2987" s="58" t="s">
        <v>22525</v>
      </c>
      <c r="DI2987" s="58" t="s">
        <v>22816</v>
      </c>
      <c r="DJ2987" s="58" t="s">
        <v>237</v>
      </c>
      <c r="DK2987" s="58" t="s">
        <v>27665</v>
      </c>
    </row>
    <row r="2988" ht="15.75" customHeight="1">
      <c r="B2988" s="58" t="s">
        <v>22515</v>
      </c>
      <c r="D2988" s="58" t="s">
        <v>27666</v>
      </c>
      <c r="E2988" s="58" t="s">
        <v>27667</v>
      </c>
      <c r="I2988" s="58" t="s">
        <v>27668</v>
      </c>
      <c r="Q2988" s="58">
        <v>9.0</v>
      </c>
      <c r="R2988" s="58">
        <v>9.0</v>
      </c>
      <c r="CL2988" s="58" t="s">
        <v>27669</v>
      </c>
      <c r="CP2988" s="58" t="s">
        <v>27670</v>
      </c>
      <c r="CX2988" s="58" t="s">
        <v>27671</v>
      </c>
      <c r="CY2988" s="58" t="s">
        <v>27672</v>
      </c>
      <c r="CZ2988" s="58">
        <v>2021.0</v>
      </c>
      <c r="DA2988" s="58" t="s">
        <v>22900</v>
      </c>
      <c r="DB2988" s="58">
        <v>1611.0</v>
      </c>
      <c r="DF2988" s="58">
        <v>27.0</v>
      </c>
      <c r="DG2988" s="58" t="s">
        <v>27673</v>
      </c>
      <c r="DH2988" s="58" t="s">
        <v>22525</v>
      </c>
      <c r="DI2988" s="58" t="s">
        <v>22643</v>
      </c>
      <c r="DJ2988" s="58" t="s">
        <v>237</v>
      </c>
      <c r="DK2988" s="58" t="s">
        <v>27674</v>
      </c>
    </row>
    <row r="2989" ht="15.75" customHeight="1">
      <c r="B2989" s="58" t="s">
        <v>22515</v>
      </c>
      <c r="D2989" s="58" t="s">
        <v>27675</v>
      </c>
      <c r="E2989" s="58" t="s">
        <v>27676</v>
      </c>
      <c r="I2989" s="58" t="s">
        <v>27677</v>
      </c>
      <c r="Q2989" s="58">
        <v>5.0</v>
      </c>
      <c r="R2989" s="58">
        <v>103.0</v>
      </c>
      <c r="CL2989" s="58" t="s">
        <v>27678</v>
      </c>
      <c r="CP2989" s="58" t="s">
        <v>27679</v>
      </c>
      <c r="CX2989" s="58" t="s">
        <v>27680</v>
      </c>
      <c r="CY2989" s="58" t="s">
        <v>27681</v>
      </c>
      <c r="CZ2989" s="58">
        <v>2021.0</v>
      </c>
      <c r="DA2989" s="58" t="s">
        <v>22557</v>
      </c>
      <c r="DC2989" s="58">
        <v>917.0</v>
      </c>
      <c r="DD2989" s="58">
        <v>991.0</v>
      </c>
      <c r="DE2989" s="58">
        <v>74.0</v>
      </c>
      <c r="DF2989" s="58">
        <v>30.0</v>
      </c>
      <c r="DG2989" s="58" t="s">
        <v>27682</v>
      </c>
      <c r="DH2989" s="58" t="s">
        <v>22525</v>
      </c>
      <c r="DJ2989" s="58" t="s">
        <v>237</v>
      </c>
      <c r="DK2989" s="58" t="s">
        <v>27683</v>
      </c>
      <c r="DL2989" s="58" t="s">
        <v>27684</v>
      </c>
    </row>
    <row r="2990" ht="15.75" customHeight="1">
      <c r="B2990" s="58" t="s">
        <v>22771</v>
      </c>
      <c r="D2990" s="58" t="s">
        <v>27685</v>
      </c>
      <c r="E2990" s="58" t="s">
        <v>27686</v>
      </c>
      <c r="I2990" s="58" t="s">
        <v>27687</v>
      </c>
      <c r="CL2990" s="58" t="s">
        <v>27688</v>
      </c>
      <c r="CP2990" s="58" t="s">
        <v>27689</v>
      </c>
      <c r="CX2990" s="58" t="s">
        <v>27690</v>
      </c>
      <c r="CY2990" s="58" t="s">
        <v>27691</v>
      </c>
      <c r="CZ2990" s="58">
        <v>2020.0</v>
      </c>
      <c r="DA2990" s="58" t="s">
        <v>27692</v>
      </c>
      <c r="DB2990" s="58">
        <v>9264955.0</v>
      </c>
      <c r="DC2990" s="58">
        <v>416.0</v>
      </c>
      <c r="DD2990" s="58">
        <v>422.0</v>
      </c>
      <c r="DE2990" s="58">
        <v>6.0</v>
      </c>
      <c r="DF2990" s="58">
        <v>2.0</v>
      </c>
      <c r="DG2990" s="58" t="s">
        <v>27693</v>
      </c>
      <c r="DH2990" s="58" t="s">
        <v>22525</v>
      </c>
      <c r="DJ2990" s="58" t="s">
        <v>237</v>
      </c>
      <c r="DK2990" s="58" t="s">
        <v>27694</v>
      </c>
      <c r="DL2990" s="58" t="s">
        <v>27695</v>
      </c>
    </row>
    <row r="2991" ht="15.75" customHeight="1">
      <c r="B2991" s="58" t="s">
        <v>22515</v>
      </c>
      <c r="D2991" s="58" t="s">
        <v>27696</v>
      </c>
      <c r="E2991" s="58" t="s">
        <v>27697</v>
      </c>
      <c r="I2991" s="58" t="s">
        <v>27698</v>
      </c>
      <c r="R2991" s="58">
        <v>116.0</v>
      </c>
      <c r="CL2991" s="58" t="s">
        <v>27699</v>
      </c>
      <c r="CP2991" s="58" t="s">
        <v>27700</v>
      </c>
      <c r="CX2991" s="58" t="s">
        <v>27701</v>
      </c>
      <c r="CY2991" s="58" t="s">
        <v>27702</v>
      </c>
      <c r="CZ2991" s="58">
        <v>2021.0</v>
      </c>
      <c r="DA2991" s="58" t="s">
        <v>23739</v>
      </c>
      <c r="DB2991" s="58">
        <v>102064.0</v>
      </c>
      <c r="DF2991" s="58">
        <v>20.0</v>
      </c>
      <c r="DG2991" s="58" t="s">
        <v>27703</v>
      </c>
      <c r="DH2991" s="58" t="s">
        <v>22525</v>
      </c>
      <c r="DJ2991" s="58" t="s">
        <v>237</v>
      </c>
      <c r="DK2991" s="58" t="s">
        <v>27704</v>
      </c>
      <c r="DL2991" s="58" t="s">
        <v>27705</v>
      </c>
    </row>
    <row r="2992" ht="15.75" customHeight="1">
      <c r="B2992" s="58" t="s">
        <v>22515</v>
      </c>
      <c r="D2992" s="58" t="s">
        <v>27706</v>
      </c>
      <c r="E2992" s="58" t="s">
        <v>27707</v>
      </c>
      <c r="I2992" s="58" t="s">
        <v>27708</v>
      </c>
      <c r="Q2992" s="58">
        <v>4.0</v>
      </c>
      <c r="R2992" s="58">
        <v>8.0</v>
      </c>
      <c r="CL2992" s="58" t="s">
        <v>27709</v>
      </c>
      <c r="CP2992" s="58" t="s">
        <v>27710</v>
      </c>
      <c r="CX2992" s="58" t="s">
        <v>27711</v>
      </c>
      <c r="CY2992" s="58" t="s">
        <v>27712</v>
      </c>
      <c r="CZ2992" s="58">
        <v>2020.0</v>
      </c>
      <c r="DA2992" s="58" t="s">
        <v>17438</v>
      </c>
      <c r="DB2992" s="58">
        <v>7748468.0</v>
      </c>
      <c r="DC2992" s="58">
        <v>1250.0</v>
      </c>
      <c r="DD2992" s="58">
        <v>1263.0</v>
      </c>
      <c r="DE2992" s="58">
        <v>13.0</v>
      </c>
      <c r="DF2992" s="58">
        <v>3.0</v>
      </c>
      <c r="DG2992" s="58" t="s">
        <v>27713</v>
      </c>
      <c r="DH2992" s="58" t="s">
        <v>22525</v>
      </c>
      <c r="DI2992" s="58" t="s">
        <v>22656</v>
      </c>
      <c r="DJ2992" s="58" t="s">
        <v>237</v>
      </c>
      <c r="DK2992" s="58" t="s">
        <v>27714</v>
      </c>
      <c r="DL2992" s="58" t="s">
        <v>27715</v>
      </c>
    </row>
    <row r="2993" ht="15.75" customHeight="1">
      <c r="B2993" s="58" t="s">
        <v>22515</v>
      </c>
      <c r="D2993" s="58" t="s">
        <v>27716</v>
      </c>
      <c r="E2993" s="58" t="s">
        <v>27717</v>
      </c>
      <c r="I2993" s="58" t="s">
        <v>27718</v>
      </c>
      <c r="R2993" s="58">
        <v>2021.0</v>
      </c>
      <c r="CL2993" s="58" t="s">
        <v>27719</v>
      </c>
      <c r="CX2993" s="58" t="s">
        <v>27720</v>
      </c>
      <c r="CY2993" s="58" t="s">
        <v>27721</v>
      </c>
      <c r="CZ2993" s="58">
        <v>2021.0</v>
      </c>
      <c r="DA2993" s="58" t="s">
        <v>27559</v>
      </c>
      <c r="DB2993" s="58">
        <v>8800234.0</v>
      </c>
      <c r="DF2993" s="58">
        <v>5.0</v>
      </c>
      <c r="DG2993" s="58" t="s">
        <v>27722</v>
      </c>
      <c r="DH2993" s="58" t="s">
        <v>22525</v>
      </c>
      <c r="DI2993" s="58" t="s">
        <v>22622</v>
      </c>
      <c r="DJ2993" s="58" t="s">
        <v>237</v>
      </c>
      <c r="DK2993" s="58" t="s">
        <v>27723</v>
      </c>
      <c r="DL2993" s="58" t="s">
        <v>27724</v>
      </c>
    </row>
    <row r="2994" ht="15.75" customHeight="1">
      <c r="B2994" s="58" t="s">
        <v>22771</v>
      </c>
      <c r="D2994" s="58" t="s">
        <v>27725</v>
      </c>
      <c r="E2994" s="58" t="s">
        <v>27726</v>
      </c>
      <c r="I2994" s="58" t="s">
        <v>27727</v>
      </c>
      <c r="R2994" s="58">
        <v>1380.0</v>
      </c>
      <c r="CL2994" s="58" t="s">
        <v>27728</v>
      </c>
      <c r="CP2994" s="58" t="s">
        <v>27729</v>
      </c>
      <c r="CX2994" s="58" t="s">
        <v>27730</v>
      </c>
      <c r="CY2994" s="58" t="s">
        <v>27731</v>
      </c>
      <c r="CZ2994" s="58">
        <v>2021.0</v>
      </c>
      <c r="DA2994" s="58" t="s">
        <v>24360</v>
      </c>
      <c r="DC2994" s="58">
        <v>33.0</v>
      </c>
      <c r="DD2994" s="58">
        <v>43.0</v>
      </c>
      <c r="DE2994" s="58">
        <v>10.0</v>
      </c>
      <c r="DF2994" s="58">
        <v>0.0</v>
      </c>
      <c r="DG2994" s="58" t="s">
        <v>27732</v>
      </c>
      <c r="DH2994" s="58" t="s">
        <v>22525</v>
      </c>
      <c r="DJ2994" s="58" t="s">
        <v>237</v>
      </c>
      <c r="DK2994" s="58" t="s">
        <v>27733</v>
      </c>
      <c r="DL2994" s="58" t="s">
        <v>27734</v>
      </c>
    </row>
    <row r="2995" ht="15.75" customHeight="1">
      <c r="B2995" s="58" t="s">
        <v>22515</v>
      </c>
      <c r="D2995" s="58" t="s">
        <v>27735</v>
      </c>
      <c r="E2995" s="58" t="s">
        <v>27736</v>
      </c>
      <c r="I2995" s="58" t="s">
        <v>27737</v>
      </c>
      <c r="R2995" s="58">
        <v>9.0</v>
      </c>
      <c r="CL2995" s="58" t="s">
        <v>27738</v>
      </c>
      <c r="CP2995" s="58" t="s">
        <v>27739</v>
      </c>
      <c r="CX2995" s="58" t="s">
        <v>27740</v>
      </c>
      <c r="CY2995" s="58" t="s">
        <v>27741</v>
      </c>
      <c r="CZ2995" s="58">
        <v>2021.0</v>
      </c>
      <c r="DA2995" s="58" t="s">
        <v>16436</v>
      </c>
      <c r="DC2995" s="58">
        <v>134457.0</v>
      </c>
      <c r="DD2995" s="58">
        <v>134502.0</v>
      </c>
      <c r="DE2995" s="58">
        <v>45.0</v>
      </c>
      <c r="DF2995" s="58">
        <v>47.0</v>
      </c>
      <c r="DG2995" s="58" t="s">
        <v>27742</v>
      </c>
      <c r="DH2995" s="58" t="s">
        <v>22525</v>
      </c>
      <c r="DI2995" s="58" t="s">
        <v>22643</v>
      </c>
      <c r="DJ2995" s="58" t="s">
        <v>237</v>
      </c>
      <c r="DK2995" s="58" t="s">
        <v>27743</v>
      </c>
      <c r="DL2995" s="58" t="s">
        <v>27744</v>
      </c>
    </row>
    <row r="2996" ht="15.75" customHeight="1">
      <c r="B2996" s="58" t="s">
        <v>22771</v>
      </c>
      <c r="D2996" s="58" t="s">
        <v>27745</v>
      </c>
      <c r="E2996" s="58" t="s">
        <v>27746</v>
      </c>
      <c r="I2996" s="58" t="s">
        <v>27747</v>
      </c>
      <c r="R2996" s="58" t="s">
        <v>27748</v>
      </c>
      <c r="CL2996" s="58" t="s">
        <v>27749</v>
      </c>
      <c r="CP2996" s="58" t="s">
        <v>27750</v>
      </c>
      <c r="CX2996" s="58" t="s">
        <v>27751</v>
      </c>
      <c r="CY2996" s="58" t="s">
        <v>27752</v>
      </c>
      <c r="CZ2996" s="58">
        <v>2020.0</v>
      </c>
      <c r="DA2996" s="58" t="s">
        <v>27753</v>
      </c>
      <c r="DB2996" s="58">
        <v>9209674.0</v>
      </c>
      <c r="DF2996" s="58">
        <v>7.0</v>
      </c>
      <c r="DG2996" s="58" t="s">
        <v>27754</v>
      </c>
      <c r="DH2996" s="58" t="s">
        <v>22525</v>
      </c>
      <c r="DJ2996" s="58" t="s">
        <v>237</v>
      </c>
      <c r="DK2996" s="58" t="s">
        <v>27755</v>
      </c>
      <c r="DL2996" s="58" t="s">
        <v>27756</v>
      </c>
    </row>
    <row r="2997" ht="15.75" customHeight="1">
      <c r="B2997" s="58" t="s">
        <v>22515</v>
      </c>
      <c r="D2997" s="58" t="s">
        <v>27757</v>
      </c>
      <c r="E2997" s="58" t="s">
        <v>27758</v>
      </c>
      <c r="I2997" s="58" t="s">
        <v>27759</v>
      </c>
      <c r="Q2997" s="58">
        <v>6.0</v>
      </c>
      <c r="R2997" s="58">
        <v>10.0</v>
      </c>
      <c r="CL2997" s="58" t="s">
        <v>27760</v>
      </c>
      <c r="CP2997" s="58" t="s">
        <v>27761</v>
      </c>
      <c r="CX2997" s="58" t="s">
        <v>27762</v>
      </c>
      <c r="CY2997" s="58" t="s">
        <v>27763</v>
      </c>
      <c r="CZ2997" s="58">
        <v>2020.0</v>
      </c>
      <c r="DA2997" s="58" t="s">
        <v>23986</v>
      </c>
      <c r="DC2997" s="58">
        <v>5985.0</v>
      </c>
      <c r="DD2997" s="58">
        <v>5991.0</v>
      </c>
      <c r="DE2997" s="58">
        <v>6.0</v>
      </c>
      <c r="DF2997" s="58">
        <v>4.0</v>
      </c>
      <c r="DG2997" s="58" t="s">
        <v>27764</v>
      </c>
      <c r="DH2997" s="58" t="s">
        <v>22525</v>
      </c>
      <c r="DI2997" s="58" t="s">
        <v>22643</v>
      </c>
      <c r="DJ2997" s="58" t="s">
        <v>237</v>
      </c>
      <c r="DK2997" s="58" t="s">
        <v>27765</v>
      </c>
    </row>
    <row r="2998" ht="15.75" customHeight="1">
      <c r="B2998" s="58" t="s">
        <v>22515</v>
      </c>
      <c r="D2998" s="58" t="s">
        <v>27766</v>
      </c>
      <c r="E2998" s="58" t="s">
        <v>27767</v>
      </c>
      <c r="I2998" s="58" t="s">
        <v>27768</v>
      </c>
      <c r="Q2998" s="58">
        <v>27.0</v>
      </c>
      <c r="R2998" s="58">
        <v>2021.0</v>
      </c>
      <c r="CL2998" s="58" t="s">
        <v>27769</v>
      </c>
      <c r="CP2998" s="58" t="s">
        <v>27770</v>
      </c>
      <c r="CX2998" s="58" t="s">
        <v>27771</v>
      </c>
      <c r="CY2998" s="58" t="s">
        <v>27772</v>
      </c>
      <c r="CZ2998" s="58">
        <v>2021.0</v>
      </c>
      <c r="DA2998" s="58" t="s">
        <v>27773</v>
      </c>
      <c r="DC2998" s="58">
        <v>87.0</v>
      </c>
      <c r="DD2998" s="58">
        <v>118.0</v>
      </c>
      <c r="DE2998" s="58">
        <v>31.0</v>
      </c>
      <c r="DF2998" s="58">
        <v>2.0</v>
      </c>
      <c r="DG2998" s="58" t="s">
        <v>27774</v>
      </c>
      <c r="DH2998" s="58" t="s">
        <v>22525</v>
      </c>
      <c r="DI2998" s="58" t="s">
        <v>22622</v>
      </c>
      <c r="DJ2998" s="58" t="s">
        <v>237</v>
      </c>
      <c r="DK2998" s="58" t="s">
        <v>27775</v>
      </c>
    </row>
    <row r="2999" ht="15.75" customHeight="1">
      <c r="B2999" s="58" t="s">
        <v>22771</v>
      </c>
      <c r="D2999" s="58" t="s">
        <v>27776</v>
      </c>
      <c r="E2999" s="58" t="s">
        <v>27777</v>
      </c>
      <c r="I2999" s="58" t="s">
        <v>27778</v>
      </c>
      <c r="CL2999" s="58" t="s">
        <v>27779</v>
      </c>
      <c r="CP2999" s="58" t="s">
        <v>27780</v>
      </c>
      <c r="CX2999" s="58" t="s">
        <v>27781</v>
      </c>
      <c r="CY2999" s="58" t="s">
        <v>27782</v>
      </c>
      <c r="CZ2999" s="58">
        <v>2020.0</v>
      </c>
      <c r="DA2999" s="58" t="s">
        <v>27783</v>
      </c>
      <c r="DB2999" s="58">
        <v>9302768.0</v>
      </c>
      <c r="DC2999" s="58">
        <v>354.0</v>
      </c>
      <c r="DD2999" s="58">
        <v>359.0</v>
      </c>
      <c r="DE2999" s="58">
        <v>5.0</v>
      </c>
      <c r="DF2999" s="58">
        <v>15.0</v>
      </c>
      <c r="DG2999" s="58" t="s">
        <v>27784</v>
      </c>
      <c r="DH2999" s="58" t="s">
        <v>22525</v>
      </c>
      <c r="DJ2999" s="58" t="s">
        <v>237</v>
      </c>
      <c r="DK2999" s="58" t="s">
        <v>27785</v>
      </c>
      <c r="DL2999" s="58" t="s">
        <v>27786</v>
      </c>
    </row>
    <row r="3000" ht="15.75" customHeight="1">
      <c r="B3000" s="58" t="s">
        <v>22771</v>
      </c>
      <c r="D3000" s="58" t="s">
        <v>27787</v>
      </c>
      <c r="E3000" s="58" t="s">
        <v>27788</v>
      </c>
      <c r="I3000" s="58" t="s">
        <v>27789</v>
      </c>
      <c r="R3000" s="58">
        <v>1.0</v>
      </c>
      <c r="CL3000" s="58" t="s">
        <v>27790</v>
      </c>
      <c r="CP3000" s="58" t="s">
        <v>27791</v>
      </c>
      <c r="CX3000" s="58" t="s">
        <v>27792</v>
      </c>
      <c r="CY3000" s="58" t="s">
        <v>27793</v>
      </c>
      <c r="CZ3000" s="58">
        <v>2020.0</v>
      </c>
      <c r="DA3000" s="58" t="s">
        <v>27794</v>
      </c>
      <c r="DB3000" s="58">
        <v>9321939.0</v>
      </c>
      <c r="DC3000" s="58">
        <v>119.0</v>
      </c>
      <c r="DD3000" s="58">
        <v>124.0</v>
      </c>
      <c r="DE3000" s="58">
        <v>5.0</v>
      </c>
      <c r="DF3000" s="58">
        <v>4.0</v>
      </c>
      <c r="DG3000" s="58" t="s">
        <v>27795</v>
      </c>
      <c r="DH3000" s="58" t="s">
        <v>22525</v>
      </c>
      <c r="DJ3000" s="58" t="s">
        <v>237</v>
      </c>
      <c r="DK3000" s="58" t="s">
        <v>27796</v>
      </c>
      <c r="DL3000" s="58" t="s">
        <v>27797</v>
      </c>
    </row>
    <row r="3001" ht="15.75" customHeight="1">
      <c r="B3001" s="58" t="s">
        <v>22771</v>
      </c>
      <c r="D3001" s="58" t="s">
        <v>27798</v>
      </c>
      <c r="E3001" s="58" t="s">
        <v>27799</v>
      </c>
      <c r="I3001" s="58" t="s">
        <v>27800</v>
      </c>
      <c r="R3001" s="58" t="s">
        <v>27801</v>
      </c>
      <c r="CL3001" s="58" t="s">
        <v>27802</v>
      </c>
      <c r="CP3001" s="58" t="s">
        <v>27803</v>
      </c>
      <c r="CX3001" s="58" t="s">
        <v>27804</v>
      </c>
      <c r="CY3001" s="58" t="s">
        <v>27805</v>
      </c>
      <c r="CZ3001" s="58">
        <v>2021.0</v>
      </c>
      <c r="DA3001" s="58" t="s">
        <v>24596</v>
      </c>
      <c r="DC3001" s="58">
        <v>734.0</v>
      </c>
      <c r="DD3001" s="58">
        <v>747.0</v>
      </c>
      <c r="DE3001" s="58">
        <v>13.0</v>
      </c>
      <c r="DF3001" s="58">
        <v>29.0</v>
      </c>
      <c r="DG3001" s="58" t="s">
        <v>27806</v>
      </c>
      <c r="DH3001" s="58" t="s">
        <v>22525</v>
      </c>
      <c r="DJ3001" s="58" t="s">
        <v>237</v>
      </c>
      <c r="DK3001" s="58" t="s">
        <v>27807</v>
      </c>
      <c r="DL3001" s="58" t="s">
        <v>27808</v>
      </c>
    </row>
    <row r="3002" ht="15.75" customHeight="1">
      <c r="B3002" s="58" t="s">
        <v>22515</v>
      </c>
      <c r="D3002" s="58" t="s">
        <v>27809</v>
      </c>
      <c r="E3002" s="58" t="s">
        <v>27810</v>
      </c>
      <c r="I3002" s="58" t="s">
        <v>27811</v>
      </c>
      <c r="Q3002" s="58">
        <v>13.0</v>
      </c>
      <c r="R3002" s="58">
        <v>20.0</v>
      </c>
      <c r="CL3002" s="58" t="s">
        <v>27812</v>
      </c>
      <c r="CP3002" s="58" t="s">
        <v>27813</v>
      </c>
      <c r="CX3002" s="58" t="s">
        <v>27814</v>
      </c>
      <c r="CY3002" s="58" t="s">
        <v>27815</v>
      </c>
      <c r="CZ3002" s="58">
        <v>2020.0</v>
      </c>
      <c r="DA3002" s="58" t="s">
        <v>27816</v>
      </c>
      <c r="DB3002" s="58">
        <v>3619.0</v>
      </c>
      <c r="DC3002" s="58">
        <v>1.0</v>
      </c>
      <c r="DD3002" s="58">
        <v>30.0</v>
      </c>
      <c r="DE3002" s="58">
        <v>29.0</v>
      </c>
      <c r="DF3002" s="58">
        <v>89.0</v>
      </c>
      <c r="DG3002" s="58" t="s">
        <v>27817</v>
      </c>
      <c r="DH3002" s="58" t="s">
        <v>22525</v>
      </c>
      <c r="DI3002" s="58" t="s">
        <v>22643</v>
      </c>
      <c r="DJ3002" s="58" t="s">
        <v>237</v>
      </c>
      <c r="DK3002" s="58" t="s">
        <v>27818</v>
      </c>
      <c r="DL3002" s="58" t="s">
        <v>27819</v>
      </c>
    </row>
    <row r="3003" ht="15.75" customHeight="1">
      <c r="B3003" s="58" t="s">
        <v>22771</v>
      </c>
      <c r="D3003" s="58" t="s">
        <v>27820</v>
      </c>
      <c r="E3003" s="58" t="s">
        <v>27821</v>
      </c>
      <c r="I3003" s="58" t="s">
        <v>27822</v>
      </c>
      <c r="CL3003" s="58" t="s">
        <v>27823</v>
      </c>
      <c r="CP3003" s="58" t="s">
        <v>27824</v>
      </c>
      <c r="CX3003" s="58" t="s">
        <v>27825</v>
      </c>
      <c r="CY3003" s="58" t="s">
        <v>27826</v>
      </c>
      <c r="CZ3003" s="58">
        <v>2020.0</v>
      </c>
      <c r="DA3003" s="58" t="s">
        <v>27827</v>
      </c>
      <c r="DB3003" s="58">
        <v>9112926.0</v>
      </c>
      <c r="DC3003" s="58">
        <v>79.0</v>
      </c>
      <c r="DD3003" s="58">
        <v>88.0</v>
      </c>
      <c r="DE3003" s="58">
        <v>9.0</v>
      </c>
      <c r="DF3003" s="58">
        <v>18.0</v>
      </c>
      <c r="DG3003" s="58" t="s">
        <v>27828</v>
      </c>
      <c r="DH3003" s="58" t="s">
        <v>22525</v>
      </c>
      <c r="DJ3003" s="58" t="s">
        <v>237</v>
      </c>
      <c r="DK3003" s="58" t="s">
        <v>27829</v>
      </c>
      <c r="DL3003" s="58" t="s">
        <v>27830</v>
      </c>
    </row>
    <row r="3004" ht="15.75" customHeight="1">
      <c r="B3004" s="58" t="s">
        <v>22771</v>
      </c>
      <c r="D3004" s="58" t="s">
        <v>27831</v>
      </c>
      <c r="E3004" s="58" t="s">
        <v>27832</v>
      </c>
      <c r="I3004" s="58" t="s">
        <v>27833</v>
      </c>
      <c r="CL3004" s="58" t="s">
        <v>27834</v>
      </c>
      <c r="CP3004" s="58" t="s">
        <v>27835</v>
      </c>
      <c r="CX3004" s="58" t="s">
        <v>27836</v>
      </c>
      <c r="CY3004" s="58" t="s">
        <v>27837</v>
      </c>
      <c r="CZ3004" s="58">
        <v>2021.0</v>
      </c>
      <c r="DA3004" s="58" t="s">
        <v>27838</v>
      </c>
      <c r="DF3004" s="58">
        <v>1.0</v>
      </c>
      <c r="DG3004" s="58" t="s">
        <v>27839</v>
      </c>
      <c r="DH3004" s="58" t="s">
        <v>22525</v>
      </c>
      <c r="DJ3004" s="58" t="s">
        <v>237</v>
      </c>
      <c r="DK3004" s="58" t="s">
        <v>27840</v>
      </c>
      <c r="DL3004" s="58" t="s">
        <v>27841</v>
      </c>
    </row>
    <row r="3005" ht="15.75" customHeight="1">
      <c r="B3005" s="58" t="s">
        <v>22515</v>
      </c>
      <c r="D3005" s="58" t="s">
        <v>27842</v>
      </c>
      <c r="E3005" s="58" t="s">
        <v>27843</v>
      </c>
      <c r="I3005" s="58" t="s">
        <v>27844</v>
      </c>
      <c r="Q3005" s="58">
        <v>4.0</v>
      </c>
      <c r="R3005" s="58">
        <v>28.0</v>
      </c>
      <c r="CL3005" s="58" t="s">
        <v>27845</v>
      </c>
      <c r="CP3005" s="58" t="s">
        <v>27846</v>
      </c>
      <c r="CX3005" s="58" t="s">
        <v>27847</v>
      </c>
      <c r="CY3005" s="58" t="s">
        <v>27848</v>
      </c>
      <c r="CZ3005" s="58">
        <v>2020.0</v>
      </c>
      <c r="DA3005" s="58" t="s">
        <v>23377</v>
      </c>
      <c r="DC3005" s="58">
        <v>1775.0</v>
      </c>
      <c r="DD3005" s="58">
        <v>1793.0</v>
      </c>
      <c r="DE3005" s="58">
        <v>18.0</v>
      </c>
      <c r="DF3005" s="58">
        <v>16.0</v>
      </c>
      <c r="DG3005" s="58" t="s">
        <v>27849</v>
      </c>
      <c r="DH3005" s="58" t="s">
        <v>22525</v>
      </c>
      <c r="DJ3005" s="58" t="s">
        <v>237</v>
      </c>
      <c r="DK3005" s="58" t="s">
        <v>27850</v>
      </c>
      <c r="DL3005" s="58" t="s">
        <v>27851</v>
      </c>
    </row>
    <row r="3006" ht="15.75" customHeight="1">
      <c r="B3006" s="58" t="s">
        <v>22515</v>
      </c>
      <c r="D3006" s="58" t="s">
        <v>27852</v>
      </c>
      <c r="E3006" s="58" t="s">
        <v>27853</v>
      </c>
      <c r="I3006" s="58" t="s">
        <v>27854</v>
      </c>
      <c r="R3006" s="58">
        <v>9.0</v>
      </c>
      <c r="CL3006" s="58" t="s">
        <v>27855</v>
      </c>
      <c r="CP3006" s="58" t="s">
        <v>27856</v>
      </c>
      <c r="CX3006" s="58" t="s">
        <v>27857</v>
      </c>
      <c r="CY3006" s="58" t="s">
        <v>27858</v>
      </c>
      <c r="CZ3006" s="58">
        <v>2021.0</v>
      </c>
      <c r="DA3006" s="58" t="s">
        <v>16436</v>
      </c>
      <c r="DB3006" s="58">
        <v>9435363.0</v>
      </c>
      <c r="DC3006" s="58">
        <v>75961.0</v>
      </c>
      <c r="DD3006" s="58">
        <v>75980.0</v>
      </c>
      <c r="DE3006" s="58">
        <v>19.0</v>
      </c>
      <c r="DF3006" s="58">
        <v>79.0</v>
      </c>
      <c r="DG3006" s="58" t="s">
        <v>27859</v>
      </c>
      <c r="DH3006" s="58" t="s">
        <v>22525</v>
      </c>
      <c r="DI3006" s="58" t="s">
        <v>22622</v>
      </c>
      <c r="DJ3006" s="58" t="s">
        <v>237</v>
      </c>
      <c r="DK3006" s="58" t="s">
        <v>27860</v>
      </c>
      <c r="DL3006" s="58" t="s">
        <v>27861</v>
      </c>
    </row>
    <row r="3007" ht="15.75" customHeight="1">
      <c r="B3007" s="58" t="s">
        <v>22515</v>
      </c>
      <c r="D3007" s="58" t="s">
        <v>27862</v>
      </c>
      <c r="E3007" s="58" t="s">
        <v>27863</v>
      </c>
      <c r="I3007" s="58" t="s">
        <v>27864</v>
      </c>
      <c r="Q3007" s="58">
        <v>10.0</v>
      </c>
      <c r="R3007" s="58">
        <v>11.0</v>
      </c>
      <c r="CL3007" s="58" t="s">
        <v>27865</v>
      </c>
      <c r="CP3007" s="58" t="s">
        <v>27866</v>
      </c>
      <c r="CX3007" s="58" t="s">
        <v>27867</v>
      </c>
      <c r="CY3007" s="58" t="s">
        <v>27868</v>
      </c>
      <c r="CZ3007" s="58">
        <v>2021.0</v>
      </c>
      <c r="DA3007" s="58" t="s">
        <v>23168</v>
      </c>
      <c r="DB3007" s="58">
        <v>4350.0</v>
      </c>
      <c r="DF3007" s="58">
        <v>14.0</v>
      </c>
      <c r="DG3007" s="58" t="s">
        <v>27869</v>
      </c>
      <c r="DH3007" s="58" t="s">
        <v>22525</v>
      </c>
      <c r="DI3007" s="58" t="s">
        <v>22622</v>
      </c>
      <c r="DJ3007" s="58" t="s">
        <v>237</v>
      </c>
      <c r="DK3007" s="58" t="s">
        <v>27870</v>
      </c>
    </row>
    <row r="3008" ht="15.75" customHeight="1">
      <c r="B3008" s="58" t="s">
        <v>22515</v>
      </c>
      <c r="D3008" s="58" t="s">
        <v>27871</v>
      </c>
      <c r="E3008" s="58" t="s">
        <v>27872</v>
      </c>
      <c r="I3008" s="58" t="s">
        <v>27873</v>
      </c>
      <c r="R3008" s="58">
        <v>159.0</v>
      </c>
      <c r="CL3008" s="58" t="s">
        <v>27874</v>
      </c>
      <c r="CP3008" s="58" t="s">
        <v>27875</v>
      </c>
      <c r="CX3008" s="58" t="s">
        <v>27876</v>
      </c>
      <c r="CY3008" s="58" t="s">
        <v>27877</v>
      </c>
      <c r="CZ3008" s="58">
        <v>2020.0</v>
      </c>
      <c r="DA3008" s="58" t="s">
        <v>23053</v>
      </c>
      <c r="DC3008" s="58">
        <v>161.0</v>
      </c>
      <c r="DD3008" s="58">
        <v>174.0</v>
      </c>
      <c r="DE3008" s="58">
        <v>13.0</v>
      </c>
      <c r="DF3008" s="58">
        <v>104.0</v>
      </c>
      <c r="DG3008" s="58" t="s">
        <v>27878</v>
      </c>
      <c r="DH3008" s="58" t="s">
        <v>22525</v>
      </c>
      <c r="DJ3008" s="58" t="s">
        <v>237</v>
      </c>
      <c r="DK3008" s="58" t="s">
        <v>27879</v>
      </c>
      <c r="DL3008" s="58" t="s">
        <v>27880</v>
      </c>
    </row>
    <row r="3009" ht="15.75" customHeight="1">
      <c r="B3009" s="58" t="s">
        <v>22515</v>
      </c>
      <c r="D3009" s="58" t="s">
        <v>27881</v>
      </c>
      <c r="E3009" s="58" t="s">
        <v>27882</v>
      </c>
      <c r="I3009" s="58" t="s">
        <v>27883</v>
      </c>
      <c r="Q3009" s="58">
        <v>2.0</v>
      </c>
      <c r="R3009" s="58">
        <v>29.0</v>
      </c>
      <c r="CL3009" s="58" t="s">
        <v>27884</v>
      </c>
      <c r="CP3009" s="58" t="s">
        <v>27885</v>
      </c>
      <c r="CX3009" s="58" t="s">
        <v>27886</v>
      </c>
      <c r="CY3009" s="58" t="s">
        <v>27887</v>
      </c>
      <c r="CZ3009" s="58">
        <v>2021.0</v>
      </c>
      <c r="DA3009" s="58" t="s">
        <v>24071</v>
      </c>
      <c r="DC3009" s="58">
        <v>431.0</v>
      </c>
      <c r="DD3009" s="58">
        <v>507.0</v>
      </c>
      <c r="DE3009" s="58">
        <v>76.0</v>
      </c>
      <c r="DF3009" s="58">
        <v>20.0</v>
      </c>
      <c r="DG3009" s="58" t="s">
        <v>27888</v>
      </c>
      <c r="DH3009" s="58" t="s">
        <v>22525</v>
      </c>
      <c r="DI3009" s="58" t="s">
        <v>22816</v>
      </c>
      <c r="DJ3009" s="58" t="s">
        <v>237</v>
      </c>
      <c r="DK3009" s="58" t="s">
        <v>27889</v>
      </c>
      <c r="DL3009" s="58" t="s">
        <v>27890</v>
      </c>
    </row>
    <row r="3010" ht="15.75" customHeight="1">
      <c r="B3010" s="58" t="s">
        <v>22515</v>
      </c>
      <c r="D3010" s="58" t="s">
        <v>27891</v>
      </c>
      <c r="E3010" s="58" t="s">
        <v>27892</v>
      </c>
      <c r="I3010" s="58" t="s">
        <v>27893</v>
      </c>
      <c r="R3010" s="58">
        <v>185.0</v>
      </c>
      <c r="CL3010" s="58" t="s">
        <v>27894</v>
      </c>
      <c r="CP3010" s="58" t="s">
        <v>27895</v>
      </c>
      <c r="CX3010" s="58" t="s">
        <v>27896</v>
      </c>
      <c r="CY3010" s="58" t="s">
        <v>27897</v>
      </c>
      <c r="CZ3010" s="58">
        <v>2021.0</v>
      </c>
      <c r="DA3010" s="58" t="s">
        <v>23179</v>
      </c>
      <c r="DB3010" s="58">
        <v>107743.0</v>
      </c>
      <c r="DF3010" s="58">
        <v>41.0</v>
      </c>
      <c r="DG3010" s="58" t="s">
        <v>27898</v>
      </c>
      <c r="DH3010" s="58" t="s">
        <v>22525</v>
      </c>
      <c r="DI3010" s="58" t="s">
        <v>22816</v>
      </c>
      <c r="DJ3010" s="58" t="s">
        <v>237</v>
      </c>
      <c r="DK3010" s="58" t="s">
        <v>27899</v>
      </c>
      <c r="DL3010" s="58" t="s">
        <v>27900</v>
      </c>
    </row>
    <row r="3011" ht="15.75" customHeight="1">
      <c r="B3011" s="58" t="s">
        <v>22515</v>
      </c>
      <c r="D3011" s="58" t="s">
        <v>27901</v>
      </c>
      <c r="E3011" s="58" t="s">
        <v>27902</v>
      </c>
      <c r="I3011" s="58" t="s">
        <v>27903</v>
      </c>
      <c r="Q3011" s="58">
        <v>4.0</v>
      </c>
      <c r="R3011" s="58">
        <v>27.0</v>
      </c>
      <c r="CL3011" s="58" t="s">
        <v>27904</v>
      </c>
      <c r="CP3011" s="58" t="s">
        <v>27905</v>
      </c>
      <c r="CX3011" s="58" t="s">
        <v>27906</v>
      </c>
      <c r="CY3011" s="58" t="s">
        <v>27907</v>
      </c>
      <c r="CZ3011" s="58">
        <v>2021.0</v>
      </c>
      <c r="DA3011" s="58" t="s">
        <v>23085</v>
      </c>
      <c r="DC3011" s="58">
        <v>2829.0</v>
      </c>
      <c r="DD3011" s="58">
        <v>2866.0</v>
      </c>
      <c r="DE3011" s="58">
        <v>37.0</v>
      </c>
      <c r="DF3011" s="58">
        <v>17.0</v>
      </c>
      <c r="DG3011" s="58" t="s">
        <v>27908</v>
      </c>
      <c r="DH3011" s="58" t="s">
        <v>22525</v>
      </c>
      <c r="DJ3011" s="58" t="s">
        <v>237</v>
      </c>
      <c r="DK3011" s="58" t="s">
        <v>27909</v>
      </c>
      <c r="DL3011" s="58" t="s">
        <v>27910</v>
      </c>
    </row>
    <row r="3012" ht="15.75" customHeight="1">
      <c r="B3012" s="58" t="s">
        <v>22771</v>
      </c>
      <c r="D3012" s="58" t="s">
        <v>27911</v>
      </c>
      <c r="E3012" s="58" t="s">
        <v>27912</v>
      </c>
      <c r="I3012" s="58" t="s">
        <v>27913</v>
      </c>
      <c r="R3012" s="58">
        <v>1.0</v>
      </c>
      <c r="CL3012" s="58" t="s">
        <v>27914</v>
      </c>
      <c r="CP3012" s="58" t="s">
        <v>27791</v>
      </c>
      <c r="CX3012" s="58" t="s">
        <v>27915</v>
      </c>
      <c r="CY3012" s="58" t="s">
        <v>27916</v>
      </c>
      <c r="CZ3012" s="58">
        <v>2020.0</v>
      </c>
      <c r="DA3012" s="58" t="s">
        <v>27794</v>
      </c>
      <c r="DB3012" s="58">
        <v>9321960.0</v>
      </c>
      <c r="DC3012" s="58">
        <v>125.0</v>
      </c>
      <c r="DD3012" s="58">
        <v>133.0</v>
      </c>
      <c r="DE3012" s="58">
        <v>8.0</v>
      </c>
      <c r="DF3012" s="58">
        <v>4.0</v>
      </c>
      <c r="DG3012" s="58" t="s">
        <v>27917</v>
      </c>
      <c r="DH3012" s="58" t="s">
        <v>22525</v>
      </c>
      <c r="DJ3012" s="58" t="s">
        <v>237</v>
      </c>
      <c r="DK3012" s="58" t="s">
        <v>27918</v>
      </c>
      <c r="DL3012" s="58" t="s">
        <v>27919</v>
      </c>
    </row>
    <row r="3013" ht="15.75" customHeight="1">
      <c r="B3013" s="58" t="s">
        <v>22515</v>
      </c>
      <c r="D3013" s="58" t="s">
        <v>27920</v>
      </c>
      <c r="E3013" s="58" t="s">
        <v>27921</v>
      </c>
      <c r="I3013" s="58" t="s">
        <v>27922</v>
      </c>
      <c r="R3013" s="58">
        <v>9.0</v>
      </c>
      <c r="CL3013" s="58" t="s">
        <v>27923</v>
      </c>
      <c r="CP3013" s="58" t="s">
        <v>27924</v>
      </c>
      <c r="CX3013" s="58" t="s">
        <v>27925</v>
      </c>
      <c r="CY3013" s="58" t="s">
        <v>27926</v>
      </c>
      <c r="CZ3013" s="58">
        <v>2021.0</v>
      </c>
      <c r="DA3013" s="58" t="s">
        <v>16436</v>
      </c>
      <c r="DC3013" s="58">
        <v>132897.0</v>
      </c>
      <c r="DD3013" s="58">
        <v>132913.0</v>
      </c>
      <c r="DE3013" s="58">
        <v>16.0</v>
      </c>
      <c r="DF3013" s="58">
        <v>30.0</v>
      </c>
      <c r="DG3013" s="58" t="s">
        <v>27927</v>
      </c>
      <c r="DH3013" s="58" t="s">
        <v>22525</v>
      </c>
      <c r="DI3013" s="58" t="s">
        <v>22622</v>
      </c>
      <c r="DJ3013" s="58" t="s">
        <v>237</v>
      </c>
      <c r="DK3013" s="58" t="s">
        <v>27928</v>
      </c>
      <c r="DL3013" s="58" t="s">
        <v>27929</v>
      </c>
    </row>
    <row r="3014" ht="15.75" customHeight="1">
      <c r="B3014" s="58" t="s">
        <v>22771</v>
      </c>
      <c r="D3014" s="58" t="s">
        <v>27930</v>
      </c>
      <c r="E3014" s="58" t="s">
        <v>27931</v>
      </c>
      <c r="I3014" s="58" t="s">
        <v>27932</v>
      </c>
      <c r="R3014" s="58" t="s">
        <v>27933</v>
      </c>
      <c r="CL3014" s="58" t="s">
        <v>27934</v>
      </c>
      <c r="CP3014" s="58" t="s">
        <v>27935</v>
      </c>
      <c r="CX3014" s="58" t="s">
        <v>27936</v>
      </c>
      <c r="CY3014" s="58" t="s">
        <v>27937</v>
      </c>
      <c r="CZ3014" s="58">
        <v>2021.0</v>
      </c>
      <c r="DA3014" s="58" t="s">
        <v>27938</v>
      </c>
      <c r="DB3014" s="58">
        <v>9474067.0</v>
      </c>
      <c r="DC3014" s="58">
        <v>986.0</v>
      </c>
      <c r="DD3014" s="58">
        <v>989.0</v>
      </c>
      <c r="DE3014" s="58">
        <v>3.0</v>
      </c>
      <c r="DF3014" s="58">
        <v>5.0</v>
      </c>
      <c r="DG3014" s="58" t="s">
        <v>27939</v>
      </c>
      <c r="DH3014" s="58" t="s">
        <v>22525</v>
      </c>
      <c r="DJ3014" s="58" t="s">
        <v>237</v>
      </c>
      <c r="DK3014" s="58" t="s">
        <v>27940</v>
      </c>
      <c r="DL3014" s="58" t="s">
        <v>27941</v>
      </c>
    </row>
    <row r="3015" ht="15.75" customHeight="1">
      <c r="B3015" s="58" t="s">
        <v>22771</v>
      </c>
      <c r="D3015" s="58" t="s">
        <v>27942</v>
      </c>
      <c r="E3015" s="58" t="s">
        <v>27943</v>
      </c>
      <c r="I3015" s="58" t="s">
        <v>27944</v>
      </c>
      <c r="CL3015" s="58" t="s">
        <v>27945</v>
      </c>
      <c r="CP3015" s="58" t="s">
        <v>27946</v>
      </c>
      <c r="CX3015" s="58" t="s">
        <v>27947</v>
      </c>
      <c r="CY3015" s="58" t="s">
        <v>27948</v>
      </c>
      <c r="CZ3015" s="58">
        <v>2020.0</v>
      </c>
      <c r="DA3015" s="58" t="s">
        <v>27949</v>
      </c>
      <c r="DC3015" s="58">
        <v>138.0</v>
      </c>
      <c r="DD3015" s="58">
        <v>149.0</v>
      </c>
      <c r="DE3015" s="58">
        <v>11.0</v>
      </c>
      <c r="DF3015" s="58">
        <v>30.0</v>
      </c>
      <c r="DG3015" s="58" t="s">
        <v>27950</v>
      </c>
      <c r="DH3015" s="58" t="s">
        <v>22525</v>
      </c>
      <c r="DJ3015" s="58" t="s">
        <v>237</v>
      </c>
      <c r="DK3015" s="58" t="s">
        <v>27951</v>
      </c>
      <c r="DL3015" s="58" t="s">
        <v>27952</v>
      </c>
    </row>
    <row r="3016" ht="15.75" customHeight="1">
      <c r="B3016" s="58" t="s">
        <v>22515</v>
      </c>
      <c r="D3016" s="58" t="s">
        <v>27953</v>
      </c>
      <c r="E3016" s="58" t="s">
        <v>27954</v>
      </c>
      <c r="I3016" s="58" t="s">
        <v>27955</v>
      </c>
      <c r="Q3016" s="58">
        <v>3.0</v>
      </c>
      <c r="R3016" s="58">
        <v>17.0</v>
      </c>
      <c r="CL3016" s="58" t="s">
        <v>27956</v>
      </c>
      <c r="CP3016" s="58" t="s">
        <v>27957</v>
      </c>
      <c r="CX3016" s="58" t="s">
        <v>27958</v>
      </c>
      <c r="CY3016" s="58" t="s">
        <v>27959</v>
      </c>
      <c r="CZ3016" s="58">
        <v>2021.0</v>
      </c>
      <c r="DA3016" s="58" t="s">
        <v>25507</v>
      </c>
      <c r="DF3016" s="58">
        <v>2.0</v>
      </c>
      <c r="DG3016" s="58" t="s">
        <v>27960</v>
      </c>
      <c r="DH3016" s="58" t="s">
        <v>22525</v>
      </c>
      <c r="DI3016" s="58" t="s">
        <v>22622</v>
      </c>
      <c r="DJ3016" s="58" t="s">
        <v>237</v>
      </c>
      <c r="DK3016" s="58" t="s">
        <v>27961</v>
      </c>
      <c r="DL3016" s="58" t="s">
        <v>27962</v>
      </c>
    </row>
    <row r="3017" ht="15.75" customHeight="1">
      <c r="B3017" s="58" t="s">
        <v>22515</v>
      </c>
      <c r="D3017" s="58" t="s">
        <v>27963</v>
      </c>
      <c r="E3017" s="58" t="s">
        <v>27964</v>
      </c>
      <c r="I3017" s="58" t="s">
        <v>27965</v>
      </c>
      <c r="Q3017" s="58">
        <v>5.0</v>
      </c>
      <c r="R3017" s="58">
        <v>8.0</v>
      </c>
      <c r="CL3017" s="58" t="s">
        <v>27966</v>
      </c>
      <c r="CP3017" s="58" t="s">
        <v>27967</v>
      </c>
      <c r="CX3017" s="58" t="s">
        <v>27968</v>
      </c>
      <c r="CY3017" s="58" t="s">
        <v>27969</v>
      </c>
      <c r="CZ3017" s="58">
        <v>2021.0</v>
      </c>
      <c r="DA3017" s="58" t="s">
        <v>16538</v>
      </c>
      <c r="DB3017" s="58">
        <v>9197677.0</v>
      </c>
      <c r="DC3017" s="58">
        <v>3665.0</v>
      </c>
      <c r="DD3017" s="58">
        <v>3677.0</v>
      </c>
      <c r="DE3017" s="58">
        <v>12.0</v>
      </c>
      <c r="DF3017" s="58">
        <v>19.0</v>
      </c>
      <c r="DG3017" s="58" t="s">
        <v>27970</v>
      </c>
      <c r="DH3017" s="58" t="s">
        <v>22525</v>
      </c>
      <c r="DJ3017" s="58" t="s">
        <v>237</v>
      </c>
      <c r="DK3017" s="58" t="s">
        <v>27971</v>
      </c>
      <c r="DL3017" s="58" t="s">
        <v>27972</v>
      </c>
    </row>
    <row r="3018" ht="15.75" customHeight="1">
      <c r="B3018" s="58" t="s">
        <v>22771</v>
      </c>
      <c r="D3018" s="58" t="s">
        <v>27973</v>
      </c>
      <c r="E3018" s="58" t="s">
        <v>27974</v>
      </c>
      <c r="I3018" s="58" t="s">
        <v>27975</v>
      </c>
      <c r="R3018" s="58" t="s">
        <v>27933</v>
      </c>
      <c r="CL3018" s="58" t="s">
        <v>27976</v>
      </c>
      <c r="CP3018" s="58" t="s">
        <v>27977</v>
      </c>
      <c r="CX3018" s="58" t="s">
        <v>27978</v>
      </c>
      <c r="CY3018" s="58" t="s">
        <v>27979</v>
      </c>
      <c r="CZ3018" s="58">
        <v>2021.0</v>
      </c>
      <c r="DA3018" s="58" t="s">
        <v>24521</v>
      </c>
      <c r="DB3018" s="58">
        <v>9407142.0</v>
      </c>
      <c r="DC3018" s="58">
        <v>854.0</v>
      </c>
      <c r="DD3018" s="58">
        <v>867.0</v>
      </c>
      <c r="DE3018" s="58">
        <v>13.0</v>
      </c>
      <c r="DF3018" s="58">
        <v>91.0</v>
      </c>
      <c r="DG3018" s="58" t="s">
        <v>27980</v>
      </c>
      <c r="DH3018" s="58" t="s">
        <v>22525</v>
      </c>
      <c r="DI3018" s="58" t="s">
        <v>22816</v>
      </c>
      <c r="DJ3018" s="58" t="s">
        <v>237</v>
      </c>
      <c r="DK3018" s="58" t="s">
        <v>27981</v>
      </c>
      <c r="DL3018" s="58" t="s">
        <v>27982</v>
      </c>
    </row>
    <row r="3019" ht="15.75" customHeight="1">
      <c r="B3019" s="58" t="s">
        <v>22515</v>
      </c>
      <c r="D3019" s="58" t="s">
        <v>27983</v>
      </c>
      <c r="E3019" s="58" t="s">
        <v>27984</v>
      </c>
      <c r="I3019" s="58" t="s">
        <v>27985</v>
      </c>
      <c r="Q3019" s="58">
        <v>1.0</v>
      </c>
      <c r="R3019" s="58">
        <v>14.0</v>
      </c>
      <c r="CL3019" s="58" t="s">
        <v>27986</v>
      </c>
      <c r="CP3019" s="58" t="s">
        <v>27987</v>
      </c>
      <c r="CX3019" s="58" t="s">
        <v>27988</v>
      </c>
      <c r="CY3019" s="58" t="s">
        <v>27989</v>
      </c>
      <c r="CZ3019" s="58">
        <v>2021.0</v>
      </c>
      <c r="DA3019" s="58" t="s">
        <v>27990</v>
      </c>
      <c r="DC3019" s="58">
        <v>12.0</v>
      </c>
      <c r="DD3019" s="58">
        <v>16.0</v>
      </c>
      <c r="DE3019" s="58">
        <v>4.0</v>
      </c>
      <c r="DF3019" s="58">
        <v>4.0</v>
      </c>
      <c r="DG3019" s="58" t="s">
        <v>27991</v>
      </c>
      <c r="DH3019" s="58" t="s">
        <v>22525</v>
      </c>
      <c r="DJ3019" s="58" t="s">
        <v>237</v>
      </c>
      <c r="DK3019" s="58" t="s">
        <v>27992</v>
      </c>
    </row>
    <row r="3020" ht="15.75" customHeight="1">
      <c r="B3020" s="58" t="s">
        <v>22515</v>
      </c>
      <c r="D3020" s="58" t="s">
        <v>27993</v>
      </c>
      <c r="E3020" s="58" t="s">
        <v>27994</v>
      </c>
      <c r="I3020" s="58" t="s">
        <v>27995</v>
      </c>
      <c r="R3020" s="58">
        <v>29.0</v>
      </c>
      <c r="CL3020" s="58" t="s">
        <v>27996</v>
      </c>
      <c r="CP3020" s="58" t="s">
        <v>27997</v>
      </c>
      <c r="CX3020" s="58" t="s">
        <v>27998</v>
      </c>
      <c r="CY3020" s="58" t="s">
        <v>27999</v>
      </c>
      <c r="CZ3020" s="58">
        <v>2020.0</v>
      </c>
      <c r="DA3020" s="58" t="s">
        <v>28000</v>
      </c>
      <c r="DC3020" s="58">
        <v>36.0</v>
      </c>
      <c r="DD3020" s="58">
        <v>52.0</v>
      </c>
      <c r="DE3020" s="58">
        <v>16.0</v>
      </c>
      <c r="DF3020" s="58">
        <v>1469.0</v>
      </c>
      <c r="DG3020" s="58" t="s">
        <v>28001</v>
      </c>
      <c r="DH3020" s="58" t="s">
        <v>22525</v>
      </c>
      <c r="DI3020" s="58" t="s">
        <v>23606</v>
      </c>
      <c r="DJ3020" s="58" t="s">
        <v>237</v>
      </c>
      <c r="DK3020" s="58" t="s">
        <v>28002</v>
      </c>
      <c r="DL3020" s="58" t="s">
        <v>28003</v>
      </c>
    </row>
    <row r="3021" ht="15.75" customHeight="1">
      <c r="B3021" s="58" t="s">
        <v>22515</v>
      </c>
      <c r="D3021" s="58" t="s">
        <v>28004</v>
      </c>
      <c r="E3021" s="58" t="s">
        <v>28005</v>
      </c>
      <c r="I3021" s="58" t="s">
        <v>28006</v>
      </c>
      <c r="Q3021" s="58">
        <v>3.0</v>
      </c>
      <c r="R3021" s="58">
        <v>26.0</v>
      </c>
      <c r="CL3021" s="58" t="s">
        <v>28007</v>
      </c>
      <c r="CP3021" s="58" t="s">
        <v>28008</v>
      </c>
      <c r="CX3021" s="58" t="s">
        <v>28009</v>
      </c>
      <c r="CY3021" s="58" t="s">
        <v>28010</v>
      </c>
      <c r="CZ3021" s="58">
        <v>2021.0</v>
      </c>
      <c r="DA3021" s="58" t="s">
        <v>28011</v>
      </c>
      <c r="DC3021" s="58">
        <v>1070.0</v>
      </c>
      <c r="DD3021" s="58">
        <v>1092.0</v>
      </c>
      <c r="DE3021" s="58">
        <v>22.0</v>
      </c>
      <c r="DF3021" s="58">
        <v>43.0</v>
      </c>
      <c r="DG3021" s="58" t="s">
        <v>28012</v>
      </c>
      <c r="DH3021" s="58" t="s">
        <v>22525</v>
      </c>
      <c r="DJ3021" s="58" t="s">
        <v>237</v>
      </c>
      <c r="DK3021" s="58" t="s">
        <v>28013</v>
      </c>
      <c r="DL3021" s="58" t="s">
        <v>28014</v>
      </c>
    </row>
    <row r="3022" ht="15.75" customHeight="1">
      <c r="B3022" s="58" t="s">
        <v>22515</v>
      </c>
      <c r="D3022" s="58" t="s">
        <v>28015</v>
      </c>
      <c r="E3022" s="58" t="s">
        <v>28016</v>
      </c>
      <c r="I3022" s="58" t="s">
        <v>28017</v>
      </c>
      <c r="Q3022" s="58">
        <v>1.0</v>
      </c>
      <c r="R3022" s="58">
        <v>2.0</v>
      </c>
      <c r="CL3022" s="58" t="s">
        <v>28018</v>
      </c>
      <c r="CP3022" s="58" t="s">
        <v>28019</v>
      </c>
      <c r="CX3022" s="58" t="s">
        <v>28020</v>
      </c>
      <c r="CY3022" s="58" t="s">
        <v>28021</v>
      </c>
      <c r="CZ3022" s="58">
        <v>2021.0</v>
      </c>
      <c r="DA3022" s="58" t="s">
        <v>28022</v>
      </c>
      <c r="DC3022" s="58">
        <v>92.0</v>
      </c>
      <c r="DD3022" s="58">
        <v>118.0</v>
      </c>
      <c r="DE3022" s="58">
        <v>26.0</v>
      </c>
      <c r="DF3022" s="58">
        <v>89.0</v>
      </c>
      <c r="DG3022" s="58" t="s">
        <v>28023</v>
      </c>
      <c r="DH3022" s="58" t="s">
        <v>22525</v>
      </c>
      <c r="DI3022" s="58" t="s">
        <v>22643</v>
      </c>
      <c r="DJ3022" s="58" t="s">
        <v>237</v>
      </c>
      <c r="DK3022" s="58" t="s">
        <v>28024</v>
      </c>
    </row>
    <row r="3023" ht="15.75" customHeight="1">
      <c r="B3023" s="58" t="s">
        <v>22771</v>
      </c>
      <c r="D3023" s="58" t="s">
        <v>28025</v>
      </c>
      <c r="E3023" s="58" t="s">
        <v>28026</v>
      </c>
      <c r="I3023" s="58" t="s">
        <v>28027</v>
      </c>
      <c r="CL3023" s="58" t="s">
        <v>28028</v>
      </c>
      <c r="CP3023" s="58" t="s">
        <v>28029</v>
      </c>
      <c r="CX3023" s="58" t="s">
        <v>28030</v>
      </c>
      <c r="CY3023" s="58" t="s">
        <v>28031</v>
      </c>
      <c r="CZ3023" s="58">
        <v>2021.0</v>
      </c>
      <c r="DA3023" s="58" t="s">
        <v>28032</v>
      </c>
      <c r="DC3023" s="58">
        <v>296.0</v>
      </c>
      <c r="DD3023" s="58">
        <v>301.0</v>
      </c>
      <c r="DE3023" s="58">
        <v>5.0</v>
      </c>
      <c r="DF3023" s="58">
        <v>0.0</v>
      </c>
      <c r="DG3023" s="58" t="s">
        <v>28033</v>
      </c>
      <c r="DH3023" s="58" t="s">
        <v>22525</v>
      </c>
      <c r="DJ3023" s="58" t="s">
        <v>237</v>
      </c>
      <c r="DK3023" s="58" t="s">
        <v>28034</v>
      </c>
      <c r="DL3023" s="58" t="s">
        <v>28035</v>
      </c>
    </row>
    <row r="3024" ht="15.75" customHeight="1">
      <c r="B3024" s="58" t="s">
        <v>22771</v>
      </c>
      <c r="D3024" s="58" t="s">
        <v>28036</v>
      </c>
      <c r="E3024" s="58" t="s">
        <v>28037</v>
      </c>
      <c r="I3024" s="58" t="s">
        <v>28038</v>
      </c>
      <c r="CL3024" s="58" t="s">
        <v>28039</v>
      </c>
      <c r="CP3024" s="58" t="s">
        <v>28040</v>
      </c>
      <c r="CX3024" s="58" t="s">
        <v>28041</v>
      </c>
      <c r="CY3024" s="58" t="s">
        <v>28042</v>
      </c>
      <c r="CZ3024" s="58">
        <v>2020.0</v>
      </c>
      <c r="DA3024" s="58" t="s">
        <v>28043</v>
      </c>
      <c r="DB3024" s="58">
        <v>9139102.0</v>
      </c>
      <c r="DC3024" s="58">
        <v>233.0</v>
      </c>
      <c r="DD3024" s="58">
        <v>239.0</v>
      </c>
      <c r="DE3024" s="58">
        <v>6.0</v>
      </c>
      <c r="DF3024" s="58">
        <v>11.0</v>
      </c>
      <c r="DG3024" s="58" t="s">
        <v>28044</v>
      </c>
      <c r="DH3024" s="58" t="s">
        <v>22525</v>
      </c>
      <c r="DJ3024" s="58" t="s">
        <v>237</v>
      </c>
      <c r="DK3024" s="58" t="s">
        <v>28045</v>
      </c>
      <c r="DL3024" s="58" t="s">
        <v>28046</v>
      </c>
    </row>
    <row r="3025" ht="15.75" customHeight="1">
      <c r="B3025" s="58" t="s">
        <v>22515</v>
      </c>
      <c r="D3025" s="58" t="s">
        <v>28047</v>
      </c>
      <c r="E3025" s="58" t="s">
        <v>28048</v>
      </c>
      <c r="I3025" s="58" t="s">
        <v>28049</v>
      </c>
      <c r="Q3025" s="58">
        <v>4.0</v>
      </c>
      <c r="R3025" s="58">
        <v>23.0</v>
      </c>
      <c r="CL3025" s="58" t="s">
        <v>28050</v>
      </c>
      <c r="CP3025" s="58" t="s">
        <v>28051</v>
      </c>
      <c r="CX3025" s="58" t="s">
        <v>28052</v>
      </c>
      <c r="CY3025" s="58" t="s">
        <v>28053</v>
      </c>
      <c r="CZ3025" s="58">
        <v>2020.0</v>
      </c>
      <c r="DA3025" s="58" t="s">
        <v>22988</v>
      </c>
      <c r="DC3025" s="58">
        <v>3289.0</v>
      </c>
      <c r="DD3025" s="58">
        <v>3308.0</v>
      </c>
      <c r="DE3025" s="58">
        <v>19.0</v>
      </c>
      <c r="DF3025" s="58">
        <v>9.0</v>
      </c>
      <c r="DG3025" s="58" t="s">
        <v>28054</v>
      </c>
      <c r="DH3025" s="58" t="s">
        <v>22525</v>
      </c>
      <c r="DJ3025" s="58" t="s">
        <v>237</v>
      </c>
      <c r="DK3025" s="58" t="s">
        <v>28055</v>
      </c>
      <c r="DL3025" s="58" t="s">
        <v>28056</v>
      </c>
    </row>
    <row r="3026" ht="15.75" customHeight="1">
      <c r="B3026" s="58" t="s">
        <v>22771</v>
      </c>
      <c r="D3026" s="58" t="s">
        <v>28057</v>
      </c>
      <c r="E3026" s="58" t="s">
        <v>28058</v>
      </c>
      <c r="I3026" s="58" t="s">
        <v>28059</v>
      </c>
      <c r="CL3026" s="58" t="s">
        <v>28060</v>
      </c>
      <c r="CP3026" s="58" t="s">
        <v>28061</v>
      </c>
      <c r="CX3026" s="58" t="s">
        <v>28062</v>
      </c>
      <c r="CY3026" s="58" t="s">
        <v>28063</v>
      </c>
      <c r="CZ3026" s="58">
        <v>2020.0</v>
      </c>
      <c r="DA3026" s="58" t="s">
        <v>28064</v>
      </c>
      <c r="DB3026" s="58">
        <v>9139802.0</v>
      </c>
      <c r="DC3026" s="58">
        <v>718.0</v>
      </c>
      <c r="DD3026" s="58">
        <v>727.0</v>
      </c>
      <c r="DE3026" s="58">
        <v>9.0</v>
      </c>
      <c r="DF3026" s="58">
        <v>10.0</v>
      </c>
      <c r="DG3026" s="58" t="s">
        <v>28065</v>
      </c>
      <c r="DH3026" s="58" t="s">
        <v>22525</v>
      </c>
      <c r="DJ3026" s="58" t="s">
        <v>237</v>
      </c>
      <c r="DK3026" s="58" t="s">
        <v>28066</v>
      </c>
      <c r="DL3026" s="58" t="s">
        <v>28067</v>
      </c>
    </row>
    <row r="3027" ht="15.75" customHeight="1">
      <c r="B3027" s="58" t="s">
        <v>22771</v>
      </c>
      <c r="D3027" s="58" t="s">
        <v>28068</v>
      </c>
      <c r="E3027" s="58" t="s">
        <v>28069</v>
      </c>
      <c r="I3027" s="58" t="s">
        <v>28070</v>
      </c>
      <c r="R3027" s="58" t="s">
        <v>28071</v>
      </c>
      <c r="CL3027" s="58" t="s">
        <v>28072</v>
      </c>
      <c r="CP3027" s="58" t="s">
        <v>28073</v>
      </c>
      <c r="CX3027" s="58" t="s">
        <v>28074</v>
      </c>
      <c r="CY3027" s="58" t="s">
        <v>28075</v>
      </c>
      <c r="CZ3027" s="58">
        <v>2020.0</v>
      </c>
      <c r="DA3027" s="58" t="s">
        <v>25953</v>
      </c>
      <c r="DB3027" s="58">
        <v>9284241.0</v>
      </c>
      <c r="DC3027" s="58">
        <v>619.0</v>
      </c>
      <c r="DD3027" s="58">
        <v>627.0</v>
      </c>
      <c r="DE3027" s="58">
        <v>8.0</v>
      </c>
      <c r="DF3027" s="58">
        <v>9.0</v>
      </c>
      <c r="DG3027" s="58" t="s">
        <v>28076</v>
      </c>
      <c r="DH3027" s="58" t="s">
        <v>22525</v>
      </c>
      <c r="DI3027" s="58" t="s">
        <v>22816</v>
      </c>
      <c r="DJ3027" s="58" t="s">
        <v>237</v>
      </c>
      <c r="DK3027" s="58" t="s">
        <v>28077</v>
      </c>
      <c r="DL3027" s="58" t="s">
        <v>28078</v>
      </c>
    </row>
    <row r="3028" ht="15.75" customHeight="1">
      <c r="B3028" s="58" t="s">
        <v>22515</v>
      </c>
      <c r="D3028" s="58" t="s">
        <v>28079</v>
      </c>
      <c r="E3028" s="58" t="s">
        <v>20034</v>
      </c>
      <c r="I3028" s="58" t="s">
        <v>28080</v>
      </c>
      <c r="R3028" s="58">
        <v>9.0</v>
      </c>
      <c r="CL3028" s="58" t="s">
        <v>28081</v>
      </c>
      <c r="CP3028" s="58" t="s">
        <v>28082</v>
      </c>
      <c r="CX3028" s="58" t="s">
        <v>28083</v>
      </c>
      <c r="CY3028" s="58" t="s">
        <v>28084</v>
      </c>
      <c r="CZ3028" s="58">
        <v>2021.0</v>
      </c>
      <c r="DA3028" s="58" t="s">
        <v>16436</v>
      </c>
      <c r="DB3028" s="58">
        <v>9324846.0</v>
      </c>
      <c r="DC3028" s="58">
        <v>14688.0</v>
      </c>
      <c r="DD3028" s="58">
        <v>14709.0</v>
      </c>
      <c r="DE3028" s="58">
        <v>21.0</v>
      </c>
      <c r="DF3028" s="58">
        <v>8.0</v>
      </c>
      <c r="DG3028" s="58" t="s">
        <v>28085</v>
      </c>
      <c r="DH3028" s="58" t="s">
        <v>22525</v>
      </c>
      <c r="DI3028" s="58" t="s">
        <v>22622</v>
      </c>
      <c r="DJ3028" s="58" t="s">
        <v>237</v>
      </c>
      <c r="DK3028" s="58" t="s">
        <v>28086</v>
      </c>
      <c r="DL3028" s="58" t="s">
        <v>28087</v>
      </c>
    </row>
    <row r="3029" ht="15.75" customHeight="1">
      <c r="B3029" s="58" t="s">
        <v>22515</v>
      </c>
      <c r="D3029" s="58" t="s">
        <v>28088</v>
      </c>
      <c r="E3029" s="58" t="s">
        <v>28089</v>
      </c>
      <c r="I3029" s="58" t="s">
        <v>28090</v>
      </c>
      <c r="Q3029" s="58">
        <v>1.0</v>
      </c>
      <c r="R3029" s="58">
        <v>77.0</v>
      </c>
      <c r="CL3029" s="58" t="s">
        <v>28091</v>
      </c>
      <c r="CP3029" s="58" t="s">
        <v>28092</v>
      </c>
      <c r="CX3029" s="58" t="s">
        <v>28093</v>
      </c>
      <c r="CY3029" s="58" t="s">
        <v>28094</v>
      </c>
      <c r="CZ3029" s="58">
        <v>2021.0</v>
      </c>
      <c r="DA3029" s="58" t="s">
        <v>22535</v>
      </c>
      <c r="DC3029" s="58">
        <v>23.0</v>
      </c>
      <c r="DD3029" s="58">
        <v>43.0</v>
      </c>
      <c r="DE3029" s="58">
        <v>20.0</v>
      </c>
      <c r="DF3029" s="58">
        <v>7.0</v>
      </c>
      <c r="DG3029" s="58" t="s">
        <v>28095</v>
      </c>
      <c r="DH3029" s="58" t="s">
        <v>22525</v>
      </c>
      <c r="DJ3029" s="58" t="s">
        <v>237</v>
      </c>
      <c r="DK3029" s="58" t="s">
        <v>28096</v>
      </c>
      <c r="DL3029" s="58" t="s">
        <v>28097</v>
      </c>
    </row>
    <row r="3030" ht="15.75" customHeight="1">
      <c r="B3030" s="58" t="s">
        <v>22771</v>
      </c>
      <c r="D3030" s="58" t="s">
        <v>28098</v>
      </c>
      <c r="E3030" s="58" t="s">
        <v>28099</v>
      </c>
      <c r="I3030" s="58" t="s">
        <v>28100</v>
      </c>
      <c r="CL3030" s="58" t="s">
        <v>28101</v>
      </c>
      <c r="CP3030" s="58" t="s">
        <v>28102</v>
      </c>
      <c r="CX3030" s="58" t="s">
        <v>28103</v>
      </c>
      <c r="CY3030" s="58" t="s">
        <v>28104</v>
      </c>
      <c r="CZ3030" s="58">
        <v>2020.0</v>
      </c>
      <c r="DA3030" s="58" t="s">
        <v>28105</v>
      </c>
      <c r="DB3030" s="58">
        <v>9238096.0</v>
      </c>
      <c r="DF3030" s="58">
        <v>9.0</v>
      </c>
      <c r="DG3030" s="58" t="s">
        <v>28106</v>
      </c>
      <c r="DH3030" s="58" t="s">
        <v>22525</v>
      </c>
      <c r="DJ3030" s="58" t="s">
        <v>237</v>
      </c>
      <c r="DK3030" s="58" t="s">
        <v>28107</v>
      </c>
      <c r="DL3030" s="58" t="s">
        <v>28108</v>
      </c>
    </row>
    <row r="3031" ht="15.75" customHeight="1">
      <c r="B3031" s="58" t="s">
        <v>22771</v>
      </c>
      <c r="D3031" s="58" t="s">
        <v>28109</v>
      </c>
      <c r="E3031" s="58" t="s">
        <v>28110</v>
      </c>
      <c r="I3031" s="58" t="s">
        <v>28111</v>
      </c>
      <c r="R3031" s="58" t="s">
        <v>27933</v>
      </c>
      <c r="CL3031" s="58" t="s">
        <v>28112</v>
      </c>
      <c r="CP3031" s="58" t="s">
        <v>28113</v>
      </c>
      <c r="CX3031" s="58" t="s">
        <v>28114</v>
      </c>
      <c r="CY3031" s="58" t="s">
        <v>28115</v>
      </c>
      <c r="CZ3031" s="58">
        <v>2021.0</v>
      </c>
      <c r="DA3031" s="58" t="s">
        <v>24521</v>
      </c>
      <c r="DB3031" s="58">
        <v>9407243.0</v>
      </c>
      <c r="DC3031" s="58">
        <v>545.0</v>
      </c>
      <c r="DD3031" s="58">
        <v>556.0</v>
      </c>
      <c r="DE3031" s="58">
        <v>11.0</v>
      </c>
      <c r="DF3031" s="58">
        <v>3.0</v>
      </c>
      <c r="DG3031" s="58" t="s">
        <v>28116</v>
      </c>
      <c r="DH3031" s="58" t="s">
        <v>22525</v>
      </c>
      <c r="DI3031" s="58" t="s">
        <v>22816</v>
      </c>
      <c r="DJ3031" s="58" t="s">
        <v>237</v>
      </c>
      <c r="DK3031" s="58" t="s">
        <v>28117</v>
      </c>
      <c r="DL3031" s="58" t="s">
        <v>28118</v>
      </c>
    </row>
    <row r="3032" ht="15.75" customHeight="1">
      <c r="B3032" s="58" t="s">
        <v>22515</v>
      </c>
      <c r="D3032" s="58" t="s">
        <v>28119</v>
      </c>
      <c r="E3032" s="58" t="s">
        <v>28120</v>
      </c>
      <c r="I3032" s="58" t="s">
        <v>28121</v>
      </c>
      <c r="Q3032" s="58">
        <v>10.0</v>
      </c>
      <c r="R3032" s="58">
        <v>9.0</v>
      </c>
      <c r="CL3032" s="58" t="s">
        <v>28122</v>
      </c>
      <c r="CP3032" s="58" t="s">
        <v>28123</v>
      </c>
      <c r="CX3032" s="58" t="s">
        <v>28124</v>
      </c>
      <c r="CY3032" s="58" t="s">
        <v>28125</v>
      </c>
      <c r="CZ3032" s="58">
        <v>2020.0</v>
      </c>
      <c r="DA3032" s="58" t="s">
        <v>23242</v>
      </c>
      <c r="DB3032" s="58">
        <v>1660.0</v>
      </c>
      <c r="DC3032" s="58">
        <v>1.0</v>
      </c>
      <c r="DD3032" s="58">
        <v>19.0</v>
      </c>
      <c r="DE3032" s="58">
        <v>18.0</v>
      </c>
      <c r="DF3032" s="58">
        <v>19.0</v>
      </c>
      <c r="DG3032" s="58" t="s">
        <v>28126</v>
      </c>
      <c r="DH3032" s="58" t="s">
        <v>22525</v>
      </c>
      <c r="DI3032" s="58" t="s">
        <v>22622</v>
      </c>
      <c r="DJ3032" s="58" t="s">
        <v>237</v>
      </c>
      <c r="DK3032" s="58" t="s">
        <v>28127</v>
      </c>
    </row>
    <row r="3033" ht="15.75" customHeight="1">
      <c r="B3033" s="58" t="s">
        <v>22515</v>
      </c>
      <c r="D3033" s="58" t="s">
        <v>28128</v>
      </c>
      <c r="E3033" s="58" t="s">
        <v>28129</v>
      </c>
      <c r="I3033" s="58" t="s">
        <v>28130</v>
      </c>
      <c r="Q3033" s="58">
        <v>7.0</v>
      </c>
      <c r="R3033" s="58">
        <v>12.0</v>
      </c>
      <c r="CL3033" s="58" t="s">
        <v>28131</v>
      </c>
      <c r="CP3033" s="58" t="s">
        <v>28132</v>
      </c>
      <c r="CX3033" s="58" t="s">
        <v>28133</v>
      </c>
      <c r="CY3033" s="58" t="s">
        <v>28134</v>
      </c>
      <c r="CZ3033" s="58">
        <v>2021.0</v>
      </c>
      <c r="DA3033" s="58" t="s">
        <v>26726</v>
      </c>
      <c r="DC3033" s="58">
        <v>594.0</v>
      </c>
      <c r="DD3033" s="58">
        <v>601.0</v>
      </c>
      <c r="DE3033" s="58">
        <v>7.0</v>
      </c>
      <c r="DF3033" s="58">
        <v>33.0</v>
      </c>
      <c r="DG3033" s="58" t="s">
        <v>28135</v>
      </c>
      <c r="DH3033" s="58" t="s">
        <v>22525</v>
      </c>
      <c r="DI3033" s="58" t="s">
        <v>22643</v>
      </c>
      <c r="DJ3033" s="58" t="s">
        <v>237</v>
      </c>
      <c r="DK3033" s="58" t="s">
        <v>28136</v>
      </c>
      <c r="DL3033" s="58" t="s">
        <v>28137</v>
      </c>
    </row>
    <row r="3034" ht="15.75" customHeight="1">
      <c r="B3034" s="58" t="s">
        <v>22515</v>
      </c>
      <c r="D3034" s="58" t="s">
        <v>28138</v>
      </c>
      <c r="E3034" s="58" t="s">
        <v>28139</v>
      </c>
      <c r="I3034" s="58" t="s">
        <v>28140</v>
      </c>
      <c r="R3034" s="58">
        <v>9.0</v>
      </c>
      <c r="CL3034" s="58" t="s">
        <v>28141</v>
      </c>
      <c r="CP3034" s="58" t="s">
        <v>28142</v>
      </c>
      <c r="CX3034" s="58" t="s">
        <v>28143</v>
      </c>
      <c r="CY3034" s="58" t="s">
        <v>28144</v>
      </c>
      <c r="CZ3034" s="58">
        <v>2021.0</v>
      </c>
      <c r="DA3034" s="58" t="s">
        <v>16436</v>
      </c>
      <c r="DB3034" s="58">
        <v>9358144.0</v>
      </c>
      <c r="DC3034" s="58">
        <v>39193.0</v>
      </c>
      <c r="DD3034" s="58">
        <v>39217.0</v>
      </c>
      <c r="DE3034" s="58">
        <v>24.0</v>
      </c>
      <c r="DF3034" s="58">
        <v>178.0</v>
      </c>
      <c r="DG3034" s="58" t="s">
        <v>28145</v>
      </c>
      <c r="DH3034" s="58" t="s">
        <v>22525</v>
      </c>
      <c r="DI3034" s="58" t="s">
        <v>22622</v>
      </c>
      <c r="DJ3034" s="58" t="s">
        <v>237</v>
      </c>
      <c r="DK3034" s="58" t="s">
        <v>28146</v>
      </c>
      <c r="DL3034" s="58" t="s">
        <v>28147</v>
      </c>
    </row>
    <row r="3035" ht="15.75" customHeight="1">
      <c r="B3035" s="58" t="s">
        <v>22515</v>
      </c>
      <c r="D3035" s="58" t="s">
        <v>28148</v>
      </c>
      <c r="E3035" s="58" t="s">
        <v>28149</v>
      </c>
      <c r="I3035" s="58" t="s">
        <v>28150</v>
      </c>
      <c r="R3035" s="58">
        <v>123.0</v>
      </c>
      <c r="CL3035" s="58" t="s">
        <v>28151</v>
      </c>
      <c r="CP3035" s="58" t="s">
        <v>28152</v>
      </c>
      <c r="CX3035" s="58" t="s">
        <v>28153</v>
      </c>
      <c r="CY3035" s="58" t="s">
        <v>28154</v>
      </c>
      <c r="CZ3035" s="58">
        <v>2020.0</v>
      </c>
      <c r="DA3035" s="58" t="s">
        <v>27022</v>
      </c>
      <c r="DB3035" s="58">
        <v>103336.0</v>
      </c>
      <c r="DF3035" s="58">
        <v>10.0</v>
      </c>
      <c r="DG3035" s="58" t="s">
        <v>28155</v>
      </c>
      <c r="DH3035" s="58" t="s">
        <v>22525</v>
      </c>
      <c r="DJ3035" s="58" t="s">
        <v>237</v>
      </c>
      <c r="DK3035" s="58" t="s">
        <v>28156</v>
      </c>
      <c r="DL3035" s="58" t="s">
        <v>28157</v>
      </c>
    </row>
    <row r="3036" ht="15.75" customHeight="1">
      <c r="B3036" s="58" t="s">
        <v>22515</v>
      </c>
      <c r="D3036" s="58" t="s">
        <v>28158</v>
      </c>
      <c r="E3036" s="58" t="s">
        <v>28159</v>
      </c>
      <c r="I3036" s="58" t="s">
        <v>28160</v>
      </c>
      <c r="R3036" s="58">
        <v>191.0</v>
      </c>
      <c r="CL3036" s="58" t="s">
        <v>28161</v>
      </c>
      <c r="CP3036" s="58" t="s">
        <v>28162</v>
      </c>
      <c r="CX3036" s="58" t="s">
        <v>28163</v>
      </c>
      <c r="CY3036" s="58" t="s">
        <v>28164</v>
      </c>
      <c r="CZ3036" s="58">
        <v>2021.0</v>
      </c>
      <c r="DA3036" s="58" t="s">
        <v>23179</v>
      </c>
      <c r="DB3036" s="58">
        <v>108010.0</v>
      </c>
      <c r="DF3036" s="58">
        <v>38.0</v>
      </c>
      <c r="DG3036" s="58" t="s">
        <v>28165</v>
      </c>
      <c r="DH3036" s="58" t="s">
        <v>22525</v>
      </c>
      <c r="DI3036" s="58" t="s">
        <v>23606</v>
      </c>
      <c r="DJ3036" s="58" t="s">
        <v>237</v>
      </c>
      <c r="DK3036" s="58" t="s">
        <v>28166</v>
      </c>
      <c r="DL3036" s="58" t="s">
        <v>28167</v>
      </c>
    </row>
    <row r="3037" ht="15.75" customHeight="1">
      <c r="B3037" s="58" t="s">
        <v>22771</v>
      </c>
      <c r="D3037" s="58" t="s">
        <v>28168</v>
      </c>
      <c r="E3037" s="58" t="s">
        <v>28169</v>
      </c>
      <c r="I3037" s="58" t="s">
        <v>28170</v>
      </c>
      <c r="R3037" s="58">
        <v>1360.0</v>
      </c>
      <c r="CL3037" s="58" t="s">
        <v>28171</v>
      </c>
      <c r="CP3037" s="58" t="s">
        <v>28172</v>
      </c>
      <c r="CX3037" s="58" t="s">
        <v>28173</v>
      </c>
      <c r="CY3037" s="58" t="s">
        <v>28174</v>
      </c>
      <c r="CZ3037" s="58">
        <v>2021.0</v>
      </c>
      <c r="DA3037" s="58" t="s">
        <v>24360</v>
      </c>
      <c r="DC3037" s="58">
        <v>65.0</v>
      </c>
      <c r="DD3037" s="58">
        <v>72.0</v>
      </c>
      <c r="DE3037" s="58">
        <v>7.0</v>
      </c>
      <c r="DF3037" s="58">
        <v>6.0</v>
      </c>
      <c r="DG3037" s="58" t="s">
        <v>28175</v>
      </c>
      <c r="DH3037" s="58" t="s">
        <v>22525</v>
      </c>
      <c r="DJ3037" s="58" t="s">
        <v>237</v>
      </c>
      <c r="DK3037" s="58" t="s">
        <v>28176</v>
      </c>
      <c r="DL3037" s="58" t="s">
        <v>28177</v>
      </c>
    </row>
    <row r="3038" ht="15.75" customHeight="1">
      <c r="B3038" s="58" t="s">
        <v>22515</v>
      </c>
      <c r="D3038" s="58" t="s">
        <v>28178</v>
      </c>
      <c r="E3038" s="58" t="s">
        <v>28179</v>
      </c>
      <c r="I3038" s="58" t="s">
        <v>28180</v>
      </c>
      <c r="Q3038" s="58">
        <v>10.0</v>
      </c>
      <c r="R3038" s="58">
        <v>12.0</v>
      </c>
      <c r="CL3038" s="58" t="s">
        <v>28181</v>
      </c>
      <c r="CP3038" s="58" t="s">
        <v>28182</v>
      </c>
      <c r="CX3038" s="58" t="s">
        <v>28183</v>
      </c>
      <c r="CY3038" s="58" t="s">
        <v>28184</v>
      </c>
      <c r="CZ3038" s="58">
        <v>2020.0</v>
      </c>
      <c r="DA3038" s="58" t="s">
        <v>23398</v>
      </c>
      <c r="DB3038" s="58">
        <v>162.0</v>
      </c>
      <c r="DC3038" s="58">
        <v>1.0</v>
      </c>
      <c r="DD3038" s="58">
        <v>16.0</v>
      </c>
      <c r="DE3038" s="58">
        <v>15.0</v>
      </c>
      <c r="DF3038" s="58">
        <v>9.0</v>
      </c>
      <c r="DG3038" s="58" t="s">
        <v>28185</v>
      </c>
      <c r="DH3038" s="58" t="s">
        <v>22525</v>
      </c>
      <c r="DI3038" s="58" t="s">
        <v>22622</v>
      </c>
      <c r="DJ3038" s="58" t="s">
        <v>237</v>
      </c>
      <c r="DK3038" s="58" t="s">
        <v>28186</v>
      </c>
      <c r="DL3038" s="58" t="s">
        <v>28187</v>
      </c>
    </row>
    <row r="3039" ht="15.75" customHeight="1">
      <c r="B3039" s="58" t="s">
        <v>22771</v>
      </c>
      <c r="D3039" s="58" t="s">
        <v>28188</v>
      </c>
      <c r="E3039" s="58" t="s">
        <v>28189</v>
      </c>
      <c r="I3039" s="58" t="s">
        <v>28190</v>
      </c>
      <c r="R3039" s="58" t="s">
        <v>27073</v>
      </c>
      <c r="CL3039" s="58" t="s">
        <v>28191</v>
      </c>
      <c r="CP3039" s="58" t="s">
        <v>28192</v>
      </c>
      <c r="CX3039" s="58" t="s">
        <v>28193</v>
      </c>
      <c r="CY3039" s="58" t="s">
        <v>28194</v>
      </c>
      <c r="CZ3039" s="58">
        <v>2021.0</v>
      </c>
      <c r="DA3039" s="58" t="s">
        <v>28195</v>
      </c>
      <c r="DC3039" s="58">
        <v>308.0</v>
      </c>
      <c r="DD3039" s="58">
        <v>313.0</v>
      </c>
      <c r="DE3039" s="58">
        <v>5.0</v>
      </c>
      <c r="DF3039" s="58">
        <v>0.0</v>
      </c>
      <c r="DG3039" s="58" t="s">
        <v>28196</v>
      </c>
      <c r="DH3039" s="58" t="s">
        <v>22525</v>
      </c>
      <c r="DJ3039" s="58" t="s">
        <v>237</v>
      </c>
      <c r="DK3039" s="58" t="s">
        <v>28197</v>
      </c>
      <c r="DL3039" s="58" t="s">
        <v>28198</v>
      </c>
    </row>
    <row r="3040" ht="15.75" customHeight="1">
      <c r="B3040" s="58" t="s">
        <v>22515</v>
      </c>
      <c r="D3040" s="58" t="s">
        <v>28199</v>
      </c>
      <c r="E3040" s="58" t="s">
        <v>28200</v>
      </c>
      <c r="I3040" s="58" t="s">
        <v>28201</v>
      </c>
      <c r="R3040" s="58">
        <v>3.0</v>
      </c>
      <c r="CL3040" s="58" t="s">
        <v>28202</v>
      </c>
      <c r="CP3040" s="58" t="s">
        <v>28203</v>
      </c>
      <c r="CX3040" s="58" t="s">
        <v>28204</v>
      </c>
      <c r="CY3040" s="58" t="s">
        <v>28205</v>
      </c>
      <c r="CZ3040" s="58">
        <v>2021.0</v>
      </c>
      <c r="DA3040" s="58" t="s">
        <v>28206</v>
      </c>
      <c r="DB3040" s="58">
        <v>665545.0</v>
      </c>
      <c r="DF3040" s="58">
        <v>4.0</v>
      </c>
      <c r="DG3040" s="58" t="s">
        <v>28207</v>
      </c>
      <c r="DH3040" s="58" t="s">
        <v>22525</v>
      </c>
      <c r="DI3040" s="58" t="s">
        <v>22622</v>
      </c>
      <c r="DJ3040" s="58" t="s">
        <v>237</v>
      </c>
      <c r="DK3040" s="58" t="s">
        <v>28208</v>
      </c>
    </row>
    <row r="3041" ht="15.75" customHeight="1">
      <c r="B3041" s="58" t="s">
        <v>22515</v>
      </c>
      <c r="D3041" s="58" t="s">
        <v>28209</v>
      </c>
      <c r="E3041" s="58" t="s">
        <v>28210</v>
      </c>
      <c r="I3041" s="58" t="s">
        <v>28211</v>
      </c>
      <c r="Q3041" s="58">
        <v>2.0</v>
      </c>
      <c r="R3041" s="58">
        <v>13.0</v>
      </c>
      <c r="CL3041" s="58" t="s">
        <v>28212</v>
      </c>
      <c r="CP3041" s="58" t="s">
        <v>28213</v>
      </c>
      <c r="CX3041" s="58" t="s">
        <v>28214</v>
      </c>
      <c r="CY3041" s="58" t="s">
        <v>28215</v>
      </c>
      <c r="CZ3041" s="58">
        <v>2021.0</v>
      </c>
      <c r="DA3041" s="58" t="s">
        <v>24968</v>
      </c>
      <c r="DB3041" s="58">
        <v>357.0</v>
      </c>
      <c r="DC3041" s="58">
        <v>1.0</v>
      </c>
      <c r="DD3041" s="58">
        <v>28.0</v>
      </c>
      <c r="DE3041" s="58">
        <v>27.0</v>
      </c>
      <c r="DF3041" s="58">
        <v>52.0</v>
      </c>
      <c r="DG3041" s="58" t="s">
        <v>28216</v>
      </c>
      <c r="DH3041" s="58" t="s">
        <v>22525</v>
      </c>
      <c r="DI3041" s="58" t="s">
        <v>22622</v>
      </c>
      <c r="DJ3041" s="58" t="s">
        <v>237</v>
      </c>
      <c r="DK3041" s="58" t="s">
        <v>28217</v>
      </c>
    </row>
    <row r="3042" ht="15.75" customHeight="1">
      <c r="B3042" s="58" t="s">
        <v>22515</v>
      </c>
      <c r="D3042" s="58" t="s">
        <v>28218</v>
      </c>
      <c r="E3042" s="58" t="s">
        <v>28219</v>
      </c>
      <c r="I3042" s="58" t="s">
        <v>28220</v>
      </c>
      <c r="Q3042" s="58">
        <v>12.0</v>
      </c>
      <c r="R3042" s="58">
        <v>45.0</v>
      </c>
      <c r="CL3042" s="58" t="s">
        <v>28221</v>
      </c>
      <c r="CP3042" s="58" t="s">
        <v>28222</v>
      </c>
      <c r="CX3042" s="58" t="s">
        <v>28223</v>
      </c>
      <c r="CY3042" s="58" t="s">
        <v>28224</v>
      </c>
      <c r="CZ3042" s="58">
        <v>2020.0</v>
      </c>
      <c r="DA3042" s="58" t="s">
        <v>26961</v>
      </c>
      <c r="DC3042" s="58">
        <v>10693.0</v>
      </c>
      <c r="DD3042" s="58">
        <v>10708.0</v>
      </c>
      <c r="DE3042" s="58">
        <v>15.0</v>
      </c>
      <c r="DF3042" s="58">
        <v>24.0</v>
      </c>
      <c r="DG3042" s="58" t="s">
        <v>28225</v>
      </c>
      <c r="DH3042" s="58" t="s">
        <v>22525</v>
      </c>
      <c r="DJ3042" s="58" t="s">
        <v>237</v>
      </c>
      <c r="DK3042" s="58" t="s">
        <v>28226</v>
      </c>
    </row>
    <row r="3043" ht="15.75" customHeight="1">
      <c r="B3043" s="58" t="s">
        <v>22515</v>
      </c>
      <c r="D3043" s="58" t="s">
        <v>28227</v>
      </c>
      <c r="E3043" s="58" t="s">
        <v>28228</v>
      </c>
      <c r="I3043" s="58" t="s">
        <v>28229</v>
      </c>
      <c r="R3043" s="58">
        <v>113.0</v>
      </c>
      <c r="CL3043" s="58" t="s">
        <v>28230</v>
      </c>
      <c r="CP3043" s="58" t="s">
        <v>28231</v>
      </c>
      <c r="CX3043" s="58" t="s">
        <v>28232</v>
      </c>
      <c r="CY3043" s="58" t="s">
        <v>28233</v>
      </c>
      <c r="CZ3043" s="58">
        <v>2021.0</v>
      </c>
      <c r="DA3043" s="58" t="s">
        <v>23739</v>
      </c>
      <c r="DB3043" s="58">
        <v>101876.0</v>
      </c>
      <c r="DF3043" s="58">
        <v>16.0</v>
      </c>
      <c r="DG3043" s="58" t="s">
        <v>28234</v>
      </c>
      <c r="DH3043" s="58" t="s">
        <v>22525</v>
      </c>
      <c r="DJ3043" s="58" t="s">
        <v>237</v>
      </c>
      <c r="DK3043" s="58" t="s">
        <v>28235</v>
      </c>
      <c r="DL3043" s="58" t="s">
        <v>28236</v>
      </c>
    </row>
    <row r="3044" ht="15.75" customHeight="1">
      <c r="B3044" s="58" t="s">
        <v>22771</v>
      </c>
      <c r="D3044" s="58" t="s">
        <v>28237</v>
      </c>
      <c r="E3044" s="58" t="s">
        <v>28238</v>
      </c>
      <c r="I3044" s="58" t="s">
        <v>28239</v>
      </c>
      <c r="Q3044" s="58">
        <v>1.0</v>
      </c>
      <c r="R3044" s="58">
        <v>1544.0</v>
      </c>
      <c r="CL3044" s="58" t="s">
        <v>28240</v>
      </c>
      <c r="CX3044" s="58" t="s">
        <v>28241</v>
      </c>
      <c r="CY3044" s="58" t="s">
        <v>28242</v>
      </c>
      <c r="CZ3044" s="58">
        <v>2020.0</v>
      </c>
      <c r="DA3044" s="58" t="s">
        <v>24237</v>
      </c>
      <c r="DB3044" s="58">
        <v>12020.0</v>
      </c>
      <c r="DF3044" s="58">
        <v>4.0</v>
      </c>
      <c r="DG3044" s="58" t="s">
        <v>28243</v>
      </c>
      <c r="DH3044" s="58" t="s">
        <v>22525</v>
      </c>
      <c r="DI3044" s="58" t="s">
        <v>22622</v>
      </c>
      <c r="DJ3044" s="58" t="s">
        <v>237</v>
      </c>
      <c r="DK3044" s="58" t="s">
        <v>28244</v>
      </c>
      <c r="DL3044" s="58" t="s">
        <v>28245</v>
      </c>
    </row>
    <row r="3045" ht="15.75" customHeight="1">
      <c r="B3045" s="58" t="s">
        <v>22771</v>
      </c>
      <c r="D3045" s="58" t="s">
        <v>28246</v>
      </c>
      <c r="E3045" s="58" t="s">
        <v>28247</v>
      </c>
      <c r="I3045" s="58" t="s">
        <v>28248</v>
      </c>
      <c r="R3045" s="58" t="s">
        <v>28071</v>
      </c>
      <c r="CL3045" s="58" t="s">
        <v>28249</v>
      </c>
      <c r="CP3045" s="58" t="s">
        <v>28250</v>
      </c>
      <c r="CX3045" s="58" t="s">
        <v>28251</v>
      </c>
      <c r="CY3045" s="58" t="s">
        <v>28252</v>
      </c>
      <c r="CZ3045" s="58">
        <v>2020.0</v>
      </c>
      <c r="DA3045" s="58" t="s">
        <v>28253</v>
      </c>
      <c r="DB3045" s="58">
        <v>9251862.0</v>
      </c>
      <c r="DC3045" s="58">
        <v>146.0</v>
      </c>
      <c r="DD3045" s="58">
        <v>159.0</v>
      </c>
      <c r="DE3045" s="58">
        <v>13.0</v>
      </c>
      <c r="DF3045" s="58">
        <v>32.0</v>
      </c>
      <c r="DG3045" s="58" t="s">
        <v>28254</v>
      </c>
      <c r="DH3045" s="58" t="s">
        <v>22525</v>
      </c>
      <c r="DJ3045" s="58" t="s">
        <v>237</v>
      </c>
      <c r="DK3045" s="58" t="s">
        <v>28255</v>
      </c>
      <c r="DL3045" s="58" t="s">
        <v>28256</v>
      </c>
    </row>
    <row r="3046" ht="15.75" customHeight="1">
      <c r="B3046" s="58" t="s">
        <v>22515</v>
      </c>
      <c r="D3046" s="58" t="s">
        <v>28257</v>
      </c>
      <c r="E3046" s="58" t="s">
        <v>28258</v>
      </c>
      <c r="I3046" s="58" t="s">
        <v>28259</v>
      </c>
      <c r="Q3046" s="58">
        <v>2.0</v>
      </c>
      <c r="R3046" s="58">
        <v>19.0</v>
      </c>
      <c r="CL3046" s="58" t="s">
        <v>28260</v>
      </c>
      <c r="CP3046" s="58" t="s">
        <v>28261</v>
      </c>
      <c r="CX3046" s="58" t="s">
        <v>28262</v>
      </c>
      <c r="CY3046" s="58" t="s">
        <v>28263</v>
      </c>
      <c r="CZ3046" s="58">
        <v>2021.0</v>
      </c>
      <c r="DA3046" s="58" t="s">
        <v>23482</v>
      </c>
      <c r="DB3046" s="58">
        <v>19.0</v>
      </c>
      <c r="DF3046" s="58">
        <v>29.0</v>
      </c>
      <c r="DG3046" s="58" t="s">
        <v>28264</v>
      </c>
      <c r="DH3046" s="58" t="s">
        <v>22525</v>
      </c>
      <c r="DJ3046" s="58" t="s">
        <v>237</v>
      </c>
      <c r="DK3046" s="58" t="s">
        <v>28265</v>
      </c>
      <c r="DL3046" s="58" t="s">
        <v>28266</v>
      </c>
    </row>
    <row r="3047" ht="15.75" customHeight="1">
      <c r="B3047" s="58" t="s">
        <v>22771</v>
      </c>
      <c r="D3047" s="58" t="s">
        <v>28267</v>
      </c>
      <c r="E3047" s="58" t="s">
        <v>28268</v>
      </c>
      <c r="I3047" s="58" t="s">
        <v>28269</v>
      </c>
      <c r="R3047" s="58" t="s">
        <v>28270</v>
      </c>
      <c r="CL3047" s="58" t="s">
        <v>28271</v>
      </c>
      <c r="CP3047" s="58" t="s">
        <v>28272</v>
      </c>
      <c r="CX3047" s="58" t="s">
        <v>28273</v>
      </c>
      <c r="CY3047" s="58" t="s">
        <v>28274</v>
      </c>
      <c r="CZ3047" s="58">
        <v>2021.0</v>
      </c>
      <c r="DA3047" s="58" t="s">
        <v>28275</v>
      </c>
      <c r="DC3047" s="58">
        <v>1017.0</v>
      </c>
      <c r="DD3047" s="58">
        <v>1036.0</v>
      </c>
      <c r="DE3047" s="58">
        <v>19.0</v>
      </c>
      <c r="DF3047" s="58">
        <v>11.0</v>
      </c>
      <c r="DG3047" s="58" t="s">
        <v>28276</v>
      </c>
      <c r="DH3047" s="58" t="s">
        <v>22525</v>
      </c>
      <c r="DJ3047" s="58" t="s">
        <v>237</v>
      </c>
      <c r="DK3047" s="58" t="s">
        <v>28277</v>
      </c>
      <c r="DL3047" s="58" t="s">
        <v>28278</v>
      </c>
    </row>
    <row r="3048" ht="15.75" customHeight="1">
      <c r="B3048" s="58" t="s">
        <v>22515</v>
      </c>
      <c r="D3048" s="58" t="s">
        <v>28279</v>
      </c>
      <c r="E3048" s="58" t="s">
        <v>28280</v>
      </c>
      <c r="I3048" s="58" t="s">
        <v>28281</v>
      </c>
      <c r="Q3048" s="58">
        <v>2.0</v>
      </c>
      <c r="R3048" s="58">
        <v>32.0</v>
      </c>
      <c r="CL3048" s="58" t="s">
        <v>28282</v>
      </c>
      <c r="CP3048" s="58" t="s">
        <v>28283</v>
      </c>
      <c r="CX3048" s="58" t="s">
        <v>28284</v>
      </c>
      <c r="CY3048" s="58" t="s">
        <v>28285</v>
      </c>
      <c r="CZ3048" s="58">
        <v>2021.0</v>
      </c>
      <c r="DA3048" s="58" t="s">
        <v>17164</v>
      </c>
      <c r="DB3048" s="58">
        <v>9197666.0</v>
      </c>
      <c r="DC3048" s="58">
        <v>441.0</v>
      </c>
      <c r="DD3048" s="58">
        <v>456.0</v>
      </c>
      <c r="DE3048" s="58">
        <v>15.0</v>
      </c>
      <c r="DF3048" s="58">
        <v>11.0</v>
      </c>
      <c r="DG3048" s="58" t="s">
        <v>28286</v>
      </c>
      <c r="DH3048" s="58" t="s">
        <v>22525</v>
      </c>
      <c r="DJ3048" s="58" t="s">
        <v>237</v>
      </c>
      <c r="DK3048" s="58" t="s">
        <v>28287</v>
      </c>
      <c r="DL3048" s="58" t="s">
        <v>28288</v>
      </c>
    </row>
    <row r="3049" ht="15.75" customHeight="1">
      <c r="B3049" s="58" t="s">
        <v>22771</v>
      </c>
      <c r="D3049" s="58" t="s">
        <v>28289</v>
      </c>
      <c r="E3049" s="58" t="s">
        <v>28290</v>
      </c>
      <c r="I3049" s="58" t="s">
        <v>28291</v>
      </c>
      <c r="R3049" s="58">
        <v>421.0</v>
      </c>
      <c r="CL3049" s="58" t="s">
        <v>28292</v>
      </c>
      <c r="CP3049" s="58" t="s">
        <v>28293</v>
      </c>
      <c r="CX3049" s="58" t="s">
        <v>28294</v>
      </c>
      <c r="CY3049" s="58" t="s">
        <v>28295</v>
      </c>
      <c r="CZ3049" s="58">
        <v>2021.0</v>
      </c>
      <c r="DA3049" s="58" t="s">
        <v>28296</v>
      </c>
      <c r="DC3049" s="58">
        <v>380.0</v>
      </c>
      <c r="DD3049" s="58">
        <v>394.0</v>
      </c>
      <c r="DE3049" s="58">
        <v>14.0</v>
      </c>
      <c r="DF3049" s="58">
        <v>6.0</v>
      </c>
      <c r="DG3049" s="58" t="s">
        <v>28297</v>
      </c>
      <c r="DH3049" s="58" t="s">
        <v>22525</v>
      </c>
      <c r="DJ3049" s="58" t="s">
        <v>237</v>
      </c>
      <c r="DK3049" s="58" t="s">
        <v>28298</v>
      </c>
      <c r="DL3049" s="58" t="s">
        <v>28299</v>
      </c>
    </row>
    <row r="3050" ht="15.75" customHeight="1">
      <c r="B3050" s="58" t="s">
        <v>22515</v>
      </c>
      <c r="D3050" s="58" t="s">
        <v>28128</v>
      </c>
      <c r="E3050" s="58" t="s">
        <v>28300</v>
      </c>
      <c r="I3050" s="58" t="s">
        <v>28301</v>
      </c>
      <c r="Q3050" s="58">
        <v>7.0</v>
      </c>
      <c r="R3050" s="58">
        <v>12.0</v>
      </c>
      <c r="CL3050" s="58" t="s">
        <v>28302</v>
      </c>
      <c r="CP3050" s="58" t="s">
        <v>28303</v>
      </c>
      <c r="CX3050" s="58" t="s">
        <v>28133</v>
      </c>
      <c r="CY3050" s="58" t="s">
        <v>28134</v>
      </c>
      <c r="CZ3050" s="58">
        <v>2021.0</v>
      </c>
      <c r="DA3050" s="58" t="s">
        <v>26726</v>
      </c>
      <c r="DC3050" s="58">
        <v>586.0</v>
      </c>
      <c r="DD3050" s="58">
        <v>593.0</v>
      </c>
      <c r="DE3050" s="58">
        <v>7.0</v>
      </c>
      <c r="DF3050" s="58">
        <v>15.0</v>
      </c>
      <c r="DG3050" s="58" t="s">
        <v>28304</v>
      </c>
      <c r="DH3050" s="58" t="s">
        <v>22525</v>
      </c>
      <c r="DI3050" s="58" t="s">
        <v>22643</v>
      </c>
      <c r="DJ3050" s="58" t="s">
        <v>237</v>
      </c>
      <c r="DK3050" s="58" t="s">
        <v>28305</v>
      </c>
      <c r="DL3050" s="58" t="s">
        <v>28306</v>
      </c>
    </row>
    <row r="3051" ht="15.75" customHeight="1">
      <c r="B3051" s="58" t="s">
        <v>22515</v>
      </c>
      <c r="D3051" s="58" t="s">
        <v>28307</v>
      </c>
      <c r="E3051" s="58" t="s">
        <v>28308</v>
      </c>
      <c r="I3051" s="58" t="s">
        <v>28309</v>
      </c>
      <c r="R3051" s="58">
        <v>2021.0</v>
      </c>
      <c r="CL3051" s="58" t="s">
        <v>28310</v>
      </c>
      <c r="CX3051" s="58" t="s">
        <v>28311</v>
      </c>
      <c r="CY3051" s="58" t="s">
        <v>28312</v>
      </c>
      <c r="CZ3051" s="58">
        <v>2021.0</v>
      </c>
      <c r="DA3051" s="58" t="s">
        <v>26990</v>
      </c>
      <c r="DB3051" s="58">
        <v>5590605.0</v>
      </c>
      <c r="DF3051" s="58">
        <v>4.0</v>
      </c>
      <c r="DG3051" s="58" t="s">
        <v>28313</v>
      </c>
      <c r="DH3051" s="58" t="s">
        <v>22525</v>
      </c>
      <c r="DI3051" s="58" t="s">
        <v>22622</v>
      </c>
      <c r="DJ3051" s="58" t="s">
        <v>237</v>
      </c>
      <c r="DK3051" s="58" t="s">
        <v>28314</v>
      </c>
      <c r="DL3051" s="58" t="s">
        <v>28315</v>
      </c>
    </row>
    <row r="3052" ht="15.75" customHeight="1">
      <c r="B3052" s="58" t="s">
        <v>22771</v>
      </c>
      <c r="D3052" s="58" t="s">
        <v>28316</v>
      </c>
      <c r="E3052" s="58" t="s">
        <v>28317</v>
      </c>
      <c r="I3052" s="58" t="s">
        <v>28318</v>
      </c>
      <c r="R3052" s="58">
        <v>1.0</v>
      </c>
      <c r="CL3052" s="58" t="s">
        <v>28319</v>
      </c>
      <c r="CP3052" s="58" t="s">
        <v>28320</v>
      </c>
      <c r="CX3052" s="58" t="s">
        <v>28321</v>
      </c>
      <c r="CY3052" s="58" t="s">
        <v>28322</v>
      </c>
      <c r="CZ3052" s="58">
        <v>2020.0</v>
      </c>
      <c r="DA3052" s="58" t="s">
        <v>27794</v>
      </c>
      <c r="DB3052" s="58">
        <v>9322045.0</v>
      </c>
      <c r="DC3052" s="58">
        <v>134.0</v>
      </c>
      <c r="DD3052" s="58">
        <v>140.0</v>
      </c>
      <c r="DE3052" s="58">
        <v>6.0</v>
      </c>
      <c r="DF3052" s="58">
        <v>2.0</v>
      </c>
      <c r="DG3052" s="58" t="s">
        <v>28323</v>
      </c>
      <c r="DH3052" s="58" t="s">
        <v>22525</v>
      </c>
      <c r="DJ3052" s="58" t="s">
        <v>237</v>
      </c>
      <c r="DK3052" s="58" t="s">
        <v>28324</v>
      </c>
      <c r="DL3052" s="58" t="s">
        <v>28325</v>
      </c>
    </row>
    <row r="3053" ht="15.75" customHeight="1">
      <c r="B3053" s="58" t="s">
        <v>22515</v>
      </c>
      <c r="D3053" s="58" t="s">
        <v>28326</v>
      </c>
      <c r="E3053" s="58" t="s">
        <v>28327</v>
      </c>
      <c r="I3053" s="58" t="s">
        <v>28328</v>
      </c>
      <c r="R3053" s="58">
        <v>51.0</v>
      </c>
      <c r="CL3053" s="58" t="s">
        <v>28329</v>
      </c>
      <c r="CP3053" s="58" t="s">
        <v>28330</v>
      </c>
      <c r="CX3053" s="58" t="s">
        <v>28331</v>
      </c>
      <c r="CY3053" s="58" t="s">
        <v>28332</v>
      </c>
      <c r="CZ3053" s="58">
        <v>2021.0</v>
      </c>
      <c r="DA3053" s="58" t="s">
        <v>28333</v>
      </c>
      <c r="DC3053" s="58">
        <v>401.0</v>
      </c>
      <c r="DD3053" s="58">
        <v>423.0</v>
      </c>
      <c r="DE3053" s="58">
        <v>22.0</v>
      </c>
      <c r="DF3053" s="58">
        <v>16.0</v>
      </c>
      <c r="DG3053" s="58" t="s">
        <v>28334</v>
      </c>
      <c r="DH3053" s="58" t="s">
        <v>22525</v>
      </c>
      <c r="DJ3053" s="58" t="s">
        <v>237</v>
      </c>
      <c r="DK3053" s="58" t="s">
        <v>28335</v>
      </c>
      <c r="DL3053" s="58" t="s">
        <v>28336</v>
      </c>
    </row>
    <row r="3054" ht="15.75" customHeight="1">
      <c r="B3054" s="58" t="s">
        <v>22515</v>
      </c>
      <c r="D3054" s="58" t="s">
        <v>28337</v>
      </c>
      <c r="E3054" s="58" t="s">
        <v>28338</v>
      </c>
      <c r="I3054" s="58" t="s">
        <v>28339</v>
      </c>
      <c r="Q3054" s="58">
        <v>4.0</v>
      </c>
      <c r="R3054" s="58">
        <v>14.0</v>
      </c>
      <c r="CL3054" s="58" t="s">
        <v>28340</v>
      </c>
      <c r="CP3054" s="58" t="s">
        <v>28341</v>
      </c>
      <c r="CX3054" s="58" t="s">
        <v>28342</v>
      </c>
      <c r="CY3054" s="58" t="s">
        <v>28343</v>
      </c>
      <c r="CZ3054" s="58">
        <v>2021.0</v>
      </c>
      <c r="DA3054" s="58" t="s">
        <v>28344</v>
      </c>
      <c r="DC3054" s="58">
        <v>335.0</v>
      </c>
      <c r="DD3054" s="58">
        <v>344.0</v>
      </c>
      <c r="DE3054" s="58">
        <v>9.0</v>
      </c>
      <c r="DF3054" s="58">
        <v>0.0</v>
      </c>
      <c r="DG3054" s="58" t="s">
        <v>28345</v>
      </c>
      <c r="DH3054" s="58" t="s">
        <v>22525</v>
      </c>
      <c r="DJ3054" s="58" t="s">
        <v>237</v>
      </c>
      <c r="DK3054" s="58" t="s">
        <v>28346</v>
      </c>
      <c r="DL3054" s="58" t="s">
        <v>28347</v>
      </c>
    </row>
    <row r="3055" ht="15.75" customHeight="1">
      <c r="B3055" s="58" t="s">
        <v>22771</v>
      </c>
      <c r="D3055" s="58" t="s">
        <v>28348</v>
      </c>
      <c r="E3055" s="58" t="s">
        <v>28349</v>
      </c>
      <c r="I3055" s="58" t="s">
        <v>28350</v>
      </c>
      <c r="Q3055" s="58">
        <v>16.0</v>
      </c>
      <c r="R3055" s="58">
        <v>32.0</v>
      </c>
      <c r="CL3055" s="58" t="s">
        <v>28351</v>
      </c>
      <c r="CP3055" s="58" t="s">
        <v>28352</v>
      </c>
      <c r="CX3055" s="58" t="s">
        <v>28353</v>
      </c>
      <c r="CY3055" s="58" t="s">
        <v>28354</v>
      </c>
      <c r="CZ3055" s="58">
        <v>2020.0</v>
      </c>
      <c r="DA3055" s="58" t="s">
        <v>24007</v>
      </c>
      <c r="DB3055" s="58" t="s">
        <v>28355</v>
      </c>
      <c r="DF3055" s="58">
        <v>33.0</v>
      </c>
      <c r="DG3055" s="58" t="s">
        <v>28356</v>
      </c>
      <c r="DH3055" s="58" t="s">
        <v>22525</v>
      </c>
      <c r="DI3055" s="58" t="s">
        <v>23606</v>
      </c>
      <c r="DJ3055" s="58" t="s">
        <v>237</v>
      </c>
      <c r="DK3055" s="58" t="s">
        <v>28357</v>
      </c>
      <c r="DL3055" s="58" t="s">
        <v>28358</v>
      </c>
    </row>
    <row r="3056" ht="15.75" customHeight="1">
      <c r="B3056" s="58" t="s">
        <v>22771</v>
      </c>
      <c r="D3056" s="58" t="s">
        <v>28359</v>
      </c>
      <c r="E3056" s="58" t="s">
        <v>28360</v>
      </c>
      <c r="I3056" s="58" t="s">
        <v>28361</v>
      </c>
      <c r="CL3056" s="58" t="s">
        <v>28362</v>
      </c>
      <c r="CP3056" s="58" t="s">
        <v>28363</v>
      </c>
      <c r="CX3056" s="58" t="s">
        <v>28364</v>
      </c>
      <c r="CY3056" s="58" t="s">
        <v>28365</v>
      </c>
      <c r="CZ3056" s="58">
        <v>2021.0</v>
      </c>
      <c r="DA3056" s="58" t="s">
        <v>28366</v>
      </c>
      <c r="DC3056" s="58">
        <v>282.0</v>
      </c>
      <c r="DD3056" s="58">
        <v>287.0</v>
      </c>
      <c r="DE3056" s="58">
        <v>5.0</v>
      </c>
      <c r="DF3056" s="58">
        <v>2.0</v>
      </c>
      <c r="DG3056" s="58" t="s">
        <v>28367</v>
      </c>
      <c r="DH3056" s="58" t="s">
        <v>22525</v>
      </c>
      <c r="DJ3056" s="58" t="s">
        <v>237</v>
      </c>
      <c r="DK3056" s="58" t="s">
        <v>28368</v>
      </c>
      <c r="DL3056" s="58" t="s">
        <v>28369</v>
      </c>
    </row>
    <row r="3057" ht="15.75" customHeight="1">
      <c r="B3057" s="58" t="s">
        <v>22515</v>
      </c>
      <c r="D3057" s="58" t="s">
        <v>28370</v>
      </c>
      <c r="E3057" s="58" t="s">
        <v>28371</v>
      </c>
      <c r="I3057" s="58" t="s">
        <v>28372</v>
      </c>
      <c r="Q3057" s="58">
        <v>42.0</v>
      </c>
      <c r="R3057" s="58">
        <v>33.0</v>
      </c>
      <c r="CL3057" s="58" t="s">
        <v>28373</v>
      </c>
      <c r="CP3057" s="58" t="s">
        <v>28374</v>
      </c>
      <c r="CX3057" s="58" t="s">
        <v>28375</v>
      </c>
      <c r="CY3057" s="58" t="s">
        <v>28376</v>
      </c>
      <c r="CZ3057" s="58">
        <v>2021.0</v>
      </c>
      <c r="DA3057" s="58" t="s">
        <v>28377</v>
      </c>
      <c r="DC3057" s="58">
        <v>1353.0</v>
      </c>
      <c r="DD3057" s="58">
        <v>1361.0</v>
      </c>
      <c r="DE3057" s="58">
        <v>8.0</v>
      </c>
      <c r="DF3057" s="58">
        <v>0.0</v>
      </c>
      <c r="DG3057" s="58" t="s">
        <v>28378</v>
      </c>
      <c r="DH3057" s="58" t="s">
        <v>22525</v>
      </c>
      <c r="DI3057" s="58" t="s">
        <v>22622</v>
      </c>
      <c r="DJ3057" s="58" t="s">
        <v>237</v>
      </c>
      <c r="DK3057" s="58" t="s">
        <v>28379</v>
      </c>
      <c r="DL3057" s="58" t="s">
        <v>28380</v>
      </c>
    </row>
    <row r="3058" ht="15.75" customHeight="1">
      <c r="B3058" s="58" t="s">
        <v>22515</v>
      </c>
      <c r="D3058" s="58" t="s">
        <v>28381</v>
      </c>
      <c r="E3058" s="58" t="s">
        <v>28382</v>
      </c>
      <c r="I3058" s="58" t="s">
        <v>28383</v>
      </c>
      <c r="R3058" s="58">
        <v>170.0</v>
      </c>
      <c r="CL3058" s="58" t="s">
        <v>28384</v>
      </c>
      <c r="CP3058" s="58" t="s">
        <v>28385</v>
      </c>
      <c r="CX3058" s="58" t="s">
        <v>28386</v>
      </c>
      <c r="CY3058" s="58" t="s">
        <v>28387</v>
      </c>
      <c r="CZ3058" s="58">
        <v>2021.0</v>
      </c>
      <c r="DA3058" s="58" t="s">
        <v>23053</v>
      </c>
      <c r="DC3058" s="58">
        <v>50.0</v>
      </c>
      <c r="DD3058" s="58">
        <v>64.0</v>
      </c>
      <c r="DE3058" s="58">
        <v>14.0</v>
      </c>
      <c r="DF3058" s="58">
        <v>21.0</v>
      </c>
      <c r="DG3058" s="58" t="s">
        <v>28388</v>
      </c>
      <c r="DH3058" s="58" t="s">
        <v>22525</v>
      </c>
      <c r="DI3058" s="58" t="s">
        <v>22816</v>
      </c>
      <c r="DJ3058" s="58" t="s">
        <v>237</v>
      </c>
      <c r="DK3058" s="58" t="s">
        <v>28389</v>
      </c>
      <c r="DL3058" s="58" t="s">
        <v>28390</v>
      </c>
    </row>
    <row r="3059" ht="15.75" customHeight="1">
      <c r="B3059" s="58" t="s">
        <v>22771</v>
      </c>
      <c r="D3059" s="58" t="s">
        <v>28391</v>
      </c>
      <c r="E3059" s="58" t="s">
        <v>28392</v>
      </c>
      <c r="I3059" s="58" t="s">
        <v>28393</v>
      </c>
      <c r="Q3059" s="58">
        <v>17.0</v>
      </c>
      <c r="R3059" s="58">
        <v>32.0</v>
      </c>
      <c r="CL3059" s="58" t="s">
        <v>28394</v>
      </c>
      <c r="CP3059" s="58" t="s">
        <v>28395</v>
      </c>
      <c r="CX3059" s="58" t="s">
        <v>28396</v>
      </c>
      <c r="CY3059" s="58" t="s">
        <v>28397</v>
      </c>
      <c r="CZ3059" s="58">
        <v>2020.0</v>
      </c>
      <c r="DA3059" s="58" t="s">
        <v>24007</v>
      </c>
      <c r="DB3059" s="58" t="s">
        <v>28398</v>
      </c>
      <c r="DF3059" s="58">
        <v>81.0</v>
      </c>
      <c r="DG3059" s="58" t="s">
        <v>28399</v>
      </c>
      <c r="DH3059" s="58" t="s">
        <v>22525</v>
      </c>
      <c r="DJ3059" s="58" t="s">
        <v>237</v>
      </c>
      <c r="DK3059" s="58" t="s">
        <v>28400</v>
      </c>
      <c r="DL3059" s="58" t="s">
        <v>28401</v>
      </c>
    </row>
    <row r="3060" ht="15.75" customHeight="1">
      <c r="B3060" s="58" t="s">
        <v>22515</v>
      </c>
      <c r="D3060" s="58" t="s">
        <v>28402</v>
      </c>
      <c r="E3060" s="58" t="s">
        <v>28403</v>
      </c>
      <c r="I3060" s="58" t="s">
        <v>28404</v>
      </c>
      <c r="R3060" s="58">
        <v>9.0</v>
      </c>
      <c r="CL3060" s="58" t="s">
        <v>28405</v>
      </c>
      <c r="CP3060" s="58" t="s">
        <v>28406</v>
      </c>
      <c r="CX3060" s="58" t="s">
        <v>28407</v>
      </c>
      <c r="CY3060" s="58" t="s">
        <v>28408</v>
      </c>
      <c r="CZ3060" s="58">
        <v>2021.0</v>
      </c>
      <c r="DA3060" s="58" t="s">
        <v>16436</v>
      </c>
      <c r="DB3060" s="58">
        <v>9481268.0</v>
      </c>
      <c r="DC3060" s="58">
        <v>105393.0</v>
      </c>
      <c r="DD3060" s="58">
        <v>105408.0</v>
      </c>
      <c r="DE3060" s="58">
        <v>15.0</v>
      </c>
      <c r="DF3060" s="58">
        <v>3.0</v>
      </c>
      <c r="DG3060" s="58" t="s">
        <v>28409</v>
      </c>
      <c r="DH3060" s="58" t="s">
        <v>22525</v>
      </c>
      <c r="DI3060" s="58" t="s">
        <v>22622</v>
      </c>
      <c r="DJ3060" s="58" t="s">
        <v>237</v>
      </c>
      <c r="DK3060" s="58" t="s">
        <v>28410</v>
      </c>
      <c r="DL3060" s="58" t="s">
        <v>28411</v>
      </c>
    </row>
    <row r="3061" ht="15.75" customHeight="1">
      <c r="B3061" s="58" t="s">
        <v>22515</v>
      </c>
      <c r="D3061" s="58" t="s">
        <v>28412</v>
      </c>
      <c r="E3061" s="58" t="s">
        <v>28413</v>
      </c>
      <c r="I3061" s="58" t="s">
        <v>28414</v>
      </c>
      <c r="Q3061" s="58">
        <v>12.0</v>
      </c>
      <c r="R3061" s="58">
        <v>10.0</v>
      </c>
      <c r="CL3061" s="58" t="s">
        <v>28415</v>
      </c>
      <c r="CP3061" s="58" t="s">
        <v>28416</v>
      </c>
      <c r="CX3061" s="58" t="s">
        <v>28417</v>
      </c>
      <c r="CY3061" s="58" t="s">
        <v>28418</v>
      </c>
      <c r="CZ3061" s="58">
        <v>2021.0</v>
      </c>
      <c r="DA3061" s="58" t="s">
        <v>23242</v>
      </c>
      <c r="DB3061" s="58">
        <v>1460.0</v>
      </c>
      <c r="DF3061" s="58">
        <v>7.0</v>
      </c>
      <c r="DG3061" s="58" t="s">
        <v>28419</v>
      </c>
      <c r="DH3061" s="58" t="s">
        <v>22525</v>
      </c>
      <c r="DI3061" s="58" t="s">
        <v>22622</v>
      </c>
      <c r="DJ3061" s="58" t="s">
        <v>237</v>
      </c>
      <c r="DK3061" s="58" t="s">
        <v>28420</v>
      </c>
    </row>
    <row r="3062" ht="15.75" customHeight="1">
      <c r="B3062" s="58" t="s">
        <v>22515</v>
      </c>
      <c r="D3062" s="58" t="s">
        <v>28421</v>
      </c>
      <c r="E3062" s="58" t="s">
        <v>28422</v>
      </c>
      <c r="I3062" s="58" t="s">
        <v>28423</v>
      </c>
      <c r="R3062" s="58">
        <v>121.0</v>
      </c>
      <c r="CL3062" s="58" t="s">
        <v>28424</v>
      </c>
      <c r="CP3062" s="58" t="s">
        <v>28425</v>
      </c>
      <c r="CX3062" s="58" t="s">
        <v>28426</v>
      </c>
      <c r="CY3062" s="58" t="s">
        <v>28427</v>
      </c>
      <c r="CZ3062" s="58">
        <v>2020.0</v>
      </c>
      <c r="DA3062" s="58" t="s">
        <v>28428</v>
      </c>
      <c r="DB3062" s="58">
        <v>106124.0</v>
      </c>
      <c r="DF3062" s="58">
        <v>24.0</v>
      </c>
      <c r="DG3062" s="58" t="s">
        <v>28429</v>
      </c>
      <c r="DH3062" s="58" t="s">
        <v>22525</v>
      </c>
      <c r="DJ3062" s="58" t="s">
        <v>237</v>
      </c>
      <c r="DK3062" s="58" t="s">
        <v>28430</v>
      </c>
      <c r="DL3062" s="58" t="s">
        <v>28431</v>
      </c>
    </row>
    <row r="3063" ht="15.75" customHeight="1">
      <c r="B3063" s="58" t="s">
        <v>22515</v>
      </c>
      <c r="D3063" s="58" t="s">
        <v>28432</v>
      </c>
      <c r="E3063" s="58" t="s">
        <v>28433</v>
      </c>
      <c r="I3063" s="58" t="s">
        <v>28434</v>
      </c>
      <c r="R3063" s="58">
        <v>150.0</v>
      </c>
      <c r="CL3063" s="58" t="s">
        <v>28435</v>
      </c>
      <c r="CP3063" s="58" t="s">
        <v>28436</v>
      </c>
      <c r="CX3063" s="58" t="s">
        <v>28437</v>
      </c>
      <c r="CY3063" s="58" t="s">
        <v>28438</v>
      </c>
      <c r="CZ3063" s="58">
        <v>2021.0</v>
      </c>
      <c r="DA3063" s="58" t="s">
        <v>28439</v>
      </c>
      <c r="DC3063" s="58">
        <v>155.0</v>
      </c>
      <c r="DD3063" s="58">
        <v>183.0</v>
      </c>
      <c r="DE3063" s="58">
        <v>28.0</v>
      </c>
      <c r="DF3063" s="58">
        <v>133.0</v>
      </c>
      <c r="DG3063" s="58" t="s">
        <v>28440</v>
      </c>
      <c r="DH3063" s="58" t="s">
        <v>22525</v>
      </c>
      <c r="DJ3063" s="58" t="s">
        <v>237</v>
      </c>
      <c r="DK3063" s="58" t="s">
        <v>28441</v>
      </c>
      <c r="DL3063" s="58" t="s">
        <v>28442</v>
      </c>
    </row>
    <row r="3064" ht="15.75" customHeight="1">
      <c r="B3064" s="58" t="s">
        <v>22515</v>
      </c>
      <c r="D3064" s="58" t="s">
        <v>28443</v>
      </c>
      <c r="E3064" s="58" t="s">
        <v>28444</v>
      </c>
      <c r="I3064" s="58" t="s">
        <v>28445</v>
      </c>
      <c r="Q3064" s="58">
        <v>3.0</v>
      </c>
      <c r="R3064" s="58">
        <v>17.0</v>
      </c>
      <c r="CL3064" s="58" t="s">
        <v>28446</v>
      </c>
      <c r="CP3064" s="58" t="s">
        <v>28447</v>
      </c>
      <c r="CX3064" s="58" t="s">
        <v>28448</v>
      </c>
      <c r="CY3064" s="58" t="s">
        <v>28449</v>
      </c>
      <c r="CZ3064" s="58">
        <v>2020.0</v>
      </c>
      <c r="DA3064" s="58" t="s">
        <v>16959</v>
      </c>
      <c r="DB3064" s="58">
        <v>9079899.0</v>
      </c>
      <c r="DC3064" s="58">
        <v>1542.0</v>
      </c>
      <c r="DD3064" s="58">
        <v>1553.0</v>
      </c>
      <c r="DE3064" s="58">
        <v>11.0</v>
      </c>
      <c r="DF3064" s="58">
        <v>7.0</v>
      </c>
      <c r="DG3064" s="58" t="s">
        <v>28450</v>
      </c>
      <c r="DH3064" s="58" t="s">
        <v>22525</v>
      </c>
      <c r="DI3064" s="58" t="s">
        <v>22816</v>
      </c>
      <c r="DJ3064" s="58" t="s">
        <v>237</v>
      </c>
      <c r="DK3064" s="58" t="s">
        <v>28451</v>
      </c>
      <c r="DL3064" s="58" t="s">
        <v>28452</v>
      </c>
    </row>
    <row r="3065" ht="15.75" customHeight="1">
      <c r="B3065" s="58" t="s">
        <v>22515</v>
      </c>
      <c r="D3065" s="58" t="s">
        <v>28453</v>
      </c>
      <c r="E3065" s="58" t="s">
        <v>28454</v>
      </c>
      <c r="I3065" s="58" t="s">
        <v>28455</v>
      </c>
      <c r="R3065" s="58">
        <v>101.0</v>
      </c>
      <c r="CL3065" s="58" t="s">
        <v>28456</v>
      </c>
      <c r="CP3065" s="58" t="s">
        <v>28457</v>
      </c>
      <c r="CX3065" s="58" t="s">
        <v>28458</v>
      </c>
      <c r="CY3065" s="58" t="s">
        <v>28459</v>
      </c>
      <c r="CZ3065" s="58">
        <v>2020.0</v>
      </c>
      <c r="DA3065" s="58" t="s">
        <v>22955</v>
      </c>
      <c r="DB3065" s="58">
        <v>102007.0</v>
      </c>
      <c r="DF3065" s="58">
        <v>21.0</v>
      </c>
      <c r="DG3065" s="58" t="s">
        <v>28460</v>
      </c>
      <c r="DH3065" s="58" t="s">
        <v>22525</v>
      </c>
      <c r="DI3065" s="58" t="s">
        <v>22816</v>
      </c>
      <c r="DJ3065" s="58" t="s">
        <v>237</v>
      </c>
      <c r="DK3065" s="58" t="s">
        <v>28461</v>
      </c>
      <c r="DL3065" s="58" t="s">
        <v>28462</v>
      </c>
    </row>
    <row r="3066" ht="15.75" customHeight="1">
      <c r="B3066" s="58" t="s">
        <v>22771</v>
      </c>
      <c r="D3066" s="58" t="s">
        <v>28463</v>
      </c>
      <c r="E3066" s="58" t="s">
        <v>28464</v>
      </c>
      <c r="I3066" s="58" t="s">
        <v>28465</v>
      </c>
      <c r="Q3066" s="58">
        <v>2.0</v>
      </c>
      <c r="R3066" s="58">
        <v>15.0</v>
      </c>
      <c r="CL3066" s="58" t="s">
        <v>28466</v>
      </c>
      <c r="CP3066" s="58" t="s">
        <v>28467</v>
      </c>
      <c r="CX3066" s="58" t="s">
        <v>28468</v>
      </c>
      <c r="CY3066" s="58" t="s">
        <v>28469</v>
      </c>
      <c r="CZ3066" s="58">
        <v>2021.0</v>
      </c>
      <c r="DA3066" s="58" t="s">
        <v>23668</v>
      </c>
      <c r="DC3066" s="58">
        <v>97.0</v>
      </c>
      <c r="DD3066" s="58">
        <v>107.0</v>
      </c>
      <c r="DE3066" s="58">
        <v>10.0</v>
      </c>
      <c r="DF3066" s="58">
        <v>3.0</v>
      </c>
      <c r="DG3066" s="58" t="s">
        <v>28470</v>
      </c>
      <c r="DH3066" s="58" t="s">
        <v>22525</v>
      </c>
      <c r="DJ3066" s="58" t="s">
        <v>237</v>
      </c>
      <c r="DK3066" s="58" t="s">
        <v>28471</v>
      </c>
      <c r="DL3066" s="58" t="s">
        <v>28472</v>
      </c>
    </row>
    <row r="3067" ht="15.75" customHeight="1">
      <c r="B3067" s="58" t="s">
        <v>22771</v>
      </c>
      <c r="D3067" s="58" t="s">
        <v>28473</v>
      </c>
      <c r="E3067" s="58" t="s">
        <v>28474</v>
      </c>
      <c r="I3067" s="58" t="s">
        <v>28475</v>
      </c>
      <c r="CL3067" s="58" t="s">
        <v>28476</v>
      </c>
      <c r="CP3067" s="58" t="s">
        <v>28477</v>
      </c>
      <c r="CX3067" s="58" t="s">
        <v>28478</v>
      </c>
      <c r="CY3067" s="58">
        <v>7.102156137E9</v>
      </c>
      <c r="CZ3067" s="58">
        <v>2020.0</v>
      </c>
      <c r="DA3067" s="58" t="s">
        <v>28479</v>
      </c>
      <c r="DB3067" s="58">
        <v>9139670.0</v>
      </c>
      <c r="DC3067" s="58">
        <v>1.0</v>
      </c>
      <c r="DD3067" s="58">
        <v>10.0</v>
      </c>
      <c r="DE3067" s="58">
        <v>9.0</v>
      </c>
      <c r="DF3067" s="58">
        <v>22.0</v>
      </c>
      <c r="DG3067" s="58" t="s">
        <v>28480</v>
      </c>
      <c r="DH3067" s="58" t="s">
        <v>22525</v>
      </c>
      <c r="DJ3067" s="58" t="s">
        <v>237</v>
      </c>
      <c r="DK3067" s="58" t="s">
        <v>28481</v>
      </c>
      <c r="DL3067" s="58" t="s">
        <v>28482</v>
      </c>
    </row>
    <row r="3068" ht="15.75" customHeight="1">
      <c r="B3068" s="58" t="s">
        <v>22515</v>
      </c>
      <c r="D3068" s="58" t="s">
        <v>28483</v>
      </c>
      <c r="E3068" s="58" t="s">
        <v>28484</v>
      </c>
      <c r="I3068" s="58" t="s">
        <v>28485</v>
      </c>
      <c r="R3068" s="58">
        <v>173.0</v>
      </c>
      <c r="CL3068" s="58" t="s">
        <v>28486</v>
      </c>
      <c r="CP3068" s="58" t="s">
        <v>28487</v>
      </c>
      <c r="CX3068" s="58" t="s">
        <v>28488</v>
      </c>
      <c r="CY3068" s="58" t="s">
        <v>28489</v>
      </c>
      <c r="CZ3068" s="58">
        <v>2021.0</v>
      </c>
      <c r="DA3068" s="58" t="s">
        <v>22609</v>
      </c>
      <c r="DB3068" s="58">
        <v>102869.0</v>
      </c>
      <c r="DF3068" s="58">
        <v>26.0</v>
      </c>
      <c r="DG3068" s="58" t="s">
        <v>28490</v>
      </c>
      <c r="DH3068" s="58" t="s">
        <v>22525</v>
      </c>
      <c r="DJ3068" s="58" t="s">
        <v>237</v>
      </c>
      <c r="DK3068" s="58" t="s">
        <v>28491</v>
      </c>
      <c r="DL3068" s="58" t="s">
        <v>28492</v>
      </c>
    </row>
    <row r="3069" ht="15.75" customHeight="1">
      <c r="B3069" s="58" t="s">
        <v>22515</v>
      </c>
      <c r="D3069" s="58" t="s">
        <v>28493</v>
      </c>
      <c r="E3069" s="58" t="s">
        <v>28494</v>
      </c>
      <c r="I3069" s="58" t="s">
        <v>28495</v>
      </c>
      <c r="Q3069" s="58">
        <v>10.0</v>
      </c>
      <c r="R3069" s="58">
        <v>21.0</v>
      </c>
      <c r="CL3069" s="58" t="s">
        <v>28496</v>
      </c>
      <c r="CP3069" s="58" t="s">
        <v>28497</v>
      </c>
      <c r="CX3069" s="58" t="s">
        <v>28498</v>
      </c>
      <c r="CY3069" s="58" t="s">
        <v>28499</v>
      </c>
      <c r="CZ3069" s="58">
        <v>2021.0</v>
      </c>
      <c r="DA3069" s="58" t="s">
        <v>22802</v>
      </c>
      <c r="DB3069" s="58">
        <v>3349.0</v>
      </c>
      <c r="DF3069" s="58">
        <v>36.0</v>
      </c>
      <c r="DG3069" s="58" t="s">
        <v>28500</v>
      </c>
      <c r="DH3069" s="58" t="s">
        <v>22525</v>
      </c>
      <c r="DI3069" s="58" t="s">
        <v>22643</v>
      </c>
      <c r="DJ3069" s="58" t="s">
        <v>237</v>
      </c>
      <c r="DK3069" s="58" t="s">
        <v>28501</v>
      </c>
      <c r="DL3069" s="58" t="s">
        <v>28502</v>
      </c>
    </row>
    <row r="3070" ht="15.75" customHeight="1">
      <c r="B3070" s="58" t="s">
        <v>22771</v>
      </c>
      <c r="D3070" s="58" t="s">
        <v>28503</v>
      </c>
      <c r="E3070" s="58" t="s">
        <v>28504</v>
      </c>
      <c r="I3070" s="58" t="s">
        <v>28505</v>
      </c>
      <c r="R3070" s="58">
        <v>88.0</v>
      </c>
      <c r="CL3070" s="58" t="s">
        <v>28506</v>
      </c>
      <c r="CP3070" s="58" t="s">
        <v>28507</v>
      </c>
      <c r="CX3070" s="58" t="s">
        <v>28508</v>
      </c>
      <c r="CY3070" s="58" t="s">
        <v>28509</v>
      </c>
      <c r="CZ3070" s="58">
        <v>2021.0</v>
      </c>
      <c r="DA3070" s="58" t="s">
        <v>28510</v>
      </c>
      <c r="DB3070" s="58">
        <v>4.0</v>
      </c>
      <c r="DF3070" s="58">
        <v>0.0</v>
      </c>
      <c r="DG3070" s="58" t="s">
        <v>28511</v>
      </c>
      <c r="DH3070" s="58" t="s">
        <v>22525</v>
      </c>
      <c r="DJ3070" s="58" t="s">
        <v>237</v>
      </c>
      <c r="DK3070" s="58" t="s">
        <v>28512</v>
      </c>
      <c r="DL3070" s="58" t="s">
        <v>28513</v>
      </c>
    </row>
    <row r="3071" ht="15.75" customHeight="1">
      <c r="B3071" s="58" t="s">
        <v>22515</v>
      </c>
      <c r="D3071" s="58" t="s">
        <v>28514</v>
      </c>
      <c r="E3071" s="58" t="s">
        <v>28515</v>
      </c>
      <c r="I3071" s="58" t="s">
        <v>28516</v>
      </c>
      <c r="R3071" s="58">
        <v>143.0</v>
      </c>
      <c r="CL3071" s="58" t="s">
        <v>28517</v>
      </c>
      <c r="CP3071" s="58" t="s">
        <v>28518</v>
      </c>
      <c r="CX3071" s="58" t="s">
        <v>28519</v>
      </c>
      <c r="CY3071" s="58" t="s">
        <v>28520</v>
      </c>
      <c r="CZ3071" s="58">
        <v>2020.0</v>
      </c>
      <c r="DA3071" s="58" t="s">
        <v>28439</v>
      </c>
      <c r="DC3071" s="58">
        <v>107.0</v>
      </c>
      <c r="DD3071" s="58">
        <v>128.0</v>
      </c>
      <c r="DE3071" s="58">
        <v>21.0</v>
      </c>
      <c r="DF3071" s="58">
        <v>66.0</v>
      </c>
      <c r="DG3071" s="58" t="s">
        <v>28521</v>
      </c>
      <c r="DH3071" s="58" t="s">
        <v>22525</v>
      </c>
      <c r="DJ3071" s="58" t="s">
        <v>237</v>
      </c>
      <c r="DK3071" s="58" t="s">
        <v>28522</v>
      </c>
      <c r="DL3071" s="58" t="s">
        <v>28523</v>
      </c>
    </row>
    <row r="3072" ht="15.75" customHeight="1">
      <c r="B3072" s="58" t="s">
        <v>22515</v>
      </c>
      <c r="D3072" s="58" t="s">
        <v>28524</v>
      </c>
      <c r="E3072" s="58" t="s">
        <v>28525</v>
      </c>
      <c r="I3072" s="58" t="s">
        <v>28526</v>
      </c>
      <c r="Q3072" s="58">
        <v>11.0</v>
      </c>
      <c r="R3072" s="58">
        <v>18.0</v>
      </c>
      <c r="CL3072" s="58" t="s">
        <v>28527</v>
      </c>
      <c r="CP3072" s="58" t="s">
        <v>28528</v>
      </c>
      <c r="CX3072" s="58" t="s">
        <v>28529</v>
      </c>
      <c r="CY3072" s="58" t="s">
        <v>28530</v>
      </c>
      <c r="CZ3072" s="58">
        <v>2021.0</v>
      </c>
      <c r="DA3072" s="58" t="s">
        <v>28531</v>
      </c>
      <c r="DB3072" s="58">
        <v>5800.0</v>
      </c>
      <c r="DF3072" s="58">
        <v>16.0</v>
      </c>
      <c r="DG3072" s="58" t="s">
        <v>28532</v>
      </c>
      <c r="DH3072" s="58" t="s">
        <v>22525</v>
      </c>
      <c r="DI3072" s="58" t="s">
        <v>22643</v>
      </c>
      <c r="DJ3072" s="58" t="s">
        <v>237</v>
      </c>
      <c r="DK3072" s="58" t="s">
        <v>28533</v>
      </c>
      <c r="DL3072" s="58" t="s">
        <v>28534</v>
      </c>
    </row>
    <row r="3073" ht="15.75" customHeight="1">
      <c r="B3073" s="58" t="s">
        <v>22515</v>
      </c>
      <c r="D3073" s="58" t="s">
        <v>28535</v>
      </c>
      <c r="E3073" s="58" t="s">
        <v>28536</v>
      </c>
      <c r="I3073" s="58" t="s">
        <v>28537</v>
      </c>
      <c r="Q3073" s="58">
        <v>5.0</v>
      </c>
      <c r="R3073" s="58">
        <v>47.0</v>
      </c>
      <c r="CL3073" s="58" t="s">
        <v>28538</v>
      </c>
      <c r="CP3073" s="58" t="s">
        <v>28539</v>
      </c>
      <c r="CX3073" s="58" t="s">
        <v>28540</v>
      </c>
      <c r="CY3073" s="58" t="s">
        <v>28541</v>
      </c>
      <c r="CZ3073" s="58">
        <v>2021.0</v>
      </c>
      <c r="DA3073" s="58" t="s">
        <v>22316</v>
      </c>
      <c r="DB3073" s="58">
        <v>8686152.0</v>
      </c>
      <c r="DC3073" s="58">
        <v>987.0</v>
      </c>
      <c r="DD3073" s="58">
        <v>1007.0</v>
      </c>
      <c r="DE3073" s="58">
        <v>20.0</v>
      </c>
      <c r="DF3073" s="58">
        <v>73.0</v>
      </c>
      <c r="DG3073" s="58" t="s">
        <v>28542</v>
      </c>
      <c r="DH3073" s="58" t="s">
        <v>22525</v>
      </c>
      <c r="DI3073" s="58" t="s">
        <v>22656</v>
      </c>
      <c r="DJ3073" s="58" t="s">
        <v>237</v>
      </c>
      <c r="DK3073" s="58" t="s">
        <v>28543</v>
      </c>
      <c r="DL3073" s="58" t="s">
        <v>28544</v>
      </c>
    </row>
    <row r="3074" ht="15.75" customHeight="1">
      <c r="B3074" s="58" t="s">
        <v>22515</v>
      </c>
      <c r="D3074" s="58" t="s">
        <v>28545</v>
      </c>
      <c r="E3074" s="58" t="s">
        <v>28546</v>
      </c>
      <c r="I3074" s="58" t="s">
        <v>28547</v>
      </c>
      <c r="Q3074" s="58">
        <v>6.0</v>
      </c>
      <c r="R3074" s="58">
        <v>33.0</v>
      </c>
      <c r="CL3074" s="58" t="s">
        <v>28548</v>
      </c>
      <c r="CP3074" s="58" t="s">
        <v>28549</v>
      </c>
      <c r="CX3074" s="58" t="s">
        <v>28550</v>
      </c>
      <c r="CY3074" s="58" t="s">
        <v>28551</v>
      </c>
      <c r="CZ3074" s="58">
        <v>2021.0</v>
      </c>
      <c r="DA3074" s="58" t="s">
        <v>28552</v>
      </c>
      <c r="DC3074" s="58">
        <v>1033.0</v>
      </c>
      <c r="DD3074" s="58">
        <v>1056.0</v>
      </c>
      <c r="DE3074" s="58">
        <v>23.0</v>
      </c>
      <c r="DF3074" s="58">
        <v>19.0</v>
      </c>
      <c r="DG3074" s="58" t="s">
        <v>28553</v>
      </c>
      <c r="DH3074" s="58" t="s">
        <v>22525</v>
      </c>
      <c r="DJ3074" s="58" t="s">
        <v>237</v>
      </c>
      <c r="DK3074" s="58" t="s">
        <v>28554</v>
      </c>
      <c r="DL3074" s="58" t="s">
        <v>28555</v>
      </c>
    </row>
    <row r="3075" ht="15.75" customHeight="1">
      <c r="B3075" s="58" t="s">
        <v>22771</v>
      </c>
      <c r="D3075" s="58" t="s">
        <v>28556</v>
      </c>
      <c r="E3075" s="58" t="s">
        <v>28557</v>
      </c>
      <c r="I3075" s="58" t="s">
        <v>28558</v>
      </c>
      <c r="R3075" s="58" t="s">
        <v>28559</v>
      </c>
      <c r="CL3075" s="58" t="s">
        <v>28560</v>
      </c>
      <c r="CP3075" s="58" t="s">
        <v>28561</v>
      </c>
      <c r="CX3075" s="58" t="s">
        <v>28562</v>
      </c>
      <c r="CY3075" s="58" t="s">
        <v>28563</v>
      </c>
      <c r="CZ3075" s="58">
        <v>2018.0</v>
      </c>
      <c r="DA3075" s="58" t="s">
        <v>25445</v>
      </c>
      <c r="DC3075" s="58">
        <v>730.0</v>
      </c>
      <c r="DD3075" s="58">
        <v>741.0</v>
      </c>
      <c r="DE3075" s="58">
        <v>11.0</v>
      </c>
      <c r="DF3075" s="58">
        <v>41.0</v>
      </c>
      <c r="DG3075" s="58" t="s">
        <v>28564</v>
      </c>
      <c r="DH3075" s="58" t="s">
        <v>22525</v>
      </c>
      <c r="DI3075" s="58" t="s">
        <v>22816</v>
      </c>
      <c r="DJ3075" s="58" t="s">
        <v>237</v>
      </c>
      <c r="DK3075" s="58" t="s">
        <v>28565</v>
      </c>
      <c r="DL3075" s="58" t="s">
        <v>28566</v>
      </c>
    </row>
    <row r="3076" ht="15.75" customHeight="1">
      <c r="B3076" s="58" t="s">
        <v>22771</v>
      </c>
      <c r="D3076" s="58" t="s">
        <v>28567</v>
      </c>
      <c r="E3076" s="58" t="s">
        <v>28568</v>
      </c>
      <c r="I3076" s="58" t="s">
        <v>28569</v>
      </c>
      <c r="CL3076" s="58" t="s">
        <v>28570</v>
      </c>
      <c r="CP3076" s="58" t="s">
        <v>28571</v>
      </c>
      <c r="CX3076" s="58" t="s">
        <v>28572</v>
      </c>
      <c r="CY3076" s="58" t="s">
        <v>28573</v>
      </c>
      <c r="CZ3076" s="58">
        <v>2020.0</v>
      </c>
      <c r="DA3076" s="58" t="s">
        <v>28574</v>
      </c>
      <c r="DC3076" s="58">
        <v>73.0</v>
      </c>
      <c r="DD3076" s="58">
        <v>87.0</v>
      </c>
      <c r="DE3076" s="58">
        <v>14.0</v>
      </c>
      <c r="DF3076" s="58">
        <v>39.0</v>
      </c>
      <c r="DG3076" s="58" t="s">
        <v>28575</v>
      </c>
      <c r="DH3076" s="58" t="s">
        <v>22525</v>
      </c>
      <c r="DI3076" s="58" t="s">
        <v>22816</v>
      </c>
      <c r="DJ3076" s="58" t="s">
        <v>237</v>
      </c>
      <c r="DK3076" s="58" t="s">
        <v>28576</v>
      </c>
      <c r="DL3076" s="58" t="s">
        <v>28577</v>
      </c>
    </row>
    <row r="3077" ht="15.75" customHeight="1">
      <c r="B3077" s="58" t="s">
        <v>22515</v>
      </c>
      <c r="D3077" s="58" t="s">
        <v>28578</v>
      </c>
      <c r="E3077" s="58" t="s">
        <v>28579</v>
      </c>
      <c r="I3077" s="58" t="s">
        <v>28580</v>
      </c>
      <c r="R3077" s="58">
        <v>8.0</v>
      </c>
      <c r="CL3077" s="58" t="s">
        <v>28581</v>
      </c>
      <c r="CP3077" s="58" t="s">
        <v>28582</v>
      </c>
      <c r="CX3077" s="58" t="s">
        <v>28583</v>
      </c>
      <c r="CY3077" s="58" t="s">
        <v>28584</v>
      </c>
      <c r="CZ3077" s="58">
        <v>2020.0</v>
      </c>
      <c r="DA3077" s="58" t="s">
        <v>16436</v>
      </c>
      <c r="DB3077" s="58">
        <v>9127954.0</v>
      </c>
      <c r="DC3077" s="58">
        <v>134940.0</v>
      </c>
      <c r="DD3077" s="58">
        <v>134949.0</v>
      </c>
      <c r="DE3077" s="58">
        <v>9.0</v>
      </c>
      <c r="DF3077" s="58">
        <v>5.0</v>
      </c>
      <c r="DG3077" s="58" t="s">
        <v>28585</v>
      </c>
      <c r="DH3077" s="58" t="s">
        <v>22525</v>
      </c>
      <c r="DI3077" s="58" t="s">
        <v>22622</v>
      </c>
      <c r="DJ3077" s="58" t="s">
        <v>237</v>
      </c>
      <c r="DK3077" s="58" t="s">
        <v>28586</v>
      </c>
      <c r="DL3077" s="58" t="s">
        <v>28587</v>
      </c>
    </row>
    <row r="3078" ht="15.75" customHeight="1">
      <c r="B3078" s="58" t="s">
        <v>22515</v>
      </c>
      <c r="D3078" s="58" t="s">
        <v>28588</v>
      </c>
      <c r="E3078" s="58" t="s">
        <v>28589</v>
      </c>
      <c r="I3078" s="58" t="s">
        <v>28590</v>
      </c>
      <c r="Q3078" s="58">
        <v>4.0</v>
      </c>
      <c r="R3078" s="58">
        <v>7.0</v>
      </c>
      <c r="CL3078" s="58" t="s">
        <v>28591</v>
      </c>
      <c r="CP3078" s="58" t="s">
        <v>28592</v>
      </c>
      <c r="CX3078" s="58" t="s">
        <v>28593</v>
      </c>
      <c r="CY3078" s="58" t="s">
        <v>28594</v>
      </c>
      <c r="CZ3078" s="58">
        <v>2020.0</v>
      </c>
      <c r="DA3078" s="58" t="s">
        <v>16538</v>
      </c>
      <c r="DB3078" s="58">
        <v>8988196.0</v>
      </c>
      <c r="DC3078" s="58">
        <v>3509.0</v>
      </c>
      <c r="DD3078" s="58">
        <v>3522.0</v>
      </c>
      <c r="DE3078" s="58">
        <v>13.0</v>
      </c>
      <c r="DF3078" s="58">
        <v>56.0</v>
      </c>
      <c r="DG3078" s="58" t="s">
        <v>28595</v>
      </c>
      <c r="DH3078" s="58" t="s">
        <v>22525</v>
      </c>
      <c r="DJ3078" s="58" t="s">
        <v>237</v>
      </c>
      <c r="DK3078" s="58" t="s">
        <v>28596</v>
      </c>
      <c r="DL3078" s="58" t="s">
        <v>28597</v>
      </c>
    </row>
    <row r="3079" ht="15.75" customHeight="1">
      <c r="B3079" s="58" t="s">
        <v>22771</v>
      </c>
      <c r="D3079" s="58" t="s">
        <v>28598</v>
      </c>
      <c r="E3079" s="58" t="s">
        <v>28599</v>
      </c>
      <c r="I3079" s="58" t="s">
        <v>28600</v>
      </c>
      <c r="CL3079" s="58" t="s">
        <v>28601</v>
      </c>
      <c r="CP3079" s="58" t="s">
        <v>28602</v>
      </c>
      <c r="CX3079" s="58" t="s">
        <v>28603</v>
      </c>
      <c r="CY3079" s="58" t="s">
        <v>28604</v>
      </c>
      <c r="CZ3079" s="58">
        <v>2019.0</v>
      </c>
      <c r="DA3079" s="58" t="s">
        <v>28605</v>
      </c>
      <c r="DC3079" s="58">
        <v>149.0</v>
      </c>
      <c r="DD3079" s="58">
        <v>162.0</v>
      </c>
      <c r="DE3079" s="58">
        <v>13.0</v>
      </c>
      <c r="DF3079" s="58">
        <v>31.0</v>
      </c>
      <c r="DG3079" s="58" t="s">
        <v>28606</v>
      </c>
      <c r="DH3079" s="58" t="s">
        <v>22525</v>
      </c>
      <c r="DJ3079" s="58" t="s">
        <v>237</v>
      </c>
      <c r="DK3079" s="58" t="s">
        <v>28607</v>
      </c>
      <c r="DL3079" s="58" t="s">
        <v>28608</v>
      </c>
    </row>
    <row r="3080" ht="15.75" customHeight="1">
      <c r="B3080" s="58" t="s">
        <v>22515</v>
      </c>
      <c r="D3080" s="58" t="s">
        <v>28609</v>
      </c>
      <c r="E3080" s="58" t="s">
        <v>28610</v>
      </c>
      <c r="I3080" s="58" t="s">
        <v>28611</v>
      </c>
      <c r="R3080" s="58">
        <v>7.0</v>
      </c>
      <c r="CL3080" s="58" t="s">
        <v>28612</v>
      </c>
      <c r="CP3080" s="58" t="s">
        <v>28613</v>
      </c>
      <c r="CX3080" s="58" t="s">
        <v>28614</v>
      </c>
      <c r="CY3080" s="58">
        <v>5.63793953E10</v>
      </c>
      <c r="CZ3080" s="58">
        <v>2019.0</v>
      </c>
      <c r="DA3080" s="58" t="s">
        <v>16436</v>
      </c>
      <c r="DB3080" s="58">
        <v>8653833.0</v>
      </c>
      <c r="DC3080" s="58">
        <v>28258.0</v>
      </c>
      <c r="DD3080" s="58">
        <v>28280.0</v>
      </c>
      <c r="DE3080" s="58">
        <v>22.0</v>
      </c>
      <c r="DF3080" s="58">
        <v>26.0</v>
      </c>
      <c r="DG3080" s="58" t="s">
        <v>28615</v>
      </c>
      <c r="DH3080" s="58" t="s">
        <v>22525</v>
      </c>
      <c r="DI3080" s="58" t="s">
        <v>22643</v>
      </c>
      <c r="DJ3080" s="58" t="s">
        <v>237</v>
      </c>
      <c r="DK3080" s="58" t="s">
        <v>28616</v>
      </c>
      <c r="DL3080" s="58" t="s">
        <v>28617</v>
      </c>
    </row>
    <row r="3081" ht="15.75" customHeight="1">
      <c r="B3081" s="58" t="s">
        <v>22515</v>
      </c>
      <c r="D3081" s="58" t="s">
        <v>28618</v>
      </c>
      <c r="E3081" s="58" t="s">
        <v>28619</v>
      </c>
      <c r="I3081" s="58" t="s">
        <v>28620</v>
      </c>
      <c r="Q3081" s="58">
        <v>4.0</v>
      </c>
      <c r="R3081" s="58">
        <v>29.0</v>
      </c>
      <c r="CL3081" s="58" t="s">
        <v>28621</v>
      </c>
      <c r="CP3081" s="58" t="s">
        <v>28622</v>
      </c>
      <c r="CX3081" s="58" t="s">
        <v>28623</v>
      </c>
      <c r="CY3081" s="58" t="s">
        <v>28624</v>
      </c>
      <c r="CZ3081" s="58">
        <v>2019.0</v>
      </c>
      <c r="DA3081" s="58" t="s">
        <v>28625</v>
      </c>
      <c r="DC3081" s="58">
        <v>631.0</v>
      </c>
      <c r="DD3081" s="58">
        <v>647.0</v>
      </c>
      <c r="DE3081" s="58">
        <v>16.0</v>
      </c>
      <c r="DF3081" s="58">
        <v>49.0</v>
      </c>
      <c r="DG3081" s="58" t="s">
        <v>28626</v>
      </c>
      <c r="DH3081" s="58" t="s">
        <v>22525</v>
      </c>
      <c r="DI3081" s="58" t="s">
        <v>22526</v>
      </c>
      <c r="DJ3081" s="58" t="s">
        <v>237</v>
      </c>
      <c r="DK3081" s="58" t="s">
        <v>28627</v>
      </c>
    </row>
    <row r="3082" ht="15.75" customHeight="1">
      <c r="B3082" s="58" t="s">
        <v>22771</v>
      </c>
      <c r="D3082" s="58" t="s">
        <v>28628</v>
      </c>
      <c r="E3082" s="58" t="s">
        <v>28629</v>
      </c>
      <c r="I3082" s="58" t="s">
        <v>28630</v>
      </c>
      <c r="CL3082" s="58" t="s">
        <v>28631</v>
      </c>
      <c r="CP3082" s="58" t="s">
        <v>28632</v>
      </c>
      <c r="CX3082" s="58" t="s">
        <v>28633</v>
      </c>
      <c r="CY3082" s="58" t="s">
        <v>28634</v>
      </c>
      <c r="CZ3082" s="58">
        <v>2019.0</v>
      </c>
      <c r="DA3082" s="58" t="s">
        <v>28635</v>
      </c>
      <c r="DB3082" s="58">
        <v>8784011.0</v>
      </c>
      <c r="DC3082" s="58">
        <v>167.0</v>
      </c>
      <c r="DD3082" s="58">
        <v>172.0</v>
      </c>
      <c r="DE3082" s="58">
        <v>5.0</v>
      </c>
      <c r="DF3082" s="58">
        <v>22.0</v>
      </c>
      <c r="DG3082" s="58" t="s">
        <v>28636</v>
      </c>
      <c r="DH3082" s="58" t="s">
        <v>22525</v>
      </c>
      <c r="DI3082" s="58" t="s">
        <v>22816</v>
      </c>
      <c r="DJ3082" s="58" t="s">
        <v>237</v>
      </c>
      <c r="DK3082" s="58" t="s">
        <v>28637</v>
      </c>
      <c r="DL3082" s="58" t="s">
        <v>28638</v>
      </c>
    </row>
    <row r="3083" ht="15.75" customHeight="1">
      <c r="B3083" s="58" t="s">
        <v>22515</v>
      </c>
      <c r="D3083" s="58" t="s">
        <v>28639</v>
      </c>
      <c r="E3083" s="58" t="s">
        <v>28640</v>
      </c>
      <c r="I3083" s="58" t="s">
        <v>28641</v>
      </c>
      <c r="Q3083" s="58">
        <v>5.0</v>
      </c>
      <c r="R3083" s="58">
        <v>8.0</v>
      </c>
      <c r="CL3083" s="58" t="s">
        <v>28642</v>
      </c>
      <c r="CX3083" s="58" t="s">
        <v>28643</v>
      </c>
      <c r="CY3083" s="58" t="s">
        <v>28644</v>
      </c>
      <c r="CZ3083" s="58">
        <v>2018.0</v>
      </c>
      <c r="DA3083" s="58" t="s">
        <v>28645</v>
      </c>
      <c r="DC3083" s="58">
        <v>237.0</v>
      </c>
      <c r="DD3083" s="58">
        <v>245.0</v>
      </c>
      <c r="DE3083" s="58">
        <v>8.0</v>
      </c>
      <c r="DF3083" s="58">
        <v>14.0</v>
      </c>
      <c r="DG3083" s="58" t="s">
        <v>28646</v>
      </c>
      <c r="DH3083" s="58" t="s">
        <v>22525</v>
      </c>
      <c r="DI3083" s="58" t="s">
        <v>22656</v>
      </c>
      <c r="DJ3083" s="58" t="s">
        <v>237</v>
      </c>
      <c r="DK3083" s="58" t="s">
        <v>28647</v>
      </c>
      <c r="DL3083" s="58" t="s">
        <v>28648</v>
      </c>
    </row>
    <row r="3084" ht="15.75" customHeight="1">
      <c r="B3084" s="58" t="s">
        <v>22515</v>
      </c>
      <c r="D3084" s="58" t="s">
        <v>28649</v>
      </c>
      <c r="E3084" s="58" t="s">
        <v>28650</v>
      </c>
      <c r="I3084" s="58" t="s">
        <v>28651</v>
      </c>
      <c r="Q3084" s="58">
        <v>11.0</v>
      </c>
      <c r="R3084" s="58">
        <v>49.0</v>
      </c>
      <c r="CL3084" s="58" t="s">
        <v>28652</v>
      </c>
      <c r="CP3084" s="58" t="s">
        <v>28653</v>
      </c>
      <c r="CX3084" s="58" t="s">
        <v>28654</v>
      </c>
      <c r="CY3084" s="58" t="s">
        <v>28655</v>
      </c>
      <c r="CZ3084" s="58">
        <v>2019.0</v>
      </c>
      <c r="DA3084" s="58" t="s">
        <v>23462</v>
      </c>
      <c r="DC3084" s="58">
        <v>1663.0</v>
      </c>
      <c r="DD3084" s="58">
        <v>1685.0</v>
      </c>
      <c r="DE3084" s="58">
        <v>22.0</v>
      </c>
      <c r="DF3084" s="58">
        <v>16.0</v>
      </c>
      <c r="DG3084" s="58" t="s">
        <v>28656</v>
      </c>
      <c r="DH3084" s="58" t="s">
        <v>22525</v>
      </c>
      <c r="DJ3084" s="58" t="s">
        <v>237</v>
      </c>
      <c r="DK3084" s="58" t="s">
        <v>28657</v>
      </c>
      <c r="DL3084" s="58" t="s">
        <v>28658</v>
      </c>
    </row>
    <row r="3085" ht="15.75" customHeight="1">
      <c r="B3085" s="58" t="s">
        <v>22515</v>
      </c>
      <c r="D3085" s="58" t="s">
        <v>28659</v>
      </c>
      <c r="E3085" s="58" t="s">
        <v>28660</v>
      </c>
      <c r="I3085" s="58" t="s">
        <v>28661</v>
      </c>
      <c r="R3085" s="58">
        <v>7.0</v>
      </c>
      <c r="CL3085" s="58" t="s">
        <v>28662</v>
      </c>
      <c r="CP3085" s="58" t="s">
        <v>28663</v>
      </c>
      <c r="CX3085" s="58" t="s">
        <v>28664</v>
      </c>
      <c r="CY3085" s="58" t="s">
        <v>28665</v>
      </c>
      <c r="CZ3085" s="58">
        <v>2019.0</v>
      </c>
      <c r="DA3085" s="58" t="s">
        <v>16436</v>
      </c>
      <c r="DB3085" s="58">
        <v>8673752.0</v>
      </c>
      <c r="DC3085" s="58">
        <v>39731.0</v>
      </c>
      <c r="DD3085" s="58">
        <v>39741.0</v>
      </c>
      <c r="DE3085" s="58">
        <v>10.0</v>
      </c>
      <c r="DF3085" s="58">
        <v>13.0</v>
      </c>
      <c r="DG3085" s="58" t="s">
        <v>28666</v>
      </c>
      <c r="DH3085" s="58" t="s">
        <v>22525</v>
      </c>
      <c r="DI3085" s="58" t="s">
        <v>22622</v>
      </c>
      <c r="DJ3085" s="58" t="s">
        <v>237</v>
      </c>
      <c r="DK3085" s="58" t="s">
        <v>28667</v>
      </c>
      <c r="DL3085" s="58" t="s">
        <v>28668</v>
      </c>
    </row>
    <row r="3086" ht="15.75" customHeight="1">
      <c r="B3086" s="58" t="s">
        <v>22771</v>
      </c>
      <c r="D3086" s="58" t="s">
        <v>28669</v>
      </c>
      <c r="E3086" s="58" t="s">
        <v>28670</v>
      </c>
      <c r="I3086" s="58" t="s">
        <v>28671</v>
      </c>
      <c r="R3086" s="58" t="s">
        <v>28672</v>
      </c>
      <c r="CL3086" s="58" t="s">
        <v>28673</v>
      </c>
      <c r="CP3086" s="58" t="s">
        <v>28674</v>
      </c>
      <c r="CX3086" s="58" t="s">
        <v>28675</v>
      </c>
      <c r="CY3086" s="58" t="s">
        <v>28676</v>
      </c>
      <c r="CZ3086" s="58">
        <v>2019.0</v>
      </c>
      <c r="DA3086" s="58" t="s">
        <v>25953</v>
      </c>
      <c r="DB3086" s="58">
        <v>8814535.0</v>
      </c>
      <c r="DC3086" s="58">
        <v>199.0</v>
      </c>
      <c r="DD3086" s="58">
        <v>208.0</v>
      </c>
      <c r="DE3086" s="58">
        <v>9.0</v>
      </c>
      <c r="DF3086" s="58">
        <v>60.0</v>
      </c>
      <c r="DG3086" s="58" t="s">
        <v>28677</v>
      </c>
      <c r="DH3086" s="58" t="s">
        <v>22525</v>
      </c>
      <c r="DJ3086" s="58" t="s">
        <v>237</v>
      </c>
      <c r="DK3086" s="58" t="s">
        <v>28678</v>
      </c>
      <c r="DL3086" s="58" t="s">
        <v>28679</v>
      </c>
    </row>
    <row r="3087" ht="15.75" customHeight="1">
      <c r="B3087" s="58" t="s">
        <v>22771</v>
      </c>
      <c r="D3087" s="58" t="s">
        <v>28680</v>
      </c>
      <c r="E3087" s="58" t="s">
        <v>28681</v>
      </c>
      <c r="I3087" s="58" t="s">
        <v>28682</v>
      </c>
      <c r="CL3087" s="58" t="s">
        <v>28683</v>
      </c>
      <c r="CP3087" s="58" t="s">
        <v>28684</v>
      </c>
      <c r="CX3087" s="58" t="s">
        <v>28685</v>
      </c>
      <c r="CY3087" s="58" t="s">
        <v>28686</v>
      </c>
      <c r="CZ3087" s="58">
        <v>2018.0</v>
      </c>
      <c r="DA3087" s="58" t="s">
        <v>23792</v>
      </c>
      <c r="DC3087" s="58">
        <v>23.0</v>
      </c>
      <c r="DD3087" s="58">
        <v>32.0</v>
      </c>
      <c r="DE3087" s="58">
        <v>9.0</v>
      </c>
      <c r="DF3087" s="58">
        <v>20.0</v>
      </c>
      <c r="DG3087" s="58" t="s">
        <v>28687</v>
      </c>
      <c r="DH3087" s="58" t="s">
        <v>22525</v>
      </c>
      <c r="DJ3087" s="58" t="s">
        <v>237</v>
      </c>
      <c r="DK3087" s="58" t="s">
        <v>28688</v>
      </c>
      <c r="DL3087" s="58" t="s">
        <v>28689</v>
      </c>
    </row>
    <row r="3088" ht="15.75" customHeight="1">
      <c r="B3088" s="58" t="s">
        <v>22515</v>
      </c>
      <c r="D3088" s="58" t="s">
        <v>28690</v>
      </c>
      <c r="E3088" s="58" t="s">
        <v>28691</v>
      </c>
      <c r="I3088" s="58" t="s">
        <v>28692</v>
      </c>
      <c r="R3088" s="58">
        <v>2018.0</v>
      </c>
      <c r="CL3088" s="58" t="s">
        <v>28693</v>
      </c>
      <c r="CX3088" s="58" t="s">
        <v>28694</v>
      </c>
      <c r="CY3088" s="58" t="s">
        <v>28695</v>
      </c>
      <c r="CZ3088" s="58">
        <v>2018.0</v>
      </c>
      <c r="DA3088" s="58" t="s">
        <v>28696</v>
      </c>
      <c r="DB3088" s="58">
        <v>8281079.0</v>
      </c>
      <c r="DF3088" s="58">
        <v>15.0</v>
      </c>
      <c r="DG3088" s="58" t="s">
        <v>28697</v>
      </c>
      <c r="DH3088" s="58" t="s">
        <v>22525</v>
      </c>
      <c r="DI3088" s="58" t="s">
        <v>22622</v>
      </c>
      <c r="DJ3088" s="58" t="s">
        <v>237</v>
      </c>
      <c r="DK3088" s="58" t="s">
        <v>28698</v>
      </c>
      <c r="DL3088" s="58" t="s">
        <v>28699</v>
      </c>
    </row>
    <row r="3089" ht="15.75" customHeight="1">
      <c r="B3089" s="58" t="s">
        <v>22515</v>
      </c>
      <c r="D3089" s="58" t="s">
        <v>28700</v>
      </c>
      <c r="E3089" s="58" t="s">
        <v>28701</v>
      </c>
      <c r="I3089" s="58" t="s">
        <v>28702</v>
      </c>
      <c r="R3089" s="58">
        <v>6.0</v>
      </c>
      <c r="CL3089" s="58" t="s">
        <v>28703</v>
      </c>
      <c r="CP3089" s="58" t="s">
        <v>28704</v>
      </c>
      <c r="CX3089" s="58" t="s">
        <v>28705</v>
      </c>
      <c r="CY3089" s="58" t="s">
        <v>28706</v>
      </c>
      <c r="CZ3089" s="58">
        <v>2018.0</v>
      </c>
      <c r="DA3089" s="58" t="s">
        <v>16436</v>
      </c>
      <c r="DB3089" s="58">
        <v>8543679.0</v>
      </c>
      <c r="DC3089" s="58">
        <v>74120.0</v>
      </c>
      <c r="DD3089" s="58">
        <v>74150.0</v>
      </c>
      <c r="DE3089" s="58">
        <v>30.0</v>
      </c>
      <c r="DF3089" s="58">
        <v>40.0</v>
      </c>
      <c r="DG3089" s="58" t="s">
        <v>28707</v>
      </c>
      <c r="DH3089" s="58" t="s">
        <v>22525</v>
      </c>
      <c r="DI3089" s="58" t="s">
        <v>22622</v>
      </c>
      <c r="DJ3089" s="58" t="s">
        <v>237</v>
      </c>
      <c r="DK3089" s="58" t="s">
        <v>28708</v>
      </c>
      <c r="DL3089" s="58" t="s">
        <v>28709</v>
      </c>
    </row>
    <row r="3090" ht="15.75" customHeight="1">
      <c r="B3090" s="58" t="s">
        <v>22771</v>
      </c>
      <c r="D3090" s="58" t="s">
        <v>28710</v>
      </c>
      <c r="E3090" s="58" t="s">
        <v>28711</v>
      </c>
      <c r="I3090" s="58" t="s">
        <v>28712</v>
      </c>
      <c r="CL3090" s="58" t="s">
        <v>28713</v>
      </c>
      <c r="CP3090" s="58" t="s">
        <v>28714</v>
      </c>
      <c r="CX3090" s="58" t="s">
        <v>28715</v>
      </c>
      <c r="CY3090" s="58" t="s">
        <v>28716</v>
      </c>
      <c r="CZ3090" s="58">
        <v>2019.0</v>
      </c>
      <c r="DA3090" s="58" t="s">
        <v>28717</v>
      </c>
      <c r="DB3090" s="58">
        <v>8939237.0</v>
      </c>
      <c r="DC3090" s="58">
        <v>79.0</v>
      </c>
      <c r="DD3090" s="58">
        <v>86.0</v>
      </c>
      <c r="DE3090" s="58">
        <v>7.0</v>
      </c>
      <c r="DF3090" s="58">
        <v>5.0</v>
      </c>
      <c r="DG3090" s="58" t="s">
        <v>28718</v>
      </c>
      <c r="DH3090" s="58" t="s">
        <v>22525</v>
      </c>
      <c r="DI3090" s="58" t="s">
        <v>22816</v>
      </c>
      <c r="DJ3090" s="58" t="s">
        <v>237</v>
      </c>
      <c r="DK3090" s="58" t="s">
        <v>28719</v>
      </c>
      <c r="DL3090" s="58" t="s">
        <v>28720</v>
      </c>
    </row>
    <row r="3091" ht="15.75" customHeight="1">
      <c r="B3091" s="58" t="s">
        <v>22515</v>
      </c>
      <c r="D3091" s="58" t="s">
        <v>28721</v>
      </c>
      <c r="E3091" s="58" t="s">
        <v>28722</v>
      </c>
      <c r="I3091" s="58" t="s">
        <v>28723</v>
      </c>
      <c r="R3091" s="58">
        <v>128.0</v>
      </c>
      <c r="CL3091" s="58" t="s">
        <v>28724</v>
      </c>
      <c r="CP3091" s="58" t="s">
        <v>28725</v>
      </c>
      <c r="CX3091" s="58" t="s">
        <v>28726</v>
      </c>
      <c r="CY3091" s="58" t="s">
        <v>28727</v>
      </c>
      <c r="CZ3091" s="58">
        <v>2019.0</v>
      </c>
      <c r="DA3091" s="58" t="s">
        <v>22791</v>
      </c>
      <c r="DC3091" s="58">
        <v>124.0</v>
      </c>
      <c r="DD3091" s="58">
        <v>139.0</v>
      </c>
      <c r="DE3091" s="58">
        <v>15.0</v>
      </c>
      <c r="DF3091" s="58">
        <v>9.0</v>
      </c>
      <c r="DG3091" s="58" t="s">
        <v>28728</v>
      </c>
      <c r="DH3091" s="58" t="s">
        <v>22525</v>
      </c>
      <c r="DI3091" s="58" t="s">
        <v>22816</v>
      </c>
      <c r="DJ3091" s="58" t="s">
        <v>237</v>
      </c>
      <c r="DK3091" s="58" t="s">
        <v>28729</v>
      </c>
      <c r="DL3091" s="58" t="s">
        <v>28730</v>
      </c>
    </row>
    <row r="3092" ht="15.75" customHeight="1">
      <c r="B3092" s="58" t="s">
        <v>22515</v>
      </c>
      <c r="D3092" s="58" t="s">
        <v>28731</v>
      </c>
      <c r="E3092" s="58" t="s">
        <v>28732</v>
      </c>
      <c r="I3092" s="58" t="s">
        <v>28733</v>
      </c>
      <c r="Q3092" s="58">
        <v>3.0</v>
      </c>
      <c r="R3092" s="58">
        <v>12.0</v>
      </c>
      <c r="CL3092" s="58" t="s">
        <v>28734</v>
      </c>
      <c r="CP3092" s="58" t="s">
        <v>28735</v>
      </c>
      <c r="CX3092" s="58" t="s">
        <v>28736</v>
      </c>
      <c r="CY3092" s="58" t="s">
        <v>28737</v>
      </c>
      <c r="CZ3092" s="58">
        <v>2019.0</v>
      </c>
      <c r="DA3092" s="58" t="s">
        <v>25244</v>
      </c>
      <c r="DB3092" s="58">
        <v>360.0</v>
      </c>
      <c r="DF3092" s="58">
        <v>6.0</v>
      </c>
      <c r="DG3092" s="58" t="s">
        <v>28738</v>
      </c>
      <c r="DH3092" s="58" t="s">
        <v>22525</v>
      </c>
      <c r="DI3092" s="58" t="s">
        <v>22622</v>
      </c>
      <c r="DJ3092" s="58" t="s">
        <v>237</v>
      </c>
      <c r="DK3092" s="58" t="s">
        <v>28739</v>
      </c>
      <c r="DL3092" s="58" t="s">
        <v>28740</v>
      </c>
    </row>
    <row r="3093" ht="15.75" customHeight="1">
      <c r="B3093" s="58" t="s">
        <v>22771</v>
      </c>
      <c r="D3093" s="58" t="s">
        <v>28741</v>
      </c>
      <c r="E3093" s="58" t="s">
        <v>28742</v>
      </c>
      <c r="I3093" s="58" t="s">
        <v>28743</v>
      </c>
      <c r="CL3093" s="58" t="s">
        <v>28744</v>
      </c>
      <c r="CP3093" s="58" t="s">
        <v>28745</v>
      </c>
      <c r="CX3093" s="58" t="s">
        <v>28746</v>
      </c>
      <c r="CY3093" s="58" t="s">
        <v>28747</v>
      </c>
      <c r="CZ3093" s="58">
        <v>2017.0</v>
      </c>
      <c r="DA3093" s="58" t="s">
        <v>28748</v>
      </c>
      <c r="DB3093" s="58">
        <v>8025927.0</v>
      </c>
      <c r="DF3093" s="58">
        <v>12.0</v>
      </c>
      <c r="DG3093" s="58" t="s">
        <v>28749</v>
      </c>
      <c r="DH3093" s="58" t="s">
        <v>22525</v>
      </c>
      <c r="DJ3093" s="58" t="s">
        <v>237</v>
      </c>
      <c r="DK3093" s="58" t="s">
        <v>28750</v>
      </c>
      <c r="DL3093" s="58" t="s">
        <v>28751</v>
      </c>
    </row>
    <row r="3094" ht="15.75" customHeight="1">
      <c r="B3094" s="58" t="s">
        <v>22771</v>
      </c>
      <c r="D3094" s="58" t="s">
        <v>28752</v>
      </c>
      <c r="E3094" s="58" t="s">
        <v>28753</v>
      </c>
      <c r="I3094" s="58" t="s">
        <v>28754</v>
      </c>
      <c r="CL3094" s="58" t="s">
        <v>28755</v>
      </c>
      <c r="CP3094" s="58" t="s">
        <v>28756</v>
      </c>
      <c r="CX3094" s="58" t="s">
        <v>28757</v>
      </c>
      <c r="CY3094" s="58" t="s">
        <v>28758</v>
      </c>
      <c r="CZ3094" s="58">
        <v>2018.0</v>
      </c>
      <c r="DA3094" s="58" t="s">
        <v>28759</v>
      </c>
      <c r="DC3094" s="58">
        <v>1087.0</v>
      </c>
      <c r="DD3094" s="58">
        <v>1094.0</v>
      </c>
      <c r="DE3094" s="58">
        <v>7.0</v>
      </c>
      <c r="DF3094" s="58">
        <v>5.0</v>
      </c>
      <c r="DG3094" s="58" t="s">
        <v>28760</v>
      </c>
      <c r="DH3094" s="58" t="s">
        <v>22525</v>
      </c>
      <c r="DJ3094" s="58" t="s">
        <v>237</v>
      </c>
      <c r="DK3094" s="58" t="s">
        <v>28761</v>
      </c>
      <c r="DL3094" s="58" t="s">
        <v>28762</v>
      </c>
    </row>
    <row r="3095" ht="15.75" customHeight="1">
      <c r="B3095" s="58" t="s">
        <v>22771</v>
      </c>
      <c r="D3095" s="58" t="s">
        <v>28763</v>
      </c>
      <c r="E3095" s="58" t="s">
        <v>28764</v>
      </c>
      <c r="I3095" s="58" t="s">
        <v>28765</v>
      </c>
      <c r="CL3095" s="58" t="s">
        <v>28766</v>
      </c>
      <c r="CP3095" s="58" t="s">
        <v>28767</v>
      </c>
      <c r="CX3095" s="58" t="s">
        <v>28768</v>
      </c>
      <c r="CY3095" s="58" t="s">
        <v>28769</v>
      </c>
      <c r="CZ3095" s="58">
        <v>2019.0</v>
      </c>
      <c r="DA3095" s="58" t="s">
        <v>28770</v>
      </c>
      <c r="DC3095" s="58">
        <v>69.0</v>
      </c>
      <c r="DD3095" s="58">
        <v>83.0</v>
      </c>
      <c r="DE3095" s="58">
        <v>14.0</v>
      </c>
      <c r="DF3095" s="58">
        <v>17.0</v>
      </c>
      <c r="DG3095" s="58" t="s">
        <v>28771</v>
      </c>
      <c r="DH3095" s="58" t="s">
        <v>22525</v>
      </c>
      <c r="DI3095" s="58" t="s">
        <v>22656</v>
      </c>
      <c r="DJ3095" s="58" t="s">
        <v>237</v>
      </c>
      <c r="DK3095" s="58" t="s">
        <v>28772</v>
      </c>
      <c r="DL3095" s="58" t="s">
        <v>28773</v>
      </c>
    </row>
    <row r="3096" ht="15.75" customHeight="1">
      <c r="B3096" s="58" t="s">
        <v>22515</v>
      </c>
      <c r="D3096" s="58" t="s">
        <v>28774</v>
      </c>
      <c r="E3096" s="58" t="s">
        <v>28775</v>
      </c>
      <c r="I3096" s="58" t="s">
        <v>28776</v>
      </c>
      <c r="Q3096" s="58">
        <v>20.0</v>
      </c>
      <c r="R3096" s="58">
        <v>19.0</v>
      </c>
      <c r="CL3096" s="58" t="s">
        <v>28777</v>
      </c>
      <c r="CP3096" s="58" t="s">
        <v>28778</v>
      </c>
      <c r="CX3096" s="58" t="s">
        <v>28779</v>
      </c>
      <c r="CY3096" s="58" t="s">
        <v>28780</v>
      </c>
      <c r="CZ3096" s="58">
        <v>2019.0</v>
      </c>
      <c r="DA3096" s="58" t="s">
        <v>27816</v>
      </c>
      <c r="DB3096" s="58">
        <v>4375.0</v>
      </c>
      <c r="DF3096" s="58">
        <v>75.0</v>
      </c>
      <c r="DG3096" s="58" t="s">
        <v>28781</v>
      </c>
      <c r="DH3096" s="58" t="s">
        <v>22525</v>
      </c>
      <c r="DI3096" s="58" t="s">
        <v>22643</v>
      </c>
      <c r="DJ3096" s="58" t="s">
        <v>237</v>
      </c>
      <c r="DK3096" s="58" t="s">
        <v>28782</v>
      </c>
      <c r="DL3096" s="58" t="s">
        <v>28783</v>
      </c>
    </row>
    <row r="3097" ht="15.75" customHeight="1">
      <c r="B3097" s="58" t="s">
        <v>22771</v>
      </c>
      <c r="D3097" s="58" t="s">
        <v>28784</v>
      </c>
      <c r="E3097" s="58" t="s">
        <v>28785</v>
      </c>
      <c r="I3097" s="58" t="s">
        <v>28786</v>
      </c>
      <c r="R3097" s="58">
        <v>532.0</v>
      </c>
      <c r="CL3097" s="58" t="s">
        <v>28787</v>
      </c>
      <c r="CP3097" s="58" t="s">
        <v>28788</v>
      </c>
      <c r="CX3097" s="58" t="s">
        <v>28789</v>
      </c>
      <c r="CY3097" s="58" t="s">
        <v>28790</v>
      </c>
      <c r="CZ3097" s="58">
        <v>2019.0</v>
      </c>
      <c r="DA3097" s="58" t="s">
        <v>28791</v>
      </c>
      <c r="DC3097" s="58">
        <v>263.0</v>
      </c>
      <c r="DD3097" s="58">
        <v>276.0</v>
      </c>
      <c r="DE3097" s="58">
        <v>13.0</v>
      </c>
      <c r="DF3097" s="58">
        <v>3.0</v>
      </c>
      <c r="DG3097" s="58" t="s">
        <v>28792</v>
      </c>
      <c r="DH3097" s="58" t="s">
        <v>22525</v>
      </c>
      <c r="DJ3097" s="58" t="s">
        <v>237</v>
      </c>
      <c r="DK3097" s="58" t="s">
        <v>28793</v>
      </c>
      <c r="DL3097" s="58" t="s">
        <v>28794</v>
      </c>
    </row>
    <row r="3098" ht="15.75" customHeight="1">
      <c r="B3098" s="58" t="s">
        <v>22515</v>
      </c>
      <c r="D3098" s="58" t="s">
        <v>28795</v>
      </c>
      <c r="E3098" s="58" t="s">
        <v>28796</v>
      </c>
      <c r="I3098" s="58" t="s">
        <v>28797</v>
      </c>
      <c r="R3098" s="58">
        <v>8.0</v>
      </c>
      <c r="CL3098" s="58" t="s">
        <v>28798</v>
      </c>
      <c r="CP3098" s="58" t="s">
        <v>28799</v>
      </c>
      <c r="CX3098" s="58" t="s">
        <v>28800</v>
      </c>
      <c r="CY3098" s="58" t="s">
        <v>28801</v>
      </c>
      <c r="CZ3098" s="58">
        <v>2020.0</v>
      </c>
      <c r="DA3098" s="58" t="s">
        <v>16436</v>
      </c>
      <c r="DB3098" s="58">
        <v>9272959.0</v>
      </c>
      <c r="DC3098" s="58">
        <v>215550.0</v>
      </c>
      <c r="DD3098" s="58">
        <v>215569.0</v>
      </c>
      <c r="DE3098" s="58">
        <v>19.0</v>
      </c>
      <c r="DF3098" s="58">
        <v>27.0</v>
      </c>
      <c r="DG3098" s="58" t="s">
        <v>28802</v>
      </c>
      <c r="DH3098" s="58" t="s">
        <v>22525</v>
      </c>
      <c r="DI3098" s="58" t="s">
        <v>22643</v>
      </c>
      <c r="DJ3098" s="58" t="s">
        <v>237</v>
      </c>
      <c r="DK3098" s="58" t="s">
        <v>28803</v>
      </c>
      <c r="DL3098" s="58" t="s">
        <v>28804</v>
      </c>
    </row>
    <row r="3099" ht="15.75" customHeight="1">
      <c r="B3099" s="58" t="s">
        <v>22771</v>
      </c>
      <c r="D3099" s="58" t="s">
        <v>28805</v>
      </c>
      <c r="E3099" s="58" t="s">
        <v>28806</v>
      </c>
      <c r="I3099" s="58" t="s">
        <v>28807</v>
      </c>
      <c r="R3099" s="58">
        <v>1.0</v>
      </c>
      <c r="CL3099" s="58" t="s">
        <v>28808</v>
      </c>
      <c r="CP3099" s="58" t="s">
        <v>28809</v>
      </c>
      <c r="CX3099" s="58" t="s">
        <v>28810</v>
      </c>
      <c r="CY3099" s="58" t="s">
        <v>28811</v>
      </c>
      <c r="CZ3099" s="58">
        <v>2019.0</v>
      </c>
      <c r="DA3099" s="58" t="s">
        <v>28812</v>
      </c>
      <c r="DB3099" s="58">
        <v>8754080.0</v>
      </c>
      <c r="DC3099" s="58">
        <v>513.0</v>
      </c>
      <c r="DD3099" s="58">
        <v>522.0</v>
      </c>
      <c r="DE3099" s="58">
        <v>9.0</v>
      </c>
      <c r="DF3099" s="58">
        <v>7.0</v>
      </c>
      <c r="DG3099" s="58" t="s">
        <v>28813</v>
      </c>
      <c r="DH3099" s="58" t="s">
        <v>22525</v>
      </c>
      <c r="DJ3099" s="58" t="s">
        <v>237</v>
      </c>
      <c r="DK3099" s="58" t="s">
        <v>28814</v>
      </c>
      <c r="DL3099" s="58" t="s">
        <v>28815</v>
      </c>
    </row>
    <row r="3100" ht="15.75" customHeight="1">
      <c r="B3100" s="58" t="s">
        <v>22515</v>
      </c>
      <c r="D3100" s="58" t="s">
        <v>28816</v>
      </c>
      <c r="E3100" s="58" t="s">
        <v>28817</v>
      </c>
      <c r="I3100" s="58" t="s">
        <v>28818</v>
      </c>
      <c r="R3100" s="58">
        <v>7.0</v>
      </c>
      <c r="CL3100" s="58" t="s">
        <v>28819</v>
      </c>
      <c r="CP3100" s="58" t="s">
        <v>28820</v>
      </c>
      <c r="CX3100" s="58" t="s">
        <v>28821</v>
      </c>
      <c r="CY3100" s="58" t="s">
        <v>28822</v>
      </c>
      <c r="CZ3100" s="58">
        <v>2019.0</v>
      </c>
      <c r="DA3100" s="58" t="s">
        <v>16436</v>
      </c>
      <c r="DB3100" s="58">
        <v>8936407.0</v>
      </c>
      <c r="DC3100" s="58">
        <v>183177.0</v>
      </c>
      <c r="DD3100" s="58">
        <v>183194.0</v>
      </c>
      <c r="DE3100" s="58">
        <v>17.0</v>
      </c>
      <c r="DF3100" s="58">
        <v>31.0</v>
      </c>
      <c r="DG3100" s="58" t="s">
        <v>28823</v>
      </c>
      <c r="DH3100" s="58" t="s">
        <v>22525</v>
      </c>
      <c r="DI3100" s="58" t="s">
        <v>22643</v>
      </c>
      <c r="DJ3100" s="58" t="s">
        <v>237</v>
      </c>
      <c r="DK3100" s="58" t="s">
        <v>28824</v>
      </c>
      <c r="DL3100" s="58" t="s">
        <v>28825</v>
      </c>
    </row>
    <row r="3101" ht="15.75" customHeight="1">
      <c r="B3101" s="58" t="s">
        <v>22771</v>
      </c>
      <c r="D3101" s="58" t="s">
        <v>28826</v>
      </c>
      <c r="E3101" s="58" t="s">
        <v>28827</v>
      </c>
      <c r="I3101" s="58" t="s">
        <v>28828</v>
      </c>
      <c r="CL3101" s="58" t="s">
        <v>28829</v>
      </c>
      <c r="CP3101" s="58" t="s">
        <v>28830</v>
      </c>
      <c r="CX3101" s="58" t="s">
        <v>28831</v>
      </c>
      <c r="CY3101" s="58" t="s">
        <v>28832</v>
      </c>
      <c r="CZ3101" s="58">
        <v>2020.0</v>
      </c>
      <c r="DA3101" s="58" t="s">
        <v>28833</v>
      </c>
      <c r="DB3101" s="58">
        <v>9065583.0</v>
      </c>
      <c r="DC3101" s="58">
        <v>193.0</v>
      </c>
      <c r="DD3101" s="58">
        <v>206.0</v>
      </c>
      <c r="DE3101" s="58">
        <v>13.0</v>
      </c>
      <c r="DF3101" s="58">
        <v>129.0</v>
      </c>
      <c r="DG3101" s="58" t="s">
        <v>28834</v>
      </c>
      <c r="DH3101" s="58" t="s">
        <v>22525</v>
      </c>
      <c r="DJ3101" s="58" t="s">
        <v>237</v>
      </c>
      <c r="DK3101" s="58" t="s">
        <v>28835</v>
      </c>
      <c r="DL3101" s="58" t="s">
        <v>28836</v>
      </c>
    </row>
    <row r="3102" ht="15.75" customHeight="1">
      <c r="B3102" s="58" t="s">
        <v>22515</v>
      </c>
      <c r="D3102" s="58" t="s">
        <v>28837</v>
      </c>
      <c r="E3102" s="58" t="s">
        <v>28838</v>
      </c>
      <c r="I3102" s="58" t="s">
        <v>28839</v>
      </c>
      <c r="R3102" s="58">
        <v>126.0</v>
      </c>
      <c r="CL3102" s="58" t="s">
        <v>28840</v>
      </c>
      <c r="CP3102" s="58" t="s">
        <v>28841</v>
      </c>
      <c r="CX3102" s="58" t="s">
        <v>28842</v>
      </c>
      <c r="CY3102" s="58" t="s">
        <v>28843</v>
      </c>
      <c r="CZ3102" s="58">
        <v>2017.0</v>
      </c>
      <c r="DA3102" s="58" t="s">
        <v>22826</v>
      </c>
      <c r="DC3102" s="58">
        <v>1.0</v>
      </c>
      <c r="DD3102" s="58">
        <v>16.0</v>
      </c>
      <c r="DE3102" s="58">
        <v>15.0</v>
      </c>
      <c r="DF3102" s="58">
        <v>203.0</v>
      </c>
      <c r="DG3102" s="58" t="s">
        <v>28844</v>
      </c>
      <c r="DH3102" s="58" t="s">
        <v>22525</v>
      </c>
      <c r="DJ3102" s="58" t="s">
        <v>237</v>
      </c>
      <c r="DK3102" s="58" t="s">
        <v>28845</v>
      </c>
      <c r="DL3102" s="58" t="s">
        <v>28846</v>
      </c>
    </row>
    <row r="3103" ht="15.75" customHeight="1">
      <c r="B3103" s="58" t="s">
        <v>22771</v>
      </c>
      <c r="D3103" s="58" t="s">
        <v>28847</v>
      </c>
      <c r="E3103" s="58" t="s">
        <v>28848</v>
      </c>
      <c r="I3103" s="58" t="s">
        <v>28849</v>
      </c>
      <c r="CL3103" s="58" t="s">
        <v>28850</v>
      </c>
      <c r="CP3103" s="58" t="s">
        <v>28851</v>
      </c>
      <c r="CX3103" s="58" t="s">
        <v>28852</v>
      </c>
      <c r="CY3103" s="58" t="s">
        <v>28853</v>
      </c>
      <c r="CZ3103" s="58">
        <v>2017.0</v>
      </c>
      <c r="DA3103" s="58" t="s">
        <v>28854</v>
      </c>
      <c r="DB3103" s="58">
        <v>7856721.0</v>
      </c>
      <c r="DC3103" s="58">
        <v>318.0</v>
      </c>
      <c r="DD3103" s="58">
        <v>325.0</v>
      </c>
      <c r="DE3103" s="58">
        <v>7.0</v>
      </c>
      <c r="DF3103" s="58">
        <v>78.0</v>
      </c>
      <c r="DG3103" s="58" t="s">
        <v>28855</v>
      </c>
      <c r="DH3103" s="58" t="s">
        <v>22525</v>
      </c>
      <c r="DJ3103" s="58" t="s">
        <v>237</v>
      </c>
      <c r="DK3103" s="58" t="s">
        <v>28856</v>
      </c>
      <c r="DL3103" s="58" t="s">
        <v>28857</v>
      </c>
    </row>
    <row r="3104" ht="15.75" customHeight="1">
      <c r="B3104" s="58" t="s">
        <v>22771</v>
      </c>
      <c r="D3104" s="58" t="s">
        <v>28858</v>
      </c>
      <c r="E3104" s="58" t="s">
        <v>28859</v>
      </c>
      <c r="I3104" s="58" t="s">
        <v>28860</v>
      </c>
      <c r="CL3104" s="58" t="s">
        <v>28861</v>
      </c>
      <c r="CX3104" s="58" t="s">
        <v>28862</v>
      </c>
      <c r="CY3104" s="58" t="s">
        <v>28863</v>
      </c>
      <c r="CZ3104" s="58">
        <v>2017.0</v>
      </c>
      <c r="DA3104" s="58" t="s">
        <v>28864</v>
      </c>
      <c r="DB3104" s="58">
        <v>7892195.0</v>
      </c>
      <c r="DC3104" s="58">
        <v>151.0</v>
      </c>
      <c r="DD3104" s="58">
        <v>158.0</v>
      </c>
      <c r="DE3104" s="58">
        <v>7.0</v>
      </c>
      <c r="DF3104" s="58">
        <v>11.0</v>
      </c>
      <c r="DG3104" s="58" t="s">
        <v>28865</v>
      </c>
      <c r="DH3104" s="58" t="s">
        <v>22525</v>
      </c>
      <c r="DJ3104" s="58" t="s">
        <v>237</v>
      </c>
      <c r="DK3104" s="58" t="s">
        <v>28866</v>
      </c>
      <c r="DL3104" s="58" t="s">
        <v>28867</v>
      </c>
    </row>
    <row r="3105" ht="15.75" customHeight="1">
      <c r="B3105" s="58" t="s">
        <v>22771</v>
      </c>
      <c r="D3105" s="58" t="s">
        <v>28868</v>
      </c>
      <c r="E3105" s="58" t="s">
        <v>28869</v>
      </c>
      <c r="I3105" s="58" t="s">
        <v>28870</v>
      </c>
      <c r="R3105" s="58">
        <v>4.0</v>
      </c>
      <c r="CL3105" s="58" t="s">
        <v>28871</v>
      </c>
      <c r="CP3105" s="58" t="s">
        <v>28872</v>
      </c>
      <c r="CX3105" s="58" t="s">
        <v>28873</v>
      </c>
      <c r="CY3105" s="58" t="s">
        <v>28874</v>
      </c>
      <c r="CZ3105" s="58">
        <v>2017.0</v>
      </c>
      <c r="DA3105" s="58" t="s">
        <v>28875</v>
      </c>
      <c r="DC3105" s="58">
        <v>347.0</v>
      </c>
      <c r="DD3105" s="58">
        <v>352.0</v>
      </c>
      <c r="DE3105" s="58">
        <v>5.0</v>
      </c>
      <c r="DF3105" s="58">
        <v>6.0</v>
      </c>
      <c r="DG3105" s="58" t="s">
        <v>28876</v>
      </c>
      <c r="DH3105" s="58" t="s">
        <v>22525</v>
      </c>
      <c r="DJ3105" s="58" t="s">
        <v>237</v>
      </c>
      <c r="DK3105" s="58" t="s">
        <v>28877</v>
      </c>
    </row>
    <row r="3106" ht="15.75" customHeight="1">
      <c r="B3106" s="58" t="s">
        <v>22771</v>
      </c>
      <c r="D3106" s="58" t="s">
        <v>28878</v>
      </c>
      <c r="E3106" s="58" t="s">
        <v>28879</v>
      </c>
      <c r="I3106" s="58" t="s">
        <v>28880</v>
      </c>
      <c r="R3106" s="58" t="s">
        <v>28881</v>
      </c>
      <c r="CL3106" s="58" t="s">
        <v>28882</v>
      </c>
      <c r="CX3106" s="58" t="s">
        <v>28883</v>
      </c>
      <c r="CY3106" s="58" t="s">
        <v>28884</v>
      </c>
      <c r="CZ3106" s="58">
        <v>2017.0</v>
      </c>
      <c r="DA3106" s="58" t="s">
        <v>24713</v>
      </c>
      <c r="DC3106" s="58">
        <v>1.0</v>
      </c>
      <c r="DD3106" s="58">
        <v>7.0</v>
      </c>
      <c r="DE3106" s="58">
        <v>6.0</v>
      </c>
      <c r="DF3106" s="58">
        <v>1.0</v>
      </c>
      <c r="DG3106" s="58" t="s">
        <v>28885</v>
      </c>
      <c r="DH3106" s="58" t="s">
        <v>22525</v>
      </c>
      <c r="DJ3106" s="58" t="s">
        <v>237</v>
      </c>
      <c r="DK3106" s="58" t="s">
        <v>28886</v>
      </c>
      <c r="DL3106" s="58" t="s">
        <v>28887</v>
      </c>
    </row>
    <row r="3107" ht="15.75" customHeight="1">
      <c r="B3107" s="58" t="s">
        <v>22515</v>
      </c>
      <c r="D3107" s="58" t="s">
        <v>28888</v>
      </c>
      <c r="E3107" s="58" t="s">
        <v>28889</v>
      </c>
      <c r="I3107" s="58" t="s">
        <v>28890</v>
      </c>
      <c r="Q3107" s="58">
        <v>8.0</v>
      </c>
      <c r="R3107" s="58">
        <v>20.0</v>
      </c>
      <c r="CL3107" s="58" t="s">
        <v>28891</v>
      </c>
      <c r="CP3107" s="58" t="s">
        <v>28892</v>
      </c>
      <c r="CX3107" s="58" t="s">
        <v>28893</v>
      </c>
      <c r="CY3107" s="58" t="s">
        <v>28894</v>
      </c>
      <c r="CZ3107" s="58">
        <v>2020.0</v>
      </c>
      <c r="DA3107" s="58" t="s">
        <v>27816</v>
      </c>
      <c r="DB3107" s="58">
        <v>2418.0</v>
      </c>
      <c r="DF3107" s="58">
        <v>71.0</v>
      </c>
      <c r="DG3107" s="58" t="s">
        <v>28895</v>
      </c>
      <c r="DH3107" s="58" t="s">
        <v>22525</v>
      </c>
      <c r="DI3107" s="58" t="s">
        <v>22643</v>
      </c>
      <c r="DJ3107" s="58" t="s">
        <v>237</v>
      </c>
      <c r="DK3107" s="58" t="s">
        <v>28896</v>
      </c>
      <c r="DL3107" s="58" t="s">
        <v>28897</v>
      </c>
    </row>
    <row r="3108" ht="15.75" customHeight="1">
      <c r="B3108" s="58" t="s">
        <v>22771</v>
      </c>
      <c r="D3108" s="58" t="s">
        <v>28898</v>
      </c>
      <c r="E3108" s="58" t="s">
        <v>28899</v>
      </c>
      <c r="I3108" s="58" t="s">
        <v>28900</v>
      </c>
      <c r="R3108" s="58" t="s">
        <v>28901</v>
      </c>
      <c r="CL3108" s="58" t="s">
        <v>28902</v>
      </c>
      <c r="CP3108" s="58" t="s">
        <v>28903</v>
      </c>
      <c r="CX3108" s="58" t="s">
        <v>28904</v>
      </c>
      <c r="CY3108" s="58" t="s">
        <v>28905</v>
      </c>
      <c r="CZ3108" s="58">
        <v>2018.0</v>
      </c>
      <c r="DA3108" s="58" t="s">
        <v>28906</v>
      </c>
      <c r="DC3108" s="58">
        <v>73.0</v>
      </c>
      <c r="DD3108" s="58">
        <v>84.0</v>
      </c>
      <c r="DE3108" s="58">
        <v>11.0</v>
      </c>
      <c r="DF3108" s="58">
        <v>20.0</v>
      </c>
      <c r="DG3108" s="58" t="s">
        <v>28907</v>
      </c>
      <c r="DH3108" s="58" t="s">
        <v>22525</v>
      </c>
      <c r="DI3108" s="58" t="s">
        <v>23606</v>
      </c>
      <c r="DJ3108" s="58" t="s">
        <v>237</v>
      </c>
      <c r="DK3108" s="58" t="s">
        <v>28908</v>
      </c>
      <c r="DL3108" s="58" t="s">
        <v>28909</v>
      </c>
    </row>
    <row r="3109" ht="15.75" customHeight="1">
      <c r="B3109" s="58" t="s">
        <v>22771</v>
      </c>
      <c r="D3109" s="58" t="s">
        <v>28910</v>
      </c>
      <c r="E3109" s="58" t="s">
        <v>28911</v>
      </c>
      <c r="I3109" s="58" t="s">
        <v>28912</v>
      </c>
      <c r="R3109" s="58" t="s">
        <v>28913</v>
      </c>
      <c r="CL3109" s="58" t="s">
        <v>28914</v>
      </c>
      <c r="CP3109" s="58" t="s">
        <v>28915</v>
      </c>
      <c r="CX3109" s="58" t="s">
        <v>28916</v>
      </c>
      <c r="CY3109" s="58" t="s">
        <v>28917</v>
      </c>
      <c r="CZ3109" s="58">
        <v>2018.0</v>
      </c>
      <c r="DA3109" s="58" t="s">
        <v>25589</v>
      </c>
      <c r="DB3109" s="58">
        <v>8644997.0</v>
      </c>
      <c r="DC3109" s="58">
        <v>1046.0</v>
      </c>
      <c r="DD3109" s="58">
        <v>1051.0</v>
      </c>
      <c r="DE3109" s="58">
        <v>5.0</v>
      </c>
      <c r="DF3109" s="58">
        <v>3.0</v>
      </c>
      <c r="DG3109" s="58" t="s">
        <v>28918</v>
      </c>
      <c r="DH3109" s="58" t="s">
        <v>22525</v>
      </c>
      <c r="DJ3109" s="58" t="s">
        <v>237</v>
      </c>
      <c r="DK3109" s="58" t="s">
        <v>28919</v>
      </c>
      <c r="DL3109" s="58" t="s">
        <v>28920</v>
      </c>
    </row>
    <row r="3110" ht="15.75" customHeight="1">
      <c r="B3110" s="58" t="s">
        <v>22771</v>
      </c>
      <c r="D3110" s="58" t="s">
        <v>28921</v>
      </c>
      <c r="E3110" s="58" t="s">
        <v>28922</v>
      </c>
      <c r="I3110" s="58" t="s">
        <v>28923</v>
      </c>
      <c r="R3110" s="58" t="s">
        <v>28559</v>
      </c>
      <c r="CL3110" s="58" t="s">
        <v>28924</v>
      </c>
      <c r="CP3110" s="58" t="s">
        <v>28925</v>
      </c>
      <c r="CX3110" s="58" t="s">
        <v>28926</v>
      </c>
      <c r="CY3110" s="58" t="s">
        <v>28927</v>
      </c>
      <c r="CZ3110" s="58">
        <v>2018.0</v>
      </c>
      <c r="DA3110" s="58" t="s">
        <v>25445</v>
      </c>
      <c r="DC3110" s="58">
        <v>645.0</v>
      </c>
      <c r="DD3110" s="58">
        <v>659.0</v>
      </c>
      <c r="DE3110" s="58">
        <v>14.0</v>
      </c>
      <c r="DF3110" s="58">
        <v>3.0</v>
      </c>
      <c r="DG3110" s="58" t="s">
        <v>28928</v>
      </c>
      <c r="DH3110" s="58" t="s">
        <v>22525</v>
      </c>
      <c r="DI3110" s="58" t="s">
        <v>22816</v>
      </c>
      <c r="DJ3110" s="58" t="s">
        <v>237</v>
      </c>
      <c r="DK3110" s="58" t="s">
        <v>28929</v>
      </c>
      <c r="DL3110" s="58" t="s">
        <v>28930</v>
      </c>
    </row>
    <row r="3111" ht="15.75" customHeight="1">
      <c r="B3111" s="58" t="s">
        <v>22771</v>
      </c>
      <c r="D3111" s="58" t="s">
        <v>28931</v>
      </c>
      <c r="E3111" s="58" t="s">
        <v>28932</v>
      </c>
      <c r="I3111" s="58" t="s">
        <v>28933</v>
      </c>
      <c r="R3111" s="58">
        <v>766.0</v>
      </c>
      <c r="CL3111" s="58" t="s">
        <v>28934</v>
      </c>
      <c r="CP3111" s="58" t="s">
        <v>28935</v>
      </c>
      <c r="CX3111" s="58" t="s">
        <v>28936</v>
      </c>
      <c r="CY3111" s="58" t="s">
        <v>28937</v>
      </c>
      <c r="CZ3111" s="58">
        <v>2017.0</v>
      </c>
      <c r="DA3111" s="58" t="s">
        <v>24360</v>
      </c>
      <c r="DC3111" s="58">
        <v>230.0</v>
      </c>
      <c r="DD3111" s="58">
        <v>250.0</v>
      </c>
      <c r="DE3111" s="58">
        <v>20.0</v>
      </c>
      <c r="DF3111" s="58">
        <v>0.0</v>
      </c>
      <c r="DG3111" s="58" t="s">
        <v>28938</v>
      </c>
      <c r="DH3111" s="58" t="s">
        <v>22525</v>
      </c>
      <c r="DJ3111" s="58" t="s">
        <v>237</v>
      </c>
      <c r="DK3111" s="58" t="s">
        <v>28939</v>
      </c>
      <c r="DL3111" s="58" t="s">
        <v>28940</v>
      </c>
    </row>
    <row r="3112" ht="15.75" customHeight="1">
      <c r="B3112" s="58" t="s">
        <v>22771</v>
      </c>
      <c r="D3112" s="58" t="s">
        <v>28868</v>
      </c>
      <c r="E3112" s="58" t="s">
        <v>28869</v>
      </c>
      <c r="I3112" s="58" t="s">
        <v>28941</v>
      </c>
      <c r="R3112" s="58" t="s">
        <v>28942</v>
      </c>
      <c r="CL3112" s="58" t="s">
        <v>28943</v>
      </c>
      <c r="CP3112" s="58" t="s">
        <v>28872</v>
      </c>
      <c r="CX3112" s="58" t="s">
        <v>28873</v>
      </c>
      <c r="CY3112" s="58" t="s">
        <v>28874</v>
      </c>
      <c r="CZ3112" s="58">
        <v>2017.0</v>
      </c>
      <c r="DA3112" s="58" t="s">
        <v>28875</v>
      </c>
      <c r="DF3112" s="58">
        <v>7.0</v>
      </c>
      <c r="DG3112" s="58" t="s">
        <v>28944</v>
      </c>
      <c r="DH3112" s="58" t="s">
        <v>22525</v>
      </c>
      <c r="DJ3112" s="58" t="s">
        <v>237</v>
      </c>
      <c r="DK3112" s="58" t="s">
        <v>28945</v>
      </c>
    </row>
    <row r="3113" ht="15.75" customHeight="1">
      <c r="B3113" s="58" t="s">
        <v>22515</v>
      </c>
      <c r="D3113" s="58" t="s">
        <v>28946</v>
      </c>
      <c r="E3113" s="58" t="s">
        <v>28947</v>
      </c>
      <c r="I3113" s="58" t="s">
        <v>28948</v>
      </c>
      <c r="Q3113" s="58">
        <v>2.0</v>
      </c>
      <c r="R3113" s="58">
        <v>48.0</v>
      </c>
      <c r="CL3113" s="58" t="s">
        <v>28949</v>
      </c>
      <c r="CP3113" s="58" t="s">
        <v>28950</v>
      </c>
      <c r="CX3113" s="58" t="s">
        <v>28951</v>
      </c>
      <c r="CY3113" s="58">
        <v>2.66435597E10</v>
      </c>
      <c r="CZ3113" s="58">
        <v>2020.0</v>
      </c>
      <c r="DA3113" s="58" t="s">
        <v>28952</v>
      </c>
      <c r="DC3113" s="58">
        <v>209.0</v>
      </c>
      <c r="DD3113" s="58">
        <v>237.0</v>
      </c>
      <c r="DE3113" s="58">
        <v>28.0</v>
      </c>
      <c r="DF3113" s="58">
        <v>0.0</v>
      </c>
      <c r="DG3113" s="58" t="s">
        <v>28953</v>
      </c>
      <c r="DH3113" s="58" t="s">
        <v>22525</v>
      </c>
      <c r="DJ3113" s="58" t="s">
        <v>237</v>
      </c>
      <c r="DK3113" s="58" t="s">
        <v>28954</v>
      </c>
      <c r="DL3113" s="58" t="s">
        <v>28955</v>
      </c>
    </row>
    <row r="3114" ht="15.75" customHeight="1">
      <c r="B3114" s="58" t="s">
        <v>22515</v>
      </c>
      <c r="D3114" s="58" t="s">
        <v>28956</v>
      </c>
      <c r="E3114" s="58" t="s">
        <v>28957</v>
      </c>
      <c r="I3114" s="58" t="s">
        <v>28958</v>
      </c>
      <c r="R3114" s="58">
        <v>7.0</v>
      </c>
      <c r="CL3114" s="58" t="s">
        <v>28959</v>
      </c>
      <c r="CP3114" s="58" t="s">
        <v>28960</v>
      </c>
      <c r="CX3114" s="58" t="s">
        <v>28961</v>
      </c>
      <c r="CY3114" s="58" t="s">
        <v>28962</v>
      </c>
      <c r="CZ3114" s="58">
        <v>2019.0</v>
      </c>
      <c r="DA3114" s="58" t="s">
        <v>16436</v>
      </c>
      <c r="DB3114" s="58">
        <v>8754674.0</v>
      </c>
      <c r="DC3114" s="58">
        <v>100363.0</v>
      </c>
      <c r="DD3114" s="58">
        <v>100382.0</v>
      </c>
      <c r="DE3114" s="58">
        <v>19.0</v>
      </c>
      <c r="DF3114" s="58">
        <v>10.0</v>
      </c>
      <c r="DG3114" s="58" t="s">
        <v>28963</v>
      </c>
      <c r="DH3114" s="58" t="s">
        <v>22525</v>
      </c>
      <c r="DI3114" s="58" t="s">
        <v>22643</v>
      </c>
      <c r="DJ3114" s="58" t="s">
        <v>237</v>
      </c>
      <c r="DK3114" s="58" t="s">
        <v>28964</v>
      </c>
      <c r="DL3114" s="58" t="s">
        <v>28965</v>
      </c>
    </row>
    <row r="3115" ht="15.75" customHeight="1">
      <c r="B3115" s="58" t="s">
        <v>22771</v>
      </c>
      <c r="D3115" s="58" t="s">
        <v>28966</v>
      </c>
      <c r="E3115" s="58" t="s">
        <v>28967</v>
      </c>
      <c r="I3115" s="58" t="s">
        <v>28968</v>
      </c>
      <c r="R3115" s="58" t="s">
        <v>28969</v>
      </c>
      <c r="CL3115" s="58" t="s">
        <v>28970</v>
      </c>
      <c r="CP3115" s="58" t="s">
        <v>28971</v>
      </c>
      <c r="CX3115" s="58" t="s">
        <v>28972</v>
      </c>
      <c r="CY3115" s="58" t="s">
        <v>28973</v>
      </c>
      <c r="CZ3115" s="58">
        <v>2017.0</v>
      </c>
      <c r="DA3115" s="58" t="s">
        <v>24596</v>
      </c>
      <c r="DC3115" s="58">
        <v>133.0</v>
      </c>
      <c r="DD3115" s="58">
        <v>146.0</v>
      </c>
      <c r="DE3115" s="58">
        <v>13.0</v>
      </c>
      <c r="DF3115" s="58">
        <v>40.0</v>
      </c>
      <c r="DG3115" s="58" t="s">
        <v>28974</v>
      </c>
      <c r="DH3115" s="58" t="s">
        <v>22525</v>
      </c>
      <c r="DI3115" s="58" t="s">
        <v>22656</v>
      </c>
      <c r="DJ3115" s="58" t="s">
        <v>237</v>
      </c>
      <c r="DK3115" s="58" t="s">
        <v>28975</v>
      </c>
      <c r="DL3115" s="58" t="s">
        <v>28976</v>
      </c>
    </row>
    <row r="3116" ht="15.75" customHeight="1">
      <c r="B3116" s="58" t="s">
        <v>22515</v>
      </c>
      <c r="D3116" s="58" t="s">
        <v>28977</v>
      </c>
      <c r="E3116" s="58" t="s">
        <v>28978</v>
      </c>
      <c r="I3116" s="58" t="s">
        <v>28979</v>
      </c>
      <c r="Q3116" s="58">
        <v>5.0</v>
      </c>
      <c r="R3116" s="58">
        <v>8.0</v>
      </c>
      <c r="CL3116" s="58" t="s">
        <v>28980</v>
      </c>
      <c r="CP3116" s="58" t="s">
        <v>28981</v>
      </c>
      <c r="CX3116" s="58" t="s">
        <v>28982</v>
      </c>
      <c r="CY3116" s="58" t="s">
        <v>28983</v>
      </c>
      <c r="CZ3116" s="58">
        <v>2019.0</v>
      </c>
      <c r="DA3116" s="58" t="s">
        <v>23242</v>
      </c>
      <c r="DB3116" s="58">
        <v>491.0</v>
      </c>
      <c r="DF3116" s="58">
        <v>9.0</v>
      </c>
      <c r="DG3116" s="58" t="s">
        <v>28984</v>
      </c>
      <c r="DH3116" s="58" t="s">
        <v>22525</v>
      </c>
      <c r="DI3116" s="58" t="s">
        <v>22643</v>
      </c>
      <c r="DJ3116" s="58" t="s">
        <v>237</v>
      </c>
      <c r="DK3116" s="58" t="s">
        <v>28985</v>
      </c>
    </row>
    <row r="3117" ht="15.75" customHeight="1">
      <c r="B3117" s="58" t="s">
        <v>22771</v>
      </c>
      <c r="D3117" s="58" t="s">
        <v>28986</v>
      </c>
      <c r="E3117" s="58" t="s">
        <v>28987</v>
      </c>
      <c r="I3117" s="58" t="s">
        <v>28988</v>
      </c>
      <c r="R3117" s="58" t="s">
        <v>28989</v>
      </c>
      <c r="CL3117" s="58" t="s">
        <v>28990</v>
      </c>
      <c r="CP3117" s="58" t="s">
        <v>28991</v>
      </c>
      <c r="CX3117" s="58" t="s">
        <v>28992</v>
      </c>
      <c r="CY3117" s="58" t="s">
        <v>28993</v>
      </c>
      <c r="CZ3117" s="58">
        <v>2019.0</v>
      </c>
      <c r="DA3117" s="58" t="s">
        <v>24608</v>
      </c>
      <c r="DC3117" s="58">
        <v>176.0</v>
      </c>
      <c r="DD3117" s="58">
        <v>191.0</v>
      </c>
      <c r="DE3117" s="58">
        <v>15.0</v>
      </c>
      <c r="DF3117" s="58">
        <v>9.0</v>
      </c>
      <c r="DG3117" s="58" t="s">
        <v>28994</v>
      </c>
      <c r="DH3117" s="58" t="s">
        <v>22525</v>
      </c>
      <c r="DI3117" s="58" t="s">
        <v>22816</v>
      </c>
      <c r="DJ3117" s="58" t="s">
        <v>237</v>
      </c>
      <c r="DK3117" s="58" t="s">
        <v>28995</v>
      </c>
      <c r="DL3117" s="58" t="s">
        <v>28996</v>
      </c>
    </row>
    <row r="3118" ht="15.75" customHeight="1">
      <c r="B3118" s="58" t="s">
        <v>22515</v>
      </c>
      <c r="D3118" s="58" t="s">
        <v>28997</v>
      </c>
      <c r="E3118" s="58" t="s">
        <v>28998</v>
      </c>
      <c r="I3118" s="58" t="s">
        <v>28999</v>
      </c>
      <c r="Q3118" s="58">
        <v>4.0</v>
      </c>
      <c r="R3118" s="58">
        <v>15.0</v>
      </c>
      <c r="CL3118" s="58" t="s">
        <v>29000</v>
      </c>
      <c r="CP3118" s="58" t="s">
        <v>29001</v>
      </c>
      <c r="CX3118" s="58" t="s">
        <v>29002</v>
      </c>
      <c r="CY3118" s="58" t="s">
        <v>29003</v>
      </c>
      <c r="CZ3118" s="58">
        <v>2019.0</v>
      </c>
      <c r="DA3118" s="58" t="s">
        <v>29004</v>
      </c>
      <c r="DC3118" s="58">
        <v>765.0</v>
      </c>
      <c r="DD3118" s="58">
        <v>784.0</v>
      </c>
      <c r="DE3118" s="58">
        <v>19.0</v>
      </c>
      <c r="DF3118" s="58">
        <v>49.0</v>
      </c>
      <c r="DG3118" s="58" t="s">
        <v>29005</v>
      </c>
      <c r="DH3118" s="58" t="s">
        <v>22525</v>
      </c>
      <c r="DJ3118" s="58" t="s">
        <v>237</v>
      </c>
      <c r="DK3118" s="58" t="s">
        <v>29006</v>
      </c>
      <c r="DL3118" s="58" t="s">
        <v>29007</v>
      </c>
    </row>
    <row r="3119" ht="15.75" customHeight="1">
      <c r="B3119" s="58" t="s">
        <v>22515</v>
      </c>
      <c r="D3119" s="58" t="s">
        <v>29008</v>
      </c>
      <c r="E3119" s="58" t="s">
        <v>29009</v>
      </c>
      <c r="I3119" s="58" t="s">
        <v>29010</v>
      </c>
      <c r="Q3119" s="58">
        <v>6.0</v>
      </c>
      <c r="R3119" s="58">
        <v>10.0</v>
      </c>
      <c r="CL3119" s="58" t="s">
        <v>29011</v>
      </c>
      <c r="CP3119" s="58" t="s">
        <v>29012</v>
      </c>
      <c r="CX3119" s="58" t="s">
        <v>29013</v>
      </c>
      <c r="CY3119" s="58" t="s">
        <v>29014</v>
      </c>
      <c r="CZ3119" s="58">
        <v>2020.0</v>
      </c>
      <c r="DA3119" s="58" t="s">
        <v>23168</v>
      </c>
      <c r="DB3119" s="58">
        <v>2181.0</v>
      </c>
      <c r="DF3119" s="58">
        <v>9.0</v>
      </c>
      <c r="DG3119" s="58" t="s">
        <v>29015</v>
      </c>
      <c r="DH3119" s="58" t="s">
        <v>22525</v>
      </c>
      <c r="DI3119" s="58" t="s">
        <v>22622</v>
      </c>
      <c r="DJ3119" s="58" t="s">
        <v>237</v>
      </c>
      <c r="DK3119" s="58" t="s">
        <v>29016</v>
      </c>
    </row>
    <row r="3120" ht="15.75" customHeight="1">
      <c r="B3120" s="58" t="s">
        <v>22515</v>
      </c>
      <c r="D3120" s="58" t="s">
        <v>29017</v>
      </c>
      <c r="E3120" s="58" t="s">
        <v>29018</v>
      </c>
      <c r="I3120" s="58" t="s">
        <v>29019</v>
      </c>
      <c r="R3120" s="58">
        <v>49.0</v>
      </c>
      <c r="CL3120" s="58" t="s">
        <v>29020</v>
      </c>
      <c r="CP3120" s="58" t="s">
        <v>29021</v>
      </c>
      <c r="CX3120" s="58" t="s">
        <v>29022</v>
      </c>
      <c r="CY3120" s="58" t="s">
        <v>29023</v>
      </c>
      <c r="CZ3120" s="58">
        <v>2018.0</v>
      </c>
      <c r="DA3120" s="58" t="s">
        <v>29024</v>
      </c>
      <c r="DC3120" s="58">
        <v>46.0</v>
      </c>
      <c r="DD3120" s="58">
        <v>59.0</v>
      </c>
      <c r="DE3120" s="58">
        <v>13.0</v>
      </c>
      <c r="DF3120" s="58">
        <v>32.0</v>
      </c>
      <c r="DG3120" s="58" t="s">
        <v>29025</v>
      </c>
      <c r="DH3120" s="58" t="s">
        <v>22525</v>
      </c>
      <c r="DI3120" s="58" t="s">
        <v>22816</v>
      </c>
      <c r="DJ3120" s="58" t="s">
        <v>237</v>
      </c>
      <c r="DK3120" s="58" t="s">
        <v>29026</v>
      </c>
    </row>
    <row r="3121" ht="15.75" customHeight="1">
      <c r="B3121" s="58" t="s">
        <v>22515</v>
      </c>
      <c r="D3121" s="58" t="s">
        <v>29027</v>
      </c>
      <c r="E3121" s="58" t="s">
        <v>29028</v>
      </c>
      <c r="I3121" s="58" t="s">
        <v>29029</v>
      </c>
      <c r="R3121" s="58">
        <v>52.0</v>
      </c>
      <c r="CL3121" s="58" t="s">
        <v>29030</v>
      </c>
      <c r="CP3121" s="58" t="s">
        <v>29031</v>
      </c>
      <c r="CX3121" s="58" t="s">
        <v>29032</v>
      </c>
      <c r="CY3121" s="58" t="s">
        <v>29033</v>
      </c>
      <c r="CZ3121" s="58">
        <v>2019.0</v>
      </c>
      <c r="DA3121" s="58" t="s">
        <v>29034</v>
      </c>
      <c r="DC3121" s="58">
        <v>357.0</v>
      </c>
      <c r="DD3121" s="58">
        <v>374.0</v>
      </c>
      <c r="DE3121" s="58">
        <v>17.0</v>
      </c>
      <c r="DF3121" s="58">
        <v>246.0</v>
      </c>
      <c r="DG3121" s="58" t="s">
        <v>29035</v>
      </c>
      <c r="DH3121" s="58" t="s">
        <v>22525</v>
      </c>
      <c r="DI3121" s="58" t="s">
        <v>22816</v>
      </c>
      <c r="DJ3121" s="58" t="s">
        <v>237</v>
      </c>
      <c r="DK3121" s="58" t="s">
        <v>29036</v>
      </c>
      <c r="DL3121" s="58" t="s">
        <v>29037</v>
      </c>
    </row>
    <row r="3122" ht="15.75" customHeight="1">
      <c r="B3122" s="58" t="s">
        <v>22771</v>
      </c>
      <c r="D3122" s="58" t="s">
        <v>29038</v>
      </c>
      <c r="E3122" s="58" t="s">
        <v>29039</v>
      </c>
      <c r="I3122" s="58" t="s">
        <v>29040</v>
      </c>
      <c r="R3122" s="58">
        <v>124.0</v>
      </c>
      <c r="CL3122" s="58" t="s">
        <v>29041</v>
      </c>
      <c r="CP3122" s="58" t="s">
        <v>29042</v>
      </c>
      <c r="CX3122" s="58" t="s">
        <v>29043</v>
      </c>
      <c r="CY3122" s="58" t="s">
        <v>29044</v>
      </c>
      <c r="CZ3122" s="58">
        <v>2017.0</v>
      </c>
      <c r="DA3122" s="58" t="s">
        <v>27034</v>
      </c>
      <c r="DC3122" s="58">
        <v>337.0</v>
      </c>
      <c r="DD3122" s="58">
        <v>344.0</v>
      </c>
      <c r="DE3122" s="58">
        <v>7.0</v>
      </c>
      <c r="DF3122" s="58">
        <v>10.0</v>
      </c>
      <c r="DG3122" s="58" t="s">
        <v>29045</v>
      </c>
      <c r="DH3122" s="58" t="s">
        <v>22525</v>
      </c>
      <c r="DI3122" s="58" t="s">
        <v>22622</v>
      </c>
      <c r="DJ3122" s="58" t="s">
        <v>237</v>
      </c>
      <c r="DK3122" s="58" t="s">
        <v>29046</v>
      </c>
      <c r="DL3122" s="58" t="s">
        <v>29047</v>
      </c>
    </row>
    <row r="3123" ht="15.75" customHeight="1">
      <c r="B3123" s="58" t="s">
        <v>22771</v>
      </c>
      <c r="D3123" s="58" t="s">
        <v>29048</v>
      </c>
      <c r="E3123" s="58" t="s">
        <v>29049</v>
      </c>
      <c r="I3123" s="58" t="s">
        <v>29050</v>
      </c>
      <c r="R3123" s="58">
        <v>141.0</v>
      </c>
      <c r="CL3123" s="58" t="s">
        <v>29051</v>
      </c>
      <c r="CP3123" s="58" t="s">
        <v>29052</v>
      </c>
      <c r="CX3123" s="58" t="s">
        <v>29053</v>
      </c>
      <c r="CY3123" s="58" t="s">
        <v>29054</v>
      </c>
      <c r="CZ3123" s="58">
        <v>2018.0</v>
      </c>
      <c r="DA3123" s="58" t="s">
        <v>27034</v>
      </c>
      <c r="DC3123" s="58">
        <v>223.0</v>
      </c>
      <c r="DD3123" s="58">
        <v>230.0</v>
      </c>
      <c r="DE3123" s="58">
        <v>7.0</v>
      </c>
      <c r="DF3123" s="58">
        <v>7.0</v>
      </c>
      <c r="DG3123" s="58" t="s">
        <v>29055</v>
      </c>
      <c r="DH3123" s="58" t="s">
        <v>22525</v>
      </c>
      <c r="DI3123" s="58" t="s">
        <v>22622</v>
      </c>
      <c r="DJ3123" s="58" t="s">
        <v>237</v>
      </c>
      <c r="DK3123" s="58" t="s">
        <v>29056</v>
      </c>
      <c r="DL3123" s="58" t="s">
        <v>29057</v>
      </c>
    </row>
    <row r="3124" ht="15.75" customHeight="1">
      <c r="B3124" s="58" t="s">
        <v>22515</v>
      </c>
      <c r="D3124" s="58" t="s">
        <v>29058</v>
      </c>
      <c r="E3124" s="58" t="s">
        <v>29059</v>
      </c>
      <c r="I3124" s="58" t="s">
        <v>29060</v>
      </c>
      <c r="R3124" s="58">
        <v>95.0</v>
      </c>
      <c r="CL3124" s="58" t="s">
        <v>29061</v>
      </c>
      <c r="CP3124" s="58" t="s">
        <v>29062</v>
      </c>
      <c r="CX3124" s="58" t="s">
        <v>29063</v>
      </c>
      <c r="CY3124" s="58" t="s">
        <v>29064</v>
      </c>
      <c r="CZ3124" s="58">
        <v>2018.0</v>
      </c>
      <c r="DA3124" s="58" t="s">
        <v>26759</v>
      </c>
      <c r="DC3124" s="58">
        <v>329.0</v>
      </c>
      <c r="DD3124" s="58">
        <v>345.0</v>
      </c>
      <c r="DE3124" s="58">
        <v>16.0</v>
      </c>
      <c r="DF3124" s="58">
        <v>37.0</v>
      </c>
      <c r="DG3124" s="58" t="s">
        <v>29065</v>
      </c>
      <c r="DH3124" s="58" t="s">
        <v>22525</v>
      </c>
      <c r="DJ3124" s="58" t="s">
        <v>237</v>
      </c>
      <c r="DK3124" s="58" t="s">
        <v>29066</v>
      </c>
      <c r="DL3124" s="58" t="s">
        <v>29067</v>
      </c>
    </row>
    <row r="3125" ht="15.75" customHeight="1">
      <c r="B3125" s="58" t="s">
        <v>22515</v>
      </c>
      <c r="D3125" s="58" t="s">
        <v>29068</v>
      </c>
      <c r="E3125" s="58" t="s">
        <v>29069</v>
      </c>
      <c r="I3125" s="58" t="s">
        <v>29070</v>
      </c>
      <c r="R3125" s="58">
        <v>7.0</v>
      </c>
      <c r="CL3125" s="58" t="s">
        <v>29071</v>
      </c>
      <c r="CP3125" s="58" t="s">
        <v>29072</v>
      </c>
      <c r="CX3125" s="58" t="s">
        <v>29073</v>
      </c>
      <c r="CY3125" s="58" t="s">
        <v>29074</v>
      </c>
      <c r="CZ3125" s="58">
        <v>2019.0</v>
      </c>
      <c r="DA3125" s="58" t="s">
        <v>16436</v>
      </c>
      <c r="DB3125" s="58">
        <v>8693491.0</v>
      </c>
      <c r="DC3125" s="58">
        <v>52976.0</v>
      </c>
      <c r="DD3125" s="58">
        <v>52996.0</v>
      </c>
      <c r="DE3125" s="58">
        <v>20.0</v>
      </c>
      <c r="DF3125" s="58">
        <v>195.0</v>
      </c>
      <c r="DG3125" s="58" t="s">
        <v>29075</v>
      </c>
      <c r="DH3125" s="58" t="s">
        <v>22525</v>
      </c>
      <c r="DI3125" s="58" t="s">
        <v>22622</v>
      </c>
      <c r="DJ3125" s="58" t="s">
        <v>237</v>
      </c>
      <c r="DK3125" s="58" t="s">
        <v>29076</v>
      </c>
      <c r="DL3125" s="58" t="s">
        <v>29077</v>
      </c>
    </row>
    <row r="3126" ht="15.75" customHeight="1">
      <c r="B3126" s="58" t="s">
        <v>22771</v>
      </c>
      <c r="D3126" s="58" t="s">
        <v>29078</v>
      </c>
      <c r="E3126" s="58" t="s">
        <v>29079</v>
      </c>
      <c r="I3126" s="58" t="s">
        <v>29080</v>
      </c>
      <c r="CL3126" s="58" t="s">
        <v>29081</v>
      </c>
      <c r="CP3126" s="58" t="s">
        <v>29082</v>
      </c>
      <c r="CX3126" s="58" t="s">
        <v>29083</v>
      </c>
      <c r="CY3126" s="58">
        <v>5.45852411E10</v>
      </c>
      <c r="CZ3126" s="58">
        <v>2019.0</v>
      </c>
      <c r="DA3126" s="58" t="s">
        <v>29084</v>
      </c>
      <c r="DB3126" s="58">
        <v>9019985.0</v>
      </c>
      <c r="DF3126" s="58">
        <v>3.0</v>
      </c>
      <c r="DG3126" s="58" t="s">
        <v>29085</v>
      </c>
      <c r="DH3126" s="58" t="s">
        <v>22525</v>
      </c>
      <c r="DJ3126" s="58" t="s">
        <v>237</v>
      </c>
      <c r="DK3126" s="58" t="s">
        <v>29086</v>
      </c>
      <c r="DL3126" s="58" t="s">
        <v>29087</v>
      </c>
    </row>
    <row r="3127" ht="15.75" customHeight="1">
      <c r="B3127" s="58" t="s">
        <v>22771</v>
      </c>
      <c r="D3127" s="58" t="s">
        <v>29088</v>
      </c>
      <c r="E3127" s="58" t="s">
        <v>29089</v>
      </c>
      <c r="I3127" s="58" t="s">
        <v>29090</v>
      </c>
      <c r="R3127" s="58">
        <v>2.0</v>
      </c>
      <c r="CL3127" s="58" t="s">
        <v>29091</v>
      </c>
      <c r="CP3127" s="58" t="s">
        <v>29092</v>
      </c>
      <c r="CX3127" s="58" t="s">
        <v>29093</v>
      </c>
      <c r="CY3127" s="58" t="s">
        <v>29094</v>
      </c>
      <c r="CZ3127" s="58">
        <v>2019.0</v>
      </c>
      <c r="DA3127" s="58" t="s">
        <v>29095</v>
      </c>
      <c r="DE3127" s="58">
        <v>6.0</v>
      </c>
      <c r="DF3127" s="58">
        <v>0.0</v>
      </c>
      <c r="DG3127" s="58" t="s">
        <v>29096</v>
      </c>
      <c r="DH3127" s="58" t="s">
        <v>22525</v>
      </c>
      <c r="DI3127" s="58" t="s">
        <v>22816</v>
      </c>
      <c r="DJ3127" s="58" t="s">
        <v>237</v>
      </c>
      <c r="DK3127" s="58" t="s">
        <v>29097</v>
      </c>
    </row>
    <row r="3128" ht="15.75" customHeight="1">
      <c r="B3128" s="58" t="s">
        <v>22515</v>
      </c>
      <c r="D3128" s="58" t="s">
        <v>29098</v>
      </c>
      <c r="E3128" s="58" t="s">
        <v>29099</v>
      </c>
      <c r="I3128" s="58" t="s">
        <v>29100</v>
      </c>
      <c r="Q3128" s="58">
        <v>5.0</v>
      </c>
      <c r="R3128" s="58">
        <v>19.0</v>
      </c>
      <c r="CL3128" s="58" t="s">
        <v>29101</v>
      </c>
      <c r="CP3128" s="58" t="s">
        <v>29102</v>
      </c>
      <c r="CX3128" s="58" t="s">
        <v>29103</v>
      </c>
      <c r="CY3128" s="58" t="s">
        <v>29104</v>
      </c>
      <c r="CZ3128" s="58">
        <v>2019.0</v>
      </c>
      <c r="DA3128" s="58" t="s">
        <v>27816</v>
      </c>
      <c r="DB3128" s="58">
        <v>1134.0</v>
      </c>
      <c r="DF3128" s="58">
        <v>16.0</v>
      </c>
      <c r="DG3128" s="58" t="s">
        <v>29105</v>
      </c>
      <c r="DH3128" s="58" t="s">
        <v>22525</v>
      </c>
      <c r="DI3128" s="58" t="s">
        <v>22643</v>
      </c>
      <c r="DJ3128" s="58" t="s">
        <v>237</v>
      </c>
      <c r="DK3128" s="58" t="s">
        <v>29106</v>
      </c>
      <c r="DL3128" s="58" t="s">
        <v>29107</v>
      </c>
    </row>
    <row r="3129" ht="15.75" customHeight="1">
      <c r="B3129" s="58" t="s">
        <v>22515</v>
      </c>
      <c r="D3129" s="58" t="s">
        <v>29108</v>
      </c>
      <c r="E3129" s="58" t="s">
        <v>29109</v>
      </c>
      <c r="I3129" s="58" t="s">
        <v>29110</v>
      </c>
      <c r="Q3129" s="58">
        <v>1.0</v>
      </c>
      <c r="R3129" s="58">
        <v>31.0</v>
      </c>
      <c r="CL3129" s="58" t="s">
        <v>29111</v>
      </c>
      <c r="CP3129" s="58" t="s">
        <v>29112</v>
      </c>
      <c r="CX3129" s="58" t="s">
        <v>29113</v>
      </c>
      <c r="CY3129" s="58" t="s">
        <v>29114</v>
      </c>
      <c r="CZ3129" s="58">
        <v>2020.0</v>
      </c>
      <c r="DA3129" s="58" t="s">
        <v>17164</v>
      </c>
      <c r="DB3129" s="58">
        <v>8766876.0</v>
      </c>
      <c r="DC3129" s="58">
        <v>129.0</v>
      </c>
      <c r="DD3129" s="58">
        <v>143.0</v>
      </c>
      <c r="DE3129" s="58">
        <v>14.0</v>
      </c>
      <c r="DF3129" s="58">
        <v>35.0</v>
      </c>
      <c r="DG3129" s="58" t="s">
        <v>29115</v>
      </c>
      <c r="DH3129" s="58" t="s">
        <v>22525</v>
      </c>
      <c r="DI3129" s="58" t="s">
        <v>22816</v>
      </c>
      <c r="DJ3129" s="58" t="s">
        <v>237</v>
      </c>
      <c r="DK3129" s="58" t="s">
        <v>29116</v>
      </c>
      <c r="DL3129" s="58" t="s">
        <v>29117</v>
      </c>
    </row>
    <row r="3130" ht="15.75" customHeight="1">
      <c r="B3130" s="58" t="s">
        <v>22515</v>
      </c>
      <c r="D3130" s="58" t="s">
        <v>29118</v>
      </c>
      <c r="E3130" s="58" t="s">
        <v>29119</v>
      </c>
      <c r="I3130" s="58" t="s">
        <v>29120</v>
      </c>
      <c r="Q3130" s="58">
        <v>1.0</v>
      </c>
      <c r="R3130" s="58">
        <v>10.0</v>
      </c>
      <c r="CL3130" s="58" t="s">
        <v>29121</v>
      </c>
      <c r="CP3130" s="58" t="s">
        <v>29122</v>
      </c>
      <c r="CX3130" s="58" t="s">
        <v>29123</v>
      </c>
      <c r="CY3130" s="58" t="s">
        <v>29124</v>
      </c>
      <c r="CZ3130" s="58">
        <v>2019.0</v>
      </c>
      <c r="DA3130" s="58" t="s">
        <v>29125</v>
      </c>
      <c r="DB3130" s="58">
        <v>4.0</v>
      </c>
      <c r="DF3130" s="58">
        <v>59.0</v>
      </c>
      <c r="DG3130" s="58" t="s">
        <v>29126</v>
      </c>
      <c r="DH3130" s="58" t="s">
        <v>22525</v>
      </c>
      <c r="DI3130" s="58" t="s">
        <v>22643</v>
      </c>
      <c r="DJ3130" s="58" t="s">
        <v>237</v>
      </c>
      <c r="DK3130" s="58" t="s">
        <v>29127</v>
      </c>
      <c r="DL3130" s="58" t="s">
        <v>29128</v>
      </c>
    </row>
    <row r="3131" ht="15.75" customHeight="1">
      <c r="B3131" s="58" t="s">
        <v>22515</v>
      </c>
      <c r="D3131" s="58" t="s">
        <v>29129</v>
      </c>
      <c r="E3131" s="58" t="s">
        <v>29130</v>
      </c>
      <c r="I3131" s="58" t="s">
        <v>29131</v>
      </c>
      <c r="Q3131" s="58">
        <v>1.0</v>
      </c>
      <c r="R3131" s="58">
        <v>9.0</v>
      </c>
      <c r="CL3131" s="58" t="s">
        <v>29132</v>
      </c>
      <c r="CP3131" s="58" t="s">
        <v>29133</v>
      </c>
      <c r="CX3131" s="58" t="s">
        <v>29134</v>
      </c>
      <c r="CY3131" s="58" t="s">
        <v>29135</v>
      </c>
      <c r="CZ3131" s="58">
        <v>2019.0</v>
      </c>
      <c r="DA3131" s="58" t="s">
        <v>29136</v>
      </c>
      <c r="DC3131" s="58">
        <v>561.0</v>
      </c>
      <c r="DD3131" s="58">
        <v>570.0</v>
      </c>
      <c r="DE3131" s="58">
        <v>9.0</v>
      </c>
      <c r="DF3131" s="58">
        <v>2.0</v>
      </c>
      <c r="DG3131" s="58" t="s">
        <v>29137</v>
      </c>
      <c r="DH3131" s="58" t="s">
        <v>22525</v>
      </c>
      <c r="DI3131" s="58" t="s">
        <v>22622</v>
      </c>
      <c r="DJ3131" s="58" t="s">
        <v>237</v>
      </c>
      <c r="DK3131" s="58" t="s">
        <v>29138</v>
      </c>
    </row>
    <row r="3132" ht="15.75" customHeight="1">
      <c r="B3132" s="58" t="s">
        <v>22515</v>
      </c>
      <c r="D3132" s="58" t="s">
        <v>29139</v>
      </c>
      <c r="E3132" s="58" t="s">
        <v>29140</v>
      </c>
      <c r="I3132" s="58" t="s">
        <v>29141</v>
      </c>
      <c r="R3132" s="58">
        <v>146.0</v>
      </c>
      <c r="CL3132" s="58" t="s">
        <v>29142</v>
      </c>
      <c r="CP3132" s="58" t="s">
        <v>29143</v>
      </c>
      <c r="CX3132" s="58" t="s">
        <v>29144</v>
      </c>
      <c r="CY3132" s="58" t="s">
        <v>29145</v>
      </c>
      <c r="CZ3132" s="58">
        <v>2018.0</v>
      </c>
      <c r="DA3132" s="58" t="s">
        <v>22826</v>
      </c>
      <c r="DC3132" s="58">
        <v>14.0</v>
      </c>
      <c r="DD3132" s="58">
        <v>25.0</v>
      </c>
      <c r="DE3132" s="58">
        <v>11.0</v>
      </c>
      <c r="DF3132" s="58">
        <v>21.0</v>
      </c>
      <c r="DG3132" s="58" t="s">
        <v>29146</v>
      </c>
      <c r="DH3132" s="58" t="s">
        <v>22525</v>
      </c>
      <c r="DI3132" s="58" t="s">
        <v>22816</v>
      </c>
      <c r="DJ3132" s="58" t="s">
        <v>237</v>
      </c>
      <c r="DK3132" s="58" t="s">
        <v>29147</v>
      </c>
      <c r="DL3132" s="58" t="s">
        <v>29148</v>
      </c>
    </row>
    <row r="3133" ht="15.75" customHeight="1">
      <c r="B3133" s="58" t="s">
        <v>22515</v>
      </c>
      <c r="D3133" s="58" t="s">
        <v>29149</v>
      </c>
      <c r="E3133" s="58" t="s">
        <v>29150</v>
      </c>
      <c r="I3133" s="58" t="s">
        <v>29151</v>
      </c>
      <c r="Q3133" s="58">
        <v>1.0</v>
      </c>
      <c r="R3133" s="58">
        <v>102.0</v>
      </c>
      <c r="CL3133" s="58" t="s">
        <v>29152</v>
      </c>
      <c r="CP3133" s="58" t="s">
        <v>29153</v>
      </c>
      <c r="CX3133" s="58" t="s">
        <v>29154</v>
      </c>
      <c r="CY3133" s="58" t="s">
        <v>29155</v>
      </c>
      <c r="CZ3133" s="58">
        <v>2020.0</v>
      </c>
      <c r="DA3133" s="58" t="s">
        <v>22557</v>
      </c>
      <c r="DC3133" s="58">
        <v>105.0</v>
      </c>
      <c r="DD3133" s="58">
        <v>139.0</v>
      </c>
      <c r="DE3133" s="58">
        <v>34.0</v>
      </c>
      <c r="DF3133" s="58">
        <v>41.0</v>
      </c>
      <c r="DG3133" s="58" t="s">
        <v>29156</v>
      </c>
      <c r="DH3133" s="58" t="s">
        <v>22525</v>
      </c>
      <c r="DJ3133" s="58" t="s">
        <v>237</v>
      </c>
      <c r="DK3133" s="58" t="s">
        <v>29157</v>
      </c>
      <c r="DL3133" s="58" t="s">
        <v>29158</v>
      </c>
    </row>
    <row r="3134" ht="15.75" customHeight="1">
      <c r="B3134" s="58" t="s">
        <v>22771</v>
      </c>
      <c r="D3134" s="58" t="s">
        <v>28931</v>
      </c>
      <c r="E3134" s="58" t="s">
        <v>29159</v>
      </c>
      <c r="I3134" s="58" t="s">
        <v>29160</v>
      </c>
      <c r="R3134" s="58">
        <v>2.0</v>
      </c>
      <c r="CL3134" s="58" t="s">
        <v>29161</v>
      </c>
      <c r="CX3134" s="58" t="s">
        <v>28936</v>
      </c>
      <c r="CY3134" s="58" t="s">
        <v>28937</v>
      </c>
      <c r="CZ3134" s="58">
        <v>2017.0</v>
      </c>
      <c r="DA3134" s="58" t="s">
        <v>29162</v>
      </c>
      <c r="DB3134" s="58">
        <v>8065706.0</v>
      </c>
      <c r="DC3134" s="58">
        <v>24.0</v>
      </c>
      <c r="DD3134" s="58">
        <v>29.0</v>
      </c>
      <c r="DE3134" s="58">
        <v>5.0</v>
      </c>
      <c r="DF3134" s="58">
        <v>6.0</v>
      </c>
      <c r="DG3134" s="58" t="s">
        <v>29163</v>
      </c>
      <c r="DH3134" s="58" t="s">
        <v>22525</v>
      </c>
      <c r="DJ3134" s="58" t="s">
        <v>237</v>
      </c>
      <c r="DK3134" s="58" t="s">
        <v>29164</v>
      </c>
      <c r="DL3134" s="58" t="s">
        <v>29165</v>
      </c>
    </row>
    <row r="3135" ht="15.75" customHeight="1">
      <c r="B3135" s="58" t="s">
        <v>22515</v>
      </c>
      <c r="D3135" s="58" t="s">
        <v>29166</v>
      </c>
      <c r="E3135" s="58" t="s">
        <v>29167</v>
      </c>
      <c r="I3135" s="58" t="s">
        <v>29168</v>
      </c>
      <c r="Q3135" s="58">
        <v>8.0</v>
      </c>
      <c r="R3135" s="58">
        <v>20.0</v>
      </c>
      <c r="CL3135" s="58" t="s">
        <v>29169</v>
      </c>
      <c r="CP3135" s="58" t="s">
        <v>29170</v>
      </c>
      <c r="CX3135" s="58" t="s">
        <v>29171</v>
      </c>
      <c r="CY3135" s="58" t="s">
        <v>29172</v>
      </c>
      <c r="CZ3135" s="58">
        <v>2020.0</v>
      </c>
      <c r="DA3135" s="58" t="s">
        <v>27816</v>
      </c>
      <c r="DB3135" s="58">
        <v>2174.0</v>
      </c>
      <c r="DF3135" s="58">
        <v>21.0</v>
      </c>
      <c r="DG3135" s="58" t="s">
        <v>29173</v>
      </c>
      <c r="DH3135" s="58" t="s">
        <v>22525</v>
      </c>
      <c r="DI3135" s="58" t="s">
        <v>22643</v>
      </c>
      <c r="DJ3135" s="58" t="s">
        <v>237</v>
      </c>
      <c r="DK3135" s="58" t="s">
        <v>29174</v>
      </c>
      <c r="DL3135" s="58" t="s">
        <v>29175</v>
      </c>
    </row>
    <row r="3136" ht="15.75" customHeight="1">
      <c r="B3136" s="58" t="s">
        <v>22771</v>
      </c>
      <c r="D3136" s="58" t="s">
        <v>29176</v>
      </c>
      <c r="E3136" s="58" t="s">
        <v>29177</v>
      </c>
      <c r="I3136" s="58" t="s">
        <v>29178</v>
      </c>
      <c r="Q3136" s="58">
        <v>3.0</v>
      </c>
      <c r="R3136" s="58">
        <v>32.0</v>
      </c>
      <c r="CL3136" s="58" t="s">
        <v>29179</v>
      </c>
      <c r="CP3136" s="58" t="s">
        <v>29180</v>
      </c>
      <c r="CX3136" s="58" t="s">
        <v>29181</v>
      </c>
      <c r="CY3136" s="58" t="s">
        <v>29182</v>
      </c>
      <c r="CZ3136" s="58">
        <v>2020.0</v>
      </c>
      <c r="DA3136" s="58" t="s">
        <v>29183</v>
      </c>
      <c r="DB3136" s="58" t="s">
        <v>29184</v>
      </c>
      <c r="DF3136" s="58">
        <v>4.0</v>
      </c>
      <c r="DG3136" s="58" t="s">
        <v>29185</v>
      </c>
      <c r="DH3136" s="58" t="s">
        <v>22525</v>
      </c>
      <c r="DJ3136" s="58" t="s">
        <v>237</v>
      </c>
      <c r="DK3136" s="58" t="s">
        <v>29186</v>
      </c>
      <c r="DL3136" s="58" t="s">
        <v>29187</v>
      </c>
    </row>
    <row r="3137" ht="15.75" customHeight="1">
      <c r="B3137" s="58" t="s">
        <v>22515</v>
      </c>
      <c r="D3137" s="58" t="s">
        <v>29188</v>
      </c>
      <c r="E3137" s="58" t="s">
        <v>29189</v>
      </c>
      <c r="I3137" s="58" t="s">
        <v>29190</v>
      </c>
      <c r="Q3137" s="58">
        <v>2.0</v>
      </c>
      <c r="R3137" s="58">
        <v>12.0</v>
      </c>
      <c r="CL3137" s="58" t="s">
        <v>29191</v>
      </c>
      <c r="CX3137" s="58" t="s">
        <v>29192</v>
      </c>
      <c r="CY3137" s="58" t="s">
        <v>29193</v>
      </c>
      <c r="CZ3137" s="58">
        <v>2019.0</v>
      </c>
      <c r="DA3137" s="58" t="s">
        <v>29194</v>
      </c>
      <c r="DC3137" s="58">
        <v>175.0</v>
      </c>
      <c r="DD3137" s="58">
        <v>187.0</v>
      </c>
      <c r="DE3137" s="58">
        <v>12.0</v>
      </c>
      <c r="DF3137" s="58">
        <v>0.0</v>
      </c>
      <c r="DG3137" s="58" t="s">
        <v>29195</v>
      </c>
      <c r="DH3137" s="58" t="s">
        <v>22525</v>
      </c>
      <c r="DJ3137" s="58" t="s">
        <v>237</v>
      </c>
      <c r="DK3137" s="58" t="s">
        <v>29196</v>
      </c>
    </row>
    <row r="3138" ht="15.75" customHeight="1">
      <c r="B3138" s="58" t="s">
        <v>22771</v>
      </c>
      <c r="D3138" s="58" t="s">
        <v>29197</v>
      </c>
      <c r="E3138" s="58" t="s">
        <v>29198</v>
      </c>
      <c r="I3138" s="58" t="s">
        <v>29199</v>
      </c>
      <c r="R3138" s="58">
        <v>992.0</v>
      </c>
      <c r="CL3138" s="58" t="s">
        <v>29200</v>
      </c>
      <c r="CP3138" s="58" t="s">
        <v>29201</v>
      </c>
      <c r="CX3138" s="58" t="s">
        <v>29202</v>
      </c>
      <c r="CY3138" s="58" t="s">
        <v>29203</v>
      </c>
      <c r="CZ3138" s="58">
        <v>2019.0</v>
      </c>
      <c r="DA3138" s="58" t="s">
        <v>24360</v>
      </c>
      <c r="DC3138" s="58">
        <v>90.0</v>
      </c>
      <c r="DD3138" s="58">
        <v>115.0</v>
      </c>
      <c r="DE3138" s="58">
        <v>25.0</v>
      </c>
      <c r="DF3138" s="58">
        <v>0.0</v>
      </c>
      <c r="DG3138" s="58" t="s">
        <v>29204</v>
      </c>
      <c r="DH3138" s="58" t="s">
        <v>22525</v>
      </c>
      <c r="DJ3138" s="58" t="s">
        <v>237</v>
      </c>
      <c r="DK3138" s="58" t="s">
        <v>29205</v>
      </c>
      <c r="DL3138" s="58" t="s">
        <v>29206</v>
      </c>
    </row>
    <row r="3139" ht="15.75" customHeight="1">
      <c r="B3139" s="58" t="s">
        <v>22515</v>
      </c>
      <c r="D3139" s="58" t="s">
        <v>29207</v>
      </c>
      <c r="E3139" s="58" t="s">
        <v>29208</v>
      </c>
      <c r="I3139" s="58" t="s">
        <v>29209</v>
      </c>
      <c r="R3139" s="58">
        <v>147.0</v>
      </c>
      <c r="CL3139" s="58" t="s">
        <v>29210</v>
      </c>
      <c r="CP3139" s="58" t="s">
        <v>29211</v>
      </c>
      <c r="CX3139" s="58" t="s">
        <v>29212</v>
      </c>
      <c r="CY3139" s="58" t="s">
        <v>29213</v>
      </c>
      <c r="CZ3139" s="58">
        <v>2019.0</v>
      </c>
      <c r="DA3139" s="58" t="s">
        <v>22609</v>
      </c>
      <c r="DB3139" s="58">
        <v>102441.0</v>
      </c>
      <c r="DF3139" s="58">
        <v>37.0</v>
      </c>
      <c r="DG3139" s="58" t="s">
        <v>29214</v>
      </c>
      <c r="DH3139" s="58" t="s">
        <v>22525</v>
      </c>
      <c r="DJ3139" s="58" t="s">
        <v>237</v>
      </c>
      <c r="DK3139" s="58" t="s">
        <v>29215</v>
      </c>
      <c r="DL3139" s="58" t="s">
        <v>29216</v>
      </c>
    </row>
    <row r="3140" ht="15.75" customHeight="1">
      <c r="B3140" s="58" t="s">
        <v>22771</v>
      </c>
      <c r="D3140" s="58" t="s">
        <v>29217</v>
      </c>
      <c r="E3140" s="58" t="s">
        <v>29218</v>
      </c>
      <c r="I3140" s="58" t="s">
        <v>29219</v>
      </c>
      <c r="CL3140" s="58" t="s">
        <v>29220</v>
      </c>
      <c r="CP3140" s="58" t="s">
        <v>29221</v>
      </c>
      <c r="CX3140" s="58" t="s">
        <v>29222</v>
      </c>
      <c r="CY3140" s="58" t="s">
        <v>29223</v>
      </c>
      <c r="CZ3140" s="58">
        <v>2018.0</v>
      </c>
      <c r="DA3140" s="58" t="s">
        <v>29224</v>
      </c>
      <c r="DB3140" s="58">
        <v>8548274.0</v>
      </c>
      <c r="DF3140" s="58">
        <v>1.0</v>
      </c>
      <c r="DG3140" s="58" t="s">
        <v>29225</v>
      </c>
      <c r="DH3140" s="58" t="s">
        <v>22525</v>
      </c>
      <c r="DJ3140" s="58" t="s">
        <v>237</v>
      </c>
      <c r="DK3140" s="58" t="s">
        <v>29226</v>
      </c>
      <c r="DL3140" s="58" t="s">
        <v>29227</v>
      </c>
    </row>
    <row r="3141" ht="15.75" customHeight="1">
      <c r="B3141" s="58" t="s">
        <v>22771</v>
      </c>
      <c r="D3141" s="58" t="s">
        <v>29228</v>
      </c>
      <c r="E3141" s="58" t="s">
        <v>29229</v>
      </c>
      <c r="I3141" s="58" t="s">
        <v>29230</v>
      </c>
      <c r="CL3141" s="58" t="s">
        <v>29231</v>
      </c>
      <c r="CP3141" s="58" t="s">
        <v>29232</v>
      </c>
      <c r="CX3141" s="58" t="s">
        <v>29233</v>
      </c>
      <c r="CY3141" s="58" t="s">
        <v>29234</v>
      </c>
      <c r="CZ3141" s="58">
        <v>2019.0</v>
      </c>
      <c r="DA3141" s="58" t="s">
        <v>28253</v>
      </c>
      <c r="DC3141" s="58">
        <v>1063.0</v>
      </c>
      <c r="DD3141" s="58">
        <v>1075.0</v>
      </c>
      <c r="DE3141" s="58">
        <v>12.0</v>
      </c>
      <c r="DF3141" s="58">
        <v>153.0</v>
      </c>
      <c r="DG3141" s="58" t="s">
        <v>29235</v>
      </c>
      <c r="DH3141" s="58" t="s">
        <v>22525</v>
      </c>
      <c r="DI3141" s="58" t="s">
        <v>22656</v>
      </c>
      <c r="DJ3141" s="58" t="s">
        <v>237</v>
      </c>
      <c r="DK3141" s="58" t="s">
        <v>29236</v>
      </c>
      <c r="DL3141" s="58" t="s">
        <v>29237</v>
      </c>
    </row>
    <row r="3142" ht="15.75" customHeight="1">
      <c r="B3142" s="58" t="s">
        <v>22515</v>
      </c>
      <c r="D3142" s="58" t="s">
        <v>29238</v>
      </c>
      <c r="E3142" s="58" t="s">
        <v>29239</v>
      </c>
      <c r="I3142" s="58" t="s">
        <v>29240</v>
      </c>
      <c r="R3142" s="58">
        <v>230.0</v>
      </c>
      <c r="CL3142" s="58" t="s">
        <v>29241</v>
      </c>
      <c r="CP3142" s="58" t="s">
        <v>29242</v>
      </c>
      <c r="CX3142" s="58" t="s">
        <v>29243</v>
      </c>
      <c r="CY3142" s="58" t="s">
        <v>29244</v>
      </c>
      <c r="CZ3142" s="58">
        <v>2018.0</v>
      </c>
      <c r="DA3142" s="58" t="s">
        <v>29245</v>
      </c>
      <c r="DC3142" s="58">
        <v>95.0</v>
      </c>
      <c r="DD3142" s="58">
        <v>106.0</v>
      </c>
      <c r="DE3142" s="58">
        <v>11.0</v>
      </c>
      <c r="DF3142" s="58">
        <v>0.0</v>
      </c>
      <c r="DG3142" s="58" t="s">
        <v>29246</v>
      </c>
      <c r="DH3142" s="58" t="s">
        <v>22525</v>
      </c>
      <c r="DI3142" s="58" t="s">
        <v>22656</v>
      </c>
      <c r="DJ3142" s="58" t="s">
        <v>237</v>
      </c>
      <c r="DK3142" s="58" t="s">
        <v>29247</v>
      </c>
    </row>
    <row r="3143" ht="15.75" customHeight="1">
      <c r="B3143" s="58" t="s">
        <v>22515</v>
      </c>
      <c r="D3143" s="58" t="s">
        <v>29248</v>
      </c>
      <c r="E3143" s="58" t="s">
        <v>29249</v>
      </c>
      <c r="I3143" s="58" t="s">
        <v>29250</v>
      </c>
      <c r="Q3143" s="58">
        <v>3.0</v>
      </c>
      <c r="R3143" s="58">
        <v>12.0</v>
      </c>
      <c r="CL3143" s="58" t="s">
        <v>29251</v>
      </c>
      <c r="CP3143" s="58" t="s">
        <v>29252</v>
      </c>
      <c r="CX3143" s="58" t="s">
        <v>29253</v>
      </c>
      <c r="CY3143" s="58" t="s">
        <v>29254</v>
      </c>
      <c r="CZ3143" s="58">
        <v>2018.0</v>
      </c>
      <c r="DA3143" s="58" t="s">
        <v>20272</v>
      </c>
      <c r="DB3143" s="58">
        <v>7997730.0</v>
      </c>
      <c r="DC3143" s="58">
        <v>2832.0</v>
      </c>
      <c r="DD3143" s="58">
        <v>2841.0</v>
      </c>
      <c r="DE3143" s="58">
        <v>9.0</v>
      </c>
      <c r="DF3143" s="58">
        <v>31.0</v>
      </c>
      <c r="DG3143" s="58" t="s">
        <v>29255</v>
      </c>
      <c r="DH3143" s="58" t="s">
        <v>22525</v>
      </c>
      <c r="DI3143" s="58" t="s">
        <v>22816</v>
      </c>
      <c r="DJ3143" s="58" t="s">
        <v>237</v>
      </c>
      <c r="DK3143" s="58" t="s">
        <v>29256</v>
      </c>
      <c r="DL3143" s="58" t="s">
        <v>29257</v>
      </c>
    </row>
    <row r="3144" ht="15.75" customHeight="1">
      <c r="B3144" s="58" t="s">
        <v>22515</v>
      </c>
      <c r="D3144" s="58" t="s">
        <v>29258</v>
      </c>
      <c r="E3144" s="58" t="s">
        <v>29259</v>
      </c>
      <c r="I3144" s="58" t="s">
        <v>29260</v>
      </c>
      <c r="Q3144" s="58">
        <v>4.0</v>
      </c>
      <c r="R3144" s="58">
        <v>11.0</v>
      </c>
      <c r="CL3144" s="58" t="s">
        <v>29261</v>
      </c>
      <c r="CP3144" s="58" t="s">
        <v>29262</v>
      </c>
      <c r="CX3144" s="58" t="s">
        <v>29263</v>
      </c>
      <c r="CY3144" s="58">
        <v>6.603025677E9</v>
      </c>
      <c r="CZ3144" s="58">
        <v>2019.0</v>
      </c>
      <c r="DA3144" s="58" t="s">
        <v>23398</v>
      </c>
      <c r="DB3144" s="58">
        <v>101.0</v>
      </c>
      <c r="DF3144" s="58">
        <v>3.0</v>
      </c>
      <c r="DG3144" s="58" t="s">
        <v>29264</v>
      </c>
      <c r="DH3144" s="58" t="s">
        <v>22525</v>
      </c>
      <c r="DI3144" s="58" t="s">
        <v>22643</v>
      </c>
      <c r="DJ3144" s="58" t="s">
        <v>237</v>
      </c>
      <c r="DK3144" s="58" t="s">
        <v>29265</v>
      </c>
      <c r="DL3144" s="58" t="s">
        <v>29266</v>
      </c>
    </row>
    <row r="3145" ht="15.75" customHeight="1">
      <c r="B3145" s="58" t="s">
        <v>22771</v>
      </c>
      <c r="D3145" s="58" t="s">
        <v>29267</v>
      </c>
      <c r="E3145" s="58" t="s">
        <v>29268</v>
      </c>
      <c r="I3145" s="58" t="s">
        <v>29269</v>
      </c>
      <c r="R3145" s="58" t="s">
        <v>29270</v>
      </c>
      <c r="CL3145" s="58" t="s">
        <v>29271</v>
      </c>
      <c r="CP3145" s="58" t="s">
        <v>29272</v>
      </c>
      <c r="CX3145" s="58" t="s">
        <v>29273</v>
      </c>
      <c r="CY3145" s="58" t="s">
        <v>29274</v>
      </c>
      <c r="CZ3145" s="58">
        <v>2017.0</v>
      </c>
      <c r="DA3145" s="58" t="s">
        <v>24608</v>
      </c>
      <c r="DC3145" s="58">
        <v>206.0</v>
      </c>
      <c r="DD3145" s="58">
        <v>220.0</v>
      </c>
      <c r="DE3145" s="58">
        <v>14.0</v>
      </c>
      <c r="DF3145" s="58">
        <v>18.0</v>
      </c>
      <c r="DG3145" s="58" t="s">
        <v>29275</v>
      </c>
      <c r="DH3145" s="58" t="s">
        <v>22525</v>
      </c>
      <c r="DJ3145" s="58" t="s">
        <v>237</v>
      </c>
      <c r="DK3145" s="58" t="s">
        <v>29276</v>
      </c>
      <c r="DL3145" s="58" t="s">
        <v>29277</v>
      </c>
    </row>
    <row r="3146" ht="15.75" customHeight="1">
      <c r="B3146" s="58" t="s">
        <v>22515</v>
      </c>
      <c r="D3146" s="58" t="s">
        <v>29278</v>
      </c>
      <c r="E3146" s="58" t="s">
        <v>29279</v>
      </c>
      <c r="I3146" s="58" t="s">
        <v>29280</v>
      </c>
      <c r="Q3146" s="58">
        <v>2.0</v>
      </c>
      <c r="R3146" s="58">
        <v>1.0</v>
      </c>
      <c r="CL3146" s="58" t="s">
        <v>29281</v>
      </c>
      <c r="CP3146" s="58" t="s">
        <v>29282</v>
      </c>
      <c r="CX3146" s="58" t="s">
        <v>29283</v>
      </c>
      <c r="CY3146" s="58" t="s">
        <v>29284</v>
      </c>
      <c r="CZ3146" s="58">
        <v>2016.0</v>
      </c>
      <c r="DA3146" s="58" t="s">
        <v>18018</v>
      </c>
      <c r="DB3146" s="58">
        <v>7836325.0</v>
      </c>
      <c r="DC3146" s="58">
        <v>40.0</v>
      </c>
      <c r="DD3146" s="58">
        <v>43.0</v>
      </c>
      <c r="DE3146" s="58">
        <v>3.0</v>
      </c>
      <c r="DF3146" s="58">
        <v>30.0</v>
      </c>
      <c r="DG3146" s="58" t="s">
        <v>29285</v>
      </c>
      <c r="DH3146" s="58" t="s">
        <v>22525</v>
      </c>
      <c r="DI3146" s="58" t="s">
        <v>22816</v>
      </c>
      <c r="DJ3146" s="58" t="s">
        <v>237</v>
      </c>
      <c r="DK3146" s="58" t="s">
        <v>29286</v>
      </c>
      <c r="DL3146" s="58" t="s">
        <v>29287</v>
      </c>
    </row>
    <row r="3147" ht="15.75" customHeight="1">
      <c r="B3147" s="58" t="s">
        <v>22515</v>
      </c>
      <c r="D3147" s="58" t="s">
        <v>29288</v>
      </c>
      <c r="E3147" s="58" t="s">
        <v>29289</v>
      </c>
      <c r="I3147" s="58" t="s">
        <v>29290</v>
      </c>
      <c r="R3147" s="58">
        <v>94.0</v>
      </c>
      <c r="CL3147" s="58" t="s">
        <v>29291</v>
      </c>
      <c r="CP3147" s="58" t="s">
        <v>29292</v>
      </c>
      <c r="CX3147" s="58" t="s">
        <v>29293</v>
      </c>
      <c r="CY3147" s="58" t="s">
        <v>29294</v>
      </c>
      <c r="CZ3147" s="58">
        <v>2016.0</v>
      </c>
      <c r="DA3147" s="58" t="s">
        <v>23053</v>
      </c>
      <c r="DC3147" s="58">
        <v>1.0</v>
      </c>
      <c r="DD3147" s="58">
        <v>29.0</v>
      </c>
      <c r="DE3147" s="58">
        <v>28.0</v>
      </c>
      <c r="DF3147" s="58">
        <v>161.0</v>
      </c>
      <c r="DG3147" s="58" t="s">
        <v>29295</v>
      </c>
      <c r="DH3147" s="58" t="s">
        <v>22525</v>
      </c>
      <c r="DJ3147" s="58" t="s">
        <v>237</v>
      </c>
      <c r="DK3147" s="58" t="s">
        <v>29296</v>
      </c>
      <c r="DL3147" s="58" t="s">
        <v>29297</v>
      </c>
    </row>
  </sheetData>
  <autoFilter ref="$A$1:$DL$3147"/>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8" max="8" width="19.86"/>
    <col customWidth="1" min="9" max="9" width="14.86"/>
    <col customWidth="1" min="10" max="11" width="43.0"/>
    <col customWidth="1" min="12" max="12" width="21.29"/>
    <col customWidth="1" min="18" max="18" width="20.0"/>
    <col customWidth="1" min="19" max="20" width="16.57"/>
    <col customWidth="1" min="21" max="21" width="15.0"/>
    <col customWidth="1" min="23" max="23" width="43.0"/>
    <col customWidth="1" min="25" max="25" width="25.14"/>
    <col customWidth="1" min="26" max="26" width="14.57"/>
    <col customWidth="1" min="27" max="27" width="43.0"/>
    <col customWidth="1" min="28" max="28" width="18.29"/>
    <col customWidth="1" min="29" max="30" width="26.14"/>
    <col customWidth="1" min="31" max="31" width="21.71"/>
    <col customWidth="1" min="33" max="33" width="16.14"/>
    <col customWidth="1" min="34" max="34" width="18.71"/>
    <col customWidth="1" min="35" max="36" width="43.0"/>
    <col customWidth="1" min="38" max="38" width="43.0"/>
    <col customWidth="1" min="40" max="40" width="15.86"/>
    <col customWidth="1" min="41" max="41" width="15.0"/>
    <col customWidth="1" min="42" max="42" width="16.86"/>
    <col customWidth="1" min="44" max="44" width="43.0"/>
    <col customWidth="1" min="45" max="45" width="22.57"/>
    <col customWidth="1" min="46" max="46" width="43.0"/>
    <col customWidth="1" min="48" max="48" width="21.86"/>
    <col customWidth="1" min="49" max="49" width="43.0"/>
    <col customWidth="1" min="50" max="50" width="19.71"/>
    <col customWidth="1" min="51" max="51" width="22.86"/>
    <col customWidth="1" min="52" max="52" width="22.29"/>
  </cols>
  <sheetData>
    <row r="1" ht="22.5" customHeight="1">
      <c r="A1" s="69" t="s">
        <v>29298</v>
      </c>
      <c r="B1" s="69" t="s">
        <v>29299</v>
      </c>
      <c r="C1" s="69" t="s">
        <v>29300</v>
      </c>
      <c r="D1" s="69" t="s">
        <v>29301</v>
      </c>
      <c r="E1" s="69" t="s">
        <v>29302</v>
      </c>
      <c r="F1" s="69" t="s">
        <v>29303</v>
      </c>
      <c r="G1" s="69" t="s">
        <v>29304</v>
      </c>
      <c r="H1" s="69" t="s">
        <v>273</v>
      </c>
      <c r="I1" s="69" t="s">
        <v>29305</v>
      </c>
      <c r="J1" s="69" t="s">
        <v>268</v>
      </c>
      <c r="K1" s="69" t="s">
        <v>269</v>
      </c>
      <c r="L1" s="69" t="s">
        <v>270</v>
      </c>
      <c r="M1" s="69" t="s">
        <v>271</v>
      </c>
      <c r="N1" s="69" t="s">
        <v>272</v>
      </c>
      <c r="O1" s="69" t="s">
        <v>274</v>
      </c>
      <c r="P1" s="69" t="s">
        <v>253</v>
      </c>
      <c r="Q1" s="69" t="s">
        <v>285</v>
      </c>
      <c r="R1" s="69" t="s">
        <v>286</v>
      </c>
      <c r="S1" s="69" t="s">
        <v>287</v>
      </c>
      <c r="T1" s="69" t="s">
        <v>288</v>
      </c>
      <c r="U1" s="69" t="s">
        <v>289</v>
      </c>
      <c r="V1" s="69" t="s">
        <v>290</v>
      </c>
      <c r="W1" s="69" t="s">
        <v>351</v>
      </c>
      <c r="X1" s="69" t="s">
        <v>352</v>
      </c>
      <c r="Y1" s="69" t="s">
        <v>353</v>
      </c>
      <c r="Z1" s="69" t="s">
        <v>354</v>
      </c>
      <c r="AA1" s="69" t="s">
        <v>355</v>
      </c>
      <c r="AB1" s="69" t="s">
        <v>356</v>
      </c>
      <c r="AC1" s="69" t="s">
        <v>357</v>
      </c>
      <c r="AD1" s="69" t="s">
        <v>358</v>
      </c>
      <c r="AE1" s="69" t="s">
        <v>359</v>
      </c>
      <c r="AF1" s="69" t="s">
        <v>360</v>
      </c>
      <c r="AG1" s="69" t="s">
        <v>361</v>
      </c>
      <c r="AH1" s="69" t="s">
        <v>362</v>
      </c>
      <c r="AI1" s="69" t="s">
        <v>363</v>
      </c>
      <c r="AJ1" s="69" t="s">
        <v>364</v>
      </c>
      <c r="AK1" s="69" t="s">
        <v>365</v>
      </c>
      <c r="AL1" s="69" t="s">
        <v>366</v>
      </c>
      <c r="AM1" s="69" t="s">
        <v>367</v>
      </c>
      <c r="AN1" s="69" t="s">
        <v>368</v>
      </c>
      <c r="AO1" s="69" t="s">
        <v>369</v>
      </c>
      <c r="AP1" s="69" t="s">
        <v>370</v>
      </c>
      <c r="AQ1" s="69" t="s">
        <v>371</v>
      </c>
      <c r="AR1" s="69" t="s">
        <v>372</v>
      </c>
      <c r="AS1" s="69" t="s">
        <v>373</v>
      </c>
      <c r="AT1" s="69" t="s">
        <v>374</v>
      </c>
      <c r="AU1" s="69" t="s">
        <v>375</v>
      </c>
      <c r="AV1" s="69" t="s">
        <v>376</v>
      </c>
      <c r="AW1" s="69" t="s">
        <v>377</v>
      </c>
      <c r="AX1" s="69" t="s">
        <v>29306</v>
      </c>
      <c r="AY1" s="69" t="s">
        <v>29307</v>
      </c>
      <c r="AZ1" s="69" t="s">
        <v>29308</v>
      </c>
    </row>
    <row r="2" ht="22.5" customHeight="1">
      <c r="A2" s="70" t="str">
        <f t="shared" ref="A2:A3147" si="1">IF(B2&gt;0, "Included", "Excluded")</f>
        <v>Included</v>
      </c>
      <c r="B2" s="70">
        <f t="shared" ref="B2:B3147" si="2">SUM(C2:G2)</f>
        <v>5</v>
      </c>
      <c r="C2" s="70">
        <v>1.0</v>
      </c>
      <c r="D2" s="70">
        <v>1.0</v>
      </c>
      <c r="E2" s="70">
        <v>1.0</v>
      </c>
      <c r="F2" s="70">
        <v>1.0</v>
      </c>
      <c r="G2" s="70">
        <v>1.0</v>
      </c>
      <c r="H2" s="70" t="s">
        <v>22808</v>
      </c>
      <c r="I2" s="70">
        <v>2516.0</v>
      </c>
      <c r="J2" s="70" t="s">
        <v>22806</v>
      </c>
      <c r="K2" s="70" t="s">
        <v>22807</v>
      </c>
      <c r="W2" s="70" t="s">
        <v>29309</v>
      </c>
      <c r="AA2" s="70" t="s">
        <v>22810</v>
      </c>
      <c r="AI2" s="70" t="s">
        <v>22811</v>
      </c>
      <c r="AJ2" s="70" t="s">
        <v>22812</v>
      </c>
      <c r="AK2" s="70">
        <v>2025.0</v>
      </c>
      <c r="AL2" s="70" t="s">
        <v>22813</v>
      </c>
      <c r="AM2" s="70" t="s">
        <v>22814</v>
      </c>
      <c r="AQ2" s="70">
        <v>11.0</v>
      </c>
      <c r="AR2" s="75" t="s">
        <v>22815</v>
      </c>
      <c r="AS2" s="70" t="s">
        <v>22525</v>
      </c>
      <c r="AT2" s="70" t="s">
        <v>22816</v>
      </c>
      <c r="AU2" s="70" t="s">
        <v>237</v>
      </c>
      <c r="AV2" s="70" t="s">
        <v>22817</v>
      </c>
      <c r="AW2" s="70" t="s">
        <v>22818</v>
      </c>
      <c r="AX2" s="70">
        <v>0.0</v>
      </c>
      <c r="AY2" s="70" t="s">
        <v>22</v>
      </c>
      <c r="AZ2" s="70">
        <v>77.0</v>
      </c>
    </row>
    <row r="3" ht="22.5" customHeight="1">
      <c r="A3" s="70" t="str">
        <f t="shared" si="1"/>
        <v>Included</v>
      </c>
      <c r="B3" s="70">
        <f t="shared" si="2"/>
        <v>5</v>
      </c>
      <c r="C3" s="70">
        <v>1.0</v>
      </c>
      <c r="D3" s="70">
        <v>1.0</v>
      </c>
      <c r="E3" s="70">
        <v>1.0</v>
      </c>
      <c r="F3" s="70">
        <v>1.0</v>
      </c>
      <c r="G3" s="70">
        <v>1.0</v>
      </c>
      <c r="H3" s="70" t="s">
        <v>23457</v>
      </c>
      <c r="I3" s="70">
        <v>2577.0</v>
      </c>
      <c r="J3" s="70" t="s">
        <v>23455</v>
      </c>
      <c r="K3" s="70" t="s">
        <v>23456</v>
      </c>
      <c r="W3" s="70" t="s">
        <v>29310</v>
      </c>
      <c r="AA3" s="70" t="s">
        <v>23459</v>
      </c>
      <c r="AI3" s="70" t="s">
        <v>23460</v>
      </c>
      <c r="AJ3" s="70" t="s">
        <v>23461</v>
      </c>
      <c r="AK3" s="70">
        <v>2024.0</v>
      </c>
      <c r="AL3" s="70" t="s">
        <v>23462</v>
      </c>
      <c r="AN3" s="70">
        <v>1596.0</v>
      </c>
      <c r="AO3" s="70">
        <v>1620.0</v>
      </c>
      <c r="AP3" s="70">
        <v>24.0</v>
      </c>
      <c r="AQ3" s="70">
        <v>5.0</v>
      </c>
      <c r="AR3" s="75" t="s">
        <v>23463</v>
      </c>
      <c r="AS3" s="70" t="s">
        <v>22525</v>
      </c>
      <c r="AU3" s="70" t="s">
        <v>237</v>
      </c>
      <c r="AV3" s="70" t="s">
        <v>23464</v>
      </c>
      <c r="AW3" s="70" t="s">
        <v>23465</v>
      </c>
      <c r="AX3" s="70">
        <v>0.0</v>
      </c>
      <c r="AY3" s="70" t="s">
        <v>22</v>
      </c>
      <c r="AZ3" s="70">
        <v>63.0</v>
      </c>
    </row>
    <row r="4" ht="22.5" customHeight="1">
      <c r="A4" s="70" t="str">
        <f t="shared" si="1"/>
        <v>Included</v>
      </c>
      <c r="B4" s="70">
        <f t="shared" si="2"/>
        <v>4</v>
      </c>
      <c r="C4" s="70">
        <v>1.0</v>
      </c>
      <c r="D4" s="70">
        <v>1.0</v>
      </c>
      <c r="E4" s="70">
        <v>1.0</v>
      </c>
      <c r="F4" s="70">
        <v>1.0</v>
      </c>
      <c r="G4" s="70">
        <v>0.0</v>
      </c>
      <c r="H4" s="70" t="s">
        <v>29199</v>
      </c>
      <c r="I4" s="70">
        <v>3136.0</v>
      </c>
      <c r="J4" s="70" t="s">
        <v>29197</v>
      </c>
      <c r="K4" s="70" t="s">
        <v>29198</v>
      </c>
      <c r="W4" s="70" t="s">
        <v>29311</v>
      </c>
      <c r="AA4" s="70" t="s">
        <v>29201</v>
      </c>
      <c r="AI4" s="70" t="s">
        <v>29202</v>
      </c>
      <c r="AJ4" s="70" t="s">
        <v>29203</v>
      </c>
      <c r="AK4" s="70">
        <v>2019.0</v>
      </c>
      <c r="AL4" s="70" t="s">
        <v>24360</v>
      </c>
      <c r="AN4" s="70">
        <v>90.0</v>
      </c>
      <c r="AO4" s="70">
        <v>115.0</v>
      </c>
      <c r="AP4" s="70">
        <v>25.0</v>
      </c>
      <c r="AQ4" s="70">
        <v>0.0</v>
      </c>
      <c r="AR4" s="75" t="s">
        <v>29204</v>
      </c>
      <c r="AS4" s="70" t="s">
        <v>22525</v>
      </c>
      <c r="AU4" s="70" t="s">
        <v>237</v>
      </c>
      <c r="AV4" s="70" t="s">
        <v>29205</v>
      </c>
      <c r="AW4" s="70" t="s">
        <v>29206</v>
      </c>
      <c r="AX4" s="70">
        <v>0.0</v>
      </c>
      <c r="AY4" s="70" t="s">
        <v>24</v>
      </c>
      <c r="AZ4" s="70">
        <v>2146.0</v>
      </c>
    </row>
    <row r="5" ht="22.5" customHeight="1">
      <c r="A5" s="70" t="str">
        <f t="shared" si="1"/>
        <v>Included</v>
      </c>
      <c r="B5" s="70">
        <f t="shared" si="2"/>
        <v>4</v>
      </c>
      <c r="C5" s="70">
        <v>1.0</v>
      </c>
      <c r="D5" s="70">
        <v>1.0</v>
      </c>
      <c r="E5" s="70">
        <v>1.0</v>
      </c>
      <c r="F5" s="70">
        <v>0.0</v>
      </c>
      <c r="G5" s="70">
        <v>1.0</v>
      </c>
      <c r="H5" s="70" t="s">
        <v>1477</v>
      </c>
      <c r="I5" s="70">
        <v>100.0</v>
      </c>
      <c r="J5" s="70" t="s">
        <v>1473</v>
      </c>
      <c r="K5" s="70" t="s">
        <v>1474</v>
      </c>
      <c r="L5" s="70" t="s">
        <v>29312</v>
      </c>
      <c r="M5" s="70" t="s">
        <v>1476</v>
      </c>
      <c r="O5" s="75" t="s">
        <v>1478</v>
      </c>
      <c r="P5" s="70">
        <v>2020.0</v>
      </c>
      <c r="U5" s="70" t="s">
        <v>387</v>
      </c>
      <c r="V5" s="70" t="s">
        <v>388</v>
      </c>
      <c r="W5" s="70" t="s">
        <v>1480</v>
      </c>
      <c r="AW5" s="70" t="s">
        <v>1481</v>
      </c>
      <c r="AX5" s="70">
        <v>0.0</v>
      </c>
      <c r="AY5" s="70" t="s">
        <v>22</v>
      </c>
      <c r="AZ5" s="70">
        <v>49.0</v>
      </c>
    </row>
    <row r="6" ht="22.5" customHeight="1">
      <c r="A6" s="70" t="str">
        <f t="shared" si="1"/>
        <v>Included</v>
      </c>
      <c r="B6" s="70">
        <f t="shared" si="2"/>
        <v>5</v>
      </c>
      <c r="C6" s="70">
        <v>1.0</v>
      </c>
      <c r="D6" s="70">
        <v>1.0</v>
      </c>
      <c r="E6" s="70">
        <v>1.0</v>
      </c>
      <c r="F6" s="70">
        <v>1.0</v>
      </c>
      <c r="G6" s="70">
        <v>1.0</v>
      </c>
      <c r="H6" s="70" t="s">
        <v>28170</v>
      </c>
      <c r="I6" s="70">
        <v>3035.0</v>
      </c>
      <c r="J6" s="70" t="s">
        <v>28168</v>
      </c>
      <c r="K6" s="70" t="s">
        <v>28169</v>
      </c>
      <c r="W6" s="70" t="s">
        <v>29313</v>
      </c>
      <c r="AA6" s="70" t="s">
        <v>28172</v>
      </c>
      <c r="AI6" s="70" t="s">
        <v>28173</v>
      </c>
      <c r="AJ6" s="70" t="s">
        <v>28174</v>
      </c>
      <c r="AK6" s="70">
        <v>2021.0</v>
      </c>
      <c r="AL6" s="70" t="s">
        <v>24360</v>
      </c>
      <c r="AN6" s="70">
        <v>65.0</v>
      </c>
      <c r="AO6" s="70">
        <v>72.0</v>
      </c>
      <c r="AP6" s="70">
        <v>7.0</v>
      </c>
      <c r="AQ6" s="70">
        <v>6.0</v>
      </c>
      <c r="AR6" s="75" t="s">
        <v>28175</v>
      </c>
      <c r="AS6" s="70" t="s">
        <v>22525</v>
      </c>
      <c r="AU6" s="70" t="s">
        <v>237</v>
      </c>
      <c r="AV6" s="70" t="s">
        <v>28176</v>
      </c>
      <c r="AW6" s="70" t="s">
        <v>28177</v>
      </c>
      <c r="AX6" s="70">
        <v>0.0</v>
      </c>
      <c r="AY6" s="70" t="s">
        <v>22</v>
      </c>
      <c r="AZ6" s="70">
        <v>131.0</v>
      </c>
    </row>
    <row r="7" ht="22.5" customHeight="1">
      <c r="A7" s="70" t="str">
        <f t="shared" si="1"/>
        <v>Included</v>
      </c>
      <c r="B7" s="70">
        <f t="shared" si="2"/>
        <v>5</v>
      </c>
      <c r="C7" s="70">
        <v>1.0</v>
      </c>
      <c r="D7" s="70">
        <v>1.0</v>
      </c>
      <c r="E7" s="70">
        <v>1.0</v>
      </c>
      <c r="F7" s="70">
        <v>1.0</v>
      </c>
      <c r="G7" s="70">
        <v>1.0</v>
      </c>
      <c r="H7" s="70" t="s">
        <v>26906</v>
      </c>
      <c r="I7" s="70">
        <v>2912.0</v>
      </c>
      <c r="J7" s="70" t="s">
        <v>26904</v>
      </c>
      <c r="K7" s="70" t="s">
        <v>26905</v>
      </c>
      <c r="W7" s="70" t="s">
        <v>29314</v>
      </c>
      <c r="AA7" s="70" t="s">
        <v>26908</v>
      </c>
      <c r="AI7" s="70" t="s">
        <v>26909</v>
      </c>
      <c r="AJ7" s="70" t="s">
        <v>26910</v>
      </c>
      <c r="AK7" s="70">
        <v>2022.0</v>
      </c>
      <c r="AL7" s="70" t="s">
        <v>23905</v>
      </c>
      <c r="AN7" s="70">
        <v>209.0</v>
      </c>
      <c r="AO7" s="70">
        <v>228.0</v>
      </c>
      <c r="AP7" s="70">
        <v>19.0</v>
      </c>
      <c r="AQ7" s="70">
        <v>0.0</v>
      </c>
      <c r="AR7" s="75" t="s">
        <v>26911</v>
      </c>
      <c r="AS7" s="70" t="s">
        <v>22525</v>
      </c>
      <c r="AU7" s="70" t="s">
        <v>237</v>
      </c>
      <c r="AV7" s="70" t="s">
        <v>26912</v>
      </c>
      <c r="AX7" s="70">
        <v>0.0</v>
      </c>
      <c r="AY7" s="70" t="s">
        <v>22</v>
      </c>
      <c r="AZ7" s="70">
        <v>136.0</v>
      </c>
    </row>
    <row r="8" ht="22.5" customHeight="1">
      <c r="A8" s="70" t="str">
        <f t="shared" si="1"/>
        <v>Included</v>
      </c>
      <c r="B8" s="70">
        <f t="shared" si="2"/>
        <v>1</v>
      </c>
      <c r="C8" s="70">
        <v>0.0</v>
      </c>
      <c r="D8" s="70">
        <v>0.0</v>
      </c>
      <c r="E8" s="70">
        <v>0.0</v>
      </c>
      <c r="F8" s="70">
        <v>0.0</v>
      </c>
      <c r="G8" s="70">
        <v>1.0</v>
      </c>
      <c r="H8" s="70" t="s">
        <v>788</v>
      </c>
      <c r="I8" s="70">
        <v>36.0</v>
      </c>
      <c r="J8" s="70" t="s">
        <v>784</v>
      </c>
      <c r="K8" s="70" t="s">
        <v>785</v>
      </c>
      <c r="L8" s="70" t="s">
        <v>29315</v>
      </c>
      <c r="M8" s="70" t="s">
        <v>787</v>
      </c>
      <c r="O8" s="75" t="s">
        <v>789</v>
      </c>
      <c r="P8" s="70">
        <v>2022.0</v>
      </c>
      <c r="U8" s="70" t="s">
        <v>387</v>
      </c>
      <c r="V8" s="70" t="s">
        <v>388</v>
      </c>
      <c r="W8" s="70" t="s">
        <v>792</v>
      </c>
      <c r="AW8" s="70" t="s">
        <v>793</v>
      </c>
      <c r="AX8" s="70">
        <v>0.0</v>
      </c>
      <c r="AY8" s="70" t="s">
        <v>29316</v>
      </c>
      <c r="AZ8" s="70">
        <v>84.0</v>
      </c>
    </row>
    <row r="9" ht="22.5" customHeight="1">
      <c r="A9" s="70" t="str">
        <f t="shared" si="1"/>
        <v>Included</v>
      </c>
      <c r="B9" s="70">
        <f t="shared" si="2"/>
        <v>4</v>
      </c>
      <c r="C9" s="70">
        <v>1.0</v>
      </c>
      <c r="D9" s="70">
        <v>1.0</v>
      </c>
      <c r="E9" s="70">
        <v>1.0</v>
      </c>
      <c r="F9" s="70">
        <v>1.0</v>
      </c>
      <c r="G9" s="70">
        <v>0.0</v>
      </c>
      <c r="H9" s="70" t="s">
        <v>2814</v>
      </c>
      <c r="I9" s="70">
        <v>226.0</v>
      </c>
      <c r="J9" s="70" t="s">
        <v>2810</v>
      </c>
      <c r="K9" s="70" t="s">
        <v>2811</v>
      </c>
      <c r="L9" s="70" t="s">
        <v>29317</v>
      </c>
      <c r="M9" s="70" t="s">
        <v>2813</v>
      </c>
      <c r="O9" s="75" t="s">
        <v>2815</v>
      </c>
      <c r="P9" s="70">
        <v>2022.0</v>
      </c>
      <c r="U9" s="70" t="s">
        <v>387</v>
      </c>
      <c r="V9" s="70" t="s">
        <v>388</v>
      </c>
      <c r="W9" s="70" t="s">
        <v>2817</v>
      </c>
      <c r="AW9" s="70" t="s">
        <v>2818</v>
      </c>
      <c r="AZ9" s="70">
        <v>302.0</v>
      </c>
    </row>
    <row r="10" ht="22.5" customHeight="1">
      <c r="A10" s="70" t="str">
        <f t="shared" si="1"/>
        <v>Included</v>
      </c>
      <c r="B10" s="70">
        <f t="shared" si="2"/>
        <v>4</v>
      </c>
      <c r="C10" s="70">
        <v>1.0</v>
      </c>
      <c r="D10" s="70">
        <v>1.0</v>
      </c>
      <c r="E10" s="70">
        <v>1.0</v>
      </c>
      <c r="F10" s="70">
        <v>1.0</v>
      </c>
      <c r="G10" s="70">
        <v>0.0</v>
      </c>
      <c r="H10" s="70" t="s">
        <v>890</v>
      </c>
      <c r="I10" s="70">
        <v>45.0</v>
      </c>
      <c r="J10" s="70" t="s">
        <v>886</v>
      </c>
      <c r="K10" s="70" t="s">
        <v>887</v>
      </c>
      <c r="L10" s="70" t="s">
        <v>29318</v>
      </c>
      <c r="M10" s="70" t="s">
        <v>889</v>
      </c>
      <c r="O10" s="75" t="s">
        <v>891</v>
      </c>
      <c r="P10" s="70">
        <v>2022.0</v>
      </c>
      <c r="U10" s="70" t="s">
        <v>387</v>
      </c>
      <c r="V10" s="70" t="s">
        <v>388</v>
      </c>
      <c r="W10" s="70" t="s">
        <v>893</v>
      </c>
      <c r="AX10" s="70">
        <v>0.0</v>
      </c>
      <c r="AY10" s="70" t="s">
        <v>24</v>
      </c>
      <c r="AZ10" s="70">
        <v>1912.0</v>
      </c>
    </row>
    <row r="11" ht="22.5" customHeight="1">
      <c r="A11" s="70" t="str">
        <f t="shared" si="1"/>
        <v>Included</v>
      </c>
      <c r="B11" s="70">
        <f t="shared" si="2"/>
        <v>5</v>
      </c>
      <c r="C11" s="70">
        <v>1.0</v>
      </c>
      <c r="D11" s="70">
        <v>1.0</v>
      </c>
      <c r="E11" s="70">
        <v>1.0</v>
      </c>
      <c r="F11" s="70">
        <v>1.0</v>
      </c>
      <c r="G11" s="70">
        <v>1.0</v>
      </c>
      <c r="H11" s="70" t="s">
        <v>480</v>
      </c>
      <c r="I11" s="70">
        <v>8.0</v>
      </c>
      <c r="J11" s="70" t="s">
        <v>476</v>
      </c>
      <c r="K11" s="70" t="s">
        <v>477</v>
      </c>
      <c r="L11" s="70" t="s">
        <v>29319</v>
      </c>
      <c r="M11" s="70" t="s">
        <v>479</v>
      </c>
      <c r="O11" s="75" t="s">
        <v>481</v>
      </c>
      <c r="P11" s="70">
        <v>2023.0</v>
      </c>
      <c r="U11" s="70" t="s">
        <v>387</v>
      </c>
      <c r="V11" s="70" t="s">
        <v>388</v>
      </c>
      <c r="W11" s="70" t="s">
        <v>484</v>
      </c>
      <c r="AW11" s="70" t="s">
        <v>485</v>
      </c>
      <c r="AX11" s="70">
        <v>0.0</v>
      </c>
      <c r="AY11" s="70" t="s">
        <v>22</v>
      </c>
      <c r="AZ11" s="70">
        <v>107.0</v>
      </c>
    </row>
    <row r="12" ht="22.5" customHeight="1">
      <c r="A12" s="70" t="str">
        <f t="shared" si="1"/>
        <v>Included</v>
      </c>
      <c r="B12" s="70">
        <f t="shared" si="2"/>
        <v>5</v>
      </c>
      <c r="C12" s="70">
        <v>1.0</v>
      </c>
      <c r="D12" s="70">
        <v>1.0</v>
      </c>
      <c r="E12" s="70">
        <v>1.0</v>
      </c>
      <c r="F12" s="70">
        <v>1.0</v>
      </c>
      <c r="G12" s="70">
        <v>1.0</v>
      </c>
      <c r="H12" s="70" t="s">
        <v>541</v>
      </c>
      <c r="I12" s="70">
        <v>14.0</v>
      </c>
      <c r="J12" s="70" t="s">
        <v>537</v>
      </c>
      <c r="K12" s="70" t="s">
        <v>538</v>
      </c>
      <c r="L12" s="70" t="s">
        <v>29320</v>
      </c>
      <c r="M12" s="70" t="s">
        <v>540</v>
      </c>
      <c r="O12" s="75" t="s">
        <v>542</v>
      </c>
      <c r="P12" s="70">
        <v>2023.0</v>
      </c>
      <c r="U12" s="70" t="s">
        <v>387</v>
      </c>
      <c r="V12" s="70" t="s">
        <v>388</v>
      </c>
      <c r="W12" s="70" t="s">
        <v>545</v>
      </c>
      <c r="AX12" s="70">
        <v>0.0</v>
      </c>
      <c r="AY12" s="70" t="s">
        <v>22</v>
      </c>
      <c r="AZ12" s="70">
        <v>73.0</v>
      </c>
    </row>
    <row r="13" ht="22.5" customHeight="1">
      <c r="A13" s="70" t="str">
        <f t="shared" si="1"/>
        <v>Included</v>
      </c>
      <c r="B13" s="70">
        <f t="shared" si="2"/>
        <v>4</v>
      </c>
      <c r="C13" s="70">
        <v>1.0</v>
      </c>
      <c r="D13" s="70">
        <v>1.0</v>
      </c>
      <c r="E13" s="70">
        <v>1.0</v>
      </c>
      <c r="F13" s="70">
        <v>1.0</v>
      </c>
      <c r="G13" s="70">
        <v>0.0</v>
      </c>
      <c r="H13" s="70" t="s">
        <v>24354</v>
      </c>
      <c r="I13" s="70">
        <v>2664.0</v>
      </c>
      <c r="J13" s="70" t="s">
        <v>24352</v>
      </c>
      <c r="K13" s="70" t="s">
        <v>29321</v>
      </c>
      <c r="W13" s="70" t="s">
        <v>29322</v>
      </c>
      <c r="AA13" s="70" t="s">
        <v>29323</v>
      </c>
      <c r="AI13" s="70" t="s">
        <v>24358</v>
      </c>
      <c r="AJ13" s="70" t="s">
        <v>24359</v>
      </c>
      <c r="AK13" s="70">
        <v>2024.0</v>
      </c>
      <c r="AL13" s="70" t="s">
        <v>24360</v>
      </c>
      <c r="AN13" s="70">
        <v>22.0</v>
      </c>
      <c r="AO13" s="70">
        <v>35.0</v>
      </c>
      <c r="AP13" s="70">
        <v>13.0</v>
      </c>
      <c r="AQ13" s="70">
        <v>0.0</v>
      </c>
      <c r="AR13" s="75" t="s">
        <v>24361</v>
      </c>
      <c r="AS13" s="70" t="s">
        <v>22525</v>
      </c>
      <c r="AU13" s="70" t="s">
        <v>237</v>
      </c>
      <c r="AV13" s="70" t="s">
        <v>24362</v>
      </c>
      <c r="AW13" s="70" t="s">
        <v>29324</v>
      </c>
      <c r="AX13" s="70">
        <v>0.0</v>
      </c>
      <c r="AY13" s="70" t="s">
        <v>24</v>
      </c>
      <c r="AZ13" s="70">
        <v>2244.0</v>
      </c>
    </row>
    <row r="14" ht="22.5" customHeight="1">
      <c r="A14" s="70" t="str">
        <f t="shared" si="1"/>
        <v>Included</v>
      </c>
      <c r="B14" s="70">
        <f t="shared" si="2"/>
        <v>5</v>
      </c>
      <c r="C14" s="70">
        <v>1.0</v>
      </c>
      <c r="D14" s="70">
        <v>1.0</v>
      </c>
      <c r="E14" s="70">
        <v>1.0</v>
      </c>
      <c r="F14" s="70">
        <v>1.0</v>
      </c>
      <c r="G14" s="70">
        <v>1.0</v>
      </c>
      <c r="H14" s="70" t="s">
        <v>28933</v>
      </c>
      <c r="I14" s="70">
        <v>3109.0</v>
      </c>
      <c r="J14" s="70" t="s">
        <v>28931</v>
      </c>
      <c r="K14" s="70" t="s">
        <v>28932</v>
      </c>
      <c r="W14" s="70" t="s">
        <v>29325</v>
      </c>
      <c r="AA14" s="70" t="s">
        <v>28935</v>
      </c>
      <c r="AI14" s="70" t="s">
        <v>28936</v>
      </c>
      <c r="AJ14" s="70" t="s">
        <v>28937</v>
      </c>
      <c r="AK14" s="70">
        <v>2017.0</v>
      </c>
      <c r="AL14" s="70" t="s">
        <v>24360</v>
      </c>
      <c r="AN14" s="70">
        <v>230.0</v>
      </c>
      <c r="AO14" s="70">
        <v>250.0</v>
      </c>
      <c r="AP14" s="70">
        <v>20.0</v>
      </c>
      <c r="AQ14" s="70">
        <v>0.0</v>
      </c>
      <c r="AR14" s="75" t="s">
        <v>28938</v>
      </c>
      <c r="AS14" s="70" t="s">
        <v>22525</v>
      </c>
      <c r="AU14" s="70" t="s">
        <v>237</v>
      </c>
      <c r="AV14" s="70" t="s">
        <v>28939</v>
      </c>
      <c r="AW14" s="70" t="s">
        <v>28940</v>
      </c>
      <c r="AX14" s="70">
        <v>0.0</v>
      </c>
      <c r="AY14" s="70" t="s">
        <v>18</v>
      </c>
      <c r="AZ14" s="70">
        <v>69.0</v>
      </c>
    </row>
    <row r="15" ht="22.5" customHeight="1">
      <c r="A15" s="70" t="str">
        <f t="shared" si="1"/>
        <v>Included</v>
      </c>
      <c r="B15" s="70">
        <f t="shared" si="2"/>
        <v>5</v>
      </c>
      <c r="C15" s="70">
        <v>1.0</v>
      </c>
      <c r="D15" s="70">
        <v>1.0</v>
      </c>
      <c r="E15" s="70">
        <v>1.0</v>
      </c>
      <c r="F15" s="70">
        <v>1.0</v>
      </c>
      <c r="G15" s="70">
        <v>1.0</v>
      </c>
      <c r="H15" s="70" t="s">
        <v>29269</v>
      </c>
      <c r="I15" s="70">
        <v>3143.0</v>
      </c>
      <c r="J15" s="70" t="s">
        <v>29267</v>
      </c>
      <c r="K15" s="70" t="s">
        <v>29268</v>
      </c>
      <c r="W15" s="70" t="s">
        <v>29326</v>
      </c>
      <c r="AA15" s="70" t="s">
        <v>29272</v>
      </c>
      <c r="AI15" s="70" t="s">
        <v>29273</v>
      </c>
      <c r="AJ15" s="70" t="s">
        <v>29274</v>
      </c>
      <c r="AK15" s="70">
        <v>2017.0</v>
      </c>
      <c r="AL15" s="70" t="s">
        <v>24608</v>
      </c>
      <c r="AN15" s="70">
        <v>206.0</v>
      </c>
      <c r="AO15" s="70">
        <v>220.0</v>
      </c>
      <c r="AP15" s="70">
        <v>14.0</v>
      </c>
      <c r="AQ15" s="70">
        <v>18.0</v>
      </c>
      <c r="AR15" s="75" t="s">
        <v>29275</v>
      </c>
      <c r="AS15" s="70" t="s">
        <v>22525</v>
      </c>
      <c r="AU15" s="70" t="s">
        <v>237</v>
      </c>
      <c r="AV15" s="70" t="s">
        <v>29276</v>
      </c>
      <c r="AW15" s="70" t="s">
        <v>29277</v>
      </c>
      <c r="AX15" s="70">
        <v>0.0</v>
      </c>
      <c r="AY15" s="70" t="s">
        <v>18</v>
      </c>
      <c r="AZ15" s="70">
        <v>70.0</v>
      </c>
    </row>
    <row r="16" ht="22.5" customHeight="1">
      <c r="A16" s="70" t="str">
        <f t="shared" si="1"/>
        <v>Included</v>
      </c>
      <c r="B16" s="70">
        <f t="shared" si="2"/>
        <v>5</v>
      </c>
      <c r="C16" s="70">
        <v>1.0</v>
      </c>
      <c r="D16" s="70">
        <v>1.0</v>
      </c>
      <c r="E16" s="70">
        <v>1.0</v>
      </c>
      <c r="F16" s="70">
        <v>1.0</v>
      </c>
      <c r="G16" s="70">
        <v>1.0</v>
      </c>
      <c r="H16" s="70" t="s">
        <v>29151</v>
      </c>
      <c r="I16" s="70">
        <v>3131.0</v>
      </c>
      <c r="J16" s="70" t="s">
        <v>29149</v>
      </c>
      <c r="K16" s="70" t="s">
        <v>29150</v>
      </c>
      <c r="W16" s="70" t="s">
        <v>29327</v>
      </c>
      <c r="AA16" s="70" t="s">
        <v>29153</v>
      </c>
      <c r="AI16" s="70" t="s">
        <v>29154</v>
      </c>
      <c r="AJ16" s="70" t="s">
        <v>29155</v>
      </c>
      <c r="AK16" s="70">
        <v>2020.0</v>
      </c>
      <c r="AL16" s="70" t="s">
        <v>22557</v>
      </c>
      <c r="AN16" s="70">
        <v>105.0</v>
      </c>
      <c r="AO16" s="70">
        <v>139.0</v>
      </c>
      <c r="AP16" s="70">
        <v>34.0</v>
      </c>
      <c r="AQ16" s="70">
        <v>41.0</v>
      </c>
      <c r="AR16" s="75" t="s">
        <v>29156</v>
      </c>
      <c r="AS16" s="70" t="s">
        <v>22525</v>
      </c>
      <c r="AU16" s="70" t="s">
        <v>237</v>
      </c>
      <c r="AV16" s="70" t="s">
        <v>29157</v>
      </c>
      <c r="AW16" s="70" t="s">
        <v>29158</v>
      </c>
      <c r="AX16" s="70">
        <v>0.0</v>
      </c>
      <c r="AY16" s="70" t="s">
        <v>18</v>
      </c>
      <c r="AZ16" s="70">
        <v>66.0</v>
      </c>
    </row>
    <row r="17" ht="22.5" customHeight="1">
      <c r="A17" s="70" t="str">
        <f t="shared" si="1"/>
        <v>Included</v>
      </c>
      <c r="B17" s="70">
        <f t="shared" si="2"/>
        <v>5</v>
      </c>
      <c r="C17" s="70">
        <v>1.0</v>
      </c>
      <c r="D17" s="70">
        <v>1.0</v>
      </c>
      <c r="E17" s="70">
        <v>1.0</v>
      </c>
      <c r="F17" s="70">
        <v>1.0</v>
      </c>
      <c r="G17" s="70">
        <v>1.0</v>
      </c>
      <c r="H17" s="70" t="s">
        <v>25451</v>
      </c>
      <c r="I17" s="70">
        <v>2770.0</v>
      </c>
      <c r="J17" s="70" t="s">
        <v>25449</v>
      </c>
      <c r="K17" s="70" t="s">
        <v>25450</v>
      </c>
      <c r="W17" s="70" t="s">
        <v>29328</v>
      </c>
      <c r="AA17" s="70" t="s">
        <v>25453</v>
      </c>
      <c r="AI17" s="70" t="s">
        <v>25454</v>
      </c>
      <c r="AJ17" s="70" t="s">
        <v>25455</v>
      </c>
      <c r="AK17" s="70">
        <v>2023.0</v>
      </c>
      <c r="AL17" s="70" t="s">
        <v>22557</v>
      </c>
      <c r="AN17" s="70">
        <v>1745.0</v>
      </c>
      <c r="AO17" s="70">
        <v>1768.0</v>
      </c>
      <c r="AP17" s="70">
        <v>23.0</v>
      </c>
      <c r="AQ17" s="70">
        <v>4.0</v>
      </c>
      <c r="AR17" s="75" t="s">
        <v>25456</v>
      </c>
      <c r="AS17" s="70" t="s">
        <v>22525</v>
      </c>
      <c r="AT17" s="70" t="s">
        <v>22526</v>
      </c>
      <c r="AU17" s="70" t="s">
        <v>237</v>
      </c>
      <c r="AV17" s="70" t="s">
        <v>25457</v>
      </c>
      <c r="AW17" s="70" t="s">
        <v>25458</v>
      </c>
      <c r="AX17" s="70">
        <v>0.0</v>
      </c>
      <c r="AY17" s="70" t="s">
        <v>22</v>
      </c>
      <c r="AZ17" s="70">
        <v>106.0</v>
      </c>
    </row>
    <row r="18" ht="22.5" customHeight="1">
      <c r="A18" s="70" t="str">
        <f t="shared" si="1"/>
        <v>Included</v>
      </c>
      <c r="B18" s="70">
        <f t="shared" si="2"/>
        <v>5</v>
      </c>
      <c r="C18" s="70">
        <v>1.0</v>
      </c>
      <c r="D18" s="70">
        <v>1.0</v>
      </c>
      <c r="E18" s="70">
        <v>1.0</v>
      </c>
      <c r="F18" s="70">
        <v>1.0</v>
      </c>
      <c r="G18" s="70">
        <v>1.0</v>
      </c>
      <c r="H18" s="70" t="s">
        <v>22552</v>
      </c>
      <c r="I18" s="70">
        <v>2492.0</v>
      </c>
      <c r="J18" s="70" t="s">
        <v>29329</v>
      </c>
      <c r="K18" s="70" t="s">
        <v>22551</v>
      </c>
      <c r="W18" s="70" t="s">
        <v>29330</v>
      </c>
      <c r="AA18" s="70" t="s">
        <v>22554</v>
      </c>
      <c r="AI18" s="70" t="s">
        <v>29331</v>
      </c>
      <c r="AJ18" s="70" t="s">
        <v>22556</v>
      </c>
      <c r="AK18" s="70">
        <v>2024.0</v>
      </c>
      <c r="AL18" s="70" t="s">
        <v>22557</v>
      </c>
      <c r="AN18" s="70">
        <v>2737.0</v>
      </c>
      <c r="AO18" s="70">
        <v>2783.0</v>
      </c>
      <c r="AP18" s="70">
        <v>46.0</v>
      </c>
      <c r="AQ18" s="70">
        <v>2.0</v>
      </c>
      <c r="AR18" s="75" t="s">
        <v>22558</v>
      </c>
      <c r="AS18" s="70" t="s">
        <v>22525</v>
      </c>
      <c r="AU18" s="70" t="s">
        <v>237</v>
      </c>
      <c r="AV18" s="70" t="s">
        <v>22559</v>
      </c>
      <c r="AW18" s="70" t="s">
        <v>22560</v>
      </c>
      <c r="AX18" s="70">
        <v>0.0</v>
      </c>
      <c r="AY18" s="70" t="s">
        <v>22</v>
      </c>
      <c r="AZ18" s="70">
        <v>99.0</v>
      </c>
    </row>
    <row r="19" ht="22.5" customHeight="1">
      <c r="A19" s="70" t="str">
        <f t="shared" si="1"/>
        <v>Included</v>
      </c>
      <c r="B19" s="70">
        <f t="shared" si="2"/>
        <v>5</v>
      </c>
      <c r="C19" s="70">
        <v>1.0</v>
      </c>
      <c r="D19" s="70">
        <v>1.0</v>
      </c>
      <c r="E19" s="70">
        <v>1.0</v>
      </c>
      <c r="F19" s="70">
        <v>1.0</v>
      </c>
      <c r="G19" s="70">
        <v>1.0</v>
      </c>
      <c r="H19" s="70" t="s">
        <v>23499</v>
      </c>
      <c r="I19" s="70">
        <v>2581.0</v>
      </c>
      <c r="J19" s="70" t="s">
        <v>23497</v>
      </c>
      <c r="K19" s="70" t="s">
        <v>23498</v>
      </c>
      <c r="W19" s="70" t="s">
        <v>29332</v>
      </c>
      <c r="AA19" s="70" t="s">
        <v>23501</v>
      </c>
      <c r="AI19" s="70" t="s">
        <v>23502</v>
      </c>
      <c r="AJ19" s="70" t="s">
        <v>23503</v>
      </c>
      <c r="AK19" s="70">
        <v>2025.0</v>
      </c>
      <c r="AL19" s="70" t="s">
        <v>23482</v>
      </c>
      <c r="AM19" s="70">
        <v>3.0</v>
      </c>
      <c r="AQ19" s="70">
        <v>0.0</v>
      </c>
      <c r="AR19" s="75" t="s">
        <v>23504</v>
      </c>
      <c r="AS19" s="70" t="s">
        <v>22525</v>
      </c>
      <c r="AU19" s="70" t="s">
        <v>237</v>
      </c>
      <c r="AV19" s="70" t="s">
        <v>23505</v>
      </c>
      <c r="AW19" s="70" t="s">
        <v>23506</v>
      </c>
      <c r="AX19" s="70">
        <v>0.0</v>
      </c>
      <c r="AY19" s="70" t="s">
        <v>22</v>
      </c>
      <c r="AZ19" s="70">
        <v>22.0</v>
      </c>
    </row>
    <row r="20" ht="22.5" customHeight="1">
      <c r="A20" s="70" t="str">
        <f t="shared" si="1"/>
        <v>Included</v>
      </c>
      <c r="B20" s="70">
        <f t="shared" si="2"/>
        <v>5</v>
      </c>
      <c r="C20" s="70">
        <v>1.0</v>
      </c>
      <c r="D20" s="70">
        <v>1.0</v>
      </c>
      <c r="E20" s="70">
        <v>1.0</v>
      </c>
      <c r="F20" s="70">
        <v>1.0</v>
      </c>
      <c r="G20" s="70">
        <v>1.0</v>
      </c>
      <c r="H20" s="70" t="s">
        <v>23372</v>
      </c>
      <c r="I20" s="70">
        <v>2569.0</v>
      </c>
      <c r="J20" s="70" t="s">
        <v>29333</v>
      </c>
      <c r="K20" s="70" t="s">
        <v>23371</v>
      </c>
      <c r="W20" s="70" t="s">
        <v>29334</v>
      </c>
      <c r="AA20" s="70" t="s">
        <v>23374</v>
      </c>
      <c r="AI20" s="70" t="s">
        <v>29335</v>
      </c>
      <c r="AJ20" s="70" t="s">
        <v>23376</v>
      </c>
      <c r="AK20" s="70">
        <v>2024.0</v>
      </c>
      <c r="AL20" s="70" t="s">
        <v>23377</v>
      </c>
      <c r="AM20" s="70">
        <v>53.0</v>
      </c>
      <c r="AQ20" s="70">
        <v>2.0</v>
      </c>
      <c r="AR20" s="75" t="s">
        <v>23378</v>
      </c>
      <c r="AS20" s="70" t="s">
        <v>22525</v>
      </c>
      <c r="AT20" s="70" t="s">
        <v>22526</v>
      </c>
      <c r="AU20" s="70" t="s">
        <v>237</v>
      </c>
      <c r="AV20" s="70" t="s">
        <v>23379</v>
      </c>
      <c r="AW20" s="70" t="s">
        <v>23380</v>
      </c>
      <c r="AX20" s="70">
        <v>0.0</v>
      </c>
      <c r="AY20" s="70" t="s">
        <v>22</v>
      </c>
      <c r="AZ20" s="70">
        <v>12.0</v>
      </c>
    </row>
    <row r="21" ht="22.5" customHeight="1">
      <c r="A21" s="70" t="str">
        <f t="shared" si="1"/>
        <v>Included</v>
      </c>
      <c r="B21" s="70">
        <f t="shared" si="2"/>
        <v>1</v>
      </c>
      <c r="C21" s="70">
        <v>0.0</v>
      </c>
      <c r="D21" s="70">
        <v>0.0</v>
      </c>
      <c r="E21" s="70">
        <v>0.0</v>
      </c>
      <c r="F21" s="70">
        <v>0.0</v>
      </c>
      <c r="G21" s="70">
        <v>1.0</v>
      </c>
      <c r="H21" s="70" t="s">
        <v>25211</v>
      </c>
      <c r="I21" s="70">
        <v>2747.0</v>
      </c>
      <c r="J21" s="70" t="s">
        <v>29336</v>
      </c>
      <c r="K21" s="70" t="s">
        <v>25210</v>
      </c>
      <c r="W21" s="70" t="s">
        <v>29337</v>
      </c>
      <c r="AA21" s="70" t="s">
        <v>25213</v>
      </c>
      <c r="AI21" s="70" t="s">
        <v>29338</v>
      </c>
      <c r="AJ21" s="70" t="s">
        <v>25215</v>
      </c>
      <c r="AK21" s="70">
        <v>2023.0</v>
      </c>
      <c r="AL21" s="70" t="s">
        <v>22535</v>
      </c>
      <c r="AN21" s="70">
        <v>13766.0</v>
      </c>
      <c r="AO21" s="70">
        <v>13793.0</v>
      </c>
      <c r="AP21" s="70">
        <v>27.0</v>
      </c>
      <c r="AQ21" s="70">
        <v>2.0</v>
      </c>
      <c r="AR21" s="75" t="s">
        <v>25216</v>
      </c>
      <c r="AS21" s="70" t="s">
        <v>22525</v>
      </c>
      <c r="AT21" s="70" t="s">
        <v>23606</v>
      </c>
      <c r="AU21" s="70" t="s">
        <v>237</v>
      </c>
      <c r="AV21" s="70" t="s">
        <v>25217</v>
      </c>
      <c r="AW21" s="70" t="s">
        <v>25218</v>
      </c>
      <c r="AX21" s="70">
        <v>0.0</v>
      </c>
      <c r="AY21" s="70" t="s">
        <v>22</v>
      </c>
      <c r="AZ21" s="70">
        <v>75.0</v>
      </c>
    </row>
    <row r="22" ht="22.5" customHeight="1">
      <c r="A22" s="70" t="str">
        <f t="shared" si="1"/>
        <v>Included</v>
      </c>
      <c r="B22" s="70">
        <f t="shared" si="2"/>
        <v>5</v>
      </c>
      <c r="C22" s="70">
        <v>1.0</v>
      </c>
      <c r="D22" s="70">
        <v>1.0</v>
      </c>
      <c r="E22" s="70">
        <v>1.0</v>
      </c>
      <c r="F22" s="70">
        <v>1.0</v>
      </c>
      <c r="G22" s="70">
        <v>1.0</v>
      </c>
      <c r="H22" s="70" t="s">
        <v>28465</v>
      </c>
      <c r="I22" s="70">
        <v>3064.0</v>
      </c>
      <c r="J22" s="70" t="s">
        <v>28463</v>
      </c>
      <c r="K22" s="70" t="s">
        <v>28464</v>
      </c>
      <c r="W22" s="70" t="s">
        <v>29339</v>
      </c>
      <c r="AA22" s="70" t="s">
        <v>28467</v>
      </c>
      <c r="AI22" s="70" t="s">
        <v>28468</v>
      </c>
      <c r="AJ22" s="70" t="s">
        <v>28469</v>
      </c>
      <c r="AK22" s="70">
        <v>2021.0</v>
      </c>
      <c r="AL22" s="70" t="s">
        <v>23668</v>
      </c>
      <c r="AN22" s="70">
        <v>97.0</v>
      </c>
      <c r="AO22" s="70">
        <v>107.0</v>
      </c>
      <c r="AP22" s="70">
        <v>10.0</v>
      </c>
      <c r="AQ22" s="70">
        <v>3.0</v>
      </c>
      <c r="AR22" s="75" t="s">
        <v>28470</v>
      </c>
      <c r="AS22" s="70" t="s">
        <v>22525</v>
      </c>
      <c r="AU22" s="70" t="s">
        <v>237</v>
      </c>
      <c r="AV22" s="70" t="s">
        <v>28471</v>
      </c>
      <c r="AW22" s="70" t="s">
        <v>28472</v>
      </c>
      <c r="AX22" s="70">
        <v>0.0</v>
      </c>
      <c r="AY22" s="70" t="s">
        <v>22</v>
      </c>
      <c r="AZ22" s="70">
        <v>116.0</v>
      </c>
    </row>
    <row r="23" ht="22.5" customHeight="1">
      <c r="A23" s="70" t="str">
        <f t="shared" si="1"/>
        <v>Included</v>
      </c>
      <c r="B23" s="70">
        <f t="shared" si="2"/>
        <v>5</v>
      </c>
      <c r="C23" s="70">
        <v>1.0</v>
      </c>
      <c r="D23" s="70">
        <v>1.0</v>
      </c>
      <c r="E23" s="70">
        <v>1.0</v>
      </c>
      <c r="F23" s="70">
        <v>1.0</v>
      </c>
      <c r="G23" s="70">
        <v>1.0</v>
      </c>
      <c r="H23" s="70" t="s">
        <v>25098</v>
      </c>
      <c r="I23" s="70">
        <v>2736.0</v>
      </c>
      <c r="J23" s="70" t="s">
        <v>25096</v>
      </c>
      <c r="K23" s="70" t="s">
        <v>25097</v>
      </c>
      <c r="W23" s="70" t="s">
        <v>29340</v>
      </c>
      <c r="AA23" s="70" t="s">
        <v>25100</v>
      </c>
      <c r="AI23" s="70" t="s">
        <v>29341</v>
      </c>
      <c r="AJ23" s="70" t="s">
        <v>25102</v>
      </c>
      <c r="AK23" s="70">
        <v>2024.0</v>
      </c>
      <c r="AL23" s="70" t="s">
        <v>25103</v>
      </c>
      <c r="AM23" s="70">
        <v>122192.0</v>
      </c>
      <c r="AQ23" s="70">
        <v>10.0</v>
      </c>
      <c r="AR23" s="75" t="s">
        <v>25104</v>
      </c>
      <c r="AS23" s="70" t="s">
        <v>22525</v>
      </c>
      <c r="AT23" s="70" t="s">
        <v>22526</v>
      </c>
      <c r="AU23" s="70" t="s">
        <v>237</v>
      </c>
      <c r="AV23" s="70" t="s">
        <v>25105</v>
      </c>
      <c r="AW23" s="70" t="s">
        <v>25106</v>
      </c>
      <c r="AX23" s="70">
        <v>0.0</v>
      </c>
      <c r="AY23" s="70" t="s">
        <v>22</v>
      </c>
      <c r="AZ23" s="70">
        <v>119.0</v>
      </c>
    </row>
    <row r="24" ht="22.5" customHeight="1">
      <c r="A24" s="70" t="str">
        <f t="shared" si="1"/>
        <v>Included</v>
      </c>
      <c r="B24" s="70">
        <f t="shared" si="2"/>
        <v>5</v>
      </c>
      <c r="C24" s="70">
        <v>1.0</v>
      </c>
      <c r="D24" s="70">
        <v>1.0</v>
      </c>
      <c r="E24" s="70">
        <v>1.0</v>
      </c>
      <c r="F24" s="70">
        <v>1.0</v>
      </c>
      <c r="G24" s="70">
        <v>1.0</v>
      </c>
      <c r="H24" s="70" t="s">
        <v>23267</v>
      </c>
      <c r="I24" s="70">
        <v>2559.0</v>
      </c>
      <c r="J24" s="70" t="s">
        <v>23265</v>
      </c>
      <c r="K24" s="70" t="s">
        <v>23266</v>
      </c>
      <c r="W24" s="70" t="s">
        <v>29342</v>
      </c>
      <c r="AA24" s="70" t="s">
        <v>23269</v>
      </c>
      <c r="AI24" s="70" t="s">
        <v>23270</v>
      </c>
      <c r="AJ24" s="70" t="s">
        <v>23271</v>
      </c>
      <c r="AK24" s="70">
        <v>2025.0</v>
      </c>
      <c r="AL24" s="70" t="s">
        <v>23179</v>
      </c>
      <c r="AM24" s="70">
        <v>111158.0</v>
      </c>
      <c r="AQ24" s="70">
        <v>0.0</v>
      </c>
      <c r="AR24" s="75" t="s">
        <v>23272</v>
      </c>
      <c r="AS24" s="70" t="s">
        <v>22525</v>
      </c>
      <c r="AU24" s="70" t="s">
        <v>237</v>
      </c>
      <c r="AV24" s="70" t="s">
        <v>23273</v>
      </c>
      <c r="AW24" s="70" t="s">
        <v>23274</v>
      </c>
      <c r="AX24" s="70">
        <v>0.0</v>
      </c>
      <c r="AY24" s="70" t="s">
        <v>22</v>
      </c>
      <c r="AZ24" s="70">
        <v>71.0</v>
      </c>
    </row>
    <row r="25" ht="22.5" customHeight="1">
      <c r="A25" s="70" t="str">
        <f t="shared" si="1"/>
        <v>Included</v>
      </c>
      <c r="B25" s="70">
        <f t="shared" si="2"/>
        <v>3</v>
      </c>
      <c r="C25" s="70">
        <v>1.0</v>
      </c>
      <c r="D25" s="70">
        <v>0.0</v>
      </c>
      <c r="E25" s="70">
        <v>1.0</v>
      </c>
      <c r="F25" s="70">
        <v>1.0</v>
      </c>
      <c r="G25" s="70">
        <v>0.0</v>
      </c>
      <c r="H25" s="70" t="s">
        <v>26447</v>
      </c>
      <c r="I25" s="70">
        <v>2867.0</v>
      </c>
      <c r="J25" s="70" t="s">
        <v>26445</v>
      </c>
      <c r="K25" s="70" t="s">
        <v>26446</v>
      </c>
      <c r="W25" s="70" t="s">
        <v>29343</v>
      </c>
      <c r="AA25" s="70" t="s">
        <v>26449</v>
      </c>
      <c r="AI25" s="70" t="s">
        <v>26450</v>
      </c>
      <c r="AJ25" s="70" t="s">
        <v>26451</v>
      </c>
      <c r="AK25" s="70">
        <v>2022.0</v>
      </c>
      <c r="AL25" s="70" t="s">
        <v>26452</v>
      </c>
      <c r="AM25" s="70">
        <v>106897.0</v>
      </c>
      <c r="AQ25" s="70">
        <v>16.0</v>
      </c>
      <c r="AR25" s="75" t="s">
        <v>26453</v>
      </c>
      <c r="AS25" s="70" t="s">
        <v>22525</v>
      </c>
      <c r="AU25" s="70" t="s">
        <v>237</v>
      </c>
      <c r="AV25" s="70" t="s">
        <v>26454</v>
      </c>
      <c r="AW25" s="70" t="s">
        <v>26455</v>
      </c>
      <c r="AZ25" s="70">
        <v>446.0</v>
      </c>
    </row>
    <row r="26" ht="22.5" customHeight="1">
      <c r="A26" s="70" t="str">
        <f t="shared" si="1"/>
        <v>Included</v>
      </c>
      <c r="B26" s="70">
        <f t="shared" si="2"/>
        <v>4</v>
      </c>
      <c r="C26" s="70">
        <v>1.0</v>
      </c>
      <c r="D26" s="70">
        <v>1.0</v>
      </c>
      <c r="E26" s="70">
        <v>1.0</v>
      </c>
      <c r="F26" s="70">
        <v>1.0</v>
      </c>
      <c r="G26" s="70">
        <v>0.0</v>
      </c>
      <c r="H26" s="70" t="s">
        <v>23059</v>
      </c>
      <c r="I26" s="70">
        <v>2539.0</v>
      </c>
      <c r="J26" s="70" t="s">
        <v>23057</v>
      </c>
      <c r="K26" s="70" t="s">
        <v>23058</v>
      </c>
      <c r="W26" s="70" t="s">
        <v>29344</v>
      </c>
      <c r="AA26" s="70" t="s">
        <v>23061</v>
      </c>
      <c r="AI26" s="70" t="s">
        <v>23062</v>
      </c>
      <c r="AJ26" s="70" t="s">
        <v>23063</v>
      </c>
      <c r="AK26" s="70">
        <v>2025.0</v>
      </c>
      <c r="AL26" s="70" t="s">
        <v>23064</v>
      </c>
      <c r="AM26" s="70">
        <v>100449.0</v>
      </c>
      <c r="AQ26" s="70">
        <v>0.0</v>
      </c>
      <c r="AR26" s="75" t="s">
        <v>23065</v>
      </c>
      <c r="AS26" s="70" t="s">
        <v>22525</v>
      </c>
      <c r="AT26" s="70" t="s">
        <v>22622</v>
      </c>
      <c r="AU26" s="70" t="s">
        <v>237</v>
      </c>
      <c r="AV26" s="70" t="s">
        <v>23066</v>
      </c>
      <c r="AX26" s="70">
        <v>0.0</v>
      </c>
      <c r="AY26" s="70" t="s">
        <v>24</v>
      </c>
      <c r="AZ26" s="70">
        <v>3078.0</v>
      </c>
    </row>
    <row r="27" ht="22.5" customHeight="1">
      <c r="A27" s="70" t="str">
        <f t="shared" si="1"/>
        <v>Included</v>
      </c>
      <c r="B27" s="70">
        <f t="shared" si="2"/>
        <v>5</v>
      </c>
      <c r="C27" s="70">
        <v>1.0</v>
      </c>
      <c r="D27" s="70">
        <v>1.0</v>
      </c>
      <c r="E27" s="70">
        <v>1.0</v>
      </c>
      <c r="F27" s="70">
        <v>1.0</v>
      </c>
      <c r="G27" s="70">
        <v>1.0</v>
      </c>
      <c r="H27" s="70" t="s">
        <v>23807</v>
      </c>
      <c r="I27" s="70">
        <v>2611.0</v>
      </c>
      <c r="J27" s="70" t="s">
        <v>23805</v>
      </c>
      <c r="K27" s="70" t="s">
        <v>23806</v>
      </c>
      <c r="W27" s="70" t="s">
        <v>29345</v>
      </c>
      <c r="AA27" s="70" t="s">
        <v>23809</v>
      </c>
      <c r="AI27" s="70" t="s">
        <v>23810</v>
      </c>
      <c r="AJ27" s="70" t="s">
        <v>23811</v>
      </c>
      <c r="AK27" s="70">
        <v>2024.0</v>
      </c>
      <c r="AL27" s="70" t="s">
        <v>23812</v>
      </c>
      <c r="AM27" s="70">
        <v>118270.0</v>
      </c>
      <c r="AQ27" s="70">
        <v>13.0</v>
      </c>
      <c r="AR27" s="75" t="s">
        <v>23813</v>
      </c>
      <c r="AS27" s="70" t="s">
        <v>22525</v>
      </c>
      <c r="AU27" s="70" t="s">
        <v>237</v>
      </c>
      <c r="AV27" s="70" t="s">
        <v>23814</v>
      </c>
      <c r="AW27" s="70" t="s">
        <v>23815</v>
      </c>
      <c r="AX27" s="70">
        <v>0.0</v>
      </c>
      <c r="AY27" s="70" t="s">
        <v>22</v>
      </c>
      <c r="AZ27" s="70">
        <v>74.0</v>
      </c>
    </row>
    <row r="28" ht="22.5" customHeight="1">
      <c r="A28" s="70" t="str">
        <f t="shared" si="1"/>
        <v>Included</v>
      </c>
      <c r="B28" s="70">
        <f t="shared" si="2"/>
        <v>5</v>
      </c>
      <c r="C28" s="70">
        <v>1.0</v>
      </c>
      <c r="D28" s="70">
        <v>1.0</v>
      </c>
      <c r="E28" s="70">
        <v>1.0</v>
      </c>
      <c r="F28" s="70">
        <v>1.0</v>
      </c>
      <c r="G28" s="70">
        <v>1.0</v>
      </c>
      <c r="H28" s="70" t="s">
        <v>26818</v>
      </c>
      <c r="I28" s="70">
        <v>2903.0</v>
      </c>
      <c r="J28" s="70" t="s">
        <v>26816</v>
      </c>
      <c r="K28" s="70" t="s">
        <v>26817</v>
      </c>
      <c r="W28" s="70" t="s">
        <v>29346</v>
      </c>
      <c r="AA28" s="70" t="s">
        <v>26820</v>
      </c>
      <c r="AI28" s="70" t="s">
        <v>26821</v>
      </c>
      <c r="AJ28" s="70" t="s">
        <v>26822</v>
      </c>
      <c r="AK28" s="70">
        <v>2022.0</v>
      </c>
      <c r="AL28" s="70" t="s">
        <v>23116</v>
      </c>
      <c r="AN28" s="70">
        <v>204.0</v>
      </c>
      <c r="AO28" s="70">
        <v>218.0</v>
      </c>
      <c r="AP28" s="70">
        <v>14.0</v>
      </c>
      <c r="AQ28" s="70">
        <v>9.0</v>
      </c>
      <c r="AR28" s="75" t="s">
        <v>26823</v>
      </c>
      <c r="AS28" s="70" t="s">
        <v>22525</v>
      </c>
      <c r="AU28" s="70" t="s">
        <v>237</v>
      </c>
      <c r="AV28" s="70" t="s">
        <v>26824</v>
      </c>
      <c r="AW28" s="70" t="s">
        <v>26825</v>
      </c>
      <c r="AX28" s="70">
        <v>0.0</v>
      </c>
      <c r="AY28" s="70" t="s">
        <v>22</v>
      </c>
      <c r="AZ28" s="70">
        <v>53.0</v>
      </c>
    </row>
    <row r="29" ht="22.5" customHeight="1">
      <c r="A29" s="70" t="str">
        <f t="shared" si="1"/>
        <v>Included</v>
      </c>
      <c r="B29" s="70">
        <f t="shared" si="2"/>
        <v>5</v>
      </c>
      <c r="C29" s="70">
        <v>1.0</v>
      </c>
      <c r="D29" s="70">
        <v>1.0</v>
      </c>
      <c r="E29" s="70">
        <v>1.0</v>
      </c>
      <c r="F29" s="70">
        <v>1.0</v>
      </c>
      <c r="G29" s="70">
        <v>1.0</v>
      </c>
      <c r="H29" s="70" t="s">
        <v>22573</v>
      </c>
      <c r="I29" s="70">
        <v>2494.0</v>
      </c>
      <c r="J29" s="70" t="s">
        <v>29347</v>
      </c>
      <c r="K29" s="70" t="s">
        <v>22572</v>
      </c>
      <c r="W29" s="70" t="s">
        <v>29348</v>
      </c>
      <c r="AA29" s="70" t="s">
        <v>22575</v>
      </c>
      <c r="AI29" s="70" t="s">
        <v>29349</v>
      </c>
      <c r="AJ29" s="70" t="s">
        <v>22577</v>
      </c>
      <c r="AK29" s="70">
        <v>2025.0</v>
      </c>
      <c r="AL29" s="70" t="s">
        <v>22523</v>
      </c>
      <c r="AM29" s="70">
        <v>101463.0</v>
      </c>
      <c r="AQ29" s="70">
        <v>0.0</v>
      </c>
      <c r="AR29" s="75" t="s">
        <v>22578</v>
      </c>
      <c r="AS29" s="70" t="s">
        <v>22525</v>
      </c>
      <c r="AU29" s="70" t="s">
        <v>237</v>
      </c>
      <c r="AV29" s="70" t="s">
        <v>22579</v>
      </c>
      <c r="AX29" s="70">
        <v>0.0</v>
      </c>
      <c r="AY29" s="70" t="s">
        <v>22</v>
      </c>
      <c r="AZ29" s="70">
        <v>13.0</v>
      </c>
    </row>
    <row r="30" ht="22.5" customHeight="1">
      <c r="A30" s="70" t="str">
        <f t="shared" si="1"/>
        <v>Included</v>
      </c>
      <c r="B30" s="70">
        <f t="shared" si="2"/>
        <v>4</v>
      </c>
      <c r="C30" s="70">
        <v>1.0</v>
      </c>
      <c r="D30" s="70">
        <v>1.0</v>
      </c>
      <c r="E30" s="70">
        <v>1.0</v>
      </c>
      <c r="F30" s="70">
        <v>1.0</v>
      </c>
      <c r="G30" s="70">
        <v>0.0</v>
      </c>
      <c r="H30" s="70" t="s">
        <v>22518</v>
      </c>
      <c r="I30" s="70">
        <v>2489.0</v>
      </c>
      <c r="J30" s="70" t="s">
        <v>22516</v>
      </c>
      <c r="K30" s="70" t="s">
        <v>22517</v>
      </c>
      <c r="W30" s="70" t="s">
        <v>29350</v>
      </c>
      <c r="AA30" s="70" t="s">
        <v>22520</v>
      </c>
      <c r="AI30" s="70" t="s">
        <v>22521</v>
      </c>
      <c r="AJ30" s="70" t="s">
        <v>22522</v>
      </c>
      <c r="AK30" s="70">
        <v>2025.0</v>
      </c>
      <c r="AL30" s="70" t="s">
        <v>22523</v>
      </c>
      <c r="AM30" s="70">
        <v>101515.0</v>
      </c>
      <c r="AQ30" s="70">
        <v>0.0</v>
      </c>
      <c r="AR30" s="75" t="s">
        <v>22524</v>
      </c>
      <c r="AS30" s="70" t="s">
        <v>22525</v>
      </c>
      <c r="AT30" s="70" t="s">
        <v>22526</v>
      </c>
      <c r="AU30" s="70" t="s">
        <v>237</v>
      </c>
      <c r="AV30" s="70" t="s">
        <v>22527</v>
      </c>
      <c r="AX30" s="70">
        <v>0.0</v>
      </c>
      <c r="AY30" s="70" t="s">
        <v>24</v>
      </c>
      <c r="AZ30" s="70">
        <v>1663.0</v>
      </c>
    </row>
    <row r="31" ht="22.5" customHeight="1">
      <c r="A31" s="70" t="str">
        <f t="shared" si="1"/>
        <v>Included</v>
      </c>
      <c r="B31" s="70">
        <f t="shared" si="2"/>
        <v>5</v>
      </c>
      <c r="C31" s="70">
        <v>1.0</v>
      </c>
      <c r="D31" s="70">
        <v>1.0</v>
      </c>
      <c r="E31" s="70">
        <v>1.0</v>
      </c>
      <c r="F31" s="70">
        <v>1.0</v>
      </c>
      <c r="G31" s="70">
        <v>1.0</v>
      </c>
      <c r="H31" s="70" t="s">
        <v>29209</v>
      </c>
      <c r="I31" s="70">
        <v>3137.0</v>
      </c>
      <c r="J31" s="70" t="s">
        <v>29207</v>
      </c>
      <c r="K31" s="70" t="s">
        <v>29208</v>
      </c>
      <c r="W31" s="70" t="s">
        <v>29351</v>
      </c>
      <c r="AA31" s="70" t="s">
        <v>29211</v>
      </c>
      <c r="AI31" s="70" t="s">
        <v>29212</v>
      </c>
      <c r="AJ31" s="70" t="s">
        <v>29213</v>
      </c>
      <c r="AK31" s="70">
        <v>2019.0</v>
      </c>
      <c r="AL31" s="70" t="s">
        <v>22609</v>
      </c>
      <c r="AM31" s="70">
        <v>102441.0</v>
      </c>
      <c r="AQ31" s="70">
        <v>37.0</v>
      </c>
      <c r="AR31" s="75" t="s">
        <v>29214</v>
      </c>
      <c r="AS31" s="70" t="s">
        <v>22525</v>
      </c>
      <c r="AU31" s="70" t="s">
        <v>237</v>
      </c>
      <c r="AV31" s="70" t="s">
        <v>29215</v>
      </c>
      <c r="AW31" s="70" t="s">
        <v>29216</v>
      </c>
      <c r="AX31" s="70">
        <v>0.0</v>
      </c>
      <c r="AY31" s="70" t="s">
        <v>22</v>
      </c>
      <c r="AZ31" s="70">
        <v>21.0</v>
      </c>
    </row>
    <row r="32" ht="22.5" customHeight="1">
      <c r="A32" s="70" t="str">
        <f t="shared" si="1"/>
        <v>Included</v>
      </c>
      <c r="B32" s="70">
        <f t="shared" si="2"/>
        <v>4</v>
      </c>
      <c r="C32" s="70">
        <v>1.0</v>
      </c>
      <c r="D32" s="70">
        <v>1.0</v>
      </c>
      <c r="E32" s="70">
        <v>1.0</v>
      </c>
      <c r="F32" s="70">
        <v>0.0</v>
      </c>
      <c r="G32" s="70">
        <v>1.0</v>
      </c>
      <c r="H32" s="70" t="s">
        <v>22604</v>
      </c>
      <c r="I32" s="70">
        <v>2497.0</v>
      </c>
      <c r="J32" s="70" t="s">
        <v>22602</v>
      </c>
      <c r="K32" s="70" t="s">
        <v>22603</v>
      </c>
      <c r="W32" s="70" t="s">
        <v>29352</v>
      </c>
      <c r="AA32" s="70" t="s">
        <v>22606</v>
      </c>
      <c r="AI32" s="70" t="s">
        <v>22607</v>
      </c>
      <c r="AJ32" s="70" t="s">
        <v>22608</v>
      </c>
      <c r="AK32" s="70">
        <v>2025.0</v>
      </c>
      <c r="AL32" s="70" t="s">
        <v>22609</v>
      </c>
      <c r="AM32" s="70">
        <v>104037.0</v>
      </c>
      <c r="AQ32" s="70">
        <v>2.0</v>
      </c>
      <c r="AR32" s="75" t="s">
        <v>22610</v>
      </c>
      <c r="AS32" s="70" t="s">
        <v>22525</v>
      </c>
      <c r="AU32" s="70" t="s">
        <v>237</v>
      </c>
      <c r="AV32" s="70" t="s">
        <v>22611</v>
      </c>
      <c r="AW32" s="70" t="s">
        <v>22612</v>
      </c>
      <c r="AX32" s="70">
        <v>0.0</v>
      </c>
      <c r="AY32" s="70" t="s">
        <v>22</v>
      </c>
      <c r="AZ32" s="70">
        <v>108.0</v>
      </c>
    </row>
    <row r="33" ht="22.5" customHeight="1">
      <c r="A33" s="70" t="str">
        <f t="shared" si="1"/>
        <v>Included</v>
      </c>
      <c r="B33" s="70">
        <f t="shared" si="2"/>
        <v>1</v>
      </c>
      <c r="C33" s="70">
        <v>0.0</v>
      </c>
      <c r="D33" s="70">
        <v>0.0</v>
      </c>
      <c r="E33" s="70">
        <v>0.0</v>
      </c>
      <c r="F33" s="70">
        <v>0.0</v>
      </c>
      <c r="G33" s="70">
        <v>1.0</v>
      </c>
      <c r="H33" s="70" t="s">
        <v>22821</v>
      </c>
      <c r="I33" s="70">
        <v>2517.0</v>
      </c>
      <c r="J33" s="70" t="s">
        <v>22819</v>
      </c>
      <c r="K33" s="70" t="s">
        <v>22820</v>
      </c>
      <c r="W33" s="70" t="s">
        <v>29353</v>
      </c>
      <c r="AA33" s="70" t="s">
        <v>22823</v>
      </c>
      <c r="AI33" s="70" t="s">
        <v>22824</v>
      </c>
      <c r="AJ33" s="70" t="s">
        <v>22825</v>
      </c>
      <c r="AK33" s="70">
        <v>2024.0</v>
      </c>
      <c r="AL33" s="70" t="s">
        <v>22826</v>
      </c>
      <c r="AM33" s="70">
        <v>112183.0</v>
      </c>
      <c r="AQ33" s="70">
        <v>1.0</v>
      </c>
      <c r="AR33" s="75" t="s">
        <v>22827</v>
      </c>
      <c r="AS33" s="70" t="s">
        <v>22525</v>
      </c>
      <c r="AU33" s="70" t="s">
        <v>237</v>
      </c>
      <c r="AV33" s="70" t="s">
        <v>22828</v>
      </c>
      <c r="AW33" s="70" t="s">
        <v>22829</v>
      </c>
      <c r="AX33" s="70">
        <v>0.0</v>
      </c>
      <c r="AY33" s="70" t="s">
        <v>29354</v>
      </c>
      <c r="AZ33" s="70">
        <v>94.0</v>
      </c>
    </row>
    <row r="34" ht="22.5" customHeight="1">
      <c r="A34" s="70" t="str">
        <f t="shared" si="1"/>
        <v>Included</v>
      </c>
      <c r="B34" s="70">
        <f t="shared" si="2"/>
        <v>5</v>
      </c>
      <c r="C34" s="70">
        <v>1.0</v>
      </c>
      <c r="D34" s="70">
        <v>1.0</v>
      </c>
      <c r="E34" s="70">
        <v>1.0</v>
      </c>
      <c r="F34" s="70">
        <v>1.0</v>
      </c>
      <c r="G34" s="70">
        <v>1.0</v>
      </c>
      <c r="H34" s="70" t="s">
        <v>29050</v>
      </c>
      <c r="I34" s="70">
        <v>3121.0</v>
      </c>
      <c r="J34" s="70" t="s">
        <v>29048</v>
      </c>
      <c r="K34" s="70" t="s">
        <v>29049</v>
      </c>
      <c r="W34" s="70" t="s">
        <v>29355</v>
      </c>
      <c r="AA34" s="70" t="s">
        <v>29052</v>
      </c>
      <c r="AI34" s="70" t="s">
        <v>29053</v>
      </c>
      <c r="AJ34" s="70" t="s">
        <v>29054</v>
      </c>
      <c r="AK34" s="70">
        <v>2018.0</v>
      </c>
      <c r="AL34" s="70" t="s">
        <v>27034</v>
      </c>
      <c r="AN34" s="70">
        <v>223.0</v>
      </c>
      <c r="AO34" s="70">
        <v>230.0</v>
      </c>
      <c r="AP34" s="70">
        <v>7.0</v>
      </c>
      <c r="AQ34" s="70">
        <v>7.0</v>
      </c>
      <c r="AR34" s="75" t="s">
        <v>29055</v>
      </c>
      <c r="AS34" s="70" t="s">
        <v>22525</v>
      </c>
      <c r="AT34" s="70" t="s">
        <v>22622</v>
      </c>
      <c r="AU34" s="70" t="s">
        <v>237</v>
      </c>
      <c r="AV34" s="70" t="s">
        <v>29056</v>
      </c>
      <c r="AW34" s="70" t="s">
        <v>29057</v>
      </c>
      <c r="AX34" s="70">
        <v>1.0</v>
      </c>
      <c r="AZ34" s="70">
        <v>6.0</v>
      </c>
    </row>
    <row r="35" ht="22.5" customHeight="1">
      <c r="A35" s="70" t="str">
        <f t="shared" si="1"/>
        <v>Included</v>
      </c>
      <c r="B35" s="70">
        <f t="shared" si="2"/>
        <v>5</v>
      </c>
      <c r="C35" s="70">
        <v>1.0</v>
      </c>
      <c r="D35" s="70">
        <v>1.0</v>
      </c>
      <c r="E35" s="70">
        <v>1.0</v>
      </c>
      <c r="F35" s="70">
        <v>1.0</v>
      </c>
      <c r="G35" s="70">
        <v>1.0</v>
      </c>
      <c r="H35" s="70" t="s">
        <v>22863</v>
      </c>
      <c r="I35" s="70">
        <v>2521.0</v>
      </c>
      <c r="J35" s="70" t="s">
        <v>29356</v>
      </c>
      <c r="K35" s="70" t="s">
        <v>22862</v>
      </c>
      <c r="W35" s="70" t="s">
        <v>29357</v>
      </c>
      <c r="AA35" s="70" t="s">
        <v>22865</v>
      </c>
      <c r="AI35" s="70" t="s">
        <v>29358</v>
      </c>
      <c r="AJ35" s="70" t="s">
        <v>22867</v>
      </c>
      <c r="AK35" s="70">
        <v>2025.0</v>
      </c>
      <c r="AL35" s="70" t="s">
        <v>22868</v>
      </c>
      <c r="AM35" s="70">
        <v>101088.0</v>
      </c>
      <c r="AQ35" s="70">
        <v>0.0</v>
      </c>
      <c r="AR35" s="75" t="s">
        <v>22869</v>
      </c>
      <c r="AS35" s="70" t="s">
        <v>22525</v>
      </c>
      <c r="AU35" s="70" t="s">
        <v>237</v>
      </c>
      <c r="AV35" s="70" t="s">
        <v>22870</v>
      </c>
      <c r="AW35" s="70" t="s">
        <v>22871</v>
      </c>
      <c r="AX35" s="70">
        <v>0.0</v>
      </c>
      <c r="AY35" s="70" t="s">
        <v>22</v>
      </c>
      <c r="AZ35" s="70">
        <v>18.0</v>
      </c>
    </row>
    <row r="36" ht="22.5" customHeight="1">
      <c r="A36" s="70" t="str">
        <f t="shared" si="1"/>
        <v>Included</v>
      </c>
      <c r="B36" s="70">
        <f t="shared" si="2"/>
        <v>4</v>
      </c>
      <c r="C36" s="70">
        <v>1.0</v>
      </c>
      <c r="D36" s="70">
        <v>1.0</v>
      </c>
      <c r="E36" s="70">
        <v>1.0</v>
      </c>
      <c r="F36" s="70">
        <v>1.0</v>
      </c>
      <c r="G36" s="70">
        <v>0.0</v>
      </c>
      <c r="H36" s="70" t="s">
        <v>15470</v>
      </c>
      <c r="I36" s="70">
        <v>1614.0</v>
      </c>
      <c r="J36" s="70" t="s">
        <v>15468</v>
      </c>
      <c r="K36" s="70" t="s">
        <v>15469</v>
      </c>
      <c r="L36" s="70" t="s">
        <v>12653</v>
      </c>
      <c r="P36" s="76">
        <v>45198.0</v>
      </c>
      <c r="U36" s="70" t="s">
        <v>9527</v>
      </c>
      <c r="W36" s="70" t="s">
        <v>15472</v>
      </c>
      <c r="X36" s="70" t="s">
        <v>12657</v>
      </c>
      <c r="Z36" s="75" t="s">
        <v>15473</v>
      </c>
      <c r="AZ36" s="70">
        <v>766.0</v>
      </c>
    </row>
    <row r="37" ht="22.5" customHeight="1">
      <c r="A37" s="70" t="str">
        <f t="shared" si="1"/>
        <v>Included</v>
      </c>
      <c r="B37" s="70">
        <f t="shared" si="2"/>
        <v>4</v>
      </c>
      <c r="C37" s="70">
        <v>1.0</v>
      </c>
      <c r="D37" s="70">
        <v>1.0</v>
      </c>
      <c r="E37" s="70">
        <v>1.0</v>
      </c>
      <c r="F37" s="70">
        <v>1.0</v>
      </c>
      <c r="G37" s="70">
        <v>0.0</v>
      </c>
      <c r="H37" s="70" t="s">
        <v>28239</v>
      </c>
      <c r="I37" s="70">
        <v>3042.0</v>
      </c>
      <c r="J37" s="70" t="s">
        <v>28237</v>
      </c>
      <c r="K37" s="70" t="s">
        <v>28238</v>
      </c>
      <c r="W37" s="70" t="s">
        <v>29359</v>
      </c>
      <c r="AI37" s="70" t="s">
        <v>28241</v>
      </c>
      <c r="AJ37" s="70" t="s">
        <v>28242</v>
      </c>
      <c r="AK37" s="70">
        <v>2020.0</v>
      </c>
      <c r="AL37" s="70" t="s">
        <v>24237</v>
      </c>
      <c r="AM37" s="70">
        <v>12020.0</v>
      </c>
      <c r="AQ37" s="70">
        <v>4.0</v>
      </c>
      <c r="AR37" s="75" t="s">
        <v>28243</v>
      </c>
      <c r="AS37" s="70" t="s">
        <v>22525</v>
      </c>
      <c r="AT37" s="70" t="s">
        <v>22622</v>
      </c>
      <c r="AU37" s="70" t="s">
        <v>237</v>
      </c>
      <c r="AV37" s="70" t="s">
        <v>28244</v>
      </c>
      <c r="AW37" s="70" t="s">
        <v>28245</v>
      </c>
      <c r="AX37" s="70">
        <v>0.0</v>
      </c>
      <c r="AY37" s="70" t="s">
        <v>24</v>
      </c>
      <c r="AZ37" s="70">
        <v>2168.0</v>
      </c>
    </row>
    <row r="38" ht="22.5" customHeight="1">
      <c r="A38" s="70" t="str">
        <f t="shared" si="1"/>
        <v>Included</v>
      </c>
      <c r="B38" s="70">
        <f t="shared" si="2"/>
        <v>2</v>
      </c>
      <c r="C38" s="70">
        <v>0.0</v>
      </c>
      <c r="D38" s="70">
        <v>0.0</v>
      </c>
      <c r="E38" s="70">
        <v>1.0</v>
      </c>
      <c r="F38" s="70">
        <v>1.0</v>
      </c>
      <c r="G38" s="70">
        <v>0.0</v>
      </c>
      <c r="H38" s="70" t="s">
        <v>17965</v>
      </c>
      <c r="I38" s="70">
        <v>1973.0</v>
      </c>
      <c r="J38" s="70" t="s">
        <v>17963</v>
      </c>
      <c r="K38" s="70" t="s">
        <v>29360</v>
      </c>
      <c r="L38" s="70" t="s">
        <v>16436</v>
      </c>
      <c r="N38" s="70" t="s">
        <v>16437</v>
      </c>
      <c r="P38" s="76">
        <v>43200.0</v>
      </c>
      <c r="U38" s="70" t="s">
        <v>239</v>
      </c>
      <c r="W38" s="70" t="s">
        <v>29361</v>
      </c>
      <c r="Y38" s="70" t="s">
        <v>29362</v>
      </c>
      <c r="Z38" s="75" t="s">
        <v>17969</v>
      </c>
      <c r="AA38" s="70" t="s">
        <v>17970</v>
      </c>
      <c r="AC38" s="70">
        <v>29.0</v>
      </c>
      <c r="AE38" s="70">
        <v>52.0</v>
      </c>
      <c r="AF38" s="70" t="s">
        <v>16444</v>
      </c>
      <c r="AW38" s="70" t="s">
        <v>17971</v>
      </c>
      <c r="AZ38" s="70">
        <v>294.0</v>
      </c>
    </row>
    <row r="39" ht="22.5" customHeight="1">
      <c r="A39" s="70" t="str">
        <f t="shared" si="1"/>
        <v>Included</v>
      </c>
      <c r="B39" s="70">
        <f t="shared" si="2"/>
        <v>3</v>
      </c>
      <c r="C39" s="70">
        <v>1.0</v>
      </c>
      <c r="D39" s="70">
        <v>1.0</v>
      </c>
      <c r="E39" s="70">
        <v>1.0</v>
      </c>
      <c r="F39" s="70">
        <v>0.0</v>
      </c>
      <c r="G39" s="70">
        <v>0.0</v>
      </c>
      <c r="H39" s="70" t="s">
        <v>17119</v>
      </c>
      <c r="I39" s="70">
        <v>1878.0</v>
      </c>
      <c r="J39" s="70" t="s">
        <v>17117</v>
      </c>
      <c r="K39" s="70" t="s">
        <v>17118</v>
      </c>
      <c r="L39" s="70" t="s">
        <v>16436</v>
      </c>
      <c r="N39" s="70" t="s">
        <v>16437</v>
      </c>
      <c r="P39" s="77">
        <v>43745.0</v>
      </c>
      <c r="U39" s="70" t="s">
        <v>239</v>
      </c>
      <c r="W39" s="70" t="s">
        <v>17121</v>
      </c>
      <c r="Z39" s="75" t="s">
        <v>17122</v>
      </c>
      <c r="AA39" s="70" t="s">
        <v>17123</v>
      </c>
      <c r="AC39" s="70">
        <v>72.0</v>
      </c>
      <c r="AE39" s="70">
        <v>138.0</v>
      </c>
      <c r="AF39" s="70" t="s">
        <v>16423</v>
      </c>
      <c r="AW39" s="70" t="s">
        <v>17124</v>
      </c>
      <c r="AX39" s="70">
        <v>0.0</v>
      </c>
      <c r="AY39" s="70" t="s">
        <v>24</v>
      </c>
      <c r="AZ39" s="70">
        <v>2258.0</v>
      </c>
    </row>
    <row r="40" ht="22.5" customHeight="1">
      <c r="A40" s="70" t="str">
        <f t="shared" si="1"/>
        <v>Included</v>
      </c>
      <c r="B40" s="70">
        <f t="shared" si="2"/>
        <v>4</v>
      </c>
      <c r="C40" s="70">
        <v>1.0</v>
      </c>
      <c r="D40" s="70">
        <v>1.0</v>
      </c>
      <c r="E40" s="70">
        <v>1.0</v>
      </c>
      <c r="F40" s="70">
        <v>1.0</v>
      </c>
      <c r="G40" s="70">
        <v>0.0</v>
      </c>
      <c r="H40" s="70" t="s">
        <v>18468</v>
      </c>
      <c r="I40" s="70">
        <v>2029.0</v>
      </c>
      <c r="J40" s="70" t="s">
        <v>18466</v>
      </c>
      <c r="K40" s="70" t="s">
        <v>18467</v>
      </c>
      <c r="L40" s="70" t="s">
        <v>16436</v>
      </c>
      <c r="N40" s="70" t="s">
        <v>16437</v>
      </c>
      <c r="P40" s="77">
        <v>43804.0</v>
      </c>
      <c r="U40" s="70" t="s">
        <v>239</v>
      </c>
      <c r="W40" s="70" t="s">
        <v>18470</v>
      </c>
      <c r="Y40" s="70" t="s">
        <v>18471</v>
      </c>
      <c r="Z40" s="75" t="s">
        <v>18472</v>
      </c>
      <c r="AA40" s="70" t="s">
        <v>18473</v>
      </c>
      <c r="AC40" s="70">
        <v>21.0</v>
      </c>
      <c r="AE40" s="70">
        <v>58.0</v>
      </c>
      <c r="AF40" s="70" t="s">
        <v>16423</v>
      </c>
      <c r="AW40" s="70" t="s">
        <v>18474</v>
      </c>
      <c r="AZ40" s="70">
        <v>383.0</v>
      </c>
    </row>
    <row r="41" ht="22.5" customHeight="1">
      <c r="A41" s="70" t="str">
        <f t="shared" si="1"/>
        <v>Included</v>
      </c>
      <c r="B41" s="70">
        <f t="shared" si="2"/>
        <v>4</v>
      </c>
      <c r="C41" s="70">
        <v>1.0</v>
      </c>
      <c r="D41" s="70">
        <v>1.0</v>
      </c>
      <c r="E41" s="70">
        <v>1.0</v>
      </c>
      <c r="F41" s="70">
        <v>1.0</v>
      </c>
      <c r="G41" s="70">
        <v>0.0</v>
      </c>
      <c r="H41" s="70" t="s">
        <v>28140</v>
      </c>
      <c r="I41" s="70">
        <v>3032.0</v>
      </c>
      <c r="J41" s="70" t="s">
        <v>28138</v>
      </c>
      <c r="K41" s="70" t="s">
        <v>28139</v>
      </c>
      <c r="W41" s="70" t="s">
        <v>29363</v>
      </c>
      <c r="AA41" s="70" t="s">
        <v>28142</v>
      </c>
      <c r="AI41" s="70" t="s">
        <v>28143</v>
      </c>
      <c r="AJ41" s="70" t="s">
        <v>28144</v>
      </c>
      <c r="AK41" s="70">
        <v>2021.0</v>
      </c>
      <c r="AL41" s="70" t="s">
        <v>16436</v>
      </c>
      <c r="AM41" s="70">
        <v>9358144.0</v>
      </c>
      <c r="AN41" s="70">
        <v>39193.0</v>
      </c>
      <c r="AO41" s="70">
        <v>39217.0</v>
      </c>
      <c r="AP41" s="70">
        <v>24.0</v>
      </c>
      <c r="AQ41" s="70">
        <v>178.0</v>
      </c>
      <c r="AR41" s="75" t="s">
        <v>28145</v>
      </c>
      <c r="AS41" s="70" t="s">
        <v>22525</v>
      </c>
      <c r="AT41" s="70" t="s">
        <v>22622</v>
      </c>
      <c r="AU41" s="70" t="s">
        <v>237</v>
      </c>
      <c r="AV41" s="70" t="s">
        <v>28146</v>
      </c>
      <c r="AW41" s="70" t="s">
        <v>28147</v>
      </c>
      <c r="AX41" s="70">
        <v>0.0</v>
      </c>
      <c r="AY41" s="70" t="s">
        <v>24</v>
      </c>
      <c r="AZ41" s="70">
        <v>1657.0</v>
      </c>
    </row>
    <row r="42" ht="22.5" customHeight="1">
      <c r="A42" s="70" t="str">
        <f t="shared" si="1"/>
        <v>Included</v>
      </c>
      <c r="B42" s="70">
        <f t="shared" si="2"/>
        <v>5</v>
      </c>
      <c r="C42" s="70">
        <v>1.0</v>
      </c>
      <c r="D42" s="70">
        <v>1.0</v>
      </c>
      <c r="E42" s="70">
        <v>1.0</v>
      </c>
      <c r="F42" s="70">
        <v>1.0</v>
      </c>
      <c r="G42" s="70">
        <v>1.0</v>
      </c>
      <c r="H42" s="70" t="s">
        <v>18363</v>
      </c>
      <c r="I42" s="70">
        <v>2017.0</v>
      </c>
      <c r="J42" s="70" t="s">
        <v>29364</v>
      </c>
      <c r="K42" s="70" t="s">
        <v>18362</v>
      </c>
      <c r="L42" s="70" t="s">
        <v>16436</v>
      </c>
      <c r="N42" s="70" t="s">
        <v>16437</v>
      </c>
      <c r="P42" s="76">
        <v>44313.0</v>
      </c>
      <c r="U42" s="70" t="s">
        <v>239</v>
      </c>
      <c r="W42" s="70" t="s">
        <v>18365</v>
      </c>
      <c r="Y42" s="70" t="s">
        <v>29365</v>
      </c>
      <c r="Z42" s="75" t="s">
        <v>18367</v>
      </c>
      <c r="AA42" s="70" t="s">
        <v>18368</v>
      </c>
      <c r="AC42" s="70">
        <v>22.0</v>
      </c>
      <c r="AE42" s="70">
        <v>54.0</v>
      </c>
      <c r="AF42" s="70" t="s">
        <v>16423</v>
      </c>
      <c r="AW42" s="70" t="s">
        <v>18369</v>
      </c>
      <c r="AX42" s="70">
        <v>0.0</v>
      </c>
      <c r="AY42" s="70" t="s">
        <v>22</v>
      </c>
      <c r="AZ42" s="70">
        <v>62.0</v>
      </c>
    </row>
    <row r="43" ht="22.5" customHeight="1">
      <c r="A43" s="70" t="str">
        <f t="shared" si="1"/>
        <v>Included</v>
      </c>
      <c r="B43" s="70">
        <f t="shared" si="2"/>
        <v>4</v>
      </c>
      <c r="C43" s="70">
        <v>1.0</v>
      </c>
      <c r="D43" s="70">
        <v>1.0</v>
      </c>
      <c r="E43" s="70">
        <v>1.0</v>
      </c>
      <c r="F43" s="70">
        <v>0.0</v>
      </c>
      <c r="G43" s="70">
        <v>1.0</v>
      </c>
      <c r="H43" s="70" t="s">
        <v>18083</v>
      </c>
      <c r="I43" s="70">
        <v>1986.0</v>
      </c>
      <c r="J43" s="70" t="s">
        <v>18081</v>
      </c>
      <c r="K43" s="70" t="s">
        <v>18082</v>
      </c>
      <c r="L43" s="70" t="s">
        <v>16436</v>
      </c>
      <c r="N43" s="70" t="s">
        <v>16437</v>
      </c>
      <c r="P43" s="76">
        <v>44679.0</v>
      </c>
      <c r="U43" s="70" t="s">
        <v>239</v>
      </c>
      <c r="W43" s="70" t="s">
        <v>18085</v>
      </c>
      <c r="Y43" s="70" t="s">
        <v>18086</v>
      </c>
      <c r="Z43" s="75" t="s">
        <v>18087</v>
      </c>
      <c r="AA43" s="70" t="s">
        <v>18088</v>
      </c>
      <c r="AC43" s="70">
        <v>28.0</v>
      </c>
      <c r="AE43" s="70">
        <v>52.0</v>
      </c>
      <c r="AF43" s="70" t="s">
        <v>16423</v>
      </c>
      <c r="AW43" s="70" t="s">
        <v>18089</v>
      </c>
      <c r="AX43" s="70">
        <v>0.0</v>
      </c>
      <c r="AY43" s="70" t="s">
        <v>18</v>
      </c>
      <c r="AZ43" s="70">
        <v>65.0</v>
      </c>
    </row>
    <row r="44" ht="22.5" customHeight="1">
      <c r="A44" s="70" t="str">
        <f t="shared" si="1"/>
        <v>Included</v>
      </c>
      <c r="B44" s="70">
        <f t="shared" si="2"/>
        <v>4</v>
      </c>
      <c r="C44" s="70">
        <v>1.0</v>
      </c>
      <c r="D44" s="70">
        <v>1.0</v>
      </c>
      <c r="E44" s="70">
        <v>1.0</v>
      </c>
      <c r="F44" s="70">
        <v>1.0</v>
      </c>
      <c r="G44" s="70">
        <v>0.0</v>
      </c>
      <c r="H44" s="70" t="s">
        <v>26966</v>
      </c>
      <c r="I44" s="70">
        <v>2918.0</v>
      </c>
      <c r="J44" s="70" t="s">
        <v>26964</v>
      </c>
      <c r="K44" s="70" t="s">
        <v>26965</v>
      </c>
      <c r="W44" s="70" t="s">
        <v>29366</v>
      </c>
      <c r="AA44" s="70" t="s">
        <v>26968</v>
      </c>
      <c r="AI44" s="70" t="s">
        <v>26969</v>
      </c>
      <c r="AJ44" s="70" t="s">
        <v>26970</v>
      </c>
      <c r="AK44" s="70">
        <v>2022.0</v>
      </c>
      <c r="AL44" s="70" t="s">
        <v>16436</v>
      </c>
      <c r="AN44" s="70">
        <v>84853.0</v>
      </c>
      <c r="AO44" s="70">
        <v>84881.0</v>
      </c>
      <c r="AP44" s="70">
        <v>28.0</v>
      </c>
      <c r="AQ44" s="70">
        <v>26.0</v>
      </c>
      <c r="AR44" s="75" t="s">
        <v>26971</v>
      </c>
      <c r="AS44" s="70" t="s">
        <v>22525</v>
      </c>
      <c r="AT44" s="70" t="s">
        <v>22622</v>
      </c>
      <c r="AU44" s="70" t="s">
        <v>237</v>
      </c>
      <c r="AV44" s="70" t="s">
        <v>26972</v>
      </c>
      <c r="AW44" s="70" t="s">
        <v>26973</v>
      </c>
      <c r="AZ44" s="70">
        <v>156.0</v>
      </c>
    </row>
    <row r="45" ht="22.5" customHeight="1">
      <c r="A45" s="70" t="str">
        <f t="shared" si="1"/>
        <v>Included</v>
      </c>
      <c r="B45" s="70">
        <f t="shared" si="2"/>
        <v>5</v>
      </c>
      <c r="C45" s="70">
        <v>1.0</v>
      </c>
      <c r="D45" s="70">
        <v>1.0</v>
      </c>
      <c r="E45" s="70">
        <v>1.0</v>
      </c>
      <c r="F45" s="70">
        <v>1.0</v>
      </c>
      <c r="G45" s="70">
        <v>1.0</v>
      </c>
      <c r="H45" s="70" t="s">
        <v>19754</v>
      </c>
      <c r="I45" s="70">
        <v>2174.0</v>
      </c>
      <c r="J45" s="70" t="s">
        <v>19752</v>
      </c>
      <c r="K45" s="70" t="s">
        <v>19753</v>
      </c>
      <c r="L45" s="70" t="s">
        <v>16436</v>
      </c>
      <c r="N45" s="70" t="s">
        <v>16437</v>
      </c>
      <c r="P45" s="76">
        <v>44847.0</v>
      </c>
      <c r="U45" s="70" t="s">
        <v>239</v>
      </c>
      <c r="W45" s="70" t="s">
        <v>29367</v>
      </c>
      <c r="Y45" s="70" t="s">
        <v>29368</v>
      </c>
      <c r="Z45" s="75" t="s">
        <v>19758</v>
      </c>
      <c r="AA45" s="70" t="s">
        <v>19759</v>
      </c>
      <c r="AC45" s="70">
        <v>8.0</v>
      </c>
      <c r="AE45" s="70">
        <v>33.0</v>
      </c>
      <c r="AF45" s="70" t="s">
        <v>16423</v>
      </c>
      <c r="AW45" s="70" t="s">
        <v>19760</v>
      </c>
      <c r="AX45" s="70">
        <v>0.0</v>
      </c>
      <c r="AY45" s="70" t="s">
        <v>22</v>
      </c>
      <c r="AZ45" s="70">
        <v>33.0</v>
      </c>
    </row>
    <row r="46" ht="22.5" customHeight="1">
      <c r="A46" s="70" t="str">
        <f t="shared" si="1"/>
        <v>Included</v>
      </c>
      <c r="B46" s="70">
        <f t="shared" si="2"/>
        <v>5</v>
      </c>
      <c r="C46" s="70">
        <v>1.0</v>
      </c>
      <c r="D46" s="70">
        <v>1.0</v>
      </c>
      <c r="E46" s="70">
        <v>1.0</v>
      </c>
      <c r="F46" s="70">
        <v>1.0</v>
      </c>
      <c r="G46" s="70">
        <v>1.0</v>
      </c>
      <c r="H46" s="70" t="s">
        <v>19476</v>
      </c>
      <c r="I46" s="70">
        <v>2142.0</v>
      </c>
      <c r="J46" s="70" t="s">
        <v>19474</v>
      </c>
      <c r="K46" s="70" t="s">
        <v>19475</v>
      </c>
      <c r="L46" s="70" t="s">
        <v>16436</v>
      </c>
      <c r="N46" s="70" t="s">
        <v>16437</v>
      </c>
      <c r="P46" s="78">
        <v>45076.0</v>
      </c>
      <c r="U46" s="70" t="s">
        <v>239</v>
      </c>
      <c r="W46" s="70" t="s">
        <v>29369</v>
      </c>
      <c r="Z46" s="75" t="s">
        <v>19479</v>
      </c>
      <c r="AA46" s="70" t="s">
        <v>19480</v>
      </c>
      <c r="AC46" s="70">
        <v>10.0</v>
      </c>
      <c r="AE46" s="70">
        <v>60.0</v>
      </c>
      <c r="AF46" s="70" t="s">
        <v>16423</v>
      </c>
      <c r="AW46" s="70" t="s">
        <v>19481</v>
      </c>
      <c r="AX46" s="70">
        <v>0.0</v>
      </c>
      <c r="AY46" s="70" t="s">
        <v>22</v>
      </c>
      <c r="AZ46" s="70">
        <v>37.0</v>
      </c>
    </row>
    <row r="47" ht="22.5" customHeight="1">
      <c r="A47" s="70" t="str">
        <f t="shared" si="1"/>
        <v>Included</v>
      </c>
      <c r="B47" s="70">
        <f t="shared" si="2"/>
        <v>5</v>
      </c>
      <c r="C47" s="70">
        <v>1.0</v>
      </c>
      <c r="D47" s="70">
        <v>1.0</v>
      </c>
      <c r="E47" s="70">
        <v>1.0</v>
      </c>
      <c r="F47" s="70">
        <v>1.0</v>
      </c>
      <c r="G47" s="70">
        <v>1.0</v>
      </c>
      <c r="H47" s="70" t="s">
        <v>19728</v>
      </c>
      <c r="I47" s="70">
        <v>2171.0</v>
      </c>
      <c r="J47" s="70" t="s">
        <v>19726</v>
      </c>
      <c r="K47" s="70" t="s">
        <v>19727</v>
      </c>
      <c r="L47" s="70" t="s">
        <v>16436</v>
      </c>
      <c r="N47" s="70" t="s">
        <v>16437</v>
      </c>
      <c r="P47" s="76">
        <v>45218.0</v>
      </c>
      <c r="U47" s="70" t="s">
        <v>239</v>
      </c>
      <c r="W47" s="70" t="s">
        <v>19730</v>
      </c>
      <c r="Y47" s="70" t="s">
        <v>29370</v>
      </c>
      <c r="Z47" s="75" t="s">
        <v>19732</v>
      </c>
      <c r="AA47" s="70" t="s">
        <v>19733</v>
      </c>
      <c r="AC47" s="70">
        <v>8.0</v>
      </c>
      <c r="AE47" s="70">
        <v>102.0</v>
      </c>
      <c r="AF47" s="70" t="s">
        <v>16423</v>
      </c>
      <c r="AW47" s="70" t="s">
        <v>19734</v>
      </c>
      <c r="AX47" s="70">
        <v>0.0</v>
      </c>
      <c r="AY47" s="70" t="s">
        <v>22</v>
      </c>
      <c r="AZ47" s="70">
        <v>58.0</v>
      </c>
    </row>
    <row r="48" ht="22.5" customHeight="1">
      <c r="A48" s="70" t="str">
        <f t="shared" si="1"/>
        <v>Included</v>
      </c>
      <c r="B48" s="70">
        <f t="shared" si="2"/>
        <v>5</v>
      </c>
      <c r="C48" s="70">
        <v>1.0</v>
      </c>
      <c r="D48" s="70">
        <v>1.0</v>
      </c>
      <c r="E48" s="70">
        <v>1.0</v>
      </c>
      <c r="F48" s="70">
        <v>1.0</v>
      </c>
      <c r="G48" s="70">
        <v>1.0</v>
      </c>
      <c r="H48" s="70" t="s">
        <v>20550</v>
      </c>
      <c r="I48" s="70">
        <v>2263.0</v>
      </c>
      <c r="J48" s="70" t="s">
        <v>20548</v>
      </c>
      <c r="K48" s="70" t="s">
        <v>20549</v>
      </c>
      <c r="L48" s="70" t="s">
        <v>16436</v>
      </c>
      <c r="N48" s="70" t="s">
        <v>16437</v>
      </c>
      <c r="P48" s="77">
        <v>45236.0</v>
      </c>
      <c r="U48" s="70" t="s">
        <v>239</v>
      </c>
      <c r="W48" s="70" t="s">
        <v>20552</v>
      </c>
      <c r="Y48" s="70" t="s">
        <v>20553</v>
      </c>
      <c r="Z48" s="75" t="s">
        <v>20554</v>
      </c>
      <c r="AA48" s="70" t="s">
        <v>20555</v>
      </c>
      <c r="AC48" s="70">
        <v>3.0</v>
      </c>
      <c r="AE48" s="70">
        <v>29.0</v>
      </c>
      <c r="AF48" s="70" t="s">
        <v>16727</v>
      </c>
      <c r="AW48" s="70" t="s">
        <v>20556</v>
      </c>
      <c r="AX48" s="70">
        <v>0.0</v>
      </c>
      <c r="AY48" s="70" t="s">
        <v>22</v>
      </c>
      <c r="AZ48" s="70">
        <v>38.0</v>
      </c>
    </row>
    <row r="49" ht="22.5" customHeight="1">
      <c r="A49" s="70" t="str">
        <f t="shared" si="1"/>
        <v>Included</v>
      </c>
      <c r="B49" s="70">
        <f t="shared" si="2"/>
        <v>4</v>
      </c>
      <c r="C49" s="70">
        <v>1.0</v>
      </c>
      <c r="D49" s="70">
        <v>1.0</v>
      </c>
      <c r="E49" s="70">
        <v>1.0</v>
      </c>
      <c r="F49" s="70">
        <v>0.0</v>
      </c>
      <c r="G49" s="70">
        <v>1.0</v>
      </c>
      <c r="H49" s="70" t="s">
        <v>21455</v>
      </c>
      <c r="I49" s="70">
        <v>2364.0</v>
      </c>
      <c r="J49" s="70" t="s">
        <v>29371</v>
      </c>
      <c r="K49" s="70" t="s">
        <v>21454</v>
      </c>
      <c r="L49" s="70" t="s">
        <v>16436</v>
      </c>
      <c r="N49" s="70" t="s">
        <v>16437</v>
      </c>
      <c r="P49" s="77">
        <v>45267.0</v>
      </c>
      <c r="U49" s="70" t="s">
        <v>239</v>
      </c>
      <c r="W49" s="70" t="s">
        <v>29372</v>
      </c>
      <c r="Y49" s="70" t="s">
        <v>21296</v>
      </c>
      <c r="Z49" s="75" t="s">
        <v>21458</v>
      </c>
      <c r="AA49" s="70" t="s">
        <v>21459</v>
      </c>
      <c r="AC49" s="70">
        <v>1.0</v>
      </c>
      <c r="AE49" s="70">
        <v>47.0</v>
      </c>
      <c r="AF49" s="70" t="s">
        <v>16727</v>
      </c>
      <c r="AW49" s="70" t="s">
        <v>21460</v>
      </c>
      <c r="AX49" s="70">
        <v>0.0</v>
      </c>
      <c r="AY49" s="70" t="s">
        <v>22</v>
      </c>
      <c r="AZ49" s="70">
        <v>104.0</v>
      </c>
    </row>
    <row r="50" ht="22.5" customHeight="1">
      <c r="A50" s="70" t="str">
        <f t="shared" si="1"/>
        <v>Included</v>
      </c>
      <c r="B50" s="70">
        <f t="shared" si="2"/>
        <v>5</v>
      </c>
      <c r="C50" s="70">
        <v>1.0</v>
      </c>
      <c r="D50" s="70">
        <v>1.0</v>
      </c>
      <c r="E50" s="70">
        <v>1.0</v>
      </c>
      <c r="F50" s="70">
        <v>1.0</v>
      </c>
      <c r="G50" s="70">
        <v>1.0</v>
      </c>
      <c r="H50" s="70" t="s">
        <v>21293</v>
      </c>
      <c r="I50" s="70">
        <v>2345.0</v>
      </c>
      <c r="J50" s="70" t="s">
        <v>29373</v>
      </c>
      <c r="K50" s="70" t="s">
        <v>21292</v>
      </c>
      <c r="L50" s="70" t="s">
        <v>16436</v>
      </c>
      <c r="N50" s="70" t="s">
        <v>16437</v>
      </c>
      <c r="P50" s="76">
        <v>45397.0</v>
      </c>
      <c r="U50" s="70" t="s">
        <v>239</v>
      </c>
      <c r="W50" s="70" t="s">
        <v>21295</v>
      </c>
      <c r="Y50" s="70" t="s">
        <v>21296</v>
      </c>
      <c r="Z50" s="75" t="s">
        <v>21297</v>
      </c>
      <c r="AA50" s="70" t="s">
        <v>21298</v>
      </c>
      <c r="AC50" s="70">
        <v>1.0</v>
      </c>
      <c r="AE50" s="70">
        <v>66.0</v>
      </c>
      <c r="AF50" s="70" t="s">
        <v>16727</v>
      </c>
      <c r="AW50" s="70" t="s">
        <v>21299</v>
      </c>
      <c r="AX50" s="70">
        <v>1.0</v>
      </c>
      <c r="AZ50" s="70">
        <v>2.0</v>
      </c>
    </row>
    <row r="51" ht="22.5" customHeight="1">
      <c r="A51" s="70" t="str">
        <f t="shared" si="1"/>
        <v>Included</v>
      </c>
      <c r="B51" s="70">
        <f t="shared" si="2"/>
        <v>5</v>
      </c>
      <c r="C51" s="70">
        <v>1.0</v>
      </c>
      <c r="D51" s="70">
        <v>1.0</v>
      </c>
      <c r="E51" s="70">
        <v>1.0</v>
      </c>
      <c r="F51" s="70">
        <v>1.0</v>
      </c>
      <c r="G51" s="70">
        <v>1.0</v>
      </c>
      <c r="H51" s="70" t="s">
        <v>21735</v>
      </c>
      <c r="I51" s="70">
        <v>2396.0</v>
      </c>
      <c r="J51" s="70" t="s">
        <v>21733</v>
      </c>
      <c r="K51" s="70" t="s">
        <v>21734</v>
      </c>
      <c r="L51" s="70" t="s">
        <v>16436</v>
      </c>
      <c r="N51" s="70" t="s">
        <v>16437</v>
      </c>
      <c r="P51" s="77">
        <v>45539.0</v>
      </c>
      <c r="U51" s="70" t="s">
        <v>239</v>
      </c>
      <c r="W51" s="70" t="s">
        <v>21737</v>
      </c>
      <c r="Z51" s="75" t="s">
        <v>21738</v>
      </c>
      <c r="AA51" s="70" t="s">
        <v>21739</v>
      </c>
      <c r="AE51" s="70">
        <v>43.0</v>
      </c>
      <c r="AF51" s="70" t="s">
        <v>16727</v>
      </c>
      <c r="AW51" s="70" t="s">
        <v>21740</v>
      </c>
      <c r="AX51" s="70">
        <v>0.0</v>
      </c>
      <c r="AY51" s="70" t="s">
        <v>22</v>
      </c>
      <c r="AZ51" s="70">
        <v>45.0</v>
      </c>
    </row>
    <row r="52" ht="22.5" customHeight="1">
      <c r="A52" s="70" t="str">
        <f t="shared" si="1"/>
        <v>Included</v>
      </c>
      <c r="B52" s="70">
        <f t="shared" si="2"/>
        <v>5</v>
      </c>
      <c r="C52" s="70">
        <v>1.0</v>
      </c>
      <c r="D52" s="70">
        <v>1.0</v>
      </c>
      <c r="E52" s="70">
        <v>1.0</v>
      </c>
      <c r="F52" s="70">
        <v>1.0</v>
      </c>
      <c r="G52" s="70">
        <v>1.0</v>
      </c>
      <c r="H52" s="70" t="s">
        <v>21363</v>
      </c>
      <c r="I52" s="70">
        <v>2353.0</v>
      </c>
      <c r="J52" s="70" t="s">
        <v>21361</v>
      </c>
      <c r="K52" s="70" t="s">
        <v>21362</v>
      </c>
      <c r="L52" s="70" t="s">
        <v>16436</v>
      </c>
      <c r="N52" s="70" t="s">
        <v>16437</v>
      </c>
      <c r="P52" s="76">
        <v>45551.0</v>
      </c>
      <c r="U52" s="70" t="s">
        <v>239</v>
      </c>
      <c r="W52" s="70" t="s">
        <v>29374</v>
      </c>
      <c r="Y52" s="70" t="s">
        <v>21366</v>
      </c>
      <c r="Z52" s="75" t="s">
        <v>21367</v>
      </c>
      <c r="AA52" s="70" t="s">
        <v>21368</v>
      </c>
      <c r="AC52" s="70">
        <v>1.0</v>
      </c>
      <c r="AE52" s="70">
        <v>32.0</v>
      </c>
      <c r="AF52" s="70" t="s">
        <v>16727</v>
      </c>
      <c r="AW52" s="70" t="s">
        <v>21369</v>
      </c>
      <c r="AX52" s="70">
        <v>0.0</v>
      </c>
      <c r="AY52" s="70" t="s">
        <v>22</v>
      </c>
      <c r="AZ52" s="70">
        <v>26.0</v>
      </c>
    </row>
    <row r="53" ht="22.5" customHeight="1">
      <c r="A53" s="70" t="str">
        <f t="shared" si="1"/>
        <v>Included</v>
      </c>
      <c r="B53" s="70">
        <f t="shared" si="2"/>
        <v>5</v>
      </c>
      <c r="C53" s="70">
        <v>1.0</v>
      </c>
      <c r="D53" s="70">
        <v>1.0</v>
      </c>
      <c r="E53" s="70">
        <v>1.0</v>
      </c>
      <c r="F53" s="70">
        <v>1.0</v>
      </c>
      <c r="G53" s="70">
        <v>1.0</v>
      </c>
      <c r="H53" s="70" t="s">
        <v>22060</v>
      </c>
      <c r="I53" s="70">
        <v>2433.0</v>
      </c>
      <c r="J53" s="70" t="s">
        <v>22058</v>
      </c>
      <c r="K53" s="70" t="s">
        <v>22059</v>
      </c>
      <c r="L53" s="70" t="s">
        <v>16436</v>
      </c>
      <c r="N53" s="70" t="s">
        <v>16437</v>
      </c>
      <c r="P53" s="76">
        <v>45553.0</v>
      </c>
      <c r="U53" s="70" t="s">
        <v>239</v>
      </c>
      <c r="W53" s="70" t="s">
        <v>22062</v>
      </c>
      <c r="Y53" s="70" t="s">
        <v>22063</v>
      </c>
      <c r="Z53" s="75" t="s">
        <v>22064</v>
      </c>
      <c r="AA53" s="70" t="s">
        <v>22065</v>
      </c>
      <c r="AE53" s="70">
        <v>32.0</v>
      </c>
      <c r="AF53" s="70" t="s">
        <v>16727</v>
      </c>
      <c r="AW53" s="70" t="s">
        <v>22066</v>
      </c>
      <c r="AX53" s="70">
        <v>0.0</v>
      </c>
      <c r="AY53" s="70" t="s">
        <v>22</v>
      </c>
      <c r="AZ53" s="70">
        <v>27.0</v>
      </c>
    </row>
    <row r="54" ht="22.5" customHeight="1">
      <c r="A54" s="70" t="str">
        <f t="shared" si="1"/>
        <v>Included</v>
      </c>
      <c r="B54" s="70">
        <f t="shared" si="2"/>
        <v>4</v>
      </c>
      <c r="C54" s="70">
        <v>1.0</v>
      </c>
      <c r="D54" s="70">
        <v>1.0</v>
      </c>
      <c r="E54" s="70">
        <v>1.0</v>
      </c>
      <c r="F54" s="70">
        <v>0.0</v>
      </c>
      <c r="G54" s="70">
        <v>1.0</v>
      </c>
      <c r="H54" s="70" t="s">
        <v>21869</v>
      </c>
      <c r="I54" s="70">
        <v>2411.0</v>
      </c>
      <c r="J54" s="70" t="s">
        <v>29375</v>
      </c>
      <c r="K54" s="70" t="s">
        <v>21868</v>
      </c>
      <c r="L54" s="70" t="s">
        <v>16436</v>
      </c>
      <c r="N54" s="70" t="s">
        <v>16437</v>
      </c>
      <c r="P54" s="76">
        <v>45593.0</v>
      </c>
      <c r="U54" s="70" t="s">
        <v>239</v>
      </c>
      <c r="W54" s="70" t="s">
        <v>29376</v>
      </c>
      <c r="Z54" s="75" t="s">
        <v>21872</v>
      </c>
      <c r="AA54" s="70" t="s">
        <v>21873</v>
      </c>
      <c r="AE54" s="70">
        <v>44.0</v>
      </c>
      <c r="AF54" s="70" t="s">
        <v>16727</v>
      </c>
      <c r="AW54" s="70" t="s">
        <v>21874</v>
      </c>
      <c r="AX54" s="70">
        <v>0.0</v>
      </c>
      <c r="AY54" s="70" t="s">
        <v>22</v>
      </c>
      <c r="AZ54" s="70">
        <v>113.0</v>
      </c>
    </row>
    <row r="55" ht="22.5" customHeight="1">
      <c r="A55" s="70" t="str">
        <f t="shared" si="1"/>
        <v>Included</v>
      </c>
      <c r="B55" s="70">
        <f t="shared" si="2"/>
        <v>5</v>
      </c>
      <c r="C55" s="70">
        <v>1.0</v>
      </c>
      <c r="D55" s="70">
        <v>1.0</v>
      </c>
      <c r="E55" s="70">
        <v>1.0</v>
      </c>
      <c r="F55" s="70">
        <v>1.0</v>
      </c>
      <c r="G55" s="70">
        <v>1.0</v>
      </c>
      <c r="H55" s="70" t="s">
        <v>22139</v>
      </c>
      <c r="I55" s="70">
        <v>2442.0</v>
      </c>
      <c r="J55" s="70" t="s">
        <v>22137</v>
      </c>
      <c r="K55" s="70" t="s">
        <v>22138</v>
      </c>
      <c r="L55" s="70" t="s">
        <v>16436</v>
      </c>
      <c r="N55" s="70" t="s">
        <v>16437</v>
      </c>
      <c r="P55" s="76">
        <v>45594.0</v>
      </c>
      <c r="U55" s="70" t="s">
        <v>239</v>
      </c>
      <c r="W55" s="70" t="s">
        <v>29377</v>
      </c>
      <c r="Y55" s="70" t="s">
        <v>22142</v>
      </c>
      <c r="Z55" s="75" t="s">
        <v>22143</v>
      </c>
      <c r="AA55" s="70" t="s">
        <v>22144</v>
      </c>
      <c r="AE55" s="70">
        <v>39.0</v>
      </c>
      <c r="AF55" s="70" t="s">
        <v>16727</v>
      </c>
      <c r="AW55" s="70" t="s">
        <v>22145</v>
      </c>
      <c r="AX55" s="70">
        <v>0.0</v>
      </c>
      <c r="AY55" s="70" t="s">
        <v>22</v>
      </c>
      <c r="AZ55" s="70">
        <v>52.0</v>
      </c>
    </row>
    <row r="56" ht="22.5" customHeight="1">
      <c r="A56" s="70" t="str">
        <f t="shared" si="1"/>
        <v>Included</v>
      </c>
      <c r="B56" s="70">
        <f t="shared" si="2"/>
        <v>5</v>
      </c>
      <c r="C56" s="70">
        <v>1.0</v>
      </c>
      <c r="D56" s="70">
        <v>1.0</v>
      </c>
      <c r="E56" s="70">
        <v>1.0</v>
      </c>
      <c r="F56" s="70">
        <v>1.0</v>
      </c>
      <c r="G56" s="70">
        <v>1.0</v>
      </c>
      <c r="H56" s="70" t="s">
        <v>21568</v>
      </c>
      <c r="I56" s="70">
        <v>2377.0</v>
      </c>
      <c r="J56" s="70" t="s">
        <v>21566</v>
      </c>
      <c r="K56" s="70" t="s">
        <v>21567</v>
      </c>
      <c r="L56" s="70" t="s">
        <v>16436</v>
      </c>
      <c r="N56" s="70" t="s">
        <v>16437</v>
      </c>
      <c r="P56" s="77">
        <v>45597.0</v>
      </c>
      <c r="U56" s="70" t="s">
        <v>239</v>
      </c>
      <c r="W56" s="70" t="s">
        <v>21570</v>
      </c>
      <c r="Y56" s="70" t="s">
        <v>29378</v>
      </c>
      <c r="Z56" s="75" t="s">
        <v>21572</v>
      </c>
      <c r="AA56" s="70" t="s">
        <v>21573</v>
      </c>
      <c r="AE56" s="70">
        <v>64.0</v>
      </c>
      <c r="AF56" s="70" t="s">
        <v>16423</v>
      </c>
      <c r="AW56" s="70" t="s">
        <v>21574</v>
      </c>
      <c r="AX56" s="70">
        <v>0.0</v>
      </c>
      <c r="AY56" s="70" t="s">
        <v>22</v>
      </c>
      <c r="AZ56" s="70">
        <v>78.0</v>
      </c>
    </row>
    <row r="57" ht="22.5" customHeight="1">
      <c r="A57" s="70" t="str">
        <f t="shared" si="1"/>
        <v>Included</v>
      </c>
      <c r="B57" s="70">
        <f t="shared" si="2"/>
        <v>3</v>
      </c>
      <c r="C57" s="70">
        <v>1.0</v>
      </c>
      <c r="D57" s="70">
        <v>1.0</v>
      </c>
      <c r="E57" s="70">
        <v>1.0</v>
      </c>
      <c r="F57" s="70">
        <v>0.0</v>
      </c>
      <c r="G57" s="70">
        <v>0.0</v>
      </c>
      <c r="H57" s="70" t="s">
        <v>9756</v>
      </c>
      <c r="I57" s="70">
        <v>955.0</v>
      </c>
      <c r="J57" s="70" t="s">
        <v>9753</v>
      </c>
      <c r="K57" s="70" t="s">
        <v>9754</v>
      </c>
      <c r="L57" s="70" t="s">
        <v>9755</v>
      </c>
      <c r="P57" s="76">
        <v>44104.0</v>
      </c>
      <c r="U57" s="70" t="s">
        <v>239</v>
      </c>
      <c r="W57" s="70" t="s">
        <v>9758</v>
      </c>
      <c r="X57" s="70" t="s">
        <v>9759</v>
      </c>
      <c r="Z57" s="75" t="s">
        <v>9760</v>
      </c>
      <c r="AA57" s="70" t="s">
        <v>9761</v>
      </c>
      <c r="AE57" s="70">
        <v>27.0</v>
      </c>
      <c r="AF57" s="70" t="s">
        <v>239</v>
      </c>
      <c r="AW57" s="70" t="s">
        <v>9762</v>
      </c>
      <c r="AX57" s="70">
        <v>0.0</v>
      </c>
      <c r="AY57" s="70" t="s">
        <v>24</v>
      </c>
      <c r="AZ57" s="70">
        <v>2603.0</v>
      </c>
    </row>
    <row r="58" ht="22.5" customHeight="1">
      <c r="A58" s="70" t="str">
        <f t="shared" si="1"/>
        <v>Included</v>
      </c>
      <c r="B58" s="70">
        <f t="shared" si="2"/>
        <v>4</v>
      </c>
      <c r="C58" s="70">
        <v>1.0</v>
      </c>
      <c r="D58" s="70">
        <v>1.0</v>
      </c>
      <c r="E58" s="70">
        <v>1.0</v>
      </c>
      <c r="F58" s="70">
        <v>0.0</v>
      </c>
      <c r="G58" s="70">
        <v>1.0</v>
      </c>
      <c r="H58" s="70" t="s">
        <v>8591</v>
      </c>
      <c r="I58" s="70">
        <v>834.0</v>
      </c>
      <c r="J58" s="70" t="s">
        <v>8588</v>
      </c>
      <c r="K58" s="70" t="s">
        <v>8589</v>
      </c>
      <c r="L58" s="70" t="s">
        <v>8590</v>
      </c>
      <c r="P58" s="77">
        <v>44713.0</v>
      </c>
      <c r="U58" s="70" t="s">
        <v>239</v>
      </c>
      <c r="W58" s="70" t="s">
        <v>8593</v>
      </c>
      <c r="X58" s="70" t="s">
        <v>8594</v>
      </c>
      <c r="Z58" s="75" t="s">
        <v>8595</v>
      </c>
      <c r="AA58" s="70" t="s">
        <v>8596</v>
      </c>
      <c r="AC58" s="70">
        <v>1.0</v>
      </c>
      <c r="AE58" s="70">
        <v>10.0</v>
      </c>
      <c r="AF58" s="70" t="s">
        <v>239</v>
      </c>
      <c r="AW58" s="70" t="s">
        <v>8597</v>
      </c>
      <c r="AX58" s="70">
        <v>0.0</v>
      </c>
      <c r="AY58" s="70" t="s">
        <v>22</v>
      </c>
      <c r="AZ58" s="70">
        <v>137.0</v>
      </c>
    </row>
    <row r="59" ht="22.5" customHeight="1">
      <c r="A59" s="70" t="str">
        <f t="shared" si="1"/>
        <v>Included</v>
      </c>
      <c r="B59" s="70">
        <f t="shared" si="2"/>
        <v>5</v>
      </c>
      <c r="C59" s="70">
        <v>1.0</v>
      </c>
      <c r="D59" s="70">
        <v>1.0</v>
      </c>
      <c r="E59" s="70">
        <v>1.0</v>
      </c>
      <c r="F59" s="70">
        <v>1.0</v>
      </c>
      <c r="G59" s="70">
        <v>1.0</v>
      </c>
      <c r="H59" s="70" t="s">
        <v>7870</v>
      </c>
      <c r="I59" s="70">
        <v>758.0</v>
      </c>
      <c r="J59" s="70" t="s">
        <v>7866</v>
      </c>
      <c r="K59" s="70" t="s">
        <v>7867</v>
      </c>
      <c r="L59" s="70" t="s">
        <v>7868</v>
      </c>
      <c r="N59" s="70" t="s">
        <v>7869</v>
      </c>
      <c r="P59" s="76">
        <v>44575.0</v>
      </c>
      <c r="U59" s="70" t="s">
        <v>239</v>
      </c>
      <c r="W59" s="70" t="s">
        <v>7872</v>
      </c>
      <c r="X59" s="70" t="s">
        <v>7873</v>
      </c>
      <c r="Z59" s="75" t="s">
        <v>7874</v>
      </c>
      <c r="AA59" s="70" t="s">
        <v>7875</v>
      </c>
      <c r="AC59" s="70">
        <v>2.0</v>
      </c>
      <c r="AE59" s="70">
        <v>12.0</v>
      </c>
      <c r="AF59" s="70" t="s">
        <v>239</v>
      </c>
      <c r="AW59" s="70" t="s">
        <v>7876</v>
      </c>
      <c r="AX59" s="70">
        <v>0.0</v>
      </c>
      <c r="AY59" s="70" t="s">
        <v>22</v>
      </c>
      <c r="AZ59" s="70">
        <v>105.0</v>
      </c>
    </row>
    <row r="60" ht="22.5" customHeight="1">
      <c r="A60" s="70" t="str">
        <f t="shared" si="1"/>
        <v>Included</v>
      </c>
      <c r="B60" s="70">
        <f t="shared" si="2"/>
        <v>3</v>
      </c>
      <c r="C60" s="70">
        <v>1.0</v>
      </c>
      <c r="D60" s="70">
        <v>1.0</v>
      </c>
      <c r="E60" s="70">
        <v>1.0</v>
      </c>
      <c r="F60" s="70">
        <v>0.0</v>
      </c>
      <c r="G60" s="70">
        <v>0.0</v>
      </c>
      <c r="H60" s="70" t="s">
        <v>7488</v>
      </c>
      <c r="I60" s="70">
        <v>719.0</v>
      </c>
      <c r="J60" s="70" t="s">
        <v>7485</v>
      </c>
      <c r="K60" s="70" t="s">
        <v>29379</v>
      </c>
      <c r="L60" s="70" t="s">
        <v>7487</v>
      </c>
      <c r="P60" s="76">
        <v>45012.0</v>
      </c>
      <c r="U60" s="70" t="s">
        <v>239</v>
      </c>
      <c r="W60" s="70" t="s">
        <v>7490</v>
      </c>
      <c r="X60" s="70" t="s">
        <v>7491</v>
      </c>
      <c r="Z60" s="75" t="s">
        <v>7492</v>
      </c>
      <c r="AA60" s="70" t="s">
        <v>7493</v>
      </c>
      <c r="AC60" s="70">
        <v>3.0</v>
      </c>
      <c r="AE60" s="70">
        <v>17.0</v>
      </c>
      <c r="AF60" s="70" t="s">
        <v>239</v>
      </c>
      <c r="AW60" s="70" t="s">
        <v>7494</v>
      </c>
      <c r="AZ60" s="70">
        <v>1460.0</v>
      </c>
    </row>
    <row r="61" ht="22.5" customHeight="1">
      <c r="A61" s="70" t="str">
        <f t="shared" si="1"/>
        <v>Included</v>
      </c>
      <c r="B61" s="70">
        <f t="shared" si="2"/>
        <v>2</v>
      </c>
      <c r="C61" s="70">
        <v>0.0</v>
      </c>
      <c r="D61" s="70">
        <v>0.0</v>
      </c>
      <c r="E61" s="70">
        <v>1.0</v>
      </c>
      <c r="F61" s="70">
        <v>1.0</v>
      </c>
      <c r="G61" s="70">
        <v>0.0</v>
      </c>
      <c r="H61" s="70" t="s">
        <v>12002</v>
      </c>
      <c r="I61" s="70">
        <v>1255.0</v>
      </c>
      <c r="J61" s="70" t="s">
        <v>11999</v>
      </c>
      <c r="K61" s="70" t="s">
        <v>12000</v>
      </c>
      <c r="L61" s="70" t="s">
        <v>12001</v>
      </c>
      <c r="P61" s="76">
        <v>45313.0</v>
      </c>
      <c r="U61" s="70" t="s">
        <v>239</v>
      </c>
      <c r="W61" s="70" t="s">
        <v>12004</v>
      </c>
      <c r="X61" s="70" t="s">
        <v>12005</v>
      </c>
      <c r="Y61" s="70" t="s">
        <v>29380</v>
      </c>
      <c r="Z61" s="75" t="s">
        <v>12006</v>
      </c>
      <c r="AA61" s="70" t="s">
        <v>12007</v>
      </c>
      <c r="AC61" s="70">
        <v>1.0</v>
      </c>
      <c r="AE61" s="70">
        <v>36.0</v>
      </c>
      <c r="AF61" s="70" t="s">
        <v>239</v>
      </c>
      <c r="AW61" s="70" t="s">
        <v>12008</v>
      </c>
      <c r="AZ61" s="70">
        <v>1029.0</v>
      </c>
    </row>
    <row r="62" ht="22.5" customHeight="1">
      <c r="A62" s="70" t="str">
        <f t="shared" si="1"/>
        <v>Included</v>
      </c>
      <c r="B62" s="70">
        <f t="shared" si="2"/>
        <v>3</v>
      </c>
      <c r="C62" s="70">
        <v>1.0</v>
      </c>
      <c r="D62" s="70">
        <v>1.0</v>
      </c>
      <c r="E62" s="70">
        <v>1.0</v>
      </c>
      <c r="F62" s="70">
        <v>0.0</v>
      </c>
      <c r="G62" s="70">
        <v>0.0</v>
      </c>
      <c r="H62" s="70" t="s">
        <v>13589</v>
      </c>
      <c r="I62" s="70">
        <v>1415.0</v>
      </c>
      <c r="J62" s="70" t="s">
        <v>13587</v>
      </c>
      <c r="K62" s="70" t="s">
        <v>13588</v>
      </c>
      <c r="L62" s="70" t="s">
        <v>12562</v>
      </c>
      <c r="N62" s="70" t="s">
        <v>12563</v>
      </c>
      <c r="P62" s="76">
        <v>45673.0</v>
      </c>
      <c r="U62" s="70" t="s">
        <v>239</v>
      </c>
      <c r="W62" s="70" t="s">
        <v>13591</v>
      </c>
      <c r="X62" s="70" t="s">
        <v>12567</v>
      </c>
      <c r="Z62" s="75" t="s">
        <v>13592</v>
      </c>
      <c r="AA62" s="70" t="s">
        <v>13593</v>
      </c>
      <c r="AE62" s="70">
        <v>31.0</v>
      </c>
      <c r="AF62" s="70" t="s">
        <v>239</v>
      </c>
      <c r="AW62" s="70" t="s">
        <v>13594</v>
      </c>
      <c r="AX62" s="70">
        <v>0.0</v>
      </c>
      <c r="AY62" s="70" t="s">
        <v>29381</v>
      </c>
      <c r="AZ62" s="70">
        <v>2183.0</v>
      </c>
    </row>
    <row r="63" ht="22.5" customHeight="1">
      <c r="A63" s="70" t="str">
        <f t="shared" si="1"/>
        <v>Included</v>
      </c>
      <c r="B63" s="70">
        <f t="shared" si="2"/>
        <v>4</v>
      </c>
      <c r="C63" s="70">
        <v>1.0</v>
      </c>
      <c r="D63" s="70">
        <v>1.0</v>
      </c>
      <c r="E63" s="70">
        <v>1.0</v>
      </c>
      <c r="F63" s="70">
        <v>0.0</v>
      </c>
      <c r="G63" s="70">
        <v>1.0</v>
      </c>
      <c r="H63" s="70" t="s">
        <v>14804</v>
      </c>
      <c r="I63" s="70">
        <v>1543.0</v>
      </c>
      <c r="J63" s="70" t="s">
        <v>14802</v>
      </c>
      <c r="K63" s="70" t="s">
        <v>14803</v>
      </c>
      <c r="L63" s="70" t="s">
        <v>14121</v>
      </c>
      <c r="P63" s="76">
        <v>45674.0</v>
      </c>
      <c r="U63" s="70" t="s">
        <v>239</v>
      </c>
      <c r="W63" s="70" t="s">
        <v>14806</v>
      </c>
      <c r="X63" s="70" t="s">
        <v>14125</v>
      </c>
      <c r="Y63" s="70" t="s">
        <v>29382</v>
      </c>
      <c r="Z63" s="75" t="s">
        <v>14808</v>
      </c>
      <c r="AA63" s="70" t="s">
        <v>14809</v>
      </c>
      <c r="AE63" s="70">
        <v>17.0</v>
      </c>
      <c r="AF63" s="70" t="s">
        <v>239</v>
      </c>
      <c r="AW63" s="70" t="s">
        <v>14810</v>
      </c>
      <c r="AX63" s="70">
        <v>0.0</v>
      </c>
      <c r="AY63" s="70" t="s">
        <v>22</v>
      </c>
      <c r="AZ63" s="70">
        <v>79.0</v>
      </c>
    </row>
    <row r="64" ht="22.5" customHeight="1">
      <c r="A64" s="70" t="str">
        <f t="shared" si="1"/>
        <v>Included</v>
      </c>
      <c r="B64" s="70">
        <f t="shared" si="2"/>
        <v>5</v>
      </c>
      <c r="C64" s="70">
        <v>1.0</v>
      </c>
      <c r="D64" s="70">
        <v>1.0</v>
      </c>
      <c r="E64" s="70">
        <v>1.0</v>
      </c>
      <c r="F64" s="70">
        <v>1.0</v>
      </c>
      <c r="G64" s="70">
        <v>1.0</v>
      </c>
      <c r="H64" s="70" t="s">
        <v>15115</v>
      </c>
      <c r="I64" s="70">
        <v>1576.0</v>
      </c>
      <c r="J64" s="70" t="s">
        <v>15112</v>
      </c>
      <c r="K64" s="70" t="s">
        <v>15113</v>
      </c>
      <c r="L64" s="70" t="s">
        <v>15114</v>
      </c>
      <c r="P64" s="76">
        <v>45671.0</v>
      </c>
      <c r="U64" s="70" t="s">
        <v>239</v>
      </c>
      <c r="W64" s="70" t="s">
        <v>15117</v>
      </c>
      <c r="X64" s="70" t="s">
        <v>15118</v>
      </c>
      <c r="Z64" s="75" t="s">
        <v>15119</v>
      </c>
      <c r="AA64" s="70" t="s">
        <v>15120</v>
      </c>
      <c r="AE64" s="70">
        <v>12.0</v>
      </c>
      <c r="AF64" s="70" t="s">
        <v>239</v>
      </c>
      <c r="AW64" s="70" t="s">
        <v>15121</v>
      </c>
      <c r="AX64" s="70">
        <v>0.0</v>
      </c>
      <c r="AY64" s="70" t="s">
        <v>22</v>
      </c>
      <c r="AZ64" s="70">
        <v>34.0</v>
      </c>
    </row>
    <row r="65" ht="22.5" customHeight="1">
      <c r="A65" s="70" t="str">
        <f t="shared" si="1"/>
        <v>Included</v>
      </c>
      <c r="B65" s="70">
        <f t="shared" si="2"/>
        <v>4</v>
      </c>
      <c r="C65" s="70">
        <v>1.0</v>
      </c>
      <c r="D65" s="70">
        <v>1.0</v>
      </c>
      <c r="E65" s="70">
        <v>1.0</v>
      </c>
      <c r="F65" s="70">
        <v>1.0</v>
      </c>
      <c r="G65" s="70">
        <v>0.0</v>
      </c>
      <c r="H65" s="70" t="s">
        <v>5432</v>
      </c>
      <c r="I65" s="70">
        <v>509.0</v>
      </c>
      <c r="J65" s="70" t="s">
        <v>5429</v>
      </c>
      <c r="K65" s="70" t="s">
        <v>5430</v>
      </c>
      <c r="L65" s="70" t="s">
        <v>5431</v>
      </c>
      <c r="P65" s="76">
        <v>42726.0</v>
      </c>
      <c r="U65" s="70" t="s">
        <v>239</v>
      </c>
      <c r="W65" s="70" t="s">
        <v>5434</v>
      </c>
      <c r="X65" s="70" t="s">
        <v>5435</v>
      </c>
      <c r="Z65" s="75" t="s">
        <v>5436</v>
      </c>
      <c r="AA65" s="70" t="s">
        <v>5437</v>
      </c>
      <c r="AC65" s="70">
        <v>12.0</v>
      </c>
      <c r="AE65" s="70">
        <v>34.0</v>
      </c>
      <c r="AF65" s="70" t="s">
        <v>239</v>
      </c>
      <c r="AW65" s="70" t="s">
        <v>5438</v>
      </c>
      <c r="AX65" s="70">
        <v>0.0</v>
      </c>
      <c r="AY65" s="70" t="s">
        <v>24</v>
      </c>
      <c r="AZ65" s="70">
        <v>1814.0</v>
      </c>
    </row>
    <row r="66" ht="22.5" customHeight="1">
      <c r="A66" s="70" t="str">
        <f t="shared" si="1"/>
        <v>Included</v>
      </c>
      <c r="B66" s="70">
        <f t="shared" si="2"/>
        <v>5</v>
      </c>
      <c r="C66" s="70">
        <v>1.0</v>
      </c>
      <c r="D66" s="70">
        <v>1.0</v>
      </c>
      <c r="E66" s="70">
        <v>1.0</v>
      </c>
      <c r="F66" s="70">
        <v>1.0</v>
      </c>
      <c r="G66" s="70">
        <v>1.0</v>
      </c>
      <c r="H66" s="70" t="s">
        <v>25948</v>
      </c>
      <c r="I66" s="70">
        <v>2818.0</v>
      </c>
      <c r="J66" s="70" t="s">
        <v>25946</v>
      </c>
      <c r="K66" s="70" t="s">
        <v>25947</v>
      </c>
      <c r="W66" s="70" t="s">
        <v>29383</v>
      </c>
      <c r="AA66" s="70" t="s">
        <v>25950</v>
      </c>
      <c r="AI66" s="70" t="s">
        <v>25951</v>
      </c>
      <c r="AJ66" s="70" t="s">
        <v>25952</v>
      </c>
      <c r="AK66" s="70">
        <v>2023.0</v>
      </c>
      <c r="AL66" s="70" t="s">
        <v>25953</v>
      </c>
      <c r="AN66" s="70">
        <v>505.0</v>
      </c>
      <c r="AO66" s="70">
        <v>515.0</v>
      </c>
      <c r="AP66" s="70">
        <v>10.0</v>
      </c>
      <c r="AQ66" s="70">
        <v>3.0</v>
      </c>
      <c r="AR66" s="75" t="s">
        <v>25954</v>
      </c>
      <c r="AS66" s="70" t="s">
        <v>22525</v>
      </c>
      <c r="AT66" s="70" t="s">
        <v>22816</v>
      </c>
      <c r="AU66" s="70" t="s">
        <v>237</v>
      </c>
      <c r="AV66" s="70" t="s">
        <v>25955</v>
      </c>
      <c r="AW66" s="70" t="s">
        <v>25956</v>
      </c>
      <c r="AX66" s="70">
        <v>0.0</v>
      </c>
      <c r="AY66" s="70" t="s">
        <v>22</v>
      </c>
      <c r="AZ66" s="70">
        <v>24.0</v>
      </c>
    </row>
    <row r="67" ht="22.5" customHeight="1">
      <c r="A67" s="70" t="str">
        <f t="shared" si="1"/>
        <v>Included</v>
      </c>
      <c r="B67" s="70">
        <f t="shared" si="2"/>
        <v>5</v>
      </c>
      <c r="C67" s="70">
        <v>1.0</v>
      </c>
      <c r="D67" s="70">
        <v>1.0</v>
      </c>
      <c r="E67" s="70">
        <v>1.0</v>
      </c>
      <c r="F67" s="70">
        <v>1.0</v>
      </c>
      <c r="G67" s="70">
        <v>1.0</v>
      </c>
      <c r="H67" s="70" t="s">
        <v>12460</v>
      </c>
      <c r="I67" s="70">
        <v>1301.0</v>
      </c>
      <c r="J67" s="70" t="s">
        <v>12458</v>
      </c>
      <c r="K67" s="70" t="s">
        <v>12459</v>
      </c>
      <c r="L67" s="70" t="s">
        <v>11571</v>
      </c>
      <c r="N67" s="70" t="s">
        <v>11572</v>
      </c>
      <c r="P67" s="76">
        <v>44972.0</v>
      </c>
      <c r="U67" s="70" t="s">
        <v>239</v>
      </c>
      <c r="W67" s="70" t="s">
        <v>12462</v>
      </c>
      <c r="X67" s="70" t="s">
        <v>11576</v>
      </c>
      <c r="Z67" s="75" t="s">
        <v>12463</v>
      </c>
      <c r="AA67" s="70" t="s">
        <v>12464</v>
      </c>
      <c r="AC67" s="70">
        <v>1.0</v>
      </c>
      <c r="AE67" s="70">
        <v>18.0</v>
      </c>
      <c r="AF67" s="70" t="s">
        <v>239</v>
      </c>
      <c r="AW67" s="70" t="s">
        <v>12465</v>
      </c>
      <c r="AX67" s="70">
        <v>0.0</v>
      </c>
      <c r="AY67" s="70" t="s">
        <v>22</v>
      </c>
      <c r="AZ67" s="70">
        <v>35.0</v>
      </c>
    </row>
    <row r="68" ht="22.5" customHeight="1">
      <c r="A68" s="70" t="str">
        <f t="shared" si="1"/>
        <v>Included</v>
      </c>
      <c r="B68" s="70">
        <f t="shared" si="2"/>
        <v>1</v>
      </c>
      <c r="C68" s="70">
        <v>0.0</v>
      </c>
      <c r="D68" s="70">
        <v>0.0</v>
      </c>
      <c r="E68" s="70">
        <v>0.0</v>
      </c>
      <c r="F68" s="70">
        <v>0.0</v>
      </c>
      <c r="G68" s="70">
        <v>1.0</v>
      </c>
      <c r="H68" s="70" t="s">
        <v>5829</v>
      </c>
      <c r="I68" s="70">
        <v>549.0</v>
      </c>
      <c r="J68" s="70" t="s">
        <v>29384</v>
      </c>
      <c r="K68" s="70" t="s">
        <v>5827</v>
      </c>
      <c r="L68" s="70" t="s">
        <v>5828</v>
      </c>
      <c r="P68" s="77">
        <v>43984.0</v>
      </c>
      <c r="U68" s="70" t="s">
        <v>239</v>
      </c>
      <c r="W68" s="70" t="s">
        <v>5831</v>
      </c>
      <c r="X68" s="70" t="s">
        <v>5832</v>
      </c>
      <c r="Z68" s="75" t="s">
        <v>5833</v>
      </c>
      <c r="AA68" s="70" t="s">
        <v>5834</v>
      </c>
      <c r="AC68" s="70">
        <v>9.0</v>
      </c>
      <c r="AE68" s="70">
        <v>31.0</v>
      </c>
      <c r="AF68" s="70" t="s">
        <v>239</v>
      </c>
      <c r="AX68" s="70">
        <v>0.0</v>
      </c>
      <c r="AY68" s="70" t="s">
        <v>29385</v>
      </c>
      <c r="AZ68" s="70">
        <v>97.0</v>
      </c>
    </row>
    <row r="69" ht="22.5" customHeight="1">
      <c r="A69" s="70" t="str">
        <f t="shared" si="1"/>
        <v>Included</v>
      </c>
      <c r="B69" s="70">
        <f t="shared" si="2"/>
        <v>4</v>
      </c>
      <c r="C69" s="70">
        <v>1.0</v>
      </c>
      <c r="D69" s="70">
        <v>1.0</v>
      </c>
      <c r="E69" s="70">
        <v>1.0</v>
      </c>
      <c r="F69" s="70">
        <v>1.0</v>
      </c>
      <c r="G69" s="70">
        <v>0.0</v>
      </c>
      <c r="H69" s="70" t="s">
        <v>5372</v>
      </c>
      <c r="I69" s="70">
        <v>503.0</v>
      </c>
      <c r="J69" s="70" t="s">
        <v>5368</v>
      </c>
      <c r="K69" s="70" t="s">
        <v>5369</v>
      </c>
      <c r="L69" s="70" t="s">
        <v>5370</v>
      </c>
      <c r="N69" s="70" t="s">
        <v>5371</v>
      </c>
      <c r="P69" s="77">
        <v>44718.0</v>
      </c>
      <c r="U69" s="70" t="s">
        <v>239</v>
      </c>
      <c r="W69" s="70" t="s">
        <v>29386</v>
      </c>
      <c r="X69" s="70" t="s">
        <v>5375</v>
      </c>
      <c r="Y69" s="70" t="s">
        <v>29387</v>
      </c>
      <c r="Z69" s="75" t="s">
        <v>5377</v>
      </c>
      <c r="AC69" s="70">
        <v>13.0</v>
      </c>
      <c r="AE69" s="70">
        <v>20.0</v>
      </c>
      <c r="AF69" s="70" t="s">
        <v>239</v>
      </c>
      <c r="AW69" s="70" t="s">
        <v>5378</v>
      </c>
      <c r="AX69" s="70">
        <v>0.0</v>
      </c>
      <c r="AY69" s="70" t="s">
        <v>24</v>
      </c>
      <c r="AZ69" s="70">
        <v>2531.0</v>
      </c>
    </row>
    <row r="70" ht="22.5" customHeight="1">
      <c r="A70" s="70" t="str">
        <f t="shared" si="1"/>
        <v>Included</v>
      </c>
      <c r="B70" s="70">
        <f t="shared" si="2"/>
        <v>5</v>
      </c>
      <c r="C70" s="70">
        <v>1.0</v>
      </c>
      <c r="D70" s="70">
        <v>1.0</v>
      </c>
      <c r="E70" s="70">
        <v>1.0</v>
      </c>
      <c r="F70" s="70">
        <v>1.0</v>
      </c>
      <c r="G70" s="70">
        <v>1.0</v>
      </c>
      <c r="H70" s="70" t="s">
        <v>11243</v>
      </c>
      <c r="I70" s="70">
        <v>1179.0</v>
      </c>
      <c r="J70" s="70" t="s">
        <v>29388</v>
      </c>
      <c r="K70" s="70" t="s">
        <v>11242</v>
      </c>
      <c r="L70" s="70" t="s">
        <v>11101</v>
      </c>
      <c r="N70" s="70" t="s">
        <v>4868</v>
      </c>
      <c r="P70" s="77">
        <v>45170.0</v>
      </c>
      <c r="U70" s="70" t="s">
        <v>239</v>
      </c>
      <c r="W70" s="70" t="s">
        <v>11245</v>
      </c>
      <c r="X70" s="70" t="s">
        <v>11105</v>
      </c>
      <c r="Y70" s="70" t="s">
        <v>29380</v>
      </c>
      <c r="Z70" s="75" t="s">
        <v>11247</v>
      </c>
      <c r="AA70" s="70" t="s">
        <v>11248</v>
      </c>
      <c r="AC70" s="70">
        <v>5.0</v>
      </c>
      <c r="AE70" s="70">
        <v>32.0</v>
      </c>
      <c r="AF70" s="70" t="s">
        <v>239</v>
      </c>
      <c r="AW70" s="70" t="s">
        <v>11249</v>
      </c>
      <c r="AX70" s="70">
        <v>0.0</v>
      </c>
      <c r="AY70" s="70" t="s">
        <v>22</v>
      </c>
      <c r="AZ70" s="70">
        <v>46.0</v>
      </c>
    </row>
    <row r="71" ht="22.5" customHeight="1">
      <c r="A71" s="70" t="str">
        <f t="shared" si="1"/>
        <v>Included</v>
      </c>
      <c r="B71" s="70">
        <f t="shared" si="2"/>
        <v>4</v>
      </c>
      <c r="C71" s="70">
        <v>1.0</v>
      </c>
      <c r="D71" s="70">
        <v>1.0</v>
      </c>
      <c r="E71" s="70">
        <v>1.0</v>
      </c>
      <c r="F71" s="70">
        <v>1.0</v>
      </c>
      <c r="G71" s="70">
        <v>0.0</v>
      </c>
      <c r="H71" s="70" t="s">
        <v>14235</v>
      </c>
      <c r="I71" s="70">
        <v>1484.0</v>
      </c>
      <c r="J71" s="70" t="s">
        <v>29389</v>
      </c>
      <c r="K71" s="70" t="s">
        <v>14234</v>
      </c>
      <c r="L71" s="70" t="s">
        <v>12966</v>
      </c>
      <c r="N71" s="70" t="s">
        <v>12967</v>
      </c>
      <c r="P71" s="76">
        <v>45616.0</v>
      </c>
      <c r="U71" s="70" t="s">
        <v>239</v>
      </c>
      <c r="W71" s="70" t="s">
        <v>14237</v>
      </c>
      <c r="X71" s="70" t="s">
        <v>12971</v>
      </c>
      <c r="Z71" s="75" t="s">
        <v>14238</v>
      </c>
      <c r="AA71" s="70" t="s">
        <v>14239</v>
      </c>
      <c r="AE71" s="70">
        <v>10.0</v>
      </c>
      <c r="AF71" s="70" t="s">
        <v>239</v>
      </c>
      <c r="AW71" s="70" t="s">
        <v>14240</v>
      </c>
      <c r="AX71" s="70">
        <v>0.0</v>
      </c>
      <c r="AY71" s="70" t="s">
        <v>24</v>
      </c>
      <c r="AZ71" s="70">
        <v>3026.0</v>
      </c>
    </row>
    <row r="72" ht="22.5" customHeight="1">
      <c r="A72" s="70" t="str">
        <f t="shared" si="1"/>
        <v>Included</v>
      </c>
      <c r="B72" s="70">
        <f t="shared" si="2"/>
        <v>5</v>
      </c>
      <c r="C72" s="70">
        <v>1.0</v>
      </c>
      <c r="D72" s="70">
        <v>1.0</v>
      </c>
      <c r="E72" s="70">
        <v>1.0</v>
      </c>
      <c r="F72" s="70">
        <v>1.0</v>
      </c>
      <c r="G72" s="70">
        <v>1.0</v>
      </c>
      <c r="H72" s="70" t="s">
        <v>8906</v>
      </c>
      <c r="I72" s="70">
        <v>866.0</v>
      </c>
      <c r="J72" s="70" t="s">
        <v>8903</v>
      </c>
      <c r="K72" s="70" t="s">
        <v>8904</v>
      </c>
      <c r="L72" s="70" t="s">
        <v>8905</v>
      </c>
      <c r="P72" s="76">
        <v>44242.0</v>
      </c>
      <c r="U72" s="70" t="s">
        <v>239</v>
      </c>
      <c r="W72" s="70" t="s">
        <v>8908</v>
      </c>
      <c r="X72" s="70" t="s">
        <v>8909</v>
      </c>
      <c r="Z72" s="75" t="s">
        <v>8910</v>
      </c>
      <c r="AA72" s="70" t="s">
        <v>8911</v>
      </c>
      <c r="AC72" s="70">
        <v>1.0</v>
      </c>
      <c r="AE72" s="70">
        <v>12.0</v>
      </c>
      <c r="AF72" s="70" t="s">
        <v>239</v>
      </c>
      <c r="AW72" s="70" t="s">
        <v>8912</v>
      </c>
      <c r="AX72" s="70">
        <v>0.0</v>
      </c>
      <c r="AY72" s="70" t="s">
        <v>22</v>
      </c>
      <c r="AZ72" s="70">
        <v>28.0</v>
      </c>
    </row>
    <row r="73" ht="22.5" customHeight="1">
      <c r="A73" s="70" t="str">
        <f t="shared" si="1"/>
        <v>Included</v>
      </c>
      <c r="B73" s="70">
        <f t="shared" si="2"/>
        <v>5</v>
      </c>
      <c r="C73" s="70">
        <v>1.0</v>
      </c>
      <c r="D73" s="70">
        <v>1.0</v>
      </c>
      <c r="E73" s="70">
        <v>1.0</v>
      </c>
      <c r="F73" s="70">
        <v>1.0</v>
      </c>
      <c r="G73" s="70">
        <v>1.0</v>
      </c>
      <c r="H73" s="70" t="s">
        <v>6379</v>
      </c>
      <c r="I73" s="70">
        <v>605.0</v>
      </c>
      <c r="J73" s="70" t="s">
        <v>6376</v>
      </c>
      <c r="K73" s="70" t="s">
        <v>6377</v>
      </c>
      <c r="L73" s="70" t="s">
        <v>6378</v>
      </c>
      <c r="P73" s="76">
        <v>43069.0</v>
      </c>
      <c r="U73" s="70" t="s">
        <v>239</v>
      </c>
      <c r="W73" s="70" t="s">
        <v>6381</v>
      </c>
      <c r="X73" s="70" t="s">
        <v>6382</v>
      </c>
      <c r="Z73" s="75" t="s">
        <v>6383</v>
      </c>
      <c r="AA73" s="70" t="s">
        <v>6384</v>
      </c>
      <c r="AC73" s="70">
        <v>6.0</v>
      </c>
      <c r="AE73" s="70">
        <v>14.0</v>
      </c>
      <c r="AF73" s="70" t="s">
        <v>239</v>
      </c>
      <c r="AW73" s="70" t="s">
        <v>6385</v>
      </c>
      <c r="AX73" s="70">
        <v>0.0</v>
      </c>
      <c r="AY73" s="70" t="s">
        <v>22</v>
      </c>
      <c r="AZ73" s="70">
        <v>48.0</v>
      </c>
    </row>
    <row r="74" ht="22.5" customHeight="1">
      <c r="A74" s="70" t="str">
        <f t="shared" si="1"/>
        <v>Included</v>
      </c>
      <c r="B74" s="70">
        <f t="shared" si="2"/>
        <v>5</v>
      </c>
      <c r="C74" s="70">
        <v>1.0</v>
      </c>
      <c r="D74" s="70">
        <v>1.0</v>
      </c>
      <c r="E74" s="70">
        <v>1.0</v>
      </c>
      <c r="F74" s="70">
        <v>1.0</v>
      </c>
      <c r="G74" s="70">
        <v>1.0</v>
      </c>
      <c r="H74" s="70" t="s">
        <v>7277</v>
      </c>
      <c r="I74" s="70">
        <v>697.0</v>
      </c>
      <c r="J74" s="70" t="s">
        <v>7274</v>
      </c>
      <c r="K74" s="70" t="s">
        <v>7275</v>
      </c>
      <c r="L74" s="70" t="s">
        <v>7276</v>
      </c>
      <c r="P74" s="76">
        <v>43692.0</v>
      </c>
      <c r="U74" s="70" t="s">
        <v>239</v>
      </c>
      <c r="W74" s="70" t="s">
        <v>7279</v>
      </c>
      <c r="X74" s="70" t="s">
        <v>7280</v>
      </c>
      <c r="Z74" s="75" t="s">
        <v>7281</v>
      </c>
      <c r="AA74" s="70" t="s">
        <v>7282</v>
      </c>
      <c r="AC74" s="70">
        <v>4.0</v>
      </c>
      <c r="AE74" s="70">
        <v>19.0</v>
      </c>
      <c r="AF74" s="70" t="s">
        <v>239</v>
      </c>
      <c r="AX74" s="70">
        <v>0.0</v>
      </c>
      <c r="AY74" s="70" t="s">
        <v>22</v>
      </c>
      <c r="AZ74" s="70">
        <v>127.0</v>
      </c>
    </row>
    <row r="75" ht="22.5" customHeight="1">
      <c r="A75" s="70" t="str">
        <f t="shared" si="1"/>
        <v>Included</v>
      </c>
      <c r="B75" s="70">
        <f t="shared" si="2"/>
        <v>4</v>
      </c>
      <c r="C75" s="70">
        <v>1.0</v>
      </c>
      <c r="D75" s="70">
        <v>1.0</v>
      </c>
      <c r="E75" s="70">
        <v>1.0</v>
      </c>
      <c r="F75" s="70">
        <v>1.0</v>
      </c>
      <c r="G75" s="70">
        <v>0.0</v>
      </c>
      <c r="H75" s="70" t="s">
        <v>13925</v>
      </c>
      <c r="I75" s="70">
        <v>1450.0</v>
      </c>
      <c r="J75" s="70" t="s">
        <v>13924</v>
      </c>
      <c r="K75" s="70" t="s">
        <v>10418</v>
      </c>
      <c r="L75" s="70" t="s">
        <v>11864</v>
      </c>
      <c r="N75" s="70" t="s">
        <v>6726</v>
      </c>
      <c r="P75" s="78">
        <v>45425.0</v>
      </c>
      <c r="U75" s="70" t="s">
        <v>239</v>
      </c>
      <c r="W75" s="70" t="s">
        <v>29390</v>
      </c>
      <c r="X75" s="70" t="s">
        <v>11868</v>
      </c>
      <c r="Z75" s="75" t="s">
        <v>13928</v>
      </c>
      <c r="AE75" s="70">
        <v>47.0</v>
      </c>
      <c r="AF75" s="70" t="s">
        <v>239</v>
      </c>
      <c r="AW75" s="70" t="s">
        <v>13929</v>
      </c>
      <c r="AX75" s="70">
        <v>0.0</v>
      </c>
      <c r="AY75" s="70" t="s">
        <v>24</v>
      </c>
      <c r="AZ75" s="70">
        <v>3004.0</v>
      </c>
    </row>
    <row r="76" ht="22.5" customHeight="1">
      <c r="A76" s="70" t="str">
        <f t="shared" si="1"/>
        <v>Included</v>
      </c>
      <c r="B76" s="70">
        <f t="shared" si="2"/>
        <v>4</v>
      </c>
      <c r="C76" s="70">
        <v>1.0</v>
      </c>
      <c r="D76" s="70">
        <v>1.0</v>
      </c>
      <c r="E76" s="70">
        <v>1.0</v>
      </c>
      <c r="F76" s="70">
        <v>1.0</v>
      </c>
      <c r="G76" s="70">
        <v>0.0</v>
      </c>
      <c r="H76" s="70" t="s">
        <v>13539</v>
      </c>
      <c r="I76" s="70">
        <v>1410.0</v>
      </c>
      <c r="J76" s="70" t="s">
        <v>13535</v>
      </c>
      <c r="K76" s="70" t="s">
        <v>13536</v>
      </c>
      <c r="L76" s="70" t="s">
        <v>13537</v>
      </c>
      <c r="N76" s="70" t="s">
        <v>13538</v>
      </c>
      <c r="P76" s="77">
        <v>45604.0</v>
      </c>
      <c r="U76" s="70" t="s">
        <v>239</v>
      </c>
      <c r="W76" s="70" t="s">
        <v>13541</v>
      </c>
      <c r="X76" s="70" t="s">
        <v>13542</v>
      </c>
      <c r="Z76" s="75" t="s">
        <v>13543</v>
      </c>
      <c r="AA76" s="70" t="s">
        <v>13544</v>
      </c>
      <c r="AE76" s="70">
        <v>23.0</v>
      </c>
      <c r="AF76" s="70" t="s">
        <v>239</v>
      </c>
      <c r="AW76" s="70" t="s">
        <v>13545</v>
      </c>
      <c r="AX76" s="70">
        <v>0.0</v>
      </c>
      <c r="AY76" s="70" t="s">
        <v>24</v>
      </c>
      <c r="AZ76" s="70">
        <v>2371.0</v>
      </c>
    </row>
    <row r="77" ht="22.5" customHeight="1">
      <c r="A77" s="70" t="str">
        <f t="shared" si="1"/>
        <v>Included</v>
      </c>
      <c r="B77" s="70">
        <f t="shared" si="2"/>
        <v>4</v>
      </c>
      <c r="C77" s="70">
        <v>1.0</v>
      </c>
      <c r="D77" s="70">
        <v>1.0</v>
      </c>
      <c r="E77" s="70">
        <v>1.0</v>
      </c>
      <c r="F77" s="70">
        <v>1.0</v>
      </c>
      <c r="G77" s="70">
        <v>0.0</v>
      </c>
      <c r="H77" s="70" t="s">
        <v>8191</v>
      </c>
      <c r="I77" s="70">
        <v>792.0</v>
      </c>
      <c r="J77" s="70" t="s">
        <v>8188</v>
      </c>
      <c r="K77" s="70" t="s">
        <v>8189</v>
      </c>
      <c r="L77" s="70" t="s">
        <v>8190</v>
      </c>
      <c r="P77" s="76">
        <v>43485.0</v>
      </c>
      <c r="U77" s="70" t="s">
        <v>239</v>
      </c>
      <c r="W77" s="70" t="s">
        <v>8193</v>
      </c>
      <c r="X77" s="70" t="s">
        <v>8194</v>
      </c>
      <c r="Z77" s="75" t="s">
        <v>8195</v>
      </c>
      <c r="AA77" s="70" t="s">
        <v>8196</v>
      </c>
      <c r="AC77" s="70">
        <v>2.0</v>
      </c>
      <c r="AE77" s="70">
        <v>21.0</v>
      </c>
      <c r="AF77" s="70" t="s">
        <v>239</v>
      </c>
      <c r="AW77" s="70" t="s">
        <v>8197</v>
      </c>
      <c r="AX77" s="70">
        <v>0.0</v>
      </c>
      <c r="AY77" s="70" t="s">
        <v>24</v>
      </c>
      <c r="AZ77" s="70">
        <v>2033.0</v>
      </c>
    </row>
    <row r="78" ht="22.5" customHeight="1">
      <c r="A78" s="70" t="str">
        <f t="shared" si="1"/>
        <v>Included</v>
      </c>
      <c r="B78" s="70">
        <f t="shared" si="2"/>
        <v>5</v>
      </c>
      <c r="C78" s="70">
        <v>1.0</v>
      </c>
      <c r="D78" s="70">
        <v>1.0</v>
      </c>
      <c r="E78" s="70">
        <v>1.0</v>
      </c>
      <c r="F78" s="70">
        <v>1.0</v>
      </c>
      <c r="G78" s="70">
        <v>1.0</v>
      </c>
      <c r="H78" s="70" t="s">
        <v>7146</v>
      </c>
      <c r="I78" s="70">
        <v>683.0</v>
      </c>
      <c r="J78" s="70" t="s">
        <v>7144</v>
      </c>
      <c r="K78" s="70" t="s">
        <v>7145</v>
      </c>
      <c r="L78" s="70" t="s">
        <v>5002</v>
      </c>
      <c r="N78" s="70" t="s">
        <v>5003</v>
      </c>
      <c r="P78" s="76">
        <v>43888.0</v>
      </c>
      <c r="U78" s="70" t="s">
        <v>239</v>
      </c>
      <c r="W78" s="70" t="s">
        <v>7148</v>
      </c>
      <c r="X78" s="70" t="s">
        <v>5007</v>
      </c>
      <c r="Z78" s="75" t="s">
        <v>7149</v>
      </c>
      <c r="AC78" s="70">
        <v>4.0</v>
      </c>
      <c r="AE78" s="70">
        <v>16.0</v>
      </c>
      <c r="AF78" s="70" t="s">
        <v>239</v>
      </c>
      <c r="AW78" s="70" t="s">
        <v>7150</v>
      </c>
      <c r="AX78" s="70">
        <v>0.0</v>
      </c>
      <c r="AY78" s="70" t="s">
        <v>22</v>
      </c>
      <c r="AZ78" s="70">
        <v>64.0</v>
      </c>
    </row>
    <row r="79" ht="22.5" customHeight="1">
      <c r="A79" s="70" t="str">
        <f t="shared" si="1"/>
        <v>Included</v>
      </c>
      <c r="B79" s="70">
        <f t="shared" si="2"/>
        <v>5</v>
      </c>
      <c r="C79" s="70">
        <v>1.0</v>
      </c>
      <c r="D79" s="70">
        <v>1.0</v>
      </c>
      <c r="E79" s="70">
        <v>1.0</v>
      </c>
      <c r="F79" s="70">
        <v>1.0</v>
      </c>
      <c r="G79" s="70">
        <v>1.0</v>
      </c>
      <c r="H79" s="70" t="s">
        <v>4881</v>
      </c>
      <c r="I79" s="70">
        <v>454.0</v>
      </c>
      <c r="J79" s="70" t="s">
        <v>4877</v>
      </c>
      <c r="K79" s="70" t="s">
        <v>29391</v>
      </c>
      <c r="L79" s="70" t="s">
        <v>4879</v>
      </c>
      <c r="N79" s="70" t="s">
        <v>4880</v>
      </c>
      <c r="P79" s="76">
        <v>43552.0</v>
      </c>
      <c r="U79" s="70" t="s">
        <v>239</v>
      </c>
      <c r="W79" s="70" t="s">
        <v>29392</v>
      </c>
      <c r="X79" s="70" t="s">
        <v>4884</v>
      </c>
      <c r="Z79" s="75" t="s">
        <v>4885</v>
      </c>
      <c r="AA79" s="70" t="s">
        <v>4886</v>
      </c>
      <c r="AC79" s="70">
        <v>30.0</v>
      </c>
      <c r="AE79" s="70">
        <v>57.0</v>
      </c>
      <c r="AF79" s="70" t="s">
        <v>239</v>
      </c>
      <c r="AW79" s="70" t="s">
        <v>4887</v>
      </c>
      <c r="AX79" s="70">
        <v>0.0</v>
      </c>
      <c r="AY79" s="70" t="s">
        <v>22</v>
      </c>
      <c r="AZ79" s="70">
        <v>110.0</v>
      </c>
    </row>
    <row r="80" ht="22.5" customHeight="1">
      <c r="A80" s="70" t="str">
        <f t="shared" si="1"/>
        <v>Included</v>
      </c>
      <c r="B80" s="70">
        <f t="shared" si="2"/>
        <v>4</v>
      </c>
      <c r="C80" s="70">
        <v>1.0</v>
      </c>
      <c r="D80" s="70">
        <v>1.0</v>
      </c>
      <c r="E80" s="70">
        <v>1.0</v>
      </c>
      <c r="F80" s="70">
        <v>1.0</v>
      </c>
      <c r="G80" s="70">
        <v>0.0</v>
      </c>
      <c r="H80" s="70" t="s">
        <v>26600</v>
      </c>
      <c r="I80" s="70">
        <v>2882.0</v>
      </c>
      <c r="J80" s="70" t="s">
        <v>26598</v>
      </c>
      <c r="K80" s="70" t="s">
        <v>29393</v>
      </c>
      <c r="W80" s="70" t="s">
        <v>29394</v>
      </c>
      <c r="AA80" s="70" t="s">
        <v>26603</v>
      </c>
      <c r="AI80" s="70" t="s">
        <v>26604</v>
      </c>
      <c r="AJ80" s="70" t="s">
        <v>26605</v>
      </c>
      <c r="AK80" s="70">
        <v>2023.0</v>
      </c>
      <c r="AL80" s="70" t="s">
        <v>24521</v>
      </c>
      <c r="AN80" s="70">
        <v>499.0</v>
      </c>
      <c r="AO80" s="70">
        <v>515.0</v>
      </c>
      <c r="AP80" s="70">
        <v>16.0</v>
      </c>
      <c r="AQ80" s="70">
        <v>19.0</v>
      </c>
      <c r="AR80" s="75" t="s">
        <v>26606</v>
      </c>
      <c r="AS80" s="70" t="s">
        <v>22525</v>
      </c>
      <c r="AU80" s="70" t="s">
        <v>237</v>
      </c>
      <c r="AV80" s="70" t="s">
        <v>26607</v>
      </c>
      <c r="AW80" s="70" t="s">
        <v>26608</v>
      </c>
      <c r="AX80" s="70">
        <v>0.0</v>
      </c>
      <c r="AY80" s="70" t="s">
        <v>24</v>
      </c>
      <c r="AZ80" s="70">
        <v>2812.0</v>
      </c>
    </row>
    <row r="81" ht="22.5" customHeight="1">
      <c r="A81" s="70" t="str">
        <f t="shared" si="1"/>
        <v>Included</v>
      </c>
      <c r="B81" s="70">
        <f t="shared" si="2"/>
        <v>1</v>
      </c>
      <c r="C81" s="70">
        <v>0.0</v>
      </c>
      <c r="D81" s="70">
        <v>0.0</v>
      </c>
      <c r="E81" s="70">
        <v>0.0</v>
      </c>
      <c r="F81" s="70">
        <v>0.0</v>
      </c>
      <c r="G81" s="70">
        <v>1.0</v>
      </c>
      <c r="H81" s="70" t="s">
        <v>15707</v>
      </c>
      <c r="I81" s="70">
        <v>1640.0</v>
      </c>
      <c r="J81" s="70" t="s">
        <v>15705</v>
      </c>
      <c r="K81" s="70" t="s">
        <v>15706</v>
      </c>
      <c r="L81" s="70" t="s">
        <v>11140</v>
      </c>
      <c r="N81" s="70" t="s">
        <v>11141</v>
      </c>
      <c r="P81" s="77">
        <v>45236.0</v>
      </c>
      <c r="U81" s="70" t="s">
        <v>239</v>
      </c>
      <c r="W81" s="70" t="s">
        <v>15709</v>
      </c>
      <c r="X81" s="70" t="s">
        <v>11145</v>
      </c>
      <c r="Z81" s="75" t="s">
        <v>15710</v>
      </c>
      <c r="AA81" s="70" t="s">
        <v>15711</v>
      </c>
      <c r="AE81" s="70">
        <v>51.0</v>
      </c>
      <c r="AF81" s="70" t="s">
        <v>239</v>
      </c>
      <c r="AW81" s="70" t="s">
        <v>15712</v>
      </c>
      <c r="AX81" s="70">
        <v>0.0</v>
      </c>
      <c r="AY81" s="70" t="s">
        <v>29395</v>
      </c>
      <c r="AZ81" s="70">
        <v>85.0</v>
      </c>
    </row>
    <row r="82" ht="22.5" customHeight="1">
      <c r="A82" s="70" t="str">
        <f t="shared" si="1"/>
        <v>Included</v>
      </c>
      <c r="B82" s="70">
        <f t="shared" si="2"/>
        <v>5</v>
      </c>
      <c r="C82" s="70">
        <v>1.0</v>
      </c>
      <c r="D82" s="70">
        <v>1.0</v>
      </c>
      <c r="E82" s="70">
        <v>1.0</v>
      </c>
      <c r="F82" s="70">
        <v>1.0</v>
      </c>
      <c r="G82" s="70">
        <v>1.0</v>
      </c>
      <c r="H82" s="70" t="s">
        <v>11142</v>
      </c>
      <c r="I82" s="70">
        <v>1169.0</v>
      </c>
      <c r="J82" s="70" t="s">
        <v>11138</v>
      </c>
      <c r="K82" s="70" t="s">
        <v>11139</v>
      </c>
      <c r="L82" s="70" t="s">
        <v>11140</v>
      </c>
      <c r="N82" s="70" t="s">
        <v>11141</v>
      </c>
      <c r="P82" s="77">
        <v>45236.0</v>
      </c>
      <c r="U82" s="70" t="s">
        <v>239</v>
      </c>
      <c r="W82" s="70" t="s">
        <v>11144</v>
      </c>
      <c r="X82" s="70" t="s">
        <v>11145</v>
      </c>
      <c r="Z82" s="75" t="s">
        <v>11146</v>
      </c>
      <c r="AA82" s="70" t="s">
        <v>11147</v>
      </c>
      <c r="AC82" s="70">
        <v>6.0</v>
      </c>
      <c r="AE82" s="70">
        <v>26.0</v>
      </c>
      <c r="AF82" s="70" t="s">
        <v>239</v>
      </c>
      <c r="AW82" s="70" t="s">
        <v>11148</v>
      </c>
      <c r="AX82" s="70">
        <v>0.0</v>
      </c>
      <c r="AY82" s="70" t="s">
        <v>22</v>
      </c>
      <c r="AZ82" s="70">
        <v>40.0</v>
      </c>
    </row>
    <row r="83" ht="22.5" customHeight="1">
      <c r="A83" s="70" t="str">
        <f t="shared" si="1"/>
        <v>Included</v>
      </c>
      <c r="B83" s="70">
        <f t="shared" si="2"/>
        <v>5</v>
      </c>
      <c r="C83" s="70">
        <v>1.0</v>
      </c>
      <c r="D83" s="70">
        <v>1.0</v>
      </c>
      <c r="E83" s="70">
        <v>1.0</v>
      </c>
      <c r="F83" s="70">
        <v>1.0</v>
      </c>
      <c r="G83" s="70">
        <v>1.0</v>
      </c>
      <c r="H83" s="70" t="s">
        <v>14920</v>
      </c>
      <c r="I83" s="70">
        <v>1555.0</v>
      </c>
      <c r="J83" s="70" t="s">
        <v>14917</v>
      </c>
      <c r="K83" s="70" t="s">
        <v>14918</v>
      </c>
      <c r="L83" s="70" t="s">
        <v>14919</v>
      </c>
      <c r="N83" s="70" t="s">
        <v>11141</v>
      </c>
      <c r="P83" s="76">
        <v>45610.0</v>
      </c>
      <c r="U83" s="70" t="s">
        <v>239</v>
      </c>
      <c r="W83" s="70" t="s">
        <v>29396</v>
      </c>
      <c r="X83" s="70" t="s">
        <v>14923</v>
      </c>
      <c r="Z83" s="75" t="s">
        <v>14924</v>
      </c>
      <c r="AA83" s="70" t="s">
        <v>14925</v>
      </c>
      <c r="AE83" s="70">
        <v>21.0</v>
      </c>
      <c r="AF83" s="70" t="s">
        <v>239</v>
      </c>
      <c r="AW83" s="70" t="s">
        <v>14926</v>
      </c>
      <c r="AX83" s="70">
        <v>0.0</v>
      </c>
      <c r="AY83" s="70" t="s">
        <v>22</v>
      </c>
      <c r="AZ83" s="70">
        <v>51.0</v>
      </c>
    </row>
    <row r="84" ht="22.5" customHeight="1">
      <c r="A84" s="70" t="str">
        <f t="shared" si="1"/>
        <v>Included</v>
      </c>
      <c r="B84" s="70">
        <f t="shared" si="2"/>
        <v>5</v>
      </c>
      <c r="C84" s="70">
        <v>1.0</v>
      </c>
      <c r="D84" s="70">
        <v>1.0</v>
      </c>
      <c r="E84" s="70">
        <v>1.0</v>
      </c>
      <c r="F84" s="70">
        <v>1.0</v>
      </c>
      <c r="G84" s="70">
        <v>1.0</v>
      </c>
      <c r="H84" s="70" t="s">
        <v>6943</v>
      </c>
      <c r="I84" s="70">
        <v>662.0</v>
      </c>
      <c r="J84" s="70" t="s">
        <v>29397</v>
      </c>
      <c r="K84" s="70" t="s">
        <v>6942</v>
      </c>
      <c r="L84" s="70" t="s">
        <v>5632</v>
      </c>
      <c r="N84" s="70" t="s">
        <v>5479</v>
      </c>
      <c r="P84" s="76">
        <v>43720.0</v>
      </c>
      <c r="U84" s="70" t="s">
        <v>239</v>
      </c>
      <c r="W84" s="70" t="s">
        <v>6945</v>
      </c>
      <c r="X84" s="70" t="s">
        <v>5636</v>
      </c>
      <c r="Z84" s="75" t="s">
        <v>6946</v>
      </c>
      <c r="AA84" s="70" t="s">
        <v>6947</v>
      </c>
      <c r="AC84" s="70">
        <v>5.0</v>
      </c>
      <c r="AE84" s="70">
        <v>38.0</v>
      </c>
      <c r="AF84" s="70" t="s">
        <v>239</v>
      </c>
      <c r="AW84" s="70" t="s">
        <v>6948</v>
      </c>
      <c r="AX84" s="70">
        <v>0.0</v>
      </c>
      <c r="AY84" s="70" t="s">
        <v>22</v>
      </c>
      <c r="AZ84" s="70">
        <v>41.0</v>
      </c>
    </row>
    <row r="85" ht="22.5" customHeight="1">
      <c r="A85" s="70" t="str">
        <f t="shared" si="1"/>
        <v>Included</v>
      </c>
      <c r="B85" s="70">
        <f t="shared" si="2"/>
        <v>1</v>
      </c>
      <c r="C85" s="70">
        <v>0.0</v>
      </c>
      <c r="D85" s="70">
        <v>0.0</v>
      </c>
      <c r="E85" s="70">
        <v>0.0</v>
      </c>
      <c r="F85" s="70">
        <v>0.0</v>
      </c>
      <c r="G85" s="70">
        <v>1.0</v>
      </c>
      <c r="H85" s="70" t="s">
        <v>13881</v>
      </c>
      <c r="I85" s="70">
        <v>1445.0</v>
      </c>
      <c r="J85" s="70" t="s">
        <v>13879</v>
      </c>
      <c r="K85" s="70" t="s">
        <v>13880</v>
      </c>
      <c r="L85" s="70" t="s">
        <v>12594</v>
      </c>
      <c r="N85" s="70" t="s">
        <v>6638</v>
      </c>
      <c r="P85" s="76">
        <v>45524.0</v>
      </c>
      <c r="U85" s="70" t="s">
        <v>239</v>
      </c>
      <c r="W85" s="70" t="s">
        <v>13883</v>
      </c>
      <c r="X85" s="70" t="s">
        <v>12598</v>
      </c>
      <c r="Y85" s="70" t="s">
        <v>29398</v>
      </c>
      <c r="Z85" s="75" t="s">
        <v>13885</v>
      </c>
      <c r="AA85" s="70" t="s">
        <v>13886</v>
      </c>
      <c r="AE85" s="70">
        <v>40.0</v>
      </c>
      <c r="AF85" s="70" t="s">
        <v>239</v>
      </c>
      <c r="AW85" s="70" t="s">
        <v>13887</v>
      </c>
      <c r="AX85" s="70">
        <v>0.0</v>
      </c>
      <c r="AY85" s="70" t="s">
        <v>29395</v>
      </c>
      <c r="AZ85" s="70">
        <v>83.0</v>
      </c>
    </row>
    <row r="86" ht="22.5" customHeight="1">
      <c r="A86" s="70" t="str">
        <f t="shared" si="1"/>
        <v>Included</v>
      </c>
      <c r="B86" s="70">
        <f t="shared" si="2"/>
        <v>5</v>
      </c>
      <c r="C86" s="70">
        <v>1.0</v>
      </c>
      <c r="D86" s="70">
        <v>1.0</v>
      </c>
      <c r="E86" s="70">
        <v>1.0</v>
      </c>
      <c r="F86" s="70">
        <v>1.0</v>
      </c>
      <c r="G86" s="70">
        <v>1.0</v>
      </c>
      <c r="H86" s="70" t="s">
        <v>13812</v>
      </c>
      <c r="I86" s="70">
        <v>1438.0</v>
      </c>
      <c r="J86" s="70" t="s">
        <v>13808</v>
      </c>
      <c r="K86" s="70" t="s">
        <v>13809</v>
      </c>
      <c r="L86" s="70" t="s">
        <v>13810</v>
      </c>
      <c r="N86" s="70" t="s">
        <v>13811</v>
      </c>
      <c r="P86" s="77">
        <v>45600.0</v>
      </c>
      <c r="U86" s="70" t="s">
        <v>239</v>
      </c>
      <c r="W86" s="70" t="s">
        <v>13814</v>
      </c>
      <c r="X86" s="70" t="s">
        <v>13815</v>
      </c>
      <c r="Z86" s="75" t="s">
        <v>13816</v>
      </c>
      <c r="AA86" s="70" t="s">
        <v>13817</v>
      </c>
      <c r="AE86" s="70">
        <v>16.0</v>
      </c>
      <c r="AF86" s="70" t="s">
        <v>239</v>
      </c>
      <c r="AW86" s="70" t="s">
        <v>13818</v>
      </c>
      <c r="AX86" s="70">
        <v>0.0</v>
      </c>
      <c r="AY86" s="70" t="s">
        <v>22</v>
      </c>
      <c r="AZ86" s="70">
        <v>117.0</v>
      </c>
    </row>
    <row r="87" ht="22.5" customHeight="1">
      <c r="A87" s="70" t="str">
        <f t="shared" si="1"/>
        <v>Included</v>
      </c>
      <c r="B87" s="70">
        <f t="shared" si="2"/>
        <v>4</v>
      </c>
      <c r="C87" s="70">
        <v>1.0</v>
      </c>
      <c r="D87" s="70">
        <v>1.0</v>
      </c>
      <c r="E87" s="70">
        <v>1.0</v>
      </c>
      <c r="F87" s="70">
        <v>1.0</v>
      </c>
      <c r="G87" s="70">
        <v>0.0</v>
      </c>
      <c r="H87" s="70" t="s">
        <v>8629</v>
      </c>
      <c r="I87" s="70">
        <v>838.0</v>
      </c>
      <c r="J87" s="70" t="s">
        <v>8626</v>
      </c>
      <c r="K87" s="70" t="s">
        <v>8627</v>
      </c>
      <c r="L87" s="70" t="s">
        <v>8628</v>
      </c>
      <c r="P87" s="77">
        <v>44291.0</v>
      </c>
      <c r="U87" s="70" t="s">
        <v>239</v>
      </c>
      <c r="W87" s="70" t="s">
        <v>8631</v>
      </c>
      <c r="X87" s="70" t="s">
        <v>8632</v>
      </c>
      <c r="Z87" s="75" t="s">
        <v>8633</v>
      </c>
      <c r="AA87" s="70" t="s">
        <v>8634</v>
      </c>
      <c r="AC87" s="70">
        <v>1.0</v>
      </c>
      <c r="AE87" s="70">
        <v>9.0</v>
      </c>
      <c r="AF87" s="70" t="s">
        <v>239</v>
      </c>
      <c r="AW87" s="70" t="s">
        <v>8635</v>
      </c>
      <c r="AZ87" s="70">
        <v>913.0</v>
      </c>
    </row>
    <row r="88" ht="22.5" customHeight="1">
      <c r="A88" s="70" t="str">
        <f t="shared" si="1"/>
        <v>Included</v>
      </c>
      <c r="B88" s="70">
        <f t="shared" si="2"/>
        <v>4</v>
      </c>
      <c r="C88" s="70">
        <v>1.0</v>
      </c>
      <c r="D88" s="70">
        <v>1.0</v>
      </c>
      <c r="E88" s="70">
        <v>1.0</v>
      </c>
      <c r="F88" s="70">
        <v>1.0</v>
      </c>
      <c r="G88" s="70">
        <v>0.0</v>
      </c>
      <c r="H88" s="70" t="s">
        <v>13402</v>
      </c>
      <c r="I88" s="70">
        <v>1396.0</v>
      </c>
      <c r="J88" s="70" t="s">
        <v>13399</v>
      </c>
      <c r="K88" s="70" t="s">
        <v>13400</v>
      </c>
      <c r="L88" s="70" t="s">
        <v>13401</v>
      </c>
      <c r="P88" s="77">
        <v>45720.0</v>
      </c>
      <c r="U88" s="70" t="s">
        <v>239</v>
      </c>
      <c r="W88" s="70" t="s">
        <v>13404</v>
      </c>
      <c r="X88" s="70" t="s">
        <v>13405</v>
      </c>
      <c r="Z88" s="75" t="s">
        <v>13406</v>
      </c>
      <c r="AA88" s="70" t="s">
        <v>13407</v>
      </c>
      <c r="AE88" s="70">
        <v>11.0</v>
      </c>
      <c r="AF88" s="70" t="s">
        <v>239</v>
      </c>
      <c r="AW88" s="70" t="s">
        <v>13408</v>
      </c>
      <c r="AX88" s="70">
        <v>0.0</v>
      </c>
      <c r="AY88" s="70" t="s">
        <v>24</v>
      </c>
      <c r="AZ88" s="70">
        <v>2230.0</v>
      </c>
    </row>
    <row r="89" ht="22.5" customHeight="1">
      <c r="A89" s="70" t="str">
        <f t="shared" si="1"/>
        <v>Included</v>
      </c>
      <c r="B89" s="70">
        <f t="shared" si="2"/>
        <v>4</v>
      </c>
      <c r="C89" s="70">
        <v>1.0</v>
      </c>
      <c r="D89" s="70">
        <v>1.0</v>
      </c>
      <c r="E89" s="70">
        <v>1.0</v>
      </c>
      <c r="F89" s="70">
        <v>0.0</v>
      </c>
      <c r="G89" s="70">
        <v>1.0</v>
      </c>
      <c r="H89" s="70" t="s">
        <v>28100</v>
      </c>
      <c r="I89" s="70">
        <v>3028.0</v>
      </c>
      <c r="J89" s="70" t="s">
        <v>28098</v>
      </c>
      <c r="K89" s="70" t="s">
        <v>28099</v>
      </c>
      <c r="W89" s="70" t="s">
        <v>29399</v>
      </c>
      <c r="AA89" s="70" t="s">
        <v>28102</v>
      </c>
      <c r="AI89" s="70" t="s">
        <v>28103</v>
      </c>
      <c r="AJ89" s="70" t="s">
        <v>28104</v>
      </c>
      <c r="AK89" s="70">
        <v>2020.0</v>
      </c>
      <c r="AL89" s="70" t="s">
        <v>28105</v>
      </c>
      <c r="AM89" s="70">
        <v>9238096.0</v>
      </c>
      <c r="AQ89" s="70">
        <v>9.0</v>
      </c>
      <c r="AR89" s="75" t="s">
        <v>28106</v>
      </c>
      <c r="AS89" s="70" t="s">
        <v>22525</v>
      </c>
      <c r="AU89" s="70" t="s">
        <v>237</v>
      </c>
      <c r="AV89" s="70" t="s">
        <v>28107</v>
      </c>
      <c r="AW89" s="70" t="s">
        <v>28108</v>
      </c>
      <c r="AX89" s="70">
        <v>0.0</v>
      </c>
      <c r="AY89" s="70" t="s">
        <v>22</v>
      </c>
      <c r="AZ89" s="70">
        <v>56.0</v>
      </c>
    </row>
    <row r="90" ht="22.5" customHeight="1">
      <c r="A90" s="70" t="str">
        <f t="shared" si="1"/>
        <v>Included</v>
      </c>
      <c r="B90" s="70">
        <f t="shared" si="2"/>
        <v>4</v>
      </c>
      <c r="C90" s="70">
        <v>1.0</v>
      </c>
      <c r="D90" s="70">
        <v>1.0</v>
      </c>
      <c r="E90" s="70">
        <v>1.0</v>
      </c>
      <c r="F90" s="70">
        <v>1.0</v>
      </c>
      <c r="G90" s="70">
        <v>0.0</v>
      </c>
      <c r="H90" s="70" t="s">
        <v>7296</v>
      </c>
      <c r="I90" s="70">
        <v>699.0</v>
      </c>
      <c r="J90" s="70" t="s">
        <v>7293</v>
      </c>
      <c r="K90" s="70" t="s">
        <v>7294</v>
      </c>
      <c r="L90" s="70" t="s">
        <v>7295</v>
      </c>
      <c r="P90" s="77">
        <v>43255.0</v>
      </c>
      <c r="U90" s="70" t="s">
        <v>239</v>
      </c>
      <c r="W90" s="70" t="s">
        <v>7298</v>
      </c>
      <c r="X90" s="70" t="s">
        <v>7299</v>
      </c>
      <c r="Z90" s="75" t="s">
        <v>7300</v>
      </c>
      <c r="AA90" s="70" t="s">
        <v>7301</v>
      </c>
      <c r="AC90" s="70">
        <v>4.0</v>
      </c>
      <c r="AE90" s="70">
        <v>20.0</v>
      </c>
      <c r="AF90" s="70" t="s">
        <v>239</v>
      </c>
      <c r="AW90" s="70" t="s">
        <v>7302</v>
      </c>
      <c r="AX90" s="70">
        <v>0.0</v>
      </c>
      <c r="AY90" s="70" t="s">
        <v>24</v>
      </c>
      <c r="AZ90" s="70">
        <v>2794.0</v>
      </c>
    </row>
    <row r="91" ht="22.5" customHeight="1">
      <c r="A91" s="70" t="str">
        <f t="shared" si="1"/>
        <v>Included</v>
      </c>
      <c r="B91" s="70">
        <f t="shared" si="2"/>
        <v>2</v>
      </c>
      <c r="C91" s="70">
        <v>0.0</v>
      </c>
      <c r="D91" s="70">
        <v>0.0</v>
      </c>
      <c r="E91" s="70">
        <v>1.0</v>
      </c>
      <c r="F91" s="70">
        <v>1.0</v>
      </c>
      <c r="G91" s="70">
        <v>0.0</v>
      </c>
      <c r="H91" s="70" t="s">
        <v>15560</v>
      </c>
      <c r="I91" s="70">
        <v>1624.0</v>
      </c>
      <c r="J91" s="70" t="s">
        <v>29400</v>
      </c>
      <c r="K91" s="70" t="s">
        <v>15558</v>
      </c>
      <c r="L91" s="70" t="s">
        <v>15559</v>
      </c>
      <c r="P91" s="77">
        <v>45628.0</v>
      </c>
      <c r="U91" s="70" t="s">
        <v>239</v>
      </c>
      <c r="W91" s="70" t="s">
        <v>15562</v>
      </c>
      <c r="X91" s="70" t="s">
        <v>15563</v>
      </c>
      <c r="Z91" s="75" t="s">
        <v>15564</v>
      </c>
      <c r="AA91" s="70" t="s">
        <v>15565</v>
      </c>
      <c r="AE91" s="70">
        <v>75.0</v>
      </c>
      <c r="AF91" s="70" t="s">
        <v>239</v>
      </c>
      <c r="AW91" s="70" t="s">
        <v>15566</v>
      </c>
      <c r="AZ91" s="70">
        <v>803.0</v>
      </c>
    </row>
    <row r="92" ht="22.5" customHeight="1">
      <c r="A92" s="70" t="str">
        <f t="shared" si="1"/>
        <v>Included</v>
      </c>
      <c r="B92" s="70">
        <f t="shared" si="2"/>
        <v>5</v>
      </c>
      <c r="C92" s="70">
        <v>1.0</v>
      </c>
      <c r="D92" s="70">
        <v>1.0</v>
      </c>
      <c r="E92" s="70">
        <v>1.0</v>
      </c>
      <c r="F92" s="70">
        <v>1.0</v>
      </c>
      <c r="G92" s="70">
        <v>1.0</v>
      </c>
      <c r="H92" s="70" t="s">
        <v>13511</v>
      </c>
      <c r="I92" s="70">
        <v>1407.0</v>
      </c>
      <c r="J92" s="70" t="s">
        <v>13509</v>
      </c>
      <c r="K92" s="70" t="s">
        <v>13510</v>
      </c>
      <c r="L92" s="70" t="s">
        <v>11334</v>
      </c>
      <c r="N92" s="70" t="s">
        <v>9205</v>
      </c>
      <c r="P92" s="76">
        <v>45012.0</v>
      </c>
      <c r="U92" s="70" t="s">
        <v>239</v>
      </c>
      <c r="W92" s="70" t="s">
        <v>29401</v>
      </c>
      <c r="X92" s="70" t="s">
        <v>11338</v>
      </c>
      <c r="Z92" s="75" t="s">
        <v>13514</v>
      </c>
      <c r="AA92" s="70" t="s">
        <v>13515</v>
      </c>
      <c r="AE92" s="70">
        <v>12.0</v>
      </c>
      <c r="AF92" s="70" t="s">
        <v>239</v>
      </c>
      <c r="AW92" s="70" t="s">
        <v>13516</v>
      </c>
      <c r="AX92" s="70">
        <v>0.0</v>
      </c>
      <c r="AY92" s="70" t="s">
        <v>22</v>
      </c>
      <c r="AZ92" s="70">
        <v>19.0</v>
      </c>
    </row>
    <row r="93" ht="22.5" customHeight="1">
      <c r="A93" s="70" t="str">
        <f t="shared" si="1"/>
        <v>Included</v>
      </c>
      <c r="B93" s="70">
        <f t="shared" si="2"/>
        <v>4</v>
      </c>
      <c r="C93" s="70">
        <v>1.0</v>
      </c>
      <c r="D93" s="70">
        <v>1.0</v>
      </c>
      <c r="E93" s="70">
        <v>1.0</v>
      </c>
      <c r="F93" s="70">
        <v>1.0</v>
      </c>
      <c r="G93" s="70">
        <v>0.0</v>
      </c>
      <c r="H93" s="70" t="s">
        <v>12481</v>
      </c>
      <c r="I93" s="70">
        <v>1303.0</v>
      </c>
      <c r="J93" s="70" t="s">
        <v>12477</v>
      </c>
      <c r="K93" s="70" t="s">
        <v>12478</v>
      </c>
      <c r="L93" s="70" t="s">
        <v>12479</v>
      </c>
      <c r="N93" s="70" t="s">
        <v>12480</v>
      </c>
      <c r="P93" s="78">
        <v>45426.0</v>
      </c>
      <c r="U93" s="70" t="s">
        <v>239</v>
      </c>
      <c r="W93" s="70" t="s">
        <v>12483</v>
      </c>
      <c r="X93" s="70" t="s">
        <v>12484</v>
      </c>
      <c r="Z93" s="75" t="s">
        <v>12485</v>
      </c>
      <c r="AA93" s="70" t="s">
        <v>12486</v>
      </c>
      <c r="AC93" s="70">
        <v>1.0</v>
      </c>
      <c r="AE93" s="70">
        <v>20.0</v>
      </c>
      <c r="AF93" s="70" t="s">
        <v>239</v>
      </c>
      <c r="AW93" s="70" t="s">
        <v>12487</v>
      </c>
      <c r="AX93" s="70">
        <v>0.0</v>
      </c>
      <c r="AY93" s="70" t="s">
        <v>24</v>
      </c>
      <c r="AZ93" s="70">
        <v>2136.0</v>
      </c>
    </row>
    <row r="94" ht="22.5" customHeight="1">
      <c r="A94" s="70" t="str">
        <f t="shared" si="1"/>
        <v>Included</v>
      </c>
      <c r="B94" s="70">
        <f t="shared" si="2"/>
        <v>1</v>
      </c>
      <c r="C94" s="70">
        <v>0.0</v>
      </c>
      <c r="D94" s="70">
        <v>0.0</v>
      </c>
      <c r="E94" s="70">
        <v>0.0</v>
      </c>
      <c r="F94" s="70">
        <v>0.0</v>
      </c>
      <c r="G94" s="70">
        <v>1.0</v>
      </c>
      <c r="H94" s="70" t="s">
        <v>12088</v>
      </c>
      <c r="I94" s="70">
        <v>1264.0</v>
      </c>
      <c r="J94" s="70" t="s">
        <v>29402</v>
      </c>
      <c r="K94" s="70" t="s">
        <v>12087</v>
      </c>
      <c r="L94" s="70" t="s">
        <v>11492</v>
      </c>
      <c r="N94" s="70" t="s">
        <v>11493</v>
      </c>
      <c r="P94" s="76">
        <v>45040.0</v>
      </c>
      <c r="U94" s="70" t="s">
        <v>239</v>
      </c>
      <c r="W94" s="70" t="s">
        <v>12090</v>
      </c>
      <c r="X94" s="70" t="s">
        <v>11497</v>
      </c>
      <c r="Z94" s="75" t="s">
        <v>12091</v>
      </c>
      <c r="AA94" s="70" t="s">
        <v>12092</v>
      </c>
      <c r="AC94" s="70">
        <v>1.0</v>
      </c>
      <c r="AE94" s="70">
        <v>17.0</v>
      </c>
      <c r="AF94" s="70" t="s">
        <v>239</v>
      </c>
      <c r="AW94" s="70" t="s">
        <v>12093</v>
      </c>
      <c r="AX94" s="70">
        <v>0.0</v>
      </c>
      <c r="AY94" s="70" t="s">
        <v>29385</v>
      </c>
      <c r="AZ94" s="70">
        <v>95.0</v>
      </c>
    </row>
    <row r="95" ht="22.5" customHeight="1">
      <c r="A95" s="70" t="str">
        <f t="shared" si="1"/>
        <v>Included</v>
      </c>
      <c r="B95" s="70">
        <f t="shared" si="2"/>
        <v>1</v>
      </c>
      <c r="C95" s="70">
        <v>0.0</v>
      </c>
      <c r="D95" s="70">
        <v>0.0</v>
      </c>
      <c r="E95" s="70">
        <v>0.0</v>
      </c>
      <c r="F95" s="70">
        <v>0.0</v>
      </c>
      <c r="G95" s="70">
        <v>1.0</v>
      </c>
      <c r="H95" s="70" t="s">
        <v>11543</v>
      </c>
      <c r="I95" s="70">
        <v>1209.0</v>
      </c>
      <c r="J95" s="70" t="s">
        <v>11541</v>
      </c>
      <c r="K95" s="70" t="s">
        <v>11542</v>
      </c>
      <c r="L95" s="70" t="s">
        <v>11409</v>
      </c>
      <c r="P95" s="76">
        <v>45040.0</v>
      </c>
      <c r="U95" s="70" t="s">
        <v>239</v>
      </c>
      <c r="W95" s="70" t="s">
        <v>11545</v>
      </c>
      <c r="X95" s="70" t="s">
        <v>11413</v>
      </c>
      <c r="Z95" s="75" t="s">
        <v>11546</v>
      </c>
      <c r="AA95" s="70" t="s">
        <v>11547</v>
      </c>
      <c r="AC95" s="70">
        <v>3.0</v>
      </c>
      <c r="AE95" s="70">
        <v>60.0</v>
      </c>
      <c r="AF95" s="70" t="s">
        <v>239</v>
      </c>
      <c r="AW95" s="70" t="s">
        <v>11548</v>
      </c>
      <c r="AX95" s="70">
        <v>0.0</v>
      </c>
      <c r="AY95" s="70" t="s">
        <v>29385</v>
      </c>
      <c r="AZ95" s="70">
        <v>96.0</v>
      </c>
    </row>
    <row r="96" ht="22.5" customHeight="1">
      <c r="A96" s="70" t="str">
        <f t="shared" si="1"/>
        <v>Included</v>
      </c>
      <c r="B96" s="70">
        <f t="shared" si="2"/>
        <v>4</v>
      </c>
      <c r="C96" s="70">
        <v>1.0</v>
      </c>
      <c r="D96" s="70">
        <v>1.0</v>
      </c>
      <c r="E96" s="70">
        <v>1.0</v>
      </c>
      <c r="F96" s="70">
        <v>0.0</v>
      </c>
      <c r="G96" s="70">
        <v>1.0</v>
      </c>
      <c r="H96" s="70" t="s">
        <v>24397</v>
      </c>
      <c r="I96" s="70">
        <v>2668.0</v>
      </c>
      <c r="J96" s="70" t="s">
        <v>24395</v>
      </c>
      <c r="K96" s="70" t="s">
        <v>24396</v>
      </c>
      <c r="W96" s="70" t="s">
        <v>29403</v>
      </c>
      <c r="AA96" s="70" t="s">
        <v>24399</v>
      </c>
      <c r="AI96" s="70" t="s">
        <v>24400</v>
      </c>
      <c r="AJ96" s="70" t="s">
        <v>24401</v>
      </c>
      <c r="AK96" s="70">
        <v>2024.0</v>
      </c>
      <c r="AL96" s="70" t="s">
        <v>24402</v>
      </c>
      <c r="AN96" s="70">
        <v>34.0</v>
      </c>
      <c r="AO96" s="70">
        <v>45.0</v>
      </c>
      <c r="AP96" s="70">
        <v>11.0</v>
      </c>
      <c r="AQ96" s="70">
        <v>1.0</v>
      </c>
      <c r="AR96" s="75" t="s">
        <v>24403</v>
      </c>
      <c r="AS96" s="70" t="s">
        <v>22525</v>
      </c>
      <c r="AT96" s="70" t="s">
        <v>22816</v>
      </c>
      <c r="AU96" s="70" t="s">
        <v>237</v>
      </c>
      <c r="AV96" s="70" t="s">
        <v>24404</v>
      </c>
      <c r="AW96" s="70" t="s">
        <v>24405</v>
      </c>
      <c r="AX96" s="70">
        <v>0.0</v>
      </c>
      <c r="AY96" s="70" t="s">
        <v>22</v>
      </c>
      <c r="AZ96" s="70">
        <v>36.0</v>
      </c>
    </row>
    <row r="97" ht="22.5" customHeight="1">
      <c r="A97" s="70" t="str">
        <f t="shared" si="1"/>
        <v>Included</v>
      </c>
      <c r="B97" s="70">
        <f t="shared" si="2"/>
        <v>4</v>
      </c>
      <c r="C97" s="70">
        <v>1.0</v>
      </c>
      <c r="D97" s="70">
        <v>1.0</v>
      </c>
      <c r="E97" s="70">
        <v>1.0</v>
      </c>
      <c r="F97" s="70">
        <v>0.0</v>
      </c>
      <c r="G97" s="70">
        <v>1.0</v>
      </c>
      <c r="H97" s="70" t="s">
        <v>14880</v>
      </c>
      <c r="I97" s="70">
        <v>1551.0</v>
      </c>
      <c r="J97" s="70" t="s">
        <v>14877</v>
      </c>
      <c r="K97" s="70" t="s">
        <v>14878</v>
      </c>
      <c r="L97" s="70" t="s">
        <v>14879</v>
      </c>
      <c r="P97" s="77">
        <v>45566.0</v>
      </c>
      <c r="U97" s="70" t="s">
        <v>239</v>
      </c>
      <c r="W97" s="70" t="s">
        <v>14882</v>
      </c>
      <c r="X97" s="70" t="s">
        <v>14883</v>
      </c>
      <c r="Z97" s="75" t="s">
        <v>14884</v>
      </c>
      <c r="AA97" s="70" t="s">
        <v>14885</v>
      </c>
      <c r="AE97" s="70">
        <v>17.0</v>
      </c>
      <c r="AF97" s="70" t="s">
        <v>239</v>
      </c>
      <c r="AW97" s="70" t="s">
        <v>14886</v>
      </c>
      <c r="AX97" s="70">
        <v>1.0</v>
      </c>
      <c r="AZ97" s="70">
        <v>5.0</v>
      </c>
    </row>
    <row r="98" ht="22.5" customHeight="1">
      <c r="A98" s="70" t="str">
        <f t="shared" si="1"/>
        <v>Included</v>
      </c>
      <c r="B98" s="70">
        <f t="shared" si="2"/>
        <v>4</v>
      </c>
      <c r="C98" s="70">
        <v>1.0</v>
      </c>
      <c r="D98" s="70">
        <v>1.0</v>
      </c>
      <c r="E98" s="70">
        <v>1.0</v>
      </c>
      <c r="F98" s="70">
        <v>1.0</v>
      </c>
      <c r="G98" s="70">
        <v>0.0</v>
      </c>
      <c r="H98" s="70" t="s">
        <v>7649</v>
      </c>
      <c r="I98" s="70">
        <v>735.0</v>
      </c>
      <c r="J98" s="70" t="s">
        <v>29404</v>
      </c>
      <c r="K98" s="70" t="s">
        <v>7646</v>
      </c>
      <c r="L98" s="70" t="s">
        <v>7647</v>
      </c>
      <c r="N98" s="70" t="s">
        <v>7648</v>
      </c>
      <c r="P98" s="76">
        <v>43769.0</v>
      </c>
      <c r="U98" s="70" t="s">
        <v>239</v>
      </c>
      <c r="W98" s="70" t="s">
        <v>7651</v>
      </c>
      <c r="X98" s="70" t="s">
        <v>7652</v>
      </c>
      <c r="Z98" s="75" t="s">
        <v>7653</v>
      </c>
      <c r="AA98" s="70" t="s">
        <v>7654</v>
      </c>
      <c r="AC98" s="70">
        <v>3.0</v>
      </c>
      <c r="AE98" s="70">
        <v>35.0</v>
      </c>
      <c r="AF98" s="70" t="s">
        <v>239</v>
      </c>
      <c r="AW98" s="70" t="s">
        <v>7655</v>
      </c>
      <c r="AX98" s="70">
        <v>0.0</v>
      </c>
      <c r="AY98" s="70" t="s">
        <v>24</v>
      </c>
      <c r="AZ98" s="70">
        <v>2514.0</v>
      </c>
    </row>
    <row r="99" ht="22.5" customHeight="1">
      <c r="A99" s="70" t="str">
        <f t="shared" si="1"/>
        <v>Included</v>
      </c>
      <c r="B99" s="70">
        <f t="shared" si="2"/>
        <v>5</v>
      </c>
      <c r="C99" s="70">
        <v>1.0</v>
      </c>
      <c r="D99" s="70">
        <v>1.0</v>
      </c>
      <c r="E99" s="70">
        <v>1.0</v>
      </c>
      <c r="F99" s="70">
        <v>1.0</v>
      </c>
      <c r="G99" s="70">
        <v>1.0</v>
      </c>
      <c r="H99" s="70" t="s">
        <v>14307</v>
      </c>
      <c r="I99" s="70">
        <v>1492.0</v>
      </c>
      <c r="J99" s="70" t="s">
        <v>14305</v>
      </c>
      <c r="K99" s="70" t="s">
        <v>14306</v>
      </c>
      <c r="L99" s="70" t="s">
        <v>14183</v>
      </c>
      <c r="N99" s="70" t="s">
        <v>11472</v>
      </c>
      <c r="P99" s="76">
        <v>45580.0</v>
      </c>
      <c r="U99" s="70" t="s">
        <v>239</v>
      </c>
      <c r="W99" s="70" t="s">
        <v>29405</v>
      </c>
      <c r="X99" s="70" t="s">
        <v>14187</v>
      </c>
      <c r="Z99" s="75" t="s">
        <v>14310</v>
      </c>
      <c r="AA99" s="70" t="s">
        <v>14311</v>
      </c>
      <c r="AE99" s="70">
        <v>39.0</v>
      </c>
      <c r="AF99" s="70" t="s">
        <v>239</v>
      </c>
      <c r="AW99" s="70" t="s">
        <v>14312</v>
      </c>
      <c r="AX99" s="70">
        <v>1.0</v>
      </c>
      <c r="AZ99" s="70">
        <v>7.0</v>
      </c>
    </row>
    <row r="100" ht="22.5" customHeight="1">
      <c r="A100" s="70" t="str">
        <f t="shared" si="1"/>
        <v>Included</v>
      </c>
      <c r="B100" s="70">
        <f t="shared" si="2"/>
        <v>4</v>
      </c>
      <c r="C100" s="70">
        <v>1.0</v>
      </c>
      <c r="D100" s="70">
        <v>0.0</v>
      </c>
      <c r="E100" s="70">
        <v>1.0</v>
      </c>
      <c r="F100" s="70">
        <v>1.0</v>
      </c>
      <c r="G100" s="70">
        <v>1.0</v>
      </c>
      <c r="H100" s="70" t="s">
        <v>15741</v>
      </c>
      <c r="I100" s="70">
        <v>1644.0</v>
      </c>
      <c r="J100" s="70" t="s">
        <v>15739</v>
      </c>
      <c r="K100" s="70" t="s">
        <v>15740</v>
      </c>
      <c r="L100" s="70" t="s">
        <v>14183</v>
      </c>
      <c r="N100" s="70" t="s">
        <v>11472</v>
      </c>
      <c r="P100" s="76">
        <v>45580.0</v>
      </c>
      <c r="U100" s="70" t="s">
        <v>239</v>
      </c>
      <c r="W100" s="70" t="s">
        <v>15743</v>
      </c>
      <c r="X100" s="70" t="s">
        <v>14187</v>
      </c>
      <c r="Z100" s="75" t="s">
        <v>15744</v>
      </c>
      <c r="AA100" s="70" t="s">
        <v>15745</v>
      </c>
      <c r="AE100" s="70">
        <v>42.0</v>
      </c>
      <c r="AF100" s="70" t="s">
        <v>239</v>
      </c>
      <c r="AW100" s="70" t="s">
        <v>15746</v>
      </c>
      <c r="AX100" s="70">
        <v>1.0</v>
      </c>
      <c r="AZ100" s="70">
        <v>4.0</v>
      </c>
    </row>
    <row r="101" ht="22.5" customHeight="1">
      <c r="A101" s="70" t="str">
        <f t="shared" si="1"/>
        <v>Included</v>
      </c>
      <c r="B101" s="70">
        <f t="shared" si="2"/>
        <v>1</v>
      </c>
      <c r="C101" s="70">
        <v>0.0</v>
      </c>
      <c r="D101" s="70">
        <v>0.0</v>
      </c>
      <c r="E101" s="70">
        <v>1.0</v>
      </c>
      <c r="F101" s="70">
        <v>0.0</v>
      </c>
      <c r="G101" s="70">
        <v>0.0</v>
      </c>
      <c r="H101" s="70" t="s">
        <v>15431</v>
      </c>
      <c r="I101" s="70">
        <v>1610.0</v>
      </c>
      <c r="J101" s="70" t="s">
        <v>15428</v>
      </c>
      <c r="K101" s="70" t="s">
        <v>15429</v>
      </c>
      <c r="L101" s="70" t="s">
        <v>15430</v>
      </c>
      <c r="P101" s="76">
        <v>45526.0</v>
      </c>
      <c r="U101" s="70" t="s">
        <v>239</v>
      </c>
      <c r="W101" s="70" t="s">
        <v>15433</v>
      </c>
      <c r="X101" s="70" t="s">
        <v>15434</v>
      </c>
      <c r="Z101" s="75" t="s">
        <v>15435</v>
      </c>
      <c r="AA101" s="70" t="s">
        <v>15436</v>
      </c>
      <c r="AE101" s="70">
        <v>12.0</v>
      </c>
      <c r="AF101" s="70" t="s">
        <v>239</v>
      </c>
      <c r="AW101" s="70" t="s">
        <v>15437</v>
      </c>
      <c r="AZ101" s="70">
        <v>1082.0</v>
      </c>
    </row>
    <row r="102" ht="22.5" customHeight="1">
      <c r="A102" s="70" t="str">
        <f t="shared" si="1"/>
        <v>Included</v>
      </c>
      <c r="B102" s="70">
        <f t="shared" si="2"/>
        <v>5</v>
      </c>
      <c r="C102" s="70">
        <v>1.0</v>
      </c>
      <c r="D102" s="70">
        <v>1.0</v>
      </c>
      <c r="E102" s="70">
        <v>1.0</v>
      </c>
      <c r="F102" s="70">
        <v>1.0</v>
      </c>
      <c r="G102" s="70">
        <v>1.0</v>
      </c>
      <c r="H102" s="70" t="s">
        <v>9163</v>
      </c>
      <c r="I102" s="70">
        <v>892.0</v>
      </c>
      <c r="J102" s="70" t="s">
        <v>9159</v>
      </c>
      <c r="K102" s="70" t="s">
        <v>9160</v>
      </c>
      <c r="L102" s="70" t="s">
        <v>9161</v>
      </c>
      <c r="N102" s="70" t="s">
        <v>9162</v>
      </c>
      <c r="P102" s="76">
        <v>44757.0</v>
      </c>
      <c r="U102" s="70" t="s">
        <v>239</v>
      </c>
      <c r="W102" s="70" t="s">
        <v>29406</v>
      </c>
      <c r="X102" s="70" t="s">
        <v>9166</v>
      </c>
      <c r="Z102" s="75" t="s">
        <v>9167</v>
      </c>
      <c r="AA102" s="70" t="s">
        <v>6069</v>
      </c>
      <c r="AC102" s="70">
        <v>1.0</v>
      </c>
      <c r="AE102" s="70">
        <v>10.0</v>
      </c>
      <c r="AF102" s="70" t="s">
        <v>239</v>
      </c>
      <c r="AW102" s="70" t="s">
        <v>9168</v>
      </c>
      <c r="AX102" s="70">
        <v>0.0</v>
      </c>
      <c r="AY102" s="70" t="s">
        <v>22</v>
      </c>
      <c r="AZ102" s="70">
        <v>14.0</v>
      </c>
    </row>
    <row r="103" ht="22.5" customHeight="1">
      <c r="A103" s="70" t="str">
        <f t="shared" si="1"/>
        <v>Included</v>
      </c>
      <c r="B103" s="70">
        <f t="shared" si="2"/>
        <v>5</v>
      </c>
      <c r="C103" s="70">
        <v>1.0</v>
      </c>
      <c r="D103" s="70">
        <v>1.0</v>
      </c>
      <c r="E103" s="70">
        <v>1.0</v>
      </c>
      <c r="F103" s="70">
        <v>1.0</v>
      </c>
      <c r="G103" s="70">
        <v>1.0</v>
      </c>
      <c r="H103" s="70" t="s">
        <v>13115</v>
      </c>
      <c r="I103" s="70">
        <v>1367.0</v>
      </c>
      <c r="J103" s="70" t="s">
        <v>13113</v>
      </c>
      <c r="K103" s="70" t="s">
        <v>13114</v>
      </c>
      <c r="L103" s="70" t="s">
        <v>11461</v>
      </c>
      <c r="P103" s="76">
        <v>45275.0</v>
      </c>
      <c r="U103" s="70" t="s">
        <v>239</v>
      </c>
      <c r="W103" s="70" t="s">
        <v>13117</v>
      </c>
      <c r="X103" s="70" t="s">
        <v>11465</v>
      </c>
      <c r="Y103" s="70" t="s">
        <v>29407</v>
      </c>
      <c r="Z103" s="75" t="s">
        <v>13119</v>
      </c>
      <c r="AA103" s="70" t="s">
        <v>13120</v>
      </c>
      <c r="AE103" s="70">
        <v>33.0</v>
      </c>
      <c r="AF103" s="70" t="s">
        <v>239</v>
      </c>
      <c r="AW103" s="70" t="s">
        <v>13121</v>
      </c>
      <c r="AX103" s="70">
        <v>0.0</v>
      </c>
      <c r="AY103" s="70" t="s">
        <v>22</v>
      </c>
      <c r="AZ103" s="70">
        <v>102.0</v>
      </c>
    </row>
    <row r="104" ht="22.5" customHeight="1">
      <c r="A104" s="70" t="str">
        <f t="shared" si="1"/>
        <v>Included</v>
      </c>
      <c r="B104" s="70">
        <f t="shared" si="2"/>
        <v>5</v>
      </c>
      <c r="C104" s="70">
        <v>1.0</v>
      </c>
      <c r="D104" s="70">
        <v>1.0</v>
      </c>
      <c r="E104" s="70">
        <v>1.0</v>
      </c>
      <c r="F104" s="70">
        <v>1.0</v>
      </c>
      <c r="G104" s="70">
        <v>1.0</v>
      </c>
      <c r="H104" s="70" t="s">
        <v>12513</v>
      </c>
      <c r="I104" s="70">
        <v>1306.0</v>
      </c>
      <c r="J104" s="70" t="s">
        <v>29408</v>
      </c>
      <c r="K104" s="70" t="s">
        <v>12510</v>
      </c>
      <c r="L104" s="70" t="s">
        <v>12511</v>
      </c>
      <c r="N104" s="70" t="s">
        <v>12512</v>
      </c>
      <c r="P104" s="76">
        <v>45517.0</v>
      </c>
      <c r="U104" s="70" t="s">
        <v>239</v>
      </c>
      <c r="W104" s="70" t="s">
        <v>12515</v>
      </c>
      <c r="X104" s="70" t="s">
        <v>12516</v>
      </c>
      <c r="Z104" s="75" t="s">
        <v>12517</v>
      </c>
      <c r="AA104" s="70" t="s">
        <v>12518</v>
      </c>
      <c r="AE104" s="70">
        <v>29.0</v>
      </c>
      <c r="AF104" s="70" t="s">
        <v>239</v>
      </c>
      <c r="AW104" s="70" t="s">
        <v>12519</v>
      </c>
      <c r="AX104" s="70">
        <v>0.0</v>
      </c>
      <c r="AY104" s="70" t="s">
        <v>22</v>
      </c>
      <c r="AZ104" s="70">
        <v>9.0</v>
      </c>
    </row>
    <row r="105" ht="22.5" customHeight="1">
      <c r="A105" s="70" t="str">
        <f t="shared" si="1"/>
        <v>Included</v>
      </c>
      <c r="B105" s="70">
        <f t="shared" si="2"/>
        <v>5</v>
      </c>
      <c r="C105" s="70">
        <v>1.0</v>
      </c>
      <c r="D105" s="70">
        <v>1.0</v>
      </c>
      <c r="E105" s="70">
        <v>1.0</v>
      </c>
      <c r="F105" s="70">
        <v>1.0</v>
      </c>
      <c r="G105" s="70">
        <v>1.0</v>
      </c>
      <c r="H105" s="70" t="s">
        <v>9651</v>
      </c>
      <c r="I105" s="70">
        <v>944.0</v>
      </c>
      <c r="J105" s="70" t="s">
        <v>9647</v>
      </c>
      <c r="K105" s="70" t="s">
        <v>9648</v>
      </c>
      <c r="L105" s="70" t="s">
        <v>9649</v>
      </c>
      <c r="N105" s="70" t="s">
        <v>9650</v>
      </c>
      <c r="P105" s="76">
        <v>43482.0</v>
      </c>
      <c r="U105" s="70" t="s">
        <v>239</v>
      </c>
      <c r="W105" s="70" t="s">
        <v>9653</v>
      </c>
      <c r="X105" s="70" t="s">
        <v>9654</v>
      </c>
      <c r="Z105" s="75" t="s">
        <v>9655</v>
      </c>
      <c r="AA105" s="70" t="s">
        <v>9656</v>
      </c>
      <c r="AE105" s="70">
        <v>18.0</v>
      </c>
      <c r="AF105" s="70" t="s">
        <v>239</v>
      </c>
      <c r="AW105" s="70" t="s">
        <v>9657</v>
      </c>
      <c r="AX105" s="70">
        <v>0.0</v>
      </c>
      <c r="AY105" s="70" t="s">
        <v>22</v>
      </c>
      <c r="AZ105" s="70">
        <v>122.0</v>
      </c>
    </row>
    <row r="106" ht="22.5" customHeight="1">
      <c r="A106" s="70" t="str">
        <f t="shared" si="1"/>
        <v>Included</v>
      </c>
      <c r="B106" s="70">
        <f t="shared" si="2"/>
        <v>5</v>
      </c>
      <c r="C106" s="70">
        <v>1.0</v>
      </c>
      <c r="D106" s="70">
        <v>1.0</v>
      </c>
      <c r="E106" s="70">
        <v>1.0</v>
      </c>
      <c r="F106" s="70">
        <v>1.0</v>
      </c>
      <c r="G106" s="70">
        <v>1.0</v>
      </c>
      <c r="H106" s="70" t="s">
        <v>28712</v>
      </c>
      <c r="I106" s="70">
        <v>3088.0</v>
      </c>
      <c r="J106" s="70" t="s">
        <v>28710</v>
      </c>
      <c r="K106" s="70" t="s">
        <v>28711</v>
      </c>
      <c r="W106" s="70" t="s">
        <v>29409</v>
      </c>
      <c r="AA106" s="70" t="s">
        <v>28714</v>
      </c>
      <c r="AI106" s="70" t="s">
        <v>28715</v>
      </c>
      <c r="AJ106" s="70" t="s">
        <v>28716</v>
      </c>
      <c r="AK106" s="70">
        <v>2019.0</v>
      </c>
      <c r="AL106" s="70" t="s">
        <v>28717</v>
      </c>
      <c r="AM106" s="70">
        <v>8939237.0</v>
      </c>
      <c r="AN106" s="70">
        <v>79.0</v>
      </c>
      <c r="AO106" s="70">
        <v>86.0</v>
      </c>
      <c r="AP106" s="70">
        <v>7.0</v>
      </c>
      <c r="AQ106" s="70">
        <v>5.0</v>
      </c>
      <c r="AR106" s="75" t="s">
        <v>28718</v>
      </c>
      <c r="AS106" s="70" t="s">
        <v>22525</v>
      </c>
      <c r="AT106" s="70" t="s">
        <v>22816</v>
      </c>
      <c r="AU106" s="70" t="s">
        <v>237</v>
      </c>
      <c r="AV106" s="70" t="s">
        <v>28719</v>
      </c>
      <c r="AW106" s="70" t="s">
        <v>28720</v>
      </c>
      <c r="AX106" s="70">
        <v>1.0</v>
      </c>
      <c r="AZ106" s="70">
        <v>8.0</v>
      </c>
    </row>
    <row r="107" ht="22.5" customHeight="1">
      <c r="A107" s="70" t="str">
        <f t="shared" si="1"/>
        <v>Included</v>
      </c>
      <c r="B107" s="70">
        <f t="shared" si="2"/>
        <v>3</v>
      </c>
      <c r="C107" s="70">
        <v>1.0</v>
      </c>
      <c r="D107" s="70">
        <v>1.0</v>
      </c>
      <c r="E107" s="70">
        <v>1.0</v>
      </c>
      <c r="F107" s="70">
        <v>0.0</v>
      </c>
      <c r="G107" s="70">
        <v>0.0</v>
      </c>
      <c r="H107" s="70" t="s">
        <v>12159</v>
      </c>
      <c r="I107" s="70">
        <v>1271.0</v>
      </c>
      <c r="J107" s="70" t="s">
        <v>29410</v>
      </c>
      <c r="K107" s="70" t="s">
        <v>12157</v>
      </c>
      <c r="L107" s="70" t="s">
        <v>12158</v>
      </c>
      <c r="P107" s="76">
        <v>45499.0</v>
      </c>
      <c r="U107" s="70" t="s">
        <v>239</v>
      </c>
      <c r="W107" s="70" t="s">
        <v>12161</v>
      </c>
      <c r="X107" s="70" t="s">
        <v>12162</v>
      </c>
      <c r="Z107" s="75" t="s">
        <v>12163</v>
      </c>
      <c r="AA107" s="70" t="s">
        <v>12164</v>
      </c>
      <c r="AC107" s="70">
        <v>1.0</v>
      </c>
      <c r="AE107" s="70">
        <v>34.0</v>
      </c>
      <c r="AF107" s="70" t="s">
        <v>239</v>
      </c>
      <c r="AW107" s="70" t="s">
        <v>12165</v>
      </c>
      <c r="AX107" s="70">
        <v>0.0</v>
      </c>
      <c r="AY107" s="70" t="s">
        <v>24</v>
      </c>
      <c r="AZ107" s="70">
        <v>2568.0</v>
      </c>
    </row>
    <row r="108" ht="22.5" customHeight="1">
      <c r="A108" s="70" t="str">
        <f t="shared" si="1"/>
        <v>Included</v>
      </c>
      <c r="B108" s="70">
        <f t="shared" si="2"/>
        <v>5</v>
      </c>
      <c r="C108" s="70">
        <v>1.0</v>
      </c>
      <c r="D108" s="70">
        <v>1.0</v>
      </c>
      <c r="E108" s="70">
        <v>1.0</v>
      </c>
      <c r="F108" s="70">
        <v>1.0</v>
      </c>
      <c r="G108" s="70">
        <v>1.0</v>
      </c>
      <c r="H108" s="70" t="s">
        <v>12920</v>
      </c>
      <c r="I108" s="70">
        <v>1347.0</v>
      </c>
      <c r="J108" s="70" t="s">
        <v>29411</v>
      </c>
      <c r="K108" s="70" t="s">
        <v>12919</v>
      </c>
      <c r="L108" s="70" t="s">
        <v>11429</v>
      </c>
      <c r="P108" s="77">
        <v>45505.0</v>
      </c>
      <c r="U108" s="70" t="s">
        <v>239</v>
      </c>
      <c r="W108" s="70" t="s">
        <v>12922</v>
      </c>
      <c r="X108" s="70" t="s">
        <v>11433</v>
      </c>
      <c r="Z108" s="75" t="s">
        <v>12923</v>
      </c>
      <c r="AE108" s="70">
        <v>102.0</v>
      </c>
      <c r="AF108" s="70" t="s">
        <v>239</v>
      </c>
      <c r="AW108" s="70" t="s">
        <v>12924</v>
      </c>
      <c r="AX108" s="70">
        <v>0.0</v>
      </c>
      <c r="AY108" s="70" t="s">
        <v>22</v>
      </c>
      <c r="AZ108" s="70">
        <v>134.0</v>
      </c>
    </row>
    <row r="109" ht="22.5" customHeight="1">
      <c r="A109" s="70" t="str">
        <f t="shared" si="1"/>
        <v>Included</v>
      </c>
      <c r="B109" s="70">
        <f t="shared" si="2"/>
        <v>3</v>
      </c>
      <c r="C109" s="70">
        <v>1.0</v>
      </c>
      <c r="D109" s="70">
        <v>1.0</v>
      </c>
      <c r="E109" s="70">
        <v>1.0</v>
      </c>
      <c r="F109" s="70">
        <v>0.0</v>
      </c>
      <c r="G109" s="70">
        <v>0.0</v>
      </c>
      <c r="H109" s="70" t="s">
        <v>24591</v>
      </c>
      <c r="I109" s="70">
        <v>2687.0</v>
      </c>
      <c r="J109" s="70" t="s">
        <v>24589</v>
      </c>
      <c r="K109" s="70" t="s">
        <v>24590</v>
      </c>
      <c r="W109" s="70" t="s">
        <v>29412</v>
      </c>
      <c r="AA109" s="70" t="s">
        <v>24593</v>
      </c>
      <c r="AI109" s="70" t="s">
        <v>24594</v>
      </c>
      <c r="AJ109" s="70" t="s">
        <v>24595</v>
      </c>
      <c r="AK109" s="70">
        <v>2024.0</v>
      </c>
      <c r="AL109" s="70" t="s">
        <v>24596</v>
      </c>
      <c r="AN109" s="70">
        <v>452.0</v>
      </c>
      <c r="AO109" s="70">
        <v>470.0</v>
      </c>
      <c r="AP109" s="70">
        <v>18.0</v>
      </c>
      <c r="AQ109" s="70">
        <v>9.0</v>
      </c>
      <c r="AR109" s="75" t="s">
        <v>24597</v>
      </c>
      <c r="AS109" s="70" t="s">
        <v>22525</v>
      </c>
      <c r="AU109" s="70" t="s">
        <v>237</v>
      </c>
      <c r="AV109" s="70" t="s">
        <v>24598</v>
      </c>
      <c r="AW109" s="70" t="s">
        <v>24599</v>
      </c>
      <c r="AX109" s="70">
        <v>0.0</v>
      </c>
      <c r="AY109" s="70" t="s">
        <v>24</v>
      </c>
      <c r="AZ109" s="70">
        <v>2471.0</v>
      </c>
    </row>
    <row r="110" ht="22.5" customHeight="1">
      <c r="A110" s="70" t="str">
        <f t="shared" si="1"/>
        <v>Included</v>
      </c>
      <c r="B110" s="70">
        <f t="shared" si="2"/>
        <v>5</v>
      </c>
      <c r="C110" s="70">
        <v>1.0</v>
      </c>
      <c r="D110" s="70">
        <v>1.0</v>
      </c>
      <c r="E110" s="70">
        <v>1.0</v>
      </c>
      <c r="F110" s="70">
        <v>1.0</v>
      </c>
      <c r="G110" s="70">
        <v>1.0</v>
      </c>
      <c r="H110" s="70" t="s">
        <v>6317</v>
      </c>
      <c r="I110" s="70">
        <v>599.0</v>
      </c>
      <c r="J110" s="70" t="s">
        <v>6315</v>
      </c>
      <c r="K110" s="70" t="s">
        <v>6316</v>
      </c>
      <c r="L110" s="70" t="s">
        <v>5350</v>
      </c>
      <c r="N110" s="70" t="s">
        <v>5351</v>
      </c>
      <c r="P110" s="76">
        <v>43857.0</v>
      </c>
      <c r="U110" s="70" t="s">
        <v>239</v>
      </c>
      <c r="W110" s="70" t="s">
        <v>6319</v>
      </c>
      <c r="X110" s="70" t="s">
        <v>5355</v>
      </c>
      <c r="Z110" s="75" t="s">
        <v>6320</v>
      </c>
      <c r="AA110" s="70" t="s">
        <v>6321</v>
      </c>
      <c r="AC110" s="70">
        <v>7.0</v>
      </c>
      <c r="AE110" s="70">
        <v>29.0</v>
      </c>
      <c r="AF110" s="70" t="s">
        <v>239</v>
      </c>
      <c r="AW110" s="70" t="s">
        <v>6322</v>
      </c>
      <c r="AX110" s="70">
        <v>0.0</v>
      </c>
      <c r="AY110" s="70" t="s">
        <v>22</v>
      </c>
      <c r="AZ110" s="70">
        <v>112.0</v>
      </c>
    </row>
    <row r="111" ht="22.5" customHeight="1">
      <c r="A111" s="70" t="str">
        <f t="shared" si="1"/>
        <v>Included</v>
      </c>
      <c r="B111" s="70">
        <f t="shared" si="2"/>
        <v>4</v>
      </c>
      <c r="C111" s="70">
        <v>1.0</v>
      </c>
      <c r="D111" s="70">
        <v>1.0</v>
      </c>
      <c r="E111" s="70">
        <v>1.0</v>
      </c>
      <c r="F111" s="70">
        <v>1.0</v>
      </c>
      <c r="G111" s="70">
        <v>0.0</v>
      </c>
      <c r="H111" s="70" t="s">
        <v>7518</v>
      </c>
      <c r="I111" s="70">
        <v>722.0</v>
      </c>
      <c r="J111" s="70" t="s">
        <v>7515</v>
      </c>
      <c r="K111" s="70" t="s">
        <v>7516</v>
      </c>
      <c r="L111" s="70" t="s">
        <v>7517</v>
      </c>
      <c r="N111" s="70" t="s">
        <v>5351</v>
      </c>
      <c r="P111" s="76">
        <v>44853.0</v>
      </c>
      <c r="U111" s="70" t="s">
        <v>239</v>
      </c>
      <c r="W111" s="70" t="s">
        <v>7520</v>
      </c>
      <c r="X111" s="70" t="s">
        <v>7521</v>
      </c>
      <c r="Z111" s="75" t="s">
        <v>7522</v>
      </c>
      <c r="AA111" s="70" t="s">
        <v>7523</v>
      </c>
      <c r="AC111" s="70">
        <v>3.0</v>
      </c>
      <c r="AE111" s="70">
        <v>18.0</v>
      </c>
      <c r="AF111" s="70" t="s">
        <v>239</v>
      </c>
      <c r="AW111" s="70" t="s">
        <v>7524</v>
      </c>
      <c r="AX111" s="70">
        <v>0.0</v>
      </c>
      <c r="AY111" s="70" t="s">
        <v>24</v>
      </c>
      <c r="AZ111" s="70">
        <v>2892.0</v>
      </c>
    </row>
    <row r="112" ht="22.5" customHeight="1">
      <c r="A112" s="70" t="str">
        <f t="shared" si="1"/>
        <v>Included</v>
      </c>
      <c r="B112" s="70">
        <f t="shared" si="2"/>
        <v>5</v>
      </c>
      <c r="C112" s="70">
        <v>1.0</v>
      </c>
      <c r="D112" s="70">
        <v>1.0</v>
      </c>
      <c r="E112" s="70">
        <v>1.0</v>
      </c>
      <c r="F112" s="70">
        <v>1.0</v>
      </c>
      <c r="G112" s="70">
        <v>1.0</v>
      </c>
      <c r="H112" s="70" t="s">
        <v>15634</v>
      </c>
      <c r="I112" s="70">
        <v>1632.0</v>
      </c>
      <c r="J112" s="70" t="s">
        <v>29413</v>
      </c>
      <c r="K112" s="70" t="s">
        <v>15633</v>
      </c>
      <c r="L112" s="70" t="s">
        <v>12672</v>
      </c>
      <c r="N112" s="70" t="s">
        <v>5351</v>
      </c>
      <c r="P112" s="76">
        <v>45596.0</v>
      </c>
      <c r="U112" s="70" t="s">
        <v>239</v>
      </c>
      <c r="W112" s="70" t="s">
        <v>15636</v>
      </c>
      <c r="X112" s="70" t="s">
        <v>12676</v>
      </c>
      <c r="Y112" s="70" t="s">
        <v>29414</v>
      </c>
      <c r="Z112" s="75" t="s">
        <v>15638</v>
      </c>
      <c r="AA112" s="70" t="s">
        <v>15639</v>
      </c>
      <c r="AE112" s="70">
        <v>31.0</v>
      </c>
      <c r="AF112" s="70" t="s">
        <v>239</v>
      </c>
      <c r="AW112" s="70" t="s">
        <v>15640</v>
      </c>
      <c r="AX112" s="70">
        <v>1.0</v>
      </c>
      <c r="AZ112" s="70">
        <v>3.0</v>
      </c>
    </row>
    <row r="113" ht="22.5" customHeight="1">
      <c r="A113" s="70" t="str">
        <f t="shared" si="1"/>
        <v>Included</v>
      </c>
      <c r="B113" s="70">
        <f t="shared" si="2"/>
        <v>4</v>
      </c>
      <c r="C113" s="70">
        <v>1.0</v>
      </c>
      <c r="D113" s="70">
        <v>1.0</v>
      </c>
      <c r="E113" s="70">
        <v>1.0</v>
      </c>
      <c r="F113" s="70">
        <v>0.0</v>
      </c>
      <c r="G113" s="70">
        <v>1.0</v>
      </c>
      <c r="H113" s="70" t="s">
        <v>13742</v>
      </c>
      <c r="I113" s="70">
        <v>1431.0</v>
      </c>
      <c r="J113" s="70" t="s">
        <v>13740</v>
      </c>
      <c r="K113" s="70" t="s">
        <v>13741</v>
      </c>
      <c r="L113" s="70" t="s">
        <v>12672</v>
      </c>
      <c r="N113" s="70" t="s">
        <v>5351</v>
      </c>
      <c r="P113" s="76">
        <v>45596.0</v>
      </c>
      <c r="U113" s="70" t="s">
        <v>239</v>
      </c>
      <c r="W113" s="70" t="s">
        <v>13744</v>
      </c>
      <c r="X113" s="70" t="s">
        <v>12676</v>
      </c>
      <c r="Z113" s="75" t="s">
        <v>13745</v>
      </c>
      <c r="AA113" s="70" t="s">
        <v>13746</v>
      </c>
      <c r="AE113" s="70">
        <v>35.0</v>
      </c>
      <c r="AF113" s="70" t="s">
        <v>239</v>
      </c>
      <c r="AW113" s="70" t="s">
        <v>13747</v>
      </c>
      <c r="AX113" s="70">
        <v>0.0</v>
      </c>
      <c r="AY113" s="70" t="s">
        <v>22</v>
      </c>
      <c r="AZ113" s="70">
        <v>61.0</v>
      </c>
    </row>
    <row r="114" ht="22.5" customHeight="1">
      <c r="A114" s="70" t="str">
        <f t="shared" si="1"/>
        <v>Included</v>
      </c>
      <c r="B114" s="70">
        <f t="shared" si="2"/>
        <v>4</v>
      </c>
      <c r="C114" s="70">
        <v>1.0</v>
      </c>
      <c r="D114" s="70">
        <v>1.0</v>
      </c>
      <c r="E114" s="70">
        <v>1.0</v>
      </c>
      <c r="F114" s="70">
        <v>1.0</v>
      </c>
      <c r="G114" s="70">
        <v>0.0</v>
      </c>
      <c r="H114" s="70" t="s">
        <v>6486</v>
      </c>
      <c r="I114" s="70">
        <v>616.0</v>
      </c>
      <c r="J114" s="70" t="s">
        <v>6483</v>
      </c>
      <c r="K114" s="70" t="s">
        <v>6484</v>
      </c>
      <c r="L114" s="70" t="s">
        <v>6485</v>
      </c>
      <c r="P114" s="76">
        <v>44893.0</v>
      </c>
      <c r="U114" s="70" t="s">
        <v>239</v>
      </c>
      <c r="W114" s="70" t="s">
        <v>6488</v>
      </c>
      <c r="X114" s="70" t="s">
        <v>6489</v>
      </c>
      <c r="Z114" s="75" t="s">
        <v>6490</v>
      </c>
      <c r="AA114" s="70" t="s">
        <v>6491</v>
      </c>
      <c r="AC114" s="70">
        <v>6.0</v>
      </c>
      <c r="AE114" s="70">
        <v>15.0</v>
      </c>
      <c r="AF114" s="70" t="s">
        <v>239</v>
      </c>
      <c r="AW114" s="70" t="s">
        <v>6492</v>
      </c>
      <c r="AZ114" s="70">
        <v>688.0</v>
      </c>
    </row>
    <row r="115" ht="22.5" customHeight="1">
      <c r="A115" s="70" t="str">
        <f t="shared" si="1"/>
        <v>Included</v>
      </c>
      <c r="B115" s="70">
        <f t="shared" si="2"/>
        <v>3</v>
      </c>
      <c r="C115" s="70">
        <v>1.0</v>
      </c>
      <c r="D115" s="70">
        <v>1.0</v>
      </c>
      <c r="E115" s="70">
        <v>1.0</v>
      </c>
      <c r="F115" s="70">
        <v>0.0</v>
      </c>
      <c r="G115" s="70">
        <v>0.0</v>
      </c>
      <c r="H115" s="70" t="s">
        <v>11895</v>
      </c>
      <c r="I115" s="70">
        <v>1244.0</v>
      </c>
      <c r="J115" s="70" t="s">
        <v>11892</v>
      </c>
      <c r="K115" s="70" t="s">
        <v>11893</v>
      </c>
      <c r="L115" s="70" t="s">
        <v>11894</v>
      </c>
      <c r="P115" s="76">
        <v>45321.0</v>
      </c>
      <c r="U115" s="70" t="s">
        <v>239</v>
      </c>
      <c r="W115" s="70" t="s">
        <v>11897</v>
      </c>
      <c r="X115" s="70" t="s">
        <v>11898</v>
      </c>
      <c r="Z115" s="75" t="s">
        <v>11899</v>
      </c>
      <c r="AA115" s="70" t="s">
        <v>11900</v>
      </c>
      <c r="AC115" s="70">
        <v>1.0</v>
      </c>
      <c r="AE115" s="70">
        <v>27.0</v>
      </c>
      <c r="AF115" s="70" t="s">
        <v>239</v>
      </c>
      <c r="AW115" s="70" t="s">
        <v>11901</v>
      </c>
      <c r="AZ115" s="70">
        <v>632.0</v>
      </c>
    </row>
    <row r="116" ht="22.5" customHeight="1">
      <c r="A116" s="70" t="str">
        <f t="shared" si="1"/>
        <v>Included</v>
      </c>
      <c r="B116" s="70">
        <f t="shared" si="2"/>
        <v>5</v>
      </c>
      <c r="C116" s="70">
        <v>1.0</v>
      </c>
      <c r="D116" s="70">
        <v>1.0</v>
      </c>
      <c r="E116" s="70">
        <v>1.0</v>
      </c>
      <c r="F116" s="70">
        <v>1.0</v>
      </c>
      <c r="G116" s="70">
        <v>1.0</v>
      </c>
      <c r="H116" s="70" t="s">
        <v>15177</v>
      </c>
      <c r="I116" s="70">
        <v>1583.0</v>
      </c>
      <c r="J116" s="70" t="s">
        <v>29415</v>
      </c>
      <c r="K116" s="70" t="s">
        <v>15175</v>
      </c>
      <c r="L116" s="70" t="s">
        <v>15176</v>
      </c>
      <c r="N116" s="70" t="s">
        <v>6861</v>
      </c>
      <c r="P116" s="76">
        <v>45169.0</v>
      </c>
      <c r="U116" s="70" t="s">
        <v>239</v>
      </c>
      <c r="W116" s="70" t="s">
        <v>29416</v>
      </c>
      <c r="X116" s="70" t="s">
        <v>15180</v>
      </c>
      <c r="Y116" s="70" t="s">
        <v>29417</v>
      </c>
      <c r="Z116" s="75" t="s">
        <v>15182</v>
      </c>
      <c r="AA116" s="70" t="s">
        <v>15183</v>
      </c>
      <c r="AE116" s="70">
        <v>14.0</v>
      </c>
      <c r="AF116" s="70" t="s">
        <v>239</v>
      </c>
      <c r="AW116" s="70" t="s">
        <v>15184</v>
      </c>
      <c r="AX116" s="70">
        <v>0.0</v>
      </c>
      <c r="AY116" s="70" t="s">
        <v>22</v>
      </c>
      <c r="AZ116" s="70">
        <v>111.0</v>
      </c>
    </row>
    <row r="117" ht="22.5" customHeight="1">
      <c r="A117" s="70" t="str">
        <f t="shared" si="1"/>
        <v>Included</v>
      </c>
      <c r="B117" s="70">
        <f t="shared" si="2"/>
        <v>3</v>
      </c>
      <c r="C117" s="70">
        <v>1.0</v>
      </c>
      <c r="D117" s="70">
        <v>1.0</v>
      </c>
      <c r="E117" s="70">
        <v>1.0</v>
      </c>
      <c r="F117" s="70">
        <v>0.0</v>
      </c>
      <c r="G117" s="70">
        <v>0.0</v>
      </c>
      <c r="H117" s="70" t="s">
        <v>14848</v>
      </c>
      <c r="I117" s="70">
        <v>1548.0</v>
      </c>
      <c r="J117" s="70" t="s">
        <v>14845</v>
      </c>
      <c r="K117" s="70" t="s">
        <v>14846</v>
      </c>
      <c r="L117" s="70" t="s">
        <v>14847</v>
      </c>
      <c r="P117" s="77">
        <v>45293.0</v>
      </c>
      <c r="U117" s="70" t="s">
        <v>239</v>
      </c>
      <c r="W117" s="70" t="s">
        <v>14850</v>
      </c>
      <c r="X117" s="70" t="s">
        <v>14851</v>
      </c>
      <c r="Z117" s="75" t="s">
        <v>14852</v>
      </c>
      <c r="AA117" s="70" t="s">
        <v>14853</v>
      </c>
      <c r="AE117" s="70">
        <v>11.0</v>
      </c>
      <c r="AF117" s="70" t="s">
        <v>239</v>
      </c>
      <c r="AW117" s="70" t="s">
        <v>14854</v>
      </c>
      <c r="AX117" s="70">
        <v>0.0</v>
      </c>
      <c r="AY117" s="70" t="s">
        <v>24</v>
      </c>
      <c r="AZ117" s="70">
        <v>2925.0</v>
      </c>
    </row>
    <row r="118" ht="22.5" customHeight="1">
      <c r="A118" s="70" t="str">
        <f t="shared" si="1"/>
        <v>Included</v>
      </c>
      <c r="B118" s="70">
        <f t="shared" si="2"/>
        <v>5</v>
      </c>
      <c r="C118" s="70">
        <v>1.0</v>
      </c>
      <c r="D118" s="70">
        <v>1.0</v>
      </c>
      <c r="E118" s="70">
        <v>1.0</v>
      </c>
      <c r="F118" s="70">
        <v>1.0</v>
      </c>
      <c r="G118" s="70">
        <v>1.0</v>
      </c>
      <c r="H118" s="70" t="s">
        <v>16915</v>
      </c>
      <c r="I118" s="70">
        <v>1856.0</v>
      </c>
      <c r="J118" s="70" t="s">
        <v>16913</v>
      </c>
      <c r="K118" s="70" t="s">
        <v>16914</v>
      </c>
      <c r="L118" s="70" t="s">
        <v>16538</v>
      </c>
      <c r="N118" s="70" t="s">
        <v>16539</v>
      </c>
      <c r="P118" s="76">
        <v>43909.0</v>
      </c>
      <c r="U118" s="70" t="s">
        <v>239</v>
      </c>
      <c r="W118" s="70" t="s">
        <v>16917</v>
      </c>
      <c r="Z118" s="75" t="s">
        <v>16918</v>
      </c>
      <c r="AA118" s="70" t="s">
        <v>16919</v>
      </c>
      <c r="AC118" s="70">
        <v>98.0</v>
      </c>
      <c r="AE118" s="70">
        <v>56.0</v>
      </c>
      <c r="AF118" s="70" t="s">
        <v>239</v>
      </c>
      <c r="AW118" s="70" t="s">
        <v>16920</v>
      </c>
      <c r="AX118" s="70">
        <v>0.0</v>
      </c>
      <c r="AY118" s="70" t="s">
        <v>22</v>
      </c>
      <c r="AZ118" s="70">
        <v>17.0</v>
      </c>
    </row>
    <row r="119" ht="22.5" customHeight="1">
      <c r="A119" s="70" t="str">
        <f t="shared" si="1"/>
        <v>Included</v>
      </c>
      <c r="B119" s="70">
        <f t="shared" si="2"/>
        <v>5</v>
      </c>
      <c r="C119" s="70">
        <v>1.0</v>
      </c>
      <c r="D119" s="70">
        <v>1.0</v>
      </c>
      <c r="E119" s="70">
        <v>1.0</v>
      </c>
      <c r="F119" s="70">
        <v>1.0</v>
      </c>
      <c r="G119" s="70">
        <v>1.0</v>
      </c>
      <c r="H119" s="70" t="s">
        <v>17673</v>
      </c>
      <c r="I119" s="70">
        <v>1940.0</v>
      </c>
      <c r="J119" s="70" t="s">
        <v>17671</v>
      </c>
      <c r="K119" s="70" t="s">
        <v>17672</v>
      </c>
      <c r="L119" s="70" t="s">
        <v>16538</v>
      </c>
      <c r="N119" s="70" t="s">
        <v>16539</v>
      </c>
      <c r="P119" s="76">
        <v>44033.0</v>
      </c>
      <c r="U119" s="70" t="s">
        <v>239</v>
      </c>
      <c r="W119" s="70" t="s">
        <v>17675</v>
      </c>
      <c r="Y119" s="70" t="s">
        <v>29418</v>
      </c>
      <c r="Z119" s="75" t="s">
        <v>17677</v>
      </c>
      <c r="AA119" s="70" t="s">
        <v>17678</v>
      </c>
      <c r="AC119" s="70">
        <v>36.0</v>
      </c>
      <c r="AE119" s="70">
        <v>52.0</v>
      </c>
      <c r="AF119" s="70" t="s">
        <v>239</v>
      </c>
      <c r="AW119" s="70" t="s">
        <v>17679</v>
      </c>
      <c r="AX119" s="70">
        <v>0.0</v>
      </c>
      <c r="AY119" s="70" t="s">
        <v>22</v>
      </c>
      <c r="AZ119" s="70">
        <v>42.0</v>
      </c>
    </row>
    <row r="120" ht="22.5" customHeight="1">
      <c r="A120" s="70" t="str">
        <f t="shared" si="1"/>
        <v>Included</v>
      </c>
      <c r="B120" s="70">
        <f t="shared" si="2"/>
        <v>3</v>
      </c>
      <c r="C120" s="70">
        <v>1.0</v>
      </c>
      <c r="D120" s="70">
        <v>1.0</v>
      </c>
      <c r="E120" s="70">
        <v>1.0</v>
      </c>
      <c r="F120" s="70">
        <v>0.0</v>
      </c>
      <c r="G120" s="70">
        <v>0.0</v>
      </c>
      <c r="H120" s="70" t="s">
        <v>17509</v>
      </c>
      <c r="I120" s="70">
        <v>1922.0</v>
      </c>
      <c r="J120" s="70" t="s">
        <v>17507</v>
      </c>
      <c r="K120" s="70" t="s">
        <v>17508</v>
      </c>
      <c r="L120" s="70" t="s">
        <v>16538</v>
      </c>
      <c r="N120" s="70" t="s">
        <v>16539</v>
      </c>
      <c r="P120" s="76">
        <v>44312.0</v>
      </c>
      <c r="U120" s="70" t="s">
        <v>239</v>
      </c>
      <c r="W120" s="70" t="s">
        <v>17511</v>
      </c>
      <c r="Y120" s="70" t="s">
        <v>29419</v>
      </c>
      <c r="Z120" s="75" t="s">
        <v>17513</v>
      </c>
      <c r="AA120" s="70" t="s">
        <v>17514</v>
      </c>
      <c r="AC120" s="70">
        <v>44.0</v>
      </c>
      <c r="AE120" s="70">
        <v>156.0</v>
      </c>
      <c r="AF120" s="70" t="s">
        <v>239</v>
      </c>
      <c r="AW120" s="70" t="s">
        <v>17515</v>
      </c>
      <c r="AX120" s="70">
        <v>0.0</v>
      </c>
      <c r="AY120" s="70" t="s">
        <v>24</v>
      </c>
      <c r="AZ120" s="70">
        <v>2693.0</v>
      </c>
    </row>
    <row r="121" ht="22.5" customHeight="1">
      <c r="A121" s="70" t="str">
        <f t="shared" si="1"/>
        <v>Included</v>
      </c>
      <c r="B121" s="70">
        <f t="shared" si="2"/>
        <v>4</v>
      </c>
      <c r="C121" s="70">
        <v>1.0</v>
      </c>
      <c r="D121" s="70">
        <v>1.0</v>
      </c>
      <c r="E121" s="70">
        <v>1.0</v>
      </c>
      <c r="F121" s="70">
        <v>1.0</v>
      </c>
      <c r="G121" s="70">
        <v>0.0</v>
      </c>
      <c r="H121" s="70" t="s">
        <v>20533</v>
      </c>
      <c r="I121" s="70">
        <v>2261.0</v>
      </c>
      <c r="J121" s="70" t="s">
        <v>20531</v>
      </c>
      <c r="K121" s="70" t="s">
        <v>20532</v>
      </c>
      <c r="L121" s="70" t="s">
        <v>16538</v>
      </c>
      <c r="N121" s="70" t="s">
        <v>16539</v>
      </c>
      <c r="P121" s="77">
        <v>44350.0</v>
      </c>
      <c r="U121" s="70" t="s">
        <v>239</v>
      </c>
      <c r="W121" s="70" t="s">
        <v>29420</v>
      </c>
      <c r="Y121" s="70" t="s">
        <v>20536</v>
      </c>
      <c r="Z121" s="75" t="s">
        <v>20537</v>
      </c>
      <c r="AA121" s="70" t="s">
        <v>20538</v>
      </c>
      <c r="AC121" s="70">
        <v>4.0</v>
      </c>
      <c r="AE121" s="70">
        <v>29.0</v>
      </c>
      <c r="AF121" s="70" t="s">
        <v>239</v>
      </c>
      <c r="AW121" s="70" t="s">
        <v>20539</v>
      </c>
      <c r="AZ121" s="70">
        <v>287.0</v>
      </c>
    </row>
    <row r="122" ht="22.5" customHeight="1">
      <c r="A122" s="70" t="str">
        <f t="shared" si="1"/>
        <v>Included</v>
      </c>
      <c r="B122" s="70">
        <f t="shared" si="2"/>
        <v>5</v>
      </c>
      <c r="C122" s="70">
        <v>1.0</v>
      </c>
      <c r="D122" s="70">
        <v>1.0</v>
      </c>
      <c r="E122" s="70">
        <v>1.0</v>
      </c>
      <c r="F122" s="70">
        <v>1.0</v>
      </c>
      <c r="G122" s="70">
        <v>1.0</v>
      </c>
      <c r="H122" s="70" t="s">
        <v>26316</v>
      </c>
      <c r="I122" s="70">
        <v>2854.0</v>
      </c>
      <c r="J122" s="70" t="s">
        <v>26314</v>
      </c>
      <c r="K122" s="70" t="s">
        <v>26315</v>
      </c>
      <c r="W122" s="70" t="s">
        <v>29421</v>
      </c>
      <c r="AA122" s="70" t="s">
        <v>26318</v>
      </c>
      <c r="AI122" s="70" t="s">
        <v>26319</v>
      </c>
      <c r="AJ122" s="70" t="s">
        <v>26320</v>
      </c>
      <c r="AK122" s="70">
        <v>2022.0</v>
      </c>
      <c r="AL122" s="70" t="s">
        <v>16538</v>
      </c>
      <c r="AN122" s="70">
        <v>17513.0</v>
      </c>
      <c r="AO122" s="70">
        <v>17525.0</v>
      </c>
      <c r="AP122" s="70">
        <v>12.0</v>
      </c>
      <c r="AQ122" s="70">
        <v>11.0</v>
      </c>
      <c r="AR122" s="75" t="s">
        <v>26321</v>
      </c>
      <c r="AS122" s="70" t="s">
        <v>22525</v>
      </c>
      <c r="AU122" s="70" t="s">
        <v>237</v>
      </c>
      <c r="AV122" s="70" t="s">
        <v>26322</v>
      </c>
      <c r="AW122" s="70" t="s">
        <v>26323</v>
      </c>
      <c r="AX122" s="70">
        <v>0.0</v>
      </c>
      <c r="AY122" s="70" t="s">
        <v>22</v>
      </c>
      <c r="AZ122" s="70">
        <v>23.0</v>
      </c>
    </row>
    <row r="123" ht="22.5" customHeight="1">
      <c r="A123" s="70" t="str">
        <f t="shared" si="1"/>
        <v>Included</v>
      </c>
      <c r="B123" s="70">
        <f t="shared" si="2"/>
        <v>4</v>
      </c>
      <c r="C123" s="70">
        <v>1.0</v>
      </c>
      <c r="D123" s="70">
        <v>1.0</v>
      </c>
      <c r="E123" s="70">
        <v>1.0</v>
      </c>
      <c r="F123" s="70">
        <v>1.0</v>
      </c>
      <c r="G123" s="70">
        <v>0.0</v>
      </c>
      <c r="H123" s="70" t="s">
        <v>20978</v>
      </c>
      <c r="I123" s="70">
        <v>2310.0</v>
      </c>
      <c r="J123" s="70" t="s">
        <v>20976</v>
      </c>
      <c r="K123" s="70" t="s">
        <v>20977</v>
      </c>
      <c r="L123" s="70" t="s">
        <v>16538</v>
      </c>
      <c r="N123" s="70" t="s">
        <v>16539</v>
      </c>
      <c r="P123" s="76">
        <v>45530.0</v>
      </c>
      <c r="U123" s="70" t="s">
        <v>239</v>
      </c>
      <c r="W123" s="70" t="s">
        <v>20980</v>
      </c>
      <c r="Z123" s="75" t="s">
        <v>20981</v>
      </c>
      <c r="AA123" s="70" t="s">
        <v>20982</v>
      </c>
      <c r="AC123" s="70">
        <v>2.0</v>
      </c>
      <c r="AE123" s="70">
        <v>135.0</v>
      </c>
      <c r="AF123" s="70" t="s">
        <v>239</v>
      </c>
      <c r="AW123" s="70" t="s">
        <v>20983</v>
      </c>
      <c r="AZ123" s="70">
        <v>868.0</v>
      </c>
    </row>
    <row r="124" ht="22.5" customHeight="1">
      <c r="A124" s="70" t="str">
        <f t="shared" si="1"/>
        <v>Included</v>
      </c>
      <c r="B124" s="70">
        <f t="shared" si="2"/>
        <v>4</v>
      </c>
      <c r="C124" s="70">
        <v>1.0</v>
      </c>
      <c r="D124" s="70">
        <v>1.0</v>
      </c>
      <c r="E124" s="70">
        <v>1.0</v>
      </c>
      <c r="F124" s="70">
        <v>1.0</v>
      </c>
      <c r="G124" s="70">
        <v>0.0</v>
      </c>
      <c r="H124" s="70" t="s">
        <v>23889</v>
      </c>
      <c r="I124" s="70">
        <v>2619.0</v>
      </c>
      <c r="J124" s="70" t="s">
        <v>23887</v>
      </c>
      <c r="K124" s="70" t="s">
        <v>23888</v>
      </c>
      <c r="W124" s="70" t="s">
        <v>29422</v>
      </c>
      <c r="AA124" s="70" t="s">
        <v>23891</v>
      </c>
      <c r="AI124" s="70" t="s">
        <v>23892</v>
      </c>
      <c r="AJ124" s="70" t="s">
        <v>23893</v>
      </c>
      <c r="AK124" s="70">
        <v>2024.0</v>
      </c>
      <c r="AL124" s="70" t="s">
        <v>16538</v>
      </c>
      <c r="AQ124" s="70">
        <v>1.0</v>
      </c>
      <c r="AR124" s="75" t="s">
        <v>23894</v>
      </c>
      <c r="AS124" s="70" t="s">
        <v>22588</v>
      </c>
      <c r="AU124" s="70" t="s">
        <v>237</v>
      </c>
      <c r="AV124" s="70" t="s">
        <v>23895</v>
      </c>
      <c r="AW124" s="70" t="s">
        <v>23896</v>
      </c>
      <c r="AX124" s="70">
        <v>0.0</v>
      </c>
      <c r="AY124" s="70" t="s">
        <v>24</v>
      </c>
      <c r="AZ124" s="70">
        <v>2291.0</v>
      </c>
    </row>
    <row r="125" ht="22.5" customHeight="1">
      <c r="A125" s="70" t="str">
        <f t="shared" si="1"/>
        <v>Included</v>
      </c>
      <c r="B125" s="70">
        <f t="shared" si="2"/>
        <v>4</v>
      </c>
      <c r="C125" s="70">
        <v>1.0</v>
      </c>
      <c r="D125" s="70">
        <v>1.0</v>
      </c>
      <c r="E125" s="70">
        <v>1.0</v>
      </c>
      <c r="F125" s="70">
        <v>0.0</v>
      </c>
      <c r="G125" s="70">
        <v>1.0</v>
      </c>
      <c r="H125" s="70" t="s">
        <v>19263</v>
      </c>
      <c r="I125" s="70">
        <v>2118.0</v>
      </c>
      <c r="J125" s="70" t="s">
        <v>19261</v>
      </c>
      <c r="K125" s="70" t="s">
        <v>19262</v>
      </c>
      <c r="L125" s="70" t="s">
        <v>16835</v>
      </c>
      <c r="N125" s="70" t="s">
        <v>16836</v>
      </c>
      <c r="P125" s="77">
        <v>44258.0</v>
      </c>
      <c r="U125" s="70" t="s">
        <v>239</v>
      </c>
      <c r="W125" s="70" t="s">
        <v>19265</v>
      </c>
      <c r="Y125" s="70" t="s">
        <v>29423</v>
      </c>
      <c r="Z125" s="75" t="s">
        <v>19267</v>
      </c>
      <c r="AA125" s="70" t="s">
        <v>19268</v>
      </c>
      <c r="AC125" s="70">
        <v>12.0</v>
      </c>
      <c r="AE125" s="70">
        <v>49.0</v>
      </c>
      <c r="AF125" s="70" t="s">
        <v>239</v>
      </c>
      <c r="AW125" s="70" t="s">
        <v>19269</v>
      </c>
      <c r="AX125" s="70">
        <v>0.0</v>
      </c>
      <c r="AY125" s="70" t="s">
        <v>22</v>
      </c>
      <c r="AZ125" s="70">
        <v>135.0</v>
      </c>
    </row>
    <row r="126" ht="22.5" customHeight="1">
      <c r="A126" s="70" t="str">
        <f t="shared" si="1"/>
        <v>Included</v>
      </c>
      <c r="B126" s="70">
        <f t="shared" si="2"/>
        <v>3</v>
      </c>
      <c r="C126" s="70">
        <v>1.0</v>
      </c>
      <c r="D126" s="70">
        <v>1.0</v>
      </c>
      <c r="E126" s="70">
        <v>1.0</v>
      </c>
      <c r="F126" s="70">
        <v>0.0</v>
      </c>
      <c r="G126" s="70">
        <v>0.0</v>
      </c>
      <c r="H126" s="70" t="s">
        <v>18065</v>
      </c>
      <c r="I126" s="70">
        <v>1984.0</v>
      </c>
      <c r="J126" s="70" t="s">
        <v>18063</v>
      </c>
      <c r="K126" s="70" t="s">
        <v>18064</v>
      </c>
      <c r="L126" s="70" t="s">
        <v>16923</v>
      </c>
      <c r="N126" s="70" t="s">
        <v>16924</v>
      </c>
      <c r="P126" s="76">
        <v>45258.0</v>
      </c>
      <c r="U126" s="70" t="s">
        <v>239</v>
      </c>
      <c r="W126" s="70" t="s">
        <v>18067</v>
      </c>
      <c r="Y126" s="70" t="s">
        <v>18068</v>
      </c>
      <c r="Z126" s="75" t="s">
        <v>18069</v>
      </c>
      <c r="AA126" s="70" t="s">
        <v>18070</v>
      </c>
      <c r="AC126" s="70">
        <v>28.0</v>
      </c>
      <c r="AE126" s="70">
        <v>153.0</v>
      </c>
      <c r="AF126" s="70" t="s">
        <v>239</v>
      </c>
      <c r="AW126" s="70" t="s">
        <v>18071</v>
      </c>
      <c r="AZ126" s="70">
        <v>1239.0</v>
      </c>
    </row>
    <row r="127" ht="22.5" customHeight="1">
      <c r="A127" s="70" t="str">
        <f t="shared" si="1"/>
        <v>Included</v>
      </c>
      <c r="B127" s="70">
        <f t="shared" si="2"/>
        <v>5</v>
      </c>
      <c r="C127" s="70">
        <v>1.0</v>
      </c>
      <c r="D127" s="70">
        <v>1.0</v>
      </c>
      <c r="E127" s="70">
        <v>1.0</v>
      </c>
      <c r="F127" s="70">
        <v>1.0</v>
      </c>
      <c r="G127" s="70">
        <v>1.0</v>
      </c>
      <c r="H127" s="70" t="s">
        <v>22227</v>
      </c>
      <c r="I127" s="70">
        <v>2452.0</v>
      </c>
      <c r="J127" s="70" t="s">
        <v>22225</v>
      </c>
      <c r="K127" s="70" t="s">
        <v>22226</v>
      </c>
      <c r="L127" s="70" t="s">
        <v>17051</v>
      </c>
      <c r="N127" s="70" t="s">
        <v>17052</v>
      </c>
      <c r="P127" s="76">
        <v>45621.0</v>
      </c>
      <c r="U127" s="70" t="s">
        <v>239</v>
      </c>
      <c r="W127" s="70" t="s">
        <v>22229</v>
      </c>
      <c r="Y127" s="70" t="s">
        <v>22230</v>
      </c>
      <c r="Z127" s="75" t="s">
        <v>22231</v>
      </c>
      <c r="AA127" s="70" t="s">
        <v>22232</v>
      </c>
      <c r="AE127" s="70">
        <v>41.0</v>
      </c>
      <c r="AF127" s="70" t="s">
        <v>16423</v>
      </c>
      <c r="AW127" s="70" t="s">
        <v>22233</v>
      </c>
      <c r="AX127" s="70">
        <v>0.0</v>
      </c>
      <c r="AY127" s="70" t="s">
        <v>22</v>
      </c>
      <c r="AZ127" s="70">
        <v>44.0</v>
      </c>
    </row>
    <row r="128" ht="22.5" customHeight="1">
      <c r="A128" s="70" t="str">
        <f t="shared" si="1"/>
        <v>Included</v>
      </c>
      <c r="B128" s="70">
        <f t="shared" si="2"/>
        <v>1</v>
      </c>
      <c r="C128" s="70">
        <v>0.0</v>
      </c>
      <c r="D128" s="70">
        <v>0.0</v>
      </c>
      <c r="E128" s="70">
        <v>0.0</v>
      </c>
      <c r="F128" s="70">
        <v>0.0</v>
      </c>
      <c r="G128" s="70">
        <v>1.0</v>
      </c>
      <c r="H128" s="70" t="s">
        <v>6785</v>
      </c>
      <c r="I128" s="70">
        <v>646.0</v>
      </c>
      <c r="J128" s="70" t="s">
        <v>6782</v>
      </c>
      <c r="K128" s="70" t="s">
        <v>6783</v>
      </c>
      <c r="L128" s="70" t="s">
        <v>6784</v>
      </c>
      <c r="P128" s="76">
        <v>43097.0</v>
      </c>
      <c r="U128" s="70" t="s">
        <v>239</v>
      </c>
      <c r="W128" s="70" t="s">
        <v>6787</v>
      </c>
      <c r="X128" s="70" t="s">
        <v>6788</v>
      </c>
      <c r="Z128" s="75" t="s">
        <v>6789</v>
      </c>
      <c r="AC128" s="70">
        <v>5.0</v>
      </c>
      <c r="AE128" s="70">
        <v>19.0</v>
      </c>
      <c r="AF128" s="70" t="s">
        <v>239</v>
      </c>
      <c r="AW128" s="70" t="s">
        <v>6790</v>
      </c>
      <c r="AX128" s="70">
        <v>0.0</v>
      </c>
      <c r="AY128" s="70" t="s">
        <v>29424</v>
      </c>
      <c r="AZ128" s="70">
        <v>81.0</v>
      </c>
    </row>
    <row r="129" ht="22.5" customHeight="1">
      <c r="A129" s="70" t="str">
        <f t="shared" si="1"/>
        <v>Included</v>
      </c>
      <c r="B129" s="70">
        <f t="shared" si="2"/>
        <v>5</v>
      </c>
      <c r="C129" s="70">
        <v>1.0</v>
      </c>
      <c r="D129" s="70">
        <v>1.0</v>
      </c>
      <c r="E129" s="70">
        <v>1.0</v>
      </c>
      <c r="F129" s="70">
        <v>1.0</v>
      </c>
      <c r="G129" s="70">
        <v>1.0</v>
      </c>
      <c r="H129" s="70" t="s">
        <v>4661</v>
      </c>
      <c r="I129" s="70">
        <v>432.0</v>
      </c>
      <c r="J129" s="70" t="s">
        <v>4657</v>
      </c>
      <c r="K129" s="70" t="s">
        <v>4658</v>
      </c>
      <c r="L129" s="70" t="s">
        <v>4659</v>
      </c>
      <c r="N129" s="70" t="s">
        <v>4660</v>
      </c>
      <c r="P129" s="77">
        <v>43412.0</v>
      </c>
      <c r="U129" s="70" t="s">
        <v>239</v>
      </c>
      <c r="W129" s="70" t="s">
        <v>4663</v>
      </c>
      <c r="X129" s="70" t="s">
        <v>4664</v>
      </c>
      <c r="Z129" s="75" t="s">
        <v>4665</v>
      </c>
      <c r="AA129" s="70" t="s">
        <v>4666</v>
      </c>
      <c r="AC129" s="70">
        <v>72.0</v>
      </c>
      <c r="AE129" s="70">
        <v>61.0</v>
      </c>
      <c r="AF129" s="70" t="s">
        <v>239</v>
      </c>
      <c r="AW129" s="70" t="s">
        <v>4667</v>
      </c>
      <c r="AX129" s="70">
        <v>0.0</v>
      </c>
      <c r="AY129" s="70" t="s">
        <v>22</v>
      </c>
      <c r="AZ129" s="70">
        <v>101.0</v>
      </c>
    </row>
    <row r="130" ht="22.5" customHeight="1">
      <c r="A130" s="70" t="str">
        <f t="shared" si="1"/>
        <v>Included</v>
      </c>
      <c r="B130" s="70">
        <f t="shared" si="2"/>
        <v>3</v>
      </c>
      <c r="C130" s="70">
        <v>1.0</v>
      </c>
      <c r="D130" s="70">
        <v>1.0</v>
      </c>
      <c r="E130" s="70">
        <v>1.0</v>
      </c>
      <c r="F130" s="70">
        <v>0.0</v>
      </c>
      <c r="G130" s="70">
        <v>0.0</v>
      </c>
      <c r="H130" s="70" t="s">
        <v>6279</v>
      </c>
      <c r="I130" s="70">
        <v>595.0</v>
      </c>
      <c r="J130" s="70" t="s">
        <v>6277</v>
      </c>
      <c r="K130" s="70" t="s">
        <v>6278</v>
      </c>
      <c r="L130" s="70" t="s">
        <v>4690</v>
      </c>
      <c r="P130" s="76">
        <v>44146.0</v>
      </c>
      <c r="U130" s="70" t="s">
        <v>239</v>
      </c>
      <c r="W130" s="70" t="s">
        <v>29425</v>
      </c>
      <c r="X130" s="70" t="s">
        <v>4694</v>
      </c>
      <c r="Z130" s="75" t="s">
        <v>6282</v>
      </c>
      <c r="AA130" s="70" t="s">
        <v>6283</v>
      </c>
      <c r="AC130" s="70">
        <v>7.0</v>
      </c>
      <c r="AE130" s="70">
        <v>101.0</v>
      </c>
      <c r="AF130" s="70" t="s">
        <v>239</v>
      </c>
      <c r="AW130" s="70" t="s">
        <v>6284</v>
      </c>
      <c r="AZ130" s="70">
        <v>225.0</v>
      </c>
    </row>
    <row r="131" ht="22.5" customHeight="1">
      <c r="A131" s="70" t="str">
        <f t="shared" si="1"/>
        <v>Included</v>
      </c>
      <c r="B131" s="70">
        <f t="shared" si="2"/>
        <v>5</v>
      </c>
      <c r="C131" s="70">
        <v>1.0</v>
      </c>
      <c r="D131" s="70">
        <v>1.0</v>
      </c>
      <c r="E131" s="70">
        <v>1.0</v>
      </c>
      <c r="F131" s="70">
        <v>1.0</v>
      </c>
      <c r="G131" s="70">
        <v>1.0</v>
      </c>
      <c r="H131" s="70" t="s">
        <v>551</v>
      </c>
      <c r="I131" s="70">
        <v>15.0</v>
      </c>
      <c r="J131" s="70" t="s">
        <v>547</v>
      </c>
      <c r="K131" s="70" t="s">
        <v>548</v>
      </c>
      <c r="L131" s="70" t="s">
        <v>549</v>
      </c>
      <c r="M131" s="70" t="s">
        <v>550</v>
      </c>
      <c r="O131" s="75" t="s">
        <v>552</v>
      </c>
      <c r="P131" s="70">
        <v>2023.0</v>
      </c>
      <c r="Q131" s="70" t="s">
        <v>554</v>
      </c>
      <c r="U131" s="70" t="s">
        <v>555</v>
      </c>
      <c r="V131" s="70" t="s">
        <v>556</v>
      </c>
      <c r="W131" s="70" t="s">
        <v>29426</v>
      </c>
      <c r="AW131" s="70" t="s">
        <v>558</v>
      </c>
      <c r="AX131" s="70">
        <v>0.0</v>
      </c>
      <c r="AY131" s="70" t="s">
        <v>22</v>
      </c>
      <c r="AZ131" s="70">
        <v>87.0</v>
      </c>
    </row>
    <row r="132" ht="22.5" customHeight="1">
      <c r="A132" s="70" t="str">
        <f t="shared" si="1"/>
        <v>Included</v>
      </c>
      <c r="B132" s="70">
        <f t="shared" si="2"/>
        <v>3</v>
      </c>
      <c r="C132" s="70">
        <v>1.0</v>
      </c>
      <c r="D132" s="70">
        <v>1.0</v>
      </c>
      <c r="E132" s="70">
        <v>1.0</v>
      </c>
      <c r="F132" s="70">
        <v>0.0</v>
      </c>
      <c r="G132" s="70">
        <v>0.0</v>
      </c>
      <c r="H132" s="70" t="s">
        <v>1182</v>
      </c>
      <c r="I132" s="70">
        <v>73.0</v>
      </c>
      <c r="J132" s="70" t="s">
        <v>1180</v>
      </c>
      <c r="K132" s="70" t="s">
        <v>1181</v>
      </c>
      <c r="L132" s="70" t="s">
        <v>549</v>
      </c>
      <c r="M132" s="70" t="s">
        <v>550</v>
      </c>
      <c r="O132" s="75" t="s">
        <v>1183</v>
      </c>
      <c r="P132" s="70">
        <v>2023.0</v>
      </c>
      <c r="Q132" s="70" t="s">
        <v>554</v>
      </c>
      <c r="U132" s="70" t="s">
        <v>555</v>
      </c>
      <c r="V132" s="70" t="s">
        <v>556</v>
      </c>
      <c r="W132" s="70" t="s">
        <v>29427</v>
      </c>
      <c r="AX132" s="70">
        <v>0.0</v>
      </c>
      <c r="AY132" s="70" t="s">
        <v>24</v>
      </c>
      <c r="AZ132" s="70">
        <v>2321.0</v>
      </c>
    </row>
    <row r="133" ht="22.5" customHeight="1">
      <c r="A133" s="70" t="str">
        <f t="shared" si="1"/>
        <v>Included</v>
      </c>
      <c r="B133" s="70">
        <f t="shared" si="2"/>
        <v>4</v>
      </c>
      <c r="C133" s="70">
        <v>1.0</v>
      </c>
      <c r="D133" s="70">
        <v>1.0</v>
      </c>
      <c r="E133" s="70">
        <v>1.0</v>
      </c>
      <c r="F133" s="70">
        <v>0.0</v>
      </c>
      <c r="G133" s="70">
        <v>1.0</v>
      </c>
      <c r="H133" s="70" t="s">
        <v>919</v>
      </c>
      <c r="I133" s="70">
        <v>48.0</v>
      </c>
      <c r="J133" s="70" t="s">
        <v>917</v>
      </c>
      <c r="K133" s="70" t="s">
        <v>918</v>
      </c>
      <c r="L133" s="70" t="s">
        <v>549</v>
      </c>
      <c r="M133" s="70" t="s">
        <v>550</v>
      </c>
      <c r="O133" s="75" t="s">
        <v>920</v>
      </c>
      <c r="P133" s="70">
        <v>2023.0</v>
      </c>
      <c r="Q133" s="70" t="s">
        <v>554</v>
      </c>
      <c r="U133" s="70" t="s">
        <v>555</v>
      </c>
      <c r="V133" s="70" t="s">
        <v>556</v>
      </c>
      <c r="W133" s="70" t="s">
        <v>29428</v>
      </c>
      <c r="AX133" s="70">
        <v>0.0</v>
      </c>
      <c r="AY133" s="70" t="s">
        <v>22</v>
      </c>
      <c r="AZ133" s="70">
        <v>121.0</v>
      </c>
    </row>
    <row r="134" ht="22.5" customHeight="1">
      <c r="A134" s="70" t="str">
        <f t="shared" si="1"/>
        <v>Included</v>
      </c>
      <c r="B134" s="70">
        <f t="shared" si="2"/>
        <v>4</v>
      </c>
      <c r="C134" s="70">
        <v>1.0</v>
      </c>
      <c r="D134" s="70">
        <v>1.0</v>
      </c>
      <c r="E134" s="70">
        <v>1.0</v>
      </c>
      <c r="F134" s="70">
        <v>1.0</v>
      </c>
      <c r="G134" s="70">
        <v>0.0</v>
      </c>
      <c r="H134" s="70" t="s">
        <v>13872</v>
      </c>
      <c r="I134" s="70">
        <v>1444.0</v>
      </c>
      <c r="J134" s="70" t="s">
        <v>29429</v>
      </c>
      <c r="K134" s="70" t="s">
        <v>13871</v>
      </c>
      <c r="L134" s="70" t="s">
        <v>13201</v>
      </c>
      <c r="N134" s="70" t="s">
        <v>13202</v>
      </c>
      <c r="P134" s="77">
        <v>45629.0</v>
      </c>
      <c r="U134" s="70" t="s">
        <v>239</v>
      </c>
      <c r="W134" s="70" t="s">
        <v>13874</v>
      </c>
      <c r="X134" s="70" t="s">
        <v>13206</v>
      </c>
      <c r="Y134" s="70" t="s">
        <v>13875</v>
      </c>
      <c r="Z134" s="75" t="s">
        <v>13876</v>
      </c>
      <c r="AA134" s="70" t="s">
        <v>13877</v>
      </c>
      <c r="AE134" s="70">
        <v>91.0</v>
      </c>
      <c r="AF134" s="70" t="s">
        <v>239</v>
      </c>
      <c r="AW134" s="70" t="s">
        <v>13878</v>
      </c>
      <c r="AX134" s="70">
        <v>0.0</v>
      </c>
      <c r="AY134" s="70" t="s">
        <v>24</v>
      </c>
      <c r="AZ134" s="70">
        <v>2170.0</v>
      </c>
    </row>
    <row r="135" ht="22.5" customHeight="1">
      <c r="A135" s="70" t="str">
        <f t="shared" si="1"/>
        <v>Included</v>
      </c>
      <c r="B135" s="70">
        <f t="shared" si="2"/>
        <v>4</v>
      </c>
      <c r="C135" s="70">
        <v>1.0</v>
      </c>
      <c r="D135" s="70">
        <v>1.0</v>
      </c>
      <c r="E135" s="70">
        <v>1.0</v>
      </c>
      <c r="F135" s="70">
        <v>1.0</v>
      </c>
      <c r="G135" s="70">
        <v>0.0</v>
      </c>
      <c r="H135" s="70" t="s">
        <v>9970</v>
      </c>
      <c r="I135" s="70">
        <v>977.0</v>
      </c>
      <c r="J135" s="70" t="s">
        <v>9967</v>
      </c>
      <c r="K135" s="70" t="s">
        <v>9968</v>
      </c>
      <c r="L135" s="70" t="s">
        <v>9969</v>
      </c>
      <c r="P135" s="77">
        <v>43468.0</v>
      </c>
      <c r="U135" s="70" t="s">
        <v>239</v>
      </c>
      <c r="W135" s="70" t="s">
        <v>29430</v>
      </c>
      <c r="X135" s="70" t="s">
        <v>9973</v>
      </c>
      <c r="Z135" s="75" t="s">
        <v>9974</v>
      </c>
      <c r="AE135" s="70">
        <v>13.0</v>
      </c>
      <c r="AF135" s="70" t="s">
        <v>239</v>
      </c>
      <c r="AW135" s="70" t="s">
        <v>9975</v>
      </c>
      <c r="AX135" s="70">
        <v>0.0</v>
      </c>
      <c r="AY135" s="70" t="s">
        <v>24</v>
      </c>
      <c r="AZ135" s="70">
        <v>2141.0</v>
      </c>
    </row>
    <row r="136" ht="22.5" customHeight="1">
      <c r="A136" s="70" t="str">
        <f t="shared" si="1"/>
        <v>Included</v>
      </c>
      <c r="B136" s="70">
        <f t="shared" si="2"/>
        <v>5</v>
      </c>
      <c r="C136" s="70">
        <v>1.0</v>
      </c>
      <c r="D136" s="70">
        <v>1.0</v>
      </c>
      <c r="E136" s="70">
        <v>1.0</v>
      </c>
      <c r="F136" s="70">
        <v>1.0</v>
      </c>
      <c r="G136" s="70">
        <v>1.0</v>
      </c>
      <c r="H136" s="70" t="s">
        <v>11233</v>
      </c>
      <c r="I136" s="70">
        <v>1178.0</v>
      </c>
      <c r="J136" s="70" t="s">
        <v>11230</v>
      </c>
      <c r="K136" s="70" t="s">
        <v>11231</v>
      </c>
      <c r="L136" s="70" t="s">
        <v>11232</v>
      </c>
      <c r="N136" s="70" t="s">
        <v>6872</v>
      </c>
      <c r="P136" s="76">
        <v>45120.0</v>
      </c>
      <c r="U136" s="70" t="s">
        <v>239</v>
      </c>
      <c r="W136" s="70" t="s">
        <v>11235</v>
      </c>
      <c r="X136" s="70" t="s">
        <v>11236</v>
      </c>
      <c r="Y136" s="70" t="s">
        <v>29431</v>
      </c>
      <c r="Z136" s="75" t="s">
        <v>11238</v>
      </c>
      <c r="AA136" s="70" t="s">
        <v>11239</v>
      </c>
      <c r="AC136" s="70">
        <v>5.0</v>
      </c>
      <c r="AE136" s="70">
        <v>16.0</v>
      </c>
      <c r="AF136" s="70" t="s">
        <v>239</v>
      </c>
      <c r="AW136" s="70" t="s">
        <v>11240</v>
      </c>
      <c r="AX136" s="70">
        <v>0.0</v>
      </c>
      <c r="AY136" s="70" t="s">
        <v>22</v>
      </c>
      <c r="AZ136" s="70">
        <v>118.0</v>
      </c>
    </row>
    <row r="137" ht="22.5" customHeight="1">
      <c r="A137" s="70" t="str">
        <f t="shared" si="1"/>
        <v>Included</v>
      </c>
      <c r="B137" s="70">
        <f t="shared" si="2"/>
        <v>4</v>
      </c>
      <c r="C137" s="70">
        <v>1.0</v>
      </c>
      <c r="D137" s="70">
        <v>1.0</v>
      </c>
      <c r="E137" s="70">
        <v>1.0</v>
      </c>
      <c r="F137" s="70">
        <v>1.0</v>
      </c>
      <c r="G137" s="70">
        <v>0.0</v>
      </c>
      <c r="H137" s="70" t="s">
        <v>7390</v>
      </c>
      <c r="I137" s="70">
        <v>709.0</v>
      </c>
      <c r="J137" s="70" t="s">
        <v>7387</v>
      </c>
      <c r="K137" s="70" t="s">
        <v>7388</v>
      </c>
      <c r="L137" s="70" t="s">
        <v>7389</v>
      </c>
      <c r="P137" s="76">
        <v>44146.0</v>
      </c>
      <c r="U137" s="70" t="s">
        <v>239</v>
      </c>
      <c r="W137" s="70" t="s">
        <v>7392</v>
      </c>
      <c r="X137" s="70" t="s">
        <v>7393</v>
      </c>
      <c r="Z137" s="75" t="s">
        <v>7394</v>
      </c>
      <c r="AA137" s="70" t="s">
        <v>7395</v>
      </c>
      <c r="AC137" s="70">
        <v>3.0</v>
      </c>
      <c r="AE137" s="70">
        <v>25.0</v>
      </c>
      <c r="AF137" s="70" t="s">
        <v>239</v>
      </c>
      <c r="AW137" s="70" t="s">
        <v>7396</v>
      </c>
      <c r="AX137" s="70">
        <v>0.0</v>
      </c>
      <c r="AY137" s="70" t="s">
        <v>24</v>
      </c>
      <c r="AZ137" s="70">
        <v>2739.0</v>
      </c>
    </row>
    <row r="138" ht="22.5" customHeight="1">
      <c r="A138" s="70" t="str">
        <f t="shared" si="1"/>
        <v>Included</v>
      </c>
      <c r="B138" s="70">
        <f t="shared" si="2"/>
        <v>3</v>
      </c>
      <c r="C138" s="70">
        <v>1.0</v>
      </c>
      <c r="D138" s="70">
        <v>1.0</v>
      </c>
      <c r="E138" s="70">
        <v>1.0</v>
      </c>
      <c r="F138" s="70">
        <v>0.0</v>
      </c>
      <c r="G138" s="70">
        <v>0.0</v>
      </c>
      <c r="H138" s="70" t="s">
        <v>9265</v>
      </c>
      <c r="I138" s="70">
        <v>903.0</v>
      </c>
      <c r="J138" s="70" t="s">
        <v>9261</v>
      </c>
      <c r="K138" s="70" t="s">
        <v>9262</v>
      </c>
      <c r="L138" s="70" t="s">
        <v>9263</v>
      </c>
      <c r="N138" s="70" t="s">
        <v>9264</v>
      </c>
      <c r="P138" s="76">
        <v>44406.0</v>
      </c>
      <c r="U138" s="70" t="s">
        <v>239</v>
      </c>
      <c r="W138" s="70" t="s">
        <v>9267</v>
      </c>
      <c r="X138" s="70" t="s">
        <v>9268</v>
      </c>
      <c r="Z138" s="75" t="s">
        <v>9269</v>
      </c>
      <c r="AA138" s="70" t="s">
        <v>9270</v>
      </c>
      <c r="AC138" s="70">
        <v>1.0</v>
      </c>
      <c r="AE138" s="70">
        <v>10.0</v>
      </c>
      <c r="AF138" s="70" t="s">
        <v>239</v>
      </c>
      <c r="AW138" s="70" t="s">
        <v>9271</v>
      </c>
      <c r="AX138" s="70">
        <v>0.0</v>
      </c>
      <c r="AY138" s="70" t="s">
        <v>24</v>
      </c>
      <c r="AZ138" s="70">
        <v>2483.0</v>
      </c>
    </row>
    <row r="139" ht="22.5" customHeight="1">
      <c r="A139" s="70" t="str">
        <f t="shared" si="1"/>
        <v>Included</v>
      </c>
      <c r="B139" s="70">
        <f t="shared" si="2"/>
        <v>1</v>
      </c>
      <c r="C139" s="70">
        <v>0.0</v>
      </c>
      <c r="D139" s="70">
        <v>0.0</v>
      </c>
      <c r="E139" s="70">
        <v>0.0</v>
      </c>
      <c r="F139" s="70">
        <v>0.0</v>
      </c>
      <c r="G139" s="70">
        <v>1.0</v>
      </c>
      <c r="H139" s="70" t="s">
        <v>7658</v>
      </c>
      <c r="I139" s="70">
        <v>736.0</v>
      </c>
      <c r="J139" s="70" t="s">
        <v>7656</v>
      </c>
      <c r="K139" s="70" t="s">
        <v>7657</v>
      </c>
      <c r="L139" s="70" t="s">
        <v>6418</v>
      </c>
      <c r="N139" s="70" t="s">
        <v>5392</v>
      </c>
      <c r="P139" s="76">
        <v>44515.0</v>
      </c>
      <c r="U139" s="70" t="s">
        <v>239</v>
      </c>
      <c r="W139" s="70" t="s">
        <v>7660</v>
      </c>
      <c r="X139" s="70" t="s">
        <v>6422</v>
      </c>
      <c r="Z139" s="75" t="s">
        <v>7661</v>
      </c>
      <c r="AA139" s="70" t="s">
        <v>7662</v>
      </c>
      <c r="AC139" s="70">
        <v>3.0</v>
      </c>
      <c r="AE139" s="70">
        <v>19.0</v>
      </c>
      <c r="AF139" s="70" t="s">
        <v>239</v>
      </c>
      <c r="AW139" s="70" t="s">
        <v>7663</v>
      </c>
      <c r="AX139" s="70">
        <v>0.0</v>
      </c>
      <c r="AY139" s="70" t="s">
        <v>29432</v>
      </c>
      <c r="AZ139" s="70">
        <v>82.0</v>
      </c>
    </row>
    <row r="140" ht="22.5" customHeight="1">
      <c r="A140" s="70" t="str">
        <f t="shared" si="1"/>
        <v>Included</v>
      </c>
      <c r="B140" s="70">
        <f t="shared" si="2"/>
        <v>5</v>
      </c>
      <c r="C140" s="70">
        <v>1.0</v>
      </c>
      <c r="D140" s="70">
        <v>1.0</v>
      </c>
      <c r="E140" s="70">
        <v>1.0</v>
      </c>
      <c r="F140" s="70">
        <v>1.0</v>
      </c>
      <c r="G140" s="70">
        <v>1.0</v>
      </c>
      <c r="H140" s="70" t="s">
        <v>15105</v>
      </c>
      <c r="I140" s="70">
        <v>1575.0</v>
      </c>
      <c r="J140" s="70" t="s">
        <v>15102</v>
      </c>
      <c r="K140" s="70" t="s">
        <v>15103</v>
      </c>
      <c r="L140" s="70" t="s">
        <v>15104</v>
      </c>
      <c r="P140" s="76">
        <v>45706.0</v>
      </c>
      <c r="U140" s="70" t="s">
        <v>239</v>
      </c>
      <c r="W140" s="70" t="s">
        <v>15107</v>
      </c>
      <c r="X140" s="70" t="s">
        <v>15108</v>
      </c>
      <c r="Z140" s="75" t="s">
        <v>15109</v>
      </c>
      <c r="AA140" s="70" t="s">
        <v>15110</v>
      </c>
      <c r="AE140" s="70">
        <v>14.0</v>
      </c>
      <c r="AF140" s="70" t="s">
        <v>239</v>
      </c>
      <c r="AW140" s="70" t="s">
        <v>15111</v>
      </c>
      <c r="AX140" s="70">
        <v>0.0</v>
      </c>
      <c r="AY140" s="70" t="s">
        <v>22</v>
      </c>
      <c r="AZ140" s="70">
        <v>60.0</v>
      </c>
    </row>
    <row r="141" ht="22.5" customHeight="1">
      <c r="A141" s="70" t="str">
        <f t="shared" si="1"/>
        <v>Included</v>
      </c>
      <c r="B141" s="70">
        <f t="shared" si="2"/>
        <v>5</v>
      </c>
      <c r="C141" s="70">
        <v>1.0</v>
      </c>
      <c r="D141" s="70">
        <v>1.0</v>
      </c>
      <c r="E141" s="70">
        <v>1.0</v>
      </c>
      <c r="F141" s="70">
        <v>1.0</v>
      </c>
      <c r="G141" s="70">
        <v>1.0</v>
      </c>
      <c r="H141" s="70" t="s">
        <v>7428</v>
      </c>
      <c r="I141" s="70">
        <v>713.0</v>
      </c>
      <c r="J141" s="70" t="s">
        <v>7425</v>
      </c>
      <c r="K141" s="70" t="s">
        <v>7426</v>
      </c>
      <c r="L141" s="70" t="s">
        <v>7427</v>
      </c>
      <c r="P141" s="76">
        <v>44182.0</v>
      </c>
      <c r="U141" s="70" t="s">
        <v>239</v>
      </c>
      <c r="W141" s="70" t="s">
        <v>7430</v>
      </c>
      <c r="X141" s="70" t="s">
        <v>7431</v>
      </c>
      <c r="Z141" s="75" t="s">
        <v>7432</v>
      </c>
      <c r="AA141" s="70" t="s">
        <v>7433</v>
      </c>
      <c r="AC141" s="70">
        <v>3.0</v>
      </c>
      <c r="AE141" s="70">
        <v>22.0</v>
      </c>
      <c r="AF141" s="70" t="s">
        <v>239</v>
      </c>
      <c r="AW141" s="70" t="s">
        <v>7434</v>
      </c>
      <c r="AX141" s="70">
        <v>0.0</v>
      </c>
      <c r="AY141" s="70" t="s">
        <v>22</v>
      </c>
      <c r="AZ141" s="70">
        <v>54.0</v>
      </c>
    </row>
    <row r="142" ht="22.5" customHeight="1">
      <c r="A142" s="70" t="str">
        <f t="shared" si="1"/>
        <v>Included</v>
      </c>
      <c r="B142" s="70">
        <f t="shared" si="2"/>
        <v>5</v>
      </c>
      <c r="C142" s="70">
        <v>1.0</v>
      </c>
      <c r="D142" s="70">
        <v>1.0</v>
      </c>
      <c r="E142" s="70">
        <v>1.0</v>
      </c>
      <c r="F142" s="70">
        <v>1.0</v>
      </c>
      <c r="G142" s="70">
        <v>1.0</v>
      </c>
      <c r="H142" s="70" t="s">
        <v>22753</v>
      </c>
      <c r="I142" s="70">
        <v>2511.0</v>
      </c>
      <c r="J142" s="70" t="s">
        <v>22751</v>
      </c>
      <c r="K142" s="70" t="s">
        <v>22752</v>
      </c>
      <c r="W142" s="70" t="s">
        <v>29433</v>
      </c>
      <c r="AA142" s="70" t="s">
        <v>22755</v>
      </c>
      <c r="AI142" s="70" t="s">
        <v>22756</v>
      </c>
      <c r="AJ142" s="70" t="s">
        <v>22757</v>
      </c>
      <c r="AK142" s="70">
        <v>2025.0</v>
      </c>
      <c r="AL142" s="70" t="s">
        <v>17228</v>
      </c>
      <c r="AQ142" s="70">
        <v>0.0</v>
      </c>
      <c r="AR142" s="75" t="s">
        <v>22758</v>
      </c>
      <c r="AS142" s="70" t="s">
        <v>22588</v>
      </c>
      <c r="AU142" s="70" t="s">
        <v>237</v>
      </c>
      <c r="AV142" s="70" t="s">
        <v>22759</v>
      </c>
      <c r="AW142" s="70" t="s">
        <v>22760</v>
      </c>
      <c r="AX142" s="70">
        <v>0.0</v>
      </c>
      <c r="AY142" s="70" t="s">
        <v>22</v>
      </c>
      <c r="AZ142" s="70">
        <v>20.0</v>
      </c>
    </row>
    <row r="143" ht="22.5" customHeight="1">
      <c r="A143" s="70" t="str">
        <f t="shared" si="1"/>
        <v>Included</v>
      </c>
      <c r="B143" s="70">
        <f t="shared" si="2"/>
        <v>5</v>
      </c>
      <c r="C143" s="70">
        <v>1.0</v>
      </c>
      <c r="D143" s="70">
        <v>1.0</v>
      </c>
      <c r="E143" s="70">
        <v>1.0</v>
      </c>
      <c r="F143" s="70">
        <v>1.0</v>
      </c>
      <c r="G143" s="70">
        <v>1.0</v>
      </c>
      <c r="H143" s="70" t="s">
        <v>5878</v>
      </c>
      <c r="I143" s="70">
        <v>554.0</v>
      </c>
      <c r="J143" s="70" t="s">
        <v>5875</v>
      </c>
      <c r="K143" s="70" t="s">
        <v>5876</v>
      </c>
      <c r="L143" s="70" t="s">
        <v>5877</v>
      </c>
      <c r="P143" s="79">
        <v>43958.0</v>
      </c>
      <c r="U143" s="70" t="s">
        <v>239</v>
      </c>
      <c r="W143" s="70" t="s">
        <v>5880</v>
      </c>
      <c r="X143" s="70" t="s">
        <v>5881</v>
      </c>
      <c r="Z143" s="75" t="s">
        <v>5882</v>
      </c>
      <c r="AA143" s="70" t="s">
        <v>29434</v>
      </c>
      <c r="AC143" s="70">
        <v>9.0</v>
      </c>
      <c r="AE143" s="70">
        <v>12.0</v>
      </c>
      <c r="AF143" s="70" t="s">
        <v>239</v>
      </c>
      <c r="AX143" s="70">
        <v>0.0</v>
      </c>
      <c r="AY143" s="70" t="s">
        <v>22</v>
      </c>
      <c r="AZ143" s="70">
        <v>141.0</v>
      </c>
    </row>
    <row r="144" ht="22.5" customHeight="1">
      <c r="A144" s="70" t="str">
        <f t="shared" si="1"/>
        <v>Included</v>
      </c>
      <c r="B144" s="70">
        <f t="shared" si="2"/>
        <v>5</v>
      </c>
      <c r="C144" s="70">
        <v>1.0</v>
      </c>
      <c r="D144" s="70">
        <v>1.0</v>
      </c>
      <c r="E144" s="70">
        <v>1.0</v>
      </c>
      <c r="F144" s="70">
        <v>1.0</v>
      </c>
      <c r="G144" s="70">
        <v>1.0</v>
      </c>
      <c r="H144" s="70" t="s">
        <v>14244</v>
      </c>
      <c r="I144" s="70">
        <v>1485.0</v>
      </c>
      <c r="J144" s="70" t="s">
        <v>14241</v>
      </c>
      <c r="K144" s="70" t="s">
        <v>14242</v>
      </c>
      <c r="L144" s="70" t="s">
        <v>14243</v>
      </c>
      <c r="N144" s="70" t="s">
        <v>9428</v>
      </c>
      <c r="P144" s="77">
        <v>45721.0</v>
      </c>
      <c r="U144" s="70" t="s">
        <v>239</v>
      </c>
      <c r="W144" s="70" t="s">
        <v>14246</v>
      </c>
      <c r="X144" s="70" t="s">
        <v>14247</v>
      </c>
      <c r="Z144" s="75" t="s">
        <v>14248</v>
      </c>
      <c r="AA144" s="70" t="s">
        <v>14249</v>
      </c>
      <c r="AE144" s="70">
        <v>10.0</v>
      </c>
      <c r="AF144" s="70" t="s">
        <v>239</v>
      </c>
      <c r="AW144" s="70" t="s">
        <v>14250</v>
      </c>
      <c r="AX144" s="70">
        <v>0.0</v>
      </c>
      <c r="AY144" s="70" t="s">
        <v>29435</v>
      </c>
      <c r="AZ144" s="70">
        <v>123.0</v>
      </c>
    </row>
    <row r="145" ht="22.5" customHeight="1">
      <c r="A145" s="70" t="str">
        <f t="shared" si="1"/>
        <v>Included</v>
      </c>
      <c r="B145" s="70">
        <f t="shared" si="2"/>
        <v>4</v>
      </c>
      <c r="C145" s="70">
        <v>1.0</v>
      </c>
      <c r="D145" s="70">
        <v>1.0</v>
      </c>
      <c r="E145" s="70">
        <v>1.0</v>
      </c>
      <c r="F145" s="70">
        <v>1.0</v>
      </c>
      <c r="G145" s="70">
        <v>0.0</v>
      </c>
      <c r="H145" s="70" t="s">
        <v>9053</v>
      </c>
      <c r="I145" s="70">
        <v>881.0</v>
      </c>
      <c r="J145" s="70" t="s">
        <v>9050</v>
      </c>
      <c r="K145" s="70" t="s">
        <v>9051</v>
      </c>
      <c r="L145" s="70" t="s">
        <v>9052</v>
      </c>
      <c r="P145" s="76">
        <v>44558.0</v>
      </c>
      <c r="U145" s="70" t="s">
        <v>239</v>
      </c>
      <c r="W145" s="70" t="s">
        <v>9055</v>
      </c>
      <c r="X145" s="70" t="s">
        <v>9056</v>
      </c>
      <c r="Z145" s="75" t="s">
        <v>9057</v>
      </c>
      <c r="AA145" s="70" t="s">
        <v>9058</v>
      </c>
      <c r="AC145" s="70">
        <v>1.0</v>
      </c>
      <c r="AE145" s="70">
        <v>24.0</v>
      </c>
      <c r="AF145" s="70" t="s">
        <v>239</v>
      </c>
      <c r="AW145" s="70" t="s">
        <v>9059</v>
      </c>
      <c r="AX145" s="70">
        <v>0.0</v>
      </c>
      <c r="AY145" s="70" t="s">
        <v>24</v>
      </c>
      <c r="AZ145" s="70">
        <v>2347.0</v>
      </c>
    </row>
    <row r="146" ht="22.5" customHeight="1">
      <c r="A146" s="70" t="str">
        <f t="shared" si="1"/>
        <v>Included</v>
      </c>
      <c r="B146" s="70">
        <f t="shared" si="2"/>
        <v>5</v>
      </c>
      <c r="C146" s="70">
        <v>1.0</v>
      </c>
      <c r="D146" s="70">
        <v>1.0</v>
      </c>
      <c r="E146" s="70">
        <v>1.0</v>
      </c>
      <c r="F146" s="70">
        <v>1.0</v>
      </c>
      <c r="G146" s="70">
        <v>1.0</v>
      </c>
      <c r="H146" s="70" t="s">
        <v>22281</v>
      </c>
      <c r="I146" s="70">
        <v>2458.0</v>
      </c>
      <c r="J146" s="70" t="s">
        <v>22279</v>
      </c>
      <c r="K146" s="70" t="s">
        <v>22280</v>
      </c>
      <c r="L146" s="70" t="s">
        <v>17040</v>
      </c>
      <c r="N146" s="70" t="s">
        <v>17041</v>
      </c>
      <c r="P146" s="77">
        <v>45474.0</v>
      </c>
      <c r="U146" s="70" t="s">
        <v>239</v>
      </c>
      <c r="W146" s="70" t="s">
        <v>29436</v>
      </c>
      <c r="Y146" s="70" t="s">
        <v>29437</v>
      </c>
      <c r="Z146" s="75" t="s">
        <v>22285</v>
      </c>
      <c r="AA146" s="70" t="s">
        <v>22286</v>
      </c>
      <c r="AE146" s="70">
        <v>42.0</v>
      </c>
      <c r="AF146" s="70" t="s">
        <v>239</v>
      </c>
      <c r="AW146" s="70" t="s">
        <v>22287</v>
      </c>
      <c r="AX146" s="70">
        <v>0.0</v>
      </c>
      <c r="AY146" s="70" t="s">
        <v>22</v>
      </c>
      <c r="AZ146" s="70">
        <v>31.0</v>
      </c>
    </row>
    <row r="147" ht="22.5" customHeight="1">
      <c r="A147" s="70" t="str">
        <f t="shared" si="1"/>
        <v>Included</v>
      </c>
      <c r="B147" s="70">
        <f t="shared" si="2"/>
        <v>5</v>
      </c>
      <c r="C147" s="70">
        <v>1.0</v>
      </c>
      <c r="D147" s="70">
        <v>1.0</v>
      </c>
      <c r="E147" s="70">
        <v>1.0</v>
      </c>
      <c r="F147" s="70">
        <v>1.0</v>
      </c>
      <c r="G147" s="70">
        <v>1.0</v>
      </c>
      <c r="H147" s="70" t="s">
        <v>18515</v>
      </c>
      <c r="I147" s="70">
        <v>2034.0</v>
      </c>
      <c r="J147" s="70" t="s">
        <v>18513</v>
      </c>
      <c r="K147" s="70" t="s">
        <v>18514</v>
      </c>
      <c r="L147" s="70" t="s">
        <v>17654</v>
      </c>
      <c r="N147" s="70" t="s">
        <v>17655</v>
      </c>
      <c r="P147" s="76">
        <v>44466.0</v>
      </c>
      <c r="U147" s="70" t="s">
        <v>239</v>
      </c>
      <c r="W147" s="70" t="s">
        <v>29438</v>
      </c>
      <c r="Z147" s="75" t="s">
        <v>18518</v>
      </c>
      <c r="AA147" s="70" t="s">
        <v>18519</v>
      </c>
      <c r="AC147" s="70">
        <v>20.0</v>
      </c>
      <c r="AE147" s="70">
        <v>28.0</v>
      </c>
      <c r="AF147" s="70" t="s">
        <v>239</v>
      </c>
      <c r="AW147" s="70" t="s">
        <v>18520</v>
      </c>
      <c r="AX147" s="70">
        <v>0.0</v>
      </c>
      <c r="AY147" s="70" t="s">
        <v>22</v>
      </c>
      <c r="AZ147" s="70">
        <v>72.0</v>
      </c>
    </row>
    <row r="148" ht="22.5" customHeight="1">
      <c r="A148" s="70" t="str">
        <f t="shared" si="1"/>
        <v>Included</v>
      </c>
      <c r="B148" s="70">
        <f t="shared" si="2"/>
        <v>5</v>
      </c>
      <c r="C148" s="70">
        <v>1.0</v>
      </c>
      <c r="D148" s="70">
        <v>1.0</v>
      </c>
      <c r="E148" s="70">
        <v>1.0</v>
      </c>
      <c r="F148" s="70">
        <v>1.0</v>
      </c>
      <c r="G148" s="70">
        <v>1.0</v>
      </c>
      <c r="H148" s="70" t="s">
        <v>17734</v>
      </c>
      <c r="I148" s="70">
        <v>1947.0</v>
      </c>
      <c r="J148" s="70" t="s">
        <v>17732</v>
      </c>
      <c r="K148" s="70" t="s">
        <v>17733</v>
      </c>
      <c r="L148" s="70" t="s">
        <v>17654</v>
      </c>
      <c r="N148" s="70" t="s">
        <v>17655</v>
      </c>
      <c r="P148" s="78">
        <v>45063.0</v>
      </c>
      <c r="U148" s="70" t="s">
        <v>239</v>
      </c>
      <c r="W148" s="70" t="s">
        <v>29439</v>
      </c>
      <c r="Y148" s="70" t="s">
        <v>17737</v>
      </c>
      <c r="Z148" s="75" t="s">
        <v>17738</v>
      </c>
      <c r="AA148" s="70" t="s">
        <v>17739</v>
      </c>
      <c r="AC148" s="70">
        <v>35.0</v>
      </c>
      <c r="AE148" s="70">
        <v>25.0</v>
      </c>
      <c r="AF148" s="70" t="s">
        <v>239</v>
      </c>
      <c r="AW148" s="70" t="s">
        <v>17740</v>
      </c>
      <c r="AX148" s="70">
        <v>0.0</v>
      </c>
      <c r="AY148" s="70" t="s">
        <v>22</v>
      </c>
      <c r="AZ148" s="70">
        <v>47.0</v>
      </c>
    </row>
    <row r="149" ht="22.5" customHeight="1">
      <c r="A149" s="70" t="str">
        <f t="shared" si="1"/>
        <v>Included</v>
      </c>
      <c r="B149" s="70">
        <f t="shared" si="2"/>
        <v>5</v>
      </c>
      <c r="C149" s="70">
        <v>1.0</v>
      </c>
      <c r="D149" s="70">
        <v>1.0</v>
      </c>
      <c r="E149" s="70">
        <v>1.0</v>
      </c>
      <c r="F149" s="70">
        <v>1.0</v>
      </c>
      <c r="G149" s="70">
        <v>1.0</v>
      </c>
      <c r="H149" s="70" t="s">
        <v>19710</v>
      </c>
      <c r="I149" s="70">
        <v>2169.0</v>
      </c>
      <c r="J149" s="70" t="s">
        <v>29440</v>
      </c>
      <c r="K149" s="70" t="s">
        <v>19709</v>
      </c>
      <c r="L149" s="70" t="s">
        <v>16959</v>
      </c>
      <c r="N149" s="70" t="s">
        <v>16960</v>
      </c>
      <c r="P149" s="76">
        <v>44510.0</v>
      </c>
      <c r="U149" s="70" t="s">
        <v>239</v>
      </c>
      <c r="W149" s="70" t="s">
        <v>19712</v>
      </c>
      <c r="Y149" s="70" t="s">
        <v>29441</v>
      </c>
      <c r="Z149" s="75" t="s">
        <v>19714</v>
      </c>
      <c r="AA149" s="70" t="s">
        <v>19715</v>
      </c>
      <c r="AC149" s="70">
        <v>8.0</v>
      </c>
      <c r="AE149" s="70">
        <v>112.0</v>
      </c>
      <c r="AF149" s="70" t="s">
        <v>239</v>
      </c>
      <c r="AW149" s="70" t="s">
        <v>19716</v>
      </c>
      <c r="AX149" s="70">
        <v>0.0</v>
      </c>
      <c r="AY149" s="70" t="s">
        <v>22</v>
      </c>
      <c r="AZ149" s="70">
        <v>120.0</v>
      </c>
    </row>
    <row r="150" ht="22.5" customHeight="1">
      <c r="A150" s="70" t="str">
        <f t="shared" si="1"/>
        <v>Included</v>
      </c>
      <c r="B150" s="70">
        <f t="shared" si="2"/>
        <v>5</v>
      </c>
      <c r="C150" s="70">
        <v>1.0</v>
      </c>
      <c r="D150" s="70">
        <v>1.0</v>
      </c>
      <c r="E150" s="70">
        <v>1.0</v>
      </c>
      <c r="F150" s="70">
        <v>1.0</v>
      </c>
      <c r="G150" s="70">
        <v>1.0</v>
      </c>
      <c r="H150" s="70" t="s">
        <v>17991</v>
      </c>
      <c r="I150" s="70">
        <v>1976.0</v>
      </c>
      <c r="J150" s="70" t="s">
        <v>17989</v>
      </c>
      <c r="K150" s="70" t="s">
        <v>17990</v>
      </c>
      <c r="L150" s="70" t="s">
        <v>16959</v>
      </c>
      <c r="N150" s="70" t="s">
        <v>16960</v>
      </c>
      <c r="P150" s="76">
        <v>45016.0</v>
      </c>
      <c r="U150" s="70" t="s">
        <v>239</v>
      </c>
      <c r="W150" s="70" t="s">
        <v>29442</v>
      </c>
      <c r="Y150" s="70" t="s">
        <v>17994</v>
      </c>
      <c r="Z150" s="75" t="s">
        <v>17995</v>
      </c>
      <c r="AA150" s="70" t="s">
        <v>17996</v>
      </c>
      <c r="AC150" s="70">
        <v>29.0</v>
      </c>
      <c r="AE150" s="70">
        <v>165.0</v>
      </c>
      <c r="AF150" s="70" t="s">
        <v>16423</v>
      </c>
      <c r="AW150" s="70" t="s">
        <v>17997</v>
      </c>
      <c r="AX150" s="70">
        <v>0.0</v>
      </c>
      <c r="AY150" s="70" t="s">
        <v>22</v>
      </c>
      <c r="AZ150" s="70">
        <v>43.0</v>
      </c>
    </row>
    <row r="151" ht="22.5" customHeight="1">
      <c r="A151" s="70" t="str">
        <f t="shared" si="1"/>
        <v>Included</v>
      </c>
      <c r="B151" s="70">
        <f t="shared" si="2"/>
        <v>5</v>
      </c>
      <c r="C151" s="70">
        <v>1.0</v>
      </c>
      <c r="D151" s="70">
        <v>1.0</v>
      </c>
      <c r="E151" s="70">
        <v>1.0</v>
      </c>
      <c r="F151" s="70">
        <v>1.0</v>
      </c>
      <c r="G151" s="70">
        <v>1.0</v>
      </c>
      <c r="H151" s="70" t="s">
        <v>24344</v>
      </c>
      <c r="I151" s="70">
        <v>2663.0</v>
      </c>
      <c r="J151" s="70" t="s">
        <v>24342</v>
      </c>
      <c r="K151" s="70" t="s">
        <v>24343</v>
      </c>
      <c r="W151" s="70" t="s">
        <v>29443</v>
      </c>
      <c r="AA151" s="70" t="s">
        <v>24346</v>
      </c>
      <c r="AI151" s="70" t="s">
        <v>24347</v>
      </c>
      <c r="AJ151" s="70" t="s">
        <v>24348</v>
      </c>
      <c r="AK151" s="70">
        <v>2024.0</v>
      </c>
      <c r="AL151" s="70" t="s">
        <v>16959</v>
      </c>
      <c r="AQ151" s="70">
        <v>1.0</v>
      </c>
      <c r="AR151" s="75" t="s">
        <v>24349</v>
      </c>
      <c r="AS151" s="70" t="s">
        <v>22588</v>
      </c>
      <c r="AU151" s="70" t="s">
        <v>237</v>
      </c>
      <c r="AV151" s="70" t="s">
        <v>24350</v>
      </c>
      <c r="AW151" s="70" t="s">
        <v>24351</v>
      </c>
      <c r="AX151" s="70">
        <v>0.0</v>
      </c>
      <c r="AY151" s="70" t="s">
        <v>22</v>
      </c>
      <c r="AZ151" s="70">
        <v>39.0</v>
      </c>
    </row>
    <row r="152" ht="22.5" customHeight="1">
      <c r="A152" s="70" t="str">
        <f t="shared" si="1"/>
        <v>Included</v>
      </c>
      <c r="B152" s="70">
        <f t="shared" si="2"/>
        <v>4</v>
      </c>
      <c r="C152" s="70">
        <v>1.0</v>
      </c>
      <c r="D152" s="70">
        <v>1.0</v>
      </c>
      <c r="E152" s="70">
        <v>1.0</v>
      </c>
      <c r="F152" s="70">
        <v>1.0</v>
      </c>
      <c r="G152" s="70">
        <v>0.0</v>
      </c>
      <c r="H152" s="70" t="s">
        <v>17534</v>
      </c>
      <c r="I152" s="70">
        <v>1925.0</v>
      </c>
      <c r="J152" s="70" t="s">
        <v>17532</v>
      </c>
      <c r="K152" s="70" t="s">
        <v>17533</v>
      </c>
      <c r="L152" s="70" t="s">
        <v>17090</v>
      </c>
      <c r="N152" s="70" t="s">
        <v>17091</v>
      </c>
      <c r="P152" s="76">
        <v>44615.0</v>
      </c>
      <c r="U152" s="70" t="s">
        <v>239</v>
      </c>
      <c r="W152" s="70" t="s">
        <v>17536</v>
      </c>
      <c r="Y152" s="70" t="s">
        <v>17537</v>
      </c>
      <c r="Z152" s="75" t="s">
        <v>17538</v>
      </c>
      <c r="AA152" s="70" t="s">
        <v>17539</v>
      </c>
      <c r="AC152" s="70">
        <v>42.0</v>
      </c>
      <c r="AE152" s="70">
        <v>44.0</v>
      </c>
      <c r="AF152" s="70" t="s">
        <v>239</v>
      </c>
      <c r="AW152" s="70" t="s">
        <v>17540</v>
      </c>
      <c r="AX152" s="70">
        <v>0.0</v>
      </c>
      <c r="AY152" s="70" t="s">
        <v>24</v>
      </c>
      <c r="AZ152" s="70">
        <v>2890.0</v>
      </c>
    </row>
    <row r="153" ht="22.5" customHeight="1">
      <c r="A153" s="70" t="str">
        <f t="shared" si="1"/>
        <v>Included</v>
      </c>
      <c r="B153" s="70">
        <f t="shared" si="2"/>
        <v>5</v>
      </c>
      <c r="C153" s="70">
        <v>1.0</v>
      </c>
      <c r="D153" s="70">
        <v>1.0</v>
      </c>
      <c r="E153" s="70">
        <v>1.0</v>
      </c>
      <c r="F153" s="70">
        <v>1.0</v>
      </c>
      <c r="G153" s="70">
        <v>1.0</v>
      </c>
      <c r="H153" s="70" t="s">
        <v>29280</v>
      </c>
      <c r="I153" s="70">
        <v>3144.0</v>
      </c>
      <c r="J153" s="70" t="s">
        <v>29278</v>
      </c>
      <c r="K153" s="70" t="s">
        <v>29279</v>
      </c>
      <c r="W153" s="70" t="s">
        <v>29444</v>
      </c>
      <c r="AA153" s="70" t="s">
        <v>29282</v>
      </c>
      <c r="AI153" s="70" t="s">
        <v>29283</v>
      </c>
      <c r="AJ153" s="70" t="s">
        <v>29284</v>
      </c>
      <c r="AK153" s="70">
        <v>2016.0</v>
      </c>
      <c r="AL153" s="70" t="s">
        <v>18018</v>
      </c>
      <c r="AM153" s="70">
        <v>7836325.0</v>
      </c>
      <c r="AN153" s="70">
        <v>40.0</v>
      </c>
      <c r="AO153" s="70">
        <v>43.0</v>
      </c>
      <c r="AP153" s="70">
        <v>3.0</v>
      </c>
      <c r="AQ153" s="70">
        <v>30.0</v>
      </c>
      <c r="AR153" s="75" t="s">
        <v>29285</v>
      </c>
      <c r="AS153" s="70" t="s">
        <v>22525</v>
      </c>
      <c r="AT153" s="70" t="s">
        <v>22816</v>
      </c>
      <c r="AU153" s="70" t="s">
        <v>237</v>
      </c>
      <c r="AV153" s="70" t="s">
        <v>29286</v>
      </c>
      <c r="AW153" s="70" t="s">
        <v>29287</v>
      </c>
      <c r="AX153" s="70">
        <v>0.0</v>
      </c>
      <c r="AY153" s="70" t="s">
        <v>18</v>
      </c>
      <c r="AZ153" s="70">
        <v>68.0</v>
      </c>
    </row>
    <row r="154" ht="22.5" customHeight="1">
      <c r="A154" s="70" t="str">
        <f t="shared" si="1"/>
        <v>Included</v>
      </c>
      <c r="B154" s="70">
        <f t="shared" si="2"/>
        <v>4</v>
      </c>
      <c r="C154" s="70">
        <v>1.0</v>
      </c>
      <c r="D154" s="70">
        <v>1.0</v>
      </c>
      <c r="E154" s="70">
        <v>1.0</v>
      </c>
      <c r="F154" s="70">
        <v>1.0</v>
      </c>
      <c r="G154" s="70">
        <v>0.0</v>
      </c>
      <c r="H154" s="70" t="s">
        <v>18020</v>
      </c>
      <c r="I154" s="70">
        <v>1979.0</v>
      </c>
      <c r="J154" s="70" t="s">
        <v>18016</v>
      </c>
      <c r="K154" s="70" t="s">
        <v>18017</v>
      </c>
      <c r="L154" s="70" t="s">
        <v>18018</v>
      </c>
      <c r="N154" s="70" t="s">
        <v>18019</v>
      </c>
      <c r="P154" s="76">
        <v>43157.0</v>
      </c>
      <c r="U154" s="70" t="s">
        <v>239</v>
      </c>
      <c r="W154" s="70" t="s">
        <v>18022</v>
      </c>
      <c r="Y154" s="70" t="s">
        <v>29445</v>
      </c>
      <c r="Z154" s="75" t="s">
        <v>18024</v>
      </c>
      <c r="AA154" s="70" t="s">
        <v>18025</v>
      </c>
      <c r="AC154" s="70">
        <v>29.0</v>
      </c>
      <c r="AE154" s="70">
        <v>36.0</v>
      </c>
      <c r="AF154" s="70" t="s">
        <v>239</v>
      </c>
      <c r="AW154" s="70" t="s">
        <v>18026</v>
      </c>
      <c r="AX154" s="70">
        <v>0.0</v>
      </c>
      <c r="AY154" s="70" t="s">
        <v>24</v>
      </c>
      <c r="AZ154" s="70">
        <v>1722.0</v>
      </c>
    </row>
    <row r="155" ht="22.5" customHeight="1">
      <c r="A155" s="70" t="str">
        <f t="shared" si="1"/>
        <v>Included</v>
      </c>
      <c r="B155" s="70">
        <f t="shared" si="2"/>
        <v>4</v>
      </c>
      <c r="C155" s="70">
        <v>1.0</v>
      </c>
      <c r="D155" s="70">
        <v>1.0</v>
      </c>
      <c r="E155" s="70">
        <v>1.0</v>
      </c>
      <c r="F155" s="70">
        <v>0.0</v>
      </c>
      <c r="G155" s="70">
        <v>1.0</v>
      </c>
      <c r="H155" s="70" t="s">
        <v>18441</v>
      </c>
      <c r="I155" s="70">
        <v>2026.0</v>
      </c>
      <c r="J155" s="70" t="s">
        <v>18439</v>
      </c>
      <c r="K155" s="70" t="s">
        <v>18440</v>
      </c>
      <c r="L155" s="70" t="s">
        <v>18018</v>
      </c>
      <c r="N155" s="70" t="s">
        <v>18019</v>
      </c>
      <c r="P155" s="76">
        <v>43553.0</v>
      </c>
      <c r="U155" s="70" t="s">
        <v>239</v>
      </c>
      <c r="W155" s="70" t="s">
        <v>18443</v>
      </c>
      <c r="Y155" s="70" t="s">
        <v>29446</v>
      </c>
      <c r="Z155" s="75" t="s">
        <v>18445</v>
      </c>
      <c r="AA155" s="70" t="s">
        <v>18446</v>
      </c>
      <c r="AC155" s="70">
        <v>21.0</v>
      </c>
      <c r="AE155" s="70">
        <v>56.0</v>
      </c>
      <c r="AF155" s="70" t="s">
        <v>239</v>
      </c>
      <c r="AW155" s="70" t="s">
        <v>18447</v>
      </c>
      <c r="AX155" s="70">
        <v>0.0</v>
      </c>
      <c r="AY155" s="70" t="s">
        <v>22</v>
      </c>
      <c r="AZ155" s="70">
        <v>59.0</v>
      </c>
    </row>
    <row r="156" ht="22.5" customHeight="1">
      <c r="A156" s="70" t="str">
        <f t="shared" si="1"/>
        <v>Included</v>
      </c>
      <c r="B156" s="70">
        <f t="shared" si="2"/>
        <v>4</v>
      </c>
      <c r="C156" s="70">
        <v>1.0</v>
      </c>
      <c r="D156" s="70">
        <v>1.0</v>
      </c>
      <c r="E156" s="70">
        <v>1.0</v>
      </c>
      <c r="F156" s="70">
        <v>0.0</v>
      </c>
      <c r="G156" s="70">
        <v>1.0</v>
      </c>
      <c r="H156" s="70" t="s">
        <v>5422</v>
      </c>
      <c r="I156" s="70">
        <v>508.0</v>
      </c>
      <c r="J156" s="70" t="s">
        <v>5419</v>
      </c>
      <c r="K156" s="70" t="s">
        <v>5420</v>
      </c>
      <c r="L156" s="70" t="s">
        <v>5421</v>
      </c>
      <c r="P156" s="76">
        <v>43787.0</v>
      </c>
      <c r="U156" s="70" t="s">
        <v>239</v>
      </c>
      <c r="W156" s="70" t="s">
        <v>5424</v>
      </c>
      <c r="X156" s="70" t="s">
        <v>5425</v>
      </c>
      <c r="Z156" s="75" t="s">
        <v>5426</v>
      </c>
      <c r="AA156" s="70" t="s">
        <v>5427</v>
      </c>
      <c r="AC156" s="70">
        <v>12.0</v>
      </c>
      <c r="AE156" s="70">
        <v>13.0</v>
      </c>
      <c r="AF156" s="70" t="s">
        <v>239</v>
      </c>
      <c r="AW156" s="70" t="s">
        <v>5428</v>
      </c>
      <c r="AX156" s="70">
        <v>0.0</v>
      </c>
      <c r="AY156" s="70" t="s">
        <v>22</v>
      </c>
      <c r="AZ156" s="70">
        <v>124.0</v>
      </c>
    </row>
    <row r="157" ht="22.5" customHeight="1">
      <c r="A157" s="70" t="str">
        <f t="shared" si="1"/>
        <v>Included</v>
      </c>
      <c r="B157" s="70">
        <f t="shared" si="2"/>
        <v>5</v>
      </c>
      <c r="C157" s="70">
        <v>1.0</v>
      </c>
      <c r="D157" s="70">
        <v>1.0</v>
      </c>
      <c r="E157" s="70">
        <v>1.0</v>
      </c>
      <c r="F157" s="70">
        <v>1.0</v>
      </c>
      <c r="G157" s="70">
        <v>1.0</v>
      </c>
      <c r="H157" s="70" t="s">
        <v>6064</v>
      </c>
      <c r="I157" s="70">
        <v>573.0</v>
      </c>
      <c r="J157" s="70" t="s">
        <v>6060</v>
      </c>
      <c r="K157" s="70" t="s">
        <v>6061</v>
      </c>
      <c r="L157" s="70" t="s">
        <v>6062</v>
      </c>
      <c r="N157" s="70" t="s">
        <v>6063</v>
      </c>
      <c r="P157" s="77">
        <v>44228.0</v>
      </c>
      <c r="U157" s="70" t="s">
        <v>239</v>
      </c>
      <c r="W157" s="70" t="s">
        <v>29447</v>
      </c>
      <c r="X157" s="70" t="s">
        <v>6067</v>
      </c>
      <c r="Z157" s="75" t="s">
        <v>6068</v>
      </c>
      <c r="AA157" s="70" t="s">
        <v>6069</v>
      </c>
      <c r="AC157" s="70">
        <v>8.0</v>
      </c>
      <c r="AE157" s="70">
        <v>29.0</v>
      </c>
      <c r="AF157" s="70" t="s">
        <v>239</v>
      </c>
      <c r="AW157" s="70" t="s">
        <v>6070</v>
      </c>
      <c r="AX157" s="70">
        <v>0.0</v>
      </c>
      <c r="AY157" s="70" t="s">
        <v>22</v>
      </c>
      <c r="AZ157" s="70">
        <v>15.0</v>
      </c>
    </row>
    <row r="158" ht="22.5" customHeight="1">
      <c r="A158" s="70" t="str">
        <f t="shared" si="1"/>
        <v>Included</v>
      </c>
      <c r="B158" s="70">
        <f t="shared" si="2"/>
        <v>1</v>
      </c>
      <c r="C158" s="70">
        <v>0.0</v>
      </c>
      <c r="D158" s="70">
        <v>0.0</v>
      </c>
      <c r="E158" s="70">
        <v>0.0</v>
      </c>
      <c r="F158" s="70">
        <v>0.0</v>
      </c>
      <c r="G158" s="70">
        <v>1.0</v>
      </c>
      <c r="H158" s="70" t="s">
        <v>14909</v>
      </c>
      <c r="I158" s="70">
        <v>1554.0</v>
      </c>
      <c r="J158" s="70" t="s">
        <v>14906</v>
      </c>
      <c r="K158" s="70" t="s">
        <v>14907</v>
      </c>
      <c r="L158" s="70" t="s">
        <v>14908</v>
      </c>
      <c r="P158" s="76">
        <v>45702.0</v>
      </c>
      <c r="U158" s="70" t="s">
        <v>239</v>
      </c>
      <c r="W158" s="70" t="s">
        <v>14911</v>
      </c>
      <c r="X158" s="70" t="s">
        <v>14912</v>
      </c>
      <c r="Y158" s="70" t="s">
        <v>29448</v>
      </c>
      <c r="Z158" s="75" t="s">
        <v>14914</v>
      </c>
      <c r="AA158" s="70" t="s">
        <v>14915</v>
      </c>
      <c r="AE158" s="70">
        <v>32.0</v>
      </c>
      <c r="AF158" s="70" t="s">
        <v>239</v>
      </c>
      <c r="AW158" s="70" t="s">
        <v>14916</v>
      </c>
      <c r="AX158" s="70">
        <v>0.0</v>
      </c>
      <c r="AY158" s="70" t="s">
        <v>29449</v>
      </c>
      <c r="AZ158" s="70">
        <v>89.0</v>
      </c>
    </row>
    <row r="159" ht="22.5" customHeight="1">
      <c r="A159" s="70" t="str">
        <f t="shared" si="1"/>
        <v>Included</v>
      </c>
      <c r="B159" s="70">
        <f t="shared" si="2"/>
        <v>4</v>
      </c>
      <c r="C159" s="70">
        <v>1.0</v>
      </c>
      <c r="D159" s="70">
        <v>1.0</v>
      </c>
      <c r="E159" s="70">
        <v>1.0</v>
      </c>
      <c r="F159" s="70">
        <v>0.0</v>
      </c>
      <c r="G159" s="70">
        <v>1.0</v>
      </c>
      <c r="H159" s="70" t="s">
        <v>12058</v>
      </c>
      <c r="I159" s="70">
        <v>1261.0</v>
      </c>
      <c r="J159" s="70" t="s">
        <v>12054</v>
      </c>
      <c r="K159" s="70" t="s">
        <v>12055</v>
      </c>
      <c r="L159" s="70" t="s">
        <v>12056</v>
      </c>
      <c r="N159" s="70" t="s">
        <v>12057</v>
      </c>
      <c r="P159" s="78">
        <v>45442.0</v>
      </c>
      <c r="U159" s="70" t="s">
        <v>239</v>
      </c>
      <c r="W159" s="70" t="s">
        <v>12060</v>
      </c>
      <c r="X159" s="70" t="s">
        <v>12061</v>
      </c>
      <c r="Y159" s="70" t="s">
        <v>29450</v>
      </c>
      <c r="Z159" s="75" t="s">
        <v>12063</v>
      </c>
      <c r="AA159" s="70" t="s">
        <v>12064</v>
      </c>
      <c r="AC159" s="70">
        <v>1.0</v>
      </c>
      <c r="AE159" s="70">
        <v>18.0</v>
      </c>
      <c r="AF159" s="70" t="s">
        <v>239</v>
      </c>
      <c r="AW159" s="70" t="s">
        <v>12065</v>
      </c>
      <c r="AX159" s="70">
        <v>0.0</v>
      </c>
      <c r="AY159" s="70" t="s">
        <v>22</v>
      </c>
      <c r="AZ159" s="70">
        <v>125.0</v>
      </c>
    </row>
    <row r="160" ht="22.5" customHeight="1">
      <c r="A160" s="70" t="str">
        <f t="shared" si="1"/>
        <v>Included</v>
      </c>
      <c r="B160" s="70">
        <f t="shared" si="2"/>
        <v>4</v>
      </c>
      <c r="C160" s="70">
        <v>1.0</v>
      </c>
      <c r="D160" s="70">
        <v>1.0</v>
      </c>
      <c r="E160" s="70">
        <v>1.0</v>
      </c>
      <c r="F160" s="70">
        <v>1.0</v>
      </c>
      <c r="G160" s="70">
        <v>0.0</v>
      </c>
      <c r="H160" s="70" t="s">
        <v>7557</v>
      </c>
      <c r="I160" s="70">
        <v>726.0</v>
      </c>
      <c r="J160" s="70" t="s">
        <v>7554</v>
      </c>
      <c r="K160" s="70" t="s">
        <v>7555</v>
      </c>
      <c r="L160" s="70" t="s">
        <v>7556</v>
      </c>
      <c r="N160" s="70" t="s">
        <v>5818</v>
      </c>
      <c r="P160" s="76">
        <v>44949.0</v>
      </c>
      <c r="U160" s="70" t="s">
        <v>239</v>
      </c>
      <c r="W160" s="70" t="s">
        <v>29451</v>
      </c>
      <c r="X160" s="70" t="s">
        <v>7560</v>
      </c>
      <c r="Y160" s="70" t="s">
        <v>29452</v>
      </c>
      <c r="Z160" s="75" t="s">
        <v>7562</v>
      </c>
      <c r="AC160" s="70">
        <v>3.0</v>
      </c>
      <c r="AE160" s="70">
        <v>23.0</v>
      </c>
      <c r="AF160" s="70" t="s">
        <v>239</v>
      </c>
      <c r="AW160" s="70" t="s">
        <v>7563</v>
      </c>
      <c r="AZ160" s="70">
        <v>732.0</v>
      </c>
    </row>
    <row r="161" ht="22.5" customHeight="1">
      <c r="A161" s="70" t="str">
        <f t="shared" si="1"/>
        <v>Included</v>
      </c>
      <c r="B161" s="70">
        <f t="shared" si="2"/>
        <v>5</v>
      </c>
      <c r="C161" s="70">
        <v>1.0</v>
      </c>
      <c r="D161" s="70">
        <v>1.0</v>
      </c>
      <c r="E161" s="70">
        <v>1.0</v>
      </c>
      <c r="F161" s="70">
        <v>1.0</v>
      </c>
      <c r="G161" s="70">
        <v>1.0</v>
      </c>
      <c r="H161" s="70" t="s">
        <v>25149</v>
      </c>
      <c r="I161" s="70">
        <v>2741.0</v>
      </c>
      <c r="J161" s="70" t="s">
        <v>25147</v>
      </c>
      <c r="K161" s="70" t="s">
        <v>25148</v>
      </c>
      <c r="W161" s="70" t="s">
        <v>29453</v>
      </c>
      <c r="AA161" s="70" t="s">
        <v>25151</v>
      </c>
      <c r="AI161" s="70" t="s">
        <v>25152</v>
      </c>
      <c r="AJ161" s="70" t="s">
        <v>25153</v>
      </c>
      <c r="AK161" s="70">
        <v>2024.0</v>
      </c>
      <c r="AL161" s="70" t="s">
        <v>25154</v>
      </c>
      <c r="AM161" s="70" t="s">
        <v>25155</v>
      </c>
      <c r="AQ161" s="70">
        <v>0.0</v>
      </c>
      <c r="AR161" s="75" t="s">
        <v>25156</v>
      </c>
      <c r="AS161" s="70" t="s">
        <v>22525</v>
      </c>
      <c r="AU161" s="70" t="s">
        <v>237</v>
      </c>
      <c r="AV161" s="70" t="s">
        <v>25157</v>
      </c>
      <c r="AW161" s="70" t="s">
        <v>25158</v>
      </c>
      <c r="AX161" s="70">
        <v>1.0</v>
      </c>
      <c r="AZ161" s="70">
        <v>1.0</v>
      </c>
    </row>
    <row r="162" ht="22.5" customHeight="1">
      <c r="A162" s="70" t="str">
        <f t="shared" si="1"/>
        <v>Included</v>
      </c>
      <c r="B162" s="70">
        <f t="shared" si="2"/>
        <v>4</v>
      </c>
      <c r="C162" s="70">
        <v>1.0</v>
      </c>
      <c r="D162" s="70">
        <v>1.0</v>
      </c>
      <c r="E162" s="70">
        <v>1.0</v>
      </c>
      <c r="F162" s="70">
        <v>1.0</v>
      </c>
      <c r="G162" s="70">
        <v>0.0</v>
      </c>
      <c r="H162" s="70" t="s">
        <v>2758</v>
      </c>
      <c r="I162" s="70">
        <v>221.0</v>
      </c>
      <c r="J162" s="70" t="s">
        <v>2754</v>
      </c>
      <c r="K162" s="70" t="s">
        <v>2755</v>
      </c>
      <c r="L162" s="70" t="s">
        <v>2756</v>
      </c>
      <c r="M162" s="70" t="s">
        <v>2757</v>
      </c>
      <c r="O162" s="75" t="s">
        <v>2759</v>
      </c>
      <c r="P162" s="70">
        <v>2017.0</v>
      </c>
      <c r="Q162" s="70" t="s">
        <v>2761</v>
      </c>
      <c r="U162" s="70" t="s">
        <v>401</v>
      </c>
      <c r="V162" s="70" t="s">
        <v>402</v>
      </c>
      <c r="W162" s="70" t="s">
        <v>2763</v>
      </c>
      <c r="AW162" s="70" t="s">
        <v>2764</v>
      </c>
      <c r="AX162" s="70">
        <v>0.0</v>
      </c>
      <c r="AY162" s="70" t="s">
        <v>29454</v>
      </c>
      <c r="AZ162" s="70">
        <v>2304.0</v>
      </c>
    </row>
    <row r="163" ht="22.5" customHeight="1">
      <c r="A163" s="70" t="str">
        <f t="shared" si="1"/>
        <v>Included</v>
      </c>
      <c r="B163" s="70">
        <f t="shared" si="2"/>
        <v>1</v>
      </c>
      <c r="C163" s="70">
        <v>0.0</v>
      </c>
      <c r="D163" s="70">
        <v>0.0</v>
      </c>
      <c r="E163" s="70">
        <v>0.0</v>
      </c>
      <c r="F163" s="70">
        <v>0.0</v>
      </c>
      <c r="G163" s="70">
        <v>1.0</v>
      </c>
      <c r="H163" s="70" t="s">
        <v>720</v>
      </c>
      <c r="I163" s="70">
        <v>30.0</v>
      </c>
      <c r="J163" s="70" t="s">
        <v>29455</v>
      </c>
      <c r="K163" s="70" t="s">
        <v>717</v>
      </c>
      <c r="L163" s="70" t="s">
        <v>718</v>
      </c>
      <c r="M163" s="70" t="s">
        <v>719</v>
      </c>
      <c r="O163" s="75" t="s">
        <v>721</v>
      </c>
      <c r="P163" s="70">
        <v>2017.0</v>
      </c>
      <c r="Q163" s="70" t="s">
        <v>723</v>
      </c>
      <c r="U163" s="70" t="s">
        <v>401</v>
      </c>
      <c r="V163" s="70" t="s">
        <v>402</v>
      </c>
      <c r="W163" s="70" t="s">
        <v>725</v>
      </c>
      <c r="AW163" s="70" t="s">
        <v>726</v>
      </c>
      <c r="AX163" s="70">
        <v>0.0</v>
      </c>
      <c r="AY163" s="70" t="s">
        <v>29354</v>
      </c>
      <c r="AZ163" s="70">
        <v>93.0</v>
      </c>
    </row>
    <row r="164" ht="22.5" customHeight="1">
      <c r="A164" s="70" t="str">
        <f t="shared" si="1"/>
        <v>Included</v>
      </c>
      <c r="B164" s="70">
        <f t="shared" si="2"/>
        <v>4</v>
      </c>
      <c r="C164" s="70">
        <v>1.0</v>
      </c>
      <c r="D164" s="70">
        <v>1.0</v>
      </c>
      <c r="E164" s="70">
        <v>1.0</v>
      </c>
      <c r="F164" s="70">
        <v>1.0</v>
      </c>
      <c r="G164" s="70">
        <v>0.0</v>
      </c>
      <c r="H164" s="70" t="s">
        <v>4583</v>
      </c>
      <c r="I164" s="70">
        <v>424.0</v>
      </c>
      <c r="J164" s="70" t="s">
        <v>4581</v>
      </c>
      <c r="K164" s="70" t="s">
        <v>4582</v>
      </c>
      <c r="L164" s="70" t="s">
        <v>3673</v>
      </c>
      <c r="N164" s="70" t="s">
        <v>3674</v>
      </c>
      <c r="O164" s="75" t="s">
        <v>4584</v>
      </c>
      <c r="P164" s="80">
        <v>43040.0</v>
      </c>
      <c r="W164" s="70" t="s">
        <v>4585</v>
      </c>
      <c r="AW164" s="70" t="s">
        <v>4586</v>
      </c>
      <c r="AX164" s="70">
        <v>0.0</v>
      </c>
      <c r="AY164" s="70" t="s">
        <v>24</v>
      </c>
      <c r="AZ164" s="70">
        <v>2046.0</v>
      </c>
    </row>
    <row r="165" ht="22.5" customHeight="1">
      <c r="A165" s="70" t="str">
        <f t="shared" si="1"/>
        <v>Included</v>
      </c>
      <c r="B165" s="70">
        <f t="shared" si="2"/>
        <v>5</v>
      </c>
      <c r="C165" s="70">
        <v>1.0</v>
      </c>
      <c r="D165" s="70">
        <v>1.0</v>
      </c>
      <c r="E165" s="70">
        <v>1.0</v>
      </c>
      <c r="F165" s="70">
        <v>1.0</v>
      </c>
      <c r="G165" s="70">
        <v>1.0</v>
      </c>
      <c r="H165" s="70" t="s">
        <v>834</v>
      </c>
      <c r="I165" s="70">
        <v>40.0</v>
      </c>
      <c r="J165" s="70" t="s">
        <v>830</v>
      </c>
      <c r="K165" s="70" t="s">
        <v>831</v>
      </c>
      <c r="L165" s="70" t="s">
        <v>832</v>
      </c>
      <c r="M165" s="70" t="s">
        <v>833</v>
      </c>
      <c r="O165" s="75" t="s">
        <v>835</v>
      </c>
      <c r="P165" s="70">
        <v>2017.0</v>
      </c>
      <c r="Q165" s="70" t="s">
        <v>837</v>
      </c>
      <c r="U165" s="70" t="s">
        <v>401</v>
      </c>
      <c r="V165" s="70" t="s">
        <v>402</v>
      </c>
      <c r="W165" s="70" t="s">
        <v>839</v>
      </c>
      <c r="AW165" s="70" t="s">
        <v>840</v>
      </c>
      <c r="AX165" s="70">
        <v>0.0</v>
      </c>
      <c r="AY165" s="70" t="s">
        <v>18</v>
      </c>
      <c r="AZ165" s="70">
        <v>67.0</v>
      </c>
    </row>
    <row r="166" ht="22.5" customHeight="1">
      <c r="A166" s="70" t="str">
        <f t="shared" si="1"/>
        <v>Included</v>
      </c>
      <c r="B166" s="70">
        <f t="shared" si="2"/>
        <v>5</v>
      </c>
      <c r="C166" s="70">
        <v>1.0</v>
      </c>
      <c r="D166" s="70">
        <v>1.0</v>
      </c>
      <c r="E166" s="70">
        <v>1.0</v>
      </c>
      <c r="F166" s="70">
        <v>1.0</v>
      </c>
      <c r="G166" s="70">
        <v>1.0</v>
      </c>
      <c r="H166" s="70" t="s">
        <v>909</v>
      </c>
      <c r="I166" s="70">
        <v>47.0</v>
      </c>
      <c r="J166" s="70" t="s">
        <v>905</v>
      </c>
      <c r="K166" s="70" t="s">
        <v>906</v>
      </c>
      <c r="L166" s="70" t="s">
        <v>907</v>
      </c>
      <c r="M166" s="70" t="s">
        <v>908</v>
      </c>
      <c r="O166" s="75" t="s">
        <v>910</v>
      </c>
      <c r="P166" s="70">
        <v>2019.0</v>
      </c>
      <c r="Q166" s="70" t="s">
        <v>912</v>
      </c>
      <c r="U166" s="70" t="s">
        <v>401</v>
      </c>
      <c r="V166" s="70" t="s">
        <v>402</v>
      </c>
      <c r="W166" s="70" t="s">
        <v>29456</v>
      </c>
      <c r="AW166" s="70" t="s">
        <v>915</v>
      </c>
      <c r="AX166" s="70">
        <v>0.0</v>
      </c>
      <c r="AY166" s="70" t="s">
        <v>22</v>
      </c>
      <c r="AZ166" s="70">
        <v>90.0</v>
      </c>
    </row>
    <row r="167" ht="22.5" customHeight="1">
      <c r="A167" s="70" t="str">
        <f t="shared" si="1"/>
        <v>Included</v>
      </c>
      <c r="B167" s="70">
        <f t="shared" si="2"/>
        <v>4</v>
      </c>
      <c r="C167" s="70">
        <v>1.0</v>
      </c>
      <c r="D167" s="70">
        <v>1.0</v>
      </c>
      <c r="E167" s="70">
        <v>1.0</v>
      </c>
      <c r="F167" s="70">
        <v>0.0</v>
      </c>
      <c r="G167" s="70">
        <v>1.0</v>
      </c>
      <c r="H167" s="70" t="s">
        <v>3665</v>
      </c>
      <c r="I167" s="70">
        <v>307.0</v>
      </c>
      <c r="J167" s="70" t="s">
        <v>3663</v>
      </c>
      <c r="K167" s="70" t="s">
        <v>3664</v>
      </c>
      <c r="L167" s="70" t="s">
        <v>3635</v>
      </c>
      <c r="N167" s="70" t="s">
        <v>3636</v>
      </c>
      <c r="O167" s="75" t="s">
        <v>3666</v>
      </c>
      <c r="P167" s="81">
        <v>44075.0</v>
      </c>
      <c r="W167" s="70" t="s">
        <v>29457</v>
      </c>
      <c r="AW167" s="70" t="s">
        <v>3669</v>
      </c>
      <c r="AX167" s="70">
        <v>0.0</v>
      </c>
      <c r="AY167" s="70" t="s">
        <v>22</v>
      </c>
      <c r="AZ167" s="70">
        <v>91.0</v>
      </c>
    </row>
    <row r="168" ht="22.5" customHeight="1">
      <c r="A168" s="70" t="str">
        <f t="shared" si="1"/>
        <v>Included</v>
      </c>
      <c r="B168" s="70">
        <f t="shared" si="2"/>
        <v>5</v>
      </c>
      <c r="C168" s="70">
        <v>1.0</v>
      </c>
      <c r="D168" s="70">
        <v>1.0</v>
      </c>
      <c r="E168" s="70">
        <v>1.0</v>
      </c>
      <c r="F168" s="70">
        <v>1.0</v>
      </c>
      <c r="G168" s="70">
        <v>1.0</v>
      </c>
      <c r="H168" s="70" t="s">
        <v>468</v>
      </c>
      <c r="I168" s="70">
        <v>7.0</v>
      </c>
      <c r="J168" s="70" t="s">
        <v>464</v>
      </c>
      <c r="K168" s="70" t="s">
        <v>465</v>
      </c>
      <c r="L168" s="70" t="s">
        <v>466</v>
      </c>
      <c r="M168" s="70" t="s">
        <v>467</v>
      </c>
      <c r="O168" s="75" t="s">
        <v>469</v>
      </c>
      <c r="P168" s="70">
        <v>2021.0</v>
      </c>
      <c r="Q168" s="70" t="s">
        <v>471</v>
      </c>
      <c r="U168" s="70" t="s">
        <v>401</v>
      </c>
      <c r="V168" s="70" t="s">
        <v>402</v>
      </c>
      <c r="W168" s="70" t="s">
        <v>473</v>
      </c>
      <c r="AW168" s="70" t="s">
        <v>474</v>
      </c>
      <c r="AX168" s="70">
        <v>0.0</v>
      </c>
      <c r="AY168" s="70" t="s">
        <v>22</v>
      </c>
      <c r="AZ168" s="70">
        <v>16.0</v>
      </c>
    </row>
    <row r="169" ht="22.5" customHeight="1">
      <c r="A169" s="70" t="str">
        <f t="shared" si="1"/>
        <v>Included</v>
      </c>
      <c r="B169" s="70">
        <f t="shared" si="2"/>
        <v>1</v>
      </c>
      <c r="C169" s="70">
        <v>0.0</v>
      </c>
      <c r="D169" s="70">
        <v>0.0</v>
      </c>
      <c r="E169" s="70">
        <v>0.0</v>
      </c>
      <c r="F169" s="70">
        <v>0.0</v>
      </c>
      <c r="G169" s="70">
        <v>1.0</v>
      </c>
      <c r="H169" s="70" t="s">
        <v>3657</v>
      </c>
      <c r="I169" s="70">
        <v>306.0</v>
      </c>
      <c r="J169" s="70" t="s">
        <v>3653</v>
      </c>
      <c r="K169" s="70" t="s">
        <v>3654</v>
      </c>
      <c r="L169" s="70" t="s">
        <v>3655</v>
      </c>
      <c r="N169" s="70" t="s">
        <v>3656</v>
      </c>
      <c r="O169" s="75" t="s">
        <v>3658</v>
      </c>
      <c r="P169" s="80">
        <v>44136.0</v>
      </c>
      <c r="W169" s="70" t="s">
        <v>29458</v>
      </c>
      <c r="AW169" s="70" t="s">
        <v>3661</v>
      </c>
      <c r="AX169" s="70">
        <v>0.0</v>
      </c>
      <c r="AY169" s="70" t="s">
        <v>29459</v>
      </c>
      <c r="AZ169" s="70">
        <v>92.0</v>
      </c>
    </row>
    <row r="170" ht="22.5" customHeight="1">
      <c r="A170" s="70" t="str">
        <f t="shared" si="1"/>
        <v>Included</v>
      </c>
      <c r="B170" s="70">
        <f t="shared" si="2"/>
        <v>5</v>
      </c>
      <c r="C170" s="70">
        <v>1.0</v>
      </c>
      <c r="D170" s="70">
        <v>1.0</v>
      </c>
      <c r="E170" s="70">
        <v>1.0</v>
      </c>
      <c r="F170" s="70">
        <v>1.0</v>
      </c>
      <c r="G170" s="70">
        <v>1.0</v>
      </c>
      <c r="H170" s="70" t="s">
        <v>1275</v>
      </c>
      <c r="I170" s="70">
        <v>82.0</v>
      </c>
      <c r="J170" s="70" t="s">
        <v>1271</v>
      </c>
      <c r="K170" s="70" t="s">
        <v>1272</v>
      </c>
      <c r="L170" s="70" t="s">
        <v>1273</v>
      </c>
      <c r="M170" s="70" t="s">
        <v>1274</v>
      </c>
      <c r="O170" s="75" t="s">
        <v>1276</v>
      </c>
      <c r="P170" s="70">
        <v>2020.0</v>
      </c>
      <c r="Q170" s="70" t="s">
        <v>1278</v>
      </c>
      <c r="U170" s="70" t="s">
        <v>401</v>
      </c>
      <c r="V170" s="70" t="s">
        <v>402</v>
      </c>
      <c r="W170" s="70" t="s">
        <v>29460</v>
      </c>
      <c r="AW170" s="70" t="s">
        <v>1280</v>
      </c>
      <c r="AX170" s="70">
        <v>0.0</v>
      </c>
      <c r="AY170" s="70" t="s">
        <v>22</v>
      </c>
      <c r="AZ170" s="70">
        <v>80.0</v>
      </c>
    </row>
    <row r="171" ht="22.5" customHeight="1">
      <c r="A171" s="70" t="str">
        <f t="shared" si="1"/>
        <v>Included</v>
      </c>
      <c r="B171" s="70">
        <f t="shared" si="2"/>
        <v>4</v>
      </c>
      <c r="C171" s="70">
        <v>1.0</v>
      </c>
      <c r="D171" s="70">
        <v>1.0</v>
      </c>
      <c r="E171" s="70">
        <v>1.0</v>
      </c>
      <c r="F171" s="70">
        <v>0.0</v>
      </c>
      <c r="G171" s="70">
        <v>1.0</v>
      </c>
      <c r="H171" s="70" t="s">
        <v>1974</v>
      </c>
      <c r="I171" s="70">
        <v>146.0</v>
      </c>
      <c r="J171" s="70" t="s">
        <v>1970</v>
      </c>
      <c r="K171" s="70" t="s">
        <v>1971</v>
      </c>
      <c r="L171" s="70" t="s">
        <v>1972</v>
      </c>
      <c r="M171" s="70" t="s">
        <v>1973</v>
      </c>
      <c r="O171" s="75" t="s">
        <v>1975</v>
      </c>
      <c r="P171" s="70">
        <v>2021.0</v>
      </c>
      <c r="Q171" s="70" t="s">
        <v>1977</v>
      </c>
      <c r="U171" s="70" t="s">
        <v>401</v>
      </c>
      <c r="V171" s="70" t="s">
        <v>402</v>
      </c>
      <c r="W171" s="70" t="s">
        <v>1979</v>
      </c>
      <c r="AW171" s="70" t="s">
        <v>1280</v>
      </c>
      <c r="AX171" s="70">
        <v>0.0</v>
      </c>
      <c r="AY171" s="70" t="s">
        <v>22</v>
      </c>
      <c r="AZ171" s="70">
        <v>128.0</v>
      </c>
    </row>
    <row r="172" ht="22.5" customHeight="1">
      <c r="A172" s="70" t="str">
        <f t="shared" si="1"/>
        <v>Included</v>
      </c>
      <c r="B172" s="70">
        <f t="shared" si="2"/>
        <v>5</v>
      </c>
      <c r="C172" s="70">
        <v>1.0</v>
      </c>
      <c r="D172" s="70">
        <v>1.0</v>
      </c>
      <c r="E172" s="70">
        <v>1.0</v>
      </c>
      <c r="F172" s="70">
        <v>1.0</v>
      </c>
      <c r="G172" s="70">
        <v>1.0</v>
      </c>
      <c r="H172" s="70" t="s">
        <v>3646</v>
      </c>
      <c r="I172" s="70">
        <v>305.0</v>
      </c>
      <c r="J172" s="70" t="s">
        <v>3644</v>
      </c>
      <c r="K172" s="70" t="s">
        <v>3645</v>
      </c>
      <c r="L172" s="70" t="s">
        <v>3635</v>
      </c>
      <c r="N172" s="70" t="s">
        <v>3636</v>
      </c>
      <c r="O172" s="75" t="s">
        <v>3647</v>
      </c>
      <c r="P172" s="81">
        <v>44805.0</v>
      </c>
      <c r="W172" s="70" t="s">
        <v>29461</v>
      </c>
      <c r="AW172" s="70" t="s">
        <v>3651</v>
      </c>
      <c r="AX172" s="70">
        <v>0.0</v>
      </c>
      <c r="AY172" s="70" t="s">
        <v>22</v>
      </c>
      <c r="AZ172" s="70">
        <v>98.0</v>
      </c>
    </row>
    <row r="173" ht="22.5" customHeight="1">
      <c r="A173" s="70" t="str">
        <f t="shared" si="1"/>
        <v>Included</v>
      </c>
      <c r="B173" s="70">
        <f t="shared" si="2"/>
        <v>4</v>
      </c>
      <c r="C173" s="70">
        <v>1.0</v>
      </c>
      <c r="D173" s="70">
        <v>1.0</v>
      </c>
      <c r="E173" s="70">
        <v>1.0</v>
      </c>
      <c r="F173" s="70">
        <v>1.0</v>
      </c>
      <c r="G173" s="70">
        <v>0.0</v>
      </c>
      <c r="H173" s="70" t="s">
        <v>1510</v>
      </c>
      <c r="I173" s="70">
        <v>103.0</v>
      </c>
      <c r="J173" s="70" t="s">
        <v>1506</v>
      </c>
      <c r="K173" s="70" t="s">
        <v>1507</v>
      </c>
      <c r="L173" s="70" t="s">
        <v>1508</v>
      </c>
      <c r="M173" s="70" t="s">
        <v>1509</v>
      </c>
      <c r="O173" s="75" t="s">
        <v>1511</v>
      </c>
      <c r="P173" s="70">
        <v>2022.0</v>
      </c>
      <c r="Q173" s="70" t="s">
        <v>1513</v>
      </c>
      <c r="U173" s="70" t="s">
        <v>401</v>
      </c>
      <c r="V173" s="70" t="s">
        <v>402</v>
      </c>
      <c r="W173" s="70" t="s">
        <v>1515</v>
      </c>
      <c r="AW173" s="70" t="s">
        <v>1516</v>
      </c>
      <c r="AZ173" s="70">
        <v>367.0</v>
      </c>
    </row>
    <row r="174" ht="22.5" customHeight="1">
      <c r="A174" s="70" t="str">
        <f t="shared" si="1"/>
        <v>Included</v>
      </c>
      <c r="B174" s="70">
        <f t="shared" si="2"/>
        <v>5</v>
      </c>
      <c r="C174" s="70">
        <v>1.0</v>
      </c>
      <c r="D174" s="70">
        <v>1.0</v>
      </c>
      <c r="E174" s="70">
        <v>1.0</v>
      </c>
      <c r="F174" s="70">
        <v>1.0</v>
      </c>
      <c r="G174" s="70">
        <v>1.0</v>
      </c>
      <c r="H174" s="70" t="s">
        <v>765</v>
      </c>
      <c r="I174" s="70">
        <v>34.0</v>
      </c>
      <c r="J174" s="70" t="s">
        <v>29462</v>
      </c>
      <c r="K174" s="70" t="s">
        <v>762</v>
      </c>
      <c r="L174" s="70" t="s">
        <v>763</v>
      </c>
      <c r="M174" s="70" t="s">
        <v>764</v>
      </c>
      <c r="O174" s="75" t="s">
        <v>766</v>
      </c>
      <c r="P174" s="70">
        <v>2022.0</v>
      </c>
      <c r="Q174" s="70" t="s">
        <v>768</v>
      </c>
      <c r="U174" s="70" t="s">
        <v>401</v>
      </c>
      <c r="V174" s="70" t="s">
        <v>402</v>
      </c>
      <c r="W174" s="70" t="s">
        <v>770</v>
      </c>
      <c r="AW174" s="70" t="s">
        <v>771</v>
      </c>
      <c r="AX174" s="70">
        <v>0.0</v>
      </c>
      <c r="AY174" s="70" t="s">
        <v>22</v>
      </c>
      <c r="AZ174" s="70">
        <v>130.0</v>
      </c>
    </row>
    <row r="175" ht="22.5" customHeight="1">
      <c r="A175" s="70" t="str">
        <f t="shared" si="1"/>
        <v>Included</v>
      </c>
      <c r="B175" s="70">
        <f t="shared" si="2"/>
        <v>5</v>
      </c>
      <c r="C175" s="70">
        <v>1.0</v>
      </c>
      <c r="D175" s="70">
        <v>1.0</v>
      </c>
      <c r="E175" s="70">
        <v>1.0</v>
      </c>
      <c r="F175" s="70">
        <v>1.0</v>
      </c>
      <c r="G175" s="70">
        <v>1.0</v>
      </c>
      <c r="H175" s="70" t="s">
        <v>3753</v>
      </c>
      <c r="I175" s="70">
        <v>317.0</v>
      </c>
      <c r="J175" s="70" t="s">
        <v>29463</v>
      </c>
      <c r="K175" s="70" t="s">
        <v>3752</v>
      </c>
      <c r="L175" s="70" t="s">
        <v>3635</v>
      </c>
      <c r="N175" s="70" t="s">
        <v>3636</v>
      </c>
      <c r="O175" s="75" t="s">
        <v>3754</v>
      </c>
      <c r="P175" s="80">
        <v>44896.0</v>
      </c>
      <c r="W175" s="70" t="s">
        <v>3756</v>
      </c>
      <c r="AW175" s="70" t="s">
        <v>3757</v>
      </c>
      <c r="AX175" s="70">
        <v>0.0</v>
      </c>
      <c r="AY175" s="70" t="s">
        <v>22</v>
      </c>
      <c r="AZ175" s="70">
        <v>86.0</v>
      </c>
    </row>
    <row r="176" ht="22.5" customHeight="1">
      <c r="A176" s="70" t="str">
        <f t="shared" si="1"/>
        <v>Included</v>
      </c>
      <c r="B176" s="70">
        <f t="shared" si="2"/>
        <v>5</v>
      </c>
      <c r="C176" s="70">
        <v>1.0</v>
      </c>
      <c r="D176" s="70">
        <v>1.0</v>
      </c>
      <c r="E176" s="70">
        <v>1.0</v>
      </c>
      <c r="F176" s="70">
        <v>1.0</v>
      </c>
      <c r="G176" s="70">
        <v>1.0</v>
      </c>
      <c r="H176" s="70" t="s">
        <v>940</v>
      </c>
      <c r="I176" s="70">
        <v>50.0</v>
      </c>
      <c r="J176" s="70" t="s">
        <v>936</v>
      </c>
      <c r="K176" s="70" t="s">
        <v>937</v>
      </c>
      <c r="L176" s="70" t="s">
        <v>938</v>
      </c>
      <c r="M176" s="70" t="s">
        <v>939</v>
      </c>
      <c r="O176" s="75" t="s">
        <v>941</v>
      </c>
      <c r="P176" s="70">
        <v>2022.0</v>
      </c>
      <c r="Q176" s="70" t="s">
        <v>943</v>
      </c>
      <c r="U176" s="70" t="s">
        <v>401</v>
      </c>
      <c r="V176" s="70" t="s">
        <v>402</v>
      </c>
      <c r="W176" s="70" t="s">
        <v>944</v>
      </c>
      <c r="AW176" s="70" t="s">
        <v>945</v>
      </c>
      <c r="AX176" s="70">
        <v>0.0</v>
      </c>
      <c r="AY176" s="70" t="s">
        <v>22</v>
      </c>
      <c r="AZ176" s="70">
        <v>133.0</v>
      </c>
    </row>
    <row r="177" ht="22.5" customHeight="1">
      <c r="A177" s="70" t="str">
        <f t="shared" si="1"/>
        <v>Included</v>
      </c>
      <c r="B177" s="70">
        <f t="shared" si="2"/>
        <v>4</v>
      </c>
      <c r="C177" s="70">
        <v>1.0</v>
      </c>
      <c r="D177" s="70">
        <v>1.0</v>
      </c>
      <c r="E177" s="70">
        <v>1.0</v>
      </c>
      <c r="F177" s="70">
        <v>0.0</v>
      </c>
      <c r="G177" s="70">
        <v>1.0</v>
      </c>
      <c r="H177" s="70" t="s">
        <v>1453</v>
      </c>
      <c r="I177" s="70">
        <v>98.0</v>
      </c>
      <c r="J177" s="70" t="s">
        <v>1449</v>
      </c>
      <c r="K177" s="70" t="s">
        <v>1450</v>
      </c>
      <c r="L177" s="70" t="s">
        <v>1451</v>
      </c>
      <c r="M177" s="70" t="s">
        <v>1452</v>
      </c>
      <c r="O177" s="75" t="s">
        <v>1454</v>
      </c>
      <c r="P177" s="70">
        <v>2023.0</v>
      </c>
      <c r="Q177" s="70" t="s">
        <v>1456</v>
      </c>
      <c r="U177" s="70" t="s">
        <v>401</v>
      </c>
      <c r="V177" s="70" t="s">
        <v>402</v>
      </c>
      <c r="W177" s="70" t="s">
        <v>29464</v>
      </c>
      <c r="AW177" s="70" t="s">
        <v>1459</v>
      </c>
      <c r="AX177" s="70">
        <v>0.0</v>
      </c>
      <c r="AY177" s="70" t="s">
        <v>22</v>
      </c>
      <c r="AZ177" s="70">
        <v>142.0</v>
      </c>
    </row>
    <row r="178" ht="22.5" customHeight="1">
      <c r="A178" s="70" t="str">
        <f t="shared" si="1"/>
        <v>Included</v>
      </c>
      <c r="B178" s="70">
        <f t="shared" si="2"/>
        <v>1</v>
      </c>
      <c r="C178" s="70">
        <v>0.0</v>
      </c>
      <c r="D178" s="70">
        <v>0.0</v>
      </c>
      <c r="E178" s="70">
        <v>0.0</v>
      </c>
      <c r="F178" s="70">
        <v>0.0</v>
      </c>
      <c r="G178" s="70">
        <v>1.0</v>
      </c>
      <c r="H178" s="70" t="s">
        <v>1835</v>
      </c>
      <c r="I178" s="70">
        <v>133.0</v>
      </c>
      <c r="J178" s="70" t="s">
        <v>1831</v>
      </c>
      <c r="K178" s="70" t="s">
        <v>1832</v>
      </c>
      <c r="L178" s="70" t="s">
        <v>1833</v>
      </c>
      <c r="M178" s="70" t="s">
        <v>1834</v>
      </c>
      <c r="O178" s="75" t="s">
        <v>1836</v>
      </c>
      <c r="P178" s="70">
        <v>2023.0</v>
      </c>
      <c r="Q178" s="70" t="s">
        <v>1838</v>
      </c>
      <c r="U178" s="70" t="s">
        <v>401</v>
      </c>
      <c r="V178" s="70" t="s">
        <v>402</v>
      </c>
      <c r="W178" s="70" t="s">
        <v>1840</v>
      </c>
      <c r="AW178" s="70" t="s">
        <v>1841</v>
      </c>
      <c r="AX178" s="70">
        <v>0.0</v>
      </c>
      <c r="AY178" s="70" t="s">
        <v>24</v>
      </c>
      <c r="AZ178" s="70">
        <v>140.0</v>
      </c>
    </row>
    <row r="179" ht="22.5" customHeight="1">
      <c r="A179" s="70" t="str">
        <f t="shared" si="1"/>
        <v>Included</v>
      </c>
      <c r="B179" s="70">
        <f t="shared" si="2"/>
        <v>3</v>
      </c>
      <c r="C179" s="70">
        <v>1.0</v>
      </c>
      <c r="D179" s="70">
        <v>1.0</v>
      </c>
      <c r="E179" s="70">
        <v>1.0</v>
      </c>
      <c r="F179" s="70">
        <v>0.0</v>
      </c>
      <c r="G179" s="70">
        <v>0.0</v>
      </c>
      <c r="H179" s="70" t="s">
        <v>2321</v>
      </c>
      <c r="I179" s="70">
        <v>179.0</v>
      </c>
      <c r="J179" s="70" t="s">
        <v>2317</v>
      </c>
      <c r="K179" s="70" t="s">
        <v>2318</v>
      </c>
      <c r="L179" s="70" t="s">
        <v>2319</v>
      </c>
      <c r="M179" s="70" t="s">
        <v>2320</v>
      </c>
      <c r="O179" s="75" t="s">
        <v>2322</v>
      </c>
      <c r="P179" s="70">
        <v>2024.0</v>
      </c>
      <c r="Q179" s="70" t="s">
        <v>2324</v>
      </c>
      <c r="U179" s="70" t="s">
        <v>401</v>
      </c>
      <c r="V179" s="70" t="s">
        <v>402</v>
      </c>
      <c r="W179" s="70" t="s">
        <v>29465</v>
      </c>
      <c r="AW179" s="70" t="s">
        <v>2327</v>
      </c>
      <c r="AX179" s="70">
        <v>0.0</v>
      </c>
      <c r="AY179" s="70" t="s">
        <v>24</v>
      </c>
      <c r="AZ179" s="70">
        <v>2640.0</v>
      </c>
    </row>
    <row r="180" ht="22.5" customHeight="1">
      <c r="A180" s="70" t="str">
        <f t="shared" si="1"/>
        <v>Included</v>
      </c>
      <c r="B180" s="70">
        <f t="shared" si="2"/>
        <v>3</v>
      </c>
      <c r="C180" s="70">
        <v>1.0</v>
      </c>
      <c r="D180" s="70">
        <v>1.0</v>
      </c>
      <c r="E180" s="70">
        <v>1.0</v>
      </c>
      <c r="F180" s="70">
        <v>0.0</v>
      </c>
      <c r="G180" s="70">
        <v>0.0</v>
      </c>
      <c r="H180" s="70" t="s">
        <v>822</v>
      </c>
      <c r="I180" s="70">
        <v>39.0</v>
      </c>
      <c r="J180" s="70" t="s">
        <v>29466</v>
      </c>
      <c r="K180" s="70" t="s">
        <v>819</v>
      </c>
      <c r="L180" s="70" t="s">
        <v>820</v>
      </c>
      <c r="M180" s="70" t="s">
        <v>821</v>
      </c>
      <c r="O180" s="75" t="s">
        <v>823</v>
      </c>
      <c r="P180" s="70">
        <v>2023.0</v>
      </c>
      <c r="Q180" s="70" t="s">
        <v>825</v>
      </c>
      <c r="U180" s="70" t="s">
        <v>401</v>
      </c>
      <c r="V180" s="70" t="s">
        <v>402</v>
      </c>
      <c r="W180" s="70" t="s">
        <v>29467</v>
      </c>
      <c r="AW180" s="70" t="s">
        <v>828</v>
      </c>
      <c r="AZ180" s="70">
        <v>362.0</v>
      </c>
    </row>
    <row r="181" ht="22.5" customHeight="1">
      <c r="A181" s="70" t="str">
        <f t="shared" si="1"/>
        <v>Included</v>
      </c>
      <c r="B181" s="70">
        <f t="shared" si="2"/>
        <v>5</v>
      </c>
      <c r="C181" s="70">
        <v>1.0</v>
      </c>
      <c r="D181" s="70">
        <v>1.0</v>
      </c>
      <c r="E181" s="70">
        <v>1.0</v>
      </c>
      <c r="F181" s="70">
        <v>1.0</v>
      </c>
      <c r="G181" s="70">
        <v>1.0</v>
      </c>
      <c r="H181" s="70" t="s">
        <v>491</v>
      </c>
      <c r="I181" s="70">
        <v>9.0</v>
      </c>
      <c r="J181" s="70" t="s">
        <v>487</v>
      </c>
      <c r="K181" s="70" t="s">
        <v>488</v>
      </c>
      <c r="L181" s="70" t="s">
        <v>489</v>
      </c>
      <c r="M181" s="70" t="s">
        <v>490</v>
      </c>
      <c r="O181" s="75" t="s">
        <v>492</v>
      </c>
      <c r="P181" s="70">
        <v>2024.0</v>
      </c>
      <c r="Q181" s="70" t="s">
        <v>494</v>
      </c>
      <c r="U181" s="70" t="s">
        <v>401</v>
      </c>
      <c r="V181" s="70" t="s">
        <v>402</v>
      </c>
      <c r="W181" s="70" t="s">
        <v>496</v>
      </c>
      <c r="AW181" s="70" t="s">
        <v>497</v>
      </c>
      <c r="AX181" s="70">
        <v>0.0</v>
      </c>
      <c r="AY181" s="70" t="s">
        <v>22</v>
      </c>
      <c r="AZ181" s="70">
        <v>132.0</v>
      </c>
    </row>
    <row r="182" ht="22.5" customHeight="1">
      <c r="A182" s="70" t="str">
        <f t="shared" si="1"/>
        <v>Included</v>
      </c>
      <c r="B182" s="70">
        <f t="shared" si="2"/>
        <v>4</v>
      </c>
      <c r="C182" s="70">
        <v>1.0</v>
      </c>
      <c r="D182" s="70">
        <v>1.0</v>
      </c>
      <c r="E182" s="70">
        <v>1.0</v>
      </c>
      <c r="F182" s="70">
        <v>1.0</v>
      </c>
      <c r="G182" s="70">
        <v>0.0</v>
      </c>
      <c r="H182" s="70" t="s">
        <v>576</v>
      </c>
      <c r="I182" s="70">
        <v>17.0</v>
      </c>
      <c r="J182" s="70" t="s">
        <v>572</v>
      </c>
      <c r="K182" s="70" t="s">
        <v>573</v>
      </c>
      <c r="L182" s="70" t="s">
        <v>574</v>
      </c>
      <c r="M182" s="70" t="s">
        <v>575</v>
      </c>
      <c r="O182" s="75" t="s">
        <v>577</v>
      </c>
      <c r="P182" s="70">
        <v>2024.0</v>
      </c>
      <c r="Q182" s="70" t="s">
        <v>579</v>
      </c>
      <c r="U182" s="70" t="s">
        <v>401</v>
      </c>
      <c r="V182" s="70" t="s">
        <v>402</v>
      </c>
      <c r="W182" s="70" t="s">
        <v>581</v>
      </c>
      <c r="AW182" s="70" t="s">
        <v>582</v>
      </c>
      <c r="AZ182" s="70">
        <v>166.0</v>
      </c>
    </row>
    <row r="183" ht="22.5" customHeight="1">
      <c r="A183" s="70" t="str">
        <f t="shared" si="1"/>
        <v>Included</v>
      </c>
      <c r="B183" s="70">
        <f t="shared" si="2"/>
        <v>4</v>
      </c>
      <c r="C183" s="70">
        <v>1.0</v>
      </c>
      <c r="D183" s="70">
        <v>1.0</v>
      </c>
      <c r="E183" s="70">
        <v>1.0</v>
      </c>
      <c r="F183" s="70">
        <v>1.0</v>
      </c>
      <c r="G183" s="70">
        <v>0.0</v>
      </c>
      <c r="H183" s="70" t="s">
        <v>645</v>
      </c>
      <c r="I183" s="70">
        <v>23.0</v>
      </c>
      <c r="J183" s="70" t="s">
        <v>641</v>
      </c>
      <c r="K183" s="70" t="s">
        <v>642</v>
      </c>
      <c r="L183" s="70" t="s">
        <v>643</v>
      </c>
      <c r="M183" s="70" t="s">
        <v>644</v>
      </c>
      <c r="O183" s="75" t="s">
        <v>646</v>
      </c>
      <c r="P183" s="70">
        <v>2024.0</v>
      </c>
      <c r="Q183" s="70" t="s">
        <v>648</v>
      </c>
      <c r="U183" s="70" t="s">
        <v>401</v>
      </c>
      <c r="V183" s="70" t="s">
        <v>402</v>
      </c>
      <c r="W183" s="70" t="s">
        <v>29468</v>
      </c>
      <c r="AW183" s="70" t="s">
        <v>651</v>
      </c>
      <c r="AZ183" s="70">
        <v>650.0</v>
      </c>
    </row>
    <row r="184" ht="22.5" customHeight="1">
      <c r="A184" s="70" t="str">
        <f t="shared" si="1"/>
        <v>Included</v>
      </c>
      <c r="B184" s="70">
        <f t="shared" si="2"/>
        <v>1</v>
      </c>
      <c r="C184" s="70">
        <v>0.0</v>
      </c>
      <c r="D184" s="70">
        <v>0.0</v>
      </c>
      <c r="E184" s="70">
        <v>0.0</v>
      </c>
      <c r="F184" s="70">
        <v>0.0</v>
      </c>
      <c r="G184" s="70">
        <v>1.0</v>
      </c>
      <c r="H184" s="70" t="s">
        <v>657</v>
      </c>
      <c r="I184" s="70">
        <v>24.0</v>
      </c>
      <c r="J184" s="70" t="s">
        <v>653</v>
      </c>
      <c r="K184" s="70" t="s">
        <v>654</v>
      </c>
      <c r="L184" s="70" t="s">
        <v>655</v>
      </c>
      <c r="M184" s="70" t="s">
        <v>656</v>
      </c>
      <c r="O184" s="75" t="s">
        <v>658</v>
      </c>
      <c r="P184" s="70">
        <v>2024.0</v>
      </c>
      <c r="Q184" s="70" t="s">
        <v>659</v>
      </c>
      <c r="U184" s="70" t="s">
        <v>401</v>
      </c>
      <c r="V184" s="70" t="s">
        <v>402</v>
      </c>
      <c r="W184" s="70" t="s">
        <v>661</v>
      </c>
      <c r="AX184" s="70">
        <v>0.0</v>
      </c>
      <c r="AY184" s="70" t="s">
        <v>29316</v>
      </c>
      <c r="AZ184" s="70">
        <v>100.0</v>
      </c>
    </row>
    <row r="185" ht="22.5" customHeight="1">
      <c r="A185" s="70" t="str">
        <f t="shared" si="1"/>
        <v>Included</v>
      </c>
      <c r="B185" s="70">
        <f t="shared" si="2"/>
        <v>4</v>
      </c>
      <c r="C185" s="70">
        <v>1.0</v>
      </c>
      <c r="D185" s="70">
        <v>1.0</v>
      </c>
      <c r="E185" s="70">
        <v>1.0</v>
      </c>
      <c r="F185" s="70">
        <v>0.0</v>
      </c>
      <c r="G185" s="70">
        <v>1.0</v>
      </c>
      <c r="H185" s="70" t="s">
        <v>3683</v>
      </c>
      <c r="I185" s="70">
        <v>309.0</v>
      </c>
      <c r="J185" s="70" t="s">
        <v>3681</v>
      </c>
      <c r="K185" s="70" t="s">
        <v>3682</v>
      </c>
      <c r="L185" s="70" t="s">
        <v>3655</v>
      </c>
      <c r="N185" s="70" t="s">
        <v>3656</v>
      </c>
      <c r="O185" s="75" t="s">
        <v>3684</v>
      </c>
      <c r="P185" s="80">
        <v>45597.0</v>
      </c>
      <c r="W185" s="70" t="s">
        <v>29469</v>
      </c>
      <c r="AW185" s="70" t="s">
        <v>3687</v>
      </c>
      <c r="AX185" s="70">
        <v>0.0</v>
      </c>
      <c r="AY185" s="70" t="s">
        <v>22</v>
      </c>
      <c r="AZ185" s="70">
        <v>109.0</v>
      </c>
    </row>
    <row r="186" ht="22.5" customHeight="1">
      <c r="A186" s="70" t="str">
        <f t="shared" si="1"/>
        <v>Included</v>
      </c>
      <c r="B186" s="70">
        <f t="shared" si="2"/>
        <v>5</v>
      </c>
      <c r="C186" s="70">
        <v>1.0</v>
      </c>
      <c r="D186" s="70">
        <v>1.0</v>
      </c>
      <c r="E186" s="70">
        <v>1.0</v>
      </c>
      <c r="F186" s="70">
        <v>1.0</v>
      </c>
      <c r="G186" s="70">
        <v>1.0</v>
      </c>
      <c r="H186" s="70" t="s">
        <v>3675</v>
      </c>
      <c r="I186" s="70">
        <v>308.0</v>
      </c>
      <c r="J186" s="70" t="s">
        <v>3671</v>
      </c>
      <c r="K186" s="70" t="s">
        <v>3672</v>
      </c>
      <c r="L186" s="70" t="s">
        <v>3673</v>
      </c>
      <c r="N186" s="70" t="s">
        <v>3674</v>
      </c>
      <c r="O186" s="75" t="s">
        <v>3676</v>
      </c>
      <c r="P186" s="81">
        <v>45658.0</v>
      </c>
      <c r="W186" s="70" t="s">
        <v>3678</v>
      </c>
      <c r="AW186" s="70" t="s">
        <v>3679</v>
      </c>
      <c r="AX186" s="70">
        <v>0.0</v>
      </c>
      <c r="AY186" s="70" t="s">
        <v>22</v>
      </c>
      <c r="AZ186" s="70">
        <v>30.0</v>
      </c>
    </row>
    <row r="187" ht="22.5" customHeight="1">
      <c r="A187" s="70" t="str">
        <f t="shared" si="1"/>
        <v>Included</v>
      </c>
      <c r="B187" s="70">
        <f t="shared" si="2"/>
        <v>2</v>
      </c>
      <c r="C187" s="70">
        <v>0.0</v>
      </c>
      <c r="D187" s="70">
        <v>0.0</v>
      </c>
      <c r="E187" s="70">
        <v>1.0</v>
      </c>
      <c r="F187" s="70">
        <v>1.0</v>
      </c>
      <c r="G187" s="70">
        <v>0.0</v>
      </c>
      <c r="H187" s="70" t="s">
        <v>25503</v>
      </c>
      <c r="I187" s="70">
        <v>2775.0</v>
      </c>
      <c r="J187" s="70" t="s">
        <v>25501</v>
      </c>
      <c r="K187" s="70" t="s">
        <v>25502</v>
      </c>
      <c r="W187" s="70" t="s">
        <v>29470</v>
      </c>
      <c r="AI187" s="70" t="s">
        <v>25505</v>
      </c>
      <c r="AJ187" s="70" t="s">
        <v>25506</v>
      </c>
      <c r="AK187" s="70">
        <v>2023.0</v>
      </c>
      <c r="AL187" s="70" t="s">
        <v>25507</v>
      </c>
      <c r="AM187" s="70">
        <v>6641563.0</v>
      </c>
      <c r="AQ187" s="70">
        <v>2.0</v>
      </c>
      <c r="AR187" s="75" t="s">
        <v>25508</v>
      </c>
      <c r="AS187" s="70" t="s">
        <v>22525</v>
      </c>
      <c r="AT187" s="70" t="s">
        <v>22622</v>
      </c>
      <c r="AU187" s="70" t="s">
        <v>237</v>
      </c>
      <c r="AV187" s="70" t="s">
        <v>25509</v>
      </c>
      <c r="AW187" s="70" t="s">
        <v>25510</v>
      </c>
      <c r="AZ187" s="70">
        <v>1209.0</v>
      </c>
    </row>
    <row r="188" ht="22.5" customHeight="1">
      <c r="A188" s="70" t="str">
        <f t="shared" si="1"/>
        <v>Included</v>
      </c>
      <c r="B188" s="70">
        <f t="shared" si="2"/>
        <v>4</v>
      </c>
      <c r="C188" s="70">
        <v>1.0</v>
      </c>
      <c r="D188" s="70">
        <v>1.0</v>
      </c>
      <c r="E188" s="70">
        <v>1.0</v>
      </c>
      <c r="F188" s="70">
        <v>0.0</v>
      </c>
      <c r="G188" s="70">
        <v>1.0</v>
      </c>
      <c r="H188" s="70" t="s">
        <v>22593</v>
      </c>
      <c r="I188" s="70">
        <v>2496.0</v>
      </c>
      <c r="J188" s="70" t="s">
        <v>22591</v>
      </c>
      <c r="K188" s="70" t="s">
        <v>29471</v>
      </c>
      <c r="W188" s="70" t="s">
        <v>29472</v>
      </c>
      <c r="AA188" s="70" t="s">
        <v>22595</v>
      </c>
      <c r="AI188" s="70" t="s">
        <v>22596</v>
      </c>
      <c r="AJ188" s="70" t="s">
        <v>22597</v>
      </c>
      <c r="AK188" s="70">
        <v>2024.0</v>
      </c>
      <c r="AL188" s="70" t="s">
        <v>22598</v>
      </c>
      <c r="AN188" s="70">
        <v>3324.0</v>
      </c>
      <c r="AO188" s="70">
        <v>3338.0</v>
      </c>
      <c r="AP188" s="70">
        <v>14.0</v>
      </c>
      <c r="AQ188" s="70">
        <v>0.0</v>
      </c>
      <c r="AR188" s="75" t="s">
        <v>22599</v>
      </c>
      <c r="AS188" s="70" t="s">
        <v>22525</v>
      </c>
      <c r="AU188" s="70" t="s">
        <v>237</v>
      </c>
      <c r="AV188" s="70" t="s">
        <v>22600</v>
      </c>
      <c r="AW188" s="70" t="s">
        <v>22601</v>
      </c>
      <c r="AX188" s="70">
        <v>0.0</v>
      </c>
      <c r="AY188" s="70" t="s">
        <v>22</v>
      </c>
      <c r="AZ188" s="70">
        <v>138.0</v>
      </c>
    </row>
    <row r="189" ht="22.5" customHeight="1">
      <c r="A189" s="70" t="str">
        <f t="shared" si="1"/>
        <v>Included</v>
      </c>
      <c r="B189" s="70">
        <f t="shared" si="2"/>
        <v>5</v>
      </c>
      <c r="C189" s="70">
        <v>1.0</v>
      </c>
      <c r="D189" s="70">
        <v>1.0</v>
      </c>
      <c r="E189" s="70">
        <v>1.0</v>
      </c>
      <c r="F189" s="70">
        <v>1.0</v>
      </c>
      <c r="G189" s="70">
        <v>1.0</v>
      </c>
      <c r="H189" s="70" t="s">
        <v>28301</v>
      </c>
      <c r="I189" s="70">
        <v>3048.0</v>
      </c>
      <c r="J189" s="70" t="s">
        <v>28128</v>
      </c>
      <c r="K189" s="70" t="s">
        <v>28300</v>
      </c>
      <c r="W189" s="70" t="s">
        <v>29473</v>
      </c>
      <c r="AA189" s="70" t="s">
        <v>28303</v>
      </c>
      <c r="AI189" s="70" t="s">
        <v>28133</v>
      </c>
      <c r="AJ189" s="70" t="s">
        <v>28134</v>
      </c>
      <c r="AK189" s="70">
        <v>2021.0</v>
      </c>
      <c r="AL189" s="70" t="s">
        <v>26726</v>
      </c>
      <c r="AN189" s="70">
        <v>586.0</v>
      </c>
      <c r="AO189" s="70">
        <v>593.0</v>
      </c>
      <c r="AP189" s="70">
        <v>7.0</v>
      </c>
      <c r="AQ189" s="70">
        <v>15.0</v>
      </c>
      <c r="AR189" s="75" t="s">
        <v>28304</v>
      </c>
      <c r="AS189" s="70" t="s">
        <v>22525</v>
      </c>
      <c r="AT189" s="70" t="s">
        <v>22643</v>
      </c>
      <c r="AU189" s="70" t="s">
        <v>237</v>
      </c>
      <c r="AV189" s="70" t="s">
        <v>28305</v>
      </c>
      <c r="AW189" s="70" t="s">
        <v>28306</v>
      </c>
      <c r="AX189" s="70">
        <v>0.0</v>
      </c>
      <c r="AY189" s="70" t="s">
        <v>22</v>
      </c>
      <c r="AZ189" s="70">
        <v>139.0</v>
      </c>
    </row>
    <row r="190" ht="22.5" customHeight="1">
      <c r="A190" s="70" t="str">
        <f t="shared" si="1"/>
        <v>Included</v>
      </c>
      <c r="B190" s="70">
        <f t="shared" si="2"/>
        <v>5</v>
      </c>
      <c r="C190" s="70">
        <v>1.0</v>
      </c>
      <c r="D190" s="70">
        <v>1.0</v>
      </c>
      <c r="E190" s="70">
        <v>1.0</v>
      </c>
      <c r="F190" s="70">
        <v>1.0</v>
      </c>
      <c r="G190" s="70">
        <v>1.0</v>
      </c>
      <c r="H190" s="70" t="s">
        <v>28130</v>
      </c>
      <c r="I190" s="70">
        <v>3031.0</v>
      </c>
      <c r="J190" s="70" t="s">
        <v>28128</v>
      </c>
      <c r="K190" s="70" t="s">
        <v>28129</v>
      </c>
      <c r="W190" s="70" t="s">
        <v>29474</v>
      </c>
      <c r="AA190" s="70" t="s">
        <v>28132</v>
      </c>
      <c r="AI190" s="70" t="s">
        <v>28133</v>
      </c>
      <c r="AJ190" s="70" t="s">
        <v>28134</v>
      </c>
      <c r="AK190" s="70">
        <v>2021.0</v>
      </c>
      <c r="AL190" s="70" t="s">
        <v>26726</v>
      </c>
      <c r="AN190" s="70">
        <v>594.0</v>
      </c>
      <c r="AO190" s="70">
        <v>601.0</v>
      </c>
      <c r="AP190" s="70">
        <v>7.0</v>
      </c>
      <c r="AQ190" s="70">
        <v>33.0</v>
      </c>
      <c r="AR190" s="75" t="s">
        <v>28135</v>
      </c>
      <c r="AS190" s="70" t="s">
        <v>22525</v>
      </c>
      <c r="AT190" s="70" t="s">
        <v>22643</v>
      </c>
      <c r="AU190" s="70" t="s">
        <v>237</v>
      </c>
      <c r="AV190" s="70" t="s">
        <v>28136</v>
      </c>
      <c r="AW190" s="70" t="s">
        <v>28137</v>
      </c>
      <c r="AX190" s="70">
        <v>0.0</v>
      </c>
      <c r="AY190" s="70" t="s">
        <v>22</v>
      </c>
      <c r="AZ190" s="70">
        <v>129.0</v>
      </c>
    </row>
    <row r="191" ht="22.5" customHeight="1">
      <c r="A191" s="70" t="str">
        <f t="shared" si="1"/>
        <v>Included</v>
      </c>
      <c r="B191" s="70">
        <f t="shared" si="2"/>
        <v>5</v>
      </c>
      <c r="C191" s="70">
        <v>1.0</v>
      </c>
      <c r="D191" s="70">
        <v>1.0</v>
      </c>
      <c r="E191" s="70">
        <v>1.0</v>
      </c>
      <c r="F191" s="70">
        <v>1.0</v>
      </c>
      <c r="G191" s="70">
        <v>1.0</v>
      </c>
      <c r="H191" s="70" t="s">
        <v>29131</v>
      </c>
      <c r="I191" s="70">
        <v>3129.0</v>
      </c>
      <c r="J191" s="70" t="s">
        <v>29129</v>
      </c>
      <c r="K191" s="70" t="s">
        <v>29130</v>
      </c>
      <c r="W191" s="70" t="s">
        <v>29475</v>
      </c>
      <c r="AA191" s="70" t="s">
        <v>29133</v>
      </c>
      <c r="AI191" s="70" t="s">
        <v>29134</v>
      </c>
      <c r="AJ191" s="70" t="s">
        <v>29135</v>
      </c>
      <c r="AK191" s="70">
        <v>2019.0</v>
      </c>
      <c r="AL191" s="70" t="s">
        <v>29136</v>
      </c>
      <c r="AN191" s="70">
        <v>561.0</v>
      </c>
      <c r="AO191" s="70">
        <v>570.0</v>
      </c>
      <c r="AP191" s="70">
        <v>9.0</v>
      </c>
      <c r="AQ191" s="70">
        <v>2.0</v>
      </c>
      <c r="AR191" s="75" t="s">
        <v>29137</v>
      </c>
      <c r="AS191" s="70" t="s">
        <v>22525</v>
      </c>
      <c r="AT191" s="70" t="s">
        <v>22622</v>
      </c>
      <c r="AU191" s="70" t="s">
        <v>237</v>
      </c>
      <c r="AV191" s="70" t="s">
        <v>29138</v>
      </c>
      <c r="AX191" s="70">
        <v>0.0</v>
      </c>
      <c r="AY191" s="70" t="s">
        <v>22</v>
      </c>
      <c r="AZ191" s="70">
        <v>115.0</v>
      </c>
    </row>
    <row r="192" ht="22.5" customHeight="1">
      <c r="A192" s="70" t="str">
        <f t="shared" si="1"/>
        <v>Included</v>
      </c>
      <c r="B192" s="70">
        <f t="shared" si="2"/>
        <v>4</v>
      </c>
      <c r="C192" s="70">
        <v>1.0</v>
      </c>
      <c r="D192" s="70">
        <v>1.0</v>
      </c>
      <c r="E192" s="70">
        <v>1.0</v>
      </c>
      <c r="F192" s="70">
        <v>1.0</v>
      </c>
      <c r="G192" s="70">
        <v>0.0</v>
      </c>
      <c r="H192" s="70" t="s">
        <v>25180</v>
      </c>
      <c r="I192" s="70">
        <v>2744.0</v>
      </c>
      <c r="J192" s="70" t="s">
        <v>25178</v>
      </c>
      <c r="K192" s="70" t="s">
        <v>25179</v>
      </c>
      <c r="W192" s="70" t="s">
        <v>29476</v>
      </c>
      <c r="AA192" s="70" t="s">
        <v>25182</v>
      </c>
      <c r="AI192" s="70" t="s">
        <v>25183</v>
      </c>
      <c r="AJ192" s="70" t="s">
        <v>25184</v>
      </c>
      <c r="AK192" s="70">
        <v>2023.0</v>
      </c>
      <c r="AL192" s="70" t="s">
        <v>25185</v>
      </c>
      <c r="AN192" s="70">
        <v>2388.0</v>
      </c>
      <c r="AO192" s="70">
        <v>2396.0</v>
      </c>
      <c r="AP192" s="70">
        <v>8.0</v>
      </c>
      <c r="AQ192" s="70">
        <v>5.0</v>
      </c>
      <c r="AR192" s="75" t="s">
        <v>25186</v>
      </c>
      <c r="AS192" s="70" t="s">
        <v>22525</v>
      </c>
      <c r="AT192" s="70" t="s">
        <v>22526</v>
      </c>
      <c r="AU192" s="70" t="s">
        <v>237</v>
      </c>
      <c r="AV192" s="70" t="s">
        <v>25187</v>
      </c>
      <c r="AX192" s="70">
        <v>0.0</v>
      </c>
      <c r="AY192" s="70" t="s">
        <v>24</v>
      </c>
      <c r="AZ192" s="70">
        <v>2964.0</v>
      </c>
    </row>
    <row r="193" ht="22.5" customHeight="1">
      <c r="A193" s="70" t="str">
        <f t="shared" si="1"/>
        <v>Included</v>
      </c>
      <c r="B193" s="70">
        <f t="shared" si="2"/>
        <v>1</v>
      </c>
      <c r="C193" s="70">
        <v>0.0</v>
      </c>
      <c r="D193" s="70">
        <v>0.0</v>
      </c>
      <c r="E193" s="70">
        <v>1.0</v>
      </c>
      <c r="F193" s="70">
        <v>0.0</v>
      </c>
      <c r="G193" s="70">
        <v>0.0</v>
      </c>
      <c r="H193" s="70" t="s">
        <v>27412</v>
      </c>
      <c r="I193" s="70">
        <v>2961.0</v>
      </c>
      <c r="J193" s="70" t="s">
        <v>27410</v>
      </c>
      <c r="K193" s="70" t="s">
        <v>27411</v>
      </c>
      <c r="W193" s="70" t="s">
        <v>29477</v>
      </c>
      <c r="AA193" s="70" t="s">
        <v>27414</v>
      </c>
      <c r="AI193" s="70" t="s">
        <v>27415</v>
      </c>
      <c r="AJ193" s="70">
        <v>5.7203517108E10</v>
      </c>
      <c r="AK193" s="70">
        <v>2021.0</v>
      </c>
      <c r="AL193" s="70" t="s">
        <v>27416</v>
      </c>
      <c r="AN193" s="70">
        <v>3691.0</v>
      </c>
      <c r="AO193" s="70">
        <v>3697.0</v>
      </c>
      <c r="AP193" s="70">
        <v>6.0</v>
      </c>
      <c r="AQ193" s="70">
        <v>1.0</v>
      </c>
      <c r="AR193" s="75" t="s">
        <v>27417</v>
      </c>
      <c r="AS193" s="70" t="s">
        <v>22525</v>
      </c>
      <c r="AT193" s="70" t="s">
        <v>22622</v>
      </c>
      <c r="AU193" s="70" t="s">
        <v>237</v>
      </c>
      <c r="AV193" s="70" t="s">
        <v>27418</v>
      </c>
      <c r="AZ193" s="70">
        <v>1033.0</v>
      </c>
    </row>
    <row r="194" ht="22.5" customHeight="1">
      <c r="A194" s="70" t="str">
        <f t="shared" si="1"/>
        <v>Included</v>
      </c>
      <c r="B194" s="70">
        <f t="shared" si="2"/>
        <v>4</v>
      </c>
      <c r="C194" s="70">
        <v>1.0</v>
      </c>
      <c r="D194" s="70">
        <v>1.0</v>
      </c>
      <c r="E194" s="70">
        <v>1.0</v>
      </c>
      <c r="F194" s="70">
        <v>1.0</v>
      </c>
      <c r="G194" s="70">
        <v>0.0</v>
      </c>
      <c r="H194" s="70" t="s">
        <v>29160</v>
      </c>
      <c r="I194" s="70">
        <v>3132.0</v>
      </c>
      <c r="J194" s="70" t="s">
        <v>28931</v>
      </c>
      <c r="K194" s="70" t="s">
        <v>29159</v>
      </c>
      <c r="W194" s="70" t="s">
        <v>29478</v>
      </c>
      <c r="AI194" s="70" t="s">
        <v>28936</v>
      </c>
      <c r="AJ194" s="70" t="s">
        <v>28937</v>
      </c>
      <c r="AK194" s="70">
        <v>2017.0</v>
      </c>
      <c r="AL194" s="70" t="s">
        <v>29162</v>
      </c>
      <c r="AM194" s="70">
        <v>8065706.0</v>
      </c>
      <c r="AN194" s="70">
        <v>24.0</v>
      </c>
      <c r="AO194" s="70">
        <v>29.0</v>
      </c>
      <c r="AP194" s="70">
        <v>5.0</v>
      </c>
      <c r="AQ194" s="70">
        <v>6.0</v>
      </c>
      <c r="AR194" s="75" t="s">
        <v>29163</v>
      </c>
      <c r="AS194" s="70" t="s">
        <v>22525</v>
      </c>
      <c r="AU194" s="70" t="s">
        <v>237</v>
      </c>
      <c r="AV194" s="70" t="s">
        <v>29164</v>
      </c>
      <c r="AW194" s="70" t="s">
        <v>29165</v>
      </c>
      <c r="AX194" s="70">
        <v>0.0</v>
      </c>
      <c r="AY194" s="70" t="s">
        <v>24</v>
      </c>
      <c r="AZ194" s="70">
        <v>1927.0</v>
      </c>
    </row>
    <row r="195" ht="22.5" customHeight="1">
      <c r="A195" s="70" t="str">
        <f t="shared" si="1"/>
        <v>Included</v>
      </c>
      <c r="B195" s="70">
        <f t="shared" si="2"/>
        <v>4</v>
      </c>
      <c r="C195" s="70">
        <v>1.0</v>
      </c>
      <c r="D195" s="70">
        <v>1.0</v>
      </c>
      <c r="E195" s="70">
        <v>1.0</v>
      </c>
      <c r="F195" s="70">
        <v>0.0</v>
      </c>
      <c r="G195" s="70">
        <v>1.0</v>
      </c>
      <c r="H195" s="70" t="s">
        <v>9197</v>
      </c>
      <c r="I195" s="70">
        <v>896.0</v>
      </c>
      <c r="J195" s="70" t="s">
        <v>29479</v>
      </c>
      <c r="K195" s="70" t="s">
        <v>9196</v>
      </c>
      <c r="L195" s="70" t="s">
        <v>4761</v>
      </c>
      <c r="P195" s="76">
        <v>42929.0</v>
      </c>
      <c r="U195" s="70" t="s">
        <v>239</v>
      </c>
      <c r="W195" s="70" t="s">
        <v>9199</v>
      </c>
      <c r="X195" s="70" t="s">
        <v>4765</v>
      </c>
      <c r="Z195" s="75" t="s">
        <v>9200</v>
      </c>
      <c r="AC195" s="70">
        <v>1.0</v>
      </c>
      <c r="AE195" s="70">
        <v>25.0</v>
      </c>
      <c r="AW195" s="70" t="s">
        <v>9201</v>
      </c>
      <c r="AX195" s="70">
        <v>0.0</v>
      </c>
      <c r="AY195" s="70" t="s">
        <v>22</v>
      </c>
      <c r="AZ195" s="70">
        <v>103.0</v>
      </c>
    </row>
    <row r="196" ht="22.5" customHeight="1">
      <c r="A196" s="70" t="str">
        <f t="shared" si="1"/>
        <v>Included</v>
      </c>
      <c r="B196" s="70">
        <f t="shared" si="2"/>
        <v>5</v>
      </c>
      <c r="C196" s="70">
        <v>1.0</v>
      </c>
      <c r="D196" s="70">
        <v>1.0</v>
      </c>
      <c r="E196" s="70">
        <v>1.0</v>
      </c>
      <c r="F196" s="70">
        <v>1.0</v>
      </c>
      <c r="G196" s="70">
        <v>1.0</v>
      </c>
      <c r="H196" s="70" t="s">
        <v>5763</v>
      </c>
      <c r="I196" s="70">
        <v>543.0</v>
      </c>
      <c r="J196" s="70" t="s">
        <v>29480</v>
      </c>
      <c r="K196" s="70" t="s">
        <v>5760</v>
      </c>
      <c r="L196" s="70" t="s">
        <v>5761</v>
      </c>
      <c r="N196" s="70" t="s">
        <v>5762</v>
      </c>
      <c r="P196" s="76">
        <v>44890.0</v>
      </c>
      <c r="U196" s="70" t="s">
        <v>239</v>
      </c>
      <c r="W196" s="70" t="s">
        <v>5765</v>
      </c>
      <c r="X196" s="70" t="s">
        <v>5766</v>
      </c>
      <c r="Y196" s="70" t="s">
        <v>29481</v>
      </c>
      <c r="Z196" s="75" t="s">
        <v>5768</v>
      </c>
      <c r="AA196" s="70" t="s">
        <v>5769</v>
      </c>
      <c r="AC196" s="70">
        <v>9.0</v>
      </c>
      <c r="AE196" s="70">
        <v>8.0</v>
      </c>
      <c r="AW196" s="70" t="s">
        <v>5770</v>
      </c>
      <c r="AX196" s="70">
        <v>0.0</v>
      </c>
      <c r="AY196" s="70" t="s">
        <v>22</v>
      </c>
      <c r="AZ196" s="70">
        <v>11.0</v>
      </c>
    </row>
    <row r="197" ht="22.5" customHeight="1">
      <c r="A197" s="70" t="str">
        <f t="shared" si="1"/>
        <v>Included</v>
      </c>
      <c r="B197" s="70">
        <f t="shared" si="2"/>
        <v>5</v>
      </c>
      <c r="C197" s="70">
        <v>1.0</v>
      </c>
      <c r="D197" s="70">
        <v>1.0</v>
      </c>
      <c r="E197" s="70">
        <v>1.0</v>
      </c>
      <c r="F197" s="70">
        <v>1.0</v>
      </c>
      <c r="G197" s="70">
        <v>1.0</v>
      </c>
      <c r="H197" s="70" t="s">
        <v>23869</v>
      </c>
      <c r="I197" s="70">
        <v>2617.0</v>
      </c>
      <c r="J197" s="70" t="s">
        <v>29482</v>
      </c>
      <c r="K197" s="70" t="s">
        <v>23868</v>
      </c>
      <c r="W197" s="70" t="s">
        <v>29483</v>
      </c>
      <c r="AA197" s="70" t="s">
        <v>23871</v>
      </c>
      <c r="AI197" s="70" t="s">
        <v>29484</v>
      </c>
      <c r="AJ197" s="70" t="s">
        <v>23873</v>
      </c>
      <c r="AK197" s="70">
        <v>2024.0</v>
      </c>
      <c r="AL197" s="70" t="s">
        <v>23874</v>
      </c>
      <c r="AN197" s="70">
        <v>1089.0</v>
      </c>
      <c r="AO197" s="70">
        <v>1098.0</v>
      </c>
      <c r="AP197" s="70">
        <v>9.0</v>
      </c>
      <c r="AQ197" s="70">
        <v>0.0</v>
      </c>
      <c r="AR197" s="75" t="s">
        <v>23875</v>
      </c>
      <c r="AS197" s="70" t="s">
        <v>22525</v>
      </c>
      <c r="AT197" s="70" t="s">
        <v>22622</v>
      </c>
      <c r="AU197" s="70" t="s">
        <v>237</v>
      </c>
      <c r="AV197" s="70" t="s">
        <v>23876</v>
      </c>
      <c r="AW197" s="70" t="s">
        <v>23877</v>
      </c>
      <c r="AX197" s="70">
        <v>0.0</v>
      </c>
      <c r="AY197" s="70" t="s">
        <v>22</v>
      </c>
      <c r="AZ197" s="70">
        <v>10.0</v>
      </c>
    </row>
    <row r="198" ht="22.5" customHeight="1">
      <c r="A198" s="70" t="str">
        <f t="shared" si="1"/>
        <v>Included</v>
      </c>
      <c r="B198" s="70">
        <f t="shared" si="2"/>
        <v>4</v>
      </c>
      <c r="C198" s="70">
        <v>1.0</v>
      </c>
      <c r="D198" s="70">
        <v>1.0</v>
      </c>
      <c r="E198" s="70">
        <v>1.0</v>
      </c>
      <c r="F198" s="70">
        <v>1.0</v>
      </c>
      <c r="G198" s="70">
        <v>0.0</v>
      </c>
      <c r="H198" s="70" t="s">
        <v>29240</v>
      </c>
      <c r="I198" s="70">
        <v>3140.0</v>
      </c>
      <c r="J198" s="70" t="s">
        <v>29238</v>
      </c>
      <c r="K198" s="70" t="s">
        <v>29239</v>
      </c>
      <c r="W198" s="70" t="s">
        <v>29485</v>
      </c>
      <c r="AA198" s="70" t="s">
        <v>29242</v>
      </c>
      <c r="AI198" s="70" t="s">
        <v>29243</v>
      </c>
      <c r="AJ198" s="70" t="s">
        <v>29244</v>
      </c>
      <c r="AK198" s="70">
        <v>2018.0</v>
      </c>
      <c r="AL198" s="70" t="s">
        <v>29245</v>
      </c>
      <c r="AN198" s="70">
        <v>95.0</v>
      </c>
      <c r="AO198" s="70">
        <v>106.0</v>
      </c>
      <c r="AP198" s="70">
        <v>11.0</v>
      </c>
      <c r="AQ198" s="70">
        <v>0.0</v>
      </c>
      <c r="AR198" s="75" t="s">
        <v>29246</v>
      </c>
      <c r="AS198" s="70" t="s">
        <v>22525</v>
      </c>
      <c r="AT198" s="70" t="s">
        <v>22656</v>
      </c>
      <c r="AU198" s="70" t="s">
        <v>237</v>
      </c>
      <c r="AV198" s="70" t="s">
        <v>29247</v>
      </c>
      <c r="AX198" s="70">
        <v>0.0</v>
      </c>
      <c r="AY198" s="70" t="s">
        <v>29381</v>
      </c>
      <c r="AZ198" s="70">
        <v>2193.0</v>
      </c>
    </row>
    <row r="199" ht="22.5" customHeight="1">
      <c r="A199" s="70" t="str">
        <f t="shared" si="1"/>
        <v>Included</v>
      </c>
      <c r="B199" s="70">
        <f t="shared" si="2"/>
        <v>5</v>
      </c>
      <c r="C199" s="70">
        <v>1.0</v>
      </c>
      <c r="D199" s="70">
        <v>1.0</v>
      </c>
      <c r="E199" s="70">
        <v>1.0</v>
      </c>
      <c r="F199" s="70">
        <v>1.0</v>
      </c>
      <c r="G199" s="70">
        <v>1.0</v>
      </c>
      <c r="H199" s="70" t="s">
        <v>21200</v>
      </c>
      <c r="I199" s="70">
        <v>2335.0</v>
      </c>
      <c r="J199" s="70" t="s">
        <v>21198</v>
      </c>
      <c r="K199" s="70" t="s">
        <v>21199</v>
      </c>
      <c r="L199" s="70" t="s">
        <v>19901</v>
      </c>
      <c r="N199" s="70" t="s">
        <v>19902</v>
      </c>
      <c r="P199" s="76">
        <v>45546.0</v>
      </c>
      <c r="U199" s="70" t="s">
        <v>19904</v>
      </c>
      <c r="W199" s="70" t="s">
        <v>21202</v>
      </c>
      <c r="Y199" s="70" t="s">
        <v>29486</v>
      </c>
      <c r="Z199" s="75" t="s">
        <v>21204</v>
      </c>
      <c r="AA199" s="70" t="s">
        <v>21205</v>
      </c>
      <c r="AC199" s="70">
        <v>1.0</v>
      </c>
      <c r="AE199" s="70">
        <v>117.0</v>
      </c>
      <c r="AW199" s="70" t="s">
        <v>21206</v>
      </c>
      <c r="AX199" s="70">
        <v>0.0</v>
      </c>
      <c r="AY199" s="70" t="s">
        <v>22</v>
      </c>
      <c r="AZ199" s="70">
        <v>114.0</v>
      </c>
    </row>
    <row r="200" ht="22.5" customHeight="1">
      <c r="A200" s="70" t="str">
        <f t="shared" si="1"/>
        <v>Included</v>
      </c>
      <c r="B200" s="70">
        <f t="shared" si="2"/>
        <v>5</v>
      </c>
      <c r="C200" s="70">
        <v>1.0</v>
      </c>
      <c r="D200" s="70">
        <v>1.0</v>
      </c>
      <c r="E200" s="70">
        <v>1.0</v>
      </c>
      <c r="F200" s="70">
        <v>1.0</v>
      </c>
      <c r="G200" s="70">
        <v>1.0</v>
      </c>
      <c r="H200" s="70" t="s">
        <v>26092</v>
      </c>
      <c r="I200" s="70">
        <v>2832.0</v>
      </c>
      <c r="J200" s="70" t="s">
        <v>26090</v>
      </c>
      <c r="K200" s="70" t="s">
        <v>26091</v>
      </c>
      <c r="W200" s="70" t="s">
        <v>29487</v>
      </c>
      <c r="AA200" s="70" t="s">
        <v>26094</v>
      </c>
      <c r="AI200" s="70" t="s">
        <v>26095</v>
      </c>
      <c r="AJ200" s="70" t="s">
        <v>26096</v>
      </c>
      <c r="AK200" s="70">
        <v>2022.0</v>
      </c>
      <c r="AL200" s="70" t="s">
        <v>23168</v>
      </c>
      <c r="AM200" s="70">
        <v>5793.0</v>
      </c>
      <c r="AQ200" s="70">
        <v>20.0</v>
      </c>
      <c r="AR200" s="75" t="s">
        <v>26097</v>
      </c>
      <c r="AS200" s="70" t="s">
        <v>22525</v>
      </c>
      <c r="AT200" s="70" t="s">
        <v>22622</v>
      </c>
      <c r="AU200" s="70" t="s">
        <v>237</v>
      </c>
      <c r="AV200" s="70" t="s">
        <v>26098</v>
      </c>
      <c r="AX200" s="70">
        <v>0.0</v>
      </c>
      <c r="AY200" s="70" t="s">
        <v>22</v>
      </c>
      <c r="AZ200" s="70">
        <v>25.0</v>
      </c>
    </row>
    <row r="201" ht="22.5" customHeight="1">
      <c r="A201" s="70" t="str">
        <f t="shared" si="1"/>
        <v>Included</v>
      </c>
      <c r="B201" s="70">
        <f t="shared" si="2"/>
        <v>5</v>
      </c>
      <c r="C201" s="70">
        <v>1.0</v>
      </c>
      <c r="D201" s="70">
        <v>1.0</v>
      </c>
      <c r="E201" s="70">
        <v>1.0</v>
      </c>
      <c r="F201" s="70">
        <v>1.0</v>
      </c>
      <c r="G201" s="70">
        <v>1.0</v>
      </c>
      <c r="H201" s="70" t="s">
        <v>26326</v>
      </c>
      <c r="I201" s="70">
        <v>2855.0</v>
      </c>
      <c r="J201" s="70" t="s">
        <v>26324</v>
      </c>
      <c r="K201" s="70" t="s">
        <v>26325</v>
      </c>
      <c r="W201" s="70" t="s">
        <v>29488</v>
      </c>
      <c r="AA201" s="70" t="s">
        <v>26328</v>
      </c>
      <c r="AI201" s="70" t="s">
        <v>26329</v>
      </c>
      <c r="AJ201" s="70" t="s">
        <v>26330</v>
      </c>
      <c r="AK201" s="70">
        <v>2022.0</v>
      </c>
      <c r="AL201" s="70" t="s">
        <v>23168</v>
      </c>
      <c r="AM201" s="70">
        <v>11650.0</v>
      </c>
      <c r="AQ201" s="70">
        <v>10.0</v>
      </c>
      <c r="AR201" s="75" t="s">
        <v>26331</v>
      </c>
      <c r="AS201" s="70" t="s">
        <v>22525</v>
      </c>
      <c r="AT201" s="70" t="s">
        <v>22622</v>
      </c>
      <c r="AU201" s="70" t="s">
        <v>237</v>
      </c>
      <c r="AV201" s="70" t="s">
        <v>26332</v>
      </c>
      <c r="AX201" s="70">
        <v>0.0</v>
      </c>
      <c r="AY201" s="70" t="s">
        <v>22</v>
      </c>
      <c r="AZ201" s="70">
        <v>76.0</v>
      </c>
    </row>
    <row r="202" ht="22.5" customHeight="1">
      <c r="A202" s="70" t="str">
        <f t="shared" si="1"/>
        <v>Included</v>
      </c>
      <c r="B202" s="70">
        <f t="shared" si="2"/>
        <v>1</v>
      </c>
      <c r="C202" s="70">
        <v>0.0</v>
      </c>
      <c r="D202" s="70">
        <v>0.0</v>
      </c>
      <c r="E202" s="70">
        <v>0.0</v>
      </c>
      <c r="F202" s="70">
        <v>0.0</v>
      </c>
      <c r="G202" s="70">
        <v>1.0</v>
      </c>
      <c r="H202" s="70" t="s">
        <v>23163</v>
      </c>
      <c r="I202" s="70">
        <v>2549.0</v>
      </c>
      <c r="J202" s="70" t="s">
        <v>23161</v>
      </c>
      <c r="K202" s="70" t="s">
        <v>23162</v>
      </c>
      <c r="W202" s="70" t="s">
        <v>29489</v>
      </c>
      <c r="AA202" s="70" t="s">
        <v>23165</v>
      </c>
      <c r="AI202" s="70" t="s">
        <v>29490</v>
      </c>
      <c r="AJ202" s="70" t="s">
        <v>23167</v>
      </c>
      <c r="AK202" s="70">
        <v>2024.0</v>
      </c>
      <c r="AL202" s="70" t="s">
        <v>23168</v>
      </c>
      <c r="AM202" s="70">
        <v>7456.0</v>
      </c>
      <c r="AQ202" s="70">
        <v>1.0</v>
      </c>
      <c r="AR202" s="75" t="s">
        <v>23169</v>
      </c>
      <c r="AS202" s="70" t="s">
        <v>22525</v>
      </c>
      <c r="AT202" s="70" t="s">
        <v>22622</v>
      </c>
      <c r="AU202" s="70" t="s">
        <v>237</v>
      </c>
      <c r="AV202" s="70" t="s">
        <v>23170</v>
      </c>
      <c r="AW202" s="70" t="s">
        <v>23171</v>
      </c>
      <c r="AX202" s="70">
        <v>0.0</v>
      </c>
      <c r="AY202" s="70" t="s">
        <v>29491</v>
      </c>
      <c r="AZ202" s="70">
        <v>88.0</v>
      </c>
    </row>
    <row r="203" ht="22.5" customHeight="1">
      <c r="A203" s="70" t="str">
        <f t="shared" si="1"/>
        <v>Included</v>
      </c>
      <c r="B203" s="70">
        <f t="shared" si="2"/>
        <v>5</v>
      </c>
      <c r="C203" s="70">
        <v>1.0</v>
      </c>
      <c r="D203" s="70">
        <v>1.0</v>
      </c>
      <c r="E203" s="70">
        <v>1.0</v>
      </c>
      <c r="F203" s="70">
        <v>1.0</v>
      </c>
      <c r="G203" s="70">
        <v>1.0</v>
      </c>
      <c r="H203" s="70" t="s">
        <v>28414</v>
      </c>
      <c r="I203" s="70">
        <v>3059.0</v>
      </c>
      <c r="J203" s="70" t="s">
        <v>28412</v>
      </c>
      <c r="K203" s="70" t="s">
        <v>28413</v>
      </c>
      <c r="W203" s="70" t="s">
        <v>29492</v>
      </c>
      <c r="AA203" s="70" t="s">
        <v>28416</v>
      </c>
      <c r="AI203" s="70" t="s">
        <v>28417</v>
      </c>
      <c r="AJ203" s="70" t="s">
        <v>28418</v>
      </c>
      <c r="AK203" s="70">
        <v>2021.0</v>
      </c>
      <c r="AL203" s="70" t="s">
        <v>23242</v>
      </c>
      <c r="AM203" s="70">
        <v>1460.0</v>
      </c>
      <c r="AQ203" s="70">
        <v>7.0</v>
      </c>
      <c r="AR203" s="75" t="s">
        <v>28419</v>
      </c>
      <c r="AS203" s="70" t="s">
        <v>22525</v>
      </c>
      <c r="AT203" s="70" t="s">
        <v>22622</v>
      </c>
      <c r="AU203" s="70" t="s">
        <v>237</v>
      </c>
      <c r="AV203" s="70" t="s">
        <v>28420</v>
      </c>
      <c r="AX203" s="70">
        <v>0.0</v>
      </c>
      <c r="AY203" s="70" t="s">
        <v>22</v>
      </c>
      <c r="AZ203" s="70">
        <v>50.0</v>
      </c>
    </row>
    <row r="204" ht="22.5" customHeight="1">
      <c r="A204" s="70" t="str">
        <f t="shared" si="1"/>
        <v>Included</v>
      </c>
      <c r="B204" s="70">
        <f t="shared" si="2"/>
        <v>3</v>
      </c>
      <c r="C204" s="70">
        <v>1.0</v>
      </c>
      <c r="D204" s="70">
        <v>1.0</v>
      </c>
      <c r="E204" s="70">
        <v>1.0</v>
      </c>
      <c r="F204" s="70">
        <v>0.0</v>
      </c>
      <c r="G204" s="70">
        <v>0.0</v>
      </c>
      <c r="H204" s="70" t="s">
        <v>26345</v>
      </c>
      <c r="I204" s="70">
        <v>2857.0</v>
      </c>
      <c r="J204" s="70" t="s">
        <v>26343</v>
      </c>
      <c r="K204" s="70" t="s">
        <v>26344</v>
      </c>
      <c r="W204" s="70" t="s">
        <v>29493</v>
      </c>
      <c r="AA204" s="70" t="s">
        <v>26347</v>
      </c>
      <c r="AI204" s="70" t="s">
        <v>26348</v>
      </c>
      <c r="AJ204" s="70" t="s">
        <v>26349</v>
      </c>
      <c r="AK204" s="70">
        <v>2023.0</v>
      </c>
      <c r="AL204" s="70" t="s">
        <v>23242</v>
      </c>
      <c r="AM204" s="70">
        <v>17.0</v>
      </c>
      <c r="AQ204" s="70">
        <v>8.0</v>
      </c>
      <c r="AR204" s="75" t="s">
        <v>26350</v>
      </c>
      <c r="AS204" s="70" t="s">
        <v>22525</v>
      </c>
      <c r="AT204" s="70" t="s">
        <v>22622</v>
      </c>
      <c r="AU204" s="70" t="s">
        <v>237</v>
      </c>
      <c r="AV204" s="70" t="s">
        <v>26351</v>
      </c>
      <c r="AX204" s="70">
        <v>0.0</v>
      </c>
      <c r="AY204" s="70" t="s">
        <v>24</v>
      </c>
      <c r="AZ204" s="70">
        <v>2586.0</v>
      </c>
    </row>
    <row r="205" ht="22.5" customHeight="1">
      <c r="A205" s="70" t="str">
        <f t="shared" si="1"/>
        <v>Included</v>
      </c>
      <c r="B205" s="70">
        <f t="shared" si="2"/>
        <v>5</v>
      </c>
      <c r="C205" s="70">
        <v>1.0</v>
      </c>
      <c r="D205" s="70">
        <v>1.0</v>
      </c>
      <c r="E205" s="70">
        <v>1.0</v>
      </c>
      <c r="F205" s="70">
        <v>1.0</v>
      </c>
      <c r="G205" s="70">
        <v>1.0</v>
      </c>
      <c r="H205" s="70" t="s">
        <v>28733</v>
      </c>
      <c r="I205" s="70">
        <v>3090.0</v>
      </c>
      <c r="J205" s="70" t="s">
        <v>28731</v>
      </c>
      <c r="K205" s="70" t="s">
        <v>28732</v>
      </c>
      <c r="W205" s="70" t="s">
        <v>29494</v>
      </c>
      <c r="AA205" s="70" t="s">
        <v>28735</v>
      </c>
      <c r="AI205" s="70" t="s">
        <v>28736</v>
      </c>
      <c r="AJ205" s="70" t="s">
        <v>28737</v>
      </c>
      <c r="AK205" s="70">
        <v>2019.0</v>
      </c>
      <c r="AL205" s="70" t="s">
        <v>25244</v>
      </c>
      <c r="AM205" s="70">
        <v>360.0</v>
      </c>
      <c r="AQ205" s="70">
        <v>6.0</v>
      </c>
      <c r="AR205" s="75" t="s">
        <v>28738</v>
      </c>
      <c r="AS205" s="70" t="s">
        <v>22525</v>
      </c>
      <c r="AT205" s="70" t="s">
        <v>22622</v>
      </c>
      <c r="AU205" s="70" t="s">
        <v>237</v>
      </c>
      <c r="AV205" s="70" t="s">
        <v>28739</v>
      </c>
      <c r="AW205" s="70" t="s">
        <v>28740</v>
      </c>
      <c r="AX205" s="70">
        <v>0.0</v>
      </c>
      <c r="AY205" s="70" t="s">
        <v>22</v>
      </c>
      <c r="AZ205" s="70">
        <v>57.0</v>
      </c>
    </row>
    <row r="206" ht="22.5" customHeight="1">
      <c r="A206" s="70" t="str">
        <f t="shared" si="1"/>
        <v>Included</v>
      </c>
      <c r="B206" s="70">
        <f t="shared" si="2"/>
        <v>4</v>
      </c>
      <c r="C206" s="70">
        <v>1.0</v>
      </c>
      <c r="D206" s="70">
        <v>1.0</v>
      </c>
      <c r="E206" s="70">
        <v>1.0</v>
      </c>
      <c r="F206" s="70">
        <v>1.0</v>
      </c>
      <c r="G206" s="70">
        <v>0.0</v>
      </c>
      <c r="H206" s="70" t="s">
        <v>26509</v>
      </c>
      <c r="I206" s="70">
        <v>2873.0</v>
      </c>
      <c r="J206" s="70" t="s">
        <v>29495</v>
      </c>
      <c r="K206" s="70" t="s">
        <v>26508</v>
      </c>
      <c r="W206" s="70" t="s">
        <v>29496</v>
      </c>
      <c r="AA206" s="70" t="s">
        <v>26511</v>
      </c>
      <c r="AI206" s="70" t="s">
        <v>29497</v>
      </c>
      <c r="AJ206" s="70" t="s">
        <v>26513</v>
      </c>
      <c r="AK206" s="70">
        <v>2022.0</v>
      </c>
      <c r="AL206" s="70" t="s">
        <v>25244</v>
      </c>
      <c r="AM206" s="70">
        <v>5516.0</v>
      </c>
      <c r="AQ206" s="70">
        <v>7.0</v>
      </c>
      <c r="AR206" s="75" t="s">
        <v>26514</v>
      </c>
      <c r="AS206" s="70" t="s">
        <v>22525</v>
      </c>
      <c r="AT206" s="70" t="s">
        <v>22622</v>
      </c>
      <c r="AU206" s="70" t="s">
        <v>237</v>
      </c>
      <c r="AV206" s="70" t="s">
        <v>26515</v>
      </c>
      <c r="AW206" s="70" t="s">
        <v>26516</v>
      </c>
      <c r="AX206" s="70">
        <v>0.0</v>
      </c>
      <c r="AY206" s="70" t="s">
        <v>24</v>
      </c>
      <c r="AZ206" s="70">
        <v>2056.0</v>
      </c>
    </row>
    <row r="207" ht="22.5" customHeight="1">
      <c r="A207" s="70" t="str">
        <f t="shared" si="1"/>
        <v>Included</v>
      </c>
      <c r="B207" s="70">
        <f t="shared" si="2"/>
        <v>5</v>
      </c>
      <c r="C207" s="70">
        <v>1.0</v>
      </c>
      <c r="D207" s="70">
        <v>1.0</v>
      </c>
      <c r="E207" s="70">
        <v>1.0</v>
      </c>
      <c r="F207" s="70">
        <v>1.0</v>
      </c>
      <c r="G207" s="70">
        <v>1.0</v>
      </c>
      <c r="H207" s="70" t="s">
        <v>23393</v>
      </c>
      <c r="I207" s="70">
        <v>2571.0</v>
      </c>
      <c r="J207" s="70" t="s">
        <v>23391</v>
      </c>
      <c r="K207" s="70" t="s">
        <v>23392</v>
      </c>
      <c r="W207" s="70" t="s">
        <v>29498</v>
      </c>
      <c r="AA207" s="70" t="s">
        <v>23395</v>
      </c>
      <c r="AI207" s="70" t="s">
        <v>23396</v>
      </c>
      <c r="AJ207" s="70" t="s">
        <v>23397</v>
      </c>
      <c r="AK207" s="70">
        <v>2024.0</v>
      </c>
      <c r="AL207" s="70" t="s">
        <v>23398</v>
      </c>
      <c r="AM207" s="70">
        <v>296.0</v>
      </c>
      <c r="AQ207" s="70">
        <v>1.0</v>
      </c>
      <c r="AR207" s="75" t="s">
        <v>23399</v>
      </c>
      <c r="AS207" s="70" t="s">
        <v>22525</v>
      </c>
      <c r="AU207" s="70" t="s">
        <v>237</v>
      </c>
      <c r="AV207" s="70" t="s">
        <v>23400</v>
      </c>
      <c r="AW207" s="70" t="s">
        <v>23401</v>
      </c>
      <c r="AX207" s="70">
        <v>0.0</v>
      </c>
      <c r="AY207" s="70" t="s">
        <v>22</v>
      </c>
      <c r="AZ207" s="70">
        <v>126.0</v>
      </c>
    </row>
    <row r="208" ht="22.5" customHeight="1">
      <c r="A208" s="70" t="str">
        <f t="shared" si="1"/>
        <v>Included</v>
      </c>
      <c r="B208" s="70">
        <f t="shared" si="2"/>
        <v>2</v>
      </c>
      <c r="C208" s="70">
        <v>1.0</v>
      </c>
      <c r="D208" s="70">
        <v>0.0</v>
      </c>
      <c r="E208" s="70">
        <v>1.0</v>
      </c>
      <c r="F208" s="70">
        <v>0.0</v>
      </c>
      <c r="G208" s="70">
        <v>0.0</v>
      </c>
      <c r="H208" s="70" t="s">
        <v>27668</v>
      </c>
      <c r="I208" s="70">
        <v>2986.0</v>
      </c>
      <c r="J208" s="70" t="s">
        <v>27666</v>
      </c>
      <c r="K208" s="70" t="s">
        <v>27667</v>
      </c>
      <c r="W208" s="70" t="s">
        <v>29499</v>
      </c>
      <c r="AA208" s="70" t="s">
        <v>27670</v>
      </c>
      <c r="AI208" s="70" t="s">
        <v>29500</v>
      </c>
      <c r="AJ208" s="70" t="s">
        <v>27672</v>
      </c>
      <c r="AK208" s="70">
        <v>2021.0</v>
      </c>
      <c r="AL208" s="70" t="s">
        <v>22900</v>
      </c>
      <c r="AM208" s="70">
        <v>1611.0</v>
      </c>
      <c r="AQ208" s="70">
        <v>27.0</v>
      </c>
      <c r="AR208" s="75" t="s">
        <v>27673</v>
      </c>
      <c r="AS208" s="70" t="s">
        <v>22525</v>
      </c>
      <c r="AT208" s="70" t="s">
        <v>22643</v>
      </c>
      <c r="AU208" s="70" t="s">
        <v>237</v>
      </c>
      <c r="AV208" s="70" t="s">
        <v>27674</v>
      </c>
      <c r="AZ208" s="70">
        <v>898.0</v>
      </c>
    </row>
    <row r="209" ht="22.5" customHeight="1">
      <c r="A209" s="70" t="str">
        <f t="shared" si="1"/>
        <v>Included</v>
      </c>
      <c r="B209" s="70">
        <f t="shared" si="2"/>
        <v>5</v>
      </c>
      <c r="C209" s="70">
        <v>1.0</v>
      </c>
      <c r="D209" s="70">
        <v>1.0</v>
      </c>
      <c r="E209" s="70">
        <v>1.0</v>
      </c>
      <c r="F209" s="70">
        <v>1.0</v>
      </c>
      <c r="G209" s="70">
        <v>1.0</v>
      </c>
      <c r="H209" s="70" t="s">
        <v>28890</v>
      </c>
      <c r="I209" s="70">
        <v>3105.0</v>
      </c>
      <c r="J209" s="70" t="s">
        <v>29501</v>
      </c>
      <c r="K209" s="70" t="s">
        <v>28889</v>
      </c>
      <c r="W209" s="70" t="s">
        <v>29502</v>
      </c>
      <c r="AA209" s="70" t="s">
        <v>28892</v>
      </c>
      <c r="AI209" s="70" t="s">
        <v>29503</v>
      </c>
      <c r="AJ209" s="70" t="s">
        <v>28894</v>
      </c>
      <c r="AK209" s="70">
        <v>2020.0</v>
      </c>
      <c r="AL209" s="70" t="s">
        <v>27816</v>
      </c>
      <c r="AM209" s="70">
        <v>2418.0</v>
      </c>
      <c r="AQ209" s="70">
        <v>71.0</v>
      </c>
      <c r="AR209" s="75" t="s">
        <v>28895</v>
      </c>
      <c r="AS209" s="70" t="s">
        <v>22525</v>
      </c>
      <c r="AT209" s="70" t="s">
        <v>22643</v>
      </c>
      <c r="AU209" s="70" t="s">
        <v>237</v>
      </c>
      <c r="AV209" s="70" t="s">
        <v>28896</v>
      </c>
      <c r="AW209" s="70" t="s">
        <v>28897</v>
      </c>
      <c r="AX209" s="70">
        <v>0.0</v>
      </c>
      <c r="AY209" s="70" t="s">
        <v>22</v>
      </c>
      <c r="AZ209" s="70">
        <v>55.0</v>
      </c>
    </row>
    <row r="210" ht="22.5" customHeight="1">
      <c r="A210" s="70" t="str">
        <f t="shared" si="1"/>
        <v>Included</v>
      </c>
      <c r="B210" s="70">
        <f t="shared" si="2"/>
        <v>4</v>
      </c>
      <c r="C210" s="70">
        <v>1.0</v>
      </c>
      <c r="D210" s="70">
        <v>1.0</v>
      </c>
      <c r="E210" s="70">
        <v>1.0</v>
      </c>
      <c r="F210" s="70">
        <v>1.0</v>
      </c>
      <c r="G210" s="70">
        <v>0.0</v>
      </c>
      <c r="H210" s="70" t="s">
        <v>28495</v>
      </c>
      <c r="I210" s="70">
        <v>3067.0</v>
      </c>
      <c r="J210" s="70" t="s">
        <v>28493</v>
      </c>
      <c r="K210" s="70" t="s">
        <v>28494</v>
      </c>
      <c r="W210" s="70" t="s">
        <v>29504</v>
      </c>
      <c r="AA210" s="70" t="s">
        <v>28497</v>
      </c>
      <c r="AI210" s="70" t="s">
        <v>28498</v>
      </c>
      <c r="AJ210" s="70" t="s">
        <v>28499</v>
      </c>
      <c r="AK210" s="70">
        <v>2021.0</v>
      </c>
      <c r="AL210" s="70" t="s">
        <v>22802</v>
      </c>
      <c r="AM210" s="70">
        <v>3349.0</v>
      </c>
      <c r="AQ210" s="70">
        <v>36.0</v>
      </c>
      <c r="AR210" s="75" t="s">
        <v>28500</v>
      </c>
      <c r="AS210" s="70" t="s">
        <v>22525</v>
      </c>
      <c r="AT210" s="70" t="s">
        <v>22643</v>
      </c>
      <c r="AU210" s="70" t="s">
        <v>237</v>
      </c>
      <c r="AV210" s="70" t="s">
        <v>28501</v>
      </c>
      <c r="AW210" s="70" t="s">
        <v>28502</v>
      </c>
      <c r="AX210" s="70">
        <v>0.0</v>
      </c>
      <c r="AY210" s="70" t="s">
        <v>24</v>
      </c>
      <c r="AZ210" s="70">
        <v>3016.0</v>
      </c>
    </row>
    <row r="211" ht="22.5" customHeight="1">
      <c r="A211" s="70" t="str">
        <f t="shared" si="1"/>
        <v>Included</v>
      </c>
      <c r="B211" s="70">
        <f t="shared" si="2"/>
        <v>3</v>
      </c>
      <c r="C211" s="70">
        <v>1.0</v>
      </c>
      <c r="D211" s="70">
        <v>1.0</v>
      </c>
      <c r="E211" s="70">
        <v>1.0</v>
      </c>
      <c r="F211" s="70">
        <v>0.0</v>
      </c>
      <c r="G211" s="70">
        <v>0.0</v>
      </c>
      <c r="H211" s="70" t="s">
        <v>27345</v>
      </c>
      <c r="I211" s="70">
        <v>2954.0</v>
      </c>
      <c r="J211" s="70" t="s">
        <v>29505</v>
      </c>
      <c r="K211" s="70" t="s">
        <v>27344</v>
      </c>
      <c r="W211" s="70" t="s">
        <v>29506</v>
      </c>
      <c r="AA211" s="70" t="s">
        <v>27347</v>
      </c>
      <c r="AI211" s="70" t="s">
        <v>29507</v>
      </c>
      <c r="AJ211" s="70" t="s">
        <v>27349</v>
      </c>
      <c r="AK211" s="70">
        <v>2021.0</v>
      </c>
      <c r="AL211" s="70" t="s">
        <v>22802</v>
      </c>
      <c r="AM211" s="70">
        <v>8061.0</v>
      </c>
      <c r="AQ211" s="70">
        <v>16.0</v>
      </c>
      <c r="AR211" s="75" t="s">
        <v>27350</v>
      </c>
      <c r="AS211" s="70" t="s">
        <v>22525</v>
      </c>
      <c r="AT211" s="70" t="s">
        <v>22643</v>
      </c>
      <c r="AU211" s="70" t="s">
        <v>237</v>
      </c>
      <c r="AV211" s="70" t="s">
        <v>27351</v>
      </c>
      <c r="AW211" s="70" t="s">
        <v>27352</v>
      </c>
      <c r="AX211" s="70">
        <v>0.0</v>
      </c>
      <c r="AY211" s="70" t="s">
        <v>24</v>
      </c>
      <c r="AZ211" s="70">
        <v>2064.0</v>
      </c>
    </row>
    <row r="212" ht="22.5" customHeight="1">
      <c r="A212" s="70" t="str">
        <f t="shared" si="1"/>
        <v>Included</v>
      </c>
      <c r="B212" s="70">
        <f t="shared" si="2"/>
        <v>4</v>
      </c>
      <c r="C212" s="70">
        <v>1.0</v>
      </c>
      <c r="D212" s="70">
        <v>1.0</v>
      </c>
      <c r="E212" s="70">
        <v>1.0</v>
      </c>
      <c r="F212" s="70">
        <v>1.0</v>
      </c>
      <c r="G212" s="70">
        <v>0.0</v>
      </c>
      <c r="H212" s="70" t="s">
        <v>25493</v>
      </c>
      <c r="I212" s="70">
        <v>2774.0</v>
      </c>
      <c r="J212" s="70" t="s">
        <v>25491</v>
      </c>
      <c r="K212" s="70" t="s">
        <v>25492</v>
      </c>
      <c r="W212" s="70" t="s">
        <v>29508</v>
      </c>
      <c r="AA212" s="70" t="s">
        <v>25495</v>
      </c>
      <c r="AI212" s="70" t="s">
        <v>25496</v>
      </c>
      <c r="AJ212" s="70" t="s">
        <v>25497</v>
      </c>
      <c r="AK212" s="70">
        <v>2023.0</v>
      </c>
      <c r="AL212" s="70" t="s">
        <v>22802</v>
      </c>
      <c r="AM212" s="70">
        <v>6117.0</v>
      </c>
      <c r="AQ212" s="70">
        <v>27.0</v>
      </c>
      <c r="AR212" s="75" t="s">
        <v>25498</v>
      </c>
      <c r="AS212" s="70" t="s">
        <v>22525</v>
      </c>
      <c r="AT212" s="70" t="s">
        <v>22643</v>
      </c>
      <c r="AU212" s="70" t="s">
        <v>237</v>
      </c>
      <c r="AV212" s="70" t="s">
        <v>25499</v>
      </c>
      <c r="AW212" s="70" t="s">
        <v>25500</v>
      </c>
      <c r="AX212" s="70">
        <v>0.0</v>
      </c>
      <c r="AY212" s="70" t="s">
        <v>24</v>
      </c>
      <c r="AZ212" s="70">
        <v>2162.0</v>
      </c>
    </row>
    <row r="213" ht="22.5" customHeight="1">
      <c r="A213" s="70" t="str">
        <f t="shared" si="1"/>
        <v>Included</v>
      </c>
      <c r="B213" s="70">
        <f t="shared" si="2"/>
        <v>5</v>
      </c>
      <c r="C213" s="70">
        <v>1.0</v>
      </c>
      <c r="D213" s="70">
        <v>1.0</v>
      </c>
      <c r="E213" s="70">
        <v>1.0</v>
      </c>
      <c r="F213" s="70">
        <v>1.0</v>
      </c>
      <c r="G213" s="70">
        <v>1.0</v>
      </c>
      <c r="H213" s="70" t="s">
        <v>25323</v>
      </c>
      <c r="I213" s="70">
        <v>2758.0</v>
      </c>
      <c r="J213" s="70" t="s">
        <v>25321</v>
      </c>
      <c r="K213" s="70" t="s">
        <v>25322</v>
      </c>
      <c r="W213" s="70" t="s">
        <v>29509</v>
      </c>
      <c r="AA213" s="70" t="s">
        <v>25325</v>
      </c>
      <c r="AI213" s="70" t="s">
        <v>25326</v>
      </c>
      <c r="AJ213" s="70" t="s">
        <v>25327</v>
      </c>
      <c r="AK213" s="70">
        <v>2023.0</v>
      </c>
      <c r="AL213" s="70" t="s">
        <v>22802</v>
      </c>
      <c r="AM213" s="70">
        <v>7142.0</v>
      </c>
      <c r="AQ213" s="70">
        <v>4.0</v>
      </c>
      <c r="AR213" s="75" t="s">
        <v>25328</v>
      </c>
      <c r="AS213" s="70" t="s">
        <v>22525</v>
      </c>
      <c r="AT213" s="70" t="s">
        <v>22643</v>
      </c>
      <c r="AU213" s="70" t="s">
        <v>237</v>
      </c>
      <c r="AV213" s="70" t="s">
        <v>25329</v>
      </c>
      <c r="AW213" s="70" t="s">
        <v>25330</v>
      </c>
      <c r="AX213" s="70">
        <v>0.0</v>
      </c>
      <c r="AY213" s="70" t="s">
        <v>22</v>
      </c>
      <c r="AZ213" s="70">
        <v>32.0</v>
      </c>
    </row>
    <row r="214" ht="22.5" customHeight="1">
      <c r="A214" s="70" t="str">
        <f t="shared" si="1"/>
        <v>Included</v>
      </c>
      <c r="B214" s="70">
        <f t="shared" si="2"/>
        <v>3</v>
      </c>
      <c r="C214" s="70">
        <v>1.0</v>
      </c>
      <c r="D214" s="70">
        <v>1.0</v>
      </c>
      <c r="E214" s="70">
        <v>1.0</v>
      </c>
      <c r="F214" s="70">
        <v>0.0</v>
      </c>
      <c r="G214" s="70">
        <v>0.0</v>
      </c>
      <c r="H214" s="70" t="s">
        <v>24099</v>
      </c>
      <c r="I214" s="70">
        <v>2639.0</v>
      </c>
      <c r="J214" s="70" t="s">
        <v>24097</v>
      </c>
      <c r="K214" s="70" t="s">
        <v>24098</v>
      </c>
      <c r="W214" s="70" t="s">
        <v>29510</v>
      </c>
      <c r="AA214" s="70" t="s">
        <v>24101</v>
      </c>
      <c r="AI214" s="70" t="s">
        <v>24102</v>
      </c>
      <c r="AJ214" s="70" t="s">
        <v>24103</v>
      </c>
      <c r="AK214" s="70">
        <v>2024.0</v>
      </c>
      <c r="AL214" s="70" t="s">
        <v>22802</v>
      </c>
      <c r="AM214" s="70">
        <v>2435.0</v>
      </c>
      <c r="AQ214" s="70">
        <v>3.0</v>
      </c>
      <c r="AR214" s="75" t="s">
        <v>24104</v>
      </c>
      <c r="AS214" s="70" t="s">
        <v>22525</v>
      </c>
      <c r="AT214" s="70" t="s">
        <v>22643</v>
      </c>
      <c r="AU214" s="70" t="s">
        <v>237</v>
      </c>
      <c r="AV214" s="70" t="s">
        <v>24105</v>
      </c>
      <c r="AW214" s="70" t="s">
        <v>24106</v>
      </c>
      <c r="AX214" s="70">
        <v>0.0</v>
      </c>
      <c r="AY214" s="70" t="s">
        <v>24</v>
      </c>
      <c r="AZ214" s="70">
        <v>3024.0</v>
      </c>
    </row>
    <row r="215" ht="22.5" customHeight="1">
      <c r="A215" s="70" t="str">
        <f t="shared" si="1"/>
        <v>Included</v>
      </c>
      <c r="B215" s="70">
        <f t="shared" si="2"/>
        <v>4</v>
      </c>
      <c r="C215" s="70">
        <v>1.0</v>
      </c>
      <c r="D215" s="70">
        <v>1.0</v>
      </c>
      <c r="E215" s="70">
        <v>1.0</v>
      </c>
      <c r="F215" s="70">
        <v>1.0</v>
      </c>
      <c r="G215" s="70">
        <v>0.0</v>
      </c>
      <c r="H215" s="70" t="s">
        <v>23069</v>
      </c>
      <c r="I215" s="70">
        <v>2540.0</v>
      </c>
      <c r="J215" s="70" t="s">
        <v>23067</v>
      </c>
      <c r="K215" s="70" t="s">
        <v>23068</v>
      </c>
      <c r="W215" s="70" t="s">
        <v>29511</v>
      </c>
      <c r="AA215" s="70" t="s">
        <v>23071</v>
      </c>
      <c r="AI215" s="70" t="s">
        <v>23072</v>
      </c>
      <c r="AJ215" s="70" t="s">
        <v>23073</v>
      </c>
      <c r="AK215" s="70">
        <v>2024.0</v>
      </c>
      <c r="AL215" s="70" t="s">
        <v>25285</v>
      </c>
      <c r="AM215" s="70">
        <v>5738.0</v>
      </c>
      <c r="AQ215" s="70">
        <v>0.0</v>
      </c>
      <c r="AR215" s="75" t="s">
        <v>23075</v>
      </c>
      <c r="AS215" s="70" t="s">
        <v>22525</v>
      </c>
      <c r="AT215" s="70" t="s">
        <v>22622</v>
      </c>
      <c r="AU215" s="70" t="s">
        <v>237</v>
      </c>
      <c r="AV215" s="70" t="s">
        <v>23076</v>
      </c>
      <c r="AW215" s="70" t="s">
        <v>23077</v>
      </c>
      <c r="AX215" s="70">
        <v>0.0</v>
      </c>
      <c r="AY215" s="70" t="s">
        <v>24</v>
      </c>
      <c r="AZ215" s="70">
        <v>2013.0</v>
      </c>
    </row>
    <row r="216" ht="22.5" customHeight="1">
      <c r="A216" s="70" t="str">
        <f t="shared" si="1"/>
        <v>Included</v>
      </c>
      <c r="B216" s="70">
        <f t="shared" si="2"/>
        <v>5</v>
      </c>
      <c r="C216" s="70">
        <v>1.0</v>
      </c>
      <c r="D216" s="70">
        <v>1.0</v>
      </c>
      <c r="E216" s="70">
        <v>1.0</v>
      </c>
      <c r="F216" s="70">
        <v>1.0</v>
      </c>
      <c r="G216" s="70">
        <v>1.0</v>
      </c>
      <c r="I216" s="70">
        <v>10.0</v>
      </c>
      <c r="J216" s="70" t="s">
        <v>499</v>
      </c>
      <c r="K216" s="70" t="s">
        <v>500</v>
      </c>
      <c r="L216" s="70" t="s">
        <v>501</v>
      </c>
      <c r="P216" s="70">
        <v>2023.0</v>
      </c>
      <c r="Q216" s="70" t="s">
        <v>503</v>
      </c>
      <c r="U216" s="70" t="s">
        <v>401</v>
      </c>
      <c r="V216" s="70" t="s">
        <v>402</v>
      </c>
      <c r="W216" s="70" t="s">
        <v>505</v>
      </c>
      <c r="AW216" s="70" t="s">
        <v>506</v>
      </c>
      <c r="AX216" s="70">
        <v>0.0</v>
      </c>
      <c r="AY216" s="70" t="s">
        <v>22</v>
      </c>
      <c r="AZ216" s="70">
        <v>29.0</v>
      </c>
    </row>
    <row r="217" ht="22.5" customHeight="1">
      <c r="A217" s="70" t="str">
        <f t="shared" si="1"/>
        <v>Excluded</v>
      </c>
      <c r="B217" s="70">
        <f t="shared" si="2"/>
        <v>0</v>
      </c>
      <c r="C217" s="70">
        <v>0.0</v>
      </c>
      <c r="D217" s="70">
        <v>0.0</v>
      </c>
      <c r="E217" s="70">
        <v>0.0</v>
      </c>
      <c r="F217" s="70">
        <v>0.0</v>
      </c>
      <c r="G217" s="70">
        <v>0.0</v>
      </c>
      <c r="H217" s="70" t="s">
        <v>25408</v>
      </c>
      <c r="I217" s="70">
        <v>2766.0</v>
      </c>
      <c r="J217" s="70" t="s">
        <v>25406</v>
      </c>
      <c r="K217" s="70" t="s">
        <v>25407</v>
      </c>
      <c r="W217" s="70" t="s">
        <v>29512</v>
      </c>
      <c r="AA217" s="70" t="s">
        <v>25410</v>
      </c>
      <c r="AI217" s="70" t="s">
        <v>25411</v>
      </c>
      <c r="AJ217" s="70" t="s">
        <v>25412</v>
      </c>
      <c r="AK217" s="70">
        <v>2023.0</v>
      </c>
      <c r="AL217" s="70" t="s">
        <v>25413</v>
      </c>
      <c r="AN217" s="70">
        <v>3309.0</v>
      </c>
      <c r="AO217" s="70">
        <v>3325.0</v>
      </c>
      <c r="AP217" s="70">
        <v>16.0</v>
      </c>
      <c r="AQ217" s="70">
        <v>18.0</v>
      </c>
      <c r="AR217" s="75" t="s">
        <v>25414</v>
      </c>
      <c r="AS217" s="70" t="s">
        <v>22525</v>
      </c>
      <c r="AU217" s="70" t="s">
        <v>237</v>
      </c>
      <c r="AV217" s="70" t="s">
        <v>25415</v>
      </c>
      <c r="AW217" s="70" t="s">
        <v>25416</v>
      </c>
      <c r="AZ217" s="70">
        <v>1109.0</v>
      </c>
    </row>
    <row r="218" ht="22.5" customHeight="1">
      <c r="A218" s="70" t="str">
        <f t="shared" si="1"/>
        <v>Excluded</v>
      </c>
      <c r="B218" s="70">
        <f t="shared" si="2"/>
        <v>0</v>
      </c>
      <c r="C218" s="70">
        <v>0.0</v>
      </c>
      <c r="D218" s="70">
        <v>0.0</v>
      </c>
      <c r="E218" s="70">
        <v>0.0</v>
      </c>
      <c r="F218" s="70">
        <v>0.0</v>
      </c>
      <c r="G218" s="70">
        <v>0.0</v>
      </c>
      <c r="H218" s="70" t="s">
        <v>28350</v>
      </c>
      <c r="I218" s="70">
        <v>3053.0</v>
      </c>
      <c r="J218" s="70" t="s">
        <v>28348</v>
      </c>
      <c r="K218" s="70" t="s">
        <v>28349</v>
      </c>
      <c r="W218" s="70" t="s">
        <v>29513</v>
      </c>
      <c r="AA218" s="70" t="s">
        <v>28352</v>
      </c>
      <c r="AI218" s="70" t="s">
        <v>28353</v>
      </c>
      <c r="AJ218" s="70" t="s">
        <v>28354</v>
      </c>
      <c r="AK218" s="70">
        <v>2020.0</v>
      </c>
      <c r="AL218" s="70" t="s">
        <v>24007</v>
      </c>
      <c r="AM218" s="70" t="s">
        <v>28355</v>
      </c>
      <c r="AQ218" s="70">
        <v>33.0</v>
      </c>
      <c r="AR218" s="75" t="s">
        <v>28356</v>
      </c>
      <c r="AS218" s="70" t="s">
        <v>22525</v>
      </c>
      <c r="AT218" s="70" t="s">
        <v>23606</v>
      </c>
      <c r="AU218" s="70" t="s">
        <v>237</v>
      </c>
      <c r="AV218" s="70" t="s">
        <v>28357</v>
      </c>
      <c r="AW218" s="70" t="s">
        <v>28358</v>
      </c>
      <c r="AX218" s="70">
        <v>0.0</v>
      </c>
      <c r="AY218" s="70" t="s">
        <v>24</v>
      </c>
      <c r="AZ218" s="70">
        <v>2850.0</v>
      </c>
    </row>
    <row r="219" ht="22.5" customHeight="1">
      <c r="A219" s="70" t="str">
        <f t="shared" si="1"/>
        <v>Excluded</v>
      </c>
      <c r="B219" s="70">
        <f t="shared" si="2"/>
        <v>0</v>
      </c>
      <c r="C219" s="70">
        <v>0.0</v>
      </c>
      <c r="D219" s="70">
        <v>0.0</v>
      </c>
      <c r="E219" s="70">
        <v>0.0</v>
      </c>
      <c r="F219" s="70">
        <v>0.0</v>
      </c>
      <c r="G219" s="70">
        <v>0.0</v>
      </c>
      <c r="H219" s="70" t="s">
        <v>28393</v>
      </c>
      <c r="I219" s="70">
        <v>3057.0</v>
      </c>
      <c r="J219" s="70" t="s">
        <v>28391</v>
      </c>
      <c r="K219" s="70" t="s">
        <v>28392</v>
      </c>
      <c r="W219" s="70" t="s">
        <v>29514</v>
      </c>
      <c r="AA219" s="70" t="s">
        <v>28395</v>
      </c>
      <c r="AI219" s="70" t="s">
        <v>28396</v>
      </c>
      <c r="AJ219" s="70" t="s">
        <v>28397</v>
      </c>
      <c r="AK219" s="70">
        <v>2020.0</v>
      </c>
      <c r="AL219" s="70" t="s">
        <v>24007</v>
      </c>
      <c r="AM219" s="70" t="s">
        <v>28398</v>
      </c>
      <c r="AQ219" s="70">
        <v>81.0</v>
      </c>
      <c r="AR219" s="75" t="s">
        <v>28399</v>
      </c>
      <c r="AS219" s="70" t="s">
        <v>22525</v>
      </c>
      <c r="AU219" s="70" t="s">
        <v>237</v>
      </c>
      <c r="AV219" s="70" t="s">
        <v>28400</v>
      </c>
      <c r="AW219" s="70" t="s">
        <v>28401</v>
      </c>
      <c r="AX219" s="70">
        <v>0.0</v>
      </c>
      <c r="AY219" s="70" t="s">
        <v>24</v>
      </c>
      <c r="AZ219" s="70">
        <v>2040.0</v>
      </c>
    </row>
    <row r="220" ht="22.5" customHeight="1">
      <c r="A220" s="70" t="str">
        <f t="shared" si="1"/>
        <v>Excluded</v>
      </c>
      <c r="B220" s="70">
        <f t="shared" si="2"/>
        <v>0</v>
      </c>
      <c r="C220" s="70">
        <v>0.0</v>
      </c>
      <c r="D220" s="70">
        <v>0.0</v>
      </c>
      <c r="E220" s="70">
        <v>0.0</v>
      </c>
      <c r="F220" s="70">
        <v>0.0</v>
      </c>
      <c r="G220" s="70">
        <v>0.0</v>
      </c>
      <c r="H220" s="70" t="s">
        <v>26530</v>
      </c>
      <c r="I220" s="70">
        <v>2875.0</v>
      </c>
      <c r="J220" s="70" t="s">
        <v>26528</v>
      </c>
      <c r="K220" s="70" t="s">
        <v>26529</v>
      </c>
      <c r="W220" s="70" t="s">
        <v>29515</v>
      </c>
      <c r="AA220" s="70" t="s">
        <v>26532</v>
      </c>
      <c r="AI220" s="70" t="s">
        <v>26533</v>
      </c>
      <c r="AJ220" s="70" t="s">
        <v>26534</v>
      </c>
      <c r="AK220" s="70">
        <v>2022.0</v>
      </c>
      <c r="AL220" s="70" t="s">
        <v>24007</v>
      </c>
      <c r="AM220" s="70" t="s">
        <v>26535</v>
      </c>
      <c r="AQ220" s="70">
        <v>1.0</v>
      </c>
      <c r="AR220" s="75" t="s">
        <v>26536</v>
      </c>
      <c r="AS220" s="70" t="s">
        <v>22525</v>
      </c>
      <c r="AU220" s="70" t="s">
        <v>237</v>
      </c>
      <c r="AV220" s="70" t="s">
        <v>26537</v>
      </c>
      <c r="AW220" s="70" t="s">
        <v>26538</v>
      </c>
      <c r="AZ220" s="70">
        <v>148.0</v>
      </c>
    </row>
    <row r="221" ht="22.5" customHeight="1">
      <c r="A221" s="70" t="str">
        <f t="shared" si="1"/>
        <v>Excluded</v>
      </c>
      <c r="B221" s="70">
        <f t="shared" si="2"/>
        <v>0</v>
      </c>
      <c r="C221" s="70">
        <v>0.0</v>
      </c>
      <c r="D221" s="70">
        <v>0.0</v>
      </c>
      <c r="E221" s="70">
        <v>0.0</v>
      </c>
      <c r="F221" s="70">
        <v>0.0</v>
      </c>
      <c r="G221" s="70">
        <v>0.0</v>
      </c>
      <c r="H221" s="70" t="s">
        <v>24002</v>
      </c>
      <c r="I221" s="70">
        <v>2630.0</v>
      </c>
      <c r="J221" s="70" t="s">
        <v>24000</v>
      </c>
      <c r="K221" s="70" t="s">
        <v>24001</v>
      </c>
      <c r="W221" s="70" t="s">
        <v>29516</v>
      </c>
      <c r="AA221" s="70" t="s">
        <v>24004</v>
      </c>
      <c r="AI221" s="70" t="s">
        <v>24005</v>
      </c>
      <c r="AJ221" s="70" t="s">
        <v>24006</v>
      </c>
      <c r="AK221" s="70">
        <v>2024.0</v>
      </c>
      <c r="AL221" s="70" t="s">
        <v>24007</v>
      </c>
      <c r="AM221" s="70" t="s">
        <v>24008</v>
      </c>
      <c r="AQ221" s="70">
        <v>0.0</v>
      </c>
      <c r="AR221" s="75" t="s">
        <v>24009</v>
      </c>
      <c r="AS221" s="70" t="s">
        <v>22525</v>
      </c>
      <c r="AU221" s="70" t="s">
        <v>237</v>
      </c>
      <c r="AV221" s="70" t="s">
        <v>24010</v>
      </c>
      <c r="AW221" s="70" t="s">
        <v>24011</v>
      </c>
      <c r="AZ221" s="70">
        <v>152.0</v>
      </c>
    </row>
    <row r="222" ht="22.5" customHeight="1">
      <c r="A222" s="70" t="str">
        <f t="shared" si="1"/>
        <v>Excluded</v>
      </c>
      <c r="B222" s="70">
        <f t="shared" si="2"/>
        <v>0</v>
      </c>
      <c r="C222" s="70">
        <v>0.0</v>
      </c>
      <c r="D222" s="70">
        <v>0.0</v>
      </c>
      <c r="E222" s="70">
        <v>0.0</v>
      </c>
      <c r="F222" s="70">
        <v>0.0</v>
      </c>
      <c r="G222" s="70">
        <v>0.0</v>
      </c>
      <c r="H222" s="70" t="s">
        <v>26797</v>
      </c>
      <c r="I222" s="70">
        <v>2901.0</v>
      </c>
      <c r="J222" s="70" t="s">
        <v>26795</v>
      </c>
      <c r="K222" s="70" t="s">
        <v>26796</v>
      </c>
      <c r="W222" s="70" t="s">
        <v>29517</v>
      </c>
      <c r="AA222" s="70" t="s">
        <v>26799</v>
      </c>
      <c r="AI222" s="70" t="s">
        <v>26800</v>
      </c>
      <c r="AJ222" s="70" t="s">
        <v>26801</v>
      </c>
      <c r="AK222" s="70">
        <v>2022.0</v>
      </c>
      <c r="AL222" s="70" t="s">
        <v>22813</v>
      </c>
      <c r="AM222" s="70" t="s">
        <v>26802</v>
      </c>
      <c r="AQ222" s="70">
        <v>17.0</v>
      </c>
      <c r="AR222" s="75" t="s">
        <v>26803</v>
      </c>
      <c r="AS222" s="70" t="s">
        <v>22525</v>
      </c>
      <c r="AU222" s="70" t="s">
        <v>237</v>
      </c>
      <c r="AV222" s="70" t="s">
        <v>26804</v>
      </c>
      <c r="AW222" s="70" t="s">
        <v>26805</v>
      </c>
      <c r="AX222" s="70">
        <v>0.0</v>
      </c>
      <c r="AY222" s="70" t="s">
        <v>24</v>
      </c>
      <c r="AZ222" s="70">
        <v>2229.0</v>
      </c>
    </row>
    <row r="223" ht="22.5" customHeight="1">
      <c r="A223" s="70" t="str">
        <f t="shared" si="1"/>
        <v>Excluded</v>
      </c>
      <c r="B223" s="70">
        <f t="shared" si="2"/>
        <v>0</v>
      </c>
      <c r="C223" s="70">
        <v>0.0</v>
      </c>
      <c r="D223" s="70">
        <v>0.0</v>
      </c>
      <c r="E223" s="70">
        <v>0.0</v>
      </c>
      <c r="F223" s="70">
        <v>0.0</v>
      </c>
      <c r="G223" s="70">
        <v>0.0</v>
      </c>
      <c r="H223" s="70" t="s">
        <v>27421</v>
      </c>
      <c r="I223" s="70">
        <v>2962.0</v>
      </c>
      <c r="J223" s="70" t="s">
        <v>27419</v>
      </c>
      <c r="K223" s="70" t="s">
        <v>27420</v>
      </c>
      <c r="W223" s="70" t="s">
        <v>29518</v>
      </c>
      <c r="AI223" s="70" t="s">
        <v>27423</v>
      </c>
      <c r="AJ223" s="70" t="s">
        <v>27424</v>
      </c>
      <c r="AK223" s="70">
        <v>2021.0</v>
      </c>
      <c r="AL223" s="70" t="s">
        <v>24552</v>
      </c>
      <c r="AM223" s="70" t="s">
        <v>27425</v>
      </c>
      <c r="AQ223" s="70">
        <v>80.0</v>
      </c>
      <c r="AR223" s="75" t="s">
        <v>27426</v>
      </c>
      <c r="AS223" s="70" t="s">
        <v>22525</v>
      </c>
      <c r="AU223" s="70" t="s">
        <v>237</v>
      </c>
      <c r="AV223" s="70" t="s">
        <v>27427</v>
      </c>
      <c r="AW223" s="70" t="s">
        <v>27428</v>
      </c>
      <c r="AX223" s="70">
        <v>0.0</v>
      </c>
      <c r="AY223" s="70" t="s">
        <v>24</v>
      </c>
      <c r="AZ223" s="70">
        <v>1852.0</v>
      </c>
    </row>
    <row r="224" ht="22.5" customHeight="1">
      <c r="A224" s="70" t="str">
        <f t="shared" si="1"/>
        <v>Excluded</v>
      </c>
      <c r="B224" s="70">
        <f t="shared" si="2"/>
        <v>0</v>
      </c>
      <c r="C224" s="70">
        <v>0.0</v>
      </c>
      <c r="D224" s="70">
        <v>0.0</v>
      </c>
      <c r="E224" s="70">
        <v>0.0</v>
      </c>
      <c r="F224" s="70">
        <v>0.0</v>
      </c>
      <c r="G224" s="70">
        <v>0.0</v>
      </c>
      <c r="H224" s="70" t="s">
        <v>26875</v>
      </c>
      <c r="I224" s="70">
        <v>2909.0</v>
      </c>
      <c r="J224" s="70" t="s">
        <v>26873</v>
      </c>
      <c r="K224" s="70" t="s">
        <v>26874</v>
      </c>
      <c r="W224" s="70" t="s">
        <v>29519</v>
      </c>
      <c r="AI224" s="70" t="s">
        <v>26877</v>
      </c>
      <c r="AJ224" s="70">
        <v>2.78675648E10</v>
      </c>
      <c r="AK224" s="70">
        <v>2021.0</v>
      </c>
      <c r="AL224" s="70" t="s">
        <v>24552</v>
      </c>
      <c r="AM224" s="70" t="s">
        <v>26878</v>
      </c>
      <c r="AQ224" s="70">
        <v>7.0</v>
      </c>
      <c r="AR224" s="75" t="s">
        <v>26879</v>
      </c>
      <c r="AS224" s="70" t="s">
        <v>22525</v>
      </c>
      <c r="AU224" s="70" t="s">
        <v>237</v>
      </c>
      <c r="AV224" s="70" t="s">
        <v>26880</v>
      </c>
      <c r="AW224" s="70" t="s">
        <v>26881</v>
      </c>
      <c r="AX224" s="70">
        <v>0.0</v>
      </c>
      <c r="AY224" s="70" t="s">
        <v>24</v>
      </c>
      <c r="AZ224" s="70">
        <v>2127.0</v>
      </c>
    </row>
    <row r="225" ht="22.5" customHeight="1">
      <c r="A225" s="70" t="str">
        <f t="shared" si="1"/>
        <v>Excluded</v>
      </c>
      <c r="B225" s="70">
        <f t="shared" si="2"/>
        <v>0</v>
      </c>
      <c r="C225" s="70">
        <v>0.0</v>
      </c>
      <c r="D225" s="70">
        <v>0.0</v>
      </c>
      <c r="E225" s="70">
        <v>0.0</v>
      </c>
      <c r="F225" s="70">
        <v>0.0</v>
      </c>
      <c r="G225" s="70">
        <v>0.0</v>
      </c>
      <c r="H225" s="70" t="s">
        <v>26101</v>
      </c>
      <c r="I225" s="70">
        <v>2833.0</v>
      </c>
      <c r="J225" s="70" t="s">
        <v>26099</v>
      </c>
      <c r="K225" s="70" t="s">
        <v>26100</v>
      </c>
      <c r="W225" s="70" t="s">
        <v>29520</v>
      </c>
      <c r="AI225" s="70" t="s">
        <v>26103</v>
      </c>
      <c r="AJ225" s="70" t="s">
        <v>26104</v>
      </c>
      <c r="AK225" s="70">
        <v>2022.0</v>
      </c>
      <c r="AL225" s="70" t="s">
        <v>24552</v>
      </c>
      <c r="AM225" s="70" t="s">
        <v>26105</v>
      </c>
      <c r="AQ225" s="70">
        <v>16.0</v>
      </c>
      <c r="AR225" s="75" t="s">
        <v>26106</v>
      </c>
      <c r="AS225" s="70" t="s">
        <v>22525</v>
      </c>
      <c r="AU225" s="70" t="s">
        <v>237</v>
      </c>
      <c r="AV225" s="70" t="s">
        <v>26107</v>
      </c>
      <c r="AW225" s="70" t="s">
        <v>26108</v>
      </c>
      <c r="AX225" s="70">
        <v>0.0</v>
      </c>
      <c r="AY225" s="70" t="s">
        <v>24</v>
      </c>
      <c r="AZ225" s="70">
        <v>2423.0</v>
      </c>
    </row>
    <row r="226" ht="22.5" customHeight="1">
      <c r="A226" s="70" t="str">
        <f t="shared" si="1"/>
        <v>Excluded</v>
      </c>
      <c r="B226" s="70">
        <f t="shared" si="2"/>
        <v>0</v>
      </c>
      <c r="C226" s="70">
        <v>0.0</v>
      </c>
      <c r="D226" s="70">
        <v>0.0</v>
      </c>
      <c r="E226" s="70">
        <v>0.0</v>
      </c>
      <c r="F226" s="70">
        <v>0.0</v>
      </c>
      <c r="G226" s="70">
        <v>0.0</v>
      </c>
      <c r="H226" s="70" t="s">
        <v>25472</v>
      </c>
      <c r="I226" s="70">
        <v>2772.0</v>
      </c>
      <c r="J226" s="70" t="s">
        <v>25470</v>
      </c>
      <c r="K226" s="70" t="s">
        <v>25471</v>
      </c>
      <c r="W226" s="70" t="s">
        <v>29521</v>
      </c>
      <c r="AA226" s="70" t="s">
        <v>25474</v>
      </c>
      <c r="AI226" s="70" t="s">
        <v>25475</v>
      </c>
      <c r="AJ226" s="70" t="s">
        <v>25476</v>
      </c>
      <c r="AK226" s="70">
        <v>2023.0</v>
      </c>
      <c r="AL226" s="70" t="s">
        <v>24552</v>
      </c>
      <c r="AM226" s="70" t="s">
        <v>25477</v>
      </c>
      <c r="AQ226" s="70">
        <v>3.0</v>
      </c>
      <c r="AR226" s="75" t="s">
        <v>25478</v>
      </c>
      <c r="AS226" s="70" t="s">
        <v>22525</v>
      </c>
      <c r="AU226" s="70" t="s">
        <v>237</v>
      </c>
      <c r="AV226" s="70" t="s">
        <v>25479</v>
      </c>
      <c r="AW226" s="70" t="s">
        <v>25480</v>
      </c>
      <c r="AX226" s="70">
        <v>0.0</v>
      </c>
      <c r="AY226" s="70" t="s">
        <v>24</v>
      </c>
      <c r="AZ226" s="70">
        <v>1921.0</v>
      </c>
    </row>
    <row r="227" ht="22.5" customHeight="1">
      <c r="A227" s="70" t="str">
        <f t="shared" si="1"/>
        <v>Excluded</v>
      </c>
      <c r="B227" s="70">
        <f t="shared" si="2"/>
        <v>0</v>
      </c>
      <c r="C227" s="70">
        <v>0.0</v>
      </c>
      <c r="D227" s="70">
        <v>0.0</v>
      </c>
      <c r="E227" s="70">
        <v>0.0</v>
      </c>
      <c r="F227" s="70">
        <v>0.0</v>
      </c>
      <c r="G227" s="70">
        <v>0.0</v>
      </c>
      <c r="H227" s="70" t="s">
        <v>24548</v>
      </c>
      <c r="I227" s="70">
        <v>2683.0</v>
      </c>
      <c r="J227" s="70" t="s">
        <v>24546</v>
      </c>
      <c r="K227" s="70" t="s">
        <v>24547</v>
      </c>
      <c r="W227" s="70" t="s">
        <v>29522</v>
      </c>
      <c r="AI227" s="70" t="s">
        <v>24550</v>
      </c>
      <c r="AJ227" s="70" t="s">
        <v>24551</v>
      </c>
      <c r="AK227" s="70">
        <v>2024.0</v>
      </c>
      <c r="AL227" s="70" t="s">
        <v>24552</v>
      </c>
      <c r="AM227" s="70" t="s">
        <v>24553</v>
      </c>
      <c r="AQ227" s="70">
        <v>7.0</v>
      </c>
      <c r="AR227" s="75" t="s">
        <v>24554</v>
      </c>
      <c r="AS227" s="70" t="s">
        <v>22525</v>
      </c>
      <c r="AU227" s="70" t="s">
        <v>237</v>
      </c>
      <c r="AV227" s="70" t="s">
        <v>24555</v>
      </c>
      <c r="AW227" s="70" t="s">
        <v>24556</v>
      </c>
      <c r="AZ227" s="70">
        <v>970.0</v>
      </c>
    </row>
    <row r="228" ht="22.5" customHeight="1">
      <c r="A228" s="70" t="str">
        <f t="shared" si="1"/>
        <v>Excluded</v>
      </c>
      <c r="B228" s="70">
        <f t="shared" si="2"/>
        <v>0</v>
      </c>
      <c r="C228" s="70">
        <v>0.0</v>
      </c>
      <c r="D228" s="70">
        <v>0.0</v>
      </c>
      <c r="E228" s="70">
        <v>0.0</v>
      </c>
      <c r="F228" s="70">
        <v>0.0</v>
      </c>
      <c r="G228" s="70">
        <v>0.0</v>
      </c>
      <c r="H228" s="70" t="s">
        <v>29178</v>
      </c>
      <c r="I228" s="70">
        <v>3134.0</v>
      </c>
      <c r="J228" s="70" t="s">
        <v>29176</v>
      </c>
      <c r="K228" s="70" t="s">
        <v>29177</v>
      </c>
      <c r="W228" s="70" t="s">
        <v>29523</v>
      </c>
      <c r="AA228" s="70" t="s">
        <v>29180</v>
      </c>
      <c r="AI228" s="70" t="s">
        <v>29181</v>
      </c>
      <c r="AJ228" s="70" t="s">
        <v>29182</v>
      </c>
      <c r="AK228" s="70">
        <v>2020.0</v>
      </c>
      <c r="AL228" s="70" t="s">
        <v>29183</v>
      </c>
      <c r="AM228" s="70" t="s">
        <v>29184</v>
      </c>
      <c r="AQ228" s="70">
        <v>4.0</v>
      </c>
      <c r="AR228" s="75" t="s">
        <v>29185</v>
      </c>
      <c r="AS228" s="70" t="s">
        <v>22525</v>
      </c>
      <c r="AU228" s="70" t="s">
        <v>237</v>
      </c>
      <c r="AV228" s="70" t="s">
        <v>29186</v>
      </c>
      <c r="AW228" s="70" t="s">
        <v>29187</v>
      </c>
      <c r="AZ228" s="70">
        <v>647.0</v>
      </c>
    </row>
    <row r="229" ht="22.5" customHeight="1">
      <c r="A229" s="70" t="str">
        <f t="shared" si="1"/>
        <v>Excluded</v>
      </c>
      <c r="B229" s="70">
        <f t="shared" si="2"/>
        <v>0</v>
      </c>
      <c r="C229" s="70">
        <v>0.0</v>
      </c>
      <c r="D229" s="70">
        <v>0.0</v>
      </c>
      <c r="E229" s="70">
        <v>0.0</v>
      </c>
      <c r="F229" s="70">
        <v>0.0</v>
      </c>
      <c r="G229" s="70">
        <v>0.0</v>
      </c>
      <c r="H229" s="70" t="s">
        <v>28651</v>
      </c>
      <c r="I229" s="70">
        <v>3082.0</v>
      </c>
      <c r="J229" s="70" t="s">
        <v>28649</v>
      </c>
      <c r="K229" s="70" t="s">
        <v>28650</v>
      </c>
      <c r="W229" s="70" t="s">
        <v>29524</v>
      </c>
      <c r="AA229" s="70" t="s">
        <v>28653</v>
      </c>
      <c r="AI229" s="70" t="s">
        <v>28654</v>
      </c>
      <c r="AJ229" s="70" t="s">
        <v>28655</v>
      </c>
      <c r="AK229" s="70">
        <v>2019.0</v>
      </c>
      <c r="AL229" s="70" t="s">
        <v>23462</v>
      </c>
      <c r="AN229" s="70">
        <v>1663.0</v>
      </c>
      <c r="AO229" s="70">
        <v>1685.0</v>
      </c>
      <c r="AP229" s="70">
        <v>22.0</v>
      </c>
      <c r="AQ229" s="70">
        <v>16.0</v>
      </c>
      <c r="AR229" s="75" t="s">
        <v>28656</v>
      </c>
      <c r="AS229" s="70" t="s">
        <v>22525</v>
      </c>
      <c r="AU229" s="70" t="s">
        <v>237</v>
      </c>
      <c r="AV229" s="70" t="s">
        <v>28657</v>
      </c>
      <c r="AW229" s="70" t="s">
        <v>28658</v>
      </c>
      <c r="AZ229" s="70">
        <v>317.0</v>
      </c>
    </row>
    <row r="230" ht="22.5" customHeight="1">
      <c r="A230" s="70" t="str">
        <f t="shared" si="1"/>
        <v>Excluded</v>
      </c>
      <c r="B230" s="70">
        <f t="shared" si="2"/>
        <v>0</v>
      </c>
      <c r="C230" s="70">
        <v>0.0</v>
      </c>
      <c r="D230" s="70">
        <v>0.0</v>
      </c>
      <c r="E230" s="70">
        <v>0.0</v>
      </c>
      <c r="F230" s="70">
        <v>0.0</v>
      </c>
      <c r="G230" s="70">
        <v>0.0</v>
      </c>
      <c r="H230" s="70" t="s">
        <v>27535</v>
      </c>
      <c r="I230" s="70">
        <v>2973.0</v>
      </c>
      <c r="J230" s="70" t="s">
        <v>27533</v>
      </c>
      <c r="K230" s="70" t="s">
        <v>27534</v>
      </c>
      <c r="W230" s="70" t="s">
        <v>29525</v>
      </c>
      <c r="AA230" s="70" t="s">
        <v>27537</v>
      </c>
      <c r="AI230" s="70" t="s">
        <v>27538</v>
      </c>
      <c r="AJ230" s="70" t="s">
        <v>27539</v>
      </c>
      <c r="AK230" s="70">
        <v>2021.0</v>
      </c>
      <c r="AL230" s="70" t="s">
        <v>23462</v>
      </c>
      <c r="AN230" s="70">
        <v>2225.0</v>
      </c>
      <c r="AO230" s="70">
        <v>2237.0</v>
      </c>
      <c r="AP230" s="70">
        <v>12.0</v>
      </c>
      <c r="AQ230" s="70">
        <v>17.0</v>
      </c>
      <c r="AR230" s="75" t="s">
        <v>27540</v>
      </c>
      <c r="AS230" s="70" t="s">
        <v>22525</v>
      </c>
      <c r="AU230" s="70" t="s">
        <v>237</v>
      </c>
      <c r="AV230" s="70" t="s">
        <v>27541</v>
      </c>
      <c r="AW230" s="70" t="s">
        <v>27542</v>
      </c>
      <c r="AX230" s="70">
        <v>0.0</v>
      </c>
      <c r="AY230" s="70" t="s">
        <v>24</v>
      </c>
      <c r="AZ230" s="70">
        <v>1901.0</v>
      </c>
    </row>
    <row r="231" ht="22.5" customHeight="1">
      <c r="A231" s="70" t="str">
        <f t="shared" si="1"/>
        <v>Excluded</v>
      </c>
      <c r="B231" s="70">
        <f t="shared" si="2"/>
        <v>0</v>
      </c>
      <c r="C231" s="70">
        <v>0.0</v>
      </c>
      <c r="D231" s="70">
        <v>0.0</v>
      </c>
      <c r="E231" s="70">
        <v>0.0</v>
      </c>
      <c r="F231" s="70">
        <v>0.0</v>
      </c>
      <c r="G231" s="70">
        <v>0.0</v>
      </c>
      <c r="H231" s="70" t="s">
        <v>25897</v>
      </c>
      <c r="I231" s="70">
        <v>2813.0</v>
      </c>
      <c r="J231" s="70" t="s">
        <v>25895</v>
      </c>
      <c r="K231" s="70" t="s">
        <v>25896</v>
      </c>
      <c r="W231" s="70" t="s">
        <v>29526</v>
      </c>
      <c r="AA231" s="70" t="s">
        <v>25899</v>
      </c>
      <c r="AI231" s="70" t="s">
        <v>25900</v>
      </c>
      <c r="AJ231" s="70" t="s">
        <v>25901</v>
      </c>
      <c r="AK231" s="70">
        <v>2023.0</v>
      </c>
      <c r="AL231" s="70" t="s">
        <v>23462</v>
      </c>
      <c r="AN231" s="70">
        <v>1853.0</v>
      </c>
      <c r="AO231" s="70">
        <v>1886.0</v>
      </c>
      <c r="AP231" s="70">
        <v>33.0</v>
      </c>
      <c r="AQ231" s="70">
        <v>8.0</v>
      </c>
      <c r="AR231" s="75" t="s">
        <v>25902</v>
      </c>
      <c r="AS231" s="70" t="s">
        <v>22525</v>
      </c>
      <c r="AT231" s="70" t="s">
        <v>22816</v>
      </c>
      <c r="AU231" s="70" t="s">
        <v>237</v>
      </c>
      <c r="AV231" s="70" t="s">
        <v>25903</v>
      </c>
      <c r="AW231" s="70" t="s">
        <v>25904</v>
      </c>
      <c r="AX231" s="70">
        <v>0.0</v>
      </c>
      <c r="AY231" s="70" t="s">
        <v>24</v>
      </c>
      <c r="AZ231" s="70">
        <v>2558.0</v>
      </c>
    </row>
    <row r="232" ht="22.5" customHeight="1">
      <c r="A232" s="70" t="str">
        <f t="shared" si="1"/>
        <v>Excluded</v>
      </c>
      <c r="B232" s="70">
        <f t="shared" si="2"/>
        <v>0</v>
      </c>
      <c r="C232" s="70">
        <v>0.0</v>
      </c>
      <c r="D232" s="70">
        <v>0.0</v>
      </c>
      <c r="E232" s="70">
        <v>0.0</v>
      </c>
      <c r="F232" s="70">
        <v>0.0</v>
      </c>
      <c r="G232" s="70">
        <v>0.0</v>
      </c>
      <c r="H232" s="70" t="s">
        <v>24418</v>
      </c>
      <c r="I232" s="70">
        <v>2670.0</v>
      </c>
      <c r="J232" s="70" t="s">
        <v>24416</v>
      </c>
      <c r="K232" s="70" t="s">
        <v>24417</v>
      </c>
      <c r="W232" s="70" t="s">
        <v>29527</v>
      </c>
      <c r="AA232" s="70" t="s">
        <v>24420</v>
      </c>
      <c r="AI232" s="70" t="s">
        <v>24421</v>
      </c>
      <c r="AJ232" s="70">
        <v>1.46328599E10</v>
      </c>
      <c r="AK232" s="70">
        <v>2024.0</v>
      </c>
      <c r="AL232" s="70" t="s">
        <v>23462</v>
      </c>
      <c r="AN232" s="70">
        <v>3.0</v>
      </c>
      <c r="AO232" s="70">
        <v>23.0</v>
      </c>
      <c r="AP232" s="70">
        <v>20.0</v>
      </c>
      <c r="AQ232" s="70">
        <v>44.0</v>
      </c>
      <c r="AR232" s="75" t="s">
        <v>24422</v>
      </c>
      <c r="AS232" s="70" t="s">
        <v>22525</v>
      </c>
      <c r="AT232" s="70" t="s">
        <v>22816</v>
      </c>
      <c r="AU232" s="70" t="s">
        <v>237</v>
      </c>
      <c r="AV232" s="70" t="s">
        <v>24423</v>
      </c>
      <c r="AW232" s="70" t="s">
        <v>24424</v>
      </c>
      <c r="AX232" s="70">
        <v>0.0</v>
      </c>
      <c r="AY232" s="70" t="s">
        <v>24</v>
      </c>
      <c r="AZ232" s="70">
        <v>3102.0</v>
      </c>
    </row>
    <row r="233" ht="22.5" customHeight="1">
      <c r="A233" s="70" t="str">
        <f t="shared" si="1"/>
        <v>Excluded</v>
      </c>
      <c r="B233" s="70">
        <f t="shared" si="2"/>
        <v>0</v>
      </c>
      <c r="C233" s="70">
        <v>0.0</v>
      </c>
      <c r="D233" s="70">
        <v>0.0</v>
      </c>
      <c r="E233" s="70">
        <v>0.0</v>
      </c>
      <c r="F233" s="70">
        <v>0.0</v>
      </c>
      <c r="G233" s="70">
        <v>0.0</v>
      </c>
      <c r="H233" s="70" t="s">
        <v>23971</v>
      </c>
      <c r="I233" s="70">
        <v>2627.0</v>
      </c>
      <c r="J233" s="70" t="s">
        <v>23969</v>
      </c>
      <c r="K233" s="70" t="s">
        <v>23970</v>
      </c>
      <c r="W233" s="70" t="s">
        <v>29528</v>
      </c>
      <c r="AA233" s="70" t="s">
        <v>23973</v>
      </c>
      <c r="AI233" s="70" t="s">
        <v>23974</v>
      </c>
      <c r="AJ233" s="70" t="s">
        <v>23975</v>
      </c>
      <c r="AK233" s="70">
        <v>2024.0</v>
      </c>
      <c r="AL233" s="70" t="s">
        <v>23462</v>
      </c>
      <c r="AQ233" s="70">
        <v>0.0</v>
      </c>
      <c r="AR233" s="75" t="s">
        <v>23976</v>
      </c>
      <c r="AS233" s="70" t="s">
        <v>22588</v>
      </c>
      <c r="AU233" s="70" t="s">
        <v>237</v>
      </c>
      <c r="AV233" s="70" t="s">
        <v>23977</v>
      </c>
      <c r="AW233" s="70" t="s">
        <v>23978</v>
      </c>
      <c r="AX233" s="70">
        <v>0.0</v>
      </c>
      <c r="AY233" s="70" t="s">
        <v>24</v>
      </c>
      <c r="AZ233" s="70">
        <v>3099.0</v>
      </c>
    </row>
    <row r="234" ht="22.5" customHeight="1">
      <c r="A234" s="70" t="str">
        <f t="shared" si="1"/>
        <v>Excluded</v>
      </c>
      <c r="B234" s="70">
        <f t="shared" si="2"/>
        <v>0</v>
      </c>
      <c r="C234" s="70">
        <v>0.0</v>
      </c>
      <c r="D234" s="70">
        <v>0.0</v>
      </c>
      <c r="E234" s="70">
        <v>0.0</v>
      </c>
      <c r="F234" s="70">
        <v>0.0</v>
      </c>
      <c r="G234" s="70">
        <v>0.0</v>
      </c>
      <c r="H234" s="70" t="s">
        <v>28786</v>
      </c>
      <c r="I234" s="70">
        <v>3095.0</v>
      </c>
      <c r="J234" s="70" t="s">
        <v>29529</v>
      </c>
      <c r="K234" s="70" t="s">
        <v>28785</v>
      </c>
      <c r="W234" s="70" t="s">
        <v>29530</v>
      </c>
      <c r="AA234" s="70" t="s">
        <v>28788</v>
      </c>
      <c r="AI234" s="70" t="s">
        <v>29531</v>
      </c>
      <c r="AJ234" s="70" t="s">
        <v>28790</v>
      </c>
      <c r="AK234" s="70">
        <v>2019.0</v>
      </c>
      <c r="AL234" s="70" t="s">
        <v>28791</v>
      </c>
      <c r="AN234" s="70">
        <v>263.0</v>
      </c>
      <c r="AO234" s="70">
        <v>276.0</v>
      </c>
      <c r="AP234" s="70">
        <v>13.0</v>
      </c>
      <c r="AQ234" s="70">
        <v>3.0</v>
      </c>
      <c r="AR234" s="75" t="s">
        <v>28792</v>
      </c>
      <c r="AS234" s="70" t="s">
        <v>22525</v>
      </c>
      <c r="AU234" s="70" t="s">
        <v>237</v>
      </c>
      <c r="AV234" s="70" t="s">
        <v>28793</v>
      </c>
      <c r="AW234" s="70" t="s">
        <v>28794</v>
      </c>
      <c r="AZ234" s="70">
        <v>995.0</v>
      </c>
    </row>
    <row r="235" ht="22.5" customHeight="1">
      <c r="A235" s="70" t="str">
        <f t="shared" si="1"/>
        <v>Excluded</v>
      </c>
      <c r="B235" s="70">
        <f t="shared" si="2"/>
        <v>0</v>
      </c>
      <c r="C235" s="70">
        <v>0.0</v>
      </c>
      <c r="D235" s="70">
        <v>0.0</v>
      </c>
      <c r="E235" s="70">
        <v>0.0</v>
      </c>
      <c r="F235" s="70">
        <v>0.0</v>
      </c>
      <c r="G235" s="70">
        <v>0.0</v>
      </c>
      <c r="H235" s="70" t="s">
        <v>3521</v>
      </c>
      <c r="I235" s="70">
        <v>293.0</v>
      </c>
      <c r="J235" s="70" t="s">
        <v>29532</v>
      </c>
      <c r="K235" s="70" t="s">
        <v>3518</v>
      </c>
      <c r="L235" s="70" t="s">
        <v>29533</v>
      </c>
      <c r="M235" s="70" t="s">
        <v>3520</v>
      </c>
      <c r="O235" s="75" t="s">
        <v>3522</v>
      </c>
      <c r="P235" s="70">
        <v>2019.0</v>
      </c>
      <c r="U235" s="70" t="s">
        <v>387</v>
      </c>
      <c r="V235" s="70" t="s">
        <v>388</v>
      </c>
      <c r="W235" s="70" t="s">
        <v>29534</v>
      </c>
      <c r="AW235" s="70" t="s">
        <v>3525</v>
      </c>
      <c r="AZ235" s="70">
        <v>388.0</v>
      </c>
    </row>
    <row r="236" ht="22.5" customHeight="1">
      <c r="A236" s="70" t="str">
        <f t="shared" si="1"/>
        <v>Excluded</v>
      </c>
      <c r="B236" s="70">
        <f t="shared" si="2"/>
        <v>0</v>
      </c>
      <c r="C236" s="70">
        <v>0.0</v>
      </c>
      <c r="D236" s="70">
        <v>0.0</v>
      </c>
      <c r="E236" s="70">
        <v>0.0</v>
      </c>
      <c r="F236" s="70">
        <v>0.0</v>
      </c>
      <c r="G236" s="70">
        <v>0.0</v>
      </c>
      <c r="H236" s="70" t="s">
        <v>1880</v>
      </c>
      <c r="I236" s="70">
        <v>137.0</v>
      </c>
      <c r="J236" s="70" t="s">
        <v>1876</v>
      </c>
      <c r="K236" s="70" t="s">
        <v>1877</v>
      </c>
      <c r="L236" s="70" t="s">
        <v>1878</v>
      </c>
      <c r="M236" s="70" t="s">
        <v>1879</v>
      </c>
      <c r="O236" s="75" t="s">
        <v>1881</v>
      </c>
      <c r="P236" s="70">
        <v>2019.0</v>
      </c>
      <c r="U236" s="70" t="s">
        <v>387</v>
      </c>
      <c r="V236" s="70" t="s">
        <v>388</v>
      </c>
      <c r="W236" s="70" t="s">
        <v>1884</v>
      </c>
      <c r="AW236" s="70" t="s">
        <v>1885</v>
      </c>
      <c r="AZ236" s="70">
        <v>684.0</v>
      </c>
    </row>
    <row r="237" ht="22.5" customHeight="1">
      <c r="A237" s="70" t="str">
        <f t="shared" si="1"/>
        <v>Excluded</v>
      </c>
      <c r="B237" s="70">
        <f t="shared" si="2"/>
        <v>0</v>
      </c>
      <c r="C237" s="70">
        <v>0.0</v>
      </c>
      <c r="D237" s="70">
        <v>0.0</v>
      </c>
      <c r="E237" s="70">
        <v>0.0</v>
      </c>
      <c r="F237" s="70">
        <v>0.0</v>
      </c>
      <c r="G237" s="70">
        <v>0.0</v>
      </c>
      <c r="H237" s="70" t="s">
        <v>28988</v>
      </c>
      <c r="I237" s="70">
        <v>3115.0</v>
      </c>
      <c r="J237" s="70" t="s">
        <v>28986</v>
      </c>
      <c r="K237" s="70" t="s">
        <v>28987</v>
      </c>
      <c r="W237" s="70" t="s">
        <v>29535</v>
      </c>
      <c r="AA237" s="70" t="s">
        <v>28991</v>
      </c>
      <c r="AI237" s="70" t="s">
        <v>28992</v>
      </c>
      <c r="AJ237" s="70" t="s">
        <v>28993</v>
      </c>
      <c r="AK237" s="70">
        <v>2019.0</v>
      </c>
      <c r="AL237" s="70" t="s">
        <v>24608</v>
      </c>
      <c r="AN237" s="70">
        <v>176.0</v>
      </c>
      <c r="AO237" s="70">
        <v>191.0</v>
      </c>
      <c r="AP237" s="70">
        <v>15.0</v>
      </c>
      <c r="AQ237" s="70">
        <v>9.0</v>
      </c>
      <c r="AR237" s="75" t="s">
        <v>28994</v>
      </c>
      <c r="AS237" s="70" t="s">
        <v>22525</v>
      </c>
      <c r="AT237" s="70" t="s">
        <v>22816</v>
      </c>
      <c r="AU237" s="70" t="s">
        <v>237</v>
      </c>
      <c r="AV237" s="70" t="s">
        <v>28995</v>
      </c>
      <c r="AW237" s="70" t="s">
        <v>28996</v>
      </c>
      <c r="AX237" s="70">
        <v>0.0</v>
      </c>
      <c r="AY237" s="70" t="s">
        <v>24</v>
      </c>
      <c r="AZ237" s="70">
        <v>2121.0</v>
      </c>
    </row>
    <row r="238" ht="22.5" customHeight="1">
      <c r="A238" s="70" t="str">
        <f t="shared" si="1"/>
        <v>Excluded</v>
      </c>
      <c r="B238" s="70">
        <f t="shared" si="2"/>
        <v>0</v>
      </c>
      <c r="C238" s="70">
        <v>0.0</v>
      </c>
      <c r="D238" s="70">
        <v>0.0</v>
      </c>
      <c r="E238" s="70">
        <v>0.0</v>
      </c>
      <c r="F238" s="70">
        <v>0.0</v>
      </c>
      <c r="G238" s="70">
        <v>0.0</v>
      </c>
      <c r="H238" s="70" t="s">
        <v>3448</v>
      </c>
      <c r="I238" s="70">
        <v>286.0</v>
      </c>
      <c r="J238" s="70" t="s">
        <v>3444</v>
      </c>
      <c r="K238" s="70" t="s">
        <v>3445</v>
      </c>
      <c r="L238" s="70" t="s">
        <v>29536</v>
      </c>
      <c r="M238" s="70" t="s">
        <v>3447</v>
      </c>
      <c r="O238" s="75" t="s">
        <v>3449</v>
      </c>
      <c r="P238" s="70">
        <v>2019.0</v>
      </c>
      <c r="U238" s="70" t="s">
        <v>387</v>
      </c>
      <c r="V238" s="70" t="s">
        <v>388</v>
      </c>
      <c r="W238" s="70" t="s">
        <v>3452</v>
      </c>
      <c r="AZ238" s="70">
        <v>485.0</v>
      </c>
    </row>
    <row r="239" ht="22.5" customHeight="1">
      <c r="A239" s="70" t="str">
        <f t="shared" si="1"/>
        <v>Excluded</v>
      </c>
      <c r="B239" s="70">
        <f t="shared" si="2"/>
        <v>0</v>
      </c>
      <c r="C239" s="70">
        <v>0.0</v>
      </c>
      <c r="D239" s="70">
        <v>0.0</v>
      </c>
      <c r="E239" s="70">
        <v>0.0</v>
      </c>
      <c r="F239" s="70">
        <v>0.0</v>
      </c>
      <c r="G239" s="70">
        <v>0.0</v>
      </c>
      <c r="H239" s="70" t="s">
        <v>3542</v>
      </c>
      <c r="I239" s="70">
        <v>295.0</v>
      </c>
      <c r="J239" s="70" t="s">
        <v>3538</v>
      </c>
      <c r="K239" s="70" t="s">
        <v>3539</v>
      </c>
      <c r="L239" s="70" t="s">
        <v>29537</v>
      </c>
      <c r="M239" s="70" t="s">
        <v>3541</v>
      </c>
      <c r="O239" s="75" t="s">
        <v>3543</v>
      </c>
      <c r="P239" s="70">
        <v>2019.0</v>
      </c>
      <c r="U239" s="70" t="s">
        <v>387</v>
      </c>
      <c r="V239" s="70" t="s">
        <v>388</v>
      </c>
      <c r="W239" s="70" t="s">
        <v>3545</v>
      </c>
      <c r="AW239" s="70" t="s">
        <v>3546</v>
      </c>
      <c r="AZ239" s="70">
        <v>1425.0</v>
      </c>
    </row>
    <row r="240" ht="22.5" customHeight="1">
      <c r="A240" s="70" t="str">
        <f t="shared" si="1"/>
        <v>Excluded</v>
      </c>
      <c r="B240" s="70">
        <f t="shared" si="2"/>
        <v>0</v>
      </c>
      <c r="C240" s="70">
        <v>0.0</v>
      </c>
      <c r="D240" s="70">
        <v>0.0</v>
      </c>
      <c r="E240" s="70">
        <v>0.0</v>
      </c>
      <c r="F240" s="70">
        <v>0.0</v>
      </c>
      <c r="G240" s="70">
        <v>0.0</v>
      </c>
      <c r="H240" s="70" t="s">
        <v>1224</v>
      </c>
      <c r="I240" s="70">
        <v>77.0</v>
      </c>
      <c r="J240" s="70" t="s">
        <v>29538</v>
      </c>
      <c r="K240" s="70" t="s">
        <v>1221</v>
      </c>
      <c r="L240" s="70" t="s">
        <v>29539</v>
      </c>
      <c r="M240" s="70" t="s">
        <v>1223</v>
      </c>
      <c r="O240" s="75" t="s">
        <v>1225</v>
      </c>
      <c r="P240" s="70">
        <v>2019.0</v>
      </c>
      <c r="U240" s="70" t="s">
        <v>387</v>
      </c>
      <c r="V240" s="70" t="s">
        <v>388</v>
      </c>
      <c r="W240" s="70" t="s">
        <v>29540</v>
      </c>
      <c r="AW240" s="70" t="s">
        <v>1229</v>
      </c>
      <c r="AX240" s="70">
        <v>0.0</v>
      </c>
      <c r="AY240" s="70" t="s">
        <v>24</v>
      </c>
      <c r="AZ240" s="70">
        <v>1811.0</v>
      </c>
    </row>
    <row r="241" ht="22.5" customHeight="1">
      <c r="A241" s="70" t="str">
        <f t="shared" si="1"/>
        <v>Excluded</v>
      </c>
      <c r="B241" s="70">
        <f t="shared" si="2"/>
        <v>0</v>
      </c>
      <c r="C241" s="70">
        <v>0.0</v>
      </c>
      <c r="D241" s="70">
        <v>0.0</v>
      </c>
      <c r="E241" s="70">
        <v>0.0</v>
      </c>
      <c r="F241" s="70">
        <v>0.0</v>
      </c>
      <c r="G241" s="70">
        <v>0.0</v>
      </c>
      <c r="H241" s="70" t="s">
        <v>1339</v>
      </c>
      <c r="I241" s="70">
        <v>88.0</v>
      </c>
      <c r="J241" s="70" t="s">
        <v>1335</v>
      </c>
      <c r="K241" s="70" t="s">
        <v>1336</v>
      </c>
      <c r="L241" s="70" t="s">
        <v>29541</v>
      </c>
      <c r="M241" s="70" t="s">
        <v>1338</v>
      </c>
      <c r="O241" s="75" t="s">
        <v>1340</v>
      </c>
      <c r="P241" s="70">
        <v>2020.0</v>
      </c>
      <c r="U241" s="70" t="s">
        <v>387</v>
      </c>
      <c r="V241" s="70" t="s">
        <v>388</v>
      </c>
      <c r="W241" s="70" t="s">
        <v>1343</v>
      </c>
      <c r="AW241" s="70" t="s">
        <v>1344</v>
      </c>
      <c r="AZ241" s="70">
        <v>260.0</v>
      </c>
    </row>
    <row r="242" ht="22.5" customHeight="1">
      <c r="A242" s="70" t="str">
        <f t="shared" si="1"/>
        <v>Excluded</v>
      </c>
      <c r="B242" s="70">
        <f t="shared" si="2"/>
        <v>0</v>
      </c>
      <c r="C242" s="70">
        <v>0.0</v>
      </c>
      <c r="D242" s="70">
        <v>0.0</v>
      </c>
      <c r="E242" s="70">
        <v>0.0</v>
      </c>
      <c r="F242" s="70">
        <v>0.0</v>
      </c>
      <c r="G242" s="70">
        <v>0.0</v>
      </c>
      <c r="H242" s="70" t="s">
        <v>1294</v>
      </c>
      <c r="I242" s="70">
        <v>84.0</v>
      </c>
      <c r="J242" s="70" t="s">
        <v>1290</v>
      </c>
      <c r="K242" s="70" t="s">
        <v>1291</v>
      </c>
      <c r="L242" s="70" t="s">
        <v>29542</v>
      </c>
      <c r="M242" s="70" t="s">
        <v>1293</v>
      </c>
      <c r="O242" s="75" t="s">
        <v>1295</v>
      </c>
      <c r="P242" s="70">
        <v>2019.0</v>
      </c>
      <c r="U242" s="70" t="s">
        <v>387</v>
      </c>
      <c r="V242" s="70" t="s">
        <v>388</v>
      </c>
      <c r="W242" s="70" t="s">
        <v>1298</v>
      </c>
      <c r="AW242" s="70" t="s">
        <v>1299</v>
      </c>
      <c r="AX242" s="70">
        <v>0.0</v>
      </c>
      <c r="AY242" s="70" t="s">
        <v>24</v>
      </c>
      <c r="AZ242" s="70">
        <v>2920.0</v>
      </c>
    </row>
    <row r="243" ht="22.5" customHeight="1">
      <c r="A243" s="70" t="str">
        <f t="shared" si="1"/>
        <v>Excluded</v>
      </c>
      <c r="B243" s="70">
        <f t="shared" si="2"/>
        <v>0</v>
      </c>
      <c r="C243" s="70">
        <v>0.0</v>
      </c>
      <c r="D243" s="70">
        <v>0.0</v>
      </c>
      <c r="E243" s="70">
        <v>0.0</v>
      </c>
      <c r="F243" s="70">
        <v>0.0</v>
      </c>
      <c r="G243" s="70">
        <v>0.0</v>
      </c>
      <c r="H243" s="70" t="s">
        <v>2587</v>
      </c>
      <c r="I243" s="70">
        <v>204.0</v>
      </c>
      <c r="J243" s="70" t="s">
        <v>2585</v>
      </c>
      <c r="K243" s="70" t="s">
        <v>2586</v>
      </c>
      <c r="L243" s="70" t="s">
        <v>29542</v>
      </c>
      <c r="M243" s="70" t="s">
        <v>1293</v>
      </c>
      <c r="O243" s="75" t="s">
        <v>2588</v>
      </c>
      <c r="P243" s="70">
        <v>2019.0</v>
      </c>
      <c r="U243" s="70" t="s">
        <v>387</v>
      </c>
      <c r="V243" s="70" t="s">
        <v>388</v>
      </c>
      <c r="W243" s="70" t="s">
        <v>2590</v>
      </c>
      <c r="AW243" s="70" t="s">
        <v>2591</v>
      </c>
      <c r="AZ243" s="70">
        <v>292.0</v>
      </c>
    </row>
    <row r="244" ht="22.5" customHeight="1">
      <c r="A244" s="70" t="str">
        <f t="shared" si="1"/>
        <v>Excluded</v>
      </c>
      <c r="B244" s="70">
        <f t="shared" si="2"/>
        <v>0</v>
      </c>
      <c r="C244" s="70">
        <v>0.0</v>
      </c>
      <c r="D244" s="70">
        <v>0.0</v>
      </c>
      <c r="E244" s="70">
        <v>0.0</v>
      </c>
      <c r="F244" s="70">
        <v>0.0</v>
      </c>
      <c r="G244" s="70">
        <v>0.0</v>
      </c>
      <c r="H244" s="70" t="s">
        <v>2125</v>
      </c>
      <c r="I244" s="70">
        <v>160.0</v>
      </c>
      <c r="J244" s="70" t="s">
        <v>2121</v>
      </c>
      <c r="K244" s="70" t="s">
        <v>2122</v>
      </c>
      <c r="L244" s="70" t="s">
        <v>29543</v>
      </c>
      <c r="M244" s="70" t="s">
        <v>2124</v>
      </c>
      <c r="O244" s="75" t="s">
        <v>2126</v>
      </c>
      <c r="P244" s="70">
        <v>2020.0</v>
      </c>
      <c r="U244" s="70" t="s">
        <v>387</v>
      </c>
      <c r="V244" s="70" t="s">
        <v>388</v>
      </c>
      <c r="W244" s="70" t="s">
        <v>29544</v>
      </c>
      <c r="AW244" s="70" t="s">
        <v>2129</v>
      </c>
      <c r="AZ244" s="70">
        <v>789.0</v>
      </c>
    </row>
    <row r="245" ht="22.5" customHeight="1">
      <c r="A245" s="70" t="str">
        <f t="shared" si="1"/>
        <v>Excluded</v>
      </c>
      <c r="B245" s="70">
        <f t="shared" si="2"/>
        <v>0</v>
      </c>
      <c r="C245" s="70">
        <v>0.0</v>
      </c>
      <c r="D245" s="70">
        <v>0.0</v>
      </c>
      <c r="E245" s="70">
        <v>0.0</v>
      </c>
      <c r="F245" s="70">
        <v>0.0</v>
      </c>
      <c r="G245" s="70">
        <v>0.0</v>
      </c>
      <c r="H245" s="70" t="s">
        <v>3593</v>
      </c>
      <c r="I245" s="70">
        <v>300.0</v>
      </c>
      <c r="J245" s="70" t="s">
        <v>3589</v>
      </c>
      <c r="K245" s="70" t="s">
        <v>3590</v>
      </c>
      <c r="L245" s="70" t="s">
        <v>29545</v>
      </c>
      <c r="M245" s="70" t="s">
        <v>3592</v>
      </c>
      <c r="O245" s="75" t="s">
        <v>3594</v>
      </c>
      <c r="P245" s="70">
        <v>2020.0</v>
      </c>
      <c r="U245" s="70" t="s">
        <v>387</v>
      </c>
      <c r="V245" s="70" t="s">
        <v>388</v>
      </c>
      <c r="W245" s="70" t="s">
        <v>3597</v>
      </c>
      <c r="AW245" s="70" t="s">
        <v>3598</v>
      </c>
      <c r="AX245" s="70">
        <v>0.0</v>
      </c>
      <c r="AY245" s="70" t="s">
        <v>24</v>
      </c>
      <c r="AZ245" s="70">
        <v>3012.0</v>
      </c>
    </row>
    <row r="246" ht="22.5" customHeight="1">
      <c r="A246" s="70" t="str">
        <f t="shared" si="1"/>
        <v>Excluded</v>
      </c>
      <c r="B246" s="70">
        <f t="shared" si="2"/>
        <v>0</v>
      </c>
      <c r="C246" s="70">
        <v>0.0</v>
      </c>
      <c r="D246" s="70">
        <v>0.0</v>
      </c>
      <c r="E246" s="70">
        <v>0.0</v>
      </c>
      <c r="F246" s="70">
        <v>0.0</v>
      </c>
      <c r="G246" s="70">
        <v>0.0</v>
      </c>
      <c r="H246" s="70" t="s">
        <v>1317</v>
      </c>
      <c r="I246" s="70">
        <v>86.0</v>
      </c>
      <c r="J246" s="70" t="s">
        <v>29546</v>
      </c>
      <c r="K246" s="70" t="s">
        <v>29547</v>
      </c>
      <c r="L246" s="70" t="s">
        <v>29548</v>
      </c>
      <c r="M246" s="70" t="s">
        <v>1316</v>
      </c>
      <c r="O246" s="75" t="s">
        <v>1318</v>
      </c>
      <c r="P246" s="70">
        <v>2020.0</v>
      </c>
      <c r="U246" s="70" t="s">
        <v>387</v>
      </c>
      <c r="V246" s="70" t="s">
        <v>388</v>
      </c>
      <c r="W246" s="70" t="s">
        <v>29549</v>
      </c>
      <c r="AW246" s="70" t="s">
        <v>1322</v>
      </c>
      <c r="AX246" s="70">
        <v>0.0</v>
      </c>
      <c r="AY246" s="70" t="s">
        <v>24</v>
      </c>
      <c r="AZ246" s="70">
        <v>3037.0</v>
      </c>
    </row>
    <row r="247" ht="22.5" customHeight="1">
      <c r="A247" s="70" t="str">
        <f t="shared" si="1"/>
        <v>Excluded</v>
      </c>
      <c r="B247" s="70">
        <f t="shared" si="2"/>
        <v>0</v>
      </c>
      <c r="C247" s="70">
        <v>0.0</v>
      </c>
      <c r="D247" s="70">
        <v>0.0</v>
      </c>
      <c r="E247" s="70">
        <v>0.0</v>
      </c>
      <c r="F247" s="70">
        <v>0.0</v>
      </c>
      <c r="G247" s="70">
        <v>0.0</v>
      </c>
      <c r="H247" s="70" t="s">
        <v>2781</v>
      </c>
      <c r="I247" s="70">
        <v>223.0</v>
      </c>
      <c r="J247" s="70" t="s">
        <v>2777</v>
      </c>
      <c r="K247" s="70" t="s">
        <v>2778</v>
      </c>
      <c r="L247" s="70" t="s">
        <v>2779</v>
      </c>
      <c r="M247" s="70" t="s">
        <v>2780</v>
      </c>
      <c r="O247" s="75" t="s">
        <v>2782</v>
      </c>
      <c r="P247" s="70">
        <v>2019.0</v>
      </c>
      <c r="U247" s="70" t="s">
        <v>387</v>
      </c>
      <c r="V247" s="70" t="s">
        <v>388</v>
      </c>
      <c r="W247" s="70" t="s">
        <v>2785</v>
      </c>
      <c r="AW247" s="70" t="s">
        <v>2786</v>
      </c>
      <c r="AX247" s="70">
        <v>0.0</v>
      </c>
      <c r="AY247" s="70" t="s">
        <v>24</v>
      </c>
      <c r="AZ247" s="70">
        <v>1863.0</v>
      </c>
    </row>
    <row r="248" ht="22.5" customHeight="1">
      <c r="A248" s="70" t="str">
        <f t="shared" si="1"/>
        <v>Excluded</v>
      </c>
      <c r="B248" s="70">
        <f t="shared" si="2"/>
        <v>0</v>
      </c>
      <c r="C248" s="70">
        <v>0.0</v>
      </c>
      <c r="D248" s="70">
        <v>0.0</v>
      </c>
      <c r="E248" s="70">
        <v>0.0</v>
      </c>
      <c r="F248" s="70">
        <v>0.0</v>
      </c>
      <c r="G248" s="70">
        <v>0.0</v>
      </c>
      <c r="H248" s="70" t="s">
        <v>1165</v>
      </c>
      <c r="I248" s="70">
        <v>71.0</v>
      </c>
      <c r="J248" s="70" t="s">
        <v>1161</v>
      </c>
      <c r="K248" s="70" t="s">
        <v>1162</v>
      </c>
      <c r="L248" s="70" t="s">
        <v>29550</v>
      </c>
      <c r="M248" s="70" t="s">
        <v>1164</v>
      </c>
      <c r="O248" s="75" t="s">
        <v>1166</v>
      </c>
      <c r="P248" s="70">
        <v>2020.0</v>
      </c>
      <c r="U248" s="70" t="s">
        <v>387</v>
      </c>
      <c r="V248" s="70" t="s">
        <v>388</v>
      </c>
      <c r="W248" s="70" t="s">
        <v>1169</v>
      </c>
      <c r="AW248" s="70" t="s">
        <v>1170</v>
      </c>
      <c r="AX248" s="70">
        <v>0.0</v>
      </c>
      <c r="AY248" s="70" t="s">
        <v>24</v>
      </c>
      <c r="AZ248" s="70">
        <v>3087.0</v>
      </c>
    </row>
    <row r="249" ht="22.5" customHeight="1">
      <c r="A249" s="70" t="str">
        <f t="shared" si="1"/>
        <v>Excluded</v>
      </c>
      <c r="B249" s="70">
        <f t="shared" si="2"/>
        <v>0</v>
      </c>
      <c r="C249" s="70">
        <v>0.0</v>
      </c>
      <c r="D249" s="70">
        <v>0.0</v>
      </c>
      <c r="E249" s="70">
        <v>0.0</v>
      </c>
      <c r="F249" s="70">
        <v>0.0</v>
      </c>
      <c r="G249" s="70">
        <v>0.0</v>
      </c>
      <c r="H249" s="70" t="s">
        <v>1007</v>
      </c>
      <c r="I249" s="70">
        <v>56.0</v>
      </c>
      <c r="J249" s="70" t="s">
        <v>29551</v>
      </c>
      <c r="K249" s="70" t="s">
        <v>1004</v>
      </c>
      <c r="L249" s="70" t="s">
        <v>29552</v>
      </c>
      <c r="M249" s="70" t="s">
        <v>1006</v>
      </c>
      <c r="O249" s="75" t="s">
        <v>1008</v>
      </c>
      <c r="P249" s="70">
        <v>2020.0</v>
      </c>
      <c r="U249" s="70" t="s">
        <v>387</v>
      </c>
      <c r="V249" s="70" t="s">
        <v>388</v>
      </c>
      <c r="W249" s="70" t="s">
        <v>1011</v>
      </c>
      <c r="AX249" s="70">
        <v>0.0</v>
      </c>
      <c r="AY249" s="70" t="s">
        <v>24</v>
      </c>
      <c r="AZ249" s="70">
        <v>1933.0</v>
      </c>
    </row>
    <row r="250" ht="22.5" customHeight="1">
      <c r="A250" s="70" t="str">
        <f t="shared" si="1"/>
        <v>Excluded</v>
      </c>
      <c r="B250" s="70">
        <f t="shared" si="2"/>
        <v>0</v>
      </c>
      <c r="C250" s="70">
        <v>0.0</v>
      </c>
      <c r="D250" s="70">
        <v>0.0</v>
      </c>
      <c r="E250" s="70">
        <v>0.0</v>
      </c>
      <c r="F250" s="70">
        <v>0.0</v>
      </c>
      <c r="G250" s="70">
        <v>0.0</v>
      </c>
      <c r="H250" s="70" t="s">
        <v>2250</v>
      </c>
      <c r="I250" s="70">
        <v>172.0</v>
      </c>
      <c r="J250" s="70" t="s">
        <v>2246</v>
      </c>
      <c r="K250" s="70" t="s">
        <v>2247</v>
      </c>
      <c r="L250" s="70" t="s">
        <v>29553</v>
      </c>
      <c r="M250" s="70" t="s">
        <v>2249</v>
      </c>
      <c r="O250" s="75" t="s">
        <v>2251</v>
      </c>
      <c r="P250" s="70">
        <v>2020.0</v>
      </c>
      <c r="U250" s="70" t="s">
        <v>387</v>
      </c>
      <c r="V250" s="70" t="s">
        <v>388</v>
      </c>
      <c r="W250" s="70" t="s">
        <v>2253</v>
      </c>
      <c r="AW250" s="70" t="s">
        <v>2254</v>
      </c>
      <c r="AZ250" s="70">
        <v>1242.0</v>
      </c>
    </row>
    <row r="251" ht="22.5" customHeight="1">
      <c r="A251" s="70" t="str">
        <f t="shared" si="1"/>
        <v>Excluded</v>
      </c>
      <c r="B251" s="70">
        <f t="shared" si="2"/>
        <v>0</v>
      </c>
      <c r="C251" s="70">
        <v>0.0</v>
      </c>
      <c r="D251" s="70">
        <v>0.0</v>
      </c>
      <c r="E251" s="70">
        <v>0.0</v>
      </c>
      <c r="F251" s="70">
        <v>0.0</v>
      </c>
      <c r="G251" s="70">
        <v>0.0</v>
      </c>
      <c r="H251" s="70" t="s">
        <v>28269</v>
      </c>
      <c r="I251" s="70">
        <v>3045.0</v>
      </c>
      <c r="J251" s="70" t="s">
        <v>28267</v>
      </c>
      <c r="K251" s="70" t="s">
        <v>28268</v>
      </c>
      <c r="W251" s="70" t="s">
        <v>29554</v>
      </c>
      <c r="AA251" s="70" t="s">
        <v>28272</v>
      </c>
      <c r="AI251" s="70" t="s">
        <v>28273</v>
      </c>
      <c r="AJ251" s="70" t="s">
        <v>28274</v>
      </c>
      <c r="AK251" s="70">
        <v>2021.0</v>
      </c>
      <c r="AL251" s="70" t="s">
        <v>28275</v>
      </c>
      <c r="AN251" s="70">
        <v>1017.0</v>
      </c>
      <c r="AO251" s="70">
        <v>1036.0</v>
      </c>
      <c r="AP251" s="70">
        <v>19.0</v>
      </c>
      <c r="AQ251" s="70">
        <v>11.0</v>
      </c>
      <c r="AR251" s="75" t="s">
        <v>28276</v>
      </c>
      <c r="AS251" s="70" t="s">
        <v>22525</v>
      </c>
      <c r="AU251" s="70" t="s">
        <v>237</v>
      </c>
      <c r="AV251" s="70" t="s">
        <v>28277</v>
      </c>
      <c r="AW251" s="70" t="s">
        <v>28278</v>
      </c>
      <c r="AZ251" s="70">
        <v>351.0</v>
      </c>
    </row>
    <row r="252" ht="22.5" customHeight="1">
      <c r="A252" s="70" t="str">
        <f t="shared" si="1"/>
        <v>Excluded</v>
      </c>
      <c r="B252" s="70">
        <f t="shared" si="2"/>
        <v>0</v>
      </c>
      <c r="C252" s="70">
        <v>0.0</v>
      </c>
      <c r="D252" s="70">
        <v>0.0</v>
      </c>
      <c r="E252" s="70">
        <v>0.0</v>
      </c>
      <c r="F252" s="70">
        <v>0.0</v>
      </c>
      <c r="G252" s="70">
        <v>0.0</v>
      </c>
      <c r="H252" s="70" t="s">
        <v>28291</v>
      </c>
      <c r="I252" s="70">
        <v>3047.0</v>
      </c>
      <c r="J252" s="70" t="s">
        <v>28289</v>
      </c>
      <c r="K252" s="70" t="s">
        <v>28290</v>
      </c>
      <c r="W252" s="70" t="s">
        <v>29555</v>
      </c>
      <c r="AA252" s="70" t="s">
        <v>28293</v>
      </c>
      <c r="AI252" s="70" t="s">
        <v>28294</v>
      </c>
      <c r="AJ252" s="70" t="s">
        <v>28295</v>
      </c>
      <c r="AK252" s="70">
        <v>2021.0</v>
      </c>
      <c r="AL252" s="70" t="s">
        <v>28296</v>
      </c>
      <c r="AN252" s="70">
        <v>380.0</v>
      </c>
      <c r="AO252" s="70">
        <v>394.0</v>
      </c>
      <c r="AP252" s="70">
        <v>14.0</v>
      </c>
      <c r="AQ252" s="70">
        <v>6.0</v>
      </c>
      <c r="AR252" s="75" t="s">
        <v>28297</v>
      </c>
      <c r="AS252" s="70" t="s">
        <v>22525</v>
      </c>
      <c r="AU252" s="70" t="s">
        <v>237</v>
      </c>
      <c r="AV252" s="70" t="s">
        <v>28298</v>
      </c>
      <c r="AW252" s="70" t="s">
        <v>28299</v>
      </c>
      <c r="AX252" s="70">
        <v>0.0</v>
      </c>
      <c r="AY252" s="70" t="s">
        <v>24</v>
      </c>
      <c r="AZ252" s="70">
        <v>2571.0</v>
      </c>
    </row>
    <row r="253" ht="22.5" customHeight="1">
      <c r="A253" s="70" t="str">
        <f t="shared" si="1"/>
        <v>Excluded</v>
      </c>
      <c r="B253" s="70">
        <f t="shared" si="2"/>
        <v>0</v>
      </c>
      <c r="C253" s="70">
        <v>0.0</v>
      </c>
      <c r="D253" s="70">
        <v>0.0</v>
      </c>
      <c r="E253" s="70">
        <v>0.0</v>
      </c>
      <c r="F253" s="70">
        <v>0.0</v>
      </c>
      <c r="G253" s="70">
        <v>0.0</v>
      </c>
      <c r="H253" s="70" t="s">
        <v>3197</v>
      </c>
      <c r="I253" s="70">
        <v>262.0</v>
      </c>
      <c r="J253" s="70" t="s">
        <v>3193</v>
      </c>
      <c r="K253" s="70" t="s">
        <v>3194</v>
      </c>
      <c r="L253" s="70" t="s">
        <v>29556</v>
      </c>
      <c r="M253" s="70" t="s">
        <v>3196</v>
      </c>
      <c r="O253" s="75" t="s">
        <v>3198</v>
      </c>
      <c r="P253" s="70">
        <v>2021.0</v>
      </c>
      <c r="U253" s="70" t="s">
        <v>387</v>
      </c>
      <c r="V253" s="70" t="s">
        <v>388</v>
      </c>
      <c r="W253" s="70" t="s">
        <v>3200</v>
      </c>
      <c r="AW253" s="70" t="s">
        <v>3201</v>
      </c>
      <c r="AZ253" s="70">
        <v>735.0</v>
      </c>
    </row>
    <row r="254" ht="22.5" customHeight="1">
      <c r="A254" s="70" t="str">
        <f t="shared" si="1"/>
        <v>Excluded</v>
      </c>
      <c r="B254" s="70">
        <f t="shared" si="2"/>
        <v>0</v>
      </c>
      <c r="C254" s="70">
        <v>0.0</v>
      </c>
      <c r="D254" s="70">
        <v>0.0</v>
      </c>
      <c r="E254" s="70">
        <v>0.0</v>
      </c>
      <c r="F254" s="70">
        <v>0.0</v>
      </c>
      <c r="G254" s="70">
        <v>0.0</v>
      </c>
      <c r="H254" s="70" t="s">
        <v>2397</v>
      </c>
      <c r="I254" s="70">
        <v>186.0</v>
      </c>
      <c r="J254" s="70" t="s">
        <v>2393</v>
      </c>
      <c r="K254" s="70" t="s">
        <v>2394</v>
      </c>
      <c r="L254" s="70" t="s">
        <v>29557</v>
      </c>
      <c r="M254" s="70" t="s">
        <v>2396</v>
      </c>
      <c r="O254" s="75" t="s">
        <v>2398</v>
      </c>
      <c r="P254" s="70">
        <v>2021.0</v>
      </c>
      <c r="U254" s="70" t="s">
        <v>387</v>
      </c>
      <c r="V254" s="70" t="s">
        <v>388</v>
      </c>
      <c r="W254" s="70" t="s">
        <v>2400</v>
      </c>
      <c r="AW254" s="70" t="s">
        <v>2401</v>
      </c>
      <c r="AX254" s="70">
        <v>0.0</v>
      </c>
      <c r="AY254" s="70" t="s">
        <v>24</v>
      </c>
      <c r="AZ254" s="70">
        <v>1904.0</v>
      </c>
    </row>
    <row r="255" ht="22.5" customHeight="1">
      <c r="A255" s="70" t="str">
        <f t="shared" si="1"/>
        <v>Excluded</v>
      </c>
      <c r="B255" s="70">
        <f t="shared" si="2"/>
        <v>0</v>
      </c>
      <c r="C255" s="70">
        <v>0.0</v>
      </c>
      <c r="D255" s="70">
        <v>0.0</v>
      </c>
      <c r="E255" s="70">
        <v>0.0</v>
      </c>
      <c r="F255" s="70">
        <v>0.0</v>
      </c>
      <c r="G255" s="70">
        <v>0.0</v>
      </c>
      <c r="H255" s="70" t="s">
        <v>899</v>
      </c>
      <c r="I255" s="70">
        <v>46.0</v>
      </c>
      <c r="J255" s="70" t="s">
        <v>895</v>
      </c>
      <c r="K255" s="70" t="s">
        <v>896</v>
      </c>
      <c r="L255" s="70" t="s">
        <v>897</v>
      </c>
      <c r="M255" s="70" t="s">
        <v>898</v>
      </c>
      <c r="O255" s="75" t="s">
        <v>900</v>
      </c>
      <c r="P255" s="70">
        <v>2021.0</v>
      </c>
      <c r="U255" s="70" t="s">
        <v>387</v>
      </c>
      <c r="V255" s="70" t="s">
        <v>388</v>
      </c>
      <c r="W255" s="70" t="s">
        <v>902</v>
      </c>
      <c r="AW255" s="70" t="s">
        <v>903</v>
      </c>
      <c r="AX255" s="70">
        <v>0.0</v>
      </c>
      <c r="AY255" s="70" t="s">
        <v>24</v>
      </c>
      <c r="AZ255" s="70">
        <v>1736.0</v>
      </c>
    </row>
    <row r="256" ht="22.5" customHeight="1">
      <c r="A256" s="70" t="str">
        <f t="shared" si="1"/>
        <v>Excluded</v>
      </c>
      <c r="B256" s="70">
        <f t="shared" si="2"/>
        <v>0</v>
      </c>
      <c r="C256" s="70">
        <v>0.0</v>
      </c>
      <c r="D256" s="70">
        <v>0.0</v>
      </c>
      <c r="E256" s="70">
        <v>0.0</v>
      </c>
      <c r="F256" s="70">
        <v>0.0</v>
      </c>
      <c r="G256" s="70">
        <v>0.0</v>
      </c>
      <c r="H256" s="70" t="s">
        <v>3297</v>
      </c>
      <c r="I256" s="70">
        <v>271.0</v>
      </c>
      <c r="J256" s="70" t="s">
        <v>3293</v>
      </c>
      <c r="K256" s="70" t="s">
        <v>3294</v>
      </c>
      <c r="L256" s="70" t="s">
        <v>29558</v>
      </c>
      <c r="M256" s="70" t="s">
        <v>3296</v>
      </c>
      <c r="O256" s="75" t="s">
        <v>3298</v>
      </c>
      <c r="P256" s="70">
        <v>2021.0</v>
      </c>
      <c r="U256" s="70" t="s">
        <v>387</v>
      </c>
      <c r="V256" s="70" t="s">
        <v>388</v>
      </c>
      <c r="W256" s="70" t="s">
        <v>3300</v>
      </c>
      <c r="AW256" s="70" t="s">
        <v>3301</v>
      </c>
      <c r="AX256" s="70">
        <v>0.0</v>
      </c>
      <c r="AY256" s="70" t="s">
        <v>24</v>
      </c>
      <c r="AZ256" s="70">
        <v>2329.0</v>
      </c>
    </row>
    <row r="257" ht="22.5" customHeight="1">
      <c r="A257" s="70" t="str">
        <f t="shared" si="1"/>
        <v>Excluded</v>
      </c>
      <c r="B257" s="70">
        <f t="shared" si="2"/>
        <v>0</v>
      </c>
      <c r="C257" s="70">
        <v>0.0</v>
      </c>
      <c r="D257" s="70">
        <v>0.0</v>
      </c>
      <c r="E257" s="70">
        <v>0.0</v>
      </c>
      <c r="F257" s="70">
        <v>0.0</v>
      </c>
      <c r="G257" s="70">
        <v>0.0</v>
      </c>
      <c r="H257" s="70" t="s">
        <v>1442</v>
      </c>
      <c r="I257" s="70">
        <v>97.0</v>
      </c>
      <c r="J257" s="70" t="s">
        <v>1438</v>
      </c>
      <c r="K257" s="70" t="s">
        <v>1439</v>
      </c>
      <c r="L257" s="70" t="s">
        <v>1440</v>
      </c>
      <c r="M257" s="70" t="s">
        <v>1441</v>
      </c>
      <c r="O257" s="75" t="s">
        <v>1443</v>
      </c>
      <c r="P257" s="70">
        <v>2021.0</v>
      </c>
      <c r="U257" s="70" t="s">
        <v>387</v>
      </c>
      <c r="V257" s="70" t="s">
        <v>388</v>
      </c>
      <c r="W257" s="70" t="s">
        <v>1446</v>
      </c>
      <c r="AW257" s="70" t="s">
        <v>1447</v>
      </c>
      <c r="AX257" s="70">
        <v>0.0</v>
      </c>
      <c r="AY257" s="70" t="s">
        <v>24</v>
      </c>
      <c r="AZ257" s="70">
        <v>2435.0</v>
      </c>
    </row>
    <row r="258" ht="22.5" customHeight="1">
      <c r="A258" s="70" t="str">
        <f t="shared" si="1"/>
        <v>Excluded</v>
      </c>
      <c r="B258" s="70">
        <f t="shared" si="2"/>
        <v>0</v>
      </c>
      <c r="C258" s="70">
        <v>0.0</v>
      </c>
      <c r="D258" s="70">
        <v>0.0</v>
      </c>
      <c r="E258" s="70">
        <v>0.0</v>
      </c>
      <c r="F258" s="70">
        <v>0.0</v>
      </c>
      <c r="G258" s="70">
        <v>0.0</v>
      </c>
      <c r="H258" s="70" t="s">
        <v>3489</v>
      </c>
      <c r="I258" s="70">
        <v>290.0</v>
      </c>
      <c r="J258" s="70" t="s">
        <v>3485</v>
      </c>
      <c r="K258" s="70" t="s">
        <v>3486</v>
      </c>
      <c r="L258" s="70" t="s">
        <v>29559</v>
      </c>
      <c r="M258" s="70" t="s">
        <v>3488</v>
      </c>
      <c r="O258" s="75" t="s">
        <v>3490</v>
      </c>
      <c r="P258" s="70">
        <v>2021.0</v>
      </c>
      <c r="U258" s="70" t="s">
        <v>387</v>
      </c>
      <c r="V258" s="70" t="s">
        <v>388</v>
      </c>
      <c r="W258" s="70" t="s">
        <v>3492</v>
      </c>
      <c r="AW258" s="70" t="s">
        <v>3493</v>
      </c>
      <c r="AX258" s="70">
        <v>0.0</v>
      </c>
      <c r="AY258" s="70" t="s">
        <v>24</v>
      </c>
      <c r="AZ258" s="70">
        <v>2240.0</v>
      </c>
    </row>
    <row r="259" ht="22.5" customHeight="1">
      <c r="A259" s="70" t="str">
        <f t="shared" si="1"/>
        <v>Excluded</v>
      </c>
      <c r="B259" s="70">
        <f t="shared" si="2"/>
        <v>0</v>
      </c>
      <c r="C259" s="70">
        <v>0.0</v>
      </c>
      <c r="D259" s="70">
        <v>0.0</v>
      </c>
      <c r="E259" s="70">
        <v>0.0</v>
      </c>
      <c r="F259" s="70">
        <v>0.0</v>
      </c>
      <c r="G259" s="70">
        <v>0.0</v>
      </c>
      <c r="H259" s="70" t="s">
        <v>588</v>
      </c>
      <c r="I259" s="70">
        <v>18.0</v>
      </c>
      <c r="J259" s="70" t="s">
        <v>584</v>
      </c>
      <c r="K259" s="70" t="s">
        <v>585</v>
      </c>
      <c r="L259" s="70" t="s">
        <v>29560</v>
      </c>
      <c r="M259" s="70" t="s">
        <v>587</v>
      </c>
      <c r="O259" s="75" t="s">
        <v>589</v>
      </c>
      <c r="P259" s="70">
        <v>2021.0</v>
      </c>
      <c r="U259" s="70" t="s">
        <v>387</v>
      </c>
      <c r="V259" s="70" t="s">
        <v>388</v>
      </c>
      <c r="W259" s="70" t="s">
        <v>29561</v>
      </c>
      <c r="AW259" s="70" t="s">
        <v>593</v>
      </c>
      <c r="AX259" s="70">
        <v>0.0</v>
      </c>
      <c r="AY259" s="70" t="s">
        <v>24</v>
      </c>
      <c r="AZ259" s="70">
        <v>2599.0</v>
      </c>
    </row>
    <row r="260" ht="22.5" customHeight="1">
      <c r="A260" s="70" t="str">
        <f t="shared" si="1"/>
        <v>Excluded</v>
      </c>
      <c r="B260" s="70">
        <f t="shared" si="2"/>
        <v>0</v>
      </c>
      <c r="C260" s="70">
        <v>0.0</v>
      </c>
      <c r="D260" s="70">
        <v>0.0</v>
      </c>
      <c r="E260" s="70">
        <v>0.0</v>
      </c>
      <c r="F260" s="70">
        <v>0.0</v>
      </c>
      <c r="G260" s="70">
        <v>0.0</v>
      </c>
      <c r="H260" s="70" t="s">
        <v>2268</v>
      </c>
      <c r="I260" s="70">
        <v>174.0</v>
      </c>
      <c r="J260" s="70" t="s">
        <v>2264</v>
      </c>
      <c r="K260" s="70" t="s">
        <v>2265</v>
      </c>
      <c r="L260" s="70" t="s">
        <v>29562</v>
      </c>
      <c r="M260" s="70" t="s">
        <v>2267</v>
      </c>
      <c r="O260" s="75" t="s">
        <v>2269</v>
      </c>
      <c r="P260" s="70">
        <v>2022.0</v>
      </c>
      <c r="U260" s="70" t="s">
        <v>387</v>
      </c>
      <c r="V260" s="70" t="s">
        <v>388</v>
      </c>
      <c r="W260" s="70" t="s">
        <v>29563</v>
      </c>
      <c r="AW260" s="70" t="s">
        <v>2273</v>
      </c>
      <c r="AX260" s="70">
        <v>0.0</v>
      </c>
      <c r="AY260" s="70" t="s">
        <v>24</v>
      </c>
      <c r="AZ260" s="70">
        <v>1887.0</v>
      </c>
    </row>
    <row r="261" ht="22.5" customHeight="1">
      <c r="A261" s="70" t="str">
        <f t="shared" si="1"/>
        <v>Excluded</v>
      </c>
      <c r="B261" s="70">
        <f t="shared" si="2"/>
        <v>0</v>
      </c>
      <c r="C261" s="70">
        <v>0.0</v>
      </c>
      <c r="D261" s="70">
        <v>0.0</v>
      </c>
      <c r="E261" s="70">
        <v>0.0</v>
      </c>
      <c r="F261" s="70">
        <v>0.0</v>
      </c>
      <c r="G261" s="70">
        <v>0.0</v>
      </c>
      <c r="H261" s="70" t="s">
        <v>27597</v>
      </c>
      <c r="I261" s="70">
        <v>2979.0</v>
      </c>
      <c r="J261" s="70" t="s">
        <v>27595</v>
      </c>
      <c r="K261" s="70" t="s">
        <v>27596</v>
      </c>
      <c r="W261" s="70" t="s">
        <v>29564</v>
      </c>
      <c r="AA261" s="70" t="s">
        <v>27600</v>
      </c>
      <c r="AI261" s="70" t="s">
        <v>27601</v>
      </c>
      <c r="AJ261" s="70" t="s">
        <v>27602</v>
      </c>
      <c r="AK261" s="70">
        <v>2022.0</v>
      </c>
      <c r="AL261" s="70" t="s">
        <v>24360</v>
      </c>
      <c r="AN261" s="70">
        <v>169.0</v>
      </c>
      <c r="AO261" s="70">
        <v>181.0</v>
      </c>
      <c r="AP261" s="70">
        <v>12.0</v>
      </c>
      <c r="AQ261" s="70">
        <v>2.0</v>
      </c>
      <c r="AR261" s="75" t="s">
        <v>27603</v>
      </c>
      <c r="AS261" s="70" t="s">
        <v>22525</v>
      </c>
      <c r="AU261" s="70" t="s">
        <v>237</v>
      </c>
      <c r="AV261" s="70" t="s">
        <v>27604</v>
      </c>
      <c r="AW261" s="70" t="s">
        <v>27605</v>
      </c>
      <c r="AZ261" s="70">
        <v>254.0</v>
      </c>
    </row>
    <row r="262" ht="22.5" customHeight="1">
      <c r="A262" s="70" t="str">
        <f t="shared" si="1"/>
        <v>Excluded</v>
      </c>
      <c r="B262" s="70">
        <f t="shared" si="2"/>
        <v>0</v>
      </c>
      <c r="C262" s="70">
        <v>0.0</v>
      </c>
      <c r="D262" s="70">
        <v>0.0</v>
      </c>
      <c r="E262" s="70">
        <v>0.0</v>
      </c>
      <c r="F262" s="70">
        <v>0.0</v>
      </c>
      <c r="G262" s="70">
        <v>0.0</v>
      </c>
      <c r="H262" s="70" t="s">
        <v>27524</v>
      </c>
      <c r="I262" s="70">
        <v>2972.0</v>
      </c>
      <c r="J262" s="70" t="s">
        <v>27522</v>
      </c>
      <c r="K262" s="70" t="s">
        <v>29565</v>
      </c>
      <c r="W262" s="70" t="s">
        <v>29566</v>
      </c>
      <c r="AA262" s="70" t="s">
        <v>27527</v>
      </c>
      <c r="AI262" s="70" t="s">
        <v>27528</v>
      </c>
      <c r="AJ262" s="70" t="s">
        <v>27529</v>
      </c>
      <c r="AK262" s="70">
        <v>2022.0</v>
      </c>
      <c r="AL262" s="70" t="s">
        <v>24608</v>
      </c>
      <c r="AN262" s="70">
        <v>153.0</v>
      </c>
      <c r="AO262" s="70">
        <v>181.0</v>
      </c>
      <c r="AP262" s="70">
        <v>28.0</v>
      </c>
      <c r="AQ262" s="70">
        <v>4.0</v>
      </c>
      <c r="AR262" s="75" t="s">
        <v>27530</v>
      </c>
      <c r="AS262" s="70" t="s">
        <v>22525</v>
      </c>
      <c r="AU262" s="70" t="s">
        <v>237</v>
      </c>
      <c r="AV262" s="70" t="s">
        <v>27531</v>
      </c>
      <c r="AW262" s="70" t="s">
        <v>27532</v>
      </c>
      <c r="AZ262" s="70">
        <v>658.0</v>
      </c>
    </row>
    <row r="263" ht="22.5" customHeight="1">
      <c r="A263" s="70" t="str">
        <f t="shared" si="1"/>
        <v>Excluded</v>
      </c>
      <c r="B263" s="70">
        <f t="shared" si="2"/>
        <v>0</v>
      </c>
      <c r="C263" s="70">
        <v>0.0</v>
      </c>
      <c r="D263" s="70">
        <v>0.0</v>
      </c>
      <c r="E263" s="70">
        <v>0.0</v>
      </c>
      <c r="F263" s="70">
        <v>0.0</v>
      </c>
      <c r="G263" s="70">
        <v>0.0</v>
      </c>
      <c r="H263" s="70" t="s">
        <v>1576</v>
      </c>
      <c r="I263" s="70">
        <v>109.0</v>
      </c>
      <c r="J263" s="70" t="s">
        <v>1572</v>
      </c>
      <c r="K263" s="70" t="s">
        <v>1573</v>
      </c>
      <c r="L263" s="70" t="s">
        <v>29567</v>
      </c>
      <c r="M263" s="70" t="s">
        <v>1575</v>
      </c>
      <c r="O263" s="75" t="s">
        <v>1577</v>
      </c>
      <c r="P263" s="70">
        <v>2022.0</v>
      </c>
      <c r="U263" s="70" t="s">
        <v>387</v>
      </c>
      <c r="V263" s="70" t="s">
        <v>388</v>
      </c>
      <c r="W263" s="70" t="s">
        <v>29568</v>
      </c>
      <c r="AW263" s="70" t="s">
        <v>1581</v>
      </c>
      <c r="AZ263" s="70">
        <v>375.0</v>
      </c>
    </row>
    <row r="264" ht="22.5" customHeight="1">
      <c r="A264" s="70" t="str">
        <f t="shared" si="1"/>
        <v>Excluded</v>
      </c>
      <c r="B264" s="70">
        <f t="shared" si="2"/>
        <v>0</v>
      </c>
      <c r="C264" s="70">
        <v>0.0</v>
      </c>
      <c r="D264" s="70">
        <v>0.0</v>
      </c>
      <c r="E264" s="70">
        <v>0.0</v>
      </c>
      <c r="F264" s="70">
        <v>0.0</v>
      </c>
      <c r="G264" s="70">
        <v>0.0</v>
      </c>
      <c r="H264" s="70" t="s">
        <v>1813</v>
      </c>
      <c r="I264" s="70">
        <v>131.0</v>
      </c>
      <c r="J264" s="70" t="s">
        <v>29569</v>
      </c>
      <c r="K264" s="70" t="s">
        <v>1810</v>
      </c>
      <c r="L264" s="70" t="s">
        <v>29570</v>
      </c>
      <c r="M264" s="70" t="s">
        <v>1812</v>
      </c>
      <c r="O264" s="75" t="s">
        <v>1814</v>
      </c>
      <c r="P264" s="70">
        <v>2022.0</v>
      </c>
      <c r="U264" s="70" t="s">
        <v>387</v>
      </c>
      <c r="V264" s="70" t="s">
        <v>388</v>
      </c>
      <c r="W264" s="70" t="s">
        <v>1816</v>
      </c>
      <c r="AW264" s="70" t="s">
        <v>1817</v>
      </c>
      <c r="AZ264" s="70">
        <v>704.0</v>
      </c>
    </row>
    <row r="265" ht="22.5" customHeight="1">
      <c r="A265" s="70" t="str">
        <f t="shared" si="1"/>
        <v>Excluded</v>
      </c>
      <c r="B265" s="70">
        <f t="shared" si="2"/>
        <v>0</v>
      </c>
      <c r="C265" s="70">
        <v>0.0</v>
      </c>
      <c r="D265" s="70">
        <v>0.0</v>
      </c>
      <c r="E265" s="70">
        <v>0.0</v>
      </c>
      <c r="F265" s="70">
        <v>0.0</v>
      </c>
      <c r="G265" s="70">
        <v>0.0</v>
      </c>
      <c r="H265" s="70" t="s">
        <v>26927</v>
      </c>
      <c r="I265" s="70">
        <v>2914.0</v>
      </c>
      <c r="J265" s="70" t="s">
        <v>26925</v>
      </c>
      <c r="K265" s="70" t="s">
        <v>26926</v>
      </c>
      <c r="W265" s="70" t="s">
        <v>29571</v>
      </c>
      <c r="AA265" s="70" t="s">
        <v>26930</v>
      </c>
      <c r="AI265" s="70" t="s">
        <v>26931</v>
      </c>
      <c r="AJ265" s="70" t="s">
        <v>26932</v>
      </c>
      <c r="AK265" s="70">
        <v>2022.0</v>
      </c>
      <c r="AL265" s="70" t="s">
        <v>22912</v>
      </c>
      <c r="AN265" s="70">
        <v>189.0</v>
      </c>
      <c r="AO265" s="70">
        <v>200.0</v>
      </c>
      <c r="AP265" s="70">
        <v>11.0</v>
      </c>
      <c r="AQ265" s="70">
        <v>0.0</v>
      </c>
      <c r="AR265" s="75" t="s">
        <v>26933</v>
      </c>
      <c r="AS265" s="70" t="s">
        <v>22525</v>
      </c>
      <c r="AU265" s="70" t="s">
        <v>237</v>
      </c>
      <c r="AV265" s="70" t="s">
        <v>26934</v>
      </c>
      <c r="AW265" s="70" t="s">
        <v>26935</v>
      </c>
      <c r="AZ265" s="70">
        <v>1385.0</v>
      </c>
    </row>
    <row r="266" ht="22.5" customHeight="1">
      <c r="A266" s="70" t="str">
        <f t="shared" si="1"/>
        <v>Excluded</v>
      </c>
      <c r="B266" s="70">
        <f t="shared" si="2"/>
        <v>0</v>
      </c>
      <c r="C266" s="70">
        <v>0.0</v>
      </c>
      <c r="D266" s="70">
        <v>0.0</v>
      </c>
      <c r="E266" s="70">
        <v>0.0</v>
      </c>
      <c r="F266" s="70">
        <v>0.0</v>
      </c>
      <c r="G266" s="70">
        <v>0.0</v>
      </c>
      <c r="H266" s="70" t="s">
        <v>26478</v>
      </c>
      <c r="I266" s="70">
        <v>2870.0</v>
      </c>
      <c r="J266" s="70" t="s">
        <v>26476</v>
      </c>
      <c r="K266" s="70" t="s">
        <v>26477</v>
      </c>
      <c r="W266" s="70" t="s">
        <v>29572</v>
      </c>
      <c r="AA266" s="70" t="s">
        <v>26481</v>
      </c>
      <c r="AI266" s="70" t="s">
        <v>26482</v>
      </c>
      <c r="AJ266" s="70" t="s">
        <v>26483</v>
      </c>
      <c r="AK266" s="70">
        <v>2023.0</v>
      </c>
      <c r="AL266" s="70" t="s">
        <v>23905</v>
      </c>
      <c r="AN266" s="70">
        <v>233.0</v>
      </c>
      <c r="AO266" s="70">
        <v>257.0</v>
      </c>
      <c r="AP266" s="70">
        <v>24.0</v>
      </c>
      <c r="AQ266" s="70">
        <v>4.0</v>
      </c>
      <c r="AR266" s="75" t="s">
        <v>26484</v>
      </c>
      <c r="AS266" s="70" t="s">
        <v>22525</v>
      </c>
      <c r="AU266" s="70" t="s">
        <v>237</v>
      </c>
      <c r="AV266" s="70" t="s">
        <v>26485</v>
      </c>
      <c r="AX266" s="70">
        <v>0.0</v>
      </c>
      <c r="AY266" s="70" t="s">
        <v>24</v>
      </c>
      <c r="AZ266" s="70">
        <v>1703.0</v>
      </c>
    </row>
    <row r="267" ht="22.5" customHeight="1">
      <c r="A267" s="70" t="str">
        <f t="shared" si="1"/>
        <v>Excluded</v>
      </c>
      <c r="B267" s="70">
        <f t="shared" si="2"/>
        <v>0</v>
      </c>
      <c r="C267" s="70">
        <v>0.0</v>
      </c>
      <c r="D267" s="70">
        <v>0.0</v>
      </c>
      <c r="E267" s="70">
        <v>0.0</v>
      </c>
      <c r="F267" s="70">
        <v>0.0</v>
      </c>
      <c r="G267" s="70">
        <v>0.0</v>
      </c>
      <c r="H267" s="70" t="s">
        <v>2366</v>
      </c>
      <c r="I267" s="70">
        <v>183.0</v>
      </c>
      <c r="J267" s="70" t="s">
        <v>2362</v>
      </c>
      <c r="K267" s="70" t="s">
        <v>2363</v>
      </c>
      <c r="L267" s="70" t="s">
        <v>29573</v>
      </c>
      <c r="M267" s="70" t="s">
        <v>2365</v>
      </c>
      <c r="O267" s="75" t="s">
        <v>2367</v>
      </c>
      <c r="P267" s="70">
        <v>2022.0</v>
      </c>
      <c r="U267" s="70" t="s">
        <v>387</v>
      </c>
      <c r="V267" s="70" t="s">
        <v>388</v>
      </c>
      <c r="W267" s="70" t="s">
        <v>2369</v>
      </c>
      <c r="AW267" s="70" t="s">
        <v>2370</v>
      </c>
      <c r="AZ267" s="70">
        <v>675.0</v>
      </c>
    </row>
    <row r="268" ht="22.5" customHeight="1">
      <c r="A268" s="70" t="str">
        <f t="shared" si="1"/>
        <v>Excluded</v>
      </c>
      <c r="B268" s="70">
        <f t="shared" si="2"/>
        <v>0</v>
      </c>
      <c r="C268" s="70">
        <v>0.0</v>
      </c>
      <c r="D268" s="70">
        <v>0.0</v>
      </c>
      <c r="E268" s="70">
        <v>0.0</v>
      </c>
      <c r="F268" s="70">
        <v>0.0</v>
      </c>
      <c r="G268" s="70">
        <v>0.0</v>
      </c>
      <c r="H268" s="70" t="s">
        <v>27083</v>
      </c>
      <c r="I268" s="70">
        <v>2929.0</v>
      </c>
      <c r="J268" s="70" t="s">
        <v>29574</v>
      </c>
      <c r="K268" s="70" t="s">
        <v>29575</v>
      </c>
      <c r="W268" s="70" t="s">
        <v>29576</v>
      </c>
      <c r="AA268" s="70" t="s">
        <v>27086</v>
      </c>
      <c r="AI268" s="70" t="s">
        <v>29577</v>
      </c>
      <c r="AJ268" s="70" t="s">
        <v>27088</v>
      </c>
      <c r="AK268" s="70">
        <v>2022.0</v>
      </c>
      <c r="AL268" s="70" t="s">
        <v>24608</v>
      </c>
      <c r="AN268" s="70">
        <v>621.0</v>
      </c>
      <c r="AO268" s="70">
        <v>627.0</v>
      </c>
      <c r="AP268" s="70">
        <v>6.0</v>
      </c>
      <c r="AQ268" s="70">
        <v>5.0</v>
      </c>
      <c r="AR268" s="75" t="s">
        <v>27089</v>
      </c>
      <c r="AS268" s="70" t="s">
        <v>22525</v>
      </c>
      <c r="AU268" s="70" t="s">
        <v>237</v>
      </c>
      <c r="AV268" s="70" t="s">
        <v>27090</v>
      </c>
      <c r="AW268" s="70" t="s">
        <v>27091</v>
      </c>
      <c r="AX268" s="70">
        <v>0.0</v>
      </c>
      <c r="AY268" s="70" t="s">
        <v>24</v>
      </c>
      <c r="AZ268" s="70">
        <v>2072.0</v>
      </c>
    </row>
    <row r="269" ht="22.5" customHeight="1">
      <c r="A269" s="70" t="str">
        <f t="shared" si="1"/>
        <v>Excluded</v>
      </c>
      <c r="B269" s="70">
        <f t="shared" si="2"/>
        <v>0</v>
      </c>
      <c r="C269" s="70">
        <v>0.0</v>
      </c>
      <c r="D269" s="70">
        <v>0.0</v>
      </c>
      <c r="E269" s="70">
        <v>0.0</v>
      </c>
      <c r="F269" s="70">
        <v>0.0</v>
      </c>
      <c r="G269" s="70">
        <v>0.0</v>
      </c>
      <c r="H269" s="70" t="s">
        <v>3438</v>
      </c>
      <c r="I269" s="70">
        <v>285.0</v>
      </c>
      <c r="J269" s="70" t="s">
        <v>29578</v>
      </c>
      <c r="K269" s="70" t="s">
        <v>3435</v>
      </c>
      <c r="L269" s="70" t="s">
        <v>3436</v>
      </c>
      <c r="M269" s="70" t="s">
        <v>3437</v>
      </c>
      <c r="O269" s="75" t="s">
        <v>3439</v>
      </c>
      <c r="P269" s="70">
        <v>2022.0</v>
      </c>
      <c r="U269" s="70" t="s">
        <v>387</v>
      </c>
      <c r="V269" s="70" t="s">
        <v>388</v>
      </c>
      <c r="W269" s="70" t="s">
        <v>29579</v>
      </c>
      <c r="AW269" s="70" t="s">
        <v>3442</v>
      </c>
      <c r="AX269" s="70">
        <v>0.0</v>
      </c>
      <c r="AY269" s="70" t="s">
        <v>24</v>
      </c>
      <c r="AZ269" s="70">
        <v>2893.0</v>
      </c>
    </row>
    <row r="270" ht="22.5" customHeight="1">
      <c r="A270" s="70" t="str">
        <f t="shared" si="1"/>
        <v>Excluded</v>
      </c>
      <c r="B270" s="70">
        <f t="shared" si="2"/>
        <v>0</v>
      </c>
      <c r="C270" s="70">
        <v>0.0</v>
      </c>
      <c r="D270" s="70">
        <v>0.0</v>
      </c>
      <c r="E270" s="70">
        <v>0.0</v>
      </c>
      <c r="F270" s="70">
        <v>0.0</v>
      </c>
      <c r="G270" s="70">
        <v>0.0</v>
      </c>
      <c r="H270" s="70" t="s">
        <v>3375</v>
      </c>
      <c r="I270" s="70">
        <v>279.0</v>
      </c>
      <c r="J270" s="70" t="s">
        <v>3371</v>
      </c>
      <c r="K270" s="70" t="s">
        <v>3372</v>
      </c>
      <c r="L270" s="70" t="s">
        <v>29580</v>
      </c>
      <c r="M270" s="70" t="s">
        <v>3374</v>
      </c>
      <c r="O270" s="75" t="s">
        <v>3376</v>
      </c>
      <c r="P270" s="70">
        <v>2022.0</v>
      </c>
      <c r="U270" s="70" t="s">
        <v>387</v>
      </c>
      <c r="V270" s="70" t="s">
        <v>388</v>
      </c>
      <c r="W270" s="70" t="s">
        <v>3378</v>
      </c>
      <c r="AW270" s="70" t="s">
        <v>3379</v>
      </c>
      <c r="AZ270" s="70">
        <v>1028.0</v>
      </c>
    </row>
    <row r="271" ht="22.5" customHeight="1">
      <c r="A271" s="70" t="str">
        <f t="shared" si="1"/>
        <v>Excluded</v>
      </c>
      <c r="B271" s="70">
        <f t="shared" si="2"/>
        <v>0</v>
      </c>
      <c r="C271" s="70">
        <v>0.0</v>
      </c>
      <c r="D271" s="70">
        <v>0.0</v>
      </c>
      <c r="E271" s="70">
        <v>0.0</v>
      </c>
      <c r="F271" s="70">
        <v>0.0</v>
      </c>
      <c r="G271" s="70">
        <v>0.0</v>
      </c>
      <c r="H271" s="70" t="s">
        <v>410</v>
      </c>
      <c r="I271" s="70">
        <v>2.0</v>
      </c>
      <c r="J271" s="70" t="s">
        <v>29581</v>
      </c>
      <c r="K271" s="70" t="s">
        <v>407</v>
      </c>
      <c r="L271" s="70" t="s">
        <v>29582</v>
      </c>
      <c r="M271" s="70" t="s">
        <v>409</v>
      </c>
      <c r="O271" s="75" t="s">
        <v>411</v>
      </c>
      <c r="P271" s="70">
        <v>2022.0</v>
      </c>
      <c r="U271" s="70" t="s">
        <v>387</v>
      </c>
      <c r="V271" s="70" t="s">
        <v>388</v>
      </c>
      <c r="W271" s="70" t="s">
        <v>414</v>
      </c>
      <c r="AW271" s="70" t="s">
        <v>415</v>
      </c>
      <c r="AZ271" s="70">
        <v>398.0</v>
      </c>
    </row>
    <row r="272" ht="22.5" customHeight="1">
      <c r="A272" s="70" t="str">
        <f t="shared" si="1"/>
        <v>Excluded</v>
      </c>
      <c r="B272" s="70">
        <f t="shared" si="2"/>
        <v>0</v>
      </c>
      <c r="C272" s="70">
        <v>0.0</v>
      </c>
      <c r="D272" s="70">
        <v>0.0</v>
      </c>
      <c r="E272" s="70">
        <v>0.0</v>
      </c>
      <c r="F272" s="70">
        <v>0.0</v>
      </c>
      <c r="G272" s="70">
        <v>0.0</v>
      </c>
      <c r="H272" s="70" t="s">
        <v>610</v>
      </c>
      <c r="I272" s="70">
        <v>20.0</v>
      </c>
      <c r="J272" s="70" t="s">
        <v>29583</v>
      </c>
      <c r="K272" s="70" t="s">
        <v>607</v>
      </c>
      <c r="L272" s="70" t="s">
        <v>29584</v>
      </c>
      <c r="M272" s="70" t="s">
        <v>609</v>
      </c>
      <c r="O272" s="75" t="s">
        <v>611</v>
      </c>
      <c r="P272" s="70">
        <v>2022.0</v>
      </c>
      <c r="U272" s="70" t="s">
        <v>387</v>
      </c>
      <c r="V272" s="70" t="s">
        <v>388</v>
      </c>
      <c r="W272" s="70" t="s">
        <v>29585</v>
      </c>
      <c r="AW272" s="70" t="s">
        <v>615</v>
      </c>
      <c r="AX272" s="70">
        <v>0.0</v>
      </c>
      <c r="AY272" s="70" t="s">
        <v>24</v>
      </c>
      <c r="AZ272" s="70">
        <v>1766.0</v>
      </c>
    </row>
    <row r="273" ht="22.5" customHeight="1">
      <c r="A273" s="70" t="str">
        <f t="shared" si="1"/>
        <v>Excluded</v>
      </c>
      <c r="B273" s="70">
        <f t="shared" si="2"/>
        <v>0</v>
      </c>
      <c r="C273" s="70">
        <v>0.0</v>
      </c>
      <c r="D273" s="70">
        <v>0.0</v>
      </c>
      <c r="E273" s="70">
        <v>0.0</v>
      </c>
      <c r="F273" s="70">
        <v>0.0</v>
      </c>
      <c r="G273" s="70">
        <v>0.0</v>
      </c>
      <c r="H273" s="70" t="s">
        <v>2612</v>
      </c>
      <c r="I273" s="70">
        <v>207.0</v>
      </c>
      <c r="J273" s="70" t="s">
        <v>2610</v>
      </c>
      <c r="K273" s="70" t="s">
        <v>2611</v>
      </c>
      <c r="L273" s="70" t="s">
        <v>29584</v>
      </c>
      <c r="M273" s="70" t="s">
        <v>609</v>
      </c>
      <c r="O273" s="75" t="s">
        <v>2613</v>
      </c>
      <c r="P273" s="70">
        <v>2022.0</v>
      </c>
      <c r="U273" s="70" t="s">
        <v>387</v>
      </c>
      <c r="V273" s="70" t="s">
        <v>388</v>
      </c>
      <c r="W273" s="70" t="s">
        <v>29586</v>
      </c>
      <c r="AW273" s="70" t="s">
        <v>2616</v>
      </c>
      <c r="AX273" s="70">
        <v>0.0</v>
      </c>
      <c r="AY273" s="70" t="s">
        <v>24</v>
      </c>
      <c r="AZ273" s="70">
        <v>1878.0</v>
      </c>
    </row>
    <row r="274" ht="22.5" customHeight="1">
      <c r="A274" s="70" t="str">
        <f t="shared" si="1"/>
        <v>Excluded</v>
      </c>
      <c r="B274" s="70">
        <f t="shared" si="2"/>
        <v>0</v>
      </c>
      <c r="C274" s="70">
        <v>0.0</v>
      </c>
      <c r="D274" s="70">
        <v>0.0</v>
      </c>
      <c r="E274" s="70">
        <v>0.0</v>
      </c>
      <c r="F274" s="70">
        <v>0.0</v>
      </c>
      <c r="G274" s="70">
        <v>0.0</v>
      </c>
      <c r="H274" s="70" t="s">
        <v>1997</v>
      </c>
      <c r="I274" s="70">
        <v>148.0</v>
      </c>
      <c r="J274" s="70" t="s">
        <v>29587</v>
      </c>
      <c r="K274" s="70" t="s">
        <v>1994</v>
      </c>
      <c r="L274" s="70" t="s">
        <v>29588</v>
      </c>
      <c r="M274" s="70" t="s">
        <v>1996</v>
      </c>
      <c r="O274" s="75" t="s">
        <v>1998</v>
      </c>
      <c r="P274" s="70">
        <v>2022.0</v>
      </c>
      <c r="U274" s="70" t="s">
        <v>387</v>
      </c>
      <c r="V274" s="70" t="s">
        <v>388</v>
      </c>
      <c r="W274" s="70" t="s">
        <v>2001</v>
      </c>
      <c r="AW274" s="70" t="s">
        <v>2002</v>
      </c>
      <c r="AX274" s="70">
        <v>0.0</v>
      </c>
      <c r="AY274" s="70" t="s">
        <v>24</v>
      </c>
      <c r="AZ274" s="70">
        <v>1931.0</v>
      </c>
    </row>
    <row r="275" ht="22.5" customHeight="1">
      <c r="A275" s="70" t="str">
        <f t="shared" si="1"/>
        <v>Excluded</v>
      </c>
      <c r="B275" s="70">
        <f t="shared" si="2"/>
        <v>0</v>
      </c>
      <c r="C275" s="70">
        <v>0.0</v>
      </c>
      <c r="D275" s="70">
        <v>0.0</v>
      </c>
      <c r="E275" s="70">
        <v>0.0</v>
      </c>
      <c r="F275" s="70">
        <v>0.0</v>
      </c>
      <c r="G275" s="70">
        <v>0.0</v>
      </c>
      <c r="H275" s="70" t="s">
        <v>25544</v>
      </c>
      <c r="I275" s="70">
        <v>2779.0</v>
      </c>
      <c r="J275" s="70" t="s">
        <v>25542</v>
      </c>
      <c r="K275" s="70" t="s">
        <v>29589</v>
      </c>
      <c r="W275" s="70" t="s">
        <v>29590</v>
      </c>
      <c r="AA275" s="70" t="s">
        <v>25547</v>
      </c>
      <c r="AI275" s="70" t="s">
        <v>25548</v>
      </c>
      <c r="AJ275" s="70" t="s">
        <v>25549</v>
      </c>
      <c r="AK275" s="70">
        <v>2023.0</v>
      </c>
      <c r="AL275" s="70" t="s">
        <v>24608</v>
      </c>
      <c r="AN275" s="70">
        <v>476.0</v>
      </c>
      <c r="AO275" s="70">
        <v>491.0</v>
      </c>
      <c r="AP275" s="70">
        <v>15.0</v>
      </c>
      <c r="AQ275" s="70">
        <v>0.0</v>
      </c>
      <c r="AR275" s="75" t="s">
        <v>25550</v>
      </c>
      <c r="AS275" s="70" t="s">
        <v>22525</v>
      </c>
      <c r="AU275" s="70" t="s">
        <v>237</v>
      </c>
      <c r="AV275" s="70" t="s">
        <v>25551</v>
      </c>
      <c r="AW275" s="70" t="s">
        <v>25552</v>
      </c>
      <c r="AZ275" s="70">
        <v>549.0</v>
      </c>
    </row>
    <row r="276" ht="22.5" customHeight="1">
      <c r="A276" s="70" t="str">
        <f t="shared" si="1"/>
        <v>Excluded</v>
      </c>
      <c r="B276" s="70">
        <f t="shared" si="2"/>
        <v>0</v>
      </c>
      <c r="C276" s="70">
        <v>0.0</v>
      </c>
      <c r="D276" s="70">
        <v>0.0</v>
      </c>
      <c r="E276" s="70">
        <v>0.0</v>
      </c>
      <c r="F276" s="70">
        <v>0.0</v>
      </c>
      <c r="G276" s="70">
        <v>0.0</v>
      </c>
      <c r="H276" s="70" t="s">
        <v>3355</v>
      </c>
      <c r="I276" s="70">
        <v>277.0</v>
      </c>
      <c r="J276" s="70" t="s">
        <v>3353</v>
      </c>
      <c r="K276" s="70" t="s">
        <v>3354</v>
      </c>
      <c r="L276" s="70" t="s">
        <v>29591</v>
      </c>
      <c r="M276" s="70" t="s">
        <v>2007</v>
      </c>
      <c r="O276" s="75" t="s">
        <v>3356</v>
      </c>
      <c r="P276" s="70">
        <v>2022.0</v>
      </c>
      <c r="U276" s="70" t="s">
        <v>387</v>
      </c>
      <c r="V276" s="70" t="s">
        <v>388</v>
      </c>
      <c r="W276" s="70" t="s">
        <v>29592</v>
      </c>
      <c r="AW276" s="70" t="s">
        <v>3359</v>
      </c>
      <c r="AX276" s="70">
        <v>0.0</v>
      </c>
      <c r="AY276" s="70" t="s">
        <v>24</v>
      </c>
      <c r="AZ276" s="70">
        <v>3054.0</v>
      </c>
    </row>
    <row r="277" ht="22.5" customHeight="1">
      <c r="A277" s="70" t="str">
        <f t="shared" si="1"/>
        <v>Excluded</v>
      </c>
      <c r="B277" s="70">
        <f t="shared" si="2"/>
        <v>0</v>
      </c>
      <c r="C277" s="70">
        <v>0.0</v>
      </c>
      <c r="D277" s="70">
        <v>0.0</v>
      </c>
      <c r="E277" s="70">
        <v>0.0</v>
      </c>
      <c r="F277" s="70">
        <v>0.0</v>
      </c>
      <c r="G277" s="70">
        <v>0.0</v>
      </c>
      <c r="H277" s="70" t="s">
        <v>2008</v>
      </c>
      <c r="I277" s="70">
        <v>149.0</v>
      </c>
      <c r="J277" s="70" t="s">
        <v>2004</v>
      </c>
      <c r="K277" s="70" t="s">
        <v>2005</v>
      </c>
      <c r="L277" s="70" t="s">
        <v>29591</v>
      </c>
      <c r="M277" s="70" t="s">
        <v>2007</v>
      </c>
      <c r="O277" s="75" t="s">
        <v>2009</v>
      </c>
      <c r="P277" s="70">
        <v>2022.0</v>
      </c>
      <c r="U277" s="70" t="s">
        <v>387</v>
      </c>
      <c r="V277" s="70" t="s">
        <v>388</v>
      </c>
      <c r="W277" s="70" t="s">
        <v>2012</v>
      </c>
      <c r="AW277" s="70" t="s">
        <v>2013</v>
      </c>
      <c r="AX277" s="70">
        <v>0.0</v>
      </c>
      <c r="AY277" s="70" t="s">
        <v>24</v>
      </c>
      <c r="AZ277" s="70">
        <v>2439.0</v>
      </c>
    </row>
    <row r="278" ht="22.5" customHeight="1">
      <c r="A278" s="70" t="str">
        <f t="shared" si="1"/>
        <v>Excluded</v>
      </c>
      <c r="B278" s="70">
        <f t="shared" si="2"/>
        <v>0</v>
      </c>
      <c r="C278" s="70">
        <v>0.0</v>
      </c>
      <c r="D278" s="70">
        <v>0.0</v>
      </c>
      <c r="E278" s="70">
        <v>0.0</v>
      </c>
      <c r="F278" s="70">
        <v>0.0</v>
      </c>
      <c r="G278" s="70">
        <v>0.0</v>
      </c>
      <c r="H278" s="70" t="s">
        <v>2747</v>
      </c>
      <c r="I278" s="70">
        <v>220.0</v>
      </c>
      <c r="J278" s="70" t="s">
        <v>29593</v>
      </c>
      <c r="K278" s="70" t="s">
        <v>2744</v>
      </c>
      <c r="L278" s="70" t="s">
        <v>29594</v>
      </c>
      <c r="M278" s="70" t="s">
        <v>2746</v>
      </c>
      <c r="O278" s="75" t="s">
        <v>2748</v>
      </c>
      <c r="P278" s="70">
        <v>2023.0</v>
      </c>
      <c r="U278" s="70" t="s">
        <v>387</v>
      </c>
      <c r="V278" s="70" t="s">
        <v>388</v>
      </c>
      <c r="W278" s="70" t="s">
        <v>2751</v>
      </c>
      <c r="AW278" s="70" t="s">
        <v>2752</v>
      </c>
      <c r="AZ278" s="70">
        <v>605.0</v>
      </c>
    </row>
    <row r="279" ht="22.5" customHeight="1">
      <c r="A279" s="70" t="str">
        <f t="shared" si="1"/>
        <v>Excluded</v>
      </c>
      <c r="B279" s="70">
        <f t="shared" si="2"/>
        <v>0</v>
      </c>
      <c r="C279" s="70">
        <v>0.0</v>
      </c>
      <c r="D279" s="70">
        <v>0.0</v>
      </c>
      <c r="E279" s="70">
        <v>0.0</v>
      </c>
      <c r="F279" s="70">
        <v>0.0</v>
      </c>
      <c r="G279" s="70">
        <v>0.0</v>
      </c>
      <c r="H279" s="70" t="s">
        <v>26541</v>
      </c>
      <c r="I279" s="70">
        <v>2876.0</v>
      </c>
      <c r="J279" s="70" t="s">
        <v>26539</v>
      </c>
      <c r="K279" s="70" t="s">
        <v>29595</v>
      </c>
      <c r="W279" s="70" t="s">
        <v>29596</v>
      </c>
      <c r="AA279" s="70" t="s">
        <v>26544</v>
      </c>
      <c r="AI279" s="70" t="s">
        <v>26545</v>
      </c>
      <c r="AJ279" s="70" t="s">
        <v>26546</v>
      </c>
      <c r="AK279" s="70">
        <v>2023.0</v>
      </c>
      <c r="AL279" s="70" t="s">
        <v>24608</v>
      </c>
      <c r="AN279" s="70">
        <v>327.0</v>
      </c>
      <c r="AO279" s="70">
        <v>343.0</v>
      </c>
      <c r="AP279" s="70">
        <v>16.0</v>
      </c>
      <c r="AQ279" s="70">
        <v>12.0</v>
      </c>
      <c r="AR279" s="75" t="s">
        <v>26547</v>
      </c>
      <c r="AS279" s="70" t="s">
        <v>22525</v>
      </c>
      <c r="AU279" s="70" t="s">
        <v>237</v>
      </c>
      <c r="AV279" s="70" t="s">
        <v>26548</v>
      </c>
      <c r="AW279" s="70" t="s">
        <v>26549</v>
      </c>
      <c r="AZ279" s="70">
        <v>1086.0</v>
      </c>
    </row>
    <row r="280" ht="22.5" customHeight="1">
      <c r="A280" s="70" t="str">
        <f t="shared" si="1"/>
        <v>Excluded</v>
      </c>
      <c r="B280" s="70">
        <f t="shared" si="2"/>
        <v>0</v>
      </c>
      <c r="C280" s="70">
        <v>0.0</v>
      </c>
      <c r="D280" s="70">
        <v>0.0</v>
      </c>
      <c r="E280" s="70">
        <v>0.0</v>
      </c>
      <c r="F280" s="70">
        <v>0.0</v>
      </c>
      <c r="G280" s="70">
        <v>0.0</v>
      </c>
      <c r="H280" s="70" t="s">
        <v>2135</v>
      </c>
      <c r="I280" s="70">
        <v>161.0</v>
      </c>
      <c r="J280" s="70" t="s">
        <v>2131</v>
      </c>
      <c r="K280" s="70" t="s">
        <v>2132</v>
      </c>
      <c r="L280" s="70" t="s">
        <v>29597</v>
      </c>
      <c r="M280" s="70" t="s">
        <v>2134</v>
      </c>
      <c r="O280" s="75" t="s">
        <v>2136</v>
      </c>
      <c r="P280" s="70">
        <v>2023.0</v>
      </c>
      <c r="U280" s="70" t="s">
        <v>387</v>
      </c>
      <c r="V280" s="70" t="s">
        <v>388</v>
      </c>
      <c r="W280" s="70" t="s">
        <v>2139</v>
      </c>
      <c r="AW280" s="70" t="s">
        <v>2140</v>
      </c>
      <c r="AZ280" s="70">
        <v>961.0</v>
      </c>
    </row>
    <row r="281" ht="22.5" customHeight="1">
      <c r="A281" s="70" t="str">
        <f t="shared" si="1"/>
        <v>Excluded</v>
      </c>
      <c r="B281" s="70">
        <f t="shared" si="2"/>
        <v>0</v>
      </c>
      <c r="C281" s="70">
        <v>0.0</v>
      </c>
      <c r="D281" s="70">
        <v>0.0</v>
      </c>
      <c r="E281" s="70">
        <v>0.0</v>
      </c>
      <c r="F281" s="70">
        <v>0.0</v>
      </c>
      <c r="G281" s="70">
        <v>0.0</v>
      </c>
      <c r="H281" s="70" t="s">
        <v>2770</v>
      </c>
      <c r="I281" s="70">
        <v>222.0</v>
      </c>
      <c r="J281" s="70" t="s">
        <v>2766</v>
      </c>
      <c r="K281" s="70" t="s">
        <v>2767</v>
      </c>
      <c r="L281" s="70" t="s">
        <v>29598</v>
      </c>
      <c r="M281" s="70" t="s">
        <v>2769</v>
      </c>
      <c r="O281" s="75" t="s">
        <v>2771</v>
      </c>
      <c r="P281" s="70">
        <v>2023.0</v>
      </c>
      <c r="U281" s="70" t="s">
        <v>387</v>
      </c>
      <c r="V281" s="70" t="s">
        <v>388</v>
      </c>
      <c r="W281" s="70" t="s">
        <v>2774</v>
      </c>
      <c r="AW281" s="70" t="s">
        <v>2775</v>
      </c>
      <c r="AX281" s="70">
        <v>0.0</v>
      </c>
      <c r="AY281" s="70" t="s">
        <v>24</v>
      </c>
      <c r="AZ281" s="70">
        <v>2630.0</v>
      </c>
    </row>
    <row r="282" ht="22.5" customHeight="1">
      <c r="A282" s="70" t="str">
        <f t="shared" si="1"/>
        <v>Excluded</v>
      </c>
      <c r="B282" s="70">
        <f t="shared" si="2"/>
        <v>0</v>
      </c>
      <c r="C282" s="70">
        <v>0.0</v>
      </c>
      <c r="D282" s="70">
        <v>0.0</v>
      </c>
      <c r="E282" s="70">
        <v>0.0</v>
      </c>
      <c r="F282" s="70">
        <v>0.0</v>
      </c>
      <c r="G282" s="70">
        <v>0.0</v>
      </c>
      <c r="H282" s="70" t="s">
        <v>25836</v>
      </c>
      <c r="I282" s="70">
        <v>2807.0</v>
      </c>
      <c r="J282" s="70" t="s">
        <v>25834</v>
      </c>
      <c r="K282" s="70" t="s">
        <v>29599</v>
      </c>
      <c r="W282" s="70" t="s">
        <v>29600</v>
      </c>
      <c r="AA282" s="70" t="s">
        <v>25838</v>
      </c>
      <c r="AI282" s="70" t="s">
        <v>25839</v>
      </c>
      <c r="AJ282" s="70" t="s">
        <v>25840</v>
      </c>
      <c r="AK282" s="70">
        <v>2023.0</v>
      </c>
      <c r="AL282" s="70" t="s">
        <v>25841</v>
      </c>
      <c r="AN282" s="70">
        <v>130.0</v>
      </c>
      <c r="AO282" s="70">
        <v>139.0</v>
      </c>
      <c r="AP282" s="70">
        <v>9.0</v>
      </c>
      <c r="AQ282" s="70">
        <v>0.0</v>
      </c>
      <c r="AR282" s="75" t="s">
        <v>25842</v>
      </c>
      <c r="AS282" s="70" t="s">
        <v>22525</v>
      </c>
      <c r="AU282" s="70" t="s">
        <v>237</v>
      </c>
      <c r="AV282" s="70" t="s">
        <v>25843</v>
      </c>
      <c r="AW282" s="70" t="s">
        <v>25844</v>
      </c>
      <c r="AX282" s="70">
        <v>0.0</v>
      </c>
      <c r="AY282" s="70" t="s">
        <v>24</v>
      </c>
      <c r="AZ282" s="70">
        <v>2566.0</v>
      </c>
    </row>
    <row r="283" ht="22.5" customHeight="1">
      <c r="A283" s="70" t="str">
        <f t="shared" si="1"/>
        <v>Excluded</v>
      </c>
      <c r="B283" s="70">
        <f t="shared" si="2"/>
        <v>0</v>
      </c>
      <c r="C283" s="70">
        <v>0.0</v>
      </c>
      <c r="D283" s="70">
        <v>0.0</v>
      </c>
      <c r="E283" s="70">
        <v>0.0</v>
      </c>
      <c r="F283" s="70">
        <v>0.0</v>
      </c>
      <c r="G283" s="70">
        <v>0.0</v>
      </c>
      <c r="H283" s="70" t="s">
        <v>1555</v>
      </c>
      <c r="I283" s="70">
        <v>107.0</v>
      </c>
      <c r="J283" s="70" t="s">
        <v>1551</v>
      </c>
      <c r="K283" s="70" t="s">
        <v>1552</v>
      </c>
      <c r="L283" s="70" t="s">
        <v>29601</v>
      </c>
      <c r="M283" s="70" t="s">
        <v>1554</v>
      </c>
      <c r="O283" s="75" t="s">
        <v>1556</v>
      </c>
      <c r="P283" s="70">
        <v>2023.0</v>
      </c>
      <c r="U283" s="70" t="s">
        <v>387</v>
      </c>
      <c r="V283" s="70" t="s">
        <v>388</v>
      </c>
      <c r="W283" s="70" t="s">
        <v>29602</v>
      </c>
      <c r="AW283" s="70" t="s">
        <v>1559</v>
      </c>
      <c r="AX283" s="70">
        <v>0.0</v>
      </c>
      <c r="AY283" s="70" t="s">
        <v>24</v>
      </c>
      <c r="AZ283" s="70">
        <v>2008.0</v>
      </c>
    </row>
    <row r="284" ht="22.5" customHeight="1">
      <c r="A284" s="70" t="str">
        <f t="shared" si="1"/>
        <v>Excluded</v>
      </c>
      <c r="B284" s="70">
        <f t="shared" si="2"/>
        <v>0</v>
      </c>
      <c r="C284" s="70">
        <v>0.0</v>
      </c>
      <c r="D284" s="70">
        <v>0.0</v>
      </c>
      <c r="E284" s="70">
        <v>0.0</v>
      </c>
      <c r="F284" s="70">
        <v>0.0</v>
      </c>
      <c r="G284" s="70">
        <v>0.0</v>
      </c>
      <c r="H284" s="70" t="s">
        <v>1191</v>
      </c>
      <c r="I284" s="70">
        <v>74.0</v>
      </c>
      <c r="J284" s="70" t="s">
        <v>29603</v>
      </c>
      <c r="K284" s="70" t="s">
        <v>1188</v>
      </c>
      <c r="L284" s="70" t="s">
        <v>29604</v>
      </c>
      <c r="M284" s="70" t="s">
        <v>1190</v>
      </c>
      <c r="O284" s="75" t="s">
        <v>1192</v>
      </c>
      <c r="P284" s="70">
        <v>2023.0</v>
      </c>
      <c r="U284" s="70" t="s">
        <v>387</v>
      </c>
      <c r="V284" s="70" t="s">
        <v>388</v>
      </c>
      <c r="W284" s="70" t="s">
        <v>29605</v>
      </c>
      <c r="AW284" s="70" t="s">
        <v>1196</v>
      </c>
      <c r="AX284" s="70">
        <v>0.0</v>
      </c>
      <c r="AY284" s="70" t="s">
        <v>24</v>
      </c>
      <c r="AZ284" s="70">
        <v>2786.0</v>
      </c>
    </row>
    <row r="285" ht="22.5" customHeight="1">
      <c r="A285" s="70" t="str">
        <f t="shared" si="1"/>
        <v>Excluded</v>
      </c>
      <c r="B285" s="70">
        <f t="shared" si="2"/>
        <v>0</v>
      </c>
      <c r="C285" s="70">
        <v>0.0</v>
      </c>
      <c r="D285" s="70">
        <v>0.0</v>
      </c>
      <c r="E285" s="70">
        <v>0.0</v>
      </c>
      <c r="F285" s="70">
        <v>0.0</v>
      </c>
      <c r="G285" s="70">
        <v>0.0</v>
      </c>
      <c r="H285" s="70" t="s">
        <v>2115</v>
      </c>
      <c r="I285" s="70">
        <v>159.0</v>
      </c>
      <c r="J285" s="70" t="s">
        <v>29606</v>
      </c>
      <c r="K285" s="70" t="s">
        <v>2114</v>
      </c>
      <c r="L285" s="70" t="s">
        <v>29604</v>
      </c>
      <c r="M285" s="70" t="s">
        <v>1190</v>
      </c>
      <c r="O285" s="75" t="s">
        <v>2116</v>
      </c>
      <c r="P285" s="70">
        <v>2023.0</v>
      </c>
      <c r="U285" s="70" t="s">
        <v>387</v>
      </c>
      <c r="V285" s="70" t="s">
        <v>388</v>
      </c>
      <c r="W285" s="70" t="s">
        <v>2118</v>
      </c>
      <c r="AW285" s="70" t="s">
        <v>2119</v>
      </c>
      <c r="AX285" s="70">
        <v>0.0</v>
      </c>
      <c r="AY285" s="70" t="s">
        <v>24</v>
      </c>
      <c r="AZ285" s="70">
        <v>2012.0</v>
      </c>
    </row>
    <row r="286" ht="22.5" customHeight="1">
      <c r="A286" s="70" t="str">
        <f t="shared" si="1"/>
        <v>Excluded</v>
      </c>
      <c r="B286" s="70">
        <f t="shared" si="2"/>
        <v>0</v>
      </c>
      <c r="C286" s="70">
        <v>0.0</v>
      </c>
      <c r="D286" s="70">
        <v>0.0</v>
      </c>
      <c r="E286" s="70">
        <v>0.0</v>
      </c>
      <c r="F286" s="70">
        <v>0.0</v>
      </c>
      <c r="G286" s="70">
        <v>0.0</v>
      </c>
      <c r="H286" s="70" t="s">
        <v>2661</v>
      </c>
      <c r="I286" s="70">
        <v>212.0</v>
      </c>
      <c r="J286" s="70" t="s">
        <v>2657</v>
      </c>
      <c r="K286" s="70" t="s">
        <v>2658</v>
      </c>
      <c r="L286" s="70" t="s">
        <v>29607</v>
      </c>
      <c r="M286" s="70" t="s">
        <v>2660</v>
      </c>
      <c r="O286" s="75" t="s">
        <v>2662</v>
      </c>
      <c r="P286" s="70">
        <v>2023.0</v>
      </c>
      <c r="U286" s="70" t="s">
        <v>387</v>
      </c>
      <c r="V286" s="70" t="s">
        <v>388</v>
      </c>
      <c r="W286" s="70" t="s">
        <v>29608</v>
      </c>
      <c r="AW286" s="70" t="s">
        <v>2666</v>
      </c>
      <c r="AX286" s="70">
        <v>0.0</v>
      </c>
      <c r="AY286" s="70" t="s">
        <v>24</v>
      </c>
      <c r="AZ286" s="70">
        <v>2220.0</v>
      </c>
    </row>
    <row r="287" ht="22.5" customHeight="1">
      <c r="A287" s="70" t="str">
        <f t="shared" si="1"/>
        <v>Excluded</v>
      </c>
      <c r="B287" s="70">
        <f t="shared" si="2"/>
        <v>0</v>
      </c>
      <c r="C287" s="70">
        <v>0.0</v>
      </c>
      <c r="D287" s="70">
        <v>0.0</v>
      </c>
      <c r="E287" s="70">
        <v>0.0</v>
      </c>
      <c r="F287" s="70">
        <v>0.0</v>
      </c>
      <c r="G287" s="70">
        <v>0.0</v>
      </c>
      <c r="H287" s="70" t="s">
        <v>868</v>
      </c>
      <c r="I287" s="70">
        <v>43.0</v>
      </c>
      <c r="J287" s="70" t="s">
        <v>866</v>
      </c>
      <c r="K287" s="70" t="s">
        <v>867</v>
      </c>
      <c r="L287" s="70" t="s">
        <v>29320</v>
      </c>
      <c r="M287" s="70" t="s">
        <v>540</v>
      </c>
      <c r="O287" s="75" t="s">
        <v>869</v>
      </c>
      <c r="P287" s="70">
        <v>2023.0</v>
      </c>
      <c r="U287" s="70" t="s">
        <v>387</v>
      </c>
      <c r="V287" s="70" t="s">
        <v>388</v>
      </c>
      <c r="W287" s="70" t="s">
        <v>871</v>
      </c>
      <c r="AW287" s="70" t="s">
        <v>872</v>
      </c>
      <c r="AX287" s="70">
        <v>0.0</v>
      </c>
      <c r="AY287" s="70" t="s">
        <v>24</v>
      </c>
      <c r="AZ287" s="70">
        <v>2124.0</v>
      </c>
    </row>
    <row r="288" ht="22.5" customHeight="1">
      <c r="A288" s="70" t="str">
        <f t="shared" si="1"/>
        <v>Excluded</v>
      </c>
      <c r="B288" s="70">
        <f t="shared" si="2"/>
        <v>0</v>
      </c>
      <c r="C288" s="70">
        <v>0.0</v>
      </c>
      <c r="D288" s="70">
        <v>0.0</v>
      </c>
      <c r="E288" s="70">
        <v>0.0</v>
      </c>
      <c r="F288" s="70">
        <v>0.0</v>
      </c>
      <c r="G288" s="70">
        <v>0.0</v>
      </c>
      <c r="H288" s="70" t="s">
        <v>951</v>
      </c>
      <c r="I288" s="70">
        <v>51.0</v>
      </c>
      <c r="J288" s="70" t="s">
        <v>29609</v>
      </c>
      <c r="K288" s="70" t="s">
        <v>948</v>
      </c>
      <c r="L288" s="70" t="s">
        <v>29610</v>
      </c>
      <c r="M288" s="70" t="s">
        <v>950</v>
      </c>
      <c r="O288" s="75" t="s">
        <v>952</v>
      </c>
      <c r="P288" s="70">
        <v>2023.0</v>
      </c>
      <c r="U288" s="70" t="s">
        <v>387</v>
      </c>
      <c r="V288" s="70" t="s">
        <v>388</v>
      </c>
      <c r="W288" s="70" t="s">
        <v>955</v>
      </c>
      <c r="AW288" s="70" t="s">
        <v>956</v>
      </c>
      <c r="AZ288" s="70">
        <v>1090.0</v>
      </c>
    </row>
    <row r="289" ht="22.5" customHeight="1">
      <c r="A289" s="70" t="str">
        <f t="shared" si="1"/>
        <v>Excluded</v>
      </c>
      <c r="B289" s="70">
        <f t="shared" si="2"/>
        <v>0</v>
      </c>
      <c r="C289" s="70">
        <v>0.0</v>
      </c>
      <c r="D289" s="70">
        <v>0.0</v>
      </c>
      <c r="E289" s="70">
        <v>0.0</v>
      </c>
      <c r="F289" s="70">
        <v>0.0</v>
      </c>
      <c r="G289" s="70">
        <v>0.0</v>
      </c>
      <c r="H289" s="70" t="s">
        <v>3042</v>
      </c>
      <c r="I289" s="70">
        <v>247.0</v>
      </c>
      <c r="J289" s="70" t="s">
        <v>3038</v>
      </c>
      <c r="K289" s="70" t="s">
        <v>3039</v>
      </c>
      <c r="L289" s="70" t="s">
        <v>29611</v>
      </c>
      <c r="M289" s="70" t="s">
        <v>3041</v>
      </c>
      <c r="O289" s="75" t="s">
        <v>3043</v>
      </c>
      <c r="P289" s="70">
        <v>2023.0</v>
      </c>
      <c r="U289" s="70" t="s">
        <v>387</v>
      </c>
      <c r="V289" s="70" t="s">
        <v>388</v>
      </c>
      <c r="W289" s="70" t="s">
        <v>3045</v>
      </c>
      <c r="AW289" s="70" t="s">
        <v>3046</v>
      </c>
      <c r="AX289" s="70">
        <v>0.0</v>
      </c>
      <c r="AY289" s="70" t="s">
        <v>24</v>
      </c>
      <c r="AZ289" s="70">
        <v>2574.0</v>
      </c>
    </row>
    <row r="290" ht="22.5" customHeight="1">
      <c r="A290" s="70" t="str">
        <f t="shared" si="1"/>
        <v>Excluded</v>
      </c>
      <c r="B290" s="70">
        <f t="shared" si="2"/>
        <v>0</v>
      </c>
      <c r="C290" s="70">
        <v>0.0</v>
      </c>
      <c r="D290" s="70">
        <v>0.0</v>
      </c>
      <c r="E290" s="70">
        <v>0.0</v>
      </c>
      <c r="F290" s="70">
        <v>0.0</v>
      </c>
      <c r="G290" s="70">
        <v>0.0</v>
      </c>
      <c r="H290" s="70" t="s">
        <v>2963</v>
      </c>
      <c r="I290" s="70">
        <v>240.0</v>
      </c>
      <c r="J290" s="70" t="s">
        <v>2959</v>
      </c>
      <c r="K290" s="70" t="s">
        <v>2960</v>
      </c>
      <c r="L290" s="70" t="s">
        <v>2961</v>
      </c>
      <c r="M290" s="70" t="s">
        <v>2962</v>
      </c>
      <c r="O290" s="75" t="s">
        <v>2964</v>
      </c>
      <c r="P290" s="70">
        <v>2023.0</v>
      </c>
      <c r="U290" s="70" t="s">
        <v>387</v>
      </c>
      <c r="V290" s="70" t="s">
        <v>388</v>
      </c>
      <c r="W290" s="70" t="s">
        <v>29612</v>
      </c>
      <c r="AW290" s="70" t="s">
        <v>2968</v>
      </c>
      <c r="AX290" s="70">
        <v>0.0</v>
      </c>
      <c r="AY290" s="70" t="s">
        <v>24</v>
      </c>
      <c r="AZ290" s="70">
        <v>2727.0</v>
      </c>
    </row>
    <row r="291" ht="22.5" customHeight="1">
      <c r="A291" s="70" t="str">
        <f t="shared" si="1"/>
        <v>Excluded</v>
      </c>
      <c r="B291" s="70">
        <f t="shared" si="2"/>
        <v>0</v>
      </c>
      <c r="C291" s="70">
        <v>0.0</v>
      </c>
      <c r="D291" s="70">
        <v>0.0</v>
      </c>
      <c r="E291" s="70">
        <v>0.0</v>
      </c>
      <c r="F291" s="70">
        <v>0.0</v>
      </c>
      <c r="G291" s="70">
        <v>0.0</v>
      </c>
      <c r="H291" s="70" t="s">
        <v>2578</v>
      </c>
      <c r="I291" s="70">
        <v>203.0</v>
      </c>
      <c r="J291" s="70" t="s">
        <v>2574</v>
      </c>
      <c r="K291" s="70" t="s">
        <v>2575</v>
      </c>
      <c r="L291" s="70" t="s">
        <v>29613</v>
      </c>
      <c r="M291" s="70" t="s">
        <v>2577</v>
      </c>
      <c r="O291" s="75" t="s">
        <v>2579</v>
      </c>
      <c r="P291" s="70">
        <v>2023.0</v>
      </c>
      <c r="U291" s="70" t="s">
        <v>387</v>
      </c>
      <c r="V291" s="70" t="s">
        <v>388</v>
      </c>
      <c r="W291" s="70" t="s">
        <v>2582</v>
      </c>
      <c r="AW291" s="70" t="s">
        <v>2583</v>
      </c>
      <c r="AX291" s="70">
        <v>0.0</v>
      </c>
      <c r="AY291" s="70" t="s">
        <v>24</v>
      </c>
      <c r="AZ291" s="70">
        <v>2116.0</v>
      </c>
    </row>
    <row r="292" ht="22.5" customHeight="1">
      <c r="A292" s="70" t="str">
        <f t="shared" si="1"/>
        <v>Excluded</v>
      </c>
      <c r="B292" s="70">
        <f t="shared" si="2"/>
        <v>0</v>
      </c>
      <c r="C292" s="70">
        <v>0.0</v>
      </c>
      <c r="D292" s="70">
        <v>0.0</v>
      </c>
      <c r="E292" s="70">
        <v>0.0</v>
      </c>
      <c r="F292" s="70">
        <v>0.0</v>
      </c>
      <c r="G292" s="70">
        <v>0.0</v>
      </c>
      <c r="H292" s="70" t="s">
        <v>2714</v>
      </c>
      <c r="I292" s="70">
        <v>217.0</v>
      </c>
      <c r="J292" s="70" t="s">
        <v>2710</v>
      </c>
      <c r="K292" s="70" t="s">
        <v>2711</v>
      </c>
      <c r="L292" s="70" t="s">
        <v>29614</v>
      </c>
      <c r="M292" s="70" t="s">
        <v>2713</v>
      </c>
      <c r="O292" s="75" t="s">
        <v>2715</v>
      </c>
      <c r="P292" s="70">
        <v>2024.0</v>
      </c>
      <c r="U292" s="70" t="s">
        <v>387</v>
      </c>
      <c r="V292" s="70" t="s">
        <v>388</v>
      </c>
      <c r="W292" s="70" t="s">
        <v>29615</v>
      </c>
      <c r="AW292" s="70" t="s">
        <v>2719</v>
      </c>
      <c r="AZ292" s="70">
        <v>1255.0</v>
      </c>
    </row>
    <row r="293" ht="22.5" customHeight="1">
      <c r="A293" s="70" t="str">
        <f t="shared" si="1"/>
        <v>Excluded</v>
      </c>
      <c r="B293" s="70">
        <f t="shared" si="2"/>
        <v>0</v>
      </c>
      <c r="C293" s="70">
        <v>0.0</v>
      </c>
      <c r="D293" s="70">
        <v>0.0</v>
      </c>
      <c r="E293" s="70">
        <v>0.0</v>
      </c>
      <c r="F293" s="70">
        <v>0.0</v>
      </c>
      <c r="G293" s="70">
        <v>0.0</v>
      </c>
      <c r="H293" s="70" t="s">
        <v>1361</v>
      </c>
      <c r="I293" s="70">
        <v>90.0</v>
      </c>
      <c r="J293" s="70" t="s">
        <v>1357</v>
      </c>
      <c r="K293" s="70" t="s">
        <v>1358</v>
      </c>
      <c r="L293" s="70" t="s">
        <v>29616</v>
      </c>
      <c r="M293" s="70" t="s">
        <v>1360</v>
      </c>
      <c r="O293" s="75" t="s">
        <v>1362</v>
      </c>
      <c r="P293" s="70">
        <v>2024.0</v>
      </c>
      <c r="U293" s="70" t="s">
        <v>387</v>
      </c>
      <c r="V293" s="70" t="s">
        <v>388</v>
      </c>
      <c r="W293" s="70" t="s">
        <v>29617</v>
      </c>
      <c r="AW293" s="70" t="s">
        <v>1366</v>
      </c>
      <c r="AZ293" s="70">
        <v>666.0</v>
      </c>
    </row>
    <row r="294" ht="22.5" customHeight="1">
      <c r="A294" s="70" t="str">
        <f t="shared" si="1"/>
        <v>Excluded</v>
      </c>
      <c r="B294" s="70">
        <f t="shared" si="2"/>
        <v>0</v>
      </c>
      <c r="C294" s="70">
        <v>0.0</v>
      </c>
      <c r="D294" s="70">
        <v>0.0</v>
      </c>
      <c r="E294" s="70">
        <v>0.0</v>
      </c>
      <c r="F294" s="70">
        <v>0.0</v>
      </c>
      <c r="G294" s="70">
        <v>0.0</v>
      </c>
      <c r="H294" s="70" t="s">
        <v>3121</v>
      </c>
      <c r="I294" s="70">
        <v>255.0</v>
      </c>
      <c r="J294" s="70" t="s">
        <v>3117</v>
      </c>
      <c r="K294" s="70" t="s">
        <v>3118</v>
      </c>
      <c r="L294" s="70" t="s">
        <v>29618</v>
      </c>
      <c r="M294" s="70" t="s">
        <v>3120</v>
      </c>
      <c r="O294" s="75" t="s">
        <v>3122</v>
      </c>
      <c r="P294" s="70">
        <v>2024.0</v>
      </c>
      <c r="U294" s="70" t="s">
        <v>387</v>
      </c>
      <c r="V294" s="70" t="s">
        <v>388</v>
      </c>
      <c r="W294" s="70" t="s">
        <v>29619</v>
      </c>
      <c r="AW294" s="70" t="s">
        <v>3126</v>
      </c>
      <c r="AZ294" s="70">
        <v>770.0</v>
      </c>
    </row>
    <row r="295" ht="22.5" customHeight="1">
      <c r="A295" s="70" t="str">
        <f t="shared" si="1"/>
        <v>Excluded</v>
      </c>
      <c r="B295" s="70">
        <f t="shared" si="2"/>
        <v>0</v>
      </c>
      <c r="C295" s="70">
        <v>0.0</v>
      </c>
      <c r="D295" s="70">
        <v>0.0</v>
      </c>
      <c r="E295" s="70">
        <v>0.0</v>
      </c>
      <c r="F295" s="70">
        <v>0.0</v>
      </c>
      <c r="G295" s="70">
        <v>0.0</v>
      </c>
      <c r="H295" s="70" t="s">
        <v>1902</v>
      </c>
      <c r="I295" s="70">
        <v>139.0</v>
      </c>
      <c r="J295" s="70" t="s">
        <v>1898</v>
      </c>
      <c r="K295" s="70" t="s">
        <v>29620</v>
      </c>
      <c r="L295" s="70" t="s">
        <v>29621</v>
      </c>
      <c r="M295" s="70" t="s">
        <v>1901</v>
      </c>
      <c r="O295" s="75" t="s">
        <v>1903</v>
      </c>
      <c r="P295" s="70">
        <v>2024.0</v>
      </c>
      <c r="U295" s="70" t="s">
        <v>387</v>
      </c>
      <c r="V295" s="70" t="s">
        <v>388</v>
      </c>
      <c r="W295" s="70" t="s">
        <v>29622</v>
      </c>
      <c r="AW295" s="70" t="s">
        <v>1906</v>
      </c>
      <c r="AZ295" s="70">
        <v>238.0</v>
      </c>
    </row>
    <row r="296" ht="22.5" customHeight="1">
      <c r="A296" s="70" t="str">
        <f t="shared" si="1"/>
        <v>Excluded</v>
      </c>
      <c r="B296" s="70">
        <f t="shared" si="2"/>
        <v>0</v>
      </c>
      <c r="C296" s="70">
        <v>0.0</v>
      </c>
      <c r="D296" s="70">
        <v>0.0</v>
      </c>
      <c r="E296" s="70">
        <v>0.0</v>
      </c>
      <c r="F296" s="70">
        <v>0.0</v>
      </c>
      <c r="G296" s="70">
        <v>0.0</v>
      </c>
      <c r="H296" s="70" t="s">
        <v>2376</v>
      </c>
      <c r="I296" s="70">
        <v>184.0</v>
      </c>
      <c r="J296" s="70" t="s">
        <v>2372</v>
      </c>
      <c r="K296" s="70" t="s">
        <v>2373</v>
      </c>
      <c r="L296" s="70" t="s">
        <v>29623</v>
      </c>
      <c r="M296" s="70" t="s">
        <v>2375</v>
      </c>
      <c r="O296" s="75" t="s">
        <v>2377</v>
      </c>
      <c r="P296" s="70">
        <v>2024.0</v>
      </c>
      <c r="U296" s="70" t="s">
        <v>387</v>
      </c>
      <c r="V296" s="70" t="s">
        <v>388</v>
      </c>
      <c r="W296" s="70" t="s">
        <v>2379</v>
      </c>
      <c r="AW296" s="70" t="s">
        <v>2380</v>
      </c>
      <c r="AZ296" s="70">
        <v>983.0</v>
      </c>
    </row>
    <row r="297" ht="22.5" customHeight="1">
      <c r="A297" s="70" t="str">
        <f t="shared" si="1"/>
        <v>Excluded</v>
      </c>
      <c r="B297" s="70">
        <f t="shared" si="2"/>
        <v>0</v>
      </c>
      <c r="C297" s="70">
        <v>0.0</v>
      </c>
      <c r="D297" s="70">
        <v>0.0</v>
      </c>
      <c r="E297" s="70">
        <v>0.0</v>
      </c>
      <c r="F297" s="70">
        <v>0.0</v>
      </c>
      <c r="G297" s="70">
        <v>0.0</v>
      </c>
      <c r="H297" s="70" t="s">
        <v>1632</v>
      </c>
      <c r="I297" s="70">
        <v>114.0</v>
      </c>
      <c r="J297" s="70" t="s">
        <v>1628</v>
      </c>
      <c r="K297" s="70" t="s">
        <v>1629</v>
      </c>
      <c r="L297" s="70" t="s">
        <v>29624</v>
      </c>
      <c r="M297" s="70" t="s">
        <v>1631</v>
      </c>
      <c r="O297" s="75" t="s">
        <v>1633</v>
      </c>
      <c r="P297" s="70">
        <v>2024.0</v>
      </c>
      <c r="U297" s="70" t="s">
        <v>387</v>
      </c>
      <c r="V297" s="70" t="s">
        <v>388</v>
      </c>
      <c r="W297" s="70" t="s">
        <v>29625</v>
      </c>
      <c r="AW297" s="70" t="s">
        <v>1637</v>
      </c>
      <c r="AZ297" s="70">
        <v>1297.0</v>
      </c>
    </row>
    <row r="298" ht="22.5" customHeight="1">
      <c r="A298" s="70" t="str">
        <f t="shared" si="1"/>
        <v>Excluded</v>
      </c>
      <c r="B298" s="70">
        <f t="shared" si="2"/>
        <v>0</v>
      </c>
      <c r="C298" s="70">
        <v>0.0</v>
      </c>
      <c r="D298" s="70">
        <v>0.0</v>
      </c>
      <c r="E298" s="70">
        <v>0.0</v>
      </c>
      <c r="F298" s="70">
        <v>0.0</v>
      </c>
      <c r="G298" s="70">
        <v>0.0</v>
      </c>
      <c r="H298" s="70" t="s">
        <v>1284</v>
      </c>
      <c r="I298" s="70">
        <v>83.0</v>
      </c>
      <c r="J298" s="70" t="s">
        <v>1282</v>
      </c>
      <c r="K298" s="70" t="s">
        <v>1283</v>
      </c>
      <c r="L298" s="70" t="s">
        <v>29626</v>
      </c>
      <c r="M298" s="70" t="s">
        <v>383</v>
      </c>
      <c r="O298" s="75" t="s">
        <v>1285</v>
      </c>
      <c r="P298" s="70">
        <v>2024.0</v>
      </c>
      <c r="U298" s="70" t="s">
        <v>387</v>
      </c>
      <c r="V298" s="70" t="s">
        <v>388</v>
      </c>
      <c r="W298" s="70" t="s">
        <v>29627</v>
      </c>
      <c r="AW298" s="70" t="s">
        <v>1288</v>
      </c>
      <c r="AZ298" s="70">
        <v>271.0</v>
      </c>
    </row>
    <row r="299" ht="22.5" customHeight="1">
      <c r="A299" s="70" t="str">
        <f t="shared" si="1"/>
        <v>Excluded</v>
      </c>
      <c r="B299" s="70">
        <f t="shared" si="2"/>
        <v>0</v>
      </c>
      <c r="C299" s="70">
        <v>0.0</v>
      </c>
      <c r="D299" s="70">
        <v>0.0</v>
      </c>
      <c r="E299" s="70">
        <v>0.0</v>
      </c>
      <c r="F299" s="70">
        <v>0.0</v>
      </c>
      <c r="G299" s="70">
        <v>0.0</v>
      </c>
      <c r="H299" s="70" t="s">
        <v>384</v>
      </c>
      <c r="I299" s="70">
        <v>0.0</v>
      </c>
      <c r="J299" s="70" t="s">
        <v>380</v>
      </c>
      <c r="K299" s="70" t="s">
        <v>381</v>
      </c>
      <c r="L299" s="70" t="s">
        <v>29626</v>
      </c>
      <c r="M299" s="70" t="s">
        <v>383</v>
      </c>
      <c r="O299" s="75" t="s">
        <v>385</v>
      </c>
      <c r="P299" s="70">
        <v>2024.0</v>
      </c>
      <c r="U299" s="70" t="s">
        <v>387</v>
      </c>
      <c r="V299" s="70" t="s">
        <v>388</v>
      </c>
      <c r="W299" s="70" t="s">
        <v>29628</v>
      </c>
      <c r="AW299" s="70" t="s">
        <v>391</v>
      </c>
      <c r="AX299" s="70">
        <v>0.0</v>
      </c>
      <c r="AY299" s="70" t="s">
        <v>24</v>
      </c>
      <c r="AZ299" s="70">
        <v>1666.0</v>
      </c>
    </row>
    <row r="300" ht="22.5" customHeight="1">
      <c r="A300" s="70" t="str">
        <f t="shared" si="1"/>
        <v>Excluded</v>
      </c>
      <c r="B300" s="70">
        <f t="shared" si="2"/>
        <v>0</v>
      </c>
      <c r="C300" s="70">
        <v>0.0</v>
      </c>
      <c r="D300" s="70">
        <v>0.0</v>
      </c>
      <c r="E300" s="70">
        <v>0.0</v>
      </c>
      <c r="F300" s="70">
        <v>0.0</v>
      </c>
      <c r="G300" s="70">
        <v>0.0</v>
      </c>
      <c r="H300" s="70" t="s">
        <v>2209</v>
      </c>
      <c r="I300" s="70">
        <v>168.0</v>
      </c>
      <c r="J300" s="70" t="s">
        <v>2205</v>
      </c>
      <c r="K300" s="70" t="s">
        <v>2206</v>
      </c>
      <c r="L300" s="70" t="s">
        <v>2207</v>
      </c>
      <c r="M300" s="70" t="s">
        <v>2208</v>
      </c>
      <c r="O300" s="75" t="s">
        <v>2210</v>
      </c>
      <c r="P300" s="70">
        <v>2024.0</v>
      </c>
      <c r="U300" s="70" t="s">
        <v>387</v>
      </c>
      <c r="V300" s="70" t="s">
        <v>388</v>
      </c>
      <c r="W300" s="70" t="s">
        <v>29629</v>
      </c>
      <c r="AX300" s="70">
        <v>0.0</v>
      </c>
      <c r="AY300" s="70" t="s">
        <v>24</v>
      </c>
      <c r="AZ300" s="70">
        <v>2745.0</v>
      </c>
    </row>
    <row r="301" ht="22.5" customHeight="1">
      <c r="A301" s="70" t="str">
        <f t="shared" si="1"/>
        <v>Excluded</v>
      </c>
      <c r="B301" s="70">
        <f t="shared" si="2"/>
        <v>0</v>
      </c>
      <c r="C301" s="70">
        <v>0.0</v>
      </c>
      <c r="D301" s="70">
        <v>0.0</v>
      </c>
      <c r="E301" s="70">
        <v>0.0</v>
      </c>
      <c r="F301" s="70">
        <v>0.0</v>
      </c>
      <c r="G301" s="70">
        <v>0.0</v>
      </c>
      <c r="H301" s="70" t="s">
        <v>2836</v>
      </c>
      <c r="I301" s="70">
        <v>228.0</v>
      </c>
      <c r="J301" s="70" t="s">
        <v>2832</v>
      </c>
      <c r="K301" s="70" t="s">
        <v>2833</v>
      </c>
      <c r="L301" s="70" t="s">
        <v>29630</v>
      </c>
      <c r="M301" s="70" t="s">
        <v>2835</v>
      </c>
      <c r="O301" s="75" t="s">
        <v>2837</v>
      </c>
      <c r="P301" s="70">
        <v>2024.0</v>
      </c>
      <c r="U301" s="70" t="s">
        <v>387</v>
      </c>
      <c r="V301" s="70" t="s">
        <v>388</v>
      </c>
      <c r="W301" s="70" t="s">
        <v>29631</v>
      </c>
      <c r="AW301" s="70" t="s">
        <v>2841</v>
      </c>
      <c r="AZ301" s="70">
        <v>842.0</v>
      </c>
    </row>
    <row r="302" ht="22.5" customHeight="1">
      <c r="A302" s="70" t="str">
        <f t="shared" si="1"/>
        <v>Excluded</v>
      </c>
      <c r="B302" s="70">
        <f t="shared" si="2"/>
        <v>0</v>
      </c>
      <c r="C302" s="70">
        <v>0.0</v>
      </c>
      <c r="D302" s="70">
        <v>0.0</v>
      </c>
      <c r="E302" s="70">
        <v>0.0</v>
      </c>
      <c r="F302" s="70">
        <v>0.0</v>
      </c>
      <c r="G302" s="70">
        <v>0.0</v>
      </c>
      <c r="H302" s="70" t="s">
        <v>2447</v>
      </c>
      <c r="I302" s="70">
        <v>191.0</v>
      </c>
      <c r="J302" s="70" t="s">
        <v>2443</v>
      </c>
      <c r="K302" s="70" t="s">
        <v>2444</v>
      </c>
      <c r="L302" s="70" t="s">
        <v>29632</v>
      </c>
      <c r="M302" s="70" t="s">
        <v>2446</v>
      </c>
      <c r="O302" s="75" t="s">
        <v>2448</v>
      </c>
      <c r="P302" s="70">
        <v>2024.0</v>
      </c>
      <c r="U302" s="70" t="s">
        <v>387</v>
      </c>
      <c r="V302" s="70" t="s">
        <v>388</v>
      </c>
      <c r="W302" s="70" t="s">
        <v>29633</v>
      </c>
      <c r="AW302" s="70" t="s">
        <v>2452</v>
      </c>
      <c r="AX302" s="70">
        <v>0.0</v>
      </c>
      <c r="AY302" s="70" t="s">
        <v>24</v>
      </c>
      <c r="AZ302" s="70">
        <v>2862.0</v>
      </c>
    </row>
    <row r="303" ht="22.5" customHeight="1">
      <c r="A303" s="70" t="str">
        <f t="shared" si="1"/>
        <v>Excluded</v>
      </c>
      <c r="B303" s="70">
        <f t="shared" si="2"/>
        <v>0</v>
      </c>
      <c r="C303" s="70">
        <v>0.0</v>
      </c>
      <c r="D303" s="70">
        <v>0.0</v>
      </c>
      <c r="E303" s="70">
        <v>0.0</v>
      </c>
      <c r="F303" s="70">
        <v>0.0</v>
      </c>
      <c r="G303" s="70">
        <v>0.0</v>
      </c>
      <c r="H303" s="70" t="s">
        <v>23899</v>
      </c>
      <c r="I303" s="70">
        <v>2620.0</v>
      </c>
      <c r="J303" s="70" t="s">
        <v>23897</v>
      </c>
      <c r="K303" s="70" t="s">
        <v>23898</v>
      </c>
      <c r="W303" s="70" t="s">
        <v>29634</v>
      </c>
      <c r="AA303" s="70" t="s">
        <v>23902</v>
      </c>
      <c r="AI303" s="70" t="s">
        <v>23903</v>
      </c>
      <c r="AJ303" s="70" t="s">
        <v>23904</v>
      </c>
      <c r="AK303" s="70">
        <v>2024.0</v>
      </c>
      <c r="AL303" s="70" t="s">
        <v>23905</v>
      </c>
      <c r="AN303" s="70">
        <v>414.0</v>
      </c>
      <c r="AO303" s="70">
        <v>438.0</v>
      </c>
      <c r="AP303" s="70">
        <v>24.0</v>
      </c>
      <c r="AQ303" s="70">
        <v>0.0</v>
      </c>
      <c r="AR303" s="75" t="s">
        <v>23906</v>
      </c>
      <c r="AS303" s="70" t="s">
        <v>22525</v>
      </c>
      <c r="AU303" s="70" t="s">
        <v>237</v>
      </c>
      <c r="AV303" s="70" t="s">
        <v>23907</v>
      </c>
      <c r="AW303" s="70" t="s">
        <v>23908</v>
      </c>
      <c r="AX303" s="70">
        <v>0.0</v>
      </c>
      <c r="AY303" s="70" t="s">
        <v>24</v>
      </c>
      <c r="AZ303" s="70">
        <v>1667.0</v>
      </c>
    </row>
    <row r="304" ht="22.5" customHeight="1">
      <c r="A304" s="70" t="str">
        <f t="shared" si="1"/>
        <v>Excluded</v>
      </c>
      <c r="B304" s="70">
        <f t="shared" si="2"/>
        <v>0</v>
      </c>
      <c r="C304" s="70">
        <v>0.0</v>
      </c>
      <c r="D304" s="70">
        <v>0.0</v>
      </c>
      <c r="E304" s="70">
        <v>0.0</v>
      </c>
      <c r="F304" s="70">
        <v>0.0</v>
      </c>
      <c r="G304" s="70">
        <v>0.0</v>
      </c>
      <c r="H304" s="70" t="s">
        <v>2333</v>
      </c>
      <c r="I304" s="70">
        <v>180.0</v>
      </c>
      <c r="J304" s="70" t="s">
        <v>2329</v>
      </c>
      <c r="K304" s="70" t="s">
        <v>2330</v>
      </c>
      <c r="L304" s="70" t="s">
        <v>29635</v>
      </c>
      <c r="M304" s="70" t="s">
        <v>2332</v>
      </c>
      <c r="O304" s="75" t="s">
        <v>2334</v>
      </c>
      <c r="P304" s="70">
        <v>2023.0</v>
      </c>
      <c r="U304" s="70" t="s">
        <v>387</v>
      </c>
      <c r="V304" s="70" t="s">
        <v>388</v>
      </c>
      <c r="W304" s="70" t="s">
        <v>2337</v>
      </c>
      <c r="AW304" s="70" t="s">
        <v>2338</v>
      </c>
      <c r="AZ304" s="70">
        <v>695.0</v>
      </c>
    </row>
    <row r="305" ht="22.5" customHeight="1">
      <c r="A305" s="70" t="str">
        <f t="shared" si="1"/>
        <v>Excluded</v>
      </c>
      <c r="B305" s="70">
        <f t="shared" si="2"/>
        <v>0</v>
      </c>
      <c r="C305" s="70">
        <v>0.0</v>
      </c>
      <c r="D305" s="70">
        <v>0.0</v>
      </c>
      <c r="E305" s="70">
        <v>0.0</v>
      </c>
      <c r="F305" s="70">
        <v>0.0</v>
      </c>
      <c r="G305" s="70">
        <v>0.0</v>
      </c>
      <c r="H305" s="70" t="s">
        <v>22774</v>
      </c>
      <c r="I305" s="70">
        <v>2513.0</v>
      </c>
      <c r="J305" s="70" t="s">
        <v>22772</v>
      </c>
      <c r="K305" s="70" t="s">
        <v>29636</v>
      </c>
      <c r="W305" s="70" t="s">
        <v>29637</v>
      </c>
      <c r="AA305" s="70" t="s">
        <v>22777</v>
      </c>
      <c r="AI305" s="70" t="s">
        <v>22778</v>
      </c>
      <c r="AJ305" s="70" t="s">
        <v>22779</v>
      </c>
      <c r="AK305" s="70">
        <v>2025.0</v>
      </c>
      <c r="AL305" s="70" t="s">
        <v>24608</v>
      </c>
      <c r="AN305" s="70">
        <v>368.0</v>
      </c>
      <c r="AO305" s="70">
        <v>382.0</v>
      </c>
      <c r="AP305" s="70">
        <v>14.0</v>
      </c>
      <c r="AQ305" s="70">
        <v>0.0</v>
      </c>
      <c r="AR305" s="75" t="s">
        <v>22781</v>
      </c>
      <c r="AS305" s="70" t="s">
        <v>22525</v>
      </c>
      <c r="AU305" s="70" t="s">
        <v>237</v>
      </c>
      <c r="AV305" s="70" t="s">
        <v>22782</v>
      </c>
      <c r="AW305" s="70" t="s">
        <v>22783</v>
      </c>
      <c r="AZ305" s="70">
        <v>1010.0</v>
      </c>
    </row>
    <row r="306" ht="22.5" customHeight="1">
      <c r="A306" s="70" t="str">
        <f t="shared" si="1"/>
        <v>Excluded</v>
      </c>
      <c r="B306" s="70">
        <f t="shared" si="2"/>
        <v>0</v>
      </c>
      <c r="C306" s="70">
        <v>0.0</v>
      </c>
      <c r="D306" s="70">
        <v>0.0</v>
      </c>
      <c r="E306" s="70">
        <v>0.0</v>
      </c>
      <c r="F306" s="70">
        <v>0.0</v>
      </c>
      <c r="G306" s="70">
        <v>0.0</v>
      </c>
      <c r="H306" s="70" t="s">
        <v>1869</v>
      </c>
      <c r="I306" s="70">
        <v>136.0</v>
      </c>
      <c r="J306" s="70" t="s">
        <v>29638</v>
      </c>
      <c r="K306" s="70" t="s">
        <v>1866</v>
      </c>
      <c r="L306" s="70" t="s">
        <v>29639</v>
      </c>
      <c r="M306" s="70" t="s">
        <v>1868</v>
      </c>
      <c r="O306" s="75" t="s">
        <v>1870</v>
      </c>
      <c r="P306" s="70">
        <v>2024.0</v>
      </c>
      <c r="U306" s="70" t="s">
        <v>387</v>
      </c>
      <c r="V306" s="70" t="s">
        <v>388</v>
      </c>
      <c r="W306" s="70" t="s">
        <v>1873</v>
      </c>
      <c r="AW306" s="70" t="s">
        <v>1874</v>
      </c>
      <c r="AX306" s="70">
        <v>0.0</v>
      </c>
      <c r="AY306" s="70" t="s">
        <v>24</v>
      </c>
      <c r="AZ306" s="70">
        <v>2300.0</v>
      </c>
    </row>
    <row r="307" ht="22.5" customHeight="1">
      <c r="A307" s="70" t="str">
        <f t="shared" si="1"/>
        <v>Excluded</v>
      </c>
      <c r="B307" s="70">
        <f t="shared" si="2"/>
        <v>0</v>
      </c>
      <c r="C307" s="70">
        <v>0.0</v>
      </c>
      <c r="D307" s="70">
        <v>0.0</v>
      </c>
      <c r="E307" s="70">
        <v>0.0</v>
      </c>
      <c r="F307" s="70">
        <v>0.0</v>
      </c>
      <c r="G307" s="70">
        <v>0.0</v>
      </c>
      <c r="H307" s="70" t="s">
        <v>23414</v>
      </c>
      <c r="I307" s="70">
        <v>2573.0</v>
      </c>
      <c r="J307" s="70" t="s">
        <v>29640</v>
      </c>
      <c r="K307" s="70" t="s">
        <v>29641</v>
      </c>
      <c r="W307" s="70" t="s">
        <v>29642</v>
      </c>
      <c r="AA307" s="70" t="s">
        <v>23417</v>
      </c>
      <c r="AI307" s="70" t="s">
        <v>29643</v>
      </c>
      <c r="AJ307" s="70" t="s">
        <v>23419</v>
      </c>
      <c r="AK307" s="70">
        <v>2025.0</v>
      </c>
      <c r="AL307" s="70" t="s">
        <v>24608</v>
      </c>
      <c r="AN307" s="70">
        <v>277.0</v>
      </c>
      <c r="AO307" s="70">
        <v>297.0</v>
      </c>
      <c r="AP307" s="70">
        <v>20.0</v>
      </c>
      <c r="AQ307" s="70">
        <v>0.0</v>
      </c>
      <c r="AR307" s="75" t="s">
        <v>23420</v>
      </c>
      <c r="AS307" s="70" t="s">
        <v>22525</v>
      </c>
      <c r="AU307" s="70" t="s">
        <v>237</v>
      </c>
      <c r="AV307" s="70" t="s">
        <v>23421</v>
      </c>
      <c r="AW307" s="70" t="s">
        <v>23422</v>
      </c>
      <c r="AX307" s="70">
        <v>0.0</v>
      </c>
      <c r="AY307" s="70" t="s">
        <v>24</v>
      </c>
      <c r="AZ307" s="70">
        <v>2743.0</v>
      </c>
    </row>
    <row r="308" ht="22.5" customHeight="1">
      <c r="A308" s="70" t="str">
        <f t="shared" si="1"/>
        <v>Excluded</v>
      </c>
      <c r="B308" s="70">
        <f t="shared" si="2"/>
        <v>0</v>
      </c>
      <c r="C308" s="70">
        <v>0.0</v>
      </c>
      <c r="D308" s="70">
        <v>0.0</v>
      </c>
      <c r="E308" s="70">
        <v>0.0</v>
      </c>
      <c r="F308" s="70">
        <v>0.0</v>
      </c>
      <c r="G308" s="70">
        <v>0.0</v>
      </c>
      <c r="H308" s="70" t="s">
        <v>512</v>
      </c>
      <c r="I308" s="70">
        <v>11.0</v>
      </c>
      <c r="J308" s="70" t="s">
        <v>508</v>
      </c>
      <c r="K308" s="70" t="s">
        <v>509</v>
      </c>
      <c r="L308" s="70" t="s">
        <v>29644</v>
      </c>
      <c r="M308" s="70" t="s">
        <v>511</v>
      </c>
      <c r="O308" s="75" t="s">
        <v>513</v>
      </c>
      <c r="P308" s="70">
        <v>2024.0</v>
      </c>
      <c r="U308" s="70" t="s">
        <v>387</v>
      </c>
      <c r="V308" s="70" t="s">
        <v>388</v>
      </c>
      <c r="W308" s="70" t="s">
        <v>29645</v>
      </c>
      <c r="AW308" s="70" t="s">
        <v>517</v>
      </c>
      <c r="AX308" s="70">
        <v>0.0</v>
      </c>
      <c r="AY308" s="70" t="s">
        <v>24</v>
      </c>
      <c r="AZ308" s="70">
        <v>2122.0</v>
      </c>
    </row>
    <row r="309" ht="22.5" customHeight="1">
      <c r="A309" s="70" t="str">
        <f t="shared" si="1"/>
        <v>Excluded</v>
      </c>
      <c r="B309" s="70">
        <f t="shared" si="2"/>
        <v>0</v>
      </c>
      <c r="C309" s="70">
        <v>0.0</v>
      </c>
      <c r="D309" s="70">
        <v>0.0</v>
      </c>
      <c r="E309" s="70">
        <v>0.0</v>
      </c>
      <c r="F309" s="70">
        <v>0.0</v>
      </c>
      <c r="G309" s="70">
        <v>0.0</v>
      </c>
      <c r="H309" s="70" t="s">
        <v>2030</v>
      </c>
      <c r="I309" s="70">
        <v>151.0</v>
      </c>
      <c r="J309" s="70" t="s">
        <v>29646</v>
      </c>
      <c r="K309" s="70" t="s">
        <v>2027</v>
      </c>
      <c r="L309" s="70" t="s">
        <v>29647</v>
      </c>
      <c r="M309" s="70" t="s">
        <v>2029</v>
      </c>
      <c r="O309" s="75" t="s">
        <v>2031</v>
      </c>
      <c r="P309" s="70">
        <v>2025.0</v>
      </c>
      <c r="U309" s="70" t="s">
        <v>387</v>
      </c>
      <c r="V309" s="70" t="s">
        <v>388</v>
      </c>
      <c r="W309" s="70" t="s">
        <v>29648</v>
      </c>
      <c r="AW309" s="70" t="s">
        <v>2034</v>
      </c>
      <c r="AZ309" s="70">
        <v>493.0</v>
      </c>
    </row>
    <row r="310" ht="22.5" customHeight="1">
      <c r="A310" s="70" t="str">
        <f t="shared" si="1"/>
        <v>Excluded</v>
      </c>
      <c r="B310" s="70">
        <f t="shared" si="2"/>
        <v>0</v>
      </c>
      <c r="C310" s="70">
        <v>0.0</v>
      </c>
      <c r="D310" s="70">
        <v>0.0</v>
      </c>
      <c r="E310" s="70">
        <v>0.0</v>
      </c>
      <c r="F310" s="70">
        <v>0.0</v>
      </c>
      <c r="G310" s="70">
        <v>0.0</v>
      </c>
      <c r="H310" s="70" t="s">
        <v>1045</v>
      </c>
      <c r="I310" s="70">
        <v>60.0</v>
      </c>
      <c r="J310" s="70" t="s">
        <v>1041</v>
      </c>
      <c r="K310" s="70" t="s">
        <v>1042</v>
      </c>
      <c r="L310" s="70" t="s">
        <v>29649</v>
      </c>
      <c r="M310" s="70" t="s">
        <v>1044</v>
      </c>
      <c r="O310" s="75" t="s">
        <v>1046</v>
      </c>
      <c r="P310" s="70">
        <v>2025.0</v>
      </c>
      <c r="U310" s="70" t="s">
        <v>387</v>
      </c>
      <c r="V310" s="70" t="s">
        <v>388</v>
      </c>
      <c r="W310" s="70" t="s">
        <v>29650</v>
      </c>
      <c r="AW310" s="70" t="s">
        <v>1050</v>
      </c>
      <c r="AZ310" s="70">
        <v>353.0</v>
      </c>
    </row>
    <row r="311" ht="22.5" customHeight="1">
      <c r="A311" s="70" t="str">
        <f t="shared" si="1"/>
        <v>Excluded</v>
      </c>
      <c r="B311" s="70">
        <f t="shared" si="2"/>
        <v>0</v>
      </c>
      <c r="C311" s="70">
        <v>0.0</v>
      </c>
      <c r="D311" s="70">
        <v>0.0</v>
      </c>
      <c r="E311" s="70">
        <v>0.0</v>
      </c>
      <c r="F311" s="70">
        <v>0.0</v>
      </c>
      <c r="G311" s="70">
        <v>0.0</v>
      </c>
      <c r="H311" s="70" t="s">
        <v>22906</v>
      </c>
      <c r="I311" s="70">
        <v>2525.0</v>
      </c>
      <c r="J311" s="70" t="s">
        <v>22904</v>
      </c>
      <c r="K311" s="70" t="s">
        <v>22905</v>
      </c>
      <c r="W311" s="70" t="s">
        <v>29651</v>
      </c>
      <c r="AA311" s="70" t="s">
        <v>22909</v>
      </c>
      <c r="AI311" s="70" t="s">
        <v>22910</v>
      </c>
      <c r="AJ311" s="70" t="s">
        <v>22911</v>
      </c>
      <c r="AK311" s="70">
        <v>2025.0</v>
      </c>
      <c r="AL311" s="70" t="s">
        <v>22912</v>
      </c>
      <c r="AN311" s="70">
        <v>83.0</v>
      </c>
      <c r="AO311" s="70">
        <v>99.0</v>
      </c>
      <c r="AP311" s="70">
        <v>16.0</v>
      </c>
      <c r="AQ311" s="70">
        <v>0.0</v>
      </c>
      <c r="AR311" s="75" t="s">
        <v>22913</v>
      </c>
      <c r="AS311" s="70" t="s">
        <v>22525</v>
      </c>
      <c r="AU311" s="70" t="s">
        <v>237</v>
      </c>
      <c r="AV311" s="70" t="s">
        <v>22914</v>
      </c>
      <c r="AW311" s="70" t="s">
        <v>22915</v>
      </c>
      <c r="AX311" s="70">
        <v>0.0</v>
      </c>
      <c r="AY311" s="70" t="s">
        <v>24</v>
      </c>
      <c r="AZ311" s="70">
        <v>2309.0</v>
      </c>
    </row>
    <row r="312" ht="22.5" customHeight="1">
      <c r="A312" s="70" t="str">
        <f t="shared" si="1"/>
        <v>Excluded</v>
      </c>
      <c r="B312" s="70">
        <f t="shared" si="2"/>
        <v>0</v>
      </c>
      <c r="C312" s="70">
        <v>0.0</v>
      </c>
      <c r="D312" s="70">
        <v>0.0</v>
      </c>
      <c r="E312" s="70">
        <v>0.0</v>
      </c>
      <c r="F312" s="70">
        <v>0.0</v>
      </c>
      <c r="G312" s="70">
        <v>0.0</v>
      </c>
      <c r="H312" s="70" t="s">
        <v>23509</v>
      </c>
      <c r="I312" s="70">
        <v>2582.0</v>
      </c>
      <c r="J312" s="70" t="s">
        <v>23507</v>
      </c>
      <c r="K312" s="70" t="s">
        <v>29652</v>
      </c>
      <c r="W312" s="70" t="s">
        <v>29653</v>
      </c>
      <c r="AA312" s="70" t="s">
        <v>23512</v>
      </c>
      <c r="AI312" s="70" t="s">
        <v>23513</v>
      </c>
      <c r="AJ312" s="70" t="s">
        <v>23514</v>
      </c>
      <c r="AK312" s="70">
        <v>2025.0</v>
      </c>
      <c r="AL312" s="70" t="s">
        <v>24608</v>
      </c>
      <c r="AN312" s="70">
        <v>112.0</v>
      </c>
      <c r="AO312" s="70">
        <v>127.0</v>
      </c>
      <c r="AP312" s="70">
        <v>15.0</v>
      </c>
      <c r="AQ312" s="70">
        <v>0.0</v>
      </c>
      <c r="AR312" s="75" t="s">
        <v>23515</v>
      </c>
      <c r="AS312" s="70" t="s">
        <v>22525</v>
      </c>
      <c r="AU312" s="70" t="s">
        <v>237</v>
      </c>
      <c r="AV312" s="70" t="s">
        <v>23516</v>
      </c>
      <c r="AX312" s="70">
        <v>0.0</v>
      </c>
      <c r="AY312" s="70" t="s">
        <v>24</v>
      </c>
      <c r="AZ312" s="70">
        <v>1947.0</v>
      </c>
    </row>
    <row r="313" ht="22.5" customHeight="1">
      <c r="A313" s="70" t="str">
        <f t="shared" si="1"/>
        <v>Excluded</v>
      </c>
      <c r="B313" s="70">
        <f t="shared" si="2"/>
        <v>0</v>
      </c>
      <c r="C313" s="70">
        <v>0.0</v>
      </c>
      <c r="D313" s="70">
        <v>0.0</v>
      </c>
      <c r="E313" s="70">
        <v>0.0</v>
      </c>
      <c r="F313" s="70">
        <v>0.0</v>
      </c>
      <c r="G313" s="70">
        <v>0.0</v>
      </c>
      <c r="H313" s="70" t="s">
        <v>1587</v>
      </c>
      <c r="I313" s="70">
        <v>110.0</v>
      </c>
      <c r="J313" s="70" t="s">
        <v>1583</v>
      </c>
      <c r="K313" s="70" t="s">
        <v>1584</v>
      </c>
      <c r="L313" s="70" t="s">
        <v>29654</v>
      </c>
      <c r="M313" s="70" t="s">
        <v>1586</v>
      </c>
      <c r="O313" s="75" t="s">
        <v>1588</v>
      </c>
      <c r="P313" s="70">
        <v>2017.0</v>
      </c>
      <c r="U313" s="70" t="s">
        <v>387</v>
      </c>
      <c r="V313" s="70" t="s">
        <v>388</v>
      </c>
      <c r="W313" s="70" t="s">
        <v>1591</v>
      </c>
      <c r="AW313" s="70" t="s">
        <v>1592</v>
      </c>
      <c r="AX313" s="70">
        <v>0.0</v>
      </c>
      <c r="AY313" s="70" t="s">
        <v>24</v>
      </c>
      <c r="AZ313" s="70">
        <v>2790.0</v>
      </c>
    </row>
    <row r="314" ht="22.5" customHeight="1">
      <c r="A314" s="70" t="str">
        <f t="shared" si="1"/>
        <v>Excluded</v>
      </c>
      <c r="B314" s="70">
        <f t="shared" si="2"/>
        <v>0</v>
      </c>
      <c r="C314" s="70">
        <v>0.0</v>
      </c>
      <c r="D314" s="70">
        <v>0.0</v>
      </c>
      <c r="E314" s="70">
        <v>0.0</v>
      </c>
      <c r="F314" s="70">
        <v>0.0</v>
      </c>
      <c r="G314" s="70">
        <v>0.0</v>
      </c>
      <c r="H314" s="70" t="s">
        <v>3095</v>
      </c>
      <c r="I314" s="70">
        <v>252.0</v>
      </c>
      <c r="J314" s="70" t="s">
        <v>3093</v>
      </c>
      <c r="K314" s="70" t="s">
        <v>3094</v>
      </c>
      <c r="L314" s="70" t="s">
        <v>29654</v>
      </c>
      <c r="M314" s="70" t="s">
        <v>1586</v>
      </c>
      <c r="O314" s="75" t="s">
        <v>3096</v>
      </c>
      <c r="P314" s="70">
        <v>2017.0</v>
      </c>
      <c r="U314" s="70" t="s">
        <v>387</v>
      </c>
      <c r="V314" s="70" t="s">
        <v>388</v>
      </c>
      <c r="W314" s="70" t="s">
        <v>29655</v>
      </c>
      <c r="AX314" s="70">
        <v>0.0</v>
      </c>
      <c r="AY314" s="70" t="s">
        <v>24</v>
      </c>
      <c r="AZ314" s="70">
        <v>2534.0</v>
      </c>
    </row>
    <row r="315" ht="22.5" customHeight="1">
      <c r="A315" s="70" t="str">
        <f t="shared" si="1"/>
        <v>Excluded</v>
      </c>
      <c r="B315" s="70">
        <f t="shared" si="2"/>
        <v>0</v>
      </c>
      <c r="C315" s="70">
        <v>0.0</v>
      </c>
      <c r="D315" s="70">
        <v>0.0</v>
      </c>
      <c r="E315" s="70">
        <v>0.0</v>
      </c>
      <c r="F315" s="70">
        <v>0.0</v>
      </c>
      <c r="G315" s="70">
        <v>0.0</v>
      </c>
      <c r="H315" s="70" t="s">
        <v>27727</v>
      </c>
      <c r="I315" s="70">
        <v>2992.0</v>
      </c>
      <c r="J315" s="70" t="s">
        <v>27725</v>
      </c>
      <c r="K315" s="70" t="s">
        <v>27726</v>
      </c>
      <c r="W315" s="70" t="s">
        <v>29656</v>
      </c>
      <c r="AA315" s="70" t="s">
        <v>27729</v>
      </c>
      <c r="AI315" s="70" t="s">
        <v>27730</v>
      </c>
      <c r="AJ315" s="70" t="s">
        <v>27731</v>
      </c>
      <c r="AK315" s="70">
        <v>2021.0</v>
      </c>
      <c r="AL315" s="70" t="s">
        <v>24360</v>
      </c>
      <c r="AN315" s="70">
        <v>33.0</v>
      </c>
      <c r="AO315" s="70">
        <v>43.0</v>
      </c>
      <c r="AP315" s="70">
        <v>10.0</v>
      </c>
      <c r="AQ315" s="70">
        <v>0.0</v>
      </c>
      <c r="AR315" s="75" t="s">
        <v>27732</v>
      </c>
      <c r="AS315" s="70" t="s">
        <v>22525</v>
      </c>
      <c r="AU315" s="70" t="s">
        <v>237</v>
      </c>
      <c r="AV315" s="70" t="s">
        <v>27733</v>
      </c>
      <c r="AW315" s="70" t="s">
        <v>27734</v>
      </c>
      <c r="AZ315" s="70">
        <v>875.0</v>
      </c>
    </row>
    <row r="316" ht="22.5" customHeight="1">
      <c r="A316" s="70" t="str">
        <f t="shared" si="1"/>
        <v>Excluded</v>
      </c>
      <c r="B316" s="70">
        <f t="shared" si="2"/>
        <v>0</v>
      </c>
      <c r="C316" s="70">
        <v>0.0</v>
      </c>
      <c r="D316" s="70">
        <v>0.0</v>
      </c>
      <c r="E316" s="70">
        <v>0.0</v>
      </c>
      <c r="F316" s="70">
        <v>0.0</v>
      </c>
      <c r="G316" s="70">
        <v>0.0</v>
      </c>
      <c r="H316" s="70" t="s">
        <v>27177</v>
      </c>
      <c r="I316" s="70">
        <v>2938.0</v>
      </c>
      <c r="J316" s="70" t="s">
        <v>27175</v>
      </c>
      <c r="K316" s="70" t="s">
        <v>27176</v>
      </c>
      <c r="W316" s="70" t="s">
        <v>29657</v>
      </c>
      <c r="AA316" s="70" t="s">
        <v>27179</v>
      </c>
      <c r="AI316" s="70" t="s">
        <v>27180</v>
      </c>
      <c r="AJ316" s="70" t="s">
        <v>27181</v>
      </c>
      <c r="AK316" s="70">
        <v>2022.0</v>
      </c>
      <c r="AL316" s="70" t="s">
        <v>27182</v>
      </c>
      <c r="AN316" s="70">
        <v>75.0</v>
      </c>
      <c r="AO316" s="70">
        <v>85.0</v>
      </c>
      <c r="AP316" s="70">
        <v>10.0</v>
      </c>
      <c r="AQ316" s="70">
        <v>13.0</v>
      </c>
      <c r="AR316" s="75" t="s">
        <v>27183</v>
      </c>
      <c r="AS316" s="70" t="s">
        <v>22525</v>
      </c>
      <c r="AU316" s="70" t="s">
        <v>237</v>
      </c>
      <c r="AV316" s="70" t="s">
        <v>27184</v>
      </c>
      <c r="AW316" s="70" t="s">
        <v>27185</v>
      </c>
      <c r="AZ316" s="70">
        <v>513.0</v>
      </c>
    </row>
    <row r="317" ht="22.5" customHeight="1">
      <c r="A317" s="70" t="str">
        <f t="shared" si="1"/>
        <v>Excluded</v>
      </c>
      <c r="B317" s="70">
        <f t="shared" si="2"/>
        <v>0</v>
      </c>
      <c r="C317" s="70">
        <v>0.0</v>
      </c>
      <c r="D317" s="70">
        <v>0.0</v>
      </c>
      <c r="E317" s="70">
        <v>0.0</v>
      </c>
      <c r="F317" s="70">
        <v>0.0</v>
      </c>
      <c r="G317" s="70">
        <v>0.0</v>
      </c>
      <c r="H317" s="70" t="s">
        <v>26192</v>
      </c>
      <c r="I317" s="70">
        <v>2842.0</v>
      </c>
      <c r="J317" s="70" t="s">
        <v>26190</v>
      </c>
      <c r="K317" s="70" t="s">
        <v>29658</v>
      </c>
      <c r="W317" s="70" t="s">
        <v>29659</v>
      </c>
      <c r="AA317" s="70" t="s">
        <v>26194</v>
      </c>
      <c r="AI317" s="70" t="s">
        <v>26195</v>
      </c>
      <c r="AJ317" s="70" t="s">
        <v>26196</v>
      </c>
      <c r="AK317" s="70">
        <v>2023.0</v>
      </c>
      <c r="AL317" s="70" t="s">
        <v>23905</v>
      </c>
      <c r="AN317" s="70">
        <v>587.0</v>
      </c>
      <c r="AO317" s="70">
        <v>598.0</v>
      </c>
      <c r="AP317" s="70">
        <v>11.0</v>
      </c>
      <c r="AQ317" s="70">
        <v>0.0</v>
      </c>
      <c r="AR317" s="75" t="s">
        <v>26197</v>
      </c>
      <c r="AS317" s="70" t="s">
        <v>22525</v>
      </c>
      <c r="AU317" s="70" t="s">
        <v>237</v>
      </c>
      <c r="AV317" s="70" t="s">
        <v>26198</v>
      </c>
      <c r="AW317" s="70" t="s">
        <v>26199</v>
      </c>
      <c r="AX317" s="70">
        <v>0.0</v>
      </c>
      <c r="AY317" s="70" t="s">
        <v>24</v>
      </c>
      <c r="AZ317" s="70">
        <v>2069.0</v>
      </c>
    </row>
    <row r="318" ht="22.5" customHeight="1">
      <c r="A318" s="70" t="str">
        <f t="shared" si="1"/>
        <v>Excluded</v>
      </c>
      <c r="B318" s="70">
        <f t="shared" si="2"/>
        <v>0</v>
      </c>
      <c r="C318" s="70">
        <v>0.0</v>
      </c>
      <c r="D318" s="70">
        <v>0.0</v>
      </c>
      <c r="E318" s="70">
        <v>0.0</v>
      </c>
      <c r="F318" s="70">
        <v>0.0</v>
      </c>
      <c r="G318" s="70">
        <v>0.0</v>
      </c>
      <c r="H318" s="70" t="s">
        <v>27115</v>
      </c>
      <c r="I318" s="70">
        <v>2932.0</v>
      </c>
      <c r="J318" s="70" t="s">
        <v>27113</v>
      </c>
      <c r="K318" s="70" t="s">
        <v>27114</v>
      </c>
      <c r="W318" s="70" t="s">
        <v>29660</v>
      </c>
      <c r="AA318" s="70" t="s">
        <v>27118</v>
      </c>
      <c r="AI318" s="70" t="s">
        <v>27119</v>
      </c>
      <c r="AJ318" s="70" t="s">
        <v>27120</v>
      </c>
      <c r="AK318" s="70">
        <v>2022.0</v>
      </c>
      <c r="AL318" s="70" t="s">
        <v>24360</v>
      </c>
      <c r="AN318" s="70">
        <v>497.0</v>
      </c>
      <c r="AO318" s="70">
        <v>509.0</v>
      </c>
      <c r="AP318" s="70">
        <v>12.0</v>
      </c>
      <c r="AQ318" s="70">
        <v>0.0</v>
      </c>
      <c r="AR318" s="75" t="s">
        <v>27121</v>
      </c>
      <c r="AS318" s="70" t="s">
        <v>22525</v>
      </c>
      <c r="AU318" s="70" t="s">
        <v>237</v>
      </c>
      <c r="AV318" s="70" t="s">
        <v>27122</v>
      </c>
      <c r="AW318" s="70" t="s">
        <v>27123</v>
      </c>
      <c r="AX318" s="70">
        <v>0.0</v>
      </c>
      <c r="AY318" s="70" t="s">
        <v>24</v>
      </c>
      <c r="AZ318" s="70">
        <v>2753.0</v>
      </c>
    </row>
    <row r="319" ht="22.5" customHeight="1">
      <c r="A319" s="70" t="str">
        <f t="shared" si="1"/>
        <v>Excluded</v>
      </c>
      <c r="B319" s="70">
        <f t="shared" si="2"/>
        <v>0</v>
      </c>
      <c r="C319" s="70">
        <v>0.0</v>
      </c>
      <c r="D319" s="70">
        <v>0.0</v>
      </c>
      <c r="E319" s="70">
        <v>0.0</v>
      </c>
      <c r="F319" s="70">
        <v>0.0</v>
      </c>
      <c r="G319" s="70">
        <v>0.0</v>
      </c>
      <c r="H319" s="70" t="s">
        <v>777</v>
      </c>
      <c r="I319" s="70">
        <v>35.0</v>
      </c>
      <c r="J319" s="70" t="s">
        <v>773</v>
      </c>
      <c r="K319" s="70" t="s">
        <v>774</v>
      </c>
      <c r="L319" s="70" t="s">
        <v>29661</v>
      </c>
      <c r="M319" s="70" t="s">
        <v>776</v>
      </c>
      <c r="O319" s="75" t="s">
        <v>778</v>
      </c>
      <c r="P319" s="70">
        <v>2024.0</v>
      </c>
      <c r="U319" s="70" t="s">
        <v>387</v>
      </c>
      <c r="V319" s="70" t="s">
        <v>388</v>
      </c>
      <c r="W319" s="70" t="s">
        <v>781</v>
      </c>
      <c r="AW319" s="70" t="s">
        <v>782</v>
      </c>
      <c r="AZ319" s="70">
        <v>885.0</v>
      </c>
    </row>
    <row r="320" ht="22.5" customHeight="1">
      <c r="A320" s="70" t="str">
        <f t="shared" si="1"/>
        <v>Excluded</v>
      </c>
      <c r="B320" s="70">
        <f t="shared" si="2"/>
        <v>0</v>
      </c>
      <c r="C320" s="70">
        <v>0.0</v>
      </c>
      <c r="D320" s="70">
        <v>0.0</v>
      </c>
      <c r="E320" s="70">
        <v>0.0</v>
      </c>
      <c r="F320" s="70">
        <v>0.0</v>
      </c>
      <c r="G320" s="70">
        <v>0.0</v>
      </c>
      <c r="H320" s="70" t="s">
        <v>24602</v>
      </c>
      <c r="I320" s="70">
        <v>2688.0</v>
      </c>
      <c r="J320" s="70" t="s">
        <v>24600</v>
      </c>
      <c r="K320" s="70" t="s">
        <v>29662</v>
      </c>
      <c r="W320" s="70" t="s">
        <v>29663</v>
      </c>
      <c r="AA320" s="70" t="s">
        <v>24605</v>
      </c>
      <c r="AI320" s="70" t="s">
        <v>24606</v>
      </c>
      <c r="AJ320" s="70" t="s">
        <v>24607</v>
      </c>
      <c r="AK320" s="70">
        <v>2024.0</v>
      </c>
      <c r="AL320" s="70" t="s">
        <v>24608</v>
      </c>
      <c r="AN320" s="70">
        <v>15.0</v>
      </c>
      <c r="AO320" s="70">
        <v>27.0</v>
      </c>
      <c r="AP320" s="70">
        <v>12.0</v>
      </c>
      <c r="AQ320" s="70">
        <v>0.0</v>
      </c>
      <c r="AR320" s="75" t="s">
        <v>24609</v>
      </c>
      <c r="AS320" s="70" t="s">
        <v>22525</v>
      </c>
      <c r="AU320" s="70" t="s">
        <v>237</v>
      </c>
      <c r="AV320" s="70" t="s">
        <v>24610</v>
      </c>
      <c r="AW320" s="70" t="s">
        <v>24611</v>
      </c>
      <c r="AX320" s="70">
        <v>0.0</v>
      </c>
      <c r="AY320" s="70" t="s">
        <v>24</v>
      </c>
      <c r="AZ320" s="70">
        <v>2977.0</v>
      </c>
    </row>
    <row r="321" ht="22.5" customHeight="1">
      <c r="A321" s="70" t="str">
        <f t="shared" si="1"/>
        <v>Excluded</v>
      </c>
      <c r="B321" s="70">
        <f t="shared" si="2"/>
        <v>0</v>
      </c>
      <c r="C321" s="70">
        <v>0.0</v>
      </c>
      <c r="D321" s="70">
        <v>0.0</v>
      </c>
      <c r="E321" s="70">
        <v>0.0</v>
      </c>
      <c r="F321" s="70">
        <v>0.0</v>
      </c>
      <c r="G321" s="70">
        <v>0.0</v>
      </c>
      <c r="H321" s="70" t="s">
        <v>23142</v>
      </c>
      <c r="I321" s="70">
        <v>2547.0</v>
      </c>
      <c r="J321" s="70" t="s">
        <v>23140</v>
      </c>
      <c r="K321" s="70" t="s">
        <v>23141</v>
      </c>
      <c r="W321" s="70" t="s">
        <v>29664</v>
      </c>
      <c r="AA321" s="70" t="s">
        <v>23144</v>
      </c>
      <c r="AI321" s="70" t="s">
        <v>23145</v>
      </c>
      <c r="AJ321" s="70" t="s">
        <v>23146</v>
      </c>
      <c r="AK321" s="70">
        <v>2024.0</v>
      </c>
      <c r="AL321" s="70" t="s">
        <v>23147</v>
      </c>
      <c r="AN321" s="70">
        <v>5851.0</v>
      </c>
      <c r="AO321" s="70">
        <v>5867.0</v>
      </c>
      <c r="AP321" s="70">
        <v>16.0</v>
      </c>
      <c r="AQ321" s="70">
        <v>4.0</v>
      </c>
      <c r="AR321" s="75" t="s">
        <v>23148</v>
      </c>
      <c r="AS321" s="70" t="s">
        <v>22525</v>
      </c>
      <c r="AU321" s="70" t="s">
        <v>237</v>
      </c>
      <c r="AV321" s="70" t="s">
        <v>23149</v>
      </c>
      <c r="AW321" s="70" t="s">
        <v>23150</v>
      </c>
      <c r="AX321" s="70">
        <v>0.0</v>
      </c>
      <c r="AY321" s="70" t="s">
        <v>24</v>
      </c>
      <c r="AZ321" s="70">
        <v>2769.0</v>
      </c>
    </row>
    <row r="322" ht="22.5" customHeight="1">
      <c r="A322" s="70" t="str">
        <f t="shared" si="1"/>
        <v>Excluded</v>
      </c>
      <c r="B322" s="70">
        <f t="shared" si="2"/>
        <v>0</v>
      </c>
      <c r="C322" s="70">
        <v>0.0</v>
      </c>
      <c r="D322" s="70">
        <v>0.0</v>
      </c>
      <c r="E322" s="70">
        <v>0.0</v>
      </c>
      <c r="F322" s="70">
        <v>0.0</v>
      </c>
      <c r="G322" s="70">
        <v>0.0</v>
      </c>
      <c r="H322" s="70" t="s">
        <v>26142</v>
      </c>
      <c r="I322" s="70">
        <v>2837.0</v>
      </c>
      <c r="J322" s="70" t="s">
        <v>26140</v>
      </c>
      <c r="K322" s="70" t="s">
        <v>26141</v>
      </c>
      <c r="W322" s="70" t="s">
        <v>29665</v>
      </c>
      <c r="AA322" s="70" t="s">
        <v>26144</v>
      </c>
      <c r="AI322" s="70" t="s">
        <v>26145</v>
      </c>
      <c r="AJ322" s="70" t="s">
        <v>26146</v>
      </c>
      <c r="AK322" s="70">
        <v>2023.0</v>
      </c>
      <c r="AL322" s="70" t="s">
        <v>26147</v>
      </c>
      <c r="AN322" s="70">
        <v>1015.0</v>
      </c>
      <c r="AO322" s="70">
        <v>1031.0</v>
      </c>
      <c r="AP322" s="70">
        <v>16.0</v>
      </c>
      <c r="AQ322" s="70">
        <v>5.0</v>
      </c>
      <c r="AR322" s="75" t="s">
        <v>26148</v>
      </c>
      <c r="AS322" s="70" t="s">
        <v>22525</v>
      </c>
      <c r="AU322" s="70" t="s">
        <v>237</v>
      </c>
      <c r="AV322" s="70" t="s">
        <v>26149</v>
      </c>
      <c r="AW322" s="70" t="s">
        <v>26150</v>
      </c>
      <c r="AX322" s="70">
        <v>0.0</v>
      </c>
      <c r="AY322" s="70" t="s">
        <v>24</v>
      </c>
      <c r="AZ322" s="70">
        <v>2332.0</v>
      </c>
    </row>
    <row r="323" ht="22.5" customHeight="1">
      <c r="A323" s="70" t="str">
        <f t="shared" si="1"/>
        <v>Excluded</v>
      </c>
      <c r="B323" s="70">
        <f t="shared" si="2"/>
        <v>0</v>
      </c>
      <c r="C323" s="70">
        <v>0.0</v>
      </c>
      <c r="D323" s="70">
        <v>0.0</v>
      </c>
      <c r="E323" s="70">
        <v>0.0</v>
      </c>
      <c r="F323" s="70">
        <v>0.0</v>
      </c>
      <c r="G323" s="70">
        <v>0.0</v>
      </c>
      <c r="H323" s="70" t="s">
        <v>27677</v>
      </c>
      <c r="I323" s="70">
        <v>2987.0</v>
      </c>
      <c r="J323" s="70" t="s">
        <v>27675</v>
      </c>
      <c r="K323" s="70" t="s">
        <v>27676</v>
      </c>
      <c r="W323" s="70" t="s">
        <v>29666</v>
      </c>
      <c r="AA323" s="70" t="s">
        <v>27679</v>
      </c>
      <c r="AI323" s="70" t="s">
        <v>27680</v>
      </c>
      <c r="AJ323" s="70" t="s">
        <v>27681</v>
      </c>
      <c r="AK323" s="70">
        <v>2021.0</v>
      </c>
      <c r="AL323" s="70" t="s">
        <v>22557</v>
      </c>
      <c r="AN323" s="70">
        <v>917.0</v>
      </c>
      <c r="AO323" s="70">
        <v>991.0</v>
      </c>
      <c r="AP323" s="70">
        <v>74.0</v>
      </c>
      <c r="AQ323" s="70">
        <v>30.0</v>
      </c>
      <c r="AR323" s="75" t="s">
        <v>27682</v>
      </c>
      <c r="AS323" s="70" t="s">
        <v>22525</v>
      </c>
      <c r="AU323" s="70" t="s">
        <v>237</v>
      </c>
      <c r="AV323" s="70" t="s">
        <v>27683</v>
      </c>
      <c r="AW323" s="70" t="s">
        <v>27684</v>
      </c>
      <c r="AX323" s="70">
        <v>0.0</v>
      </c>
      <c r="AY323" s="70" t="s">
        <v>24</v>
      </c>
      <c r="AZ323" s="70">
        <v>1788.0</v>
      </c>
    </row>
    <row r="324" ht="22.5" customHeight="1">
      <c r="A324" s="70" t="str">
        <f t="shared" si="1"/>
        <v>Excluded</v>
      </c>
      <c r="B324" s="70">
        <f t="shared" si="2"/>
        <v>0</v>
      </c>
      <c r="C324" s="70">
        <v>0.0</v>
      </c>
      <c r="D324" s="70">
        <v>0.0</v>
      </c>
      <c r="E324" s="70">
        <v>0.0</v>
      </c>
      <c r="F324" s="70">
        <v>0.0</v>
      </c>
      <c r="G324" s="70">
        <v>0.0</v>
      </c>
      <c r="H324" s="70" t="s">
        <v>27105</v>
      </c>
      <c r="I324" s="70">
        <v>2931.0</v>
      </c>
      <c r="J324" s="70" t="s">
        <v>27103</v>
      </c>
      <c r="K324" s="70" t="s">
        <v>27104</v>
      </c>
      <c r="W324" s="70" t="s">
        <v>29667</v>
      </c>
      <c r="AA324" s="70" t="s">
        <v>27107</v>
      </c>
      <c r="AI324" s="70" t="s">
        <v>27108</v>
      </c>
      <c r="AJ324" s="70" t="s">
        <v>27109</v>
      </c>
      <c r="AK324" s="70">
        <v>2022.0</v>
      </c>
      <c r="AL324" s="70" t="s">
        <v>22557</v>
      </c>
      <c r="AN324" s="70">
        <v>433.0</v>
      </c>
      <c r="AO324" s="70">
        <v>457.0</v>
      </c>
      <c r="AP324" s="70">
        <v>24.0</v>
      </c>
      <c r="AQ324" s="70">
        <v>39.0</v>
      </c>
      <c r="AR324" s="75" t="s">
        <v>27110</v>
      </c>
      <c r="AS324" s="70" t="s">
        <v>22525</v>
      </c>
      <c r="AU324" s="70" t="s">
        <v>237</v>
      </c>
      <c r="AV324" s="70" t="s">
        <v>27111</v>
      </c>
      <c r="AW324" s="70" t="s">
        <v>27112</v>
      </c>
      <c r="AX324" s="70">
        <v>0.0</v>
      </c>
      <c r="AY324" s="70" t="s">
        <v>24</v>
      </c>
      <c r="AZ324" s="70">
        <v>1966.0</v>
      </c>
    </row>
    <row r="325" ht="22.5" customHeight="1">
      <c r="A325" s="70" t="str">
        <f t="shared" si="1"/>
        <v>Excluded</v>
      </c>
      <c r="B325" s="70">
        <f t="shared" si="2"/>
        <v>0</v>
      </c>
      <c r="C325" s="70">
        <v>0.0</v>
      </c>
      <c r="D325" s="70">
        <v>0.0</v>
      </c>
      <c r="E325" s="70">
        <v>0.0</v>
      </c>
      <c r="F325" s="70">
        <v>0.0</v>
      </c>
      <c r="G325" s="70">
        <v>0.0</v>
      </c>
      <c r="H325" s="70" t="s">
        <v>22724</v>
      </c>
      <c r="I325" s="70">
        <v>2508.0</v>
      </c>
      <c r="J325" s="70" t="s">
        <v>29668</v>
      </c>
      <c r="K325" s="70" t="s">
        <v>22723</v>
      </c>
      <c r="W325" s="70" t="s">
        <v>29669</v>
      </c>
      <c r="AA325" s="70" t="s">
        <v>22726</v>
      </c>
      <c r="AI325" s="70" t="s">
        <v>29670</v>
      </c>
      <c r="AJ325" s="70" t="s">
        <v>22728</v>
      </c>
      <c r="AK325" s="70">
        <v>2025.0</v>
      </c>
      <c r="AL325" s="70" t="s">
        <v>22557</v>
      </c>
      <c r="AM325" s="70">
        <v>28.0</v>
      </c>
      <c r="AQ325" s="70">
        <v>1.0</v>
      </c>
      <c r="AR325" s="75" t="s">
        <v>22729</v>
      </c>
      <c r="AS325" s="70" t="s">
        <v>22525</v>
      </c>
      <c r="AT325" s="70" t="s">
        <v>22526</v>
      </c>
      <c r="AU325" s="70" t="s">
        <v>237</v>
      </c>
      <c r="AV325" s="70" t="s">
        <v>22730</v>
      </c>
      <c r="AW325" s="70" t="s">
        <v>22731</v>
      </c>
      <c r="AX325" s="70">
        <v>0.0</v>
      </c>
      <c r="AY325" s="70" t="s">
        <v>24</v>
      </c>
      <c r="AZ325" s="70">
        <v>2330.0</v>
      </c>
    </row>
    <row r="326" ht="22.5" customHeight="1">
      <c r="A326" s="70" t="str">
        <f t="shared" si="1"/>
        <v>Excluded</v>
      </c>
      <c r="B326" s="70">
        <f t="shared" si="2"/>
        <v>0</v>
      </c>
      <c r="C326" s="70">
        <v>0.0</v>
      </c>
      <c r="D326" s="70">
        <v>0.0</v>
      </c>
      <c r="E326" s="70">
        <v>0.0</v>
      </c>
      <c r="F326" s="70">
        <v>0.0</v>
      </c>
      <c r="G326" s="70">
        <v>0.0</v>
      </c>
      <c r="H326" s="70" t="s">
        <v>25355</v>
      </c>
      <c r="I326" s="70">
        <v>2761.0</v>
      </c>
      <c r="J326" s="70" t="s">
        <v>29671</v>
      </c>
      <c r="K326" s="70" t="s">
        <v>25354</v>
      </c>
      <c r="W326" s="70" t="s">
        <v>29672</v>
      </c>
      <c r="AA326" s="70" t="s">
        <v>25357</v>
      </c>
      <c r="AI326" s="70" t="s">
        <v>29673</v>
      </c>
      <c r="AJ326" s="70" t="s">
        <v>25359</v>
      </c>
      <c r="AK326" s="70">
        <v>2023.0</v>
      </c>
      <c r="AL326" s="70" t="s">
        <v>25360</v>
      </c>
      <c r="AN326" s="70">
        <v>707.0</v>
      </c>
      <c r="AO326" s="70">
        <v>732.0</v>
      </c>
      <c r="AP326" s="70">
        <v>25.0</v>
      </c>
      <c r="AQ326" s="70">
        <v>2.0</v>
      </c>
      <c r="AR326" s="75" t="s">
        <v>25361</v>
      </c>
      <c r="AS326" s="70" t="s">
        <v>22525</v>
      </c>
      <c r="AU326" s="70" t="s">
        <v>237</v>
      </c>
      <c r="AV326" s="70" t="s">
        <v>25362</v>
      </c>
      <c r="AW326" s="70" t="s">
        <v>25363</v>
      </c>
      <c r="AX326" s="70">
        <v>0.0</v>
      </c>
      <c r="AY326" s="70" t="s">
        <v>24</v>
      </c>
      <c r="AZ326" s="70">
        <v>2342.0</v>
      </c>
    </row>
    <row r="327" ht="22.5" customHeight="1">
      <c r="A327" s="70" t="str">
        <f t="shared" si="1"/>
        <v>Excluded</v>
      </c>
      <c r="B327" s="70">
        <f t="shared" si="2"/>
        <v>0</v>
      </c>
      <c r="C327" s="70">
        <v>0.0</v>
      </c>
      <c r="D327" s="70">
        <v>0.0</v>
      </c>
      <c r="E327" s="70">
        <v>0.0</v>
      </c>
      <c r="F327" s="70">
        <v>0.0</v>
      </c>
      <c r="G327" s="70">
        <v>0.0</v>
      </c>
      <c r="H327" s="70" t="s">
        <v>26182</v>
      </c>
      <c r="I327" s="70">
        <v>2841.0</v>
      </c>
      <c r="J327" s="70" t="s">
        <v>26180</v>
      </c>
      <c r="K327" s="70" t="s">
        <v>26181</v>
      </c>
      <c r="W327" s="70" t="s">
        <v>29674</v>
      </c>
      <c r="AA327" s="70" t="s">
        <v>26184</v>
      </c>
      <c r="AI327" s="70" t="s">
        <v>26185</v>
      </c>
      <c r="AJ327" s="70" t="s">
        <v>26186</v>
      </c>
      <c r="AK327" s="70">
        <v>2022.0</v>
      </c>
      <c r="AL327" s="70" t="s">
        <v>24155</v>
      </c>
      <c r="AN327" s="70">
        <v>1551.0</v>
      </c>
      <c r="AO327" s="70">
        <v>1581.0</v>
      </c>
      <c r="AP327" s="70">
        <v>30.0</v>
      </c>
      <c r="AQ327" s="70">
        <v>2.0</v>
      </c>
      <c r="AR327" s="75" t="s">
        <v>26187</v>
      </c>
      <c r="AS327" s="70" t="s">
        <v>22525</v>
      </c>
      <c r="AU327" s="70" t="s">
        <v>237</v>
      </c>
      <c r="AV327" s="70" t="s">
        <v>26188</v>
      </c>
      <c r="AW327" s="70" t="s">
        <v>26189</v>
      </c>
      <c r="AX327" s="70">
        <v>0.0</v>
      </c>
      <c r="AY327" s="70" t="s">
        <v>24</v>
      </c>
      <c r="AZ327" s="70">
        <v>2741.0</v>
      </c>
    </row>
    <row r="328" ht="22.5" customHeight="1">
      <c r="A328" s="70" t="str">
        <f t="shared" si="1"/>
        <v>Excluded</v>
      </c>
      <c r="B328" s="70">
        <f t="shared" si="2"/>
        <v>0</v>
      </c>
      <c r="C328" s="70">
        <v>0.0</v>
      </c>
      <c r="D328" s="70">
        <v>0.0</v>
      </c>
      <c r="E328" s="70">
        <v>0.0</v>
      </c>
      <c r="F328" s="70">
        <v>0.0</v>
      </c>
      <c r="G328" s="70">
        <v>0.0</v>
      </c>
      <c r="H328" s="70" t="s">
        <v>24150</v>
      </c>
      <c r="I328" s="70">
        <v>2644.0</v>
      </c>
      <c r="J328" s="70" t="s">
        <v>29675</v>
      </c>
      <c r="K328" s="70" t="s">
        <v>24149</v>
      </c>
      <c r="W328" s="70" t="s">
        <v>29676</v>
      </c>
      <c r="AA328" s="70" t="s">
        <v>24152</v>
      </c>
      <c r="AI328" s="70" t="s">
        <v>29677</v>
      </c>
      <c r="AJ328" s="70" t="s">
        <v>24154</v>
      </c>
      <c r="AK328" s="70">
        <v>2024.0</v>
      </c>
      <c r="AL328" s="70" t="s">
        <v>24155</v>
      </c>
      <c r="AQ328" s="70">
        <v>2.0</v>
      </c>
      <c r="AR328" s="75" t="s">
        <v>24156</v>
      </c>
      <c r="AS328" s="70" t="s">
        <v>22588</v>
      </c>
      <c r="AU328" s="70" t="s">
        <v>237</v>
      </c>
      <c r="AV328" s="70" t="s">
        <v>24157</v>
      </c>
      <c r="AW328" s="70" t="s">
        <v>24158</v>
      </c>
      <c r="AX328" s="70">
        <v>0.0</v>
      </c>
      <c r="AY328" s="70" t="s">
        <v>24</v>
      </c>
      <c r="AZ328" s="70">
        <v>2704.0</v>
      </c>
    </row>
    <row r="329" ht="22.5" customHeight="1">
      <c r="A329" s="70" t="str">
        <f t="shared" si="1"/>
        <v>Excluded</v>
      </c>
      <c r="B329" s="70">
        <f t="shared" si="2"/>
        <v>0</v>
      </c>
      <c r="C329" s="70">
        <v>0.0</v>
      </c>
      <c r="D329" s="70">
        <v>0.0</v>
      </c>
      <c r="E329" s="70">
        <v>0.0</v>
      </c>
      <c r="F329" s="70">
        <v>0.0</v>
      </c>
      <c r="G329" s="70">
        <v>0.0</v>
      </c>
      <c r="H329" s="70" t="s">
        <v>25534</v>
      </c>
      <c r="I329" s="70">
        <v>2778.0</v>
      </c>
      <c r="J329" s="70" t="s">
        <v>25532</v>
      </c>
      <c r="K329" s="70" t="s">
        <v>25533</v>
      </c>
      <c r="W329" s="70" t="s">
        <v>29678</v>
      </c>
      <c r="AA329" s="70" t="s">
        <v>25536</v>
      </c>
      <c r="AI329" s="70" t="s">
        <v>25537</v>
      </c>
      <c r="AJ329" s="70" t="s">
        <v>25538</v>
      </c>
      <c r="AK329" s="70">
        <v>2023.0</v>
      </c>
      <c r="AL329" s="70" t="s">
        <v>22977</v>
      </c>
      <c r="AN329" s="70">
        <v>4929.0</v>
      </c>
      <c r="AO329" s="70">
        <v>5021.0</v>
      </c>
      <c r="AP329" s="70">
        <v>92.0</v>
      </c>
      <c r="AQ329" s="70">
        <v>202.0</v>
      </c>
      <c r="AR329" s="75" t="s">
        <v>25539</v>
      </c>
      <c r="AS329" s="70" t="s">
        <v>22525</v>
      </c>
      <c r="AT329" s="70" t="s">
        <v>23606</v>
      </c>
      <c r="AU329" s="70" t="s">
        <v>237</v>
      </c>
      <c r="AV329" s="70" t="s">
        <v>25540</v>
      </c>
      <c r="AW329" s="70" t="s">
        <v>25541</v>
      </c>
      <c r="AX329" s="70">
        <v>0.0</v>
      </c>
      <c r="AY329" s="70" t="s">
        <v>24</v>
      </c>
      <c r="AZ329" s="70">
        <v>2120.0</v>
      </c>
    </row>
    <row r="330" ht="22.5" customHeight="1">
      <c r="A330" s="70" t="str">
        <f t="shared" si="1"/>
        <v>Excluded</v>
      </c>
      <c r="B330" s="70">
        <f t="shared" si="2"/>
        <v>0</v>
      </c>
      <c r="C330" s="70">
        <v>0.0</v>
      </c>
      <c r="D330" s="70">
        <v>0.0</v>
      </c>
      <c r="E330" s="70">
        <v>0.0</v>
      </c>
      <c r="F330" s="70">
        <v>0.0</v>
      </c>
      <c r="G330" s="70">
        <v>0.0</v>
      </c>
      <c r="H330" s="70" t="s">
        <v>23559</v>
      </c>
      <c r="I330" s="70">
        <v>2587.0</v>
      </c>
      <c r="J330" s="70" t="s">
        <v>23557</v>
      </c>
      <c r="K330" s="70" t="s">
        <v>23558</v>
      </c>
      <c r="W330" s="70" t="s">
        <v>29679</v>
      </c>
      <c r="AA330" s="70" t="s">
        <v>23561</v>
      </c>
      <c r="AI330" s="70" t="s">
        <v>23562</v>
      </c>
      <c r="AJ330" s="70" t="s">
        <v>23563</v>
      </c>
      <c r="AK330" s="70">
        <v>2024.0</v>
      </c>
      <c r="AL330" s="70" t="s">
        <v>22977</v>
      </c>
      <c r="AM330" s="70">
        <v>61.0</v>
      </c>
      <c r="AQ330" s="70">
        <v>13.0</v>
      </c>
      <c r="AR330" s="75" t="s">
        <v>23564</v>
      </c>
      <c r="AS330" s="70" t="s">
        <v>22525</v>
      </c>
      <c r="AU330" s="70" t="s">
        <v>237</v>
      </c>
      <c r="AV330" s="70" t="s">
        <v>23565</v>
      </c>
      <c r="AW330" s="70" t="s">
        <v>23566</v>
      </c>
      <c r="AX330" s="70">
        <v>0.0</v>
      </c>
      <c r="AY330" s="70" t="s">
        <v>24</v>
      </c>
      <c r="AZ330" s="70">
        <v>1790.0</v>
      </c>
    </row>
    <row r="331" ht="22.5" customHeight="1">
      <c r="A331" s="70" t="str">
        <f t="shared" si="1"/>
        <v>Excluded</v>
      </c>
      <c r="B331" s="70">
        <f t="shared" si="2"/>
        <v>0</v>
      </c>
      <c r="C331" s="70">
        <v>0.0</v>
      </c>
      <c r="D331" s="70">
        <v>0.0</v>
      </c>
      <c r="E331" s="70">
        <v>0.0</v>
      </c>
      <c r="F331" s="70">
        <v>0.0</v>
      </c>
      <c r="G331" s="70">
        <v>0.0</v>
      </c>
      <c r="H331" s="70" t="s">
        <v>22972</v>
      </c>
      <c r="I331" s="70">
        <v>2531.0</v>
      </c>
      <c r="J331" s="70" t="s">
        <v>22970</v>
      </c>
      <c r="K331" s="70" t="s">
        <v>22971</v>
      </c>
      <c r="W331" s="70" t="s">
        <v>29680</v>
      </c>
      <c r="AA331" s="70" t="s">
        <v>22974</v>
      </c>
      <c r="AI331" s="70" t="s">
        <v>22975</v>
      </c>
      <c r="AJ331" s="70" t="s">
        <v>22976</v>
      </c>
      <c r="AK331" s="70">
        <v>2025.0</v>
      </c>
      <c r="AL331" s="70" t="s">
        <v>22977</v>
      </c>
      <c r="AM331" s="70">
        <v>100.0</v>
      </c>
      <c r="AQ331" s="70">
        <v>0.0</v>
      </c>
      <c r="AR331" s="75" t="s">
        <v>22978</v>
      </c>
      <c r="AS331" s="70" t="s">
        <v>22525</v>
      </c>
      <c r="AU331" s="70" t="s">
        <v>237</v>
      </c>
      <c r="AV331" s="70" t="s">
        <v>22979</v>
      </c>
      <c r="AW331" s="82" t="s">
        <v>29681</v>
      </c>
      <c r="AZ331" s="70">
        <v>707.0</v>
      </c>
    </row>
    <row r="332" ht="22.5" customHeight="1">
      <c r="A332" s="70" t="str">
        <f t="shared" si="1"/>
        <v>Excluded</v>
      </c>
      <c r="B332" s="70">
        <f t="shared" si="2"/>
        <v>0</v>
      </c>
      <c r="C332" s="70">
        <v>0.0</v>
      </c>
      <c r="D332" s="70">
        <v>0.0</v>
      </c>
      <c r="E332" s="70">
        <v>0.0</v>
      </c>
      <c r="F332" s="70">
        <v>0.0</v>
      </c>
      <c r="G332" s="70">
        <v>0.0</v>
      </c>
      <c r="H332" s="70" t="s">
        <v>25793</v>
      </c>
      <c r="I332" s="70">
        <v>2803.0</v>
      </c>
      <c r="J332" s="70" t="s">
        <v>25791</v>
      </c>
      <c r="K332" s="70" t="s">
        <v>25792</v>
      </c>
      <c r="W332" s="70" t="s">
        <v>29682</v>
      </c>
      <c r="AA332" s="70" t="s">
        <v>25795</v>
      </c>
      <c r="AI332" s="70" t="s">
        <v>25796</v>
      </c>
      <c r="AJ332" s="70" t="s">
        <v>25797</v>
      </c>
      <c r="AK332" s="70">
        <v>2023.0</v>
      </c>
      <c r="AL332" s="70" t="s">
        <v>25798</v>
      </c>
      <c r="AN332" s="70">
        <v>13643.0</v>
      </c>
      <c r="AO332" s="70">
        <v>13664.0</v>
      </c>
      <c r="AP332" s="70">
        <v>21.0</v>
      </c>
      <c r="AQ332" s="70">
        <v>1.0</v>
      </c>
      <c r="AR332" s="75" t="s">
        <v>25799</v>
      </c>
      <c r="AS332" s="70" t="s">
        <v>22525</v>
      </c>
      <c r="AU332" s="70" t="s">
        <v>237</v>
      </c>
      <c r="AV332" s="70" t="s">
        <v>25800</v>
      </c>
      <c r="AW332" s="70" t="s">
        <v>25801</v>
      </c>
      <c r="AZ332" s="70">
        <v>418.0</v>
      </c>
    </row>
    <row r="333" ht="22.5" customHeight="1">
      <c r="A333" s="70" t="str">
        <f t="shared" si="1"/>
        <v>Excluded</v>
      </c>
      <c r="B333" s="70">
        <f t="shared" si="2"/>
        <v>0</v>
      </c>
      <c r="C333" s="70">
        <v>0.0</v>
      </c>
      <c r="D333" s="70">
        <v>0.0</v>
      </c>
      <c r="E333" s="70">
        <v>0.0</v>
      </c>
      <c r="F333" s="70">
        <v>0.0</v>
      </c>
      <c r="G333" s="70">
        <v>0.0</v>
      </c>
      <c r="H333" s="70" t="s">
        <v>28049</v>
      </c>
      <c r="I333" s="70">
        <v>3023.0</v>
      </c>
      <c r="J333" s="70" t="s">
        <v>28047</v>
      </c>
      <c r="K333" s="70" t="s">
        <v>28048</v>
      </c>
      <c r="W333" s="70" t="s">
        <v>29683</v>
      </c>
      <c r="AA333" s="70" t="s">
        <v>28051</v>
      </c>
      <c r="AI333" s="70" t="s">
        <v>28052</v>
      </c>
      <c r="AJ333" s="70" t="s">
        <v>28053</v>
      </c>
      <c r="AK333" s="70">
        <v>2020.0</v>
      </c>
      <c r="AL333" s="70" t="s">
        <v>22988</v>
      </c>
      <c r="AN333" s="70">
        <v>3289.0</v>
      </c>
      <c r="AO333" s="70">
        <v>3308.0</v>
      </c>
      <c r="AP333" s="70">
        <v>19.0</v>
      </c>
      <c r="AQ333" s="70">
        <v>9.0</v>
      </c>
      <c r="AR333" s="75" t="s">
        <v>28054</v>
      </c>
      <c r="AS333" s="70" t="s">
        <v>22525</v>
      </c>
      <c r="AU333" s="70" t="s">
        <v>237</v>
      </c>
      <c r="AV333" s="70" t="s">
        <v>28055</v>
      </c>
      <c r="AW333" s="70" t="s">
        <v>28056</v>
      </c>
      <c r="AX333" s="70">
        <v>0.0</v>
      </c>
      <c r="AY333" s="70" t="s">
        <v>24</v>
      </c>
      <c r="AZ333" s="70">
        <v>3058.0</v>
      </c>
    </row>
    <row r="334" ht="22.5" customHeight="1">
      <c r="A334" s="70" t="str">
        <f t="shared" si="1"/>
        <v>Excluded</v>
      </c>
      <c r="B334" s="70">
        <f t="shared" si="2"/>
        <v>0</v>
      </c>
      <c r="C334" s="70">
        <v>0.0</v>
      </c>
      <c r="D334" s="70">
        <v>0.0</v>
      </c>
      <c r="E334" s="70">
        <v>0.0</v>
      </c>
      <c r="F334" s="70">
        <v>0.0</v>
      </c>
      <c r="G334" s="70">
        <v>0.0</v>
      </c>
      <c r="H334" s="70" t="s">
        <v>25221</v>
      </c>
      <c r="I334" s="70">
        <v>2748.0</v>
      </c>
      <c r="J334" s="70" t="s">
        <v>25219</v>
      </c>
      <c r="K334" s="70" t="s">
        <v>25220</v>
      </c>
      <c r="W334" s="70" t="s">
        <v>29684</v>
      </c>
      <c r="AA334" s="70" t="s">
        <v>25223</v>
      </c>
      <c r="AI334" s="70" t="s">
        <v>25224</v>
      </c>
      <c r="AJ334" s="70">
        <v>3.61417768E10</v>
      </c>
      <c r="AK334" s="70">
        <v>2023.0</v>
      </c>
      <c r="AL334" s="70" t="s">
        <v>22988</v>
      </c>
      <c r="AN334" s="70">
        <v>13.0</v>
      </c>
      <c r="AO334" s="70">
        <v>23.0</v>
      </c>
      <c r="AP334" s="70">
        <v>10.0</v>
      </c>
      <c r="AQ334" s="70">
        <v>4.0</v>
      </c>
      <c r="AR334" s="75" t="s">
        <v>25225</v>
      </c>
      <c r="AS334" s="70" t="s">
        <v>22525</v>
      </c>
      <c r="AU334" s="70" t="s">
        <v>237</v>
      </c>
      <c r="AV334" s="70" t="s">
        <v>25226</v>
      </c>
      <c r="AW334" s="70" t="s">
        <v>25227</v>
      </c>
      <c r="AX334" s="70">
        <v>0.0</v>
      </c>
      <c r="AY334" s="70" t="s">
        <v>24</v>
      </c>
      <c r="AZ334" s="70">
        <v>2391.0</v>
      </c>
    </row>
    <row r="335" ht="22.5" customHeight="1">
      <c r="A335" s="70" t="str">
        <f t="shared" si="1"/>
        <v>Excluded</v>
      </c>
      <c r="B335" s="70">
        <f t="shared" si="2"/>
        <v>0</v>
      </c>
      <c r="C335" s="70">
        <v>0.0</v>
      </c>
      <c r="D335" s="70">
        <v>0.0</v>
      </c>
      <c r="E335" s="70">
        <v>0.0</v>
      </c>
      <c r="F335" s="70">
        <v>0.0</v>
      </c>
      <c r="G335" s="70">
        <v>0.0</v>
      </c>
      <c r="H335" s="70" t="s">
        <v>23703</v>
      </c>
      <c r="I335" s="70">
        <v>2601.0</v>
      </c>
      <c r="J335" s="70" t="s">
        <v>23701</v>
      </c>
      <c r="K335" s="70" t="s">
        <v>23702</v>
      </c>
      <c r="W335" s="70" t="s">
        <v>29685</v>
      </c>
      <c r="AA335" s="70" t="s">
        <v>23705</v>
      </c>
      <c r="AI335" s="70" t="s">
        <v>23706</v>
      </c>
      <c r="AJ335" s="70" t="s">
        <v>23707</v>
      </c>
      <c r="AK335" s="70">
        <v>2024.0</v>
      </c>
      <c r="AL335" s="70" t="s">
        <v>22988</v>
      </c>
      <c r="AN335" s="70">
        <v>931.0</v>
      </c>
      <c r="AO335" s="70">
        <v>944.0</v>
      </c>
      <c r="AP335" s="70">
        <v>13.0</v>
      </c>
      <c r="AQ335" s="70">
        <v>3.0</v>
      </c>
      <c r="AR335" s="75" t="s">
        <v>23708</v>
      </c>
      <c r="AS335" s="70" t="s">
        <v>22525</v>
      </c>
      <c r="AU335" s="70" t="s">
        <v>237</v>
      </c>
      <c r="AV335" s="70" t="s">
        <v>23709</v>
      </c>
      <c r="AW335" s="70" t="s">
        <v>23710</v>
      </c>
      <c r="AZ335" s="70">
        <v>397.0</v>
      </c>
    </row>
    <row r="336" ht="22.5" customHeight="1">
      <c r="A336" s="70" t="str">
        <f t="shared" si="1"/>
        <v>Excluded</v>
      </c>
      <c r="B336" s="70">
        <f t="shared" si="2"/>
        <v>0</v>
      </c>
      <c r="C336" s="70">
        <v>0.0</v>
      </c>
      <c r="D336" s="70">
        <v>0.0</v>
      </c>
      <c r="E336" s="70">
        <v>0.0</v>
      </c>
      <c r="F336" s="70">
        <v>0.0</v>
      </c>
      <c r="G336" s="70">
        <v>0.0</v>
      </c>
      <c r="H336" s="70" t="s">
        <v>23653</v>
      </c>
      <c r="I336" s="70">
        <v>2596.0</v>
      </c>
      <c r="J336" s="70" t="s">
        <v>23651</v>
      </c>
      <c r="K336" s="70" t="s">
        <v>23652</v>
      </c>
      <c r="W336" s="70" t="s">
        <v>29686</v>
      </c>
      <c r="AA336" s="70" t="s">
        <v>23655</v>
      </c>
      <c r="AI336" s="70" t="s">
        <v>23656</v>
      </c>
      <c r="AJ336" s="70" t="s">
        <v>23657</v>
      </c>
      <c r="AK336" s="70">
        <v>2024.0</v>
      </c>
      <c r="AL336" s="70" t="s">
        <v>22988</v>
      </c>
      <c r="AN336" s="70">
        <v>4491.0</v>
      </c>
      <c r="AO336" s="70">
        <v>4514.0</v>
      </c>
      <c r="AP336" s="70">
        <v>23.0</v>
      </c>
      <c r="AQ336" s="70">
        <v>1.0</v>
      </c>
      <c r="AR336" s="75" t="s">
        <v>23658</v>
      </c>
      <c r="AS336" s="70" t="s">
        <v>22525</v>
      </c>
      <c r="AT336" s="70" t="s">
        <v>22816</v>
      </c>
      <c r="AU336" s="70" t="s">
        <v>237</v>
      </c>
      <c r="AV336" s="70" t="s">
        <v>23659</v>
      </c>
      <c r="AW336" s="70" t="s">
        <v>23660</v>
      </c>
      <c r="AX336" s="70">
        <v>0.0</v>
      </c>
      <c r="AY336" s="70" t="s">
        <v>24</v>
      </c>
      <c r="AZ336" s="70">
        <v>1738.0</v>
      </c>
    </row>
    <row r="337" ht="22.5" customHeight="1">
      <c r="A337" s="70" t="str">
        <f t="shared" si="1"/>
        <v>Excluded</v>
      </c>
      <c r="B337" s="70">
        <f t="shared" si="2"/>
        <v>0</v>
      </c>
      <c r="C337" s="70">
        <v>0.0</v>
      </c>
      <c r="D337" s="70">
        <v>0.0</v>
      </c>
      <c r="E337" s="70">
        <v>0.0</v>
      </c>
      <c r="F337" s="70">
        <v>0.0</v>
      </c>
      <c r="G337" s="70">
        <v>0.0</v>
      </c>
      <c r="H337" s="70" t="s">
        <v>23362</v>
      </c>
      <c r="I337" s="70">
        <v>2568.0</v>
      </c>
      <c r="J337" s="70" t="s">
        <v>23360</v>
      </c>
      <c r="K337" s="70" t="s">
        <v>23361</v>
      </c>
      <c r="W337" s="70" t="s">
        <v>29687</v>
      </c>
      <c r="AA337" s="70" t="s">
        <v>23364</v>
      </c>
      <c r="AI337" s="70" t="s">
        <v>23365</v>
      </c>
      <c r="AJ337" s="70" t="s">
        <v>23366</v>
      </c>
      <c r="AK337" s="70">
        <v>2024.0</v>
      </c>
      <c r="AL337" s="70" t="s">
        <v>22988</v>
      </c>
      <c r="AN337" s="70">
        <v>5783.0</v>
      </c>
      <c r="AO337" s="70">
        <v>5797.0</v>
      </c>
      <c r="AP337" s="70">
        <v>14.0</v>
      </c>
      <c r="AQ337" s="70">
        <v>9.0</v>
      </c>
      <c r="AR337" s="75" t="s">
        <v>23367</v>
      </c>
      <c r="AS337" s="70" t="s">
        <v>22525</v>
      </c>
      <c r="AU337" s="70" t="s">
        <v>237</v>
      </c>
      <c r="AV337" s="70" t="s">
        <v>23368</v>
      </c>
      <c r="AW337" s="70" t="s">
        <v>23369</v>
      </c>
      <c r="AX337" s="70">
        <v>0.0</v>
      </c>
      <c r="AY337" s="70" t="s">
        <v>24</v>
      </c>
      <c r="AZ337" s="70">
        <v>1977.0</v>
      </c>
    </row>
    <row r="338" ht="22.5" customHeight="1">
      <c r="A338" s="70" t="str">
        <f t="shared" si="1"/>
        <v>Excluded</v>
      </c>
      <c r="B338" s="70">
        <f t="shared" si="2"/>
        <v>0</v>
      </c>
      <c r="C338" s="70">
        <v>0.0</v>
      </c>
      <c r="D338" s="70">
        <v>0.0</v>
      </c>
      <c r="E338" s="70">
        <v>0.0</v>
      </c>
      <c r="F338" s="70">
        <v>0.0</v>
      </c>
      <c r="G338" s="70">
        <v>0.0</v>
      </c>
      <c r="H338" s="70" t="s">
        <v>22983</v>
      </c>
      <c r="I338" s="70">
        <v>2532.0</v>
      </c>
      <c r="J338" s="70" t="s">
        <v>29688</v>
      </c>
      <c r="K338" s="70" t="s">
        <v>29689</v>
      </c>
      <c r="W338" s="70" t="s">
        <v>29690</v>
      </c>
      <c r="AA338" s="70" t="s">
        <v>29691</v>
      </c>
      <c r="AI338" s="70" t="s">
        <v>29692</v>
      </c>
      <c r="AJ338" s="70" t="s">
        <v>22987</v>
      </c>
      <c r="AK338" s="70">
        <v>2024.0</v>
      </c>
      <c r="AL338" s="70" t="s">
        <v>22988</v>
      </c>
      <c r="AN338" s="70">
        <v>4095.0</v>
      </c>
      <c r="AO338" s="70">
        <v>4125.0</v>
      </c>
      <c r="AP338" s="70">
        <v>30.0</v>
      </c>
      <c r="AQ338" s="70">
        <v>4.0</v>
      </c>
      <c r="AR338" s="75" t="s">
        <v>22989</v>
      </c>
      <c r="AS338" s="70" t="s">
        <v>22525</v>
      </c>
      <c r="AT338" s="70" t="s">
        <v>22526</v>
      </c>
      <c r="AU338" s="70" t="s">
        <v>237</v>
      </c>
      <c r="AV338" s="70" t="s">
        <v>22990</v>
      </c>
      <c r="AW338" s="70" t="s">
        <v>29693</v>
      </c>
      <c r="AX338" s="70">
        <v>0.0</v>
      </c>
      <c r="AY338" s="70" t="s">
        <v>24</v>
      </c>
      <c r="AZ338" s="70">
        <v>1713.0</v>
      </c>
    </row>
    <row r="339" ht="22.5" customHeight="1">
      <c r="A339" s="70" t="str">
        <f t="shared" si="1"/>
        <v>Excluded</v>
      </c>
      <c r="B339" s="70">
        <f t="shared" si="2"/>
        <v>0</v>
      </c>
      <c r="C339" s="70">
        <v>0.0</v>
      </c>
      <c r="D339" s="70">
        <v>0.0</v>
      </c>
      <c r="E339" s="70">
        <v>0.0</v>
      </c>
      <c r="F339" s="70">
        <v>0.0</v>
      </c>
      <c r="G339" s="70">
        <v>0.0</v>
      </c>
      <c r="H339" s="70" t="s">
        <v>23016</v>
      </c>
      <c r="I339" s="70">
        <v>2535.0</v>
      </c>
      <c r="J339" s="70" t="s">
        <v>23014</v>
      </c>
      <c r="K339" s="70" t="s">
        <v>23015</v>
      </c>
      <c r="W339" s="70" t="s">
        <v>29694</v>
      </c>
      <c r="AA339" s="70" t="s">
        <v>23018</v>
      </c>
      <c r="AI339" s="70" t="s">
        <v>23019</v>
      </c>
      <c r="AJ339" s="70" t="s">
        <v>23020</v>
      </c>
      <c r="AK339" s="70">
        <v>2024.0</v>
      </c>
      <c r="AL339" s="70" t="s">
        <v>22988</v>
      </c>
      <c r="AN339" s="70">
        <v>8001.0</v>
      </c>
      <c r="AO339" s="70">
        <v>8013.0</v>
      </c>
      <c r="AP339" s="70">
        <v>12.0</v>
      </c>
      <c r="AQ339" s="70">
        <v>3.0</v>
      </c>
      <c r="AR339" s="75" t="s">
        <v>23021</v>
      </c>
      <c r="AS339" s="70" t="s">
        <v>22525</v>
      </c>
      <c r="AU339" s="70" t="s">
        <v>237</v>
      </c>
      <c r="AV339" s="70" t="s">
        <v>23022</v>
      </c>
      <c r="AW339" s="70" t="s">
        <v>23023</v>
      </c>
      <c r="AX339" s="70">
        <v>0.0</v>
      </c>
      <c r="AY339" s="70" t="s">
        <v>24</v>
      </c>
      <c r="AZ339" s="70">
        <v>1916.0</v>
      </c>
    </row>
    <row r="340" ht="22.5" customHeight="1">
      <c r="A340" s="70" t="str">
        <f t="shared" si="1"/>
        <v>Excluded</v>
      </c>
      <c r="B340" s="70">
        <f t="shared" si="2"/>
        <v>0</v>
      </c>
      <c r="C340" s="70">
        <v>0.0</v>
      </c>
      <c r="D340" s="70">
        <v>0.0</v>
      </c>
      <c r="E340" s="70">
        <v>0.0</v>
      </c>
      <c r="F340" s="70">
        <v>0.0</v>
      </c>
      <c r="G340" s="70">
        <v>0.0</v>
      </c>
      <c r="H340" s="70" t="s">
        <v>23247</v>
      </c>
      <c r="I340" s="70">
        <v>2557.0</v>
      </c>
      <c r="J340" s="70" t="s">
        <v>23245</v>
      </c>
      <c r="K340" s="70" t="s">
        <v>23246</v>
      </c>
      <c r="W340" s="70" t="s">
        <v>29695</v>
      </c>
      <c r="AA340" s="70" t="s">
        <v>23249</v>
      </c>
      <c r="AI340" s="70" t="s">
        <v>23250</v>
      </c>
      <c r="AJ340" s="70" t="s">
        <v>23251</v>
      </c>
      <c r="AK340" s="70">
        <v>2025.0</v>
      </c>
      <c r="AL340" s="70" t="s">
        <v>22988</v>
      </c>
      <c r="AM340" s="70">
        <v>18.0</v>
      </c>
      <c r="AQ340" s="70">
        <v>7.0</v>
      </c>
      <c r="AR340" s="75" t="s">
        <v>23252</v>
      </c>
      <c r="AS340" s="70" t="s">
        <v>22525</v>
      </c>
      <c r="AU340" s="70" t="s">
        <v>237</v>
      </c>
      <c r="AV340" s="70" t="s">
        <v>23253</v>
      </c>
      <c r="AW340" s="70" t="s">
        <v>23254</v>
      </c>
      <c r="AX340" s="70">
        <v>0.0</v>
      </c>
      <c r="AY340" s="70" t="s">
        <v>24</v>
      </c>
      <c r="AZ340" s="70">
        <v>3119.0</v>
      </c>
    </row>
    <row r="341" ht="22.5" customHeight="1">
      <c r="A341" s="70" t="str">
        <f t="shared" si="1"/>
        <v>Excluded</v>
      </c>
      <c r="B341" s="70">
        <f t="shared" si="2"/>
        <v>0</v>
      </c>
      <c r="C341" s="70">
        <v>0.0</v>
      </c>
      <c r="D341" s="70">
        <v>0.0</v>
      </c>
      <c r="E341" s="70">
        <v>0.0</v>
      </c>
      <c r="F341" s="70">
        <v>0.0</v>
      </c>
      <c r="G341" s="70">
        <v>0.0</v>
      </c>
      <c r="H341" s="70" t="s">
        <v>23330</v>
      </c>
      <c r="I341" s="70">
        <v>2565.0</v>
      </c>
      <c r="J341" s="70" t="s">
        <v>23328</v>
      </c>
      <c r="K341" s="70" t="s">
        <v>23329</v>
      </c>
      <c r="W341" s="70" t="s">
        <v>29696</v>
      </c>
      <c r="AA341" s="70" t="s">
        <v>23332</v>
      </c>
      <c r="AI341" s="70" t="s">
        <v>23333</v>
      </c>
      <c r="AJ341" s="70" t="s">
        <v>23334</v>
      </c>
      <c r="AK341" s="70">
        <v>2025.0</v>
      </c>
      <c r="AL341" s="70" t="s">
        <v>22988</v>
      </c>
      <c r="AM341" s="70">
        <v>38.0</v>
      </c>
      <c r="AQ341" s="70">
        <v>1.0</v>
      </c>
      <c r="AR341" s="75" t="s">
        <v>23335</v>
      </c>
      <c r="AS341" s="70" t="s">
        <v>22525</v>
      </c>
      <c r="AU341" s="70" t="s">
        <v>237</v>
      </c>
      <c r="AV341" s="70" t="s">
        <v>23336</v>
      </c>
      <c r="AW341" s="70" t="s">
        <v>23337</v>
      </c>
      <c r="AZ341" s="70">
        <v>879.0</v>
      </c>
    </row>
    <row r="342" ht="22.5" customHeight="1">
      <c r="A342" s="70" t="str">
        <f t="shared" si="1"/>
        <v>Excluded</v>
      </c>
      <c r="B342" s="70">
        <f t="shared" si="2"/>
        <v>0</v>
      </c>
      <c r="C342" s="70">
        <v>0.0</v>
      </c>
      <c r="D342" s="70">
        <v>0.0</v>
      </c>
      <c r="E342" s="70">
        <v>0.0</v>
      </c>
      <c r="F342" s="70">
        <v>0.0</v>
      </c>
      <c r="G342" s="70">
        <v>0.0</v>
      </c>
      <c r="H342" s="70" t="s">
        <v>23299</v>
      </c>
      <c r="I342" s="70">
        <v>2562.0</v>
      </c>
      <c r="J342" s="70" t="s">
        <v>23297</v>
      </c>
      <c r="K342" s="70" t="s">
        <v>23298</v>
      </c>
      <c r="W342" s="70" t="s">
        <v>29697</v>
      </c>
      <c r="AA342" s="70" t="s">
        <v>23301</v>
      </c>
      <c r="AI342" s="70" t="s">
        <v>23302</v>
      </c>
      <c r="AJ342" s="70" t="s">
        <v>23303</v>
      </c>
      <c r="AK342" s="70">
        <v>2025.0</v>
      </c>
      <c r="AL342" s="70" t="s">
        <v>22988</v>
      </c>
      <c r="AM342" s="70">
        <v>155.0</v>
      </c>
      <c r="AQ342" s="70">
        <v>0.0</v>
      </c>
      <c r="AR342" s="75" t="s">
        <v>23304</v>
      </c>
      <c r="AS342" s="70" t="s">
        <v>22525</v>
      </c>
      <c r="AU342" s="70" t="s">
        <v>237</v>
      </c>
      <c r="AV342" s="70" t="s">
        <v>23305</v>
      </c>
      <c r="AW342" s="70" t="s">
        <v>23306</v>
      </c>
      <c r="AX342" s="70">
        <v>0.0</v>
      </c>
      <c r="AY342" s="70" t="s">
        <v>24</v>
      </c>
      <c r="AZ342" s="70">
        <v>2659.0</v>
      </c>
    </row>
    <row r="343" ht="22.5" customHeight="1">
      <c r="A343" s="70" t="str">
        <f t="shared" si="1"/>
        <v>Excluded</v>
      </c>
      <c r="B343" s="70">
        <f t="shared" si="2"/>
        <v>0</v>
      </c>
      <c r="C343" s="70">
        <v>0.0</v>
      </c>
      <c r="D343" s="70">
        <v>0.0</v>
      </c>
      <c r="E343" s="70">
        <v>0.0</v>
      </c>
      <c r="F343" s="70">
        <v>0.0</v>
      </c>
      <c r="G343" s="70">
        <v>0.0</v>
      </c>
      <c r="H343" s="70" t="s">
        <v>26122</v>
      </c>
      <c r="I343" s="70">
        <v>2835.0</v>
      </c>
      <c r="J343" s="70" t="s">
        <v>26120</v>
      </c>
      <c r="K343" s="70" t="s">
        <v>26121</v>
      </c>
      <c r="W343" s="70" t="s">
        <v>29698</v>
      </c>
      <c r="AA343" s="70" t="s">
        <v>26124</v>
      </c>
      <c r="AI343" s="70" t="s">
        <v>29699</v>
      </c>
      <c r="AJ343" s="70" t="s">
        <v>26126</v>
      </c>
      <c r="AK343" s="70">
        <v>2022.0</v>
      </c>
      <c r="AL343" s="70" t="s">
        <v>26007</v>
      </c>
      <c r="AM343" s="70">
        <v>143.0</v>
      </c>
      <c r="AQ343" s="70">
        <v>22.0</v>
      </c>
      <c r="AR343" s="75" t="s">
        <v>26127</v>
      </c>
      <c r="AS343" s="70" t="s">
        <v>22525</v>
      </c>
      <c r="AT343" s="70" t="s">
        <v>23606</v>
      </c>
      <c r="AU343" s="70" t="s">
        <v>237</v>
      </c>
      <c r="AV343" s="70" t="s">
        <v>26128</v>
      </c>
      <c r="AW343" s="70" t="s">
        <v>26129</v>
      </c>
      <c r="AX343" s="70">
        <v>0.0</v>
      </c>
      <c r="AY343" s="70" t="s">
        <v>24</v>
      </c>
      <c r="AZ343" s="70">
        <v>2032.0</v>
      </c>
    </row>
    <row r="344" ht="22.5" customHeight="1">
      <c r="A344" s="70" t="str">
        <f t="shared" si="1"/>
        <v>Excluded</v>
      </c>
      <c r="B344" s="70">
        <f t="shared" si="2"/>
        <v>0</v>
      </c>
      <c r="C344" s="70">
        <v>0.0</v>
      </c>
      <c r="D344" s="70">
        <v>0.0</v>
      </c>
      <c r="E344" s="70">
        <v>0.0</v>
      </c>
      <c r="F344" s="70">
        <v>0.0</v>
      </c>
      <c r="G344" s="70">
        <v>0.0</v>
      </c>
      <c r="H344" s="70" t="s">
        <v>26002</v>
      </c>
      <c r="I344" s="70">
        <v>2823.0</v>
      </c>
      <c r="J344" s="70" t="s">
        <v>26000</v>
      </c>
      <c r="K344" s="70" t="s">
        <v>26001</v>
      </c>
      <c r="W344" s="70" t="s">
        <v>29700</v>
      </c>
      <c r="AA344" s="70" t="s">
        <v>26004</v>
      </c>
      <c r="AI344" s="70" t="s">
        <v>26005</v>
      </c>
      <c r="AJ344" s="70" t="s">
        <v>26006</v>
      </c>
      <c r="AK344" s="70">
        <v>2023.0</v>
      </c>
      <c r="AL344" s="70" t="s">
        <v>26007</v>
      </c>
      <c r="AM344" s="70">
        <v>67.0</v>
      </c>
      <c r="AQ344" s="70">
        <v>2.0</v>
      </c>
      <c r="AR344" s="75" t="s">
        <v>26008</v>
      </c>
      <c r="AS344" s="70" t="s">
        <v>22525</v>
      </c>
      <c r="AT344" s="70" t="s">
        <v>22526</v>
      </c>
      <c r="AU344" s="70" t="s">
        <v>237</v>
      </c>
      <c r="AV344" s="70" t="s">
        <v>26009</v>
      </c>
      <c r="AW344" s="70" t="s">
        <v>26010</v>
      </c>
      <c r="AZ344" s="70">
        <v>1214.0</v>
      </c>
    </row>
    <row r="345" ht="22.5" customHeight="1">
      <c r="A345" s="70" t="str">
        <f t="shared" si="1"/>
        <v>Excluded</v>
      </c>
      <c r="B345" s="70">
        <f t="shared" si="2"/>
        <v>0</v>
      </c>
      <c r="C345" s="70">
        <v>0.0</v>
      </c>
      <c r="D345" s="70">
        <v>0.0</v>
      </c>
      <c r="E345" s="70">
        <v>0.0</v>
      </c>
      <c r="F345" s="70">
        <v>0.0</v>
      </c>
      <c r="G345" s="70">
        <v>0.0</v>
      </c>
      <c r="H345" s="70" t="s">
        <v>28259</v>
      </c>
      <c r="I345" s="70">
        <v>3044.0</v>
      </c>
      <c r="J345" s="70" t="s">
        <v>28257</v>
      </c>
      <c r="K345" s="70" t="s">
        <v>28258</v>
      </c>
      <c r="W345" s="70" t="s">
        <v>29701</v>
      </c>
      <c r="AA345" s="70" t="s">
        <v>28261</v>
      </c>
      <c r="AI345" s="70" t="s">
        <v>28262</v>
      </c>
      <c r="AJ345" s="70" t="s">
        <v>28263</v>
      </c>
      <c r="AK345" s="70">
        <v>2021.0</v>
      </c>
      <c r="AL345" s="70" t="s">
        <v>23482</v>
      </c>
      <c r="AM345" s="70">
        <v>19.0</v>
      </c>
      <c r="AQ345" s="70">
        <v>29.0</v>
      </c>
      <c r="AR345" s="75" t="s">
        <v>28264</v>
      </c>
      <c r="AS345" s="70" t="s">
        <v>22525</v>
      </c>
      <c r="AU345" s="70" t="s">
        <v>237</v>
      </c>
      <c r="AV345" s="70" t="s">
        <v>28265</v>
      </c>
      <c r="AW345" s="70" t="s">
        <v>28266</v>
      </c>
      <c r="AX345" s="70">
        <v>0.0</v>
      </c>
      <c r="AY345" s="70" t="s">
        <v>24</v>
      </c>
      <c r="AZ345" s="70">
        <v>2130.0</v>
      </c>
    </row>
    <row r="346" ht="22.5" customHeight="1">
      <c r="A346" s="70" t="str">
        <f t="shared" si="1"/>
        <v>Excluded</v>
      </c>
      <c r="B346" s="70">
        <f t="shared" si="2"/>
        <v>0</v>
      </c>
      <c r="C346" s="70">
        <v>0.0</v>
      </c>
      <c r="D346" s="70">
        <v>0.0</v>
      </c>
      <c r="E346" s="70">
        <v>0.0</v>
      </c>
      <c r="F346" s="70">
        <v>0.0</v>
      </c>
      <c r="G346" s="70">
        <v>0.0</v>
      </c>
      <c r="H346" s="70" t="s">
        <v>26660</v>
      </c>
      <c r="I346" s="70">
        <v>2888.0</v>
      </c>
      <c r="J346" s="70" t="s">
        <v>26658</v>
      </c>
      <c r="K346" s="70" t="s">
        <v>26659</v>
      </c>
      <c r="W346" s="70" t="s">
        <v>29702</v>
      </c>
      <c r="AA346" s="70" t="s">
        <v>26662</v>
      </c>
      <c r="AI346" s="70" t="s">
        <v>26663</v>
      </c>
      <c r="AJ346" s="70" t="s">
        <v>26664</v>
      </c>
      <c r="AK346" s="70">
        <v>2022.0</v>
      </c>
      <c r="AL346" s="70" t="s">
        <v>23482</v>
      </c>
      <c r="AM346" s="70">
        <v>27.0</v>
      </c>
      <c r="AQ346" s="70">
        <v>9.0</v>
      </c>
      <c r="AR346" s="75" t="s">
        <v>26665</v>
      </c>
      <c r="AS346" s="70" t="s">
        <v>22525</v>
      </c>
      <c r="AU346" s="70" t="s">
        <v>237</v>
      </c>
      <c r="AV346" s="70" t="s">
        <v>26666</v>
      </c>
      <c r="AW346" s="70" t="s">
        <v>26667</v>
      </c>
      <c r="AX346" s="70">
        <v>0.0</v>
      </c>
      <c r="AY346" s="70" t="s">
        <v>24</v>
      </c>
      <c r="AZ346" s="70">
        <v>2358.0</v>
      </c>
    </row>
    <row r="347" ht="22.5" customHeight="1">
      <c r="A347" s="70" t="str">
        <f t="shared" si="1"/>
        <v>Excluded</v>
      </c>
      <c r="B347" s="70">
        <f t="shared" si="2"/>
        <v>0</v>
      </c>
      <c r="C347" s="70">
        <v>0.0</v>
      </c>
      <c r="D347" s="70">
        <v>0.0</v>
      </c>
      <c r="E347" s="70">
        <v>0.0</v>
      </c>
      <c r="F347" s="70">
        <v>0.0</v>
      </c>
      <c r="G347" s="70">
        <v>0.0</v>
      </c>
      <c r="H347" s="70" t="s">
        <v>25170</v>
      </c>
      <c r="I347" s="70">
        <v>2743.0</v>
      </c>
      <c r="J347" s="70" t="s">
        <v>25168</v>
      </c>
      <c r="K347" s="70" t="s">
        <v>25169</v>
      </c>
      <c r="W347" s="70" t="s">
        <v>29703</v>
      </c>
      <c r="AA347" s="70" t="s">
        <v>25172</v>
      </c>
      <c r="AI347" s="70" t="s">
        <v>25173</v>
      </c>
      <c r="AJ347" s="70" t="s">
        <v>25174</v>
      </c>
      <c r="AK347" s="70">
        <v>2023.0</v>
      </c>
      <c r="AL347" s="70" t="s">
        <v>23482</v>
      </c>
      <c r="AM347" s="70">
        <v>55.0</v>
      </c>
      <c r="AQ347" s="70">
        <v>1.0</v>
      </c>
      <c r="AR347" s="75" t="s">
        <v>25175</v>
      </c>
      <c r="AS347" s="70" t="s">
        <v>22525</v>
      </c>
      <c r="AU347" s="70" t="s">
        <v>237</v>
      </c>
      <c r="AV347" s="70" t="s">
        <v>25176</v>
      </c>
      <c r="AW347" s="70" t="s">
        <v>25177</v>
      </c>
      <c r="AX347" s="70">
        <v>0.0</v>
      </c>
      <c r="AY347" s="70" t="s">
        <v>24</v>
      </c>
      <c r="AZ347" s="70">
        <v>3112.0</v>
      </c>
    </row>
    <row r="348" ht="22.5" customHeight="1">
      <c r="A348" s="70" t="str">
        <f t="shared" si="1"/>
        <v>Excluded</v>
      </c>
      <c r="B348" s="70">
        <f t="shared" si="2"/>
        <v>0</v>
      </c>
      <c r="C348" s="70">
        <v>0.0</v>
      </c>
      <c r="D348" s="70">
        <v>0.0</v>
      </c>
      <c r="E348" s="70">
        <v>0.0</v>
      </c>
      <c r="F348" s="70">
        <v>0.0</v>
      </c>
      <c r="G348" s="70">
        <v>0.0</v>
      </c>
      <c r="H348" s="70" t="s">
        <v>24768</v>
      </c>
      <c r="I348" s="70">
        <v>2704.0</v>
      </c>
      <c r="J348" s="70" t="s">
        <v>24766</v>
      </c>
      <c r="K348" s="70" t="s">
        <v>24767</v>
      </c>
      <c r="W348" s="70" t="s">
        <v>29704</v>
      </c>
      <c r="AA348" s="70" t="s">
        <v>24770</v>
      </c>
      <c r="AI348" s="70" t="s">
        <v>24771</v>
      </c>
      <c r="AJ348" s="70" t="s">
        <v>24772</v>
      </c>
      <c r="AK348" s="70">
        <v>2023.0</v>
      </c>
      <c r="AL348" s="70" t="s">
        <v>23482</v>
      </c>
      <c r="AM348" s="70">
        <v>61.0</v>
      </c>
      <c r="AQ348" s="70">
        <v>11.0</v>
      </c>
      <c r="AR348" s="75" t="s">
        <v>24773</v>
      </c>
      <c r="AS348" s="70" t="s">
        <v>22525</v>
      </c>
      <c r="AU348" s="70" t="s">
        <v>237</v>
      </c>
      <c r="AV348" s="70" t="s">
        <v>24774</v>
      </c>
      <c r="AW348" s="70" t="s">
        <v>24775</v>
      </c>
      <c r="AX348" s="70">
        <v>0.0</v>
      </c>
      <c r="AY348" s="70" t="s">
        <v>24</v>
      </c>
      <c r="AZ348" s="70">
        <v>1955.0</v>
      </c>
    </row>
    <row r="349" ht="22.5" customHeight="1">
      <c r="A349" s="70" t="str">
        <f t="shared" si="1"/>
        <v>Excluded</v>
      </c>
      <c r="B349" s="70">
        <f t="shared" si="2"/>
        <v>0</v>
      </c>
      <c r="C349" s="70">
        <v>0.0</v>
      </c>
      <c r="D349" s="70">
        <v>0.0</v>
      </c>
      <c r="E349" s="70">
        <v>0.0</v>
      </c>
      <c r="F349" s="70">
        <v>0.0</v>
      </c>
      <c r="G349" s="70">
        <v>0.0</v>
      </c>
      <c r="H349" s="70" t="s">
        <v>23477</v>
      </c>
      <c r="I349" s="70">
        <v>2579.0</v>
      </c>
      <c r="J349" s="70" t="s">
        <v>23475</v>
      </c>
      <c r="K349" s="70" t="s">
        <v>23476</v>
      </c>
      <c r="W349" s="70" t="s">
        <v>29705</v>
      </c>
      <c r="AA349" s="70" t="s">
        <v>23479</v>
      </c>
      <c r="AI349" s="70" t="s">
        <v>23480</v>
      </c>
      <c r="AJ349" s="70" t="s">
        <v>23481</v>
      </c>
      <c r="AK349" s="70">
        <v>2024.0</v>
      </c>
      <c r="AL349" s="70" t="s">
        <v>23482</v>
      </c>
      <c r="AM349" s="70">
        <v>67.0</v>
      </c>
      <c r="AQ349" s="70">
        <v>0.0</v>
      </c>
      <c r="AR349" s="75" t="s">
        <v>23483</v>
      </c>
      <c r="AS349" s="70" t="s">
        <v>22525</v>
      </c>
      <c r="AT349" s="70" t="s">
        <v>22526</v>
      </c>
      <c r="AU349" s="70" t="s">
        <v>237</v>
      </c>
      <c r="AV349" s="70" t="s">
        <v>23484</v>
      </c>
      <c r="AW349" s="70" t="s">
        <v>23485</v>
      </c>
      <c r="AX349" s="70">
        <v>0.0</v>
      </c>
      <c r="AY349" s="70" t="s">
        <v>24</v>
      </c>
      <c r="AZ349" s="70">
        <v>2112.0</v>
      </c>
    </row>
    <row r="350" ht="22.5" customHeight="1">
      <c r="A350" s="70" t="str">
        <f t="shared" si="1"/>
        <v>Excluded</v>
      </c>
      <c r="B350" s="70">
        <f t="shared" si="2"/>
        <v>0</v>
      </c>
      <c r="C350" s="70">
        <v>0.0</v>
      </c>
      <c r="D350" s="70">
        <v>0.0</v>
      </c>
      <c r="E350" s="70">
        <v>0.0</v>
      </c>
      <c r="F350" s="70">
        <v>0.0</v>
      </c>
      <c r="G350" s="70">
        <v>0.0</v>
      </c>
      <c r="H350" s="70" t="s">
        <v>24333</v>
      </c>
      <c r="I350" s="70">
        <v>2662.0</v>
      </c>
      <c r="J350" s="70" t="s">
        <v>24331</v>
      </c>
      <c r="K350" s="70" t="s">
        <v>24332</v>
      </c>
      <c r="W350" s="70" t="s">
        <v>29706</v>
      </c>
      <c r="AA350" s="70" t="s">
        <v>24335</v>
      </c>
      <c r="AI350" s="70" t="s">
        <v>24336</v>
      </c>
      <c r="AJ350" s="70" t="s">
        <v>24337</v>
      </c>
      <c r="AK350" s="70">
        <v>2024.0</v>
      </c>
      <c r="AL350" s="70" t="s">
        <v>24338</v>
      </c>
      <c r="AN350" s="70">
        <v>12.0</v>
      </c>
      <c r="AO350" s="70">
        <v>28.0</v>
      </c>
      <c r="AP350" s="70">
        <v>16.0</v>
      </c>
      <c r="AQ350" s="70">
        <v>2.0</v>
      </c>
      <c r="AR350" s="75" t="s">
        <v>24339</v>
      </c>
      <c r="AS350" s="70" t="s">
        <v>22525</v>
      </c>
      <c r="AU350" s="70" t="s">
        <v>237</v>
      </c>
      <c r="AV350" s="70" t="s">
        <v>24340</v>
      </c>
      <c r="AW350" s="70" t="s">
        <v>24341</v>
      </c>
      <c r="AZ350" s="70">
        <v>447.0</v>
      </c>
    </row>
    <row r="351" ht="22.5" customHeight="1">
      <c r="A351" s="70" t="str">
        <f t="shared" si="1"/>
        <v>Excluded</v>
      </c>
      <c r="B351" s="70">
        <f t="shared" si="2"/>
        <v>0</v>
      </c>
      <c r="C351" s="70">
        <v>0.0</v>
      </c>
      <c r="D351" s="70">
        <v>0.0</v>
      </c>
      <c r="E351" s="70">
        <v>0.0</v>
      </c>
      <c r="F351" s="70">
        <v>0.0</v>
      </c>
      <c r="G351" s="70">
        <v>0.0</v>
      </c>
      <c r="H351" s="70" t="s">
        <v>23309</v>
      </c>
      <c r="I351" s="70">
        <v>2563.0</v>
      </c>
      <c r="J351" s="70" t="s">
        <v>23307</v>
      </c>
      <c r="K351" s="70" t="s">
        <v>23308</v>
      </c>
      <c r="W351" s="70" t="s">
        <v>29707</v>
      </c>
      <c r="AA351" s="70" t="s">
        <v>23311</v>
      </c>
      <c r="AI351" s="70" t="s">
        <v>29708</v>
      </c>
      <c r="AJ351" s="70" t="s">
        <v>23313</v>
      </c>
      <c r="AK351" s="70">
        <v>2024.0</v>
      </c>
      <c r="AL351" s="70" t="s">
        <v>23314</v>
      </c>
      <c r="AN351" s="70">
        <v>2699.0</v>
      </c>
      <c r="AO351" s="70">
        <v>2718.0</v>
      </c>
      <c r="AP351" s="70">
        <v>19.0</v>
      </c>
      <c r="AQ351" s="70">
        <v>12.0</v>
      </c>
      <c r="AR351" s="75" t="s">
        <v>23315</v>
      </c>
      <c r="AS351" s="70" t="s">
        <v>22525</v>
      </c>
      <c r="AT351" s="70" t="s">
        <v>22526</v>
      </c>
      <c r="AU351" s="70" t="s">
        <v>237</v>
      </c>
      <c r="AV351" s="70" t="s">
        <v>23316</v>
      </c>
      <c r="AW351" s="70" t="s">
        <v>23317</v>
      </c>
      <c r="AX351" s="70">
        <v>0.0</v>
      </c>
      <c r="AY351" s="70" t="s">
        <v>24</v>
      </c>
      <c r="AZ351" s="70">
        <v>2591.0</v>
      </c>
    </row>
    <row r="352" ht="22.5" customHeight="1">
      <c r="A352" s="70" t="str">
        <f t="shared" si="1"/>
        <v>Excluded</v>
      </c>
      <c r="B352" s="70">
        <f t="shared" si="2"/>
        <v>0</v>
      </c>
      <c r="C352" s="70">
        <v>0.0</v>
      </c>
      <c r="D352" s="70">
        <v>0.0</v>
      </c>
      <c r="E352" s="70">
        <v>0.0</v>
      </c>
      <c r="F352" s="70">
        <v>0.0</v>
      </c>
      <c r="G352" s="70">
        <v>0.0</v>
      </c>
      <c r="H352" s="70" t="s">
        <v>23859</v>
      </c>
      <c r="I352" s="70">
        <v>2616.0</v>
      </c>
      <c r="J352" s="70" t="s">
        <v>23857</v>
      </c>
      <c r="K352" s="70" t="s">
        <v>23858</v>
      </c>
      <c r="W352" s="70" t="s">
        <v>29709</v>
      </c>
      <c r="AA352" s="70" t="s">
        <v>23861</v>
      </c>
      <c r="AI352" s="70" t="s">
        <v>23862</v>
      </c>
      <c r="AJ352" s="70" t="s">
        <v>23863</v>
      </c>
      <c r="AK352" s="70">
        <v>2024.0</v>
      </c>
      <c r="AL352" s="70" t="s">
        <v>23314</v>
      </c>
      <c r="AQ352" s="70">
        <v>0.0</v>
      </c>
      <c r="AR352" s="75" t="s">
        <v>23864</v>
      </c>
      <c r="AS352" s="70" t="s">
        <v>22588</v>
      </c>
      <c r="AT352" s="70" t="s">
        <v>22526</v>
      </c>
      <c r="AU352" s="70" t="s">
        <v>237</v>
      </c>
      <c r="AV352" s="70" t="s">
        <v>23865</v>
      </c>
      <c r="AW352" s="70" t="s">
        <v>23866</v>
      </c>
      <c r="AX352" s="70">
        <v>0.0</v>
      </c>
      <c r="AY352" s="70" t="s">
        <v>24</v>
      </c>
      <c r="AZ352" s="70">
        <v>2941.0</v>
      </c>
    </row>
    <row r="353" ht="22.5" customHeight="1">
      <c r="A353" s="70" t="str">
        <f t="shared" si="1"/>
        <v>Excluded</v>
      </c>
      <c r="B353" s="70">
        <f t="shared" si="2"/>
        <v>0</v>
      </c>
      <c r="C353" s="70">
        <v>0.0</v>
      </c>
      <c r="D353" s="70">
        <v>0.0</v>
      </c>
      <c r="E353" s="70">
        <v>0.0</v>
      </c>
      <c r="F353" s="70">
        <v>0.0</v>
      </c>
      <c r="G353" s="70">
        <v>0.0</v>
      </c>
      <c r="H353" s="70" t="s">
        <v>27844</v>
      </c>
      <c r="I353" s="70">
        <v>3003.0</v>
      </c>
      <c r="J353" s="70" t="s">
        <v>27842</v>
      </c>
      <c r="K353" s="70" t="s">
        <v>27843</v>
      </c>
      <c r="W353" s="70" t="s">
        <v>29710</v>
      </c>
      <c r="AA353" s="70" t="s">
        <v>27846</v>
      </c>
      <c r="AI353" s="70" t="s">
        <v>27847</v>
      </c>
      <c r="AJ353" s="70" t="s">
        <v>27848</v>
      </c>
      <c r="AK353" s="70">
        <v>2020.0</v>
      </c>
      <c r="AL353" s="70" t="s">
        <v>23377</v>
      </c>
      <c r="AN353" s="70">
        <v>1775.0</v>
      </c>
      <c r="AO353" s="70">
        <v>1793.0</v>
      </c>
      <c r="AP353" s="70">
        <v>18.0</v>
      </c>
      <c r="AQ353" s="70">
        <v>16.0</v>
      </c>
      <c r="AR353" s="75" t="s">
        <v>27849</v>
      </c>
      <c r="AS353" s="70" t="s">
        <v>22525</v>
      </c>
      <c r="AU353" s="70" t="s">
        <v>237</v>
      </c>
      <c r="AV353" s="70" t="s">
        <v>27850</v>
      </c>
      <c r="AW353" s="70" t="s">
        <v>27851</v>
      </c>
      <c r="AX353" s="70">
        <v>0.0</v>
      </c>
      <c r="AY353" s="70" t="s">
        <v>24</v>
      </c>
      <c r="AZ353" s="70">
        <v>2295.0</v>
      </c>
    </row>
    <row r="354" ht="22.5" customHeight="1">
      <c r="A354" s="70" t="str">
        <f t="shared" si="1"/>
        <v>Excluded</v>
      </c>
      <c r="B354" s="70">
        <f t="shared" si="2"/>
        <v>0</v>
      </c>
      <c r="C354" s="70">
        <v>0.0</v>
      </c>
      <c r="D354" s="70">
        <v>0.0</v>
      </c>
      <c r="E354" s="70">
        <v>0.0</v>
      </c>
      <c r="F354" s="70">
        <v>0.0</v>
      </c>
      <c r="G354" s="70">
        <v>0.0</v>
      </c>
      <c r="H354" s="70" t="s">
        <v>26732</v>
      </c>
      <c r="I354" s="70">
        <v>2895.0</v>
      </c>
      <c r="J354" s="70" t="s">
        <v>26730</v>
      </c>
      <c r="K354" s="70" t="s">
        <v>26731</v>
      </c>
      <c r="W354" s="70" t="s">
        <v>29711</v>
      </c>
      <c r="AA354" s="70" t="s">
        <v>26734</v>
      </c>
      <c r="AI354" s="70" t="s">
        <v>26735</v>
      </c>
      <c r="AJ354" s="70" t="s">
        <v>26736</v>
      </c>
      <c r="AK354" s="70">
        <v>2022.0</v>
      </c>
      <c r="AL354" s="70" t="s">
        <v>23377</v>
      </c>
      <c r="AM354" s="70">
        <v>47.0</v>
      </c>
      <c r="AQ354" s="70">
        <v>24.0</v>
      </c>
      <c r="AR354" s="75" t="s">
        <v>26737</v>
      </c>
      <c r="AS354" s="70" t="s">
        <v>22525</v>
      </c>
      <c r="AU354" s="70" t="s">
        <v>237</v>
      </c>
      <c r="AV354" s="70" t="s">
        <v>26738</v>
      </c>
      <c r="AW354" s="70" t="s">
        <v>26739</v>
      </c>
      <c r="AX354" s="70">
        <v>0.0</v>
      </c>
      <c r="AY354" s="70" t="s">
        <v>24</v>
      </c>
      <c r="AZ354" s="70">
        <v>1945.0</v>
      </c>
    </row>
    <row r="355" ht="22.5" customHeight="1">
      <c r="A355" s="70" t="str">
        <f t="shared" si="1"/>
        <v>Excluded</v>
      </c>
      <c r="B355" s="70">
        <f t="shared" si="2"/>
        <v>0</v>
      </c>
      <c r="C355" s="70">
        <v>0.0</v>
      </c>
      <c r="D355" s="70">
        <v>0.0</v>
      </c>
      <c r="E355" s="70">
        <v>0.0</v>
      </c>
      <c r="F355" s="70">
        <v>0.0</v>
      </c>
      <c r="G355" s="70">
        <v>0.0</v>
      </c>
      <c r="H355" s="70" t="s">
        <v>28006</v>
      </c>
      <c r="I355" s="70">
        <v>3019.0</v>
      </c>
      <c r="J355" s="70" t="s">
        <v>28004</v>
      </c>
      <c r="K355" s="70" t="s">
        <v>28005</v>
      </c>
      <c r="W355" s="70" t="s">
        <v>29712</v>
      </c>
      <c r="AA355" s="70" t="s">
        <v>28008</v>
      </c>
      <c r="AI355" s="70" t="s">
        <v>28009</v>
      </c>
      <c r="AJ355" s="70" t="s">
        <v>28010</v>
      </c>
      <c r="AK355" s="70">
        <v>2021.0</v>
      </c>
      <c r="AL355" s="70" t="s">
        <v>28011</v>
      </c>
      <c r="AN355" s="70">
        <v>1070.0</v>
      </c>
      <c r="AO355" s="70">
        <v>1092.0</v>
      </c>
      <c r="AP355" s="70">
        <v>22.0</v>
      </c>
      <c r="AQ355" s="70">
        <v>43.0</v>
      </c>
      <c r="AR355" s="75" t="s">
        <v>28012</v>
      </c>
      <c r="AS355" s="70" t="s">
        <v>22525</v>
      </c>
      <c r="AU355" s="70" t="s">
        <v>237</v>
      </c>
      <c r="AV355" s="70" t="s">
        <v>28013</v>
      </c>
      <c r="AW355" s="70" t="s">
        <v>28014</v>
      </c>
      <c r="AX355" s="70">
        <v>0.0</v>
      </c>
      <c r="AY355" s="70" t="s">
        <v>24</v>
      </c>
      <c r="AZ355" s="70">
        <v>2457.0</v>
      </c>
    </row>
    <row r="356" ht="22.5" customHeight="1">
      <c r="A356" s="70" t="str">
        <f t="shared" si="1"/>
        <v>Excluded</v>
      </c>
      <c r="B356" s="70">
        <f t="shared" si="2"/>
        <v>0</v>
      </c>
      <c r="C356" s="70">
        <v>0.0</v>
      </c>
      <c r="D356" s="70">
        <v>0.0</v>
      </c>
      <c r="E356" s="70">
        <v>0.0</v>
      </c>
      <c r="F356" s="70">
        <v>0.0</v>
      </c>
      <c r="G356" s="70">
        <v>0.0</v>
      </c>
      <c r="H356" s="70" t="s">
        <v>24973</v>
      </c>
      <c r="I356" s="70">
        <v>2724.0</v>
      </c>
      <c r="J356" s="70" t="s">
        <v>24971</v>
      </c>
      <c r="K356" s="70" t="s">
        <v>24972</v>
      </c>
      <c r="W356" s="70" t="s">
        <v>29713</v>
      </c>
      <c r="AA356" s="70" t="s">
        <v>24975</v>
      </c>
      <c r="AI356" s="70" t="s">
        <v>24976</v>
      </c>
      <c r="AJ356" s="70" t="s">
        <v>24977</v>
      </c>
      <c r="AK356" s="70">
        <v>2024.0</v>
      </c>
      <c r="AL356" s="70" t="s">
        <v>24978</v>
      </c>
      <c r="AQ356" s="70">
        <v>5.0</v>
      </c>
      <c r="AR356" s="75" t="s">
        <v>24979</v>
      </c>
      <c r="AS356" s="70" t="s">
        <v>22588</v>
      </c>
      <c r="AU356" s="70" t="s">
        <v>237</v>
      </c>
      <c r="AV356" s="70" t="s">
        <v>24980</v>
      </c>
      <c r="AW356" s="70" t="s">
        <v>24981</v>
      </c>
      <c r="AX356" s="70">
        <v>0.0</v>
      </c>
      <c r="AY356" s="70" t="s">
        <v>24</v>
      </c>
      <c r="AZ356" s="70">
        <v>3017.0</v>
      </c>
    </row>
    <row r="357" ht="22.5" customHeight="1">
      <c r="A357" s="70" t="str">
        <f t="shared" si="1"/>
        <v>Excluded</v>
      </c>
      <c r="B357" s="70">
        <f t="shared" si="2"/>
        <v>0</v>
      </c>
      <c r="C357" s="70">
        <v>0.0</v>
      </c>
      <c r="D357" s="70">
        <v>0.0</v>
      </c>
      <c r="E357" s="70">
        <v>0.0</v>
      </c>
      <c r="F357" s="70">
        <v>0.0</v>
      </c>
      <c r="G357" s="70">
        <v>0.0</v>
      </c>
      <c r="H357" s="70" t="s">
        <v>27883</v>
      </c>
      <c r="I357" s="70">
        <v>3007.0</v>
      </c>
      <c r="J357" s="70" t="s">
        <v>27881</v>
      </c>
      <c r="K357" s="70" t="s">
        <v>27882</v>
      </c>
      <c r="W357" s="70" t="s">
        <v>29714</v>
      </c>
      <c r="AA357" s="70" t="s">
        <v>27885</v>
      </c>
      <c r="AI357" s="70" t="s">
        <v>27886</v>
      </c>
      <c r="AJ357" s="70" t="s">
        <v>27887</v>
      </c>
      <c r="AK357" s="70">
        <v>2021.0</v>
      </c>
      <c r="AL357" s="70" t="s">
        <v>24071</v>
      </c>
      <c r="AN357" s="70">
        <v>431.0</v>
      </c>
      <c r="AO357" s="70">
        <v>507.0</v>
      </c>
      <c r="AP357" s="70">
        <v>76.0</v>
      </c>
      <c r="AQ357" s="70">
        <v>20.0</v>
      </c>
      <c r="AR357" s="75" t="s">
        <v>27888</v>
      </c>
      <c r="AS357" s="70" t="s">
        <v>22525</v>
      </c>
      <c r="AT357" s="70" t="s">
        <v>22816</v>
      </c>
      <c r="AU357" s="70" t="s">
        <v>237</v>
      </c>
      <c r="AV357" s="70" t="s">
        <v>27889</v>
      </c>
      <c r="AW357" s="70" t="s">
        <v>27890</v>
      </c>
      <c r="AZ357" s="70">
        <v>183.0</v>
      </c>
    </row>
    <row r="358" ht="22.5" customHeight="1">
      <c r="A358" s="70" t="str">
        <f t="shared" si="1"/>
        <v>Excluded</v>
      </c>
      <c r="B358" s="70">
        <f t="shared" si="2"/>
        <v>0</v>
      </c>
      <c r="C358" s="70">
        <v>0.0</v>
      </c>
      <c r="D358" s="70">
        <v>0.0</v>
      </c>
      <c r="E358" s="70">
        <v>0.0</v>
      </c>
      <c r="F358" s="70">
        <v>0.0</v>
      </c>
      <c r="G358" s="70">
        <v>0.0</v>
      </c>
      <c r="H358" s="70" t="s">
        <v>24066</v>
      </c>
      <c r="I358" s="70">
        <v>2636.0</v>
      </c>
      <c r="J358" s="70" t="s">
        <v>24064</v>
      </c>
      <c r="K358" s="70" t="s">
        <v>24065</v>
      </c>
      <c r="W358" s="70" t="s">
        <v>29715</v>
      </c>
      <c r="AA358" s="70" t="s">
        <v>24068</v>
      </c>
      <c r="AI358" s="70" t="s">
        <v>29716</v>
      </c>
      <c r="AJ358" s="70" t="s">
        <v>24070</v>
      </c>
      <c r="AK358" s="70">
        <v>2024.0</v>
      </c>
      <c r="AL358" s="70" t="s">
        <v>24071</v>
      </c>
      <c r="AN358" s="70">
        <v>567.0</v>
      </c>
      <c r="AO358" s="70">
        <v>605.0</v>
      </c>
      <c r="AP358" s="70">
        <v>38.0</v>
      </c>
      <c r="AQ358" s="70">
        <v>0.0</v>
      </c>
      <c r="AR358" s="75" t="s">
        <v>24072</v>
      </c>
      <c r="AS358" s="70" t="s">
        <v>22525</v>
      </c>
      <c r="AT358" s="70" t="s">
        <v>23606</v>
      </c>
      <c r="AU358" s="70" t="s">
        <v>237</v>
      </c>
      <c r="AV358" s="70" t="s">
        <v>24073</v>
      </c>
      <c r="AW358" s="70" t="s">
        <v>24074</v>
      </c>
      <c r="AX358" s="70">
        <v>0.0</v>
      </c>
      <c r="AY358" s="70" t="s">
        <v>24</v>
      </c>
      <c r="AZ358" s="70">
        <v>2254.0</v>
      </c>
    </row>
    <row r="359" ht="22.5" customHeight="1">
      <c r="A359" s="70" t="str">
        <f t="shared" si="1"/>
        <v>Excluded</v>
      </c>
      <c r="B359" s="70">
        <f t="shared" si="2"/>
        <v>0</v>
      </c>
      <c r="C359" s="70">
        <v>0.0</v>
      </c>
      <c r="D359" s="70">
        <v>0.0</v>
      </c>
      <c r="E359" s="70">
        <v>0.0</v>
      </c>
      <c r="F359" s="70">
        <v>0.0</v>
      </c>
      <c r="G359" s="70">
        <v>0.0</v>
      </c>
      <c r="H359" s="70" t="s">
        <v>28090</v>
      </c>
      <c r="I359" s="70">
        <v>3027.0</v>
      </c>
      <c r="J359" s="70" t="s">
        <v>28088</v>
      </c>
      <c r="K359" s="70" t="s">
        <v>28089</v>
      </c>
      <c r="W359" s="70" t="s">
        <v>29717</v>
      </c>
      <c r="AA359" s="70" t="s">
        <v>28092</v>
      </c>
      <c r="AI359" s="70" t="s">
        <v>28093</v>
      </c>
      <c r="AJ359" s="70" t="s">
        <v>28094</v>
      </c>
      <c r="AK359" s="70">
        <v>2021.0</v>
      </c>
      <c r="AL359" s="70" t="s">
        <v>22535</v>
      </c>
      <c r="AN359" s="70">
        <v>23.0</v>
      </c>
      <c r="AO359" s="70">
        <v>43.0</v>
      </c>
      <c r="AP359" s="70">
        <v>20.0</v>
      </c>
      <c r="AQ359" s="70">
        <v>7.0</v>
      </c>
      <c r="AR359" s="75" t="s">
        <v>28095</v>
      </c>
      <c r="AS359" s="70" t="s">
        <v>22525</v>
      </c>
      <c r="AU359" s="70" t="s">
        <v>237</v>
      </c>
      <c r="AV359" s="70" t="s">
        <v>28096</v>
      </c>
      <c r="AW359" s="70" t="s">
        <v>28097</v>
      </c>
      <c r="AX359" s="70">
        <v>0.0</v>
      </c>
      <c r="AY359" s="70" t="s">
        <v>24</v>
      </c>
      <c r="AZ359" s="70">
        <v>2301.0</v>
      </c>
    </row>
    <row r="360" ht="22.5" customHeight="1">
      <c r="A360" s="70" t="str">
        <f t="shared" si="1"/>
        <v>Excluded</v>
      </c>
      <c r="B360" s="70">
        <f t="shared" si="2"/>
        <v>0</v>
      </c>
      <c r="C360" s="70">
        <v>0.0</v>
      </c>
      <c r="D360" s="70">
        <v>0.0</v>
      </c>
      <c r="E360" s="70">
        <v>0.0</v>
      </c>
      <c r="F360" s="70">
        <v>0.0</v>
      </c>
      <c r="G360" s="70">
        <v>0.0</v>
      </c>
      <c r="H360" s="70" t="s">
        <v>26701</v>
      </c>
      <c r="I360" s="70">
        <v>2892.0</v>
      </c>
      <c r="J360" s="70" t="s">
        <v>29718</v>
      </c>
      <c r="K360" s="70" t="s">
        <v>26700</v>
      </c>
      <c r="W360" s="70" t="s">
        <v>29719</v>
      </c>
      <c r="AA360" s="70" t="s">
        <v>26703</v>
      </c>
      <c r="AI360" s="70" t="s">
        <v>29720</v>
      </c>
      <c r="AJ360" s="70" t="s">
        <v>26705</v>
      </c>
      <c r="AK360" s="70">
        <v>2022.0</v>
      </c>
      <c r="AL360" s="70" t="s">
        <v>22535</v>
      </c>
      <c r="AN360" s="70">
        <v>3374.0</v>
      </c>
      <c r="AO360" s="70">
        <v>3401.0</v>
      </c>
      <c r="AP360" s="70">
        <v>27.0</v>
      </c>
      <c r="AQ360" s="70">
        <v>40.0</v>
      </c>
      <c r="AR360" s="75" t="s">
        <v>26706</v>
      </c>
      <c r="AS360" s="70" t="s">
        <v>22525</v>
      </c>
      <c r="AT360" s="70" t="s">
        <v>22526</v>
      </c>
      <c r="AU360" s="70" t="s">
        <v>237</v>
      </c>
      <c r="AV360" s="70" t="s">
        <v>26707</v>
      </c>
      <c r="AW360" s="70" t="s">
        <v>26708</v>
      </c>
      <c r="AX360" s="70">
        <v>0.0</v>
      </c>
      <c r="AY360" s="70" t="s">
        <v>24</v>
      </c>
      <c r="AZ360" s="70">
        <v>2716.0</v>
      </c>
    </row>
    <row r="361" ht="22.5" customHeight="1">
      <c r="A361" s="70" t="str">
        <f t="shared" si="1"/>
        <v>Excluded</v>
      </c>
      <c r="B361" s="70">
        <f t="shared" si="2"/>
        <v>0</v>
      </c>
      <c r="C361" s="70">
        <v>0.0</v>
      </c>
      <c r="D361" s="70">
        <v>0.0</v>
      </c>
      <c r="E361" s="70">
        <v>0.0</v>
      </c>
      <c r="F361" s="70">
        <v>0.0</v>
      </c>
      <c r="G361" s="70">
        <v>0.0</v>
      </c>
      <c r="H361" s="70" t="s">
        <v>26222</v>
      </c>
      <c r="I361" s="70">
        <v>2845.0</v>
      </c>
      <c r="J361" s="70" t="s">
        <v>26220</v>
      </c>
      <c r="K361" s="70" t="s">
        <v>26221</v>
      </c>
      <c r="W361" s="70" t="s">
        <v>29721</v>
      </c>
      <c r="AA361" s="70" t="s">
        <v>26224</v>
      </c>
      <c r="AI361" s="70" t="s">
        <v>26225</v>
      </c>
      <c r="AJ361" s="70" t="s">
        <v>26226</v>
      </c>
      <c r="AK361" s="70">
        <v>2022.0</v>
      </c>
      <c r="AL361" s="70" t="s">
        <v>22535</v>
      </c>
      <c r="AN361" s="70">
        <v>13145.0</v>
      </c>
      <c r="AO361" s="70">
        <v>13204.0</v>
      </c>
      <c r="AP361" s="70">
        <v>59.0</v>
      </c>
      <c r="AQ361" s="70">
        <v>22.0</v>
      </c>
      <c r="AR361" s="75" t="s">
        <v>26227</v>
      </c>
      <c r="AS361" s="70" t="s">
        <v>22525</v>
      </c>
      <c r="AU361" s="70" t="s">
        <v>237</v>
      </c>
      <c r="AV361" s="70" t="s">
        <v>26228</v>
      </c>
      <c r="AW361" s="70" t="s">
        <v>26229</v>
      </c>
      <c r="AX361" s="70">
        <v>0.0</v>
      </c>
      <c r="AY361" s="70" t="s">
        <v>24</v>
      </c>
      <c r="AZ361" s="70">
        <v>2057.0</v>
      </c>
    </row>
    <row r="362" ht="22.5" customHeight="1">
      <c r="A362" s="70" t="str">
        <f t="shared" si="1"/>
        <v>Excluded</v>
      </c>
      <c r="B362" s="70">
        <f t="shared" si="2"/>
        <v>0</v>
      </c>
      <c r="C362" s="70">
        <v>0.0</v>
      </c>
      <c r="D362" s="70">
        <v>0.0</v>
      </c>
      <c r="E362" s="70">
        <v>0.0</v>
      </c>
      <c r="F362" s="70">
        <v>0.0</v>
      </c>
      <c r="G362" s="70">
        <v>0.0</v>
      </c>
      <c r="H362" s="70" t="s">
        <v>26306</v>
      </c>
      <c r="I362" s="70">
        <v>2853.0</v>
      </c>
      <c r="J362" s="70" t="s">
        <v>26304</v>
      </c>
      <c r="K362" s="70" t="s">
        <v>26305</v>
      </c>
      <c r="W362" s="70" t="s">
        <v>29722</v>
      </c>
      <c r="AA362" s="70" t="s">
        <v>26308</v>
      </c>
      <c r="AI362" s="70" t="s">
        <v>26309</v>
      </c>
      <c r="AJ362" s="70" t="s">
        <v>26310</v>
      </c>
      <c r="AK362" s="70">
        <v>2022.0</v>
      </c>
      <c r="AL362" s="70" t="s">
        <v>22535</v>
      </c>
      <c r="AN362" s="70">
        <v>14448.0</v>
      </c>
      <c r="AO362" s="70">
        <v>14470.0</v>
      </c>
      <c r="AP362" s="70">
        <v>22.0</v>
      </c>
      <c r="AQ362" s="70">
        <v>10.0</v>
      </c>
      <c r="AR362" s="75" t="s">
        <v>26311</v>
      </c>
      <c r="AS362" s="70" t="s">
        <v>22525</v>
      </c>
      <c r="AU362" s="70" t="s">
        <v>237</v>
      </c>
      <c r="AV362" s="70" t="s">
        <v>26312</v>
      </c>
      <c r="AW362" s="70" t="s">
        <v>26313</v>
      </c>
      <c r="AZ362" s="70">
        <v>431.0</v>
      </c>
    </row>
    <row r="363" ht="22.5" customHeight="1">
      <c r="A363" s="70" t="str">
        <f t="shared" si="1"/>
        <v>Excluded</v>
      </c>
      <c r="B363" s="70">
        <f t="shared" si="2"/>
        <v>0</v>
      </c>
      <c r="C363" s="70">
        <v>0.0</v>
      </c>
      <c r="D363" s="70">
        <v>0.0</v>
      </c>
      <c r="E363" s="70">
        <v>0.0</v>
      </c>
      <c r="F363" s="70">
        <v>0.0</v>
      </c>
      <c r="G363" s="70">
        <v>0.0</v>
      </c>
      <c r="H363" s="70" t="s">
        <v>26561</v>
      </c>
      <c r="I363" s="70">
        <v>2878.0</v>
      </c>
      <c r="J363" s="70" t="s">
        <v>25615</v>
      </c>
      <c r="K363" s="70" t="s">
        <v>26560</v>
      </c>
      <c r="W363" s="70" t="s">
        <v>29723</v>
      </c>
      <c r="AA363" s="70" t="s">
        <v>26563</v>
      </c>
      <c r="AI363" s="70" t="s">
        <v>25620</v>
      </c>
      <c r="AJ363" s="70" t="s">
        <v>25621</v>
      </c>
      <c r="AK363" s="70">
        <v>2022.0</v>
      </c>
      <c r="AL363" s="70" t="s">
        <v>22535</v>
      </c>
      <c r="AN363" s="70">
        <v>16997.0</v>
      </c>
      <c r="AO363" s="70">
        <v>17026.0</v>
      </c>
      <c r="AP363" s="70">
        <v>29.0</v>
      </c>
      <c r="AQ363" s="70">
        <v>8.0</v>
      </c>
      <c r="AR363" s="75" t="s">
        <v>26564</v>
      </c>
      <c r="AS363" s="70" t="s">
        <v>22525</v>
      </c>
      <c r="AU363" s="70" t="s">
        <v>237</v>
      </c>
      <c r="AV363" s="70" t="s">
        <v>26565</v>
      </c>
      <c r="AW363" s="70" t="s">
        <v>26566</v>
      </c>
      <c r="AX363" s="70">
        <v>0.0</v>
      </c>
      <c r="AY363" s="70" t="s">
        <v>24</v>
      </c>
      <c r="AZ363" s="70">
        <v>1823.0</v>
      </c>
    </row>
    <row r="364" ht="22.5" customHeight="1">
      <c r="A364" s="70" t="str">
        <f t="shared" si="1"/>
        <v>Excluded</v>
      </c>
      <c r="B364" s="70">
        <f t="shared" si="2"/>
        <v>0</v>
      </c>
      <c r="C364" s="70">
        <v>0.0</v>
      </c>
      <c r="D364" s="70">
        <v>0.0</v>
      </c>
      <c r="E364" s="70">
        <v>0.0</v>
      </c>
      <c r="F364" s="70">
        <v>0.0</v>
      </c>
      <c r="G364" s="70">
        <v>0.0</v>
      </c>
      <c r="H364" s="70" t="s">
        <v>23828</v>
      </c>
      <c r="I364" s="70">
        <v>2613.0</v>
      </c>
      <c r="J364" s="70" t="s">
        <v>29724</v>
      </c>
      <c r="K364" s="70" t="s">
        <v>23827</v>
      </c>
      <c r="W364" s="70" t="s">
        <v>29725</v>
      </c>
      <c r="AA364" s="70" t="s">
        <v>23830</v>
      </c>
      <c r="AI364" s="70" t="s">
        <v>29726</v>
      </c>
      <c r="AJ364" s="70" t="s">
        <v>23832</v>
      </c>
      <c r="AK364" s="70">
        <v>2024.0</v>
      </c>
      <c r="AL364" s="70" t="s">
        <v>22535</v>
      </c>
      <c r="AN364" s="70">
        <v>10552.0</v>
      </c>
      <c r="AO364" s="70">
        <v>10583.0</v>
      </c>
      <c r="AP364" s="70">
        <v>31.0</v>
      </c>
      <c r="AQ364" s="70">
        <v>0.0</v>
      </c>
      <c r="AR364" s="75" t="s">
        <v>23833</v>
      </c>
      <c r="AS364" s="70" t="s">
        <v>22525</v>
      </c>
      <c r="AU364" s="70" t="s">
        <v>237</v>
      </c>
      <c r="AV364" s="70" t="s">
        <v>23834</v>
      </c>
      <c r="AW364" s="70" t="s">
        <v>23835</v>
      </c>
      <c r="AX364" s="70">
        <v>0.0</v>
      </c>
      <c r="AY364" s="70" t="s">
        <v>24</v>
      </c>
      <c r="AZ364" s="70">
        <v>2138.0</v>
      </c>
    </row>
    <row r="365" ht="22.5" customHeight="1">
      <c r="A365" s="70" t="str">
        <f t="shared" si="1"/>
        <v>Excluded</v>
      </c>
      <c r="B365" s="70">
        <f t="shared" si="2"/>
        <v>0</v>
      </c>
      <c r="C365" s="70">
        <v>0.0</v>
      </c>
      <c r="D365" s="70">
        <v>0.0</v>
      </c>
      <c r="E365" s="70">
        <v>0.0</v>
      </c>
      <c r="F365" s="70">
        <v>0.0</v>
      </c>
      <c r="G365" s="70">
        <v>0.0</v>
      </c>
      <c r="H365" s="70" t="s">
        <v>22530</v>
      </c>
      <c r="I365" s="70">
        <v>2490.0</v>
      </c>
      <c r="J365" s="70" t="s">
        <v>22528</v>
      </c>
      <c r="K365" s="70" t="s">
        <v>22529</v>
      </c>
      <c r="W365" s="70" t="s">
        <v>29727</v>
      </c>
      <c r="AA365" s="70" t="s">
        <v>22532</v>
      </c>
      <c r="AI365" s="70" t="s">
        <v>29728</v>
      </c>
      <c r="AJ365" s="70" t="s">
        <v>22534</v>
      </c>
      <c r="AK365" s="70">
        <v>2024.0</v>
      </c>
      <c r="AL365" s="70" t="s">
        <v>22535</v>
      </c>
      <c r="AN365" s="70">
        <v>21920.0</v>
      </c>
      <c r="AO365" s="70">
        <v>21951.0</v>
      </c>
      <c r="AP365" s="70">
        <v>31.0</v>
      </c>
      <c r="AQ365" s="70">
        <v>1.0</v>
      </c>
      <c r="AR365" s="75" t="s">
        <v>22536</v>
      </c>
      <c r="AS365" s="70" t="s">
        <v>22525</v>
      </c>
      <c r="AU365" s="70" t="s">
        <v>237</v>
      </c>
      <c r="AV365" s="70" t="s">
        <v>22537</v>
      </c>
      <c r="AW365" s="70" t="s">
        <v>22538</v>
      </c>
      <c r="AX365" s="70">
        <v>0.0</v>
      </c>
      <c r="AY365" s="70" t="s">
        <v>24</v>
      </c>
      <c r="AZ365" s="70">
        <v>1918.0</v>
      </c>
    </row>
    <row r="366" ht="22.5" customHeight="1">
      <c r="A366" s="70" t="str">
        <f t="shared" si="1"/>
        <v>Excluded</v>
      </c>
      <c r="B366" s="70">
        <f t="shared" si="2"/>
        <v>0</v>
      </c>
      <c r="C366" s="70">
        <v>0.0</v>
      </c>
      <c r="D366" s="70">
        <v>0.0</v>
      </c>
      <c r="E366" s="70">
        <v>0.0</v>
      </c>
      <c r="F366" s="70">
        <v>0.0</v>
      </c>
      <c r="G366" s="70">
        <v>0.0</v>
      </c>
      <c r="H366" s="70" t="s">
        <v>23257</v>
      </c>
      <c r="I366" s="70">
        <v>2558.0</v>
      </c>
      <c r="J366" s="70" t="s">
        <v>23255</v>
      </c>
      <c r="K366" s="70" t="s">
        <v>23256</v>
      </c>
      <c r="W366" s="70" t="s">
        <v>29729</v>
      </c>
      <c r="AA366" s="70" t="s">
        <v>23259</v>
      </c>
      <c r="AI366" s="70" t="s">
        <v>23260</v>
      </c>
      <c r="AJ366" s="70" t="s">
        <v>23261</v>
      </c>
      <c r="AK366" s="70">
        <v>2025.0</v>
      </c>
      <c r="AL366" s="70" t="s">
        <v>22535</v>
      </c>
      <c r="AM366" s="70">
        <v>310.0</v>
      </c>
      <c r="AQ366" s="70">
        <v>1.0</v>
      </c>
      <c r="AR366" s="75" t="s">
        <v>23262</v>
      </c>
      <c r="AS366" s="70" t="s">
        <v>22525</v>
      </c>
      <c r="AU366" s="70" t="s">
        <v>237</v>
      </c>
      <c r="AV366" s="70" t="s">
        <v>23263</v>
      </c>
      <c r="AW366" s="70" t="s">
        <v>23264</v>
      </c>
      <c r="AZ366" s="70">
        <v>329.0</v>
      </c>
    </row>
    <row r="367" ht="22.5" customHeight="1">
      <c r="A367" s="70" t="str">
        <f t="shared" si="1"/>
        <v>Excluded</v>
      </c>
      <c r="B367" s="70">
        <f t="shared" si="2"/>
        <v>0</v>
      </c>
      <c r="C367" s="70">
        <v>0.0</v>
      </c>
      <c r="D367" s="70">
        <v>0.0</v>
      </c>
      <c r="E367" s="70">
        <v>0.0</v>
      </c>
      <c r="F367" s="70">
        <v>0.0</v>
      </c>
      <c r="G367" s="70">
        <v>0.0</v>
      </c>
      <c r="H367" s="70" t="s">
        <v>25523</v>
      </c>
      <c r="I367" s="70">
        <v>2777.0</v>
      </c>
      <c r="J367" s="70" t="s">
        <v>25521</v>
      </c>
      <c r="K367" s="70" t="s">
        <v>25522</v>
      </c>
      <c r="W367" s="70" t="s">
        <v>29730</v>
      </c>
      <c r="AA367" s="70" t="s">
        <v>25525</v>
      </c>
      <c r="AI367" s="70" t="s">
        <v>25526</v>
      </c>
      <c r="AJ367" s="70" t="s">
        <v>25527</v>
      </c>
      <c r="AK367" s="70">
        <v>2023.0</v>
      </c>
      <c r="AL367" s="70" t="s">
        <v>25528</v>
      </c>
      <c r="AN367" s="70">
        <v>465.0</v>
      </c>
      <c r="AO367" s="70">
        <v>486.0</v>
      </c>
      <c r="AP367" s="70">
        <v>21.0</v>
      </c>
      <c r="AQ367" s="70">
        <v>11.0</v>
      </c>
      <c r="AR367" s="75" t="s">
        <v>25529</v>
      </c>
      <c r="AS367" s="70" t="s">
        <v>22525</v>
      </c>
      <c r="AT367" s="70" t="s">
        <v>22526</v>
      </c>
      <c r="AU367" s="70" t="s">
        <v>237</v>
      </c>
      <c r="AV367" s="70" t="s">
        <v>25530</v>
      </c>
      <c r="AW367" s="70" t="s">
        <v>25531</v>
      </c>
      <c r="AX367" s="70">
        <v>0.0</v>
      </c>
      <c r="AY367" s="70" t="s">
        <v>24</v>
      </c>
      <c r="AZ367" s="70">
        <v>2855.0</v>
      </c>
    </row>
    <row r="368" ht="22.5" customHeight="1">
      <c r="A368" s="70" t="str">
        <f t="shared" si="1"/>
        <v>Excluded</v>
      </c>
      <c r="B368" s="70">
        <f t="shared" si="2"/>
        <v>0</v>
      </c>
      <c r="C368" s="70">
        <v>0.0</v>
      </c>
      <c r="D368" s="70">
        <v>0.0</v>
      </c>
      <c r="E368" s="70">
        <v>0.0</v>
      </c>
      <c r="F368" s="70">
        <v>0.0</v>
      </c>
      <c r="G368" s="70">
        <v>0.0</v>
      </c>
      <c r="H368" s="70" t="s">
        <v>24243</v>
      </c>
      <c r="I368" s="70">
        <v>2653.0</v>
      </c>
      <c r="J368" s="70" t="s">
        <v>24241</v>
      </c>
      <c r="K368" s="70" t="s">
        <v>24242</v>
      </c>
      <c r="W368" s="70" t="s">
        <v>29731</v>
      </c>
      <c r="AA368" s="70" t="s">
        <v>24245</v>
      </c>
      <c r="AI368" s="70" t="s">
        <v>24246</v>
      </c>
      <c r="AJ368" s="70" t="s">
        <v>24247</v>
      </c>
      <c r="AK368" s="70">
        <v>2024.0</v>
      </c>
      <c r="AL368" s="70" t="s">
        <v>24248</v>
      </c>
      <c r="AN368" s="70">
        <v>239.0</v>
      </c>
      <c r="AO368" s="70">
        <v>290.0</v>
      </c>
      <c r="AP368" s="70">
        <v>51.0</v>
      </c>
      <c r="AQ368" s="70">
        <v>2.0</v>
      </c>
      <c r="AR368" s="75" t="s">
        <v>24249</v>
      </c>
      <c r="AS368" s="70" t="s">
        <v>22525</v>
      </c>
      <c r="AT368" s="70" t="s">
        <v>22526</v>
      </c>
      <c r="AU368" s="70" t="s">
        <v>237</v>
      </c>
      <c r="AV368" s="70" t="s">
        <v>24250</v>
      </c>
      <c r="AW368" s="70" t="s">
        <v>24251</v>
      </c>
      <c r="AX368" s="70">
        <v>0.0</v>
      </c>
      <c r="AY368" s="70" t="s">
        <v>24</v>
      </c>
      <c r="AZ368" s="70">
        <v>2824.0</v>
      </c>
    </row>
    <row r="369" ht="22.5" customHeight="1">
      <c r="A369" s="70" t="str">
        <f t="shared" si="1"/>
        <v>Excluded</v>
      </c>
      <c r="B369" s="70">
        <f t="shared" si="2"/>
        <v>0</v>
      </c>
      <c r="C369" s="70">
        <v>0.0</v>
      </c>
      <c r="D369" s="70">
        <v>0.0</v>
      </c>
      <c r="E369" s="70">
        <v>0.0</v>
      </c>
      <c r="F369" s="70">
        <v>0.0</v>
      </c>
      <c r="G369" s="70">
        <v>0.0</v>
      </c>
      <c r="H369" s="70" t="s">
        <v>27903</v>
      </c>
      <c r="I369" s="70">
        <v>3009.0</v>
      </c>
      <c r="J369" s="70" t="s">
        <v>27901</v>
      </c>
      <c r="K369" s="70" t="s">
        <v>27902</v>
      </c>
      <c r="W369" s="70" t="s">
        <v>29732</v>
      </c>
      <c r="AA369" s="70" t="s">
        <v>27905</v>
      </c>
      <c r="AI369" s="70" t="s">
        <v>27906</v>
      </c>
      <c r="AJ369" s="70" t="s">
        <v>27907</v>
      </c>
      <c r="AK369" s="70">
        <v>2021.0</v>
      </c>
      <c r="AL369" s="70" t="s">
        <v>23085</v>
      </c>
      <c r="AN369" s="70">
        <v>2829.0</v>
      </c>
      <c r="AO369" s="70">
        <v>2866.0</v>
      </c>
      <c r="AP369" s="70">
        <v>37.0</v>
      </c>
      <c r="AQ369" s="70">
        <v>17.0</v>
      </c>
      <c r="AR369" s="75" t="s">
        <v>27908</v>
      </c>
      <c r="AS369" s="70" t="s">
        <v>22525</v>
      </c>
      <c r="AU369" s="70" t="s">
        <v>237</v>
      </c>
      <c r="AV369" s="70" t="s">
        <v>27909</v>
      </c>
      <c r="AW369" s="70" t="s">
        <v>27910</v>
      </c>
      <c r="AZ369" s="70">
        <v>378.0</v>
      </c>
    </row>
    <row r="370" ht="22.5" customHeight="1">
      <c r="A370" s="70" t="str">
        <f t="shared" si="1"/>
        <v>Excluded</v>
      </c>
      <c r="B370" s="70">
        <f t="shared" si="2"/>
        <v>0</v>
      </c>
      <c r="C370" s="70">
        <v>0.0</v>
      </c>
      <c r="D370" s="70">
        <v>0.0</v>
      </c>
      <c r="E370" s="70">
        <v>0.0</v>
      </c>
      <c r="F370" s="70">
        <v>0.0</v>
      </c>
      <c r="G370" s="70">
        <v>0.0</v>
      </c>
      <c r="H370" s="70" t="s">
        <v>26552</v>
      </c>
      <c r="I370" s="70">
        <v>2877.0</v>
      </c>
      <c r="J370" s="70" t="s">
        <v>26550</v>
      </c>
      <c r="K370" s="70" t="s">
        <v>26551</v>
      </c>
      <c r="W370" s="70" t="s">
        <v>29733</v>
      </c>
      <c r="AA370" s="70" t="s">
        <v>26554</v>
      </c>
      <c r="AI370" s="70" t="s">
        <v>26555</v>
      </c>
      <c r="AJ370" s="70" t="s">
        <v>26556</v>
      </c>
      <c r="AK370" s="70">
        <v>2022.0</v>
      </c>
      <c r="AL370" s="70" t="s">
        <v>23085</v>
      </c>
      <c r="AN370" s="70">
        <v>1563.0</v>
      </c>
      <c r="AO370" s="70">
        <v>1585.0</v>
      </c>
      <c r="AP370" s="70">
        <v>22.0</v>
      </c>
      <c r="AQ370" s="70">
        <v>34.0</v>
      </c>
      <c r="AR370" s="75" t="s">
        <v>26557</v>
      </c>
      <c r="AS370" s="70" t="s">
        <v>22525</v>
      </c>
      <c r="AU370" s="70" t="s">
        <v>237</v>
      </c>
      <c r="AV370" s="70" t="s">
        <v>26558</v>
      </c>
      <c r="AW370" s="70" t="s">
        <v>26559</v>
      </c>
      <c r="AX370" s="70">
        <v>0.0</v>
      </c>
      <c r="AY370" s="70" t="s">
        <v>24</v>
      </c>
      <c r="AZ370" s="70">
        <v>2912.0</v>
      </c>
    </row>
    <row r="371" ht="22.5" customHeight="1">
      <c r="A371" s="70" t="str">
        <f t="shared" si="1"/>
        <v>Excluded</v>
      </c>
      <c r="B371" s="70">
        <f t="shared" si="2"/>
        <v>0</v>
      </c>
      <c r="C371" s="70">
        <v>0.0</v>
      </c>
      <c r="D371" s="70">
        <v>0.0</v>
      </c>
      <c r="E371" s="70">
        <v>0.0</v>
      </c>
      <c r="F371" s="70">
        <v>0.0</v>
      </c>
      <c r="G371" s="70">
        <v>0.0</v>
      </c>
      <c r="H371" s="70" t="s">
        <v>23080</v>
      </c>
      <c r="I371" s="70">
        <v>2541.0</v>
      </c>
      <c r="J371" s="70" t="s">
        <v>23078</v>
      </c>
      <c r="K371" s="70" t="s">
        <v>23079</v>
      </c>
      <c r="W371" s="70" t="s">
        <v>29734</v>
      </c>
      <c r="AA371" s="70" t="s">
        <v>23082</v>
      </c>
      <c r="AI371" s="70" t="s">
        <v>23083</v>
      </c>
      <c r="AJ371" s="70" t="s">
        <v>23084</v>
      </c>
      <c r="AK371" s="70">
        <v>2024.0</v>
      </c>
      <c r="AL371" s="70" t="s">
        <v>23085</v>
      </c>
      <c r="AN371" s="70">
        <v>3229.0</v>
      </c>
      <c r="AO371" s="70">
        <v>3255.0</v>
      </c>
      <c r="AP371" s="70">
        <v>26.0</v>
      </c>
      <c r="AQ371" s="70">
        <v>23.0</v>
      </c>
      <c r="AR371" s="75" t="s">
        <v>23086</v>
      </c>
      <c r="AS371" s="70" t="s">
        <v>22525</v>
      </c>
      <c r="AU371" s="70" t="s">
        <v>237</v>
      </c>
      <c r="AV371" s="70" t="s">
        <v>23087</v>
      </c>
      <c r="AW371" s="70" t="s">
        <v>23088</v>
      </c>
      <c r="AX371" s="70">
        <v>0.0</v>
      </c>
      <c r="AY371" s="70" t="s">
        <v>24</v>
      </c>
      <c r="AZ371" s="70">
        <v>1824.0</v>
      </c>
    </row>
    <row r="372" ht="22.5" customHeight="1">
      <c r="A372" s="70" t="str">
        <f t="shared" si="1"/>
        <v>Excluded</v>
      </c>
      <c r="B372" s="70">
        <f t="shared" si="2"/>
        <v>0</v>
      </c>
      <c r="C372" s="70">
        <v>0.0</v>
      </c>
      <c r="D372" s="70">
        <v>0.0</v>
      </c>
      <c r="E372" s="70">
        <v>0.0</v>
      </c>
      <c r="F372" s="70">
        <v>0.0</v>
      </c>
      <c r="G372" s="70">
        <v>0.0</v>
      </c>
      <c r="H372" s="70" t="s">
        <v>26458</v>
      </c>
      <c r="I372" s="70">
        <v>2868.0</v>
      </c>
      <c r="J372" s="70" t="s">
        <v>26456</v>
      </c>
      <c r="K372" s="70" t="s">
        <v>26457</v>
      </c>
      <c r="W372" s="70" t="s">
        <v>29735</v>
      </c>
      <c r="AA372" s="70" t="s">
        <v>26460</v>
      </c>
      <c r="AI372" s="70" t="s">
        <v>26461</v>
      </c>
      <c r="AJ372" s="70" t="s">
        <v>26462</v>
      </c>
      <c r="AK372" s="70">
        <v>2022.0</v>
      </c>
      <c r="AL372" s="70" t="s">
        <v>25051</v>
      </c>
      <c r="AN372" s="70">
        <v>2735.0</v>
      </c>
      <c r="AO372" s="70">
        <v>2770.0</v>
      </c>
      <c r="AP372" s="70">
        <v>35.0</v>
      </c>
      <c r="AQ372" s="70">
        <v>48.0</v>
      </c>
      <c r="AR372" s="75" t="s">
        <v>26463</v>
      </c>
      <c r="AS372" s="70" t="s">
        <v>22525</v>
      </c>
      <c r="AU372" s="70" t="s">
        <v>237</v>
      </c>
      <c r="AV372" s="70" t="s">
        <v>26464</v>
      </c>
      <c r="AW372" s="70" t="s">
        <v>26465</v>
      </c>
      <c r="AZ372" s="70">
        <v>696.0</v>
      </c>
    </row>
    <row r="373" ht="22.5" customHeight="1">
      <c r="A373" s="70" t="str">
        <f t="shared" si="1"/>
        <v>Excluded</v>
      </c>
      <c r="B373" s="70">
        <f t="shared" si="2"/>
        <v>0</v>
      </c>
      <c r="C373" s="70">
        <v>0.0</v>
      </c>
      <c r="D373" s="70">
        <v>0.0</v>
      </c>
      <c r="E373" s="70">
        <v>0.0</v>
      </c>
      <c r="F373" s="70">
        <v>0.0</v>
      </c>
      <c r="G373" s="70">
        <v>0.0</v>
      </c>
      <c r="H373" s="70" t="s">
        <v>25046</v>
      </c>
      <c r="I373" s="70">
        <v>2731.0</v>
      </c>
      <c r="J373" s="70" t="s">
        <v>25044</v>
      </c>
      <c r="K373" s="70" t="s">
        <v>25045</v>
      </c>
      <c r="W373" s="70" t="s">
        <v>29736</v>
      </c>
      <c r="AA373" s="70" t="s">
        <v>25048</v>
      </c>
      <c r="AI373" s="70" t="s">
        <v>25049</v>
      </c>
      <c r="AJ373" s="70" t="s">
        <v>25050</v>
      </c>
      <c r="AK373" s="70">
        <v>2023.0</v>
      </c>
      <c r="AL373" s="70" t="s">
        <v>25051</v>
      </c>
      <c r="AN373" s="70">
        <v>2467.0</v>
      </c>
      <c r="AO373" s="70">
        <v>2501.0</v>
      </c>
      <c r="AP373" s="70">
        <v>34.0</v>
      </c>
      <c r="AQ373" s="70">
        <v>3.0</v>
      </c>
      <c r="AR373" s="75" t="s">
        <v>25052</v>
      </c>
      <c r="AS373" s="70" t="s">
        <v>22525</v>
      </c>
      <c r="AU373" s="70" t="s">
        <v>237</v>
      </c>
      <c r="AV373" s="70" t="s">
        <v>25053</v>
      </c>
      <c r="AW373" s="70" t="s">
        <v>25054</v>
      </c>
      <c r="AX373" s="70">
        <v>0.0</v>
      </c>
      <c r="AY373" s="70" t="s">
        <v>24</v>
      </c>
      <c r="AZ373" s="70">
        <v>1707.0</v>
      </c>
    </row>
    <row r="374" ht="22.5" customHeight="1">
      <c r="A374" s="70" t="str">
        <f t="shared" si="1"/>
        <v>Excluded</v>
      </c>
      <c r="B374" s="70">
        <f t="shared" si="2"/>
        <v>0</v>
      </c>
      <c r="C374" s="70">
        <v>0.0</v>
      </c>
      <c r="D374" s="70">
        <v>0.0</v>
      </c>
      <c r="E374" s="70">
        <v>0.0</v>
      </c>
      <c r="F374" s="70">
        <v>0.0</v>
      </c>
      <c r="G374" s="70">
        <v>0.0</v>
      </c>
      <c r="H374" s="70" t="s">
        <v>23488</v>
      </c>
      <c r="I374" s="70">
        <v>2580.0</v>
      </c>
      <c r="J374" s="70" t="s">
        <v>23486</v>
      </c>
      <c r="K374" s="70" t="s">
        <v>23487</v>
      </c>
      <c r="W374" s="70" t="s">
        <v>29737</v>
      </c>
      <c r="AA374" s="70" t="s">
        <v>23490</v>
      </c>
      <c r="AI374" s="70" t="s">
        <v>23491</v>
      </c>
      <c r="AJ374" s="70" t="s">
        <v>23492</v>
      </c>
      <c r="AK374" s="70">
        <v>2025.0</v>
      </c>
      <c r="AL374" s="70" t="s">
        <v>23493</v>
      </c>
      <c r="AM374" s="70">
        <v>132101.0</v>
      </c>
      <c r="AQ374" s="70">
        <v>0.0</v>
      </c>
      <c r="AR374" s="75" t="s">
        <v>23494</v>
      </c>
      <c r="AS374" s="70" t="s">
        <v>22525</v>
      </c>
      <c r="AU374" s="70" t="s">
        <v>237</v>
      </c>
      <c r="AV374" s="70" t="s">
        <v>23495</v>
      </c>
      <c r="AW374" s="70" t="s">
        <v>23496</v>
      </c>
      <c r="AX374" s="70">
        <v>0.0</v>
      </c>
      <c r="AY374" s="70" t="s">
        <v>24</v>
      </c>
      <c r="AZ374" s="70">
        <v>2149.0</v>
      </c>
    </row>
    <row r="375" ht="22.5" customHeight="1">
      <c r="A375" s="70" t="str">
        <f t="shared" si="1"/>
        <v>Excluded</v>
      </c>
      <c r="B375" s="70">
        <f t="shared" si="2"/>
        <v>0</v>
      </c>
      <c r="C375" s="70">
        <v>0.0</v>
      </c>
      <c r="D375" s="70">
        <v>0.0</v>
      </c>
      <c r="E375" s="70">
        <v>0.0</v>
      </c>
      <c r="F375" s="70">
        <v>0.0</v>
      </c>
      <c r="G375" s="70">
        <v>0.0</v>
      </c>
      <c r="H375" s="70" t="s">
        <v>23206</v>
      </c>
      <c r="I375" s="70">
        <v>2553.0</v>
      </c>
      <c r="J375" s="70" t="s">
        <v>23204</v>
      </c>
      <c r="K375" s="70" t="s">
        <v>23205</v>
      </c>
      <c r="W375" s="70" t="s">
        <v>29738</v>
      </c>
      <c r="AA375" s="70" t="s">
        <v>23208</v>
      </c>
      <c r="AI375" s="70" t="s">
        <v>23209</v>
      </c>
      <c r="AJ375" s="70" t="s">
        <v>23210</v>
      </c>
      <c r="AK375" s="70">
        <v>2025.0</v>
      </c>
      <c r="AL375" s="70" t="s">
        <v>23211</v>
      </c>
      <c r="AM375" s="70">
        <v>194203.0</v>
      </c>
      <c r="AQ375" s="70">
        <v>1.0</v>
      </c>
      <c r="AR375" s="75" t="s">
        <v>23212</v>
      </c>
      <c r="AS375" s="70" t="s">
        <v>22525</v>
      </c>
      <c r="AU375" s="70" t="s">
        <v>237</v>
      </c>
      <c r="AV375" s="70" t="s">
        <v>23213</v>
      </c>
      <c r="AW375" s="70" t="s">
        <v>23214</v>
      </c>
      <c r="AZ375" s="70">
        <v>585.0</v>
      </c>
    </row>
    <row r="376" ht="22.5" customHeight="1">
      <c r="A376" s="70" t="str">
        <f t="shared" si="1"/>
        <v>Excluded</v>
      </c>
      <c r="B376" s="70">
        <f t="shared" si="2"/>
        <v>0</v>
      </c>
      <c r="C376" s="70">
        <v>0.0</v>
      </c>
      <c r="D376" s="70">
        <v>0.0</v>
      </c>
      <c r="E376" s="70">
        <v>0.0</v>
      </c>
      <c r="F376" s="70">
        <v>0.0</v>
      </c>
      <c r="G376" s="70">
        <v>0.0</v>
      </c>
      <c r="H376" s="70" t="s">
        <v>23663</v>
      </c>
      <c r="I376" s="70">
        <v>2597.0</v>
      </c>
      <c r="J376" s="70" t="s">
        <v>23661</v>
      </c>
      <c r="K376" s="70" t="s">
        <v>23662</v>
      </c>
      <c r="W376" s="70" t="s">
        <v>29739</v>
      </c>
      <c r="AA376" s="70" t="s">
        <v>23665</v>
      </c>
      <c r="AI376" s="70" t="s">
        <v>23666</v>
      </c>
      <c r="AJ376" s="70" t="s">
        <v>23667</v>
      </c>
      <c r="AK376" s="70">
        <v>2024.0</v>
      </c>
      <c r="AL376" s="70" t="s">
        <v>23668</v>
      </c>
      <c r="AQ376" s="70">
        <v>0.0</v>
      </c>
      <c r="AR376" s="75" t="s">
        <v>23669</v>
      </c>
      <c r="AS376" s="70" t="s">
        <v>22588</v>
      </c>
      <c r="AT376" s="70" t="s">
        <v>22526</v>
      </c>
      <c r="AU376" s="70" t="s">
        <v>237</v>
      </c>
      <c r="AV376" s="70" t="s">
        <v>23670</v>
      </c>
      <c r="AW376" s="70" t="s">
        <v>23671</v>
      </c>
      <c r="AX376" s="70">
        <v>0.0</v>
      </c>
      <c r="AY376" s="70" t="s">
        <v>24</v>
      </c>
      <c r="AZ376" s="70">
        <v>3052.0</v>
      </c>
    </row>
    <row r="377" ht="22.5" customHeight="1">
      <c r="A377" s="70" t="str">
        <f t="shared" si="1"/>
        <v>Excluded</v>
      </c>
      <c r="B377" s="70">
        <f t="shared" si="2"/>
        <v>0</v>
      </c>
      <c r="C377" s="70">
        <v>0.0</v>
      </c>
      <c r="D377" s="70">
        <v>0.0</v>
      </c>
      <c r="E377" s="70">
        <v>0.0</v>
      </c>
      <c r="F377" s="70">
        <v>0.0</v>
      </c>
      <c r="G377" s="70">
        <v>0.0</v>
      </c>
      <c r="H377" s="70" t="s">
        <v>28620</v>
      </c>
      <c r="I377" s="70">
        <v>3079.0</v>
      </c>
      <c r="J377" s="70" t="s">
        <v>29740</v>
      </c>
      <c r="K377" s="70" t="s">
        <v>28619</v>
      </c>
      <c r="W377" s="70" t="s">
        <v>29741</v>
      </c>
      <c r="AA377" s="70" t="s">
        <v>28622</v>
      </c>
      <c r="AI377" s="70" t="s">
        <v>29742</v>
      </c>
      <c r="AJ377" s="70" t="s">
        <v>28624</v>
      </c>
      <c r="AK377" s="70">
        <v>2019.0</v>
      </c>
      <c r="AL377" s="70" t="s">
        <v>28625</v>
      </c>
      <c r="AN377" s="70">
        <v>631.0</v>
      </c>
      <c r="AO377" s="70">
        <v>647.0</v>
      </c>
      <c r="AP377" s="70">
        <v>16.0</v>
      </c>
      <c r="AQ377" s="70">
        <v>49.0</v>
      </c>
      <c r="AR377" s="75" t="s">
        <v>28626</v>
      </c>
      <c r="AS377" s="70" t="s">
        <v>22525</v>
      </c>
      <c r="AT377" s="70" t="s">
        <v>22526</v>
      </c>
      <c r="AU377" s="70" t="s">
        <v>237</v>
      </c>
      <c r="AV377" s="70" t="s">
        <v>28627</v>
      </c>
      <c r="AZ377" s="70">
        <v>1251.0</v>
      </c>
    </row>
    <row r="378" ht="22.5" customHeight="1">
      <c r="A378" s="70" t="str">
        <f t="shared" si="1"/>
        <v>Excluded</v>
      </c>
      <c r="B378" s="70">
        <f t="shared" si="2"/>
        <v>0</v>
      </c>
      <c r="C378" s="70">
        <v>0.0</v>
      </c>
      <c r="D378" s="70">
        <v>0.0</v>
      </c>
      <c r="E378" s="70">
        <v>0.0</v>
      </c>
      <c r="F378" s="70">
        <v>0.0</v>
      </c>
      <c r="G378" s="70">
        <v>0.0</v>
      </c>
      <c r="H378" s="70" t="s">
        <v>25617</v>
      </c>
      <c r="I378" s="70">
        <v>2786.0</v>
      </c>
      <c r="J378" s="70" t="s">
        <v>25615</v>
      </c>
      <c r="K378" s="70" t="s">
        <v>25616</v>
      </c>
      <c r="W378" s="70" t="s">
        <v>29743</v>
      </c>
      <c r="AA378" s="70" t="s">
        <v>25619</v>
      </c>
      <c r="AI378" s="70" t="s">
        <v>25620</v>
      </c>
      <c r="AJ378" s="70" t="s">
        <v>25621</v>
      </c>
      <c r="AK378" s="70">
        <v>2023.0</v>
      </c>
      <c r="AL378" s="70" t="s">
        <v>25622</v>
      </c>
      <c r="AN378" s="70">
        <v>4237.0</v>
      </c>
      <c r="AO378" s="70">
        <v>4255.0</v>
      </c>
      <c r="AP378" s="70">
        <v>18.0</v>
      </c>
      <c r="AQ378" s="70">
        <v>4.0</v>
      </c>
      <c r="AR378" s="75" t="s">
        <v>25623</v>
      </c>
      <c r="AS378" s="70" t="s">
        <v>22525</v>
      </c>
      <c r="AU378" s="70" t="s">
        <v>237</v>
      </c>
      <c r="AV378" s="70" t="s">
        <v>25624</v>
      </c>
      <c r="AW378" s="70" t="s">
        <v>25625</v>
      </c>
      <c r="AX378" s="70">
        <v>0.0</v>
      </c>
      <c r="AY378" s="70" t="s">
        <v>24</v>
      </c>
      <c r="AZ378" s="70">
        <v>1807.0</v>
      </c>
    </row>
    <row r="379" ht="22.5" customHeight="1">
      <c r="A379" s="70" t="str">
        <f t="shared" si="1"/>
        <v>Excluded</v>
      </c>
      <c r="B379" s="70">
        <f t="shared" si="2"/>
        <v>0</v>
      </c>
      <c r="C379" s="70">
        <v>0.0</v>
      </c>
      <c r="D379" s="70">
        <v>0.0</v>
      </c>
      <c r="E379" s="70">
        <v>0.0</v>
      </c>
      <c r="F379" s="70">
        <v>0.0</v>
      </c>
      <c r="G379" s="70">
        <v>0.0</v>
      </c>
      <c r="H379" s="70" t="s">
        <v>24139</v>
      </c>
      <c r="I379" s="70">
        <v>2643.0</v>
      </c>
      <c r="J379" s="70" t="s">
        <v>24137</v>
      </c>
      <c r="K379" s="70" t="s">
        <v>29744</v>
      </c>
      <c r="W379" s="70" t="s">
        <v>29745</v>
      </c>
      <c r="AA379" s="70" t="s">
        <v>24141</v>
      </c>
      <c r="AI379" s="70" t="s">
        <v>24142</v>
      </c>
      <c r="AJ379" s="70" t="s">
        <v>24143</v>
      </c>
      <c r="AK379" s="70">
        <v>2024.0</v>
      </c>
      <c r="AL379" s="70" t="s">
        <v>24144</v>
      </c>
      <c r="AM379" s="70">
        <v>100517.0</v>
      </c>
      <c r="AQ379" s="70">
        <v>0.0</v>
      </c>
      <c r="AR379" s="75" t="s">
        <v>24145</v>
      </c>
      <c r="AS379" s="70" t="s">
        <v>22588</v>
      </c>
      <c r="AU379" s="70" t="s">
        <v>237</v>
      </c>
      <c r="AV379" s="70" t="s">
        <v>24146</v>
      </c>
      <c r="AW379" s="70" t="s">
        <v>24147</v>
      </c>
      <c r="AX379" s="70">
        <v>0.0</v>
      </c>
      <c r="AY379" s="70" t="s">
        <v>24</v>
      </c>
      <c r="AZ379" s="70">
        <v>1936.0</v>
      </c>
    </row>
    <row r="380" ht="22.5" customHeight="1">
      <c r="A380" s="70" t="str">
        <f t="shared" si="1"/>
        <v>Excluded</v>
      </c>
      <c r="B380" s="70">
        <f t="shared" si="2"/>
        <v>0</v>
      </c>
      <c r="C380" s="70">
        <v>0.0</v>
      </c>
      <c r="D380" s="70">
        <v>0.0</v>
      </c>
      <c r="E380" s="70">
        <v>0.0</v>
      </c>
      <c r="F380" s="70">
        <v>0.0</v>
      </c>
      <c r="G380" s="70">
        <v>0.0</v>
      </c>
      <c r="H380" s="70" t="s">
        <v>28220</v>
      </c>
      <c r="I380" s="70">
        <v>3040.0</v>
      </c>
      <c r="J380" s="70" t="s">
        <v>28218</v>
      </c>
      <c r="K380" s="70" t="s">
        <v>28219</v>
      </c>
      <c r="W380" s="70" t="s">
        <v>29746</v>
      </c>
      <c r="AA380" s="70" t="s">
        <v>28222</v>
      </c>
      <c r="AI380" s="70" t="s">
        <v>28223</v>
      </c>
      <c r="AJ380" s="70" t="s">
        <v>28224</v>
      </c>
      <c r="AK380" s="70">
        <v>2020.0</v>
      </c>
      <c r="AL380" s="70" t="s">
        <v>26961</v>
      </c>
      <c r="AN380" s="70">
        <v>10693.0</v>
      </c>
      <c r="AO380" s="70">
        <v>10708.0</v>
      </c>
      <c r="AP380" s="70">
        <v>15.0</v>
      </c>
      <c r="AQ380" s="70">
        <v>24.0</v>
      </c>
      <c r="AR380" s="75" t="s">
        <v>28225</v>
      </c>
      <c r="AS380" s="70" t="s">
        <v>22525</v>
      </c>
      <c r="AU380" s="70" t="s">
        <v>237</v>
      </c>
      <c r="AV380" s="70" t="s">
        <v>28226</v>
      </c>
      <c r="AX380" s="70">
        <v>0.0</v>
      </c>
      <c r="AY380" s="70" t="s">
        <v>24</v>
      </c>
      <c r="AZ380" s="70">
        <v>1794.0</v>
      </c>
    </row>
    <row r="381" ht="22.5" customHeight="1">
      <c r="A381" s="70" t="str">
        <f t="shared" si="1"/>
        <v>Excluded</v>
      </c>
      <c r="B381" s="70">
        <f t="shared" si="2"/>
        <v>0</v>
      </c>
      <c r="C381" s="70">
        <v>0.0</v>
      </c>
      <c r="D381" s="70">
        <v>0.0</v>
      </c>
      <c r="E381" s="70">
        <v>0.0</v>
      </c>
      <c r="F381" s="70">
        <v>0.0</v>
      </c>
      <c r="G381" s="70">
        <v>0.0</v>
      </c>
      <c r="H381" s="70" t="s">
        <v>26956</v>
      </c>
      <c r="I381" s="70">
        <v>2917.0</v>
      </c>
      <c r="J381" s="70" t="s">
        <v>26954</v>
      </c>
      <c r="K381" s="70" t="s">
        <v>29747</v>
      </c>
      <c r="W381" s="70" t="s">
        <v>29748</v>
      </c>
      <c r="AA381" s="70" t="s">
        <v>26958</v>
      </c>
      <c r="AI381" s="70" t="s">
        <v>26959</v>
      </c>
      <c r="AJ381" s="70" t="s">
        <v>26960</v>
      </c>
      <c r="AK381" s="70">
        <v>2021.0</v>
      </c>
      <c r="AL381" s="70" t="s">
        <v>26961</v>
      </c>
      <c r="AN381" s="70">
        <v>8585.0</v>
      </c>
      <c r="AO381" s="70">
        <v>8601.0</v>
      </c>
      <c r="AP381" s="70">
        <v>16.0</v>
      </c>
      <c r="AQ381" s="70">
        <v>73.0</v>
      </c>
      <c r="AR381" s="75" t="s">
        <v>26962</v>
      </c>
      <c r="AS381" s="70" t="s">
        <v>22525</v>
      </c>
      <c r="AU381" s="70" t="s">
        <v>237</v>
      </c>
      <c r="AV381" s="70" t="s">
        <v>26963</v>
      </c>
      <c r="AX381" s="70">
        <v>0.0</v>
      </c>
      <c r="AY381" s="70" t="s">
        <v>24</v>
      </c>
      <c r="AZ381" s="70">
        <v>2131.0</v>
      </c>
    </row>
    <row r="382" ht="22.5" customHeight="1">
      <c r="A382" s="70" t="str">
        <f t="shared" si="1"/>
        <v>Excluded</v>
      </c>
      <c r="B382" s="70">
        <f t="shared" si="2"/>
        <v>0</v>
      </c>
      <c r="C382" s="70">
        <v>0.0</v>
      </c>
      <c r="D382" s="70">
        <v>0.0</v>
      </c>
      <c r="E382" s="70">
        <v>0.0</v>
      </c>
      <c r="F382" s="70">
        <v>0.0</v>
      </c>
      <c r="G382" s="70">
        <v>0.0</v>
      </c>
      <c r="H382" s="70" t="s">
        <v>25088</v>
      </c>
      <c r="I382" s="70">
        <v>2735.0</v>
      </c>
      <c r="J382" s="70" t="s">
        <v>25086</v>
      </c>
      <c r="K382" s="70" t="s">
        <v>25087</v>
      </c>
      <c r="W382" s="70" t="s">
        <v>29749</v>
      </c>
      <c r="AA382" s="70" t="s">
        <v>25090</v>
      </c>
      <c r="AI382" s="70" t="s">
        <v>25091</v>
      </c>
      <c r="AJ382" s="70" t="s">
        <v>25092</v>
      </c>
      <c r="AK382" s="70">
        <v>2024.0</v>
      </c>
      <c r="AL382" s="70" t="s">
        <v>22847</v>
      </c>
      <c r="AQ382" s="70">
        <v>0.0</v>
      </c>
      <c r="AR382" s="75" t="s">
        <v>25093</v>
      </c>
      <c r="AS382" s="70" t="s">
        <v>22588</v>
      </c>
      <c r="AU382" s="70" t="s">
        <v>237</v>
      </c>
      <c r="AV382" s="70" t="s">
        <v>25094</v>
      </c>
      <c r="AW382" s="70" t="s">
        <v>25095</v>
      </c>
      <c r="AZ382" s="70">
        <v>234.0</v>
      </c>
    </row>
    <row r="383" ht="22.5" customHeight="1">
      <c r="A383" s="70" t="str">
        <f t="shared" si="1"/>
        <v>Excluded</v>
      </c>
      <c r="B383" s="70">
        <f t="shared" si="2"/>
        <v>0</v>
      </c>
      <c r="C383" s="70">
        <v>0.0</v>
      </c>
      <c r="D383" s="70">
        <v>0.0</v>
      </c>
      <c r="E383" s="70">
        <v>0.0</v>
      </c>
      <c r="F383" s="70">
        <v>0.0</v>
      </c>
      <c r="G383" s="70">
        <v>0.0</v>
      </c>
      <c r="H383" s="70" t="s">
        <v>22842</v>
      </c>
      <c r="I383" s="70">
        <v>2519.0</v>
      </c>
      <c r="J383" s="70" t="s">
        <v>22840</v>
      </c>
      <c r="K383" s="70" t="s">
        <v>22841</v>
      </c>
      <c r="W383" s="70" t="s">
        <v>29750</v>
      </c>
      <c r="AA383" s="70" t="s">
        <v>22844</v>
      </c>
      <c r="AI383" s="70" t="s">
        <v>22845</v>
      </c>
      <c r="AJ383" s="70" t="s">
        <v>22846</v>
      </c>
      <c r="AK383" s="70">
        <v>2025.0</v>
      </c>
      <c r="AL383" s="70" t="s">
        <v>22847</v>
      </c>
      <c r="AM383" s="70">
        <v>100398.0</v>
      </c>
      <c r="AQ383" s="70">
        <v>0.0</v>
      </c>
      <c r="AR383" s="75" t="s">
        <v>22848</v>
      </c>
      <c r="AS383" s="70" t="s">
        <v>22588</v>
      </c>
      <c r="AU383" s="70" t="s">
        <v>237</v>
      </c>
      <c r="AV383" s="70" t="s">
        <v>22849</v>
      </c>
      <c r="AW383" s="70" t="s">
        <v>22850</v>
      </c>
      <c r="AX383" s="70">
        <v>0.0</v>
      </c>
      <c r="AY383" s="70" t="s">
        <v>24</v>
      </c>
      <c r="AZ383" s="70">
        <v>2313.0</v>
      </c>
    </row>
    <row r="384" ht="22.5" customHeight="1">
      <c r="A384" s="70" t="str">
        <f t="shared" si="1"/>
        <v>Excluded</v>
      </c>
      <c r="B384" s="70">
        <f t="shared" si="2"/>
        <v>0</v>
      </c>
      <c r="C384" s="70">
        <v>0.0</v>
      </c>
      <c r="D384" s="70">
        <v>0.0</v>
      </c>
      <c r="E384" s="70">
        <v>0.0</v>
      </c>
      <c r="F384" s="70">
        <v>0.0</v>
      </c>
      <c r="G384" s="70">
        <v>0.0</v>
      </c>
      <c r="H384" s="70" t="s">
        <v>23777</v>
      </c>
      <c r="I384" s="70">
        <v>2608.0</v>
      </c>
      <c r="J384" s="70" t="s">
        <v>23775</v>
      </c>
      <c r="K384" s="70" t="s">
        <v>23776</v>
      </c>
      <c r="W384" s="70" t="s">
        <v>29751</v>
      </c>
      <c r="AA384" s="70" t="s">
        <v>23779</v>
      </c>
      <c r="AI384" s="70" t="s">
        <v>23780</v>
      </c>
      <c r="AJ384" s="70" t="s">
        <v>23781</v>
      </c>
      <c r="AK384" s="70">
        <v>2024.0</v>
      </c>
      <c r="AL384" s="70" t="s">
        <v>23782</v>
      </c>
      <c r="AN384" s="70">
        <v>3205.0</v>
      </c>
      <c r="AO384" s="70">
        <v>3218.0</v>
      </c>
      <c r="AP384" s="70">
        <v>13.0</v>
      </c>
      <c r="AQ384" s="70">
        <v>4.0</v>
      </c>
      <c r="AR384" s="75" t="s">
        <v>23783</v>
      </c>
      <c r="AS384" s="70" t="s">
        <v>22525</v>
      </c>
      <c r="AU384" s="70" t="s">
        <v>237</v>
      </c>
      <c r="AV384" s="70" t="s">
        <v>23784</v>
      </c>
      <c r="AX384" s="70">
        <v>0.0</v>
      </c>
      <c r="AY384" s="70" t="s">
        <v>24</v>
      </c>
      <c r="AZ384" s="70">
        <v>2043.0</v>
      </c>
    </row>
    <row r="385" ht="22.5" customHeight="1">
      <c r="A385" s="70" t="str">
        <f t="shared" si="1"/>
        <v>Excluded</v>
      </c>
      <c r="B385" s="70">
        <f t="shared" si="2"/>
        <v>0</v>
      </c>
      <c r="C385" s="70">
        <v>0.0</v>
      </c>
      <c r="D385" s="70">
        <v>0.0</v>
      </c>
      <c r="E385" s="70">
        <v>0.0</v>
      </c>
      <c r="F385" s="70">
        <v>0.0</v>
      </c>
      <c r="G385" s="70">
        <v>0.0</v>
      </c>
      <c r="H385" s="70" t="s">
        <v>23435</v>
      </c>
      <c r="I385" s="70">
        <v>2575.0</v>
      </c>
      <c r="J385" s="70" t="s">
        <v>23433</v>
      </c>
      <c r="K385" s="70" t="s">
        <v>23434</v>
      </c>
      <c r="W385" s="70" t="s">
        <v>29752</v>
      </c>
      <c r="AA385" s="70" t="s">
        <v>23437</v>
      </c>
      <c r="AI385" s="70" t="s">
        <v>23438</v>
      </c>
      <c r="AJ385" s="70" t="s">
        <v>23439</v>
      </c>
      <c r="AK385" s="70">
        <v>2025.0</v>
      </c>
      <c r="AL385" s="70" t="s">
        <v>23440</v>
      </c>
      <c r="AM385" s="70">
        <v>12.0</v>
      </c>
      <c r="AQ385" s="70">
        <v>0.0</v>
      </c>
      <c r="AR385" s="75" t="s">
        <v>23441</v>
      </c>
      <c r="AS385" s="70" t="s">
        <v>22525</v>
      </c>
      <c r="AU385" s="70" t="s">
        <v>237</v>
      </c>
      <c r="AV385" s="70" t="s">
        <v>23442</v>
      </c>
      <c r="AW385" s="70" t="s">
        <v>23443</v>
      </c>
      <c r="AZ385" s="70">
        <v>1213.0</v>
      </c>
    </row>
    <row r="386" ht="22.5" customHeight="1">
      <c r="A386" s="70" t="str">
        <f t="shared" si="1"/>
        <v>Excluded</v>
      </c>
      <c r="B386" s="70">
        <f t="shared" si="2"/>
        <v>0</v>
      </c>
      <c r="C386" s="70">
        <v>0.0</v>
      </c>
      <c r="D386" s="70">
        <v>0.0</v>
      </c>
      <c r="E386" s="70">
        <v>0.0</v>
      </c>
      <c r="F386" s="70">
        <v>0.0</v>
      </c>
      <c r="G386" s="70">
        <v>0.0</v>
      </c>
      <c r="H386" s="70" t="s">
        <v>23351</v>
      </c>
      <c r="I386" s="70">
        <v>2567.0</v>
      </c>
      <c r="J386" s="70" t="s">
        <v>23349</v>
      </c>
      <c r="K386" s="70" t="s">
        <v>23350</v>
      </c>
      <c r="W386" s="70" t="s">
        <v>29753</v>
      </c>
      <c r="AA386" s="70" t="s">
        <v>23353</v>
      </c>
      <c r="AI386" s="70" t="s">
        <v>23354</v>
      </c>
      <c r="AJ386" s="70" t="s">
        <v>23355</v>
      </c>
      <c r="AK386" s="70">
        <v>2025.0</v>
      </c>
      <c r="AL386" s="70" t="s">
        <v>23356</v>
      </c>
      <c r="AM386" s="70">
        <v>103803.0</v>
      </c>
      <c r="AQ386" s="70">
        <v>0.0</v>
      </c>
      <c r="AR386" s="75" t="s">
        <v>23357</v>
      </c>
      <c r="AS386" s="70" t="s">
        <v>22525</v>
      </c>
      <c r="AU386" s="70" t="s">
        <v>237</v>
      </c>
      <c r="AV386" s="70" t="s">
        <v>23358</v>
      </c>
      <c r="AW386" s="70" t="s">
        <v>23359</v>
      </c>
      <c r="AX386" s="70">
        <v>0.0</v>
      </c>
      <c r="AY386" s="70" t="s">
        <v>24</v>
      </c>
      <c r="AZ386" s="70">
        <v>2150.0</v>
      </c>
    </row>
    <row r="387" ht="22.5" customHeight="1">
      <c r="A387" s="70" t="str">
        <f t="shared" si="1"/>
        <v>Excluded</v>
      </c>
      <c r="B387" s="70">
        <f t="shared" si="2"/>
        <v>0</v>
      </c>
      <c r="C387" s="70">
        <v>0.0</v>
      </c>
      <c r="D387" s="70">
        <v>0.0</v>
      </c>
      <c r="E387" s="70">
        <v>0.0</v>
      </c>
      <c r="F387" s="70">
        <v>0.0</v>
      </c>
      <c r="G387" s="70">
        <v>0.0</v>
      </c>
      <c r="H387" s="70" t="s">
        <v>24859</v>
      </c>
      <c r="I387" s="70">
        <v>2713.0</v>
      </c>
      <c r="J387" s="70" t="s">
        <v>24857</v>
      </c>
      <c r="K387" s="70" t="s">
        <v>24858</v>
      </c>
      <c r="W387" s="70" t="s">
        <v>29754</v>
      </c>
      <c r="AA387" s="70" t="s">
        <v>24861</v>
      </c>
      <c r="AI387" s="70" t="s">
        <v>24862</v>
      </c>
      <c r="AJ387" s="70" t="s">
        <v>24863</v>
      </c>
      <c r="AK387" s="70">
        <v>2023.0</v>
      </c>
      <c r="AL387" s="70" t="s">
        <v>24864</v>
      </c>
      <c r="AN387" s="70">
        <v>1.0</v>
      </c>
      <c r="AO387" s="70">
        <v>8.0</v>
      </c>
      <c r="AP387" s="70">
        <v>7.0</v>
      </c>
      <c r="AQ387" s="70">
        <v>0.0</v>
      </c>
      <c r="AR387" s="75" t="s">
        <v>24865</v>
      </c>
      <c r="AS387" s="70" t="s">
        <v>22525</v>
      </c>
      <c r="AT387" s="70" t="s">
        <v>22622</v>
      </c>
      <c r="AU387" s="70" t="s">
        <v>237</v>
      </c>
      <c r="AV387" s="70" t="s">
        <v>24866</v>
      </c>
      <c r="AW387" s="70" t="s">
        <v>24867</v>
      </c>
      <c r="AX387" s="70">
        <v>0.0</v>
      </c>
      <c r="AY387" s="70" t="s">
        <v>24</v>
      </c>
      <c r="AZ387" s="70">
        <v>1870.0</v>
      </c>
    </row>
    <row r="388" ht="22.5" customHeight="1">
      <c r="A388" s="70" t="str">
        <f t="shared" si="1"/>
        <v>Excluded</v>
      </c>
      <c r="B388" s="70">
        <f t="shared" si="2"/>
        <v>0</v>
      </c>
      <c r="C388" s="70">
        <v>0.0</v>
      </c>
      <c r="D388" s="70">
        <v>0.0</v>
      </c>
      <c r="E388" s="70">
        <v>0.0</v>
      </c>
      <c r="F388" s="70">
        <v>0.0</v>
      </c>
      <c r="G388" s="70">
        <v>0.0</v>
      </c>
      <c r="H388" s="70" t="s">
        <v>24088</v>
      </c>
      <c r="I388" s="70">
        <v>2638.0</v>
      </c>
      <c r="J388" s="70" t="s">
        <v>24086</v>
      </c>
      <c r="K388" s="70" t="s">
        <v>24087</v>
      </c>
      <c r="W388" s="70" t="s">
        <v>29755</v>
      </c>
      <c r="AA388" s="70" t="s">
        <v>24090</v>
      </c>
      <c r="AI388" s="70" t="s">
        <v>24091</v>
      </c>
      <c r="AJ388" s="70" t="s">
        <v>24092</v>
      </c>
      <c r="AK388" s="70">
        <v>2024.0</v>
      </c>
      <c r="AL388" s="70" t="s">
        <v>24093</v>
      </c>
      <c r="AN388" s="70">
        <v>57.0</v>
      </c>
      <c r="AO388" s="70">
        <v>71.0</v>
      </c>
      <c r="AP388" s="70">
        <v>14.0</v>
      </c>
      <c r="AQ388" s="70">
        <v>5.0</v>
      </c>
      <c r="AR388" s="75" t="s">
        <v>24094</v>
      </c>
      <c r="AS388" s="70" t="s">
        <v>22525</v>
      </c>
      <c r="AT388" s="70" t="s">
        <v>22622</v>
      </c>
      <c r="AU388" s="70" t="s">
        <v>237</v>
      </c>
      <c r="AV388" s="70" t="s">
        <v>24095</v>
      </c>
      <c r="AW388" s="70" t="s">
        <v>24096</v>
      </c>
      <c r="AZ388" s="70">
        <v>679.0</v>
      </c>
    </row>
    <row r="389" ht="22.5" customHeight="1">
      <c r="A389" s="70" t="str">
        <f t="shared" si="1"/>
        <v>Excluded</v>
      </c>
      <c r="B389" s="70">
        <f t="shared" si="2"/>
        <v>0</v>
      </c>
      <c r="C389" s="70">
        <v>0.0</v>
      </c>
      <c r="D389" s="70">
        <v>0.0</v>
      </c>
      <c r="E389" s="70">
        <v>0.0</v>
      </c>
      <c r="F389" s="70">
        <v>0.0</v>
      </c>
      <c r="G389" s="70">
        <v>0.0</v>
      </c>
      <c r="H389" s="70" t="s">
        <v>28328</v>
      </c>
      <c r="I389" s="70">
        <v>3051.0</v>
      </c>
      <c r="J389" s="70" t="s">
        <v>28326</v>
      </c>
      <c r="K389" s="70" t="s">
        <v>28327</v>
      </c>
      <c r="W389" s="70" t="s">
        <v>29756</v>
      </c>
      <c r="AA389" s="70" t="s">
        <v>28330</v>
      </c>
      <c r="AI389" s="70" t="s">
        <v>28331</v>
      </c>
      <c r="AJ389" s="70" t="s">
        <v>28332</v>
      </c>
      <c r="AK389" s="70">
        <v>2021.0</v>
      </c>
      <c r="AL389" s="70" t="s">
        <v>28333</v>
      </c>
      <c r="AN389" s="70">
        <v>401.0</v>
      </c>
      <c r="AO389" s="70">
        <v>423.0</v>
      </c>
      <c r="AP389" s="70">
        <v>22.0</v>
      </c>
      <c r="AQ389" s="70">
        <v>16.0</v>
      </c>
      <c r="AR389" s="75" t="s">
        <v>28334</v>
      </c>
      <c r="AS389" s="70" t="s">
        <v>22525</v>
      </c>
      <c r="AU389" s="70" t="s">
        <v>237</v>
      </c>
      <c r="AV389" s="70" t="s">
        <v>28335</v>
      </c>
      <c r="AW389" s="70" t="s">
        <v>28336</v>
      </c>
      <c r="AX389" s="70">
        <v>0.0</v>
      </c>
      <c r="AY389" s="70" t="s">
        <v>24</v>
      </c>
      <c r="AZ389" s="70">
        <v>2650.0</v>
      </c>
    </row>
    <row r="390" ht="22.5" customHeight="1">
      <c r="A390" s="70" t="str">
        <f t="shared" si="1"/>
        <v>Excluded</v>
      </c>
      <c r="B390" s="70">
        <f t="shared" si="2"/>
        <v>0</v>
      </c>
      <c r="C390" s="70">
        <v>0.0</v>
      </c>
      <c r="D390" s="70">
        <v>0.0</v>
      </c>
      <c r="E390" s="70">
        <v>0.0</v>
      </c>
      <c r="F390" s="70">
        <v>0.0</v>
      </c>
      <c r="G390" s="70">
        <v>0.0</v>
      </c>
      <c r="H390" s="70" t="s">
        <v>22672</v>
      </c>
      <c r="I390" s="70">
        <v>2503.0</v>
      </c>
      <c r="J390" s="70" t="s">
        <v>22670</v>
      </c>
      <c r="K390" s="70" t="s">
        <v>22671</v>
      </c>
      <c r="W390" s="70" t="s">
        <v>29757</v>
      </c>
      <c r="AA390" s="70" t="s">
        <v>22674</v>
      </c>
      <c r="AI390" s="70" t="s">
        <v>22675</v>
      </c>
      <c r="AJ390" s="70" t="s">
        <v>22676</v>
      </c>
      <c r="AK390" s="70">
        <v>2024.0</v>
      </c>
      <c r="AL390" s="70" t="s">
        <v>22677</v>
      </c>
      <c r="AM390" s="70">
        <v>100487.0</v>
      </c>
      <c r="AQ390" s="70">
        <v>27.0</v>
      </c>
      <c r="AR390" s="75" t="s">
        <v>22678</v>
      </c>
      <c r="AS390" s="70" t="s">
        <v>22525</v>
      </c>
      <c r="AT390" s="70" t="s">
        <v>22526</v>
      </c>
      <c r="AU390" s="70" t="s">
        <v>237</v>
      </c>
      <c r="AV390" s="70" t="s">
        <v>22679</v>
      </c>
      <c r="AX390" s="70">
        <v>0.0</v>
      </c>
      <c r="AY390" s="70" t="s">
        <v>24</v>
      </c>
      <c r="AZ390" s="70">
        <v>2497.0</v>
      </c>
    </row>
    <row r="391" ht="22.5" customHeight="1">
      <c r="A391" s="70" t="str">
        <f t="shared" si="1"/>
        <v>Excluded</v>
      </c>
      <c r="B391" s="70">
        <f t="shared" si="2"/>
        <v>0</v>
      </c>
      <c r="C391" s="70">
        <v>0.0</v>
      </c>
      <c r="D391" s="70">
        <v>0.0</v>
      </c>
      <c r="E391" s="70">
        <v>0.0</v>
      </c>
      <c r="F391" s="70">
        <v>0.0</v>
      </c>
      <c r="G391" s="70">
        <v>0.0</v>
      </c>
      <c r="H391" s="70" t="s">
        <v>26866</v>
      </c>
      <c r="I391" s="70">
        <v>2908.0</v>
      </c>
      <c r="J391" s="70" t="s">
        <v>26120</v>
      </c>
      <c r="K391" s="70" t="s">
        <v>26865</v>
      </c>
      <c r="W391" s="70" t="s">
        <v>29758</v>
      </c>
      <c r="AA391" s="70" t="s">
        <v>26868</v>
      </c>
      <c r="AI391" s="70" t="s">
        <v>29699</v>
      </c>
      <c r="AJ391" s="70" t="s">
        <v>26126</v>
      </c>
      <c r="AK391" s="70">
        <v>2021.0</v>
      </c>
      <c r="AL391" s="70" t="s">
        <v>26869</v>
      </c>
      <c r="AM391" s="70">
        <v>100209.0</v>
      </c>
      <c r="AQ391" s="70">
        <v>29.0</v>
      </c>
      <c r="AR391" s="75" t="s">
        <v>26870</v>
      </c>
      <c r="AS391" s="70" t="s">
        <v>22525</v>
      </c>
      <c r="AT391" s="70" t="s">
        <v>22816</v>
      </c>
      <c r="AU391" s="70" t="s">
        <v>237</v>
      </c>
      <c r="AV391" s="70" t="s">
        <v>26871</v>
      </c>
      <c r="AW391" s="70" t="s">
        <v>26872</v>
      </c>
      <c r="AX391" s="70">
        <v>0.0</v>
      </c>
      <c r="AY391" s="70" t="s">
        <v>24</v>
      </c>
      <c r="AZ391" s="70">
        <v>2764.0</v>
      </c>
    </row>
    <row r="392" ht="22.5" customHeight="1">
      <c r="A392" s="70" t="str">
        <f t="shared" si="1"/>
        <v>Excluded</v>
      </c>
      <c r="B392" s="70">
        <f t="shared" si="2"/>
        <v>0</v>
      </c>
      <c r="C392" s="70">
        <v>0.0</v>
      </c>
      <c r="D392" s="70">
        <v>0.0</v>
      </c>
      <c r="E392" s="70">
        <v>0.0</v>
      </c>
      <c r="F392" s="70">
        <v>0.0</v>
      </c>
      <c r="G392" s="70">
        <v>0.0</v>
      </c>
      <c r="H392" s="70" t="s">
        <v>27995</v>
      </c>
      <c r="I392" s="70">
        <v>3018.0</v>
      </c>
      <c r="J392" s="70" t="s">
        <v>27993</v>
      </c>
      <c r="K392" s="70" t="s">
        <v>27994</v>
      </c>
      <c r="W392" s="70" t="s">
        <v>29759</v>
      </c>
      <c r="AA392" s="70" t="s">
        <v>27997</v>
      </c>
      <c r="AI392" s="70" t="s">
        <v>27998</v>
      </c>
      <c r="AJ392" s="70" t="s">
        <v>27999</v>
      </c>
      <c r="AK392" s="70">
        <v>2020.0</v>
      </c>
      <c r="AL392" s="70" t="s">
        <v>28000</v>
      </c>
      <c r="AN392" s="70">
        <v>36.0</v>
      </c>
      <c r="AO392" s="70">
        <v>52.0</v>
      </c>
      <c r="AP392" s="70">
        <v>16.0</v>
      </c>
      <c r="AQ392" s="70">
        <v>1469.0</v>
      </c>
      <c r="AR392" s="75" t="s">
        <v>28001</v>
      </c>
      <c r="AS392" s="70" t="s">
        <v>22525</v>
      </c>
      <c r="AT392" s="70" t="s">
        <v>23606</v>
      </c>
      <c r="AU392" s="70" t="s">
        <v>237</v>
      </c>
      <c r="AV392" s="70" t="s">
        <v>28002</v>
      </c>
      <c r="AW392" s="70" t="s">
        <v>28003</v>
      </c>
      <c r="AZ392" s="70">
        <v>1309.0</v>
      </c>
    </row>
    <row r="393" ht="22.5" customHeight="1">
      <c r="A393" s="70" t="str">
        <f t="shared" si="1"/>
        <v>Excluded</v>
      </c>
      <c r="B393" s="70">
        <f t="shared" si="2"/>
        <v>0</v>
      </c>
      <c r="C393" s="70">
        <v>0.0</v>
      </c>
      <c r="D393" s="70">
        <v>0.0</v>
      </c>
      <c r="E393" s="70">
        <v>0.0</v>
      </c>
      <c r="F393" s="70">
        <v>0.0</v>
      </c>
      <c r="G393" s="70">
        <v>0.0</v>
      </c>
      <c r="H393" s="70" t="s">
        <v>23037</v>
      </c>
      <c r="I393" s="70">
        <v>2537.0</v>
      </c>
      <c r="J393" s="70" t="s">
        <v>23035</v>
      </c>
      <c r="K393" s="70" t="s">
        <v>23036</v>
      </c>
      <c r="W393" s="70" t="s">
        <v>29760</v>
      </c>
      <c r="AA393" s="70" t="s">
        <v>23039</v>
      </c>
      <c r="AI393" s="70" t="s">
        <v>23040</v>
      </c>
      <c r="AJ393" s="70" t="s">
        <v>23041</v>
      </c>
      <c r="AK393" s="70">
        <v>2024.0</v>
      </c>
      <c r="AL393" s="70" t="s">
        <v>23042</v>
      </c>
      <c r="AM393" s="70">
        <v>108268.0</v>
      </c>
      <c r="AQ393" s="70">
        <v>2.0</v>
      </c>
      <c r="AR393" s="75" t="s">
        <v>23043</v>
      </c>
      <c r="AS393" s="70" t="s">
        <v>22525</v>
      </c>
      <c r="AU393" s="70" t="s">
        <v>237</v>
      </c>
      <c r="AV393" s="70" t="s">
        <v>23044</v>
      </c>
      <c r="AW393" s="70" t="s">
        <v>23045</v>
      </c>
      <c r="AX393" s="70">
        <v>0.0</v>
      </c>
      <c r="AY393" s="70" t="s">
        <v>24</v>
      </c>
      <c r="AZ393" s="70">
        <v>2720.0</v>
      </c>
    </row>
    <row r="394" ht="22.5" customHeight="1">
      <c r="A394" s="70" t="str">
        <f t="shared" si="1"/>
        <v>Excluded</v>
      </c>
      <c r="B394" s="70">
        <f t="shared" si="2"/>
        <v>0</v>
      </c>
      <c r="C394" s="70">
        <v>0.0</v>
      </c>
      <c r="D394" s="70">
        <v>0.0</v>
      </c>
      <c r="E394" s="70">
        <v>0.0</v>
      </c>
      <c r="F394" s="70">
        <v>0.0</v>
      </c>
      <c r="G394" s="70">
        <v>0.0</v>
      </c>
      <c r="H394" s="70" t="s">
        <v>29290</v>
      </c>
      <c r="I394" s="70">
        <v>3145.0</v>
      </c>
      <c r="J394" s="70" t="s">
        <v>29288</v>
      </c>
      <c r="K394" s="70" t="s">
        <v>29289</v>
      </c>
      <c r="W394" s="70" t="s">
        <v>29761</v>
      </c>
      <c r="AA394" s="70" t="s">
        <v>29292</v>
      </c>
      <c r="AI394" s="70" t="s">
        <v>29293</v>
      </c>
      <c r="AJ394" s="70" t="s">
        <v>29294</v>
      </c>
      <c r="AK394" s="70">
        <v>2016.0</v>
      </c>
      <c r="AL394" s="70" t="s">
        <v>23053</v>
      </c>
      <c r="AN394" s="70">
        <v>1.0</v>
      </c>
      <c r="AO394" s="70">
        <v>29.0</v>
      </c>
      <c r="AP394" s="70">
        <v>28.0</v>
      </c>
      <c r="AQ394" s="70">
        <v>161.0</v>
      </c>
      <c r="AR394" s="75" t="s">
        <v>29295</v>
      </c>
      <c r="AS394" s="70" t="s">
        <v>22525</v>
      </c>
      <c r="AU394" s="70" t="s">
        <v>237</v>
      </c>
      <c r="AV394" s="70" t="s">
        <v>29296</v>
      </c>
      <c r="AW394" s="70" t="s">
        <v>29297</v>
      </c>
      <c r="AZ394" s="70">
        <v>582.0</v>
      </c>
    </row>
    <row r="395" ht="22.5" customHeight="1">
      <c r="A395" s="70" t="str">
        <f t="shared" si="1"/>
        <v>Excluded</v>
      </c>
      <c r="B395" s="70">
        <f t="shared" si="2"/>
        <v>0</v>
      </c>
      <c r="C395" s="70">
        <v>0.0</v>
      </c>
      <c r="D395" s="70">
        <v>0.0</v>
      </c>
      <c r="E395" s="70">
        <v>0.0</v>
      </c>
      <c r="F395" s="70">
        <v>0.0</v>
      </c>
      <c r="G395" s="70">
        <v>0.0</v>
      </c>
      <c r="H395" s="70" t="s">
        <v>27873</v>
      </c>
      <c r="I395" s="70">
        <v>3006.0</v>
      </c>
      <c r="J395" s="70" t="s">
        <v>27871</v>
      </c>
      <c r="K395" s="70" t="s">
        <v>27872</v>
      </c>
      <c r="W395" s="70" t="s">
        <v>29762</v>
      </c>
      <c r="AA395" s="70" t="s">
        <v>27875</v>
      </c>
      <c r="AI395" s="70" t="s">
        <v>27876</v>
      </c>
      <c r="AJ395" s="70" t="s">
        <v>27877</v>
      </c>
      <c r="AK395" s="70">
        <v>2020.0</v>
      </c>
      <c r="AL395" s="70" t="s">
        <v>23053</v>
      </c>
      <c r="AN395" s="70">
        <v>161.0</v>
      </c>
      <c r="AO395" s="70">
        <v>174.0</v>
      </c>
      <c r="AP395" s="70">
        <v>13.0</v>
      </c>
      <c r="AQ395" s="70">
        <v>104.0</v>
      </c>
      <c r="AR395" s="75" t="s">
        <v>27878</v>
      </c>
      <c r="AS395" s="70" t="s">
        <v>22525</v>
      </c>
      <c r="AU395" s="70" t="s">
        <v>237</v>
      </c>
      <c r="AV395" s="70" t="s">
        <v>27879</v>
      </c>
      <c r="AW395" s="70" t="s">
        <v>27880</v>
      </c>
      <c r="AX395" s="70">
        <v>0.0</v>
      </c>
      <c r="AY395" s="70" t="s">
        <v>24</v>
      </c>
      <c r="AZ395" s="70">
        <v>1940.0</v>
      </c>
    </row>
    <row r="396" ht="22.5" customHeight="1">
      <c r="A396" s="70" t="str">
        <f t="shared" si="1"/>
        <v>Excluded</v>
      </c>
      <c r="B396" s="70">
        <f t="shared" si="2"/>
        <v>0</v>
      </c>
      <c r="C396" s="70">
        <v>0.0</v>
      </c>
      <c r="D396" s="70">
        <v>0.0</v>
      </c>
      <c r="E396" s="70">
        <v>0.0</v>
      </c>
      <c r="F396" s="70">
        <v>0.0</v>
      </c>
      <c r="G396" s="70">
        <v>0.0</v>
      </c>
      <c r="H396" s="70" t="s">
        <v>28383</v>
      </c>
      <c r="I396" s="70">
        <v>3056.0</v>
      </c>
      <c r="J396" s="70" t="s">
        <v>28381</v>
      </c>
      <c r="K396" s="70" t="s">
        <v>28382</v>
      </c>
      <c r="W396" s="70" t="s">
        <v>29763</v>
      </c>
      <c r="AA396" s="70" t="s">
        <v>28385</v>
      </c>
      <c r="AI396" s="70" t="s">
        <v>28386</v>
      </c>
      <c r="AJ396" s="70" t="s">
        <v>28387</v>
      </c>
      <c r="AK396" s="70">
        <v>2021.0</v>
      </c>
      <c r="AL396" s="70" t="s">
        <v>23053</v>
      </c>
      <c r="AN396" s="70">
        <v>50.0</v>
      </c>
      <c r="AO396" s="70">
        <v>64.0</v>
      </c>
      <c r="AP396" s="70">
        <v>14.0</v>
      </c>
      <c r="AQ396" s="70">
        <v>21.0</v>
      </c>
      <c r="AR396" s="75" t="s">
        <v>28388</v>
      </c>
      <c r="AS396" s="70" t="s">
        <v>22525</v>
      </c>
      <c r="AT396" s="70" t="s">
        <v>22816</v>
      </c>
      <c r="AU396" s="70" t="s">
        <v>237</v>
      </c>
      <c r="AV396" s="70" t="s">
        <v>28389</v>
      </c>
      <c r="AW396" s="70" t="s">
        <v>28390</v>
      </c>
      <c r="AX396" s="70">
        <v>0.0</v>
      </c>
      <c r="AY396" s="70" t="s">
        <v>24</v>
      </c>
      <c r="AZ396" s="70">
        <v>2689.0</v>
      </c>
    </row>
    <row r="397" ht="22.5" customHeight="1">
      <c r="A397" s="70" t="str">
        <f t="shared" si="1"/>
        <v>Excluded</v>
      </c>
      <c r="B397" s="70">
        <f t="shared" si="2"/>
        <v>0</v>
      </c>
      <c r="C397" s="70">
        <v>0.0</v>
      </c>
      <c r="D397" s="70">
        <v>0.0</v>
      </c>
      <c r="E397" s="70">
        <v>0.0</v>
      </c>
      <c r="F397" s="70">
        <v>0.0</v>
      </c>
      <c r="G397" s="70">
        <v>0.0</v>
      </c>
      <c r="H397" s="70" t="s">
        <v>26212</v>
      </c>
      <c r="I397" s="70">
        <v>2844.0</v>
      </c>
      <c r="J397" s="70" t="s">
        <v>26210</v>
      </c>
      <c r="K397" s="70" t="s">
        <v>29764</v>
      </c>
      <c r="W397" s="70" t="s">
        <v>29765</v>
      </c>
      <c r="AA397" s="70" t="s">
        <v>26214</v>
      </c>
      <c r="AI397" s="70" t="s">
        <v>26215</v>
      </c>
      <c r="AJ397" s="70" t="s">
        <v>26216</v>
      </c>
      <c r="AK397" s="70">
        <v>2022.0</v>
      </c>
      <c r="AL397" s="70" t="s">
        <v>23053</v>
      </c>
      <c r="AN397" s="70">
        <v>78.0</v>
      </c>
      <c r="AO397" s="70">
        <v>91.0</v>
      </c>
      <c r="AP397" s="70">
        <v>13.0</v>
      </c>
      <c r="AQ397" s="70">
        <v>6.0</v>
      </c>
      <c r="AR397" s="75" t="s">
        <v>26217</v>
      </c>
      <c r="AS397" s="70" t="s">
        <v>22525</v>
      </c>
      <c r="AT397" s="70" t="s">
        <v>22816</v>
      </c>
      <c r="AU397" s="70" t="s">
        <v>237</v>
      </c>
      <c r="AV397" s="70" t="s">
        <v>26218</v>
      </c>
      <c r="AW397" s="70" t="s">
        <v>26219</v>
      </c>
      <c r="AX397" s="70">
        <v>0.0</v>
      </c>
      <c r="AY397" s="70" t="s">
        <v>24</v>
      </c>
      <c r="AZ397" s="70">
        <v>1973.0</v>
      </c>
    </row>
    <row r="398" ht="22.5" customHeight="1">
      <c r="A398" s="70" t="str">
        <f t="shared" si="1"/>
        <v>Excluded</v>
      </c>
      <c r="B398" s="70">
        <f t="shared" si="2"/>
        <v>0</v>
      </c>
      <c r="C398" s="70">
        <v>0.0</v>
      </c>
      <c r="D398" s="70">
        <v>0.0</v>
      </c>
      <c r="E398" s="70">
        <v>0.0</v>
      </c>
      <c r="F398" s="70">
        <v>0.0</v>
      </c>
      <c r="G398" s="70">
        <v>0.0</v>
      </c>
      <c r="H398" s="70" t="s">
        <v>23048</v>
      </c>
      <c r="I398" s="70">
        <v>2538.0</v>
      </c>
      <c r="J398" s="70" t="s">
        <v>23046</v>
      </c>
      <c r="K398" s="70" t="s">
        <v>23047</v>
      </c>
      <c r="W398" s="70" t="s">
        <v>29766</v>
      </c>
      <c r="AA398" s="70" t="s">
        <v>23050</v>
      </c>
      <c r="AI398" s="70" t="s">
        <v>23051</v>
      </c>
      <c r="AJ398" s="70" t="s">
        <v>23052</v>
      </c>
      <c r="AK398" s="70">
        <v>2024.0</v>
      </c>
      <c r="AL398" s="70" t="s">
        <v>23053</v>
      </c>
      <c r="AN398" s="70">
        <v>192.0</v>
      </c>
      <c r="AO398" s="70">
        <v>212.0</v>
      </c>
      <c r="AP398" s="70">
        <v>20.0</v>
      </c>
      <c r="AQ398" s="70">
        <v>0.0</v>
      </c>
      <c r="AR398" s="75" t="s">
        <v>23054</v>
      </c>
      <c r="AS398" s="70" t="s">
        <v>22525</v>
      </c>
      <c r="AT398" s="70" t="s">
        <v>22526</v>
      </c>
      <c r="AU398" s="70" t="s">
        <v>237</v>
      </c>
      <c r="AV398" s="70" t="s">
        <v>23055</v>
      </c>
      <c r="AW398" s="70" t="s">
        <v>23056</v>
      </c>
      <c r="AX398" s="70">
        <v>0.0</v>
      </c>
      <c r="AY398" s="70" t="s">
        <v>24</v>
      </c>
      <c r="AZ398" s="70">
        <v>1998.0</v>
      </c>
    </row>
    <row r="399" ht="22.5" customHeight="1">
      <c r="A399" s="70" t="str">
        <f t="shared" si="1"/>
        <v>Excluded</v>
      </c>
      <c r="B399" s="70">
        <f t="shared" si="2"/>
        <v>0</v>
      </c>
      <c r="C399" s="70">
        <v>0.0</v>
      </c>
      <c r="D399" s="70">
        <v>0.0</v>
      </c>
      <c r="E399" s="70">
        <v>0.0</v>
      </c>
      <c r="F399" s="70">
        <v>0.0</v>
      </c>
      <c r="G399" s="70">
        <v>0.0</v>
      </c>
      <c r="H399" s="70" t="s">
        <v>27893</v>
      </c>
      <c r="I399" s="70">
        <v>3008.0</v>
      </c>
      <c r="J399" s="70" t="s">
        <v>27891</v>
      </c>
      <c r="K399" s="70" t="s">
        <v>27892</v>
      </c>
      <c r="W399" s="70" t="s">
        <v>29767</v>
      </c>
      <c r="AA399" s="70" t="s">
        <v>27895</v>
      </c>
      <c r="AI399" s="70" t="s">
        <v>27896</v>
      </c>
      <c r="AJ399" s="70" t="s">
        <v>27897</v>
      </c>
      <c r="AK399" s="70">
        <v>2021.0</v>
      </c>
      <c r="AL399" s="70" t="s">
        <v>23179</v>
      </c>
      <c r="AM399" s="70">
        <v>107743.0</v>
      </c>
      <c r="AQ399" s="70">
        <v>41.0</v>
      </c>
      <c r="AR399" s="75" t="s">
        <v>27898</v>
      </c>
      <c r="AS399" s="70" t="s">
        <v>22525</v>
      </c>
      <c r="AT399" s="70" t="s">
        <v>22816</v>
      </c>
      <c r="AU399" s="70" t="s">
        <v>237</v>
      </c>
      <c r="AV399" s="70" t="s">
        <v>27899</v>
      </c>
      <c r="AW399" s="70" t="s">
        <v>27900</v>
      </c>
      <c r="AZ399" s="70">
        <v>935.0</v>
      </c>
    </row>
    <row r="400" ht="22.5" customHeight="1">
      <c r="A400" s="70" t="str">
        <f t="shared" si="1"/>
        <v>Excluded</v>
      </c>
      <c r="B400" s="70">
        <f t="shared" si="2"/>
        <v>0</v>
      </c>
      <c r="C400" s="70">
        <v>0.0</v>
      </c>
      <c r="D400" s="70">
        <v>0.0</v>
      </c>
      <c r="E400" s="70">
        <v>0.0</v>
      </c>
      <c r="F400" s="70">
        <v>0.0</v>
      </c>
      <c r="G400" s="70">
        <v>0.0</v>
      </c>
      <c r="H400" s="70" t="s">
        <v>28160</v>
      </c>
      <c r="I400" s="70">
        <v>3034.0</v>
      </c>
      <c r="J400" s="70" t="s">
        <v>28158</v>
      </c>
      <c r="K400" s="70" t="s">
        <v>28159</v>
      </c>
      <c r="W400" s="70" t="s">
        <v>29768</v>
      </c>
      <c r="AA400" s="70" t="s">
        <v>28162</v>
      </c>
      <c r="AI400" s="70" t="s">
        <v>28163</v>
      </c>
      <c r="AJ400" s="70" t="s">
        <v>28164</v>
      </c>
      <c r="AK400" s="70">
        <v>2021.0</v>
      </c>
      <c r="AL400" s="70" t="s">
        <v>23179</v>
      </c>
      <c r="AM400" s="70">
        <v>108010.0</v>
      </c>
      <c r="AQ400" s="70">
        <v>38.0</v>
      </c>
      <c r="AR400" s="75" t="s">
        <v>28165</v>
      </c>
      <c r="AS400" s="70" t="s">
        <v>22525</v>
      </c>
      <c r="AT400" s="70" t="s">
        <v>23606</v>
      </c>
      <c r="AU400" s="70" t="s">
        <v>237</v>
      </c>
      <c r="AV400" s="70" t="s">
        <v>28166</v>
      </c>
      <c r="AW400" s="70" t="s">
        <v>28167</v>
      </c>
      <c r="AZ400" s="70">
        <v>683.0</v>
      </c>
    </row>
    <row r="401" ht="22.5" customHeight="1">
      <c r="A401" s="70" t="str">
        <f t="shared" si="1"/>
        <v>Excluded</v>
      </c>
      <c r="B401" s="70">
        <f t="shared" si="2"/>
        <v>0</v>
      </c>
      <c r="C401" s="70">
        <v>0.0</v>
      </c>
      <c r="D401" s="70">
        <v>0.0</v>
      </c>
      <c r="E401" s="70">
        <v>0.0</v>
      </c>
      <c r="F401" s="70">
        <v>0.0</v>
      </c>
      <c r="G401" s="70">
        <v>0.0</v>
      </c>
      <c r="H401" s="70" t="s">
        <v>24496</v>
      </c>
      <c r="I401" s="70">
        <v>2678.0</v>
      </c>
      <c r="J401" s="70" t="s">
        <v>24494</v>
      </c>
      <c r="K401" s="70" t="s">
        <v>24495</v>
      </c>
      <c r="W401" s="70" t="s">
        <v>29769</v>
      </c>
      <c r="AA401" s="70" t="s">
        <v>24498</v>
      </c>
      <c r="AI401" s="70" t="s">
        <v>24499</v>
      </c>
      <c r="AJ401" s="70" t="s">
        <v>24500</v>
      </c>
      <c r="AK401" s="70">
        <v>2024.0</v>
      </c>
      <c r="AL401" s="70" t="s">
        <v>23179</v>
      </c>
      <c r="AM401" s="70">
        <v>110080.0</v>
      </c>
      <c r="AQ401" s="70">
        <v>27.0</v>
      </c>
      <c r="AR401" s="75" t="s">
        <v>24501</v>
      </c>
      <c r="AS401" s="70" t="s">
        <v>22525</v>
      </c>
      <c r="AU401" s="70" t="s">
        <v>237</v>
      </c>
      <c r="AV401" s="70" t="s">
        <v>24502</v>
      </c>
      <c r="AW401" s="70" t="s">
        <v>24503</v>
      </c>
      <c r="AX401" s="70">
        <v>0.0</v>
      </c>
      <c r="AY401" s="70" t="s">
        <v>24</v>
      </c>
      <c r="AZ401" s="70">
        <v>2969.0</v>
      </c>
    </row>
    <row r="402" ht="22.5" customHeight="1">
      <c r="A402" s="70" t="str">
        <f t="shared" si="1"/>
        <v>Excluded</v>
      </c>
      <c r="B402" s="70">
        <f t="shared" si="2"/>
        <v>0</v>
      </c>
      <c r="C402" s="70">
        <v>0.0</v>
      </c>
      <c r="D402" s="70">
        <v>0.0</v>
      </c>
      <c r="E402" s="70">
        <v>0.0</v>
      </c>
      <c r="F402" s="70">
        <v>0.0</v>
      </c>
      <c r="G402" s="70">
        <v>0.0</v>
      </c>
      <c r="H402" s="70" t="s">
        <v>23174</v>
      </c>
      <c r="I402" s="70">
        <v>2550.0</v>
      </c>
      <c r="J402" s="70" t="s">
        <v>29770</v>
      </c>
      <c r="K402" s="70" t="s">
        <v>23173</v>
      </c>
      <c r="W402" s="70" t="s">
        <v>29771</v>
      </c>
      <c r="AA402" s="70" t="s">
        <v>23176</v>
      </c>
      <c r="AI402" s="70" t="s">
        <v>29772</v>
      </c>
      <c r="AJ402" s="70" t="s">
        <v>23178</v>
      </c>
      <c r="AK402" s="70">
        <v>2025.0</v>
      </c>
      <c r="AL402" s="70" t="s">
        <v>23179</v>
      </c>
      <c r="AM402" s="70">
        <v>111008.0</v>
      </c>
      <c r="AQ402" s="70">
        <v>0.0</v>
      </c>
      <c r="AR402" s="75" t="s">
        <v>23180</v>
      </c>
      <c r="AS402" s="70" t="s">
        <v>22525</v>
      </c>
      <c r="AU402" s="70" t="s">
        <v>237</v>
      </c>
      <c r="AV402" s="70" t="s">
        <v>23181</v>
      </c>
      <c r="AW402" s="70" t="s">
        <v>23182</v>
      </c>
      <c r="AX402" s="70">
        <v>0.0</v>
      </c>
      <c r="AY402" s="70" t="s">
        <v>24</v>
      </c>
      <c r="AZ402" s="70">
        <v>1785.0</v>
      </c>
    </row>
    <row r="403" ht="22.5" customHeight="1">
      <c r="A403" s="70" t="str">
        <f t="shared" si="1"/>
        <v>Excluded</v>
      </c>
      <c r="B403" s="70">
        <f t="shared" si="2"/>
        <v>0</v>
      </c>
      <c r="C403" s="70">
        <v>0.0</v>
      </c>
      <c r="D403" s="70">
        <v>0.0</v>
      </c>
      <c r="E403" s="70">
        <v>0.0</v>
      </c>
      <c r="F403" s="70">
        <v>0.0</v>
      </c>
      <c r="G403" s="70">
        <v>0.0</v>
      </c>
      <c r="H403" s="70" t="s">
        <v>23132</v>
      </c>
      <c r="I403" s="70">
        <v>2546.0</v>
      </c>
      <c r="J403" s="70" t="s">
        <v>23130</v>
      </c>
      <c r="K403" s="70" t="s">
        <v>23131</v>
      </c>
      <c r="W403" s="70" t="s">
        <v>29773</v>
      </c>
      <c r="AA403" s="70" t="s">
        <v>23134</v>
      </c>
      <c r="AI403" s="70" t="s">
        <v>23135</v>
      </c>
      <c r="AJ403" s="70" t="s">
        <v>23136</v>
      </c>
      <c r="AK403" s="70">
        <v>2024.0</v>
      </c>
      <c r="AL403" s="70" t="s">
        <v>22708</v>
      </c>
      <c r="AM403" s="70">
        <v>109581.0</v>
      </c>
      <c r="AQ403" s="70">
        <v>4.0</v>
      </c>
      <c r="AR403" s="75" t="s">
        <v>23137</v>
      </c>
      <c r="AS403" s="70" t="s">
        <v>22525</v>
      </c>
      <c r="AU403" s="70" t="s">
        <v>237</v>
      </c>
      <c r="AV403" s="70" t="s">
        <v>23138</v>
      </c>
      <c r="AW403" s="70" t="s">
        <v>23139</v>
      </c>
      <c r="AX403" s="70">
        <v>0.0</v>
      </c>
      <c r="AY403" s="70" t="s">
        <v>24</v>
      </c>
      <c r="AZ403" s="70">
        <v>3116.0</v>
      </c>
    </row>
    <row r="404" ht="22.5" customHeight="1">
      <c r="A404" s="70" t="str">
        <f t="shared" si="1"/>
        <v>Excluded</v>
      </c>
      <c r="B404" s="70">
        <f t="shared" si="2"/>
        <v>0</v>
      </c>
      <c r="C404" s="70">
        <v>0.0</v>
      </c>
      <c r="D404" s="70">
        <v>0.0</v>
      </c>
      <c r="E404" s="70">
        <v>0.0</v>
      </c>
      <c r="F404" s="70">
        <v>0.0</v>
      </c>
      <c r="G404" s="70">
        <v>0.0</v>
      </c>
      <c r="H404" s="70" t="s">
        <v>22874</v>
      </c>
      <c r="I404" s="70">
        <v>2522.0</v>
      </c>
      <c r="J404" s="70" t="s">
        <v>22872</v>
      </c>
      <c r="K404" s="70" t="s">
        <v>22873</v>
      </c>
      <c r="W404" s="70" t="s">
        <v>29774</v>
      </c>
      <c r="AA404" s="70" t="s">
        <v>22876</v>
      </c>
      <c r="AI404" s="70" t="s">
        <v>22877</v>
      </c>
      <c r="AJ404" s="70" t="s">
        <v>22878</v>
      </c>
      <c r="AK404" s="70">
        <v>2024.0</v>
      </c>
      <c r="AL404" s="70" t="s">
        <v>22708</v>
      </c>
      <c r="AM404" s="70">
        <v>109737.0</v>
      </c>
      <c r="AQ404" s="70">
        <v>0.0</v>
      </c>
      <c r="AR404" s="75" t="s">
        <v>22879</v>
      </c>
      <c r="AS404" s="70" t="s">
        <v>22525</v>
      </c>
      <c r="AU404" s="70" t="s">
        <v>237</v>
      </c>
      <c r="AV404" s="70" t="s">
        <v>22880</v>
      </c>
      <c r="AW404" s="70" t="s">
        <v>22881</v>
      </c>
      <c r="AZ404" s="70">
        <v>849.0</v>
      </c>
    </row>
    <row r="405" ht="22.5" customHeight="1">
      <c r="A405" s="70" t="str">
        <f t="shared" si="1"/>
        <v>Excluded</v>
      </c>
      <c r="B405" s="70">
        <f t="shared" si="2"/>
        <v>0</v>
      </c>
      <c r="C405" s="70">
        <v>0.0</v>
      </c>
      <c r="D405" s="70">
        <v>0.0</v>
      </c>
      <c r="E405" s="70">
        <v>0.0</v>
      </c>
      <c r="F405" s="70">
        <v>0.0</v>
      </c>
      <c r="G405" s="70">
        <v>0.0</v>
      </c>
      <c r="H405" s="70" t="s">
        <v>22703</v>
      </c>
      <c r="I405" s="70">
        <v>2506.0</v>
      </c>
      <c r="J405" s="70" t="s">
        <v>22701</v>
      </c>
      <c r="K405" s="70" t="s">
        <v>22702</v>
      </c>
      <c r="W405" s="70" t="s">
        <v>29775</v>
      </c>
      <c r="AA405" s="70" t="s">
        <v>22705</v>
      </c>
      <c r="AI405" s="70" t="s">
        <v>22706</v>
      </c>
      <c r="AJ405" s="70" t="s">
        <v>22707</v>
      </c>
      <c r="AK405" s="70">
        <v>2025.0</v>
      </c>
      <c r="AL405" s="70" t="s">
        <v>22708</v>
      </c>
      <c r="AM405" s="70">
        <v>110080.0</v>
      </c>
      <c r="AQ405" s="70">
        <v>0.0</v>
      </c>
      <c r="AR405" s="75" t="s">
        <v>22709</v>
      </c>
      <c r="AS405" s="70" t="s">
        <v>22525</v>
      </c>
      <c r="AU405" s="70" t="s">
        <v>237</v>
      </c>
      <c r="AV405" s="70" t="s">
        <v>22710</v>
      </c>
      <c r="AW405" s="70" t="s">
        <v>22711</v>
      </c>
      <c r="AX405" s="70">
        <v>0.0</v>
      </c>
      <c r="AY405" s="70" t="s">
        <v>24</v>
      </c>
      <c r="AZ405" s="70">
        <v>1729.0</v>
      </c>
    </row>
    <row r="406" ht="22.5" customHeight="1">
      <c r="A406" s="70" t="str">
        <f t="shared" si="1"/>
        <v>Excluded</v>
      </c>
      <c r="B406" s="70">
        <f t="shared" si="2"/>
        <v>0</v>
      </c>
      <c r="C406" s="70">
        <v>0.0</v>
      </c>
      <c r="D406" s="70">
        <v>0.0</v>
      </c>
      <c r="E406" s="70">
        <v>0.0</v>
      </c>
      <c r="F406" s="70">
        <v>0.0</v>
      </c>
      <c r="G406" s="70">
        <v>0.0</v>
      </c>
      <c r="H406" s="70" t="s">
        <v>23185</v>
      </c>
      <c r="I406" s="70">
        <v>2551.0</v>
      </c>
      <c r="J406" s="70" t="s">
        <v>23183</v>
      </c>
      <c r="K406" s="70" t="s">
        <v>23184</v>
      </c>
      <c r="W406" s="70" t="s">
        <v>29776</v>
      </c>
      <c r="AA406" s="70" t="s">
        <v>23187</v>
      </c>
      <c r="AI406" s="70" t="s">
        <v>23188</v>
      </c>
      <c r="AJ406" s="70" t="s">
        <v>23189</v>
      </c>
      <c r="AK406" s="70">
        <v>2025.0</v>
      </c>
      <c r="AL406" s="70" t="s">
        <v>22708</v>
      </c>
      <c r="AM406" s="70">
        <v>110085.0</v>
      </c>
      <c r="AQ406" s="70">
        <v>0.0</v>
      </c>
      <c r="AR406" s="75" t="s">
        <v>23190</v>
      </c>
      <c r="AS406" s="70" t="s">
        <v>22525</v>
      </c>
      <c r="AU406" s="70" t="s">
        <v>237</v>
      </c>
      <c r="AV406" s="70" t="s">
        <v>23191</v>
      </c>
      <c r="AW406" s="70" t="s">
        <v>23192</v>
      </c>
      <c r="AX406" s="70">
        <v>0.0</v>
      </c>
      <c r="AY406" s="70" t="s">
        <v>24</v>
      </c>
      <c r="AZ406" s="70">
        <v>2473.0</v>
      </c>
    </row>
    <row r="407" ht="22.5" customHeight="1">
      <c r="A407" s="70" t="str">
        <f t="shared" si="1"/>
        <v>Excluded</v>
      </c>
      <c r="B407" s="70">
        <f t="shared" si="2"/>
        <v>0</v>
      </c>
      <c r="C407" s="70">
        <v>0.0</v>
      </c>
      <c r="D407" s="70">
        <v>0.0</v>
      </c>
      <c r="E407" s="70">
        <v>0.0</v>
      </c>
      <c r="F407" s="70">
        <v>0.0</v>
      </c>
      <c r="G407" s="70">
        <v>0.0</v>
      </c>
      <c r="H407" s="70" t="s">
        <v>28150</v>
      </c>
      <c r="I407" s="70">
        <v>3033.0</v>
      </c>
      <c r="J407" s="70" t="s">
        <v>29777</v>
      </c>
      <c r="K407" s="70" t="s">
        <v>28149</v>
      </c>
      <c r="W407" s="70" t="s">
        <v>29778</v>
      </c>
      <c r="AA407" s="70" t="s">
        <v>28152</v>
      </c>
      <c r="AI407" s="70" t="s">
        <v>29779</v>
      </c>
      <c r="AJ407" s="70" t="s">
        <v>28154</v>
      </c>
      <c r="AK407" s="70">
        <v>2020.0</v>
      </c>
      <c r="AL407" s="70" t="s">
        <v>27022</v>
      </c>
      <c r="AM407" s="70">
        <v>103336.0</v>
      </c>
      <c r="AQ407" s="70">
        <v>10.0</v>
      </c>
      <c r="AR407" s="75" t="s">
        <v>28155</v>
      </c>
      <c r="AS407" s="70" t="s">
        <v>22525</v>
      </c>
      <c r="AU407" s="70" t="s">
        <v>237</v>
      </c>
      <c r="AV407" s="70" t="s">
        <v>28156</v>
      </c>
      <c r="AW407" s="70" t="s">
        <v>28157</v>
      </c>
      <c r="AX407" s="70">
        <v>0.0</v>
      </c>
      <c r="AY407" s="70" t="s">
        <v>24</v>
      </c>
      <c r="AZ407" s="70">
        <v>2889.0</v>
      </c>
    </row>
    <row r="408" ht="22.5" customHeight="1">
      <c r="A408" s="70" t="str">
        <f t="shared" si="1"/>
        <v>Excluded</v>
      </c>
      <c r="B408" s="70">
        <f t="shared" si="2"/>
        <v>0</v>
      </c>
      <c r="C408" s="70">
        <v>0.0</v>
      </c>
      <c r="D408" s="70">
        <v>0.0</v>
      </c>
      <c r="E408" s="70">
        <v>0.0</v>
      </c>
      <c r="F408" s="70">
        <v>0.0</v>
      </c>
      <c r="G408" s="70">
        <v>0.0</v>
      </c>
      <c r="H408" s="70" t="s">
        <v>27017</v>
      </c>
      <c r="I408" s="70">
        <v>2923.0</v>
      </c>
      <c r="J408" s="70" t="s">
        <v>27015</v>
      </c>
      <c r="K408" s="70" t="s">
        <v>27016</v>
      </c>
      <c r="W408" s="70" t="s">
        <v>29780</v>
      </c>
      <c r="AA408" s="70" t="s">
        <v>27019</v>
      </c>
      <c r="AI408" s="70" t="s">
        <v>29781</v>
      </c>
      <c r="AJ408" s="70" t="s">
        <v>27021</v>
      </c>
      <c r="AK408" s="70">
        <v>2021.0</v>
      </c>
      <c r="AL408" s="70" t="s">
        <v>27022</v>
      </c>
      <c r="AM408" s="70">
        <v>103469.0</v>
      </c>
      <c r="AQ408" s="70">
        <v>531.0</v>
      </c>
      <c r="AR408" s="75" t="s">
        <v>27023</v>
      </c>
      <c r="AS408" s="70" t="s">
        <v>22525</v>
      </c>
      <c r="AT408" s="70" t="s">
        <v>27024</v>
      </c>
      <c r="AU408" s="70" t="s">
        <v>237</v>
      </c>
      <c r="AV408" s="70" t="s">
        <v>27025</v>
      </c>
      <c r="AW408" s="70" t="s">
        <v>27026</v>
      </c>
      <c r="AZ408" s="70">
        <v>1190.0</v>
      </c>
    </row>
    <row r="409" ht="22.5" customHeight="1">
      <c r="A409" s="70" t="str">
        <f t="shared" si="1"/>
        <v>Excluded</v>
      </c>
      <c r="B409" s="70">
        <f t="shared" si="2"/>
        <v>0</v>
      </c>
      <c r="C409" s="70">
        <v>0.0</v>
      </c>
      <c r="D409" s="70">
        <v>0.0</v>
      </c>
      <c r="E409" s="70">
        <v>0.0</v>
      </c>
      <c r="F409" s="70">
        <v>0.0</v>
      </c>
      <c r="G409" s="70">
        <v>0.0</v>
      </c>
      <c r="H409" s="70" t="s">
        <v>26670</v>
      </c>
      <c r="I409" s="70">
        <v>2889.0</v>
      </c>
      <c r="J409" s="70" t="s">
        <v>26668</v>
      </c>
      <c r="K409" s="70" t="s">
        <v>26669</v>
      </c>
      <c r="W409" s="70" t="s">
        <v>29782</v>
      </c>
      <c r="AA409" s="70" t="s">
        <v>26672</v>
      </c>
      <c r="AI409" s="70" t="s">
        <v>26673</v>
      </c>
      <c r="AJ409" s="70" t="s">
        <v>26674</v>
      </c>
      <c r="AK409" s="70">
        <v>2022.0</v>
      </c>
      <c r="AL409" s="70" t="s">
        <v>26675</v>
      </c>
      <c r="AM409" s="70">
        <v>102776.0</v>
      </c>
      <c r="AQ409" s="70">
        <v>7.0</v>
      </c>
      <c r="AR409" s="75" t="s">
        <v>26676</v>
      </c>
      <c r="AS409" s="70" t="s">
        <v>22525</v>
      </c>
      <c r="AT409" s="70" t="s">
        <v>22526</v>
      </c>
      <c r="AU409" s="70" t="s">
        <v>237</v>
      </c>
      <c r="AV409" s="70" t="s">
        <v>26677</v>
      </c>
      <c r="AW409" s="70" t="s">
        <v>26678</v>
      </c>
      <c r="AX409" s="70">
        <v>0.0</v>
      </c>
      <c r="AY409" s="70" t="s">
        <v>24</v>
      </c>
      <c r="AZ409" s="70">
        <v>2338.0</v>
      </c>
    </row>
    <row r="410" ht="22.5" customHeight="1">
      <c r="A410" s="70" t="str">
        <f t="shared" si="1"/>
        <v>Excluded</v>
      </c>
      <c r="B410" s="70">
        <f t="shared" si="2"/>
        <v>0</v>
      </c>
      <c r="C410" s="70">
        <v>0.0</v>
      </c>
      <c r="D410" s="70">
        <v>0.0</v>
      </c>
      <c r="E410" s="70">
        <v>0.0</v>
      </c>
      <c r="F410" s="70">
        <v>0.0</v>
      </c>
      <c r="G410" s="70">
        <v>0.0</v>
      </c>
      <c r="H410" s="70" t="s">
        <v>26242</v>
      </c>
      <c r="I410" s="70">
        <v>2847.0</v>
      </c>
      <c r="J410" s="70" t="s">
        <v>26240</v>
      </c>
      <c r="K410" s="70" t="s">
        <v>26241</v>
      </c>
      <c r="W410" s="70" t="s">
        <v>29783</v>
      </c>
      <c r="AA410" s="70" t="s">
        <v>26244</v>
      </c>
      <c r="AI410" s="70" t="s">
        <v>26245</v>
      </c>
      <c r="AJ410" s="70" t="s">
        <v>26246</v>
      </c>
      <c r="AK410" s="70">
        <v>2022.0</v>
      </c>
      <c r="AL410" s="70" t="s">
        <v>26247</v>
      </c>
      <c r="AM410" s="70">
        <v>101971.0</v>
      </c>
      <c r="AQ410" s="70">
        <v>12.0</v>
      </c>
      <c r="AR410" s="75" t="s">
        <v>26248</v>
      </c>
      <c r="AS410" s="70" t="s">
        <v>22525</v>
      </c>
      <c r="AU410" s="70" t="s">
        <v>237</v>
      </c>
      <c r="AV410" s="70" t="s">
        <v>26249</v>
      </c>
      <c r="AW410" s="70" t="s">
        <v>26250</v>
      </c>
      <c r="AZ410" s="70">
        <v>339.0</v>
      </c>
    </row>
    <row r="411" ht="22.5" customHeight="1">
      <c r="A411" s="70" t="str">
        <f t="shared" si="1"/>
        <v>Excluded</v>
      </c>
      <c r="B411" s="70">
        <f t="shared" si="2"/>
        <v>0</v>
      </c>
      <c r="C411" s="70">
        <v>0.0</v>
      </c>
      <c r="D411" s="70">
        <v>0.0</v>
      </c>
      <c r="E411" s="70">
        <v>0.0</v>
      </c>
      <c r="F411" s="70">
        <v>0.0</v>
      </c>
      <c r="G411" s="70">
        <v>0.0</v>
      </c>
      <c r="H411" s="70" t="s">
        <v>26631</v>
      </c>
      <c r="I411" s="70">
        <v>2885.0</v>
      </c>
      <c r="J411" s="70" t="s">
        <v>26629</v>
      </c>
      <c r="K411" s="70" t="s">
        <v>26630</v>
      </c>
      <c r="W411" s="70" t="s">
        <v>29784</v>
      </c>
      <c r="AA411" s="70" t="s">
        <v>26633</v>
      </c>
      <c r="AI411" s="70" t="s">
        <v>26634</v>
      </c>
      <c r="AJ411" s="70" t="s">
        <v>26635</v>
      </c>
      <c r="AK411" s="70">
        <v>2022.0</v>
      </c>
      <c r="AL411" s="70" t="s">
        <v>23616</v>
      </c>
      <c r="AN411" s="70">
        <v>476.0</v>
      </c>
      <c r="AO411" s="70">
        <v>484.0</v>
      </c>
      <c r="AP411" s="70">
        <v>8.0</v>
      </c>
      <c r="AQ411" s="70">
        <v>12.0</v>
      </c>
      <c r="AR411" s="75" t="s">
        <v>26636</v>
      </c>
      <c r="AS411" s="70" t="s">
        <v>22525</v>
      </c>
      <c r="AT411" s="70" t="s">
        <v>22622</v>
      </c>
      <c r="AU411" s="70" t="s">
        <v>237</v>
      </c>
      <c r="AV411" s="70" t="s">
        <v>26637</v>
      </c>
      <c r="AW411" s="70" t="s">
        <v>26638</v>
      </c>
      <c r="AX411" s="70">
        <v>0.0</v>
      </c>
      <c r="AY411" s="70" t="s">
        <v>24</v>
      </c>
      <c r="AZ411" s="70">
        <v>2233.0</v>
      </c>
    </row>
    <row r="412" ht="22.5" customHeight="1">
      <c r="A412" s="70" t="str">
        <f t="shared" si="1"/>
        <v>Excluded</v>
      </c>
      <c r="B412" s="70">
        <f t="shared" si="2"/>
        <v>0</v>
      </c>
      <c r="C412" s="70">
        <v>0.0</v>
      </c>
      <c r="D412" s="70">
        <v>0.0</v>
      </c>
      <c r="E412" s="70">
        <v>0.0</v>
      </c>
      <c r="F412" s="70">
        <v>0.0</v>
      </c>
      <c r="G412" s="70">
        <v>0.0</v>
      </c>
      <c r="H412" s="70" t="s">
        <v>23611</v>
      </c>
      <c r="I412" s="70">
        <v>2592.0</v>
      </c>
      <c r="J412" s="70" t="s">
        <v>23609</v>
      </c>
      <c r="K412" s="70" t="s">
        <v>23610</v>
      </c>
      <c r="W412" s="70" t="s">
        <v>29785</v>
      </c>
      <c r="AA412" s="70" t="s">
        <v>23613</v>
      </c>
      <c r="AI412" s="70" t="s">
        <v>23614</v>
      </c>
      <c r="AJ412" s="70" t="s">
        <v>23615</v>
      </c>
      <c r="AK412" s="70">
        <v>2024.0</v>
      </c>
      <c r="AL412" s="70" t="s">
        <v>23616</v>
      </c>
      <c r="AN412" s="70">
        <v>237.0</v>
      </c>
      <c r="AO412" s="70">
        <v>247.0</v>
      </c>
      <c r="AP412" s="70">
        <v>10.0</v>
      </c>
      <c r="AQ412" s="70">
        <v>32.0</v>
      </c>
      <c r="AR412" s="75" t="s">
        <v>23617</v>
      </c>
      <c r="AS412" s="70" t="s">
        <v>22525</v>
      </c>
      <c r="AT412" s="70" t="s">
        <v>22622</v>
      </c>
      <c r="AU412" s="70" t="s">
        <v>237</v>
      </c>
      <c r="AV412" s="70" t="s">
        <v>23618</v>
      </c>
      <c r="AW412" s="70" t="s">
        <v>23619</v>
      </c>
      <c r="AZ412" s="70">
        <v>996.0</v>
      </c>
    </row>
    <row r="413" ht="22.5" customHeight="1">
      <c r="A413" s="70" t="str">
        <f t="shared" si="1"/>
        <v>Excluded</v>
      </c>
      <c r="B413" s="70">
        <f t="shared" si="2"/>
        <v>0</v>
      </c>
      <c r="C413" s="70">
        <v>0.0</v>
      </c>
      <c r="D413" s="70">
        <v>0.0</v>
      </c>
      <c r="E413" s="70">
        <v>0.0</v>
      </c>
      <c r="F413" s="70">
        <v>0.0</v>
      </c>
      <c r="G413" s="70">
        <v>0.0</v>
      </c>
      <c r="H413" s="70" t="s">
        <v>25387</v>
      </c>
      <c r="I413" s="70">
        <v>2764.0</v>
      </c>
      <c r="J413" s="70" t="s">
        <v>29786</v>
      </c>
      <c r="K413" s="70" t="s">
        <v>25386</v>
      </c>
      <c r="W413" s="70" t="s">
        <v>29787</v>
      </c>
      <c r="AA413" s="70" t="s">
        <v>25389</v>
      </c>
      <c r="AI413" s="70" t="s">
        <v>29788</v>
      </c>
      <c r="AJ413" s="70" t="s">
        <v>25391</v>
      </c>
      <c r="AK413" s="70">
        <v>2023.0</v>
      </c>
      <c r="AL413" s="70" t="s">
        <v>25392</v>
      </c>
      <c r="AM413" s="70">
        <v>100240.0</v>
      </c>
      <c r="AQ413" s="70">
        <v>7.0</v>
      </c>
      <c r="AR413" s="75" t="s">
        <v>25393</v>
      </c>
      <c r="AS413" s="70" t="s">
        <v>22525</v>
      </c>
      <c r="AT413" s="70" t="s">
        <v>22622</v>
      </c>
      <c r="AU413" s="70" t="s">
        <v>237</v>
      </c>
      <c r="AV413" s="70" t="s">
        <v>25394</v>
      </c>
      <c r="AW413" s="70" t="s">
        <v>25395</v>
      </c>
      <c r="AX413" s="70">
        <v>0.0</v>
      </c>
      <c r="AY413" s="70" t="s">
        <v>24</v>
      </c>
      <c r="AZ413" s="70">
        <v>3014.0</v>
      </c>
    </row>
    <row r="414" ht="22.5" customHeight="1">
      <c r="A414" s="70" t="str">
        <f t="shared" si="1"/>
        <v>Excluded</v>
      </c>
      <c r="B414" s="70">
        <f t="shared" si="2"/>
        <v>0</v>
      </c>
      <c r="C414" s="70">
        <v>0.0</v>
      </c>
      <c r="D414" s="70">
        <v>0.0</v>
      </c>
      <c r="E414" s="70">
        <v>0.0</v>
      </c>
      <c r="F414" s="70">
        <v>0.0</v>
      </c>
      <c r="G414" s="70">
        <v>0.0</v>
      </c>
      <c r="H414" s="70" t="s">
        <v>24427</v>
      </c>
      <c r="I414" s="70">
        <v>2671.0</v>
      </c>
      <c r="J414" s="70" t="s">
        <v>24425</v>
      </c>
      <c r="K414" s="70" t="s">
        <v>24426</v>
      </c>
      <c r="W414" s="70" t="s">
        <v>29789</v>
      </c>
      <c r="AA414" s="70" t="s">
        <v>24429</v>
      </c>
      <c r="AI414" s="70" t="s">
        <v>24430</v>
      </c>
      <c r="AJ414" s="70" t="s">
        <v>24431</v>
      </c>
      <c r="AK414" s="70">
        <v>2023.0</v>
      </c>
      <c r="AL414" s="70" t="s">
        <v>24432</v>
      </c>
      <c r="AN414" s="70">
        <v>3355.0</v>
      </c>
      <c r="AO414" s="70">
        <v>3372.0</v>
      </c>
      <c r="AP414" s="70">
        <v>17.0</v>
      </c>
      <c r="AQ414" s="70">
        <v>19.0</v>
      </c>
      <c r="AR414" s="75" t="s">
        <v>24433</v>
      </c>
      <c r="AS414" s="70" t="s">
        <v>22525</v>
      </c>
      <c r="AT414" s="70" t="s">
        <v>22622</v>
      </c>
      <c r="AU414" s="70" t="s">
        <v>237</v>
      </c>
      <c r="AV414" s="70" t="s">
        <v>24434</v>
      </c>
      <c r="AW414" s="70" t="s">
        <v>24435</v>
      </c>
      <c r="AZ414" s="70">
        <v>635.0</v>
      </c>
    </row>
    <row r="415" ht="22.5" customHeight="1">
      <c r="A415" s="70" t="str">
        <f t="shared" si="1"/>
        <v>Excluded</v>
      </c>
      <c r="B415" s="70">
        <f t="shared" si="2"/>
        <v>0</v>
      </c>
      <c r="C415" s="70">
        <v>0.0</v>
      </c>
      <c r="D415" s="70">
        <v>0.0</v>
      </c>
      <c r="E415" s="70">
        <v>0.0</v>
      </c>
      <c r="F415" s="70">
        <v>0.0</v>
      </c>
      <c r="G415" s="70">
        <v>0.0</v>
      </c>
      <c r="H415" s="70" t="s">
        <v>26436</v>
      </c>
      <c r="I415" s="70">
        <v>2866.0</v>
      </c>
      <c r="J415" s="70" t="s">
        <v>26434</v>
      </c>
      <c r="K415" s="70" t="s">
        <v>26435</v>
      </c>
      <c r="W415" s="70" t="s">
        <v>29790</v>
      </c>
      <c r="AA415" s="70" t="s">
        <v>26438</v>
      </c>
      <c r="AI415" s="70" t="s">
        <v>26439</v>
      </c>
      <c r="AJ415" s="70" t="s">
        <v>26440</v>
      </c>
      <c r="AK415" s="70">
        <v>2022.0</v>
      </c>
      <c r="AL415" s="70" t="s">
        <v>26441</v>
      </c>
      <c r="AM415" s="70">
        <v>111762.0</v>
      </c>
      <c r="AQ415" s="70">
        <v>85.0</v>
      </c>
      <c r="AR415" s="75" t="s">
        <v>26442</v>
      </c>
      <c r="AS415" s="70" t="s">
        <v>22525</v>
      </c>
      <c r="AU415" s="70" t="s">
        <v>237</v>
      </c>
      <c r="AV415" s="70" t="s">
        <v>26443</v>
      </c>
      <c r="AW415" s="70" t="s">
        <v>26444</v>
      </c>
      <c r="AX415" s="70">
        <v>0.0</v>
      </c>
      <c r="AY415" s="70" t="s">
        <v>24</v>
      </c>
      <c r="AZ415" s="70">
        <v>1745.0</v>
      </c>
    </row>
    <row r="416" ht="22.5" customHeight="1">
      <c r="A416" s="70" t="str">
        <f t="shared" si="1"/>
        <v>Excluded</v>
      </c>
      <c r="B416" s="70">
        <f t="shared" si="2"/>
        <v>0</v>
      </c>
      <c r="C416" s="70">
        <v>0.0</v>
      </c>
      <c r="D416" s="70">
        <v>0.0</v>
      </c>
      <c r="E416" s="70">
        <v>0.0</v>
      </c>
      <c r="F416" s="70">
        <v>0.0</v>
      </c>
      <c r="G416" s="70">
        <v>0.0</v>
      </c>
      <c r="H416" s="70" t="s">
        <v>23991</v>
      </c>
      <c r="I416" s="70">
        <v>2629.0</v>
      </c>
      <c r="J416" s="70" t="s">
        <v>23989</v>
      </c>
      <c r="K416" s="70" t="s">
        <v>23990</v>
      </c>
      <c r="W416" s="70" t="s">
        <v>29791</v>
      </c>
      <c r="AA416" s="70" t="s">
        <v>23993</v>
      </c>
      <c r="AI416" s="70" t="s">
        <v>23994</v>
      </c>
      <c r="AJ416" s="70" t="s">
        <v>23995</v>
      </c>
      <c r="AK416" s="70">
        <v>2024.0</v>
      </c>
      <c r="AL416" s="70" t="s">
        <v>23996</v>
      </c>
      <c r="AM416" s="70">
        <v>107479.0</v>
      </c>
      <c r="AQ416" s="70">
        <v>13.0</v>
      </c>
      <c r="AR416" s="75" t="s">
        <v>23997</v>
      </c>
      <c r="AS416" s="70" t="s">
        <v>22525</v>
      </c>
      <c r="AU416" s="70" t="s">
        <v>237</v>
      </c>
      <c r="AV416" s="70" t="s">
        <v>23998</v>
      </c>
      <c r="AW416" s="70" t="s">
        <v>23999</v>
      </c>
      <c r="AZ416" s="70">
        <v>1135.0</v>
      </c>
    </row>
    <row r="417" ht="22.5" customHeight="1">
      <c r="A417" s="70" t="str">
        <f t="shared" si="1"/>
        <v>Excluded</v>
      </c>
      <c r="B417" s="70">
        <f t="shared" si="2"/>
        <v>0</v>
      </c>
      <c r="C417" s="70">
        <v>0.0</v>
      </c>
      <c r="D417" s="70">
        <v>0.0</v>
      </c>
      <c r="E417" s="70">
        <v>0.0</v>
      </c>
      <c r="F417" s="70">
        <v>0.0</v>
      </c>
      <c r="G417" s="70">
        <v>0.0</v>
      </c>
      <c r="H417" s="70" t="s">
        <v>26111</v>
      </c>
      <c r="I417" s="70">
        <v>2834.0</v>
      </c>
      <c r="J417" s="70" t="s">
        <v>26109</v>
      </c>
      <c r="K417" s="70" t="s">
        <v>26110</v>
      </c>
      <c r="W417" s="70" t="s">
        <v>29792</v>
      </c>
      <c r="AA417" s="70" t="s">
        <v>26113</v>
      </c>
      <c r="AI417" s="70" t="s">
        <v>26114</v>
      </c>
      <c r="AJ417" s="70" t="s">
        <v>26115</v>
      </c>
      <c r="AK417" s="70">
        <v>2022.0</v>
      </c>
      <c r="AL417" s="70" t="s">
        <v>26116</v>
      </c>
      <c r="AN417" s="70">
        <v>166.0</v>
      </c>
      <c r="AO417" s="70">
        <v>179.0</v>
      </c>
      <c r="AP417" s="70">
        <v>13.0</v>
      </c>
      <c r="AQ417" s="70">
        <v>17.0</v>
      </c>
      <c r="AR417" s="75" t="s">
        <v>26117</v>
      </c>
      <c r="AS417" s="70" t="s">
        <v>22525</v>
      </c>
      <c r="AT417" s="70" t="s">
        <v>22622</v>
      </c>
      <c r="AU417" s="70" t="s">
        <v>237</v>
      </c>
      <c r="AV417" s="70" t="s">
        <v>26118</v>
      </c>
      <c r="AW417" s="70" t="s">
        <v>26119</v>
      </c>
      <c r="AZ417" s="70">
        <v>1283.0</v>
      </c>
    </row>
    <row r="418" ht="22.5" customHeight="1">
      <c r="A418" s="70" t="str">
        <f t="shared" si="1"/>
        <v>Excluded</v>
      </c>
      <c r="B418" s="70">
        <f t="shared" si="2"/>
        <v>0</v>
      </c>
      <c r="C418" s="70">
        <v>0.0</v>
      </c>
      <c r="D418" s="70">
        <v>0.0</v>
      </c>
      <c r="E418" s="70">
        <v>0.0</v>
      </c>
      <c r="F418" s="70">
        <v>0.0</v>
      </c>
      <c r="G418" s="70">
        <v>0.0</v>
      </c>
      <c r="H418" s="70" t="s">
        <v>22541</v>
      </c>
      <c r="I418" s="70">
        <v>2491.0</v>
      </c>
      <c r="J418" s="70" t="s">
        <v>22539</v>
      </c>
      <c r="K418" s="70" t="s">
        <v>22540</v>
      </c>
      <c r="W418" s="70" t="s">
        <v>29793</v>
      </c>
      <c r="AA418" s="70" t="s">
        <v>22543</v>
      </c>
      <c r="AI418" s="70" t="s">
        <v>22544</v>
      </c>
      <c r="AJ418" s="70" t="s">
        <v>22545</v>
      </c>
      <c r="AK418" s="70">
        <v>2024.0</v>
      </c>
      <c r="AL418" s="70" t="s">
        <v>22546</v>
      </c>
      <c r="AM418" s="70">
        <v>109104.0</v>
      </c>
      <c r="AQ418" s="70">
        <v>30.0</v>
      </c>
      <c r="AR418" s="75" t="s">
        <v>22547</v>
      </c>
      <c r="AS418" s="70" t="s">
        <v>22525</v>
      </c>
      <c r="AU418" s="70" t="s">
        <v>237</v>
      </c>
      <c r="AV418" s="70" t="s">
        <v>22548</v>
      </c>
      <c r="AW418" s="70" t="s">
        <v>22549</v>
      </c>
      <c r="AZ418" s="70">
        <v>816.0</v>
      </c>
    </row>
    <row r="419" ht="22.5" customHeight="1">
      <c r="A419" s="70" t="str">
        <f t="shared" si="1"/>
        <v>Excluded</v>
      </c>
      <c r="B419" s="70">
        <f t="shared" si="2"/>
        <v>0</v>
      </c>
      <c r="C419" s="70">
        <v>0.0</v>
      </c>
      <c r="D419" s="70">
        <v>0.0</v>
      </c>
      <c r="E419" s="70">
        <v>0.0</v>
      </c>
      <c r="F419" s="70">
        <v>0.0</v>
      </c>
      <c r="G419" s="70">
        <v>0.0</v>
      </c>
      <c r="H419" s="70" t="s">
        <v>28723</v>
      </c>
      <c r="I419" s="70">
        <v>3089.0</v>
      </c>
      <c r="J419" s="70" t="s">
        <v>28721</v>
      </c>
      <c r="K419" s="70" t="s">
        <v>28722</v>
      </c>
      <c r="W419" s="70" t="s">
        <v>29794</v>
      </c>
      <c r="AA419" s="70" t="s">
        <v>28725</v>
      </c>
      <c r="AI419" s="70" t="s">
        <v>28726</v>
      </c>
      <c r="AJ419" s="70" t="s">
        <v>28727</v>
      </c>
      <c r="AK419" s="70">
        <v>2019.0</v>
      </c>
      <c r="AL419" s="70" t="s">
        <v>22791</v>
      </c>
      <c r="AN419" s="70">
        <v>124.0</v>
      </c>
      <c r="AO419" s="70">
        <v>139.0</v>
      </c>
      <c r="AP419" s="70">
        <v>15.0</v>
      </c>
      <c r="AQ419" s="70">
        <v>9.0</v>
      </c>
      <c r="AR419" s="75" t="s">
        <v>28728</v>
      </c>
      <c r="AS419" s="70" t="s">
        <v>22525</v>
      </c>
      <c r="AT419" s="70" t="s">
        <v>22816</v>
      </c>
      <c r="AU419" s="70" t="s">
        <v>237</v>
      </c>
      <c r="AV419" s="70" t="s">
        <v>28729</v>
      </c>
      <c r="AW419" s="70" t="s">
        <v>28730</v>
      </c>
      <c r="AZ419" s="70">
        <v>715.0</v>
      </c>
    </row>
    <row r="420" ht="22.5" customHeight="1">
      <c r="A420" s="70" t="str">
        <f t="shared" si="1"/>
        <v>Excluded</v>
      </c>
      <c r="B420" s="70">
        <f t="shared" si="2"/>
        <v>0</v>
      </c>
      <c r="C420" s="70">
        <v>0.0</v>
      </c>
      <c r="D420" s="70">
        <v>0.0</v>
      </c>
      <c r="E420" s="70">
        <v>0.0</v>
      </c>
      <c r="F420" s="70">
        <v>0.0</v>
      </c>
      <c r="G420" s="70">
        <v>0.0</v>
      </c>
      <c r="H420" s="70" t="s">
        <v>25270</v>
      </c>
      <c r="I420" s="70">
        <v>2753.0</v>
      </c>
      <c r="J420" s="70" t="s">
        <v>25268</v>
      </c>
      <c r="K420" s="70" t="s">
        <v>25269</v>
      </c>
      <c r="W420" s="70" t="s">
        <v>29795</v>
      </c>
      <c r="AA420" s="70" t="s">
        <v>25272</v>
      </c>
      <c r="AI420" s="70" t="s">
        <v>25273</v>
      </c>
      <c r="AJ420" s="70" t="s">
        <v>25274</v>
      </c>
      <c r="AK420" s="70">
        <v>2023.0</v>
      </c>
      <c r="AL420" s="70" t="s">
        <v>22791</v>
      </c>
      <c r="AM420" s="70">
        <v>119744.0</v>
      </c>
      <c r="AQ420" s="70">
        <v>1.0</v>
      </c>
      <c r="AR420" s="75" t="s">
        <v>25275</v>
      </c>
      <c r="AS420" s="70" t="s">
        <v>22525</v>
      </c>
      <c r="AU420" s="70" t="s">
        <v>237</v>
      </c>
      <c r="AV420" s="70" t="s">
        <v>25276</v>
      </c>
      <c r="AW420" s="70" t="s">
        <v>25277</v>
      </c>
      <c r="AX420" s="70">
        <v>0.0</v>
      </c>
      <c r="AY420" s="70" t="s">
        <v>24</v>
      </c>
      <c r="AZ420" s="70">
        <v>1866.0</v>
      </c>
    </row>
    <row r="421" ht="22.5" customHeight="1">
      <c r="A421" s="70" t="str">
        <f t="shared" si="1"/>
        <v>Excluded</v>
      </c>
      <c r="B421" s="70">
        <f t="shared" si="2"/>
        <v>0</v>
      </c>
      <c r="C421" s="70">
        <v>0.0</v>
      </c>
      <c r="D421" s="70">
        <v>0.0</v>
      </c>
      <c r="E421" s="70">
        <v>0.0</v>
      </c>
      <c r="F421" s="70">
        <v>0.0</v>
      </c>
      <c r="G421" s="70">
        <v>0.0</v>
      </c>
      <c r="H421" s="70" t="s">
        <v>22786</v>
      </c>
      <c r="I421" s="70">
        <v>2514.0</v>
      </c>
      <c r="J421" s="70" t="s">
        <v>22784</v>
      </c>
      <c r="K421" s="70" t="s">
        <v>22785</v>
      </c>
      <c r="W421" s="70" t="s">
        <v>29796</v>
      </c>
      <c r="AA421" s="70" t="s">
        <v>22788</v>
      </c>
      <c r="AI421" s="70" t="s">
        <v>22789</v>
      </c>
      <c r="AJ421" s="70" t="s">
        <v>22790</v>
      </c>
      <c r="AK421" s="70">
        <v>2025.0</v>
      </c>
      <c r="AL421" s="70" t="s">
        <v>22791</v>
      </c>
      <c r="AM421" s="70">
        <v>126856.0</v>
      </c>
      <c r="AQ421" s="70">
        <v>0.0</v>
      </c>
      <c r="AR421" s="75" t="s">
        <v>22792</v>
      </c>
      <c r="AS421" s="70" t="s">
        <v>22525</v>
      </c>
      <c r="AU421" s="70" t="s">
        <v>237</v>
      </c>
      <c r="AV421" s="70" t="s">
        <v>22793</v>
      </c>
      <c r="AW421" s="70" t="s">
        <v>22794</v>
      </c>
      <c r="AX421" s="70">
        <v>0.0</v>
      </c>
      <c r="AY421" s="70" t="s">
        <v>24</v>
      </c>
      <c r="AZ421" s="70">
        <v>2861.0</v>
      </c>
    </row>
    <row r="422" ht="22.5" customHeight="1">
      <c r="A422" s="70" t="str">
        <f t="shared" si="1"/>
        <v>Excluded</v>
      </c>
      <c r="B422" s="70">
        <f t="shared" si="2"/>
        <v>0</v>
      </c>
      <c r="C422" s="70">
        <v>0.0</v>
      </c>
      <c r="D422" s="70">
        <v>0.0</v>
      </c>
      <c r="E422" s="70">
        <v>0.0</v>
      </c>
      <c r="F422" s="70">
        <v>0.0</v>
      </c>
      <c r="G422" s="70">
        <v>0.0</v>
      </c>
      <c r="H422" s="70" t="s">
        <v>26711</v>
      </c>
      <c r="I422" s="70">
        <v>2893.0</v>
      </c>
      <c r="J422" s="70" t="s">
        <v>26709</v>
      </c>
      <c r="K422" s="70" t="s">
        <v>26710</v>
      </c>
      <c r="W422" s="70" t="s">
        <v>29797</v>
      </c>
      <c r="AA422" s="70" t="s">
        <v>26713</v>
      </c>
      <c r="AI422" s="70" t="s">
        <v>26714</v>
      </c>
      <c r="AJ422" s="70" t="s">
        <v>26715</v>
      </c>
      <c r="AK422" s="70">
        <v>2022.0</v>
      </c>
      <c r="AL422" s="70" t="s">
        <v>23116</v>
      </c>
      <c r="AN422" s="70">
        <v>315.0</v>
      </c>
      <c r="AO422" s="70">
        <v>332.0</v>
      </c>
      <c r="AP422" s="70">
        <v>17.0</v>
      </c>
      <c r="AQ422" s="70">
        <v>18.0</v>
      </c>
      <c r="AR422" s="75" t="s">
        <v>26716</v>
      </c>
      <c r="AS422" s="70" t="s">
        <v>22525</v>
      </c>
      <c r="AU422" s="70" t="s">
        <v>237</v>
      </c>
      <c r="AV422" s="70" t="s">
        <v>26717</v>
      </c>
      <c r="AW422" s="70" t="s">
        <v>26718</v>
      </c>
      <c r="AZ422" s="70">
        <v>921.0</v>
      </c>
    </row>
    <row r="423" ht="22.5" customHeight="1">
      <c r="A423" s="70" t="str">
        <f t="shared" si="1"/>
        <v>Excluded</v>
      </c>
      <c r="B423" s="70">
        <f t="shared" si="2"/>
        <v>0</v>
      </c>
      <c r="C423" s="70">
        <v>0.0</v>
      </c>
      <c r="D423" s="70">
        <v>0.0</v>
      </c>
      <c r="E423" s="70">
        <v>0.0</v>
      </c>
      <c r="F423" s="70">
        <v>0.0</v>
      </c>
      <c r="G423" s="70">
        <v>0.0</v>
      </c>
      <c r="H423" s="70" t="s">
        <v>26394</v>
      </c>
      <c r="I423" s="70">
        <v>2862.0</v>
      </c>
      <c r="J423" s="70" t="s">
        <v>26392</v>
      </c>
      <c r="K423" s="70" t="s">
        <v>26393</v>
      </c>
      <c r="W423" s="70" t="s">
        <v>29798</v>
      </c>
      <c r="AA423" s="70" t="s">
        <v>26396</v>
      </c>
      <c r="AI423" s="70" t="s">
        <v>26397</v>
      </c>
      <c r="AJ423" s="70" t="s">
        <v>26398</v>
      </c>
      <c r="AK423" s="70">
        <v>2022.0</v>
      </c>
      <c r="AL423" s="70" t="s">
        <v>23116</v>
      </c>
      <c r="AN423" s="70">
        <v>303.0</v>
      </c>
      <c r="AO423" s="70">
        <v>314.0</v>
      </c>
      <c r="AP423" s="70">
        <v>11.0</v>
      </c>
      <c r="AQ423" s="70">
        <v>18.0</v>
      </c>
      <c r="AR423" s="75" t="s">
        <v>26399</v>
      </c>
      <c r="AS423" s="70" t="s">
        <v>22525</v>
      </c>
      <c r="AU423" s="70" t="s">
        <v>237</v>
      </c>
      <c r="AV423" s="70" t="s">
        <v>26400</v>
      </c>
      <c r="AW423" s="70" t="s">
        <v>26401</v>
      </c>
      <c r="AX423" s="70">
        <v>0.0</v>
      </c>
      <c r="AY423" s="70" t="s">
        <v>24</v>
      </c>
      <c r="AZ423" s="70">
        <v>2631.0</v>
      </c>
    </row>
    <row r="424" ht="22.5" customHeight="1">
      <c r="A424" s="70" t="str">
        <f t="shared" si="1"/>
        <v>Excluded</v>
      </c>
      <c r="B424" s="70">
        <f t="shared" si="2"/>
        <v>0</v>
      </c>
      <c r="C424" s="70">
        <v>0.0</v>
      </c>
      <c r="D424" s="70">
        <v>0.0</v>
      </c>
      <c r="E424" s="70">
        <v>0.0</v>
      </c>
      <c r="F424" s="70">
        <v>0.0</v>
      </c>
      <c r="G424" s="70">
        <v>0.0</v>
      </c>
      <c r="H424" s="70" t="s">
        <v>25649</v>
      </c>
      <c r="I424" s="70">
        <v>2789.0</v>
      </c>
      <c r="J424" s="70" t="s">
        <v>25647</v>
      </c>
      <c r="K424" s="70" t="s">
        <v>25648</v>
      </c>
      <c r="W424" s="70" t="s">
        <v>29799</v>
      </c>
      <c r="AA424" s="70" t="s">
        <v>25651</v>
      </c>
      <c r="AI424" s="70" t="s">
        <v>25652</v>
      </c>
      <c r="AJ424" s="70" t="s">
        <v>25653</v>
      </c>
      <c r="AK424" s="70">
        <v>2023.0</v>
      </c>
      <c r="AL424" s="70" t="s">
        <v>23116</v>
      </c>
      <c r="AN424" s="70">
        <v>29.0</v>
      </c>
      <c r="AO424" s="70">
        <v>37.0</v>
      </c>
      <c r="AP424" s="70">
        <v>8.0</v>
      </c>
      <c r="AQ424" s="70">
        <v>81.0</v>
      </c>
      <c r="AR424" s="75" t="s">
        <v>25654</v>
      </c>
      <c r="AS424" s="70" t="s">
        <v>22525</v>
      </c>
      <c r="AU424" s="70" t="s">
        <v>237</v>
      </c>
      <c r="AV424" s="70" t="s">
        <v>25655</v>
      </c>
      <c r="AW424" s="70" t="s">
        <v>25656</v>
      </c>
      <c r="AX424" s="70">
        <v>0.0</v>
      </c>
      <c r="AY424" s="70" t="s">
        <v>24</v>
      </c>
      <c r="AZ424" s="70">
        <v>1910.0</v>
      </c>
    </row>
    <row r="425" ht="22.5" customHeight="1">
      <c r="A425" s="70" t="str">
        <f t="shared" si="1"/>
        <v>Excluded</v>
      </c>
      <c r="B425" s="70">
        <f t="shared" si="2"/>
        <v>0</v>
      </c>
      <c r="C425" s="70">
        <v>0.0</v>
      </c>
      <c r="D425" s="70">
        <v>0.0</v>
      </c>
      <c r="E425" s="70">
        <v>0.0</v>
      </c>
      <c r="F425" s="70">
        <v>0.0</v>
      </c>
      <c r="G425" s="70">
        <v>0.0</v>
      </c>
      <c r="H425" s="70" t="s">
        <v>25555</v>
      </c>
      <c r="I425" s="70">
        <v>2780.0</v>
      </c>
      <c r="J425" s="70" t="s">
        <v>25553</v>
      </c>
      <c r="K425" s="70" t="s">
        <v>25554</v>
      </c>
      <c r="W425" s="70" t="s">
        <v>29800</v>
      </c>
      <c r="AA425" s="70" t="s">
        <v>25557</v>
      </c>
      <c r="AI425" s="70" t="s">
        <v>25558</v>
      </c>
      <c r="AJ425" s="70" t="s">
        <v>25559</v>
      </c>
      <c r="AK425" s="70">
        <v>2023.0</v>
      </c>
      <c r="AL425" s="70" t="s">
        <v>23116</v>
      </c>
      <c r="AN425" s="70">
        <v>307.0</v>
      </c>
      <c r="AO425" s="70">
        <v>326.0</v>
      </c>
      <c r="AP425" s="70">
        <v>19.0</v>
      </c>
      <c r="AQ425" s="70">
        <v>86.0</v>
      </c>
      <c r="AR425" s="75" t="s">
        <v>25560</v>
      </c>
      <c r="AS425" s="70" t="s">
        <v>22525</v>
      </c>
      <c r="AT425" s="70" t="s">
        <v>22816</v>
      </c>
      <c r="AU425" s="70" t="s">
        <v>237</v>
      </c>
      <c r="AV425" s="70" t="s">
        <v>25561</v>
      </c>
      <c r="AW425" s="70" t="s">
        <v>25562</v>
      </c>
      <c r="AZ425" s="70">
        <v>859.0</v>
      </c>
    </row>
    <row r="426" ht="22.5" customHeight="1">
      <c r="A426" s="70" t="str">
        <f t="shared" si="1"/>
        <v>Excluded</v>
      </c>
      <c r="B426" s="70">
        <f t="shared" si="2"/>
        <v>0</v>
      </c>
      <c r="C426" s="70">
        <v>0.0</v>
      </c>
      <c r="D426" s="70">
        <v>0.0</v>
      </c>
      <c r="E426" s="70">
        <v>0.0</v>
      </c>
      <c r="F426" s="70">
        <v>0.0</v>
      </c>
      <c r="G426" s="70">
        <v>0.0</v>
      </c>
      <c r="H426" s="70" t="s">
        <v>25513</v>
      </c>
      <c r="I426" s="70">
        <v>2776.0</v>
      </c>
      <c r="J426" s="70" t="s">
        <v>29801</v>
      </c>
      <c r="K426" s="70" t="s">
        <v>25512</v>
      </c>
      <c r="W426" s="70" t="s">
        <v>29802</v>
      </c>
      <c r="AA426" s="70" t="s">
        <v>25515</v>
      </c>
      <c r="AI426" s="70" t="s">
        <v>29803</v>
      </c>
      <c r="AJ426" s="70" t="s">
        <v>25517</v>
      </c>
      <c r="AK426" s="70">
        <v>2023.0</v>
      </c>
      <c r="AL426" s="70" t="s">
        <v>23116</v>
      </c>
      <c r="AN426" s="70">
        <v>38.0</v>
      </c>
      <c r="AO426" s="70">
        <v>55.0</v>
      </c>
      <c r="AP426" s="70">
        <v>17.0</v>
      </c>
      <c r="AQ426" s="70">
        <v>20.0</v>
      </c>
      <c r="AR426" s="75" t="s">
        <v>25518</v>
      </c>
      <c r="AS426" s="70" t="s">
        <v>22525</v>
      </c>
      <c r="AT426" s="70" t="s">
        <v>23606</v>
      </c>
      <c r="AU426" s="70" t="s">
        <v>237</v>
      </c>
      <c r="AV426" s="70" t="s">
        <v>25519</v>
      </c>
      <c r="AW426" s="70" t="s">
        <v>25520</v>
      </c>
      <c r="AX426" s="70">
        <v>0.0</v>
      </c>
      <c r="AY426" s="70" t="s">
        <v>24</v>
      </c>
      <c r="AZ426" s="70">
        <v>2795.0</v>
      </c>
    </row>
    <row r="427" ht="22.5" customHeight="1">
      <c r="A427" s="70" t="str">
        <f t="shared" si="1"/>
        <v>Excluded</v>
      </c>
      <c r="B427" s="70">
        <f t="shared" si="2"/>
        <v>0</v>
      </c>
      <c r="C427" s="70">
        <v>0.0</v>
      </c>
      <c r="D427" s="70">
        <v>0.0</v>
      </c>
      <c r="E427" s="70">
        <v>0.0</v>
      </c>
      <c r="F427" s="70">
        <v>0.0</v>
      </c>
      <c r="G427" s="70">
        <v>0.0</v>
      </c>
      <c r="H427" s="70" t="s">
        <v>24748</v>
      </c>
      <c r="I427" s="70">
        <v>2702.0</v>
      </c>
      <c r="J427" s="70" t="s">
        <v>24746</v>
      </c>
      <c r="K427" s="70" t="s">
        <v>24747</v>
      </c>
      <c r="W427" s="70" t="s">
        <v>29804</v>
      </c>
      <c r="AA427" s="70" t="s">
        <v>29805</v>
      </c>
      <c r="AI427" s="70" t="s">
        <v>24751</v>
      </c>
      <c r="AJ427" s="70" t="s">
        <v>24752</v>
      </c>
      <c r="AK427" s="70">
        <v>2023.0</v>
      </c>
      <c r="AL427" s="70" t="s">
        <v>23116</v>
      </c>
      <c r="AN427" s="70">
        <v>376.0</v>
      </c>
      <c r="AO427" s="70">
        <v>389.0</v>
      </c>
      <c r="AP427" s="70">
        <v>13.0</v>
      </c>
      <c r="AQ427" s="70">
        <v>9.0</v>
      </c>
      <c r="AR427" s="75" t="s">
        <v>24753</v>
      </c>
      <c r="AS427" s="70" t="s">
        <v>22525</v>
      </c>
      <c r="AU427" s="70" t="s">
        <v>237</v>
      </c>
      <c r="AV427" s="70" t="s">
        <v>24754</v>
      </c>
      <c r="AW427" s="70" t="s">
        <v>29806</v>
      </c>
      <c r="AZ427" s="70">
        <v>379.0</v>
      </c>
    </row>
    <row r="428" ht="22.5" customHeight="1">
      <c r="A428" s="70" t="str">
        <f t="shared" si="1"/>
        <v>Excluded</v>
      </c>
      <c r="B428" s="70">
        <f t="shared" si="2"/>
        <v>0</v>
      </c>
      <c r="C428" s="70">
        <v>0.0</v>
      </c>
      <c r="D428" s="70">
        <v>0.0</v>
      </c>
      <c r="E428" s="70">
        <v>0.0</v>
      </c>
      <c r="F428" s="70">
        <v>0.0</v>
      </c>
      <c r="G428" s="70">
        <v>0.0</v>
      </c>
      <c r="H428" s="70" t="s">
        <v>24109</v>
      </c>
      <c r="I428" s="70">
        <v>2640.0</v>
      </c>
      <c r="J428" s="70" t="s">
        <v>24107</v>
      </c>
      <c r="K428" s="70" t="s">
        <v>29807</v>
      </c>
      <c r="W428" s="70" t="s">
        <v>29808</v>
      </c>
      <c r="AA428" s="70" t="s">
        <v>24111</v>
      </c>
      <c r="AI428" s="70" t="s">
        <v>24112</v>
      </c>
      <c r="AJ428" s="70" t="s">
        <v>24113</v>
      </c>
      <c r="AK428" s="70">
        <v>2024.0</v>
      </c>
      <c r="AL428" s="70" t="s">
        <v>23116</v>
      </c>
      <c r="AN428" s="70">
        <v>204.0</v>
      </c>
      <c r="AO428" s="70">
        <v>218.0</v>
      </c>
      <c r="AP428" s="70">
        <v>14.0</v>
      </c>
      <c r="AQ428" s="70">
        <v>4.0</v>
      </c>
      <c r="AR428" s="75" t="s">
        <v>24114</v>
      </c>
      <c r="AS428" s="70" t="s">
        <v>22525</v>
      </c>
      <c r="AT428" s="70" t="s">
        <v>23606</v>
      </c>
      <c r="AU428" s="70" t="s">
        <v>237</v>
      </c>
      <c r="AV428" s="70" t="s">
        <v>24115</v>
      </c>
      <c r="AW428" s="70" t="s">
        <v>24116</v>
      </c>
      <c r="AX428" s="70">
        <v>0.0</v>
      </c>
      <c r="AY428" s="70" t="s">
        <v>24</v>
      </c>
      <c r="AZ428" s="70">
        <v>1762.0</v>
      </c>
    </row>
    <row r="429" ht="22.5" customHeight="1">
      <c r="A429" s="70" t="str">
        <f t="shared" si="1"/>
        <v>Excluded</v>
      </c>
      <c r="B429" s="70">
        <f t="shared" si="2"/>
        <v>0</v>
      </c>
      <c r="C429" s="70">
        <v>0.0</v>
      </c>
      <c r="D429" s="70">
        <v>0.0</v>
      </c>
      <c r="E429" s="70">
        <v>0.0</v>
      </c>
      <c r="F429" s="70">
        <v>0.0</v>
      </c>
      <c r="G429" s="70">
        <v>0.0</v>
      </c>
      <c r="H429" s="70" t="s">
        <v>23111</v>
      </c>
      <c r="I429" s="70">
        <v>2544.0</v>
      </c>
      <c r="J429" s="70" t="s">
        <v>23109</v>
      </c>
      <c r="K429" s="70" t="s">
        <v>23110</v>
      </c>
      <c r="W429" s="70" t="s">
        <v>29809</v>
      </c>
      <c r="AA429" s="70" t="s">
        <v>23113</v>
      </c>
      <c r="AI429" s="70" t="s">
        <v>23114</v>
      </c>
      <c r="AJ429" s="70" t="s">
        <v>23115</v>
      </c>
      <c r="AK429" s="70">
        <v>2024.0</v>
      </c>
      <c r="AL429" s="70" t="s">
        <v>23116</v>
      </c>
      <c r="AN429" s="70">
        <v>457.0</v>
      </c>
      <c r="AO429" s="70">
        <v>471.0</v>
      </c>
      <c r="AP429" s="70">
        <v>14.0</v>
      </c>
      <c r="AQ429" s="70">
        <v>4.0</v>
      </c>
      <c r="AR429" s="75" t="s">
        <v>23117</v>
      </c>
      <c r="AS429" s="70" t="s">
        <v>22525</v>
      </c>
      <c r="AT429" s="70" t="s">
        <v>22526</v>
      </c>
      <c r="AU429" s="70" t="s">
        <v>237</v>
      </c>
      <c r="AV429" s="70" t="s">
        <v>23118</v>
      </c>
      <c r="AW429" s="70" t="s">
        <v>23119</v>
      </c>
      <c r="AX429" s="70">
        <v>0.0</v>
      </c>
      <c r="AY429" s="70" t="s">
        <v>24</v>
      </c>
      <c r="AZ429" s="70">
        <v>2735.0</v>
      </c>
    </row>
    <row r="430" ht="22.5" customHeight="1">
      <c r="A430" s="70" t="str">
        <f t="shared" si="1"/>
        <v>Excluded</v>
      </c>
      <c r="B430" s="70">
        <f t="shared" si="2"/>
        <v>0</v>
      </c>
      <c r="C430" s="70">
        <v>0.0</v>
      </c>
      <c r="D430" s="70">
        <v>0.0</v>
      </c>
      <c r="E430" s="70">
        <v>0.0</v>
      </c>
      <c r="F430" s="70">
        <v>0.0</v>
      </c>
      <c r="G430" s="70">
        <v>0.0</v>
      </c>
      <c r="H430" s="70" t="s">
        <v>25743</v>
      </c>
      <c r="I430" s="70">
        <v>2798.0</v>
      </c>
      <c r="J430" s="70" t="s">
        <v>25741</v>
      </c>
      <c r="K430" s="70" t="s">
        <v>25742</v>
      </c>
      <c r="W430" s="70" t="s">
        <v>29810</v>
      </c>
      <c r="AA430" s="70" t="s">
        <v>25745</v>
      </c>
      <c r="AI430" s="70" t="s">
        <v>25746</v>
      </c>
      <c r="AJ430" s="70" t="s">
        <v>25747</v>
      </c>
      <c r="AK430" s="70">
        <v>2023.0</v>
      </c>
      <c r="AL430" s="70" t="s">
        <v>22666</v>
      </c>
      <c r="AM430" s="70" t="s">
        <v>25748</v>
      </c>
      <c r="AQ430" s="70">
        <v>5.0</v>
      </c>
      <c r="AR430" s="75" t="s">
        <v>25749</v>
      </c>
      <c r="AS430" s="70" t="s">
        <v>22525</v>
      </c>
      <c r="AT430" s="70" t="s">
        <v>22643</v>
      </c>
      <c r="AU430" s="70" t="s">
        <v>237</v>
      </c>
      <c r="AV430" s="70" t="s">
        <v>25750</v>
      </c>
      <c r="AX430" s="70">
        <v>0.0</v>
      </c>
      <c r="AY430" s="70" t="s">
        <v>24</v>
      </c>
      <c r="AZ430" s="70">
        <v>2895.0</v>
      </c>
    </row>
    <row r="431" ht="22.5" customHeight="1">
      <c r="A431" s="70" t="str">
        <f t="shared" si="1"/>
        <v>Excluded</v>
      </c>
      <c r="B431" s="70">
        <f t="shared" si="2"/>
        <v>0</v>
      </c>
      <c r="C431" s="70">
        <v>0.0</v>
      </c>
      <c r="D431" s="70">
        <v>0.0</v>
      </c>
      <c r="E431" s="70">
        <v>0.0</v>
      </c>
      <c r="F431" s="70">
        <v>0.0</v>
      </c>
      <c r="G431" s="70">
        <v>0.0</v>
      </c>
      <c r="H431" s="70" t="s">
        <v>22661</v>
      </c>
      <c r="I431" s="70">
        <v>2502.0</v>
      </c>
      <c r="J431" s="70" t="s">
        <v>22659</v>
      </c>
      <c r="K431" s="70" t="s">
        <v>22660</v>
      </c>
      <c r="W431" s="70" t="s">
        <v>29811</v>
      </c>
      <c r="AA431" s="70" t="s">
        <v>22663</v>
      </c>
      <c r="AI431" s="70" t="s">
        <v>22664</v>
      </c>
      <c r="AJ431" s="70" t="s">
        <v>22665</v>
      </c>
      <c r="AK431" s="70">
        <v>2024.0</v>
      </c>
      <c r="AL431" s="70" t="s">
        <v>22666</v>
      </c>
      <c r="AM431" s="70" t="s">
        <v>22667</v>
      </c>
      <c r="AQ431" s="70">
        <v>1.0</v>
      </c>
      <c r="AR431" s="75" t="s">
        <v>22668</v>
      </c>
      <c r="AS431" s="70" t="s">
        <v>22525</v>
      </c>
      <c r="AU431" s="70" t="s">
        <v>237</v>
      </c>
      <c r="AV431" s="70" t="s">
        <v>22669</v>
      </c>
      <c r="AZ431" s="70">
        <v>532.0</v>
      </c>
    </row>
    <row r="432" ht="22.5" customHeight="1">
      <c r="A432" s="70" t="str">
        <f t="shared" si="1"/>
        <v>Excluded</v>
      </c>
      <c r="B432" s="70">
        <f t="shared" si="2"/>
        <v>0</v>
      </c>
      <c r="C432" s="70">
        <v>0.0</v>
      </c>
      <c r="D432" s="70">
        <v>0.0</v>
      </c>
      <c r="E432" s="70">
        <v>0.0</v>
      </c>
      <c r="F432" s="70">
        <v>0.0</v>
      </c>
      <c r="G432" s="70">
        <v>0.0</v>
      </c>
      <c r="H432" s="70" t="s">
        <v>27040</v>
      </c>
      <c r="I432" s="70">
        <v>2925.0</v>
      </c>
      <c r="J432" s="70" t="s">
        <v>27038</v>
      </c>
      <c r="K432" s="70" t="s">
        <v>27039</v>
      </c>
      <c r="W432" s="70" t="s">
        <v>29812</v>
      </c>
      <c r="AA432" s="70" t="s">
        <v>27042</v>
      </c>
      <c r="AI432" s="70" t="s">
        <v>27043</v>
      </c>
      <c r="AJ432" s="70">
        <v>1.26451116E10</v>
      </c>
      <c r="AK432" s="70">
        <v>2022.0</v>
      </c>
      <c r="AL432" s="70" t="s">
        <v>27044</v>
      </c>
      <c r="AN432" s="70">
        <v>460.0</v>
      </c>
      <c r="AO432" s="70">
        <v>465.0</v>
      </c>
      <c r="AP432" s="70">
        <v>5.0</v>
      </c>
      <c r="AQ432" s="70">
        <v>11.0</v>
      </c>
      <c r="AR432" s="75" t="s">
        <v>27045</v>
      </c>
      <c r="AS432" s="70" t="s">
        <v>22525</v>
      </c>
      <c r="AT432" s="70" t="s">
        <v>22622</v>
      </c>
      <c r="AU432" s="70" t="s">
        <v>237</v>
      </c>
      <c r="AV432" s="70" t="s">
        <v>27046</v>
      </c>
      <c r="AW432" s="70" t="s">
        <v>27047</v>
      </c>
      <c r="AX432" s="70">
        <v>0.0</v>
      </c>
      <c r="AY432" s="70" t="s">
        <v>24</v>
      </c>
      <c r="AZ432" s="70">
        <v>2377.0</v>
      </c>
    </row>
    <row r="433" ht="22.5" customHeight="1">
      <c r="A433" s="70" t="str">
        <f t="shared" si="1"/>
        <v>Excluded</v>
      </c>
      <c r="B433" s="70">
        <f t="shared" si="2"/>
        <v>0</v>
      </c>
      <c r="C433" s="70">
        <v>0.0</v>
      </c>
      <c r="D433" s="70">
        <v>0.0</v>
      </c>
      <c r="E433" s="70">
        <v>0.0</v>
      </c>
      <c r="F433" s="70">
        <v>0.0</v>
      </c>
      <c r="G433" s="70">
        <v>0.0</v>
      </c>
      <c r="H433" s="70" t="s">
        <v>28423</v>
      </c>
      <c r="I433" s="70">
        <v>3060.0</v>
      </c>
      <c r="J433" s="70" t="s">
        <v>28421</v>
      </c>
      <c r="K433" s="70" t="s">
        <v>28422</v>
      </c>
      <c r="W433" s="70" t="s">
        <v>29813</v>
      </c>
      <c r="AA433" s="70" t="s">
        <v>28425</v>
      </c>
      <c r="AI433" s="70" t="s">
        <v>28426</v>
      </c>
      <c r="AJ433" s="70" t="s">
        <v>28427</v>
      </c>
      <c r="AK433" s="70">
        <v>2020.0</v>
      </c>
      <c r="AL433" s="70" t="s">
        <v>28428</v>
      </c>
      <c r="AM433" s="70">
        <v>106124.0</v>
      </c>
      <c r="AQ433" s="70">
        <v>24.0</v>
      </c>
      <c r="AR433" s="75" t="s">
        <v>28429</v>
      </c>
      <c r="AS433" s="70" t="s">
        <v>22525</v>
      </c>
      <c r="AU433" s="70" t="s">
        <v>237</v>
      </c>
      <c r="AV433" s="70" t="s">
        <v>28430</v>
      </c>
      <c r="AW433" s="70" t="s">
        <v>28431</v>
      </c>
      <c r="AX433" s="70">
        <v>0.0</v>
      </c>
      <c r="AY433" s="70" t="s">
        <v>24</v>
      </c>
      <c r="AZ433" s="70">
        <v>2911.0</v>
      </c>
    </row>
    <row r="434" ht="22.5" customHeight="1">
      <c r="A434" s="70" t="str">
        <f t="shared" si="1"/>
        <v>Excluded</v>
      </c>
      <c r="B434" s="70">
        <f t="shared" si="2"/>
        <v>0</v>
      </c>
      <c r="C434" s="70">
        <v>0.0</v>
      </c>
      <c r="D434" s="70">
        <v>0.0</v>
      </c>
      <c r="E434" s="70">
        <v>0.0</v>
      </c>
      <c r="F434" s="70">
        <v>0.0</v>
      </c>
      <c r="G434" s="70">
        <v>0.0</v>
      </c>
      <c r="H434" s="70" t="s">
        <v>23838</v>
      </c>
      <c r="I434" s="70">
        <v>2614.0</v>
      </c>
      <c r="J434" s="70" t="s">
        <v>23836</v>
      </c>
      <c r="K434" s="70" t="s">
        <v>23837</v>
      </c>
      <c r="W434" s="70" t="s">
        <v>29814</v>
      </c>
      <c r="AA434" s="70" t="s">
        <v>23840</v>
      </c>
      <c r="AI434" s="70" t="s">
        <v>23841</v>
      </c>
      <c r="AJ434" s="70" t="s">
        <v>23842</v>
      </c>
      <c r="AK434" s="70">
        <v>2024.0</v>
      </c>
      <c r="AL434" s="70" t="s">
        <v>23843</v>
      </c>
      <c r="AN434" s="70">
        <v>893.0</v>
      </c>
      <c r="AO434" s="70">
        <v>909.0</v>
      </c>
      <c r="AP434" s="70">
        <v>16.0</v>
      </c>
      <c r="AQ434" s="70">
        <v>17.0</v>
      </c>
      <c r="AR434" s="75" t="s">
        <v>23844</v>
      </c>
      <c r="AS434" s="70" t="s">
        <v>22525</v>
      </c>
      <c r="AT434" s="70" t="s">
        <v>22526</v>
      </c>
      <c r="AU434" s="70" t="s">
        <v>237</v>
      </c>
      <c r="AV434" s="70" t="s">
        <v>23845</v>
      </c>
      <c r="AW434" s="70" t="s">
        <v>23846</v>
      </c>
      <c r="AX434" s="70">
        <v>0.0</v>
      </c>
      <c r="AY434" s="70" t="s">
        <v>24</v>
      </c>
      <c r="AZ434" s="70">
        <v>2398.0</v>
      </c>
    </row>
    <row r="435" ht="22.5" customHeight="1">
      <c r="A435" s="70" t="str">
        <f t="shared" si="1"/>
        <v>Excluded</v>
      </c>
      <c r="B435" s="70">
        <f t="shared" si="2"/>
        <v>0</v>
      </c>
      <c r="C435" s="70">
        <v>0.0</v>
      </c>
      <c r="D435" s="70">
        <v>0.0</v>
      </c>
      <c r="E435" s="70">
        <v>0.0</v>
      </c>
      <c r="F435" s="70">
        <v>0.0</v>
      </c>
      <c r="G435" s="70">
        <v>0.0</v>
      </c>
      <c r="H435" s="70" t="s">
        <v>24698</v>
      </c>
      <c r="I435" s="70">
        <v>2697.0</v>
      </c>
      <c r="J435" s="70" t="s">
        <v>24696</v>
      </c>
      <c r="K435" s="70" t="s">
        <v>24697</v>
      </c>
      <c r="W435" s="70" t="s">
        <v>29815</v>
      </c>
      <c r="AA435" s="70" t="s">
        <v>24700</v>
      </c>
      <c r="AI435" s="70" t="s">
        <v>24701</v>
      </c>
      <c r="AJ435" s="70" t="s">
        <v>24702</v>
      </c>
      <c r="AK435" s="70">
        <v>2023.0</v>
      </c>
      <c r="AL435" s="70" t="s">
        <v>24703</v>
      </c>
      <c r="AM435" s="70">
        <v>103856.0</v>
      </c>
      <c r="AQ435" s="70">
        <v>12.0</v>
      </c>
      <c r="AR435" s="75" t="s">
        <v>24704</v>
      </c>
      <c r="AS435" s="70" t="s">
        <v>22525</v>
      </c>
      <c r="AU435" s="70" t="s">
        <v>237</v>
      </c>
      <c r="AV435" s="70" t="s">
        <v>24705</v>
      </c>
      <c r="AW435" s="70" t="s">
        <v>24706</v>
      </c>
      <c r="AZ435" s="70">
        <v>1166.0</v>
      </c>
    </row>
    <row r="436" ht="22.5" customHeight="1">
      <c r="A436" s="70" t="str">
        <f t="shared" si="1"/>
        <v>Excluded</v>
      </c>
      <c r="B436" s="70">
        <f t="shared" si="2"/>
        <v>0</v>
      </c>
      <c r="C436" s="70">
        <v>0.0</v>
      </c>
      <c r="D436" s="70">
        <v>0.0</v>
      </c>
      <c r="E436" s="70">
        <v>0.0</v>
      </c>
      <c r="F436" s="70">
        <v>0.0</v>
      </c>
      <c r="G436" s="70">
        <v>0.0</v>
      </c>
      <c r="H436" s="70" t="s">
        <v>29029</v>
      </c>
      <c r="I436" s="70">
        <v>3119.0</v>
      </c>
      <c r="J436" s="70" t="s">
        <v>29027</v>
      </c>
      <c r="K436" s="70" t="s">
        <v>29028</v>
      </c>
      <c r="W436" s="70" t="s">
        <v>29816</v>
      </c>
      <c r="AA436" s="70" t="s">
        <v>29031</v>
      </c>
      <c r="AI436" s="70" t="s">
        <v>29032</v>
      </c>
      <c r="AJ436" s="70" t="s">
        <v>29033</v>
      </c>
      <c r="AK436" s="70">
        <v>2019.0</v>
      </c>
      <c r="AL436" s="70" t="s">
        <v>29034</v>
      </c>
      <c r="AN436" s="70">
        <v>357.0</v>
      </c>
      <c r="AO436" s="70">
        <v>374.0</v>
      </c>
      <c r="AP436" s="70">
        <v>17.0</v>
      </c>
      <c r="AQ436" s="70">
        <v>246.0</v>
      </c>
      <c r="AR436" s="75" t="s">
        <v>29035</v>
      </c>
      <c r="AS436" s="70" t="s">
        <v>22525</v>
      </c>
      <c r="AT436" s="70" t="s">
        <v>22816</v>
      </c>
      <c r="AU436" s="70" t="s">
        <v>237</v>
      </c>
      <c r="AV436" s="70" t="s">
        <v>29036</v>
      </c>
      <c r="AW436" s="70" t="s">
        <v>29037</v>
      </c>
      <c r="AZ436" s="70">
        <v>595.0</v>
      </c>
    </row>
    <row r="437" ht="22.5" customHeight="1">
      <c r="A437" s="70" t="str">
        <f t="shared" si="1"/>
        <v>Excluded</v>
      </c>
      <c r="B437" s="70">
        <f t="shared" si="2"/>
        <v>0</v>
      </c>
      <c r="C437" s="70">
        <v>0.0</v>
      </c>
      <c r="D437" s="70">
        <v>0.0</v>
      </c>
      <c r="E437" s="70">
        <v>0.0</v>
      </c>
      <c r="F437" s="70">
        <v>0.0</v>
      </c>
      <c r="G437" s="70">
        <v>0.0</v>
      </c>
      <c r="H437" s="70" t="s">
        <v>29060</v>
      </c>
      <c r="I437" s="70">
        <v>3122.0</v>
      </c>
      <c r="J437" s="70" t="s">
        <v>29058</v>
      </c>
      <c r="K437" s="70" t="s">
        <v>29059</v>
      </c>
      <c r="W437" s="70" t="s">
        <v>29817</v>
      </c>
      <c r="AA437" s="70" t="s">
        <v>29062</v>
      </c>
      <c r="AI437" s="70" t="s">
        <v>29818</v>
      </c>
      <c r="AJ437" s="70" t="s">
        <v>29064</v>
      </c>
      <c r="AK437" s="70">
        <v>2018.0</v>
      </c>
      <c r="AL437" s="70" t="s">
        <v>26759</v>
      </c>
      <c r="AN437" s="70">
        <v>329.0</v>
      </c>
      <c r="AO437" s="70">
        <v>345.0</v>
      </c>
      <c r="AP437" s="70">
        <v>16.0</v>
      </c>
      <c r="AQ437" s="70">
        <v>37.0</v>
      </c>
      <c r="AR437" s="75" t="s">
        <v>29065</v>
      </c>
      <c r="AS437" s="70" t="s">
        <v>22525</v>
      </c>
      <c r="AU437" s="70" t="s">
        <v>237</v>
      </c>
      <c r="AV437" s="70" t="s">
        <v>29066</v>
      </c>
      <c r="AW437" s="70" t="s">
        <v>29067</v>
      </c>
      <c r="AX437" s="70">
        <v>0.0</v>
      </c>
      <c r="AY437" s="70" t="s">
        <v>24</v>
      </c>
      <c r="AZ437" s="70">
        <v>2668.0</v>
      </c>
    </row>
    <row r="438" ht="22.5" customHeight="1">
      <c r="A438" s="70" t="str">
        <f t="shared" si="1"/>
        <v>Excluded</v>
      </c>
      <c r="B438" s="70">
        <f t="shared" si="2"/>
        <v>0</v>
      </c>
      <c r="C438" s="70">
        <v>0.0</v>
      </c>
      <c r="D438" s="70">
        <v>0.0</v>
      </c>
      <c r="E438" s="70">
        <v>0.0</v>
      </c>
      <c r="F438" s="70">
        <v>0.0</v>
      </c>
      <c r="G438" s="70">
        <v>0.0</v>
      </c>
      <c r="H438" s="70" t="s">
        <v>26754</v>
      </c>
      <c r="I438" s="70">
        <v>2897.0</v>
      </c>
      <c r="J438" s="70" t="s">
        <v>26752</v>
      </c>
      <c r="K438" s="70" t="s">
        <v>26753</v>
      </c>
      <c r="W438" s="70" t="s">
        <v>29819</v>
      </c>
      <c r="AA438" s="70" t="s">
        <v>26756</v>
      </c>
      <c r="AI438" s="70" t="s">
        <v>26757</v>
      </c>
      <c r="AJ438" s="70" t="s">
        <v>26758</v>
      </c>
      <c r="AK438" s="70">
        <v>2022.0</v>
      </c>
      <c r="AL438" s="70" t="s">
        <v>26759</v>
      </c>
      <c r="AM438" s="70">
        <v>106944.0</v>
      </c>
      <c r="AQ438" s="70">
        <v>3.0</v>
      </c>
      <c r="AR438" s="75" t="s">
        <v>26760</v>
      </c>
      <c r="AS438" s="70" t="s">
        <v>22525</v>
      </c>
      <c r="AT438" s="70" t="s">
        <v>22526</v>
      </c>
      <c r="AU438" s="70" t="s">
        <v>237</v>
      </c>
      <c r="AV438" s="70" t="s">
        <v>26761</v>
      </c>
      <c r="AW438" s="70" t="s">
        <v>26762</v>
      </c>
      <c r="AX438" s="70">
        <v>0.0</v>
      </c>
      <c r="AY438" s="70" t="s">
        <v>24</v>
      </c>
      <c r="AZ438" s="70">
        <v>2118.0</v>
      </c>
    </row>
    <row r="439" ht="22.5" customHeight="1">
      <c r="A439" s="70" t="str">
        <f t="shared" si="1"/>
        <v>Excluded</v>
      </c>
      <c r="B439" s="70">
        <f t="shared" si="2"/>
        <v>0</v>
      </c>
      <c r="C439" s="70">
        <v>0.0</v>
      </c>
      <c r="D439" s="70">
        <v>0.0</v>
      </c>
      <c r="E439" s="70">
        <v>0.0</v>
      </c>
      <c r="F439" s="70">
        <v>0.0</v>
      </c>
      <c r="G439" s="70">
        <v>0.0</v>
      </c>
      <c r="H439" s="70" t="s">
        <v>25161</v>
      </c>
      <c r="I439" s="70">
        <v>2742.0</v>
      </c>
      <c r="J439" s="70" t="s">
        <v>25159</v>
      </c>
      <c r="K439" s="70" t="s">
        <v>25160</v>
      </c>
      <c r="W439" s="70" t="s">
        <v>29820</v>
      </c>
      <c r="AA439" s="70" t="s">
        <v>25163</v>
      </c>
      <c r="AI439" s="70" t="s">
        <v>25164</v>
      </c>
      <c r="AJ439" s="70" t="s">
        <v>25165</v>
      </c>
      <c r="AK439" s="70">
        <v>2023.0</v>
      </c>
      <c r="AL439" s="70" t="s">
        <v>23574</v>
      </c>
      <c r="AM439" s="70">
        <v>100866.0</v>
      </c>
      <c r="AQ439" s="70">
        <v>61.0</v>
      </c>
      <c r="AR439" s="75" t="s">
        <v>25166</v>
      </c>
      <c r="AS439" s="70" t="s">
        <v>22525</v>
      </c>
      <c r="AU439" s="70" t="s">
        <v>237</v>
      </c>
      <c r="AV439" s="70" t="s">
        <v>25167</v>
      </c>
      <c r="AX439" s="70">
        <v>0.0</v>
      </c>
      <c r="AY439" s="70" t="s">
        <v>24</v>
      </c>
      <c r="AZ439" s="70">
        <v>1827.0</v>
      </c>
    </row>
    <row r="440" ht="22.5" customHeight="1">
      <c r="A440" s="70" t="str">
        <f t="shared" si="1"/>
        <v>Excluded</v>
      </c>
      <c r="B440" s="70">
        <f t="shared" si="2"/>
        <v>0</v>
      </c>
      <c r="C440" s="70">
        <v>0.0</v>
      </c>
      <c r="D440" s="70">
        <v>0.0</v>
      </c>
      <c r="E440" s="70">
        <v>0.0</v>
      </c>
      <c r="F440" s="70">
        <v>0.0</v>
      </c>
      <c r="G440" s="70">
        <v>0.0</v>
      </c>
      <c r="H440" s="70" t="s">
        <v>24274</v>
      </c>
      <c r="I440" s="70">
        <v>2656.0</v>
      </c>
      <c r="J440" s="70" t="s">
        <v>24272</v>
      </c>
      <c r="K440" s="70" t="s">
        <v>24273</v>
      </c>
      <c r="W440" s="70" t="s">
        <v>29821</v>
      </c>
      <c r="AA440" s="70" t="s">
        <v>24276</v>
      </c>
      <c r="AI440" s="70" t="s">
        <v>24277</v>
      </c>
      <c r="AJ440" s="70" t="s">
        <v>24278</v>
      </c>
      <c r="AK440" s="70">
        <v>2024.0</v>
      </c>
      <c r="AL440" s="70" t="s">
        <v>23574</v>
      </c>
      <c r="AM440" s="70">
        <v>101035.0</v>
      </c>
      <c r="AQ440" s="70">
        <v>22.0</v>
      </c>
      <c r="AR440" s="75" t="s">
        <v>24279</v>
      </c>
      <c r="AS440" s="70" t="s">
        <v>22525</v>
      </c>
      <c r="AT440" s="70" t="s">
        <v>22816</v>
      </c>
      <c r="AU440" s="70" t="s">
        <v>237</v>
      </c>
      <c r="AV440" s="70" t="s">
        <v>24280</v>
      </c>
      <c r="AZ440" s="70">
        <v>1356.0</v>
      </c>
    </row>
    <row r="441" ht="22.5" customHeight="1">
      <c r="A441" s="70" t="str">
        <f t="shared" si="1"/>
        <v>Excluded</v>
      </c>
      <c r="B441" s="70">
        <f t="shared" si="2"/>
        <v>0</v>
      </c>
      <c r="C441" s="70">
        <v>0.0</v>
      </c>
      <c r="D441" s="70">
        <v>0.0</v>
      </c>
      <c r="E441" s="70">
        <v>0.0</v>
      </c>
      <c r="F441" s="70">
        <v>0.0</v>
      </c>
      <c r="G441" s="70">
        <v>0.0</v>
      </c>
      <c r="H441" s="70" t="s">
        <v>24314</v>
      </c>
      <c r="I441" s="70">
        <v>2660.0</v>
      </c>
      <c r="J441" s="70" t="s">
        <v>24312</v>
      </c>
      <c r="K441" s="70" t="s">
        <v>24313</v>
      </c>
      <c r="W441" s="70" t="s">
        <v>29822</v>
      </c>
      <c r="AA441" s="70" t="s">
        <v>24316</v>
      </c>
      <c r="AI441" s="70" t="s">
        <v>24317</v>
      </c>
      <c r="AJ441" s="70" t="s">
        <v>24318</v>
      </c>
      <c r="AK441" s="70">
        <v>2024.0</v>
      </c>
      <c r="AL441" s="70" t="s">
        <v>23574</v>
      </c>
      <c r="AM441" s="70">
        <v>101112.0</v>
      </c>
      <c r="AQ441" s="70">
        <v>5.0</v>
      </c>
      <c r="AR441" s="75" t="s">
        <v>24319</v>
      </c>
      <c r="AS441" s="70" t="s">
        <v>22525</v>
      </c>
      <c r="AU441" s="70" t="s">
        <v>237</v>
      </c>
      <c r="AV441" s="70" t="s">
        <v>24320</v>
      </c>
      <c r="AX441" s="70">
        <v>0.0</v>
      </c>
      <c r="AY441" s="70" t="s">
        <v>24</v>
      </c>
      <c r="AZ441" s="70">
        <v>1805.0</v>
      </c>
    </row>
    <row r="442" ht="22.5" customHeight="1">
      <c r="A442" s="70" t="str">
        <f t="shared" si="1"/>
        <v>Excluded</v>
      </c>
      <c r="B442" s="70">
        <f t="shared" si="2"/>
        <v>0</v>
      </c>
      <c r="C442" s="70">
        <v>0.0</v>
      </c>
      <c r="D442" s="70">
        <v>0.0</v>
      </c>
      <c r="E442" s="70">
        <v>0.0</v>
      </c>
      <c r="F442" s="70">
        <v>0.0</v>
      </c>
      <c r="G442" s="70">
        <v>0.0</v>
      </c>
      <c r="H442" s="70" t="s">
        <v>23911</v>
      </c>
      <c r="I442" s="70">
        <v>2621.0</v>
      </c>
      <c r="J442" s="70" t="s">
        <v>23909</v>
      </c>
      <c r="K442" s="70" t="s">
        <v>23910</v>
      </c>
      <c r="W442" s="70" t="s">
        <v>29823</v>
      </c>
      <c r="AA442" s="70" t="s">
        <v>23913</v>
      </c>
      <c r="AI442" s="70" t="s">
        <v>23914</v>
      </c>
      <c r="AJ442" s="70" t="s">
        <v>23915</v>
      </c>
      <c r="AK442" s="70">
        <v>2024.0</v>
      </c>
      <c r="AL442" s="70" t="s">
        <v>23574</v>
      </c>
      <c r="AM442" s="70">
        <v>101143.0</v>
      </c>
      <c r="AQ442" s="70">
        <v>7.0</v>
      </c>
      <c r="AR442" s="75" t="s">
        <v>23916</v>
      </c>
      <c r="AS442" s="70" t="s">
        <v>22525</v>
      </c>
      <c r="AU442" s="70" t="s">
        <v>237</v>
      </c>
      <c r="AV442" s="70" t="s">
        <v>23917</v>
      </c>
      <c r="AZ442" s="70">
        <v>977.0</v>
      </c>
    </row>
    <row r="443" ht="22.5" customHeight="1">
      <c r="A443" s="70" t="str">
        <f t="shared" si="1"/>
        <v>Excluded</v>
      </c>
      <c r="B443" s="70">
        <f t="shared" si="2"/>
        <v>0</v>
      </c>
      <c r="C443" s="70">
        <v>0.0</v>
      </c>
      <c r="D443" s="70">
        <v>0.0</v>
      </c>
      <c r="E443" s="70">
        <v>0.0</v>
      </c>
      <c r="F443" s="70">
        <v>0.0</v>
      </c>
      <c r="G443" s="70">
        <v>0.0</v>
      </c>
      <c r="H443" s="70" t="s">
        <v>23569</v>
      </c>
      <c r="I443" s="70">
        <v>2588.0</v>
      </c>
      <c r="J443" s="70" t="s">
        <v>23567</v>
      </c>
      <c r="K443" s="70" t="s">
        <v>23568</v>
      </c>
      <c r="W443" s="70" t="s">
        <v>29824</v>
      </c>
      <c r="AA443" s="70" t="s">
        <v>23571</v>
      </c>
      <c r="AI443" s="70" t="s">
        <v>23572</v>
      </c>
      <c r="AJ443" s="70" t="s">
        <v>23573</v>
      </c>
      <c r="AK443" s="70">
        <v>2024.0</v>
      </c>
      <c r="AL443" s="70" t="s">
        <v>23574</v>
      </c>
      <c r="AM443" s="70">
        <v>101172.0</v>
      </c>
      <c r="AQ443" s="70">
        <v>2.0</v>
      </c>
      <c r="AR443" s="75" t="s">
        <v>23575</v>
      </c>
      <c r="AS443" s="70" t="s">
        <v>22525</v>
      </c>
      <c r="AU443" s="70" t="s">
        <v>237</v>
      </c>
      <c r="AV443" s="70" t="s">
        <v>23576</v>
      </c>
      <c r="AZ443" s="70">
        <v>969.0</v>
      </c>
    </row>
    <row r="444" ht="22.5" customHeight="1">
      <c r="A444" s="70" t="str">
        <f t="shared" si="1"/>
        <v>Excluded</v>
      </c>
      <c r="B444" s="70">
        <f t="shared" si="2"/>
        <v>0</v>
      </c>
      <c r="C444" s="70">
        <v>0.0</v>
      </c>
      <c r="D444" s="70">
        <v>0.0</v>
      </c>
      <c r="E444" s="70">
        <v>0.0</v>
      </c>
      <c r="F444" s="70">
        <v>0.0</v>
      </c>
      <c r="G444" s="70">
        <v>0.0</v>
      </c>
      <c r="H444" s="70" t="s">
        <v>24025</v>
      </c>
      <c r="I444" s="70">
        <v>2632.0</v>
      </c>
      <c r="J444" s="70" t="s">
        <v>24023</v>
      </c>
      <c r="K444" s="70" t="s">
        <v>24024</v>
      </c>
      <c r="W444" s="70" t="s">
        <v>29825</v>
      </c>
      <c r="AA444" s="70" t="s">
        <v>24027</v>
      </c>
      <c r="AI444" s="70" t="s">
        <v>24028</v>
      </c>
      <c r="AJ444" s="70" t="s">
        <v>24029</v>
      </c>
      <c r="AK444" s="70">
        <v>2024.0</v>
      </c>
      <c r="AL444" s="70" t="s">
        <v>23574</v>
      </c>
      <c r="AM444" s="70">
        <v>101175.0</v>
      </c>
      <c r="AQ444" s="70">
        <v>5.0</v>
      </c>
      <c r="AR444" s="75" t="s">
        <v>24030</v>
      </c>
      <c r="AS444" s="70" t="s">
        <v>22525</v>
      </c>
      <c r="AU444" s="70" t="s">
        <v>237</v>
      </c>
      <c r="AV444" s="70" t="s">
        <v>24031</v>
      </c>
      <c r="AX444" s="70">
        <v>0.0</v>
      </c>
      <c r="AY444" s="70" t="s">
        <v>24</v>
      </c>
      <c r="AZ444" s="70">
        <v>2171.0</v>
      </c>
    </row>
    <row r="445" ht="22.5" customHeight="1">
      <c r="A445" s="70" t="str">
        <f t="shared" si="1"/>
        <v>Excluded</v>
      </c>
      <c r="B445" s="70">
        <f t="shared" si="2"/>
        <v>0</v>
      </c>
      <c r="C445" s="70">
        <v>0.0</v>
      </c>
      <c r="D445" s="70">
        <v>0.0</v>
      </c>
      <c r="E445" s="70">
        <v>0.0</v>
      </c>
      <c r="F445" s="70">
        <v>0.0</v>
      </c>
      <c r="G445" s="70">
        <v>0.0</v>
      </c>
      <c r="H445" s="70" t="s">
        <v>27050</v>
      </c>
      <c r="I445" s="70">
        <v>2926.0</v>
      </c>
      <c r="J445" s="70" t="s">
        <v>27048</v>
      </c>
      <c r="K445" s="70" t="s">
        <v>27049</v>
      </c>
      <c r="W445" s="70" t="s">
        <v>29826</v>
      </c>
      <c r="AA445" s="70" t="s">
        <v>27052</v>
      </c>
      <c r="AI445" s="70" t="s">
        <v>27053</v>
      </c>
      <c r="AJ445" s="70" t="s">
        <v>27054</v>
      </c>
      <c r="AK445" s="70">
        <v>2022.0</v>
      </c>
      <c r="AL445" s="70" t="s">
        <v>27055</v>
      </c>
      <c r="AN445" s="70">
        <v>49.0</v>
      </c>
      <c r="AO445" s="70">
        <v>62.0</v>
      </c>
      <c r="AP445" s="70">
        <v>13.0</v>
      </c>
      <c r="AQ445" s="70">
        <v>82.0</v>
      </c>
      <c r="AR445" s="75" t="s">
        <v>27056</v>
      </c>
      <c r="AS445" s="70" t="s">
        <v>22525</v>
      </c>
      <c r="AT445" s="70" t="s">
        <v>22622</v>
      </c>
      <c r="AU445" s="70" t="s">
        <v>237</v>
      </c>
      <c r="AV445" s="70" t="s">
        <v>27057</v>
      </c>
      <c r="AW445" s="70" t="s">
        <v>27058</v>
      </c>
      <c r="AZ445" s="70">
        <v>753.0</v>
      </c>
    </row>
    <row r="446" ht="22.5" customHeight="1">
      <c r="A446" s="70" t="str">
        <f t="shared" si="1"/>
        <v>Excluded</v>
      </c>
      <c r="B446" s="70">
        <f t="shared" si="2"/>
        <v>0</v>
      </c>
      <c r="C446" s="70">
        <v>0.0</v>
      </c>
      <c r="D446" s="70">
        <v>0.0</v>
      </c>
      <c r="E446" s="70">
        <v>0.0</v>
      </c>
      <c r="F446" s="70">
        <v>0.0</v>
      </c>
      <c r="G446" s="70">
        <v>0.0</v>
      </c>
      <c r="H446" s="70" t="s">
        <v>26232</v>
      </c>
      <c r="I446" s="70">
        <v>2846.0</v>
      </c>
      <c r="J446" s="70" t="s">
        <v>29827</v>
      </c>
      <c r="K446" s="70" t="s">
        <v>26231</v>
      </c>
      <c r="W446" s="70" t="s">
        <v>29828</v>
      </c>
      <c r="AA446" s="70" t="s">
        <v>26234</v>
      </c>
      <c r="AI446" s="70" t="s">
        <v>29829</v>
      </c>
      <c r="AJ446" s="70" t="s">
        <v>26236</v>
      </c>
      <c r="AK446" s="70">
        <v>2022.0</v>
      </c>
      <c r="AL446" s="70" t="s">
        <v>26237</v>
      </c>
      <c r="AN446" s="70">
        <v>245.0</v>
      </c>
      <c r="AO446" s="70">
        <v>263.0</v>
      </c>
      <c r="AP446" s="70">
        <v>18.0</v>
      </c>
      <c r="AQ446" s="70">
        <v>13.0</v>
      </c>
      <c r="AR446" s="75" t="s">
        <v>26238</v>
      </c>
      <c r="AS446" s="70" t="s">
        <v>22525</v>
      </c>
      <c r="AU446" s="70" t="s">
        <v>237</v>
      </c>
      <c r="AV446" s="70" t="s">
        <v>26239</v>
      </c>
      <c r="AZ446" s="70">
        <v>1183.0</v>
      </c>
    </row>
    <row r="447" ht="22.5" customHeight="1">
      <c r="A447" s="70" t="str">
        <f t="shared" si="1"/>
        <v>Excluded</v>
      </c>
      <c r="B447" s="70">
        <f t="shared" si="2"/>
        <v>0</v>
      </c>
      <c r="C447" s="70">
        <v>0.0</v>
      </c>
      <c r="D447" s="70">
        <v>0.0</v>
      </c>
      <c r="E447" s="70">
        <v>0.0</v>
      </c>
      <c r="F447" s="70">
        <v>0.0</v>
      </c>
      <c r="G447" s="70">
        <v>0.0</v>
      </c>
      <c r="H447" s="70" t="s">
        <v>27061</v>
      </c>
      <c r="I447" s="70">
        <v>2927.0</v>
      </c>
      <c r="J447" s="70" t="s">
        <v>27059</v>
      </c>
      <c r="K447" s="70" t="s">
        <v>27060</v>
      </c>
      <c r="W447" s="70" t="s">
        <v>29830</v>
      </c>
      <c r="AA447" s="70" t="s">
        <v>27063</v>
      </c>
      <c r="AI447" s="70" t="s">
        <v>27064</v>
      </c>
      <c r="AJ447" s="70" t="s">
        <v>27065</v>
      </c>
      <c r="AK447" s="70">
        <v>2021.0</v>
      </c>
      <c r="AL447" s="70" t="s">
        <v>27066</v>
      </c>
      <c r="AM447" s="70">
        <v>127904.0</v>
      </c>
      <c r="AQ447" s="70">
        <v>40.0</v>
      </c>
      <c r="AR447" s="75" t="s">
        <v>27067</v>
      </c>
      <c r="AS447" s="70" t="s">
        <v>22525</v>
      </c>
      <c r="AU447" s="70" t="s">
        <v>237</v>
      </c>
      <c r="AV447" s="70" t="s">
        <v>27068</v>
      </c>
      <c r="AW447" s="70" t="s">
        <v>27069</v>
      </c>
      <c r="AZ447" s="70">
        <v>305.0</v>
      </c>
    </row>
    <row r="448" ht="22.5" customHeight="1">
      <c r="A448" s="70" t="str">
        <f t="shared" si="1"/>
        <v>Excluded</v>
      </c>
      <c r="B448" s="70">
        <f t="shared" si="2"/>
        <v>0</v>
      </c>
      <c r="C448" s="70">
        <v>0.0</v>
      </c>
      <c r="D448" s="70">
        <v>0.0</v>
      </c>
      <c r="E448" s="70">
        <v>0.0</v>
      </c>
      <c r="F448" s="70">
        <v>0.0</v>
      </c>
      <c r="G448" s="70">
        <v>0.0</v>
      </c>
      <c r="H448" s="70" t="s">
        <v>23579</v>
      </c>
      <c r="I448" s="70">
        <v>2589.0</v>
      </c>
      <c r="J448" s="70" t="s">
        <v>29831</v>
      </c>
      <c r="K448" s="70" t="s">
        <v>23578</v>
      </c>
      <c r="W448" s="70" t="s">
        <v>29832</v>
      </c>
      <c r="AA448" s="70" t="s">
        <v>23581</v>
      </c>
      <c r="AI448" s="70" t="s">
        <v>29833</v>
      </c>
      <c r="AJ448" s="70">
        <v>5.58483361E10</v>
      </c>
      <c r="AK448" s="70">
        <v>2024.0</v>
      </c>
      <c r="AL448" s="70" t="s">
        <v>23583</v>
      </c>
      <c r="AM448" s="70">
        <v>101660.0</v>
      </c>
      <c r="AQ448" s="70">
        <v>0.0</v>
      </c>
      <c r="AR448" s="75" t="s">
        <v>23584</v>
      </c>
      <c r="AS448" s="70" t="s">
        <v>22525</v>
      </c>
      <c r="AT448" s="70" t="s">
        <v>22622</v>
      </c>
      <c r="AU448" s="70" t="s">
        <v>237</v>
      </c>
      <c r="AV448" s="70" t="s">
        <v>23585</v>
      </c>
      <c r="AZ448" s="70">
        <v>160.0</v>
      </c>
    </row>
    <row r="449" ht="22.5" customHeight="1">
      <c r="A449" s="70" t="str">
        <f t="shared" si="1"/>
        <v>Excluded</v>
      </c>
      <c r="B449" s="70">
        <f t="shared" si="2"/>
        <v>0</v>
      </c>
      <c r="C449" s="70">
        <v>0.0</v>
      </c>
      <c r="D449" s="70">
        <v>0.0</v>
      </c>
      <c r="E449" s="70">
        <v>0.0</v>
      </c>
      <c r="F449" s="70">
        <v>0.0</v>
      </c>
      <c r="G449" s="70">
        <v>0.0</v>
      </c>
      <c r="H449" s="70" t="s">
        <v>24646</v>
      </c>
      <c r="I449" s="70">
        <v>2692.0</v>
      </c>
      <c r="J449" s="70" t="s">
        <v>24644</v>
      </c>
      <c r="K449" s="70" t="s">
        <v>24645</v>
      </c>
      <c r="W449" s="70" t="s">
        <v>29834</v>
      </c>
      <c r="AA449" s="70" t="s">
        <v>24648</v>
      </c>
      <c r="AI449" s="70" t="s">
        <v>24649</v>
      </c>
      <c r="AJ449" s="70" t="s">
        <v>24650</v>
      </c>
      <c r="AK449" s="70">
        <v>2023.0</v>
      </c>
      <c r="AL449" s="70" t="s">
        <v>24651</v>
      </c>
      <c r="AM449" s="70">
        <v>100507.0</v>
      </c>
      <c r="AQ449" s="70">
        <v>11.0</v>
      </c>
      <c r="AR449" s="75" t="s">
        <v>24652</v>
      </c>
      <c r="AS449" s="70" t="s">
        <v>22525</v>
      </c>
      <c r="AT449" s="70" t="s">
        <v>23606</v>
      </c>
      <c r="AU449" s="70" t="s">
        <v>237</v>
      </c>
      <c r="AV449" s="70" t="s">
        <v>24653</v>
      </c>
      <c r="AW449" s="70" t="s">
        <v>24654</v>
      </c>
      <c r="AX449" s="70">
        <v>0.0</v>
      </c>
      <c r="AY449" s="70" t="s">
        <v>24</v>
      </c>
      <c r="AZ449" s="70">
        <v>2909.0</v>
      </c>
    </row>
    <row r="450" ht="22.5" customHeight="1">
      <c r="A450" s="70" t="str">
        <f t="shared" si="1"/>
        <v>Excluded</v>
      </c>
      <c r="B450" s="70">
        <f t="shared" si="2"/>
        <v>0</v>
      </c>
      <c r="C450" s="70">
        <v>0.0</v>
      </c>
      <c r="D450" s="70">
        <v>0.0</v>
      </c>
      <c r="E450" s="70">
        <v>0.0</v>
      </c>
      <c r="F450" s="70">
        <v>0.0</v>
      </c>
      <c r="G450" s="70">
        <v>0.0</v>
      </c>
      <c r="H450" s="70" t="s">
        <v>28485</v>
      </c>
      <c r="I450" s="70">
        <v>3066.0</v>
      </c>
      <c r="J450" s="70" t="s">
        <v>28483</v>
      </c>
      <c r="K450" s="70" t="s">
        <v>28484</v>
      </c>
      <c r="W450" s="70" t="s">
        <v>29835</v>
      </c>
      <c r="AA450" s="70" t="s">
        <v>28487</v>
      </c>
      <c r="AI450" s="70" t="s">
        <v>28488</v>
      </c>
      <c r="AJ450" s="70" t="s">
        <v>28489</v>
      </c>
      <c r="AK450" s="70">
        <v>2021.0</v>
      </c>
      <c r="AL450" s="70" t="s">
        <v>22609</v>
      </c>
      <c r="AM450" s="70">
        <v>102869.0</v>
      </c>
      <c r="AQ450" s="70">
        <v>26.0</v>
      </c>
      <c r="AR450" s="75" t="s">
        <v>28490</v>
      </c>
      <c r="AS450" s="70" t="s">
        <v>22525</v>
      </c>
      <c r="AU450" s="70" t="s">
        <v>237</v>
      </c>
      <c r="AV450" s="70" t="s">
        <v>28491</v>
      </c>
      <c r="AW450" s="70" t="s">
        <v>28492</v>
      </c>
      <c r="AX450" s="70">
        <v>0.0</v>
      </c>
      <c r="AY450" s="70" t="s">
        <v>24</v>
      </c>
      <c r="AZ450" s="70">
        <v>2447.0</v>
      </c>
    </row>
    <row r="451" ht="22.5" customHeight="1">
      <c r="A451" s="70" t="str">
        <f t="shared" si="1"/>
        <v>Excluded</v>
      </c>
      <c r="B451" s="70">
        <f t="shared" si="2"/>
        <v>0</v>
      </c>
      <c r="C451" s="70">
        <v>0.0</v>
      </c>
      <c r="D451" s="70">
        <v>0.0</v>
      </c>
      <c r="E451" s="70">
        <v>0.0</v>
      </c>
      <c r="F451" s="70">
        <v>0.0</v>
      </c>
      <c r="G451" s="70">
        <v>0.0</v>
      </c>
      <c r="H451" s="70" t="s">
        <v>24223</v>
      </c>
      <c r="I451" s="70">
        <v>2651.0</v>
      </c>
      <c r="J451" s="70" t="s">
        <v>24221</v>
      </c>
      <c r="K451" s="70" t="s">
        <v>24222</v>
      </c>
      <c r="W451" s="70" t="s">
        <v>29836</v>
      </c>
      <c r="AA451" s="70" t="s">
        <v>24225</v>
      </c>
      <c r="AI451" s="70" t="s">
        <v>24226</v>
      </c>
      <c r="AJ451" s="70" t="s">
        <v>24227</v>
      </c>
      <c r="AK451" s="70">
        <v>2024.0</v>
      </c>
      <c r="AL451" s="70" t="s">
        <v>22609</v>
      </c>
      <c r="AM451" s="70">
        <v>103839.0</v>
      </c>
      <c r="AQ451" s="70">
        <v>6.0</v>
      </c>
      <c r="AR451" s="75" t="s">
        <v>24228</v>
      </c>
      <c r="AS451" s="70" t="s">
        <v>22525</v>
      </c>
      <c r="AU451" s="70" t="s">
        <v>237</v>
      </c>
      <c r="AV451" s="70" t="s">
        <v>24229</v>
      </c>
      <c r="AW451" s="70" t="s">
        <v>24230</v>
      </c>
      <c r="AX451" s="70">
        <v>0.0</v>
      </c>
      <c r="AY451" s="70" t="s">
        <v>24</v>
      </c>
      <c r="AZ451" s="70">
        <v>2985.0</v>
      </c>
    </row>
    <row r="452" ht="22.5" customHeight="1">
      <c r="A452" s="70" t="str">
        <f t="shared" si="1"/>
        <v>Excluded</v>
      </c>
      <c r="B452" s="70">
        <f t="shared" si="2"/>
        <v>0</v>
      </c>
      <c r="C452" s="70">
        <v>0.0</v>
      </c>
      <c r="D452" s="70">
        <v>0.0</v>
      </c>
      <c r="E452" s="70">
        <v>0.0</v>
      </c>
      <c r="F452" s="70">
        <v>0.0</v>
      </c>
      <c r="G452" s="70">
        <v>0.0</v>
      </c>
      <c r="H452" s="70" t="s">
        <v>23383</v>
      </c>
      <c r="I452" s="70">
        <v>2570.0</v>
      </c>
      <c r="J452" s="70" t="s">
        <v>23381</v>
      </c>
      <c r="K452" s="70" t="s">
        <v>23382</v>
      </c>
      <c r="W452" s="70" t="s">
        <v>29837</v>
      </c>
      <c r="AA452" s="70" t="s">
        <v>23385</v>
      </c>
      <c r="AI452" s="70" t="s">
        <v>23386</v>
      </c>
      <c r="AJ452" s="70" t="s">
        <v>23387</v>
      </c>
      <c r="AK452" s="70">
        <v>2025.0</v>
      </c>
      <c r="AL452" s="70" t="s">
        <v>22609</v>
      </c>
      <c r="AM452" s="70">
        <v>104089.0</v>
      </c>
      <c r="AQ452" s="70">
        <v>1.0</v>
      </c>
      <c r="AR452" s="75" t="s">
        <v>23388</v>
      </c>
      <c r="AS452" s="70" t="s">
        <v>22525</v>
      </c>
      <c r="AU452" s="70" t="s">
        <v>237</v>
      </c>
      <c r="AV452" s="70" t="s">
        <v>23389</v>
      </c>
      <c r="AW452" s="70" t="s">
        <v>23390</v>
      </c>
      <c r="AX452" s="70">
        <v>0.0</v>
      </c>
      <c r="AY452" s="70" t="s">
        <v>24</v>
      </c>
      <c r="AZ452" s="70">
        <v>1653.0</v>
      </c>
    </row>
    <row r="453" ht="22.5" customHeight="1">
      <c r="A453" s="70" t="str">
        <f t="shared" si="1"/>
        <v>Excluded</v>
      </c>
      <c r="B453" s="70">
        <f t="shared" si="2"/>
        <v>0</v>
      </c>
      <c r="C453" s="70">
        <v>0.0</v>
      </c>
      <c r="D453" s="70">
        <v>0.0</v>
      </c>
      <c r="E453" s="70">
        <v>0.0</v>
      </c>
      <c r="F453" s="70">
        <v>0.0</v>
      </c>
      <c r="G453" s="70">
        <v>0.0</v>
      </c>
      <c r="H453" s="70" t="s">
        <v>22682</v>
      </c>
      <c r="I453" s="70">
        <v>2504.0</v>
      </c>
      <c r="J453" s="70" t="s">
        <v>22680</v>
      </c>
      <c r="K453" s="70" t="s">
        <v>22681</v>
      </c>
      <c r="W453" s="70" t="s">
        <v>29838</v>
      </c>
      <c r="AA453" s="70" t="s">
        <v>22684</v>
      </c>
      <c r="AI453" s="70" t="s">
        <v>22685</v>
      </c>
      <c r="AJ453" s="70" t="s">
        <v>22686</v>
      </c>
      <c r="AK453" s="70">
        <v>2025.0</v>
      </c>
      <c r="AL453" s="70" t="s">
        <v>22687</v>
      </c>
      <c r="AM453" s="70">
        <v>111925.0</v>
      </c>
      <c r="AQ453" s="70">
        <v>0.0</v>
      </c>
      <c r="AR453" s="75" t="s">
        <v>22688</v>
      </c>
      <c r="AS453" s="70" t="s">
        <v>22525</v>
      </c>
      <c r="AU453" s="70" t="s">
        <v>237</v>
      </c>
      <c r="AV453" s="70" t="s">
        <v>22689</v>
      </c>
      <c r="AW453" s="70" t="s">
        <v>22690</v>
      </c>
      <c r="AX453" s="70">
        <v>0.0</v>
      </c>
      <c r="AY453" s="70" t="s">
        <v>24</v>
      </c>
      <c r="AZ453" s="70">
        <v>2475.0</v>
      </c>
    </row>
    <row r="454" ht="22.5" customHeight="1">
      <c r="A454" s="70" t="str">
        <f t="shared" si="1"/>
        <v>Excluded</v>
      </c>
      <c r="B454" s="70">
        <f t="shared" si="2"/>
        <v>0</v>
      </c>
      <c r="C454" s="70">
        <v>0.0</v>
      </c>
      <c r="D454" s="70">
        <v>0.0</v>
      </c>
      <c r="E454" s="70">
        <v>0.0</v>
      </c>
      <c r="F454" s="70">
        <v>0.0</v>
      </c>
      <c r="G454" s="70">
        <v>0.0</v>
      </c>
      <c r="H454" s="70" t="s">
        <v>24213</v>
      </c>
      <c r="I454" s="70">
        <v>2650.0</v>
      </c>
      <c r="J454" s="70" t="s">
        <v>24211</v>
      </c>
      <c r="K454" s="70" t="s">
        <v>24212</v>
      </c>
      <c r="W454" s="70" t="s">
        <v>29839</v>
      </c>
      <c r="AA454" s="70" t="s">
        <v>24215</v>
      </c>
      <c r="AI454" s="70" t="s">
        <v>24216</v>
      </c>
      <c r="AJ454" s="70" t="s">
        <v>24217</v>
      </c>
      <c r="AK454" s="70">
        <v>2024.0</v>
      </c>
      <c r="AL454" s="70" t="s">
        <v>24218</v>
      </c>
      <c r="AM454" s="70">
        <v>100223.0</v>
      </c>
      <c r="AQ454" s="70">
        <v>4.0</v>
      </c>
      <c r="AR454" s="75" t="s">
        <v>24219</v>
      </c>
      <c r="AS454" s="70" t="s">
        <v>22525</v>
      </c>
      <c r="AT454" s="70" t="s">
        <v>22622</v>
      </c>
      <c r="AU454" s="70" t="s">
        <v>237</v>
      </c>
      <c r="AV454" s="70" t="s">
        <v>24220</v>
      </c>
      <c r="AZ454" s="70">
        <v>1122.0</v>
      </c>
    </row>
    <row r="455" ht="22.5" customHeight="1">
      <c r="A455" s="70" t="str">
        <f t="shared" si="1"/>
        <v>Excluded</v>
      </c>
      <c r="B455" s="70">
        <f t="shared" si="2"/>
        <v>0</v>
      </c>
      <c r="C455" s="70">
        <v>0.0</v>
      </c>
      <c r="D455" s="70">
        <v>0.0</v>
      </c>
      <c r="E455" s="70">
        <v>0.0</v>
      </c>
      <c r="F455" s="70">
        <v>0.0</v>
      </c>
      <c r="G455" s="70">
        <v>0.0</v>
      </c>
      <c r="H455" s="70" t="s">
        <v>28516</v>
      </c>
      <c r="I455" s="70">
        <v>3069.0</v>
      </c>
      <c r="J455" s="70" t="s">
        <v>28514</v>
      </c>
      <c r="K455" s="70" t="s">
        <v>28515</v>
      </c>
      <c r="W455" s="70" t="s">
        <v>29840</v>
      </c>
      <c r="AA455" s="70" t="s">
        <v>28518</v>
      </c>
      <c r="AI455" s="70" t="s">
        <v>28519</v>
      </c>
      <c r="AJ455" s="70" t="s">
        <v>28520</v>
      </c>
      <c r="AK455" s="70">
        <v>2020.0</v>
      </c>
      <c r="AL455" s="70" t="s">
        <v>28439</v>
      </c>
      <c r="AN455" s="70">
        <v>107.0</v>
      </c>
      <c r="AO455" s="70">
        <v>128.0</v>
      </c>
      <c r="AP455" s="70">
        <v>21.0</v>
      </c>
      <c r="AQ455" s="70">
        <v>66.0</v>
      </c>
      <c r="AR455" s="75" t="s">
        <v>28521</v>
      </c>
      <c r="AS455" s="70" t="s">
        <v>22525</v>
      </c>
      <c r="AU455" s="70" t="s">
        <v>237</v>
      </c>
      <c r="AV455" s="70" t="s">
        <v>28522</v>
      </c>
      <c r="AW455" s="70" t="s">
        <v>28523</v>
      </c>
      <c r="AZ455" s="70">
        <v>178.0</v>
      </c>
    </row>
    <row r="456" ht="22.5" customHeight="1">
      <c r="A456" s="70" t="str">
        <f t="shared" si="1"/>
        <v>Excluded</v>
      </c>
      <c r="B456" s="70">
        <f t="shared" si="2"/>
        <v>0</v>
      </c>
      <c r="C456" s="70">
        <v>0.0</v>
      </c>
      <c r="D456" s="70">
        <v>0.0</v>
      </c>
      <c r="E456" s="70">
        <v>0.0</v>
      </c>
      <c r="F456" s="70">
        <v>0.0</v>
      </c>
      <c r="G456" s="70">
        <v>0.0</v>
      </c>
      <c r="H456" s="70" t="s">
        <v>28434</v>
      </c>
      <c r="I456" s="70">
        <v>3061.0</v>
      </c>
      <c r="J456" s="70" t="s">
        <v>28432</v>
      </c>
      <c r="K456" s="70" t="s">
        <v>28433</v>
      </c>
      <c r="W456" s="70" t="s">
        <v>29841</v>
      </c>
      <c r="AA456" s="70" t="s">
        <v>28436</v>
      </c>
      <c r="AI456" s="70" t="s">
        <v>28437</v>
      </c>
      <c r="AJ456" s="70" t="s">
        <v>28438</v>
      </c>
      <c r="AK456" s="70">
        <v>2021.0</v>
      </c>
      <c r="AL456" s="70" t="s">
        <v>28439</v>
      </c>
      <c r="AN456" s="70">
        <v>155.0</v>
      </c>
      <c r="AO456" s="70">
        <v>183.0</v>
      </c>
      <c r="AP456" s="70">
        <v>28.0</v>
      </c>
      <c r="AQ456" s="70">
        <v>133.0</v>
      </c>
      <c r="AR456" s="75" t="s">
        <v>28440</v>
      </c>
      <c r="AS456" s="70" t="s">
        <v>22525</v>
      </c>
      <c r="AU456" s="70" t="s">
        <v>237</v>
      </c>
      <c r="AV456" s="70" t="s">
        <v>28441</v>
      </c>
      <c r="AW456" s="70" t="s">
        <v>28442</v>
      </c>
      <c r="AX456" s="70">
        <v>0.0</v>
      </c>
      <c r="AY456" s="70" t="s">
        <v>24</v>
      </c>
      <c r="AZ456" s="70">
        <v>2354.0</v>
      </c>
    </row>
    <row r="457" ht="22.5" customHeight="1">
      <c r="A457" s="70" t="str">
        <f t="shared" si="1"/>
        <v>Excluded</v>
      </c>
      <c r="B457" s="70">
        <f t="shared" si="2"/>
        <v>0</v>
      </c>
      <c r="C457" s="70">
        <v>0.0</v>
      </c>
      <c r="D457" s="70">
        <v>0.0</v>
      </c>
      <c r="E457" s="70">
        <v>0.0</v>
      </c>
      <c r="F457" s="70">
        <v>0.0</v>
      </c>
      <c r="G457" s="70">
        <v>0.0</v>
      </c>
      <c r="H457" s="70" t="s">
        <v>28839</v>
      </c>
      <c r="I457" s="70">
        <v>3100.0</v>
      </c>
      <c r="J457" s="70" t="s">
        <v>28837</v>
      </c>
      <c r="K457" s="70" t="s">
        <v>28838</v>
      </c>
      <c r="W457" s="70" t="s">
        <v>29842</v>
      </c>
      <c r="AA457" s="70" t="s">
        <v>28841</v>
      </c>
      <c r="AI457" s="70" t="s">
        <v>28842</v>
      </c>
      <c r="AJ457" s="70" t="s">
        <v>28843</v>
      </c>
      <c r="AK457" s="70">
        <v>2017.0</v>
      </c>
      <c r="AL457" s="70" t="s">
        <v>22826</v>
      </c>
      <c r="AN457" s="70">
        <v>1.0</v>
      </c>
      <c r="AO457" s="70">
        <v>16.0</v>
      </c>
      <c r="AP457" s="70">
        <v>15.0</v>
      </c>
      <c r="AQ457" s="70">
        <v>203.0</v>
      </c>
      <c r="AR457" s="75" t="s">
        <v>28844</v>
      </c>
      <c r="AS457" s="70" t="s">
        <v>22525</v>
      </c>
      <c r="AU457" s="70" t="s">
        <v>237</v>
      </c>
      <c r="AV457" s="70" t="s">
        <v>28845</v>
      </c>
      <c r="AW457" s="70" t="s">
        <v>28846</v>
      </c>
      <c r="AZ457" s="70">
        <v>324.0</v>
      </c>
    </row>
    <row r="458" ht="22.5" customHeight="1">
      <c r="A458" s="70" t="str">
        <f t="shared" si="1"/>
        <v>Excluded</v>
      </c>
      <c r="B458" s="70">
        <f t="shared" si="2"/>
        <v>0</v>
      </c>
      <c r="C458" s="70">
        <v>0.0</v>
      </c>
      <c r="D458" s="70">
        <v>0.0</v>
      </c>
      <c r="E458" s="70">
        <v>0.0</v>
      </c>
      <c r="F458" s="70">
        <v>0.0</v>
      </c>
      <c r="G458" s="70">
        <v>0.0</v>
      </c>
      <c r="H458" s="70" t="s">
        <v>29141</v>
      </c>
      <c r="I458" s="70">
        <v>3130.0</v>
      </c>
      <c r="J458" s="70" t="s">
        <v>29139</v>
      </c>
      <c r="K458" s="70" t="s">
        <v>29140</v>
      </c>
      <c r="W458" s="70" t="s">
        <v>29843</v>
      </c>
      <c r="AA458" s="70" t="s">
        <v>29143</v>
      </c>
      <c r="AI458" s="70" t="s">
        <v>29144</v>
      </c>
      <c r="AJ458" s="70" t="s">
        <v>29145</v>
      </c>
      <c r="AK458" s="70">
        <v>2018.0</v>
      </c>
      <c r="AL458" s="70" t="s">
        <v>22826</v>
      </c>
      <c r="AN458" s="70">
        <v>14.0</v>
      </c>
      <c r="AO458" s="70">
        <v>25.0</v>
      </c>
      <c r="AP458" s="70">
        <v>11.0</v>
      </c>
      <c r="AQ458" s="70">
        <v>21.0</v>
      </c>
      <c r="AR458" s="75" t="s">
        <v>29146</v>
      </c>
      <c r="AS458" s="70" t="s">
        <v>22525</v>
      </c>
      <c r="AT458" s="70" t="s">
        <v>22816</v>
      </c>
      <c r="AU458" s="70" t="s">
        <v>237</v>
      </c>
      <c r="AV458" s="70" t="s">
        <v>29147</v>
      </c>
      <c r="AW458" s="70" t="s">
        <v>29148</v>
      </c>
      <c r="AX458" s="70">
        <v>0.0</v>
      </c>
      <c r="AY458" s="70" t="s">
        <v>24</v>
      </c>
      <c r="AZ458" s="70">
        <v>2349.0</v>
      </c>
    </row>
    <row r="459" ht="22.5" customHeight="1">
      <c r="A459" s="70" t="str">
        <f t="shared" si="1"/>
        <v>Excluded</v>
      </c>
      <c r="B459" s="70">
        <f t="shared" si="2"/>
        <v>0</v>
      </c>
      <c r="C459" s="70">
        <v>0.0</v>
      </c>
      <c r="D459" s="70">
        <v>0.0</v>
      </c>
      <c r="E459" s="70">
        <v>0.0</v>
      </c>
      <c r="F459" s="70">
        <v>0.0</v>
      </c>
      <c r="G459" s="70">
        <v>0.0</v>
      </c>
      <c r="H459" s="70" t="s">
        <v>27137</v>
      </c>
      <c r="I459" s="70">
        <v>2934.0</v>
      </c>
      <c r="J459" s="70" t="s">
        <v>27135</v>
      </c>
      <c r="K459" s="70" t="s">
        <v>27136</v>
      </c>
      <c r="W459" s="70" t="s">
        <v>29844</v>
      </c>
      <c r="AA459" s="70" t="s">
        <v>27139</v>
      </c>
      <c r="AI459" s="70" t="s">
        <v>27140</v>
      </c>
      <c r="AJ459" s="70" t="s">
        <v>27141</v>
      </c>
      <c r="AK459" s="70">
        <v>2021.0</v>
      </c>
      <c r="AL459" s="70" t="s">
        <v>22826</v>
      </c>
      <c r="AM459" s="70">
        <v>110969.0</v>
      </c>
      <c r="AQ459" s="70">
        <v>20.0</v>
      </c>
      <c r="AR459" s="75" t="s">
        <v>27142</v>
      </c>
      <c r="AS459" s="70" t="s">
        <v>22525</v>
      </c>
      <c r="AT459" s="70" t="s">
        <v>22526</v>
      </c>
      <c r="AU459" s="70" t="s">
        <v>237</v>
      </c>
      <c r="AV459" s="70" t="s">
        <v>27143</v>
      </c>
      <c r="AW459" s="70" t="s">
        <v>27144</v>
      </c>
      <c r="AZ459" s="70">
        <v>826.0</v>
      </c>
    </row>
    <row r="460" ht="22.5" customHeight="1">
      <c r="A460" s="70" t="str">
        <f t="shared" si="1"/>
        <v>Excluded</v>
      </c>
      <c r="B460" s="70">
        <f t="shared" si="2"/>
        <v>0</v>
      </c>
      <c r="C460" s="70">
        <v>0.0</v>
      </c>
      <c r="D460" s="70">
        <v>0.0</v>
      </c>
      <c r="E460" s="70">
        <v>0.0</v>
      </c>
      <c r="F460" s="70">
        <v>0.0</v>
      </c>
      <c r="G460" s="70">
        <v>0.0</v>
      </c>
      <c r="H460" s="70" t="s">
        <v>26335</v>
      </c>
      <c r="I460" s="70">
        <v>2856.0</v>
      </c>
      <c r="J460" s="70" t="s">
        <v>26333</v>
      </c>
      <c r="K460" s="70" t="s">
        <v>26334</v>
      </c>
      <c r="W460" s="70" t="s">
        <v>29845</v>
      </c>
      <c r="AA460" s="70" t="s">
        <v>26337</v>
      </c>
      <c r="AI460" s="70" t="s">
        <v>26338</v>
      </c>
      <c r="AJ460" s="70" t="s">
        <v>26339</v>
      </c>
      <c r="AK460" s="70">
        <v>2022.0</v>
      </c>
      <c r="AL460" s="70" t="s">
        <v>22826</v>
      </c>
      <c r="AM460" s="70">
        <v>111351.0</v>
      </c>
      <c r="AQ460" s="70">
        <v>134.0</v>
      </c>
      <c r="AR460" s="75" t="s">
        <v>26340</v>
      </c>
      <c r="AS460" s="70" t="s">
        <v>22525</v>
      </c>
      <c r="AT460" s="70" t="s">
        <v>22816</v>
      </c>
      <c r="AU460" s="70" t="s">
        <v>237</v>
      </c>
      <c r="AV460" s="70" t="s">
        <v>26341</v>
      </c>
      <c r="AW460" s="70" t="s">
        <v>26342</v>
      </c>
      <c r="AX460" s="70">
        <v>0.0</v>
      </c>
      <c r="AY460" s="70" t="s">
        <v>24</v>
      </c>
      <c r="AZ460" s="70">
        <v>1849.0</v>
      </c>
    </row>
    <row r="461" ht="22.5" customHeight="1">
      <c r="A461" s="70" t="str">
        <f t="shared" si="1"/>
        <v>Excluded</v>
      </c>
      <c r="B461" s="70">
        <f t="shared" si="2"/>
        <v>0</v>
      </c>
      <c r="C461" s="70">
        <v>0.0</v>
      </c>
      <c r="D461" s="70">
        <v>0.0</v>
      </c>
      <c r="E461" s="70">
        <v>0.0</v>
      </c>
      <c r="F461" s="70">
        <v>0.0</v>
      </c>
      <c r="G461" s="70">
        <v>0.0</v>
      </c>
      <c r="H461" s="70" t="s">
        <v>25887</v>
      </c>
      <c r="I461" s="70">
        <v>2812.0</v>
      </c>
      <c r="J461" s="70" t="s">
        <v>29846</v>
      </c>
      <c r="K461" s="70" t="s">
        <v>25886</v>
      </c>
      <c r="W461" s="70" t="s">
        <v>29847</v>
      </c>
      <c r="AA461" s="70" t="s">
        <v>25889</v>
      </c>
      <c r="AI461" s="70" t="s">
        <v>29848</v>
      </c>
      <c r="AJ461" s="70" t="s">
        <v>25891</v>
      </c>
      <c r="AK461" s="70">
        <v>2023.0</v>
      </c>
      <c r="AL461" s="70" t="s">
        <v>22826</v>
      </c>
      <c r="AM461" s="70">
        <v>111558.0</v>
      </c>
      <c r="AQ461" s="70">
        <v>13.0</v>
      </c>
      <c r="AR461" s="75" t="s">
        <v>25892</v>
      </c>
      <c r="AS461" s="70" t="s">
        <v>22525</v>
      </c>
      <c r="AT461" s="70" t="s">
        <v>22656</v>
      </c>
      <c r="AU461" s="70" t="s">
        <v>237</v>
      </c>
      <c r="AV461" s="70" t="s">
        <v>25893</v>
      </c>
      <c r="AW461" s="70" t="s">
        <v>25894</v>
      </c>
      <c r="AZ461" s="70">
        <v>925.0</v>
      </c>
    </row>
    <row r="462" ht="22.5" customHeight="1">
      <c r="A462" s="70" t="str">
        <f t="shared" si="1"/>
        <v>Excluded</v>
      </c>
      <c r="B462" s="70">
        <f t="shared" si="2"/>
        <v>0</v>
      </c>
      <c r="C462" s="70">
        <v>0.0</v>
      </c>
      <c r="D462" s="70">
        <v>0.0</v>
      </c>
      <c r="E462" s="70">
        <v>0.0</v>
      </c>
      <c r="F462" s="70">
        <v>0.0</v>
      </c>
      <c r="G462" s="70">
        <v>0.0</v>
      </c>
      <c r="H462" s="70" t="s">
        <v>25711</v>
      </c>
      <c r="I462" s="70">
        <v>2795.0</v>
      </c>
      <c r="J462" s="70" t="s">
        <v>25709</v>
      </c>
      <c r="K462" s="70" t="s">
        <v>25710</v>
      </c>
      <c r="W462" s="70" t="s">
        <v>29849</v>
      </c>
      <c r="AA462" s="70" t="s">
        <v>25713</v>
      </c>
      <c r="AI462" s="70" t="s">
        <v>25714</v>
      </c>
      <c r="AJ462" s="70" t="s">
        <v>25715</v>
      </c>
      <c r="AK462" s="70">
        <v>2023.0</v>
      </c>
      <c r="AL462" s="70" t="s">
        <v>22826</v>
      </c>
      <c r="AM462" s="70">
        <v>111789.0</v>
      </c>
      <c r="AQ462" s="70">
        <v>1.0</v>
      </c>
      <c r="AR462" s="75" t="s">
        <v>25716</v>
      </c>
      <c r="AS462" s="70" t="s">
        <v>22525</v>
      </c>
      <c r="AU462" s="70" t="s">
        <v>237</v>
      </c>
      <c r="AV462" s="70" t="s">
        <v>25717</v>
      </c>
      <c r="AW462" s="70" t="s">
        <v>25718</v>
      </c>
      <c r="AX462" s="70">
        <v>0.0</v>
      </c>
      <c r="AY462" s="70" t="s">
        <v>24</v>
      </c>
      <c r="AZ462" s="70">
        <v>3035.0</v>
      </c>
    </row>
    <row r="463" ht="22.5" customHeight="1">
      <c r="A463" s="70" t="str">
        <f t="shared" si="1"/>
        <v>Excluded</v>
      </c>
      <c r="B463" s="70">
        <f t="shared" si="2"/>
        <v>0</v>
      </c>
      <c r="C463" s="70">
        <v>0.0</v>
      </c>
      <c r="D463" s="70">
        <v>0.0</v>
      </c>
      <c r="E463" s="70">
        <v>0.0</v>
      </c>
      <c r="F463" s="70">
        <v>0.0</v>
      </c>
      <c r="G463" s="70">
        <v>0.0</v>
      </c>
      <c r="H463" s="70" t="s">
        <v>29019</v>
      </c>
      <c r="I463" s="70">
        <v>3118.0</v>
      </c>
      <c r="J463" s="70" t="s">
        <v>29850</v>
      </c>
      <c r="K463" s="70" t="s">
        <v>29018</v>
      </c>
      <c r="W463" s="70" t="s">
        <v>29851</v>
      </c>
      <c r="AA463" s="70" t="s">
        <v>29021</v>
      </c>
      <c r="AI463" s="70" t="s">
        <v>29852</v>
      </c>
      <c r="AJ463" s="70" t="s">
        <v>29023</v>
      </c>
      <c r="AK463" s="70">
        <v>2018.0</v>
      </c>
      <c r="AL463" s="70" t="s">
        <v>29024</v>
      </c>
      <c r="AN463" s="70">
        <v>46.0</v>
      </c>
      <c r="AO463" s="70">
        <v>59.0</v>
      </c>
      <c r="AP463" s="70">
        <v>13.0</v>
      </c>
      <c r="AQ463" s="70">
        <v>32.0</v>
      </c>
      <c r="AR463" s="75" t="s">
        <v>29025</v>
      </c>
      <c r="AS463" s="70" t="s">
        <v>22525</v>
      </c>
      <c r="AT463" s="70" t="s">
        <v>22816</v>
      </c>
      <c r="AU463" s="70" t="s">
        <v>237</v>
      </c>
      <c r="AV463" s="70" t="s">
        <v>29026</v>
      </c>
      <c r="AZ463" s="70">
        <v>1210.0</v>
      </c>
    </row>
    <row r="464" ht="22.5" customHeight="1">
      <c r="A464" s="70" t="str">
        <f t="shared" si="1"/>
        <v>Excluded</v>
      </c>
      <c r="B464" s="70">
        <f t="shared" si="2"/>
        <v>0</v>
      </c>
      <c r="C464" s="70">
        <v>0.0</v>
      </c>
      <c r="D464" s="70">
        <v>0.0</v>
      </c>
      <c r="E464" s="70">
        <v>0.0</v>
      </c>
      <c r="F464" s="70">
        <v>0.0</v>
      </c>
      <c r="G464" s="70">
        <v>0.0</v>
      </c>
      <c r="H464" s="70" t="s">
        <v>27241</v>
      </c>
      <c r="I464" s="70">
        <v>2944.0</v>
      </c>
      <c r="J464" s="70" t="s">
        <v>27239</v>
      </c>
      <c r="K464" s="70" t="s">
        <v>27240</v>
      </c>
      <c r="W464" s="70" t="s">
        <v>29853</v>
      </c>
      <c r="AA464" s="70" t="s">
        <v>27243</v>
      </c>
      <c r="AI464" s="70" t="s">
        <v>27244</v>
      </c>
      <c r="AJ464" s="70" t="s">
        <v>27245</v>
      </c>
      <c r="AK464" s="70">
        <v>2021.0</v>
      </c>
      <c r="AL464" s="70" t="s">
        <v>23593</v>
      </c>
      <c r="AN464" s="70">
        <v>419.0</v>
      </c>
      <c r="AO464" s="70">
        <v>430.0</v>
      </c>
      <c r="AP464" s="70">
        <v>11.0</v>
      </c>
      <c r="AQ464" s="70">
        <v>31.0</v>
      </c>
      <c r="AR464" s="75" t="s">
        <v>27246</v>
      </c>
      <c r="AS464" s="70" t="s">
        <v>22525</v>
      </c>
      <c r="AU464" s="70" t="s">
        <v>237</v>
      </c>
      <c r="AV464" s="70" t="s">
        <v>27247</v>
      </c>
      <c r="AW464" s="70" t="s">
        <v>27248</v>
      </c>
      <c r="AX464" s="70">
        <v>0.0</v>
      </c>
      <c r="AY464" s="70" t="s">
        <v>24</v>
      </c>
      <c r="AZ464" s="70">
        <v>2788.0</v>
      </c>
    </row>
    <row r="465" ht="22.5" customHeight="1">
      <c r="A465" s="70" t="str">
        <f t="shared" si="1"/>
        <v>Excluded</v>
      </c>
      <c r="B465" s="70">
        <f t="shared" si="2"/>
        <v>0</v>
      </c>
      <c r="C465" s="70">
        <v>0.0</v>
      </c>
      <c r="D465" s="70">
        <v>0.0</v>
      </c>
      <c r="E465" s="70">
        <v>0.0</v>
      </c>
      <c r="F465" s="70">
        <v>0.0</v>
      </c>
      <c r="G465" s="70">
        <v>0.0</v>
      </c>
      <c r="H465" s="70" t="s">
        <v>26202</v>
      </c>
      <c r="I465" s="70">
        <v>2843.0</v>
      </c>
      <c r="J465" s="70" t="s">
        <v>26200</v>
      </c>
      <c r="K465" s="70" t="s">
        <v>26201</v>
      </c>
      <c r="W465" s="70" t="s">
        <v>29854</v>
      </c>
      <c r="AA465" s="70" t="s">
        <v>26204</v>
      </c>
      <c r="AI465" s="70" t="s">
        <v>26205</v>
      </c>
      <c r="AJ465" s="70" t="s">
        <v>26206</v>
      </c>
      <c r="AK465" s="70">
        <v>2022.0</v>
      </c>
      <c r="AL465" s="70" t="s">
        <v>23593</v>
      </c>
      <c r="AN465" s="70">
        <v>265.0</v>
      </c>
      <c r="AO465" s="70">
        <v>281.0</v>
      </c>
      <c r="AP465" s="70">
        <v>16.0</v>
      </c>
      <c r="AQ465" s="70">
        <v>4.0</v>
      </c>
      <c r="AR465" s="75" t="s">
        <v>26207</v>
      </c>
      <c r="AS465" s="70" t="s">
        <v>22525</v>
      </c>
      <c r="AU465" s="70" t="s">
        <v>237</v>
      </c>
      <c r="AV465" s="70" t="s">
        <v>26208</v>
      </c>
      <c r="AW465" s="70" t="s">
        <v>26209</v>
      </c>
      <c r="AX465" s="70">
        <v>0.0</v>
      </c>
      <c r="AY465" s="70" t="s">
        <v>24</v>
      </c>
      <c r="AZ465" s="70">
        <v>1742.0</v>
      </c>
    </row>
    <row r="466" ht="22.5" customHeight="1">
      <c r="A466" s="70" t="str">
        <f t="shared" si="1"/>
        <v>Excluded</v>
      </c>
      <c r="B466" s="70">
        <f t="shared" si="2"/>
        <v>0</v>
      </c>
      <c r="C466" s="70">
        <v>0.0</v>
      </c>
      <c r="D466" s="70">
        <v>0.0</v>
      </c>
      <c r="E466" s="70">
        <v>0.0</v>
      </c>
      <c r="F466" s="70">
        <v>0.0</v>
      </c>
      <c r="G466" s="70">
        <v>0.0</v>
      </c>
      <c r="H466" s="70" t="s">
        <v>23588</v>
      </c>
      <c r="I466" s="70">
        <v>2590.0</v>
      </c>
      <c r="J466" s="70" t="s">
        <v>29855</v>
      </c>
      <c r="K466" s="70" t="s">
        <v>23587</v>
      </c>
      <c r="W466" s="70" t="s">
        <v>29856</v>
      </c>
      <c r="AA466" s="70" t="s">
        <v>23590</v>
      </c>
      <c r="AI466" s="70" t="s">
        <v>29857</v>
      </c>
      <c r="AJ466" s="70" t="s">
        <v>23592</v>
      </c>
      <c r="AK466" s="70">
        <v>2024.0</v>
      </c>
      <c r="AL466" s="70" t="s">
        <v>23593</v>
      </c>
      <c r="AM466" s="70">
        <v>127017.0</v>
      </c>
      <c r="AQ466" s="70">
        <v>75.0</v>
      </c>
      <c r="AR466" s="75" t="s">
        <v>23594</v>
      </c>
      <c r="AS466" s="70" t="s">
        <v>22525</v>
      </c>
      <c r="AT466" s="70" t="s">
        <v>22526</v>
      </c>
      <c r="AU466" s="70" t="s">
        <v>237</v>
      </c>
      <c r="AV466" s="70" t="s">
        <v>23595</v>
      </c>
      <c r="AW466" s="70" t="s">
        <v>23596</v>
      </c>
      <c r="AX466" s="70">
        <v>0.0</v>
      </c>
      <c r="AY466" s="70" t="s">
        <v>24</v>
      </c>
      <c r="AZ466" s="70">
        <v>2681.0</v>
      </c>
    </row>
    <row r="467" ht="22.5" customHeight="1">
      <c r="A467" s="70" t="str">
        <f t="shared" si="1"/>
        <v>Excluded</v>
      </c>
      <c r="B467" s="70">
        <f t="shared" si="2"/>
        <v>0</v>
      </c>
      <c r="C467" s="70">
        <v>0.0</v>
      </c>
      <c r="D467" s="70">
        <v>0.0</v>
      </c>
      <c r="E467" s="70">
        <v>0.0</v>
      </c>
      <c r="F467" s="70">
        <v>0.0</v>
      </c>
      <c r="G467" s="70">
        <v>0.0</v>
      </c>
      <c r="H467" s="70" t="s">
        <v>22961</v>
      </c>
      <c r="I467" s="70">
        <v>2530.0</v>
      </c>
      <c r="J467" s="70" t="s">
        <v>29858</v>
      </c>
      <c r="K467" s="70" t="s">
        <v>22960</v>
      </c>
      <c r="W467" s="70" t="s">
        <v>29859</v>
      </c>
      <c r="AA467" s="70" t="s">
        <v>22963</v>
      </c>
      <c r="AI467" s="70" t="s">
        <v>29860</v>
      </c>
      <c r="AJ467" s="70" t="s">
        <v>22965</v>
      </c>
      <c r="AK467" s="70">
        <v>2024.0</v>
      </c>
      <c r="AL467" s="70" t="s">
        <v>22966</v>
      </c>
      <c r="AM467" s="70">
        <v>113636.0</v>
      </c>
      <c r="AQ467" s="70">
        <v>1.0</v>
      </c>
      <c r="AR467" s="75" t="s">
        <v>22967</v>
      </c>
      <c r="AS467" s="70" t="s">
        <v>22525</v>
      </c>
      <c r="AU467" s="70" t="s">
        <v>237</v>
      </c>
      <c r="AV467" s="70" t="s">
        <v>22968</v>
      </c>
      <c r="AW467" s="70" t="s">
        <v>22969</v>
      </c>
      <c r="AZ467" s="70">
        <v>793.0</v>
      </c>
    </row>
    <row r="468" ht="22.5" customHeight="1">
      <c r="A468" s="70" t="str">
        <f t="shared" si="1"/>
        <v>Excluded</v>
      </c>
      <c r="B468" s="70">
        <f t="shared" si="2"/>
        <v>0</v>
      </c>
      <c r="C468" s="70">
        <v>0.0</v>
      </c>
      <c r="D468" s="70">
        <v>0.0</v>
      </c>
      <c r="E468" s="70">
        <v>0.0</v>
      </c>
      <c r="F468" s="70">
        <v>0.0</v>
      </c>
      <c r="G468" s="70">
        <v>0.0</v>
      </c>
      <c r="H468" s="70" t="s">
        <v>23599</v>
      </c>
      <c r="I468" s="70">
        <v>2591.0</v>
      </c>
      <c r="J468" s="70" t="s">
        <v>23597</v>
      </c>
      <c r="K468" s="70" t="s">
        <v>23598</v>
      </c>
      <c r="W468" s="70" t="s">
        <v>29861</v>
      </c>
      <c r="AA468" s="70" t="s">
        <v>23601</v>
      </c>
      <c r="AI468" s="70" t="s">
        <v>23602</v>
      </c>
      <c r="AJ468" s="70" t="s">
        <v>23603</v>
      </c>
      <c r="AK468" s="70">
        <v>2024.0</v>
      </c>
      <c r="AL468" s="70" t="s">
        <v>23604</v>
      </c>
      <c r="AM468" s="70">
        <v>103064.0</v>
      </c>
      <c r="AQ468" s="70">
        <v>1.0</v>
      </c>
      <c r="AR468" s="75" t="s">
        <v>23605</v>
      </c>
      <c r="AS468" s="70" t="s">
        <v>22525</v>
      </c>
      <c r="AT468" s="70" t="s">
        <v>23606</v>
      </c>
      <c r="AU468" s="70" t="s">
        <v>237</v>
      </c>
      <c r="AV468" s="70" t="s">
        <v>23607</v>
      </c>
      <c r="AW468" s="70" t="s">
        <v>23608</v>
      </c>
      <c r="AX468" s="70">
        <v>0.0</v>
      </c>
      <c r="AY468" s="70" t="s">
        <v>24</v>
      </c>
      <c r="AZ468" s="70">
        <v>1793.0</v>
      </c>
    </row>
    <row r="469" ht="22.5" customHeight="1">
      <c r="A469" s="70" t="str">
        <f t="shared" si="1"/>
        <v>Excluded</v>
      </c>
      <c r="B469" s="70">
        <f t="shared" si="2"/>
        <v>0</v>
      </c>
      <c r="C469" s="70">
        <v>0.0</v>
      </c>
      <c r="D469" s="70">
        <v>0.0</v>
      </c>
      <c r="E469" s="70">
        <v>0.0</v>
      </c>
      <c r="F469" s="70">
        <v>0.0</v>
      </c>
      <c r="G469" s="70">
        <v>0.0</v>
      </c>
      <c r="H469" s="70" t="s">
        <v>25260</v>
      </c>
      <c r="I469" s="70">
        <v>2752.0</v>
      </c>
      <c r="J469" s="70" t="s">
        <v>25258</v>
      </c>
      <c r="K469" s="70" t="s">
        <v>25259</v>
      </c>
      <c r="W469" s="70" t="s">
        <v>29862</v>
      </c>
      <c r="AA469" s="70" t="s">
        <v>25262</v>
      </c>
      <c r="AI469" s="70" t="s">
        <v>25263</v>
      </c>
      <c r="AJ469" s="70" t="s">
        <v>25264</v>
      </c>
      <c r="AK469" s="70">
        <v>2023.0</v>
      </c>
      <c r="AL469" s="70" t="s">
        <v>23010</v>
      </c>
      <c r="AM469" s="70">
        <v>101800.0</v>
      </c>
      <c r="AQ469" s="70">
        <v>7.0</v>
      </c>
      <c r="AR469" s="75" t="s">
        <v>25265</v>
      </c>
      <c r="AS469" s="70" t="s">
        <v>22525</v>
      </c>
      <c r="AU469" s="70" t="s">
        <v>237</v>
      </c>
      <c r="AV469" s="70" t="s">
        <v>25266</v>
      </c>
      <c r="AW469" s="70" t="s">
        <v>25267</v>
      </c>
      <c r="AX469" s="70">
        <v>0.0</v>
      </c>
      <c r="AY469" s="70" t="s">
        <v>24</v>
      </c>
      <c r="AZ469" s="70">
        <v>1864.0</v>
      </c>
    </row>
    <row r="470" ht="22.5" customHeight="1">
      <c r="A470" s="70" t="str">
        <f t="shared" si="1"/>
        <v>Excluded</v>
      </c>
      <c r="B470" s="70">
        <f t="shared" si="2"/>
        <v>0</v>
      </c>
      <c r="C470" s="70">
        <v>0.0</v>
      </c>
      <c r="D470" s="70">
        <v>0.0</v>
      </c>
      <c r="E470" s="70">
        <v>0.0</v>
      </c>
      <c r="F470" s="70">
        <v>0.0</v>
      </c>
      <c r="G470" s="70">
        <v>0.0</v>
      </c>
      <c r="H470" s="70" t="s">
        <v>23005</v>
      </c>
      <c r="I470" s="70">
        <v>2534.0</v>
      </c>
      <c r="J470" s="70" t="s">
        <v>23003</v>
      </c>
      <c r="K470" s="70" t="s">
        <v>23004</v>
      </c>
      <c r="W470" s="70" t="s">
        <v>29863</v>
      </c>
      <c r="AA470" s="70" t="s">
        <v>23007</v>
      </c>
      <c r="AI470" s="70" t="s">
        <v>23008</v>
      </c>
      <c r="AJ470" s="70" t="s">
        <v>23009</v>
      </c>
      <c r="AK470" s="70">
        <v>2024.0</v>
      </c>
      <c r="AL470" s="70" t="s">
        <v>23010</v>
      </c>
      <c r="AM470" s="70">
        <v>101986.0</v>
      </c>
      <c r="AQ470" s="70">
        <v>0.0</v>
      </c>
      <c r="AR470" s="75" t="s">
        <v>23011</v>
      </c>
      <c r="AS470" s="70" t="s">
        <v>22525</v>
      </c>
      <c r="AU470" s="70" t="s">
        <v>237</v>
      </c>
      <c r="AV470" s="70" t="s">
        <v>23012</v>
      </c>
      <c r="AW470" s="70" t="s">
        <v>23013</v>
      </c>
      <c r="AX470" s="70">
        <v>0.0</v>
      </c>
      <c r="AY470" s="70" t="s">
        <v>24</v>
      </c>
      <c r="AZ470" s="70">
        <v>1765.0</v>
      </c>
    </row>
    <row r="471" ht="22.5" customHeight="1">
      <c r="A471" s="70" t="str">
        <f t="shared" si="1"/>
        <v>Excluded</v>
      </c>
      <c r="B471" s="70">
        <f t="shared" si="2"/>
        <v>0</v>
      </c>
      <c r="C471" s="70">
        <v>0.0</v>
      </c>
      <c r="D471" s="70">
        <v>0.0</v>
      </c>
      <c r="E471" s="70">
        <v>0.0</v>
      </c>
      <c r="F471" s="70">
        <v>0.0</v>
      </c>
      <c r="G471" s="70">
        <v>0.0</v>
      </c>
      <c r="H471" s="70" t="s">
        <v>23122</v>
      </c>
      <c r="I471" s="70">
        <v>2545.0</v>
      </c>
      <c r="J471" s="70" t="s">
        <v>23120</v>
      </c>
      <c r="K471" s="70" t="s">
        <v>23121</v>
      </c>
      <c r="W471" s="70" t="s">
        <v>29864</v>
      </c>
      <c r="AA471" s="70" t="s">
        <v>23124</v>
      </c>
      <c r="AI471" s="70" t="s">
        <v>23125</v>
      </c>
      <c r="AJ471" s="70" t="s">
        <v>23126</v>
      </c>
      <c r="AK471" s="70">
        <v>2025.0</v>
      </c>
      <c r="AL471" s="70" t="s">
        <v>23010</v>
      </c>
      <c r="AM471" s="70">
        <v>102028.0</v>
      </c>
      <c r="AQ471" s="70">
        <v>0.0</v>
      </c>
      <c r="AR471" s="75" t="s">
        <v>23127</v>
      </c>
      <c r="AS471" s="70" t="s">
        <v>22525</v>
      </c>
      <c r="AU471" s="70" t="s">
        <v>237</v>
      </c>
      <c r="AV471" s="70" t="s">
        <v>23128</v>
      </c>
      <c r="AW471" s="70" t="s">
        <v>23129</v>
      </c>
      <c r="AX471" s="70">
        <v>0.0</v>
      </c>
      <c r="AY471" s="70" t="s">
        <v>24</v>
      </c>
      <c r="AZ471" s="70">
        <v>2543.0</v>
      </c>
    </row>
    <row r="472" ht="22.5" customHeight="1">
      <c r="A472" s="70" t="str">
        <f t="shared" si="1"/>
        <v>Excluded</v>
      </c>
      <c r="B472" s="70">
        <f t="shared" si="2"/>
        <v>0</v>
      </c>
      <c r="C472" s="70">
        <v>0.0</v>
      </c>
      <c r="D472" s="70">
        <v>0.0</v>
      </c>
      <c r="E472" s="70">
        <v>0.0</v>
      </c>
      <c r="F472" s="70">
        <v>0.0</v>
      </c>
      <c r="G472" s="70">
        <v>0.0</v>
      </c>
      <c r="H472" s="70" t="s">
        <v>29040</v>
      </c>
      <c r="I472" s="70">
        <v>3120.0</v>
      </c>
      <c r="J472" s="70" t="s">
        <v>29038</v>
      </c>
      <c r="K472" s="70" t="s">
        <v>29039</v>
      </c>
      <c r="W472" s="70" t="s">
        <v>29865</v>
      </c>
      <c r="AA472" s="70" t="s">
        <v>29042</v>
      </c>
      <c r="AI472" s="70" t="s">
        <v>29043</v>
      </c>
      <c r="AJ472" s="70" t="s">
        <v>29044</v>
      </c>
      <c r="AK472" s="70">
        <v>2017.0</v>
      </c>
      <c r="AL472" s="70" t="s">
        <v>27034</v>
      </c>
      <c r="AN472" s="70">
        <v>337.0</v>
      </c>
      <c r="AO472" s="70">
        <v>344.0</v>
      </c>
      <c r="AP472" s="70">
        <v>7.0</v>
      </c>
      <c r="AQ472" s="70">
        <v>10.0</v>
      </c>
      <c r="AR472" s="75" t="s">
        <v>29045</v>
      </c>
      <c r="AS472" s="70" t="s">
        <v>22525</v>
      </c>
      <c r="AT472" s="70" t="s">
        <v>22622</v>
      </c>
      <c r="AU472" s="70" t="s">
        <v>237</v>
      </c>
      <c r="AV472" s="70" t="s">
        <v>29046</v>
      </c>
      <c r="AW472" s="70" t="s">
        <v>29047</v>
      </c>
      <c r="AZ472" s="70">
        <v>1121.0</v>
      </c>
    </row>
    <row r="473" ht="22.5" customHeight="1">
      <c r="A473" s="70" t="str">
        <f t="shared" si="1"/>
        <v>Excluded</v>
      </c>
      <c r="B473" s="70">
        <f t="shared" si="2"/>
        <v>0</v>
      </c>
      <c r="C473" s="70">
        <v>0.0</v>
      </c>
      <c r="D473" s="70">
        <v>0.0</v>
      </c>
      <c r="E473" s="70">
        <v>0.0</v>
      </c>
      <c r="F473" s="70">
        <v>0.0</v>
      </c>
      <c r="G473" s="70">
        <v>0.0</v>
      </c>
      <c r="H473" s="70" t="s">
        <v>27029</v>
      </c>
      <c r="I473" s="70">
        <v>2924.0</v>
      </c>
      <c r="J473" s="70" t="s">
        <v>27027</v>
      </c>
      <c r="K473" s="70" t="s">
        <v>27028</v>
      </c>
      <c r="W473" s="70" t="s">
        <v>29866</v>
      </c>
      <c r="AA473" s="70" t="s">
        <v>27031</v>
      </c>
      <c r="AI473" s="70" t="s">
        <v>27032</v>
      </c>
      <c r="AJ473" s="70" t="s">
        <v>27033</v>
      </c>
      <c r="AK473" s="70">
        <v>2022.0</v>
      </c>
      <c r="AL473" s="70" t="s">
        <v>27034</v>
      </c>
      <c r="AN473" s="70">
        <v>204.0</v>
      </c>
      <c r="AO473" s="70">
        <v>212.0</v>
      </c>
      <c r="AP473" s="70">
        <v>8.0</v>
      </c>
      <c r="AQ473" s="70">
        <v>3.0</v>
      </c>
      <c r="AR473" s="75" t="s">
        <v>27035</v>
      </c>
      <c r="AS473" s="70" t="s">
        <v>22525</v>
      </c>
      <c r="AT473" s="70" t="s">
        <v>22622</v>
      </c>
      <c r="AU473" s="70" t="s">
        <v>237</v>
      </c>
      <c r="AV473" s="70" t="s">
        <v>27036</v>
      </c>
      <c r="AW473" s="70" t="s">
        <v>27037</v>
      </c>
      <c r="AX473" s="70">
        <v>0.0</v>
      </c>
      <c r="AY473" s="70" t="s">
        <v>24</v>
      </c>
      <c r="AZ473" s="70">
        <v>1946.0</v>
      </c>
    </row>
    <row r="474" ht="22.5" customHeight="1">
      <c r="A474" s="70" t="str">
        <f t="shared" si="1"/>
        <v>Excluded</v>
      </c>
      <c r="B474" s="70">
        <f t="shared" si="2"/>
        <v>0</v>
      </c>
      <c r="C474" s="70">
        <v>0.0</v>
      </c>
      <c r="D474" s="70">
        <v>0.0</v>
      </c>
      <c r="E474" s="70">
        <v>0.0</v>
      </c>
      <c r="F474" s="70">
        <v>0.0</v>
      </c>
      <c r="G474" s="70">
        <v>0.0</v>
      </c>
      <c r="H474" s="70" t="s">
        <v>25959</v>
      </c>
      <c r="I474" s="70">
        <v>2819.0</v>
      </c>
      <c r="J474" s="70" t="s">
        <v>29867</v>
      </c>
      <c r="K474" s="70" t="s">
        <v>25958</v>
      </c>
      <c r="W474" s="70" t="s">
        <v>29868</v>
      </c>
      <c r="AA474" s="70" t="s">
        <v>25961</v>
      </c>
      <c r="AI474" s="70" t="s">
        <v>29869</v>
      </c>
      <c r="AJ474" s="70" t="s">
        <v>25963</v>
      </c>
      <c r="AK474" s="70">
        <v>2023.0</v>
      </c>
      <c r="AL474" s="70" t="s">
        <v>25964</v>
      </c>
      <c r="AM474" s="70">
        <v>102520.0</v>
      </c>
      <c r="AQ474" s="70">
        <v>20.0</v>
      </c>
      <c r="AR474" s="75" t="s">
        <v>25965</v>
      </c>
      <c r="AS474" s="70" t="s">
        <v>22525</v>
      </c>
      <c r="AT474" s="70" t="s">
        <v>23606</v>
      </c>
      <c r="AU474" s="70" t="s">
        <v>237</v>
      </c>
      <c r="AV474" s="70" t="s">
        <v>25966</v>
      </c>
      <c r="AW474" s="70" t="s">
        <v>25967</v>
      </c>
      <c r="AZ474" s="70">
        <v>1106.0</v>
      </c>
    </row>
    <row r="475" ht="22.5" customHeight="1">
      <c r="A475" s="70" t="str">
        <f t="shared" si="1"/>
        <v>Excluded</v>
      </c>
      <c r="B475" s="70">
        <f t="shared" si="2"/>
        <v>0</v>
      </c>
      <c r="C475" s="70">
        <v>0.0</v>
      </c>
      <c r="D475" s="70">
        <v>0.0</v>
      </c>
      <c r="E475" s="70">
        <v>0.0</v>
      </c>
      <c r="F475" s="70">
        <v>0.0</v>
      </c>
      <c r="G475" s="70">
        <v>0.0</v>
      </c>
      <c r="H475" s="70" t="s">
        <v>23195</v>
      </c>
      <c r="I475" s="70">
        <v>2552.0</v>
      </c>
      <c r="J475" s="70" t="s">
        <v>23193</v>
      </c>
      <c r="K475" s="70" t="s">
        <v>23194</v>
      </c>
      <c r="W475" s="70" t="s">
        <v>29870</v>
      </c>
      <c r="AA475" s="70" t="s">
        <v>23197</v>
      </c>
      <c r="AI475" s="70" t="s">
        <v>23198</v>
      </c>
      <c r="AJ475" s="70" t="s">
        <v>23199</v>
      </c>
      <c r="AK475" s="70">
        <v>2025.0</v>
      </c>
      <c r="AL475" s="70" t="s">
        <v>23200</v>
      </c>
      <c r="AM475" s="70">
        <v>110832.0</v>
      </c>
      <c r="AQ475" s="70">
        <v>0.0</v>
      </c>
      <c r="AR475" s="75" t="s">
        <v>23201</v>
      </c>
      <c r="AS475" s="70" t="s">
        <v>22525</v>
      </c>
      <c r="AU475" s="70" t="s">
        <v>237</v>
      </c>
      <c r="AV475" s="70" t="s">
        <v>23202</v>
      </c>
      <c r="AW475" s="70" t="s">
        <v>23203</v>
      </c>
      <c r="AZ475" s="70">
        <v>230.0</v>
      </c>
    </row>
    <row r="476" ht="22.5" customHeight="1">
      <c r="A476" s="70" t="str">
        <f t="shared" si="1"/>
        <v>Excluded</v>
      </c>
      <c r="B476" s="70">
        <f t="shared" si="2"/>
        <v>0</v>
      </c>
      <c r="C476" s="70">
        <v>0.0</v>
      </c>
      <c r="D476" s="70">
        <v>0.0</v>
      </c>
      <c r="E476" s="70">
        <v>0.0</v>
      </c>
      <c r="F476" s="70">
        <v>0.0</v>
      </c>
      <c r="G476" s="70">
        <v>0.0</v>
      </c>
      <c r="H476" s="70" t="s">
        <v>25595</v>
      </c>
      <c r="I476" s="70">
        <v>2784.0</v>
      </c>
      <c r="J476" s="70" t="s">
        <v>25593</v>
      </c>
      <c r="K476" s="70" t="s">
        <v>25594</v>
      </c>
      <c r="W476" s="70" t="s">
        <v>29871</v>
      </c>
      <c r="AA476" s="70" t="s">
        <v>25597</v>
      </c>
      <c r="AI476" s="70" t="s">
        <v>25598</v>
      </c>
      <c r="AJ476" s="70" t="s">
        <v>25599</v>
      </c>
      <c r="AK476" s="70">
        <v>2023.0</v>
      </c>
      <c r="AL476" s="70" t="s">
        <v>25600</v>
      </c>
      <c r="AM476" s="70">
        <v>104545.0</v>
      </c>
      <c r="AQ476" s="70">
        <v>7.0</v>
      </c>
      <c r="AR476" s="75" t="s">
        <v>25601</v>
      </c>
      <c r="AS476" s="70" t="s">
        <v>22525</v>
      </c>
      <c r="AU476" s="70" t="s">
        <v>237</v>
      </c>
      <c r="AV476" s="70" t="s">
        <v>25602</v>
      </c>
      <c r="AW476" s="70" t="s">
        <v>25603</v>
      </c>
      <c r="AZ476" s="70">
        <v>910.0</v>
      </c>
    </row>
    <row r="477" ht="22.5" customHeight="1">
      <c r="A477" s="70" t="str">
        <f t="shared" si="1"/>
        <v>Excluded</v>
      </c>
      <c r="B477" s="70">
        <f t="shared" si="2"/>
        <v>0</v>
      </c>
      <c r="C477" s="70">
        <v>0.0</v>
      </c>
      <c r="D477" s="70">
        <v>0.0</v>
      </c>
      <c r="E477" s="70">
        <v>0.0</v>
      </c>
      <c r="F477" s="70">
        <v>0.0</v>
      </c>
      <c r="G477" s="70">
        <v>0.0</v>
      </c>
      <c r="H477" s="70" t="s">
        <v>28455</v>
      </c>
      <c r="I477" s="70">
        <v>3063.0</v>
      </c>
      <c r="J477" s="70" t="s">
        <v>28453</v>
      </c>
      <c r="K477" s="70" t="s">
        <v>28454</v>
      </c>
      <c r="W477" s="70" t="s">
        <v>29872</v>
      </c>
      <c r="AA477" s="70" t="s">
        <v>28457</v>
      </c>
      <c r="AI477" s="70" t="s">
        <v>28458</v>
      </c>
      <c r="AJ477" s="70" t="s">
        <v>28459</v>
      </c>
      <c r="AK477" s="70">
        <v>2020.0</v>
      </c>
      <c r="AL477" s="70" t="s">
        <v>22955</v>
      </c>
      <c r="AM477" s="70">
        <v>102007.0</v>
      </c>
      <c r="AQ477" s="70">
        <v>21.0</v>
      </c>
      <c r="AR477" s="75" t="s">
        <v>28460</v>
      </c>
      <c r="AS477" s="70" t="s">
        <v>22525</v>
      </c>
      <c r="AT477" s="70" t="s">
        <v>22816</v>
      </c>
      <c r="AU477" s="70" t="s">
        <v>237</v>
      </c>
      <c r="AV477" s="70" t="s">
        <v>28461</v>
      </c>
      <c r="AW477" s="70" t="s">
        <v>28462</v>
      </c>
      <c r="AX477" s="70">
        <v>0.0</v>
      </c>
      <c r="AY477" s="70" t="s">
        <v>24</v>
      </c>
      <c r="AZ477" s="70">
        <v>1694.0</v>
      </c>
    </row>
    <row r="478" ht="22.5" customHeight="1">
      <c r="A478" s="70" t="str">
        <f t="shared" si="1"/>
        <v>Excluded</v>
      </c>
      <c r="B478" s="70">
        <f t="shared" si="2"/>
        <v>0</v>
      </c>
      <c r="C478" s="70">
        <v>0.0</v>
      </c>
      <c r="D478" s="70">
        <v>0.0</v>
      </c>
      <c r="E478" s="70">
        <v>0.0</v>
      </c>
      <c r="F478" s="70">
        <v>0.0</v>
      </c>
      <c r="G478" s="70">
        <v>0.0</v>
      </c>
      <c r="H478" s="70" t="s">
        <v>27365</v>
      </c>
      <c r="I478" s="70">
        <v>2956.0</v>
      </c>
      <c r="J478" s="70" t="s">
        <v>27363</v>
      </c>
      <c r="K478" s="70" t="s">
        <v>27364</v>
      </c>
      <c r="W478" s="70" t="s">
        <v>29873</v>
      </c>
      <c r="AA478" s="70" t="s">
        <v>27367</v>
      </c>
      <c r="AI478" s="70" t="s">
        <v>27368</v>
      </c>
      <c r="AJ478" s="70" t="s">
        <v>27369</v>
      </c>
      <c r="AK478" s="70">
        <v>2022.0</v>
      </c>
      <c r="AL478" s="70" t="s">
        <v>22955</v>
      </c>
      <c r="AM478" s="70">
        <v>102402.0</v>
      </c>
      <c r="AQ478" s="70">
        <v>7.0</v>
      </c>
      <c r="AR478" s="75" t="s">
        <v>27370</v>
      </c>
      <c r="AS478" s="70" t="s">
        <v>22525</v>
      </c>
      <c r="AU478" s="70" t="s">
        <v>237</v>
      </c>
      <c r="AV478" s="70" t="s">
        <v>27371</v>
      </c>
      <c r="AW478" s="70" t="s">
        <v>27372</v>
      </c>
      <c r="AX478" s="70">
        <v>0.0</v>
      </c>
      <c r="AY478" s="70" t="s">
        <v>24</v>
      </c>
      <c r="AZ478" s="70">
        <v>2322.0</v>
      </c>
    </row>
    <row r="479" ht="22.5" customHeight="1">
      <c r="A479" s="70" t="str">
        <f t="shared" si="1"/>
        <v>Excluded</v>
      </c>
      <c r="B479" s="70">
        <f t="shared" si="2"/>
        <v>0</v>
      </c>
      <c r="C479" s="70">
        <v>0.0</v>
      </c>
      <c r="D479" s="70">
        <v>0.0</v>
      </c>
      <c r="E479" s="70">
        <v>0.0</v>
      </c>
      <c r="F479" s="70">
        <v>0.0</v>
      </c>
      <c r="G479" s="70">
        <v>0.0</v>
      </c>
      <c r="H479" s="70" t="s">
        <v>23529</v>
      </c>
      <c r="I479" s="70">
        <v>2584.0</v>
      </c>
      <c r="J479" s="70" t="s">
        <v>23527</v>
      </c>
      <c r="K479" s="70" t="s">
        <v>23528</v>
      </c>
      <c r="W479" s="70" t="s">
        <v>29874</v>
      </c>
      <c r="AA479" s="70" t="s">
        <v>23531</v>
      </c>
      <c r="AI479" s="70" t="s">
        <v>23532</v>
      </c>
      <c r="AJ479" s="70" t="s">
        <v>23533</v>
      </c>
      <c r="AK479" s="70">
        <v>2024.0</v>
      </c>
      <c r="AL479" s="70" t="s">
        <v>22955</v>
      </c>
      <c r="AM479" s="70">
        <v>102913.0</v>
      </c>
      <c r="AQ479" s="70">
        <v>5.0</v>
      </c>
      <c r="AR479" s="75" t="s">
        <v>23534</v>
      </c>
      <c r="AS479" s="70" t="s">
        <v>22525</v>
      </c>
      <c r="AT479" s="70" t="s">
        <v>22526</v>
      </c>
      <c r="AU479" s="70" t="s">
        <v>237</v>
      </c>
      <c r="AV479" s="70" t="s">
        <v>23535</v>
      </c>
      <c r="AW479" s="70" t="s">
        <v>23536</v>
      </c>
      <c r="AX479" s="70">
        <v>0.0</v>
      </c>
      <c r="AY479" s="70" t="s">
        <v>24</v>
      </c>
      <c r="AZ479" s="70">
        <v>2028.0</v>
      </c>
    </row>
    <row r="480" ht="22.5" customHeight="1">
      <c r="A480" s="70" t="str">
        <f t="shared" si="1"/>
        <v>Excluded</v>
      </c>
      <c r="B480" s="70">
        <f t="shared" si="2"/>
        <v>0</v>
      </c>
      <c r="C480" s="70">
        <v>0.0</v>
      </c>
      <c r="D480" s="70">
        <v>0.0</v>
      </c>
      <c r="E480" s="70">
        <v>0.0</v>
      </c>
      <c r="F480" s="70">
        <v>0.0</v>
      </c>
      <c r="G480" s="70">
        <v>0.0</v>
      </c>
      <c r="H480" s="70" t="s">
        <v>22950</v>
      </c>
      <c r="I480" s="70">
        <v>2529.0</v>
      </c>
      <c r="J480" s="70" t="s">
        <v>22948</v>
      </c>
      <c r="K480" s="70" t="s">
        <v>22949</v>
      </c>
      <c r="W480" s="70" t="s">
        <v>29875</v>
      </c>
      <c r="AA480" s="70" t="s">
        <v>22952</v>
      </c>
      <c r="AI480" s="70" t="s">
        <v>22953</v>
      </c>
      <c r="AJ480" s="70" t="s">
        <v>22954</v>
      </c>
      <c r="AK480" s="70">
        <v>2025.0</v>
      </c>
      <c r="AL480" s="70" t="s">
        <v>22955</v>
      </c>
      <c r="AM480" s="70">
        <v>103042.0</v>
      </c>
      <c r="AQ480" s="70">
        <v>0.0</v>
      </c>
      <c r="AR480" s="75" t="s">
        <v>22956</v>
      </c>
      <c r="AS480" s="70" t="s">
        <v>22525</v>
      </c>
      <c r="AU480" s="70" t="s">
        <v>237</v>
      </c>
      <c r="AV480" s="70" t="s">
        <v>22957</v>
      </c>
      <c r="AW480" s="70" t="s">
        <v>22958</v>
      </c>
      <c r="AX480" s="70">
        <v>0.0</v>
      </c>
      <c r="AY480" s="70" t="s">
        <v>24</v>
      </c>
      <c r="AZ480" s="70">
        <v>2648.0</v>
      </c>
    </row>
    <row r="481" ht="22.5" customHeight="1">
      <c r="A481" s="70" t="str">
        <f t="shared" si="1"/>
        <v>Excluded</v>
      </c>
      <c r="B481" s="70">
        <f t="shared" si="2"/>
        <v>0</v>
      </c>
      <c r="C481" s="70">
        <v>0.0</v>
      </c>
      <c r="D481" s="70">
        <v>0.0</v>
      </c>
      <c r="E481" s="70">
        <v>0.0</v>
      </c>
      <c r="F481" s="70">
        <v>0.0</v>
      </c>
      <c r="G481" s="70">
        <v>0.0</v>
      </c>
      <c r="H481" s="70" t="s">
        <v>26275</v>
      </c>
      <c r="I481" s="70">
        <v>2850.0</v>
      </c>
      <c r="J481" s="70" t="s">
        <v>26273</v>
      </c>
      <c r="K481" s="70" t="s">
        <v>26274</v>
      </c>
      <c r="W481" s="70" t="s">
        <v>29876</v>
      </c>
      <c r="AA481" s="70" t="s">
        <v>26277</v>
      </c>
      <c r="AI481" s="70" t="s">
        <v>26278</v>
      </c>
      <c r="AJ481" s="70" t="s">
        <v>26279</v>
      </c>
      <c r="AK481" s="70">
        <v>2022.0</v>
      </c>
      <c r="AL481" s="70" t="s">
        <v>22868</v>
      </c>
      <c r="AM481" s="70">
        <v>100812.0</v>
      </c>
      <c r="AQ481" s="70">
        <v>11.0</v>
      </c>
      <c r="AR481" s="75" t="s">
        <v>26280</v>
      </c>
      <c r="AS481" s="70" t="s">
        <v>22525</v>
      </c>
      <c r="AU481" s="70" t="s">
        <v>237</v>
      </c>
      <c r="AV481" s="70" t="s">
        <v>26281</v>
      </c>
      <c r="AW481" s="70" t="s">
        <v>26282</v>
      </c>
      <c r="AX481" s="70">
        <v>0.0</v>
      </c>
      <c r="AY481" s="70" t="s">
        <v>24</v>
      </c>
      <c r="AZ481" s="70">
        <v>1925.0</v>
      </c>
    </row>
    <row r="482" ht="22.5" customHeight="1">
      <c r="A482" s="70" t="str">
        <f t="shared" si="1"/>
        <v>Excluded</v>
      </c>
      <c r="B482" s="70">
        <f t="shared" si="2"/>
        <v>0</v>
      </c>
      <c r="C482" s="70">
        <v>0.0</v>
      </c>
      <c r="D482" s="70">
        <v>0.0</v>
      </c>
      <c r="E482" s="70">
        <v>0.0</v>
      </c>
      <c r="F482" s="70">
        <v>0.0</v>
      </c>
      <c r="G482" s="70">
        <v>0.0</v>
      </c>
      <c r="H482" s="70" t="s">
        <v>28229</v>
      </c>
      <c r="I482" s="70">
        <v>3041.0</v>
      </c>
      <c r="J482" s="70" t="s">
        <v>28227</v>
      </c>
      <c r="K482" s="70" t="s">
        <v>28228</v>
      </c>
      <c r="W482" s="70" t="s">
        <v>29877</v>
      </c>
      <c r="AA482" s="70" t="s">
        <v>28231</v>
      </c>
      <c r="AI482" s="70" t="s">
        <v>28232</v>
      </c>
      <c r="AJ482" s="70" t="s">
        <v>28233</v>
      </c>
      <c r="AK482" s="70">
        <v>2021.0</v>
      </c>
      <c r="AL482" s="70" t="s">
        <v>23739</v>
      </c>
      <c r="AM482" s="70">
        <v>101876.0</v>
      </c>
      <c r="AQ482" s="70">
        <v>16.0</v>
      </c>
      <c r="AR482" s="75" t="s">
        <v>28234</v>
      </c>
      <c r="AS482" s="70" t="s">
        <v>22525</v>
      </c>
      <c r="AU482" s="70" t="s">
        <v>237</v>
      </c>
      <c r="AV482" s="70" t="s">
        <v>28235</v>
      </c>
      <c r="AW482" s="70" t="s">
        <v>28236</v>
      </c>
      <c r="AZ482" s="70">
        <v>359.0</v>
      </c>
    </row>
    <row r="483" ht="22.5" customHeight="1">
      <c r="A483" s="70" t="str">
        <f t="shared" si="1"/>
        <v>Excluded</v>
      </c>
      <c r="B483" s="70">
        <f t="shared" si="2"/>
        <v>0</v>
      </c>
      <c r="C483" s="70">
        <v>0.0</v>
      </c>
      <c r="D483" s="70">
        <v>0.0</v>
      </c>
      <c r="E483" s="70">
        <v>0.0</v>
      </c>
      <c r="F483" s="70">
        <v>0.0</v>
      </c>
      <c r="G483" s="70">
        <v>0.0</v>
      </c>
      <c r="H483" s="70" t="s">
        <v>27698</v>
      </c>
      <c r="I483" s="70">
        <v>2989.0</v>
      </c>
      <c r="J483" s="70" t="s">
        <v>27696</v>
      </c>
      <c r="K483" s="70" t="s">
        <v>27697</v>
      </c>
      <c r="W483" s="70" t="s">
        <v>29878</v>
      </c>
      <c r="AA483" s="70" t="s">
        <v>27700</v>
      </c>
      <c r="AI483" s="70" t="s">
        <v>29879</v>
      </c>
      <c r="AJ483" s="70" t="s">
        <v>27702</v>
      </c>
      <c r="AK483" s="70">
        <v>2021.0</v>
      </c>
      <c r="AL483" s="70" t="s">
        <v>23739</v>
      </c>
      <c r="AM483" s="70">
        <v>102064.0</v>
      </c>
      <c r="AQ483" s="70">
        <v>20.0</v>
      </c>
      <c r="AR483" s="75" t="s">
        <v>27703</v>
      </c>
      <c r="AS483" s="70" t="s">
        <v>22525</v>
      </c>
      <c r="AU483" s="70" t="s">
        <v>237</v>
      </c>
      <c r="AV483" s="70" t="s">
        <v>27704</v>
      </c>
      <c r="AW483" s="70" t="s">
        <v>27705</v>
      </c>
      <c r="AX483" s="70">
        <v>0.0</v>
      </c>
      <c r="AY483" s="70" t="s">
        <v>24</v>
      </c>
      <c r="AZ483" s="70">
        <v>2009.0</v>
      </c>
    </row>
    <row r="484" ht="22.5" customHeight="1">
      <c r="A484" s="70" t="str">
        <f t="shared" si="1"/>
        <v>Excluded</v>
      </c>
      <c r="B484" s="70">
        <f t="shared" si="2"/>
        <v>0</v>
      </c>
      <c r="C484" s="70">
        <v>0.0</v>
      </c>
      <c r="D484" s="70">
        <v>0.0</v>
      </c>
      <c r="E484" s="70">
        <v>0.0</v>
      </c>
      <c r="F484" s="70">
        <v>0.0</v>
      </c>
      <c r="G484" s="70">
        <v>0.0</v>
      </c>
      <c r="H484" s="70" t="s">
        <v>23734</v>
      </c>
      <c r="I484" s="70">
        <v>2604.0</v>
      </c>
      <c r="J484" s="70" t="s">
        <v>23732</v>
      </c>
      <c r="K484" s="70" t="s">
        <v>23733</v>
      </c>
      <c r="W484" s="70" t="s">
        <v>29880</v>
      </c>
      <c r="AA484" s="70" t="s">
        <v>23736</v>
      </c>
      <c r="AI484" s="70" t="s">
        <v>29881</v>
      </c>
      <c r="AJ484" s="70" t="s">
        <v>23738</v>
      </c>
      <c r="AK484" s="70">
        <v>2024.0</v>
      </c>
      <c r="AL484" s="70" t="s">
        <v>23739</v>
      </c>
      <c r="AM484" s="70">
        <v>103131.0</v>
      </c>
      <c r="AQ484" s="70">
        <v>4.0</v>
      </c>
      <c r="AR484" s="75" t="s">
        <v>23740</v>
      </c>
      <c r="AS484" s="70" t="s">
        <v>22525</v>
      </c>
      <c r="AU484" s="70" t="s">
        <v>237</v>
      </c>
      <c r="AV484" s="70" t="s">
        <v>23741</v>
      </c>
      <c r="AW484" s="70" t="s">
        <v>23742</v>
      </c>
      <c r="AX484" s="70">
        <v>0.0</v>
      </c>
      <c r="AY484" s="70" t="s">
        <v>24</v>
      </c>
      <c r="AZ484" s="70">
        <v>2076.0</v>
      </c>
    </row>
    <row r="485" ht="22.5" customHeight="1">
      <c r="A485" s="70" t="str">
        <f t="shared" si="1"/>
        <v>Excluded</v>
      </c>
      <c r="B485" s="70">
        <f t="shared" si="2"/>
        <v>0</v>
      </c>
      <c r="C485" s="70">
        <v>0.0</v>
      </c>
      <c r="D485" s="70">
        <v>0.0</v>
      </c>
      <c r="E485" s="70">
        <v>0.0</v>
      </c>
      <c r="F485" s="70">
        <v>0.0</v>
      </c>
      <c r="G485" s="70">
        <v>0.0</v>
      </c>
      <c r="H485" s="70" t="s">
        <v>25773</v>
      </c>
      <c r="I485" s="70">
        <v>2801.0</v>
      </c>
      <c r="J485" s="70" t="s">
        <v>25771</v>
      </c>
      <c r="K485" s="70" t="s">
        <v>25772</v>
      </c>
      <c r="W485" s="70" t="s">
        <v>29882</v>
      </c>
      <c r="AA485" s="70" t="s">
        <v>25775</v>
      </c>
      <c r="AI485" s="70" t="s">
        <v>25776</v>
      </c>
      <c r="AJ485" s="70" t="s">
        <v>25777</v>
      </c>
      <c r="AK485" s="70">
        <v>2023.0</v>
      </c>
      <c r="AL485" s="70" t="s">
        <v>25705</v>
      </c>
      <c r="AM485" s="70">
        <v>122265.0</v>
      </c>
      <c r="AQ485" s="70">
        <v>31.0</v>
      </c>
      <c r="AR485" s="75" t="s">
        <v>25778</v>
      </c>
      <c r="AS485" s="70" t="s">
        <v>22525</v>
      </c>
      <c r="AU485" s="70" t="s">
        <v>237</v>
      </c>
      <c r="AV485" s="70" t="s">
        <v>25779</v>
      </c>
      <c r="AW485" s="70" t="s">
        <v>25780</v>
      </c>
      <c r="AX485" s="70">
        <v>0.0</v>
      </c>
      <c r="AY485" s="70" t="s">
        <v>24</v>
      </c>
      <c r="AZ485" s="70">
        <v>2802.0</v>
      </c>
    </row>
    <row r="486" ht="22.5" customHeight="1">
      <c r="A486" s="70" t="str">
        <f t="shared" si="1"/>
        <v>Excluded</v>
      </c>
      <c r="B486" s="70">
        <f t="shared" si="2"/>
        <v>0</v>
      </c>
      <c r="C486" s="70">
        <v>0.0</v>
      </c>
      <c r="D486" s="70">
        <v>0.0</v>
      </c>
      <c r="E486" s="70">
        <v>0.0</v>
      </c>
      <c r="F486" s="70">
        <v>0.0</v>
      </c>
      <c r="G486" s="70">
        <v>0.0</v>
      </c>
      <c r="H486" s="70" t="s">
        <v>25700</v>
      </c>
      <c r="I486" s="70">
        <v>2794.0</v>
      </c>
      <c r="J486" s="70" t="s">
        <v>25698</v>
      </c>
      <c r="K486" s="70" t="s">
        <v>25699</v>
      </c>
      <c r="W486" s="70" t="s">
        <v>29883</v>
      </c>
      <c r="AA486" s="70" t="s">
        <v>25702</v>
      </c>
      <c r="AI486" s="70" t="s">
        <v>25703</v>
      </c>
      <c r="AJ486" s="70" t="s">
        <v>25704</v>
      </c>
      <c r="AK486" s="70">
        <v>2023.0</v>
      </c>
      <c r="AL486" s="70" t="s">
        <v>25705</v>
      </c>
      <c r="AM486" s="70">
        <v>122357.0</v>
      </c>
      <c r="AQ486" s="70">
        <v>8.0</v>
      </c>
      <c r="AR486" s="75" t="s">
        <v>25706</v>
      </c>
      <c r="AS486" s="70" t="s">
        <v>22525</v>
      </c>
      <c r="AT486" s="70" t="s">
        <v>22526</v>
      </c>
      <c r="AU486" s="70" t="s">
        <v>237</v>
      </c>
      <c r="AV486" s="70" t="s">
        <v>25707</v>
      </c>
      <c r="AW486" s="70" t="s">
        <v>25708</v>
      </c>
      <c r="AZ486" s="70">
        <v>1102.0</v>
      </c>
    </row>
    <row r="487" ht="22.5" customHeight="1">
      <c r="A487" s="70" t="str">
        <f t="shared" si="1"/>
        <v>Excluded</v>
      </c>
      <c r="B487" s="70">
        <f t="shared" si="2"/>
        <v>0</v>
      </c>
      <c r="C487" s="70">
        <v>0.0</v>
      </c>
      <c r="D487" s="70">
        <v>0.0</v>
      </c>
      <c r="E487" s="70">
        <v>0.0</v>
      </c>
      <c r="F487" s="70">
        <v>0.0</v>
      </c>
      <c r="G487" s="70">
        <v>0.0</v>
      </c>
      <c r="H487" s="70" t="s">
        <v>25461</v>
      </c>
      <c r="I487" s="70">
        <v>2771.0</v>
      </c>
      <c r="J487" s="70" t="s">
        <v>25459</v>
      </c>
      <c r="K487" s="70" t="s">
        <v>25460</v>
      </c>
      <c r="W487" s="70" t="s">
        <v>29884</v>
      </c>
      <c r="AA487" s="70" t="s">
        <v>25463</v>
      </c>
      <c r="AI487" s="70" t="s">
        <v>25464</v>
      </c>
      <c r="AJ487" s="70" t="s">
        <v>25465</v>
      </c>
      <c r="AK487" s="70">
        <v>2023.0</v>
      </c>
      <c r="AL487" s="70" t="s">
        <v>25466</v>
      </c>
      <c r="AM487" s="70">
        <v>102717.0</v>
      </c>
      <c r="AQ487" s="70">
        <v>83.0</v>
      </c>
      <c r="AR487" s="75" t="s">
        <v>25467</v>
      </c>
      <c r="AS487" s="70" t="s">
        <v>22525</v>
      </c>
      <c r="AT487" s="70" t="s">
        <v>23606</v>
      </c>
      <c r="AU487" s="70" t="s">
        <v>237</v>
      </c>
      <c r="AV487" s="70" t="s">
        <v>25468</v>
      </c>
      <c r="AW487" s="70" t="s">
        <v>25469</v>
      </c>
      <c r="AZ487" s="70">
        <v>1445.0</v>
      </c>
    </row>
    <row r="488" ht="22.5" customHeight="1">
      <c r="A488" s="70" t="str">
        <f t="shared" si="1"/>
        <v>Excluded</v>
      </c>
      <c r="B488" s="70">
        <f t="shared" si="2"/>
        <v>0</v>
      </c>
      <c r="C488" s="70">
        <v>0.0</v>
      </c>
      <c r="D488" s="70">
        <v>0.0</v>
      </c>
      <c r="E488" s="70">
        <v>0.0</v>
      </c>
      <c r="F488" s="70">
        <v>0.0</v>
      </c>
      <c r="G488" s="70">
        <v>0.0</v>
      </c>
      <c r="H488" s="70" t="s">
        <v>25200</v>
      </c>
      <c r="I488" s="70">
        <v>2746.0</v>
      </c>
      <c r="J488" s="70" t="s">
        <v>25198</v>
      </c>
      <c r="K488" s="70" t="s">
        <v>25199</v>
      </c>
      <c r="W488" s="70" t="s">
        <v>29885</v>
      </c>
      <c r="AA488" s="70" t="s">
        <v>25202</v>
      </c>
      <c r="AI488" s="70" t="s">
        <v>25203</v>
      </c>
      <c r="AJ488" s="70" t="s">
        <v>25204</v>
      </c>
      <c r="AK488" s="70">
        <v>2023.0</v>
      </c>
      <c r="AL488" s="70" t="s">
        <v>25205</v>
      </c>
      <c r="AM488" s="70">
        <v>105315.0</v>
      </c>
      <c r="AQ488" s="70">
        <v>13.0</v>
      </c>
      <c r="AR488" s="75" t="s">
        <v>25206</v>
      </c>
      <c r="AS488" s="70" t="s">
        <v>22525</v>
      </c>
      <c r="AU488" s="70" t="s">
        <v>237</v>
      </c>
      <c r="AV488" s="70" t="s">
        <v>25207</v>
      </c>
      <c r="AW488" s="70" t="s">
        <v>25208</v>
      </c>
      <c r="AZ488" s="70">
        <v>1295.0</v>
      </c>
    </row>
    <row r="489" ht="22.5" customHeight="1">
      <c r="A489" s="70" t="str">
        <f t="shared" si="1"/>
        <v>Excluded</v>
      </c>
      <c r="B489" s="70">
        <f t="shared" si="2"/>
        <v>0</v>
      </c>
      <c r="C489" s="70">
        <v>0.0</v>
      </c>
      <c r="D489" s="70">
        <v>0.0</v>
      </c>
      <c r="E489" s="70">
        <v>0.0</v>
      </c>
      <c r="F489" s="70">
        <v>0.0</v>
      </c>
      <c r="G489" s="70">
        <v>0.0</v>
      </c>
      <c r="H489" s="70" t="s">
        <v>23217</v>
      </c>
      <c r="I489" s="70">
        <v>2554.0</v>
      </c>
      <c r="J489" s="70" t="s">
        <v>23215</v>
      </c>
      <c r="K489" s="70" t="s">
        <v>23216</v>
      </c>
      <c r="W489" s="70" t="s">
        <v>29886</v>
      </c>
      <c r="AA489" s="70" t="s">
        <v>23219</v>
      </c>
      <c r="AI489" s="70" t="s">
        <v>23220</v>
      </c>
      <c r="AJ489" s="70" t="s">
        <v>23221</v>
      </c>
      <c r="AK489" s="70">
        <v>2024.0</v>
      </c>
      <c r="AL489" s="70" t="s">
        <v>23222</v>
      </c>
      <c r="AM489" s="70">
        <v>100812.0</v>
      </c>
      <c r="AQ489" s="70">
        <v>2.0</v>
      </c>
      <c r="AR489" s="75" t="s">
        <v>23223</v>
      </c>
      <c r="AS489" s="70" t="s">
        <v>22525</v>
      </c>
      <c r="AU489" s="70" t="s">
        <v>237</v>
      </c>
      <c r="AV489" s="70" t="s">
        <v>23224</v>
      </c>
      <c r="AZ489" s="70">
        <v>425.0</v>
      </c>
    </row>
    <row r="490" ht="22.5" customHeight="1">
      <c r="A490" s="70" t="str">
        <f t="shared" si="1"/>
        <v>Excluded</v>
      </c>
      <c r="B490" s="70">
        <f t="shared" si="2"/>
        <v>0</v>
      </c>
      <c r="C490" s="70">
        <v>0.0</v>
      </c>
      <c r="D490" s="70">
        <v>0.0</v>
      </c>
      <c r="E490" s="70">
        <v>0.0</v>
      </c>
      <c r="F490" s="70">
        <v>0.0</v>
      </c>
      <c r="G490" s="70">
        <v>0.0</v>
      </c>
      <c r="H490" s="70" t="s">
        <v>22763</v>
      </c>
      <c r="I490" s="70">
        <v>2512.0</v>
      </c>
      <c r="J490" s="70" t="s">
        <v>22761</v>
      </c>
      <c r="K490" s="70" t="s">
        <v>22762</v>
      </c>
      <c r="W490" s="70" t="s">
        <v>29887</v>
      </c>
      <c r="AI490" s="70" t="s">
        <v>22765</v>
      </c>
      <c r="AJ490" s="70" t="s">
        <v>22766</v>
      </c>
      <c r="AK490" s="70">
        <v>2024.0</v>
      </c>
      <c r="AL490" s="70" t="s">
        <v>22767</v>
      </c>
      <c r="AM490" s="70">
        <v>512.0</v>
      </c>
      <c r="AQ490" s="70">
        <v>10.0</v>
      </c>
      <c r="AR490" s="75" t="s">
        <v>22768</v>
      </c>
      <c r="AS490" s="70" t="s">
        <v>22525</v>
      </c>
      <c r="AT490" s="70" t="s">
        <v>22643</v>
      </c>
      <c r="AU490" s="70" t="s">
        <v>237</v>
      </c>
      <c r="AV490" s="70" t="s">
        <v>22769</v>
      </c>
      <c r="AW490" s="70" t="s">
        <v>22770</v>
      </c>
      <c r="AZ490" s="70">
        <v>619.0</v>
      </c>
    </row>
    <row r="491" ht="22.5" customHeight="1">
      <c r="A491" s="70" t="str">
        <f t="shared" si="1"/>
        <v>Excluded</v>
      </c>
      <c r="B491" s="70">
        <f t="shared" si="2"/>
        <v>0</v>
      </c>
      <c r="C491" s="70">
        <v>0.0</v>
      </c>
      <c r="D491" s="70">
        <v>0.0</v>
      </c>
      <c r="E491" s="70">
        <v>0.0</v>
      </c>
      <c r="F491" s="70">
        <v>0.0</v>
      </c>
      <c r="G491" s="70">
        <v>0.0</v>
      </c>
      <c r="H491" s="70" t="s">
        <v>23091</v>
      </c>
      <c r="I491" s="70">
        <v>2542.0</v>
      </c>
      <c r="J491" s="70" t="s">
        <v>23089</v>
      </c>
      <c r="K491" s="70" t="s">
        <v>23090</v>
      </c>
      <c r="W491" s="70" t="s">
        <v>29888</v>
      </c>
      <c r="AA491" s="70" t="s">
        <v>23093</v>
      </c>
      <c r="AI491" s="70" t="s">
        <v>23094</v>
      </c>
      <c r="AJ491" s="70" t="s">
        <v>23095</v>
      </c>
      <c r="AK491" s="70">
        <v>2024.0</v>
      </c>
      <c r="AL491" s="70" t="s">
        <v>22767</v>
      </c>
      <c r="AM491" s="70">
        <v>28746.0</v>
      </c>
      <c r="AQ491" s="70">
        <v>0.0</v>
      </c>
      <c r="AR491" s="75" t="s">
        <v>23096</v>
      </c>
      <c r="AS491" s="70" t="s">
        <v>22525</v>
      </c>
      <c r="AT491" s="70" t="s">
        <v>22622</v>
      </c>
      <c r="AU491" s="70" t="s">
        <v>237</v>
      </c>
      <c r="AV491" s="70" t="s">
        <v>23097</v>
      </c>
      <c r="AW491" s="70" t="s">
        <v>23098</v>
      </c>
      <c r="AX491" s="70">
        <v>0.0</v>
      </c>
      <c r="AY491" s="70" t="s">
        <v>24</v>
      </c>
      <c r="AZ491" s="70">
        <v>2282.0</v>
      </c>
    </row>
    <row r="492" ht="22.5" customHeight="1">
      <c r="A492" s="70" t="str">
        <f t="shared" si="1"/>
        <v>Excluded</v>
      </c>
      <c r="B492" s="70">
        <f t="shared" si="2"/>
        <v>0</v>
      </c>
      <c r="C492" s="70">
        <v>0.0</v>
      </c>
      <c r="D492" s="70">
        <v>0.0</v>
      </c>
      <c r="E492" s="70">
        <v>0.0</v>
      </c>
      <c r="F492" s="70">
        <v>0.0</v>
      </c>
      <c r="G492" s="70">
        <v>0.0</v>
      </c>
      <c r="H492" s="70" t="s">
        <v>22383</v>
      </c>
      <c r="I492" s="70">
        <v>2469.0</v>
      </c>
      <c r="J492" s="70" t="s">
        <v>22381</v>
      </c>
      <c r="K492" s="70" t="s">
        <v>22382</v>
      </c>
      <c r="L492" s="70" t="s">
        <v>20849</v>
      </c>
      <c r="N492" s="70" t="s">
        <v>20850</v>
      </c>
      <c r="P492" s="76">
        <v>45685.0</v>
      </c>
      <c r="U492" s="70" t="s">
        <v>20852</v>
      </c>
      <c r="W492" s="70" t="s">
        <v>22385</v>
      </c>
      <c r="Z492" s="75" t="s">
        <v>22386</v>
      </c>
      <c r="AA492" s="70" t="s">
        <v>22387</v>
      </c>
      <c r="AE492" s="70">
        <v>97.0</v>
      </c>
      <c r="AW492" s="70" t="s">
        <v>22388</v>
      </c>
      <c r="AX492" s="70">
        <v>0.0</v>
      </c>
      <c r="AY492" s="70" t="s">
        <v>24</v>
      </c>
      <c r="AZ492" s="70">
        <v>3003.0</v>
      </c>
    </row>
    <row r="493" ht="22.5" customHeight="1">
      <c r="A493" s="70" t="str">
        <f t="shared" si="1"/>
        <v>Excluded</v>
      </c>
      <c r="B493" s="70">
        <f t="shared" si="2"/>
        <v>0</v>
      </c>
      <c r="C493" s="70">
        <v>0.0</v>
      </c>
      <c r="D493" s="70">
        <v>0.0</v>
      </c>
      <c r="E493" s="70">
        <v>0.0</v>
      </c>
      <c r="F493" s="70">
        <v>0.0</v>
      </c>
      <c r="G493" s="70">
        <v>0.0</v>
      </c>
      <c r="H493" s="70" t="s">
        <v>9738</v>
      </c>
      <c r="I493" s="70">
        <v>953.0</v>
      </c>
      <c r="J493" s="70" t="s">
        <v>9735</v>
      </c>
      <c r="K493" s="70" t="s">
        <v>9736</v>
      </c>
      <c r="L493" s="70" t="s">
        <v>9737</v>
      </c>
      <c r="P493" s="76">
        <v>44876.0</v>
      </c>
      <c r="U493" s="70" t="s">
        <v>9527</v>
      </c>
      <c r="W493" s="70" t="s">
        <v>9740</v>
      </c>
      <c r="X493" s="70" t="s">
        <v>9741</v>
      </c>
      <c r="Z493" s="75" t="s">
        <v>9742</v>
      </c>
      <c r="AX493" s="70">
        <v>0.0</v>
      </c>
      <c r="AY493" s="70" t="s">
        <v>24</v>
      </c>
      <c r="AZ493" s="70">
        <v>2508.0</v>
      </c>
    </row>
    <row r="494" ht="22.5" customHeight="1">
      <c r="A494" s="70" t="str">
        <f t="shared" si="1"/>
        <v>Excluded</v>
      </c>
      <c r="B494" s="70">
        <f t="shared" si="2"/>
        <v>0</v>
      </c>
      <c r="C494" s="70">
        <v>0.0</v>
      </c>
      <c r="D494" s="70">
        <v>0.0</v>
      </c>
      <c r="E494" s="70">
        <v>0.0</v>
      </c>
      <c r="F494" s="70">
        <v>0.0</v>
      </c>
      <c r="G494" s="70">
        <v>0.0</v>
      </c>
      <c r="H494" s="70" t="s">
        <v>10190</v>
      </c>
      <c r="I494" s="70">
        <v>1000.0</v>
      </c>
      <c r="J494" s="70" t="s">
        <v>10188</v>
      </c>
      <c r="K494" s="70" t="s">
        <v>10189</v>
      </c>
      <c r="L494" s="70" t="s">
        <v>9525</v>
      </c>
      <c r="P494" s="76">
        <v>44970.0</v>
      </c>
      <c r="U494" s="70" t="s">
        <v>9527</v>
      </c>
      <c r="W494" s="70" t="s">
        <v>10192</v>
      </c>
      <c r="X494" s="70" t="s">
        <v>9530</v>
      </c>
      <c r="Z494" s="75" t="s">
        <v>10193</v>
      </c>
      <c r="AZ494" s="70">
        <v>1011.0</v>
      </c>
    </row>
    <row r="495" ht="22.5" customHeight="1">
      <c r="A495" s="70" t="str">
        <f t="shared" si="1"/>
        <v>Excluded</v>
      </c>
      <c r="B495" s="70">
        <f t="shared" si="2"/>
        <v>0</v>
      </c>
      <c r="C495" s="70">
        <v>0.0</v>
      </c>
      <c r="D495" s="70">
        <v>0.0</v>
      </c>
      <c r="E495" s="70">
        <v>0.0</v>
      </c>
      <c r="F495" s="70">
        <v>0.0</v>
      </c>
      <c r="G495" s="70">
        <v>0.0</v>
      </c>
      <c r="H495" s="70" t="s">
        <v>10281</v>
      </c>
      <c r="I495" s="70">
        <v>1010.0</v>
      </c>
      <c r="J495" s="70" t="s">
        <v>10279</v>
      </c>
      <c r="K495" s="70" t="s">
        <v>10280</v>
      </c>
      <c r="L495" s="70" t="s">
        <v>9525</v>
      </c>
      <c r="P495" s="76">
        <v>44970.0</v>
      </c>
      <c r="U495" s="70" t="s">
        <v>9527</v>
      </c>
      <c r="W495" s="70" t="s">
        <v>10283</v>
      </c>
      <c r="X495" s="70" t="s">
        <v>9530</v>
      </c>
      <c r="Z495" s="75" t="s">
        <v>10284</v>
      </c>
      <c r="AX495" s="70">
        <v>0.0</v>
      </c>
      <c r="AY495" s="70" t="s">
        <v>24</v>
      </c>
      <c r="AZ495" s="70">
        <v>2197.0</v>
      </c>
    </row>
    <row r="496" ht="22.5" customHeight="1">
      <c r="A496" s="70" t="str">
        <f t="shared" si="1"/>
        <v>Excluded</v>
      </c>
      <c r="B496" s="70">
        <f t="shared" si="2"/>
        <v>0</v>
      </c>
      <c r="C496" s="70">
        <v>0.0</v>
      </c>
      <c r="D496" s="70">
        <v>0.0</v>
      </c>
      <c r="E496" s="70">
        <v>0.0</v>
      </c>
      <c r="F496" s="70">
        <v>0.0</v>
      </c>
      <c r="G496" s="70">
        <v>0.0</v>
      </c>
      <c r="H496" s="70" t="s">
        <v>9526</v>
      </c>
      <c r="I496" s="70">
        <v>931.0</v>
      </c>
      <c r="J496" s="70" t="s">
        <v>9523</v>
      </c>
      <c r="K496" s="70" t="s">
        <v>9524</v>
      </c>
      <c r="L496" s="70" t="s">
        <v>9525</v>
      </c>
      <c r="P496" s="76">
        <v>44970.0</v>
      </c>
      <c r="U496" s="70" t="s">
        <v>9527</v>
      </c>
      <c r="W496" s="70" t="s">
        <v>9529</v>
      </c>
      <c r="X496" s="70" t="s">
        <v>9530</v>
      </c>
      <c r="Z496" s="75" t="s">
        <v>9531</v>
      </c>
      <c r="AZ496" s="70">
        <v>420.0</v>
      </c>
    </row>
    <row r="497" ht="22.5" customHeight="1">
      <c r="A497" s="70" t="str">
        <f t="shared" si="1"/>
        <v>Excluded</v>
      </c>
      <c r="B497" s="70">
        <f t="shared" si="2"/>
        <v>0</v>
      </c>
      <c r="C497" s="70">
        <v>0.0</v>
      </c>
      <c r="D497" s="70">
        <v>0.0</v>
      </c>
      <c r="E497" s="70">
        <v>0.0</v>
      </c>
      <c r="F497" s="70">
        <v>0.0</v>
      </c>
      <c r="G497" s="70">
        <v>0.0</v>
      </c>
      <c r="H497" s="70" t="s">
        <v>12654</v>
      </c>
      <c r="I497" s="70">
        <v>1320.0</v>
      </c>
      <c r="J497" s="70" t="s">
        <v>29889</v>
      </c>
      <c r="K497" s="70" t="s">
        <v>12652</v>
      </c>
      <c r="L497" s="70" t="s">
        <v>12653</v>
      </c>
      <c r="P497" s="76">
        <v>45198.0</v>
      </c>
      <c r="U497" s="70" t="s">
        <v>9527</v>
      </c>
      <c r="W497" s="70" t="s">
        <v>12656</v>
      </c>
      <c r="X497" s="70" t="s">
        <v>12657</v>
      </c>
      <c r="Z497" s="75" t="s">
        <v>12658</v>
      </c>
      <c r="AZ497" s="70">
        <v>641.0</v>
      </c>
    </row>
    <row r="498" ht="22.5" customHeight="1">
      <c r="A498" s="70" t="str">
        <f t="shared" si="1"/>
        <v>Excluded</v>
      </c>
      <c r="B498" s="70">
        <f t="shared" si="2"/>
        <v>0</v>
      </c>
      <c r="C498" s="70">
        <v>0.0</v>
      </c>
      <c r="D498" s="70">
        <v>0.0</v>
      </c>
      <c r="E498" s="70">
        <v>0.0</v>
      </c>
      <c r="F498" s="70">
        <v>0.0</v>
      </c>
      <c r="G498" s="70">
        <v>0.0</v>
      </c>
      <c r="H498" s="70" t="s">
        <v>13909</v>
      </c>
      <c r="I498" s="70">
        <v>1448.0</v>
      </c>
      <c r="J498" s="70" t="s">
        <v>13906</v>
      </c>
      <c r="K498" s="70" t="s">
        <v>13907</v>
      </c>
      <c r="L498" s="70" t="s">
        <v>13908</v>
      </c>
      <c r="P498" s="76">
        <v>45307.0</v>
      </c>
      <c r="U498" s="70" t="s">
        <v>9527</v>
      </c>
      <c r="W498" s="70" t="s">
        <v>13911</v>
      </c>
      <c r="X498" s="70" t="s">
        <v>13912</v>
      </c>
      <c r="Z498" s="75" t="s">
        <v>13913</v>
      </c>
      <c r="AX498" s="70">
        <v>0.0</v>
      </c>
      <c r="AY498" s="70" t="s">
        <v>24</v>
      </c>
      <c r="AZ498" s="70">
        <v>1965.0</v>
      </c>
    </row>
    <row r="499" ht="22.5" customHeight="1">
      <c r="A499" s="70" t="str">
        <f t="shared" si="1"/>
        <v>Excluded</v>
      </c>
      <c r="B499" s="70">
        <f t="shared" si="2"/>
        <v>0</v>
      </c>
      <c r="C499" s="70">
        <v>0.0</v>
      </c>
      <c r="D499" s="70">
        <v>0.0</v>
      </c>
      <c r="E499" s="70">
        <v>0.0</v>
      </c>
      <c r="F499" s="70">
        <v>0.0</v>
      </c>
      <c r="G499" s="70">
        <v>0.0</v>
      </c>
      <c r="H499" s="70" t="s">
        <v>14430</v>
      </c>
      <c r="I499" s="70">
        <v>1505.0</v>
      </c>
      <c r="J499" s="70" t="s">
        <v>14428</v>
      </c>
      <c r="K499" s="70" t="s">
        <v>14429</v>
      </c>
      <c r="L499" s="70" t="s">
        <v>12853</v>
      </c>
      <c r="P499" s="76">
        <v>45684.0</v>
      </c>
      <c r="U499" s="70" t="s">
        <v>9527</v>
      </c>
      <c r="W499" s="70" t="s">
        <v>29890</v>
      </c>
      <c r="X499" s="70" t="s">
        <v>12857</v>
      </c>
      <c r="Z499" s="75" t="s">
        <v>14433</v>
      </c>
      <c r="AX499" s="70">
        <v>0.0</v>
      </c>
      <c r="AY499" s="70" t="s">
        <v>24</v>
      </c>
      <c r="AZ499" s="70">
        <v>2188.0</v>
      </c>
    </row>
    <row r="500" ht="22.5" customHeight="1">
      <c r="A500" s="70" t="str">
        <f t="shared" si="1"/>
        <v>Excluded</v>
      </c>
      <c r="B500" s="70">
        <f t="shared" si="2"/>
        <v>0</v>
      </c>
      <c r="C500" s="70">
        <v>0.0</v>
      </c>
      <c r="D500" s="70">
        <v>0.0</v>
      </c>
      <c r="E500" s="70">
        <v>0.0</v>
      </c>
      <c r="F500" s="70">
        <v>0.0</v>
      </c>
      <c r="G500" s="70">
        <v>0.0</v>
      </c>
      <c r="H500" s="70" t="s">
        <v>12854</v>
      </c>
      <c r="I500" s="70">
        <v>1340.0</v>
      </c>
      <c r="J500" s="70" t="s">
        <v>29891</v>
      </c>
      <c r="K500" s="70" t="s">
        <v>29892</v>
      </c>
      <c r="L500" s="70" t="s">
        <v>12853</v>
      </c>
      <c r="P500" s="76">
        <v>45684.0</v>
      </c>
      <c r="U500" s="70" t="s">
        <v>9527</v>
      </c>
      <c r="W500" s="70" t="s">
        <v>12856</v>
      </c>
      <c r="X500" s="70" t="s">
        <v>12857</v>
      </c>
      <c r="Z500" s="75" t="s">
        <v>12858</v>
      </c>
      <c r="AZ500" s="70">
        <v>607.0</v>
      </c>
    </row>
    <row r="501" ht="22.5" customHeight="1">
      <c r="A501" s="70" t="str">
        <f t="shared" si="1"/>
        <v>Excluded</v>
      </c>
      <c r="B501" s="70">
        <f t="shared" si="2"/>
        <v>0</v>
      </c>
      <c r="C501" s="70">
        <v>0.0</v>
      </c>
      <c r="D501" s="70">
        <v>0.0</v>
      </c>
      <c r="E501" s="70">
        <v>0.0</v>
      </c>
      <c r="F501" s="70">
        <v>0.0</v>
      </c>
      <c r="G501" s="70">
        <v>0.0</v>
      </c>
      <c r="H501" s="70" t="s">
        <v>15463</v>
      </c>
      <c r="I501" s="70">
        <v>1613.0</v>
      </c>
      <c r="J501" s="70" t="s">
        <v>15460</v>
      </c>
      <c r="K501" s="70" t="s">
        <v>15461</v>
      </c>
      <c r="L501" s="70" t="s">
        <v>15462</v>
      </c>
      <c r="P501" s="77">
        <v>45722.0</v>
      </c>
      <c r="U501" s="70" t="s">
        <v>9527</v>
      </c>
      <c r="W501" s="70" t="s">
        <v>15465</v>
      </c>
      <c r="X501" s="70" t="s">
        <v>15466</v>
      </c>
      <c r="Z501" s="75" t="s">
        <v>15467</v>
      </c>
      <c r="AZ501" s="70">
        <v>1446.0</v>
      </c>
    </row>
    <row r="502" ht="22.5" customHeight="1">
      <c r="A502" s="70" t="str">
        <f t="shared" si="1"/>
        <v>Excluded</v>
      </c>
      <c r="B502" s="70">
        <f t="shared" si="2"/>
        <v>0</v>
      </c>
      <c r="C502" s="70">
        <v>0.0</v>
      </c>
      <c r="D502" s="70">
        <v>0.0</v>
      </c>
      <c r="E502" s="70">
        <v>0.0</v>
      </c>
      <c r="F502" s="70">
        <v>0.0</v>
      </c>
      <c r="G502" s="70">
        <v>0.0</v>
      </c>
      <c r="H502" s="70" t="s">
        <v>28641</v>
      </c>
      <c r="I502" s="70">
        <v>3081.0</v>
      </c>
      <c r="J502" s="70" t="s">
        <v>28639</v>
      </c>
      <c r="K502" s="70" t="s">
        <v>28640</v>
      </c>
      <c r="W502" s="70" t="s">
        <v>29893</v>
      </c>
      <c r="AI502" s="70" t="s">
        <v>28643</v>
      </c>
      <c r="AJ502" s="70" t="s">
        <v>28644</v>
      </c>
      <c r="AK502" s="70">
        <v>2018.0</v>
      </c>
      <c r="AL502" s="70" t="s">
        <v>28645</v>
      </c>
      <c r="AN502" s="70">
        <v>237.0</v>
      </c>
      <c r="AO502" s="70">
        <v>245.0</v>
      </c>
      <c r="AP502" s="70">
        <v>8.0</v>
      </c>
      <c r="AQ502" s="70">
        <v>14.0</v>
      </c>
      <c r="AR502" s="75" t="s">
        <v>28646</v>
      </c>
      <c r="AS502" s="70" t="s">
        <v>22525</v>
      </c>
      <c r="AT502" s="70" t="s">
        <v>22656</v>
      </c>
      <c r="AU502" s="70" t="s">
        <v>237</v>
      </c>
      <c r="AV502" s="70" t="s">
        <v>28647</v>
      </c>
      <c r="AW502" s="70" t="s">
        <v>28648</v>
      </c>
      <c r="AX502" s="70">
        <v>0.0</v>
      </c>
      <c r="AY502" s="70" t="s">
        <v>24</v>
      </c>
      <c r="AZ502" s="70">
        <v>2502.0</v>
      </c>
    </row>
    <row r="503" ht="22.5" customHeight="1">
      <c r="A503" s="70" t="str">
        <f t="shared" si="1"/>
        <v>Excluded</v>
      </c>
      <c r="B503" s="70">
        <f t="shared" si="2"/>
        <v>0</v>
      </c>
      <c r="C503" s="70">
        <v>0.0</v>
      </c>
      <c r="D503" s="70">
        <v>0.0</v>
      </c>
      <c r="E503" s="70">
        <v>0.0</v>
      </c>
      <c r="F503" s="70">
        <v>0.0</v>
      </c>
      <c r="G503" s="70">
        <v>0.0</v>
      </c>
      <c r="H503" s="70" t="s">
        <v>23713</v>
      </c>
      <c r="I503" s="70">
        <v>2602.0</v>
      </c>
      <c r="J503" s="70" t="s">
        <v>23711</v>
      </c>
      <c r="K503" s="70" t="s">
        <v>23712</v>
      </c>
      <c r="W503" s="70" t="s">
        <v>29894</v>
      </c>
      <c r="AA503" s="70" t="s">
        <v>23715</v>
      </c>
      <c r="AI503" s="70" t="s">
        <v>23716</v>
      </c>
      <c r="AJ503" s="70" t="s">
        <v>23717</v>
      </c>
      <c r="AK503" s="70">
        <v>2024.0</v>
      </c>
      <c r="AL503" s="70" t="s">
        <v>23718</v>
      </c>
      <c r="AM503" s="70">
        <v>90007.0</v>
      </c>
      <c r="AQ503" s="70">
        <v>1.0</v>
      </c>
      <c r="AR503" s="75" t="s">
        <v>23719</v>
      </c>
      <c r="AS503" s="70" t="s">
        <v>22525</v>
      </c>
      <c r="AU503" s="70" t="s">
        <v>237</v>
      </c>
      <c r="AV503" s="70" t="s">
        <v>23720</v>
      </c>
      <c r="AZ503" s="70">
        <v>237.0</v>
      </c>
    </row>
    <row r="504" ht="22.5" customHeight="1">
      <c r="A504" s="70" t="str">
        <f t="shared" si="1"/>
        <v>Excluded</v>
      </c>
      <c r="B504" s="70">
        <f t="shared" si="2"/>
        <v>0</v>
      </c>
      <c r="C504" s="70">
        <v>0.0</v>
      </c>
      <c r="D504" s="70">
        <v>0.0</v>
      </c>
      <c r="E504" s="70">
        <v>0.0</v>
      </c>
      <c r="F504" s="70">
        <v>0.0</v>
      </c>
      <c r="G504" s="70">
        <v>0.0</v>
      </c>
      <c r="H504" s="70" t="s">
        <v>24778</v>
      </c>
      <c r="I504" s="70">
        <v>2705.0</v>
      </c>
      <c r="J504" s="70" t="s">
        <v>24776</v>
      </c>
      <c r="K504" s="70" t="s">
        <v>24777</v>
      </c>
      <c r="W504" s="70" t="s">
        <v>29895</v>
      </c>
      <c r="AA504" s="70" t="s">
        <v>24780</v>
      </c>
      <c r="AI504" s="70" t="s">
        <v>24781</v>
      </c>
      <c r="AJ504" s="70" t="s">
        <v>24782</v>
      </c>
      <c r="AK504" s="70">
        <v>2024.0</v>
      </c>
      <c r="AL504" s="70" t="s">
        <v>24783</v>
      </c>
      <c r="AN504" s="70">
        <v>48.0</v>
      </c>
      <c r="AO504" s="70">
        <v>63.0</v>
      </c>
      <c r="AP504" s="70">
        <v>15.0</v>
      </c>
      <c r="AQ504" s="70">
        <v>0.0</v>
      </c>
      <c r="AR504" s="75" t="s">
        <v>24784</v>
      </c>
      <c r="AS504" s="70" t="s">
        <v>22525</v>
      </c>
      <c r="AU504" s="70" t="s">
        <v>237</v>
      </c>
      <c r="AV504" s="70" t="s">
        <v>24785</v>
      </c>
      <c r="AW504" s="70" t="s">
        <v>24786</v>
      </c>
      <c r="AZ504" s="70">
        <v>825.0</v>
      </c>
    </row>
    <row r="505" ht="22.5" customHeight="1">
      <c r="A505" s="70" t="str">
        <f t="shared" si="1"/>
        <v>Excluded</v>
      </c>
      <c r="B505" s="70">
        <f t="shared" si="2"/>
        <v>0</v>
      </c>
      <c r="C505" s="70">
        <v>0.0</v>
      </c>
      <c r="D505" s="70">
        <v>0.0</v>
      </c>
      <c r="E505" s="70">
        <v>0.0</v>
      </c>
      <c r="F505" s="70">
        <v>0.0</v>
      </c>
      <c r="G505" s="70">
        <v>0.0</v>
      </c>
      <c r="H505" s="70" t="s">
        <v>27006</v>
      </c>
      <c r="I505" s="70">
        <v>2922.0</v>
      </c>
      <c r="J505" s="70" t="s">
        <v>27004</v>
      </c>
      <c r="K505" s="70" t="s">
        <v>29896</v>
      </c>
      <c r="W505" s="70" t="s">
        <v>29897</v>
      </c>
      <c r="AA505" s="70" t="s">
        <v>27008</v>
      </c>
      <c r="AI505" s="70" t="s">
        <v>27009</v>
      </c>
      <c r="AJ505" s="70" t="s">
        <v>27010</v>
      </c>
      <c r="AK505" s="70">
        <v>2022.0</v>
      </c>
      <c r="AL505" s="70" t="s">
        <v>27011</v>
      </c>
      <c r="AN505" s="70">
        <v>679.0</v>
      </c>
      <c r="AO505" s="70">
        <v>705.0</v>
      </c>
      <c r="AP505" s="70">
        <v>26.0</v>
      </c>
      <c r="AQ505" s="70">
        <v>26.0</v>
      </c>
      <c r="AR505" s="75" t="s">
        <v>27012</v>
      </c>
      <c r="AS505" s="70" t="s">
        <v>22525</v>
      </c>
      <c r="AU505" s="70" t="s">
        <v>237</v>
      </c>
      <c r="AV505" s="70" t="s">
        <v>27013</v>
      </c>
      <c r="AW505" s="70" t="s">
        <v>27014</v>
      </c>
      <c r="AZ505" s="70">
        <v>1303.0</v>
      </c>
    </row>
    <row r="506" ht="22.5" customHeight="1">
      <c r="A506" s="70" t="str">
        <f t="shared" si="1"/>
        <v>Excluded</v>
      </c>
      <c r="B506" s="70">
        <f t="shared" si="2"/>
        <v>0</v>
      </c>
      <c r="C506" s="70">
        <v>0.0</v>
      </c>
      <c r="D506" s="70">
        <v>0.0</v>
      </c>
      <c r="E506" s="70">
        <v>0.0</v>
      </c>
      <c r="F506" s="70">
        <v>0.0</v>
      </c>
      <c r="G506" s="70">
        <v>0.0</v>
      </c>
      <c r="H506" s="70" t="s">
        <v>27220</v>
      </c>
      <c r="I506" s="70">
        <v>2942.0</v>
      </c>
      <c r="J506" s="70" t="s">
        <v>27218</v>
      </c>
      <c r="K506" s="70" t="s">
        <v>27219</v>
      </c>
      <c r="W506" s="70" t="s">
        <v>29898</v>
      </c>
      <c r="AA506" s="70" t="s">
        <v>27222</v>
      </c>
      <c r="AI506" s="70" t="s">
        <v>27223</v>
      </c>
      <c r="AJ506" s="70" t="s">
        <v>27224</v>
      </c>
      <c r="AK506" s="70">
        <v>2022.0</v>
      </c>
      <c r="AL506" s="70" t="s">
        <v>27011</v>
      </c>
      <c r="AN506" s="70">
        <v>1310.0</v>
      </c>
      <c r="AO506" s="70">
        <v>1334.0</v>
      </c>
      <c r="AP506" s="70">
        <v>24.0</v>
      </c>
      <c r="AQ506" s="70">
        <v>11.0</v>
      </c>
      <c r="AR506" s="75" t="s">
        <v>27225</v>
      </c>
      <c r="AS506" s="70" t="s">
        <v>22525</v>
      </c>
      <c r="AT506" s="70" t="s">
        <v>22816</v>
      </c>
      <c r="AU506" s="70" t="s">
        <v>237</v>
      </c>
      <c r="AV506" s="70" t="s">
        <v>27226</v>
      </c>
      <c r="AW506" s="70" t="s">
        <v>27227</v>
      </c>
      <c r="AZ506" s="70">
        <v>500.0</v>
      </c>
    </row>
    <row r="507" ht="22.5" customHeight="1">
      <c r="A507" s="70" t="str">
        <f t="shared" si="1"/>
        <v>Excluded</v>
      </c>
      <c r="B507" s="70">
        <f t="shared" si="2"/>
        <v>0</v>
      </c>
      <c r="C507" s="70">
        <v>0.0</v>
      </c>
      <c r="D507" s="70">
        <v>0.0</v>
      </c>
      <c r="E507" s="70">
        <v>0.0</v>
      </c>
      <c r="F507" s="70">
        <v>0.0</v>
      </c>
      <c r="G507" s="70">
        <v>0.0</v>
      </c>
      <c r="H507" s="70" t="s">
        <v>28547</v>
      </c>
      <c r="I507" s="70">
        <v>3072.0</v>
      </c>
      <c r="J507" s="70" t="s">
        <v>28545</v>
      </c>
      <c r="K507" s="70" t="s">
        <v>28546</v>
      </c>
      <c r="W507" s="70" t="s">
        <v>29899</v>
      </c>
      <c r="AA507" s="70" t="s">
        <v>28549</v>
      </c>
      <c r="AI507" s="70" t="s">
        <v>28550</v>
      </c>
      <c r="AJ507" s="70" t="s">
        <v>28551</v>
      </c>
      <c r="AK507" s="70">
        <v>2021.0</v>
      </c>
      <c r="AL507" s="70" t="s">
        <v>28552</v>
      </c>
      <c r="AN507" s="70">
        <v>1033.0</v>
      </c>
      <c r="AO507" s="70">
        <v>1056.0</v>
      </c>
      <c r="AP507" s="70">
        <v>23.0</v>
      </c>
      <c r="AQ507" s="70">
        <v>19.0</v>
      </c>
      <c r="AR507" s="75" t="s">
        <v>28553</v>
      </c>
      <c r="AS507" s="70" t="s">
        <v>22525</v>
      </c>
      <c r="AU507" s="70" t="s">
        <v>237</v>
      </c>
      <c r="AV507" s="70" t="s">
        <v>28554</v>
      </c>
      <c r="AW507" s="70" t="s">
        <v>28555</v>
      </c>
      <c r="AX507" s="70">
        <v>0.0</v>
      </c>
      <c r="AY507" s="70" t="s">
        <v>24</v>
      </c>
      <c r="AZ507" s="70">
        <v>1744.0</v>
      </c>
    </row>
    <row r="508" ht="22.5" customHeight="1">
      <c r="A508" s="70" t="str">
        <f t="shared" si="1"/>
        <v>Excluded</v>
      </c>
      <c r="B508" s="70">
        <f t="shared" si="2"/>
        <v>0</v>
      </c>
      <c r="C508" s="70">
        <v>0.0</v>
      </c>
      <c r="D508" s="70">
        <v>0.0</v>
      </c>
      <c r="E508" s="70">
        <v>0.0</v>
      </c>
      <c r="F508" s="70">
        <v>0.0</v>
      </c>
      <c r="G508" s="70">
        <v>0.0</v>
      </c>
      <c r="H508" s="70" t="s">
        <v>24614</v>
      </c>
      <c r="I508" s="70">
        <v>2689.0</v>
      </c>
      <c r="J508" s="70" t="s">
        <v>24612</v>
      </c>
      <c r="K508" s="70" t="s">
        <v>24613</v>
      </c>
      <c r="W508" s="70" t="s">
        <v>29900</v>
      </c>
      <c r="AA508" s="70" t="s">
        <v>24616</v>
      </c>
      <c r="AI508" s="70" t="s">
        <v>24617</v>
      </c>
      <c r="AJ508" s="70" t="s">
        <v>24618</v>
      </c>
      <c r="AK508" s="70">
        <v>2024.0</v>
      </c>
      <c r="AL508" s="70" t="s">
        <v>24619</v>
      </c>
      <c r="AN508" s="70">
        <v>1451.0</v>
      </c>
      <c r="AO508" s="70">
        <v>1465.0</v>
      </c>
      <c r="AP508" s="70">
        <v>14.0</v>
      </c>
      <c r="AQ508" s="70">
        <v>2.0</v>
      </c>
      <c r="AR508" s="75" t="s">
        <v>24620</v>
      </c>
      <c r="AS508" s="70" t="s">
        <v>22525</v>
      </c>
      <c r="AT508" s="70" t="s">
        <v>23606</v>
      </c>
      <c r="AU508" s="70" t="s">
        <v>237</v>
      </c>
      <c r="AV508" s="70" t="s">
        <v>24621</v>
      </c>
      <c r="AW508" s="70" t="s">
        <v>24622</v>
      </c>
      <c r="AZ508" s="70">
        <v>1256.0</v>
      </c>
    </row>
    <row r="509" ht="22.5" customHeight="1">
      <c r="A509" s="70" t="str">
        <f t="shared" si="1"/>
        <v>Excluded</v>
      </c>
      <c r="B509" s="70">
        <f t="shared" si="2"/>
        <v>0</v>
      </c>
      <c r="C509" s="70">
        <v>0.0</v>
      </c>
      <c r="D509" s="70">
        <v>0.0</v>
      </c>
      <c r="E509" s="70">
        <v>0.0</v>
      </c>
      <c r="F509" s="70">
        <v>0.0</v>
      </c>
      <c r="G509" s="70">
        <v>0.0</v>
      </c>
      <c r="H509" s="70" t="s">
        <v>24580</v>
      </c>
      <c r="I509" s="70">
        <v>2686.0</v>
      </c>
      <c r="J509" s="70" t="s">
        <v>24578</v>
      </c>
      <c r="K509" s="70" t="s">
        <v>24579</v>
      </c>
      <c r="W509" s="70" t="s">
        <v>29901</v>
      </c>
      <c r="AA509" s="70" t="s">
        <v>24582</v>
      </c>
      <c r="AI509" s="70" t="s">
        <v>24583</v>
      </c>
      <c r="AJ509" s="70" t="s">
        <v>24584</v>
      </c>
      <c r="AK509" s="70">
        <v>2024.0</v>
      </c>
      <c r="AL509" s="70" t="s">
        <v>24585</v>
      </c>
      <c r="AQ509" s="70">
        <v>0.0</v>
      </c>
      <c r="AR509" s="75" t="s">
        <v>24586</v>
      </c>
      <c r="AS509" s="70" t="s">
        <v>22588</v>
      </c>
      <c r="AU509" s="70" t="s">
        <v>237</v>
      </c>
      <c r="AV509" s="70" t="s">
        <v>24587</v>
      </c>
      <c r="AW509" s="70" t="s">
        <v>24588</v>
      </c>
      <c r="AZ509" s="70">
        <v>1230.0</v>
      </c>
    </row>
    <row r="510" ht="22.5" customHeight="1">
      <c r="A510" s="70" t="str">
        <f t="shared" si="1"/>
        <v>Excluded</v>
      </c>
      <c r="B510" s="70">
        <f t="shared" si="2"/>
        <v>0</v>
      </c>
      <c r="C510" s="70">
        <v>0.0</v>
      </c>
      <c r="D510" s="70">
        <v>0.0</v>
      </c>
      <c r="E510" s="70">
        <v>0.0</v>
      </c>
      <c r="F510" s="70">
        <v>0.0</v>
      </c>
      <c r="G510" s="70">
        <v>0.0</v>
      </c>
      <c r="H510" s="70" t="s">
        <v>27514</v>
      </c>
      <c r="I510" s="70">
        <v>2971.0</v>
      </c>
      <c r="J510" s="70" t="s">
        <v>27512</v>
      </c>
      <c r="K510" s="70" t="s">
        <v>27513</v>
      </c>
      <c r="W510" s="70" t="s">
        <v>29902</v>
      </c>
      <c r="AA510" s="70" t="s">
        <v>27516</v>
      </c>
      <c r="AI510" s="70" t="s">
        <v>27517</v>
      </c>
      <c r="AJ510" s="70" t="s">
        <v>27518</v>
      </c>
      <c r="AK510" s="70">
        <v>2022.0</v>
      </c>
      <c r="AL510" s="70" t="s">
        <v>27519</v>
      </c>
      <c r="AN510" s="70">
        <v>26.0</v>
      </c>
      <c r="AO510" s="70">
        <v>50.0</v>
      </c>
      <c r="AP510" s="70">
        <v>24.0</v>
      </c>
      <c r="AQ510" s="70">
        <v>66.0</v>
      </c>
      <c r="AR510" s="75" t="s">
        <v>27520</v>
      </c>
      <c r="AS510" s="70" t="s">
        <v>22525</v>
      </c>
      <c r="AT510" s="70" t="s">
        <v>22643</v>
      </c>
      <c r="AU510" s="70" t="s">
        <v>237</v>
      </c>
      <c r="AV510" s="70" t="s">
        <v>27521</v>
      </c>
      <c r="AZ510" s="70">
        <v>1301.0</v>
      </c>
    </row>
    <row r="511" ht="22.5" customHeight="1">
      <c r="A511" s="70" t="str">
        <f t="shared" si="1"/>
        <v>Excluded</v>
      </c>
      <c r="B511" s="70">
        <f t="shared" si="2"/>
        <v>0</v>
      </c>
      <c r="C511" s="70">
        <v>0.0</v>
      </c>
      <c r="D511" s="70">
        <v>0.0</v>
      </c>
      <c r="E511" s="70">
        <v>0.0</v>
      </c>
      <c r="F511" s="70">
        <v>0.0</v>
      </c>
      <c r="G511" s="70">
        <v>0.0</v>
      </c>
      <c r="H511" s="70" t="s">
        <v>27431</v>
      </c>
      <c r="I511" s="70">
        <v>2963.0</v>
      </c>
      <c r="J511" s="70" t="s">
        <v>27429</v>
      </c>
      <c r="K511" s="70" t="s">
        <v>27430</v>
      </c>
      <c r="W511" s="70" t="s">
        <v>29903</v>
      </c>
      <c r="AA511" s="70" t="s">
        <v>27433</v>
      </c>
      <c r="AI511" s="70" t="s">
        <v>27434</v>
      </c>
      <c r="AJ511" s="70">
        <v>5.7210969503E10</v>
      </c>
      <c r="AK511" s="70">
        <v>2022.0</v>
      </c>
      <c r="AL511" s="70" t="s">
        <v>27235</v>
      </c>
      <c r="AN511" s="70">
        <v>208.0</v>
      </c>
      <c r="AO511" s="70">
        <v>222.0</v>
      </c>
      <c r="AP511" s="70">
        <v>14.0</v>
      </c>
      <c r="AQ511" s="70">
        <v>5.0</v>
      </c>
      <c r="AR511" s="75" t="s">
        <v>27435</v>
      </c>
      <c r="AS511" s="70" t="s">
        <v>22525</v>
      </c>
      <c r="AU511" s="70" t="s">
        <v>237</v>
      </c>
      <c r="AV511" s="70" t="s">
        <v>27436</v>
      </c>
      <c r="AW511" s="70" t="s">
        <v>27437</v>
      </c>
      <c r="AZ511" s="70">
        <v>1229.0</v>
      </c>
    </row>
    <row r="512" ht="22.5" customHeight="1">
      <c r="A512" s="70" t="str">
        <f t="shared" si="1"/>
        <v>Excluded</v>
      </c>
      <c r="B512" s="70">
        <f t="shared" si="2"/>
        <v>0</v>
      </c>
      <c r="C512" s="70">
        <v>0.0</v>
      </c>
      <c r="D512" s="70">
        <v>0.0</v>
      </c>
      <c r="E512" s="70">
        <v>0.0</v>
      </c>
      <c r="F512" s="70">
        <v>0.0</v>
      </c>
      <c r="G512" s="70">
        <v>0.0</v>
      </c>
      <c r="H512" s="70" t="s">
        <v>27230</v>
      </c>
      <c r="I512" s="70">
        <v>2943.0</v>
      </c>
      <c r="J512" s="70" t="s">
        <v>27228</v>
      </c>
      <c r="K512" s="70" t="s">
        <v>27229</v>
      </c>
      <c r="W512" s="70" t="s">
        <v>29904</v>
      </c>
      <c r="AA512" s="70" t="s">
        <v>27232</v>
      </c>
      <c r="AI512" s="70" t="s">
        <v>27233</v>
      </c>
      <c r="AJ512" s="70" t="s">
        <v>27234</v>
      </c>
      <c r="AK512" s="70">
        <v>2022.0</v>
      </c>
      <c r="AL512" s="70" t="s">
        <v>27235</v>
      </c>
      <c r="AM512" s="70">
        <v>1883122.0</v>
      </c>
      <c r="AQ512" s="70">
        <v>66.0</v>
      </c>
      <c r="AR512" s="75" t="s">
        <v>27236</v>
      </c>
      <c r="AS512" s="70" t="s">
        <v>22525</v>
      </c>
      <c r="AU512" s="70" t="s">
        <v>237</v>
      </c>
      <c r="AV512" s="70" t="s">
        <v>27237</v>
      </c>
      <c r="AW512" s="70" t="s">
        <v>27238</v>
      </c>
      <c r="AX512" s="70">
        <v>0.0</v>
      </c>
      <c r="AY512" s="70" t="s">
        <v>24</v>
      </c>
      <c r="AZ512" s="70">
        <v>2035.0</v>
      </c>
    </row>
    <row r="513" ht="22.5" customHeight="1">
      <c r="A513" s="70" t="str">
        <f t="shared" si="1"/>
        <v>Excluded</v>
      </c>
      <c r="B513" s="70">
        <f t="shared" si="2"/>
        <v>0</v>
      </c>
      <c r="C513" s="70">
        <v>0.0</v>
      </c>
      <c r="D513" s="70">
        <v>0.0</v>
      </c>
      <c r="E513" s="70">
        <v>0.0</v>
      </c>
      <c r="F513" s="70">
        <v>0.0</v>
      </c>
      <c r="G513" s="70">
        <v>0.0</v>
      </c>
      <c r="H513" s="70" t="s">
        <v>26765</v>
      </c>
      <c r="I513" s="70">
        <v>2898.0</v>
      </c>
      <c r="J513" s="70" t="s">
        <v>26763</v>
      </c>
      <c r="K513" s="70" t="s">
        <v>26764</v>
      </c>
      <c r="W513" s="70" t="s">
        <v>29905</v>
      </c>
      <c r="AA513" s="70" t="s">
        <v>26767</v>
      </c>
      <c r="AI513" s="70" t="s">
        <v>26768</v>
      </c>
      <c r="AJ513" s="70" t="s">
        <v>26769</v>
      </c>
      <c r="AK513" s="70">
        <v>2023.0</v>
      </c>
      <c r="AL513" s="70" t="s">
        <v>26770</v>
      </c>
      <c r="AN513" s="70">
        <v>1.0</v>
      </c>
      <c r="AO513" s="70">
        <v>46.0</v>
      </c>
      <c r="AP513" s="70">
        <v>45.0</v>
      </c>
      <c r="AQ513" s="70">
        <v>30.0</v>
      </c>
      <c r="AR513" s="75" t="s">
        <v>26771</v>
      </c>
      <c r="AS513" s="70" t="s">
        <v>22525</v>
      </c>
      <c r="AT513" s="70" t="s">
        <v>22622</v>
      </c>
      <c r="AU513" s="70" t="s">
        <v>237</v>
      </c>
      <c r="AV513" s="70" t="s">
        <v>26772</v>
      </c>
      <c r="AW513" s="70" t="s">
        <v>26773</v>
      </c>
      <c r="AZ513" s="70">
        <v>1360.0</v>
      </c>
    </row>
    <row r="514" ht="22.5" customHeight="1">
      <c r="A514" s="70" t="str">
        <f t="shared" si="1"/>
        <v>Excluded</v>
      </c>
      <c r="B514" s="70">
        <f t="shared" si="2"/>
        <v>0</v>
      </c>
      <c r="C514" s="70">
        <v>0.0</v>
      </c>
      <c r="D514" s="70">
        <v>0.0</v>
      </c>
      <c r="E514" s="70">
        <v>0.0</v>
      </c>
      <c r="F514" s="70">
        <v>0.0</v>
      </c>
      <c r="G514" s="70">
        <v>0.0</v>
      </c>
      <c r="H514" s="70" t="s">
        <v>25057</v>
      </c>
      <c r="I514" s="70">
        <v>2732.0</v>
      </c>
      <c r="J514" s="70" t="s">
        <v>25055</v>
      </c>
      <c r="K514" s="70" t="s">
        <v>25056</v>
      </c>
      <c r="W514" s="70" t="s">
        <v>29906</v>
      </c>
      <c r="AA514" s="70" t="s">
        <v>25059</v>
      </c>
      <c r="AI514" s="70" t="s">
        <v>25060</v>
      </c>
      <c r="AJ514" s="70" t="s">
        <v>25061</v>
      </c>
      <c r="AK514" s="70">
        <v>2024.0</v>
      </c>
      <c r="AL514" s="70" t="s">
        <v>25062</v>
      </c>
      <c r="AQ514" s="70">
        <v>0.0</v>
      </c>
      <c r="AR514" s="75" t="s">
        <v>25063</v>
      </c>
      <c r="AS514" s="70" t="s">
        <v>22588</v>
      </c>
      <c r="AU514" s="70" t="s">
        <v>237</v>
      </c>
      <c r="AV514" s="70" t="s">
        <v>25064</v>
      </c>
      <c r="AW514" s="70" t="s">
        <v>25065</v>
      </c>
      <c r="AX514" s="70">
        <v>0.0</v>
      </c>
      <c r="AY514" s="70" t="s">
        <v>24</v>
      </c>
      <c r="AZ514" s="70">
        <v>3129.0</v>
      </c>
    </row>
    <row r="515" ht="22.5" customHeight="1">
      <c r="A515" s="70" t="str">
        <f t="shared" si="1"/>
        <v>Excluded</v>
      </c>
      <c r="B515" s="70">
        <f t="shared" si="2"/>
        <v>0</v>
      </c>
      <c r="C515" s="70">
        <v>0.0</v>
      </c>
      <c r="D515" s="70">
        <v>0.0</v>
      </c>
      <c r="E515" s="70">
        <v>0.0</v>
      </c>
      <c r="F515" s="70">
        <v>0.0</v>
      </c>
      <c r="G515" s="70">
        <v>0.0</v>
      </c>
      <c r="H515" s="70" t="s">
        <v>27315</v>
      </c>
      <c r="I515" s="70">
        <v>2951.0</v>
      </c>
      <c r="J515" s="70" t="s">
        <v>27313</v>
      </c>
      <c r="K515" s="70" t="s">
        <v>27314</v>
      </c>
      <c r="W515" s="70" t="s">
        <v>29907</v>
      </c>
      <c r="AA515" s="70" t="s">
        <v>27317</v>
      </c>
      <c r="AI515" s="70" t="s">
        <v>27318</v>
      </c>
      <c r="AJ515" s="70" t="s">
        <v>27319</v>
      </c>
      <c r="AK515" s="70">
        <v>2021.0</v>
      </c>
      <c r="AL515" s="70" t="s">
        <v>24237</v>
      </c>
      <c r="AM515" s="70">
        <v>12036.0</v>
      </c>
      <c r="AQ515" s="70">
        <v>8.0</v>
      </c>
      <c r="AR515" s="75" t="s">
        <v>27320</v>
      </c>
      <c r="AS515" s="70" t="s">
        <v>22525</v>
      </c>
      <c r="AT515" s="70" t="s">
        <v>22622</v>
      </c>
      <c r="AU515" s="70" t="s">
        <v>237</v>
      </c>
      <c r="AV515" s="70" t="s">
        <v>27321</v>
      </c>
      <c r="AW515" s="70" t="s">
        <v>27322</v>
      </c>
      <c r="AX515" s="70">
        <v>0.0</v>
      </c>
      <c r="AY515" s="70" t="s">
        <v>24</v>
      </c>
      <c r="AZ515" s="70">
        <v>3093.0</v>
      </c>
    </row>
    <row r="516" ht="22.5" customHeight="1">
      <c r="A516" s="70" t="str">
        <f t="shared" si="1"/>
        <v>Excluded</v>
      </c>
      <c r="B516" s="70">
        <f t="shared" si="2"/>
        <v>0</v>
      </c>
      <c r="C516" s="70">
        <v>0.0</v>
      </c>
      <c r="D516" s="70">
        <v>0.0</v>
      </c>
      <c r="E516" s="70">
        <v>0.0</v>
      </c>
      <c r="F516" s="70">
        <v>0.0</v>
      </c>
      <c r="G516" s="70">
        <v>0.0</v>
      </c>
      <c r="H516" s="70" t="s">
        <v>25992</v>
      </c>
      <c r="I516" s="70">
        <v>2822.0</v>
      </c>
      <c r="J516" s="70" t="s">
        <v>25990</v>
      </c>
      <c r="K516" s="70" t="s">
        <v>25991</v>
      </c>
      <c r="W516" s="70" t="s">
        <v>29908</v>
      </c>
      <c r="AA516" s="70" t="s">
        <v>25994</v>
      </c>
      <c r="AI516" s="70" t="s">
        <v>25995</v>
      </c>
      <c r="AJ516" s="70" t="s">
        <v>25996</v>
      </c>
      <c r="AK516" s="70">
        <v>2023.0</v>
      </c>
      <c r="AL516" s="70" t="s">
        <v>24237</v>
      </c>
      <c r="AM516" s="70">
        <v>12029.0</v>
      </c>
      <c r="AQ516" s="70">
        <v>0.0</v>
      </c>
      <c r="AR516" s="75" t="s">
        <v>25997</v>
      </c>
      <c r="AS516" s="70" t="s">
        <v>22525</v>
      </c>
      <c r="AT516" s="70" t="s">
        <v>22622</v>
      </c>
      <c r="AU516" s="70" t="s">
        <v>237</v>
      </c>
      <c r="AV516" s="70" t="s">
        <v>25998</v>
      </c>
      <c r="AW516" s="70" t="s">
        <v>25999</v>
      </c>
      <c r="AX516" s="70">
        <v>0.0</v>
      </c>
      <c r="AY516" s="70" t="s">
        <v>24</v>
      </c>
      <c r="AZ516" s="70">
        <v>2456.0</v>
      </c>
    </row>
    <row r="517" ht="22.5" customHeight="1">
      <c r="A517" s="70" t="str">
        <f t="shared" si="1"/>
        <v>Excluded</v>
      </c>
      <c r="B517" s="70">
        <f t="shared" si="2"/>
        <v>0</v>
      </c>
      <c r="C517" s="70">
        <v>0.0</v>
      </c>
      <c r="D517" s="70">
        <v>0.0</v>
      </c>
      <c r="E517" s="70">
        <v>0.0</v>
      </c>
      <c r="F517" s="70">
        <v>0.0</v>
      </c>
      <c r="G517" s="70">
        <v>0.0</v>
      </c>
      <c r="H517" s="70" t="s">
        <v>24233</v>
      </c>
      <c r="I517" s="70">
        <v>2652.0</v>
      </c>
      <c r="J517" s="70" t="s">
        <v>24231</v>
      </c>
      <c r="K517" s="70" t="s">
        <v>24232</v>
      </c>
      <c r="W517" s="70" t="s">
        <v>29909</v>
      </c>
      <c r="AI517" s="70" t="s">
        <v>24235</v>
      </c>
      <c r="AJ517" s="70" t="s">
        <v>24236</v>
      </c>
      <c r="AK517" s="70">
        <v>2024.0</v>
      </c>
      <c r="AL517" s="70" t="s">
        <v>24237</v>
      </c>
      <c r="AM517" s="70">
        <v>11001.0</v>
      </c>
      <c r="AQ517" s="70">
        <v>1.0</v>
      </c>
      <c r="AR517" s="75" t="s">
        <v>24238</v>
      </c>
      <c r="AS517" s="70" t="s">
        <v>22525</v>
      </c>
      <c r="AU517" s="70" t="s">
        <v>237</v>
      </c>
      <c r="AV517" s="70" t="s">
        <v>24239</v>
      </c>
      <c r="AW517" s="70" t="s">
        <v>24240</v>
      </c>
      <c r="AZ517" s="70">
        <v>987.0</v>
      </c>
    </row>
    <row r="518" ht="22.5" customHeight="1">
      <c r="A518" s="70" t="str">
        <f t="shared" si="1"/>
        <v>Excluded</v>
      </c>
      <c r="B518" s="70">
        <f t="shared" si="2"/>
        <v>0</v>
      </c>
      <c r="C518" s="70">
        <v>0.0</v>
      </c>
      <c r="D518" s="70">
        <v>0.0</v>
      </c>
      <c r="E518" s="70">
        <v>0.0</v>
      </c>
      <c r="F518" s="70">
        <v>0.0</v>
      </c>
      <c r="G518" s="70">
        <v>0.0</v>
      </c>
      <c r="H518" s="70" t="s">
        <v>23798</v>
      </c>
      <c r="I518" s="70">
        <v>2610.0</v>
      </c>
      <c r="J518" s="70" t="s">
        <v>23796</v>
      </c>
      <c r="K518" s="70" t="s">
        <v>29910</v>
      </c>
      <c r="W518" s="70" t="s">
        <v>29911</v>
      </c>
      <c r="AI518" s="70" t="s">
        <v>23800</v>
      </c>
      <c r="AJ518" s="70" t="s">
        <v>23801</v>
      </c>
      <c r="AK518" s="70">
        <v>2024.0</v>
      </c>
      <c r="AL518" s="70" t="s">
        <v>23802</v>
      </c>
      <c r="AM518" s="70">
        <v>11001.0</v>
      </c>
      <c r="AQ518" s="70">
        <v>0.0</v>
      </c>
      <c r="AR518" s="75" t="s">
        <v>23803</v>
      </c>
      <c r="AS518" s="70" t="s">
        <v>22525</v>
      </c>
      <c r="AT518" s="70" t="s">
        <v>22622</v>
      </c>
      <c r="AU518" s="70" t="s">
        <v>237</v>
      </c>
      <c r="AV518" s="70" t="s">
        <v>23804</v>
      </c>
      <c r="AX518" s="70">
        <v>0.0</v>
      </c>
      <c r="AY518" s="70" t="s">
        <v>24</v>
      </c>
      <c r="AZ518" s="70">
        <v>3005.0</v>
      </c>
    </row>
    <row r="519" ht="22.5" customHeight="1">
      <c r="A519" s="70" t="str">
        <f t="shared" si="1"/>
        <v>Excluded</v>
      </c>
      <c r="B519" s="70">
        <f t="shared" si="2"/>
        <v>0</v>
      </c>
      <c r="C519" s="70">
        <v>0.0</v>
      </c>
      <c r="D519" s="70">
        <v>0.0</v>
      </c>
      <c r="E519" s="70">
        <v>0.0</v>
      </c>
      <c r="F519" s="70">
        <v>0.0</v>
      </c>
      <c r="G519" s="70">
        <v>0.0</v>
      </c>
      <c r="H519" s="70" t="s">
        <v>26414</v>
      </c>
      <c r="I519" s="70">
        <v>2864.0</v>
      </c>
      <c r="J519" s="70" t="s">
        <v>26412</v>
      </c>
      <c r="K519" s="70" t="s">
        <v>26413</v>
      </c>
      <c r="W519" s="70" t="s">
        <v>29912</v>
      </c>
      <c r="AA519" s="70" t="s">
        <v>26416</v>
      </c>
      <c r="AI519" s="70" t="s">
        <v>26417</v>
      </c>
      <c r="AJ519" s="70" t="s">
        <v>26418</v>
      </c>
      <c r="AK519" s="70">
        <v>2023.0</v>
      </c>
      <c r="AL519" s="70" t="s">
        <v>26419</v>
      </c>
      <c r="AM519" s="70" t="s">
        <v>26420</v>
      </c>
      <c r="AQ519" s="70">
        <v>21.0</v>
      </c>
      <c r="AR519" s="75" t="s">
        <v>26421</v>
      </c>
      <c r="AS519" s="70" t="s">
        <v>22525</v>
      </c>
      <c r="AT519" s="70" t="s">
        <v>22816</v>
      </c>
      <c r="AU519" s="70" t="s">
        <v>237</v>
      </c>
      <c r="AV519" s="70" t="s">
        <v>26422</v>
      </c>
      <c r="AW519" s="70" t="s">
        <v>26423</v>
      </c>
      <c r="AX519" s="70">
        <v>0.0</v>
      </c>
      <c r="AY519" s="70" t="s">
        <v>24</v>
      </c>
      <c r="AZ519" s="70">
        <v>3083.0</v>
      </c>
    </row>
    <row r="520" ht="22.5" customHeight="1">
      <c r="A520" s="70" t="str">
        <f t="shared" si="1"/>
        <v>Excluded</v>
      </c>
      <c r="B520" s="70">
        <f t="shared" si="2"/>
        <v>0</v>
      </c>
      <c r="C520" s="70">
        <v>0.0</v>
      </c>
      <c r="D520" s="70">
        <v>0.0</v>
      </c>
      <c r="E520" s="70">
        <v>0.0</v>
      </c>
      <c r="F520" s="70">
        <v>0.0</v>
      </c>
      <c r="G520" s="70">
        <v>0.0</v>
      </c>
      <c r="H520" s="70" t="s">
        <v>27304</v>
      </c>
      <c r="I520" s="70">
        <v>2950.0</v>
      </c>
      <c r="J520" s="70" t="s">
        <v>27302</v>
      </c>
      <c r="K520" s="70" t="s">
        <v>27303</v>
      </c>
      <c r="W520" s="70" t="s">
        <v>29913</v>
      </c>
      <c r="AA520" s="70" t="s">
        <v>27306</v>
      </c>
      <c r="AI520" s="70" t="s">
        <v>27307</v>
      </c>
      <c r="AJ520" s="70" t="s">
        <v>27308</v>
      </c>
      <c r="AK520" s="70">
        <v>2021.0</v>
      </c>
      <c r="AL520" s="70" t="s">
        <v>27309</v>
      </c>
      <c r="AN520" s="70">
        <v>335.0</v>
      </c>
      <c r="AO520" s="70">
        <v>344.0</v>
      </c>
      <c r="AP520" s="70">
        <v>9.0</v>
      </c>
      <c r="AQ520" s="70">
        <v>11.0</v>
      </c>
      <c r="AR520" s="75" t="s">
        <v>27310</v>
      </c>
      <c r="AS520" s="70" t="s">
        <v>22525</v>
      </c>
      <c r="AU520" s="70" t="s">
        <v>237</v>
      </c>
      <c r="AV520" s="70" t="s">
        <v>27311</v>
      </c>
      <c r="AW520" s="70" t="s">
        <v>27312</v>
      </c>
      <c r="AX520" s="70">
        <v>0.0</v>
      </c>
      <c r="AY520" s="70" t="s">
        <v>24</v>
      </c>
      <c r="AZ520" s="70">
        <v>1799.0</v>
      </c>
    </row>
    <row r="521" ht="22.5" customHeight="1">
      <c r="A521" s="70" t="str">
        <f t="shared" si="1"/>
        <v>Excluded</v>
      </c>
      <c r="B521" s="70">
        <f t="shared" si="2"/>
        <v>0</v>
      </c>
      <c r="C521" s="70">
        <v>0.0</v>
      </c>
      <c r="D521" s="70">
        <v>0.0</v>
      </c>
      <c r="E521" s="70">
        <v>0.0</v>
      </c>
      <c r="F521" s="70">
        <v>0.0</v>
      </c>
      <c r="G521" s="70">
        <v>0.0</v>
      </c>
      <c r="H521" s="70" t="s">
        <v>24738</v>
      </c>
      <c r="I521" s="70">
        <v>2701.0</v>
      </c>
      <c r="J521" s="70" t="s">
        <v>24736</v>
      </c>
      <c r="K521" s="70" t="s">
        <v>24737</v>
      </c>
      <c r="W521" s="70" t="s">
        <v>29914</v>
      </c>
      <c r="AA521" s="70" t="s">
        <v>24740</v>
      </c>
      <c r="AI521" s="70" t="s">
        <v>24741</v>
      </c>
      <c r="AJ521" s="70" t="s">
        <v>24742</v>
      </c>
      <c r="AK521" s="70">
        <v>2023.0</v>
      </c>
      <c r="AL521" s="70" t="s">
        <v>24743</v>
      </c>
      <c r="AN521" s="70">
        <v>2772.0</v>
      </c>
      <c r="AO521" s="70">
        <v>2792.0</v>
      </c>
      <c r="AP521" s="70">
        <v>20.0</v>
      </c>
      <c r="AQ521" s="70">
        <v>7.0</v>
      </c>
      <c r="AR521" s="75" t="s">
        <v>24744</v>
      </c>
      <c r="AS521" s="70" t="s">
        <v>22525</v>
      </c>
      <c r="AU521" s="70" t="s">
        <v>237</v>
      </c>
      <c r="AV521" s="70" t="s">
        <v>24745</v>
      </c>
      <c r="AZ521" s="70">
        <v>1164.0</v>
      </c>
    </row>
    <row r="522" ht="22.5" customHeight="1">
      <c r="A522" s="70" t="str">
        <f t="shared" si="1"/>
        <v>Excluded</v>
      </c>
      <c r="B522" s="70">
        <f t="shared" si="2"/>
        <v>0</v>
      </c>
      <c r="C522" s="70">
        <v>0.0</v>
      </c>
      <c r="D522" s="70">
        <v>0.0</v>
      </c>
      <c r="E522" s="70">
        <v>0.0</v>
      </c>
      <c r="F522" s="70">
        <v>0.0</v>
      </c>
      <c r="G522" s="70">
        <v>0.0</v>
      </c>
      <c r="H522" s="70" t="s">
        <v>22743</v>
      </c>
      <c r="I522" s="70">
        <v>2510.0</v>
      </c>
      <c r="J522" s="70" t="s">
        <v>22741</v>
      </c>
      <c r="K522" s="70" t="s">
        <v>22742</v>
      </c>
      <c r="W522" s="70" t="s">
        <v>29915</v>
      </c>
      <c r="AA522" s="70" t="s">
        <v>22745</v>
      </c>
      <c r="AI522" s="70" t="s">
        <v>22746</v>
      </c>
      <c r="AJ522" s="70" t="s">
        <v>22747</v>
      </c>
      <c r="AK522" s="70">
        <v>2025.0</v>
      </c>
      <c r="AL522" s="70" t="s">
        <v>22748</v>
      </c>
      <c r="AN522" s="70">
        <v>990.0</v>
      </c>
      <c r="AO522" s="70">
        <v>1014.0</v>
      </c>
      <c r="AP522" s="70">
        <v>24.0</v>
      </c>
      <c r="AQ522" s="70">
        <v>0.0</v>
      </c>
      <c r="AR522" s="75" t="s">
        <v>22749</v>
      </c>
      <c r="AS522" s="70" t="s">
        <v>22525</v>
      </c>
      <c r="AU522" s="70" t="s">
        <v>237</v>
      </c>
      <c r="AV522" s="70" t="s">
        <v>22750</v>
      </c>
      <c r="AZ522" s="70">
        <v>1452.0</v>
      </c>
    </row>
    <row r="523" ht="22.5" customHeight="1">
      <c r="A523" s="70" t="str">
        <f t="shared" si="1"/>
        <v>Excluded</v>
      </c>
      <c r="B523" s="70">
        <f t="shared" si="2"/>
        <v>0</v>
      </c>
      <c r="C523" s="70">
        <v>0.0</v>
      </c>
      <c r="D523" s="70">
        <v>0.0</v>
      </c>
      <c r="E523" s="70">
        <v>0.0</v>
      </c>
      <c r="F523" s="70">
        <v>0.0</v>
      </c>
      <c r="G523" s="70">
        <v>0.0</v>
      </c>
      <c r="H523" s="70" t="s">
        <v>10970</v>
      </c>
      <c r="I523" s="70">
        <v>1137.0</v>
      </c>
      <c r="K523" s="70" t="s">
        <v>10968</v>
      </c>
      <c r="L523" s="70" t="s">
        <v>10969</v>
      </c>
      <c r="P523" s="77">
        <v>43405.0</v>
      </c>
      <c r="U523" s="70" t="s">
        <v>239</v>
      </c>
      <c r="W523" s="70" t="s">
        <v>10634</v>
      </c>
      <c r="X523" s="70" t="s">
        <v>10971</v>
      </c>
      <c r="Z523" s="75" t="s">
        <v>10972</v>
      </c>
      <c r="AF523" s="70" t="s">
        <v>239</v>
      </c>
      <c r="AZ523" s="70">
        <v>1349.0</v>
      </c>
    </row>
    <row r="524" ht="22.5" customHeight="1">
      <c r="A524" s="70" t="str">
        <f t="shared" si="1"/>
        <v>Excluded</v>
      </c>
      <c r="B524" s="70">
        <f t="shared" si="2"/>
        <v>0</v>
      </c>
      <c r="C524" s="70">
        <v>0.0</v>
      </c>
      <c r="D524" s="70">
        <v>0.0</v>
      </c>
      <c r="E524" s="70">
        <v>0.0</v>
      </c>
      <c r="F524" s="70">
        <v>0.0</v>
      </c>
      <c r="G524" s="70">
        <v>0.0</v>
      </c>
      <c r="H524" s="70" t="s">
        <v>4993</v>
      </c>
      <c r="I524" s="70">
        <v>465.0</v>
      </c>
      <c r="J524" s="70" t="s">
        <v>29916</v>
      </c>
      <c r="K524" s="70" t="s">
        <v>4991</v>
      </c>
      <c r="L524" s="70" t="s">
        <v>4992</v>
      </c>
      <c r="P524" s="76">
        <v>43797.0</v>
      </c>
      <c r="U524" s="70" t="s">
        <v>239</v>
      </c>
      <c r="W524" s="70" t="s">
        <v>4995</v>
      </c>
      <c r="X524" s="70" t="s">
        <v>4996</v>
      </c>
      <c r="Z524" s="75" t="s">
        <v>4997</v>
      </c>
      <c r="AA524" s="70" t="s">
        <v>4998</v>
      </c>
      <c r="AC524" s="70">
        <v>25.0</v>
      </c>
      <c r="AE524" s="70">
        <v>15.0</v>
      </c>
      <c r="AF524" s="70" t="s">
        <v>239</v>
      </c>
      <c r="AW524" s="70" t="s">
        <v>4999</v>
      </c>
      <c r="AZ524" s="70">
        <v>1365.0</v>
      </c>
    </row>
    <row r="525" ht="22.5" customHeight="1">
      <c r="A525" s="70" t="str">
        <f t="shared" si="1"/>
        <v>Excluded</v>
      </c>
      <c r="B525" s="70">
        <f t="shared" si="2"/>
        <v>0</v>
      </c>
      <c r="C525" s="70">
        <v>0.0</v>
      </c>
      <c r="D525" s="70">
        <v>0.0</v>
      </c>
      <c r="E525" s="70">
        <v>0.0</v>
      </c>
      <c r="F525" s="70">
        <v>0.0</v>
      </c>
      <c r="G525" s="70">
        <v>0.0</v>
      </c>
      <c r="H525" s="70" t="s">
        <v>6883</v>
      </c>
      <c r="I525" s="70">
        <v>656.0</v>
      </c>
      <c r="J525" s="70" t="s">
        <v>6880</v>
      </c>
      <c r="K525" s="70" t="s">
        <v>6881</v>
      </c>
      <c r="L525" s="70" t="s">
        <v>6882</v>
      </c>
      <c r="P525" s="76">
        <v>44117.0</v>
      </c>
      <c r="U525" s="70" t="s">
        <v>239</v>
      </c>
      <c r="W525" s="70" t="s">
        <v>29917</v>
      </c>
      <c r="X525" s="70" t="s">
        <v>6886</v>
      </c>
      <c r="Z525" s="75" t="s">
        <v>6887</v>
      </c>
      <c r="AA525" s="70" t="s">
        <v>6888</v>
      </c>
      <c r="AC525" s="70">
        <v>5.0</v>
      </c>
      <c r="AE525" s="70">
        <v>29.0</v>
      </c>
      <c r="AF525" s="70" t="s">
        <v>239</v>
      </c>
      <c r="AW525" s="70" t="s">
        <v>6889</v>
      </c>
      <c r="AX525" s="70">
        <v>0.0</v>
      </c>
      <c r="AY525" s="70" t="s">
        <v>24</v>
      </c>
      <c r="AZ525" s="70">
        <v>2366.0</v>
      </c>
    </row>
    <row r="526" ht="22.5" customHeight="1">
      <c r="A526" s="70" t="str">
        <f t="shared" si="1"/>
        <v>Excluded</v>
      </c>
      <c r="B526" s="70">
        <f t="shared" si="2"/>
        <v>0</v>
      </c>
      <c r="C526" s="70">
        <v>0.0</v>
      </c>
      <c r="D526" s="70">
        <v>0.0</v>
      </c>
      <c r="E526" s="70">
        <v>0.0</v>
      </c>
      <c r="F526" s="70">
        <v>0.0</v>
      </c>
      <c r="G526" s="70">
        <v>0.0</v>
      </c>
      <c r="H526" s="70" t="s">
        <v>7938</v>
      </c>
      <c r="I526" s="70">
        <v>765.0</v>
      </c>
      <c r="J526" s="70" t="s">
        <v>7935</v>
      </c>
      <c r="K526" s="70" t="s">
        <v>7936</v>
      </c>
      <c r="L526" s="70" t="s">
        <v>7937</v>
      </c>
      <c r="P526" s="76">
        <v>44519.0</v>
      </c>
      <c r="U526" s="70" t="s">
        <v>239</v>
      </c>
      <c r="W526" s="70" t="s">
        <v>7940</v>
      </c>
      <c r="X526" s="70" t="s">
        <v>7941</v>
      </c>
      <c r="Z526" s="75" t="s">
        <v>7942</v>
      </c>
      <c r="AC526" s="70">
        <v>2.0</v>
      </c>
      <c r="AE526" s="70">
        <v>17.0</v>
      </c>
      <c r="AF526" s="70" t="s">
        <v>239</v>
      </c>
      <c r="AW526" s="70" t="s">
        <v>7943</v>
      </c>
      <c r="AX526" s="70">
        <v>0.0</v>
      </c>
      <c r="AY526" s="70" t="s">
        <v>24</v>
      </c>
      <c r="AZ526" s="70">
        <v>2397.0</v>
      </c>
    </row>
    <row r="527" ht="22.5" customHeight="1">
      <c r="A527" s="70" t="str">
        <f t="shared" si="1"/>
        <v>Excluded</v>
      </c>
      <c r="B527" s="70">
        <f t="shared" si="2"/>
        <v>0</v>
      </c>
      <c r="C527" s="70">
        <v>0.0</v>
      </c>
      <c r="D527" s="70">
        <v>0.0</v>
      </c>
      <c r="E527" s="70">
        <v>0.0</v>
      </c>
      <c r="F527" s="70">
        <v>0.0</v>
      </c>
      <c r="G527" s="70">
        <v>0.0</v>
      </c>
      <c r="H527" s="70" t="s">
        <v>9641</v>
      </c>
      <c r="I527" s="70">
        <v>943.0</v>
      </c>
      <c r="J527" s="70" t="s">
        <v>9639</v>
      </c>
      <c r="K527" s="70" t="s">
        <v>29918</v>
      </c>
      <c r="L527" s="70" t="s">
        <v>7937</v>
      </c>
      <c r="P527" s="76">
        <v>44519.0</v>
      </c>
      <c r="U527" s="70" t="s">
        <v>239</v>
      </c>
      <c r="W527" s="70" t="s">
        <v>9643</v>
      </c>
      <c r="X527" s="70" t="s">
        <v>7941</v>
      </c>
      <c r="Z527" s="75" t="s">
        <v>9644</v>
      </c>
      <c r="AA527" s="70" t="s">
        <v>9645</v>
      </c>
      <c r="AE527" s="70">
        <v>9.0</v>
      </c>
      <c r="AF527" s="70" t="s">
        <v>239</v>
      </c>
      <c r="AW527" s="70" t="s">
        <v>9646</v>
      </c>
      <c r="AZ527" s="70">
        <v>1244.0</v>
      </c>
    </row>
    <row r="528" ht="22.5" customHeight="1">
      <c r="A528" s="70" t="str">
        <f t="shared" si="1"/>
        <v>Excluded</v>
      </c>
      <c r="B528" s="70">
        <f t="shared" si="2"/>
        <v>0</v>
      </c>
      <c r="C528" s="70">
        <v>0.0</v>
      </c>
      <c r="D528" s="70">
        <v>0.0</v>
      </c>
      <c r="E528" s="70">
        <v>0.0</v>
      </c>
      <c r="F528" s="70">
        <v>0.0</v>
      </c>
      <c r="G528" s="70">
        <v>0.0</v>
      </c>
      <c r="H528" s="70" t="s">
        <v>5202</v>
      </c>
      <c r="I528" s="70">
        <v>486.0</v>
      </c>
      <c r="J528" s="70" t="s">
        <v>5199</v>
      </c>
      <c r="K528" s="70" t="s">
        <v>5200</v>
      </c>
      <c r="L528" s="70" t="s">
        <v>5201</v>
      </c>
      <c r="P528" s="76">
        <v>44763.0</v>
      </c>
      <c r="U528" s="70" t="s">
        <v>239</v>
      </c>
      <c r="W528" s="70" t="s">
        <v>5204</v>
      </c>
      <c r="X528" s="70" t="s">
        <v>5205</v>
      </c>
      <c r="Z528" s="75" t="s">
        <v>5206</v>
      </c>
      <c r="AA528" s="70" t="s">
        <v>5207</v>
      </c>
      <c r="AC528" s="70">
        <v>16.0</v>
      </c>
      <c r="AE528" s="70">
        <v>66.0</v>
      </c>
      <c r="AF528" s="70" t="s">
        <v>239</v>
      </c>
      <c r="AW528" s="70" t="s">
        <v>5208</v>
      </c>
      <c r="AZ528" s="70">
        <v>1397.0</v>
      </c>
    </row>
    <row r="529" ht="22.5" customHeight="1">
      <c r="A529" s="70" t="str">
        <f t="shared" si="1"/>
        <v>Excluded</v>
      </c>
      <c r="B529" s="70">
        <f t="shared" si="2"/>
        <v>0</v>
      </c>
      <c r="C529" s="70">
        <v>0.0</v>
      </c>
      <c r="D529" s="70">
        <v>0.0</v>
      </c>
      <c r="E529" s="70">
        <v>0.0</v>
      </c>
      <c r="F529" s="70">
        <v>0.0</v>
      </c>
      <c r="G529" s="70">
        <v>0.0</v>
      </c>
      <c r="H529" s="70" t="s">
        <v>6564</v>
      </c>
      <c r="I529" s="70">
        <v>624.0</v>
      </c>
      <c r="J529" s="70" t="s">
        <v>6562</v>
      </c>
      <c r="K529" s="70" t="s">
        <v>6563</v>
      </c>
      <c r="L529" s="70" t="s">
        <v>5201</v>
      </c>
      <c r="P529" s="76">
        <v>44763.0</v>
      </c>
      <c r="U529" s="70" t="s">
        <v>239</v>
      </c>
      <c r="W529" s="70" t="s">
        <v>29919</v>
      </c>
      <c r="X529" s="70" t="s">
        <v>5205</v>
      </c>
      <c r="Y529" s="70" t="s">
        <v>29920</v>
      </c>
      <c r="Z529" s="75" t="s">
        <v>6568</v>
      </c>
      <c r="AA529" s="70" t="s">
        <v>6569</v>
      </c>
      <c r="AC529" s="70">
        <v>6.0</v>
      </c>
      <c r="AE529" s="70">
        <v>34.0</v>
      </c>
      <c r="AF529" s="70" t="s">
        <v>239</v>
      </c>
      <c r="AW529" s="70" t="s">
        <v>6570</v>
      </c>
      <c r="AZ529" s="70">
        <v>415.0</v>
      </c>
    </row>
    <row r="530" ht="22.5" customHeight="1">
      <c r="A530" s="70" t="str">
        <f t="shared" si="1"/>
        <v>Excluded</v>
      </c>
      <c r="B530" s="70">
        <f t="shared" si="2"/>
        <v>0</v>
      </c>
      <c r="C530" s="70">
        <v>0.0</v>
      </c>
      <c r="D530" s="70">
        <v>0.0</v>
      </c>
      <c r="E530" s="70">
        <v>0.0</v>
      </c>
      <c r="F530" s="70">
        <v>0.0</v>
      </c>
      <c r="G530" s="70">
        <v>0.0</v>
      </c>
      <c r="H530" s="70" t="s">
        <v>16624</v>
      </c>
      <c r="I530" s="70">
        <v>1823.0</v>
      </c>
      <c r="J530" s="70" t="s">
        <v>16622</v>
      </c>
      <c r="K530" s="70" t="s">
        <v>16623</v>
      </c>
      <c r="L530" s="70" t="s">
        <v>16436</v>
      </c>
      <c r="N530" s="70" t="s">
        <v>16437</v>
      </c>
      <c r="P530" s="79">
        <v>42862.0</v>
      </c>
      <c r="U530" s="70" t="s">
        <v>239</v>
      </c>
      <c r="W530" s="70" t="s">
        <v>29921</v>
      </c>
      <c r="Y530" s="70" t="s">
        <v>29922</v>
      </c>
      <c r="Z530" s="75" t="s">
        <v>16628</v>
      </c>
      <c r="AA530" s="70" t="s">
        <v>16629</v>
      </c>
      <c r="AC530" s="70">
        <v>265.0</v>
      </c>
      <c r="AE530" s="70">
        <v>159.0</v>
      </c>
      <c r="AF530" s="70" t="s">
        <v>16444</v>
      </c>
      <c r="AW530" s="70" t="s">
        <v>16630</v>
      </c>
      <c r="AZ530" s="70">
        <v>878.0</v>
      </c>
    </row>
    <row r="531" ht="22.5" customHeight="1">
      <c r="A531" s="70" t="str">
        <f t="shared" si="1"/>
        <v>Excluded</v>
      </c>
      <c r="B531" s="70">
        <f t="shared" si="2"/>
        <v>0</v>
      </c>
      <c r="C531" s="70">
        <v>0.0</v>
      </c>
      <c r="D531" s="70">
        <v>0.0</v>
      </c>
      <c r="E531" s="70">
        <v>0.0</v>
      </c>
      <c r="F531" s="70">
        <v>0.0</v>
      </c>
      <c r="G531" s="70">
        <v>0.0</v>
      </c>
      <c r="H531" s="70" t="s">
        <v>16750</v>
      </c>
      <c r="I531" s="70">
        <v>1837.0</v>
      </c>
      <c r="J531" s="70" t="s">
        <v>16748</v>
      </c>
      <c r="K531" s="70" t="s">
        <v>16749</v>
      </c>
      <c r="L531" s="70" t="s">
        <v>16436</v>
      </c>
      <c r="N531" s="70" t="s">
        <v>16437</v>
      </c>
      <c r="P531" s="76">
        <v>42961.0</v>
      </c>
      <c r="U531" s="70" t="s">
        <v>239</v>
      </c>
      <c r="W531" s="70" t="s">
        <v>16752</v>
      </c>
      <c r="Y531" s="70" t="s">
        <v>29923</v>
      </c>
      <c r="Z531" s="75" t="s">
        <v>16754</v>
      </c>
      <c r="AA531" s="70" t="s">
        <v>16755</v>
      </c>
      <c r="AC531" s="70">
        <v>161.0</v>
      </c>
      <c r="AE531" s="70">
        <v>48.0</v>
      </c>
      <c r="AF531" s="70" t="s">
        <v>16444</v>
      </c>
      <c r="AW531" s="70" t="s">
        <v>16756</v>
      </c>
      <c r="AX531" s="70">
        <v>0.0</v>
      </c>
      <c r="AY531" s="70" t="s">
        <v>24</v>
      </c>
      <c r="AZ531" s="70">
        <v>2184.0</v>
      </c>
    </row>
    <row r="532" ht="22.5" customHeight="1">
      <c r="A532" s="70" t="str">
        <f t="shared" si="1"/>
        <v>Excluded</v>
      </c>
      <c r="B532" s="70">
        <f t="shared" si="2"/>
        <v>0</v>
      </c>
      <c r="C532" s="70">
        <v>0.0</v>
      </c>
      <c r="D532" s="70">
        <v>0.0</v>
      </c>
      <c r="E532" s="70">
        <v>0.0</v>
      </c>
      <c r="F532" s="70">
        <v>0.0</v>
      </c>
      <c r="G532" s="70">
        <v>0.0</v>
      </c>
      <c r="H532" s="70" t="s">
        <v>16742</v>
      </c>
      <c r="I532" s="70">
        <v>1836.0</v>
      </c>
      <c r="J532" s="70" t="s">
        <v>16740</v>
      </c>
      <c r="K532" s="70" t="s">
        <v>16741</v>
      </c>
      <c r="L532" s="70" t="s">
        <v>16436</v>
      </c>
      <c r="N532" s="70" t="s">
        <v>16437</v>
      </c>
      <c r="P532" s="76">
        <v>43020.0</v>
      </c>
      <c r="U532" s="70" t="s">
        <v>239</v>
      </c>
      <c r="W532" s="70" t="s">
        <v>16744</v>
      </c>
      <c r="Z532" s="75" t="s">
        <v>16745</v>
      </c>
      <c r="AA532" s="70" t="s">
        <v>16746</v>
      </c>
      <c r="AC532" s="70">
        <v>170.0</v>
      </c>
      <c r="AE532" s="70">
        <v>240.0</v>
      </c>
      <c r="AF532" s="70" t="s">
        <v>16423</v>
      </c>
      <c r="AW532" s="70" t="s">
        <v>16747</v>
      </c>
      <c r="AX532" s="70">
        <v>0.0</v>
      </c>
      <c r="AY532" s="70" t="s">
        <v>24</v>
      </c>
      <c r="AZ532" s="70">
        <v>2807.0</v>
      </c>
    </row>
    <row r="533" ht="22.5" customHeight="1">
      <c r="A533" s="70" t="str">
        <f t="shared" si="1"/>
        <v>Excluded</v>
      </c>
      <c r="B533" s="70">
        <f t="shared" si="2"/>
        <v>0</v>
      </c>
      <c r="C533" s="70">
        <v>0.0</v>
      </c>
      <c r="D533" s="70">
        <v>0.0</v>
      </c>
      <c r="E533" s="70">
        <v>0.0</v>
      </c>
      <c r="F533" s="70">
        <v>0.0</v>
      </c>
      <c r="G533" s="70">
        <v>0.0</v>
      </c>
      <c r="H533" s="70" t="s">
        <v>20795</v>
      </c>
      <c r="I533" s="70">
        <v>2290.0</v>
      </c>
      <c r="J533" s="70" t="s">
        <v>20793</v>
      </c>
      <c r="K533" s="70" t="s">
        <v>20794</v>
      </c>
      <c r="L533" s="70" t="s">
        <v>16436</v>
      </c>
      <c r="N533" s="70" t="s">
        <v>16437</v>
      </c>
      <c r="P533" s="76">
        <v>43035.0</v>
      </c>
      <c r="U533" s="70" t="s">
        <v>239</v>
      </c>
      <c r="W533" s="70" t="s">
        <v>20797</v>
      </c>
      <c r="Z533" s="75" t="s">
        <v>20798</v>
      </c>
      <c r="AA533" s="70" t="s">
        <v>20799</v>
      </c>
      <c r="AC533" s="70">
        <v>3.0</v>
      </c>
      <c r="AE533" s="70">
        <v>52.0</v>
      </c>
      <c r="AF533" s="70" t="s">
        <v>16444</v>
      </c>
      <c r="AW533" s="70" t="s">
        <v>20800</v>
      </c>
      <c r="AZ533" s="70">
        <v>604.0</v>
      </c>
    </row>
    <row r="534" ht="22.5" customHeight="1">
      <c r="A534" s="70" t="str">
        <f t="shared" si="1"/>
        <v>Excluded</v>
      </c>
      <c r="B534" s="70">
        <f t="shared" si="2"/>
        <v>0</v>
      </c>
      <c r="C534" s="70">
        <v>0.0</v>
      </c>
      <c r="D534" s="70">
        <v>0.0</v>
      </c>
      <c r="E534" s="70">
        <v>0.0</v>
      </c>
      <c r="F534" s="70">
        <v>0.0</v>
      </c>
      <c r="G534" s="70">
        <v>0.0</v>
      </c>
      <c r="H534" s="70" t="s">
        <v>16776</v>
      </c>
      <c r="I534" s="70">
        <v>1840.0</v>
      </c>
      <c r="J534" s="70" t="s">
        <v>16774</v>
      </c>
      <c r="K534" s="70" t="s">
        <v>16775</v>
      </c>
      <c r="L534" s="70" t="s">
        <v>16436</v>
      </c>
      <c r="N534" s="70" t="s">
        <v>16437</v>
      </c>
      <c r="P534" s="76">
        <v>43056.0</v>
      </c>
      <c r="U534" s="70" t="s">
        <v>239</v>
      </c>
      <c r="W534" s="70" t="s">
        <v>16778</v>
      </c>
      <c r="Z534" s="75" t="s">
        <v>16779</v>
      </c>
      <c r="AA534" s="70" t="s">
        <v>16780</v>
      </c>
      <c r="AC534" s="70">
        <v>137.0</v>
      </c>
      <c r="AE534" s="70">
        <v>31.0</v>
      </c>
      <c r="AF534" s="70" t="s">
        <v>16444</v>
      </c>
      <c r="AW534" s="70" t="s">
        <v>16781</v>
      </c>
      <c r="AZ534" s="70">
        <v>1173.0</v>
      </c>
    </row>
    <row r="535" ht="22.5" customHeight="1">
      <c r="A535" s="70" t="str">
        <f t="shared" si="1"/>
        <v>Excluded</v>
      </c>
      <c r="B535" s="70">
        <f t="shared" si="2"/>
        <v>0</v>
      </c>
      <c r="C535" s="70">
        <v>0.0</v>
      </c>
      <c r="D535" s="70">
        <v>0.0</v>
      </c>
      <c r="E535" s="70">
        <v>0.0</v>
      </c>
      <c r="F535" s="70">
        <v>0.0</v>
      </c>
      <c r="G535" s="70">
        <v>0.0</v>
      </c>
      <c r="H535" s="70" t="s">
        <v>17335</v>
      </c>
      <c r="I535" s="70">
        <v>1902.0</v>
      </c>
      <c r="J535" s="70" t="s">
        <v>29924</v>
      </c>
      <c r="K535" s="70" t="s">
        <v>17334</v>
      </c>
      <c r="L535" s="70" t="s">
        <v>16436</v>
      </c>
      <c r="N535" s="70" t="s">
        <v>16437</v>
      </c>
      <c r="P535" s="76">
        <v>43131.0</v>
      </c>
      <c r="U535" s="70" t="s">
        <v>239</v>
      </c>
      <c r="W535" s="70" t="s">
        <v>17337</v>
      </c>
      <c r="Y535" s="70" t="s">
        <v>29925</v>
      </c>
      <c r="Z535" s="75" t="s">
        <v>17339</v>
      </c>
      <c r="AA535" s="70" t="s">
        <v>17340</v>
      </c>
      <c r="AC535" s="70">
        <v>56.0</v>
      </c>
      <c r="AE535" s="70">
        <v>36.0</v>
      </c>
      <c r="AF535" s="70" t="s">
        <v>16444</v>
      </c>
      <c r="AW535" s="70" t="s">
        <v>17341</v>
      </c>
      <c r="AZ535" s="70">
        <v>634.0</v>
      </c>
    </row>
    <row r="536" ht="22.5" customHeight="1">
      <c r="A536" s="70" t="str">
        <f t="shared" si="1"/>
        <v>Excluded</v>
      </c>
      <c r="B536" s="70">
        <f t="shared" si="2"/>
        <v>0</v>
      </c>
      <c r="C536" s="70">
        <v>0.0</v>
      </c>
      <c r="D536" s="70">
        <v>0.0</v>
      </c>
      <c r="E536" s="70">
        <v>0.0</v>
      </c>
      <c r="F536" s="70">
        <v>0.0</v>
      </c>
      <c r="G536" s="70">
        <v>0.0</v>
      </c>
      <c r="H536" s="70" t="s">
        <v>17786</v>
      </c>
      <c r="I536" s="70">
        <v>1953.0</v>
      </c>
      <c r="J536" s="70" t="s">
        <v>17784</v>
      </c>
      <c r="K536" s="70" t="s">
        <v>17785</v>
      </c>
      <c r="L536" s="70" t="s">
        <v>16436</v>
      </c>
      <c r="N536" s="70" t="s">
        <v>16437</v>
      </c>
      <c r="P536" s="78">
        <v>43235.0</v>
      </c>
      <c r="U536" s="70" t="s">
        <v>239</v>
      </c>
      <c r="W536" s="70" t="s">
        <v>17788</v>
      </c>
      <c r="Y536" s="70" t="s">
        <v>17789</v>
      </c>
      <c r="Z536" s="75" t="s">
        <v>17790</v>
      </c>
      <c r="AA536" s="70" t="s">
        <v>17791</v>
      </c>
      <c r="AC536" s="70">
        <v>34.0</v>
      </c>
      <c r="AE536" s="70">
        <v>29.0</v>
      </c>
      <c r="AF536" s="70" t="s">
        <v>16444</v>
      </c>
      <c r="AW536" s="70" t="s">
        <v>17792</v>
      </c>
      <c r="AX536" s="70">
        <v>0.0</v>
      </c>
      <c r="AY536" s="70" t="s">
        <v>24</v>
      </c>
      <c r="AZ536" s="70">
        <v>1718.0</v>
      </c>
    </row>
    <row r="537" ht="22.5" customHeight="1">
      <c r="A537" s="70" t="str">
        <f t="shared" si="1"/>
        <v>Excluded</v>
      </c>
      <c r="B537" s="70">
        <f t="shared" si="2"/>
        <v>0</v>
      </c>
      <c r="C537" s="70">
        <v>0.0</v>
      </c>
      <c r="D537" s="70">
        <v>0.0</v>
      </c>
      <c r="E537" s="70">
        <v>0.0</v>
      </c>
      <c r="F537" s="70">
        <v>0.0</v>
      </c>
      <c r="G537" s="70">
        <v>0.0</v>
      </c>
      <c r="H537" s="70" t="s">
        <v>16438</v>
      </c>
      <c r="I537" s="70">
        <v>1803.0</v>
      </c>
      <c r="J537" s="70" t="s">
        <v>29926</v>
      </c>
      <c r="K537" s="70" t="s">
        <v>16435</v>
      </c>
      <c r="L537" s="70" t="s">
        <v>16436</v>
      </c>
      <c r="N537" s="70" t="s">
        <v>16437</v>
      </c>
      <c r="P537" s="78">
        <v>43251.0</v>
      </c>
      <c r="U537" s="70" t="s">
        <v>239</v>
      </c>
      <c r="W537" s="70" t="s">
        <v>16440</v>
      </c>
      <c r="Y537" s="70" t="s">
        <v>29927</v>
      </c>
      <c r="Z537" s="75" t="s">
        <v>16442</v>
      </c>
      <c r="AA537" s="70" t="s">
        <v>16443</v>
      </c>
      <c r="AC537" s="70">
        <v>751.0</v>
      </c>
      <c r="AE537" s="70">
        <v>209.0</v>
      </c>
      <c r="AF537" s="70" t="s">
        <v>16444</v>
      </c>
      <c r="AW537" s="70" t="s">
        <v>16445</v>
      </c>
      <c r="AZ537" s="70">
        <v>891.0</v>
      </c>
    </row>
    <row r="538" ht="22.5" customHeight="1">
      <c r="A538" s="70" t="str">
        <f t="shared" si="1"/>
        <v>Excluded</v>
      </c>
      <c r="B538" s="70">
        <f t="shared" si="2"/>
        <v>0</v>
      </c>
      <c r="C538" s="70">
        <v>0.0</v>
      </c>
      <c r="D538" s="70">
        <v>0.0</v>
      </c>
      <c r="E538" s="70">
        <v>0.0</v>
      </c>
      <c r="F538" s="70">
        <v>0.0</v>
      </c>
      <c r="G538" s="70">
        <v>0.0</v>
      </c>
      <c r="H538" s="70" t="s">
        <v>16889</v>
      </c>
      <c r="I538" s="70">
        <v>1853.0</v>
      </c>
      <c r="J538" s="70" t="s">
        <v>29928</v>
      </c>
      <c r="K538" s="70" t="s">
        <v>16888</v>
      </c>
      <c r="L538" s="70" t="s">
        <v>16436</v>
      </c>
      <c r="N538" s="70" t="s">
        <v>16437</v>
      </c>
      <c r="P538" s="76">
        <v>43273.0</v>
      </c>
      <c r="U538" s="70" t="s">
        <v>239</v>
      </c>
      <c r="W538" s="70" t="s">
        <v>16891</v>
      </c>
      <c r="Y538" s="70" t="s">
        <v>29929</v>
      </c>
      <c r="Z538" s="75" t="s">
        <v>16893</v>
      </c>
      <c r="AA538" s="70" t="s">
        <v>16894</v>
      </c>
      <c r="AC538" s="70">
        <v>107.0</v>
      </c>
      <c r="AE538" s="70">
        <v>27.0</v>
      </c>
      <c r="AF538" s="70" t="s">
        <v>16423</v>
      </c>
      <c r="AW538" s="70" t="s">
        <v>16895</v>
      </c>
      <c r="AX538" s="70">
        <v>0.0</v>
      </c>
      <c r="AY538" s="70" t="s">
        <v>24</v>
      </c>
      <c r="AZ538" s="70">
        <v>3032.0</v>
      </c>
    </row>
    <row r="539" ht="22.5" customHeight="1">
      <c r="A539" s="70" t="str">
        <f t="shared" si="1"/>
        <v>Excluded</v>
      </c>
      <c r="B539" s="70">
        <f t="shared" si="2"/>
        <v>0</v>
      </c>
      <c r="C539" s="70">
        <v>0.0</v>
      </c>
      <c r="D539" s="70">
        <v>0.0</v>
      </c>
      <c r="E539" s="70">
        <v>0.0</v>
      </c>
      <c r="F539" s="70">
        <v>0.0</v>
      </c>
      <c r="G539" s="70">
        <v>0.0</v>
      </c>
      <c r="H539" s="70" t="s">
        <v>19939</v>
      </c>
      <c r="I539" s="70">
        <v>2194.0</v>
      </c>
      <c r="J539" s="70" t="s">
        <v>29930</v>
      </c>
      <c r="K539" s="70" t="s">
        <v>19938</v>
      </c>
      <c r="L539" s="70" t="s">
        <v>16436</v>
      </c>
      <c r="N539" s="70" t="s">
        <v>16437</v>
      </c>
      <c r="P539" s="77">
        <v>43290.0</v>
      </c>
      <c r="U539" s="70" t="s">
        <v>239</v>
      </c>
      <c r="W539" s="70" t="s">
        <v>19941</v>
      </c>
      <c r="Y539" s="70" t="s">
        <v>29931</v>
      </c>
      <c r="Z539" s="75" t="s">
        <v>19943</v>
      </c>
      <c r="AA539" s="70" t="s">
        <v>19944</v>
      </c>
      <c r="AC539" s="70">
        <v>6.0</v>
      </c>
      <c r="AE539" s="70">
        <v>54.0</v>
      </c>
      <c r="AF539" s="70" t="s">
        <v>16444</v>
      </c>
      <c r="AW539" s="70" t="s">
        <v>19945</v>
      </c>
      <c r="AZ539" s="70">
        <v>224.0</v>
      </c>
    </row>
    <row r="540" ht="22.5" customHeight="1">
      <c r="A540" s="70" t="str">
        <f t="shared" si="1"/>
        <v>Excluded</v>
      </c>
      <c r="B540" s="70">
        <f t="shared" si="2"/>
        <v>0</v>
      </c>
      <c r="C540" s="70">
        <v>0.0</v>
      </c>
      <c r="D540" s="70">
        <v>0.0</v>
      </c>
      <c r="E540" s="70">
        <v>0.0</v>
      </c>
      <c r="F540" s="70">
        <v>0.0</v>
      </c>
      <c r="G540" s="70">
        <v>0.0</v>
      </c>
      <c r="H540" s="70" t="s">
        <v>16529</v>
      </c>
      <c r="I540" s="70">
        <v>1813.0</v>
      </c>
      <c r="J540" s="70" t="s">
        <v>16527</v>
      </c>
      <c r="K540" s="70" t="s">
        <v>16528</v>
      </c>
      <c r="L540" s="70" t="s">
        <v>16436</v>
      </c>
      <c r="N540" s="70" t="s">
        <v>16437</v>
      </c>
      <c r="P540" s="76">
        <v>43334.0</v>
      </c>
      <c r="U540" s="70" t="s">
        <v>239</v>
      </c>
      <c r="W540" s="70" t="s">
        <v>16531</v>
      </c>
      <c r="Y540" s="70" t="s">
        <v>29932</v>
      </c>
      <c r="Z540" s="75" t="s">
        <v>16533</v>
      </c>
      <c r="AA540" s="70" t="s">
        <v>16534</v>
      </c>
      <c r="AC540" s="70">
        <v>393.0</v>
      </c>
      <c r="AE540" s="70">
        <v>142.0</v>
      </c>
      <c r="AF540" s="70" t="s">
        <v>16444</v>
      </c>
      <c r="AW540" s="70" t="s">
        <v>16535</v>
      </c>
      <c r="AX540" s="70">
        <v>0.0</v>
      </c>
      <c r="AY540" s="70" t="s">
        <v>24</v>
      </c>
      <c r="AZ540" s="70">
        <v>2142.0</v>
      </c>
    </row>
    <row r="541" ht="22.5" customHeight="1">
      <c r="A541" s="70" t="str">
        <f t="shared" si="1"/>
        <v>Excluded</v>
      </c>
      <c r="B541" s="70">
        <f t="shared" si="2"/>
        <v>0</v>
      </c>
      <c r="C541" s="70">
        <v>0.0</v>
      </c>
      <c r="D541" s="70">
        <v>0.0</v>
      </c>
      <c r="E541" s="70">
        <v>0.0</v>
      </c>
      <c r="F541" s="70">
        <v>0.0</v>
      </c>
      <c r="G541" s="70">
        <v>0.0</v>
      </c>
      <c r="H541" s="70" t="s">
        <v>18770</v>
      </c>
      <c r="I541" s="70">
        <v>2063.0</v>
      </c>
      <c r="J541" s="70" t="s">
        <v>18768</v>
      </c>
      <c r="K541" s="70" t="s">
        <v>18769</v>
      </c>
      <c r="L541" s="70" t="s">
        <v>16436</v>
      </c>
      <c r="N541" s="70" t="s">
        <v>16437</v>
      </c>
      <c r="P541" s="77">
        <v>43378.0</v>
      </c>
      <c r="U541" s="70" t="s">
        <v>239</v>
      </c>
      <c r="W541" s="70" t="s">
        <v>18772</v>
      </c>
      <c r="Y541" s="70" t="s">
        <v>29933</v>
      </c>
      <c r="Z541" s="75" t="s">
        <v>18774</v>
      </c>
      <c r="AA541" s="70" t="s">
        <v>18775</v>
      </c>
      <c r="AC541" s="70">
        <v>16.0</v>
      </c>
      <c r="AE541" s="70">
        <v>44.0</v>
      </c>
      <c r="AF541" s="70" t="s">
        <v>16444</v>
      </c>
      <c r="AW541" s="70" t="s">
        <v>18776</v>
      </c>
      <c r="AX541" s="70">
        <v>0.0</v>
      </c>
      <c r="AY541" s="70" t="s">
        <v>24</v>
      </c>
      <c r="AZ541" s="70">
        <v>1850.0</v>
      </c>
    </row>
    <row r="542" ht="22.5" customHeight="1">
      <c r="A542" s="70" t="str">
        <f t="shared" si="1"/>
        <v>Excluded</v>
      </c>
      <c r="B542" s="70">
        <f t="shared" si="2"/>
        <v>0</v>
      </c>
      <c r="C542" s="70">
        <v>0.0</v>
      </c>
      <c r="D542" s="70">
        <v>0.0</v>
      </c>
      <c r="E542" s="70">
        <v>0.0</v>
      </c>
      <c r="F542" s="70">
        <v>0.0</v>
      </c>
      <c r="G542" s="70">
        <v>0.0</v>
      </c>
      <c r="H542" s="70" t="s">
        <v>17682</v>
      </c>
      <c r="I542" s="70">
        <v>1941.0</v>
      </c>
      <c r="J542" s="70" t="s">
        <v>17680</v>
      </c>
      <c r="K542" s="70" t="s">
        <v>17681</v>
      </c>
      <c r="L542" s="70" t="s">
        <v>16436</v>
      </c>
      <c r="N542" s="70" t="s">
        <v>16437</v>
      </c>
      <c r="P542" s="76">
        <v>43396.0</v>
      </c>
      <c r="U542" s="70" t="s">
        <v>239</v>
      </c>
      <c r="W542" s="70" t="s">
        <v>17684</v>
      </c>
      <c r="Y542" s="70" t="s">
        <v>29934</v>
      </c>
      <c r="Z542" s="75" t="s">
        <v>17686</v>
      </c>
      <c r="AA542" s="70" t="s">
        <v>17687</v>
      </c>
      <c r="AC542" s="70">
        <v>36.0</v>
      </c>
      <c r="AE542" s="70">
        <v>66.0</v>
      </c>
      <c r="AF542" s="70" t="s">
        <v>16423</v>
      </c>
      <c r="AW542" s="70" t="s">
        <v>17688</v>
      </c>
      <c r="AX542" s="70">
        <v>0.0</v>
      </c>
      <c r="AY542" s="70" t="s">
        <v>24</v>
      </c>
      <c r="AZ542" s="70">
        <v>2738.0</v>
      </c>
    </row>
    <row r="543" ht="22.5" customHeight="1">
      <c r="A543" s="70" t="str">
        <f t="shared" si="1"/>
        <v>Excluded</v>
      </c>
      <c r="B543" s="70">
        <f t="shared" si="2"/>
        <v>0</v>
      </c>
      <c r="C543" s="70">
        <v>0.0</v>
      </c>
      <c r="D543" s="70">
        <v>0.0</v>
      </c>
      <c r="E543" s="70">
        <v>0.0</v>
      </c>
      <c r="F543" s="70">
        <v>0.0</v>
      </c>
      <c r="G543" s="70">
        <v>0.0</v>
      </c>
      <c r="H543" s="70" t="s">
        <v>28702</v>
      </c>
      <c r="I543" s="70">
        <v>3087.0</v>
      </c>
      <c r="J543" s="70" t="s">
        <v>28700</v>
      </c>
      <c r="K543" s="70" t="s">
        <v>28701</v>
      </c>
      <c r="W543" s="70" t="s">
        <v>29935</v>
      </c>
      <c r="AA543" s="70" t="s">
        <v>28704</v>
      </c>
      <c r="AI543" s="70" t="s">
        <v>28705</v>
      </c>
      <c r="AJ543" s="70" t="s">
        <v>28706</v>
      </c>
      <c r="AK543" s="70">
        <v>2018.0</v>
      </c>
      <c r="AL543" s="70" t="s">
        <v>16436</v>
      </c>
      <c r="AM543" s="70">
        <v>8543679.0</v>
      </c>
      <c r="AN543" s="70">
        <v>74120.0</v>
      </c>
      <c r="AO543" s="70">
        <v>74150.0</v>
      </c>
      <c r="AP543" s="70">
        <v>30.0</v>
      </c>
      <c r="AQ543" s="70">
        <v>40.0</v>
      </c>
      <c r="AR543" s="75" t="s">
        <v>28707</v>
      </c>
      <c r="AS543" s="70" t="s">
        <v>22525</v>
      </c>
      <c r="AT543" s="70" t="s">
        <v>22622</v>
      </c>
      <c r="AU543" s="70" t="s">
        <v>237</v>
      </c>
      <c r="AV543" s="70" t="s">
        <v>28708</v>
      </c>
      <c r="AW543" s="70" t="s">
        <v>28709</v>
      </c>
      <c r="AX543" s="70">
        <v>0.0</v>
      </c>
      <c r="AY543" s="70" t="s">
        <v>24</v>
      </c>
      <c r="AZ543" s="70">
        <v>2159.0</v>
      </c>
    </row>
    <row r="544" ht="22.5" customHeight="1">
      <c r="A544" s="70" t="str">
        <f t="shared" si="1"/>
        <v>Excluded</v>
      </c>
      <c r="B544" s="70">
        <f t="shared" si="2"/>
        <v>0</v>
      </c>
      <c r="C544" s="70">
        <v>0.0</v>
      </c>
      <c r="D544" s="70">
        <v>0.0</v>
      </c>
      <c r="E544" s="70">
        <v>0.0</v>
      </c>
      <c r="F544" s="70">
        <v>0.0</v>
      </c>
      <c r="G544" s="70">
        <v>0.0</v>
      </c>
      <c r="H544" s="70" t="s">
        <v>16979</v>
      </c>
      <c r="I544" s="70">
        <v>1863.0</v>
      </c>
      <c r="J544" s="70" t="s">
        <v>16977</v>
      </c>
      <c r="K544" s="70" t="s">
        <v>16978</v>
      </c>
      <c r="L544" s="70" t="s">
        <v>16436</v>
      </c>
      <c r="N544" s="70" t="s">
        <v>16437</v>
      </c>
      <c r="P544" s="76">
        <v>43475.0</v>
      </c>
      <c r="U544" s="70" t="s">
        <v>239</v>
      </c>
      <c r="W544" s="70" t="s">
        <v>29936</v>
      </c>
      <c r="Y544" s="70" t="s">
        <v>29937</v>
      </c>
      <c r="Z544" s="75" t="s">
        <v>16983</v>
      </c>
      <c r="AA544" s="70" t="s">
        <v>16984</v>
      </c>
      <c r="AC544" s="70">
        <v>89.0</v>
      </c>
      <c r="AE544" s="70">
        <v>203.0</v>
      </c>
      <c r="AF544" s="70" t="s">
        <v>16423</v>
      </c>
      <c r="AW544" s="70" t="s">
        <v>16985</v>
      </c>
      <c r="AZ544" s="70">
        <v>495.0</v>
      </c>
    </row>
    <row r="545" ht="22.5" customHeight="1">
      <c r="A545" s="70" t="str">
        <f t="shared" si="1"/>
        <v>Excluded</v>
      </c>
      <c r="B545" s="70">
        <f t="shared" si="2"/>
        <v>0</v>
      </c>
      <c r="C545" s="70">
        <v>0.0</v>
      </c>
      <c r="D545" s="70">
        <v>0.0</v>
      </c>
      <c r="E545" s="70">
        <v>0.0</v>
      </c>
      <c r="F545" s="70">
        <v>0.0</v>
      </c>
      <c r="G545" s="70">
        <v>0.0</v>
      </c>
      <c r="H545" s="70" t="s">
        <v>17361</v>
      </c>
      <c r="I545" s="70">
        <v>1905.0</v>
      </c>
      <c r="J545" s="70" t="s">
        <v>29938</v>
      </c>
      <c r="K545" s="70" t="s">
        <v>17360</v>
      </c>
      <c r="L545" s="70" t="s">
        <v>16436</v>
      </c>
      <c r="N545" s="70" t="s">
        <v>16437</v>
      </c>
      <c r="P545" s="76">
        <v>43517.0</v>
      </c>
      <c r="U545" s="70" t="s">
        <v>239</v>
      </c>
      <c r="W545" s="70" t="s">
        <v>17363</v>
      </c>
      <c r="Y545" s="70" t="s">
        <v>17364</v>
      </c>
      <c r="Z545" s="75" t="s">
        <v>17365</v>
      </c>
      <c r="AA545" s="70" t="s">
        <v>17366</v>
      </c>
      <c r="AC545" s="70">
        <v>54.0</v>
      </c>
      <c r="AE545" s="70">
        <v>73.0</v>
      </c>
      <c r="AF545" s="70" t="s">
        <v>16423</v>
      </c>
      <c r="AW545" s="70" t="s">
        <v>17367</v>
      </c>
      <c r="AZ545" s="70">
        <v>1075.0</v>
      </c>
    </row>
    <row r="546" ht="22.5" customHeight="1">
      <c r="A546" s="70" t="str">
        <f t="shared" si="1"/>
        <v>Excluded</v>
      </c>
      <c r="B546" s="70">
        <f t="shared" si="2"/>
        <v>0</v>
      </c>
      <c r="C546" s="70">
        <v>0.0</v>
      </c>
      <c r="D546" s="70">
        <v>0.0</v>
      </c>
      <c r="E546" s="70">
        <v>0.0</v>
      </c>
      <c r="F546" s="70">
        <v>0.0</v>
      </c>
      <c r="G546" s="70">
        <v>0.0</v>
      </c>
      <c r="H546" s="70" t="s">
        <v>28611</v>
      </c>
      <c r="I546" s="70">
        <v>3078.0</v>
      </c>
      <c r="J546" s="70" t="s">
        <v>28609</v>
      </c>
      <c r="K546" s="70" t="s">
        <v>28610</v>
      </c>
      <c r="W546" s="70" t="s">
        <v>29939</v>
      </c>
      <c r="AA546" s="70" t="s">
        <v>28613</v>
      </c>
      <c r="AI546" s="70" t="s">
        <v>28614</v>
      </c>
      <c r="AJ546" s="70">
        <v>5.63793953E10</v>
      </c>
      <c r="AK546" s="70">
        <v>2019.0</v>
      </c>
      <c r="AL546" s="70" t="s">
        <v>16436</v>
      </c>
      <c r="AM546" s="70">
        <v>8653833.0</v>
      </c>
      <c r="AN546" s="70">
        <v>28258.0</v>
      </c>
      <c r="AO546" s="70">
        <v>28280.0</v>
      </c>
      <c r="AP546" s="70">
        <v>22.0</v>
      </c>
      <c r="AQ546" s="70">
        <v>26.0</v>
      </c>
      <c r="AR546" s="75" t="s">
        <v>28615</v>
      </c>
      <c r="AS546" s="70" t="s">
        <v>22525</v>
      </c>
      <c r="AT546" s="70" t="s">
        <v>22643</v>
      </c>
      <c r="AU546" s="70" t="s">
        <v>237</v>
      </c>
      <c r="AV546" s="70" t="s">
        <v>28616</v>
      </c>
      <c r="AW546" s="70" t="s">
        <v>28617</v>
      </c>
      <c r="AZ546" s="70">
        <v>1093.0</v>
      </c>
    </row>
    <row r="547" ht="22.5" customHeight="1">
      <c r="A547" s="70" t="str">
        <f t="shared" si="1"/>
        <v>Excluded</v>
      </c>
      <c r="B547" s="70">
        <f t="shared" si="2"/>
        <v>0</v>
      </c>
      <c r="C547" s="70">
        <v>0.0</v>
      </c>
      <c r="D547" s="70">
        <v>0.0</v>
      </c>
      <c r="E547" s="70">
        <v>0.0</v>
      </c>
      <c r="F547" s="70">
        <v>0.0</v>
      </c>
      <c r="G547" s="70">
        <v>0.0</v>
      </c>
      <c r="H547" s="70" t="s">
        <v>28661</v>
      </c>
      <c r="I547" s="70">
        <v>3083.0</v>
      </c>
      <c r="J547" s="70" t="s">
        <v>28659</v>
      </c>
      <c r="K547" s="70" t="s">
        <v>28660</v>
      </c>
      <c r="W547" s="70" t="s">
        <v>29940</v>
      </c>
      <c r="AA547" s="70" t="s">
        <v>28663</v>
      </c>
      <c r="AI547" s="70" t="s">
        <v>28664</v>
      </c>
      <c r="AJ547" s="70" t="s">
        <v>28665</v>
      </c>
      <c r="AK547" s="70">
        <v>2019.0</v>
      </c>
      <c r="AL547" s="70" t="s">
        <v>16436</v>
      </c>
      <c r="AM547" s="70">
        <v>8673752.0</v>
      </c>
      <c r="AN547" s="70">
        <v>39731.0</v>
      </c>
      <c r="AO547" s="70">
        <v>39741.0</v>
      </c>
      <c r="AP547" s="70">
        <v>10.0</v>
      </c>
      <c r="AQ547" s="70">
        <v>13.0</v>
      </c>
      <c r="AR547" s="75" t="s">
        <v>28666</v>
      </c>
      <c r="AS547" s="70" t="s">
        <v>22525</v>
      </c>
      <c r="AT547" s="70" t="s">
        <v>22622</v>
      </c>
      <c r="AU547" s="70" t="s">
        <v>237</v>
      </c>
      <c r="AV547" s="70" t="s">
        <v>28667</v>
      </c>
      <c r="AW547" s="70" t="s">
        <v>28668</v>
      </c>
      <c r="AX547" s="70">
        <v>0.0</v>
      </c>
      <c r="AY547" s="70" t="s">
        <v>24</v>
      </c>
      <c r="AZ547" s="70">
        <v>2351.0</v>
      </c>
    </row>
    <row r="548" ht="22.5" customHeight="1">
      <c r="A548" s="70" t="str">
        <f t="shared" si="1"/>
        <v>Excluded</v>
      </c>
      <c r="B548" s="70">
        <f t="shared" si="2"/>
        <v>0</v>
      </c>
      <c r="C548" s="70">
        <v>0.0</v>
      </c>
      <c r="D548" s="70">
        <v>0.0</v>
      </c>
      <c r="E548" s="70">
        <v>0.0</v>
      </c>
      <c r="F548" s="70">
        <v>0.0</v>
      </c>
      <c r="G548" s="70">
        <v>0.0</v>
      </c>
      <c r="H548" s="70" t="s">
        <v>29070</v>
      </c>
      <c r="I548" s="70">
        <v>3123.0</v>
      </c>
      <c r="J548" s="70" t="s">
        <v>29068</v>
      </c>
      <c r="K548" s="70" t="s">
        <v>29069</v>
      </c>
      <c r="W548" s="70" t="s">
        <v>29941</v>
      </c>
      <c r="AA548" s="70" t="s">
        <v>29072</v>
      </c>
      <c r="AI548" s="70" t="s">
        <v>29073</v>
      </c>
      <c r="AJ548" s="70" t="s">
        <v>29074</v>
      </c>
      <c r="AK548" s="70">
        <v>2019.0</v>
      </c>
      <c r="AL548" s="70" t="s">
        <v>16436</v>
      </c>
      <c r="AM548" s="70">
        <v>8693491.0</v>
      </c>
      <c r="AN548" s="70">
        <v>52976.0</v>
      </c>
      <c r="AO548" s="70">
        <v>52996.0</v>
      </c>
      <c r="AP548" s="70">
        <v>20.0</v>
      </c>
      <c r="AQ548" s="70">
        <v>195.0</v>
      </c>
      <c r="AR548" s="75" t="s">
        <v>29075</v>
      </c>
      <c r="AS548" s="70" t="s">
        <v>22525</v>
      </c>
      <c r="AT548" s="70" t="s">
        <v>22622</v>
      </c>
      <c r="AU548" s="70" t="s">
        <v>237</v>
      </c>
      <c r="AV548" s="70" t="s">
        <v>29076</v>
      </c>
      <c r="AW548" s="70" t="s">
        <v>29077</v>
      </c>
      <c r="AZ548" s="70">
        <v>144.0</v>
      </c>
    </row>
    <row r="549" ht="22.5" customHeight="1">
      <c r="A549" s="70" t="str">
        <f t="shared" si="1"/>
        <v>Excluded</v>
      </c>
      <c r="B549" s="70">
        <f t="shared" si="2"/>
        <v>0</v>
      </c>
      <c r="C549" s="70">
        <v>0.0</v>
      </c>
      <c r="D549" s="70">
        <v>0.0</v>
      </c>
      <c r="E549" s="70">
        <v>0.0</v>
      </c>
      <c r="F549" s="70">
        <v>0.0</v>
      </c>
      <c r="G549" s="70">
        <v>0.0</v>
      </c>
      <c r="H549" s="70" t="s">
        <v>18180</v>
      </c>
      <c r="I549" s="70">
        <v>1997.0</v>
      </c>
      <c r="J549" s="70" t="s">
        <v>18178</v>
      </c>
      <c r="K549" s="70" t="s">
        <v>18179</v>
      </c>
      <c r="L549" s="70" t="s">
        <v>16436</v>
      </c>
      <c r="N549" s="70" t="s">
        <v>16437</v>
      </c>
      <c r="P549" s="76">
        <v>43580.0</v>
      </c>
      <c r="U549" s="70" t="s">
        <v>239</v>
      </c>
      <c r="W549" s="70" t="s">
        <v>18182</v>
      </c>
      <c r="Y549" s="70" t="s">
        <v>29942</v>
      </c>
      <c r="Z549" s="75" t="s">
        <v>18184</v>
      </c>
      <c r="AA549" s="70" t="s">
        <v>18185</v>
      </c>
      <c r="AC549" s="70">
        <v>26.0</v>
      </c>
      <c r="AE549" s="70">
        <v>38.0</v>
      </c>
      <c r="AF549" s="70" t="s">
        <v>16444</v>
      </c>
      <c r="AW549" s="70" t="s">
        <v>18186</v>
      </c>
      <c r="AX549" s="70">
        <v>0.0</v>
      </c>
      <c r="AY549" s="70" t="s">
        <v>24</v>
      </c>
      <c r="AZ549" s="70">
        <v>3023.0</v>
      </c>
    </row>
    <row r="550" ht="22.5" customHeight="1">
      <c r="A550" s="70" t="str">
        <f t="shared" si="1"/>
        <v>Excluded</v>
      </c>
      <c r="B550" s="70">
        <f t="shared" si="2"/>
        <v>0</v>
      </c>
      <c r="C550" s="70">
        <v>0.0</v>
      </c>
      <c r="D550" s="70">
        <v>0.0</v>
      </c>
      <c r="E550" s="70">
        <v>0.0</v>
      </c>
      <c r="F550" s="70">
        <v>0.0</v>
      </c>
      <c r="G550" s="70">
        <v>0.0</v>
      </c>
      <c r="H550" s="70" t="s">
        <v>17636</v>
      </c>
      <c r="I550" s="70">
        <v>1936.0</v>
      </c>
      <c r="J550" s="70" t="s">
        <v>17634</v>
      </c>
      <c r="K550" s="70" t="s">
        <v>17635</v>
      </c>
      <c r="L550" s="70" t="s">
        <v>16436</v>
      </c>
      <c r="N550" s="70" t="s">
        <v>16437</v>
      </c>
      <c r="P550" s="79">
        <v>43592.0</v>
      </c>
      <c r="U550" s="70" t="s">
        <v>239</v>
      </c>
      <c r="W550" s="70" t="s">
        <v>29943</v>
      </c>
      <c r="Y550" s="70" t="s">
        <v>29944</v>
      </c>
      <c r="Z550" s="75" t="s">
        <v>17640</v>
      </c>
      <c r="AA550" s="70" t="s">
        <v>17641</v>
      </c>
      <c r="AC550" s="70">
        <v>38.0</v>
      </c>
      <c r="AE550" s="70">
        <v>202.0</v>
      </c>
      <c r="AF550" s="70" t="s">
        <v>16444</v>
      </c>
      <c r="AW550" s="70" t="s">
        <v>17642</v>
      </c>
      <c r="AZ550" s="70">
        <v>741.0</v>
      </c>
    </row>
    <row r="551" ht="22.5" customHeight="1">
      <c r="A551" s="70" t="str">
        <f t="shared" si="1"/>
        <v>Excluded</v>
      </c>
      <c r="B551" s="70">
        <f t="shared" si="2"/>
        <v>0</v>
      </c>
      <c r="C551" s="70">
        <v>0.0</v>
      </c>
      <c r="D551" s="70">
        <v>0.0</v>
      </c>
      <c r="E551" s="70">
        <v>0.0</v>
      </c>
      <c r="F551" s="70">
        <v>0.0</v>
      </c>
      <c r="G551" s="70">
        <v>0.0</v>
      </c>
      <c r="H551" s="70" t="s">
        <v>28958</v>
      </c>
      <c r="I551" s="70">
        <v>3112.0</v>
      </c>
      <c r="J551" s="70" t="s">
        <v>28956</v>
      </c>
      <c r="K551" s="70" t="s">
        <v>28957</v>
      </c>
      <c r="W551" s="70" t="s">
        <v>29945</v>
      </c>
      <c r="AA551" s="70" t="s">
        <v>28960</v>
      </c>
      <c r="AI551" s="70" t="s">
        <v>28961</v>
      </c>
      <c r="AJ551" s="70" t="s">
        <v>28962</v>
      </c>
      <c r="AK551" s="70">
        <v>2019.0</v>
      </c>
      <c r="AL551" s="70" t="s">
        <v>16436</v>
      </c>
      <c r="AM551" s="70">
        <v>8754674.0</v>
      </c>
      <c r="AN551" s="70">
        <v>100363.0</v>
      </c>
      <c r="AO551" s="70">
        <v>100382.0</v>
      </c>
      <c r="AP551" s="70">
        <v>19.0</v>
      </c>
      <c r="AQ551" s="70">
        <v>10.0</v>
      </c>
      <c r="AR551" s="75" t="s">
        <v>28963</v>
      </c>
      <c r="AS551" s="70" t="s">
        <v>22525</v>
      </c>
      <c r="AT551" s="70" t="s">
        <v>22643</v>
      </c>
      <c r="AU551" s="70" t="s">
        <v>237</v>
      </c>
      <c r="AV551" s="70" t="s">
        <v>28964</v>
      </c>
      <c r="AW551" s="70" t="s">
        <v>28965</v>
      </c>
      <c r="AZ551" s="70">
        <v>1296.0</v>
      </c>
    </row>
    <row r="552" ht="22.5" customHeight="1">
      <c r="A552" s="70" t="str">
        <f t="shared" si="1"/>
        <v>Excluded</v>
      </c>
      <c r="B552" s="70">
        <f t="shared" si="2"/>
        <v>0</v>
      </c>
      <c r="C552" s="70">
        <v>0.0</v>
      </c>
      <c r="D552" s="70">
        <v>0.0</v>
      </c>
      <c r="E552" s="70">
        <v>0.0</v>
      </c>
      <c r="F552" s="70">
        <v>0.0</v>
      </c>
      <c r="G552" s="70">
        <v>0.0</v>
      </c>
      <c r="H552" s="70" t="s">
        <v>17896</v>
      </c>
      <c r="I552" s="70">
        <v>1965.0</v>
      </c>
      <c r="J552" s="70" t="s">
        <v>17894</v>
      </c>
      <c r="K552" s="70" t="s">
        <v>17895</v>
      </c>
      <c r="L552" s="70" t="s">
        <v>16436</v>
      </c>
      <c r="N552" s="70" t="s">
        <v>16437</v>
      </c>
      <c r="P552" s="76">
        <v>43661.0</v>
      </c>
      <c r="U552" s="70" t="s">
        <v>239</v>
      </c>
      <c r="W552" s="70" t="s">
        <v>17898</v>
      </c>
      <c r="Z552" s="75" t="s">
        <v>17899</v>
      </c>
      <c r="AA552" s="70" t="s">
        <v>17900</v>
      </c>
      <c r="AC552" s="70">
        <v>31.0</v>
      </c>
      <c r="AE552" s="70">
        <v>74.0</v>
      </c>
      <c r="AF552" s="70" t="s">
        <v>16423</v>
      </c>
      <c r="AW552" s="70" t="s">
        <v>17901</v>
      </c>
      <c r="AX552" s="70">
        <v>0.0</v>
      </c>
      <c r="AY552" s="70" t="s">
        <v>24</v>
      </c>
      <c r="AZ552" s="70">
        <v>1748.0</v>
      </c>
    </row>
    <row r="553" ht="22.5" customHeight="1">
      <c r="A553" s="70" t="str">
        <f t="shared" si="1"/>
        <v>Excluded</v>
      </c>
      <c r="B553" s="70">
        <f t="shared" si="2"/>
        <v>0</v>
      </c>
      <c r="C553" s="70">
        <v>0.0</v>
      </c>
      <c r="D553" s="70">
        <v>0.0</v>
      </c>
      <c r="E553" s="70">
        <v>0.0</v>
      </c>
      <c r="F553" s="70">
        <v>0.0</v>
      </c>
      <c r="G553" s="70">
        <v>0.0</v>
      </c>
      <c r="H553" s="70" t="s">
        <v>17257</v>
      </c>
      <c r="I553" s="70">
        <v>1893.0</v>
      </c>
      <c r="J553" s="70" t="s">
        <v>17255</v>
      </c>
      <c r="K553" s="70" t="s">
        <v>17256</v>
      </c>
      <c r="L553" s="70" t="s">
        <v>16436</v>
      </c>
      <c r="N553" s="70" t="s">
        <v>16437</v>
      </c>
      <c r="P553" s="77">
        <v>43655.0</v>
      </c>
      <c r="U553" s="70" t="s">
        <v>239</v>
      </c>
      <c r="W553" s="70" t="s">
        <v>29946</v>
      </c>
      <c r="Y553" s="70" t="s">
        <v>29947</v>
      </c>
      <c r="Z553" s="75" t="s">
        <v>17261</v>
      </c>
      <c r="AA553" s="70" t="s">
        <v>17262</v>
      </c>
      <c r="AC553" s="70">
        <v>63.0</v>
      </c>
      <c r="AE553" s="70">
        <v>99.0</v>
      </c>
      <c r="AF553" s="70" t="s">
        <v>16423</v>
      </c>
      <c r="AW553" s="70" t="s">
        <v>17263</v>
      </c>
      <c r="AX553" s="70">
        <v>0.0</v>
      </c>
      <c r="AY553" s="70" t="s">
        <v>24</v>
      </c>
      <c r="AZ553" s="70">
        <v>2018.0</v>
      </c>
    </row>
    <row r="554" ht="22.5" customHeight="1">
      <c r="A554" s="70" t="str">
        <f t="shared" si="1"/>
        <v>Excluded</v>
      </c>
      <c r="B554" s="70">
        <f t="shared" si="2"/>
        <v>0</v>
      </c>
      <c r="C554" s="70">
        <v>0.0</v>
      </c>
      <c r="D554" s="70">
        <v>0.0</v>
      </c>
      <c r="E554" s="70">
        <v>0.0</v>
      </c>
      <c r="F554" s="70">
        <v>0.0</v>
      </c>
      <c r="G554" s="70">
        <v>0.0</v>
      </c>
      <c r="H554" s="70" t="s">
        <v>16942</v>
      </c>
      <c r="I554" s="70">
        <v>1859.0</v>
      </c>
      <c r="J554" s="70" t="s">
        <v>16940</v>
      </c>
      <c r="K554" s="70" t="s">
        <v>16941</v>
      </c>
      <c r="L554" s="70" t="s">
        <v>16436</v>
      </c>
      <c r="N554" s="70" t="s">
        <v>16437</v>
      </c>
      <c r="P554" s="76">
        <v>43668.0</v>
      </c>
      <c r="U554" s="70" t="s">
        <v>239</v>
      </c>
      <c r="W554" s="70" t="s">
        <v>16944</v>
      </c>
      <c r="Y554" s="70" t="s">
        <v>29948</v>
      </c>
      <c r="Z554" s="75" t="s">
        <v>16946</v>
      </c>
      <c r="AA554" s="70" t="s">
        <v>16947</v>
      </c>
      <c r="AC554" s="70">
        <v>93.0</v>
      </c>
      <c r="AE554" s="70">
        <v>24.0</v>
      </c>
      <c r="AF554" s="70" t="s">
        <v>16423</v>
      </c>
      <c r="AW554" s="70" t="s">
        <v>16948</v>
      </c>
      <c r="AX554" s="70">
        <v>0.0</v>
      </c>
      <c r="AY554" s="70" t="s">
        <v>24</v>
      </c>
      <c r="AZ554" s="70">
        <v>2682.0</v>
      </c>
    </row>
    <row r="555" ht="22.5" customHeight="1">
      <c r="A555" s="70" t="str">
        <f t="shared" si="1"/>
        <v>Excluded</v>
      </c>
      <c r="B555" s="70">
        <f t="shared" si="2"/>
        <v>0</v>
      </c>
      <c r="C555" s="70">
        <v>0.0</v>
      </c>
      <c r="D555" s="70">
        <v>0.0</v>
      </c>
      <c r="E555" s="70">
        <v>0.0</v>
      </c>
      <c r="F555" s="70">
        <v>0.0</v>
      </c>
      <c r="G555" s="70">
        <v>0.0</v>
      </c>
      <c r="H555" s="70" t="s">
        <v>19193</v>
      </c>
      <c r="I555" s="70">
        <v>2110.0</v>
      </c>
      <c r="J555" s="70" t="s">
        <v>19191</v>
      </c>
      <c r="K555" s="70" t="s">
        <v>19192</v>
      </c>
      <c r="L555" s="70" t="s">
        <v>16436</v>
      </c>
      <c r="N555" s="70" t="s">
        <v>16437</v>
      </c>
      <c r="P555" s="76">
        <v>43670.0</v>
      </c>
      <c r="U555" s="70" t="s">
        <v>239</v>
      </c>
      <c r="W555" s="70" t="s">
        <v>19195</v>
      </c>
      <c r="Z555" s="75" t="s">
        <v>19196</v>
      </c>
      <c r="AA555" s="70" t="s">
        <v>19197</v>
      </c>
      <c r="AC555" s="70">
        <v>12.0</v>
      </c>
      <c r="AE555" s="70">
        <v>131.0</v>
      </c>
      <c r="AF555" s="70" t="s">
        <v>16423</v>
      </c>
      <c r="AW555" s="70" t="s">
        <v>19198</v>
      </c>
      <c r="AX555" s="70">
        <v>0.0</v>
      </c>
      <c r="AY555" s="70" t="s">
        <v>24</v>
      </c>
      <c r="AZ555" s="70">
        <v>3089.0</v>
      </c>
    </row>
    <row r="556" ht="22.5" customHeight="1">
      <c r="A556" s="70" t="str">
        <f t="shared" si="1"/>
        <v>Excluded</v>
      </c>
      <c r="B556" s="70">
        <f t="shared" si="2"/>
        <v>0</v>
      </c>
      <c r="C556" s="70">
        <v>0.0</v>
      </c>
      <c r="D556" s="70">
        <v>0.0</v>
      </c>
      <c r="E556" s="70">
        <v>0.0</v>
      </c>
      <c r="F556" s="70">
        <v>0.0</v>
      </c>
      <c r="G556" s="70">
        <v>0.0</v>
      </c>
      <c r="H556" s="70" t="s">
        <v>16996</v>
      </c>
      <c r="I556" s="70">
        <v>1865.0</v>
      </c>
      <c r="J556" s="70" t="s">
        <v>29949</v>
      </c>
      <c r="K556" s="70" t="s">
        <v>16995</v>
      </c>
      <c r="L556" s="70" t="s">
        <v>16436</v>
      </c>
      <c r="N556" s="70" t="s">
        <v>16437</v>
      </c>
      <c r="P556" s="77">
        <v>43682.0</v>
      </c>
      <c r="U556" s="70" t="s">
        <v>239</v>
      </c>
      <c r="W556" s="70" t="s">
        <v>16998</v>
      </c>
      <c r="Y556" s="70" t="s">
        <v>16999</v>
      </c>
      <c r="Z556" s="75" t="s">
        <v>17000</v>
      </c>
      <c r="AA556" s="70" t="s">
        <v>17001</v>
      </c>
      <c r="AC556" s="70">
        <v>84.0</v>
      </c>
      <c r="AE556" s="70">
        <v>73.0</v>
      </c>
      <c r="AF556" s="70" t="s">
        <v>16423</v>
      </c>
      <c r="AW556" s="70" t="s">
        <v>17002</v>
      </c>
      <c r="AX556" s="70">
        <v>0.0</v>
      </c>
      <c r="AY556" s="70" t="s">
        <v>24</v>
      </c>
      <c r="AZ556" s="70">
        <v>2934.0</v>
      </c>
    </row>
    <row r="557" ht="22.5" customHeight="1">
      <c r="A557" s="70" t="str">
        <f t="shared" si="1"/>
        <v>Excluded</v>
      </c>
      <c r="B557" s="70">
        <f t="shared" si="2"/>
        <v>0</v>
      </c>
      <c r="C557" s="70">
        <v>0.0</v>
      </c>
      <c r="D557" s="70">
        <v>0.0</v>
      </c>
      <c r="E557" s="70">
        <v>0.0</v>
      </c>
      <c r="F557" s="70">
        <v>0.0</v>
      </c>
      <c r="G557" s="70">
        <v>0.0</v>
      </c>
      <c r="H557" s="70" t="s">
        <v>17768</v>
      </c>
      <c r="I557" s="70">
        <v>1951.0</v>
      </c>
      <c r="J557" s="70" t="s">
        <v>29950</v>
      </c>
      <c r="K557" s="70" t="s">
        <v>17767</v>
      </c>
      <c r="L557" s="70" t="s">
        <v>16436</v>
      </c>
      <c r="N557" s="70" t="s">
        <v>16437</v>
      </c>
      <c r="P557" s="76">
        <v>43698.0</v>
      </c>
      <c r="U557" s="70" t="s">
        <v>239</v>
      </c>
      <c r="W557" s="70" t="s">
        <v>17770</v>
      </c>
      <c r="Y557" s="70" t="s">
        <v>29951</v>
      </c>
      <c r="Z557" s="75" t="s">
        <v>17772</v>
      </c>
      <c r="AA557" s="70" t="s">
        <v>17773</v>
      </c>
      <c r="AC557" s="70">
        <v>34.0</v>
      </c>
      <c r="AE557" s="70">
        <v>49.0</v>
      </c>
      <c r="AF557" s="70" t="s">
        <v>16423</v>
      </c>
      <c r="AW557" s="70" t="s">
        <v>17774</v>
      </c>
      <c r="AX557" s="70">
        <v>0.0</v>
      </c>
      <c r="AY557" s="70" t="s">
        <v>24</v>
      </c>
      <c r="AZ557" s="70">
        <v>2485.0</v>
      </c>
    </row>
    <row r="558" ht="22.5" customHeight="1">
      <c r="A558" s="70" t="str">
        <f t="shared" si="1"/>
        <v>Excluded</v>
      </c>
      <c r="B558" s="70">
        <f t="shared" si="2"/>
        <v>0</v>
      </c>
      <c r="C558" s="70">
        <v>0.0</v>
      </c>
      <c r="D558" s="70">
        <v>0.0</v>
      </c>
      <c r="E558" s="70">
        <v>0.0</v>
      </c>
      <c r="F558" s="70">
        <v>0.0</v>
      </c>
      <c r="G558" s="70">
        <v>0.0</v>
      </c>
      <c r="H558" s="70" t="s">
        <v>21077</v>
      </c>
      <c r="I558" s="70">
        <v>2321.0</v>
      </c>
      <c r="J558" s="70" t="s">
        <v>21075</v>
      </c>
      <c r="K558" s="70" t="s">
        <v>21076</v>
      </c>
      <c r="L558" s="70" t="s">
        <v>16436</v>
      </c>
      <c r="N558" s="70" t="s">
        <v>16437</v>
      </c>
      <c r="P558" s="77">
        <v>43717.0</v>
      </c>
      <c r="U558" s="70" t="s">
        <v>239</v>
      </c>
      <c r="W558" s="70" t="s">
        <v>21079</v>
      </c>
      <c r="Y558" s="70" t="s">
        <v>29932</v>
      </c>
      <c r="Z558" s="75" t="s">
        <v>21080</v>
      </c>
      <c r="AA558" s="70" t="s">
        <v>21081</v>
      </c>
      <c r="AC558" s="70">
        <v>2.0</v>
      </c>
      <c r="AE558" s="70">
        <v>47.0</v>
      </c>
      <c r="AF558" s="70" t="s">
        <v>16423</v>
      </c>
      <c r="AW558" s="70" t="s">
        <v>21082</v>
      </c>
      <c r="AX558" s="70">
        <v>0.0</v>
      </c>
      <c r="AY558" s="70" t="s">
        <v>24</v>
      </c>
      <c r="AZ558" s="70">
        <v>3025.0</v>
      </c>
    </row>
    <row r="559" ht="22.5" customHeight="1">
      <c r="A559" s="70" t="str">
        <f t="shared" si="1"/>
        <v>Excluded</v>
      </c>
      <c r="B559" s="70">
        <f t="shared" si="2"/>
        <v>0</v>
      </c>
      <c r="C559" s="70">
        <v>0.0</v>
      </c>
      <c r="D559" s="70">
        <v>0.0</v>
      </c>
      <c r="E559" s="70">
        <v>0.0</v>
      </c>
      <c r="F559" s="70">
        <v>0.0</v>
      </c>
      <c r="G559" s="70">
        <v>0.0</v>
      </c>
      <c r="H559" s="70" t="s">
        <v>17518</v>
      </c>
      <c r="I559" s="70">
        <v>1923.0</v>
      </c>
      <c r="J559" s="70" t="s">
        <v>17516</v>
      </c>
      <c r="K559" s="70" t="s">
        <v>17517</v>
      </c>
      <c r="L559" s="70" t="s">
        <v>16436</v>
      </c>
      <c r="N559" s="70" t="s">
        <v>16437</v>
      </c>
      <c r="P559" s="76">
        <v>43734.0</v>
      </c>
      <c r="U559" s="70" t="s">
        <v>239</v>
      </c>
      <c r="W559" s="70" t="s">
        <v>17520</v>
      </c>
      <c r="Z559" s="75" t="s">
        <v>17521</v>
      </c>
      <c r="AA559" s="70" t="s">
        <v>17522</v>
      </c>
      <c r="AC559" s="70">
        <v>43.0</v>
      </c>
      <c r="AE559" s="70">
        <v>34.0</v>
      </c>
      <c r="AF559" s="70" t="s">
        <v>16423</v>
      </c>
      <c r="AW559" s="70" t="s">
        <v>17523</v>
      </c>
      <c r="AX559" s="70">
        <v>0.0</v>
      </c>
      <c r="AY559" s="70" t="s">
        <v>24</v>
      </c>
      <c r="AZ559" s="70">
        <v>1787.0</v>
      </c>
    </row>
    <row r="560" ht="22.5" customHeight="1">
      <c r="A560" s="70" t="str">
        <f t="shared" si="1"/>
        <v>Excluded</v>
      </c>
      <c r="B560" s="70">
        <f t="shared" si="2"/>
        <v>0</v>
      </c>
      <c r="C560" s="70">
        <v>0.0</v>
      </c>
      <c r="D560" s="70">
        <v>0.0</v>
      </c>
      <c r="E560" s="70">
        <v>0.0</v>
      </c>
      <c r="F560" s="70">
        <v>0.0</v>
      </c>
      <c r="G560" s="70">
        <v>0.0</v>
      </c>
      <c r="H560" s="70" t="s">
        <v>18532</v>
      </c>
      <c r="I560" s="70">
        <v>2036.0</v>
      </c>
      <c r="J560" s="70" t="s">
        <v>18530</v>
      </c>
      <c r="K560" s="70" t="s">
        <v>18531</v>
      </c>
      <c r="L560" s="70" t="s">
        <v>16436</v>
      </c>
      <c r="N560" s="70" t="s">
        <v>16437</v>
      </c>
      <c r="P560" s="76">
        <v>43755.0</v>
      </c>
      <c r="U560" s="70" t="s">
        <v>239</v>
      </c>
      <c r="W560" s="70" t="s">
        <v>18534</v>
      </c>
      <c r="Y560" s="70" t="s">
        <v>29952</v>
      </c>
      <c r="Z560" s="75" t="s">
        <v>18536</v>
      </c>
      <c r="AA560" s="70" t="s">
        <v>18537</v>
      </c>
      <c r="AC560" s="70">
        <v>20.0</v>
      </c>
      <c r="AE560" s="70">
        <v>80.0</v>
      </c>
      <c r="AF560" s="70" t="s">
        <v>16423</v>
      </c>
      <c r="AW560" s="70" t="s">
        <v>18538</v>
      </c>
      <c r="AX560" s="70">
        <v>0.0</v>
      </c>
      <c r="AY560" s="70" t="s">
        <v>24</v>
      </c>
      <c r="AZ560" s="70">
        <v>1825.0</v>
      </c>
    </row>
    <row r="561" ht="22.5" customHeight="1">
      <c r="A561" s="70" t="str">
        <f t="shared" si="1"/>
        <v>Excluded</v>
      </c>
      <c r="B561" s="70">
        <f t="shared" si="2"/>
        <v>0</v>
      </c>
      <c r="C561" s="70">
        <v>0.0</v>
      </c>
      <c r="D561" s="70">
        <v>0.0</v>
      </c>
      <c r="E561" s="70">
        <v>0.0</v>
      </c>
      <c r="F561" s="70">
        <v>0.0</v>
      </c>
      <c r="G561" s="70">
        <v>0.0</v>
      </c>
      <c r="H561" s="70" t="s">
        <v>19535</v>
      </c>
      <c r="I561" s="70">
        <v>2149.0</v>
      </c>
      <c r="J561" s="70" t="s">
        <v>29953</v>
      </c>
      <c r="K561" s="70" t="s">
        <v>19534</v>
      </c>
      <c r="L561" s="70" t="s">
        <v>16436</v>
      </c>
      <c r="N561" s="70" t="s">
        <v>16437</v>
      </c>
      <c r="P561" s="76">
        <v>43759.0</v>
      </c>
      <c r="U561" s="70" t="s">
        <v>239</v>
      </c>
      <c r="W561" s="70" t="s">
        <v>19537</v>
      </c>
      <c r="Y561" s="70" t="s">
        <v>29954</v>
      </c>
      <c r="Z561" s="75" t="s">
        <v>19539</v>
      </c>
      <c r="AA561" s="70" t="s">
        <v>19540</v>
      </c>
      <c r="AC561" s="70">
        <v>9.0</v>
      </c>
      <c r="AE561" s="70">
        <v>41.0</v>
      </c>
      <c r="AF561" s="70" t="s">
        <v>16423</v>
      </c>
      <c r="AW561" s="70" t="s">
        <v>19541</v>
      </c>
      <c r="AX561" s="70">
        <v>0.0</v>
      </c>
      <c r="AY561" s="70" t="s">
        <v>24</v>
      </c>
      <c r="AZ561" s="70">
        <v>2782.0</v>
      </c>
    </row>
    <row r="562" ht="22.5" customHeight="1">
      <c r="A562" s="70" t="str">
        <f t="shared" si="1"/>
        <v>Excluded</v>
      </c>
      <c r="B562" s="70">
        <f t="shared" si="2"/>
        <v>0</v>
      </c>
      <c r="C562" s="70">
        <v>0.0</v>
      </c>
      <c r="D562" s="70">
        <v>0.0</v>
      </c>
      <c r="E562" s="70">
        <v>0.0</v>
      </c>
      <c r="F562" s="70">
        <v>0.0</v>
      </c>
      <c r="G562" s="70">
        <v>0.0</v>
      </c>
      <c r="H562" s="70" t="s">
        <v>17467</v>
      </c>
      <c r="I562" s="70">
        <v>1917.0</v>
      </c>
      <c r="J562" s="70" t="s">
        <v>29955</v>
      </c>
      <c r="K562" s="70" t="s">
        <v>17466</v>
      </c>
      <c r="L562" s="70" t="s">
        <v>16436</v>
      </c>
      <c r="N562" s="70" t="s">
        <v>16437</v>
      </c>
      <c r="P562" s="76">
        <v>43759.0</v>
      </c>
      <c r="U562" s="70" t="s">
        <v>239</v>
      </c>
      <c r="W562" s="70" t="s">
        <v>17469</v>
      </c>
      <c r="Y562" s="70" t="s">
        <v>29956</v>
      </c>
      <c r="Z562" s="75" t="s">
        <v>17471</v>
      </c>
      <c r="AA562" s="70" t="s">
        <v>17472</v>
      </c>
      <c r="AC562" s="70">
        <v>48.0</v>
      </c>
      <c r="AE562" s="70">
        <v>293.0</v>
      </c>
      <c r="AF562" s="70" t="s">
        <v>16423</v>
      </c>
      <c r="AW562" s="70" t="s">
        <v>17473</v>
      </c>
      <c r="AZ562" s="70">
        <v>247.0</v>
      </c>
    </row>
    <row r="563" ht="22.5" customHeight="1">
      <c r="A563" s="70" t="str">
        <f t="shared" si="1"/>
        <v>Excluded</v>
      </c>
      <c r="B563" s="70">
        <f t="shared" si="2"/>
        <v>0</v>
      </c>
      <c r="C563" s="70">
        <v>0.0</v>
      </c>
      <c r="D563" s="70">
        <v>0.0</v>
      </c>
      <c r="E563" s="70">
        <v>0.0</v>
      </c>
      <c r="F563" s="70">
        <v>0.0</v>
      </c>
      <c r="G563" s="70">
        <v>0.0</v>
      </c>
      <c r="H563" s="70" t="s">
        <v>28818</v>
      </c>
      <c r="I563" s="70">
        <v>3098.0</v>
      </c>
      <c r="J563" s="70" t="s">
        <v>28816</v>
      </c>
      <c r="K563" s="70" t="s">
        <v>28817</v>
      </c>
      <c r="W563" s="70" t="s">
        <v>29957</v>
      </c>
      <c r="AA563" s="70" t="s">
        <v>28820</v>
      </c>
      <c r="AI563" s="70" t="s">
        <v>28821</v>
      </c>
      <c r="AJ563" s="70" t="s">
        <v>28822</v>
      </c>
      <c r="AK563" s="70">
        <v>2019.0</v>
      </c>
      <c r="AL563" s="70" t="s">
        <v>16436</v>
      </c>
      <c r="AM563" s="70">
        <v>8936407.0</v>
      </c>
      <c r="AN563" s="70">
        <v>183177.0</v>
      </c>
      <c r="AO563" s="70">
        <v>183194.0</v>
      </c>
      <c r="AP563" s="70">
        <v>17.0</v>
      </c>
      <c r="AQ563" s="70">
        <v>31.0</v>
      </c>
      <c r="AR563" s="75" t="s">
        <v>28823</v>
      </c>
      <c r="AS563" s="70" t="s">
        <v>22525</v>
      </c>
      <c r="AT563" s="70" t="s">
        <v>22643</v>
      </c>
      <c r="AU563" s="70" t="s">
        <v>237</v>
      </c>
      <c r="AV563" s="70" t="s">
        <v>28824</v>
      </c>
      <c r="AW563" s="70" t="s">
        <v>28825</v>
      </c>
      <c r="AX563" s="70">
        <v>0.0</v>
      </c>
      <c r="AY563" s="70" t="s">
        <v>24</v>
      </c>
      <c r="AZ563" s="70">
        <v>2133.0</v>
      </c>
    </row>
    <row r="564" ht="22.5" customHeight="1">
      <c r="A564" s="70" t="str">
        <f t="shared" si="1"/>
        <v>Excluded</v>
      </c>
      <c r="B564" s="70">
        <f t="shared" si="2"/>
        <v>0</v>
      </c>
      <c r="C564" s="70">
        <v>0.0</v>
      </c>
      <c r="D564" s="70">
        <v>0.0</v>
      </c>
      <c r="E564" s="70">
        <v>0.0</v>
      </c>
      <c r="F564" s="70">
        <v>0.0</v>
      </c>
      <c r="G564" s="70">
        <v>0.0</v>
      </c>
      <c r="H564" s="70" t="s">
        <v>16703</v>
      </c>
      <c r="I564" s="70">
        <v>1832.0</v>
      </c>
      <c r="J564" s="70" t="s">
        <v>16701</v>
      </c>
      <c r="K564" s="70" t="s">
        <v>16702</v>
      </c>
      <c r="L564" s="70" t="s">
        <v>16436</v>
      </c>
      <c r="N564" s="70" t="s">
        <v>16437</v>
      </c>
      <c r="P564" s="76">
        <v>43860.0</v>
      </c>
      <c r="U564" s="70" t="s">
        <v>239</v>
      </c>
      <c r="W564" s="70" t="s">
        <v>16705</v>
      </c>
      <c r="Y564" s="70" t="s">
        <v>16706</v>
      </c>
      <c r="Z564" s="75" t="s">
        <v>16707</v>
      </c>
      <c r="AA564" s="70" t="s">
        <v>16708</v>
      </c>
      <c r="AC564" s="70">
        <v>184.0</v>
      </c>
      <c r="AE564" s="70">
        <v>159.0</v>
      </c>
      <c r="AF564" s="70" t="s">
        <v>16423</v>
      </c>
      <c r="AW564" s="70" t="s">
        <v>16709</v>
      </c>
      <c r="AZ564" s="70">
        <v>963.0</v>
      </c>
    </row>
    <row r="565" ht="22.5" customHeight="1">
      <c r="A565" s="70" t="str">
        <f t="shared" si="1"/>
        <v>Excluded</v>
      </c>
      <c r="B565" s="70">
        <f t="shared" si="2"/>
        <v>0</v>
      </c>
      <c r="C565" s="70">
        <v>0.0</v>
      </c>
      <c r="D565" s="70">
        <v>0.0</v>
      </c>
      <c r="E565" s="70">
        <v>0.0</v>
      </c>
      <c r="F565" s="70">
        <v>0.0</v>
      </c>
      <c r="G565" s="70">
        <v>0.0</v>
      </c>
      <c r="H565" s="70" t="s">
        <v>18665</v>
      </c>
      <c r="I565" s="70">
        <v>2051.0</v>
      </c>
      <c r="J565" s="70" t="s">
        <v>29958</v>
      </c>
      <c r="K565" s="70" t="s">
        <v>18664</v>
      </c>
      <c r="L565" s="70" t="s">
        <v>16436</v>
      </c>
      <c r="N565" s="70" t="s">
        <v>16437</v>
      </c>
      <c r="P565" s="76">
        <v>43878.0</v>
      </c>
      <c r="U565" s="70" t="s">
        <v>239</v>
      </c>
      <c r="W565" s="70" t="s">
        <v>29959</v>
      </c>
      <c r="Y565" s="70" t="s">
        <v>29960</v>
      </c>
      <c r="Z565" s="75" t="s">
        <v>18669</v>
      </c>
      <c r="AA565" s="70" t="s">
        <v>18670</v>
      </c>
      <c r="AC565" s="70">
        <v>18.0</v>
      </c>
      <c r="AE565" s="70">
        <v>40.0</v>
      </c>
      <c r="AF565" s="70" t="s">
        <v>16423</v>
      </c>
      <c r="AW565" s="70" t="s">
        <v>18671</v>
      </c>
      <c r="AZ565" s="70">
        <v>1268.0</v>
      </c>
    </row>
    <row r="566" ht="22.5" customHeight="1">
      <c r="A566" s="70" t="str">
        <f t="shared" si="1"/>
        <v>Excluded</v>
      </c>
      <c r="B566" s="70">
        <f t="shared" si="2"/>
        <v>0</v>
      </c>
      <c r="C566" s="70">
        <v>0.0</v>
      </c>
      <c r="D566" s="70">
        <v>0.0</v>
      </c>
      <c r="E566" s="70">
        <v>0.0</v>
      </c>
      <c r="F566" s="70">
        <v>0.0</v>
      </c>
      <c r="G566" s="70">
        <v>0.0</v>
      </c>
      <c r="H566" s="70" t="s">
        <v>17110</v>
      </c>
      <c r="I566" s="70">
        <v>1877.0</v>
      </c>
      <c r="J566" s="70" t="s">
        <v>17108</v>
      </c>
      <c r="K566" s="70" t="s">
        <v>17109</v>
      </c>
      <c r="L566" s="70" t="s">
        <v>16436</v>
      </c>
      <c r="N566" s="70" t="s">
        <v>16437</v>
      </c>
      <c r="P566" s="77">
        <v>43892.0</v>
      </c>
      <c r="U566" s="70" t="s">
        <v>239</v>
      </c>
      <c r="W566" s="70" t="s">
        <v>29961</v>
      </c>
      <c r="Y566" s="70" t="s">
        <v>29962</v>
      </c>
      <c r="Z566" s="75" t="s">
        <v>17114</v>
      </c>
      <c r="AA566" s="70" t="s">
        <v>17115</v>
      </c>
      <c r="AC566" s="70">
        <v>73.0</v>
      </c>
      <c r="AE566" s="70">
        <v>36.0</v>
      </c>
      <c r="AF566" s="70" t="s">
        <v>16423</v>
      </c>
      <c r="AW566" s="70" t="s">
        <v>17116</v>
      </c>
      <c r="AZ566" s="70">
        <v>590.0</v>
      </c>
    </row>
    <row r="567" ht="22.5" customHeight="1">
      <c r="A567" s="70" t="str">
        <f t="shared" si="1"/>
        <v>Excluded</v>
      </c>
      <c r="B567" s="70">
        <f t="shared" si="2"/>
        <v>0</v>
      </c>
      <c r="C567" s="70">
        <v>0.0</v>
      </c>
      <c r="D567" s="70">
        <v>0.0</v>
      </c>
      <c r="E567" s="70">
        <v>0.0</v>
      </c>
      <c r="F567" s="70">
        <v>0.0</v>
      </c>
      <c r="G567" s="70">
        <v>0.0</v>
      </c>
      <c r="H567" s="70" t="s">
        <v>18907</v>
      </c>
      <c r="I567" s="70">
        <v>2078.0</v>
      </c>
      <c r="J567" s="70" t="s">
        <v>18905</v>
      </c>
      <c r="K567" s="70" t="s">
        <v>18906</v>
      </c>
      <c r="L567" s="70" t="s">
        <v>16436</v>
      </c>
      <c r="N567" s="70" t="s">
        <v>16437</v>
      </c>
      <c r="P567" s="76">
        <v>43900.0</v>
      </c>
      <c r="U567" s="70" t="s">
        <v>239</v>
      </c>
      <c r="W567" s="70" t="s">
        <v>18909</v>
      </c>
      <c r="Y567" s="70" t="s">
        <v>29963</v>
      </c>
      <c r="Z567" s="75" t="s">
        <v>18911</v>
      </c>
      <c r="AA567" s="70" t="s">
        <v>18912</v>
      </c>
      <c r="AC567" s="70">
        <v>15.0</v>
      </c>
      <c r="AE567" s="70">
        <v>36.0</v>
      </c>
      <c r="AF567" s="70" t="s">
        <v>16423</v>
      </c>
      <c r="AW567" s="70" t="s">
        <v>18913</v>
      </c>
      <c r="AX567" s="70">
        <v>0.0</v>
      </c>
      <c r="AY567" s="70" t="s">
        <v>24</v>
      </c>
      <c r="AZ567" s="70">
        <v>2783.0</v>
      </c>
    </row>
    <row r="568" ht="22.5" customHeight="1">
      <c r="A568" s="70" t="str">
        <f t="shared" si="1"/>
        <v>Excluded</v>
      </c>
      <c r="B568" s="70">
        <f t="shared" si="2"/>
        <v>0</v>
      </c>
      <c r="C568" s="70">
        <v>0.0</v>
      </c>
      <c r="D568" s="70">
        <v>0.0</v>
      </c>
      <c r="E568" s="70">
        <v>0.0</v>
      </c>
      <c r="F568" s="70">
        <v>0.0</v>
      </c>
      <c r="G568" s="70">
        <v>0.0</v>
      </c>
      <c r="H568" s="70" t="s">
        <v>16466</v>
      </c>
      <c r="I568" s="70">
        <v>1806.0</v>
      </c>
      <c r="J568" s="70" t="s">
        <v>16464</v>
      </c>
      <c r="K568" s="70" t="s">
        <v>16465</v>
      </c>
      <c r="L568" s="70" t="s">
        <v>16436</v>
      </c>
      <c r="N568" s="70" t="s">
        <v>16437</v>
      </c>
      <c r="P568" s="76">
        <v>43908.0</v>
      </c>
      <c r="U568" s="70" t="s">
        <v>239</v>
      </c>
      <c r="W568" s="70" t="s">
        <v>16468</v>
      </c>
      <c r="Y568" s="70" t="s">
        <v>29964</v>
      </c>
      <c r="Z568" s="75" t="s">
        <v>16470</v>
      </c>
      <c r="AA568" s="70" t="s">
        <v>16471</v>
      </c>
      <c r="AC568" s="70">
        <v>529.0</v>
      </c>
      <c r="AE568" s="70">
        <v>41.0</v>
      </c>
      <c r="AF568" s="70" t="s">
        <v>16423</v>
      </c>
      <c r="AW568" s="70" t="s">
        <v>16472</v>
      </c>
      <c r="AZ568" s="70">
        <v>897.0</v>
      </c>
    </row>
    <row r="569" ht="22.5" customHeight="1">
      <c r="A569" s="70" t="str">
        <f t="shared" si="1"/>
        <v>Excluded</v>
      </c>
      <c r="B569" s="70">
        <f t="shared" si="2"/>
        <v>0</v>
      </c>
      <c r="C569" s="70">
        <v>0.0</v>
      </c>
      <c r="D569" s="70">
        <v>0.0</v>
      </c>
      <c r="E569" s="70">
        <v>0.0</v>
      </c>
      <c r="F569" s="70">
        <v>0.0</v>
      </c>
      <c r="G569" s="70">
        <v>0.0</v>
      </c>
      <c r="H569" s="70" t="s">
        <v>18000</v>
      </c>
      <c r="I569" s="70">
        <v>1977.0</v>
      </c>
      <c r="J569" s="70" t="s">
        <v>17998</v>
      </c>
      <c r="K569" s="70" t="s">
        <v>17999</v>
      </c>
      <c r="L569" s="70" t="s">
        <v>16436</v>
      </c>
      <c r="N569" s="70" t="s">
        <v>16437</v>
      </c>
      <c r="P569" s="76">
        <v>43909.0</v>
      </c>
      <c r="U569" s="70" t="s">
        <v>239</v>
      </c>
      <c r="W569" s="70" t="s">
        <v>18002</v>
      </c>
      <c r="Y569" s="70" t="s">
        <v>18003</v>
      </c>
      <c r="Z569" s="75" t="s">
        <v>18004</v>
      </c>
      <c r="AA569" s="70" t="s">
        <v>18005</v>
      </c>
      <c r="AC569" s="70">
        <v>29.0</v>
      </c>
      <c r="AE569" s="70">
        <v>27.0</v>
      </c>
      <c r="AF569" s="70" t="s">
        <v>16423</v>
      </c>
      <c r="AW569" s="70" t="s">
        <v>18006</v>
      </c>
      <c r="AX569" s="70">
        <v>0.0</v>
      </c>
      <c r="AY569" s="70" t="s">
        <v>24</v>
      </c>
      <c r="AZ569" s="70">
        <v>1923.0</v>
      </c>
    </row>
    <row r="570" ht="22.5" customHeight="1">
      <c r="A570" s="70" t="str">
        <f t="shared" si="1"/>
        <v>Excluded</v>
      </c>
      <c r="B570" s="70">
        <f t="shared" si="2"/>
        <v>0</v>
      </c>
      <c r="C570" s="70">
        <v>0.0</v>
      </c>
      <c r="D570" s="70">
        <v>0.0</v>
      </c>
      <c r="E570" s="70">
        <v>0.0</v>
      </c>
      <c r="F570" s="70">
        <v>0.0</v>
      </c>
      <c r="G570" s="70">
        <v>0.0</v>
      </c>
      <c r="H570" s="70" t="s">
        <v>16827</v>
      </c>
      <c r="I570" s="70">
        <v>1846.0</v>
      </c>
      <c r="J570" s="70" t="s">
        <v>16825</v>
      </c>
      <c r="K570" s="70" t="s">
        <v>16826</v>
      </c>
      <c r="L570" s="70" t="s">
        <v>16436</v>
      </c>
      <c r="N570" s="70" t="s">
        <v>16437</v>
      </c>
      <c r="P570" s="76">
        <v>43915.0</v>
      </c>
      <c r="U570" s="70" t="s">
        <v>239</v>
      </c>
      <c r="W570" s="70" t="s">
        <v>29965</v>
      </c>
      <c r="Z570" s="75" t="s">
        <v>16830</v>
      </c>
      <c r="AA570" s="70" t="s">
        <v>16831</v>
      </c>
      <c r="AC570" s="70">
        <v>126.0</v>
      </c>
      <c r="AE570" s="70">
        <v>191.0</v>
      </c>
      <c r="AF570" s="70" t="s">
        <v>16423</v>
      </c>
      <c r="AW570" s="70" t="s">
        <v>16832</v>
      </c>
      <c r="AX570" s="70">
        <v>0.0</v>
      </c>
      <c r="AY570" s="70" t="s">
        <v>24</v>
      </c>
      <c r="AZ570" s="70">
        <v>2296.0</v>
      </c>
    </row>
    <row r="571" ht="22.5" customHeight="1">
      <c r="A571" s="70" t="str">
        <f t="shared" si="1"/>
        <v>Excluded</v>
      </c>
      <c r="B571" s="70">
        <f t="shared" si="2"/>
        <v>0</v>
      </c>
      <c r="C571" s="70">
        <v>0.0</v>
      </c>
      <c r="D571" s="70">
        <v>0.0</v>
      </c>
      <c r="E571" s="70">
        <v>0.0</v>
      </c>
      <c r="F571" s="70">
        <v>0.0</v>
      </c>
      <c r="G571" s="70">
        <v>0.0</v>
      </c>
      <c r="H571" s="70" t="s">
        <v>20319</v>
      </c>
      <c r="I571" s="70">
        <v>2237.0</v>
      </c>
      <c r="J571" s="70" t="s">
        <v>29966</v>
      </c>
      <c r="K571" s="70" t="s">
        <v>20318</v>
      </c>
      <c r="L571" s="70" t="s">
        <v>16436</v>
      </c>
      <c r="N571" s="70" t="s">
        <v>16437</v>
      </c>
      <c r="P571" s="77">
        <v>43929.0</v>
      </c>
      <c r="U571" s="70" t="s">
        <v>239</v>
      </c>
      <c r="W571" s="70" t="s">
        <v>20321</v>
      </c>
      <c r="Y571" s="70" t="s">
        <v>29967</v>
      </c>
      <c r="Z571" s="75" t="s">
        <v>20323</v>
      </c>
      <c r="AA571" s="70" t="s">
        <v>20324</v>
      </c>
      <c r="AC571" s="70">
        <v>5.0</v>
      </c>
      <c r="AE571" s="70">
        <v>51.0</v>
      </c>
      <c r="AF571" s="70" t="s">
        <v>16423</v>
      </c>
      <c r="AW571" s="70" t="s">
        <v>20325</v>
      </c>
      <c r="AX571" s="70">
        <v>0.0</v>
      </c>
      <c r="AY571" s="70" t="s">
        <v>24</v>
      </c>
      <c r="AZ571" s="70">
        <v>2539.0</v>
      </c>
    </row>
    <row r="572" ht="22.5" customHeight="1">
      <c r="A572" s="70" t="str">
        <f t="shared" si="1"/>
        <v>Excluded</v>
      </c>
      <c r="B572" s="70">
        <f t="shared" si="2"/>
        <v>0</v>
      </c>
      <c r="C572" s="70">
        <v>0.0</v>
      </c>
      <c r="D572" s="70">
        <v>0.0</v>
      </c>
      <c r="E572" s="70">
        <v>0.0</v>
      </c>
      <c r="F572" s="70">
        <v>0.0</v>
      </c>
      <c r="G572" s="70">
        <v>0.0</v>
      </c>
      <c r="H572" s="70" t="s">
        <v>19544</v>
      </c>
      <c r="I572" s="70">
        <v>2150.0</v>
      </c>
      <c r="J572" s="70" t="s">
        <v>19542</v>
      </c>
      <c r="K572" s="70" t="s">
        <v>19543</v>
      </c>
      <c r="L572" s="70" t="s">
        <v>16436</v>
      </c>
      <c r="N572" s="70" t="s">
        <v>16437</v>
      </c>
      <c r="P572" s="76">
        <v>43937.0</v>
      </c>
      <c r="U572" s="70" t="s">
        <v>239</v>
      </c>
      <c r="W572" s="70" t="s">
        <v>19546</v>
      </c>
      <c r="Y572" s="70" t="s">
        <v>19547</v>
      </c>
      <c r="Z572" s="75" t="s">
        <v>19548</v>
      </c>
      <c r="AA572" s="70" t="s">
        <v>19549</v>
      </c>
      <c r="AC572" s="70">
        <v>9.0</v>
      </c>
      <c r="AE572" s="70">
        <v>56.0</v>
      </c>
      <c r="AF572" s="70" t="s">
        <v>16423</v>
      </c>
      <c r="AW572" s="70" t="s">
        <v>19550</v>
      </c>
      <c r="AX572" s="70">
        <v>0.0</v>
      </c>
      <c r="AY572" s="70" t="s">
        <v>24</v>
      </c>
      <c r="AZ572" s="70">
        <v>2936.0</v>
      </c>
    </row>
    <row r="573" ht="22.5" customHeight="1">
      <c r="A573" s="70" t="str">
        <f t="shared" si="1"/>
        <v>Excluded</v>
      </c>
      <c r="B573" s="70">
        <f t="shared" si="2"/>
        <v>0</v>
      </c>
      <c r="C573" s="70">
        <v>0.0</v>
      </c>
      <c r="D573" s="70">
        <v>0.0</v>
      </c>
      <c r="E573" s="70">
        <v>0.0</v>
      </c>
      <c r="F573" s="70">
        <v>0.0</v>
      </c>
      <c r="G573" s="70">
        <v>0.0</v>
      </c>
      <c r="H573" s="70" t="s">
        <v>16457</v>
      </c>
      <c r="I573" s="70">
        <v>1805.0</v>
      </c>
      <c r="J573" s="70" t="s">
        <v>16455</v>
      </c>
      <c r="K573" s="70" t="s">
        <v>16456</v>
      </c>
      <c r="L573" s="70" t="s">
        <v>16436</v>
      </c>
      <c r="N573" s="70" t="s">
        <v>16437</v>
      </c>
      <c r="P573" s="79">
        <v>43952.0</v>
      </c>
      <c r="U573" s="70" t="s">
        <v>239</v>
      </c>
      <c r="W573" s="70" t="s">
        <v>16459</v>
      </c>
      <c r="Y573" s="70" t="s">
        <v>16460</v>
      </c>
      <c r="Z573" s="75" t="s">
        <v>16461</v>
      </c>
      <c r="AA573" s="70" t="s">
        <v>16462</v>
      </c>
      <c r="AC573" s="70">
        <v>606.0</v>
      </c>
      <c r="AE573" s="70">
        <v>62.0</v>
      </c>
      <c r="AF573" s="70" t="s">
        <v>16423</v>
      </c>
      <c r="AW573" s="70" t="s">
        <v>16463</v>
      </c>
      <c r="AX573" s="70">
        <v>0.0</v>
      </c>
      <c r="AY573" s="70" t="s">
        <v>24</v>
      </c>
      <c r="AZ573" s="70">
        <v>2876.0</v>
      </c>
    </row>
    <row r="574" ht="22.5" customHeight="1">
      <c r="A574" s="70" t="str">
        <f t="shared" si="1"/>
        <v>Excluded</v>
      </c>
      <c r="B574" s="70">
        <f t="shared" si="2"/>
        <v>0</v>
      </c>
      <c r="C574" s="70">
        <v>0.0</v>
      </c>
      <c r="D574" s="70">
        <v>0.0</v>
      </c>
      <c r="E574" s="70">
        <v>0.0</v>
      </c>
      <c r="F574" s="70">
        <v>0.0</v>
      </c>
      <c r="G574" s="70">
        <v>0.0</v>
      </c>
      <c r="H574" s="70" t="s">
        <v>16845</v>
      </c>
      <c r="I574" s="70">
        <v>1848.0</v>
      </c>
      <c r="J574" s="70" t="s">
        <v>16843</v>
      </c>
      <c r="K574" s="70" t="s">
        <v>16844</v>
      </c>
      <c r="L574" s="70" t="s">
        <v>16436</v>
      </c>
      <c r="N574" s="70" t="s">
        <v>16437</v>
      </c>
      <c r="P574" s="79">
        <v>43959.0</v>
      </c>
      <c r="U574" s="70" t="s">
        <v>239</v>
      </c>
      <c r="W574" s="70" t="s">
        <v>16847</v>
      </c>
      <c r="Z574" s="75" t="s">
        <v>16848</v>
      </c>
      <c r="AA574" s="70" t="s">
        <v>16849</v>
      </c>
      <c r="AC574" s="70">
        <v>123.0</v>
      </c>
      <c r="AE574" s="70">
        <v>176.0</v>
      </c>
      <c r="AF574" s="70" t="s">
        <v>16423</v>
      </c>
      <c r="AW574" s="70" t="s">
        <v>16850</v>
      </c>
      <c r="AZ574" s="70">
        <v>866.0</v>
      </c>
    </row>
    <row r="575" ht="22.5" customHeight="1">
      <c r="A575" s="70" t="str">
        <f t="shared" si="1"/>
        <v>Excluded</v>
      </c>
      <c r="B575" s="70">
        <f t="shared" si="2"/>
        <v>0</v>
      </c>
      <c r="C575" s="70">
        <v>0.0</v>
      </c>
      <c r="D575" s="70">
        <v>0.0</v>
      </c>
      <c r="E575" s="70">
        <v>0.0</v>
      </c>
      <c r="F575" s="70">
        <v>0.0</v>
      </c>
      <c r="G575" s="70">
        <v>0.0</v>
      </c>
      <c r="H575" s="70" t="s">
        <v>19384</v>
      </c>
      <c r="I575" s="70">
        <v>2132.0</v>
      </c>
      <c r="J575" s="70" t="s">
        <v>19382</v>
      </c>
      <c r="K575" s="70" t="s">
        <v>19383</v>
      </c>
      <c r="L575" s="70" t="s">
        <v>16436</v>
      </c>
      <c r="N575" s="70" t="s">
        <v>16437</v>
      </c>
      <c r="P575" s="77">
        <v>43983.0</v>
      </c>
      <c r="U575" s="70" t="s">
        <v>239</v>
      </c>
      <c r="W575" s="70" t="s">
        <v>19386</v>
      </c>
      <c r="Y575" s="70" t="s">
        <v>29968</v>
      </c>
      <c r="Z575" s="75" t="s">
        <v>19388</v>
      </c>
      <c r="AA575" s="70" t="s">
        <v>19389</v>
      </c>
      <c r="AC575" s="70">
        <v>11.0</v>
      </c>
      <c r="AE575" s="70">
        <v>22.0</v>
      </c>
      <c r="AF575" s="70" t="s">
        <v>16423</v>
      </c>
      <c r="AW575" s="70" t="s">
        <v>19390</v>
      </c>
      <c r="AX575" s="70">
        <v>0.0</v>
      </c>
      <c r="AY575" s="70" t="s">
        <v>24</v>
      </c>
      <c r="AZ575" s="70">
        <v>1679.0</v>
      </c>
    </row>
    <row r="576" ht="22.5" customHeight="1">
      <c r="A576" s="70" t="str">
        <f t="shared" si="1"/>
        <v>Excluded</v>
      </c>
      <c r="B576" s="70">
        <f t="shared" si="2"/>
        <v>0</v>
      </c>
      <c r="C576" s="70">
        <v>0.0</v>
      </c>
      <c r="D576" s="70">
        <v>0.0</v>
      </c>
      <c r="E576" s="70">
        <v>0.0</v>
      </c>
      <c r="F576" s="70">
        <v>0.0</v>
      </c>
      <c r="G576" s="70">
        <v>0.0</v>
      </c>
      <c r="H576" s="70" t="s">
        <v>17878</v>
      </c>
      <c r="I576" s="70">
        <v>1963.0</v>
      </c>
      <c r="J576" s="70" t="s">
        <v>17876</v>
      </c>
      <c r="K576" s="70" t="s">
        <v>17877</v>
      </c>
      <c r="L576" s="70" t="s">
        <v>16436</v>
      </c>
      <c r="N576" s="70" t="s">
        <v>16437</v>
      </c>
      <c r="P576" s="76">
        <v>44011.0</v>
      </c>
      <c r="U576" s="70" t="s">
        <v>239</v>
      </c>
      <c r="W576" s="70" t="s">
        <v>17880</v>
      </c>
      <c r="Y576" s="70" t="s">
        <v>29969</v>
      </c>
      <c r="Z576" s="75" t="s">
        <v>17882</v>
      </c>
      <c r="AA576" s="70" t="s">
        <v>17883</v>
      </c>
      <c r="AC576" s="70">
        <v>31.0</v>
      </c>
      <c r="AE576" s="70">
        <v>46.0</v>
      </c>
      <c r="AF576" s="70" t="s">
        <v>16423</v>
      </c>
      <c r="AW576" s="70" t="s">
        <v>17884</v>
      </c>
      <c r="AZ576" s="70">
        <v>623.0</v>
      </c>
    </row>
    <row r="577" ht="22.5" customHeight="1">
      <c r="A577" s="70" t="str">
        <f t="shared" si="1"/>
        <v>Excluded</v>
      </c>
      <c r="B577" s="70">
        <f t="shared" si="2"/>
        <v>0</v>
      </c>
      <c r="C577" s="70">
        <v>0.0</v>
      </c>
      <c r="D577" s="70">
        <v>0.0</v>
      </c>
      <c r="E577" s="70">
        <v>0.0</v>
      </c>
      <c r="F577" s="70">
        <v>0.0</v>
      </c>
      <c r="G577" s="70">
        <v>0.0</v>
      </c>
      <c r="H577" s="70" t="s">
        <v>28580</v>
      </c>
      <c r="I577" s="70">
        <v>3075.0</v>
      </c>
      <c r="J577" s="70" t="s">
        <v>28578</v>
      </c>
      <c r="K577" s="70" t="s">
        <v>28579</v>
      </c>
      <c r="W577" s="70" t="s">
        <v>29970</v>
      </c>
      <c r="AA577" s="70" t="s">
        <v>28582</v>
      </c>
      <c r="AI577" s="70" t="s">
        <v>28583</v>
      </c>
      <c r="AJ577" s="70" t="s">
        <v>28584</v>
      </c>
      <c r="AK577" s="70">
        <v>2020.0</v>
      </c>
      <c r="AL577" s="70" t="s">
        <v>16436</v>
      </c>
      <c r="AM577" s="70">
        <v>9127954.0</v>
      </c>
      <c r="AN577" s="70">
        <v>134940.0</v>
      </c>
      <c r="AO577" s="70">
        <v>134949.0</v>
      </c>
      <c r="AP577" s="70">
        <v>9.0</v>
      </c>
      <c r="AQ577" s="70">
        <v>5.0</v>
      </c>
      <c r="AR577" s="75" t="s">
        <v>28585</v>
      </c>
      <c r="AS577" s="70" t="s">
        <v>22525</v>
      </c>
      <c r="AT577" s="70" t="s">
        <v>22622</v>
      </c>
      <c r="AU577" s="70" t="s">
        <v>237</v>
      </c>
      <c r="AV577" s="70" t="s">
        <v>28586</v>
      </c>
      <c r="AW577" s="70" t="s">
        <v>28587</v>
      </c>
      <c r="AZ577" s="70">
        <v>581.0</v>
      </c>
    </row>
    <row r="578" ht="22.5" customHeight="1">
      <c r="A578" s="70" t="str">
        <f t="shared" si="1"/>
        <v>Excluded</v>
      </c>
      <c r="B578" s="70">
        <f t="shared" si="2"/>
        <v>0</v>
      </c>
      <c r="C578" s="70">
        <v>0.0</v>
      </c>
      <c r="D578" s="70">
        <v>0.0</v>
      </c>
      <c r="E578" s="70">
        <v>0.0</v>
      </c>
      <c r="F578" s="70">
        <v>0.0</v>
      </c>
      <c r="G578" s="70">
        <v>0.0</v>
      </c>
      <c r="H578" s="70" t="s">
        <v>19429</v>
      </c>
      <c r="I578" s="70">
        <v>2137.0</v>
      </c>
      <c r="J578" s="70" t="s">
        <v>29971</v>
      </c>
      <c r="K578" s="70" t="s">
        <v>19428</v>
      </c>
      <c r="L578" s="70" t="s">
        <v>16436</v>
      </c>
      <c r="N578" s="70" t="s">
        <v>16437</v>
      </c>
      <c r="P578" s="76">
        <v>44026.0</v>
      </c>
      <c r="U578" s="70" t="s">
        <v>239</v>
      </c>
      <c r="W578" s="70" t="s">
        <v>19431</v>
      </c>
      <c r="Y578" s="70" t="s">
        <v>19432</v>
      </c>
      <c r="Z578" s="75" t="s">
        <v>19433</v>
      </c>
      <c r="AA578" s="70" t="s">
        <v>19434</v>
      </c>
      <c r="AC578" s="70">
        <v>11.0</v>
      </c>
      <c r="AE578" s="70">
        <v>78.0</v>
      </c>
      <c r="AF578" s="70" t="s">
        <v>16423</v>
      </c>
      <c r="AW578" s="70" t="s">
        <v>19435</v>
      </c>
      <c r="AX578" s="70">
        <v>0.0</v>
      </c>
      <c r="AY578" s="70" t="s">
        <v>24</v>
      </c>
      <c r="AZ578" s="70">
        <v>2145.0</v>
      </c>
    </row>
    <row r="579" ht="22.5" customHeight="1">
      <c r="A579" s="70" t="str">
        <f t="shared" si="1"/>
        <v>Excluded</v>
      </c>
      <c r="B579" s="70">
        <f t="shared" si="2"/>
        <v>0</v>
      </c>
      <c r="C579" s="70">
        <v>0.0</v>
      </c>
      <c r="D579" s="70">
        <v>0.0</v>
      </c>
      <c r="E579" s="70">
        <v>0.0</v>
      </c>
      <c r="F579" s="70">
        <v>0.0</v>
      </c>
      <c r="G579" s="70">
        <v>0.0</v>
      </c>
      <c r="H579" s="70" t="s">
        <v>18559</v>
      </c>
      <c r="I579" s="70">
        <v>2039.0</v>
      </c>
      <c r="J579" s="70" t="s">
        <v>18557</v>
      </c>
      <c r="K579" s="70" t="s">
        <v>18558</v>
      </c>
      <c r="L579" s="70" t="s">
        <v>16436</v>
      </c>
      <c r="N579" s="70" t="s">
        <v>16437</v>
      </c>
      <c r="P579" s="76">
        <v>44029.0</v>
      </c>
      <c r="U579" s="70" t="s">
        <v>239</v>
      </c>
      <c r="W579" s="70" t="s">
        <v>18561</v>
      </c>
      <c r="Y579" s="70" t="s">
        <v>18562</v>
      </c>
      <c r="Z579" s="75" t="s">
        <v>18563</v>
      </c>
      <c r="AA579" s="70" t="s">
        <v>18564</v>
      </c>
      <c r="AC579" s="70">
        <v>19.0</v>
      </c>
      <c r="AE579" s="70">
        <v>58.0</v>
      </c>
      <c r="AF579" s="70" t="s">
        <v>16423</v>
      </c>
      <c r="AW579" s="70" t="s">
        <v>18565</v>
      </c>
      <c r="AX579" s="70">
        <v>0.0</v>
      </c>
      <c r="AY579" s="70" t="s">
        <v>24</v>
      </c>
      <c r="AZ579" s="70">
        <v>2119.0</v>
      </c>
    </row>
    <row r="580" ht="22.5" customHeight="1">
      <c r="A580" s="70" t="str">
        <f t="shared" si="1"/>
        <v>Excluded</v>
      </c>
      <c r="B580" s="70">
        <f t="shared" si="2"/>
        <v>0</v>
      </c>
      <c r="C580" s="70">
        <v>0.0</v>
      </c>
      <c r="D580" s="70">
        <v>0.0</v>
      </c>
      <c r="E580" s="70">
        <v>0.0</v>
      </c>
      <c r="F580" s="70">
        <v>0.0</v>
      </c>
      <c r="G580" s="70">
        <v>0.0</v>
      </c>
      <c r="H580" s="70" t="s">
        <v>17948</v>
      </c>
      <c r="I580" s="70">
        <v>1971.0</v>
      </c>
      <c r="J580" s="70" t="s">
        <v>17946</v>
      </c>
      <c r="K580" s="70" t="s">
        <v>17947</v>
      </c>
      <c r="L580" s="70" t="s">
        <v>16436</v>
      </c>
      <c r="N580" s="70" t="s">
        <v>16437</v>
      </c>
      <c r="P580" s="76">
        <v>44041.0</v>
      </c>
      <c r="U580" s="70" t="s">
        <v>239</v>
      </c>
      <c r="W580" s="70" t="s">
        <v>17950</v>
      </c>
      <c r="Y580" s="70" t="s">
        <v>17951</v>
      </c>
      <c r="Z580" s="75" t="s">
        <v>17952</v>
      </c>
      <c r="AA580" s="70" t="s">
        <v>17953</v>
      </c>
      <c r="AC580" s="70">
        <v>29.0</v>
      </c>
      <c r="AE580" s="70">
        <v>31.0</v>
      </c>
      <c r="AF580" s="70" t="s">
        <v>16423</v>
      </c>
      <c r="AW580" s="70" t="s">
        <v>17954</v>
      </c>
      <c r="AZ580" s="70">
        <v>731.0</v>
      </c>
    </row>
    <row r="581" ht="22.5" customHeight="1">
      <c r="A581" s="70" t="str">
        <f t="shared" si="1"/>
        <v>Excluded</v>
      </c>
      <c r="B581" s="70">
        <f t="shared" si="2"/>
        <v>0</v>
      </c>
      <c r="C581" s="70">
        <v>0.0</v>
      </c>
      <c r="D581" s="70">
        <v>0.0</v>
      </c>
      <c r="E581" s="70">
        <v>0.0</v>
      </c>
      <c r="F581" s="70">
        <v>0.0</v>
      </c>
      <c r="G581" s="70">
        <v>0.0</v>
      </c>
      <c r="H581" s="70" t="s">
        <v>20310</v>
      </c>
      <c r="I581" s="70">
        <v>2236.0</v>
      </c>
      <c r="J581" s="70" t="s">
        <v>29972</v>
      </c>
      <c r="K581" s="70" t="s">
        <v>29973</v>
      </c>
      <c r="L581" s="70" t="s">
        <v>16436</v>
      </c>
      <c r="N581" s="70" t="s">
        <v>16437</v>
      </c>
      <c r="P581" s="77">
        <v>44050.0</v>
      </c>
      <c r="U581" s="70" t="s">
        <v>239</v>
      </c>
      <c r="W581" s="70" t="s">
        <v>29974</v>
      </c>
      <c r="Y581" s="70" t="s">
        <v>29975</v>
      </c>
      <c r="Z581" s="75" t="s">
        <v>20314</v>
      </c>
      <c r="AA581" s="70" t="s">
        <v>20315</v>
      </c>
      <c r="AC581" s="70">
        <v>5.0</v>
      </c>
      <c r="AE581" s="70">
        <v>67.0</v>
      </c>
      <c r="AF581" s="70" t="s">
        <v>16423</v>
      </c>
      <c r="AW581" s="70" t="s">
        <v>20316</v>
      </c>
      <c r="AX581" s="70">
        <v>0.0</v>
      </c>
      <c r="AY581" s="70" t="s">
        <v>24</v>
      </c>
      <c r="AZ581" s="70">
        <v>2073.0</v>
      </c>
    </row>
    <row r="582" ht="22.5" customHeight="1">
      <c r="A582" s="70" t="str">
        <f t="shared" si="1"/>
        <v>Excluded</v>
      </c>
      <c r="B582" s="70">
        <f t="shared" si="2"/>
        <v>0</v>
      </c>
      <c r="C582" s="70">
        <v>0.0</v>
      </c>
      <c r="D582" s="70">
        <v>0.0</v>
      </c>
      <c r="E582" s="70">
        <v>0.0</v>
      </c>
      <c r="F582" s="70">
        <v>0.0</v>
      </c>
      <c r="G582" s="70">
        <v>0.0</v>
      </c>
      <c r="H582" s="70" t="s">
        <v>17430</v>
      </c>
      <c r="I582" s="70">
        <v>1913.0</v>
      </c>
      <c r="J582" s="70" t="s">
        <v>17428</v>
      </c>
      <c r="K582" s="70" t="s">
        <v>17429</v>
      </c>
      <c r="L582" s="70" t="s">
        <v>16436</v>
      </c>
      <c r="N582" s="70" t="s">
        <v>16437</v>
      </c>
      <c r="P582" s="76">
        <v>44053.0</v>
      </c>
      <c r="U582" s="70" t="s">
        <v>239</v>
      </c>
      <c r="W582" s="70" t="s">
        <v>29976</v>
      </c>
      <c r="Z582" s="75" t="s">
        <v>17433</v>
      </c>
      <c r="AA582" s="70" t="s">
        <v>17434</v>
      </c>
      <c r="AC582" s="70">
        <v>49.0</v>
      </c>
      <c r="AE582" s="70">
        <v>68.0</v>
      </c>
      <c r="AF582" s="70" t="s">
        <v>16423</v>
      </c>
      <c r="AW582" s="70" t="s">
        <v>17435</v>
      </c>
      <c r="AX582" s="70">
        <v>0.0</v>
      </c>
      <c r="AY582" s="70" t="s">
        <v>24</v>
      </c>
      <c r="AZ582" s="70">
        <v>2407.0</v>
      </c>
    </row>
    <row r="583" ht="22.5" customHeight="1">
      <c r="A583" s="70" t="str">
        <f t="shared" si="1"/>
        <v>Excluded</v>
      </c>
      <c r="B583" s="70">
        <f t="shared" si="2"/>
        <v>0</v>
      </c>
      <c r="C583" s="70">
        <v>0.0</v>
      </c>
      <c r="D583" s="70">
        <v>0.0</v>
      </c>
      <c r="E583" s="70">
        <v>0.0</v>
      </c>
      <c r="F583" s="70">
        <v>0.0</v>
      </c>
      <c r="G583" s="70">
        <v>0.0</v>
      </c>
      <c r="H583" s="70" t="s">
        <v>17292</v>
      </c>
      <c r="I583" s="70">
        <v>1897.0</v>
      </c>
      <c r="J583" s="70" t="s">
        <v>17290</v>
      </c>
      <c r="K583" s="70" t="s">
        <v>17291</v>
      </c>
      <c r="L583" s="70" t="s">
        <v>16436</v>
      </c>
      <c r="N583" s="70" t="s">
        <v>16437</v>
      </c>
      <c r="P583" s="76">
        <v>44062.0</v>
      </c>
      <c r="U583" s="70" t="s">
        <v>239</v>
      </c>
      <c r="W583" s="70" t="s">
        <v>17294</v>
      </c>
      <c r="Y583" s="70" t="s">
        <v>29977</v>
      </c>
      <c r="Z583" s="75" t="s">
        <v>17296</v>
      </c>
      <c r="AA583" s="70" t="s">
        <v>17297</v>
      </c>
      <c r="AC583" s="70">
        <v>60.0</v>
      </c>
      <c r="AE583" s="70">
        <v>72.0</v>
      </c>
      <c r="AF583" s="70" t="s">
        <v>16423</v>
      </c>
      <c r="AW583" s="70" t="s">
        <v>17298</v>
      </c>
      <c r="AX583" s="70">
        <v>0.0</v>
      </c>
      <c r="AY583" s="70" t="s">
        <v>24</v>
      </c>
      <c r="AZ583" s="70">
        <v>2333.0</v>
      </c>
    </row>
    <row r="584" ht="22.5" customHeight="1">
      <c r="A584" s="70" t="str">
        <f t="shared" si="1"/>
        <v>Excluded</v>
      </c>
      <c r="B584" s="70">
        <f t="shared" si="2"/>
        <v>0</v>
      </c>
      <c r="C584" s="70">
        <v>0.0</v>
      </c>
      <c r="D584" s="70">
        <v>0.0</v>
      </c>
      <c r="E584" s="70">
        <v>0.0</v>
      </c>
      <c r="F584" s="70">
        <v>0.0</v>
      </c>
      <c r="G584" s="70">
        <v>0.0</v>
      </c>
      <c r="H584" s="70" t="s">
        <v>16880</v>
      </c>
      <c r="I584" s="70">
        <v>1852.0</v>
      </c>
      <c r="J584" s="70" t="s">
        <v>16878</v>
      </c>
      <c r="K584" s="70" t="s">
        <v>16879</v>
      </c>
      <c r="L584" s="70" t="s">
        <v>16436</v>
      </c>
      <c r="N584" s="70" t="s">
        <v>16437</v>
      </c>
      <c r="P584" s="76">
        <v>44063.0</v>
      </c>
      <c r="U584" s="70" t="s">
        <v>239</v>
      </c>
      <c r="W584" s="70" t="s">
        <v>16882</v>
      </c>
      <c r="Y584" s="70" t="s">
        <v>16883</v>
      </c>
      <c r="Z584" s="75" t="s">
        <v>16884</v>
      </c>
      <c r="AA584" s="70" t="s">
        <v>16885</v>
      </c>
      <c r="AC584" s="70">
        <v>108.0</v>
      </c>
      <c r="AE584" s="70">
        <v>100.0</v>
      </c>
      <c r="AF584" s="70" t="s">
        <v>16423</v>
      </c>
      <c r="AW584" s="70" t="s">
        <v>16886</v>
      </c>
      <c r="AZ584" s="70">
        <v>615.0</v>
      </c>
    </row>
    <row r="585" ht="22.5" customHeight="1">
      <c r="A585" s="70" t="str">
        <f t="shared" si="1"/>
        <v>Excluded</v>
      </c>
      <c r="B585" s="70">
        <f t="shared" si="2"/>
        <v>0</v>
      </c>
      <c r="C585" s="70">
        <v>0.0</v>
      </c>
      <c r="D585" s="70">
        <v>0.0</v>
      </c>
      <c r="E585" s="70">
        <v>0.0</v>
      </c>
      <c r="F585" s="70">
        <v>0.0</v>
      </c>
      <c r="G585" s="70">
        <v>0.0</v>
      </c>
      <c r="H585" s="70" t="s">
        <v>16650</v>
      </c>
      <c r="I585" s="70">
        <v>1826.0</v>
      </c>
      <c r="J585" s="70" t="s">
        <v>16648</v>
      </c>
      <c r="K585" s="70" t="s">
        <v>16649</v>
      </c>
      <c r="L585" s="70" t="s">
        <v>16436</v>
      </c>
      <c r="N585" s="70" t="s">
        <v>16437</v>
      </c>
      <c r="P585" s="76">
        <v>44069.0</v>
      </c>
      <c r="U585" s="70" t="s">
        <v>239</v>
      </c>
      <c r="W585" s="70" t="s">
        <v>16652</v>
      </c>
      <c r="Y585" s="70" t="s">
        <v>16653</v>
      </c>
      <c r="Z585" s="75" t="s">
        <v>16654</v>
      </c>
      <c r="AA585" s="70" t="s">
        <v>16655</v>
      </c>
      <c r="AC585" s="70">
        <v>239.0</v>
      </c>
      <c r="AE585" s="70">
        <v>350.0</v>
      </c>
      <c r="AF585" s="70" t="s">
        <v>16423</v>
      </c>
      <c r="AW585" s="70" t="s">
        <v>16656</v>
      </c>
      <c r="AZ585" s="70">
        <v>1118.0</v>
      </c>
    </row>
    <row r="586" ht="22.5" customHeight="1">
      <c r="A586" s="70" t="str">
        <f t="shared" si="1"/>
        <v>Excluded</v>
      </c>
      <c r="B586" s="70">
        <f t="shared" si="2"/>
        <v>0</v>
      </c>
      <c r="C586" s="70">
        <v>0.0</v>
      </c>
      <c r="D586" s="70">
        <v>0.0</v>
      </c>
      <c r="E586" s="70">
        <v>0.0</v>
      </c>
      <c r="F586" s="70">
        <v>0.0</v>
      </c>
      <c r="G586" s="70">
        <v>0.0</v>
      </c>
      <c r="H586" s="70" t="s">
        <v>18092</v>
      </c>
      <c r="I586" s="70">
        <v>1987.0</v>
      </c>
      <c r="J586" s="70" t="s">
        <v>18090</v>
      </c>
      <c r="K586" s="70" t="s">
        <v>18091</v>
      </c>
      <c r="L586" s="70" t="s">
        <v>16436</v>
      </c>
      <c r="N586" s="70" t="s">
        <v>16437</v>
      </c>
      <c r="P586" s="77">
        <v>44078.0</v>
      </c>
      <c r="U586" s="70" t="s">
        <v>239</v>
      </c>
      <c r="W586" s="70" t="s">
        <v>18094</v>
      </c>
      <c r="Y586" s="70" t="s">
        <v>29978</v>
      </c>
      <c r="Z586" s="75" t="s">
        <v>18096</v>
      </c>
      <c r="AA586" s="70" t="s">
        <v>18097</v>
      </c>
      <c r="AC586" s="70">
        <v>28.0</v>
      </c>
      <c r="AE586" s="70">
        <v>61.0</v>
      </c>
      <c r="AF586" s="70" t="s">
        <v>16423</v>
      </c>
      <c r="AW586" s="70" t="s">
        <v>18098</v>
      </c>
      <c r="AZ586" s="70">
        <v>1079.0</v>
      </c>
    </row>
    <row r="587" ht="22.5" customHeight="1">
      <c r="A587" s="70" t="str">
        <f t="shared" si="1"/>
        <v>Excluded</v>
      </c>
      <c r="B587" s="70">
        <f t="shared" si="2"/>
        <v>0</v>
      </c>
      <c r="C587" s="70">
        <v>0.0</v>
      </c>
      <c r="D587" s="70">
        <v>0.0</v>
      </c>
      <c r="E587" s="70">
        <v>0.0</v>
      </c>
      <c r="F587" s="70">
        <v>0.0</v>
      </c>
      <c r="G587" s="70">
        <v>0.0</v>
      </c>
      <c r="H587" s="70" t="s">
        <v>19948</v>
      </c>
      <c r="I587" s="70">
        <v>2195.0</v>
      </c>
      <c r="J587" s="70" t="s">
        <v>19946</v>
      </c>
      <c r="K587" s="70" t="s">
        <v>19947</v>
      </c>
      <c r="L587" s="70" t="s">
        <v>16436</v>
      </c>
      <c r="N587" s="70" t="s">
        <v>16437</v>
      </c>
      <c r="P587" s="76">
        <v>44092.0</v>
      </c>
      <c r="U587" s="70" t="s">
        <v>239</v>
      </c>
      <c r="W587" s="70" t="s">
        <v>29979</v>
      </c>
      <c r="Y587" s="70" t="s">
        <v>29980</v>
      </c>
      <c r="Z587" s="75" t="s">
        <v>19952</v>
      </c>
      <c r="AA587" s="70" t="s">
        <v>19953</v>
      </c>
      <c r="AC587" s="70">
        <v>6.0</v>
      </c>
      <c r="AE587" s="70">
        <v>58.0</v>
      </c>
      <c r="AF587" s="70" t="s">
        <v>16423</v>
      </c>
      <c r="AW587" s="70" t="s">
        <v>19954</v>
      </c>
      <c r="AZ587" s="70">
        <v>376.0</v>
      </c>
    </row>
    <row r="588" ht="22.5" customHeight="1">
      <c r="A588" s="70" t="str">
        <f t="shared" si="1"/>
        <v>Excluded</v>
      </c>
      <c r="B588" s="70">
        <f t="shared" si="2"/>
        <v>0</v>
      </c>
      <c r="C588" s="70">
        <v>0.0</v>
      </c>
      <c r="D588" s="70">
        <v>0.0</v>
      </c>
      <c r="E588" s="70">
        <v>0.0</v>
      </c>
      <c r="F588" s="70">
        <v>0.0</v>
      </c>
      <c r="G588" s="70">
        <v>0.0</v>
      </c>
      <c r="H588" s="70" t="s">
        <v>16793</v>
      </c>
      <c r="I588" s="70">
        <v>1842.0</v>
      </c>
      <c r="J588" s="70" t="s">
        <v>29981</v>
      </c>
      <c r="K588" s="70" t="s">
        <v>16792</v>
      </c>
      <c r="L588" s="70" t="s">
        <v>16436</v>
      </c>
      <c r="N588" s="70" t="s">
        <v>16437</v>
      </c>
      <c r="P588" s="76">
        <v>44092.0</v>
      </c>
      <c r="U588" s="70" t="s">
        <v>239</v>
      </c>
      <c r="W588" s="70" t="s">
        <v>16795</v>
      </c>
      <c r="Y588" s="70" t="s">
        <v>29964</v>
      </c>
      <c r="Z588" s="75" t="s">
        <v>16796</v>
      </c>
      <c r="AA588" s="70" t="s">
        <v>13621</v>
      </c>
      <c r="AC588" s="70">
        <v>130.0</v>
      </c>
      <c r="AE588" s="70">
        <v>30.0</v>
      </c>
      <c r="AF588" s="70" t="s">
        <v>16423</v>
      </c>
      <c r="AW588" s="70" t="s">
        <v>16797</v>
      </c>
      <c r="AX588" s="70">
        <v>0.0</v>
      </c>
      <c r="AY588" s="70" t="s">
        <v>24</v>
      </c>
      <c r="AZ588" s="70">
        <v>3043.0</v>
      </c>
    </row>
    <row r="589" ht="22.5" customHeight="1">
      <c r="A589" s="70" t="str">
        <f t="shared" si="1"/>
        <v>Excluded</v>
      </c>
      <c r="B589" s="70">
        <f t="shared" si="2"/>
        <v>0</v>
      </c>
      <c r="C589" s="70">
        <v>0.0</v>
      </c>
      <c r="D589" s="70">
        <v>0.0</v>
      </c>
      <c r="E589" s="70">
        <v>0.0</v>
      </c>
      <c r="F589" s="70">
        <v>0.0</v>
      </c>
      <c r="G589" s="70">
        <v>0.0</v>
      </c>
      <c r="H589" s="70" t="s">
        <v>18189</v>
      </c>
      <c r="I589" s="70">
        <v>1998.0</v>
      </c>
      <c r="J589" s="70" t="s">
        <v>29982</v>
      </c>
      <c r="K589" s="70" t="s">
        <v>18188</v>
      </c>
      <c r="L589" s="70" t="s">
        <v>16436</v>
      </c>
      <c r="N589" s="70" t="s">
        <v>16437</v>
      </c>
      <c r="P589" s="76">
        <v>44092.0</v>
      </c>
      <c r="U589" s="70" t="s">
        <v>239</v>
      </c>
      <c r="W589" s="70" t="s">
        <v>18191</v>
      </c>
      <c r="Y589" s="70" t="s">
        <v>29983</v>
      </c>
      <c r="Z589" s="75" t="s">
        <v>18193</v>
      </c>
      <c r="AA589" s="70" t="s">
        <v>18194</v>
      </c>
      <c r="AC589" s="70">
        <v>25.0</v>
      </c>
      <c r="AE589" s="70">
        <v>285.0</v>
      </c>
      <c r="AF589" s="70" t="s">
        <v>16423</v>
      </c>
      <c r="AW589" s="70" t="s">
        <v>18195</v>
      </c>
      <c r="AX589" s="70">
        <v>0.0</v>
      </c>
      <c r="AY589" s="70" t="s">
        <v>24</v>
      </c>
      <c r="AZ589" s="70">
        <v>2429.0</v>
      </c>
    </row>
    <row r="590" ht="22.5" customHeight="1">
      <c r="A590" s="70" t="str">
        <f t="shared" si="1"/>
        <v>Excluded</v>
      </c>
      <c r="B590" s="70">
        <f t="shared" si="2"/>
        <v>0</v>
      </c>
      <c r="C590" s="70">
        <v>0.0</v>
      </c>
      <c r="D590" s="70">
        <v>0.0</v>
      </c>
      <c r="E590" s="70">
        <v>0.0</v>
      </c>
      <c r="F590" s="70">
        <v>0.0</v>
      </c>
      <c r="G590" s="70">
        <v>0.0</v>
      </c>
      <c r="H590" s="70" t="s">
        <v>18579</v>
      </c>
      <c r="I590" s="70">
        <v>2041.0</v>
      </c>
      <c r="J590" s="70" t="s">
        <v>18577</v>
      </c>
      <c r="K590" s="70" t="s">
        <v>18578</v>
      </c>
      <c r="L590" s="70" t="s">
        <v>16436</v>
      </c>
      <c r="N590" s="70" t="s">
        <v>16437</v>
      </c>
      <c r="P590" s="76">
        <v>44103.0</v>
      </c>
      <c r="U590" s="70" t="s">
        <v>239</v>
      </c>
      <c r="W590" s="70" t="s">
        <v>18581</v>
      </c>
      <c r="Y590" s="70" t="s">
        <v>29984</v>
      </c>
      <c r="Z590" s="75" t="s">
        <v>18583</v>
      </c>
      <c r="AA590" s="70" t="s">
        <v>18584</v>
      </c>
      <c r="AC590" s="70">
        <v>19.0</v>
      </c>
      <c r="AE590" s="70">
        <v>35.0</v>
      </c>
      <c r="AF590" s="70" t="s">
        <v>16727</v>
      </c>
      <c r="AW590" s="70" t="s">
        <v>18585</v>
      </c>
      <c r="AZ590" s="70">
        <v>476.0</v>
      </c>
    </row>
    <row r="591" ht="22.5" customHeight="1">
      <c r="A591" s="70" t="str">
        <f t="shared" si="1"/>
        <v>Excluded</v>
      </c>
      <c r="B591" s="70">
        <f t="shared" si="2"/>
        <v>0</v>
      </c>
      <c r="C591" s="70">
        <v>0.0</v>
      </c>
      <c r="D591" s="70">
        <v>0.0</v>
      </c>
      <c r="E591" s="70">
        <v>0.0</v>
      </c>
      <c r="F591" s="70">
        <v>0.0</v>
      </c>
      <c r="G591" s="70">
        <v>0.0</v>
      </c>
      <c r="H591" s="70" t="s">
        <v>20915</v>
      </c>
      <c r="I591" s="70">
        <v>2303.0</v>
      </c>
      <c r="J591" s="70" t="s">
        <v>20913</v>
      </c>
      <c r="K591" s="70" t="s">
        <v>20914</v>
      </c>
      <c r="L591" s="70" t="s">
        <v>16436</v>
      </c>
      <c r="N591" s="70" t="s">
        <v>16437</v>
      </c>
      <c r="P591" s="77">
        <v>44110.0</v>
      </c>
      <c r="U591" s="70" t="s">
        <v>239</v>
      </c>
      <c r="W591" s="70" t="s">
        <v>20917</v>
      </c>
      <c r="Y591" s="70" t="s">
        <v>20918</v>
      </c>
      <c r="Z591" s="75" t="s">
        <v>20919</v>
      </c>
      <c r="AA591" s="70" t="s">
        <v>20920</v>
      </c>
      <c r="AC591" s="70">
        <v>2.0</v>
      </c>
      <c r="AE591" s="70">
        <v>53.0</v>
      </c>
      <c r="AF591" s="70" t="s">
        <v>16727</v>
      </c>
      <c r="AW591" s="70" t="s">
        <v>20921</v>
      </c>
      <c r="AZ591" s="70">
        <v>269.0</v>
      </c>
    </row>
    <row r="592" ht="22.5" customHeight="1">
      <c r="A592" s="70" t="str">
        <f t="shared" si="1"/>
        <v>Excluded</v>
      </c>
      <c r="B592" s="70">
        <f t="shared" si="2"/>
        <v>0</v>
      </c>
      <c r="C592" s="70">
        <v>0.0</v>
      </c>
      <c r="D592" s="70">
        <v>0.0</v>
      </c>
      <c r="E592" s="70">
        <v>0.0</v>
      </c>
      <c r="F592" s="70">
        <v>0.0</v>
      </c>
      <c r="G592" s="70">
        <v>0.0</v>
      </c>
      <c r="H592" s="70" t="s">
        <v>19227</v>
      </c>
      <c r="I592" s="70">
        <v>2114.0</v>
      </c>
      <c r="J592" s="70" t="s">
        <v>19225</v>
      </c>
      <c r="K592" s="70" t="s">
        <v>19226</v>
      </c>
      <c r="L592" s="70" t="s">
        <v>16436</v>
      </c>
      <c r="N592" s="70" t="s">
        <v>16437</v>
      </c>
      <c r="P592" s="77">
        <v>44112.0</v>
      </c>
      <c r="U592" s="70" t="s">
        <v>239</v>
      </c>
      <c r="W592" s="70" t="s">
        <v>19229</v>
      </c>
      <c r="Y592" s="70" t="s">
        <v>29985</v>
      </c>
      <c r="Z592" s="75" t="s">
        <v>19231</v>
      </c>
      <c r="AA592" s="70" t="s">
        <v>19232</v>
      </c>
      <c r="AC592" s="70">
        <v>12.0</v>
      </c>
      <c r="AE592" s="70">
        <v>54.0</v>
      </c>
      <c r="AF592" s="70" t="s">
        <v>16423</v>
      </c>
      <c r="AW592" s="70" t="s">
        <v>19233</v>
      </c>
      <c r="AX592" s="70">
        <v>0.0</v>
      </c>
      <c r="AY592" s="70" t="s">
        <v>24</v>
      </c>
      <c r="AZ592" s="70">
        <v>1948.0</v>
      </c>
    </row>
    <row r="593" ht="22.5" customHeight="1">
      <c r="A593" s="70" t="str">
        <f t="shared" si="1"/>
        <v>Excluded</v>
      </c>
      <c r="B593" s="70">
        <f t="shared" si="2"/>
        <v>0</v>
      </c>
      <c r="C593" s="70">
        <v>0.0</v>
      </c>
      <c r="D593" s="70">
        <v>0.0</v>
      </c>
      <c r="E593" s="70">
        <v>0.0</v>
      </c>
      <c r="F593" s="70">
        <v>0.0</v>
      </c>
      <c r="G593" s="70">
        <v>0.0</v>
      </c>
      <c r="H593" s="70" t="s">
        <v>18613</v>
      </c>
      <c r="I593" s="70">
        <v>2045.0</v>
      </c>
      <c r="J593" s="70" t="s">
        <v>18611</v>
      </c>
      <c r="K593" s="70" t="s">
        <v>18612</v>
      </c>
      <c r="L593" s="70" t="s">
        <v>16436</v>
      </c>
      <c r="N593" s="70" t="s">
        <v>16437</v>
      </c>
      <c r="P593" s="76">
        <v>44126.0</v>
      </c>
      <c r="U593" s="70" t="s">
        <v>239</v>
      </c>
      <c r="W593" s="70" t="s">
        <v>18615</v>
      </c>
      <c r="Y593" s="70" t="s">
        <v>18616</v>
      </c>
      <c r="Z593" s="75" t="s">
        <v>18617</v>
      </c>
      <c r="AA593" s="70" t="s">
        <v>18618</v>
      </c>
      <c r="AC593" s="70">
        <v>19.0</v>
      </c>
      <c r="AE593" s="70">
        <v>37.0</v>
      </c>
      <c r="AF593" s="70" t="s">
        <v>16423</v>
      </c>
      <c r="AW593" s="70" t="s">
        <v>18619</v>
      </c>
      <c r="AX593" s="70">
        <v>0.0</v>
      </c>
      <c r="AY593" s="70" t="s">
        <v>24</v>
      </c>
      <c r="AZ593" s="70">
        <v>1664.0</v>
      </c>
    </row>
    <row r="594" ht="22.5" customHeight="1">
      <c r="A594" s="70" t="str">
        <f t="shared" si="1"/>
        <v>Excluded</v>
      </c>
      <c r="B594" s="70">
        <f t="shared" si="2"/>
        <v>0</v>
      </c>
      <c r="C594" s="70">
        <v>0.0</v>
      </c>
      <c r="D594" s="70">
        <v>0.0</v>
      </c>
      <c r="E594" s="70">
        <v>0.0</v>
      </c>
      <c r="F594" s="70">
        <v>0.0</v>
      </c>
      <c r="G594" s="70">
        <v>0.0</v>
      </c>
      <c r="H594" s="70" t="s">
        <v>21759</v>
      </c>
      <c r="I594" s="70">
        <v>2399.0</v>
      </c>
      <c r="J594" s="70" t="s">
        <v>21757</v>
      </c>
      <c r="K594" s="70" t="s">
        <v>21758</v>
      </c>
      <c r="L594" s="70" t="s">
        <v>16436</v>
      </c>
      <c r="N594" s="70" t="s">
        <v>16437</v>
      </c>
      <c r="P594" s="77">
        <v>44138.0</v>
      </c>
      <c r="U594" s="70" t="s">
        <v>239</v>
      </c>
      <c r="W594" s="70" t="s">
        <v>21761</v>
      </c>
      <c r="Y594" s="70" t="s">
        <v>29986</v>
      </c>
      <c r="Z594" s="75" t="s">
        <v>21763</v>
      </c>
      <c r="AA594" s="70" t="s">
        <v>21764</v>
      </c>
      <c r="AE594" s="70">
        <v>45.0</v>
      </c>
      <c r="AF594" s="70" t="s">
        <v>16423</v>
      </c>
      <c r="AW594" s="70" t="s">
        <v>21765</v>
      </c>
      <c r="AZ594" s="70">
        <v>465.0</v>
      </c>
    </row>
    <row r="595" ht="22.5" customHeight="1">
      <c r="A595" s="70" t="str">
        <f t="shared" si="1"/>
        <v>Excluded</v>
      </c>
      <c r="B595" s="70">
        <f t="shared" si="2"/>
        <v>0</v>
      </c>
      <c r="C595" s="70">
        <v>0.0</v>
      </c>
      <c r="D595" s="70">
        <v>0.0</v>
      </c>
      <c r="E595" s="70">
        <v>0.0</v>
      </c>
      <c r="F595" s="70">
        <v>0.0</v>
      </c>
      <c r="G595" s="70">
        <v>0.0</v>
      </c>
      <c r="H595" s="70" t="s">
        <v>19307</v>
      </c>
      <c r="I595" s="70">
        <v>2123.0</v>
      </c>
      <c r="J595" s="70" t="s">
        <v>19305</v>
      </c>
      <c r="K595" s="70" t="s">
        <v>19306</v>
      </c>
      <c r="L595" s="70" t="s">
        <v>16436</v>
      </c>
      <c r="N595" s="70" t="s">
        <v>16437</v>
      </c>
      <c r="P595" s="77">
        <v>44139.0</v>
      </c>
      <c r="U595" s="70" t="s">
        <v>239</v>
      </c>
      <c r="W595" s="70" t="s">
        <v>29987</v>
      </c>
      <c r="Y595" s="70" t="s">
        <v>29988</v>
      </c>
      <c r="Z595" s="75" t="s">
        <v>19311</v>
      </c>
      <c r="AA595" s="70" t="s">
        <v>19312</v>
      </c>
      <c r="AC595" s="70">
        <v>11.0</v>
      </c>
      <c r="AE595" s="70">
        <v>104.0</v>
      </c>
      <c r="AF595" s="70" t="s">
        <v>16423</v>
      </c>
      <c r="AW595" s="70" t="s">
        <v>19313</v>
      </c>
      <c r="AX595" s="70">
        <v>0.0</v>
      </c>
      <c r="AY595" s="70" t="s">
        <v>24</v>
      </c>
      <c r="AZ595" s="70">
        <v>3104.0</v>
      </c>
    </row>
    <row r="596" ht="22.5" customHeight="1">
      <c r="A596" s="70" t="str">
        <f t="shared" si="1"/>
        <v>Excluded</v>
      </c>
      <c r="B596" s="70">
        <f t="shared" si="2"/>
        <v>0</v>
      </c>
      <c r="C596" s="70">
        <v>0.0</v>
      </c>
      <c r="D596" s="70">
        <v>0.0</v>
      </c>
      <c r="E596" s="70">
        <v>0.0</v>
      </c>
      <c r="F596" s="70">
        <v>0.0</v>
      </c>
      <c r="G596" s="70">
        <v>0.0</v>
      </c>
      <c r="H596" s="70" t="s">
        <v>17725</v>
      </c>
      <c r="I596" s="70">
        <v>1946.0</v>
      </c>
      <c r="J596" s="70" t="s">
        <v>17723</v>
      </c>
      <c r="K596" s="70" t="s">
        <v>17724</v>
      </c>
      <c r="L596" s="70" t="s">
        <v>16436</v>
      </c>
      <c r="N596" s="70" t="s">
        <v>16437</v>
      </c>
      <c r="P596" s="76">
        <v>44145.0</v>
      </c>
      <c r="U596" s="70" t="s">
        <v>239</v>
      </c>
      <c r="W596" s="70" t="s">
        <v>17727</v>
      </c>
      <c r="Y596" s="70" t="s">
        <v>17728</v>
      </c>
      <c r="Z596" s="75" t="s">
        <v>17729</v>
      </c>
      <c r="AA596" s="70" t="s">
        <v>17730</v>
      </c>
      <c r="AC596" s="70">
        <v>35.0</v>
      </c>
      <c r="AE596" s="70">
        <v>193.0</v>
      </c>
      <c r="AF596" s="70" t="s">
        <v>16727</v>
      </c>
      <c r="AW596" s="70" t="s">
        <v>17731</v>
      </c>
      <c r="AZ596" s="70">
        <v>327.0</v>
      </c>
    </row>
    <row r="597" ht="22.5" customHeight="1">
      <c r="A597" s="70" t="str">
        <f t="shared" si="1"/>
        <v>Excluded</v>
      </c>
      <c r="B597" s="70">
        <f t="shared" si="2"/>
        <v>0</v>
      </c>
      <c r="C597" s="70">
        <v>0.0</v>
      </c>
      <c r="D597" s="70">
        <v>0.0</v>
      </c>
      <c r="E597" s="70">
        <v>0.0</v>
      </c>
      <c r="F597" s="70">
        <v>0.0</v>
      </c>
      <c r="G597" s="70">
        <v>0.0</v>
      </c>
      <c r="H597" s="70" t="s">
        <v>19042</v>
      </c>
      <c r="I597" s="70">
        <v>2093.0</v>
      </c>
      <c r="J597" s="70" t="s">
        <v>19040</v>
      </c>
      <c r="K597" s="70" t="s">
        <v>19041</v>
      </c>
      <c r="L597" s="70" t="s">
        <v>16436</v>
      </c>
      <c r="N597" s="70" t="s">
        <v>16437</v>
      </c>
      <c r="P597" s="76">
        <v>44151.0</v>
      </c>
      <c r="U597" s="70" t="s">
        <v>239</v>
      </c>
      <c r="W597" s="70" t="s">
        <v>29989</v>
      </c>
      <c r="Y597" s="70" t="s">
        <v>19045</v>
      </c>
      <c r="Z597" s="75" t="s">
        <v>19046</v>
      </c>
      <c r="AA597" s="70" t="s">
        <v>19047</v>
      </c>
      <c r="AC597" s="70">
        <v>14.0</v>
      </c>
      <c r="AE597" s="70">
        <v>96.0</v>
      </c>
      <c r="AF597" s="70" t="s">
        <v>16423</v>
      </c>
      <c r="AW597" s="70" t="s">
        <v>19048</v>
      </c>
      <c r="AX597" s="70">
        <v>0.0</v>
      </c>
      <c r="AY597" s="70" t="s">
        <v>24</v>
      </c>
      <c r="AZ597" s="70">
        <v>2717.0</v>
      </c>
    </row>
    <row r="598" ht="22.5" customHeight="1">
      <c r="A598" s="70" t="str">
        <f t="shared" si="1"/>
        <v>Excluded</v>
      </c>
      <c r="B598" s="70">
        <f t="shared" si="2"/>
        <v>0</v>
      </c>
      <c r="C598" s="70">
        <v>0.0</v>
      </c>
      <c r="D598" s="70">
        <v>0.0</v>
      </c>
      <c r="E598" s="70">
        <v>0.0</v>
      </c>
      <c r="F598" s="70">
        <v>0.0</v>
      </c>
      <c r="G598" s="70">
        <v>0.0</v>
      </c>
      <c r="H598" s="70" t="s">
        <v>17743</v>
      </c>
      <c r="I598" s="70">
        <v>1948.0</v>
      </c>
      <c r="J598" s="70" t="s">
        <v>29990</v>
      </c>
      <c r="K598" s="70" t="s">
        <v>17742</v>
      </c>
      <c r="L598" s="70" t="s">
        <v>16436</v>
      </c>
      <c r="N598" s="70" t="s">
        <v>16437</v>
      </c>
      <c r="P598" s="76">
        <v>44154.0</v>
      </c>
      <c r="U598" s="70" t="s">
        <v>239</v>
      </c>
      <c r="W598" s="70" t="s">
        <v>29991</v>
      </c>
      <c r="Y598" s="70" t="s">
        <v>29992</v>
      </c>
      <c r="Z598" s="75" t="s">
        <v>17747</v>
      </c>
      <c r="AA598" s="70" t="s">
        <v>17748</v>
      </c>
      <c r="AC598" s="70">
        <v>35.0</v>
      </c>
      <c r="AE598" s="70">
        <v>60.0</v>
      </c>
      <c r="AF598" s="70" t="s">
        <v>16423</v>
      </c>
      <c r="AW598" s="70" t="s">
        <v>17749</v>
      </c>
      <c r="AX598" s="70">
        <v>0.0</v>
      </c>
      <c r="AY598" s="70" t="s">
        <v>24</v>
      </c>
      <c r="AZ598" s="70">
        <v>2578.0</v>
      </c>
    </row>
    <row r="599" ht="22.5" customHeight="1">
      <c r="A599" s="70" t="str">
        <f t="shared" si="1"/>
        <v>Excluded</v>
      </c>
      <c r="B599" s="70">
        <f t="shared" si="2"/>
        <v>0</v>
      </c>
      <c r="C599" s="70">
        <v>0.0</v>
      </c>
      <c r="D599" s="70">
        <v>0.0</v>
      </c>
      <c r="E599" s="70">
        <v>0.0</v>
      </c>
      <c r="F599" s="70">
        <v>0.0</v>
      </c>
      <c r="G599" s="70">
        <v>0.0</v>
      </c>
      <c r="H599" s="70" t="s">
        <v>28797</v>
      </c>
      <c r="I599" s="70">
        <v>3096.0</v>
      </c>
      <c r="J599" s="70" t="s">
        <v>28795</v>
      </c>
      <c r="K599" s="70" t="s">
        <v>28796</v>
      </c>
      <c r="W599" s="70" t="s">
        <v>29993</v>
      </c>
      <c r="AA599" s="70" t="s">
        <v>28799</v>
      </c>
      <c r="AI599" s="70" t="s">
        <v>28800</v>
      </c>
      <c r="AJ599" s="70" t="s">
        <v>28801</v>
      </c>
      <c r="AK599" s="70">
        <v>2020.0</v>
      </c>
      <c r="AL599" s="70" t="s">
        <v>16436</v>
      </c>
      <c r="AM599" s="70">
        <v>9272959.0</v>
      </c>
      <c r="AN599" s="70">
        <v>215550.0</v>
      </c>
      <c r="AO599" s="70">
        <v>215569.0</v>
      </c>
      <c r="AP599" s="70">
        <v>19.0</v>
      </c>
      <c r="AQ599" s="70">
        <v>27.0</v>
      </c>
      <c r="AR599" s="75" t="s">
        <v>28802</v>
      </c>
      <c r="AS599" s="70" t="s">
        <v>22525</v>
      </c>
      <c r="AT599" s="70" t="s">
        <v>22643</v>
      </c>
      <c r="AU599" s="70" t="s">
        <v>237</v>
      </c>
      <c r="AV599" s="70" t="s">
        <v>28803</v>
      </c>
      <c r="AW599" s="70" t="s">
        <v>28804</v>
      </c>
      <c r="AX599" s="70">
        <v>0.0</v>
      </c>
      <c r="AY599" s="70" t="s">
        <v>24</v>
      </c>
      <c r="AZ599" s="70">
        <v>1981.0</v>
      </c>
    </row>
    <row r="600" ht="22.5" customHeight="1">
      <c r="A600" s="70" t="str">
        <f t="shared" si="1"/>
        <v>Excluded</v>
      </c>
      <c r="B600" s="70">
        <f t="shared" si="2"/>
        <v>0</v>
      </c>
      <c r="C600" s="70">
        <v>0.0</v>
      </c>
      <c r="D600" s="70">
        <v>0.0</v>
      </c>
      <c r="E600" s="70">
        <v>0.0</v>
      </c>
      <c r="F600" s="70">
        <v>0.0</v>
      </c>
      <c r="G600" s="70">
        <v>0.0</v>
      </c>
      <c r="H600" s="70" t="s">
        <v>20749</v>
      </c>
      <c r="I600" s="70">
        <v>2285.0</v>
      </c>
      <c r="J600" s="70" t="s">
        <v>20747</v>
      </c>
      <c r="K600" s="70" t="s">
        <v>20748</v>
      </c>
      <c r="L600" s="70" t="s">
        <v>16436</v>
      </c>
      <c r="N600" s="70" t="s">
        <v>16437</v>
      </c>
      <c r="P600" s="76">
        <v>44165.0</v>
      </c>
      <c r="U600" s="70" t="s">
        <v>239</v>
      </c>
      <c r="W600" s="70" t="s">
        <v>20751</v>
      </c>
      <c r="Y600" s="70" t="s">
        <v>20752</v>
      </c>
      <c r="Z600" s="75" t="s">
        <v>20753</v>
      </c>
      <c r="AA600" s="70" t="s">
        <v>20754</v>
      </c>
      <c r="AC600" s="70">
        <v>3.0</v>
      </c>
      <c r="AE600" s="70">
        <v>33.0</v>
      </c>
      <c r="AF600" s="70" t="s">
        <v>16423</v>
      </c>
      <c r="AW600" s="70" t="s">
        <v>20755</v>
      </c>
      <c r="AX600" s="70">
        <v>0.0</v>
      </c>
      <c r="AY600" s="70" t="s">
        <v>24</v>
      </c>
      <c r="AZ600" s="70">
        <v>2306.0</v>
      </c>
    </row>
    <row r="601" ht="22.5" customHeight="1">
      <c r="A601" s="70" t="str">
        <f t="shared" si="1"/>
        <v>Excluded</v>
      </c>
      <c r="B601" s="70">
        <f t="shared" si="2"/>
        <v>0</v>
      </c>
      <c r="C601" s="70">
        <v>0.0</v>
      </c>
      <c r="D601" s="70">
        <v>0.0</v>
      </c>
      <c r="E601" s="70">
        <v>0.0</v>
      </c>
      <c r="F601" s="70">
        <v>0.0</v>
      </c>
      <c r="G601" s="70">
        <v>0.0</v>
      </c>
      <c r="H601" s="70" t="s">
        <v>22446</v>
      </c>
      <c r="I601" s="70">
        <v>2477.0</v>
      </c>
      <c r="J601" s="70" t="s">
        <v>22444</v>
      </c>
      <c r="K601" s="70" t="s">
        <v>29994</v>
      </c>
      <c r="L601" s="70" t="s">
        <v>16436</v>
      </c>
      <c r="N601" s="70" t="s">
        <v>16437</v>
      </c>
      <c r="P601" s="76">
        <v>44187.0</v>
      </c>
      <c r="U601" s="70" t="s">
        <v>239</v>
      </c>
      <c r="W601" s="70" t="s">
        <v>29995</v>
      </c>
      <c r="Z601" s="75" t="s">
        <v>22449</v>
      </c>
      <c r="AC601" s="70">
        <v>3.0</v>
      </c>
      <c r="AE601" s="70">
        <v>0.0</v>
      </c>
      <c r="AF601" s="70" t="s">
        <v>16423</v>
      </c>
      <c r="AZ601" s="70">
        <v>1008.0</v>
      </c>
    </row>
    <row r="602" ht="22.5" customHeight="1">
      <c r="A602" s="70" t="str">
        <f t="shared" si="1"/>
        <v>Excluded</v>
      </c>
      <c r="B602" s="70">
        <f t="shared" si="2"/>
        <v>0</v>
      </c>
      <c r="C602" s="70">
        <v>0.0</v>
      </c>
      <c r="D602" s="70">
        <v>0.0</v>
      </c>
      <c r="E602" s="70">
        <v>0.0</v>
      </c>
      <c r="F602" s="70">
        <v>0.0</v>
      </c>
      <c r="G602" s="70">
        <v>0.0</v>
      </c>
      <c r="H602" s="70" t="s">
        <v>16595</v>
      </c>
      <c r="I602" s="70">
        <v>1820.0</v>
      </c>
      <c r="J602" s="70" t="s">
        <v>16593</v>
      </c>
      <c r="K602" s="70" t="s">
        <v>16594</v>
      </c>
      <c r="L602" s="70" t="s">
        <v>16436</v>
      </c>
      <c r="N602" s="70" t="s">
        <v>16437</v>
      </c>
      <c r="P602" s="77">
        <v>44172.0</v>
      </c>
      <c r="U602" s="70" t="s">
        <v>239</v>
      </c>
      <c r="W602" s="70" t="s">
        <v>16597</v>
      </c>
      <c r="Y602" s="70" t="s">
        <v>29996</v>
      </c>
      <c r="Z602" s="75" t="s">
        <v>16599</v>
      </c>
      <c r="AA602" s="70" t="s">
        <v>16600</v>
      </c>
      <c r="AC602" s="70">
        <v>290.0</v>
      </c>
      <c r="AE602" s="70">
        <v>102.0</v>
      </c>
      <c r="AF602" s="70" t="s">
        <v>16423</v>
      </c>
      <c r="AW602" s="70" t="s">
        <v>16601</v>
      </c>
      <c r="AZ602" s="70">
        <v>537.0</v>
      </c>
    </row>
    <row r="603" ht="22.5" customHeight="1">
      <c r="A603" s="70" t="str">
        <f t="shared" si="1"/>
        <v>Excluded</v>
      </c>
      <c r="B603" s="70">
        <f t="shared" si="2"/>
        <v>0</v>
      </c>
      <c r="C603" s="70">
        <v>0.0</v>
      </c>
      <c r="D603" s="70">
        <v>0.0</v>
      </c>
      <c r="E603" s="70">
        <v>0.0</v>
      </c>
      <c r="F603" s="70">
        <v>0.0</v>
      </c>
      <c r="G603" s="70">
        <v>0.0</v>
      </c>
      <c r="H603" s="70" t="s">
        <v>18381</v>
      </c>
      <c r="I603" s="70">
        <v>2019.0</v>
      </c>
      <c r="J603" s="70" t="s">
        <v>18379</v>
      </c>
      <c r="K603" s="70" t="s">
        <v>18380</v>
      </c>
      <c r="L603" s="70" t="s">
        <v>16436</v>
      </c>
      <c r="N603" s="70" t="s">
        <v>16437</v>
      </c>
      <c r="P603" s="76">
        <v>44182.0</v>
      </c>
      <c r="U603" s="70" t="s">
        <v>239</v>
      </c>
      <c r="W603" s="70" t="s">
        <v>18383</v>
      </c>
      <c r="Y603" s="70" t="s">
        <v>29997</v>
      </c>
      <c r="Z603" s="75" t="s">
        <v>18385</v>
      </c>
      <c r="AA603" s="70" t="s">
        <v>18386</v>
      </c>
      <c r="AC603" s="70">
        <v>22.0</v>
      </c>
      <c r="AE603" s="70">
        <v>54.0</v>
      </c>
      <c r="AF603" s="70" t="s">
        <v>16423</v>
      </c>
      <c r="AW603" s="70" t="s">
        <v>18387</v>
      </c>
      <c r="AX603" s="70">
        <v>0.0</v>
      </c>
      <c r="AY603" s="70" t="s">
        <v>24</v>
      </c>
      <c r="AZ603" s="70">
        <v>1956.0</v>
      </c>
    </row>
    <row r="604" ht="22.5" customHeight="1">
      <c r="A604" s="70" t="str">
        <f t="shared" si="1"/>
        <v>Excluded</v>
      </c>
      <c r="B604" s="70">
        <f t="shared" si="2"/>
        <v>0</v>
      </c>
      <c r="C604" s="70">
        <v>0.0</v>
      </c>
      <c r="D604" s="70">
        <v>0.0</v>
      </c>
      <c r="E604" s="70">
        <v>0.0</v>
      </c>
      <c r="F604" s="70">
        <v>0.0</v>
      </c>
      <c r="G604" s="70">
        <v>0.0</v>
      </c>
      <c r="H604" s="70" t="s">
        <v>19402</v>
      </c>
      <c r="I604" s="70">
        <v>2134.0</v>
      </c>
      <c r="J604" s="70" t="s">
        <v>19400</v>
      </c>
      <c r="K604" s="70" t="s">
        <v>19401</v>
      </c>
      <c r="L604" s="70" t="s">
        <v>16436</v>
      </c>
      <c r="N604" s="70" t="s">
        <v>16437</v>
      </c>
      <c r="P604" s="76">
        <v>44193.0</v>
      </c>
      <c r="U604" s="70" t="s">
        <v>239</v>
      </c>
      <c r="W604" s="70" t="s">
        <v>19404</v>
      </c>
      <c r="Y604" s="70" t="s">
        <v>29998</v>
      </c>
      <c r="Z604" s="75" t="s">
        <v>19406</v>
      </c>
      <c r="AA604" s="70" t="s">
        <v>19407</v>
      </c>
      <c r="AC604" s="70">
        <v>11.0</v>
      </c>
      <c r="AE604" s="70">
        <v>41.0</v>
      </c>
      <c r="AF604" s="70" t="s">
        <v>16727</v>
      </c>
      <c r="AW604" s="70" t="s">
        <v>19408</v>
      </c>
      <c r="AX604" s="70">
        <v>0.0</v>
      </c>
      <c r="AY604" s="70" t="s">
        <v>24</v>
      </c>
      <c r="AZ604" s="70">
        <v>2037.0</v>
      </c>
    </row>
    <row r="605" ht="22.5" customHeight="1">
      <c r="A605" s="70" t="str">
        <f t="shared" si="1"/>
        <v>Excluded</v>
      </c>
      <c r="B605" s="70">
        <f t="shared" si="2"/>
        <v>0</v>
      </c>
      <c r="C605" s="70">
        <v>0.0</v>
      </c>
      <c r="D605" s="70">
        <v>0.0</v>
      </c>
      <c r="E605" s="70">
        <v>0.0</v>
      </c>
      <c r="F605" s="70">
        <v>0.0</v>
      </c>
      <c r="G605" s="70">
        <v>0.0</v>
      </c>
      <c r="H605" s="70" t="s">
        <v>17014</v>
      </c>
      <c r="I605" s="70">
        <v>1867.0</v>
      </c>
      <c r="J605" s="70" t="s">
        <v>17012</v>
      </c>
      <c r="K605" s="70" t="s">
        <v>17013</v>
      </c>
      <c r="L605" s="70" t="s">
        <v>16436</v>
      </c>
      <c r="N605" s="70" t="s">
        <v>16437</v>
      </c>
      <c r="P605" s="77">
        <v>44204.0</v>
      </c>
      <c r="U605" s="70" t="s">
        <v>239</v>
      </c>
      <c r="W605" s="70" t="s">
        <v>17015</v>
      </c>
      <c r="Y605" s="70" t="s">
        <v>29999</v>
      </c>
      <c r="Z605" s="75" t="s">
        <v>17017</v>
      </c>
      <c r="AA605" s="70" t="s">
        <v>17018</v>
      </c>
      <c r="AC605" s="70">
        <v>83.0</v>
      </c>
      <c r="AE605" s="70">
        <v>102.0</v>
      </c>
      <c r="AF605" s="70" t="s">
        <v>16423</v>
      </c>
      <c r="AW605" s="70" t="s">
        <v>17019</v>
      </c>
      <c r="AX605" s="70">
        <v>0.0</v>
      </c>
      <c r="AY605" s="70" t="s">
        <v>24</v>
      </c>
      <c r="AZ605" s="70">
        <v>2780.0</v>
      </c>
    </row>
    <row r="606" ht="22.5" customHeight="1">
      <c r="A606" s="70" t="str">
        <f t="shared" si="1"/>
        <v>Excluded</v>
      </c>
      <c r="B606" s="70">
        <f t="shared" si="2"/>
        <v>0</v>
      </c>
      <c r="C606" s="70">
        <v>0.0</v>
      </c>
      <c r="D606" s="70">
        <v>0.0</v>
      </c>
      <c r="E606" s="70">
        <v>0.0</v>
      </c>
      <c r="F606" s="70">
        <v>0.0</v>
      </c>
      <c r="G606" s="70">
        <v>0.0</v>
      </c>
      <c r="H606" s="70" t="s">
        <v>20035</v>
      </c>
      <c r="I606" s="70">
        <v>2205.0</v>
      </c>
      <c r="J606" s="70" t="s">
        <v>20033</v>
      </c>
      <c r="K606" s="70" t="s">
        <v>20034</v>
      </c>
      <c r="L606" s="70" t="s">
        <v>16436</v>
      </c>
      <c r="N606" s="70" t="s">
        <v>16437</v>
      </c>
      <c r="P606" s="76">
        <v>44210.0</v>
      </c>
      <c r="U606" s="70" t="s">
        <v>239</v>
      </c>
      <c r="W606" s="70" t="s">
        <v>20037</v>
      </c>
      <c r="Y606" s="70" t="s">
        <v>30000</v>
      </c>
      <c r="Z606" s="75" t="s">
        <v>20039</v>
      </c>
      <c r="AA606" s="70" t="s">
        <v>20040</v>
      </c>
      <c r="AC606" s="70">
        <v>6.0</v>
      </c>
      <c r="AE606" s="70">
        <v>64.0</v>
      </c>
      <c r="AF606" s="70" t="s">
        <v>16727</v>
      </c>
      <c r="AW606" s="70" t="s">
        <v>20041</v>
      </c>
      <c r="AZ606" s="70">
        <v>381.0</v>
      </c>
    </row>
    <row r="607" ht="22.5" customHeight="1">
      <c r="A607" s="70" t="str">
        <f t="shared" si="1"/>
        <v>Excluded</v>
      </c>
      <c r="B607" s="70">
        <f t="shared" si="2"/>
        <v>0</v>
      </c>
      <c r="C607" s="70">
        <v>0.0</v>
      </c>
      <c r="D607" s="70">
        <v>0.0</v>
      </c>
      <c r="E607" s="70">
        <v>0.0</v>
      </c>
      <c r="F607" s="70">
        <v>0.0</v>
      </c>
      <c r="G607" s="70">
        <v>0.0</v>
      </c>
      <c r="H607" s="70" t="s">
        <v>16988</v>
      </c>
      <c r="I607" s="70">
        <v>1864.0</v>
      </c>
      <c r="J607" s="70" t="s">
        <v>16986</v>
      </c>
      <c r="K607" s="70" t="s">
        <v>16987</v>
      </c>
      <c r="L607" s="70" t="s">
        <v>16436</v>
      </c>
      <c r="N607" s="70" t="s">
        <v>16437</v>
      </c>
      <c r="P607" s="76">
        <v>44217.0</v>
      </c>
      <c r="U607" s="70" t="s">
        <v>239</v>
      </c>
      <c r="W607" s="70" t="s">
        <v>16990</v>
      </c>
      <c r="Z607" s="75" t="s">
        <v>16991</v>
      </c>
      <c r="AA607" s="70" t="s">
        <v>16992</v>
      </c>
      <c r="AC607" s="70">
        <v>85.0</v>
      </c>
      <c r="AE607" s="70">
        <v>105.0</v>
      </c>
      <c r="AF607" s="70" t="s">
        <v>16423</v>
      </c>
      <c r="AW607" s="70" t="s">
        <v>16993</v>
      </c>
      <c r="AX607" s="70">
        <v>0.0</v>
      </c>
      <c r="AY607" s="70" t="s">
        <v>24</v>
      </c>
      <c r="AZ607" s="70">
        <v>2348.0</v>
      </c>
    </row>
    <row r="608" ht="22.5" customHeight="1">
      <c r="A608" s="70" t="str">
        <f t="shared" si="1"/>
        <v>Excluded</v>
      </c>
      <c r="B608" s="70">
        <f t="shared" si="2"/>
        <v>0</v>
      </c>
      <c r="C608" s="70">
        <v>0.0</v>
      </c>
      <c r="D608" s="70">
        <v>0.0</v>
      </c>
      <c r="E608" s="70">
        <v>0.0</v>
      </c>
      <c r="F608" s="70">
        <v>0.0</v>
      </c>
      <c r="G608" s="70">
        <v>0.0</v>
      </c>
      <c r="H608" s="70" t="s">
        <v>16721</v>
      </c>
      <c r="I608" s="70">
        <v>1834.0</v>
      </c>
      <c r="J608" s="70" t="s">
        <v>16719</v>
      </c>
      <c r="K608" s="70" t="s">
        <v>16720</v>
      </c>
      <c r="L608" s="70" t="s">
        <v>16436</v>
      </c>
      <c r="N608" s="70" t="s">
        <v>16437</v>
      </c>
      <c r="P608" s="76">
        <v>44222.0</v>
      </c>
      <c r="U608" s="70" t="s">
        <v>239</v>
      </c>
      <c r="W608" s="70" t="s">
        <v>16723</v>
      </c>
      <c r="Y608" s="70" t="s">
        <v>16724</v>
      </c>
      <c r="Z608" s="75" t="s">
        <v>16725</v>
      </c>
      <c r="AA608" s="70" t="s">
        <v>16726</v>
      </c>
      <c r="AC608" s="70">
        <v>172.0</v>
      </c>
      <c r="AE608" s="70">
        <v>159.0</v>
      </c>
      <c r="AF608" s="70" t="s">
        <v>16727</v>
      </c>
      <c r="AW608" s="70" t="s">
        <v>16728</v>
      </c>
      <c r="AZ608" s="70">
        <v>1132.0</v>
      </c>
    </row>
    <row r="609" ht="22.5" customHeight="1">
      <c r="A609" s="70" t="str">
        <f t="shared" si="1"/>
        <v>Excluded</v>
      </c>
      <c r="B609" s="70">
        <f t="shared" si="2"/>
        <v>0</v>
      </c>
      <c r="C609" s="70">
        <v>0.0</v>
      </c>
      <c r="D609" s="70">
        <v>0.0</v>
      </c>
      <c r="E609" s="70">
        <v>0.0</v>
      </c>
      <c r="F609" s="70">
        <v>0.0</v>
      </c>
      <c r="G609" s="70">
        <v>0.0</v>
      </c>
      <c r="H609" s="70" t="s">
        <v>18630</v>
      </c>
      <c r="I609" s="70">
        <v>2047.0</v>
      </c>
      <c r="J609" s="70" t="s">
        <v>30001</v>
      </c>
      <c r="K609" s="70" t="s">
        <v>18629</v>
      </c>
      <c r="L609" s="70" t="s">
        <v>16436</v>
      </c>
      <c r="N609" s="70" t="s">
        <v>16437</v>
      </c>
      <c r="P609" s="77">
        <v>44232.0</v>
      </c>
      <c r="U609" s="70" t="s">
        <v>239</v>
      </c>
      <c r="W609" s="70" t="s">
        <v>18632</v>
      </c>
      <c r="Y609" s="70" t="s">
        <v>30002</v>
      </c>
      <c r="Z609" s="75" t="s">
        <v>18634</v>
      </c>
      <c r="AA609" s="70" t="s">
        <v>18635</v>
      </c>
      <c r="AC609" s="70">
        <v>18.0</v>
      </c>
      <c r="AE609" s="70">
        <v>138.0</v>
      </c>
      <c r="AF609" s="70" t="s">
        <v>16423</v>
      </c>
      <c r="AW609" s="70" t="s">
        <v>18636</v>
      </c>
      <c r="AX609" s="70">
        <v>0.0</v>
      </c>
      <c r="AY609" s="70" t="s">
        <v>24</v>
      </c>
      <c r="AZ609" s="70">
        <v>2085.0</v>
      </c>
    </row>
    <row r="610" ht="22.5" customHeight="1">
      <c r="A610" s="70" t="str">
        <f t="shared" si="1"/>
        <v>Excluded</v>
      </c>
      <c r="B610" s="70">
        <f t="shared" si="2"/>
        <v>0</v>
      </c>
      <c r="C610" s="70">
        <v>0.0</v>
      </c>
      <c r="D610" s="70">
        <v>0.0</v>
      </c>
      <c r="E610" s="70">
        <v>0.0</v>
      </c>
      <c r="F610" s="70">
        <v>0.0</v>
      </c>
      <c r="G610" s="70">
        <v>0.0</v>
      </c>
      <c r="H610" s="70" t="s">
        <v>19366</v>
      </c>
      <c r="I610" s="70">
        <v>2130.0</v>
      </c>
      <c r="J610" s="70" t="s">
        <v>30003</v>
      </c>
      <c r="K610" s="70" t="s">
        <v>19365</v>
      </c>
      <c r="L610" s="70" t="s">
        <v>16436</v>
      </c>
      <c r="N610" s="70" t="s">
        <v>16437</v>
      </c>
      <c r="P610" s="76">
        <v>44272.0</v>
      </c>
      <c r="U610" s="70" t="s">
        <v>239</v>
      </c>
      <c r="W610" s="70" t="s">
        <v>19368</v>
      </c>
      <c r="Y610" s="70" t="s">
        <v>30004</v>
      </c>
      <c r="Z610" s="75" t="s">
        <v>19370</v>
      </c>
      <c r="AA610" s="70" t="s">
        <v>19371</v>
      </c>
      <c r="AC610" s="70">
        <v>11.0</v>
      </c>
      <c r="AE610" s="70">
        <v>110.0</v>
      </c>
      <c r="AF610" s="70" t="s">
        <v>16423</v>
      </c>
      <c r="AW610" s="70" t="s">
        <v>19372</v>
      </c>
      <c r="AX610" s="70">
        <v>0.0</v>
      </c>
      <c r="AY610" s="70" t="s">
        <v>24</v>
      </c>
      <c r="AZ610" s="70">
        <v>2179.0</v>
      </c>
    </row>
    <row r="611" ht="22.5" customHeight="1">
      <c r="A611" s="70" t="str">
        <f t="shared" si="1"/>
        <v>Excluded</v>
      </c>
      <c r="B611" s="70">
        <f t="shared" si="2"/>
        <v>0</v>
      </c>
      <c r="C611" s="70">
        <v>0.0</v>
      </c>
      <c r="D611" s="70">
        <v>0.0</v>
      </c>
      <c r="E611" s="70">
        <v>0.0</v>
      </c>
      <c r="F611" s="70">
        <v>0.0</v>
      </c>
      <c r="G611" s="70">
        <v>0.0</v>
      </c>
      <c r="H611" s="70" t="s">
        <v>19517</v>
      </c>
      <c r="I611" s="70">
        <v>2147.0</v>
      </c>
      <c r="J611" s="70" t="s">
        <v>19515</v>
      </c>
      <c r="K611" s="70" t="s">
        <v>19516</v>
      </c>
      <c r="L611" s="70" t="s">
        <v>16436</v>
      </c>
      <c r="N611" s="70" t="s">
        <v>16437</v>
      </c>
      <c r="P611" s="76">
        <v>44279.0</v>
      </c>
      <c r="U611" s="70" t="s">
        <v>239</v>
      </c>
      <c r="W611" s="70" t="s">
        <v>19519</v>
      </c>
      <c r="Y611" s="70" t="s">
        <v>19520</v>
      </c>
      <c r="Z611" s="75" t="s">
        <v>19521</v>
      </c>
      <c r="AA611" s="70" t="s">
        <v>19522</v>
      </c>
      <c r="AC611" s="70">
        <v>9.0</v>
      </c>
      <c r="AE611" s="70">
        <v>40.0</v>
      </c>
      <c r="AF611" s="70" t="s">
        <v>16727</v>
      </c>
      <c r="AW611" s="70" t="s">
        <v>19523</v>
      </c>
      <c r="AZ611" s="70">
        <v>312.0</v>
      </c>
    </row>
    <row r="612" ht="22.5" customHeight="1">
      <c r="A612" s="70" t="str">
        <f t="shared" si="1"/>
        <v>Excluded</v>
      </c>
      <c r="B612" s="70">
        <f t="shared" si="2"/>
        <v>0</v>
      </c>
      <c r="C612" s="70">
        <v>0.0</v>
      </c>
      <c r="D612" s="70">
        <v>0.0</v>
      </c>
      <c r="E612" s="70">
        <v>0.0</v>
      </c>
      <c r="F612" s="70">
        <v>0.0</v>
      </c>
      <c r="G612" s="70">
        <v>0.0</v>
      </c>
      <c r="H612" s="70" t="s">
        <v>16898</v>
      </c>
      <c r="I612" s="70">
        <v>1854.0</v>
      </c>
      <c r="J612" s="70" t="s">
        <v>16896</v>
      </c>
      <c r="K612" s="70" t="s">
        <v>16897</v>
      </c>
      <c r="L612" s="70" t="s">
        <v>16436</v>
      </c>
      <c r="N612" s="70" t="s">
        <v>16437</v>
      </c>
      <c r="P612" s="77">
        <v>44288.0</v>
      </c>
      <c r="U612" s="70" t="s">
        <v>239</v>
      </c>
      <c r="W612" s="70" t="s">
        <v>16900</v>
      </c>
      <c r="Z612" s="75" t="s">
        <v>16901</v>
      </c>
      <c r="AA612" s="70" t="s">
        <v>16902</v>
      </c>
      <c r="AC612" s="70">
        <v>103.0</v>
      </c>
      <c r="AE612" s="70">
        <v>91.0</v>
      </c>
      <c r="AF612" s="70" t="s">
        <v>16423</v>
      </c>
      <c r="AW612" s="70" t="s">
        <v>16903</v>
      </c>
      <c r="AX612" s="70">
        <v>0.0</v>
      </c>
      <c r="AY612" s="70" t="s">
        <v>24</v>
      </c>
      <c r="AZ612" s="70">
        <v>3039.0</v>
      </c>
    </row>
    <row r="613" ht="22.5" customHeight="1">
      <c r="A613" s="70" t="str">
        <f t="shared" si="1"/>
        <v>Excluded</v>
      </c>
      <c r="B613" s="70">
        <f t="shared" si="2"/>
        <v>0</v>
      </c>
      <c r="C613" s="70">
        <v>0.0</v>
      </c>
      <c r="D613" s="70">
        <v>0.0</v>
      </c>
      <c r="E613" s="70">
        <v>0.0</v>
      </c>
      <c r="F613" s="70">
        <v>0.0</v>
      </c>
      <c r="G613" s="70">
        <v>0.0</v>
      </c>
      <c r="H613" s="70" t="s">
        <v>19693</v>
      </c>
      <c r="I613" s="70">
        <v>2167.0</v>
      </c>
      <c r="J613" s="70" t="s">
        <v>30005</v>
      </c>
      <c r="K613" s="70" t="s">
        <v>19692</v>
      </c>
      <c r="L613" s="70" t="s">
        <v>16436</v>
      </c>
      <c r="N613" s="70" t="s">
        <v>16437</v>
      </c>
      <c r="P613" s="77">
        <v>44295.0</v>
      </c>
      <c r="U613" s="70" t="s">
        <v>239</v>
      </c>
      <c r="W613" s="70" t="s">
        <v>19695</v>
      </c>
      <c r="Y613" s="70" t="s">
        <v>19696</v>
      </c>
      <c r="Z613" s="75" t="s">
        <v>19697</v>
      </c>
      <c r="AA613" s="70" t="s">
        <v>19698</v>
      </c>
      <c r="AC613" s="70">
        <v>8.0</v>
      </c>
      <c r="AE613" s="70">
        <v>49.0</v>
      </c>
      <c r="AF613" s="70" t="s">
        <v>16727</v>
      </c>
      <c r="AW613" s="70" t="s">
        <v>19699</v>
      </c>
      <c r="AX613" s="70">
        <v>0.0</v>
      </c>
      <c r="AY613" s="70" t="s">
        <v>24</v>
      </c>
      <c r="AZ613" s="70">
        <v>2617.0</v>
      </c>
    </row>
    <row r="614" ht="22.5" customHeight="1">
      <c r="A614" s="70" t="str">
        <f t="shared" si="1"/>
        <v>Excluded</v>
      </c>
      <c r="B614" s="70">
        <f t="shared" si="2"/>
        <v>0</v>
      </c>
      <c r="C614" s="70">
        <v>0.0</v>
      </c>
      <c r="D614" s="70">
        <v>0.0</v>
      </c>
      <c r="E614" s="70">
        <v>0.0</v>
      </c>
      <c r="F614" s="70">
        <v>0.0</v>
      </c>
      <c r="G614" s="70">
        <v>0.0</v>
      </c>
      <c r="H614" s="70" t="s">
        <v>17476</v>
      </c>
      <c r="I614" s="70">
        <v>1918.0</v>
      </c>
      <c r="J614" s="70" t="s">
        <v>17474</v>
      </c>
      <c r="K614" s="70" t="s">
        <v>17475</v>
      </c>
      <c r="L614" s="70" t="s">
        <v>16436</v>
      </c>
      <c r="N614" s="70" t="s">
        <v>16437</v>
      </c>
      <c r="P614" s="79">
        <v>44320.0</v>
      </c>
      <c r="U614" s="70" t="s">
        <v>239</v>
      </c>
      <c r="W614" s="70" t="s">
        <v>17478</v>
      </c>
      <c r="Z614" s="75" t="s">
        <v>17479</v>
      </c>
      <c r="AA614" s="70" t="s">
        <v>17480</v>
      </c>
      <c r="AC614" s="70">
        <v>46.0</v>
      </c>
      <c r="AE614" s="70">
        <v>105.0</v>
      </c>
      <c r="AF614" s="70" t="s">
        <v>16423</v>
      </c>
      <c r="AW614" s="70" t="s">
        <v>17481</v>
      </c>
      <c r="AX614" s="70">
        <v>0.0</v>
      </c>
      <c r="AY614" s="70" t="s">
        <v>24</v>
      </c>
      <c r="AZ614" s="70">
        <v>1920.0</v>
      </c>
    </row>
    <row r="615" ht="22.5" customHeight="1">
      <c r="A615" s="70" t="str">
        <f t="shared" si="1"/>
        <v>Excluded</v>
      </c>
      <c r="B615" s="70">
        <f t="shared" si="2"/>
        <v>0</v>
      </c>
      <c r="C615" s="70">
        <v>0.0</v>
      </c>
      <c r="D615" s="70">
        <v>0.0</v>
      </c>
      <c r="E615" s="70">
        <v>0.0</v>
      </c>
      <c r="F615" s="70">
        <v>0.0</v>
      </c>
      <c r="G615" s="70">
        <v>0.0</v>
      </c>
      <c r="H615" s="70" t="s">
        <v>18459</v>
      </c>
      <c r="I615" s="70">
        <v>2028.0</v>
      </c>
      <c r="J615" s="70" t="s">
        <v>18457</v>
      </c>
      <c r="K615" s="70" t="s">
        <v>18458</v>
      </c>
      <c r="L615" s="70" t="s">
        <v>16436</v>
      </c>
      <c r="N615" s="70" t="s">
        <v>16437</v>
      </c>
      <c r="P615" s="78">
        <v>44326.0</v>
      </c>
      <c r="U615" s="70" t="s">
        <v>239</v>
      </c>
      <c r="W615" s="70" t="s">
        <v>18461</v>
      </c>
      <c r="Y615" s="70" t="s">
        <v>30006</v>
      </c>
      <c r="Z615" s="75" t="s">
        <v>18463</v>
      </c>
      <c r="AA615" s="70" t="s">
        <v>18464</v>
      </c>
      <c r="AC615" s="70">
        <v>21.0</v>
      </c>
      <c r="AE615" s="70">
        <v>39.0</v>
      </c>
      <c r="AF615" s="70" t="s">
        <v>16423</v>
      </c>
      <c r="AW615" s="70" t="s">
        <v>18465</v>
      </c>
      <c r="AX615" s="70">
        <v>0.0</v>
      </c>
      <c r="AY615" s="70" t="s">
        <v>24</v>
      </c>
      <c r="AZ615" s="70">
        <v>2658.0</v>
      </c>
    </row>
    <row r="616" ht="22.5" customHeight="1">
      <c r="A616" s="70" t="str">
        <f t="shared" si="1"/>
        <v>Excluded</v>
      </c>
      <c r="B616" s="70">
        <f t="shared" si="2"/>
        <v>0</v>
      </c>
      <c r="C616" s="70">
        <v>0.0</v>
      </c>
      <c r="D616" s="70">
        <v>0.0</v>
      </c>
      <c r="E616" s="70">
        <v>0.0</v>
      </c>
      <c r="F616" s="70">
        <v>0.0</v>
      </c>
      <c r="G616" s="70">
        <v>0.0</v>
      </c>
      <c r="H616" s="70" t="s">
        <v>27854</v>
      </c>
      <c r="I616" s="70">
        <v>3004.0</v>
      </c>
      <c r="J616" s="70" t="s">
        <v>27852</v>
      </c>
      <c r="K616" s="70" t="s">
        <v>27853</v>
      </c>
      <c r="W616" s="70" t="s">
        <v>30007</v>
      </c>
      <c r="AA616" s="70" t="s">
        <v>27856</v>
      </c>
      <c r="AI616" s="70" t="s">
        <v>27857</v>
      </c>
      <c r="AJ616" s="70" t="s">
        <v>27858</v>
      </c>
      <c r="AK616" s="70">
        <v>2021.0</v>
      </c>
      <c r="AL616" s="70" t="s">
        <v>16436</v>
      </c>
      <c r="AM616" s="70">
        <v>9435363.0</v>
      </c>
      <c r="AN616" s="70">
        <v>75961.0</v>
      </c>
      <c r="AO616" s="70">
        <v>75980.0</v>
      </c>
      <c r="AP616" s="70">
        <v>19.0</v>
      </c>
      <c r="AQ616" s="70">
        <v>79.0</v>
      </c>
      <c r="AR616" s="75" t="s">
        <v>27859</v>
      </c>
      <c r="AS616" s="70" t="s">
        <v>22525</v>
      </c>
      <c r="AT616" s="70" t="s">
        <v>22622</v>
      </c>
      <c r="AU616" s="70" t="s">
        <v>237</v>
      </c>
      <c r="AV616" s="70" t="s">
        <v>27860</v>
      </c>
      <c r="AW616" s="70" t="s">
        <v>27861</v>
      </c>
      <c r="AX616" s="70">
        <v>0.0</v>
      </c>
      <c r="AY616" s="70" t="s">
        <v>24</v>
      </c>
      <c r="AZ616" s="70">
        <v>2328.0</v>
      </c>
    </row>
    <row r="617" ht="22.5" customHeight="1">
      <c r="A617" s="70" t="str">
        <f t="shared" si="1"/>
        <v>Excluded</v>
      </c>
      <c r="B617" s="70">
        <f t="shared" si="2"/>
        <v>0</v>
      </c>
      <c r="C617" s="70">
        <v>0.0</v>
      </c>
      <c r="D617" s="70">
        <v>0.0</v>
      </c>
      <c r="E617" s="70">
        <v>0.0</v>
      </c>
      <c r="F617" s="70">
        <v>0.0</v>
      </c>
      <c r="G617" s="70">
        <v>0.0</v>
      </c>
      <c r="H617" s="70" t="s">
        <v>20328</v>
      </c>
      <c r="I617" s="70">
        <v>2238.0</v>
      </c>
      <c r="J617" s="70" t="s">
        <v>20326</v>
      </c>
      <c r="K617" s="70" t="s">
        <v>20327</v>
      </c>
      <c r="L617" s="70" t="s">
        <v>16436</v>
      </c>
      <c r="N617" s="70" t="s">
        <v>16437</v>
      </c>
      <c r="P617" s="77">
        <v>44349.0</v>
      </c>
      <c r="U617" s="70" t="s">
        <v>239</v>
      </c>
      <c r="W617" s="70" t="s">
        <v>20330</v>
      </c>
      <c r="Y617" s="70" t="s">
        <v>20331</v>
      </c>
      <c r="Z617" s="75" t="s">
        <v>20332</v>
      </c>
      <c r="AA617" s="70" t="s">
        <v>20333</v>
      </c>
      <c r="AC617" s="70">
        <v>4.0</v>
      </c>
      <c r="AE617" s="70">
        <v>40.0</v>
      </c>
      <c r="AF617" s="70" t="s">
        <v>16423</v>
      </c>
      <c r="AW617" s="70" t="s">
        <v>20334</v>
      </c>
      <c r="AX617" s="70">
        <v>0.0</v>
      </c>
      <c r="AY617" s="70" t="s">
        <v>24</v>
      </c>
      <c r="AZ617" s="70">
        <v>1932.0</v>
      </c>
    </row>
    <row r="618" ht="22.5" customHeight="1">
      <c r="A618" s="70" t="str">
        <f t="shared" si="1"/>
        <v>Excluded</v>
      </c>
      <c r="B618" s="70">
        <f t="shared" si="2"/>
        <v>0</v>
      </c>
      <c r="C618" s="70">
        <v>0.0</v>
      </c>
      <c r="D618" s="70">
        <v>0.0</v>
      </c>
      <c r="E618" s="70">
        <v>0.0</v>
      </c>
      <c r="F618" s="70">
        <v>0.0</v>
      </c>
      <c r="G618" s="70">
        <v>0.0</v>
      </c>
      <c r="H618" s="70" t="s">
        <v>22464</v>
      </c>
      <c r="I618" s="70">
        <v>2480.0</v>
      </c>
      <c r="J618" s="70" t="s">
        <v>22462</v>
      </c>
      <c r="K618" s="70" t="s">
        <v>22463</v>
      </c>
      <c r="L618" s="70" t="s">
        <v>16436</v>
      </c>
      <c r="N618" s="70" t="s">
        <v>16437</v>
      </c>
      <c r="P618" s="76">
        <v>44376.0</v>
      </c>
      <c r="U618" s="70" t="s">
        <v>239</v>
      </c>
      <c r="W618" s="70" t="s">
        <v>22466</v>
      </c>
      <c r="Z618" s="75" t="s">
        <v>22467</v>
      </c>
      <c r="AC618" s="70">
        <v>2.0</v>
      </c>
      <c r="AE618" s="70">
        <v>0.0</v>
      </c>
      <c r="AF618" s="70" t="s">
        <v>16423</v>
      </c>
      <c r="AZ618" s="70">
        <v>672.0</v>
      </c>
    </row>
    <row r="619" ht="22.5" customHeight="1">
      <c r="A619" s="70" t="str">
        <f t="shared" si="1"/>
        <v>Excluded</v>
      </c>
      <c r="B619" s="70">
        <f t="shared" si="2"/>
        <v>0</v>
      </c>
      <c r="C619" s="70">
        <v>0.0</v>
      </c>
      <c r="D619" s="70">
        <v>0.0</v>
      </c>
      <c r="E619" s="70">
        <v>0.0</v>
      </c>
      <c r="F619" s="70">
        <v>0.0</v>
      </c>
      <c r="G619" s="70">
        <v>0.0</v>
      </c>
      <c r="H619" s="70" t="s">
        <v>22452</v>
      </c>
      <c r="I619" s="70">
        <v>2478.0</v>
      </c>
      <c r="J619" s="70" t="s">
        <v>22450</v>
      </c>
      <c r="K619" s="70" t="s">
        <v>22451</v>
      </c>
      <c r="L619" s="70" t="s">
        <v>16436</v>
      </c>
      <c r="N619" s="70" t="s">
        <v>16437</v>
      </c>
      <c r="P619" s="76">
        <v>44376.0</v>
      </c>
      <c r="U619" s="70" t="s">
        <v>239</v>
      </c>
      <c r="W619" s="70" t="s">
        <v>22454</v>
      </c>
      <c r="Z619" s="75" t="s">
        <v>22455</v>
      </c>
      <c r="AC619" s="70">
        <v>3.0</v>
      </c>
      <c r="AE619" s="70">
        <v>0.0</v>
      </c>
      <c r="AF619" s="70" t="s">
        <v>16423</v>
      </c>
      <c r="AZ619" s="70">
        <v>528.0</v>
      </c>
    </row>
    <row r="620" ht="22.5" customHeight="1">
      <c r="A620" s="70" t="str">
        <f t="shared" si="1"/>
        <v>Excluded</v>
      </c>
      <c r="B620" s="70">
        <f t="shared" si="2"/>
        <v>0</v>
      </c>
      <c r="C620" s="70">
        <v>0.0</v>
      </c>
      <c r="D620" s="70">
        <v>0.0</v>
      </c>
      <c r="E620" s="70">
        <v>0.0</v>
      </c>
      <c r="F620" s="70">
        <v>0.0</v>
      </c>
      <c r="G620" s="70">
        <v>0.0</v>
      </c>
      <c r="H620" s="70" t="s">
        <v>19737</v>
      </c>
      <c r="I620" s="70">
        <v>2172.0</v>
      </c>
      <c r="J620" s="70" t="s">
        <v>19735</v>
      </c>
      <c r="K620" s="70" t="s">
        <v>19736</v>
      </c>
      <c r="L620" s="70" t="s">
        <v>16436</v>
      </c>
      <c r="N620" s="70" t="s">
        <v>16437</v>
      </c>
      <c r="P620" s="76">
        <v>44365.0</v>
      </c>
      <c r="U620" s="70" t="s">
        <v>239</v>
      </c>
      <c r="W620" s="70" t="s">
        <v>30008</v>
      </c>
      <c r="Z620" s="75" t="s">
        <v>19740</v>
      </c>
      <c r="AA620" s="70" t="s">
        <v>19741</v>
      </c>
      <c r="AC620" s="70">
        <v>8.0</v>
      </c>
      <c r="AE620" s="70">
        <v>58.0</v>
      </c>
      <c r="AF620" s="70" t="s">
        <v>16423</v>
      </c>
      <c r="AW620" s="70" t="s">
        <v>19742</v>
      </c>
      <c r="AX620" s="70">
        <v>0.0</v>
      </c>
      <c r="AY620" s="70" t="s">
        <v>24</v>
      </c>
      <c r="AZ620" s="70">
        <v>1979.0</v>
      </c>
    </row>
    <row r="621" ht="22.5" customHeight="1">
      <c r="A621" s="70" t="str">
        <f t="shared" si="1"/>
        <v>Excluded</v>
      </c>
      <c r="B621" s="70">
        <f t="shared" si="2"/>
        <v>0</v>
      </c>
      <c r="C621" s="70">
        <v>0.0</v>
      </c>
      <c r="D621" s="70">
        <v>0.0</v>
      </c>
      <c r="E621" s="70">
        <v>0.0</v>
      </c>
      <c r="F621" s="70">
        <v>0.0</v>
      </c>
      <c r="G621" s="70">
        <v>0.0</v>
      </c>
      <c r="H621" s="70" t="s">
        <v>18354</v>
      </c>
      <c r="I621" s="70">
        <v>2016.0</v>
      </c>
      <c r="J621" s="70" t="s">
        <v>30009</v>
      </c>
      <c r="K621" s="70" t="s">
        <v>18353</v>
      </c>
      <c r="L621" s="70" t="s">
        <v>16436</v>
      </c>
      <c r="N621" s="70" t="s">
        <v>16437</v>
      </c>
      <c r="P621" s="76">
        <v>44372.0</v>
      </c>
      <c r="U621" s="70" t="s">
        <v>239</v>
      </c>
      <c r="W621" s="70" t="s">
        <v>18356</v>
      </c>
      <c r="Y621" s="70" t="s">
        <v>30010</v>
      </c>
      <c r="Z621" s="75" t="s">
        <v>18358</v>
      </c>
      <c r="AA621" s="70" t="s">
        <v>18359</v>
      </c>
      <c r="AC621" s="70">
        <v>23.0</v>
      </c>
      <c r="AE621" s="70">
        <v>53.0</v>
      </c>
      <c r="AF621" s="70" t="s">
        <v>16423</v>
      </c>
      <c r="AW621" s="70" t="s">
        <v>18360</v>
      </c>
      <c r="AX621" s="70">
        <v>0.0</v>
      </c>
      <c r="AY621" s="70" t="s">
        <v>24</v>
      </c>
      <c r="AZ621" s="70">
        <v>2111.0</v>
      </c>
    </row>
    <row r="622" ht="22.5" customHeight="1">
      <c r="A622" s="70" t="str">
        <f t="shared" si="1"/>
        <v>Excluded</v>
      </c>
      <c r="B622" s="70">
        <f t="shared" si="2"/>
        <v>0</v>
      </c>
      <c r="C622" s="70">
        <v>0.0</v>
      </c>
      <c r="D622" s="70">
        <v>0.0</v>
      </c>
      <c r="E622" s="70">
        <v>0.0</v>
      </c>
      <c r="F622" s="70">
        <v>0.0</v>
      </c>
      <c r="G622" s="70">
        <v>0.0</v>
      </c>
      <c r="H622" s="70" t="s">
        <v>19016</v>
      </c>
      <c r="I622" s="70">
        <v>2090.0</v>
      </c>
      <c r="J622" s="70" t="s">
        <v>30011</v>
      </c>
      <c r="K622" s="70" t="s">
        <v>19015</v>
      </c>
      <c r="L622" s="70" t="s">
        <v>16436</v>
      </c>
      <c r="N622" s="70" t="s">
        <v>16437</v>
      </c>
      <c r="P622" s="76">
        <v>44376.0</v>
      </c>
      <c r="U622" s="70" t="s">
        <v>239</v>
      </c>
      <c r="W622" s="70" t="s">
        <v>19018</v>
      </c>
      <c r="Y622" s="70" t="s">
        <v>30012</v>
      </c>
      <c r="Z622" s="75" t="s">
        <v>19020</v>
      </c>
      <c r="AA622" s="70" t="s">
        <v>19021</v>
      </c>
      <c r="AC622" s="70">
        <v>14.0</v>
      </c>
      <c r="AE622" s="70">
        <v>105.0</v>
      </c>
      <c r="AF622" s="70" t="s">
        <v>16423</v>
      </c>
      <c r="AW622" s="70" t="s">
        <v>19022</v>
      </c>
      <c r="AZ622" s="70">
        <v>1026.0</v>
      </c>
    </row>
    <row r="623" ht="22.5" customHeight="1">
      <c r="A623" s="70" t="str">
        <f t="shared" si="1"/>
        <v>Excluded</v>
      </c>
      <c r="B623" s="70">
        <f t="shared" si="2"/>
        <v>0</v>
      </c>
      <c r="C623" s="70">
        <v>0.0</v>
      </c>
      <c r="D623" s="70">
        <v>0.0</v>
      </c>
      <c r="E623" s="70">
        <v>0.0</v>
      </c>
      <c r="F623" s="70">
        <v>0.0</v>
      </c>
      <c r="G623" s="70">
        <v>0.0</v>
      </c>
      <c r="H623" s="70" t="s">
        <v>28404</v>
      </c>
      <c r="I623" s="70">
        <v>3058.0</v>
      </c>
      <c r="J623" s="70" t="s">
        <v>28402</v>
      </c>
      <c r="K623" s="70" t="s">
        <v>28403</v>
      </c>
      <c r="W623" s="70" t="s">
        <v>30013</v>
      </c>
      <c r="AA623" s="70" t="s">
        <v>28406</v>
      </c>
      <c r="AI623" s="70" t="s">
        <v>28407</v>
      </c>
      <c r="AJ623" s="70" t="s">
        <v>28408</v>
      </c>
      <c r="AK623" s="70">
        <v>2021.0</v>
      </c>
      <c r="AL623" s="70" t="s">
        <v>16436</v>
      </c>
      <c r="AM623" s="70">
        <v>9481268.0</v>
      </c>
      <c r="AN623" s="70">
        <v>105393.0</v>
      </c>
      <c r="AO623" s="70">
        <v>105408.0</v>
      </c>
      <c r="AP623" s="70">
        <v>15.0</v>
      </c>
      <c r="AQ623" s="70">
        <v>3.0</v>
      </c>
      <c r="AR623" s="75" t="s">
        <v>28409</v>
      </c>
      <c r="AS623" s="70" t="s">
        <v>22525</v>
      </c>
      <c r="AT623" s="70" t="s">
        <v>22622</v>
      </c>
      <c r="AU623" s="70" t="s">
        <v>237</v>
      </c>
      <c r="AV623" s="70" t="s">
        <v>28410</v>
      </c>
      <c r="AW623" s="70" t="s">
        <v>28411</v>
      </c>
      <c r="AZ623" s="70">
        <v>914.0</v>
      </c>
    </row>
    <row r="624" ht="22.5" customHeight="1">
      <c r="A624" s="70" t="str">
        <f t="shared" si="1"/>
        <v>Excluded</v>
      </c>
      <c r="B624" s="70">
        <f t="shared" si="2"/>
        <v>0</v>
      </c>
      <c r="C624" s="70">
        <v>0.0</v>
      </c>
      <c r="D624" s="70">
        <v>0.0</v>
      </c>
      <c r="E624" s="70">
        <v>0.0</v>
      </c>
      <c r="F624" s="70">
        <v>0.0</v>
      </c>
      <c r="G624" s="70">
        <v>0.0</v>
      </c>
      <c r="H624" s="70" t="s">
        <v>17283</v>
      </c>
      <c r="I624" s="70">
        <v>1896.0</v>
      </c>
      <c r="J624" s="70" t="s">
        <v>17281</v>
      </c>
      <c r="K624" s="70" t="s">
        <v>17282</v>
      </c>
      <c r="L624" s="70" t="s">
        <v>16436</v>
      </c>
      <c r="N624" s="70" t="s">
        <v>16437</v>
      </c>
      <c r="P624" s="76">
        <v>44393.0</v>
      </c>
      <c r="U624" s="70" t="s">
        <v>239</v>
      </c>
      <c r="W624" s="70" t="s">
        <v>30014</v>
      </c>
      <c r="Y624" s="70" t="s">
        <v>17286</v>
      </c>
      <c r="Z624" s="75" t="s">
        <v>17287</v>
      </c>
      <c r="AA624" s="70" t="s">
        <v>17288</v>
      </c>
      <c r="AC624" s="70">
        <v>60.0</v>
      </c>
      <c r="AE624" s="70">
        <v>47.0</v>
      </c>
      <c r="AF624" s="70" t="s">
        <v>16423</v>
      </c>
      <c r="AW624" s="70" t="s">
        <v>17289</v>
      </c>
      <c r="AX624" s="70">
        <v>0.0</v>
      </c>
      <c r="AY624" s="70" t="s">
        <v>24</v>
      </c>
      <c r="AZ624" s="70">
        <v>2836.0</v>
      </c>
    </row>
    <row r="625" ht="22.5" customHeight="1">
      <c r="A625" s="70" t="str">
        <f t="shared" si="1"/>
        <v>Excluded</v>
      </c>
      <c r="B625" s="70">
        <f t="shared" si="2"/>
        <v>0</v>
      </c>
      <c r="C625" s="70">
        <v>0.0</v>
      </c>
      <c r="D625" s="70">
        <v>0.0</v>
      </c>
      <c r="E625" s="70">
        <v>0.0</v>
      </c>
      <c r="F625" s="70">
        <v>0.0</v>
      </c>
      <c r="G625" s="70">
        <v>0.0</v>
      </c>
      <c r="H625" s="70" t="s">
        <v>20659</v>
      </c>
      <c r="I625" s="70">
        <v>2275.0</v>
      </c>
      <c r="J625" s="70" t="s">
        <v>20657</v>
      </c>
      <c r="K625" s="70" t="s">
        <v>20658</v>
      </c>
      <c r="L625" s="70" t="s">
        <v>16436</v>
      </c>
      <c r="N625" s="70" t="s">
        <v>16437</v>
      </c>
      <c r="P625" s="76">
        <v>44397.0</v>
      </c>
      <c r="U625" s="70" t="s">
        <v>239</v>
      </c>
      <c r="W625" s="70" t="s">
        <v>20661</v>
      </c>
      <c r="Y625" s="70" t="s">
        <v>30015</v>
      </c>
      <c r="Z625" s="75" t="s">
        <v>20663</v>
      </c>
      <c r="AA625" s="70" t="s">
        <v>20664</v>
      </c>
      <c r="AC625" s="70">
        <v>3.0</v>
      </c>
      <c r="AE625" s="70">
        <v>47.0</v>
      </c>
      <c r="AF625" s="70" t="s">
        <v>16423</v>
      </c>
      <c r="AW625" s="70" t="s">
        <v>20665</v>
      </c>
      <c r="AZ625" s="70">
        <v>648.0</v>
      </c>
    </row>
    <row r="626" ht="22.5" customHeight="1">
      <c r="A626" s="70" t="str">
        <f t="shared" si="1"/>
        <v>Excluded</v>
      </c>
      <c r="B626" s="70">
        <f t="shared" si="2"/>
        <v>0</v>
      </c>
      <c r="C626" s="70">
        <v>0.0</v>
      </c>
      <c r="D626" s="70">
        <v>0.0</v>
      </c>
      <c r="E626" s="70">
        <v>0.0</v>
      </c>
      <c r="F626" s="70">
        <v>0.0</v>
      </c>
      <c r="G626" s="70">
        <v>0.0</v>
      </c>
      <c r="H626" s="70" t="s">
        <v>17931</v>
      </c>
      <c r="I626" s="70">
        <v>1969.0</v>
      </c>
      <c r="J626" s="70" t="s">
        <v>17929</v>
      </c>
      <c r="K626" s="70" t="s">
        <v>17930</v>
      </c>
      <c r="L626" s="70" t="s">
        <v>16436</v>
      </c>
      <c r="N626" s="70" t="s">
        <v>16437</v>
      </c>
      <c r="P626" s="76">
        <v>44403.0</v>
      </c>
      <c r="U626" s="70" t="s">
        <v>239</v>
      </c>
      <c r="W626" s="70" t="s">
        <v>17933</v>
      </c>
      <c r="Z626" s="75" t="s">
        <v>17934</v>
      </c>
      <c r="AA626" s="70" t="s">
        <v>17935</v>
      </c>
      <c r="AC626" s="70">
        <v>31.0</v>
      </c>
      <c r="AE626" s="70">
        <v>123.0</v>
      </c>
      <c r="AF626" s="70" t="s">
        <v>16727</v>
      </c>
      <c r="AW626" s="70" t="s">
        <v>17936</v>
      </c>
      <c r="AZ626" s="70">
        <v>1308.0</v>
      </c>
    </row>
    <row r="627" ht="22.5" customHeight="1">
      <c r="A627" s="70" t="str">
        <f t="shared" si="1"/>
        <v>Excluded</v>
      </c>
      <c r="B627" s="70">
        <f t="shared" si="2"/>
        <v>0</v>
      </c>
      <c r="C627" s="70">
        <v>0.0</v>
      </c>
      <c r="D627" s="70">
        <v>0.0</v>
      </c>
      <c r="E627" s="70">
        <v>0.0</v>
      </c>
      <c r="F627" s="70">
        <v>0.0</v>
      </c>
      <c r="G627" s="70">
        <v>0.0</v>
      </c>
      <c r="H627" s="70" t="s">
        <v>19272</v>
      </c>
      <c r="I627" s="70">
        <v>2119.0</v>
      </c>
      <c r="J627" s="70" t="s">
        <v>30016</v>
      </c>
      <c r="K627" s="70" t="s">
        <v>19271</v>
      </c>
      <c r="L627" s="70" t="s">
        <v>16436</v>
      </c>
      <c r="N627" s="70" t="s">
        <v>16437</v>
      </c>
      <c r="P627" s="77">
        <v>44413.0</v>
      </c>
      <c r="U627" s="70" t="s">
        <v>239</v>
      </c>
      <c r="W627" s="70" t="s">
        <v>19274</v>
      </c>
      <c r="Y627" s="70" t="s">
        <v>19275</v>
      </c>
      <c r="Z627" s="75" t="s">
        <v>19276</v>
      </c>
      <c r="AA627" s="70" t="s">
        <v>19277</v>
      </c>
      <c r="AC627" s="70">
        <v>12.0</v>
      </c>
      <c r="AE627" s="70">
        <v>136.0</v>
      </c>
      <c r="AF627" s="70" t="s">
        <v>16423</v>
      </c>
      <c r="AW627" s="70" t="s">
        <v>19278</v>
      </c>
      <c r="AX627" s="70">
        <v>0.0</v>
      </c>
      <c r="AY627" s="70" t="s">
        <v>24</v>
      </c>
      <c r="AZ627" s="70">
        <v>2115.0</v>
      </c>
    </row>
    <row r="628" ht="22.5" customHeight="1">
      <c r="A628" s="70" t="str">
        <f t="shared" si="1"/>
        <v>Excluded</v>
      </c>
      <c r="B628" s="70">
        <f t="shared" si="2"/>
        <v>0</v>
      </c>
      <c r="C628" s="70">
        <v>0.0</v>
      </c>
      <c r="D628" s="70">
        <v>0.0</v>
      </c>
      <c r="E628" s="70">
        <v>0.0</v>
      </c>
      <c r="F628" s="70">
        <v>0.0</v>
      </c>
      <c r="G628" s="70">
        <v>0.0</v>
      </c>
      <c r="H628" s="70" t="s">
        <v>18692</v>
      </c>
      <c r="I628" s="70">
        <v>2054.0</v>
      </c>
      <c r="J628" s="70" t="s">
        <v>18690</v>
      </c>
      <c r="K628" s="70" t="s">
        <v>18691</v>
      </c>
      <c r="L628" s="70" t="s">
        <v>16436</v>
      </c>
      <c r="N628" s="70" t="s">
        <v>16437</v>
      </c>
      <c r="P628" s="77">
        <v>44413.0</v>
      </c>
      <c r="U628" s="70" t="s">
        <v>239</v>
      </c>
      <c r="W628" s="70" t="s">
        <v>30017</v>
      </c>
      <c r="Y628" s="70" t="s">
        <v>18695</v>
      </c>
      <c r="Z628" s="75" t="s">
        <v>18696</v>
      </c>
      <c r="AA628" s="70" t="s">
        <v>18697</v>
      </c>
      <c r="AC628" s="70">
        <v>18.0</v>
      </c>
      <c r="AE628" s="70">
        <v>38.0</v>
      </c>
      <c r="AF628" s="70" t="s">
        <v>16423</v>
      </c>
      <c r="AW628" s="70" t="s">
        <v>18698</v>
      </c>
      <c r="AX628" s="70">
        <v>0.0</v>
      </c>
      <c r="AY628" s="70" t="s">
        <v>24</v>
      </c>
      <c r="AZ628" s="70">
        <v>1720.0</v>
      </c>
    </row>
    <row r="629" ht="22.5" customHeight="1">
      <c r="A629" s="70" t="str">
        <f t="shared" si="1"/>
        <v>Excluded</v>
      </c>
      <c r="B629" s="70">
        <f t="shared" si="2"/>
        <v>0</v>
      </c>
      <c r="C629" s="70">
        <v>0.0</v>
      </c>
      <c r="D629" s="70">
        <v>0.0</v>
      </c>
      <c r="E629" s="70">
        <v>0.0</v>
      </c>
      <c r="F629" s="70">
        <v>0.0</v>
      </c>
      <c r="G629" s="70">
        <v>0.0</v>
      </c>
      <c r="H629" s="70" t="s">
        <v>19509</v>
      </c>
      <c r="I629" s="70">
        <v>2146.0</v>
      </c>
      <c r="J629" s="70" t="s">
        <v>30018</v>
      </c>
      <c r="K629" s="70" t="s">
        <v>19508</v>
      </c>
      <c r="L629" s="70" t="s">
        <v>16436</v>
      </c>
      <c r="N629" s="70" t="s">
        <v>16437</v>
      </c>
      <c r="P629" s="76">
        <v>44420.0</v>
      </c>
      <c r="U629" s="70" t="s">
        <v>239</v>
      </c>
      <c r="W629" s="70" t="s">
        <v>19511</v>
      </c>
      <c r="Z629" s="75" t="s">
        <v>19512</v>
      </c>
      <c r="AA629" s="70" t="s">
        <v>19513</v>
      </c>
      <c r="AC629" s="70">
        <v>9.0</v>
      </c>
      <c r="AE629" s="70">
        <v>65.0</v>
      </c>
      <c r="AF629" s="70" t="s">
        <v>16423</v>
      </c>
      <c r="AW629" s="70" t="s">
        <v>19514</v>
      </c>
      <c r="AX629" s="70">
        <v>0.0</v>
      </c>
      <c r="AY629" s="70" t="s">
        <v>24</v>
      </c>
      <c r="AZ629" s="70">
        <v>2259.0</v>
      </c>
    </row>
    <row r="630" ht="22.5" customHeight="1">
      <c r="A630" s="70" t="str">
        <f t="shared" si="1"/>
        <v>Excluded</v>
      </c>
      <c r="B630" s="70">
        <f t="shared" si="2"/>
        <v>0</v>
      </c>
      <c r="C630" s="70">
        <v>0.0</v>
      </c>
      <c r="D630" s="70">
        <v>0.0</v>
      </c>
      <c r="E630" s="70">
        <v>0.0</v>
      </c>
      <c r="F630" s="70">
        <v>0.0</v>
      </c>
      <c r="G630" s="70">
        <v>0.0</v>
      </c>
      <c r="H630" s="70" t="s">
        <v>18272</v>
      </c>
      <c r="I630" s="70">
        <v>2007.0</v>
      </c>
      <c r="J630" s="70" t="s">
        <v>18270</v>
      </c>
      <c r="K630" s="70" t="s">
        <v>18271</v>
      </c>
      <c r="L630" s="70" t="s">
        <v>16436</v>
      </c>
      <c r="N630" s="70" t="s">
        <v>16437</v>
      </c>
      <c r="P630" s="76">
        <v>44434.0</v>
      </c>
      <c r="U630" s="70" t="s">
        <v>239</v>
      </c>
      <c r="W630" s="70" t="s">
        <v>18274</v>
      </c>
      <c r="Y630" s="70" t="s">
        <v>18275</v>
      </c>
      <c r="Z630" s="75" t="s">
        <v>18276</v>
      </c>
      <c r="AA630" s="70" t="s">
        <v>18277</v>
      </c>
      <c r="AC630" s="70">
        <v>24.0</v>
      </c>
      <c r="AE630" s="70">
        <v>56.0</v>
      </c>
      <c r="AF630" s="70" t="s">
        <v>16423</v>
      </c>
      <c r="AW630" s="70" t="s">
        <v>18278</v>
      </c>
      <c r="AZ630" s="70">
        <v>1442.0</v>
      </c>
    </row>
    <row r="631" ht="22.5" customHeight="1">
      <c r="A631" s="70" t="str">
        <f t="shared" si="1"/>
        <v>Excluded</v>
      </c>
      <c r="B631" s="70">
        <f t="shared" si="2"/>
        <v>0</v>
      </c>
      <c r="C631" s="70">
        <v>0.0</v>
      </c>
      <c r="D631" s="70">
        <v>0.0</v>
      </c>
      <c r="E631" s="70">
        <v>0.0</v>
      </c>
      <c r="F631" s="70">
        <v>0.0</v>
      </c>
      <c r="G631" s="70">
        <v>0.0</v>
      </c>
      <c r="H631" s="70" t="s">
        <v>18656</v>
      </c>
      <c r="I631" s="70">
        <v>2050.0</v>
      </c>
      <c r="J631" s="70" t="s">
        <v>18654</v>
      </c>
      <c r="K631" s="70" t="s">
        <v>18655</v>
      </c>
      <c r="L631" s="70" t="s">
        <v>16436</v>
      </c>
      <c r="N631" s="70" t="s">
        <v>16437</v>
      </c>
      <c r="P631" s="77">
        <v>44446.0</v>
      </c>
      <c r="U631" s="70" t="s">
        <v>239</v>
      </c>
      <c r="W631" s="70" t="s">
        <v>18658</v>
      </c>
      <c r="Y631" s="70" t="s">
        <v>30019</v>
      </c>
      <c r="Z631" s="75" t="s">
        <v>18660</v>
      </c>
      <c r="AA631" s="70" t="s">
        <v>18661</v>
      </c>
      <c r="AC631" s="70">
        <v>18.0</v>
      </c>
      <c r="AE631" s="70">
        <v>162.0</v>
      </c>
      <c r="AF631" s="70" t="s">
        <v>16423</v>
      </c>
      <c r="AW631" s="70" t="s">
        <v>18662</v>
      </c>
      <c r="AZ631" s="70">
        <v>574.0</v>
      </c>
    </row>
    <row r="632" ht="22.5" customHeight="1">
      <c r="A632" s="70" t="str">
        <f t="shared" si="1"/>
        <v>Excluded</v>
      </c>
      <c r="B632" s="70">
        <f t="shared" si="2"/>
        <v>0</v>
      </c>
      <c r="C632" s="70">
        <v>0.0</v>
      </c>
      <c r="D632" s="70">
        <v>0.0</v>
      </c>
      <c r="E632" s="70">
        <v>0.0</v>
      </c>
      <c r="F632" s="70">
        <v>0.0</v>
      </c>
      <c r="G632" s="70">
        <v>0.0</v>
      </c>
      <c r="H632" s="70" t="s">
        <v>27737</v>
      </c>
      <c r="I632" s="70">
        <v>2993.0</v>
      </c>
      <c r="J632" s="70" t="s">
        <v>27735</v>
      </c>
      <c r="K632" s="70" t="s">
        <v>27736</v>
      </c>
      <c r="W632" s="70" t="s">
        <v>30020</v>
      </c>
      <c r="AA632" s="70" t="s">
        <v>27739</v>
      </c>
      <c r="AI632" s="70" t="s">
        <v>27740</v>
      </c>
      <c r="AJ632" s="70" t="s">
        <v>27741</v>
      </c>
      <c r="AK632" s="70">
        <v>2021.0</v>
      </c>
      <c r="AL632" s="70" t="s">
        <v>16436</v>
      </c>
      <c r="AN632" s="70">
        <v>134457.0</v>
      </c>
      <c r="AO632" s="70">
        <v>134502.0</v>
      </c>
      <c r="AP632" s="70">
        <v>45.0</v>
      </c>
      <c r="AQ632" s="70">
        <v>47.0</v>
      </c>
      <c r="AR632" s="75" t="s">
        <v>27742</v>
      </c>
      <c r="AS632" s="70" t="s">
        <v>22525</v>
      </c>
      <c r="AT632" s="70" t="s">
        <v>22643</v>
      </c>
      <c r="AU632" s="70" t="s">
        <v>237</v>
      </c>
      <c r="AV632" s="70" t="s">
        <v>27743</v>
      </c>
      <c r="AW632" s="70" t="s">
        <v>27744</v>
      </c>
      <c r="AZ632" s="70">
        <v>196.0</v>
      </c>
    </row>
    <row r="633" ht="22.5" customHeight="1">
      <c r="A633" s="70" t="str">
        <f t="shared" si="1"/>
        <v>Excluded</v>
      </c>
      <c r="B633" s="70">
        <f t="shared" si="2"/>
        <v>0</v>
      </c>
      <c r="C633" s="70">
        <v>0.0</v>
      </c>
      <c r="D633" s="70">
        <v>0.0</v>
      </c>
      <c r="E633" s="70">
        <v>0.0</v>
      </c>
      <c r="F633" s="70">
        <v>0.0</v>
      </c>
      <c r="G633" s="70">
        <v>0.0</v>
      </c>
      <c r="H633" s="70" t="s">
        <v>27922</v>
      </c>
      <c r="I633" s="70">
        <v>3011.0</v>
      </c>
      <c r="J633" s="70" t="s">
        <v>27920</v>
      </c>
      <c r="K633" s="70" t="s">
        <v>27921</v>
      </c>
      <c r="W633" s="70" t="s">
        <v>30021</v>
      </c>
      <c r="AA633" s="70" t="s">
        <v>27924</v>
      </c>
      <c r="AI633" s="70" t="s">
        <v>27925</v>
      </c>
      <c r="AJ633" s="70" t="s">
        <v>27926</v>
      </c>
      <c r="AK633" s="70">
        <v>2021.0</v>
      </c>
      <c r="AL633" s="70" t="s">
        <v>16436</v>
      </c>
      <c r="AN633" s="70">
        <v>132897.0</v>
      </c>
      <c r="AO633" s="70">
        <v>132913.0</v>
      </c>
      <c r="AP633" s="70">
        <v>16.0</v>
      </c>
      <c r="AQ633" s="70">
        <v>30.0</v>
      </c>
      <c r="AR633" s="75" t="s">
        <v>27927</v>
      </c>
      <c r="AS633" s="70" t="s">
        <v>22525</v>
      </c>
      <c r="AT633" s="70" t="s">
        <v>22622</v>
      </c>
      <c r="AU633" s="70" t="s">
        <v>237</v>
      </c>
      <c r="AV633" s="70" t="s">
        <v>27928</v>
      </c>
      <c r="AW633" s="70" t="s">
        <v>27929</v>
      </c>
      <c r="AZ633" s="70">
        <v>1436.0</v>
      </c>
    </row>
    <row r="634" ht="22.5" customHeight="1">
      <c r="A634" s="70" t="str">
        <f t="shared" si="1"/>
        <v>Excluded</v>
      </c>
      <c r="B634" s="70">
        <f t="shared" si="2"/>
        <v>0</v>
      </c>
      <c r="C634" s="70">
        <v>0.0</v>
      </c>
      <c r="D634" s="70">
        <v>0.0</v>
      </c>
      <c r="E634" s="70">
        <v>0.0</v>
      </c>
      <c r="F634" s="70">
        <v>0.0</v>
      </c>
      <c r="G634" s="70">
        <v>0.0</v>
      </c>
      <c r="H634" s="70" t="s">
        <v>17397</v>
      </c>
      <c r="I634" s="70">
        <v>1909.0</v>
      </c>
      <c r="J634" s="70" t="s">
        <v>17395</v>
      </c>
      <c r="K634" s="70" t="s">
        <v>17396</v>
      </c>
      <c r="L634" s="70" t="s">
        <v>16436</v>
      </c>
      <c r="N634" s="70" t="s">
        <v>16437</v>
      </c>
      <c r="P634" s="76">
        <v>44483.0</v>
      </c>
      <c r="U634" s="70" t="s">
        <v>239</v>
      </c>
      <c r="W634" s="70" t="s">
        <v>17399</v>
      </c>
      <c r="Y634" s="70" t="s">
        <v>29964</v>
      </c>
      <c r="Z634" s="75" t="s">
        <v>17400</v>
      </c>
      <c r="AA634" s="70" t="s">
        <v>17401</v>
      </c>
      <c r="AC634" s="70">
        <v>53.0</v>
      </c>
      <c r="AE634" s="70">
        <v>44.0</v>
      </c>
      <c r="AF634" s="70" t="s">
        <v>16423</v>
      </c>
      <c r="AW634" s="70" t="s">
        <v>17402</v>
      </c>
      <c r="AZ634" s="70">
        <v>1203.0</v>
      </c>
    </row>
    <row r="635" ht="22.5" customHeight="1">
      <c r="A635" s="70" t="str">
        <f t="shared" si="1"/>
        <v>Excluded</v>
      </c>
      <c r="B635" s="70">
        <f t="shared" si="2"/>
        <v>0</v>
      </c>
      <c r="C635" s="70">
        <v>0.0</v>
      </c>
      <c r="D635" s="70">
        <v>0.0</v>
      </c>
      <c r="E635" s="70">
        <v>0.0</v>
      </c>
      <c r="F635" s="70">
        <v>0.0</v>
      </c>
      <c r="G635" s="70">
        <v>0.0</v>
      </c>
      <c r="H635" s="70" t="s">
        <v>18971</v>
      </c>
      <c r="I635" s="70">
        <v>2085.0</v>
      </c>
      <c r="J635" s="70" t="s">
        <v>18969</v>
      </c>
      <c r="K635" s="70" t="s">
        <v>18970</v>
      </c>
      <c r="L635" s="70" t="s">
        <v>16436</v>
      </c>
      <c r="N635" s="70" t="s">
        <v>16437</v>
      </c>
      <c r="P635" s="77">
        <v>44538.0</v>
      </c>
      <c r="U635" s="70" t="s">
        <v>239</v>
      </c>
      <c r="W635" s="70" t="s">
        <v>30022</v>
      </c>
      <c r="Y635" s="70" t="s">
        <v>30023</v>
      </c>
      <c r="Z635" s="75" t="s">
        <v>18975</v>
      </c>
      <c r="AA635" s="70" t="s">
        <v>18976</v>
      </c>
      <c r="AC635" s="70">
        <v>14.0</v>
      </c>
      <c r="AE635" s="70">
        <v>34.0</v>
      </c>
      <c r="AF635" s="70" t="s">
        <v>16423</v>
      </c>
      <c r="AW635" s="70" t="s">
        <v>18977</v>
      </c>
      <c r="AZ635" s="70">
        <v>781.0</v>
      </c>
    </row>
    <row r="636" ht="22.5" customHeight="1">
      <c r="A636" s="70" t="str">
        <f t="shared" si="1"/>
        <v>Excluded</v>
      </c>
      <c r="B636" s="70">
        <f t="shared" si="2"/>
        <v>0</v>
      </c>
      <c r="C636" s="70">
        <v>0.0</v>
      </c>
      <c r="D636" s="70">
        <v>0.0</v>
      </c>
      <c r="E636" s="70">
        <v>0.0</v>
      </c>
      <c r="F636" s="70">
        <v>0.0</v>
      </c>
      <c r="G636" s="70">
        <v>0.0</v>
      </c>
      <c r="H636" s="70" t="s">
        <v>17413</v>
      </c>
      <c r="I636" s="70">
        <v>1911.0</v>
      </c>
      <c r="J636" s="70" t="s">
        <v>17411</v>
      </c>
      <c r="K636" s="70" t="s">
        <v>17412</v>
      </c>
      <c r="L636" s="70" t="s">
        <v>16436</v>
      </c>
      <c r="N636" s="70" t="s">
        <v>16437</v>
      </c>
      <c r="P636" s="76">
        <v>44552.0</v>
      </c>
      <c r="U636" s="70" t="s">
        <v>239</v>
      </c>
      <c r="W636" s="70" t="s">
        <v>17415</v>
      </c>
      <c r="Z636" s="75" t="s">
        <v>17416</v>
      </c>
      <c r="AA636" s="70" t="s">
        <v>17417</v>
      </c>
      <c r="AC636" s="70">
        <v>53.0</v>
      </c>
      <c r="AE636" s="70">
        <v>187.0</v>
      </c>
      <c r="AF636" s="70" t="s">
        <v>16423</v>
      </c>
      <c r="AW636" s="70" t="s">
        <v>17418</v>
      </c>
      <c r="AX636" s="70">
        <v>0.0</v>
      </c>
      <c r="AY636" s="70" t="s">
        <v>24</v>
      </c>
      <c r="AZ636" s="70">
        <v>2882.0</v>
      </c>
    </row>
    <row r="637" ht="22.5" customHeight="1">
      <c r="A637" s="70" t="str">
        <f t="shared" si="1"/>
        <v>Excluded</v>
      </c>
      <c r="B637" s="70">
        <f t="shared" si="2"/>
        <v>0</v>
      </c>
      <c r="C637" s="70">
        <v>0.0</v>
      </c>
      <c r="D637" s="70">
        <v>0.0</v>
      </c>
      <c r="E637" s="70">
        <v>0.0</v>
      </c>
      <c r="F637" s="70">
        <v>0.0</v>
      </c>
      <c r="G637" s="70">
        <v>0.0</v>
      </c>
      <c r="H637" s="70" t="s">
        <v>18605</v>
      </c>
      <c r="I637" s="70">
        <v>2044.0</v>
      </c>
      <c r="J637" s="70" t="s">
        <v>18603</v>
      </c>
      <c r="K637" s="70" t="s">
        <v>18604</v>
      </c>
      <c r="L637" s="70" t="s">
        <v>16436</v>
      </c>
      <c r="N637" s="70" t="s">
        <v>16437</v>
      </c>
      <c r="P637" s="76">
        <v>44557.0</v>
      </c>
      <c r="U637" s="70" t="s">
        <v>239</v>
      </c>
      <c r="W637" s="70" t="s">
        <v>30024</v>
      </c>
      <c r="Z637" s="75" t="s">
        <v>18608</v>
      </c>
      <c r="AA637" s="70" t="s">
        <v>18609</v>
      </c>
      <c r="AC637" s="70">
        <v>19.0</v>
      </c>
      <c r="AE637" s="70">
        <v>52.0</v>
      </c>
      <c r="AF637" s="70" t="s">
        <v>16423</v>
      </c>
      <c r="AW637" s="70" t="s">
        <v>18610</v>
      </c>
      <c r="AZ637" s="70">
        <v>1160.0</v>
      </c>
    </row>
    <row r="638" ht="22.5" customHeight="1">
      <c r="A638" s="70" t="str">
        <f t="shared" si="1"/>
        <v>Excluded</v>
      </c>
      <c r="B638" s="70">
        <f t="shared" si="2"/>
        <v>0</v>
      </c>
      <c r="C638" s="70">
        <v>0.0</v>
      </c>
      <c r="D638" s="70">
        <v>0.0</v>
      </c>
      <c r="E638" s="70">
        <v>0.0</v>
      </c>
      <c r="F638" s="70">
        <v>0.0</v>
      </c>
      <c r="G638" s="70">
        <v>0.0</v>
      </c>
      <c r="H638" s="70" t="s">
        <v>19298</v>
      </c>
      <c r="I638" s="70">
        <v>2122.0</v>
      </c>
      <c r="J638" s="70" t="s">
        <v>30025</v>
      </c>
      <c r="K638" s="70" t="s">
        <v>19297</v>
      </c>
      <c r="L638" s="70" t="s">
        <v>16436</v>
      </c>
      <c r="N638" s="70" t="s">
        <v>16437</v>
      </c>
      <c r="P638" s="76">
        <v>44574.0</v>
      </c>
      <c r="U638" s="70" t="s">
        <v>239</v>
      </c>
      <c r="W638" s="70" t="s">
        <v>30026</v>
      </c>
      <c r="Y638" s="70" t="s">
        <v>30027</v>
      </c>
      <c r="Z638" s="75" t="s">
        <v>19302</v>
      </c>
      <c r="AA638" s="70" t="s">
        <v>19303</v>
      </c>
      <c r="AC638" s="70">
        <v>11.0</v>
      </c>
      <c r="AE638" s="70">
        <v>51.0</v>
      </c>
      <c r="AF638" s="70" t="s">
        <v>16423</v>
      </c>
      <c r="AW638" s="70" t="s">
        <v>19304</v>
      </c>
      <c r="AX638" s="70">
        <v>0.0</v>
      </c>
      <c r="AY638" s="70" t="s">
        <v>24</v>
      </c>
      <c r="AZ638" s="70">
        <v>2223.0</v>
      </c>
    </row>
    <row r="639" ht="22.5" customHeight="1">
      <c r="A639" s="70" t="str">
        <f t="shared" si="1"/>
        <v>Excluded</v>
      </c>
      <c r="B639" s="70">
        <f t="shared" si="2"/>
        <v>0</v>
      </c>
      <c r="C639" s="70">
        <v>0.0</v>
      </c>
      <c r="D639" s="70">
        <v>0.0</v>
      </c>
      <c r="E639" s="70">
        <v>0.0</v>
      </c>
      <c r="F639" s="70">
        <v>0.0</v>
      </c>
      <c r="G639" s="70">
        <v>0.0</v>
      </c>
      <c r="H639" s="70" t="s">
        <v>18788</v>
      </c>
      <c r="I639" s="70">
        <v>2065.0</v>
      </c>
      <c r="J639" s="70" t="s">
        <v>18786</v>
      </c>
      <c r="K639" s="70" t="s">
        <v>18787</v>
      </c>
      <c r="L639" s="70" t="s">
        <v>16436</v>
      </c>
      <c r="N639" s="70" t="s">
        <v>16437</v>
      </c>
      <c r="P639" s="76">
        <v>44579.0</v>
      </c>
      <c r="U639" s="70" t="s">
        <v>239</v>
      </c>
      <c r="W639" s="70" t="s">
        <v>18790</v>
      </c>
      <c r="Y639" s="70" t="s">
        <v>30028</v>
      </c>
      <c r="Z639" s="75" t="s">
        <v>18792</v>
      </c>
      <c r="AA639" s="70" t="s">
        <v>18793</v>
      </c>
      <c r="AC639" s="70">
        <v>16.0</v>
      </c>
      <c r="AE639" s="70">
        <v>51.0</v>
      </c>
      <c r="AF639" s="70" t="s">
        <v>16423</v>
      </c>
      <c r="AW639" s="70" t="s">
        <v>18794</v>
      </c>
      <c r="AZ639" s="70">
        <v>758.0</v>
      </c>
    </row>
    <row r="640" ht="22.5" customHeight="1">
      <c r="A640" s="70" t="str">
        <f t="shared" si="1"/>
        <v>Excluded</v>
      </c>
      <c r="B640" s="70">
        <f t="shared" si="2"/>
        <v>0</v>
      </c>
      <c r="C640" s="70">
        <v>0.0</v>
      </c>
      <c r="D640" s="70">
        <v>0.0</v>
      </c>
      <c r="E640" s="70">
        <v>0.0</v>
      </c>
      <c r="F640" s="70">
        <v>0.0</v>
      </c>
      <c r="G640" s="70">
        <v>0.0</v>
      </c>
      <c r="H640" s="70" t="s">
        <v>18889</v>
      </c>
      <c r="I640" s="70">
        <v>2076.0</v>
      </c>
      <c r="J640" s="70" t="s">
        <v>18887</v>
      </c>
      <c r="K640" s="70" t="s">
        <v>18888</v>
      </c>
      <c r="L640" s="70" t="s">
        <v>16436</v>
      </c>
      <c r="N640" s="70" t="s">
        <v>16437</v>
      </c>
      <c r="P640" s="77">
        <v>44593.0</v>
      </c>
      <c r="U640" s="70" t="s">
        <v>239</v>
      </c>
      <c r="W640" s="70" t="s">
        <v>30029</v>
      </c>
      <c r="Y640" s="70" t="s">
        <v>18892</v>
      </c>
      <c r="Z640" s="75" t="s">
        <v>18893</v>
      </c>
      <c r="AA640" s="70" t="s">
        <v>18894</v>
      </c>
      <c r="AC640" s="70">
        <v>15.0</v>
      </c>
      <c r="AE640" s="70">
        <v>201.0</v>
      </c>
      <c r="AF640" s="70" t="s">
        <v>16423</v>
      </c>
      <c r="AW640" s="70" t="s">
        <v>18895</v>
      </c>
      <c r="AZ640" s="70">
        <v>811.0</v>
      </c>
    </row>
    <row r="641" ht="22.5" customHeight="1">
      <c r="A641" s="70" t="str">
        <f t="shared" si="1"/>
        <v>Excluded</v>
      </c>
      <c r="B641" s="70">
        <f t="shared" si="2"/>
        <v>0</v>
      </c>
      <c r="C641" s="70">
        <v>0.0</v>
      </c>
      <c r="D641" s="70">
        <v>0.0</v>
      </c>
      <c r="E641" s="70">
        <v>0.0</v>
      </c>
      <c r="F641" s="70">
        <v>0.0</v>
      </c>
      <c r="G641" s="70">
        <v>0.0</v>
      </c>
      <c r="H641" s="70" t="s">
        <v>19863</v>
      </c>
      <c r="I641" s="70">
        <v>2186.0</v>
      </c>
      <c r="J641" s="70" t="s">
        <v>19861</v>
      </c>
      <c r="K641" s="70" t="s">
        <v>19862</v>
      </c>
      <c r="L641" s="70" t="s">
        <v>16436</v>
      </c>
      <c r="N641" s="70" t="s">
        <v>16437</v>
      </c>
      <c r="P641" s="77">
        <v>44601.0</v>
      </c>
      <c r="U641" s="70" t="s">
        <v>239</v>
      </c>
      <c r="W641" s="70" t="s">
        <v>19865</v>
      </c>
      <c r="Y641" s="70" t="s">
        <v>19866</v>
      </c>
      <c r="Z641" s="75" t="s">
        <v>19867</v>
      </c>
      <c r="AA641" s="70" t="s">
        <v>19868</v>
      </c>
      <c r="AC641" s="70">
        <v>7.0</v>
      </c>
      <c r="AE641" s="70">
        <v>37.0</v>
      </c>
      <c r="AF641" s="70" t="s">
        <v>16423</v>
      </c>
      <c r="AW641" s="70" t="s">
        <v>19869</v>
      </c>
      <c r="AX641" s="70">
        <v>0.0</v>
      </c>
      <c r="AY641" s="70" t="s">
        <v>24</v>
      </c>
      <c r="AZ641" s="70">
        <v>1800.0</v>
      </c>
    </row>
    <row r="642" ht="22.5" customHeight="1">
      <c r="A642" s="70" t="str">
        <f t="shared" si="1"/>
        <v>Excluded</v>
      </c>
      <c r="B642" s="70">
        <f t="shared" si="2"/>
        <v>0</v>
      </c>
      <c r="C642" s="70">
        <v>0.0</v>
      </c>
      <c r="D642" s="70">
        <v>0.0</v>
      </c>
      <c r="E642" s="70">
        <v>0.0</v>
      </c>
      <c r="F642" s="70">
        <v>0.0</v>
      </c>
      <c r="G642" s="70">
        <v>0.0</v>
      </c>
      <c r="H642" s="70" t="s">
        <v>18225</v>
      </c>
      <c r="I642" s="70">
        <v>2002.0</v>
      </c>
      <c r="J642" s="70" t="s">
        <v>18223</v>
      </c>
      <c r="K642" s="70" t="s">
        <v>18224</v>
      </c>
      <c r="L642" s="70" t="s">
        <v>16436</v>
      </c>
      <c r="N642" s="70" t="s">
        <v>16437</v>
      </c>
      <c r="P642" s="76">
        <v>44606.0</v>
      </c>
      <c r="U642" s="70" t="s">
        <v>239</v>
      </c>
      <c r="W642" s="70" t="s">
        <v>30030</v>
      </c>
      <c r="Z642" s="75" t="s">
        <v>18228</v>
      </c>
      <c r="AA642" s="70" t="s">
        <v>18229</v>
      </c>
      <c r="AC642" s="70">
        <v>25.0</v>
      </c>
      <c r="AE642" s="70">
        <v>30.0</v>
      </c>
      <c r="AF642" s="70" t="s">
        <v>16423</v>
      </c>
      <c r="AW642" s="70" t="s">
        <v>18230</v>
      </c>
      <c r="AX642" s="70">
        <v>0.0</v>
      </c>
      <c r="AY642" s="70" t="s">
        <v>24</v>
      </c>
      <c r="AZ642" s="70">
        <v>2486.0</v>
      </c>
    </row>
    <row r="643" ht="22.5" customHeight="1">
      <c r="A643" s="70" t="str">
        <f t="shared" si="1"/>
        <v>Excluded</v>
      </c>
      <c r="B643" s="70">
        <f t="shared" si="2"/>
        <v>0</v>
      </c>
      <c r="C643" s="70">
        <v>0.0</v>
      </c>
      <c r="D643" s="70">
        <v>0.0</v>
      </c>
      <c r="E643" s="70">
        <v>0.0</v>
      </c>
      <c r="F643" s="70">
        <v>0.0</v>
      </c>
      <c r="G643" s="70">
        <v>0.0</v>
      </c>
      <c r="H643" s="70" t="s">
        <v>27395</v>
      </c>
      <c r="I643" s="70">
        <v>2959.0</v>
      </c>
      <c r="J643" s="70" t="s">
        <v>27393</v>
      </c>
      <c r="K643" s="70" t="s">
        <v>27394</v>
      </c>
      <c r="W643" s="70" t="s">
        <v>30031</v>
      </c>
      <c r="AA643" s="70" t="s">
        <v>27397</v>
      </c>
      <c r="AI643" s="70" t="s">
        <v>27398</v>
      </c>
      <c r="AJ643" s="70" t="s">
        <v>27399</v>
      </c>
      <c r="AK643" s="70">
        <v>2022.0</v>
      </c>
      <c r="AL643" s="70" t="s">
        <v>16436</v>
      </c>
      <c r="AN643" s="70">
        <v>23593.0</v>
      </c>
      <c r="AO643" s="70">
        <v>23604.0</v>
      </c>
      <c r="AP643" s="70">
        <v>11.0</v>
      </c>
      <c r="AQ643" s="70">
        <v>21.0</v>
      </c>
      <c r="AR643" s="75" t="s">
        <v>27400</v>
      </c>
      <c r="AS643" s="70" t="s">
        <v>22525</v>
      </c>
      <c r="AT643" s="70" t="s">
        <v>22622</v>
      </c>
      <c r="AU643" s="70" t="s">
        <v>237</v>
      </c>
      <c r="AV643" s="70" t="s">
        <v>27401</v>
      </c>
      <c r="AW643" s="70" t="s">
        <v>27402</v>
      </c>
      <c r="AX643" s="70">
        <v>0.0</v>
      </c>
      <c r="AY643" s="70" t="s">
        <v>24</v>
      </c>
      <c r="AZ643" s="70">
        <v>2817.0</v>
      </c>
    </row>
    <row r="644" ht="22.5" customHeight="1">
      <c r="A644" s="70" t="str">
        <f t="shared" si="1"/>
        <v>Excluded</v>
      </c>
      <c r="B644" s="70">
        <f t="shared" si="2"/>
        <v>0</v>
      </c>
      <c r="C644" s="70">
        <v>0.0</v>
      </c>
      <c r="D644" s="70">
        <v>0.0</v>
      </c>
      <c r="E644" s="70">
        <v>0.0</v>
      </c>
      <c r="F644" s="70">
        <v>0.0</v>
      </c>
      <c r="G644" s="70">
        <v>0.0</v>
      </c>
      <c r="H644" s="70" t="s">
        <v>18954</v>
      </c>
      <c r="I644" s="70">
        <v>2083.0</v>
      </c>
      <c r="J644" s="70" t="s">
        <v>18952</v>
      </c>
      <c r="K644" s="70" t="s">
        <v>30032</v>
      </c>
      <c r="L644" s="70" t="s">
        <v>16436</v>
      </c>
      <c r="N644" s="70" t="s">
        <v>16437</v>
      </c>
      <c r="P644" s="77">
        <v>44628.0</v>
      </c>
      <c r="U644" s="70" t="s">
        <v>239</v>
      </c>
      <c r="W644" s="70" t="s">
        <v>18956</v>
      </c>
      <c r="Y644" s="70" t="s">
        <v>18957</v>
      </c>
      <c r="Z644" s="75" t="s">
        <v>18958</v>
      </c>
      <c r="AA644" s="70" t="s">
        <v>18959</v>
      </c>
      <c r="AC644" s="70">
        <v>14.0</v>
      </c>
      <c r="AE644" s="70">
        <v>88.0</v>
      </c>
      <c r="AF644" s="70" t="s">
        <v>16423</v>
      </c>
      <c r="AW644" s="70" t="s">
        <v>18960</v>
      </c>
      <c r="AZ644" s="70">
        <v>1247.0</v>
      </c>
    </row>
    <row r="645" ht="22.5" customHeight="1">
      <c r="A645" s="70" t="str">
        <f t="shared" si="1"/>
        <v>Excluded</v>
      </c>
      <c r="B645" s="70">
        <f t="shared" si="2"/>
        <v>0</v>
      </c>
      <c r="C645" s="70">
        <v>0.0</v>
      </c>
      <c r="D645" s="70">
        <v>0.0</v>
      </c>
      <c r="E645" s="70">
        <v>0.0</v>
      </c>
      <c r="F645" s="70">
        <v>0.0</v>
      </c>
      <c r="G645" s="70">
        <v>0.0</v>
      </c>
      <c r="H645" s="70" t="s">
        <v>19122</v>
      </c>
      <c r="I645" s="70">
        <v>2102.0</v>
      </c>
      <c r="J645" s="70" t="s">
        <v>30033</v>
      </c>
      <c r="K645" s="70" t="s">
        <v>19121</v>
      </c>
      <c r="L645" s="70" t="s">
        <v>16436</v>
      </c>
      <c r="N645" s="70" t="s">
        <v>16437</v>
      </c>
      <c r="P645" s="76">
        <v>44630.0</v>
      </c>
      <c r="U645" s="70" t="s">
        <v>239</v>
      </c>
      <c r="W645" s="70" t="s">
        <v>19124</v>
      </c>
      <c r="Y645" s="70" t="s">
        <v>30034</v>
      </c>
      <c r="Z645" s="75" t="s">
        <v>19126</v>
      </c>
      <c r="AA645" s="70" t="s">
        <v>19127</v>
      </c>
      <c r="AC645" s="70">
        <v>13.0</v>
      </c>
      <c r="AE645" s="70">
        <v>36.0</v>
      </c>
      <c r="AF645" s="70" t="s">
        <v>16423</v>
      </c>
      <c r="AW645" s="70" t="s">
        <v>19128</v>
      </c>
      <c r="AX645" s="70">
        <v>0.0</v>
      </c>
      <c r="AY645" s="70" t="s">
        <v>24</v>
      </c>
      <c r="AZ645" s="70">
        <v>1712.0</v>
      </c>
    </row>
    <row r="646" ht="22.5" customHeight="1">
      <c r="A646" s="70" t="str">
        <f t="shared" si="1"/>
        <v>Excluded</v>
      </c>
      <c r="B646" s="70">
        <f t="shared" si="2"/>
        <v>0</v>
      </c>
      <c r="C646" s="70">
        <v>0.0</v>
      </c>
      <c r="D646" s="70">
        <v>0.0</v>
      </c>
      <c r="E646" s="70">
        <v>0.0</v>
      </c>
      <c r="F646" s="70">
        <v>0.0</v>
      </c>
      <c r="G646" s="70">
        <v>0.0</v>
      </c>
      <c r="H646" s="70" t="s">
        <v>21311</v>
      </c>
      <c r="I646" s="70">
        <v>2347.0</v>
      </c>
      <c r="J646" s="70" t="s">
        <v>30035</v>
      </c>
      <c r="K646" s="70" t="s">
        <v>21310</v>
      </c>
      <c r="L646" s="70" t="s">
        <v>16436</v>
      </c>
      <c r="N646" s="70" t="s">
        <v>16437</v>
      </c>
      <c r="P646" s="76">
        <v>44634.0</v>
      </c>
      <c r="U646" s="70" t="s">
        <v>239</v>
      </c>
      <c r="W646" s="70" t="s">
        <v>21313</v>
      </c>
      <c r="Y646" s="70" t="s">
        <v>30036</v>
      </c>
      <c r="Z646" s="75" t="s">
        <v>21315</v>
      </c>
      <c r="AA646" s="70" t="s">
        <v>21316</v>
      </c>
      <c r="AC646" s="70">
        <v>1.0</v>
      </c>
      <c r="AE646" s="70">
        <v>48.0</v>
      </c>
      <c r="AF646" s="70" t="s">
        <v>16423</v>
      </c>
      <c r="AW646" s="70" t="s">
        <v>21317</v>
      </c>
      <c r="AZ646" s="70">
        <v>538.0</v>
      </c>
    </row>
    <row r="647" ht="22.5" customHeight="1">
      <c r="A647" s="70" t="str">
        <f t="shared" si="1"/>
        <v>Excluded</v>
      </c>
      <c r="B647" s="70">
        <f t="shared" si="2"/>
        <v>0</v>
      </c>
      <c r="C647" s="70">
        <v>0.0</v>
      </c>
      <c r="D647" s="70">
        <v>0.0</v>
      </c>
      <c r="E647" s="70">
        <v>0.0</v>
      </c>
      <c r="F647" s="70">
        <v>0.0</v>
      </c>
      <c r="G647" s="70">
        <v>0.0</v>
      </c>
      <c r="H647" s="70" t="s">
        <v>17421</v>
      </c>
      <c r="I647" s="70">
        <v>1912.0</v>
      </c>
      <c r="J647" s="70" t="s">
        <v>17419</v>
      </c>
      <c r="K647" s="70" t="s">
        <v>17420</v>
      </c>
      <c r="L647" s="70" t="s">
        <v>16436</v>
      </c>
      <c r="N647" s="70" t="s">
        <v>16437</v>
      </c>
      <c r="P647" s="76">
        <v>44641.0</v>
      </c>
      <c r="U647" s="70" t="s">
        <v>239</v>
      </c>
      <c r="W647" s="70" t="s">
        <v>17423</v>
      </c>
      <c r="Y647" s="70" t="s">
        <v>17424</v>
      </c>
      <c r="Z647" s="75" t="s">
        <v>17425</v>
      </c>
      <c r="AA647" s="70" t="s">
        <v>17426</v>
      </c>
      <c r="AC647" s="70">
        <v>51.0</v>
      </c>
      <c r="AE647" s="70">
        <v>284.0</v>
      </c>
      <c r="AF647" s="70" t="s">
        <v>16423</v>
      </c>
      <c r="AW647" s="70" t="s">
        <v>17427</v>
      </c>
      <c r="AX647" s="70">
        <v>0.0</v>
      </c>
      <c r="AY647" s="70" t="s">
        <v>24</v>
      </c>
      <c r="AZ647" s="70">
        <v>1723.0</v>
      </c>
    </row>
    <row r="648" ht="22.5" customHeight="1">
      <c r="A648" s="70" t="str">
        <f t="shared" si="1"/>
        <v>Excluded</v>
      </c>
      <c r="B648" s="70">
        <f t="shared" si="2"/>
        <v>0</v>
      </c>
      <c r="C648" s="70">
        <v>0.0</v>
      </c>
      <c r="D648" s="70">
        <v>0.0</v>
      </c>
      <c r="E648" s="70">
        <v>0.0</v>
      </c>
      <c r="F648" s="70">
        <v>0.0</v>
      </c>
      <c r="G648" s="70">
        <v>0.0</v>
      </c>
      <c r="H648" s="70" t="s">
        <v>18779</v>
      </c>
      <c r="I648" s="70">
        <v>2064.0</v>
      </c>
      <c r="J648" s="70" t="s">
        <v>18777</v>
      </c>
      <c r="K648" s="70" t="s">
        <v>18778</v>
      </c>
      <c r="L648" s="70" t="s">
        <v>16436</v>
      </c>
      <c r="N648" s="70" t="s">
        <v>16437</v>
      </c>
      <c r="P648" s="76">
        <v>44642.0</v>
      </c>
      <c r="U648" s="70" t="s">
        <v>239</v>
      </c>
      <c r="W648" s="70" t="s">
        <v>18781</v>
      </c>
      <c r="Y648" s="70" t="s">
        <v>18782</v>
      </c>
      <c r="Z648" s="75" t="s">
        <v>18783</v>
      </c>
      <c r="AA648" s="70" t="s">
        <v>18784</v>
      </c>
      <c r="AC648" s="70">
        <v>16.0</v>
      </c>
      <c r="AE648" s="70">
        <v>41.0</v>
      </c>
      <c r="AF648" s="70" t="s">
        <v>16423</v>
      </c>
      <c r="AW648" s="70" t="s">
        <v>18785</v>
      </c>
      <c r="AX648" s="70">
        <v>0.0</v>
      </c>
      <c r="AY648" s="70" t="s">
        <v>24</v>
      </c>
      <c r="AZ648" s="70">
        <v>1843.0</v>
      </c>
    </row>
    <row r="649" ht="22.5" customHeight="1">
      <c r="A649" s="70" t="str">
        <f t="shared" si="1"/>
        <v>Excluded</v>
      </c>
      <c r="B649" s="70">
        <f t="shared" si="2"/>
        <v>0</v>
      </c>
      <c r="C649" s="70">
        <v>0.0</v>
      </c>
      <c r="D649" s="70">
        <v>0.0</v>
      </c>
      <c r="E649" s="70">
        <v>0.0</v>
      </c>
      <c r="F649" s="70">
        <v>0.0</v>
      </c>
      <c r="G649" s="70">
        <v>0.0</v>
      </c>
      <c r="H649" s="70" t="s">
        <v>17716</v>
      </c>
      <c r="I649" s="70">
        <v>1945.0</v>
      </c>
      <c r="J649" s="70" t="s">
        <v>17714</v>
      </c>
      <c r="K649" s="70" t="s">
        <v>17715</v>
      </c>
      <c r="L649" s="70" t="s">
        <v>16436</v>
      </c>
      <c r="N649" s="70" t="s">
        <v>16437</v>
      </c>
      <c r="P649" s="76">
        <v>44644.0</v>
      </c>
      <c r="U649" s="70" t="s">
        <v>239</v>
      </c>
      <c r="W649" s="70" t="s">
        <v>17718</v>
      </c>
      <c r="Y649" s="70" t="s">
        <v>17719</v>
      </c>
      <c r="Z649" s="75" t="s">
        <v>17720</v>
      </c>
      <c r="AA649" s="70" t="s">
        <v>17721</v>
      </c>
      <c r="AC649" s="70">
        <v>35.0</v>
      </c>
      <c r="AE649" s="70">
        <v>110.0</v>
      </c>
      <c r="AF649" s="70" t="s">
        <v>16423</v>
      </c>
      <c r="AW649" s="70" t="s">
        <v>17722</v>
      </c>
      <c r="AX649" s="70">
        <v>0.0</v>
      </c>
      <c r="AY649" s="70" t="s">
        <v>24</v>
      </c>
      <c r="AZ649" s="70">
        <v>3015.0</v>
      </c>
    </row>
    <row r="650" ht="22.5" customHeight="1">
      <c r="A650" s="70" t="str">
        <f t="shared" si="1"/>
        <v>Excluded</v>
      </c>
      <c r="B650" s="70">
        <f t="shared" si="2"/>
        <v>0</v>
      </c>
      <c r="C650" s="70">
        <v>0.0</v>
      </c>
      <c r="D650" s="70">
        <v>0.0</v>
      </c>
      <c r="E650" s="70">
        <v>0.0</v>
      </c>
      <c r="F650" s="70">
        <v>0.0</v>
      </c>
      <c r="G650" s="70">
        <v>0.0</v>
      </c>
      <c r="H650" s="70" t="s">
        <v>18450</v>
      </c>
      <c r="I650" s="70">
        <v>2027.0</v>
      </c>
      <c r="J650" s="70" t="s">
        <v>18448</v>
      </c>
      <c r="K650" s="70" t="s">
        <v>18449</v>
      </c>
      <c r="L650" s="70" t="s">
        <v>16436</v>
      </c>
      <c r="N650" s="70" t="s">
        <v>16437</v>
      </c>
      <c r="P650" s="77">
        <v>44655.0</v>
      </c>
      <c r="U650" s="70" t="s">
        <v>239</v>
      </c>
      <c r="W650" s="70" t="s">
        <v>18452</v>
      </c>
      <c r="Y650" s="70" t="s">
        <v>30037</v>
      </c>
      <c r="Z650" s="75" t="s">
        <v>18454</v>
      </c>
      <c r="AA650" s="70" t="s">
        <v>18455</v>
      </c>
      <c r="AC650" s="70">
        <v>21.0</v>
      </c>
      <c r="AE650" s="70">
        <v>73.0</v>
      </c>
      <c r="AF650" s="70" t="s">
        <v>16423</v>
      </c>
      <c r="AW650" s="70" t="s">
        <v>18456</v>
      </c>
      <c r="AX650" s="70">
        <v>0.0</v>
      </c>
      <c r="AY650" s="70" t="s">
        <v>24</v>
      </c>
      <c r="AZ650" s="70">
        <v>2393.0</v>
      </c>
    </row>
    <row r="651" ht="22.5" customHeight="1">
      <c r="A651" s="70" t="str">
        <f t="shared" si="1"/>
        <v>Excluded</v>
      </c>
      <c r="B651" s="70">
        <f t="shared" si="2"/>
        <v>0</v>
      </c>
      <c r="C651" s="70">
        <v>0.0</v>
      </c>
      <c r="D651" s="70">
        <v>0.0</v>
      </c>
      <c r="E651" s="70">
        <v>0.0</v>
      </c>
      <c r="F651" s="70">
        <v>0.0</v>
      </c>
      <c r="G651" s="70">
        <v>0.0</v>
      </c>
      <c r="H651" s="70" t="s">
        <v>20463</v>
      </c>
      <c r="I651" s="70">
        <v>2253.0</v>
      </c>
      <c r="J651" s="70" t="s">
        <v>20461</v>
      </c>
      <c r="K651" s="70" t="s">
        <v>20462</v>
      </c>
      <c r="L651" s="70" t="s">
        <v>16436</v>
      </c>
      <c r="N651" s="70" t="s">
        <v>16437</v>
      </c>
      <c r="P651" s="76">
        <v>44676.0</v>
      </c>
      <c r="U651" s="70" t="s">
        <v>239</v>
      </c>
      <c r="W651" s="70" t="s">
        <v>30038</v>
      </c>
      <c r="Y651" s="70" t="s">
        <v>30039</v>
      </c>
      <c r="Z651" s="75" t="s">
        <v>20467</v>
      </c>
      <c r="AA651" s="70" t="s">
        <v>20468</v>
      </c>
      <c r="AC651" s="70">
        <v>4.0</v>
      </c>
      <c r="AE651" s="70">
        <v>92.0</v>
      </c>
      <c r="AF651" s="70" t="s">
        <v>16423</v>
      </c>
      <c r="AW651" s="70" t="s">
        <v>20469</v>
      </c>
      <c r="AX651" s="70">
        <v>0.0</v>
      </c>
      <c r="AY651" s="70" t="s">
        <v>24</v>
      </c>
      <c r="AZ651" s="70">
        <v>2766.0</v>
      </c>
    </row>
    <row r="652" ht="22.5" customHeight="1">
      <c r="A652" s="70" t="str">
        <f t="shared" si="1"/>
        <v>Excluded</v>
      </c>
      <c r="B652" s="70">
        <f t="shared" si="2"/>
        <v>0</v>
      </c>
      <c r="C652" s="70">
        <v>0.0</v>
      </c>
      <c r="D652" s="70">
        <v>0.0</v>
      </c>
      <c r="E652" s="70">
        <v>0.0</v>
      </c>
      <c r="F652" s="70">
        <v>0.0</v>
      </c>
      <c r="G652" s="70">
        <v>0.0</v>
      </c>
      <c r="H652" s="70" t="s">
        <v>17500</v>
      </c>
      <c r="I652" s="70">
        <v>1921.0</v>
      </c>
      <c r="J652" s="70" t="s">
        <v>17498</v>
      </c>
      <c r="K652" s="70" t="s">
        <v>17499</v>
      </c>
      <c r="L652" s="70" t="s">
        <v>16436</v>
      </c>
      <c r="N652" s="70" t="s">
        <v>16437</v>
      </c>
      <c r="P652" s="79">
        <v>44686.0</v>
      </c>
      <c r="U652" s="70" t="s">
        <v>239</v>
      </c>
      <c r="W652" s="70" t="s">
        <v>17502</v>
      </c>
      <c r="Y652" s="70" t="s">
        <v>30040</v>
      </c>
      <c r="Z652" s="75" t="s">
        <v>17504</v>
      </c>
      <c r="AA652" s="70" t="s">
        <v>17505</v>
      </c>
      <c r="AC652" s="70">
        <v>45.0</v>
      </c>
      <c r="AE652" s="70">
        <v>40.0</v>
      </c>
      <c r="AF652" s="70" t="s">
        <v>16423</v>
      </c>
      <c r="AW652" s="70" t="s">
        <v>17506</v>
      </c>
      <c r="AX652" s="70">
        <v>0.0</v>
      </c>
      <c r="AY652" s="70" t="s">
        <v>24</v>
      </c>
      <c r="AZ652" s="70">
        <v>2093.0</v>
      </c>
    </row>
    <row r="653" ht="22.5" customHeight="1">
      <c r="A653" s="70" t="str">
        <f t="shared" si="1"/>
        <v>Excluded</v>
      </c>
      <c r="B653" s="70">
        <f t="shared" si="2"/>
        <v>0</v>
      </c>
      <c r="C653" s="70">
        <v>0.0</v>
      </c>
      <c r="D653" s="70">
        <v>0.0</v>
      </c>
      <c r="E653" s="70">
        <v>0.0</v>
      </c>
      <c r="F653" s="70">
        <v>0.0</v>
      </c>
      <c r="G653" s="70">
        <v>0.0</v>
      </c>
      <c r="H653" s="70" t="s">
        <v>16970</v>
      </c>
      <c r="I653" s="70">
        <v>1862.0</v>
      </c>
      <c r="J653" s="70" t="s">
        <v>16968</v>
      </c>
      <c r="K653" s="70" t="s">
        <v>16969</v>
      </c>
      <c r="L653" s="70" t="s">
        <v>16436</v>
      </c>
      <c r="N653" s="70" t="s">
        <v>16437</v>
      </c>
      <c r="P653" s="78">
        <v>44693.0</v>
      </c>
      <c r="U653" s="70" t="s">
        <v>239</v>
      </c>
      <c r="W653" s="70" t="s">
        <v>16972</v>
      </c>
      <c r="Y653" s="70" t="s">
        <v>30041</v>
      </c>
      <c r="Z653" s="75" t="s">
        <v>16974</v>
      </c>
      <c r="AA653" s="70" t="s">
        <v>16975</v>
      </c>
      <c r="AC653" s="70">
        <v>91.0</v>
      </c>
      <c r="AE653" s="70">
        <v>190.0</v>
      </c>
      <c r="AF653" s="70" t="s">
        <v>16423</v>
      </c>
      <c r="AW653" s="70" t="s">
        <v>16976</v>
      </c>
      <c r="AZ653" s="70">
        <v>724.0</v>
      </c>
    </row>
    <row r="654" ht="22.5" customHeight="1">
      <c r="A654" s="70" t="str">
        <f t="shared" si="1"/>
        <v>Excluded</v>
      </c>
      <c r="B654" s="70">
        <f t="shared" si="2"/>
        <v>0</v>
      </c>
      <c r="C654" s="70">
        <v>0.0</v>
      </c>
      <c r="D654" s="70">
        <v>0.0</v>
      </c>
      <c r="E654" s="70">
        <v>0.0</v>
      </c>
      <c r="F654" s="70">
        <v>0.0</v>
      </c>
      <c r="G654" s="70">
        <v>0.0</v>
      </c>
      <c r="H654" s="70" t="s">
        <v>19131</v>
      </c>
      <c r="I654" s="70">
        <v>2103.0</v>
      </c>
      <c r="J654" s="70" t="s">
        <v>30042</v>
      </c>
      <c r="K654" s="70" t="s">
        <v>19130</v>
      </c>
      <c r="L654" s="70" t="s">
        <v>16436</v>
      </c>
      <c r="N654" s="70" t="s">
        <v>16437</v>
      </c>
      <c r="P654" s="78">
        <v>44699.0</v>
      </c>
      <c r="U654" s="70" t="s">
        <v>239</v>
      </c>
      <c r="W654" s="70" t="s">
        <v>30043</v>
      </c>
      <c r="Y654" s="70" t="s">
        <v>30044</v>
      </c>
      <c r="Z654" s="75" t="s">
        <v>19135</v>
      </c>
      <c r="AA654" s="70" t="s">
        <v>19136</v>
      </c>
      <c r="AC654" s="70">
        <v>13.0</v>
      </c>
      <c r="AE654" s="70">
        <v>123.0</v>
      </c>
      <c r="AF654" s="70" t="s">
        <v>16423</v>
      </c>
      <c r="AW654" s="70" t="s">
        <v>19137</v>
      </c>
      <c r="AZ654" s="70">
        <v>434.0</v>
      </c>
    </row>
    <row r="655" ht="22.5" customHeight="1">
      <c r="A655" s="70" t="str">
        <f t="shared" si="1"/>
        <v>Excluded</v>
      </c>
      <c r="B655" s="70">
        <f t="shared" si="2"/>
        <v>0</v>
      </c>
      <c r="C655" s="70">
        <v>0.0</v>
      </c>
      <c r="D655" s="70">
        <v>0.0</v>
      </c>
      <c r="E655" s="70">
        <v>0.0</v>
      </c>
      <c r="F655" s="70">
        <v>0.0</v>
      </c>
      <c r="G655" s="70">
        <v>0.0</v>
      </c>
      <c r="H655" s="70" t="s">
        <v>20148</v>
      </c>
      <c r="I655" s="70">
        <v>2218.0</v>
      </c>
      <c r="J655" s="70" t="s">
        <v>20146</v>
      </c>
      <c r="K655" s="70" t="s">
        <v>20147</v>
      </c>
      <c r="L655" s="70" t="s">
        <v>16436</v>
      </c>
      <c r="N655" s="70" t="s">
        <v>16437</v>
      </c>
      <c r="P655" s="78">
        <v>44701.0</v>
      </c>
      <c r="U655" s="70" t="s">
        <v>239</v>
      </c>
      <c r="W655" s="70" t="s">
        <v>20150</v>
      </c>
      <c r="Y655" s="70" t="s">
        <v>30045</v>
      </c>
      <c r="Z655" s="75" t="s">
        <v>20152</v>
      </c>
      <c r="AA655" s="70" t="s">
        <v>20153</v>
      </c>
      <c r="AC655" s="70">
        <v>5.0</v>
      </c>
      <c r="AE655" s="70">
        <v>77.0</v>
      </c>
      <c r="AF655" s="70" t="s">
        <v>16423</v>
      </c>
      <c r="AW655" s="70" t="s">
        <v>20154</v>
      </c>
      <c r="AX655" s="70">
        <v>0.0</v>
      </c>
      <c r="AY655" s="70" t="s">
        <v>24</v>
      </c>
      <c r="AZ655" s="70">
        <v>2998.0</v>
      </c>
    </row>
    <row r="656" ht="22.5" customHeight="1">
      <c r="A656" s="70" t="str">
        <f t="shared" si="1"/>
        <v>Excluded</v>
      </c>
      <c r="B656" s="70">
        <f t="shared" si="2"/>
        <v>0</v>
      </c>
      <c r="C656" s="70">
        <v>0.0</v>
      </c>
      <c r="D656" s="70">
        <v>0.0</v>
      </c>
      <c r="E656" s="70">
        <v>0.0</v>
      </c>
      <c r="F656" s="70">
        <v>0.0</v>
      </c>
      <c r="G656" s="70">
        <v>0.0</v>
      </c>
      <c r="H656" s="70" t="s">
        <v>19458</v>
      </c>
      <c r="I656" s="70">
        <v>2140.0</v>
      </c>
      <c r="J656" s="70" t="s">
        <v>19456</v>
      </c>
      <c r="K656" s="70" t="s">
        <v>19457</v>
      </c>
      <c r="L656" s="70" t="s">
        <v>16436</v>
      </c>
      <c r="N656" s="70" t="s">
        <v>16437</v>
      </c>
      <c r="P656" s="78">
        <v>44704.0</v>
      </c>
      <c r="U656" s="70" t="s">
        <v>239</v>
      </c>
      <c r="W656" s="70" t="s">
        <v>19460</v>
      </c>
      <c r="Y656" s="70" t="s">
        <v>30046</v>
      </c>
      <c r="Z656" s="75" t="s">
        <v>19462</v>
      </c>
      <c r="AA656" s="70" t="s">
        <v>19463</v>
      </c>
      <c r="AC656" s="70">
        <v>10.0</v>
      </c>
      <c r="AE656" s="70">
        <v>67.0</v>
      </c>
      <c r="AF656" s="70" t="s">
        <v>16423</v>
      </c>
      <c r="AW656" s="70" t="s">
        <v>19464</v>
      </c>
      <c r="AZ656" s="70">
        <v>1105.0</v>
      </c>
    </row>
    <row r="657" ht="22.5" customHeight="1">
      <c r="A657" s="70" t="str">
        <f t="shared" si="1"/>
        <v>Excluded</v>
      </c>
      <c r="B657" s="70">
        <f t="shared" si="2"/>
        <v>0</v>
      </c>
      <c r="C657" s="70">
        <v>0.0</v>
      </c>
      <c r="D657" s="70">
        <v>0.0</v>
      </c>
      <c r="E657" s="70">
        <v>0.0</v>
      </c>
      <c r="F657" s="70">
        <v>0.0</v>
      </c>
      <c r="G657" s="70">
        <v>0.0</v>
      </c>
      <c r="H657" s="70" t="s">
        <v>18154</v>
      </c>
      <c r="I657" s="70">
        <v>1994.0</v>
      </c>
      <c r="J657" s="70" t="s">
        <v>30047</v>
      </c>
      <c r="K657" s="70" t="s">
        <v>18153</v>
      </c>
      <c r="L657" s="70" t="s">
        <v>16436</v>
      </c>
      <c r="N657" s="70" t="s">
        <v>16437</v>
      </c>
      <c r="P657" s="78">
        <v>44704.0</v>
      </c>
      <c r="U657" s="70" t="s">
        <v>239</v>
      </c>
      <c r="W657" s="70" t="s">
        <v>18156</v>
      </c>
      <c r="Y657" s="70" t="s">
        <v>18157</v>
      </c>
      <c r="Z657" s="75" t="s">
        <v>18158</v>
      </c>
      <c r="AA657" s="70" t="s">
        <v>18159</v>
      </c>
      <c r="AC657" s="70">
        <v>26.0</v>
      </c>
      <c r="AE657" s="70">
        <v>317.0</v>
      </c>
      <c r="AF657" s="70" t="s">
        <v>16423</v>
      </c>
      <c r="AW657" s="70" t="s">
        <v>18160</v>
      </c>
      <c r="AZ657" s="70">
        <v>669.0</v>
      </c>
    </row>
    <row r="658" ht="22.5" customHeight="1">
      <c r="A658" s="70" t="str">
        <f t="shared" si="1"/>
        <v>Excluded</v>
      </c>
      <c r="B658" s="70">
        <f t="shared" si="2"/>
        <v>0</v>
      </c>
      <c r="C658" s="70">
        <v>0.0</v>
      </c>
      <c r="D658" s="70">
        <v>0.0</v>
      </c>
      <c r="E658" s="70">
        <v>0.0</v>
      </c>
      <c r="F658" s="70">
        <v>0.0</v>
      </c>
      <c r="G658" s="70">
        <v>0.0</v>
      </c>
      <c r="H658" s="70" t="s">
        <v>20245</v>
      </c>
      <c r="I658" s="70">
        <v>2229.0</v>
      </c>
      <c r="J658" s="70" t="s">
        <v>30048</v>
      </c>
      <c r="K658" s="70" t="s">
        <v>20244</v>
      </c>
      <c r="L658" s="70" t="s">
        <v>16436</v>
      </c>
      <c r="N658" s="70" t="s">
        <v>16437</v>
      </c>
      <c r="P658" s="77">
        <v>44718.0</v>
      </c>
      <c r="U658" s="70" t="s">
        <v>239</v>
      </c>
      <c r="W658" s="70" t="s">
        <v>20247</v>
      </c>
      <c r="Y658" s="70" t="s">
        <v>30049</v>
      </c>
      <c r="Z658" s="75" t="s">
        <v>20249</v>
      </c>
      <c r="AA658" s="70" t="s">
        <v>20250</v>
      </c>
      <c r="AC658" s="70">
        <v>5.0</v>
      </c>
      <c r="AE658" s="70">
        <v>63.0</v>
      </c>
      <c r="AF658" s="70" t="s">
        <v>16727</v>
      </c>
      <c r="AW658" s="70" t="s">
        <v>20251</v>
      </c>
      <c r="AX658" s="70">
        <v>0.0</v>
      </c>
      <c r="AY658" s="70" t="s">
        <v>24</v>
      </c>
      <c r="AZ658" s="70">
        <v>2156.0</v>
      </c>
    </row>
    <row r="659" ht="22.5" customHeight="1">
      <c r="A659" s="70" t="str">
        <f t="shared" si="1"/>
        <v>Excluded</v>
      </c>
      <c r="B659" s="70">
        <f t="shared" si="2"/>
        <v>0</v>
      </c>
      <c r="C659" s="70">
        <v>0.0</v>
      </c>
      <c r="D659" s="70">
        <v>0.0</v>
      </c>
      <c r="E659" s="70">
        <v>0.0</v>
      </c>
      <c r="F659" s="70">
        <v>0.0</v>
      </c>
      <c r="G659" s="70">
        <v>0.0</v>
      </c>
      <c r="H659" s="70" t="s">
        <v>17760</v>
      </c>
      <c r="I659" s="70">
        <v>1950.0</v>
      </c>
      <c r="J659" s="70" t="s">
        <v>17758</v>
      </c>
      <c r="K659" s="70" t="s">
        <v>17759</v>
      </c>
      <c r="L659" s="70" t="s">
        <v>16436</v>
      </c>
      <c r="N659" s="70" t="s">
        <v>16437</v>
      </c>
      <c r="P659" s="77">
        <v>44721.0</v>
      </c>
      <c r="U659" s="70" t="s">
        <v>239</v>
      </c>
      <c r="W659" s="70" t="s">
        <v>17762</v>
      </c>
      <c r="Z659" s="75" t="s">
        <v>17763</v>
      </c>
      <c r="AA659" s="70" t="s">
        <v>17764</v>
      </c>
      <c r="AC659" s="70">
        <v>34.0</v>
      </c>
      <c r="AE659" s="70">
        <v>98.0</v>
      </c>
      <c r="AF659" s="70" t="s">
        <v>16423</v>
      </c>
      <c r="AW659" s="70" t="s">
        <v>17765</v>
      </c>
      <c r="AZ659" s="70">
        <v>856.0</v>
      </c>
    </row>
    <row r="660" ht="22.5" customHeight="1">
      <c r="A660" s="70" t="str">
        <f t="shared" si="1"/>
        <v>Excluded</v>
      </c>
      <c r="B660" s="70">
        <f t="shared" si="2"/>
        <v>0</v>
      </c>
      <c r="C660" s="70">
        <v>0.0</v>
      </c>
      <c r="D660" s="70">
        <v>0.0</v>
      </c>
      <c r="E660" s="70">
        <v>0.0</v>
      </c>
      <c r="F660" s="70">
        <v>0.0</v>
      </c>
      <c r="G660" s="70">
        <v>0.0</v>
      </c>
      <c r="H660" s="70" t="s">
        <v>17913</v>
      </c>
      <c r="I660" s="70">
        <v>1967.0</v>
      </c>
      <c r="J660" s="70" t="s">
        <v>17911</v>
      </c>
      <c r="K660" s="70" t="s">
        <v>17912</v>
      </c>
      <c r="L660" s="70" t="s">
        <v>16436</v>
      </c>
      <c r="N660" s="70" t="s">
        <v>16437</v>
      </c>
      <c r="P660" s="76">
        <v>44728.0</v>
      </c>
      <c r="U660" s="70" t="s">
        <v>239</v>
      </c>
      <c r="W660" s="70" t="s">
        <v>30050</v>
      </c>
      <c r="Y660" s="70" t="s">
        <v>30051</v>
      </c>
      <c r="Z660" s="75" t="s">
        <v>17917</v>
      </c>
      <c r="AA660" s="70" t="s">
        <v>17918</v>
      </c>
      <c r="AC660" s="70">
        <v>31.0</v>
      </c>
      <c r="AE660" s="70">
        <v>373.0</v>
      </c>
      <c r="AF660" s="70" t="s">
        <v>16423</v>
      </c>
      <c r="AW660" s="70" t="s">
        <v>17919</v>
      </c>
      <c r="AX660" s="70">
        <v>0.0</v>
      </c>
      <c r="AY660" s="70" t="s">
        <v>24</v>
      </c>
      <c r="AZ660" s="70">
        <v>2975.0</v>
      </c>
    </row>
    <row r="661" ht="22.5" customHeight="1">
      <c r="A661" s="70" t="str">
        <f t="shared" si="1"/>
        <v>Excluded</v>
      </c>
      <c r="B661" s="70">
        <f t="shared" si="2"/>
        <v>0</v>
      </c>
      <c r="C661" s="70">
        <v>0.0</v>
      </c>
      <c r="D661" s="70">
        <v>0.0</v>
      </c>
      <c r="E661" s="70">
        <v>0.0</v>
      </c>
      <c r="F661" s="70">
        <v>0.0</v>
      </c>
      <c r="G661" s="70">
        <v>0.0</v>
      </c>
      <c r="H661" s="70" t="s">
        <v>17578</v>
      </c>
      <c r="I661" s="70">
        <v>1930.0</v>
      </c>
      <c r="J661" s="70" t="s">
        <v>17576</v>
      </c>
      <c r="K661" s="70" t="s">
        <v>17577</v>
      </c>
      <c r="L661" s="70" t="s">
        <v>16436</v>
      </c>
      <c r="N661" s="70" t="s">
        <v>16437</v>
      </c>
      <c r="P661" s="76">
        <v>44728.0</v>
      </c>
      <c r="U661" s="70" t="s">
        <v>239</v>
      </c>
      <c r="W661" s="70" t="s">
        <v>17580</v>
      </c>
      <c r="Y661" s="70" t="s">
        <v>30052</v>
      </c>
      <c r="Z661" s="75" t="s">
        <v>17582</v>
      </c>
      <c r="AA661" s="70" t="s">
        <v>17583</v>
      </c>
      <c r="AC661" s="70">
        <v>40.0</v>
      </c>
      <c r="AE661" s="70">
        <v>185.0</v>
      </c>
      <c r="AF661" s="70" t="s">
        <v>16423</v>
      </c>
      <c r="AW661" s="70" t="s">
        <v>17584</v>
      </c>
      <c r="AZ661" s="70">
        <v>543.0</v>
      </c>
    </row>
    <row r="662" ht="22.5" customHeight="1">
      <c r="A662" s="70" t="str">
        <f t="shared" si="1"/>
        <v>Excluded</v>
      </c>
      <c r="B662" s="70">
        <f t="shared" si="2"/>
        <v>0</v>
      </c>
      <c r="C662" s="70">
        <v>0.0</v>
      </c>
      <c r="D662" s="70">
        <v>0.0</v>
      </c>
      <c r="E662" s="70">
        <v>0.0</v>
      </c>
      <c r="F662" s="70">
        <v>0.0</v>
      </c>
      <c r="G662" s="70">
        <v>0.0</v>
      </c>
      <c r="H662" s="70" t="s">
        <v>21247</v>
      </c>
      <c r="I662" s="70">
        <v>2340.0</v>
      </c>
      <c r="J662" s="70" t="s">
        <v>21245</v>
      </c>
      <c r="K662" s="70" t="s">
        <v>21246</v>
      </c>
      <c r="L662" s="70" t="s">
        <v>16436</v>
      </c>
      <c r="N662" s="70" t="s">
        <v>16437</v>
      </c>
      <c r="P662" s="76">
        <v>44736.0</v>
      </c>
      <c r="U662" s="70" t="s">
        <v>239</v>
      </c>
      <c r="W662" s="70" t="s">
        <v>21249</v>
      </c>
      <c r="Y662" s="70" t="s">
        <v>30053</v>
      </c>
      <c r="Z662" s="75" t="s">
        <v>21251</v>
      </c>
      <c r="AA662" s="70" t="s">
        <v>21252</v>
      </c>
      <c r="AC662" s="70">
        <v>1.0</v>
      </c>
      <c r="AE662" s="70">
        <v>39.0</v>
      </c>
      <c r="AF662" s="70" t="s">
        <v>16423</v>
      </c>
      <c r="AW662" s="70" t="s">
        <v>21253</v>
      </c>
      <c r="AX662" s="70">
        <v>0.0</v>
      </c>
      <c r="AY662" s="70" t="s">
        <v>24</v>
      </c>
      <c r="AZ662" s="70">
        <v>2887.0</v>
      </c>
    </row>
    <row r="663" ht="22.5" customHeight="1">
      <c r="A663" s="70" t="str">
        <f t="shared" si="1"/>
        <v>Excluded</v>
      </c>
      <c r="B663" s="70">
        <f t="shared" si="2"/>
        <v>0</v>
      </c>
      <c r="C663" s="70">
        <v>0.0</v>
      </c>
      <c r="D663" s="70">
        <v>0.0</v>
      </c>
      <c r="E663" s="70">
        <v>0.0</v>
      </c>
      <c r="F663" s="70">
        <v>0.0</v>
      </c>
      <c r="G663" s="70">
        <v>0.0</v>
      </c>
      <c r="H663" s="70" t="s">
        <v>17484</v>
      </c>
      <c r="I663" s="70">
        <v>1919.0</v>
      </c>
      <c r="J663" s="70" t="s">
        <v>30054</v>
      </c>
      <c r="K663" s="70" t="s">
        <v>17483</v>
      </c>
      <c r="L663" s="70" t="s">
        <v>16436</v>
      </c>
      <c r="N663" s="70" t="s">
        <v>16437</v>
      </c>
      <c r="P663" s="76">
        <v>44739.0</v>
      </c>
      <c r="U663" s="70" t="s">
        <v>239</v>
      </c>
      <c r="W663" s="70" t="s">
        <v>17486</v>
      </c>
      <c r="Z663" s="75" t="s">
        <v>17487</v>
      </c>
      <c r="AA663" s="70" t="s">
        <v>17488</v>
      </c>
      <c r="AC663" s="70">
        <v>46.0</v>
      </c>
      <c r="AE663" s="70">
        <v>98.0</v>
      </c>
      <c r="AF663" s="70" t="s">
        <v>16727</v>
      </c>
      <c r="AW663" s="70" t="s">
        <v>17489</v>
      </c>
      <c r="AX663" s="70">
        <v>0.0</v>
      </c>
      <c r="AY663" s="70" t="s">
        <v>24</v>
      </c>
      <c r="AZ663" s="70">
        <v>2481.0</v>
      </c>
    </row>
    <row r="664" ht="22.5" customHeight="1">
      <c r="A664" s="70" t="str">
        <f t="shared" si="1"/>
        <v>Excluded</v>
      </c>
      <c r="B664" s="70">
        <f t="shared" si="2"/>
        <v>0</v>
      </c>
      <c r="C664" s="70">
        <v>0.0</v>
      </c>
      <c r="D664" s="70">
        <v>0.0</v>
      </c>
      <c r="E664" s="70">
        <v>0.0</v>
      </c>
      <c r="F664" s="70">
        <v>0.0</v>
      </c>
      <c r="G664" s="70">
        <v>0.0</v>
      </c>
      <c r="H664" s="70" t="s">
        <v>17073</v>
      </c>
      <c r="I664" s="70">
        <v>1873.0</v>
      </c>
      <c r="J664" s="70" t="s">
        <v>17071</v>
      </c>
      <c r="K664" s="70" t="s">
        <v>17072</v>
      </c>
      <c r="L664" s="70" t="s">
        <v>16436</v>
      </c>
      <c r="N664" s="70" t="s">
        <v>16437</v>
      </c>
      <c r="P664" s="76">
        <v>44740.0</v>
      </c>
      <c r="U664" s="70" t="s">
        <v>239</v>
      </c>
      <c r="W664" s="70" t="s">
        <v>17075</v>
      </c>
      <c r="Z664" s="75" t="s">
        <v>17076</v>
      </c>
      <c r="AA664" s="70" t="s">
        <v>17077</v>
      </c>
      <c r="AC664" s="70">
        <v>77.0</v>
      </c>
      <c r="AE664" s="70">
        <v>168.0</v>
      </c>
      <c r="AF664" s="70" t="s">
        <v>16423</v>
      </c>
      <c r="AW664" s="70" t="s">
        <v>17078</v>
      </c>
      <c r="AZ664" s="70">
        <v>1192.0</v>
      </c>
    </row>
    <row r="665" ht="22.5" customHeight="1">
      <c r="A665" s="70" t="str">
        <f t="shared" si="1"/>
        <v>Excluded</v>
      </c>
      <c r="B665" s="70">
        <f t="shared" si="2"/>
        <v>0</v>
      </c>
      <c r="C665" s="70">
        <v>0.0</v>
      </c>
      <c r="D665" s="70">
        <v>0.0</v>
      </c>
      <c r="E665" s="70">
        <v>0.0</v>
      </c>
      <c r="F665" s="70">
        <v>0.0</v>
      </c>
      <c r="G665" s="70">
        <v>0.0</v>
      </c>
      <c r="H665" s="70" t="s">
        <v>18596</v>
      </c>
      <c r="I665" s="70">
        <v>2043.0</v>
      </c>
      <c r="J665" s="70" t="s">
        <v>18594</v>
      </c>
      <c r="K665" s="70" t="s">
        <v>18595</v>
      </c>
      <c r="L665" s="70" t="s">
        <v>16436</v>
      </c>
      <c r="N665" s="70" t="s">
        <v>16437</v>
      </c>
      <c r="P665" s="77">
        <v>44746.0</v>
      </c>
      <c r="U665" s="70" t="s">
        <v>239</v>
      </c>
      <c r="W665" s="70" t="s">
        <v>18598</v>
      </c>
      <c r="Y665" s="70" t="s">
        <v>30055</v>
      </c>
      <c r="Z665" s="75" t="s">
        <v>18600</v>
      </c>
      <c r="AA665" s="70" t="s">
        <v>18601</v>
      </c>
      <c r="AC665" s="70">
        <v>19.0</v>
      </c>
      <c r="AE665" s="70">
        <v>83.0</v>
      </c>
      <c r="AF665" s="70" t="s">
        <v>16423</v>
      </c>
      <c r="AW665" s="70" t="s">
        <v>18602</v>
      </c>
      <c r="AX665" s="70">
        <v>0.0</v>
      </c>
      <c r="AY665" s="70" t="s">
        <v>24</v>
      </c>
      <c r="AZ665" s="70">
        <v>2600.0</v>
      </c>
    </row>
    <row r="666" ht="22.5" customHeight="1">
      <c r="A666" s="70" t="str">
        <f t="shared" si="1"/>
        <v>Excluded</v>
      </c>
      <c r="B666" s="70">
        <f t="shared" si="2"/>
        <v>0</v>
      </c>
      <c r="C666" s="70">
        <v>0.0</v>
      </c>
      <c r="D666" s="70">
        <v>0.0</v>
      </c>
      <c r="E666" s="70">
        <v>0.0</v>
      </c>
      <c r="F666" s="70">
        <v>0.0</v>
      </c>
      <c r="G666" s="70">
        <v>0.0</v>
      </c>
      <c r="H666" s="70" t="s">
        <v>17405</v>
      </c>
      <c r="I666" s="70">
        <v>1910.0</v>
      </c>
      <c r="J666" s="70" t="s">
        <v>17403</v>
      </c>
      <c r="K666" s="70" t="s">
        <v>17404</v>
      </c>
      <c r="L666" s="70" t="s">
        <v>16436</v>
      </c>
      <c r="N666" s="70" t="s">
        <v>16437</v>
      </c>
      <c r="P666" s="77">
        <v>44746.0</v>
      </c>
      <c r="U666" s="70" t="s">
        <v>239</v>
      </c>
      <c r="W666" s="70" t="s">
        <v>30056</v>
      </c>
      <c r="Z666" s="75" t="s">
        <v>17408</v>
      </c>
      <c r="AA666" s="70" t="s">
        <v>17409</v>
      </c>
      <c r="AC666" s="70">
        <v>53.0</v>
      </c>
      <c r="AE666" s="70">
        <v>230.0</v>
      </c>
      <c r="AF666" s="70" t="s">
        <v>16423</v>
      </c>
      <c r="AW666" s="70" t="s">
        <v>17410</v>
      </c>
      <c r="AX666" s="70">
        <v>0.0</v>
      </c>
      <c r="AY666" s="70" t="s">
        <v>24</v>
      </c>
      <c r="AZ666" s="70">
        <v>1833.0</v>
      </c>
    </row>
    <row r="667" ht="22.5" customHeight="1">
      <c r="A667" s="70" t="str">
        <f t="shared" si="1"/>
        <v>Excluded</v>
      </c>
      <c r="B667" s="70">
        <f t="shared" si="2"/>
        <v>0</v>
      </c>
      <c r="C667" s="70">
        <v>0.0</v>
      </c>
      <c r="D667" s="70">
        <v>0.0</v>
      </c>
      <c r="E667" s="70">
        <v>0.0</v>
      </c>
      <c r="F667" s="70">
        <v>0.0</v>
      </c>
      <c r="G667" s="70">
        <v>0.0</v>
      </c>
      <c r="H667" s="70" t="s">
        <v>17627</v>
      </c>
      <c r="I667" s="70">
        <v>1935.0</v>
      </c>
      <c r="J667" s="70" t="s">
        <v>17625</v>
      </c>
      <c r="K667" s="70" t="s">
        <v>17626</v>
      </c>
      <c r="L667" s="70" t="s">
        <v>16436</v>
      </c>
      <c r="N667" s="70" t="s">
        <v>16437</v>
      </c>
      <c r="P667" s="76">
        <v>44763.0</v>
      </c>
      <c r="U667" s="70" t="s">
        <v>239</v>
      </c>
      <c r="W667" s="70" t="s">
        <v>30057</v>
      </c>
      <c r="Y667" s="70" t="s">
        <v>30058</v>
      </c>
      <c r="Z667" s="75" t="s">
        <v>17631</v>
      </c>
      <c r="AA667" s="70" t="s">
        <v>17632</v>
      </c>
      <c r="AC667" s="70">
        <v>38.0</v>
      </c>
      <c r="AE667" s="70">
        <v>106.0</v>
      </c>
      <c r="AF667" s="70" t="s">
        <v>16423</v>
      </c>
      <c r="AW667" s="70" t="s">
        <v>17633</v>
      </c>
      <c r="AX667" s="70">
        <v>0.0</v>
      </c>
      <c r="AY667" s="70" t="s">
        <v>24</v>
      </c>
      <c r="AZ667" s="70">
        <v>1885.0</v>
      </c>
    </row>
    <row r="668" ht="22.5" customHeight="1">
      <c r="A668" s="70" t="str">
        <f t="shared" si="1"/>
        <v>Excluded</v>
      </c>
      <c r="B668" s="70">
        <f t="shared" si="2"/>
        <v>0</v>
      </c>
      <c r="C668" s="70">
        <v>0.0</v>
      </c>
      <c r="D668" s="70">
        <v>0.0</v>
      </c>
      <c r="E668" s="70">
        <v>0.0</v>
      </c>
      <c r="F668" s="70">
        <v>0.0</v>
      </c>
      <c r="G668" s="70">
        <v>0.0</v>
      </c>
      <c r="H668" s="70" t="s">
        <v>22290</v>
      </c>
      <c r="I668" s="70">
        <v>2459.0</v>
      </c>
      <c r="J668" s="70" t="s">
        <v>30059</v>
      </c>
      <c r="K668" s="70" t="s">
        <v>22289</v>
      </c>
      <c r="L668" s="70" t="s">
        <v>16436</v>
      </c>
      <c r="N668" s="70" t="s">
        <v>16437</v>
      </c>
      <c r="P668" s="77">
        <v>44774.0</v>
      </c>
      <c r="U668" s="70" t="s">
        <v>239</v>
      </c>
      <c r="W668" s="70" t="s">
        <v>22292</v>
      </c>
      <c r="Z668" s="75" t="s">
        <v>22293</v>
      </c>
      <c r="AA668" s="70" t="s">
        <v>22294</v>
      </c>
      <c r="AE668" s="70">
        <v>42.0</v>
      </c>
      <c r="AF668" s="70" t="s">
        <v>16423</v>
      </c>
      <c r="AW668" s="70" t="s">
        <v>22295</v>
      </c>
      <c r="AZ668" s="70">
        <v>562.0</v>
      </c>
    </row>
    <row r="669" ht="22.5" customHeight="1">
      <c r="A669" s="70" t="str">
        <f t="shared" si="1"/>
        <v>Excluded</v>
      </c>
      <c r="B669" s="70">
        <f t="shared" si="2"/>
        <v>0</v>
      </c>
      <c r="C669" s="70">
        <v>0.0</v>
      </c>
      <c r="D669" s="70">
        <v>0.0</v>
      </c>
      <c r="E669" s="70">
        <v>0.0</v>
      </c>
      <c r="F669" s="70">
        <v>0.0</v>
      </c>
      <c r="G669" s="70">
        <v>0.0</v>
      </c>
      <c r="H669" s="70" t="s">
        <v>18728</v>
      </c>
      <c r="I669" s="70">
        <v>2058.0</v>
      </c>
      <c r="J669" s="70" t="s">
        <v>30060</v>
      </c>
      <c r="K669" s="70" t="s">
        <v>18727</v>
      </c>
      <c r="L669" s="70" t="s">
        <v>16436</v>
      </c>
      <c r="N669" s="70" t="s">
        <v>16437</v>
      </c>
      <c r="P669" s="77">
        <v>44781.0</v>
      </c>
      <c r="U669" s="70" t="s">
        <v>239</v>
      </c>
      <c r="W669" s="70" t="s">
        <v>18730</v>
      </c>
      <c r="Y669" s="70" t="s">
        <v>18731</v>
      </c>
      <c r="Z669" s="75" t="s">
        <v>18732</v>
      </c>
      <c r="AA669" s="70" t="s">
        <v>18733</v>
      </c>
      <c r="AC669" s="70">
        <v>17.0</v>
      </c>
      <c r="AE669" s="70">
        <v>166.0</v>
      </c>
      <c r="AF669" s="70" t="s">
        <v>16423</v>
      </c>
      <c r="AW669" s="70" t="s">
        <v>18734</v>
      </c>
      <c r="AX669" s="70">
        <v>0.0</v>
      </c>
      <c r="AY669" s="70" t="s">
        <v>24</v>
      </c>
      <c r="AZ669" s="70">
        <v>3031.0</v>
      </c>
    </row>
    <row r="670" ht="22.5" customHeight="1">
      <c r="A670" s="70" t="str">
        <f t="shared" si="1"/>
        <v>Excluded</v>
      </c>
      <c r="B670" s="70">
        <f t="shared" si="2"/>
        <v>0</v>
      </c>
      <c r="C670" s="70">
        <v>0.0</v>
      </c>
      <c r="D670" s="70">
        <v>0.0</v>
      </c>
      <c r="E670" s="70">
        <v>0.0</v>
      </c>
      <c r="F670" s="70">
        <v>0.0</v>
      </c>
      <c r="G670" s="70">
        <v>0.0</v>
      </c>
      <c r="H670" s="70" t="s">
        <v>27628</v>
      </c>
      <c r="I670" s="70">
        <v>2982.0</v>
      </c>
      <c r="J670" s="70" t="s">
        <v>27626</v>
      </c>
      <c r="K670" s="70" t="s">
        <v>27627</v>
      </c>
      <c r="W670" s="70" t="s">
        <v>30061</v>
      </c>
      <c r="AA670" s="70" t="s">
        <v>27630</v>
      </c>
      <c r="AI670" s="70" t="s">
        <v>27631</v>
      </c>
      <c r="AJ670" s="70" t="s">
        <v>27632</v>
      </c>
      <c r="AK670" s="70">
        <v>2022.0</v>
      </c>
      <c r="AL670" s="70" t="s">
        <v>16436</v>
      </c>
      <c r="AN670" s="70">
        <v>84078.0</v>
      </c>
      <c r="AO670" s="70">
        <v>84093.0</v>
      </c>
      <c r="AP670" s="70">
        <v>15.0</v>
      </c>
      <c r="AQ670" s="70">
        <v>1.0</v>
      </c>
      <c r="AR670" s="75" t="s">
        <v>27633</v>
      </c>
      <c r="AS670" s="70" t="s">
        <v>22525</v>
      </c>
      <c r="AT670" s="70" t="s">
        <v>22622</v>
      </c>
      <c r="AU670" s="70" t="s">
        <v>237</v>
      </c>
      <c r="AV670" s="70" t="s">
        <v>27634</v>
      </c>
      <c r="AW670" s="70" t="s">
        <v>27635</v>
      </c>
      <c r="AX670" s="70">
        <v>0.0</v>
      </c>
      <c r="AY670" s="70" t="s">
        <v>24</v>
      </c>
      <c r="AZ670" s="70">
        <v>2669.0</v>
      </c>
    </row>
    <row r="671" ht="22.5" customHeight="1">
      <c r="A671" s="70" t="str">
        <f t="shared" si="1"/>
        <v>Excluded</v>
      </c>
      <c r="B671" s="70">
        <f t="shared" si="2"/>
        <v>0</v>
      </c>
      <c r="C671" s="70">
        <v>0.0</v>
      </c>
      <c r="D671" s="70">
        <v>0.0</v>
      </c>
      <c r="E671" s="70">
        <v>0.0</v>
      </c>
      <c r="F671" s="70">
        <v>0.0</v>
      </c>
      <c r="G671" s="70">
        <v>0.0</v>
      </c>
      <c r="H671" s="70" t="s">
        <v>20061</v>
      </c>
      <c r="I671" s="70">
        <v>2208.0</v>
      </c>
      <c r="J671" s="70" t="s">
        <v>19861</v>
      </c>
      <c r="K671" s="70" t="s">
        <v>20060</v>
      </c>
      <c r="L671" s="70" t="s">
        <v>16436</v>
      </c>
      <c r="N671" s="70" t="s">
        <v>16437</v>
      </c>
      <c r="P671" s="76">
        <v>44789.0</v>
      </c>
      <c r="U671" s="70" t="s">
        <v>239</v>
      </c>
      <c r="W671" s="70" t="s">
        <v>20062</v>
      </c>
      <c r="Y671" s="70" t="s">
        <v>20063</v>
      </c>
      <c r="Z671" s="75" t="s">
        <v>20064</v>
      </c>
      <c r="AA671" s="70" t="s">
        <v>20065</v>
      </c>
      <c r="AC671" s="70">
        <v>6.0</v>
      </c>
      <c r="AE671" s="70">
        <v>46.0</v>
      </c>
      <c r="AF671" s="70" t="s">
        <v>16423</v>
      </c>
      <c r="AW671" s="70" t="s">
        <v>20066</v>
      </c>
      <c r="AX671" s="70">
        <v>1.0</v>
      </c>
      <c r="AZ671" s="70">
        <v>1628.0</v>
      </c>
    </row>
    <row r="672" ht="22.5" customHeight="1">
      <c r="A672" s="70" t="str">
        <f t="shared" si="1"/>
        <v>Excluded</v>
      </c>
      <c r="B672" s="70">
        <f t="shared" si="2"/>
        <v>0</v>
      </c>
      <c r="C672" s="70">
        <v>0.0</v>
      </c>
      <c r="D672" s="70">
        <v>0.0</v>
      </c>
      <c r="E672" s="70">
        <v>0.0</v>
      </c>
      <c r="F672" s="70">
        <v>0.0</v>
      </c>
      <c r="G672" s="70">
        <v>0.0</v>
      </c>
      <c r="H672" s="70" t="s">
        <v>20157</v>
      </c>
      <c r="I672" s="70">
        <v>2219.0</v>
      </c>
      <c r="J672" s="70" t="s">
        <v>20155</v>
      </c>
      <c r="K672" s="70" t="s">
        <v>20156</v>
      </c>
      <c r="L672" s="70" t="s">
        <v>16436</v>
      </c>
      <c r="N672" s="70" t="s">
        <v>16437</v>
      </c>
      <c r="P672" s="76">
        <v>44791.0</v>
      </c>
      <c r="U672" s="70" t="s">
        <v>239</v>
      </c>
      <c r="W672" s="70" t="s">
        <v>20159</v>
      </c>
      <c r="Z672" s="75" t="s">
        <v>20160</v>
      </c>
      <c r="AA672" s="70" t="s">
        <v>20161</v>
      </c>
      <c r="AC672" s="70">
        <v>5.0</v>
      </c>
      <c r="AE672" s="70">
        <v>68.0</v>
      </c>
      <c r="AF672" s="70" t="s">
        <v>16423</v>
      </c>
      <c r="AW672" s="70" t="s">
        <v>20162</v>
      </c>
      <c r="AX672" s="70">
        <v>0.0</v>
      </c>
      <c r="AY672" s="70" t="s">
        <v>24</v>
      </c>
      <c r="AZ672" s="70">
        <v>3108.0</v>
      </c>
    </row>
    <row r="673" ht="22.5" customHeight="1">
      <c r="A673" s="70" t="str">
        <f t="shared" si="1"/>
        <v>Excluded</v>
      </c>
      <c r="B673" s="70">
        <f t="shared" si="2"/>
        <v>0</v>
      </c>
      <c r="C673" s="70">
        <v>0.0</v>
      </c>
      <c r="D673" s="70">
        <v>0.0</v>
      </c>
      <c r="E673" s="70">
        <v>0.0</v>
      </c>
      <c r="F673" s="70">
        <v>0.0</v>
      </c>
      <c r="G673" s="70">
        <v>0.0</v>
      </c>
      <c r="H673" s="70" t="s">
        <v>19176</v>
      </c>
      <c r="I673" s="70">
        <v>2108.0</v>
      </c>
      <c r="J673" s="70" t="s">
        <v>19174</v>
      </c>
      <c r="K673" s="70" t="s">
        <v>19175</v>
      </c>
      <c r="L673" s="70" t="s">
        <v>16436</v>
      </c>
      <c r="N673" s="70" t="s">
        <v>16437</v>
      </c>
      <c r="P673" s="77">
        <v>44812.0</v>
      </c>
      <c r="U673" s="70" t="s">
        <v>239</v>
      </c>
      <c r="W673" s="70" t="s">
        <v>19178</v>
      </c>
      <c r="Z673" s="75" t="s">
        <v>19179</v>
      </c>
      <c r="AA673" s="70" t="s">
        <v>19180</v>
      </c>
      <c r="AC673" s="70">
        <v>12.0</v>
      </c>
      <c r="AE673" s="70">
        <v>62.0</v>
      </c>
      <c r="AF673" s="70" t="s">
        <v>16423</v>
      </c>
      <c r="AW673" s="70" t="s">
        <v>19181</v>
      </c>
      <c r="AZ673" s="70">
        <v>1390.0</v>
      </c>
    </row>
    <row r="674" ht="22.5" customHeight="1">
      <c r="A674" s="70" t="str">
        <f t="shared" si="1"/>
        <v>Excluded</v>
      </c>
      <c r="B674" s="70">
        <f t="shared" si="2"/>
        <v>0</v>
      </c>
      <c r="C674" s="70">
        <v>0.0</v>
      </c>
      <c r="D674" s="70">
        <v>0.0</v>
      </c>
      <c r="E674" s="70">
        <v>0.0</v>
      </c>
      <c r="F674" s="70">
        <v>0.0</v>
      </c>
      <c r="G674" s="70">
        <v>0.0</v>
      </c>
      <c r="H674" s="70" t="s">
        <v>21085</v>
      </c>
      <c r="I674" s="70">
        <v>2322.0</v>
      </c>
      <c r="J674" s="70" t="s">
        <v>21083</v>
      </c>
      <c r="K674" s="70" t="s">
        <v>21084</v>
      </c>
      <c r="L674" s="70" t="s">
        <v>16436</v>
      </c>
      <c r="N674" s="70" t="s">
        <v>16437</v>
      </c>
      <c r="P674" s="76">
        <v>44824.0</v>
      </c>
      <c r="U674" s="70" t="s">
        <v>239</v>
      </c>
      <c r="W674" s="70" t="s">
        <v>30062</v>
      </c>
      <c r="Y674" s="70" t="s">
        <v>21088</v>
      </c>
      <c r="Z674" s="75" t="s">
        <v>21089</v>
      </c>
      <c r="AA674" s="70" t="s">
        <v>21090</v>
      </c>
      <c r="AC674" s="70">
        <v>2.0</v>
      </c>
      <c r="AE674" s="70">
        <v>25.0</v>
      </c>
      <c r="AF674" s="70" t="s">
        <v>16423</v>
      </c>
      <c r="AW674" s="70" t="s">
        <v>21091</v>
      </c>
      <c r="AX674" s="70">
        <v>0.0</v>
      </c>
      <c r="AY674" s="70" t="s">
        <v>24</v>
      </c>
      <c r="AZ674" s="70">
        <v>1898.0</v>
      </c>
    </row>
    <row r="675" ht="22.5" customHeight="1">
      <c r="A675" s="70" t="str">
        <f t="shared" si="1"/>
        <v>Excluded</v>
      </c>
      <c r="B675" s="70">
        <f t="shared" si="2"/>
        <v>0</v>
      </c>
      <c r="C675" s="70">
        <v>0.0</v>
      </c>
      <c r="D675" s="70">
        <v>0.0</v>
      </c>
      <c r="E675" s="70">
        <v>0.0</v>
      </c>
      <c r="F675" s="70">
        <v>0.0</v>
      </c>
      <c r="G675" s="70">
        <v>0.0</v>
      </c>
      <c r="H675" s="70" t="s">
        <v>21284</v>
      </c>
      <c r="I675" s="70">
        <v>2344.0</v>
      </c>
      <c r="J675" s="70" t="s">
        <v>21282</v>
      </c>
      <c r="K675" s="70" t="s">
        <v>21283</v>
      </c>
      <c r="L675" s="70" t="s">
        <v>16436</v>
      </c>
      <c r="N675" s="70" t="s">
        <v>16437</v>
      </c>
      <c r="P675" s="76">
        <v>44824.0</v>
      </c>
      <c r="U675" s="70" t="s">
        <v>239</v>
      </c>
      <c r="W675" s="70" t="s">
        <v>30063</v>
      </c>
      <c r="Y675" s="70" t="s">
        <v>30064</v>
      </c>
      <c r="Z675" s="75" t="s">
        <v>21288</v>
      </c>
      <c r="AA675" s="70" t="s">
        <v>21289</v>
      </c>
      <c r="AC675" s="70">
        <v>1.0</v>
      </c>
      <c r="AE675" s="70">
        <v>30.0</v>
      </c>
      <c r="AF675" s="70" t="s">
        <v>16423</v>
      </c>
      <c r="AW675" s="70" t="s">
        <v>21290</v>
      </c>
      <c r="AZ675" s="70">
        <v>1125.0</v>
      </c>
    </row>
    <row r="676" ht="22.5" customHeight="1">
      <c r="A676" s="70" t="str">
        <f t="shared" si="1"/>
        <v>Excluded</v>
      </c>
      <c r="B676" s="70">
        <f t="shared" si="2"/>
        <v>0</v>
      </c>
      <c r="C676" s="70">
        <v>0.0</v>
      </c>
      <c r="D676" s="70">
        <v>0.0</v>
      </c>
      <c r="E676" s="70">
        <v>0.0</v>
      </c>
      <c r="F676" s="70">
        <v>0.0</v>
      </c>
      <c r="G676" s="70">
        <v>0.0</v>
      </c>
      <c r="H676" s="70" t="s">
        <v>19854</v>
      </c>
      <c r="I676" s="70">
        <v>2185.0</v>
      </c>
      <c r="J676" s="70" t="s">
        <v>30065</v>
      </c>
      <c r="K676" s="70" t="s">
        <v>19853</v>
      </c>
      <c r="L676" s="70" t="s">
        <v>16436</v>
      </c>
      <c r="N676" s="70" t="s">
        <v>16437</v>
      </c>
      <c r="P676" s="76">
        <v>44826.0</v>
      </c>
      <c r="U676" s="70" t="s">
        <v>239</v>
      </c>
      <c r="W676" s="70" t="s">
        <v>19856</v>
      </c>
      <c r="Y676" s="70" t="s">
        <v>30066</v>
      </c>
      <c r="Z676" s="75" t="s">
        <v>19858</v>
      </c>
      <c r="AA676" s="70" t="s">
        <v>19859</v>
      </c>
      <c r="AC676" s="70">
        <v>7.0</v>
      </c>
      <c r="AE676" s="70">
        <v>28.0</v>
      </c>
      <c r="AF676" s="70" t="s">
        <v>16423</v>
      </c>
      <c r="AW676" s="70" t="s">
        <v>19860</v>
      </c>
      <c r="AZ676" s="70">
        <v>1149.0</v>
      </c>
    </row>
    <row r="677" ht="22.5" customHeight="1">
      <c r="A677" s="70" t="str">
        <f t="shared" si="1"/>
        <v>Excluded</v>
      </c>
      <c r="B677" s="70">
        <f t="shared" si="2"/>
        <v>0</v>
      </c>
      <c r="C677" s="70">
        <v>0.0</v>
      </c>
      <c r="D677" s="70">
        <v>0.0</v>
      </c>
      <c r="E677" s="70">
        <v>0.0</v>
      </c>
      <c r="F677" s="70">
        <v>0.0</v>
      </c>
      <c r="G677" s="70">
        <v>0.0</v>
      </c>
      <c r="H677" s="70" t="s">
        <v>18423</v>
      </c>
      <c r="I677" s="70">
        <v>2024.0</v>
      </c>
      <c r="J677" s="70" t="s">
        <v>30067</v>
      </c>
      <c r="K677" s="70" t="s">
        <v>18422</v>
      </c>
      <c r="L677" s="70" t="s">
        <v>16436</v>
      </c>
      <c r="N677" s="70" t="s">
        <v>16437</v>
      </c>
      <c r="P677" s="76">
        <v>44832.0</v>
      </c>
      <c r="U677" s="70" t="s">
        <v>239</v>
      </c>
      <c r="W677" s="70" t="s">
        <v>18425</v>
      </c>
      <c r="Y677" s="70" t="s">
        <v>30068</v>
      </c>
      <c r="Z677" s="75" t="s">
        <v>18427</v>
      </c>
      <c r="AA677" s="70" t="s">
        <v>18428</v>
      </c>
      <c r="AC677" s="70">
        <v>22.0</v>
      </c>
      <c r="AE677" s="70">
        <v>74.0</v>
      </c>
      <c r="AF677" s="70" t="s">
        <v>16423</v>
      </c>
      <c r="AW677" s="70" t="s">
        <v>18429</v>
      </c>
      <c r="AZ677" s="70">
        <v>947.0</v>
      </c>
    </row>
    <row r="678" ht="22.5" customHeight="1">
      <c r="A678" s="70" t="str">
        <f t="shared" si="1"/>
        <v>Excluded</v>
      </c>
      <c r="B678" s="70">
        <f t="shared" si="2"/>
        <v>0</v>
      </c>
      <c r="C678" s="70">
        <v>0.0</v>
      </c>
      <c r="D678" s="70">
        <v>0.0</v>
      </c>
      <c r="E678" s="70">
        <v>0.0</v>
      </c>
      <c r="F678" s="70">
        <v>0.0</v>
      </c>
      <c r="G678" s="70">
        <v>0.0</v>
      </c>
      <c r="H678" s="70" t="s">
        <v>18372</v>
      </c>
      <c r="I678" s="70">
        <v>2018.0</v>
      </c>
      <c r="J678" s="70" t="s">
        <v>18370</v>
      </c>
      <c r="K678" s="70" t="s">
        <v>18371</v>
      </c>
      <c r="L678" s="70" t="s">
        <v>16436</v>
      </c>
      <c r="N678" s="70" t="s">
        <v>16437</v>
      </c>
      <c r="P678" s="77">
        <v>44837.0</v>
      </c>
      <c r="U678" s="70" t="s">
        <v>239</v>
      </c>
      <c r="W678" s="70" t="s">
        <v>18374</v>
      </c>
      <c r="Y678" s="70" t="s">
        <v>30069</v>
      </c>
      <c r="Z678" s="75" t="s">
        <v>18376</v>
      </c>
      <c r="AA678" s="70" t="s">
        <v>18377</v>
      </c>
      <c r="AC678" s="70">
        <v>22.0</v>
      </c>
      <c r="AE678" s="70">
        <v>215.0</v>
      </c>
      <c r="AF678" s="70" t="s">
        <v>16423</v>
      </c>
      <c r="AW678" s="70" t="s">
        <v>18378</v>
      </c>
      <c r="AX678" s="70">
        <v>0.0</v>
      </c>
      <c r="AY678" s="70" t="s">
        <v>24</v>
      </c>
      <c r="AZ678" s="70">
        <v>3030.0</v>
      </c>
    </row>
    <row r="679" ht="22.5" customHeight="1">
      <c r="A679" s="70" t="str">
        <f t="shared" si="1"/>
        <v>Excluded</v>
      </c>
      <c r="B679" s="70">
        <f t="shared" si="2"/>
        <v>0</v>
      </c>
      <c r="C679" s="70">
        <v>0.0</v>
      </c>
      <c r="D679" s="70">
        <v>0.0</v>
      </c>
      <c r="E679" s="70">
        <v>0.0</v>
      </c>
      <c r="F679" s="70">
        <v>0.0</v>
      </c>
      <c r="G679" s="70">
        <v>0.0</v>
      </c>
      <c r="H679" s="70" t="s">
        <v>18414</v>
      </c>
      <c r="I679" s="70">
        <v>2023.0</v>
      </c>
      <c r="J679" s="70" t="s">
        <v>18412</v>
      </c>
      <c r="K679" s="70" t="s">
        <v>18413</v>
      </c>
      <c r="L679" s="70" t="s">
        <v>16436</v>
      </c>
      <c r="N679" s="70" t="s">
        <v>16437</v>
      </c>
      <c r="P679" s="76">
        <v>44860.0</v>
      </c>
      <c r="U679" s="70" t="s">
        <v>239</v>
      </c>
      <c r="W679" s="70" t="s">
        <v>18416</v>
      </c>
      <c r="Y679" s="70" t="s">
        <v>30070</v>
      </c>
      <c r="Z679" s="75" t="s">
        <v>18418</v>
      </c>
      <c r="AA679" s="70" t="s">
        <v>18419</v>
      </c>
      <c r="AC679" s="70">
        <v>22.0</v>
      </c>
      <c r="AE679" s="70">
        <v>96.0</v>
      </c>
      <c r="AF679" s="70" t="s">
        <v>16423</v>
      </c>
      <c r="AW679" s="70" t="s">
        <v>18420</v>
      </c>
      <c r="AZ679" s="70">
        <v>1227.0</v>
      </c>
    </row>
    <row r="680" ht="22.5" customHeight="1">
      <c r="A680" s="70" t="str">
        <f t="shared" si="1"/>
        <v>Excluded</v>
      </c>
      <c r="B680" s="70">
        <f t="shared" si="2"/>
        <v>0</v>
      </c>
      <c r="C680" s="70">
        <v>0.0</v>
      </c>
      <c r="D680" s="70">
        <v>0.0</v>
      </c>
      <c r="E680" s="70">
        <v>0.0</v>
      </c>
      <c r="F680" s="70">
        <v>0.0</v>
      </c>
      <c r="G680" s="70">
        <v>0.0</v>
      </c>
      <c r="H680" s="70" t="s">
        <v>18872</v>
      </c>
      <c r="I680" s="70">
        <v>2074.0</v>
      </c>
      <c r="J680" s="70" t="s">
        <v>18870</v>
      </c>
      <c r="K680" s="70" t="s">
        <v>18871</v>
      </c>
      <c r="L680" s="70" t="s">
        <v>16436</v>
      </c>
      <c r="N680" s="70" t="s">
        <v>16437</v>
      </c>
      <c r="P680" s="76">
        <v>44862.0</v>
      </c>
      <c r="U680" s="70" t="s">
        <v>239</v>
      </c>
      <c r="W680" s="70" t="s">
        <v>18874</v>
      </c>
      <c r="Z680" s="75" t="s">
        <v>18875</v>
      </c>
      <c r="AA680" s="70" t="s">
        <v>18876</v>
      </c>
      <c r="AC680" s="70">
        <v>15.0</v>
      </c>
      <c r="AE680" s="70">
        <v>176.0</v>
      </c>
      <c r="AF680" s="70" t="s">
        <v>16423</v>
      </c>
      <c r="AW680" s="70" t="s">
        <v>18877</v>
      </c>
      <c r="AZ680" s="70">
        <v>1172.0</v>
      </c>
    </row>
    <row r="681" ht="22.5" customHeight="1">
      <c r="A681" s="70" t="str">
        <f t="shared" si="1"/>
        <v>Excluded</v>
      </c>
      <c r="B681" s="70">
        <f t="shared" si="2"/>
        <v>0</v>
      </c>
      <c r="C681" s="70">
        <v>0.0</v>
      </c>
      <c r="D681" s="70">
        <v>0.0</v>
      </c>
      <c r="E681" s="70">
        <v>0.0</v>
      </c>
      <c r="F681" s="70">
        <v>0.0</v>
      </c>
      <c r="G681" s="70">
        <v>0.0</v>
      </c>
      <c r="H681" s="70" t="s">
        <v>18308</v>
      </c>
      <c r="I681" s="70">
        <v>2011.0</v>
      </c>
      <c r="J681" s="70" t="s">
        <v>18306</v>
      </c>
      <c r="K681" s="70" t="s">
        <v>18307</v>
      </c>
      <c r="L681" s="70" t="s">
        <v>16436</v>
      </c>
      <c r="N681" s="70" t="s">
        <v>16437</v>
      </c>
      <c r="P681" s="77">
        <v>44869.0</v>
      </c>
      <c r="U681" s="70" t="s">
        <v>239</v>
      </c>
      <c r="W681" s="70" t="s">
        <v>18310</v>
      </c>
      <c r="Y681" s="70" t="s">
        <v>18311</v>
      </c>
      <c r="Z681" s="75" t="s">
        <v>18312</v>
      </c>
      <c r="AA681" s="70" t="s">
        <v>18313</v>
      </c>
      <c r="AC681" s="70">
        <v>23.0</v>
      </c>
      <c r="AE681" s="70">
        <v>84.0</v>
      </c>
      <c r="AF681" s="70" t="s">
        <v>16423</v>
      </c>
      <c r="AW681" s="70" t="s">
        <v>18314</v>
      </c>
      <c r="AX681" s="70">
        <v>0.0</v>
      </c>
      <c r="AY681" s="70" t="s">
        <v>24</v>
      </c>
      <c r="AZ681" s="70">
        <v>2217.0</v>
      </c>
    </row>
    <row r="682" ht="22.5" customHeight="1">
      <c r="A682" s="70" t="str">
        <f t="shared" si="1"/>
        <v>Excluded</v>
      </c>
      <c r="B682" s="70">
        <f t="shared" si="2"/>
        <v>0</v>
      </c>
      <c r="C682" s="70">
        <v>0.0</v>
      </c>
      <c r="D682" s="70">
        <v>0.0</v>
      </c>
      <c r="E682" s="70">
        <v>0.0</v>
      </c>
      <c r="F682" s="70">
        <v>0.0</v>
      </c>
      <c r="G682" s="70">
        <v>0.0</v>
      </c>
      <c r="H682" s="70" t="s">
        <v>20897</v>
      </c>
      <c r="I682" s="70">
        <v>2301.0</v>
      </c>
      <c r="J682" s="70" t="s">
        <v>30071</v>
      </c>
      <c r="K682" s="70" t="s">
        <v>20896</v>
      </c>
      <c r="L682" s="70" t="s">
        <v>16436</v>
      </c>
      <c r="N682" s="70" t="s">
        <v>16437</v>
      </c>
      <c r="P682" s="76">
        <v>44882.0</v>
      </c>
      <c r="U682" s="70" t="s">
        <v>239</v>
      </c>
      <c r="W682" s="70" t="s">
        <v>30072</v>
      </c>
      <c r="Y682" s="70" t="s">
        <v>20900</v>
      </c>
      <c r="Z682" s="75" t="s">
        <v>20901</v>
      </c>
      <c r="AA682" s="70" t="s">
        <v>20902</v>
      </c>
      <c r="AC682" s="70">
        <v>2.0</v>
      </c>
      <c r="AE682" s="70">
        <v>51.0</v>
      </c>
      <c r="AF682" s="70" t="s">
        <v>16423</v>
      </c>
      <c r="AW682" s="70" t="s">
        <v>20903</v>
      </c>
      <c r="AX682" s="70">
        <v>0.0</v>
      </c>
      <c r="AY682" s="70" t="s">
        <v>24</v>
      </c>
      <c r="AZ682" s="70">
        <v>2478.0</v>
      </c>
    </row>
    <row r="683" ht="22.5" customHeight="1">
      <c r="A683" s="70" t="str">
        <f t="shared" si="1"/>
        <v>Excluded</v>
      </c>
      <c r="B683" s="70">
        <f t="shared" si="2"/>
        <v>0</v>
      </c>
      <c r="C683" s="70">
        <v>0.0</v>
      </c>
      <c r="D683" s="70">
        <v>0.0</v>
      </c>
      <c r="E683" s="70">
        <v>0.0</v>
      </c>
      <c r="F683" s="70">
        <v>0.0</v>
      </c>
      <c r="G683" s="70">
        <v>0.0</v>
      </c>
      <c r="H683" s="70" t="s">
        <v>19957</v>
      </c>
      <c r="I683" s="70">
        <v>2196.0</v>
      </c>
      <c r="J683" s="70" t="s">
        <v>19955</v>
      </c>
      <c r="K683" s="70" t="s">
        <v>19956</v>
      </c>
      <c r="L683" s="70" t="s">
        <v>16436</v>
      </c>
      <c r="N683" s="70" t="s">
        <v>16437</v>
      </c>
      <c r="P683" s="76">
        <v>44886.0</v>
      </c>
      <c r="U683" s="70" t="s">
        <v>239</v>
      </c>
      <c r="W683" s="70" t="s">
        <v>19959</v>
      </c>
      <c r="Z683" s="75" t="s">
        <v>19960</v>
      </c>
      <c r="AA683" s="70" t="s">
        <v>19961</v>
      </c>
      <c r="AC683" s="70">
        <v>6.0</v>
      </c>
      <c r="AE683" s="70">
        <v>97.0</v>
      </c>
      <c r="AF683" s="70" t="s">
        <v>16423</v>
      </c>
      <c r="AW683" s="70" t="s">
        <v>19962</v>
      </c>
      <c r="AZ683" s="70">
        <v>578.0</v>
      </c>
    </row>
    <row r="684" ht="22.5" customHeight="1">
      <c r="A684" s="70" t="str">
        <f t="shared" si="1"/>
        <v>Excluded</v>
      </c>
      <c r="B684" s="70">
        <f t="shared" si="2"/>
        <v>0</v>
      </c>
      <c r="C684" s="70">
        <v>0.0</v>
      </c>
      <c r="D684" s="70">
        <v>0.0</v>
      </c>
      <c r="E684" s="70">
        <v>0.0</v>
      </c>
      <c r="F684" s="70">
        <v>0.0</v>
      </c>
      <c r="G684" s="70">
        <v>0.0</v>
      </c>
      <c r="H684" s="70" t="s">
        <v>19333</v>
      </c>
      <c r="I684" s="70">
        <v>2126.0</v>
      </c>
      <c r="J684" s="70" t="s">
        <v>19331</v>
      </c>
      <c r="K684" s="70" t="s">
        <v>19332</v>
      </c>
      <c r="L684" s="70" t="s">
        <v>16436</v>
      </c>
      <c r="N684" s="70" t="s">
        <v>16437</v>
      </c>
      <c r="P684" s="77">
        <v>44896.0</v>
      </c>
      <c r="U684" s="70" t="s">
        <v>239</v>
      </c>
      <c r="W684" s="70" t="s">
        <v>19335</v>
      </c>
      <c r="Z684" s="75" t="s">
        <v>19336</v>
      </c>
      <c r="AA684" s="70" t="s">
        <v>19337</v>
      </c>
      <c r="AC684" s="70">
        <v>11.0</v>
      </c>
      <c r="AE684" s="70">
        <v>109.0</v>
      </c>
      <c r="AF684" s="70" t="s">
        <v>16727</v>
      </c>
      <c r="AW684" s="70" t="s">
        <v>19338</v>
      </c>
      <c r="AZ684" s="70">
        <v>624.0</v>
      </c>
    </row>
    <row r="685" ht="22.5" customHeight="1">
      <c r="A685" s="70" t="str">
        <f t="shared" si="1"/>
        <v>Excluded</v>
      </c>
      <c r="B685" s="70">
        <f t="shared" si="2"/>
        <v>0</v>
      </c>
      <c r="C685" s="70">
        <v>0.0</v>
      </c>
      <c r="D685" s="70">
        <v>0.0</v>
      </c>
      <c r="E685" s="70">
        <v>0.0</v>
      </c>
      <c r="F685" s="70">
        <v>0.0</v>
      </c>
      <c r="G685" s="70">
        <v>0.0</v>
      </c>
      <c r="H685" s="70" t="s">
        <v>19562</v>
      </c>
      <c r="I685" s="70">
        <v>2152.0</v>
      </c>
      <c r="J685" s="70" t="s">
        <v>30073</v>
      </c>
      <c r="K685" s="70" t="s">
        <v>19561</v>
      </c>
      <c r="L685" s="70" t="s">
        <v>16436</v>
      </c>
      <c r="N685" s="70" t="s">
        <v>16437</v>
      </c>
      <c r="P685" s="77">
        <v>44931.0</v>
      </c>
      <c r="U685" s="70" t="s">
        <v>239</v>
      </c>
      <c r="W685" s="70" t="s">
        <v>19564</v>
      </c>
      <c r="Z685" s="75" t="s">
        <v>19565</v>
      </c>
      <c r="AA685" s="70" t="s">
        <v>19566</v>
      </c>
      <c r="AC685" s="70">
        <v>9.0</v>
      </c>
      <c r="AE685" s="70">
        <v>14.0</v>
      </c>
      <c r="AF685" s="70" t="s">
        <v>16423</v>
      </c>
      <c r="AW685" s="70" t="s">
        <v>19567</v>
      </c>
      <c r="AZ685" s="70">
        <v>1261.0</v>
      </c>
    </row>
    <row r="686" ht="22.5" customHeight="1">
      <c r="A686" s="70" t="str">
        <f t="shared" si="1"/>
        <v>Excluded</v>
      </c>
      <c r="B686" s="70">
        <f t="shared" si="2"/>
        <v>0</v>
      </c>
      <c r="C686" s="70">
        <v>0.0</v>
      </c>
      <c r="D686" s="70">
        <v>0.0</v>
      </c>
      <c r="E686" s="70">
        <v>0.0</v>
      </c>
      <c r="F686" s="70">
        <v>0.0</v>
      </c>
      <c r="G686" s="70">
        <v>0.0</v>
      </c>
      <c r="H686" s="70" t="s">
        <v>18588</v>
      </c>
      <c r="I686" s="70">
        <v>2042.0</v>
      </c>
      <c r="J686" s="70" t="s">
        <v>18586</v>
      </c>
      <c r="K686" s="70" t="s">
        <v>18587</v>
      </c>
      <c r="L686" s="70" t="s">
        <v>16436</v>
      </c>
      <c r="N686" s="70" t="s">
        <v>16437</v>
      </c>
      <c r="P686" s="77">
        <v>44931.0</v>
      </c>
      <c r="U686" s="70" t="s">
        <v>239</v>
      </c>
      <c r="W686" s="70" t="s">
        <v>30074</v>
      </c>
      <c r="Z686" s="75" t="s">
        <v>18591</v>
      </c>
      <c r="AA686" s="70" t="s">
        <v>18592</v>
      </c>
      <c r="AC686" s="70">
        <v>19.0</v>
      </c>
      <c r="AE686" s="70">
        <v>137.0</v>
      </c>
      <c r="AF686" s="70" t="s">
        <v>16727</v>
      </c>
      <c r="AW686" s="70" t="s">
        <v>18593</v>
      </c>
      <c r="AX686" s="70">
        <v>0.0</v>
      </c>
      <c r="AY686" s="70" t="s">
        <v>24</v>
      </c>
      <c r="AZ686" s="70">
        <v>2087.0</v>
      </c>
    </row>
    <row r="687" ht="22.5" customHeight="1">
      <c r="A687" s="70" t="str">
        <f t="shared" si="1"/>
        <v>Excluded</v>
      </c>
      <c r="B687" s="70">
        <f t="shared" si="2"/>
        <v>0</v>
      </c>
      <c r="C687" s="70">
        <v>0.0</v>
      </c>
      <c r="D687" s="70">
        <v>0.0</v>
      </c>
      <c r="E687" s="70">
        <v>0.0</v>
      </c>
      <c r="F687" s="70">
        <v>0.0</v>
      </c>
      <c r="G687" s="70">
        <v>0.0</v>
      </c>
      <c r="H687" s="70" t="s">
        <v>18674</v>
      </c>
      <c r="I687" s="70">
        <v>2052.0</v>
      </c>
      <c r="J687" s="70" t="s">
        <v>18672</v>
      </c>
      <c r="K687" s="70" t="s">
        <v>18673</v>
      </c>
      <c r="L687" s="70" t="s">
        <v>16436</v>
      </c>
      <c r="N687" s="70" t="s">
        <v>16437</v>
      </c>
      <c r="P687" s="77">
        <v>44931.0</v>
      </c>
      <c r="U687" s="70" t="s">
        <v>239</v>
      </c>
      <c r="W687" s="70" t="s">
        <v>18676</v>
      </c>
      <c r="Y687" s="70" t="s">
        <v>30075</v>
      </c>
      <c r="Z687" s="75" t="s">
        <v>18678</v>
      </c>
      <c r="AA687" s="70" t="s">
        <v>18679</v>
      </c>
      <c r="AC687" s="70">
        <v>18.0</v>
      </c>
      <c r="AE687" s="70">
        <v>287.0</v>
      </c>
      <c r="AF687" s="70" t="s">
        <v>16423</v>
      </c>
      <c r="AW687" s="70" t="s">
        <v>18680</v>
      </c>
      <c r="AX687" s="70">
        <v>0.0</v>
      </c>
      <c r="AY687" s="70" t="s">
        <v>24</v>
      </c>
      <c r="AZ687" s="70">
        <v>2756.0</v>
      </c>
    </row>
    <row r="688" ht="22.5" customHeight="1">
      <c r="A688" s="70" t="str">
        <f t="shared" si="1"/>
        <v>Excluded</v>
      </c>
      <c r="B688" s="70">
        <f t="shared" si="2"/>
        <v>0</v>
      </c>
      <c r="C688" s="70">
        <v>0.0</v>
      </c>
      <c r="D688" s="70">
        <v>0.0</v>
      </c>
      <c r="E688" s="70">
        <v>0.0</v>
      </c>
      <c r="F688" s="70">
        <v>0.0</v>
      </c>
      <c r="G688" s="70">
        <v>0.0</v>
      </c>
      <c r="H688" s="70" t="s">
        <v>20087</v>
      </c>
      <c r="I688" s="70">
        <v>2211.0</v>
      </c>
      <c r="J688" s="70" t="s">
        <v>20085</v>
      </c>
      <c r="K688" s="70" t="s">
        <v>20086</v>
      </c>
      <c r="L688" s="70" t="s">
        <v>16436</v>
      </c>
      <c r="N688" s="70" t="s">
        <v>16437</v>
      </c>
      <c r="P688" s="76">
        <v>44944.0</v>
      </c>
      <c r="U688" s="70" t="s">
        <v>239</v>
      </c>
      <c r="W688" s="70" t="s">
        <v>30076</v>
      </c>
      <c r="Y688" s="70" t="s">
        <v>20090</v>
      </c>
      <c r="Z688" s="75" t="s">
        <v>20091</v>
      </c>
      <c r="AA688" s="70" t="s">
        <v>20092</v>
      </c>
      <c r="AC688" s="70">
        <v>6.0</v>
      </c>
      <c r="AE688" s="70">
        <v>45.0</v>
      </c>
      <c r="AF688" s="70" t="s">
        <v>16423</v>
      </c>
      <c r="AW688" s="70" t="s">
        <v>20093</v>
      </c>
      <c r="AZ688" s="70">
        <v>470.0</v>
      </c>
    </row>
    <row r="689" ht="22.5" customHeight="1">
      <c r="A689" s="70" t="str">
        <f t="shared" si="1"/>
        <v>Excluded</v>
      </c>
      <c r="B689" s="70">
        <f t="shared" si="2"/>
        <v>0</v>
      </c>
      <c r="C689" s="70">
        <v>0.0</v>
      </c>
      <c r="D689" s="70">
        <v>0.0</v>
      </c>
      <c r="E689" s="70">
        <v>0.0</v>
      </c>
      <c r="F689" s="70">
        <v>0.0</v>
      </c>
      <c r="G689" s="70">
        <v>0.0</v>
      </c>
      <c r="H689" s="70" t="s">
        <v>20861</v>
      </c>
      <c r="I689" s="70">
        <v>2297.0</v>
      </c>
      <c r="J689" s="70" t="s">
        <v>30077</v>
      </c>
      <c r="K689" s="70" t="s">
        <v>20860</v>
      </c>
      <c r="L689" s="70" t="s">
        <v>16436</v>
      </c>
      <c r="N689" s="70" t="s">
        <v>16437</v>
      </c>
      <c r="P689" s="76">
        <v>44956.0</v>
      </c>
      <c r="U689" s="70" t="s">
        <v>239</v>
      </c>
      <c r="W689" s="70" t="s">
        <v>20863</v>
      </c>
      <c r="Y689" s="70" t="s">
        <v>20864</v>
      </c>
      <c r="Z689" s="75" t="s">
        <v>20865</v>
      </c>
      <c r="AA689" s="70" t="s">
        <v>20866</v>
      </c>
      <c r="AC689" s="70">
        <v>2.0</v>
      </c>
      <c r="AE689" s="70">
        <v>270.0</v>
      </c>
      <c r="AF689" s="70" t="s">
        <v>16423</v>
      </c>
      <c r="AW689" s="70" t="s">
        <v>20867</v>
      </c>
      <c r="AZ689" s="70">
        <v>1005.0</v>
      </c>
    </row>
    <row r="690" ht="22.5" customHeight="1">
      <c r="A690" s="70" t="str">
        <f t="shared" si="1"/>
        <v>Excluded</v>
      </c>
      <c r="B690" s="70">
        <f t="shared" si="2"/>
        <v>0</v>
      </c>
      <c r="C690" s="70">
        <v>0.0</v>
      </c>
      <c r="D690" s="70">
        <v>0.0</v>
      </c>
      <c r="E690" s="70">
        <v>0.0</v>
      </c>
      <c r="F690" s="70">
        <v>0.0</v>
      </c>
      <c r="G690" s="70">
        <v>0.0</v>
      </c>
      <c r="H690" s="70" t="s">
        <v>17957</v>
      </c>
      <c r="I690" s="70">
        <v>1972.0</v>
      </c>
      <c r="J690" s="70" t="s">
        <v>17955</v>
      </c>
      <c r="K690" s="70" t="s">
        <v>17956</v>
      </c>
      <c r="L690" s="70" t="s">
        <v>16436</v>
      </c>
      <c r="N690" s="70" t="s">
        <v>16437</v>
      </c>
      <c r="P690" s="77">
        <v>44959.0</v>
      </c>
      <c r="U690" s="70" t="s">
        <v>239</v>
      </c>
      <c r="W690" s="70" t="s">
        <v>17959</v>
      </c>
      <c r="Z690" s="75" t="s">
        <v>17960</v>
      </c>
      <c r="AA690" s="70" t="s">
        <v>17961</v>
      </c>
      <c r="AC690" s="70">
        <v>29.0</v>
      </c>
      <c r="AE690" s="70">
        <v>147.0</v>
      </c>
      <c r="AF690" s="70" t="s">
        <v>16423</v>
      </c>
      <c r="AW690" s="70" t="s">
        <v>17962</v>
      </c>
      <c r="AX690" s="70">
        <v>0.0</v>
      </c>
      <c r="AY690" s="70" t="s">
        <v>24</v>
      </c>
      <c r="AZ690" s="70">
        <v>2192.0</v>
      </c>
    </row>
    <row r="691" ht="22.5" customHeight="1">
      <c r="A691" s="70" t="str">
        <f t="shared" si="1"/>
        <v>Excluded</v>
      </c>
      <c r="B691" s="70">
        <f t="shared" si="2"/>
        <v>0</v>
      </c>
      <c r="C691" s="70">
        <v>0.0</v>
      </c>
      <c r="D691" s="70">
        <v>0.0</v>
      </c>
      <c r="E691" s="70">
        <v>0.0</v>
      </c>
      <c r="F691" s="70">
        <v>0.0</v>
      </c>
      <c r="G691" s="70">
        <v>0.0</v>
      </c>
      <c r="H691" s="70" t="s">
        <v>20202</v>
      </c>
      <c r="I691" s="70">
        <v>2224.0</v>
      </c>
      <c r="J691" s="70" t="s">
        <v>20200</v>
      </c>
      <c r="K691" s="70" t="s">
        <v>20201</v>
      </c>
      <c r="L691" s="70" t="s">
        <v>16436</v>
      </c>
      <c r="N691" s="70" t="s">
        <v>16437</v>
      </c>
      <c r="P691" s="77">
        <v>44960.0</v>
      </c>
      <c r="U691" s="70" t="s">
        <v>239</v>
      </c>
      <c r="W691" s="70" t="s">
        <v>30078</v>
      </c>
      <c r="Y691" s="70" t="s">
        <v>20205</v>
      </c>
      <c r="Z691" s="75" t="s">
        <v>20206</v>
      </c>
      <c r="AA691" s="70" t="s">
        <v>20207</v>
      </c>
      <c r="AC691" s="70">
        <v>5.0</v>
      </c>
      <c r="AE691" s="70">
        <v>59.0</v>
      </c>
      <c r="AF691" s="70" t="s">
        <v>16423</v>
      </c>
      <c r="AW691" s="70" t="s">
        <v>20208</v>
      </c>
      <c r="AZ691" s="70">
        <v>1059.0</v>
      </c>
    </row>
    <row r="692" ht="22.5" customHeight="1">
      <c r="A692" s="70" t="str">
        <f t="shared" si="1"/>
        <v>Excluded</v>
      </c>
      <c r="B692" s="70">
        <f t="shared" si="2"/>
        <v>0</v>
      </c>
      <c r="C692" s="70">
        <v>0.0</v>
      </c>
      <c r="D692" s="70">
        <v>0.0</v>
      </c>
      <c r="E692" s="70">
        <v>0.0</v>
      </c>
      <c r="F692" s="70">
        <v>0.0</v>
      </c>
      <c r="G692" s="70">
        <v>0.0</v>
      </c>
      <c r="H692" s="70" t="s">
        <v>18345</v>
      </c>
      <c r="I692" s="70">
        <v>2015.0</v>
      </c>
      <c r="J692" s="70" t="s">
        <v>18343</v>
      </c>
      <c r="K692" s="70" t="s">
        <v>18344</v>
      </c>
      <c r="L692" s="70" t="s">
        <v>16436</v>
      </c>
      <c r="N692" s="70" t="s">
        <v>16437</v>
      </c>
      <c r="P692" s="77">
        <v>44986.0</v>
      </c>
      <c r="U692" s="70" t="s">
        <v>239</v>
      </c>
      <c r="W692" s="70" t="s">
        <v>30079</v>
      </c>
      <c r="Y692" s="70" t="s">
        <v>18348</v>
      </c>
      <c r="Z692" s="75" t="s">
        <v>18349</v>
      </c>
      <c r="AA692" s="70" t="s">
        <v>18350</v>
      </c>
      <c r="AC692" s="70">
        <v>23.0</v>
      </c>
      <c r="AE692" s="70">
        <v>44.0</v>
      </c>
      <c r="AF692" s="70" t="s">
        <v>16727</v>
      </c>
      <c r="AW692" s="70" t="s">
        <v>18351</v>
      </c>
      <c r="AX692" s="70">
        <v>0.0</v>
      </c>
      <c r="AY692" s="70" t="s">
        <v>24</v>
      </c>
      <c r="AZ692" s="70">
        <v>3105.0</v>
      </c>
    </row>
    <row r="693" ht="22.5" customHeight="1">
      <c r="A693" s="70" t="str">
        <f t="shared" si="1"/>
        <v>Excluded</v>
      </c>
      <c r="B693" s="70">
        <f t="shared" si="2"/>
        <v>0</v>
      </c>
      <c r="C693" s="70">
        <v>0.0</v>
      </c>
      <c r="D693" s="70">
        <v>0.0</v>
      </c>
      <c r="E693" s="70">
        <v>0.0</v>
      </c>
      <c r="F693" s="70">
        <v>0.0</v>
      </c>
      <c r="G693" s="70">
        <v>0.0</v>
      </c>
      <c r="H693" s="70" t="s">
        <v>20542</v>
      </c>
      <c r="I693" s="70">
        <v>2262.0</v>
      </c>
      <c r="J693" s="70" t="s">
        <v>20540</v>
      </c>
      <c r="K693" s="70" t="s">
        <v>20541</v>
      </c>
      <c r="L693" s="70" t="s">
        <v>16436</v>
      </c>
      <c r="N693" s="70" t="s">
        <v>16437</v>
      </c>
      <c r="P693" s="76">
        <v>44995.0</v>
      </c>
      <c r="U693" s="70" t="s">
        <v>239</v>
      </c>
      <c r="W693" s="70" t="s">
        <v>30080</v>
      </c>
      <c r="Z693" s="75" t="s">
        <v>20545</v>
      </c>
      <c r="AA693" s="70" t="s">
        <v>20546</v>
      </c>
      <c r="AC693" s="70">
        <v>3.0</v>
      </c>
      <c r="AE693" s="70">
        <v>23.0</v>
      </c>
      <c r="AF693" s="70" t="s">
        <v>16727</v>
      </c>
      <c r="AW693" s="70" t="s">
        <v>20547</v>
      </c>
      <c r="AX693" s="70">
        <v>0.0</v>
      </c>
      <c r="AY693" s="70" t="s">
        <v>24</v>
      </c>
      <c r="AZ693" s="70">
        <v>2123.0</v>
      </c>
    </row>
    <row r="694" ht="22.5" customHeight="1">
      <c r="A694" s="70" t="str">
        <f t="shared" si="1"/>
        <v>Excluded</v>
      </c>
      <c r="B694" s="70">
        <f t="shared" si="2"/>
        <v>0</v>
      </c>
      <c r="C694" s="70">
        <v>0.0</v>
      </c>
      <c r="D694" s="70">
        <v>0.0</v>
      </c>
      <c r="E694" s="70">
        <v>0.0</v>
      </c>
      <c r="F694" s="70">
        <v>0.0</v>
      </c>
      <c r="G694" s="70">
        <v>0.0</v>
      </c>
      <c r="H694" s="70" t="s">
        <v>17127</v>
      </c>
      <c r="I694" s="70">
        <v>1879.0</v>
      </c>
      <c r="J694" s="70" t="s">
        <v>17125</v>
      </c>
      <c r="K694" s="70" t="s">
        <v>17126</v>
      </c>
      <c r="L694" s="70" t="s">
        <v>16436</v>
      </c>
      <c r="N694" s="70" t="s">
        <v>16437</v>
      </c>
      <c r="P694" s="76">
        <v>44999.0</v>
      </c>
      <c r="U694" s="70" t="s">
        <v>239</v>
      </c>
      <c r="W694" s="70" t="s">
        <v>17129</v>
      </c>
      <c r="Y694" s="70" t="s">
        <v>17130</v>
      </c>
      <c r="Z694" s="75" t="s">
        <v>17131</v>
      </c>
      <c r="AA694" s="70" t="s">
        <v>17132</v>
      </c>
      <c r="AC694" s="70">
        <v>71.0</v>
      </c>
      <c r="AE694" s="70">
        <v>171.0</v>
      </c>
      <c r="AF694" s="70" t="s">
        <v>16727</v>
      </c>
      <c r="AW694" s="70" t="s">
        <v>17133</v>
      </c>
      <c r="AZ694" s="70">
        <v>1152.0</v>
      </c>
    </row>
    <row r="695" ht="22.5" customHeight="1">
      <c r="A695" s="70" t="str">
        <f t="shared" si="1"/>
        <v>Excluded</v>
      </c>
      <c r="B695" s="70">
        <f t="shared" si="2"/>
        <v>0</v>
      </c>
      <c r="C695" s="70">
        <v>0.0</v>
      </c>
      <c r="D695" s="70">
        <v>0.0</v>
      </c>
      <c r="E695" s="70">
        <v>0.0</v>
      </c>
      <c r="F695" s="70">
        <v>0.0</v>
      </c>
      <c r="G695" s="70">
        <v>0.0</v>
      </c>
      <c r="H695" s="70" t="s">
        <v>20210</v>
      </c>
      <c r="I695" s="70">
        <v>2225.0</v>
      </c>
      <c r="J695" s="70" t="s">
        <v>7543</v>
      </c>
      <c r="K695" s="70" t="s">
        <v>20209</v>
      </c>
      <c r="L695" s="70" t="s">
        <v>16436</v>
      </c>
      <c r="N695" s="70" t="s">
        <v>16437</v>
      </c>
      <c r="P695" s="76">
        <v>45007.0</v>
      </c>
      <c r="U695" s="70" t="s">
        <v>239</v>
      </c>
      <c r="W695" s="70" t="s">
        <v>20212</v>
      </c>
      <c r="Y695" s="70" t="s">
        <v>20213</v>
      </c>
      <c r="Z695" s="75" t="s">
        <v>20214</v>
      </c>
      <c r="AA695" s="70" t="s">
        <v>20215</v>
      </c>
      <c r="AC695" s="70">
        <v>5.0</v>
      </c>
      <c r="AE695" s="70">
        <v>256.0</v>
      </c>
      <c r="AF695" s="70" t="s">
        <v>16423</v>
      </c>
      <c r="AW695" s="70" t="s">
        <v>20216</v>
      </c>
      <c r="AX695" s="70">
        <v>0.0</v>
      </c>
      <c r="AY695" s="70" t="s">
        <v>24</v>
      </c>
      <c r="AZ695" s="70">
        <v>3067.0</v>
      </c>
    </row>
    <row r="696" ht="22.5" customHeight="1">
      <c r="A696" s="70" t="str">
        <f t="shared" si="1"/>
        <v>Excluded</v>
      </c>
      <c r="B696" s="70">
        <f t="shared" si="2"/>
        <v>0</v>
      </c>
      <c r="C696" s="70">
        <v>0.0</v>
      </c>
      <c r="D696" s="70">
        <v>0.0</v>
      </c>
      <c r="E696" s="70">
        <v>0.0</v>
      </c>
      <c r="F696" s="70">
        <v>0.0</v>
      </c>
      <c r="G696" s="70">
        <v>0.0</v>
      </c>
      <c r="H696" s="70" t="s">
        <v>22307</v>
      </c>
      <c r="I696" s="70">
        <v>2461.0</v>
      </c>
      <c r="J696" s="70" t="s">
        <v>22305</v>
      </c>
      <c r="K696" s="70" t="s">
        <v>22306</v>
      </c>
      <c r="L696" s="70" t="s">
        <v>16436</v>
      </c>
      <c r="N696" s="70" t="s">
        <v>16437</v>
      </c>
      <c r="P696" s="76">
        <v>45012.0</v>
      </c>
      <c r="U696" s="70" t="s">
        <v>239</v>
      </c>
      <c r="W696" s="70" t="s">
        <v>30081</v>
      </c>
      <c r="Y696" s="70" t="s">
        <v>22310</v>
      </c>
      <c r="Z696" s="75" t="s">
        <v>22311</v>
      </c>
      <c r="AA696" s="70" t="s">
        <v>22312</v>
      </c>
      <c r="AE696" s="70">
        <v>30.0</v>
      </c>
      <c r="AF696" s="70" t="s">
        <v>16423</v>
      </c>
      <c r="AW696" s="70" t="s">
        <v>22313</v>
      </c>
      <c r="AX696" s="70">
        <v>0.0</v>
      </c>
      <c r="AY696" s="70" t="s">
        <v>24</v>
      </c>
      <c r="AZ696" s="70">
        <v>2723.0</v>
      </c>
    </row>
    <row r="697" ht="22.5" customHeight="1">
      <c r="A697" s="70" t="str">
        <f t="shared" si="1"/>
        <v>Excluded</v>
      </c>
      <c r="B697" s="70">
        <f t="shared" si="2"/>
        <v>0</v>
      </c>
      <c r="C697" s="70">
        <v>0.0</v>
      </c>
      <c r="D697" s="70">
        <v>0.0</v>
      </c>
      <c r="E697" s="70">
        <v>0.0</v>
      </c>
      <c r="F697" s="70">
        <v>0.0</v>
      </c>
      <c r="G697" s="70">
        <v>0.0</v>
      </c>
      <c r="H697" s="70" t="s">
        <v>26162</v>
      </c>
      <c r="I697" s="70">
        <v>2839.0</v>
      </c>
      <c r="J697" s="70" t="s">
        <v>26160</v>
      </c>
      <c r="K697" s="70" t="s">
        <v>26161</v>
      </c>
      <c r="W697" s="70" t="s">
        <v>30082</v>
      </c>
      <c r="AA697" s="70" t="s">
        <v>26164</v>
      </c>
      <c r="AI697" s="70" t="s">
        <v>26165</v>
      </c>
      <c r="AJ697" s="70" t="s">
        <v>26166</v>
      </c>
      <c r="AK697" s="70">
        <v>2023.0</v>
      </c>
      <c r="AL697" s="70" t="s">
        <v>16436</v>
      </c>
      <c r="AN697" s="70">
        <v>31244.0</v>
      </c>
      <c r="AO697" s="70">
        <v>31261.0</v>
      </c>
      <c r="AP697" s="70">
        <v>17.0</v>
      </c>
      <c r="AQ697" s="70">
        <v>6.0</v>
      </c>
      <c r="AR697" s="75" t="s">
        <v>26167</v>
      </c>
      <c r="AS697" s="70" t="s">
        <v>22525</v>
      </c>
      <c r="AT697" s="70" t="s">
        <v>22622</v>
      </c>
      <c r="AU697" s="70" t="s">
        <v>237</v>
      </c>
      <c r="AV697" s="70" t="s">
        <v>26168</v>
      </c>
      <c r="AW697" s="70" t="s">
        <v>26169</v>
      </c>
      <c r="AX697" s="70">
        <v>0.0</v>
      </c>
      <c r="AY697" s="70" t="s">
        <v>24</v>
      </c>
      <c r="AZ697" s="70">
        <v>3022.0</v>
      </c>
    </row>
    <row r="698" ht="22.5" customHeight="1">
      <c r="A698" s="70" t="str">
        <f t="shared" si="1"/>
        <v>Excluded</v>
      </c>
      <c r="B698" s="70">
        <f t="shared" si="2"/>
        <v>0</v>
      </c>
      <c r="C698" s="70">
        <v>0.0</v>
      </c>
      <c r="D698" s="70">
        <v>0.0</v>
      </c>
      <c r="E698" s="70">
        <v>0.0</v>
      </c>
      <c r="F698" s="70">
        <v>0.0</v>
      </c>
      <c r="G698" s="70">
        <v>0.0</v>
      </c>
      <c r="H698" s="70" t="s">
        <v>19316</v>
      </c>
      <c r="I698" s="70">
        <v>2124.0</v>
      </c>
      <c r="J698" s="70" t="s">
        <v>19314</v>
      </c>
      <c r="K698" s="70" t="s">
        <v>19315</v>
      </c>
      <c r="L698" s="70" t="s">
        <v>16436</v>
      </c>
      <c r="N698" s="70" t="s">
        <v>16437</v>
      </c>
      <c r="P698" s="76">
        <v>45036.0</v>
      </c>
      <c r="U698" s="70" t="s">
        <v>239</v>
      </c>
      <c r="W698" s="70" t="s">
        <v>30083</v>
      </c>
      <c r="Y698" s="70" t="s">
        <v>30084</v>
      </c>
      <c r="Z698" s="75" t="s">
        <v>19320</v>
      </c>
      <c r="AA698" s="70" t="s">
        <v>19321</v>
      </c>
      <c r="AC698" s="70">
        <v>11.0</v>
      </c>
      <c r="AE698" s="70">
        <v>138.0</v>
      </c>
      <c r="AF698" s="70" t="s">
        <v>16727</v>
      </c>
      <c r="AW698" s="70" t="s">
        <v>19322</v>
      </c>
      <c r="AZ698" s="70">
        <v>966.0</v>
      </c>
    </row>
    <row r="699" ht="22.5" customHeight="1">
      <c r="A699" s="70" t="str">
        <f t="shared" si="1"/>
        <v>Excluded</v>
      </c>
      <c r="B699" s="70">
        <f t="shared" si="2"/>
        <v>0</v>
      </c>
      <c r="C699" s="70">
        <v>0.0</v>
      </c>
      <c r="D699" s="70">
        <v>0.0</v>
      </c>
      <c r="E699" s="70">
        <v>0.0</v>
      </c>
      <c r="F699" s="70">
        <v>0.0</v>
      </c>
      <c r="G699" s="70">
        <v>0.0</v>
      </c>
      <c r="H699" s="70" t="s">
        <v>26032</v>
      </c>
      <c r="I699" s="70">
        <v>2826.0</v>
      </c>
      <c r="J699" s="70" t="s">
        <v>26030</v>
      </c>
      <c r="K699" s="70" t="s">
        <v>26031</v>
      </c>
      <c r="W699" s="70" t="s">
        <v>30085</v>
      </c>
      <c r="AA699" s="70" t="s">
        <v>26034</v>
      </c>
      <c r="AI699" s="70" t="s">
        <v>26035</v>
      </c>
      <c r="AJ699" s="70" t="s">
        <v>26036</v>
      </c>
      <c r="AK699" s="70">
        <v>2023.0</v>
      </c>
      <c r="AL699" s="70" t="s">
        <v>16436</v>
      </c>
      <c r="AN699" s="70">
        <v>43909.0</v>
      </c>
      <c r="AO699" s="70">
        <v>43924.0</v>
      </c>
      <c r="AP699" s="70">
        <v>15.0</v>
      </c>
      <c r="AQ699" s="70">
        <v>7.0</v>
      </c>
      <c r="AR699" s="75" t="s">
        <v>26037</v>
      </c>
      <c r="AS699" s="70" t="s">
        <v>22525</v>
      </c>
      <c r="AT699" s="70" t="s">
        <v>22622</v>
      </c>
      <c r="AU699" s="70" t="s">
        <v>237</v>
      </c>
      <c r="AV699" s="70" t="s">
        <v>26038</v>
      </c>
      <c r="AW699" s="70" t="s">
        <v>26039</v>
      </c>
      <c r="AX699" s="70">
        <v>0.0</v>
      </c>
      <c r="AY699" s="70" t="s">
        <v>24</v>
      </c>
      <c r="AZ699" s="70">
        <v>2216.0</v>
      </c>
    </row>
    <row r="700" ht="22.5" customHeight="1">
      <c r="A700" s="70" t="str">
        <f t="shared" si="1"/>
        <v>Excluded</v>
      </c>
      <c r="B700" s="70">
        <f t="shared" si="2"/>
        <v>0</v>
      </c>
      <c r="C700" s="70">
        <v>0.0</v>
      </c>
      <c r="D700" s="70">
        <v>0.0</v>
      </c>
      <c r="E700" s="70">
        <v>0.0</v>
      </c>
      <c r="F700" s="70">
        <v>0.0</v>
      </c>
      <c r="G700" s="70">
        <v>0.0</v>
      </c>
      <c r="H700" s="70" t="s">
        <v>18980</v>
      </c>
      <c r="I700" s="70">
        <v>2086.0</v>
      </c>
      <c r="J700" s="70" t="s">
        <v>18978</v>
      </c>
      <c r="K700" s="70" t="s">
        <v>18979</v>
      </c>
      <c r="L700" s="70" t="s">
        <v>16436</v>
      </c>
      <c r="N700" s="70" t="s">
        <v>16437</v>
      </c>
      <c r="P700" s="79">
        <v>45047.0</v>
      </c>
      <c r="U700" s="70" t="s">
        <v>239</v>
      </c>
      <c r="W700" s="70" t="s">
        <v>18982</v>
      </c>
      <c r="Y700" s="70" t="s">
        <v>18983</v>
      </c>
      <c r="Z700" s="75" t="s">
        <v>18984</v>
      </c>
      <c r="AA700" s="70" t="s">
        <v>18985</v>
      </c>
      <c r="AC700" s="70">
        <v>14.0</v>
      </c>
      <c r="AE700" s="70">
        <v>74.0</v>
      </c>
      <c r="AF700" s="70" t="s">
        <v>16727</v>
      </c>
      <c r="AW700" s="70" t="s">
        <v>18986</v>
      </c>
      <c r="AZ700" s="70">
        <v>149.0</v>
      </c>
    </row>
    <row r="701" ht="22.5" customHeight="1">
      <c r="A701" s="70" t="str">
        <f t="shared" si="1"/>
        <v>Excluded</v>
      </c>
      <c r="B701" s="70">
        <f t="shared" si="2"/>
        <v>0</v>
      </c>
      <c r="C701" s="70">
        <v>0.0</v>
      </c>
      <c r="D701" s="70">
        <v>0.0</v>
      </c>
      <c r="E701" s="70">
        <v>0.0</v>
      </c>
      <c r="F701" s="70">
        <v>0.0</v>
      </c>
      <c r="G701" s="70">
        <v>0.0</v>
      </c>
      <c r="H701" s="70" t="s">
        <v>20507</v>
      </c>
      <c r="I701" s="70">
        <v>2258.0</v>
      </c>
      <c r="J701" s="70" t="s">
        <v>20505</v>
      </c>
      <c r="K701" s="70" t="s">
        <v>20506</v>
      </c>
      <c r="L701" s="70" t="s">
        <v>16436</v>
      </c>
      <c r="N701" s="70" t="s">
        <v>16437</v>
      </c>
      <c r="P701" s="78">
        <v>45061.0</v>
      </c>
      <c r="U701" s="70" t="s">
        <v>239</v>
      </c>
      <c r="W701" s="70" t="s">
        <v>30086</v>
      </c>
      <c r="Z701" s="75" t="s">
        <v>20510</v>
      </c>
      <c r="AA701" s="70" t="s">
        <v>20511</v>
      </c>
      <c r="AC701" s="70">
        <v>4.0</v>
      </c>
      <c r="AE701" s="70">
        <v>27.0</v>
      </c>
      <c r="AF701" s="70" t="s">
        <v>16727</v>
      </c>
      <c r="AW701" s="70" t="s">
        <v>20512</v>
      </c>
      <c r="AZ701" s="70">
        <v>1219.0</v>
      </c>
    </row>
    <row r="702" ht="22.5" customHeight="1">
      <c r="A702" s="70" t="str">
        <f t="shared" si="1"/>
        <v>Excluded</v>
      </c>
      <c r="B702" s="70">
        <f t="shared" si="2"/>
        <v>0</v>
      </c>
      <c r="C702" s="70">
        <v>0.0</v>
      </c>
      <c r="D702" s="70">
        <v>0.0</v>
      </c>
      <c r="E702" s="70">
        <v>0.0</v>
      </c>
      <c r="F702" s="70">
        <v>0.0</v>
      </c>
      <c r="G702" s="70">
        <v>0.0</v>
      </c>
      <c r="H702" s="70" t="s">
        <v>21038</v>
      </c>
      <c r="I702" s="70">
        <v>2317.0</v>
      </c>
      <c r="J702" s="70" t="s">
        <v>21036</v>
      </c>
      <c r="K702" s="70" t="s">
        <v>21037</v>
      </c>
      <c r="L702" s="70" t="s">
        <v>16436</v>
      </c>
      <c r="N702" s="70" t="s">
        <v>16437</v>
      </c>
      <c r="P702" s="78">
        <v>45062.0</v>
      </c>
      <c r="U702" s="70" t="s">
        <v>239</v>
      </c>
      <c r="W702" s="70" t="s">
        <v>21040</v>
      </c>
      <c r="Z702" s="75" t="s">
        <v>21041</v>
      </c>
      <c r="AA702" s="70" t="s">
        <v>21042</v>
      </c>
      <c r="AC702" s="70">
        <v>2.0</v>
      </c>
      <c r="AE702" s="70">
        <v>45.0</v>
      </c>
      <c r="AF702" s="70" t="s">
        <v>16727</v>
      </c>
      <c r="AW702" s="70" t="s">
        <v>21043</v>
      </c>
      <c r="AX702" s="70">
        <v>0.0</v>
      </c>
      <c r="AY702" s="70" t="s">
        <v>24</v>
      </c>
      <c r="AZ702" s="70">
        <v>2715.0</v>
      </c>
    </row>
    <row r="703" ht="22.5" customHeight="1">
      <c r="A703" s="70" t="str">
        <f t="shared" si="1"/>
        <v>Excluded</v>
      </c>
      <c r="B703" s="70">
        <f t="shared" si="2"/>
        <v>0</v>
      </c>
      <c r="C703" s="70">
        <v>0.0</v>
      </c>
      <c r="D703" s="70">
        <v>0.0</v>
      </c>
      <c r="E703" s="70">
        <v>0.0</v>
      </c>
      <c r="F703" s="70">
        <v>0.0</v>
      </c>
      <c r="G703" s="70">
        <v>0.0</v>
      </c>
      <c r="H703" s="70" t="s">
        <v>18753</v>
      </c>
      <c r="I703" s="70">
        <v>2061.0</v>
      </c>
      <c r="J703" s="70" t="s">
        <v>18751</v>
      </c>
      <c r="K703" s="70" t="s">
        <v>18752</v>
      </c>
      <c r="L703" s="70" t="s">
        <v>16436</v>
      </c>
      <c r="N703" s="70" t="s">
        <v>16437</v>
      </c>
      <c r="P703" s="78">
        <v>45064.0</v>
      </c>
      <c r="U703" s="70" t="s">
        <v>239</v>
      </c>
      <c r="W703" s="70" t="s">
        <v>18755</v>
      </c>
      <c r="Z703" s="75" t="s">
        <v>18756</v>
      </c>
      <c r="AA703" s="70" t="s">
        <v>18757</v>
      </c>
      <c r="AC703" s="70">
        <v>16.0</v>
      </c>
      <c r="AE703" s="70">
        <v>79.0</v>
      </c>
      <c r="AF703" s="70" t="s">
        <v>16727</v>
      </c>
      <c r="AW703" s="70" t="s">
        <v>18758</v>
      </c>
      <c r="AX703" s="70">
        <v>0.0</v>
      </c>
      <c r="AY703" s="70" t="s">
        <v>24</v>
      </c>
      <c r="AZ703" s="70">
        <v>1760.0</v>
      </c>
    </row>
    <row r="704" ht="22.5" customHeight="1">
      <c r="A704" s="70" t="str">
        <f t="shared" si="1"/>
        <v>Excluded</v>
      </c>
      <c r="B704" s="70">
        <f t="shared" si="2"/>
        <v>0</v>
      </c>
      <c r="C704" s="70">
        <v>0.0</v>
      </c>
      <c r="D704" s="70">
        <v>0.0</v>
      </c>
      <c r="E704" s="70">
        <v>0.0</v>
      </c>
      <c r="F704" s="70">
        <v>0.0</v>
      </c>
      <c r="G704" s="70">
        <v>0.0</v>
      </c>
      <c r="H704" s="70" t="s">
        <v>19219</v>
      </c>
      <c r="I704" s="70">
        <v>2113.0</v>
      </c>
      <c r="J704" s="70" t="s">
        <v>19217</v>
      </c>
      <c r="K704" s="70" t="s">
        <v>19218</v>
      </c>
      <c r="L704" s="70" t="s">
        <v>16436</v>
      </c>
      <c r="N704" s="70" t="s">
        <v>16437</v>
      </c>
      <c r="P704" s="78">
        <v>45076.0</v>
      </c>
      <c r="U704" s="70" t="s">
        <v>239</v>
      </c>
      <c r="W704" s="70" t="s">
        <v>30087</v>
      </c>
      <c r="Z704" s="75" t="s">
        <v>19222</v>
      </c>
      <c r="AA704" s="70" t="s">
        <v>19223</v>
      </c>
      <c r="AC704" s="70">
        <v>12.0</v>
      </c>
      <c r="AE704" s="70">
        <v>42.0</v>
      </c>
      <c r="AF704" s="70" t="s">
        <v>16727</v>
      </c>
      <c r="AW704" s="70" t="s">
        <v>19224</v>
      </c>
      <c r="AZ704" s="70">
        <v>742.0</v>
      </c>
    </row>
    <row r="705" ht="22.5" customHeight="1">
      <c r="A705" s="70" t="str">
        <f t="shared" si="1"/>
        <v>Excluded</v>
      </c>
      <c r="B705" s="70">
        <f t="shared" si="2"/>
        <v>0</v>
      </c>
      <c r="C705" s="70">
        <v>0.0</v>
      </c>
      <c r="D705" s="70">
        <v>0.0</v>
      </c>
      <c r="E705" s="70">
        <v>0.0</v>
      </c>
      <c r="F705" s="70">
        <v>0.0</v>
      </c>
      <c r="G705" s="70">
        <v>0.0</v>
      </c>
      <c r="H705" s="70" t="s">
        <v>19113</v>
      </c>
      <c r="I705" s="70">
        <v>2101.0</v>
      </c>
      <c r="J705" s="70" t="s">
        <v>30088</v>
      </c>
      <c r="K705" s="70" t="s">
        <v>19112</v>
      </c>
      <c r="L705" s="70" t="s">
        <v>16436</v>
      </c>
      <c r="N705" s="70" t="s">
        <v>16437</v>
      </c>
      <c r="P705" s="77">
        <v>45078.0</v>
      </c>
      <c r="U705" s="70" t="s">
        <v>239</v>
      </c>
      <c r="W705" s="70" t="s">
        <v>19115</v>
      </c>
      <c r="Y705" s="70" t="s">
        <v>30089</v>
      </c>
      <c r="Z705" s="75" t="s">
        <v>19117</v>
      </c>
      <c r="AA705" s="70" t="s">
        <v>19118</v>
      </c>
      <c r="AC705" s="70">
        <v>13.0</v>
      </c>
      <c r="AE705" s="70">
        <v>91.0</v>
      </c>
      <c r="AF705" s="70" t="s">
        <v>16727</v>
      </c>
      <c r="AW705" s="70" t="s">
        <v>19119</v>
      </c>
      <c r="AZ705" s="70">
        <v>620.0</v>
      </c>
    </row>
    <row r="706" ht="22.5" customHeight="1">
      <c r="A706" s="70" t="str">
        <f t="shared" si="1"/>
        <v>Excluded</v>
      </c>
      <c r="B706" s="70">
        <f t="shared" si="2"/>
        <v>0</v>
      </c>
      <c r="C706" s="70">
        <v>0.0</v>
      </c>
      <c r="D706" s="70">
        <v>0.0</v>
      </c>
      <c r="E706" s="70">
        <v>0.0</v>
      </c>
      <c r="F706" s="70">
        <v>0.0</v>
      </c>
      <c r="G706" s="70">
        <v>0.0</v>
      </c>
      <c r="H706" s="70" t="s">
        <v>18927</v>
      </c>
      <c r="I706" s="70">
        <v>2080.0</v>
      </c>
      <c r="J706" s="70" t="s">
        <v>18925</v>
      </c>
      <c r="K706" s="70" t="s">
        <v>18926</v>
      </c>
      <c r="L706" s="70" t="s">
        <v>16436</v>
      </c>
      <c r="N706" s="70" t="s">
        <v>16437</v>
      </c>
      <c r="P706" s="76">
        <v>45098.0</v>
      </c>
      <c r="U706" s="70" t="s">
        <v>239</v>
      </c>
      <c r="W706" s="70" t="s">
        <v>30090</v>
      </c>
      <c r="Y706" s="70" t="s">
        <v>30091</v>
      </c>
      <c r="Z706" s="75" t="s">
        <v>18931</v>
      </c>
      <c r="AA706" s="70" t="s">
        <v>18932</v>
      </c>
      <c r="AC706" s="70">
        <v>14.0</v>
      </c>
      <c r="AE706" s="70">
        <v>245.0</v>
      </c>
      <c r="AF706" s="70" t="s">
        <v>16727</v>
      </c>
      <c r="AW706" s="70" t="s">
        <v>18933</v>
      </c>
      <c r="AX706" s="70">
        <v>0.0</v>
      </c>
      <c r="AY706" s="70" t="s">
        <v>24</v>
      </c>
      <c r="AZ706" s="70">
        <v>2238.0</v>
      </c>
    </row>
    <row r="707" ht="22.5" customHeight="1">
      <c r="A707" s="70" t="str">
        <f t="shared" si="1"/>
        <v>Excluded</v>
      </c>
      <c r="B707" s="70">
        <f t="shared" si="2"/>
        <v>0</v>
      </c>
      <c r="C707" s="70">
        <v>0.0</v>
      </c>
      <c r="D707" s="70">
        <v>0.0</v>
      </c>
      <c r="E707" s="70">
        <v>0.0</v>
      </c>
      <c r="F707" s="70">
        <v>0.0</v>
      </c>
      <c r="G707" s="70">
        <v>0.0</v>
      </c>
      <c r="H707" s="70" t="s">
        <v>20219</v>
      </c>
      <c r="I707" s="70">
        <v>2226.0</v>
      </c>
      <c r="J707" s="70" t="s">
        <v>30092</v>
      </c>
      <c r="K707" s="70" t="s">
        <v>20218</v>
      </c>
      <c r="L707" s="70" t="s">
        <v>16436</v>
      </c>
      <c r="N707" s="70" t="s">
        <v>16437</v>
      </c>
      <c r="P707" s="77">
        <v>45110.0</v>
      </c>
      <c r="U707" s="70" t="s">
        <v>239</v>
      </c>
      <c r="W707" s="70" t="s">
        <v>20221</v>
      </c>
      <c r="Y707" s="70" t="s">
        <v>30093</v>
      </c>
      <c r="Z707" s="75" t="s">
        <v>20223</v>
      </c>
      <c r="AA707" s="70" t="s">
        <v>20224</v>
      </c>
      <c r="AC707" s="70">
        <v>5.0</v>
      </c>
      <c r="AE707" s="70">
        <v>74.0</v>
      </c>
      <c r="AF707" s="70" t="s">
        <v>16423</v>
      </c>
      <c r="AW707" s="70" t="s">
        <v>20225</v>
      </c>
      <c r="AX707" s="70">
        <v>0.0</v>
      </c>
      <c r="AY707" s="70" t="s">
        <v>24</v>
      </c>
      <c r="AZ707" s="70">
        <v>2737.0</v>
      </c>
    </row>
    <row r="708" ht="22.5" customHeight="1">
      <c r="A708" s="70" t="str">
        <f t="shared" si="1"/>
        <v>Excluded</v>
      </c>
      <c r="B708" s="70">
        <f t="shared" si="2"/>
        <v>0</v>
      </c>
      <c r="C708" s="70">
        <v>0.0</v>
      </c>
      <c r="D708" s="70">
        <v>0.0</v>
      </c>
      <c r="E708" s="70">
        <v>0.0</v>
      </c>
      <c r="F708" s="70">
        <v>0.0</v>
      </c>
      <c r="G708" s="70">
        <v>0.0</v>
      </c>
      <c r="H708" s="70" t="s">
        <v>26013</v>
      </c>
      <c r="I708" s="70">
        <v>2824.0</v>
      </c>
      <c r="J708" s="70" t="s">
        <v>26011</v>
      </c>
      <c r="K708" s="70" t="s">
        <v>26012</v>
      </c>
      <c r="W708" s="70" t="s">
        <v>30094</v>
      </c>
      <c r="AA708" s="70" t="s">
        <v>26015</v>
      </c>
      <c r="AI708" s="70" t="s">
        <v>26016</v>
      </c>
      <c r="AJ708" s="70" t="s">
        <v>26017</v>
      </c>
      <c r="AK708" s="70">
        <v>2023.0</v>
      </c>
      <c r="AL708" s="70" t="s">
        <v>16436</v>
      </c>
      <c r="AN708" s="70">
        <v>69144.0</v>
      </c>
      <c r="AO708" s="70">
        <v>69163.0</v>
      </c>
      <c r="AP708" s="70">
        <v>19.0</v>
      </c>
      <c r="AQ708" s="70">
        <v>9.0</v>
      </c>
      <c r="AR708" s="75" t="s">
        <v>26018</v>
      </c>
      <c r="AS708" s="70" t="s">
        <v>22525</v>
      </c>
      <c r="AT708" s="70" t="s">
        <v>22643</v>
      </c>
      <c r="AU708" s="70" t="s">
        <v>237</v>
      </c>
      <c r="AV708" s="70" t="s">
        <v>26019</v>
      </c>
      <c r="AW708" s="70" t="s">
        <v>26020</v>
      </c>
      <c r="AZ708" s="70">
        <v>223.0</v>
      </c>
    </row>
    <row r="709" ht="22.5" customHeight="1">
      <c r="A709" s="70" t="str">
        <f t="shared" si="1"/>
        <v>Excluded</v>
      </c>
      <c r="B709" s="70">
        <f t="shared" si="2"/>
        <v>0</v>
      </c>
      <c r="C709" s="70">
        <v>0.0</v>
      </c>
      <c r="D709" s="70">
        <v>0.0</v>
      </c>
      <c r="E709" s="70">
        <v>0.0</v>
      </c>
      <c r="F709" s="70">
        <v>0.0</v>
      </c>
      <c r="G709" s="70">
        <v>0.0</v>
      </c>
      <c r="H709" s="70" t="s">
        <v>18541</v>
      </c>
      <c r="I709" s="70">
        <v>2037.0</v>
      </c>
      <c r="J709" s="70" t="s">
        <v>18539</v>
      </c>
      <c r="K709" s="70" t="s">
        <v>18540</v>
      </c>
      <c r="L709" s="70" t="s">
        <v>16436</v>
      </c>
      <c r="N709" s="70" t="s">
        <v>16437</v>
      </c>
      <c r="P709" s="77">
        <v>45114.0</v>
      </c>
      <c r="U709" s="70" t="s">
        <v>239</v>
      </c>
      <c r="W709" s="70" t="s">
        <v>30095</v>
      </c>
      <c r="Y709" s="70" t="s">
        <v>18544</v>
      </c>
      <c r="Z709" s="75" t="s">
        <v>18545</v>
      </c>
      <c r="AA709" s="70" t="s">
        <v>18546</v>
      </c>
      <c r="AC709" s="70">
        <v>20.0</v>
      </c>
      <c r="AE709" s="70">
        <v>45.0</v>
      </c>
      <c r="AF709" s="70" t="s">
        <v>16423</v>
      </c>
      <c r="AW709" s="70" t="s">
        <v>18547</v>
      </c>
      <c r="AZ709" s="70">
        <v>347.0</v>
      </c>
    </row>
    <row r="710" ht="22.5" customHeight="1">
      <c r="A710" s="70" t="str">
        <f t="shared" si="1"/>
        <v>Excluded</v>
      </c>
      <c r="B710" s="70">
        <f t="shared" si="2"/>
        <v>0</v>
      </c>
      <c r="C710" s="70">
        <v>0.0</v>
      </c>
      <c r="D710" s="70">
        <v>0.0</v>
      </c>
      <c r="E710" s="70">
        <v>0.0</v>
      </c>
      <c r="F710" s="70">
        <v>0.0</v>
      </c>
      <c r="G710" s="70">
        <v>0.0</v>
      </c>
      <c r="H710" s="70" t="s">
        <v>20096</v>
      </c>
      <c r="I710" s="70">
        <v>2212.0</v>
      </c>
      <c r="J710" s="70" t="s">
        <v>30096</v>
      </c>
      <c r="K710" s="70" t="s">
        <v>20095</v>
      </c>
      <c r="L710" s="70" t="s">
        <v>16436</v>
      </c>
      <c r="N710" s="70" t="s">
        <v>16437</v>
      </c>
      <c r="P710" s="76">
        <v>45118.0</v>
      </c>
      <c r="U710" s="70" t="s">
        <v>239</v>
      </c>
      <c r="W710" s="70" t="s">
        <v>30097</v>
      </c>
      <c r="Y710" s="70" t="s">
        <v>30098</v>
      </c>
      <c r="Z710" s="75" t="s">
        <v>20100</v>
      </c>
      <c r="AA710" s="70" t="s">
        <v>20101</v>
      </c>
      <c r="AC710" s="70">
        <v>6.0</v>
      </c>
      <c r="AE710" s="70">
        <v>710.0</v>
      </c>
      <c r="AF710" s="70" t="s">
        <v>16423</v>
      </c>
      <c r="AW710" s="70" t="s">
        <v>20102</v>
      </c>
      <c r="AZ710" s="70">
        <v>934.0</v>
      </c>
    </row>
    <row r="711" ht="22.5" customHeight="1">
      <c r="A711" s="70" t="str">
        <f t="shared" si="1"/>
        <v>Excluded</v>
      </c>
      <c r="B711" s="70">
        <f t="shared" si="2"/>
        <v>0</v>
      </c>
      <c r="C711" s="70">
        <v>0.0</v>
      </c>
      <c r="D711" s="70">
        <v>0.0</v>
      </c>
      <c r="E711" s="70">
        <v>0.0</v>
      </c>
      <c r="F711" s="70">
        <v>0.0</v>
      </c>
      <c r="G711" s="70">
        <v>0.0</v>
      </c>
      <c r="H711" s="70" t="s">
        <v>20472</v>
      </c>
      <c r="I711" s="70">
        <v>2254.0</v>
      </c>
      <c r="J711" s="70" t="s">
        <v>20470</v>
      </c>
      <c r="K711" s="70" t="s">
        <v>20471</v>
      </c>
      <c r="L711" s="70" t="s">
        <v>16436</v>
      </c>
      <c r="N711" s="70" t="s">
        <v>16437</v>
      </c>
      <c r="P711" s="76">
        <v>45124.0</v>
      </c>
      <c r="U711" s="70" t="s">
        <v>239</v>
      </c>
      <c r="W711" s="70" t="s">
        <v>20474</v>
      </c>
      <c r="Y711" s="70" t="s">
        <v>30099</v>
      </c>
      <c r="Z711" s="75" t="s">
        <v>20476</v>
      </c>
      <c r="AA711" s="70" t="s">
        <v>20477</v>
      </c>
      <c r="AC711" s="70">
        <v>4.0</v>
      </c>
      <c r="AE711" s="70">
        <v>37.0</v>
      </c>
      <c r="AF711" s="70" t="s">
        <v>16727</v>
      </c>
      <c r="AW711" s="70" t="s">
        <v>20478</v>
      </c>
      <c r="AZ711" s="70">
        <v>640.0</v>
      </c>
    </row>
    <row r="712" ht="22.5" customHeight="1">
      <c r="A712" s="70" t="str">
        <f t="shared" si="1"/>
        <v>Excluded</v>
      </c>
      <c r="B712" s="70">
        <f t="shared" si="2"/>
        <v>0</v>
      </c>
      <c r="C712" s="70">
        <v>0.0</v>
      </c>
      <c r="D712" s="70">
        <v>0.0</v>
      </c>
      <c r="E712" s="70">
        <v>0.0</v>
      </c>
      <c r="F712" s="70">
        <v>0.0</v>
      </c>
      <c r="G712" s="70">
        <v>0.0</v>
      </c>
      <c r="H712" s="70" t="s">
        <v>18898</v>
      </c>
      <c r="I712" s="70">
        <v>2077.0</v>
      </c>
      <c r="J712" s="70" t="s">
        <v>18896</v>
      </c>
      <c r="K712" s="70" t="s">
        <v>18897</v>
      </c>
      <c r="L712" s="70" t="s">
        <v>16436</v>
      </c>
      <c r="N712" s="70" t="s">
        <v>16437</v>
      </c>
      <c r="P712" s="77">
        <v>45141.0</v>
      </c>
      <c r="U712" s="70" t="s">
        <v>239</v>
      </c>
      <c r="W712" s="70" t="s">
        <v>18900</v>
      </c>
      <c r="Y712" s="70" t="s">
        <v>30100</v>
      </c>
      <c r="Z712" s="75" t="s">
        <v>18902</v>
      </c>
      <c r="AA712" s="70" t="s">
        <v>18903</v>
      </c>
      <c r="AC712" s="70">
        <v>15.0</v>
      </c>
      <c r="AE712" s="70">
        <v>239.0</v>
      </c>
      <c r="AF712" s="70" t="s">
        <v>16727</v>
      </c>
      <c r="AW712" s="70" t="s">
        <v>18904</v>
      </c>
      <c r="AX712" s="70">
        <v>0.0</v>
      </c>
      <c r="AY712" s="70" t="s">
        <v>24</v>
      </c>
      <c r="AZ712" s="70">
        <v>2611.0</v>
      </c>
    </row>
    <row r="713" ht="22.5" customHeight="1">
      <c r="A713" s="70" t="str">
        <f t="shared" si="1"/>
        <v>Excluded</v>
      </c>
      <c r="B713" s="70">
        <f t="shared" si="2"/>
        <v>0</v>
      </c>
      <c r="C713" s="70">
        <v>0.0</v>
      </c>
      <c r="D713" s="70">
        <v>0.0</v>
      </c>
      <c r="E713" s="70">
        <v>0.0</v>
      </c>
      <c r="F713" s="70">
        <v>0.0</v>
      </c>
      <c r="G713" s="70">
        <v>0.0</v>
      </c>
      <c r="H713" s="70" t="s">
        <v>21130</v>
      </c>
      <c r="I713" s="70">
        <v>2327.0</v>
      </c>
      <c r="J713" s="70" t="s">
        <v>21128</v>
      </c>
      <c r="K713" s="70" t="s">
        <v>21129</v>
      </c>
      <c r="L713" s="70" t="s">
        <v>16436</v>
      </c>
      <c r="N713" s="70" t="s">
        <v>16437</v>
      </c>
      <c r="P713" s="76">
        <v>45159.0</v>
      </c>
      <c r="U713" s="70" t="s">
        <v>239</v>
      </c>
      <c r="W713" s="70" t="s">
        <v>21132</v>
      </c>
      <c r="Y713" s="70" t="s">
        <v>30101</v>
      </c>
      <c r="Z713" s="75" t="s">
        <v>21134</v>
      </c>
      <c r="AA713" s="70" t="s">
        <v>21135</v>
      </c>
      <c r="AC713" s="70">
        <v>2.0</v>
      </c>
      <c r="AE713" s="70">
        <v>57.0</v>
      </c>
      <c r="AF713" s="70" t="s">
        <v>16727</v>
      </c>
      <c r="AW713" s="70" t="s">
        <v>21136</v>
      </c>
      <c r="AX713" s="70">
        <v>0.0</v>
      </c>
      <c r="AY713" s="70" t="s">
        <v>24</v>
      </c>
      <c r="AZ713" s="70">
        <v>2595.0</v>
      </c>
    </row>
    <row r="714" ht="22.5" customHeight="1">
      <c r="A714" s="70" t="str">
        <f t="shared" si="1"/>
        <v>Excluded</v>
      </c>
      <c r="B714" s="70">
        <f t="shared" si="2"/>
        <v>0</v>
      </c>
      <c r="C714" s="70">
        <v>0.0</v>
      </c>
      <c r="D714" s="70">
        <v>0.0</v>
      </c>
      <c r="E714" s="70">
        <v>0.0</v>
      </c>
      <c r="F714" s="70">
        <v>0.0</v>
      </c>
      <c r="G714" s="70">
        <v>0.0</v>
      </c>
      <c r="H714" s="70" t="s">
        <v>19236</v>
      </c>
      <c r="I714" s="70">
        <v>2115.0</v>
      </c>
      <c r="J714" s="70" t="s">
        <v>19234</v>
      </c>
      <c r="K714" s="70" t="s">
        <v>19235</v>
      </c>
      <c r="L714" s="70" t="s">
        <v>16436</v>
      </c>
      <c r="N714" s="70" t="s">
        <v>16437</v>
      </c>
      <c r="P714" s="76">
        <v>45160.0</v>
      </c>
      <c r="U714" s="70" t="s">
        <v>239</v>
      </c>
      <c r="W714" s="70" t="s">
        <v>19238</v>
      </c>
      <c r="Y714" s="70" t="s">
        <v>30102</v>
      </c>
      <c r="Z714" s="75" t="s">
        <v>19240</v>
      </c>
      <c r="AA714" s="70" t="s">
        <v>19241</v>
      </c>
      <c r="AC714" s="70">
        <v>12.0</v>
      </c>
      <c r="AE714" s="70">
        <v>207.0</v>
      </c>
      <c r="AF714" s="70" t="s">
        <v>16727</v>
      </c>
      <c r="AW714" s="70" t="s">
        <v>19242</v>
      </c>
      <c r="AZ714" s="70">
        <v>277.0</v>
      </c>
    </row>
    <row r="715" ht="22.5" customHeight="1">
      <c r="A715" s="70" t="str">
        <f t="shared" si="1"/>
        <v>Excluded</v>
      </c>
      <c r="B715" s="70">
        <f t="shared" si="2"/>
        <v>0</v>
      </c>
      <c r="C715" s="70">
        <v>0.0</v>
      </c>
      <c r="D715" s="70">
        <v>0.0</v>
      </c>
      <c r="E715" s="70">
        <v>0.0</v>
      </c>
      <c r="F715" s="70">
        <v>0.0</v>
      </c>
      <c r="G715" s="70">
        <v>0.0</v>
      </c>
      <c r="H715" s="70" t="s">
        <v>20633</v>
      </c>
      <c r="I715" s="70">
        <v>2272.0</v>
      </c>
      <c r="J715" s="70" t="s">
        <v>20631</v>
      </c>
      <c r="K715" s="70" t="s">
        <v>20632</v>
      </c>
      <c r="L715" s="70" t="s">
        <v>16436</v>
      </c>
      <c r="N715" s="70" t="s">
        <v>16437</v>
      </c>
      <c r="P715" s="76">
        <v>45180.0</v>
      </c>
      <c r="U715" s="70" t="s">
        <v>239</v>
      </c>
      <c r="W715" s="70" t="s">
        <v>20635</v>
      </c>
      <c r="Y715" s="70" t="s">
        <v>30103</v>
      </c>
      <c r="Z715" s="75" t="s">
        <v>20637</v>
      </c>
      <c r="AA715" s="70" t="s">
        <v>20638</v>
      </c>
      <c r="AC715" s="70">
        <v>3.0</v>
      </c>
      <c r="AE715" s="70">
        <v>32.0</v>
      </c>
      <c r="AF715" s="70" t="s">
        <v>16423</v>
      </c>
      <c r="AW715" s="70" t="s">
        <v>20639</v>
      </c>
      <c r="AZ715" s="70">
        <v>812.0</v>
      </c>
    </row>
    <row r="716" ht="22.5" customHeight="1">
      <c r="A716" s="70" t="str">
        <f t="shared" si="1"/>
        <v>Excluded</v>
      </c>
      <c r="B716" s="70">
        <f t="shared" si="2"/>
        <v>0</v>
      </c>
      <c r="C716" s="70">
        <v>0.0</v>
      </c>
      <c r="D716" s="70">
        <v>0.0</v>
      </c>
      <c r="E716" s="70">
        <v>0.0</v>
      </c>
      <c r="F716" s="70">
        <v>0.0</v>
      </c>
      <c r="G716" s="70">
        <v>0.0</v>
      </c>
      <c r="H716" s="70" t="s">
        <v>19167</v>
      </c>
      <c r="I716" s="70">
        <v>2107.0</v>
      </c>
      <c r="J716" s="70" t="s">
        <v>19165</v>
      </c>
      <c r="K716" s="70" t="s">
        <v>19166</v>
      </c>
      <c r="L716" s="70" t="s">
        <v>16436</v>
      </c>
      <c r="N716" s="70" t="s">
        <v>16437</v>
      </c>
      <c r="P716" s="76">
        <v>45183.0</v>
      </c>
      <c r="U716" s="70" t="s">
        <v>239</v>
      </c>
      <c r="W716" s="70" t="s">
        <v>30104</v>
      </c>
      <c r="Y716" s="70" t="s">
        <v>19170</v>
      </c>
      <c r="Z716" s="75" t="s">
        <v>19171</v>
      </c>
      <c r="AA716" s="70" t="s">
        <v>19172</v>
      </c>
      <c r="AC716" s="70">
        <v>12.0</v>
      </c>
      <c r="AE716" s="70">
        <v>99.0</v>
      </c>
      <c r="AF716" s="70" t="s">
        <v>16727</v>
      </c>
      <c r="AW716" s="70" t="s">
        <v>19173</v>
      </c>
      <c r="AZ716" s="70">
        <v>340.0</v>
      </c>
    </row>
    <row r="717" ht="22.5" customHeight="1">
      <c r="A717" s="70" t="str">
        <f t="shared" si="1"/>
        <v>Excluded</v>
      </c>
      <c r="B717" s="70">
        <f t="shared" si="2"/>
        <v>0</v>
      </c>
      <c r="C717" s="70">
        <v>0.0</v>
      </c>
      <c r="D717" s="70">
        <v>0.0</v>
      </c>
      <c r="E717" s="70">
        <v>0.0</v>
      </c>
      <c r="F717" s="70">
        <v>0.0</v>
      </c>
      <c r="G717" s="70">
        <v>0.0</v>
      </c>
      <c r="H717" s="70" t="s">
        <v>25419</v>
      </c>
      <c r="I717" s="70">
        <v>2767.0</v>
      </c>
      <c r="J717" s="70" t="s">
        <v>25417</v>
      </c>
      <c r="K717" s="70" t="s">
        <v>25418</v>
      </c>
      <c r="W717" s="70" t="s">
        <v>30105</v>
      </c>
      <c r="AA717" s="70" t="s">
        <v>25421</v>
      </c>
      <c r="AI717" s="70" t="s">
        <v>25422</v>
      </c>
      <c r="AJ717" s="70" t="s">
        <v>25423</v>
      </c>
      <c r="AK717" s="70">
        <v>2023.0</v>
      </c>
      <c r="AL717" s="70" t="s">
        <v>16436</v>
      </c>
      <c r="AN717" s="70">
        <v>107581.0</v>
      </c>
      <c r="AO717" s="70">
        <v>107604.0</v>
      </c>
      <c r="AP717" s="70">
        <v>23.0</v>
      </c>
      <c r="AQ717" s="70">
        <v>4.0</v>
      </c>
      <c r="AR717" s="75" t="s">
        <v>25424</v>
      </c>
      <c r="AS717" s="70" t="s">
        <v>22525</v>
      </c>
      <c r="AT717" s="70" t="s">
        <v>22643</v>
      </c>
      <c r="AU717" s="70" t="s">
        <v>237</v>
      </c>
      <c r="AV717" s="70" t="s">
        <v>25425</v>
      </c>
      <c r="AW717" s="70" t="s">
        <v>25426</v>
      </c>
      <c r="AZ717" s="70">
        <v>1194.0</v>
      </c>
    </row>
    <row r="718" ht="22.5" customHeight="1">
      <c r="A718" s="70" t="str">
        <f t="shared" si="1"/>
        <v>Excluded</v>
      </c>
      <c r="B718" s="70">
        <f t="shared" si="2"/>
        <v>0</v>
      </c>
      <c r="C718" s="70">
        <v>0.0</v>
      </c>
      <c r="D718" s="70">
        <v>0.0</v>
      </c>
      <c r="E718" s="70">
        <v>0.0</v>
      </c>
      <c r="F718" s="70">
        <v>0.0</v>
      </c>
      <c r="G718" s="70">
        <v>0.0</v>
      </c>
      <c r="H718" s="70" t="s">
        <v>20714</v>
      </c>
      <c r="I718" s="70">
        <v>2281.0</v>
      </c>
      <c r="J718" s="70" t="s">
        <v>20712</v>
      </c>
      <c r="K718" s="70" t="s">
        <v>20713</v>
      </c>
      <c r="L718" s="70" t="s">
        <v>16436</v>
      </c>
      <c r="N718" s="70" t="s">
        <v>16437</v>
      </c>
      <c r="P718" s="76">
        <v>45217.0</v>
      </c>
      <c r="U718" s="70" t="s">
        <v>239</v>
      </c>
      <c r="W718" s="70" t="s">
        <v>30106</v>
      </c>
      <c r="Y718" s="70" t="s">
        <v>30107</v>
      </c>
      <c r="Z718" s="75" t="s">
        <v>20718</v>
      </c>
      <c r="AA718" s="70" t="s">
        <v>20719</v>
      </c>
      <c r="AC718" s="70">
        <v>3.0</v>
      </c>
      <c r="AE718" s="70">
        <v>36.0</v>
      </c>
      <c r="AF718" s="70" t="s">
        <v>16727</v>
      </c>
      <c r="AW718" s="70" t="s">
        <v>20720</v>
      </c>
      <c r="AX718" s="70">
        <v>0.0</v>
      </c>
      <c r="AY718" s="70" t="s">
        <v>24</v>
      </c>
      <c r="AZ718" s="70">
        <v>1731.0</v>
      </c>
    </row>
    <row r="719" ht="22.5" customHeight="1">
      <c r="A719" s="70" t="str">
        <f t="shared" si="1"/>
        <v>Excluded</v>
      </c>
      <c r="B719" s="70">
        <f t="shared" si="2"/>
        <v>0</v>
      </c>
      <c r="C719" s="70">
        <v>0.0</v>
      </c>
      <c r="D719" s="70">
        <v>0.0</v>
      </c>
      <c r="E719" s="70">
        <v>0.0</v>
      </c>
      <c r="F719" s="70">
        <v>0.0</v>
      </c>
      <c r="G719" s="70">
        <v>0.0</v>
      </c>
      <c r="H719" s="70" t="s">
        <v>19095</v>
      </c>
      <c r="I719" s="70">
        <v>2099.0</v>
      </c>
      <c r="J719" s="70" t="s">
        <v>19093</v>
      </c>
      <c r="K719" s="70" t="s">
        <v>19094</v>
      </c>
      <c r="L719" s="70" t="s">
        <v>16436</v>
      </c>
      <c r="N719" s="70" t="s">
        <v>16437</v>
      </c>
      <c r="P719" s="76">
        <v>45222.0</v>
      </c>
      <c r="U719" s="70" t="s">
        <v>239</v>
      </c>
      <c r="W719" s="70" t="s">
        <v>30108</v>
      </c>
      <c r="Y719" s="70" t="s">
        <v>19098</v>
      </c>
      <c r="Z719" s="75" t="s">
        <v>19099</v>
      </c>
      <c r="AA719" s="70" t="s">
        <v>19100</v>
      </c>
      <c r="AC719" s="70">
        <v>13.0</v>
      </c>
      <c r="AE719" s="70">
        <v>217.0</v>
      </c>
      <c r="AF719" s="70" t="s">
        <v>16727</v>
      </c>
      <c r="AW719" s="70" t="s">
        <v>19101</v>
      </c>
      <c r="AX719" s="70">
        <v>0.0</v>
      </c>
      <c r="AY719" s="70" t="s">
        <v>24</v>
      </c>
      <c r="AZ719" s="70">
        <v>3018.0</v>
      </c>
    </row>
    <row r="720" ht="22.5" customHeight="1">
      <c r="A720" s="70" t="str">
        <f t="shared" si="1"/>
        <v>Excluded</v>
      </c>
      <c r="B720" s="70">
        <f t="shared" si="2"/>
        <v>0</v>
      </c>
      <c r="C720" s="70">
        <v>0.0</v>
      </c>
      <c r="D720" s="70">
        <v>0.0</v>
      </c>
      <c r="E720" s="70">
        <v>0.0</v>
      </c>
      <c r="F720" s="70">
        <v>0.0</v>
      </c>
      <c r="G720" s="70">
        <v>0.0</v>
      </c>
      <c r="H720" s="70" t="s">
        <v>20615</v>
      </c>
      <c r="I720" s="70">
        <v>2270.0</v>
      </c>
      <c r="J720" s="70" t="s">
        <v>20613</v>
      </c>
      <c r="K720" s="70" t="s">
        <v>20614</v>
      </c>
      <c r="L720" s="70" t="s">
        <v>16436</v>
      </c>
      <c r="N720" s="70" t="s">
        <v>16437</v>
      </c>
      <c r="P720" s="77">
        <v>45233.0</v>
      </c>
      <c r="U720" s="70" t="s">
        <v>239</v>
      </c>
      <c r="W720" s="70" t="s">
        <v>30109</v>
      </c>
      <c r="Y720" s="70" t="s">
        <v>20618</v>
      </c>
      <c r="Z720" s="75" t="s">
        <v>20619</v>
      </c>
      <c r="AA720" s="70" t="s">
        <v>20620</v>
      </c>
      <c r="AC720" s="70">
        <v>3.0</v>
      </c>
      <c r="AE720" s="70">
        <v>38.0</v>
      </c>
      <c r="AF720" s="70" t="s">
        <v>16727</v>
      </c>
      <c r="AW720" s="70" t="s">
        <v>20621</v>
      </c>
      <c r="AX720" s="70">
        <v>0.0</v>
      </c>
      <c r="AY720" s="70" t="s">
        <v>24</v>
      </c>
      <c r="AZ720" s="70">
        <v>2411.0</v>
      </c>
    </row>
    <row r="721" ht="22.5" customHeight="1">
      <c r="A721" s="70" t="str">
        <f t="shared" si="1"/>
        <v>Excluded</v>
      </c>
      <c r="B721" s="70">
        <f t="shared" si="2"/>
        <v>0</v>
      </c>
      <c r="C721" s="70">
        <v>0.0</v>
      </c>
      <c r="D721" s="70">
        <v>0.0</v>
      </c>
      <c r="E721" s="70">
        <v>0.0</v>
      </c>
      <c r="F721" s="70">
        <v>0.0</v>
      </c>
      <c r="G721" s="70">
        <v>0.0</v>
      </c>
      <c r="H721" s="70" t="s">
        <v>20570</v>
      </c>
      <c r="I721" s="70">
        <v>2265.0</v>
      </c>
      <c r="J721" s="70" t="s">
        <v>20568</v>
      </c>
      <c r="K721" s="70" t="s">
        <v>20569</v>
      </c>
      <c r="L721" s="70" t="s">
        <v>16436</v>
      </c>
      <c r="N721" s="70" t="s">
        <v>16437</v>
      </c>
      <c r="P721" s="76">
        <v>45245.0</v>
      </c>
      <c r="U721" s="70" t="s">
        <v>239</v>
      </c>
      <c r="W721" s="70" t="s">
        <v>20572</v>
      </c>
      <c r="Z721" s="75" t="s">
        <v>20573</v>
      </c>
      <c r="AA721" s="70" t="s">
        <v>20574</v>
      </c>
      <c r="AC721" s="70">
        <v>3.0</v>
      </c>
      <c r="AE721" s="70">
        <v>33.0</v>
      </c>
      <c r="AF721" s="70" t="s">
        <v>16727</v>
      </c>
      <c r="AW721" s="70" t="s">
        <v>20575</v>
      </c>
      <c r="AX721" s="70">
        <v>0.0</v>
      </c>
      <c r="AY721" s="70" t="s">
        <v>24</v>
      </c>
      <c r="AZ721" s="70">
        <v>2129.0</v>
      </c>
    </row>
    <row r="722" ht="22.5" customHeight="1">
      <c r="A722" s="70" t="str">
        <f t="shared" si="1"/>
        <v>Excluded</v>
      </c>
      <c r="B722" s="70">
        <f t="shared" si="2"/>
        <v>0</v>
      </c>
      <c r="C722" s="70">
        <v>0.0</v>
      </c>
      <c r="D722" s="70">
        <v>0.0</v>
      </c>
      <c r="E722" s="70">
        <v>0.0</v>
      </c>
      <c r="F722" s="70">
        <v>0.0</v>
      </c>
      <c r="G722" s="70">
        <v>0.0</v>
      </c>
      <c r="H722" s="70" t="s">
        <v>25690</v>
      </c>
      <c r="I722" s="70">
        <v>2793.0</v>
      </c>
      <c r="J722" s="70" t="s">
        <v>25688</v>
      </c>
      <c r="K722" s="70" t="s">
        <v>25689</v>
      </c>
      <c r="W722" s="70" t="s">
        <v>30110</v>
      </c>
      <c r="AA722" s="70" t="s">
        <v>25692</v>
      </c>
      <c r="AI722" s="70" t="s">
        <v>25693</v>
      </c>
      <c r="AJ722" s="70" t="s">
        <v>25694</v>
      </c>
      <c r="AK722" s="70">
        <v>2023.0</v>
      </c>
      <c r="AL722" s="70" t="s">
        <v>16436</v>
      </c>
      <c r="AN722" s="70">
        <v>129285.0</v>
      </c>
      <c r="AO722" s="70">
        <v>129299.0</v>
      </c>
      <c r="AP722" s="70">
        <v>14.0</v>
      </c>
      <c r="AQ722" s="70">
        <v>1.0</v>
      </c>
      <c r="AR722" s="75" t="s">
        <v>25695</v>
      </c>
      <c r="AS722" s="70" t="s">
        <v>22525</v>
      </c>
      <c r="AT722" s="70" t="s">
        <v>22622</v>
      </c>
      <c r="AU722" s="70" t="s">
        <v>237</v>
      </c>
      <c r="AV722" s="70" t="s">
        <v>25696</v>
      </c>
      <c r="AW722" s="70" t="s">
        <v>25697</v>
      </c>
      <c r="AX722" s="70">
        <v>0.0</v>
      </c>
      <c r="AY722" s="70" t="s">
        <v>24</v>
      </c>
      <c r="AZ722" s="70">
        <v>3113.0</v>
      </c>
    </row>
    <row r="723" ht="22.5" customHeight="1">
      <c r="A723" s="70" t="str">
        <f t="shared" si="1"/>
        <v>Excluded</v>
      </c>
      <c r="B723" s="70">
        <f t="shared" si="2"/>
        <v>0</v>
      </c>
      <c r="C723" s="70">
        <v>0.0</v>
      </c>
      <c r="D723" s="70">
        <v>0.0</v>
      </c>
      <c r="E723" s="70">
        <v>0.0</v>
      </c>
      <c r="F723" s="70">
        <v>0.0</v>
      </c>
      <c r="G723" s="70">
        <v>0.0</v>
      </c>
      <c r="H723" s="70" t="s">
        <v>20283</v>
      </c>
      <c r="I723" s="70">
        <v>2233.0</v>
      </c>
      <c r="J723" s="70" t="s">
        <v>20281</v>
      </c>
      <c r="K723" s="70" t="s">
        <v>20282</v>
      </c>
      <c r="L723" s="70" t="s">
        <v>16436</v>
      </c>
      <c r="N723" s="70" t="s">
        <v>16437</v>
      </c>
      <c r="P723" s="76">
        <v>45247.0</v>
      </c>
      <c r="U723" s="70" t="s">
        <v>239</v>
      </c>
      <c r="W723" s="70" t="s">
        <v>30111</v>
      </c>
      <c r="Y723" s="70" t="s">
        <v>30112</v>
      </c>
      <c r="Z723" s="75" t="s">
        <v>20287</v>
      </c>
      <c r="AA723" s="70" t="s">
        <v>20288</v>
      </c>
      <c r="AC723" s="70">
        <v>5.0</v>
      </c>
      <c r="AE723" s="70">
        <v>95.0</v>
      </c>
      <c r="AF723" s="70" t="s">
        <v>16727</v>
      </c>
      <c r="AW723" s="70" t="s">
        <v>20289</v>
      </c>
      <c r="AZ723" s="70">
        <v>999.0</v>
      </c>
    </row>
    <row r="724" ht="22.5" customHeight="1">
      <c r="A724" s="70" t="str">
        <f t="shared" si="1"/>
        <v>Excluded</v>
      </c>
      <c r="B724" s="70">
        <f t="shared" si="2"/>
        <v>0</v>
      </c>
      <c r="C724" s="70">
        <v>0.0</v>
      </c>
      <c r="D724" s="70">
        <v>0.0</v>
      </c>
      <c r="E724" s="70">
        <v>0.0</v>
      </c>
      <c r="F724" s="70">
        <v>0.0</v>
      </c>
      <c r="G724" s="70">
        <v>0.0</v>
      </c>
      <c r="H724" s="70" t="s">
        <v>21183</v>
      </c>
      <c r="I724" s="70">
        <v>2333.0</v>
      </c>
      <c r="J724" s="70" t="s">
        <v>21181</v>
      </c>
      <c r="K724" s="70" t="s">
        <v>21182</v>
      </c>
      <c r="L724" s="70" t="s">
        <v>16436</v>
      </c>
      <c r="N724" s="70" t="s">
        <v>16437</v>
      </c>
      <c r="P724" s="77">
        <v>45264.0</v>
      </c>
      <c r="U724" s="70" t="s">
        <v>239</v>
      </c>
      <c r="W724" s="70" t="s">
        <v>21185</v>
      </c>
      <c r="Z724" s="75" t="s">
        <v>21186</v>
      </c>
      <c r="AA724" s="70" t="s">
        <v>21187</v>
      </c>
      <c r="AC724" s="70">
        <v>2.0</v>
      </c>
      <c r="AE724" s="70">
        <v>66.0</v>
      </c>
      <c r="AF724" s="70" t="s">
        <v>16423</v>
      </c>
      <c r="AW724" s="70" t="s">
        <v>21188</v>
      </c>
      <c r="AX724" s="70">
        <v>0.0</v>
      </c>
      <c r="AY724" s="70" t="s">
        <v>24</v>
      </c>
      <c r="AZ724" s="70">
        <v>3097.0</v>
      </c>
    </row>
    <row r="725" ht="22.5" customHeight="1">
      <c r="A725" s="70" t="str">
        <f t="shared" si="1"/>
        <v>Excluded</v>
      </c>
      <c r="B725" s="70">
        <f t="shared" si="2"/>
        <v>0</v>
      </c>
      <c r="C725" s="70">
        <v>0.0</v>
      </c>
      <c r="D725" s="70">
        <v>0.0</v>
      </c>
      <c r="E725" s="70">
        <v>0.0</v>
      </c>
      <c r="F725" s="70">
        <v>0.0</v>
      </c>
      <c r="G725" s="70">
        <v>0.0</v>
      </c>
      <c r="H725" s="70" t="s">
        <v>20668</v>
      </c>
      <c r="I725" s="70">
        <v>2276.0</v>
      </c>
      <c r="J725" s="70" t="s">
        <v>30113</v>
      </c>
      <c r="K725" s="70" t="s">
        <v>20667</v>
      </c>
      <c r="L725" s="70" t="s">
        <v>16436</v>
      </c>
      <c r="N725" s="70" t="s">
        <v>16437</v>
      </c>
      <c r="P725" s="77">
        <v>45265.0</v>
      </c>
      <c r="U725" s="70" t="s">
        <v>239</v>
      </c>
      <c r="W725" s="70" t="s">
        <v>20670</v>
      </c>
      <c r="Y725" s="70" t="s">
        <v>30114</v>
      </c>
      <c r="Z725" s="75" t="s">
        <v>20672</v>
      </c>
      <c r="AA725" s="70" t="s">
        <v>20673</v>
      </c>
      <c r="AC725" s="70">
        <v>3.0</v>
      </c>
      <c r="AE725" s="70">
        <v>66.0</v>
      </c>
      <c r="AF725" s="70" t="s">
        <v>16727</v>
      </c>
      <c r="AW725" s="70" t="s">
        <v>20674</v>
      </c>
      <c r="AX725" s="70">
        <v>0.0</v>
      </c>
      <c r="AY725" s="70" t="s">
        <v>24</v>
      </c>
      <c r="AZ725" s="70">
        <v>2924.0</v>
      </c>
    </row>
    <row r="726" ht="22.5" customHeight="1">
      <c r="A726" s="70" t="str">
        <f t="shared" si="1"/>
        <v>Excluded</v>
      </c>
      <c r="B726" s="70">
        <f t="shared" si="2"/>
        <v>0</v>
      </c>
      <c r="C726" s="70">
        <v>0.0</v>
      </c>
      <c r="D726" s="70">
        <v>0.0</v>
      </c>
      <c r="E726" s="70">
        <v>0.0</v>
      </c>
      <c r="F726" s="70">
        <v>0.0</v>
      </c>
      <c r="G726" s="70">
        <v>0.0</v>
      </c>
      <c r="H726" s="70" t="s">
        <v>20642</v>
      </c>
      <c r="I726" s="70">
        <v>2273.0</v>
      </c>
      <c r="J726" s="70" t="s">
        <v>20640</v>
      </c>
      <c r="K726" s="70" t="s">
        <v>20641</v>
      </c>
      <c r="L726" s="70" t="s">
        <v>16436</v>
      </c>
      <c r="N726" s="70" t="s">
        <v>16437</v>
      </c>
      <c r="P726" s="76">
        <v>45273.0</v>
      </c>
      <c r="U726" s="70" t="s">
        <v>239</v>
      </c>
      <c r="W726" s="70" t="s">
        <v>20644</v>
      </c>
      <c r="Y726" s="70" t="s">
        <v>30115</v>
      </c>
      <c r="Z726" s="75" t="s">
        <v>20646</v>
      </c>
      <c r="AA726" s="70" t="s">
        <v>20647</v>
      </c>
      <c r="AC726" s="70">
        <v>3.0</v>
      </c>
      <c r="AE726" s="70">
        <v>54.0</v>
      </c>
      <c r="AF726" s="70" t="s">
        <v>16727</v>
      </c>
      <c r="AW726" s="70" t="s">
        <v>20648</v>
      </c>
      <c r="AX726" s="70">
        <v>0.0</v>
      </c>
      <c r="AY726" s="70" t="s">
        <v>24</v>
      </c>
      <c r="AZ726" s="70">
        <v>1953.0</v>
      </c>
    </row>
    <row r="727" ht="22.5" customHeight="1">
      <c r="A727" s="70" t="str">
        <f t="shared" si="1"/>
        <v>Excluded</v>
      </c>
      <c r="B727" s="70">
        <f t="shared" si="2"/>
        <v>0</v>
      </c>
      <c r="C727" s="70">
        <v>0.0</v>
      </c>
      <c r="D727" s="70">
        <v>0.0</v>
      </c>
      <c r="E727" s="70">
        <v>0.0</v>
      </c>
      <c r="F727" s="70">
        <v>0.0</v>
      </c>
      <c r="G727" s="70">
        <v>0.0</v>
      </c>
      <c r="H727" s="70" t="s">
        <v>22254</v>
      </c>
      <c r="I727" s="70">
        <v>2455.0</v>
      </c>
      <c r="J727" s="70" t="s">
        <v>30116</v>
      </c>
      <c r="K727" s="70" t="s">
        <v>22253</v>
      </c>
      <c r="L727" s="70" t="s">
        <v>16436</v>
      </c>
      <c r="N727" s="70" t="s">
        <v>16437</v>
      </c>
      <c r="P727" s="76">
        <v>45274.0</v>
      </c>
      <c r="U727" s="70" t="s">
        <v>239</v>
      </c>
      <c r="W727" s="70" t="s">
        <v>30117</v>
      </c>
      <c r="Y727" s="70" t="s">
        <v>30118</v>
      </c>
      <c r="Z727" s="75" t="s">
        <v>22258</v>
      </c>
      <c r="AA727" s="70" t="s">
        <v>22259</v>
      </c>
      <c r="AE727" s="70">
        <v>54.0</v>
      </c>
      <c r="AF727" s="70" t="s">
        <v>16727</v>
      </c>
      <c r="AW727" s="70" t="s">
        <v>22260</v>
      </c>
      <c r="AZ727" s="70">
        <v>304.0</v>
      </c>
    </row>
    <row r="728" ht="22.5" customHeight="1">
      <c r="A728" s="70" t="str">
        <f t="shared" si="1"/>
        <v>Excluded</v>
      </c>
      <c r="B728" s="70">
        <f t="shared" si="2"/>
        <v>0</v>
      </c>
      <c r="C728" s="70">
        <v>0.0</v>
      </c>
      <c r="D728" s="70">
        <v>0.0</v>
      </c>
      <c r="E728" s="70">
        <v>0.0</v>
      </c>
      <c r="F728" s="70">
        <v>0.0</v>
      </c>
      <c r="G728" s="70">
        <v>0.0</v>
      </c>
      <c r="H728" s="70" t="s">
        <v>22201</v>
      </c>
      <c r="I728" s="70">
        <v>2449.0</v>
      </c>
      <c r="J728" s="70" t="s">
        <v>22199</v>
      </c>
      <c r="K728" s="70" t="s">
        <v>22200</v>
      </c>
      <c r="L728" s="70" t="s">
        <v>16436</v>
      </c>
      <c r="N728" s="70" t="s">
        <v>16437</v>
      </c>
      <c r="P728" s="76">
        <v>45285.0</v>
      </c>
      <c r="U728" s="70" t="s">
        <v>239</v>
      </c>
      <c r="W728" s="70" t="s">
        <v>22203</v>
      </c>
      <c r="Y728" s="70" t="s">
        <v>30119</v>
      </c>
      <c r="Z728" s="75" t="s">
        <v>22205</v>
      </c>
      <c r="AA728" s="70" t="s">
        <v>22206</v>
      </c>
      <c r="AE728" s="70">
        <v>43.0</v>
      </c>
      <c r="AF728" s="70" t="s">
        <v>16423</v>
      </c>
      <c r="AW728" s="70" t="s">
        <v>22207</v>
      </c>
      <c r="AX728" s="70">
        <v>0.0</v>
      </c>
      <c r="AY728" s="70" t="s">
        <v>24</v>
      </c>
      <c r="AZ728" s="70">
        <v>2163.0</v>
      </c>
    </row>
    <row r="729" ht="22.5" customHeight="1">
      <c r="A729" s="70" t="str">
        <f t="shared" si="1"/>
        <v>Excluded</v>
      </c>
      <c r="B729" s="70">
        <f t="shared" si="2"/>
        <v>0</v>
      </c>
      <c r="C729" s="70">
        <v>0.0</v>
      </c>
      <c r="D729" s="70">
        <v>0.0</v>
      </c>
      <c r="E729" s="70">
        <v>0.0</v>
      </c>
      <c r="F729" s="70">
        <v>0.0</v>
      </c>
      <c r="G729" s="70">
        <v>0.0</v>
      </c>
      <c r="H729" s="70" t="s">
        <v>19526</v>
      </c>
      <c r="I729" s="70">
        <v>2148.0</v>
      </c>
      <c r="J729" s="70" t="s">
        <v>19524</v>
      </c>
      <c r="K729" s="70" t="s">
        <v>19525</v>
      </c>
      <c r="L729" s="70" t="s">
        <v>16436</v>
      </c>
      <c r="N729" s="70" t="s">
        <v>16437</v>
      </c>
      <c r="P729" s="77">
        <v>45294.0</v>
      </c>
      <c r="U729" s="70" t="s">
        <v>239</v>
      </c>
      <c r="W729" s="70" t="s">
        <v>30120</v>
      </c>
      <c r="Y729" s="70" t="s">
        <v>30121</v>
      </c>
      <c r="Z729" s="75" t="s">
        <v>19530</v>
      </c>
      <c r="AA729" s="70" t="s">
        <v>19531</v>
      </c>
      <c r="AC729" s="70">
        <v>9.0</v>
      </c>
      <c r="AE729" s="70">
        <v>123.0</v>
      </c>
      <c r="AF729" s="70" t="s">
        <v>16423</v>
      </c>
      <c r="AW729" s="70" t="s">
        <v>19532</v>
      </c>
      <c r="AX729" s="70">
        <v>0.0</v>
      </c>
      <c r="AY729" s="70" t="s">
        <v>24</v>
      </c>
      <c r="AZ729" s="70">
        <v>2839.0</v>
      </c>
    </row>
    <row r="730" ht="22.5" customHeight="1">
      <c r="A730" s="70" t="str">
        <f t="shared" si="1"/>
        <v>Excluded</v>
      </c>
      <c r="B730" s="70">
        <f t="shared" si="2"/>
        <v>0</v>
      </c>
      <c r="C730" s="70">
        <v>0.0</v>
      </c>
      <c r="D730" s="70">
        <v>0.0</v>
      </c>
      <c r="E730" s="70">
        <v>0.0</v>
      </c>
      <c r="F730" s="70">
        <v>0.0</v>
      </c>
      <c r="G730" s="70">
        <v>0.0</v>
      </c>
      <c r="H730" s="70" t="s">
        <v>20228</v>
      </c>
      <c r="I730" s="70">
        <v>2227.0</v>
      </c>
      <c r="J730" s="70" t="s">
        <v>20226</v>
      </c>
      <c r="K730" s="70" t="s">
        <v>20227</v>
      </c>
      <c r="L730" s="70" t="s">
        <v>16436</v>
      </c>
      <c r="N730" s="70" t="s">
        <v>16437</v>
      </c>
      <c r="P730" s="77">
        <v>45296.0</v>
      </c>
      <c r="U730" s="70" t="s">
        <v>239</v>
      </c>
      <c r="W730" s="70" t="s">
        <v>30122</v>
      </c>
      <c r="Y730" s="70" t="s">
        <v>30123</v>
      </c>
      <c r="Z730" s="75" t="s">
        <v>20232</v>
      </c>
      <c r="AA730" s="70" t="s">
        <v>20233</v>
      </c>
      <c r="AC730" s="70">
        <v>5.0</v>
      </c>
      <c r="AE730" s="70">
        <v>42.0</v>
      </c>
      <c r="AF730" s="70" t="s">
        <v>16727</v>
      </c>
      <c r="AW730" s="70" t="s">
        <v>20234</v>
      </c>
      <c r="AX730" s="70">
        <v>0.0</v>
      </c>
      <c r="AY730" s="70" t="s">
        <v>24</v>
      </c>
      <c r="AZ730" s="70">
        <v>1844.0</v>
      </c>
    </row>
    <row r="731" ht="22.5" customHeight="1">
      <c r="A731" s="70" t="str">
        <f t="shared" si="1"/>
        <v>Excluded</v>
      </c>
      <c r="B731" s="70">
        <f t="shared" si="2"/>
        <v>0</v>
      </c>
      <c r="C731" s="70">
        <v>0.0</v>
      </c>
      <c r="D731" s="70">
        <v>0.0</v>
      </c>
      <c r="E731" s="70">
        <v>0.0</v>
      </c>
      <c r="F731" s="70">
        <v>0.0</v>
      </c>
      <c r="G731" s="70">
        <v>0.0</v>
      </c>
      <c r="H731" s="70" t="s">
        <v>18719</v>
      </c>
      <c r="I731" s="70">
        <v>2057.0</v>
      </c>
      <c r="J731" s="70" t="s">
        <v>18717</v>
      </c>
      <c r="K731" s="70" t="s">
        <v>18718</v>
      </c>
      <c r="L731" s="70" t="s">
        <v>16436</v>
      </c>
      <c r="N731" s="70" t="s">
        <v>16437</v>
      </c>
      <c r="P731" s="77">
        <v>45300.0</v>
      </c>
      <c r="U731" s="70" t="s">
        <v>239</v>
      </c>
      <c r="W731" s="70" t="s">
        <v>18721</v>
      </c>
      <c r="Y731" s="70" t="s">
        <v>30124</v>
      </c>
      <c r="Z731" s="75" t="s">
        <v>18723</v>
      </c>
      <c r="AA731" s="70" t="s">
        <v>18724</v>
      </c>
      <c r="AC731" s="70">
        <v>17.0</v>
      </c>
      <c r="AE731" s="70">
        <v>240.0</v>
      </c>
      <c r="AF731" s="70" t="s">
        <v>16727</v>
      </c>
      <c r="AW731" s="70" t="s">
        <v>18725</v>
      </c>
      <c r="AZ731" s="70">
        <v>546.0</v>
      </c>
    </row>
    <row r="732" ht="22.5" customHeight="1">
      <c r="A732" s="70" t="str">
        <f t="shared" si="1"/>
        <v>Excluded</v>
      </c>
      <c r="B732" s="70">
        <f t="shared" si="2"/>
        <v>0</v>
      </c>
      <c r="C732" s="70">
        <v>0.0</v>
      </c>
      <c r="D732" s="70">
        <v>0.0</v>
      </c>
      <c r="E732" s="70">
        <v>0.0</v>
      </c>
      <c r="F732" s="70">
        <v>0.0</v>
      </c>
      <c r="G732" s="70">
        <v>0.0</v>
      </c>
      <c r="H732" s="70" t="s">
        <v>20906</v>
      </c>
      <c r="I732" s="70">
        <v>2302.0</v>
      </c>
      <c r="J732" s="70" t="s">
        <v>20904</v>
      </c>
      <c r="K732" s="70" t="s">
        <v>20905</v>
      </c>
      <c r="L732" s="70" t="s">
        <v>16436</v>
      </c>
      <c r="N732" s="70" t="s">
        <v>16437</v>
      </c>
      <c r="P732" s="77">
        <v>45300.0</v>
      </c>
      <c r="U732" s="70" t="s">
        <v>239</v>
      </c>
      <c r="W732" s="70" t="s">
        <v>20908</v>
      </c>
      <c r="Y732" s="70" t="s">
        <v>20909</v>
      </c>
      <c r="Z732" s="75" t="s">
        <v>20910</v>
      </c>
      <c r="AA732" s="70" t="s">
        <v>20911</v>
      </c>
      <c r="AC732" s="70">
        <v>2.0</v>
      </c>
      <c r="AE732" s="70">
        <v>59.0</v>
      </c>
      <c r="AF732" s="70" t="s">
        <v>16423</v>
      </c>
      <c r="AW732" s="70" t="s">
        <v>20912</v>
      </c>
      <c r="AX732" s="70">
        <v>0.0</v>
      </c>
      <c r="AY732" s="70" t="s">
        <v>24</v>
      </c>
      <c r="AZ732" s="70">
        <v>1682.0</v>
      </c>
    </row>
    <row r="733" ht="22.5" customHeight="1">
      <c r="A733" s="70" t="str">
        <f t="shared" si="1"/>
        <v>Excluded</v>
      </c>
      <c r="B733" s="70">
        <f t="shared" si="2"/>
        <v>0</v>
      </c>
      <c r="C733" s="70">
        <v>0.0</v>
      </c>
      <c r="D733" s="70">
        <v>0.0</v>
      </c>
      <c r="E733" s="70">
        <v>0.0</v>
      </c>
      <c r="F733" s="70">
        <v>0.0</v>
      </c>
      <c r="G733" s="70">
        <v>0.0</v>
      </c>
      <c r="H733" s="70" t="s">
        <v>20969</v>
      </c>
      <c r="I733" s="70">
        <v>2309.0</v>
      </c>
      <c r="J733" s="70" t="s">
        <v>20967</v>
      </c>
      <c r="K733" s="70" t="s">
        <v>20968</v>
      </c>
      <c r="L733" s="70" t="s">
        <v>16436</v>
      </c>
      <c r="N733" s="70" t="s">
        <v>16437</v>
      </c>
      <c r="P733" s="76">
        <v>45301.0</v>
      </c>
      <c r="U733" s="70" t="s">
        <v>239</v>
      </c>
      <c r="W733" s="70" t="s">
        <v>30125</v>
      </c>
      <c r="Y733" s="70" t="s">
        <v>20972</v>
      </c>
      <c r="Z733" s="75" t="s">
        <v>20973</v>
      </c>
      <c r="AA733" s="70" t="s">
        <v>20974</v>
      </c>
      <c r="AC733" s="70">
        <v>2.0</v>
      </c>
      <c r="AE733" s="70">
        <v>44.0</v>
      </c>
      <c r="AF733" s="70" t="s">
        <v>16727</v>
      </c>
      <c r="AW733" s="70" t="s">
        <v>20975</v>
      </c>
      <c r="AX733" s="70">
        <v>0.0</v>
      </c>
      <c r="AY733" s="70" t="s">
        <v>24</v>
      </c>
      <c r="AZ733" s="70">
        <v>2169.0</v>
      </c>
    </row>
    <row r="734" ht="22.5" customHeight="1">
      <c r="A734" s="70" t="str">
        <f t="shared" si="1"/>
        <v>Excluded</v>
      </c>
      <c r="B734" s="70">
        <f t="shared" si="2"/>
        <v>0</v>
      </c>
      <c r="C734" s="70">
        <v>0.0</v>
      </c>
      <c r="D734" s="70">
        <v>0.0</v>
      </c>
      <c r="E734" s="70">
        <v>0.0</v>
      </c>
      <c r="F734" s="70">
        <v>0.0</v>
      </c>
      <c r="G734" s="70">
        <v>0.0</v>
      </c>
      <c r="H734" s="70" t="s">
        <v>20254</v>
      </c>
      <c r="I734" s="70">
        <v>2230.0</v>
      </c>
      <c r="J734" s="70" t="s">
        <v>20252</v>
      </c>
      <c r="K734" s="70" t="s">
        <v>20253</v>
      </c>
      <c r="L734" s="70" t="s">
        <v>16436</v>
      </c>
      <c r="N734" s="70" t="s">
        <v>16437</v>
      </c>
      <c r="P734" s="77">
        <v>45328.0</v>
      </c>
      <c r="U734" s="70" t="s">
        <v>239</v>
      </c>
      <c r="W734" s="70" t="s">
        <v>20256</v>
      </c>
      <c r="Y734" s="70" t="s">
        <v>30126</v>
      </c>
      <c r="Z734" s="75" t="s">
        <v>20258</v>
      </c>
      <c r="AA734" s="70" t="s">
        <v>20259</v>
      </c>
      <c r="AC734" s="70">
        <v>5.0</v>
      </c>
      <c r="AE734" s="70">
        <v>237.0</v>
      </c>
      <c r="AF734" s="70" t="s">
        <v>16727</v>
      </c>
      <c r="AW734" s="70" t="s">
        <v>20260</v>
      </c>
      <c r="AZ734" s="70">
        <v>1335.0</v>
      </c>
    </row>
    <row r="735" ht="22.5" customHeight="1">
      <c r="A735" s="70" t="str">
        <f t="shared" si="1"/>
        <v>Excluded</v>
      </c>
      <c r="B735" s="70">
        <f t="shared" si="2"/>
        <v>0</v>
      </c>
      <c r="C735" s="70">
        <v>0.0</v>
      </c>
      <c r="D735" s="70">
        <v>0.0</v>
      </c>
      <c r="E735" s="70">
        <v>0.0</v>
      </c>
      <c r="F735" s="70">
        <v>0.0</v>
      </c>
      <c r="G735" s="70">
        <v>0.0</v>
      </c>
      <c r="H735" s="70" t="s">
        <v>20986</v>
      </c>
      <c r="I735" s="70">
        <v>2311.0</v>
      </c>
      <c r="J735" s="70" t="s">
        <v>20984</v>
      </c>
      <c r="K735" s="70" t="s">
        <v>20985</v>
      </c>
      <c r="L735" s="70" t="s">
        <v>16436</v>
      </c>
      <c r="N735" s="70" t="s">
        <v>16437</v>
      </c>
      <c r="P735" s="77">
        <v>45330.0</v>
      </c>
      <c r="U735" s="70" t="s">
        <v>239</v>
      </c>
      <c r="W735" s="70" t="s">
        <v>30127</v>
      </c>
      <c r="Y735" s="70" t="s">
        <v>30055</v>
      </c>
      <c r="Z735" s="75" t="s">
        <v>20989</v>
      </c>
      <c r="AA735" s="70" t="s">
        <v>20990</v>
      </c>
      <c r="AC735" s="70">
        <v>2.0</v>
      </c>
      <c r="AE735" s="70">
        <v>28.0</v>
      </c>
      <c r="AF735" s="70" t="s">
        <v>16727</v>
      </c>
      <c r="AW735" s="70" t="s">
        <v>20991</v>
      </c>
      <c r="AZ735" s="70">
        <v>894.0</v>
      </c>
    </row>
    <row r="736" ht="22.5" customHeight="1">
      <c r="A736" s="70" t="str">
        <f t="shared" si="1"/>
        <v>Excluded</v>
      </c>
      <c r="B736" s="70">
        <f t="shared" si="2"/>
        <v>0</v>
      </c>
      <c r="C736" s="70">
        <v>0.0</v>
      </c>
      <c r="D736" s="70">
        <v>0.0</v>
      </c>
      <c r="E736" s="70">
        <v>0.0</v>
      </c>
      <c r="F736" s="70">
        <v>0.0</v>
      </c>
      <c r="G736" s="70">
        <v>0.0</v>
      </c>
      <c r="H736" s="70" t="s">
        <v>24881</v>
      </c>
      <c r="I736" s="70">
        <v>2715.0</v>
      </c>
      <c r="J736" s="70" t="s">
        <v>24879</v>
      </c>
      <c r="K736" s="70" t="s">
        <v>24880</v>
      </c>
      <c r="W736" s="70" t="s">
        <v>30128</v>
      </c>
      <c r="AA736" s="70" t="s">
        <v>24883</v>
      </c>
      <c r="AI736" s="70" t="s">
        <v>24884</v>
      </c>
      <c r="AJ736" s="70">
        <v>2.33886157E10</v>
      </c>
      <c r="AK736" s="70">
        <v>2024.0</v>
      </c>
      <c r="AL736" s="70" t="s">
        <v>16436</v>
      </c>
      <c r="AN736" s="70">
        <v>25265.0</v>
      </c>
      <c r="AO736" s="70">
        <v>25277.0</v>
      </c>
      <c r="AP736" s="70">
        <v>12.0</v>
      </c>
      <c r="AQ736" s="70">
        <v>2.0</v>
      </c>
      <c r="AR736" s="75" t="s">
        <v>24885</v>
      </c>
      <c r="AS736" s="70" t="s">
        <v>22525</v>
      </c>
      <c r="AT736" s="70" t="s">
        <v>22622</v>
      </c>
      <c r="AU736" s="70" t="s">
        <v>237</v>
      </c>
      <c r="AV736" s="70" t="s">
        <v>24886</v>
      </c>
      <c r="AW736" s="70" t="s">
        <v>24887</v>
      </c>
      <c r="AX736" s="70">
        <v>0.0</v>
      </c>
      <c r="AY736" s="70" t="s">
        <v>24</v>
      </c>
      <c r="AZ736" s="70">
        <v>1750.0</v>
      </c>
    </row>
    <row r="737" ht="22.5" customHeight="1">
      <c r="A737" s="70" t="str">
        <f t="shared" si="1"/>
        <v>Excluded</v>
      </c>
      <c r="B737" s="70">
        <f t="shared" si="2"/>
        <v>0</v>
      </c>
      <c r="C737" s="70">
        <v>0.0</v>
      </c>
      <c r="D737" s="70">
        <v>0.0</v>
      </c>
      <c r="E737" s="70">
        <v>0.0</v>
      </c>
      <c r="F737" s="70">
        <v>0.0</v>
      </c>
      <c r="G737" s="70">
        <v>0.0</v>
      </c>
      <c r="H737" s="70" t="s">
        <v>18172</v>
      </c>
      <c r="I737" s="70">
        <v>1996.0</v>
      </c>
      <c r="J737" s="70" t="s">
        <v>18170</v>
      </c>
      <c r="K737" s="70" t="s">
        <v>18171</v>
      </c>
      <c r="L737" s="70" t="s">
        <v>16436</v>
      </c>
      <c r="N737" s="70" t="s">
        <v>16437</v>
      </c>
      <c r="P737" s="76">
        <v>45348.0</v>
      </c>
      <c r="U737" s="70" t="s">
        <v>239</v>
      </c>
      <c r="W737" s="70" t="s">
        <v>30129</v>
      </c>
      <c r="Z737" s="75" t="s">
        <v>18175</v>
      </c>
      <c r="AA737" s="70" t="s">
        <v>18176</v>
      </c>
      <c r="AC737" s="70">
        <v>26.0</v>
      </c>
      <c r="AE737" s="70">
        <v>175.0</v>
      </c>
      <c r="AF737" s="70" t="s">
        <v>16727</v>
      </c>
      <c r="AW737" s="70" t="s">
        <v>18177</v>
      </c>
      <c r="AZ737" s="70">
        <v>399.0</v>
      </c>
    </row>
    <row r="738" ht="22.5" customHeight="1">
      <c r="A738" s="70" t="str">
        <f t="shared" si="1"/>
        <v>Excluded</v>
      </c>
      <c r="B738" s="70">
        <f t="shared" si="2"/>
        <v>0</v>
      </c>
      <c r="C738" s="70">
        <v>0.0</v>
      </c>
      <c r="D738" s="70">
        <v>0.0</v>
      </c>
      <c r="E738" s="70">
        <v>0.0</v>
      </c>
      <c r="F738" s="70">
        <v>0.0</v>
      </c>
      <c r="G738" s="70">
        <v>0.0</v>
      </c>
      <c r="H738" s="70" t="s">
        <v>21302</v>
      </c>
      <c r="I738" s="70">
        <v>2346.0</v>
      </c>
      <c r="J738" s="70" t="s">
        <v>21300</v>
      </c>
      <c r="K738" s="70" t="s">
        <v>21301</v>
      </c>
      <c r="L738" s="70" t="s">
        <v>16436</v>
      </c>
      <c r="N738" s="70" t="s">
        <v>16437</v>
      </c>
      <c r="P738" s="77">
        <v>45355.0</v>
      </c>
      <c r="U738" s="70" t="s">
        <v>239</v>
      </c>
      <c r="W738" s="70" t="s">
        <v>21304</v>
      </c>
      <c r="Y738" s="70" t="s">
        <v>30130</v>
      </c>
      <c r="Z738" s="75" t="s">
        <v>21306</v>
      </c>
      <c r="AA738" s="70" t="s">
        <v>21307</v>
      </c>
      <c r="AC738" s="70">
        <v>1.0</v>
      </c>
      <c r="AE738" s="70">
        <v>54.0</v>
      </c>
      <c r="AF738" s="70" t="s">
        <v>16423</v>
      </c>
      <c r="AW738" s="70" t="s">
        <v>21308</v>
      </c>
      <c r="AX738" s="70">
        <v>0.0</v>
      </c>
      <c r="AY738" s="70" t="s">
        <v>24</v>
      </c>
      <c r="AZ738" s="70">
        <v>1669.0</v>
      </c>
    </row>
    <row r="739" ht="22.5" customHeight="1">
      <c r="A739" s="70" t="str">
        <f t="shared" si="1"/>
        <v>Excluded</v>
      </c>
      <c r="B739" s="70">
        <f t="shared" si="2"/>
        <v>0</v>
      </c>
      <c r="C739" s="70">
        <v>0.0</v>
      </c>
      <c r="D739" s="70">
        <v>0.0</v>
      </c>
      <c r="E739" s="70">
        <v>0.0</v>
      </c>
      <c r="F739" s="70">
        <v>0.0</v>
      </c>
      <c r="G739" s="70">
        <v>0.0</v>
      </c>
      <c r="H739" s="70" t="s">
        <v>24688</v>
      </c>
      <c r="I739" s="70">
        <v>2696.0</v>
      </c>
      <c r="J739" s="70" t="s">
        <v>24686</v>
      </c>
      <c r="K739" s="70" t="s">
        <v>24687</v>
      </c>
      <c r="W739" s="70" t="s">
        <v>30131</v>
      </c>
      <c r="AA739" s="70" t="s">
        <v>24690</v>
      </c>
      <c r="AI739" s="70" t="s">
        <v>24691</v>
      </c>
      <c r="AJ739" s="70" t="s">
        <v>24692</v>
      </c>
      <c r="AK739" s="70">
        <v>2024.0</v>
      </c>
      <c r="AL739" s="70" t="s">
        <v>16436</v>
      </c>
      <c r="AN739" s="70">
        <v>36239.0</v>
      </c>
      <c r="AO739" s="70">
        <v>36256.0</v>
      </c>
      <c r="AP739" s="70">
        <v>17.0</v>
      </c>
      <c r="AQ739" s="70">
        <v>9.0</v>
      </c>
      <c r="AR739" s="75" t="s">
        <v>24693</v>
      </c>
      <c r="AS739" s="70" t="s">
        <v>22525</v>
      </c>
      <c r="AT739" s="70" t="s">
        <v>22622</v>
      </c>
      <c r="AU739" s="70" t="s">
        <v>237</v>
      </c>
      <c r="AV739" s="70" t="s">
        <v>24694</v>
      </c>
      <c r="AW739" s="70" t="s">
        <v>24695</v>
      </c>
      <c r="AX739" s="70">
        <v>0.0</v>
      </c>
      <c r="AY739" s="70" t="s">
        <v>24</v>
      </c>
      <c r="AZ739" s="70">
        <v>3060.0</v>
      </c>
    </row>
    <row r="740" ht="22.5" customHeight="1">
      <c r="A740" s="70" t="str">
        <f t="shared" si="1"/>
        <v>Excluded</v>
      </c>
      <c r="B740" s="70">
        <f t="shared" si="2"/>
        <v>0</v>
      </c>
      <c r="C740" s="70">
        <v>0.0</v>
      </c>
      <c r="D740" s="70">
        <v>0.0</v>
      </c>
      <c r="E740" s="70">
        <v>0.0</v>
      </c>
      <c r="F740" s="70">
        <v>0.0</v>
      </c>
      <c r="G740" s="70">
        <v>0.0</v>
      </c>
      <c r="H740" s="70" t="s">
        <v>20994</v>
      </c>
      <c r="I740" s="70">
        <v>2312.0</v>
      </c>
      <c r="J740" s="70" t="s">
        <v>20992</v>
      </c>
      <c r="K740" s="70" t="s">
        <v>20993</v>
      </c>
      <c r="L740" s="70" t="s">
        <v>16436</v>
      </c>
      <c r="N740" s="70" t="s">
        <v>16437</v>
      </c>
      <c r="P740" s="76">
        <v>45369.0</v>
      </c>
      <c r="U740" s="70" t="s">
        <v>239</v>
      </c>
      <c r="W740" s="70" t="s">
        <v>30132</v>
      </c>
      <c r="Y740" s="70" t="s">
        <v>20997</v>
      </c>
      <c r="Z740" s="75" t="s">
        <v>20998</v>
      </c>
      <c r="AA740" s="70" t="s">
        <v>20999</v>
      </c>
      <c r="AC740" s="70">
        <v>2.0</v>
      </c>
      <c r="AE740" s="70">
        <v>68.0</v>
      </c>
      <c r="AF740" s="70" t="s">
        <v>16727</v>
      </c>
      <c r="AW740" s="70" t="s">
        <v>21000</v>
      </c>
      <c r="AZ740" s="70">
        <v>752.0</v>
      </c>
    </row>
    <row r="741" ht="22.5" customHeight="1">
      <c r="A741" s="70" t="str">
        <f t="shared" si="1"/>
        <v>Excluded</v>
      </c>
      <c r="B741" s="70">
        <f t="shared" si="2"/>
        <v>0</v>
      </c>
      <c r="C741" s="70">
        <v>0.0</v>
      </c>
      <c r="D741" s="70">
        <v>0.0</v>
      </c>
      <c r="E741" s="70">
        <v>0.0</v>
      </c>
      <c r="F741" s="70">
        <v>0.0</v>
      </c>
      <c r="G741" s="70">
        <v>0.0</v>
      </c>
      <c r="H741" s="70" t="s">
        <v>20758</v>
      </c>
      <c r="I741" s="70">
        <v>2286.0</v>
      </c>
      <c r="J741" s="70" t="s">
        <v>20756</v>
      </c>
      <c r="K741" s="70" t="s">
        <v>20757</v>
      </c>
      <c r="L741" s="70" t="s">
        <v>16436</v>
      </c>
      <c r="N741" s="70" t="s">
        <v>16437</v>
      </c>
      <c r="P741" s="76">
        <v>45369.0</v>
      </c>
      <c r="U741" s="70" t="s">
        <v>239</v>
      </c>
      <c r="W741" s="70" t="s">
        <v>20760</v>
      </c>
      <c r="Z741" s="75" t="s">
        <v>20761</v>
      </c>
      <c r="AA741" s="70" t="s">
        <v>20762</v>
      </c>
      <c r="AC741" s="70">
        <v>3.0</v>
      </c>
      <c r="AE741" s="70">
        <v>127.0</v>
      </c>
      <c r="AF741" s="70" t="s">
        <v>16727</v>
      </c>
      <c r="AW741" s="70" t="s">
        <v>20763</v>
      </c>
      <c r="AZ741" s="70">
        <v>540.0</v>
      </c>
    </row>
    <row r="742" ht="22.5" customHeight="1">
      <c r="A742" s="70" t="str">
        <f t="shared" si="1"/>
        <v>Excluded</v>
      </c>
      <c r="B742" s="70">
        <f t="shared" si="2"/>
        <v>0</v>
      </c>
      <c r="C742" s="70">
        <v>0.0</v>
      </c>
      <c r="D742" s="70">
        <v>0.0</v>
      </c>
      <c r="E742" s="70">
        <v>0.0</v>
      </c>
      <c r="F742" s="70">
        <v>0.0</v>
      </c>
      <c r="G742" s="70">
        <v>0.0</v>
      </c>
      <c r="H742" s="70" t="s">
        <v>19675</v>
      </c>
      <c r="I742" s="70">
        <v>2165.0</v>
      </c>
      <c r="J742" s="70" t="s">
        <v>19673</v>
      </c>
      <c r="K742" s="70" t="s">
        <v>19674</v>
      </c>
      <c r="L742" s="70" t="s">
        <v>16436</v>
      </c>
      <c r="N742" s="70" t="s">
        <v>16437</v>
      </c>
      <c r="P742" s="76">
        <v>45379.0</v>
      </c>
      <c r="U742" s="70" t="s">
        <v>239</v>
      </c>
      <c r="W742" s="70" t="s">
        <v>19677</v>
      </c>
      <c r="Y742" s="70" t="s">
        <v>30133</v>
      </c>
      <c r="Z742" s="75" t="s">
        <v>19679</v>
      </c>
      <c r="AA742" s="70" t="s">
        <v>19680</v>
      </c>
      <c r="AC742" s="70">
        <v>8.0</v>
      </c>
      <c r="AE742" s="70">
        <v>124.0</v>
      </c>
      <c r="AF742" s="70" t="s">
        <v>16423</v>
      </c>
      <c r="AW742" s="70" t="s">
        <v>19681</v>
      </c>
      <c r="AZ742" s="70">
        <v>944.0</v>
      </c>
    </row>
    <row r="743" ht="22.5" customHeight="1">
      <c r="A743" s="70" t="str">
        <f t="shared" si="1"/>
        <v>Excluded</v>
      </c>
      <c r="B743" s="70">
        <f t="shared" si="2"/>
        <v>0</v>
      </c>
      <c r="C743" s="70">
        <v>0.0</v>
      </c>
      <c r="D743" s="70">
        <v>0.0</v>
      </c>
      <c r="E743" s="70">
        <v>0.0</v>
      </c>
      <c r="F743" s="70">
        <v>0.0</v>
      </c>
      <c r="G743" s="70">
        <v>0.0</v>
      </c>
      <c r="H743" s="70" t="s">
        <v>20803</v>
      </c>
      <c r="I743" s="70">
        <v>2291.0</v>
      </c>
      <c r="J743" s="70" t="s">
        <v>20801</v>
      </c>
      <c r="K743" s="70" t="s">
        <v>20802</v>
      </c>
      <c r="L743" s="70" t="s">
        <v>16436</v>
      </c>
      <c r="N743" s="70" t="s">
        <v>16437</v>
      </c>
      <c r="P743" s="77">
        <v>45390.0</v>
      </c>
      <c r="U743" s="70" t="s">
        <v>239</v>
      </c>
      <c r="W743" s="70" t="s">
        <v>20805</v>
      </c>
      <c r="Y743" s="70" t="s">
        <v>30134</v>
      </c>
      <c r="Z743" s="75" t="s">
        <v>20807</v>
      </c>
      <c r="AA743" s="70" t="s">
        <v>20808</v>
      </c>
      <c r="AC743" s="70">
        <v>3.0</v>
      </c>
      <c r="AE743" s="70">
        <v>34.0</v>
      </c>
      <c r="AF743" s="70" t="s">
        <v>16423</v>
      </c>
      <c r="AW743" s="70" t="s">
        <v>20809</v>
      </c>
      <c r="AX743" s="70">
        <v>0.0</v>
      </c>
      <c r="AY743" s="70" t="s">
        <v>24</v>
      </c>
      <c r="AZ743" s="70">
        <v>2938.0</v>
      </c>
    </row>
    <row r="744" ht="22.5" customHeight="1">
      <c r="A744" s="70" t="str">
        <f t="shared" si="1"/>
        <v>Excluded</v>
      </c>
      <c r="B744" s="70">
        <f t="shared" si="2"/>
        <v>0</v>
      </c>
      <c r="C744" s="70">
        <v>0.0</v>
      </c>
      <c r="D744" s="70">
        <v>0.0</v>
      </c>
      <c r="E744" s="70">
        <v>0.0</v>
      </c>
      <c r="F744" s="70">
        <v>0.0</v>
      </c>
      <c r="G744" s="70">
        <v>0.0</v>
      </c>
      <c r="H744" s="70" t="s">
        <v>21380</v>
      </c>
      <c r="I744" s="70">
        <v>2355.0</v>
      </c>
      <c r="J744" s="70" t="s">
        <v>21378</v>
      </c>
      <c r="K744" s="70" t="s">
        <v>21379</v>
      </c>
      <c r="L744" s="70" t="s">
        <v>16436</v>
      </c>
      <c r="N744" s="70" t="s">
        <v>16437</v>
      </c>
      <c r="P744" s="77">
        <v>45390.0</v>
      </c>
      <c r="U744" s="70" t="s">
        <v>239</v>
      </c>
      <c r="W744" s="70" t="s">
        <v>30135</v>
      </c>
      <c r="Y744" s="70" t="s">
        <v>30136</v>
      </c>
      <c r="Z744" s="75" t="s">
        <v>21384</v>
      </c>
      <c r="AA744" s="70" t="s">
        <v>21385</v>
      </c>
      <c r="AC744" s="70">
        <v>1.0</v>
      </c>
      <c r="AE744" s="70">
        <v>41.0</v>
      </c>
      <c r="AF744" s="70" t="s">
        <v>16727</v>
      </c>
      <c r="AW744" s="70" t="s">
        <v>21386</v>
      </c>
      <c r="AX744" s="70">
        <v>0.0</v>
      </c>
      <c r="AY744" s="70" t="s">
        <v>24</v>
      </c>
      <c r="AZ744" s="70">
        <v>1972.0</v>
      </c>
    </row>
    <row r="745" ht="22.5" customHeight="1">
      <c r="A745" s="70" t="str">
        <f t="shared" si="1"/>
        <v>Excluded</v>
      </c>
      <c r="B745" s="70">
        <f t="shared" si="2"/>
        <v>0</v>
      </c>
      <c r="C745" s="70">
        <v>0.0</v>
      </c>
      <c r="D745" s="70">
        <v>0.0</v>
      </c>
      <c r="E745" s="70">
        <v>0.0</v>
      </c>
      <c r="F745" s="70">
        <v>0.0</v>
      </c>
      <c r="G745" s="70">
        <v>0.0</v>
      </c>
      <c r="H745" s="70" t="s">
        <v>21497</v>
      </c>
      <c r="I745" s="70">
        <v>2369.0</v>
      </c>
      <c r="J745" s="70" t="s">
        <v>21495</v>
      </c>
      <c r="K745" s="70" t="s">
        <v>21496</v>
      </c>
      <c r="L745" s="70" t="s">
        <v>16436</v>
      </c>
      <c r="N745" s="70" t="s">
        <v>16437</v>
      </c>
      <c r="P745" s="76">
        <v>45394.0</v>
      </c>
      <c r="U745" s="70" t="s">
        <v>239</v>
      </c>
      <c r="W745" s="70" t="s">
        <v>21499</v>
      </c>
      <c r="Z745" s="75" t="s">
        <v>21500</v>
      </c>
      <c r="AA745" s="70" t="s">
        <v>21501</v>
      </c>
      <c r="AC745" s="70">
        <v>1.0</v>
      </c>
      <c r="AE745" s="70">
        <v>64.0</v>
      </c>
      <c r="AF745" s="70" t="s">
        <v>16727</v>
      </c>
      <c r="AW745" s="70" t="s">
        <v>21502</v>
      </c>
      <c r="AX745" s="70">
        <v>0.0</v>
      </c>
      <c r="AY745" s="70" t="s">
        <v>24</v>
      </c>
      <c r="AZ745" s="70">
        <v>2264.0</v>
      </c>
    </row>
    <row r="746" ht="22.5" customHeight="1">
      <c r="A746" s="70" t="str">
        <f t="shared" si="1"/>
        <v>Excluded</v>
      </c>
      <c r="B746" s="70">
        <f t="shared" si="2"/>
        <v>0</v>
      </c>
      <c r="C746" s="70">
        <v>0.0</v>
      </c>
      <c r="D746" s="70">
        <v>0.0</v>
      </c>
      <c r="E746" s="70">
        <v>0.0</v>
      </c>
      <c r="F746" s="70">
        <v>0.0</v>
      </c>
      <c r="G746" s="70">
        <v>0.0</v>
      </c>
      <c r="H746" s="70" t="s">
        <v>20607</v>
      </c>
      <c r="I746" s="70">
        <v>2269.0</v>
      </c>
      <c r="J746" s="70" t="s">
        <v>20605</v>
      </c>
      <c r="K746" s="70" t="s">
        <v>20606</v>
      </c>
      <c r="L746" s="70" t="s">
        <v>16436</v>
      </c>
      <c r="N746" s="70" t="s">
        <v>16437</v>
      </c>
      <c r="P746" s="76">
        <v>45400.0</v>
      </c>
      <c r="U746" s="70" t="s">
        <v>239</v>
      </c>
      <c r="W746" s="70" t="s">
        <v>20609</v>
      </c>
      <c r="Z746" s="75" t="s">
        <v>20610</v>
      </c>
      <c r="AA746" s="70" t="s">
        <v>20611</v>
      </c>
      <c r="AC746" s="70">
        <v>3.0</v>
      </c>
      <c r="AE746" s="70">
        <v>43.0</v>
      </c>
      <c r="AF746" s="70" t="s">
        <v>16727</v>
      </c>
      <c r="AW746" s="70" t="s">
        <v>20612</v>
      </c>
      <c r="AX746" s="70">
        <v>0.0</v>
      </c>
      <c r="AY746" s="70" t="s">
        <v>24</v>
      </c>
      <c r="AZ746" s="70">
        <v>1952.0</v>
      </c>
    </row>
    <row r="747" ht="22.5" customHeight="1">
      <c r="A747" s="70" t="str">
        <f t="shared" si="1"/>
        <v>Excluded</v>
      </c>
      <c r="B747" s="70">
        <f t="shared" si="2"/>
        <v>0</v>
      </c>
      <c r="C747" s="70">
        <v>0.0</v>
      </c>
      <c r="D747" s="70">
        <v>0.0</v>
      </c>
      <c r="E747" s="70">
        <v>0.0</v>
      </c>
      <c r="F747" s="70">
        <v>0.0</v>
      </c>
      <c r="G747" s="70">
        <v>0.0</v>
      </c>
      <c r="H747" s="70" t="s">
        <v>19830</v>
      </c>
      <c r="I747" s="70">
        <v>2182.0</v>
      </c>
      <c r="J747" s="70" t="s">
        <v>19828</v>
      </c>
      <c r="K747" s="70" t="s">
        <v>19829</v>
      </c>
      <c r="L747" s="70" t="s">
        <v>16436</v>
      </c>
      <c r="N747" s="70" t="s">
        <v>16437</v>
      </c>
      <c r="P747" s="76">
        <v>45405.0</v>
      </c>
      <c r="U747" s="70" t="s">
        <v>239</v>
      </c>
      <c r="W747" s="70" t="s">
        <v>19832</v>
      </c>
      <c r="Z747" s="75" t="s">
        <v>19833</v>
      </c>
      <c r="AA747" s="70" t="s">
        <v>19834</v>
      </c>
      <c r="AC747" s="70">
        <v>7.0</v>
      </c>
      <c r="AE747" s="70">
        <v>107.0</v>
      </c>
      <c r="AF747" s="70" t="s">
        <v>16727</v>
      </c>
      <c r="AW747" s="70" t="s">
        <v>19835</v>
      </c>
      <c r="AZ747" s="70">
        <v>1477.0</v>
      </c>
    </row>
    <row r="748" ht="22.5" customHeight="1">
      <c r="A748" s="70" t="str">
        <f t="shared" si="1"/>
        <v>Excluded</v>
      </c>
      <c r="B748" s="70">
        <f t="shared" si="2"/>
        <v>0</v>
      </c>
      <c r="C748" s="70">
        <v>0.0</v>
      </c>
      <c r="D748" s="70">
        <v>0.0</v>
      </c>
      <c r="E748" s="70">
        <v>0.0</v>
      </c>
      <c r="F748" s="70">
        <v>0.0</v>
      </c>
      <c r="G748" s="70">
        <v>0.0</v>
      </c>
      <c r="H748" s="70" t="s">
        <v>21328</v>
      </c>
      <c r="I748" s="70">
        <v>2349.0</v>
      </c>
      <c r="J748" s="70" t="s">
        <v>21326</v>
      </c>
      <c r="K748" s="70" t="s">
        <v>21327</v>
      </c>
      <c r="L748" s="70" t="s">
        <v>16436</v>
      </c>
      <c r="N748" s="70" t="s">
        <v>16437</v>
      </c>
      <c r="P748" s="76">
        <v>45412.0</v>
      </c>
      <c r="U748" s="70" t="s">
        <v>239</v>
      </c>
      <c r="W748" s="70" t="s">
        <v>21330</v>
      </c>
      <c r="Y748" s="70" t="s">
        <v>30137</v>
      </c>
      <c r="Z748" s="75" t="s">
        <v>21332</v>
      </c>
      <c r="AA748" s="70" t="s">
        <v>21333</v>
      </c>
      <c r="AC748" s="70">
        <v>1.0</v>
      </c>
      <c r="AE748" s="70">
        <v>71.0</v>
      </c>
      <c r="AF748" s="70" t="s">
        <v>16727</v>
      </c>
      <c r="AW748" s="70" t="s">
        <v>21334</v>
      </c>
      <c r="AZ748" s="70">
        <v>912.0</v>
      </c>
    </row>
    <row r="749" ht="22.5" customHeight="1">
      <c r="A749" s="70" t="str">
        <f t="shared" si="1"/>
        <v>Excluded</v>
      </c>
      <c r="B749" s="70">
        <f t="shared" si="2"/>
        <v>0</v>
      </c>
      <c r="C749" s="70">
        <v>0.0</v>
      </c>
      <c r="D749" s="70">
        <v>0.0</v>
      </c>
      <c r="E749" s="70">
        <v>0.0</v>
      </c>
      <c r="F749" s="70">
        <v>0.0</v>
      </c>
      <c r="G749" s="70">
        <v>0.0</v>
      </c>
      <c r="H749" s="70" t="s">
        <v>24953</v>
      </c>
      <c r="I749" s="70">
        <v>2722.0</v>
      </c>
      <c r="J749" s="70" t="s">
        <v>24951</v>
      </c>
      <c r="K749" s="70" t="s">
        <v>24952</v>
      </c>
      <c r="W749" s="70" t="s">
        <v>30138</v>
      </c>
      <c r="AA749" s="70" t="s">
        <v>24955</v>
      </c>
      <c r="AI749" s="70" t="s">
        <v>24956</v>
      </c>
      <c r="AJ749" s="70" t="s">
        <v>24957</v>
      </c>
      <c r="AK749" s="70">
        <v>2024.0</v>
      </c>
      <c r="AL749" s="70" t="s">
        <v>16436</v>
      </c>
      <c r="AN749" s="70">
        <v>63433.0</v>
      </c>
      <c r="AO749" s="70">
        <v>63451.0</v>
      </c>
      <c r="AP749" s="70">
        <v>18.0</v>
      </c>
      <c r="AQ749" s="70">
        <v>1.0</v>
      </c>
      <c r="AR749" s="75" t="s">
        <v>24958</v>
      </c>
      <c r="AS749" s="70" t="s">
        <v>22525</v>
      </c>
      <c r="AU749" s="70" t="s">
        <v>237</v>
      </c>
      <c r="AV749" s="70" t="s">
        <v>24959</v>
      </c>
      <c r="AW749" s="70" t="s">
        <v>24960</v>
      </c>
      <c r="AZ749" s="70">
        <v>338.0</v>
      </c>
    </row>
    <row r="750" ht="22.5" customHeight="1">
      <c r="A750" s="70" t="str">
        <f t="shared" si="1"/>
        <v>Excluded</v>
      </c>
      <c r="B750" s="70">
        <f t="shared" si="2"/>
        <v>0</v>
      </c>
      <c r="C750" s="70">
        <v>0.0</v>
      </c>
      <c r="D750" s="70">
        <v>0.0</v>
      </c>
      <c r="E750" s="70">
        <v>0.0</v>
      </c>
      <c r="F750" s="70">
        <v>0.0</v>
      </c>
      <c r="G750" s="70">
        <v>0.0</v>
      </c>
      <c r="H750" s="70" t="s">
        <v>20122</v>
      </c>
      <c r="I750" s="70">
        <v>2215.0</v>
      </c>
      <c r="J750" s="70" t="s">
        <v>20120</v>
      </c>
      <c r="K750" s="70" t="s">
        <v>20121</v>
      </c>
      <c r="L750" s="70" t="s">
        <v>16436</v>
      </c>
      <c r="N750" s="70" t="s">
        <v>16437</v>
      </c>
      <c r="P750" s="79">
        <v>45414.0</v>
      </c>
      <c r="U750" s="70" t="s">
        <v>239</v>
      </c>
      <c r="W750" s="70" t="s">
        <v>30139</v>
      </c>
      <c r="Y750" s="70" t="s">
        <v>30140</v>
      </c>
      <c r="Z750" s="75" t="s">
        <v>20126</v>
      </c>
      <c r="AA750" s="70" t="s">
        <v>20127</v>
      </c>
      <c r="AC750" s="70">
        <v>5.0</v>
      </c>
      <c r="AE750" s="70">
        <v>174.0</v>
      </c>
      <c r="AF750" s="70" t="s">
        <v>16727</v>
      </c>
      <c r="AW750" s="70" t="s">
        <v>20128</v>
      </c>
      <c r="AZ750" s="70">
        <v>778.0</v>
      </c>
    </row>
    <row r="751" ht="22.5" customHeight="1">
      <c r="A751" s="70" t="str">
        <f t="shared" si="1"/>
        <v>Excluded</v>
      </c>
      <c r="B751" s="70">
        <f t="shared" si="2"/>
        <v>0</v>
      </c>
      <c r="C751" s="70">
        <v>0.0</v>
      </c>
      <c r="D751" s="70">
        <v>0.0</v>
      </c>
      <c r="E751" s="70">
        <v>0.0</v>
      </c>
      <c r="F751" s="70">
        <v>0.0</v>
      </c>
      <c r="G751" s="70">
        <v>0.0</v>
      </c>
      <c r="H751" s="70" t="s">
        <v>21860</v>
      </c>
      <c r="I751" s="70">
        <v>2410.0</v>
      </c>
      <c r="J751" s="70" t="s">
        <v>21858</v>
      </c>
      <c r="K751" s="70" t="s">
        <v>21859</v>
      </c>
      <c r="L751" s="70" t="s">
        <v>16436</v>
      </c>
      <c r="N751" s="70" t="s">
        <v>16437</v>
      </c>
      <c r="P751" s="79">
        <v>45415.0</v>
      </c>
      <c r="U751" s="70" t="s">
        <v>239</v>
      </c>
      <c r="W751" s="70" t="s">
        <v>21862</v>
      </c>
      <c r="Y751" s="70" t="s">
        <v>30141</v>
      </c>
      <c r="Z751" s="75" t="s">
        <v>21864</v>
      </c>
      <c r="AA751" s="70" t="s">
        <v>21865</v>
      </c>
      <c r="AE751" s="70">
        <v>32.0</v>
      </c>
      <c r="AF751" s="70" t="s">
        <v>16727</v>
      </c>
      <c r="AW751" s="70" t="s">
        <v>21866</v>
      </c>
      <c r="AX751" s="70">
        <v>0.0</v>
      </c>
      <c r="AY751" s="70" t="s">
        <v>24</v>
      </c>
      <c r="AZ751" s="70">
        <v>2488.0</v>
      </c>
    </row>
    <row r="752" ht="22.5" customHeight="1">
      <c r="A752" s="70" t="str">
        <f t="shared" si="1"/>
        <v>Excluded</v>
      </c>
      <c r="B752" s="70">
        <f t="shared" si="2"/>
        <v>0</v>
      </c>
      <c r="C752" s="70">
        <v>0.0</v>
      </c>
      <c r="D752" s="70">
        <v>0.0</v>
      </c>
      <c r="E752" s="70">
        <v>0.0</v>
      </c>
      <c r="F752" s="70">
        <v>0.0</v>
      </c>
      <c r="G752" s="70">
        <v>0.0</v>
      </c>
      <c r="H752" s="70" t="s">
        <v>21992</v>
      </c>
      <c r="I752" s="70">
        <v>2425.0</v>
      </c>
      <c r="J752" s="70" t="s">
        <v>21990</v>
      </c>
      <c r="K752" s="70" t="s">
        <v>21991</v>
      </c>
      <c r="L752" s="70" t="s">
        <v>16436</v>
      </c>
      <c r="N752" s="70" t="s">
        <v>16437</v>
      </c>
      <c r="P752" s="79">
        <v>45418.0</v>
      </c>
      <c r="U752" s="70" t="s">
        <v>239</v>
      </c>
      <c r="W752" s="70" t="s">
        <v>21994</v>
      </c>
      <c r="Y752" s="70" t="s">
        <v>30142</v>
      </c>
      <c r="Z752" s="75" t="s">
        <v>21996</v>
      </c>
      <c r="AA752" s="70" t="s">
        <v>21997</v>
      </c>
      <c r="AE752" s="70">
        <v>53.0</v>
      </c>
      <c r="AF752" s="70" t="s">
        <v>16727</v>
      </c>
      <c r="AW752" s="70" t="s">
        <v>21998</v>
      </c>
      <c r="AX752" s="70">
        <v>0.0</v>
      </c>
      <c r="AY752" s="70" t="s">
        <v>24</v>
      </c>
      <c r="AZ752" s="70">
        <v>2134.0</v>
      </c>
    </row>
    <row r="753" ht="22.5" customHeight="1">
      <c r="A753" s="70" t="str">
        <f t="shared" si="1"/>
        <v>Excluded</v>
      </c>
      <c r="B753" s="70">
        <f t="shared" si="2"/>
        <v>0</v>
      </c>
      <c r="C753" s="70">
        <v>0.0</v>
      </c>
      <c r="D753" s="70">
        <v>0.0</v>
      </c>
      <c r="E753" s="70">
        <v>0.0</v>
      </c>
      <c r="F753" s="70">
        <v>0.0</v>
      </c>
      <c r="G753" s="70">
        <v>0.0</v>
      </c>
      <c r="H753" s="70" t="s">
        <v>21121</v>
      </c>
      <c r="I753" s="70">
        <v>2326.0</v>
      </c>
      <c r="J753" s="70" t="s">
        <v>21119</v>
      </c>
      <c r="K753" s="70" t="s">
        <v>21120</v>
      </c>
      <c r="L753" s="70" t="s">
        <v>16436</v>
      </c>
      <c r="N753" s="70" t="s">
        <v>16437</v>
      </c>
      <c r="P753" s="79">
        <v>45420.0</v>
      </c>
      <c r="U753" s="70" t="s">
        <v>239</v>
      </c>
      <c r="W753" s="70" t="s">
        <v>21123</v>
      </c>
      <c r="Y753" s="70" t="s">
        <v>21124</v>
      </c>
      <c r="Z753" s="75" t="s">
        <v>21125</v>
      </c>
      <c r="AA753" s="70" t="s">
        <v>21126</v>
      </c>
      <c r="AC753" s="70">
        <v>2.0</v>
      </c>
      <c r="AE753" s="70">
        <v>112.0</v>
      </c>
      <c r="AF753" s="70" t="s">
        <v>16727</v>
      </c>
      <c r="AW753" s="70" t="s">
        <v>21127</v>
      </c>
      <c r="AZ753" s="70">
        <v>739.0</v>
      </c>
    </row>
    <row r="754" ht="22.5" customHeight="1">
      <c r="A754" s="70" t="str">
        <f t="shared" si="1"/>
        <v>Excluded</v>
      </c>
      <c r="B754" s="70">
        <f t="shared" si="2"/>
        <v>0</v>
      </c>
      <c r="C754" s="70">
        <v>0.0</v>
      </c>
      <c r="D754" s="70">
        <v>0.0</v>
      </c>
      <c r="E754" s="70">
        <v>0.0</v>
      </c>
      <c r="F754" s="70">
        <v>0.0</v>
      </c>
      <c r="G754" s="70">
        <v>0.0</v>
      </c>
      <c r="H754" s="70" t="s">
        <v>21094</v>
      </c>
      <c r="I754" s="70">
        <v>2323.0</v>
      </c>
      <c r="J754" s="70" t="s">
        <v>21092</v>
      </c>
      <c r="K754" s="70" t="s">
        <v>21093</v>
      </c>
      <c r="L754" s="70" t="s">
        <v>16436</v>
      </c>
      <c r="N754" s="70" t="s">
        <v>16437</v>
      </c>
      <c r="P754" s="78">
        <v>45425.0</v>
      </c>
      <c r="U754" s="70" t="s">
        <v>239</v>
      </c>
      <c r="W754" s="70" t="s">
        <v>21096</v>
      </c>
      <c r="Y754" s="70" t="s">
        <v>30143</v>
      </c>
      <c r="Z754" s="75" t="s">
        <v>21098</v>
      </c>
      <c r="AA754" s="70" t="s">
        <v>21099</v>
      </c>
      <c r="AC754" s="70">
        <v>2.0</v>
      </c>
      <c r="AE754" s="70">
        <v>29.0</v>
      </c>
      <c r="AF754" s="70" t="s">
        <v>16727</v>
      </c>
      <c r="AW754" s="70" t="s">
        <v>21100</v>
      </c>
      <c r="AZ754" s="70">
        <v>150.0</v>
      </c>
    </row>
    <row r="755" ht="22.5" customHeight="1">
      <c r="A755" s="70" t="str">
        <f t="shared" si="1"/>
        <v>Excluded</v>
      </c>
      <c r="B755" s="70">
        <f t="shared" si="2"/>
        <v>0</v>
      </c>
      <c r="C755" s="70">
        <v>0.0</v>
      </c>
      <c r="D755" s="70">
        <v>0.0</v>
      </c>
      <c r="E755" s="70">
        <v>0.0</v>
      </c>
      <c r="F755" s="70">
        <v>0.0</v>
      </c>
      <c r="G755" s="70">
        <v>0.0</v>
      </c>
      <c r="H755" s="70" t="s">
        <v>21165</v>
      </c>
      <c r="I755" s="70">
        <v>2331.0</v>
      </c>
      <c r="J755" s="70" t="s">
        <v>21163</v>
      </c>
      <c r="K755" s="70" t="s">
        <v>21164</v>
      </c>
      <c r="L755" s="70" t="s">
        <v>16436</v>
      </c>
      <c r="N755" s="70" t="s">
        <v>16437</v>
      </c>
      <c r="P755" s="78">
        <v>45435.0</v>
      </c>
      <c r="U755" s="70" t="s">
        <v>239</v>
      </c>
      <c r="W755" s="70" t="s">
        <v>30144</v>
      </c>
      <c r="Y755" s="70" t="s">
        <v>21168</v>
      </c>
      <c r="Z755" s="75" t="s">
        <v>21169</v>
      </c>
      <c r="AA755" s="70" t="s">
        <v>21170</v>
      </c>
      <c r="AC755" s="70">
        <v>2.0</v>
      </c>
      <c r="AE755" s="70">
        <v>59.0</v>
      </c>
      <c r="AF755" s="70" t="s">
        <v>16727</v>
      </c>
      <c r="AW755" s="70" t="s">
        <v>21171</v>
      </c>
      <c r="AZ755" s="70">
        <v>256.0</v>
      </c>
    </row>
    <row r="756" ht="22.5" customHeight="1">
      <c r="A756" s="70" t="str">
        <f t="shared" si="1"/>
        <v>Excluded</v>
      </c>
      <c r="B756" s="70">
        <f t="shared" si="2"/>
        <v>0</v>
      </c>
      <c r="C756" s="70">
        <v>0.0</v>
      </c>
      <c r="D756" s="70">
        <v>0.0</v>
      </c>
      <c r="E756" s="70">
        <v>0.0</v>
      </c>
      <c r="F756" s="70">
        <v>0.0</v>
      </c>
      <c r="G756" s="70">
        <v>0.0</v>
      </c>
      <c r="H756" s="70" t="s">
        <v>20786</v>
      </c>
      <c r="I756" s="70">
        <v>2289.0</v>
      </c>
      <c r="J756" s="70" t="s">
        <v>20784</v>
      </c>
      <c r="K756" s="70" t="s">
        <v>20785</v>
      </c>
      <c r="L756" s="70" t="s">
        <v>16436</v>
      </c>
      <c r="N756" s="70" t="s">
        <v>16437</v>
      </c>
      <c r="P756" s="78">
        <v>45440.0</v>
      </c>
      <c r="U756" s="70" t="s">
        <v>239</v>
      </c>
      <c r="W756" s="70" t="s">
        <v>20788</v>
      </c>
      <c r="Y756" s="70" t="s">
        <v>30145</v>
      </c>
      <c r="Z756" s="75" t="s">
        <v>20790</v>
      </c>
      <c r="AA756" s="70" t="s">
        <v>20791</v>
      </c>
      <c r="AC756" s="70">
        <v>3.0</v>
      </c>
      <c r="AE756" s="70">
        <v>68.0</v>
      </c>
      <c r="AF756" s="70" t="s">
        <v>16423</v>
      </c>
      <c r="AW756" s="70" t="s">
        <v>20792</v>
      </c>
      <c r="AZ756" s="70">
        <v>1170.0</v>
      </c>
    </row>
    <row r="757" ht="22.5" customHeight="1">
      <c r="A757" s="70" t="str">
        <f t="shared" si="1"/>
        <v>Excluded</v>
      </c>
      <c r="B757" s="70">
        <f t="shared" si="2"/>
        <v>0</v>
      </c>
      <c r="C757" s="70">
        <v>0.0</v>
      </c>
      <c r="D757" s="70">
        <v>0.0</v>
      </c>
      <c r="E757" s="70">
        <v>0.0</v>
      </c>
      <c r="F757" s="70">
        <v>0.0</v>
      </c>
      <c r="G757" s="70">
        <v>0.0</v>
      </c>
      <c r="H757" s="70" t="s">
        <v>24438</v>
      </c>
      <c r="I757" s="70">
        <v>2672.0</v>
      </c>
      <c r="J757" s="70" t="s">
        <v>24436</v>
      </c>
      <c r="K757" s="70" t="s">
        <v>24437</v>
      </c>
      <c r="W757" s="70" t="s">
        <v>30146</v>
      </c>
      <c r="AA757" s="70" t="s">
        <v>24440</v>
      </c>
      <c r="AI757" s="70" t="s">
        <v>24441</v>
      </c>
      <c r="AJ757" s="70" t="s">
        <v>24442</v>
      </c>
      <c r="AK757" s="70">
        <v>2024.0</v>
      </c>
      <c r="AL757" s="70" t="s">
        <v>16436</v>
      </c>
      <c r="AN757" s="70">
        <v>76277.0</v>
      </c>
      <c r="AO757" s="70">
        <v>76303.0</v>
      </c>
      <c r="AP757" s="70">
        <v>26.0</v>
      </c>
      <c r="AQ757" s="70">
        <v>6.0</v>
      </c>
      <c r="AR757" s="75" t="s">
        <v>24443</v>
      </c>
      <c r="AS757" s="70" t="s">
        <v>22525</v>
      </c>
      <c r="AT757" s="70" t="s">
        <v>22643</v>
      </c>
      <c r="AU757" s="70" t="s">
        <v>237</v>
      </c>
      <c r="AV757" s="70" t="s">
        <v>24444</v>
      </c>
      <c r="AW757" s="70" t="s">
        <v>24445</v>
      </c>
      <c r="AZ757" s="70">
        <v>1195.0</v>
      </c>
    </row>
    <row r="758" ht="22.5" customHeight="1">
      <c r="A758" s="70" t="str">
        <f t="shared" si="1"/>
        <v>Excluded</v>
      </c>
      <c r="B758" s="70">
        <f t="shared" si="2"/>
        <v>0</v>
      </c>
      <c r="C758" s="70">
        <v>0.0</v>
      </c>
      <c r="D758" s="70">
        <v>0.0</v>
      </c>
      <c r="E758" s="70">
        <v>0.0</v>
      </c>
      <c r="F758" s="70">
        <v>0.0</v>
      </c>
      <c r="G758" s="70">
        <v>0.0</v>
      </c>
      <c r="H758" s="70" t="s">
        <v>20292</v>
      </c>
      <c r="I758" s="70">
        <v>2234.0</v>
      </c>
      <c r="J758" s="70" t="s">
        <v>30147</v>
      </c>
      <c r="K758" s="70" t="s">
        <v>20291</v>
      </c>
      <c r="L758" s="70" t="s">
        <v>16436</v>
      </c>
      <c r="N758" s="70" t="s">
        <v>16437</v>
      </c>
      <c r="P758" s="78">
        <v>45441.0</v>
      </c>
      <c r="U758" s="70" t="s">
        <v>239</v>
      </c>
      <c r="W758" s="70" t="s">
        <v>30148</v>
      </c>
      <c r="Y758" s="70" t="s">
        <v>20295</v>
      </c>
      <c r="Z758" s="75" t="s">
        <v>20296</v>
      </c>
      <c r="AA758" s="70" t="s">
        <v>20297</v>
      </c>
      <c r="AC758" s="70">
        <v>5.0</v>
      </c>
      <c r="AE758" s="70">
        <v>73.0</v>
      </c>
      <c r="AF758" s="70" t="s">
        <v>16727</v>
      </c>
      <c r="AW758" s="70" t="s">
        <v>20298</v>
      </c>
      <c r="AZ758" s="70">
        <v>779.0</v>
      </c>
    </row>
    <row r="759" ht="22.5" customHeight="1">
      <c r="A759" s="70" t="str">
        <f t="shared" si="1"/>
        <v>Excluded</v>
      </c>
      <c r="B759" s="70">
        <f t="shared" si="2"/>
        <v>0</v>
      </c>
      <c r="C759" s="70">
        <v>0.0</v>
      </c>
      <c r="D759" s="70">
        <v>0.0</v>
      </c>
      <c r="E759" s="70">
        <v>0.0</v>
      </c>
      <c r="F759" s="70">
        <v>0.0</v>
      </c>
      <c r="G759" s="70">
        <v>0.0</v>
      </c>
      <c r="H759" s="70" t="s">
        <v>21708</v>
      </c>
      <c r="I759" s="70">
        <v>2393.0</v>
      </c>
      <c r="J759" s="70" t="s">
        <v>21706</v>
      </c>
      <c r="K759" s="70" t="s">
        <v>30149</v>
      </c>
      <c r="L759" s="70" t="s">
        <v>16436</v>
      </c>
      <c r="N759" s="70" t="s">
        <v>16437</v>
      </c>
      <c r="P759" s="78">
        <v>45442.0</v>
      </c>
      <c r="U759" s="70" t="s">
        <v>239</v>
      </c>
      <c r="W759" s="70" t="s">
        <v>30150</v>
      </c>
      <c r="Y759" s="70" t="s">
        <v>30151</v>
      </c>
      <c r="Z759" s="75" t="s">
        <v>21712</v>
      </c>
      <c r="AA759" s="70" t="s">
        <v>21713</v>
      </c>
      <c r="AE759" s="70">
        <v>252.0</v>
      </c>
      <c r="AF759" s="70" t="s">
        <v>16727</v>
      </c>
      <c r="AW759" s="70" t="s">
        <v>21714</v>
      </c>
      <c r="AZ759" s="70">
        <v>283.0</v>
      </c>
    </row>
    <row r="760" ht="22.5" customHeight="1">
      <c r="A760" s="70" t="str">
        <f t="shared" si="1"/>
        <v>Excluded</v>
      </c>
      <c r="B760" s="70">
        <f t="shared" si="2"/>
        <v>0</v>
      </c>
      <c r="C760" s="70">
        <v>0.0</v>
      </c>
      <c r="D760" s="70">
        <v>0.0</v>
      </c>
      <c r="E760" s="70">
        <v>0.0</v>
      </c>
      <c r="F760" s="70">
        <v>0.0</v>
      </c>
      <c r="G760" s="70">
        <v>0.0</v>
      </c>
      <c r="H760" s="70" t="s">
        <v>21103</v>
      </c>
      <c r="I760" s="70">
        <v>2324.0</v>
      </c>
      <c r="J760" s="70" t="s">
        <v>21101</v>
      </c>
      <c r="K760" s="70" t="s">
        <v>21102</v>
      </c>
      <c r="L760" s="70" t="s">
        <v>16436</v>
      </c>
      <c r="N760" s="70" t="s">
        <v>16437</v>
      </c>
      <c r="P760" s="78">
        <v>45443.0</v>
      </c>
      <c r="U760" s="70" t="s">
        <v>239</v>
      </c>
      <c r="W760" s="70" t="s">
        <v>21105</v>
      </c>
      <c r="Y760" s="70" t="s">
        <v>30152</v>
      </c>
      <c r="Z760" s="75" t="s">
        <v>21107</v>
      </c>
      <c r="AA760" s="70" t="s">
        <v>21108</v>
      </c>
      <c r="AC760" s="70">
        <v>2.0</v>
      </c>
      <c r="AE760" s="70">
        <v>30.0</v>
      </c>
      <c r="AF760" s="70" t="s">
        <v>16727</v>
      </c>
      <c r="AW760" s="70" t="s">
        <v>21109</v>
      </c>
      <c r="AX760" s="70">
        <v>0.0</v>
      </c>
      <c r="AY760" s="70" t="s">
        <v>24</v>
      </c>
      <c r="AZ760" s="70">
        <v>3133.0</v>
      </c>
    </row>
    <row r="761" ht="22.5" customHeight="1">
      <c r="A761" s="70" t="str">
        <f t="shared" si="1"/>
        <v>Excluded</v>
      </c>
      <c r="B761" s="70">
        <f t="shared" si="2"/>
        <v>0</v>
      </c>
      <c r="C761" s="70">
        <v>0.0</v>
      </c>
      <c r="D761" s="70">
        <v>0.0</v>
      </c>
      <c r="E761" s="70">
        <v>0.0</v>
      </c>
      <c r="F761" s="70">
        <v>0.0</v>
      </c>
      <c r="G761" s="70">
        <v>0.0</v>
      </c>
      <c r="H761" s="70" t="s">
        <v>21372</v>
      </c>
      <c r="I761" s="70">
        <v>2354.0</v>
      </c>
      <c r="J761" s="70" t="s">
        <v>21370</v>
      </c>
      <c r="K761" s="70" t="s">
        <v>21371</v>
      </c>
      <c r="L761" s="70" t="s">
        <v>16436</v>
      </c>
      <c r="N761" s="70" t="s">
        <v>16437</v>
      </c>
      <c r="P761" s="77">
        <v>45447.0</v>
      </c>
      <c r="U761" s="70" t="s">
        <v>239</v>
      </c>
      <c r="W761" s="70" t="s">
        <v>21374</v>
      </c>
      <c r="Z761" s="75" t="s">
        <v>21375</v>
      </c>
      <c r="AA761" s="70" t="s">
        <v>21376</v>
      </c>
      <c r="AC761" s="70">
        <v>1.0</v>
      </c>
      <c r="AE761" s="70">
        <v>24.0</v>
      </c>
      <c r="AF761" s="70" t="s">
        <v>16727</v>
      </c>
      <c r="AW761" s="70" t="s">
        <v>21377</v>
      </c>
      <c r="AX761" s="70">
        <v>0.0</v>
      </c>
      <c r="AY761" s="70" t="s">
        <v>24</v>
      </c>
      <c r="AZ761" s="70">
        <v>2428.0</v>
      </c>
    </row>
    <row r="762" ht="22.5" customHeight="1">
      <c r="A762" s="70" t="str">
        <f t="shared" si="1"/>
        <v>Excluded</v>
      </c>
      <c r="B762" s="70">
        <f t="shared" si="2"/>
        <v>0</v>
      </c>
      <c r="C762" s="70">
        <v>0.0</v>
      </c>
      <c r="D762" s="70">
        <v>0.0</v>
      </c>
      <c r="E762" s="70">
        <v>0.0</v>
      </c>
      <c r="F762" s="70">
        <v>0.0</v>
      </c>
      <c r="G762" s="70">
        <v>0.0</v>
      </c>
      <c r="H762" s="70" t="s">
        <v>20337</v>
      </c>
      <c r="I762" s="70">
        <v>2239.0</v>
      </c>
      <c r="J762" s="70" t="s">
        <v>20335</v>
      </c>
      <c r="K762" s="70" t="s">
        <v>20336</v>
      </c>
      <c r="L762" s="70" t="s">
        <v>16436</v>
      </c>
      <c r="N762" s="70" t="s">
        <v>16437</v>
      </c>
      <c r="P762" s="76">
        <v>45454.0</v>
      </c>
      <c r="U762" s="70" t="s">
        <v>239</v>
      </c>
      <c r="W762" s="70" t="s">
        <v>20339</v>
      </c>
      <c r="Y762" s="70" t="s">
        <v>20340</v>
      </c>
      <c r="Z762" s="75" t="s">
        <v>20341</v>
      </c>
      <c r="AA762" s="70" t="s">
        <v>20342</v>
      </c>
      <c r="AC762" s="70">
        <v>4.0</v>
      </c>
      <c r="AE762" s="70">
        <v>94.0</v>
      </c>
      <c r="AF762" s="70" t="s">
        <v>16423</v>
      </c>
      <c r="AW762" s="70" t="s">
        <v>20343</v>
      </c>
      <c r="AX762" s="70">
        <v>0.0</v>
      </c>
      <c r="AY762" s="70" t="s">
        <v>24</v>
      </c>
      <c r="AZ762" s="70">
        <v>2165.0</v>
      </c>
    </row>
    <row r="763" ht="22.5" customHeight="1">
      <c r="A763" s="70" t="str">
        <f t="shared" si="1"/>
        <v>Excluded</v>
      </c>
      <c r="B763" s="70">
        <f t="shared" si="2"/>
        <v>0</v>
      </c>
      <c r="C763" s="70">
        <v>0.0</v>
      </c>
      <c r="D763" s="70">
        <v>0.0</v>
      </c>
      <c r="E763" s="70">
        <v>0.0</v>
      </c>
      <c r="F763" s="70">
        <v>0.0</v>
      </c>
      <c r="G763" s="70">
        <v>0.0</v>
      </c>
      <c r="H763" s="70" t="s">
        <v>22336</v>
      </c>
      <c r="I763" s="70">
        <v>2464.0</v>
      </c>
      <c r="J763" s="70" t="s">
        <v>22334</v>
      </c>
      <c r="K763" s="70" t="s">
        <v>22335</v>
      </c>
      <c r="L763" s="70" t="s">
        <v>16436</v>
      </c>
      <c r="N763" s="70" t="s">
        <v>16437</v>
      </c>
      <c r="P763" s="76">
        <v>45456.0</v>
      </c>
      <c r="U763" s="70" t="s">
        <v>239</v>
      </c>
      <c r="W763" s="70" t="s">
        <v>30153</v>
      </c>
      <c r="Y763" s="70" t="s">
        <v>30154</v>
      </c>
      <c r="Z763" s="75" t="s">
        <v>22340</v>
      </c>
      <c r="AA763" s="70" t="s">
        <v>22341</v>
      </c>
      <c r="AE763" s="70">
        <v>40.0</v>
      </c>
      <c r="AF763" s="70" t="s">
        <v>16727</v>
      </c>
      <c r="AW763" s="70" t="s">
        <v>22342</v>
      </c>
      <c r="AZ763" s="70">
        <v>586.0</v>
      </c>
    </row>
    <row r="764" ht="22.5" customHeight="1">
      <c r="A764" s="70" t="str">
        <f t="shared" si="1"/>
        <v>Excluded</v>
      </c>
      <c r="B764" s="70">
        <f t="shared" si="2"/>
        <v>0</v>
      </c>
      <c r="C764" s="70">
        <v>0.0</v>
      </c>
      <c r="D764" s="70">
        <v>0.0</v>
      </c>
      <c r="E764" s="70">
        <v>0.0</v>
      </c>
      <c r="F764" s="70">
        <v>0.0</v>
      </c>
      <c r="G764" s="70">
        <v>0.0</v>
      </c>
      <c r="H764" s="70" t="s">
        <v>22236</v>
      </c>
      <c r="I764" s="70">
        <v>2453.0</v>
      </c>
      <c r="J764" s="70" t="s">
        <v>22234</v>
      </c>
      <c r="K764" s="70" t="s">
        <v>22235</v>
      </c>
      <c r="L764" s="70" t="s">
        <v>16436</v>
      </c>
      <c r="N764" s="70" t="s">
        <v>16437</v>
      </c>
      <c r="P764" s="76">
        <v>45469.0</v>
      </c>
      <c r="U764" s="70" t="s">
        <v>239</v>
      </c>
      <c r="W764" s="70" t="s">
        <v>22238</v>
      </c>
      <c r="Y764" s="70" t="s">
        <v>22239</v>
      </c>
      <c r="Z764" s="75" t="s">
        <v>22240</v>
      </c>
      <c r="AA764" s="70" t="s">
        <v>22241</v>
      </c>
      <c r="AE764" s="70">
        <v>61.0</v>
      </c>
      <c r="AF764" s="70" t="s">
        <v>16727</v>
      </c>
      <c r="AW764" s="70" t="s">
        <v>22242</v>
      </c>
      <c r="AX764" s="70">
        <v>0.0</v>
      </c>
      <c r="AY764" s="70" t="s">
        <v>24</v>
      </c>
      <c r="AZ764" s="70">
        <v>2002.0</v>
      </c>
    </row>
    <row r="765" ht="22.5" customHeight="1">
      <c r="A765" s="70" t="str">
        <f t="shared" si="1"/>
        <v>Excluded</v>
      </c>
      <c r="B765" s="70">
        <f t="shared" si="2"/>
        <v>0</v>
      </c>
      <c r="C765" s="70">
        <v>0.0</v>
      </c>
      <c r="D765" s="70">
        <v>0.0</v>
      </c>
      <c r="E765" s="70">
        <v>0.0</v>
      </c>
      <c r="F765" s="70">
        <v>0.0</v>
      </c>
      <c r="G765" s="70">
        <v>0.0</v>
      </c>
      <c r="H765" s="70" t="s">
        <v>21805</v>
      </c>
      <c r="I765" s="70">
        <v>2404.0</v>
      </c>
      <c r="J765" s="70" t="s">
        <v>21803</v>
      </c>
      <c r="K765" s="70" t="s">
        <v>21804</v>
      </c>
      <c r="L765" s="70" t="s">
        <v>16436</v>
      </c>
      <c r="N765" s="70" t="s">
        <v>16437</v>
      </c>
      <c r="P765" s="76">
        <v>45469.0</v>
      </c>
      <c r="U765" s="70" t="s">
        <v>239</v>
      </c>
      <c r="W765" s="70" t="s">
        <v>21807</v>
      </c>
      <c r="Y765" s="70" t="s">
        <v>30155</v>
      </c>
      <c r="Z765" s="75" t="s">
        <v>21809</v>
      </c>
      <c r="AA765" s="70" t="s">
        <v>21810</v>
      </c>
      <c r="AE765" s="70">
        <v>38.0</v>
      </c>
      <c r="AF765" s="70" t="s">
        <v>16423</v>
      </c>
      <c r="AW765" s="70" t="s">
        <v>21811</v>
      </c>
      <c r="AZ765" s="70">
        <v>1302.0</v>
      </c>
    </row>
    <row r="766" ht="22.5" customHeight="1">
      <c r="A766" s="70" t="str">
        <f t="shared" si="1"/>
        <v>Excluded</v>
      </c>
      <c r="B766" s="70">
        <f t="shared" si="2"/>
        <v>0</v>
      </c>
      <c r="C766" s="70">
        <v>0.0</v>
      </c>
      <c r="D766" s="70">
        <v>0.0</v>
      </c>
      <c r="E766" s="70">
        <v>0.0</v>
      </c>
      <c r="F766" s="70">
        <v>0.0</v>
      </c>
      <c r="G766" s="70">
        <v>0.0</v>
      </c>
      <c r="H766" s="70" t="s">
        <v>21447</v>
      </c>
      <c r="I766" s="70">
        <v>2363.0</v>
      </c>
      <c r="J766" s="70" t="s">
        <v>21445</v>
      </c>
      <c r="K766" s="70" t="s">
        <v>21446</v>
      </c>
      <c r="L766" s="70" t="s">
        <v>16436</v>
      </c>
      <c r="N766" s="70" t="s">
        <v>16437</v>
      </c>
      <c r="P766" s="77">
        <v>45475.0</v>
      </c>
      <c r="U766" s="70" t="s">
        <v>239</v>
      </c>
      <c r="W766" s="70" t="s">
        <v>21449</v>
      </c>
      <c r="Z766" s="75" t="s">
        <v>21450</v>
      </c>
      <c r="AA766" s="70" t="s">
        <v>21451</v>
      </c>
      <c r="AC766" s="70">
        <v>1.0</v>
      </c>
      <c r="AE766" s="70">
        <v>51.0</v>
      </c>
      <c r="AF766" s="70" t="s">
        <v>16727</v>
      </c>
      <c r="AW766" s="70" t="s">
        <v>21452</v>
      </c>
      <c r="AX766" s="70">
        <v>0.0</v>
      </c>
      <c r="AY766" s="70" t="s">
        <v>24</v>
      </c>
      <c r="AZ766" s="70">
        <v>2474.0</v>
      </c>
    </row>
    <row r="767" ht="22.5" customHeight="1">
      <c r="A767" s="70" t="str">
        <f t="shared" si="1"/>
        <v>Excluded</v>
      </c>
      <c r="B767" s="70">
        <f t="shared" si="2"/>
        <v>0</v>
      </c>
      <c r="C767" s="70">
        <v>0.0</v>
      </c>
      <c r="D767" s="70">
        <v>0.0</v>
      </c>
      <c r="E767" s="70">
        <v>0.0</v>
      </c>
      <c r="F767" s="70">
        <v>0.0</v>
      </c>
      <c r="G767" s="70">
        <v>0.0</v>
      </c>
      <c r="H767" s="70" t="s">
        <v>19973</v>
      </c>
      <c r="I767" s="70">
        <v>2198.0</v>
      </c>
      <c r="J767" s="70" t="s">
        <v>29926</v>
      </c>
      <c r="K767" s="70" t="s">
        <v>19972</v>
      </c>
      <c r="L767" s="70" t="s">
        <v>16436</v>
      </c>
      <c r="N767" s="70" t="s">
        <v>16437</v>
      </c>
      <c r="P767" s="76">
        <v>45484.0</v>
      </c>
      <c r="U767" s="70" t="s">
        <v>239</v>
      </c>
      <c r="W767" s="70" t="s">
        <v>19975</v>
      </c>
      <c r="Y767" s="70" t="s">
        <v>19976</v>
      </c>
      <c r="Z767" s="75" t="s">
        <v>19977</v>
      </c>
      <c r="AA767" s="70" t="s">
        <v>19978</v>
      </c>
      <c r="AC767" s="70">
        <v>6.0</v>
      </c>
      <c r="AE767" s="70">
        <v>276.0</v>
      </c>
      <c r="AF767" s="70" t="s">
        <v>16423</v>
      </c>
      <c r="AW767" s="70" t="s">
        <v>19979</v>
      </c>
      <c r="AZ767" s="70">
        <v>1159.0</v>
      </c>
    </row>
    <row r="768" ht="22.5" customHeight="1">
      <c r="A768" s="70" t="str">
        <f t="shared" si="1"/>
        <v>Excluded</v>
      </c>
      <c r="B768" s="70">
        <f t="shared" si="2"/>
        <v>0</v>
      </c>
      <c r="C768" s="70">
        <v>0.0</v>
      </c>
      <c r="D768" s="70">
        <v>0.0</v>
      </c>
      <c r="E768" s="70">
        <v>0.0</v>
      </c>
      <c r="F768" s="70">
        <v>0.0</v>
      </c>
      <c r="G768" s="70">
        <v>0.0</v>
      </c>
      <c r="H768" s="70" t="s">
        <v>19587</v>
      </c>
      <c r="I768" s="70">
        <v>2155.0</v>
      </c>
      <c r="J768" s="70" t="s">
        <v>19585</v>
      </c>
      <c r="K768" s="70" t="s">
        <v>19586</v>
      </c>
      <c r="L768" s="70" t="s">
        <v>16436</v>
      </c>
      <c r="N768" s="70" t="s">
        <v>16437</v>
      </c>
      <c r="P768" s="77">
        <v>45481.0</v>
      </c>
      <c r="U768" s="70" t="s">
        <v>239</v>
      </c>
      <c r="W768" s="70" t="s">
        <v>30156</v>
      </c>
      <c r="Z768" s="75" t="s">
        <v>19590</v>
      </c>
      <c r="AA768" s="70" t="s">
        <v>19591</v>
      </c>
      <c r="AC768" s="70">
        <v>9.0</v>
      </c>
      <c r="AE768" s="70">
        <v>387.0</v>
      </c>
      <c r="AF768" s="70" t="s">
        <v>16727</v>
      </c>
      <c r="AW768" s="70" t="s">
        <v>19592</v>
      </c>
      <c r="AZ768" s="70">
        <v>1176.0</v>
      </c>
    </row>
    <row r="769" ht="22.5" customHeight="1">
      <c r="A769" s="70" t="str">
        <f t="shared" si="1"/>
        <v>Excluded</v>
      </c>
      <c r="B769" s="70">
        <f t="shared" si="2"/>
        <v>0</v>
      </c>
      <c r="C769" s="70">
        <v>0.0</v>
      </c>
      <c r="D769" s="70">
        <v>0.0</v>
      </c>
      <c r="E769" s="70">
        <v>0.0</v>
      </c>
      <c r="F769" s="70">
        <v>0.0</v>
      </c>
      <c r="G769" s="70">
        <v>0.0</v>
      </c>
      <c r="H769" s="70" t="s">
        <v>21717</v>
      </c>
      <c r="I769" s="70">
        <v>2394.0</v>
      </c>
      <c r="J769" s="70" t="s">
        <v>21715</v>
      </c>
      <c r="K769" s="70" t="s">
        <v>21716</v>
      </c>
      <c r="L769" s="70" t="s">
        <v>16436</v>
      </c>
      <c r="N769" s="70" t="s">
        <v>16437</v>
      </c>
      <c r="P769" s="76">
        <v>45483.0</v>
      </c>
      <c r="U769" s="70" t="s">
        <v>239</v>
      </c>
      <c r="W769" s="70" t="s">
        <v>21719</v>
      </c>
      <c r="Y769" s="70" t="s">
        <v>30157</v>
      </c>
      <c r="Z769" s="75" t="s">
        <v>21721</v>
      </c>
      <c r="AA769" s="70" t="s">
        <v>21722</v>
      </c>
      <c r="AE769" s="70">
        <v>371.0</v>
      </c>
      <c r="AF769" s="70" t="s">
        <v>16727</v>
      </c>
      <c r="AW769" s="70" t="s">
        <v>21723</v>
      </c>
      <c r="AZ769" s="70">
        <v>748.0</v>
      </c>
    </row>
    <row r="770" ht="22.5" customHeight="1">
      <c r="A770" s="70" t="str">
        <f t="shared" si="1"/>
        <v>Excluded</v>
      </c>
      <c r="B770" s="70">
        <f t="shared" si="2"/>
        <v>0</v>
      </c>
      <c r="C770" s="70">
        <v>0.0</v>
      </c>
      <c r="D770" s="70">
        <v>0.0</v>
      </c>
      <c r="E770" s="70">
        <v>0.0</v>
      </c>
      <c r="F770" s="70">
        <v>0.0</v>
      </c>
      <c r="G770" s="70">
        <v>0.0</v>
      </c>
      <c r="H770" s="70" t="s">
        <v>21354</v>
      </c>
      <c r="I770" s="70">
        <v>2352.0</v>
      </c>
      <c r="J770" s="70" t="s">
        <v>21352</v>
      </c>
      <c r="K770" s="70" t="s">
        <v>21353</v>
      </c>
      <c r="L770" s="70" t="s">
        <v>16436</v>
      </c>
      <c r="N770" s="70" t="s">
        <v>16437</v>
      </c>
      <c r="P770" s="76">
        <v>45488.0</v>
      </c>
      <c r="U770" s="70" t="s">
        <v>239</v>
      </c>
      <c r="W770" s="70" t="s">
        <v>21356</v>
      </c>
      <c r="Y770" s="70" t="s">
        <v>30158</v>
      </c>
      <c r="Z770" s="75" t="s">
        <v>21358</v>
      </c>
      <c r="AA770" s="70" t="s">
        <v>21359</v>
      </c>
      <c r="AC770" s="70">
        <v>1.0</v>
      </c>
      <c r="AE770" s="70">
        <v>35.0</v>
      </c>
      <c r="AF770" s="70" t="s">
        <v>16727</v>
      </c>
      <c r="AW770" s="70" t="s">
        <v>21360</v>
      </c>
      <c r="AX770" s="70">
        <v>0.0</v>
      </c>
      <c r="AY770" s="70" t="s">
        <v>24</v>
      </c>
      <c r="AZ770" s="70">
        <v>2378.0</v>
      </c>
    </row>
    <row r="771" ht="22.5" customHeight="1">
      <c r="A771" s="70" t="str">
        <f t="shared" si="1"/>
        <v>Excluded</v>
      </c>
      <c r="B771" s="70">
        <f t="shared" si="2"/>
        <v>0</v>
      </c>
      <c r="C771" s="70">
        <v>0.0</v>
      </c>
      <c r="D771" s="70">
        <v>0.0</v>
      </c>
      <c r="E771" s="70">
        <v>0.0</v>
      </c>
      <c r="F771" s="70">
        <v>0.0</v>
      </c>
      <c r="G771" s="70">
        <v>0.0</v>
      </c>
      <c r="H771" s="70" t="s">
        <v>21139</v>
      </c>
      <c r="I771" s="70">
        <v>2328.0</v>
      </c>
      <c r="J771" s="70" t="s">
        <v>30159</v>
      </c>
      <c r="K771" s="70" t="s">
        <v>21138</v>
      </c>
      <c r="L771" s="70" t="s">
        <v>16436</v>
      </c>
      <c r="N771" s="70" t="s">
        <v>16437</v>
      </c>
      <c r="P771" s="76">
        <v>45488.0</v>
      </c>
      <c r="U771" s="70" t="s">
        <v>239</v>
      </c>
      <c r="W771" s="70" t="s">
        <v>21141</v>
      </c>
      <c r="Z771" s="75" t="s">
        <v>21142</v>
      </c>
      <c r="AA771" s="70" t="s">
        <v>21143</v>
      </c>
      <c r="AC771" s="70">
        <v>2.0</v>
      </c>
      <c r="AE771" s="70">
        <v>235.0</v>
      </c>
      <c r="AF771" s="70" t="s">
        <v>16727</v>
      </c>
      <c r="AW771" s="70" t="s">
        <v>21144</v>
      </c>
      <c r="AZ771" s="70">
        <v>1174.0</v>
      </c>
    </row>
    <row r="772" ht="22.5" customHeight="1">
      <c r="A772" s="70" t="str">
        <f t="shared" si="1"/>
        <v>Excluded</v>
      </c>
      <c r="B772" s="70">
        <f t="shared" si="2"/>
        <v>0</v>
      </c>
      <c r="C772" s="70">
        <v>0.0</v>
      </c>
      <c r="D772" s="70">
        <v>0.0</v>
      </c>
      <c r="E772" s="70">
        <v>0.0</v>
      </c>
      <c r="F772" s="70">
        <v>0.0</v>
      </c>
      <c r="G772" s="70">
        <v>0.0</v>
      </c>
      <c r="H772" s="70" t="s">
        <v>25139</v>
      </c>
      <c r="I772" s="70">
        <v>2740.0</v>
      </c>
      <c r="J772" s="70" t="s">
        <v>25137</v>
      </c>
      <c r="K772" s="70" t="s">
        <v>25138</v>
      </c>
      <c r="W772" s="70" t="s">
        <v>30160</v>
      </c>
      <c r="AA772" s="70" t="s">
        <v>25141</v>
      </c>
      <c r="AI772" s="70" t="s">
        <v>25142</v>
      </c>
      <c r="AJ772" s="70" t="s">
        <v>25143</v>
      </c>
      <c r="AK772" s="70">
        <v>2024.0</v>
      </c>
      <c r="AL772" s="70" t="s">
        <v>16436</v>
      </c>
      <c r="AN772" s="70">
        <v>98856.0</v>
      </c>
      <c r="AO772" s="70">
        <v>98881.0</v>
      </c>
      <c r="AP772" s="70">
        <v>25.0</v>
      </c>
      <c r="AQ772" s="70">
        <v>2.0</v>
      </c>
      <c r="AR772" s="75" t="s">
        <v>25144</v>
      </c>
      <c r="AS772" s="70" t="s">
        <v>22525</v>
      </c>
      <c r="AT772" s="70" t="s">
        <v>22622</v>
      </c>
      <c r="AU772" s="70" t="s">
        <v>237</v>
      </c>
      <c r="AV772" s="70" t="s">
        <v>25145</v>
      </c>
      <c r="AW772" s="70" t="s">
        <v>25146</v>
      </c>
      <c r="AZ772" s="70">
        <v>1098.0</v>
      </c>
    </row>
    <row r="773" ht="22.5" customHeight="1">
      <c r="A773" s="70" t="str">
        <f t="shared" si="1"/>
        <v>Excluded</v>
      </c>
      <c r="B773" s="70">
        <f t="shared" si="2"/>
        <v>0</v>
      </c>
      <c r="C773" s="70">
        <v>0.0</v>
      </c>
      <c r="D773" s="70">
        <v>0.0</v>
      </c>
      <c r="E773" s="70">
        <v>0.0</v>
      </c>
      <c r="F773" s="70">
        <v>0.0</v>
      </c>
      <c r="G773" s="70">
        <v>0.0</v>
      </c>
      <c r="H773" s="70" t="s">
        <v>25016</v>
      </c>
      <c r="I773" s="70">
        <v>2728.0</v>
      </c>
      <c r="J773" s="70" t="s">
        <v>25014</v>
      </c>
      <c r="K773" s="70" t="s">
        <v>25015</v>
      </c>
      <c r="W773" s="70" t="s">
        <v>30161</v>
      </c>
      <c r="AA773" s="70" t="s">
        <v>25018</v>
      </c>
      <c r="AI773" s="70" t="s">
        <v>25019</v>
      </c>
      <c r="AJ773" s="70" t="s">
        <v>25020</v>
      </c>
      <c r="AK773" s="70">
        <v>2024.0</v>
      </c>
      <c r="AL773" s="70" t="s">
        <v>16436</v>
      </c>
      <c r="AN773" s="70">
        <v>102702.0</v>
      </c>
      <c r="AO773" s="70">
        <v>102717.0</v>
      </c>
      <c r="AP773" s="70">
        <v>15.0</v>
      </c>
      <c r="AQ773" s="70">
        <v>0.0</v>
      </c>
      <c r="AR773" s="75" t="s">
        <v>25021</v>
      </c>
      <c r="AS773" s="70" t="s">
        <v>22525</v>
      </c>
      <c r="AT773" s="70" t="s">
        <v>22622</v>
      </c>
      <c r="AU773" s="70" t="s">
        <v>237</v>
      </c>
      <c r="AV773" s="70" t="s">
        <v>25022</v>
      </c>
      <c r="AW773" s="70" t="s">
        <v>25023</v>
      </c>
      <c r="AX773" s="70">
        <v>0.0</v>
      </c>
      <c r="AY773" s="70" t="s">
        <v>24</v>
      </c>
      <c r="AZ773" s="70">
        <v>2950.0</v>
      </c>
    </row>
    <row r="774" ht="22.5" customHeight="1">
      <c r="A774" s="70" t="str">
        <f t="shared" si="1"/>
        <v>Excluded</v>
      </c>
      <c r="B774" s="70">
        <f t="shared" si="2"/>
        <v>0</v>
      </c>
      <c r="C774" s="70">
        <v>0.0</v>
      </c>
      <c r="D774" s="70">
        <v>0.0</v>
      </c>
      <c r="E774" s="70">
        <v>0.0</v>
      </c>
      <c r="F774" s="70">
        <v>0.0</v>
      </c>
      <c r="G774" s="70">
        <v>0.0</v>
      </c>
      <c r="H774" s="70" t="s">
        <v>21612</v>
      </c>
      <c r="I774" s="70">
        <v>2382.0</v>
      </c>
      <c r="J774" s="70" t="s">
        <v>21610</v>
      </c>
      <c r="K774" s="70" t="s">
        <v>21611</v>
      </c>
      <c r="L774" s="70" t="s">
        <v>16436</v>
      </c>
      <c r="N774" s="70" t="s">
        <v>16437</v>
      </c>
      <c r="P774" s="76">
        <v>45502.0</v>
      </c>
      <c r="U774" s="70" t="s">
        <v>239</v>
      </c>
      <c r="W774" s="70" t="s">
        <v>30162</v>
      </c>
      <c r="Y774" s="70" t="s">
        <v>21615</v>
      </c>
      <c r="Z774" s="75" t="s">
        <v>21616</v>
      </c>
      <c r="AA774" s="70" t="s">
        <v>21617</v>
      </c>
      <c r="AE774" s="70">
        <v>42.0</v>
      </c>
      <c r="AF774" s="70" t="s">
        <v>16727</v>
      </c>
      <c r="AW774" s="70" t="s">
        <v>21618</v>
      </c>
      <c r="AZ774" s="70">
        <v>300.0</v>
      </c>
    </row>
    <row r="775" ht="22.5" customHeight="1">
      <c r="A775" s="70" t="str">
        <f t="shared" si="1"/>
        <v>Excluded</v>
      </c>
      <c r="B775" s="70">
        <f t="shared" si="2"/>
        <v>0</v>
      </c>
      <c r="C775" s="70">
        <v>0.0</v>
      </c>
      <c r="D775" s="70">
        <v>0.0</v>
      </c>
      <c r="E775" s="70">
        <v>0.0</v>
      </c>
      <c r="F775" s="70">
        <v>0.0</v>
      </c>
      <c r="G775" s="70">
        <v>0.0</v>
      </c>
      <c r="H775" s="70" t="s">
        <v>21699</v>
      </c>
      <c r="I775" s="70">
        <v>2392.0</v>
      </c>
      <c r="J775" s="70" t="s">
        <v>21697</v>
      </c>
      <c r="K775" s="70" t="s">
        <v>21698</v>
      </c>
      <c r="L775" s="70" t="s">
        <v>16436</v>
      </c>
      <c r="N775" s="70" t="s">
        <v>16437</v>
      </c>
      <c r="P775" s="76">
        <v>45503.0</v>
      </c>
      <c r="U775" s="70" t="s">
        <v>239</v>
      </c>
      <c r="W775" s="70" t="s">
        <v>30163</v>
      </c>
      <c r="Y775" s="70" t="s">
        <v>21702</v>
      </c>
      <c r="Z775" s="75" t="s">
        <v>21703</v>
      </c>
      <c r="AA775" s="70" t="s">
        <v>30164</v>
      </c>
      <c r="AE775" s="70">
        <v>29.0</v>
      </c>
      <c r="AF775" s="70" t="s">
        <v>16727</v>
      </c>
      <c r="AW775" s="70" t="s">
        <v>21705</v>
      </c>
      <c r="AX775" s="70">
        <v>0.0</v>
      </c>
      <c r="AY775" s="70" t="s">
        <v>24</v>
      </c>
      <c r="AZ775" s="70">
        <v>2426.0</v>
      </c>
    </row>
    <row r="776" ht="22.5" customHeight="1">
      <c r="A776" s="70" t="str">
        <f t="shared" si="1"/>
        <v>Excluded</v>
      </c>
      <c r="B776" s="70">
        <f t="shared" si="2"/>
        <v>0</v>
      </c>
      <c r="C776" s="70">
        <v>0.0</v>
      </c>
      <c r="D776" s="70">
        <v>0.0</v>
      </c>
      <c r="E776" s="70">
        <v>0.0</v>
      </c>
      <c r="F776" s="70">
        <v>0.0</v>
      </c>
      <c r="G776" s="70">
        <v>0.0</v>
      </c>
      <c r="H776" s="70" t="s">
        <v>20677</v>
      </c>
      <c r="I776" s="70">
        <v>2277.0</v>
      </c>
      <c r="J776" s="70" t="s">
        <v>20675</v>
      </c>
      <c r="K776" s="70" t="s">
        <v>20676</v>
      </c>
      <c r="L776" s="70" t="s">
        <v>16436</v>
      </c>
      <c r="N776" s="70" t="s">
        <v>16437</v>
      </c>
      <c r="P776" s="77">
        <v>45505.0</v>
      </c>
      <c r="U776" s="70" t="s">
        <v>239</v>
      </c>
      <c r="W776" s="70" t="s">
        <v>30165</v>
      </c>
      <c r="Y776" s="70" t="s">
        <v>20680</v>
      </c>
      <c r="Z776" s="75" t="s">
        <v>20681</v>
      </c>
      <c r="AA776" s="70" t="s">
        <v>30166</v>
      </c>
      <c r="AC776" s="70">
        <v>3.0</v>
      </c>
      <c r="AE776" s="70">
        <v>222.0</v>
      </c>
      <c r="AF776" s="70" t="s">
        <v>16423</v>
      </c>
      <c r="AW776" s="70" t="s">
        <v>20683</v>
      </c>
      <c r="AX776" s="70">
        <v>0.0</v>
      </c>
      <c r="AY776" s="70" t="s">
        <v>24</v>
      </c>
      <c r="AZ776" s="70">
        <v>3082.0</v>
      </c>
    </row>
    <row r="777" ht="22.5" customHeight="1">
      <c r="A777" s="70" t="str">
        <f t="shared" si="1"/>
        <v>Excluded</v>
      </c>
      <c r="B777" s="70">
        <f t="shared" si="2"/>
        <v>0</v>
      </c>
      <c r="C777" s="70">
        <v>0.0</v>
      </c>
      <c r="D777" s="70">
        <v>0.0</v>
      </c>
      <c r="E777" s="70">
        <v>0.0</v>
      </c>
      <c r="F777" s="70">
        <v>0.0</v>
      </c>
      <c r="G777" s="70">
        <v>0.0</v>
      </c>
      <c r="H777" s="70" t="s">
        <v>21894</v>
      </c>
      <c r="I777" s="70">
        <v>2414.0</v>
      </c>
      <c r="J777" s="70" t="s">
        <v>21892</v>
      </c>
      <c r="K777" s="70" t="s">
        <v>21893</v>
      </c>
      <c r="L777" s="70" t="s">
        <v>16436</v>
      </c>
      <c r="N777" s="70" t="s">
        <v>16437</v>
      </c>
      <c r="P777" s="77">
        <v>45509.0</v>
      </c>
      <c r="U777" s="70" t="s">
        <v>239</v>
      </c>
      <c r="W777" s="70" t="s">
        <v>30167</v>
      </c>
      <c r="Z777" s="75" t="s">
        <v>21897</v>
      </c>
      <c r="AA777" s="70" t="s">
        <v>21898</v>
      </c>
      <c r="AE777" s="70">
        <v>23.0</v>
      </c>
      <c r="AF777" s="70" t="s">
        <v>16727</v>
      </c>
      <c r="AW777" s="70" t="s">
        <v>21899</v>
      </c>
      <c r="AZ777" s="70">
        <v>1151.0</v>
      </c>
    </row>
    <row r="778" ht="22.5" customHeight="1">
      <c r="A778" s="70" t="str">
        <f t="shared" si="1"/>
        <v>Excluded</v>
      </c>
      <c r="B778" s="70">
        <f t="shared" si="2"/>
        <v>0</v>
      </c>
      <c r="C778" s="70">
        <v>0.0</v>
      </c>
      <c r="D778" s="70">
        <v>0.0</v>
      </c>
      <c r="E778" s="70">
        <v>0.0</v>
      </c>
      <c r="F778" s="70">
        <v>0.0</v>
      </c>
      <c r="G778" s="70">
        <v>0.0</v>
      </c>
      <c r="H778" s="70" t="s">
        <v>24995</v>
      </c>
      <c r="I778" s="70">
        <v>2726.0</v>
      </c>
      <c r="J778" s="70" t="s">
        <v>24993</v>
      </c>
      <c r="K778" s="70" t="s">
        <v>24994</v>
      </c>
      <c r="W778" s="70" t="s">
        <v>30168</v>
      </c>
      <c r="AA778" s="70" t="s">
        <v>24997</v>
      </c>
      <c r="AI778" s="70" t="s">
        <v>24998</v>
      </c>
      <c r="AJ778" s="70" t="s">
        <v>24999</v>
      </c>
      <c r="AK778" s="70">
        <v>2024.0</v>
      </c>
      <c r="AL778" s="70" t="s">
        <v>16436</v>
      </c>
      <c r="AN778" s="70">
        <v>116516.0</v>
      </c>
      <c r="AO778" s="70">
        <v>116529.0</v>
      </c>
      <c r="AP778" s="70">
        <v>13.0</v>
      </c>
      <c r="AQ778" s="70">
        <v>0.0</v>
      </c>
      <c r="AR778" s="75" t="s">
        <v>25000</v>
      </c>
      <c r="AS778" s="70" t="s">
        <v>22525</v>
      </c>
      <c r="AT778" s="70" t="s">
        <v>22622</v>
      </c>
      <c r="AU778" s="70" t="s">
        <v>237</v>
      </c>
      <c r="AV778" s="70" t="s">
        <v>25001</v>
      </c>
      <c r="AW778" s="70" t="s">
        <v>25002</v>
      </c>
      <c r="AX778" s="70">
        <v>0.0</v>
      </c>
      <c r="AY778" s="70" t="s">
        <v>24</v>
      </c>
      <c r="AZ778" s="70">
        <v>2806.0</v>
      </c>
    </row>
    <row r="779" ht="22.5" customHeight="1">
      <c r="A779" s="70" t="str">
        <f t="shared" si="1"/>
        <v>Excluded</v>
      </c>
      <c r="B779" s="70">
        <f t="shared" si="2"/>
        <v>0</v>
      </c>
      <c r="C779" s="70">
        <v>0.0</v>
      </c>
      <c r="D779" s="70">
        <v>0.0</v>
      </c>
      <c r="E779" s="70">
        <v>0.0</v>
      </c>
      <c r="F779" s="70">
        <v>0.0</v>
      </c>
      <c r="G779" s="70">
        <v>0.0</v>
      </c>
      <c r="H779" s="70" t="s">
        <v>20490</v>
      </c>
      <c r="I779" s="70">
        <v>2256.0</v>
      </c>
      <c r="J779" s="70" t="s">
        <v>20488</v>
      </c>
      <c r="K779" s="70" t="s">
        <v>20489</v>
      </c>
      <c r="L779" s="70" t="s">
        <v>16436</v>
      </c>
      <c r="N779" s="70" t="s">
        <v>16437</v>
      </c>
      <c r="P779" s="76">
        <v>45519.0</v>
      </c>
      <c r="U779" s="70" t="s">
        <v>239</v>
      </c>
      <c r="W779" s="70" t="s">
        <v>20492</v>
      </c>
      <c r="Y779" s="70" t="s">
        <v>30169</v>
      </c>
      <c r="Z779" s="75" t="s">
        <v>20494</v>
      </c>
      <c r="AA779" s="70" t="s">
        <v>20495</v>
      </c>
      <c r="AC779" s="70">
        <v>4.0</v>
      </c>
      <c r="AE779" s="70">
        <v>210.0</v>
      </c>
      <c r="AF779" s="70" t="s">
        <v>16727</v>
      </c>
      <c r="AW779" s="70" t="s">
        <v>20496</v>
      </c>
      <c r="AX779" s="70">
        <v>0.0</v>
      </c>
      <c r="AY779" s="70" t="s">
        <v>24</v>
      </c>
      <c r="AZ779" s="70">
        <v>3140.0</v>
      </c>
    </row>
    <row r="780" ht="22.5" customHeight="1">
      <c r="A780" s="70" t="str">
        <f t="shared" si="1"/>
        <v>Excluded</v>
      </c>
      <c r="B780" s="70">
        <f t="shared" si="2"/>
        <v>0</v>
      </c>
      <c r="C780" s="70">
        <v>0.0</v>
      </c>
      <c r="D780" s="70">
        <v>0.0</v>
      </c>
      <c r="E780" s="70">
        <v>0.0</v>
      </c>
      <c r="F780" s="70">
        <v>0.0</v>
      </c>
      <c r="G780" s="70">
        <v>0.0</v>
      </c>
      <c r="H780" s="70" t="s">
        <v>21823</v>
      </c>
      <c r="I780" s="70">
        <v>2406.0</v>
      </c>
      <c r="J780" s="70" t="s">
        <v>21821</v>
      </c>
      <c r="K780" s="70" t="s">
        <v>21822</v>
      </c>
      <c r="L780" s="70" t="s">
        <v>16436</v>
      </c>
      <c r="N780" s="70" t="s">
        <v>16437</v>
      </c>
      <c r="P780" s="76">
        <v>45525.0</v>
      </c>
      <c r="U780" s="70" t="s">
        <v>239</v>
      </c>
      <c r="W780" s="70" t="s">
        <v>21825</v>
      </c>
      <c r="Y780" s="70" t="s">
        <v>30170</v>
      </c>
      <c r="Z780" s="75" t="s">
        <v>21827</v>
      </c>
      <c r="AA780" s="70" t="s">
        <v>21828</v>
      </c>
      <c r="AE780" s="70">
        <v>86.0</v>
      </c>
      <c r="AF780" s="70" t="s">
        <v>16423</v>
      </c>
      <c r="AW780" s="70" t="s">
        <v>21829</v>
      </c>
      <c r="AZ780" s="70">
        <v>511.0</v>
      </c>
    </row>
    <row r="781" ht="22.5" customHeight="1">
      <c r="A781" s="70" t="str">
        <f t="shared" si="1"/>
        <v>Excluded</v>
      </c>
      <c r="B781" s="70">
        <f t="shared" si="2"/>
        <v>0</v>
      </c>
      <c r="C781" s="70">
        <v>0.0</v>
      </c>
      <c r="D781" s="70">
        <v>0.0</v>
      </c>
      <c r="E781" s="70">
        <v>0.0</v>
      </c>
      <c r="F781" s="70">
        <v>0.0</v>
      </c>
      <c r="G781" s="70">
        <v>0.0</v>
      </c>
      <c r="H781" s="70" t="s">
        <v>21423</v>
      </c>
      <c r="I781" s="70">
        <v>2360.0</v>
      </c>
      <c r="J781" s="70" t="s">
        <v>21344</v>
      </c>
      <c r="K781" s="70" t="s">
        <v>21422</v>
      </c>
      <c r="L781" s="70" t="s">
        <v>16436</v>
      </c>
      <c r="N781" s="70" t="s">
        <v>16437</v>
      </c>
      <c r="P781" s="76">
        <v>45525.0</v>
      </c>
      <c r="U781" s="70" t="s">
        <v>239</v>
      </c>
      <c r="W781" s="70" t="s">
        <v>21424</v>
      </c>
      <c r="Z781" s="75" t="s">
        <v>21425</v>
      </c>
      <c r="AA781" s="70" t="s">
        <v>21426</v>
      </c>
      <c r="AC781" s="70">
        <v>1.0</v>
      </c>
      <c r="AE781" s="70">
        <v>165.0</v>
      </c>
      <c r="AF781" s="70" t="s">
        <v>16727</v>
      </c>
      <c r="AW781" s="70" t="s">
        <v>21427</v>
      </c>
      <c r="AX781" s="70">
        <v>0.0</v>
      </c>
      <c r="AY781" s="70" t="s">
        <v>24</v>
      </c>
      <c r="AZ781" s="70">
        <v>2167.0</v>
      </c>
    </row>
    <row r="782" ht="22.5" customHeight="1">
      <c r="A782" s="70" t="str">
        <f t="shared" si="1"/>
        <v>Excluded</v>
      </c>
      <c r="B782" s="70">
        <f t="shared" si="2"/>
        <v>0</v>
      </c>
      <c r="C782" s="70">
        <v>0.0</v>
      </c>
      <c r="D782" s="70">
        <v>0.0</v>
      </c>
      <c r="E782" s="70">
        <v>0.0</v>
      </c>
      <c r="F782" s="70">
        <v>0.0</v>
      </c>
      <c r="G782" s="70">
        <v>0.0</v>
      </c>
      <c r="H782" s="70" t="s">
        <v>21514</v>
      </c>
      <c r="I782" s="70">
        <v>2371.0</v>
      </c>
      <c r="J782" s="70" t="s">
        <v>21512</v>
      </c>
      <c r="K782" s="70" t="s">
        <v>21513</v>
      </c>
      <c r="L782" s="70" t="s">
        <v>16436</v>
      </c>
      <c r="N782" s="70" t="s">
        <v>16437</v>
      </c>
      <c r="P782" s="77">
        <v>45537.0</v>
      </c>
      <c r="U782" s="70" t="s">
        <v>239</v>
      </c>
      <c r="W782" s="70" t="s">
        <v>21516</v>
      </c>
      <c r="Y782" s="70" t="s">
        <v>30171</v>
      </c>
      <c r="Z782" s="75" t="s">
        <v>21518</v>
      </c>
      <c r="AA782" s="70" t="s">
        <v>21519</v>
      </c>
      <c r="AC782" s="70">
        <v>1.0</v>
      </c>
      <c r="AE782" s="70">
        <v>174.0</v>
      </c>
      <c r="AF782" s="70" t="s">
        <v>16727</v>
      </c>
      <c r="AW782" s="70" t="s">
        <v>21520</v>
      </c>
      <c r="AZ782" s="70">
        <v>882.0</v>
      </c>
    </row>
    <row r="783" ht="22.5" customHeight="1">
      <c r="A783" s="70" t="str">
        <f t="shared" si="1"/>
        <v>Excluded</v>
      </c>
      <c r="B783" s="70">
        <f t="shared" si="2"/>
        <v>0</v>
      </c>
      <c r="C783" s="70">
        <v>0.0</v>
      </c>
      <c r="D783" s="70">
        <v>0.0</v>
      </c>
      <c r="E783" s="70">
        <v>0.0</v>
      </c>
      <c r="F783" s="70">
        <v>0.0</v>
      </c>
      <c r="G783" s="70">
        <v>0.0</v>
      </c>
      <c r="H783" s="70" t="s">
        <v>20870</v>
      </c>
      <c r="I783" s="70">
        <v>2298.0</v>
      </c>
      <c r="J783" s="70" t="s">
        <v>20868</v>
      </c>
      <c r="K783" s="70" t="s">
        <v>20869</v>
      </c>
      <c r="L783" s="70" t="s">
        <v>16436</v>
      </c>
      <c r="N783" s="70" t="s">
        <v>16437</v>
      </c>
      <c r="P783" s="77">
        <v>45539.0</v>
      </c>
      <c r="U783" s="70" t="s">
        <v>239</v>
      </c>
      <c r="W783" s="70" t="s">
        <v>20872</v>
      </c>
      <c r="Y783" s="70" t="s">
        <v>30172</v>
      </c>
      <c r="Z783" s="75" t="s">
        <v>20874</v>
      </c>
      <c r="AA783" s="70" t="s">
        <v>20875</v>
      </c>
      <c r="AC783" s="70">
        <v>2.0</v>
      </c>
      <c r="AE783" s="70">
        <v>141.0</v>
      </c>
      <c r="AF783" s="70" t="s">
        <v>16727</v>
      </c>
      <c r="AW783" s="70" t="s">
        <v>20876</v>
      </c>
      <c r="AZ783" s="70">
        <v>412.0</v>
      </c>
    </row>
    <row r="784" ht="22.5" customHeight="1">
      <c r="A784" s="70" t="str">
        <f t="shared" si="1"/>
        <v>Excluded</v>
      </c>
      <c r="B784" s="70">
        <f t="shared" si="2"/>
        <v>0</v>
      </c>
      <c r="C784" s="70">
        <v>0.0</v>
      </c>
      <c r="D784" s="70">
        <v>0.0</v>
      </c>
      <c r="E784" s="70">
        <v>0.0</v>
      </c>
      <c r="F784" s="70">
        <v>0.0</v>
      </c>
      <c r="G784" s="70">
        <v>0.0</v>
      </c>
      <c r="H784" s="70" t="s">
        <v>21523</v>
      </c>
      <c r="I784" s="70">
        <v>2372.0</v>
      </c>
      <c r="J784" s="70" t="s">
        <v>30173</v>
      </c>
      <c r="K784" s="70" t="s">
        <v>21522</v>
      </c>
      <c r="L784" s="70" t="s">
        <v>16436</v>
      </c>
      <c r="N784" s="70" t="s">
        <v>16437</v>
      </c>
      <c r="P784" s="77">
        <v>45540.0</v>
      </c>
      <c r="U784" s="70" t="s">
        <v>239</v>
      </c>
      <c r="W784" s="70" t="s">
        <v>21525</v>
      </c>
      <c r="Y784" s="70" t="s">
        <v>30174</v>
      </c>
      <c r="Z784" s="75" t="s">
        <v>21527</v>
      </c>
      <c r="AA784" s="70" t="s">
        <v>21528</v>
      </c>
      <c r="AC784" s="70">
        <v>1.0</v>
      </c>
      <c r="AE784" s="70">
        <v>90.0</v>
      </c>
      <c r="AF784" s="70" t="s">
        <v>16727</v>
      </c>
      <c r="AW784" s="70" t="s">
        <v>21529</v>
      </c>
      <c r="AZ784" s="70">
        <v>241.0</v>
      </c>
    </row>
    <row r="785" ht="22.5" customHeight="1">
      <c r="A785" s="70" t="str">
        <f t="shared" si="1"/>
        <v>Excluded</v>
      </c>
      <c r="B785" s="70">
        <f t="shared" si="2"/>
        <v>0</v>
      </c>
      <c r="C785" s="70">
        <v>0.0</v>
      </c>
      <c r="D785" s="70">
        <v>0.0</v>
      </c>
      <c r="E785" s="70">
        <v>0.0</v>
      </c>
      <c r="F785" s="70">
        <v>0.0</v>
      </c>
      <c r="G785" s="70">
        <v>0.0</v>
      </c>
      <c r="H785" s="70" t="s">
        <v>21337</v>
      </c>
      <c r="I785" s="70">
        <v>2350.0</v>
      </c>
      <c r="J785" s="70" t="s">
        <v>21335</v>
      </c>
      <c r="K785" s="70" t="s">
        <v>21336</v>
      </c>
      <c r="L785" s="70" t="s">
        <v>16436</v>
      </c>
      <c r="N785" s="70" t="s">
        <v>16437</v>
      </c>
      <c r="P785" s="77">
        <v>45540.0</v>
      </c>
      <c r="U785" s="70" t="s">
        <v>239</v>
      </c>
      <c r="W785" s="70" t="s">
        <v>21339</v>
      </c>
      <c r="Y785" s="70" t="s">
        <v>30175</v>
      </c>
      <c r="Z785" s="75" t="s">
        <v>21341</v>
      </c>
      <c r="AA785" s="70" t="s">
        <v>21342</v>
      </c>
      <c r="AC785" s="70">
        <v>1.0</v>
      </c>
      <c r="AE785" s="70">
        <v>37.0</v>
      </c>
      <c r="AF785" s="70" t="s">
        <v>16727</v>
      </c>
      <c r="AW785" s="70" t="s">
        <v>21343</v>
      </c>
      <c r="AX785" s="70">
        <v>0.0</v>
      </c>
      <c r="AY785" s="70" t="s">
        <v>24</v>
      </c>
      <c r="AZ785" s="70">
        <v>2851.0</v>
      </c>
    </row>
    <row r="786" ht="22.5" customHeight="1">
      <c r="A786" s="70" t="str">
        <f t="shared" si="1"/>
        <v>Excluded</v>
      </c>
      <c r="B786" s="70">
        <f t="shared" si="2"/>
        <v>0</v>
      </c>
      <c r="C786" s="70">
        <v>0.0</v>
      </c>
      <c r="D786" s="70">
        <v>0.0</v>
      </c>
      <c r="E786" s="70">
        <v>0.0</v>
      </c>
      <c r="F786" s="70">
        <v>0.0</v>
      </c>
      <c r="G786" s="70">
        <v>0.0</v>
      </c>
      <c r="H786" s="70" t="s">
        <v>24839</v>
      </c>
      <c r="I786" s="70">
        <v>2711.0</v>
      </c>
      <c r="J786" s="70" t="s">
        <v>24837</v>
      </c>
      <c r="K786" s="70" t="s">
        <v>24838</v>
      </c>
      <c r="W786" s="70" t="s">
        <v>30176</v>
      </c>
      <c r="AA786" s="70" t="s">
        <v>24841</v>
      </c>
      <c r="AI786" s="70" t="s">
        <v>24842</v>
      </c>
      <c r="AJ786" s="70" t="s">
        <v>24843</v>
      </c>
      <c r="AK786" s="70">
        <v>2024.0</v>
      </c>
      <c r="AL786" s="70" t="s">
        <v>16436</v>
      </c>
      <c r="AN786" s="70">
        <v>132444.0</v>
      </c>
      <c r="AO786" s="70">
        <v>132479.0</v>
      </c>
      <c r="AP786" s="70">
        <v>35.0</v>
      </c>
      <c r="AQ786" s="70">
        <v>3.0</v>
      </c>
      <c r="AR786" s="75" t="s">
        <v>24844</v>
      </c>
      <c r="AS786" s="70" t="s">
        <v>22525</v>
      </c>
      <c r="AT786" s="70" t="s">
        <v>22622</v>
      </c>
      <c r="AU786" s="70" t="s">
        <v>237</v>
      </c>
      <c r="AV786" s="70" t="s">
        <v>24845</v>
      </c>
      <c r="AW786" s="70" t="s">
        <v>24846</v>
      </c>
      <c r="AZ786" s="70">
        <v>331.0</v>
      </c>
    </row>
    <row r="787" ht="22.5" customHeight="1">
      <c r="A787" s="70" t="str">
        <f t="shared" si="1"/>
        <v>Excluded</v>
      </c>
      <c r="B787" s="70">
        <f t="shared" si="2"/>
        <v>0</v>
      </c>
      <c r="C787" s="70">
        <v>0.0</v>
      </c>
      <c r="D787" s="70">
        <v>0.0</v>
      </c>
      <c r="E787" s="70">
        <v>0.0</v>
      </c>
      <c r="F787" s="70">
        <v>0.0</v>
      </c>
      <c r="G787" s="70">
        <v>0.0</v>
      </c>
      <c r="H787" s="70" t="s">
        <v>22009</v>
      </c>
      <c r="I787" s="70">
        <v>2427.0</v>
      </c>
      <c r="J787" s="70" t="s">
        <v>22007</v>
      </c>
      <c r="K787" s="70" t="s">
        <v>22008</v>
      </c>
      <c r="L787" s="70" t="s">
        <v>16436</v>
      </c>
      <c r="N787" s="70" t="s">
        <v>16437</v>
      </c>
      <c r="P787" s="76">
        <v>45545.0</v>
      </c>
      <c r="U787" s="70" t="s">
        <v>239</v>
      </c>
      <c r="W787" s="70" t="s">
        <v>22011</v>
      </c>
      <c r="Z787" s="75" t="s">
        <v>22012</v>
      </c>
      <c r="AA787" s="70" t="s">
        <v>22013</v>
      </c>
      <c r="AE787" s="70">
        <v>94.0</v>
      </c>
      <c r="AF787" s="70" t="s">
        <v>16727</v>
      </c>
      <c r="AW787" s="70" t="s">
        <v>22014</v>
      </c>
      <c r="AZ787" s="70">
        <v>270.0</v>
      </c>
    </row>
    <row r="788" ht="22.5" customHeight="1">
      <c r="A788" s="70" t="str">
        <f t="shared" si="1"/>
        <v>Excluded</v>
      </c>
      <c r="B788" s="70">
        <f t="shared" si="2"/>
        <v>0</v>
      </c>
      <c r="C788" s="70">
        <v>0.0</v>
      </c>
      <c r="D788" s="70">
        <v>0.0</v>
      </c>
      <c r="E788" s="70">
        <v>0.0</v>
      </c>
      <c r="F788" s="70">
        <v>0.0</v>
      </c>
      <c r="G788" s="70">
        <v>0.0</v>
      </c>
      <c r="H788" s="70" t="s">
        <v>22391</v>
      </c>
      <c r="I788" s="70">
        <v>2470.0</v>
      </c>
      <c r="J788" s="70" t="s">
        <v>30177</v>
      </c>
      <c r="K788" s="70" t="s">
        <v>22390</v>
      </c>
      <c r="L788" s="70" t="s">
        <v>16436</v>
      </c>
      <c r="N788" s="70" t="s">
        <v>16437</v>
      </c>
      <c r="P788" s="76">
        <v>45546.0</v>
      </c>
      <c r="U788" s="70" t="s">
        <v>239</v>
      </c>
      <c r="W788" s="70" t="s">
        <v>22393</v>
      </c>
      <c r="Y788" s="70" t="s">
        <v>22394</v>
      </c>
      <c r="Z788" s="75" t="s">
        <v>22395</v>
      </c>
      <c r="AA788" s="70" t="s">
        <v>22396</v>
      </c>
      <c r="AE788" s="70">
        <v>110.0</v>
      </c>
      <c r="AF788" s="70" t="s">
        <v>16423</v>
      </c>
      <c r="AW788" s="70" t="s">
        <v>22397</v>
      </c>
      <c r="AZ788" s="70">
        <v>1012.0</v>
      </c>
    </row>
    <row r="789" ht="22.5" customHeight="1">
      <c r="A789" s="70" t="str">
        <f t="shared" si="1"/>
        <v>Excluded</v>
      </c>
      <c r="B789" s="70">
        <f t="shared" si="2"/>
        <v>0</v>
      </c>
      <c r="C789" s="70">
        <v>0.0</v>
      </c>
      <c r="D789" s="70">
        <v>0.0</v>
      </c>
      <c r="E789" s="70">
        <v>0.0</v>
      </c>
      <c r="F789" s="70">
        <v>0.0</v>
      </c>
      <c r="G789" s="70">
        <v>0.0</v>
      </c>
      <c r="H789" s="70" t="s">
        <v>21674</v>
      </c>
      <c r="I789" s="70">
        <v>2389.0</v>
      </c>
      <c r="J789" s="70" t="s">
        <v>21672</v>
      </c>
      <c r="K789" s="70" t="s">
        <v>21673</v>
      </c>
      <c r="L789" s="70" t="s">
        <v>16436</v>
      </c>
      <c r="N789" s="70" t="s">
        <v>16437</v>
      </c>
      <c r="P789" s="76">
        <v>45551.0</v>
      </c>
      <c r="U789" s="70" t="s">
        <v>239</v>
      </c>
      <c r="W789" s="70" t="s">
        <v>21676</v>
      </c>
      <c r="Y789" s="70" t="s">
        <v>21677</v>
      </c>
      <c r="Z789" s="75" t="s">
        <v>21678</v>
      </c>
      <c r="AA789" s="70" t="s">
        <v>21679</v>
      </c>
      <c r="AE789" s="70">
        <v>77.0</v>
      </c>
      <c r="AF789" s="70" t="s">
        <v>16423</v>
      </c>
      <c r="AW789" s="70" t="s">
        <v>21680</v>
      </c>
      <c r="AX789" s="70">
        <v>0.0</v>
      </c>
      <c r="AY789" s="70" t="s">
        <v>24</v>
      </c>
      <c r="AZ789" s="70">
        <v>2147.0</v>
      </c>
    </row>
    <row r="790" ht="22.5" customHeight="1">
      <c r="A790" s="70" t="str">
        <f t="shared" si="1"/>
        <v>Excluded</v>
      </c>
      <c r="B790" s="70">
        <f t="shared" si="2"/>
        <v>0</v>
      </c>
      <c r="C790" s="70">
        <v>0.0</v>
      </c>
      <c r="D790" s="70">
        <v>0.0</v>
      </c>
      <c r="E790" s="70">
        <v>0.0</v>
      </c>
      <c r="F790" s="70">
        <v>0.0</v>
      </c>
      <c r="G790" s="70">
        <v>0.0</v>
      </c>
      <c r="H790" s="70" t="s">
        <v>22245</v>
      </c>
      <c r="I790" s="70">
        <v>2454.0</v>
      </c>
      <c r="J790" s="70" t="s">
        <v>22243</v>
      </c>
      <c r="K790" s="70" t="s">
        <v>22244</v>
      </c>
      <c r="L790" s="70" t="s">
        <v>16436</v>
      </c>
      <c r="N790" s="70" t="s">
        <v>16437</v>
      </c>
      <c r="P790" s="76">
        <v>45552.0</v>
      </c>
      <c r="U790" s="70" t="s">
        <v>239</v>
      </c>
      <c r="W790" s="70" t="s">
        <v>22247</v>
      </c>
      <c r="Y790" s="70" t="s">
        <v>30178</v>
      </c>
      <c r="Z790" s="75" t="s">
        <v>22249</v>
      </c>
      <c r="AA790" s="70" t="s">
        <v>22250</v>
      </c>
      <c r="AE790" s="70">
        <v>37.0</v>
      </c>
      <c r="AF790" s="70" t="s">
        <v>16727</v>
      </c>
      <c r="AW790" s="70" t="s">
        <v>22251</v>
      </c>
      <c r="AZ790" s="70">
        <v>1130.0</v>
      </c>
    </row>
    <row r="791" ht="22.5" customHeight="1">
      <c r="A791" s="70" t="str">
        <f t="shared" si="1"/>
        <v>Excluded</v>
      </c>
      <c r="B791" s="70">
        <f t="shared" si="2"/>
        <v>0</v>
      </c>
      <c r="C791" s="70">
        <v>0.0</v>
      </c>
      <c r="D791" s="70">
        <v>0.0</v>
      </c>
      <c r="E791" s="70">
        <v>0.0</v>
      </c>
      <c r="F791" s="70">
        <v>0.0</v>
      </c>
      <c r="G791" s="70">
        <v>0.0</v>
      </c>
      <c r="H791" s="70" t="s">
        <v>22218</v>
      </c>
      <c r="I791" s="70">
        <v>2451.0</v>
      </c>
      <c r="J791" s="70" t="s">
        <v>22216</v>
      </c>
      <c r="K791" s="70" t="s">
        <v>22217</v>
      </c>
      <c r="L791" s="70" t="s">
        <v>16436</v>
      </c>
      <c r="N791" s="70" t="s">
        <v>16437</v>
      </c>
      <c r="P791" s="76">
        <v>45552.0</v>
      </c>
      <c r="U791" s="70" t="s">
        <v>239</v>
      </c>
      <c r="W791" s="70" t="s">
        <v>22220</v>
      </c>
      <c r="Y791" s="70" t="s">
        <v>22221</v>
      </c>
      <c r="Z791" s="75" t="s">
        <v>22222</v>
      </c>
      <c r="AA791" s="70" t="s">
        <v>22223</v>
      </c>
      <c r="AE791" s="70">
        <v>49.0</v>
      </c>
      <c r="AF791" s="70" t="s">
        <v>16727</v>
      </c>
      <c r="AW791" s="70" t="s">
        <v>22224</v>
      </c>
      <c r="AX791" s="70">
        <v>0.0</v>
      </c>
      <c r="AY791" s="70" t="s">
        <v>24</v>
      </c>
      <c r="AZ791" s="70">
        <v>1941.0</v>
      </c>
    </row>
    <row r="792" ht="22.5" customHeight="1">
      <c r="A792" s="70" t="str">
        <f t="shared" si="1"/>
        <v>Excluded</v>
      </c>
      <c r="B792" s="70">
        <f t="shared" si="2"/>
        <v>0</v>
      </c>
      <c r="C792" s="70">
        <v>0.0</v>
      </c>
      <c r="D792" s="70">
        <v>0.0</v>
      </c>
      <c r="E792" s="70">
        <v>0.0</v>
      </c>
      <c r="F792" s="70">
        <v>0.0</v>
      </c>
      <c r="G792" s="70">
        <v>0.0</v>
      </c>
      <c r="H792" s="70" t="s">
        <v>21346</v>
      </c>
      <c r="I792" s="70">
        <v>2351.0</v>
      </c>
      <c r="J792" s="70" t="s">
        <v>21344</v>
      </c>
      <c r="K792" s="70" t="s">
        <v>21345</v>
      </c>
      <c r="L792" s="70" t="s">
        <v>16436</v>
      </c>
      <c r="N792" s="70" t="s">
        <v>16437</v>
      </c>
      <c r="P792" s="76">
        <v>45554.0</v>
      </c>
      <c r="U792" s="70" t="s">
        <v>239</v>
      </c>
      <c r="W792" s="70" t="s">
        <v>21348</v>
      </c>
      <c r="Z792" s="75" t="s">
        <v>21349</v>
      </c>
      <c r="AA792" s="70" t="s">
        <v>21350</v>
      </c>
      <c r="AC792" s="70">
        <v>1.0</v>
      </c>
      <c r="AE792" s="70">
        <v>153.0</v>
      </c>
      <c r="AF792" s="70" t="s">
        <v>16727</v>
      </c>
      <c r="AW792" s="70" t="s">
        <v>21351</v>
      </c>
      <c r="AX792" s="70">
        <v>0.0</v>
      </c>
      <c r="AY792" s="70" t="s">
        <v>24</v>
      </c>
      <c r="AZ792" s="70">
        <v>2898.0</v>
      </c>
    </row>
    <row r="793" ht="22.5" customHeight="1">
      <c r="A793" s="70" t="str">
        <f t="shared" si="1"/>
        <v>Excluded</v>
      </c>
      <c r="B793" s="70">
        <f t="shared" si="2"/>
        <v>0</v>
      </c>
      <c r="C793" s="70">
        <v>0.0</v>
      </c>
      <c r="D793" s="70">
        <v>0.0</v>
      </c>
      <c r="E793" s="70">
        <v>0.0</v>
      </c>
      <c r="F793" s="70">
        <v>0.0</v>
      </c>
      <c r="G793" s="70">
        <v>0.0</v>
      </c>
      <c r="H793" s="70" t="s">
        <v>21665</v>
      </c>
      <c r="I793" s="70">
        <v>2388.0</v>
      </c>
      <c r="J793" s="70" t="s">
        <v>21663</v>
      </c>
      <c r="K793" s="70" t="s">
        <v>21664</v>
      </c>
      <c r="L793" s="70" t="s">
        <v>16436</v>
      </c>
      <c r="N793" s="70" t="s">
        <v>16437</v>
      </c>
      <c r="P793" s="76">
        <v>45560.0</v>
      </c>
      <c r="U793" s="70" t="s">
        <v>239</v>
      </c>
      <c r="W793" s="70" t="s">
        <v>21667</v>
      </c>
      <c r="Y793" s="70" t="s">
        <v>30179</v>
      </c>
      <c r="Z793" s="75" t="s">
        <v>21669</v>
      </c>
      <c r="AA793" s="70" t="s">
        <v>21670</v>
      </c>
      <c r="AE793" s="70">
        <v>206.0</v>
      </c>
      <c r="AF793" s="70" t="s">
        <v>16727</v>
      </c>
      <c r="AW793" s="70" t="s">
        <v>21671</v>
      </c>
      <c r="AX793" s="70">
        <v>0.0</v>
      </c>
      <c r="AY793" s="70" t="s">
        <v>24</v>
      </c>
      <c r="AZ793" s="70">
        <v>2406.0</v>
      </c>
    </row>
    <row r="794" ht="22.5" customHeight="1">
      <c r="A794" s="70" t="str">
        <f t="shared" si="1"/>
        <v>Excluded</v>
      </c>
      <c r="B794" s="70">
        <f t="shared" si="2"/>
        <v>0</v>
      </c>
      <c r="C794" s="70">
        <v>0.0</v>
      </c>
      <c r="D794" s="70">
        <v>0.0</v>
      </c>
      <c r="E794" s="70">
        <v>0.0</v>
      </c>
      <c r="F794" s="70">
        <v>0.0</v>
      </c>
      <c r="G794" s="70">
        <v>0.0</v>
      </c>
      <c r="H794" s="70" t="s">
        <v>22263</v>
      </c>
      <c r="I794" s="70">
        <v>2456.0</v>
      </c>
      <c r="J794" s="70" t="s">
        <v>22261</v>
      </c>
      <c r="K794" s="70" t="s">
        <v>22262</v>
      </c>
      <c r="L794" s="70" t="s">
        <v>16436</v>
      </c>
      <c r="N794" s="70" t="s">
        <v>16437</v>
      </c>
      <c r="P794" s="76">
        <v>45561.0</v>
      </c>
      <c r="U794" s="70" t="s">
        <v>239</v>
      </c>
      <c r="W794" s="70" t="s">
        <v>30180</v>
      </c>
      <c r="Y794" s="70" t="s">
        <v>22266</v>
      </c>
      <c r="Z794" s="75" t="s">
        <v>22267</v>
      </c>
      <c r="AA794" s="70" t="s">
        <v>22268</v>
      </c>
      <c r="AE794" s="70">
        <v>180.0</v>
      </c>
      <c r="AF794" s="70" t="s">
        <v>16727</v>
      </c>
      <c r="AW794" s="70" t="s">
        <v>22269</v>
      </c>
      <c r="AZ794" s="70">
        <v>1055.0</v>
      </c>
    </row>
    <row r="795" ht="22.5" customHeight="1">
      <c r="A795" s="70" t="str">
        <f t="shared" si="1"/>
        <v>Excluded</v>
      </c>
      <c r="B795" s="70">
        <f t="shared" si="2"/>
        <v>0</v>
      </c>
      <c r="C795" s="70">
        <v>0.0</v>
      </c>
      <c r="D795" s="70">
        <v>0.0</v>
      </c>
      <c r="E795" s="70">
        <v>0.0</v>
      </c>
      <c r="F795" s="70">
        <v>0.0</v>
      </c>
      <c r="G795" s="70">
        <v>0.0</v>
      </c>
      <c r="H795" s="70" t="s">
        <v>22131</v>
      </c>
      <c r="I795" s="70">
        <v>2441.0</v>
      </c>
      <c r="J795" s="70" t="s">
        <v>22129</v>
      </c>
      <c r="K795" s="70" t="s">
        <v>22130</v>
      </c>
      <c r="L795" s="70" t="s">
        <v>16436</v>
      </c>
      <c r="N795" s="70" t="s">
        <v>16437</v>
      </c>
      <c r="P795" s="77">
        <v>45568.0</v>
      </c>
      <c r="U795" s="70" t="s">
        <v>239</v>
      </c>
      <c r="W795" s="70" t="s">
        <v>22133</v>
      </c>
      <c r="Z795" s="75" t="s">
        <v>22134</v>
      </c>
      <c r="AA795" s="70" t="s">
        <v>22135</v>
      </c>
      <c r="AE795" s="70">
        <v>16.0</v>
      </c>
      <c r="AF795" s="70" t="s">
        <v>16727</v>
      </c>
      <c r="AW795" s="70" t="s">
        <v>22136</v>
      </c>
      <c r="AZ795" s="70">
        <v>809.0</v>
      </c>
    </row>
    <row r="796" ht="22.5" customHeight="1">
      <c r="A796" s="70" t="str">
        <f t="shared" si="1"/>
        <v>Excluded</v>
      </c>
      <c r="B796" s="70">
        <f t="shared" si="2"/>
        <v>0</v>
      </c>
      <c r="C796" s="70">
        <v>0.0</v>
      </c>
      <c r="D796" s="70">
        <v>0.0</v>
      </c>
      <c r="E796" s="70">
        <v>0.0</v>
      </c>
      <c r="F796" s="70">
        <v>0.0</v>
      </c>
      <c r="G796" s="70">
        <v>0.0</v>
      </c>
      <c r="H796" s="70" t="s">
        <v>21902</v>
      </c>
      <c r="I796" s="70">
        <v>2415.0</v>
      </c>
      <c r="J796" s="70" t="s">
        <v>30181</v>
      </c>
      <c r="K796" s="70" t="s">
        <v>21901</v>
      </c>
      <c r="L796" s="70" t="s">
        <v>16436</v>
      </c>
      <c r="N796" s="70" t="s">
        <v>16437</v>
      </c>
      <c r="P796" s="77">
        <v>45572.0</v>
      </c>
      <c r="U796" s="70" t="s">
        <v>239</v>
      </c>
      <c r="W796" s="70" t="s">
        <v>30182</v>
      </c>
      <c r="Y796" s="70" t="s">
        <v>30183</v>
      </c>
      <c r="Z796" s="75" t="s">
        <v>21906</v>
      </c>
      <c r="AA796" s="70" t="s">
        <v>21907</v>
      </c>
      <c r="AE796" s="70">
        <v>35.0</v>
      </c>
      <c r="AF796" s="70" t="s">
        <v>16727</v>
      </c>
      <c r="AW796" s="70" t="s">
        <v>21908</v>
      </c>
      <c r="AZ796" s="70">
        <v>341.0</v>
      </c>
    </row>
    <row r="797" ht="22.5" customHeight="1">
      <c r="A797" s="70" t="str">
        <f t="shared" si="1"/>
        <v>Excluded</v>
      </c>
      <c r="B797" s="70">
        <f t="shared" si="2"/>
        <v>0</v>
      </c>
      <c r="C797" s="70">
        <v>0.0</v>
      </c>
      <c r="D797" s="70">
        <v>0.0</v>
      </c>
      <c r="E797" s="70">
        <v>0.0</v>
      </c>
      <c r="F797" s="70">
        <v>0.0</v>
      </c>
      <c r="G797" s="70">
        <v>0.0</v>
      </c>
      <c r="H797" s="70" t="s">
        <v>22104</v>
      </c>
      <c r="I797" s="70">
        <v>2438.0</v>
      </c>
      <c r="J797" s="70" t="s">
        <v>22102</v>
      </c>
      <c r="K797" s="70" t="s">
        <v>22103</v>
      </c>
      <c r="L797" s="70" t="s">
        <v>16436</v>
      </c>
      <c r="N797" s="70" t="s">
        <v>16437</v>
      </c>
      <c r="P797" s="76">
        <v>45583.0</v>
      </c>
      <c r="U797" s="70" t="s">
        <v>239</v>
      </c>
      <c r="W797" s="70" t="s">
        <v>30184</v>
      </c>
      <c r="Y797" s="70" t="s">
        <v>30185</v>
      </c>
      <c r="Z797" s="75" t="s">
        <v>22108</v>
      </c>
      <c r="AA797" s="70" t="s">
        <v>22109</v>
      </c>
      <c r="AE797" s="70">
        <v>365.0</v>
      </c>
      <c r="AF797" s="70" t="s">
        <v>16423</v>
      </c>
      <c r="AW797" s="70" t="s">
        <v>22110</v>
      </c>
      <c r="AZ797" s="70">
        <v>1066.0</v>
      </c>
    </row>
    <row r="798" ht="22.5" customHeight="1">
      <c r="A798" s="70" t="str">
        <f t="shared" si="1"/>
        <v>Excluded</v>
      </c>
      <c r="B798" s="70">
        <f t="shared" si="2"/>
        <v>0</v>
      </c>
      <c r="C798" s="70">
        <v>0.0</v>
      </c>
      <c r="D798" s="70">
        <v>0.0</v>
      </c>
      <c r="E798" s="70">
        <v>0.0</v>
      </c>
      <c r="F798" s="70">
        <v>0.0</v>
      </c>
      <c r="G798" s="70">
        <v>0.0</v>
      </c>
      <c r="H798" s="70" t="s">
        <v>21629</v>
      </c>
      <c r="I798" s="70">
        <v>2384.0</v>
      </c>
      <c r="J798" s="70" t="s">
        <v>21627</v>
      </c>
      <c r="K798" s="70" t="s">
        <v>21628</v>
      </c>
      <c r="L798" s="70" t="s">
        <v>16436</v>
      </c>
      <c r="N798" s="70" t="s">
        <v>16437</v>
      </c>
      <c r="P798" s="76">
        <v>45589.0</v>
      </c>
      <c r="U798" s="70" t="s">
        <v>239</v>
      </c>
      <c r="W798" s="70" t="s">
        <v>21631</v>
      </c>
      <c r="Y798" s="70" t="s">
        <v>30186</v>
      </c>
      <c r="Z798" s="75" t="s">
        <v>21633</v>
      </c>
      <c r="AA798" s="70" t="s">
        <v>21634</v>
      </c>
      <c r="AE798" s="70">
        <v>49.0</v>
      </c>
      <c r="AF798" s="70" t="s">
        <v>16423</v>
      </c>
      <c r="AW798" s="70" t="s">
        <v>21635</v>
      </c>
      <c r="AX798" s="70">
        <v>0.0</v>
      </c>
      <c r="AY798" s="70" t="s">
        <v>24</v>
      </c>
      <c r="AZ798" s="70">
        <v>2810.0</v>
      </c>
    </row>
    <row r="799" ht="22.5" customHeight="1">
      <c r="A799" s="70" t="str">
        <f t="shared" si="1"/>
        <v>Excluded</v>
      </c>
      <c r="B799" s="70">
        <f t="shared" si="2"/>
        <v>0</v>
      </c>
      <c r="C799" s="70">
        <v>0.0</v>
      </c>
      <c r="D799" s="70">
        <v>0.0</v>
      </c>
      <c r="E799" s="70">
        <v>0.0</v>
      </c>
      <c r="F799" s="70">
        <v>0.0</v>
      </c>
      <c r="G799" s="70">
        <v>0.0</v>
      </c>
      <c r="H799" s="70" t="s">
        <v>22400</v>
      </c>
      <c r="I799" s="70">
        <v>2471.0</v>
      </c>
      <c r="J799" s="70" t="s">
        <v>22398</v>
      </c>
      <c r="K799" s="70" t="s">
        <v>22399</v>
      </c>
      <c r="L799" s="70" t="s">
        <v>16436</v>
      </c>
      <c r="N799" s="70" t="s">
        <v>16437</v>
      </c>
      <c r="P799" s="76">
        <v>45595.0</v>
      </c>
      <c r="U799" s="70" t="s">
        <v>239</v>
      </c>
      <c r="W799" s="70" t="s">
        <v>30187</v>
      </c>
      <c r="Y799" s="70" t="s">
        <v>30188</v>
      </c>
      <c r="Z799" s="75" t="s">
        <v>22404</v>
      </c>
      <c r="AA799" s="70" t="s">
        <v>22405</v>
      </c>
      <c r="AE799" s="70">
        <v>47.0</v>
      </c>
      <c r="AF799" s="70" t="s">
        <v>16727</v>
      </c>
      <c r="AW799" s="70" t="s">
        <v>22406</v>
      </c>
      <c r="AX799" s="70">
        <v>0.0</v>
      </c>
      <c r="AY799" s="70" t="s">
        <v>24</v>
      </c>
      <c r="AZ799" s="70">
        <v>2770.0</v>
      </c>
    </row>
    <row r="800" ht="22.5" customHeight="1">
      <c r="A800" s="70" t="str">
        <f t="shared" si="1"/>
        <v>Excluded</v>
      </c>
      <c r="B800" s="70">
        <f t="shared" si="2"/>
        <v>0</v>
      </c>
      <c r="C800" s="70">
        <v>0.0</v>
      </c>
      <c r="D800" s="70">
        <v>0.0</v>
      </c>
      <c r="E800" s="70">
        <v>0.0</v>
      </c>
      <c r="F800" s="70">
        <v>0.0</v>
      </c>
      <c r="G800" s="70">
        <v>0.0</v>
      </c>
      <c r="H800" s="70" t="s">
        <v>22001</v>
      </c>
      <c r="I800" s="70">
        <v>2426.0</v>
      </c>
      <c r="J800" s="70" t="s">
        <v>21999</v>
      </c>
      <c r="K800" s="70" t="s">
        <v>22000</v>
      </c>
      <c r="L800" s="70" t="s">
        <v>16436</v>
      </c>
      <c r="N800" s="70" t="s">
        <v>16437</v>
      </c>
      <c r="P800" s="76">
        <v>45595.0</v>
      </c>
      <c r="U800" s="70" t="s">
        <v>239</v>
      </c>
      <c r="W800" s="70" t="s">
        <v>22003</v>
      </c>
      <c r="Z800" s="75" t="s">
        <v>22004</v>
      </c>
      <c r="AA800" s="70" t="s">
        <v>22005</v>
      </c>
      <c r="AE800" s="70">
        <v>25.0</v>
      </c>
      <c r="AF800" s="70" t="s">
        <v>16727</v>
      </c>
      <c r="AW800" s="70" t="s">
        <v>22006</v>
      </c>
      <c r="AZ800" s="70">
        <v>922.0</v>
      </c>
    </row>
    <row r="801" ht="22.5" customHeight="1">
      <c r="A801" s="70" t="str">
        <f t="shared" si="1"/>
        <v>Excluded</v>
      </c>
      <c r="B801" s="70">
        <f t="shared" si="2"/>
        <v>0</v>
      </c>
      <c r="C801" s="70">
        <v>0.0</v>
      </c>
      <c r="D801" s="70">
        <v>0.0</v>
      </c>
      <c r="E801" s="70">
        <v>0.0</v>
      </c>
      <c r="F801" s="70">
        <v>0.0</v>
      </c>
      <c r="G801" s="70">
        <v>0.0</v>
      </c>
      <c r="H801" s="70" t="s">
        <v>22192</v>
      </c>
      <c r="I801" s="70">
        <v>2448.0</v>
      </c>
      <c r="J801" s="70" t="s">
        <v>22190</v>
      </c>
      <c r="K801" s="70" t="s">
        <v>22191</v>
      </c>
      <c r="L801" s="70" t="s">
        <v>16436</v>
      </c>
      <c r="N801" s="70" t="s">
        <v>16437</v>
      </c>
      <c r="P801" s="76">
        <v>45596.0</v>
      </c>
      <c r="U801" s="70" t="s">
        <v>239</v>
      </c>
      <c r="W801" s="70" t="s">
        <v>22194</v>
      </c>
      <c r="Y801" s="70" t="s">
        <v>30189</v>
      </c>
      <c r="Z801" s="75" t="s">
        <v>22196</v>
      </c>
      <c r="AA801" s="70" t="s">
        <v>22197</v>
      </c>
      <c r="AE801" s="70">
        <v>53.0</v>
      </c>
      <c r="AF801" s="70" t="s">
        <v>16727</v>
      </c>
      <c r="AW801" s="70" t="s">
        <v>22198</v>
      </c>
      <c r="AX801" s="70">
        <v>0.0</v>
      </c>
      <c r="AY801" s="70" t="s">
        <v>24</v>
      </c>
      <c r="AZ801" s="70">
        <v>2696.0</v>
      </c>
    </row>
    <row r="802" ht="22.5" customHeight="1">
      <c r="A802" s="70" t="str">
        <f t="shared" si="1"/>
        <v>Excluded</v>
      </c>
      <c r="B802" s="70">
        <f t="shared" si="2"/>
        <v>0</v>
      </c>
      <c r="C802" s="70">
        <v>0.0</v>
      </c>
      <c r="D802" s="70">
        <v>0.0</v>
      </c>
      <c r="E802" s="70">
        <v>0.0</v>
      </c>
      <c r="F802" s="70">
        <v>0.0</v>
      </c>
      <c r="G802" s="70">
        <v>0.0</v>
      </c>
      <c r="H802" s="70" t="s">
        <v>22051</v>
      </c>
      <c r="I802" s="70">
        <v>2432.0</v>
      </c>
      <c r="J802" s="70" t="s">
        <v>22049</v>
      </c>
      <c r="K802" s="70" t="s">
        <v>22050</v>
      </c>
      <c r="L802" s="70" t="s">
        <v>16436</v>
      </c>
      <c r="N802" s="70" t="s">
        <v>16437</v>
      </c>
      <c r="P802" s="76">
        <v>45611.0</v>
      </c>
      <c r="U802" s="70" t="s">
        <v>239</v>
      </c>
      <c r="W802" s="70" t="s">
        <v>22053</v>
      </c>
      <c r="Y802" s="70" t="s">
        <v>30190</v>
      </c>
      <c r="Z802" s="75" t="s">
        <v>22055</v>
      </c>
      <c r="AA802" s="70" t="s">
        <v>22056</v>
      </c>
      <c r="AE802" s="70">
        <v>39.0</v>
      </c>
      <c r="AF802" s="70" t="s">
        <v>16727</v>
      </c>
      <c r="AW802" s="70" t="s">
        <v>22057</v>
      </c>
      <c r="AX802" s="70">
        <v>0.0</v>
      </c>
      <c r="AY802" s="70" t="s">
        <v>24</v>
      </c>
      <c r="AZ802" s="70">
        <v>2270.0</v>
      </c>
    </row>
    <row r="803" ht="22.5" customHeight="1">
      <c r="A803" s="70" t="str">
        <f t="shared" si="1"/>
        <v>Excluded</v>
      </c>
      <c r="B803" s="70">
        <f t="shared" si="2"/>
        <v>0</v>
      </c>
      <c r="C803" s="70">
        <v>0.0</v>
      </c>
      <c r="D803" s="70">
        <v>0.0</v>
      </c>
      <c r="E803" s="70">
        <v>0.0</v>
      </c>
      <c r="F803" s="70">
        <v>0.0</v>
      </c>
      <c r="G803" s="70">
        <v>0.0</v>
      </c>
      <c r="H803" s="70" t="s">
        <v>21877</v>
      </c>
      <c r="I803" s="70">
        <v>2412.0</v>
      </c>
      <c r="J803" s="70" t="s">
        <v>21875</v>
      </c>
      <c r="K803" s="70" t="s">
        <v>21876</v>
      </c>
      <c r="L803" s="70" t="s">
        <v>16436</v>
      </c>
      <c r="N803" s="70" t="s">
        <v>16437</v>
      </c>
      <c r="P803" s="76">
        <v>45614.0</v>
      </c>
      <c r="U803" s="70" t="s">
        <v>239</v>
      </c>
      <c r="W803" s="70" t="s">
        <v>21879</v>
      </c>
      <c r="Z803" s="75" t="s">
        <v>21880</v>
      </c>
      <c r="AA803" s="70" t="s">
        <v>21881</v>
      </c>
      <c r="AE803" s="70">
        <v>79.0</v>
      </c>
      <c r="AF803" s="70" t="s">
        <v>16423</v>
      </c>
      <c r="AW803" s="70" t="s">
        <v>21882</v>
      </c>
      <c r="AZ803" s="70">
        <v>763.0</v>
      </c>
    </row>
    <row r="804" ht="22.5" customHeight="1">
      <c r="A804" s="70" t="str">
        <f t="shared" si="1"/>
        <v>Excluded</v>
      </c>
      <c r="B804" s="70">
        <f t="shared" si="2"/>
        <v>0</v>
      </c>
      <c r="C804" s="70">
        <v>0.0</v>
      </c>
      <c r="D804" s="70">
        <v>0.0</v>
      </c>
      <c r="E804" s="70">
        <v>0.0</v>
      </c>
      <c r="F804" s="70">
        <v>0.0</v>
      </c>
      <c r="G804" s="70">
        <v>0.0</v>
      </c>
      <c r="H804" s="70" t="s">
        <v>24203</v>
      </c>
      <c r="I804" s="70">
        <v>2649.0</v>
      </c>
      <c r="J804" s="70" t="s">
        <v>30191</v>
      </c>
      <c r="K804" s="70" t="s">
        <v>24202</v>
      </c>
      <c r="W804" s="70" t="s">
        <v>30192</v>
      </c>
      <c r="AA804" s="70" t="s">
        <v>24205</v>
      </c>
      <c r="AI804" s="70" t="s">
        <v>30193</v>
      </c>
      <c r="AJ804" s="70" t="s">
        <v>24207</v>
      </c>
      <c r="AK804" s="70">
        <v>2024.0</v>
      </c>
      <c r="AL804" s="70" t="s">
        <v>16436</v>
      </c>
      <c r="AN804" s="70">
        <v>173647.0</v>
      </c>
      <c r="AO804" s="70">
        <v>173659.0</v>
      </c>
      <c r="AP804" s="70">
        <v>12.0</v>
      </c>
      <c r="AQ804" s="70">
        <v>0.0</v>
      </c>
      <c r="AR804" s="75" t="s">
        <v>24208</v>
      </c>
      <c r="AS804" s="70" t="s">
        <v>22525</v>
      </c>
      <c r="AU804" s="70" t="s">
        <v>237</v>
      </c>
      <c r="AV804" s="70" t="s">
        <v>24209</v>
      </c>
      <c r="AW804" s="70" t="s">
        <v>24210</v>
      </c>
      <c r="AX804" s="70">
        <v>0.0</v>
      </c>
      <c r="AY804" s="70" t="s">
        <v>24</v>
      </c>
      <c r="AZ804" s="70">
        <v>2529.0</v>
      </c>
    </row>
    <row r="805" ht="22.5" customHeight="1">
      <c r="A805" s="70" t="str">
        <f t="shared" si="1"/>
        <v>Excluded</v>
      </c>
      <c r="B805" s="70">
        <f t="shared" si="2"/>
        <v>0</v>
      </c>
      <c r="C805" s="70">
        <v>0.0</v>
      </c>
      <c r="D805" s="70">
        <v>0.0</v>
      </c>
      <c r="E805" s="70">
        <v>0.0</v>
      </c>
      <c r="F805" s="70">
        <v>0.0</v>
      </c>
      <c r="G805" s="70">
        <v>0.0</v>
      </c>
      <c r="H805" s="70" t="s">
        <v>24304</v>
      </c>
      <c r="I805" s="70">
        <v>2659.0</v>
      </c>
      <c r="J805" s="70" t="s">
        <v>24302</v>
      </c>
      <c r="K805" s="70" t="s">
        <v>24303</v>
      </c>
      <c r="W805" s="70" t="s">
        <v>30194</v>
      </c>
      <c r="AA805" s="70" t="s">
        <v>24306</v>
      </c>
      <c r="AI805" s="70" t="s">
        <v>24307</v>
      </c>
      <c r="AJ805" s="70" t="s">
        <v>24308</v>
      </c>
      <c r="AK805" s="70">
        <v>2024.0</v>
      </c>
      <c r="AL805" s="70" t="s">
        <v>16436</v>
      </c>
      <c r="AN805" s="70">
        <v>178320.0</v>
      </c>
      <c r="AO805" s="70">
        <v>178344.0</v>
      </c>
      <c r="AP805" s="70">
        <v>24.0</v>
      </c>
      <c r="AQ805" s="70">
        <v>0.0</v>
      </c>
      <c r="AR805" s="75" t="s">
        <v>24309</v>
      </c>
      <c r="AS805" s="70" t="s">
        <v>22525</v>
      </c>
      <c r="AT805" s="70" t="s">
        <v>22622</v>
      </c>
      <c r="AU805" s="70" t="s">
        <v>237</v>
      </c>
      <c r="AV805" s="70" t="s">
        <v>24310</v>
      </c>
      <c r="AW805" s="70" t="s">
        <v>24311</v>
      </c>
      <c r="AZ805" s="70">
        <v>1207.0</v>
      </c>
    </row>
    <row r="806" ht="22.5" customHeight="1">
      <c r="A806" s="70" t="str">
        <f t="shared" si="1"/>
        <v>Excluded</v>
      </c>
      <c r="B806" s="70">
        <f t="shared" si="2"/>
        <v>0</v>
      </c>
      <c r="C806" s="70">
        <v>0.0</v>
      </c>
      <c r="D806" s="70">
        <v>0.0</v>
      </c>
      <c r="E806" s="70">
        <v>0.0</v>
      </c>
      <c r="F806" s="70">
        <v>0.0</v>
      </c>
      <c r="G806" s="70">
        <v>0.0</v>
      </c>
      <c r="H806" s="70" t="s">
        <v>21796</v>
      </c>
      <c r="I806" s="70">
        <v>2403.0</v>
      </c>
      <c r="J806" s="70" t="s">
        <v>30195</v>
      </c>
      <c r="K806" s="70" t="s">
        <v>21795</v>
      </c>
      <c r="L806" s="70" t="s">
        <v>16436</v>
      </c>
      <c r="N806" s="70" t="s">
        <v>16437</v>
      </c>
      <c r="P806" s="76">
        <v>45622.0</v>
      </c>
      <c r="U806" s="70" t="s">
        <v>239</v>
      </c>
      <c r="W806" s="70" t="s">
        <v>21798</v>
      </c>
      <c r="Y806" s="70" t="s">
        <v>30196</v>
      </c>
      <c r="Z806" s="75" t="s">
        <v>21800</v>
      </c>
      <c r="AA806" s="70" t="s">
        <v>21801</v>
      </c>
      <c r="AE806" s="70">
        <v>40.0</v>
      </c>
      <c r="AF806" s="70" t="s">
        <v>16423</v>
      </c>
      <c r="AW806" s="70" t="s">
        <v>21802</v>
      </c>
      <c r="AX806" s="70">
        <v>0.0</v>
      </c>
      <c r="AY806" s="70" t="s">
        <v>24</v>
      </c>
      <c r="AZ806" s="70">
        <v>2505.0</v>
      </c>
    </row>
    <row r="807" ht="22.5" customHeight="1">
      <c r="A807" s="70" t="str">
        <f t="shared" si="1"/>
        <v>Excluded</v>
      </c>
      <c r="B807" s="70">
        <f t="shared" si="2"/>
        <v>0</v>
      </c>
      <c r="C807" s="70">
        <v>0.0</v>
      </c>
      <c r="D807" s="70">
        <v>0.0</v>
      </c>
      <c r="E807" s="70">
        <v>0.0</v>
      </c>
      <c r="F807" s="70">
        <v>0.0</v>
      </c>
      <c r="G807" s="70">
        <v>0.0</v>
      </c>
      <c r="H807" s="70" t="s">
        <v>22122</v>
      </c>
      <c r="I807" s="70">
        <v>2440.0</v>
      </c>
      <c r="J807" s="70" t="s">
        <v>22120</v>
      </c>
      <c r="K807" s="70" t="s">
        <v>30197</v>
      </c>
      <c r="L807" s="70" t="s">
        <v>16436</v>
      </c>
      <c r="N807" s="70" t="s">
        <v>16437</v>
      </c>
      <c r="P807" s="76">
        <v>45623.0</v>
      </c>
      <c r="U807" s="70" t="s">
        <v>239</v>
      </c>
      <c r="W807" s="70" t="s">
        <v>30198</v>
      </c>
      <c r="Y807" s="70" t="s">
        <v>22125</v>
      </c>
      <c r="Z807" s="75" t="s">
        <v>22126</v>
      </c>
      <c r="AA807" s="70" t="s">
        <v>22127</v>
      </c>
      <c r="AE807" s="70">
        <v>113.0</v>
      </c>
      <c r="AF807" s="70" t="s">
        <v>16727</v>
      </c>
      <c r="AW807" s="70" t="s">
        <v>22128</v>
      </c>
      <c r="AX807" s="70">
        <v>0.0</v>
      </c>
      <c r="AY807" s="70" t="s">
        <v>24</v>
      </c>
      <c r="AZ807" s="70">
        <v>3049.0</v>
      </c>
    </row>
    <row r="808" ht="22.5" customHeight="1">
      <c r="A808" s="70" t="str">
        <f t="shared" si="1"/>
        <v>Excluded</v>
      </c>
      <c r="B808" s="70">
        <f t="shared" si="2"/>
        <v>0</v>
      </c>
      <c r="C808" s="70">
        <v>0.0</v>
      </c>
      <c r="D808" s="70">
        <v>0.0</v>
      </c>
      <c r="E808" s="70">
        <v>0.0</v>
      </c>
      <c r="F808" s="70">
        <v>0.0</v>
      </c>
      <c r="G808" s="70">
        <v>0.0</v>
      </c>
      <c r="H808" s="70" t="s">
        <v>22298</v>
      </c>
      <c r="I808" s="70">
        <v>2460.0</v>
      </c>
      <c r="J808" s="70" t="s">
        <v>22296</v>
      </c>
      <c r="K808" s="70" t="s">
        <v>22297</v>
      </c>
      <c r="L808" s="70" t="s">
        <v>16436</v>
      </c>
      <c r="N808" s="70" t="s">
        <v>16437</v>
      </c>
      <c r="P808" s="76">
        <v>45623.0</v>
      </c>
      <c r="U808" s="70" t="s">
        <v>239</v>
      </c>
      <c r="W808" s="70" t="s">
        <v>22300</v>
      </c>
      <c r="Y808" s="70" t="s">
        <v>30199</v>
      </c>
      <c r="Z808" s="75" t="s">
        <v>22302</v>
      </c>
      <c r="AA808" s="70" t="s">
        <v>22303</v>
      </c>
      <c r="AE808" s="70">
        <v>51.0</v>
      </c>
      <c r="AF808" s="70" t="s">
        <v>16423</v>
      </c>
      <c r="AW808" s="70" t="s">
        <v>22304</v>
      </c>
      <c r="AX808" s="70">
        <v>0.0</v>
      </c>
      <c r="AY808" s="70" t="s">
        <v>24</v>
      </c>
      <c r="AZ808" s="70">
        <v>2364.0</v>
      </c>
    </row>
    <row r="809" ht="22.5" customHeight="1">
      <c r="A809" s="70" t="str">
        <f t="shared" si="1"/>
        <v>Excluded</v>
      </c>
      <c r="B809" s="70">
        <f t="shared" si="2"/>
        <v>0</v>
      </c>
      <c r="C809" s="70">
        <v>0.0</v>
      </c>
      <c r="D809" s="70">
        <v>0.0</v>
      </c>
      <c r="E809" s="70">
        <v>0.0</v>
      </c>
      <c r="F809" s="70">
        <v>0.0</v>
      </c>
      <c r="G809" s="70">
        <v>0.0</v>
      </c>
      <c r="H809" s="70" t="s">
        <v>21929</v>
      </c>
      <c r="I809" s="70">
        <v>2418.0</v>
      </c>
      <c r="J809" s="70" t="s">
        <v>30200</v>
      </c>
      <c r="K809" s="70" t="s">
        <v>21928</v>
      </c>
      <c r="L809" s="70" t="s">
        <v>16436</v>
      </c>
      <c r="N809" s="70" t="s">
        <v>16437</v>
      </c>
      <c r="P809" s="77">
        <v>45630.0</v>
      </c>
      <c r="U809" s="70" t="s">
        <v>239</v>
      </c>
      <c r="W809" s="70" t="s">
        <v>21931</v>
      </c>
      <c r="Y809" s="70" t="s">
        <v>30201</v>
      </c>
      <c r="Z809" s="75" t="s">
        <v>21933</v>
      </c>
      <c r="AA809" s="70" t="s">
        <v>21934</v>
      </c>
      <c r="AE809" s="70">
        <v>35.0</v>
      </c>
      <c r="AF809" s="70" t="s">
        <v>16423</v>
      </c>
      <c r="AW809" s="70" t="s">
        <v>21935</v>
      </c>
      <c r="AZ809" s="70">
        <v>802.0</v>
      </c>
    </row>
    <row r="810" ht="22.5" customHeight="1">
      <c r="A810" s="70" t="str">
        <f t="shared" si="1"/>
        <v>Excluded</v>
      </c>
      <c r="B810" s="70">
        <f t="shared" si="2"/>
        <v>0</v>
      </c>
      <c r="C810" s="70">
        <v>0.0</v>
      </c>
      <c r="D810" s="70">
        <v>0.0</v>
      </c>
      <c r="E810" s="70">
        <v>0.0</v>
      </c>
      <c r="F810" s="70">
        <v>0.0</v>
      </c>
      <c r="G810" s="70">
        <v>0.0</v>
      </c>
      <c r="H810" s="70" t="s">
        <v>22365</v>
      </c>
      <c r="I810" s="70">
        <v>2467.0</v>
      </c>
      <c r="J810" s="70" t="s">
        <v>22363</v>
      </c>
      <c r="K810" s="70" t="s">
        <v>22364</v>
      </c>
      <c r="L810" s="70" t="s">
        <v>16436</v>
      </c>
      <c r="N810" s="70" t="s">
        <v>16437</v>
      </c>
      <c r="P810" s="77">
        <v>45635.0</v>
      </c>
      <c r="U810" s="70" t="s">
        <v>239</v>
      </c>
      <c r="W810" s="70" t="s">
        <v>22367</v>
      </c>
      <c r="Y810" s="70" t="s">
        <v>30202</v>
      </c>
      <c r="Z810" s="75" t="s">
        <v>22369</v>
      </c>
      <c r="AA810" s="70" t="s">
        <v>22370</v>
      </c>
      <c r="AE810" s="70">
        <v>55.0</v>
      </c>
      <c r="AF810" s="70" t="s">
        <v>16423</v>
      </c>
      <c r="AW810" s="70" t="s">
        <v>22371</v>
      </c>
      <c r="AZ810" s="70">
        <v>813.0</v>
      </c>
    </row>
    <row r="811" ht="22.5" customHeight="1">
      <c r="A811" s="70" t="str">
        <f t="shared" si="1"/>
        <v>Excluded</v>
      </c>
      <c r="B811" s="70">
        <f t="shared" si="2"/>
        <v>0</v>
      </c>
      <c r="C811" s="70">
        <v>0.0</v>
      </c>
      <c r="D811" s="70">
        <v>0.0</v>
      </c>
      <c r="E811" s="70">
        <v>0.0</v>
      </c>
      <c r="F811" s="70">
        <v>0.0</v>
      </c>
      <c r="G811" s="70">
        <v>0.0</v>
      </c>
      <c r="H811" s="70" t="s">
        <v>21743</v>
      </c>
      <c r="I811" s="70">
        <v>2397.0</v>
      </c>
      <c r="J811" s="70" t="s">
        <v>21741</v>
      </c>
      <c r="K811" s="70" t="s">
        <v>21742</v>
      </c>
      <c r="L811" s="70" t="s">
        <v>16436</v>
      </c>
      <c r="N811" s="70" t="s">
        <v>16437</v>
      </c>
      <c r="P811" s="76">
        <v>45637.0</v>
      </c>
      <c r="U811" s="70" t="s">
        <v>239</v>
      </c>
      <c r="W811" s="70" t="s">
        <v>30203</v>
      </c>
      <c r="Z811" s="75" t="s">
        <v>21746</v>
      </c>
      <c r="AA811" s="70" t="s">
        <v>21747</v>
      </c>
      <c r="AE811" s="70">
        <v>162.0</v>
      </c>
      <c r="AF811" s="70" t="s">
        <v>16423</v>
      </c>
      <c r="AW811" s="70" t="s">
        <v>21748</v>
      </c>
      <c r="AZ811" s="70">
        <v>1221.0</v>
      </c>
    </row>
    <row r="812" ht="22.5" customHeight="1">
      <c r="A812" s="70" t="str">
        <f t="shared" si="1"/>
        <v>Excluded</v>
      </c>
      <c r="B812" s="70">
        <f t="shared" si="2"/>
        <v>0</v>
      </c>
      <c r="C812" s="70">
        <v>0.0</v>
      </c>
      <c r="D812" s="70">
        <v>0.0</v>
      </c>
      <c r="E812" s="70">
        <v>0.0</v>
      </c>
      <c r="F812" s="70">
        <v>0.0</v>
      </c>
      <c r="G812" s="70">
        <v>0.0</v>
      </c>
      <c r="H812" s="70" t="s">
        <v>21683</v>
      </c>
      <c r="I812" s="70">
        <v>2390.0</v>
      </c>
      <c r="J812" s="70" t="s">
        <v>21681</v>
      </c>
      <c r="K812" s="70" t="s">
        <v>21682</v>
      </c>
      <c r="L812" s="70" t="s">
        <v>16436</v>
      </c>
      <c r="N812" s="70" t="s">
        <v>16437</v>
      </c>
      <c r="P812" s="76">
        <v>45637.0</v>
      </c>
      <c r="U812" s="70" t="s">
        <v>239</v>
      </c>
      <c r="W812" s="70" t="s">
        <v>21684</v>
      </c>
      <c r="Z812" s="75" t="s">
        <v>21685</v>
      </c>
      <c r="AA812" s="70" t="s">
        <v>21686</v>
      </c>
      <c r="AE812" s="70">
        <v>101.0</v>
      </c>
      <c r="AF812" s="70" t="s">
        <v>16423</v>
      </c>
      <c r="AW812" s="70" t="s">
        <v>21687</v>
      </c>
      <c r="AX812" s="70">
        <v>0.0</v>
      </c>
      <c r="AY812" s="70" t="s">
        <v>24</v>
      </c>
      <c r="AZ812" s="70">
        <v>1859.0</v>
      </c>
    </row>
    <row r="813" ht="22.5" customHeight="1">
      <c r="A813" s="70" t="str">
        <f t="shared" si="1"/>
        <v>Excluded</v>
      </c>
      <c r="B813" s="70">
        <f t="shared" si="2"/>
        <v>0</v>
      </c>
      <c r="C813" s="70">
        <v>0.0</v>
      </c>
      <c r="D813" s="70">
        <v>0.0</v>
      </c>
      <c r="E813" s="70">
        <v>0.0</v>
      </c>
      <c r="F813" s="70">
        <v>0.0</v>
      </c>
      <c r="G813" s="70">
        <v>0.0</v>
      </c>
      <c r="H813" s="70" t="s">
        <v>21957</v>
      </c>
      <c r="I813" s="70">
        <v>2421.0</v>
      </c>
      <c r="J813" s="70" t="s">
        <v>21955</v>
      </c>
      <c r="K813" s="70" t="s">
        <v>21956</v>
      </c>
      <c r="L813" s="70" t="s">
        <v>16436</v>
      </c>
      <c r="N813" s="70" t="s">
        <v>16437</v>
      </c>
      <c r="P813" s="76">
        <v>45646.0</v>
      </c>
      <c r="U813" s="70" t="s">
        <v>239</v>
      </c>
      <c r="W813" s="70" t="s">
        <v>21959</v>
      </c>
      <c r="Y813" s="70" t="s">
        <v>30204</v>
      </c>
      <c r="Z813" s="75" t="s">
        <v>21961</v>
      </c>
      <c r="AA813" s="70" t="s">
        <v>21962</v>
      </c>
      <c r="AE813" s="70">
        <v>76.0</v>
      </c>
      <c r="AF813" s="70" t="s">
        <v>16423</v>
      </c>
      <c r="AW813" s="70" t="s">
        <v>21963</v>
      </c>
      <c r="AX813" s="70">
        <v>0.0</v>
      </c>
      <c r="AY813" s="70" t="s">
        <v>24</v>
      </c>
      <c r="AZ813" s="70">
        <v>1746.0</v>
      </c>
    </row>
    <row r="814" ht="22.5" customHeight="1">
      <c r="A814" s="70" t="str">
        <f t="shared" si="1"/>
        <v>Excluded</v>
      </c>
      <c r="B814" s="70">
        <f t="shared" si="2"/>
        <v>0</v>
      </c>
      <c r="C814" s="70">
        <v>0.0</v>
      </c>
      <c r="D814" s="70">
        <v>0.0</v>
      </c>
      <c r="E814" s="70">
        <v>0.0</v>
      </c>
      <c r="F814" s="70">
        <v>0.0</v>
      </c>
      <c r="G814" s="70">
        <v>0.0</v>
      </c>
      <c r="H814" s="70" t="s">
        <v>21577</v>
      </c>
      <c r="I814" s="70">
        <v>2378.0</v>
      </c>
      <c r="J814" s="70" t="s">
        <v>21575</v>
      </c>
      <c r="K814" s="70" t="s">
        <v>21576</v>
      </c>
      <c r="L814" s="70" t="s">
        <v>16436</v>
      </c>
      <c r="N814" s="70" t="s">
        <v>16437</v>
      </c>
      <c r="P814" s="76">
        <v>45649.0</v>
      </c>
      <c r="U814" s="70" t="s">
        <v>239</v>
      </c>
      <c r="W814" s="70" t="s">
        <v>30205</v>
      </c>
      <c r="Y814" s="70" t="s">
        <v>30206</v>
      </c>
      <c r="Z814" s="75" t="s">
        <v>21581</v>
      </c>
      <c r="AA814" s="70" t="s">
        <v>21582</v>
      </c>
      <c r="AE814" s="70">
        <v>43.0</v>
      </c>
      <c r="AF814" s="70" t="s">
        <v>16423</v>
      </c>
      <c r="AW814" s="70" t="s">
        <v>21583</v>
      </c>
      <c r="AZ814" s="70">
        <v>854.0</v>
      </c>
    </row>
    <row r="815" ht="22.5" customHeight="1">
      <c r="A815" s="70" t="str">
        <f t="shared" si="1"/>
        <v>Excluded</v>
      </c>
      <c r="B815" s="70">
        <f t="shared" si="2"/>
        <v>0</v>
      </c>
      <c r="C815" s="70">
        <v>0.0</v>
      </c>
      <c r="D815" s="70">
        <v>0.0</v>
      </c>
      <c r="E815" s="70">
        <v>0.0</v>
      </c>
      <c r="F815" s="70">
        <v>0.0</v>
      </c>
      <c r="G815" s="70">
        <v>0.0</v>
      </c>
      <c r="H815" s="70" t="s">
        <v>21975</v>
      </c>
      <c r="I815" s="70">
        <v>2423.0</v>
      </c>
      <c r="J815" s="70" t="s">
        <v>21973</v>
      </c>
      <c r="K815" s="70" t="s">
        <v>21974</v>
      </c>
      <c r="L815" s="70" t="s">
        <v>16436</v>
      </c>
      <c r="N815" s="70" t="s">
        <v>16437</v>
      </c>
      <c r="P815" s="77">
        <v>45665.0</v>
      </c>
      <c r="U815" s="70" t="s">
        <v>239</v>
      </c>
      <c r="W815" s="70" t="s">
        <v>30207</v>
      </c>
      <c r="Z815" s="75" t="s">
        <v>21978</v>
      </c>
      <c r="AA815" s="70" t="s">
        <v>21979</v>
      </c>
      <c r="AE815" s="70">
        <v>46.0</v>
      </c>
      <c r="AF815" s="70" t="s">
        <v>16423</v>
      </c>
      <c r="AW815" s="70" t="s">
        <v>21980</v>
      </c>
      <c r="AX815" s="70">
        <v>0.0</v>
      </c>
      <c r="AY815" s="70" t="s">
        <v>24</v>
      </c>
      <c r="AZ815" s="70">
        <v>2001.0</v>
      </c>
    </row>
    <row r="816" ht="22.5" customHeight="1">
      <c r="A816" s="70" t="str">
        <f t="shared" si="1"/>
        <v>Excluded</v>
      </c>
      <c r="B816" s="70">
        <f t="shared" si="2"/>
        <v>0</v>
      </c>
      <c r="C816" s="70">
        <v>0.0</v>
      </c>
      <c r="D816" s="70">
        <v>0.0</v>
      </c>
      <c r="E816" s="70">
        <v>0.0</v>
      </c>
      <c r="F816" s="70">
        <v>0.0</v>
      </c>
      <c r="G816" s="70">
        <v>0.0</v>
      </c>
      <c r="H816" s="70" t="s">
        <v>21690</v>
      </c>
      <c r="I816" s="70">
        <v>2391.0</v>
      </c>
      <c r="J816" s="70" t="s">
        <v>30208</v>
      </c>
      <c r="K816" s="70" t="s">
        <v>21689</v>
      </c>
      <c r="L816" s="70" t="s">
        <v>16436</v>
      </c>
      <c r="N816" s="70" t="s">
        <v>16437</v>
      </c>
      <c r="P816" s="76">
        <v>45673.0</v>
      </c>
      <c r="U816" s="70" t="s">
        <v>239</v>
      </c>
      <c r="W816" s="70" t="s">
        <v>30209</v>
      </c>
      <c r="Y816" s="70" t="s">
        <v>21693</v>
      </c>
      <c r="Z816" s="75" t="s">
        <v>21694</v>
      </c>
      <c r="AA816" s="70" t="s">
        <v>21695</v>
      </c>
      <c r="AE816" s="70">
        <v>162.0</v>
      </c>
      <c r="AF816" s="70" t="s">
        <v>16423</v>
      </c>
      <c r="AW816" s="70" t="s">
        <v>21696</v>
      </c>
      <c r="AX816" s="70">
        <v>0.0</v>
      </c>
      <c r="AY816" s="70" t="s">
        <v>24</v>
      </c>
      <c r="AZ816" s="70">
        <v>3068.0</v>
      </c>
    </row>
    <row r="817" ht="22.5" customHeight="1">
      <c r="A817" s="70" t="str">
        <f t="shared" si="1"/>
        <v>Excluded</v>
      </c>
      <c r="B817" s="70">
        <f t="shared" si="2"/>
        <v>0</v>
      </c>
      <c r="C817" s="70">
        <v>0.0</v>
      </c>
      <c r="D817" s="70">
        <v>0.0</v>
      </c>
      <c r="E817" s="70">
        <v>0.0</v>
      </c>
      <c r="F817" s="70">
        <v>0.0</v>
      </c>
      <c r="G817" s="70">
        <v>0.0</v>
      </c>
      <c r="H817" s="70" t="s">
        <v>22034</v>
      </c>
      <c r="I817" s="70">
        <v>2430.0</v>
      </c>
      <c r="J817" s="70" t="s">
        <v>22032</v>
      </c>
      <c r="K817" s="70" t="s">
        <v>22033</v>
      </c>
      <c r="L817" s="70" t="s">
        <v>16436</v>
      </c>
      <c r="N817" s="70" t="s">
        <v>16437</v>
      </c>
      <c r="P817" s="76">
        <v>45674.0</v>
      </c>
      <c r="U817" s="70" t="s">
        <v>239</v>
      </c>
      <c r="W817" s="70" t="s">
        <v>30210</v>
      </c>
      <c r="Y817" s="70" t="s">
        <v>22037</v>
      </c>
      <c r="Z817" s="75" t="s">
        <v>22038</v>
      </c>
      <c r="AA817" s="70" t="s">
        <v>22039</v>
      </c>
      <c r="AE817" s="70">
        <v>176.0</v>
      </c>
      <c r="AF817" s="70" t="s">
        <v>16423</v>
      </c>
      <c r="AW817" s="70" t="s">
        <v>22040</v>
      </c>
      <c r="AX817" s="70">
        <v>0.0</v>
      </c>
      <c r="AY817" s="70" t="s">
        <v>24</v>
      </c>
      <c r="AZ817" s="70">
        <v>2963.0</v>
      </c>
    </row>
    <row r="818" ht="22.5" customHeight="1">
      <c r="A818" s="70" t="str">
        <f t="shared" si="1"/>
        <v>Excluded</v>
      </c>
      <c r="B818" s="70">
        <f t="shared" si="2"/>
        <v>0</v>
      </c>
      <c r="C818" s="70">
        <v>0.0</v>
      </c>
      <c r="D818" s="70">
        <v>0.0</v>
      </c>
      <c r="E818" s="70">
        <v>0.0</v>
      </c>
      <c r="F818" s="70">
        <v>0.0</v>
      </c>
      <c r="G818" s="70">
        <v>0.0</v>
      </c>
      <c r="H818" s="70" t="s">
        <v>22183</v>
      </c>
      <c r="I818" s="70">
        <v>2447.0</v>
      </c>
      <c r="J818" s="70" t="s">
        <v>22181</v>
      </c>
      <c r="K818" s="70" t="s">
        <v>22182</v>
      </c>
      <c r="L818" s="70" t="s">
        <v>16436</v>
      </c>
      <c r="N818" s="70" t="s">
        <v>16437</v>
      </c>
      <c r="P818" s="76">
        <v>45677.0</v>
      </c>
      <c r="U818" s="70" t="s">
        <v>239</v>
      </c>
      <c r="W818" s="70" t="s">
        <v>22185</v>
      </c>
      <c r="Y818" s="70" t="s">
        <v>30211</v>
      </c>
      <c r="Z818" s="75" t="s">
        <v>22187</v>
      </c>
      <c r="AA818" s="70" t="s">
        <v>22188</v>
      </c>
      <c r="AE818" s="70">
        <v>303.0</v>
      </c>
      <c r="AF818" s="70" t="s">
        <v>16423</v>
      </c>
      <c r="AW818" s="70" t="s">
        <v>22189</v>
      </c>
      <c r="AZ818" s="70">
        <v>1228.0</v>
      </c>
    </row>
    <row r="819" ht="22.5" customHeight="1">
      <c r="A819" s="70" t="str">
        <f t="shared" si="1"/>
        <v>Excluded</v>
      </c>
      <c r="B819" s="70">
        <f t="shared" si="2"/>
        <v>0</v>
      </c>
      <c r="C819" s="70">
        <v>0.0</v>
      </c>
      <c r="D819" s="70">
        <v>0.0</v>
      </c>
      <c r="E819" s="70">
        <v>0.0</v>
      </c>
      <c r="F819" s="70">
        <v>0.0</v>
      </c>
      <c r="G819" s="70">
        <v>0.0</v>
      </c>
      <c r="H819" s="70" t="s">
        <v>22714</v>
      </c>
      <c r="I819" s="70">
        <v>2507.0</v>
      </c>
      <c r="J819" s="70" t="s">
        <v>22712</v>
      </c>
      <c r="K819" s="70" t="s">
        <v>22713</v>
      </c>
      <c r="W819" s="70" t="s">
        <v>30212</v>
      </c>
      <c r="AA819" s="70" t="s">
        <v>22716</v>
      </c>
      <c r="AI819" s="70" t="s">
        <v>22717</v>
      </c>
      <c r="AJ819" s="70" t="s">
        <v>22718</v>
      </c>
      <c r="AK819" s="70">
        <v>2025.0</v>
      </c>
      <c r="AL819" s="70" t="s">
        <v>16436</v>
      </c>
      <c r="AN819" s="70">
        <v>22931.0</v>
      </c>
      <c r="AO819" s="70">
        <v>22945.0</v>
      </c>
      <c r="AP819" s="70">
        <v>14.0</v>
      </c>
      <c r="AQ819" s="70">
        <v>0.0</v>
      </c>
      <c r="AR819" s="75" t="s">
        <v>22719</v>
      </c>
      <c r="AS819" s="70" t="s">
        <v>22525</v>
      </c>
      <c r="AT819" s="70" t="s">
        <v>22622</v>
      </c>
      <c r="AU819" s="70" t="s">
        <v>237</v>
      </c>
      <c r="AV819" s="70" t="s">
        <v>22720</v>
      </c>
      <c r="AW819" s="70" t="s">
        <v>22721</v>
      </c>
      <c r="AX819" s="70">
        <v>0.0</v>
      </c>
      <c r="AY819" s="70" t="s">
        <v>24</v>
      </c>
      <c r="AZ819" s="70">
        <v>2222.0</v>
      </c>
    </row>
    <row r="820" ht="22.5" customHeight="1">
      <c r="A820" s="70" t="str">
        <f t="shared" si="1"/>
        <v>Excluded</v>
      </c>
      <c r="B820" s="70">
        <f t="shared" si="2"/>
        <v>0</v>
      </c>
      <c r="C820" s="70">
        <v>0.0</v>
      </c>
      <c r="D820" s="70">
        <v>0.0</v>
      </c>
      <c r="E820" s="70">
        <v>0.0</v>
      </c>
      <c r="F820" s="70">
        <v>0.0</v>
      </c>
      <c r="G820" s="70">
        <v>0.0</v>
      </c>
      <c r="H820" s="70" t="s">
        <v>21638</v>
      </c>
      <c r="I820" s="70">
        <v>2385.0</v>
      </c>
      <c r="J820" s="70" t="s">
        <v>30213</v>
      </c>
      <c r="K820" s="70" t="s">
        <v>21637</v>
      </c>
      <c r="L820" s="70" t="s">
        <v>16436</v>
      </c>
      <c r="N820" s="70" t="s">
        <v>16437</v>
      </c>
      <c r="P820" s="77">
        <v>45692.0</v>
      </c>
      <c r="U820" s="70" t="s">
        <v>239</v>
      </c>
      <c r="W820" s="70" t="s">
        <v>21640</v>
      </c>
      <c r="Y820" s="70" t="s">
        <v>30214</v>
      </c>
      <c r="Z820" s="75" t="s">
        <v>21642</v>
      </c>
      <c r="AA820" s="70" t="s">
        <v>21643</v>
      </c>
      <c r="AE820" s="70">
        <v>33.0</v>
      </c>
      <c r="AF820" s="70" t="s">
        <v>16423</v>
      </c>
      <c r="AW820" s="70" t="s">
        <v>21644</v>
      </c>
      <c r="AX820" s="70">
        <v>0.0</v>
      </c>
      <c r="AY820" s="70" t="s">
        <v>24</v>
      </c>
      <c r="AZ820" s="70">
        <v>2271.0</v>
      </c>
    </row>
    <row r="821" ht="22.5" customHeight="1">
      <c r="A821" s="70" t="str">
        <f t="shared" si="1"/>
        <v>Excluded</v>
      </c>
      <c r="B821" s="70">
        <f t="shared" si="2"/>
        <v>0</v>
      </c>
      <c r="C821" s="70">
        <v>0.0</v>
      </c>
      <c r="D821" s="70">
        <v>0.0</v>
      </c>
      <c r="E821" s="70">
        <v>0.0</v>
      </c>
      <c r="F821" s="70">
        <v>0.0</v>
      </c>
      <c r="G821" s="70">
        <v>0.0</v>
      </c>
      <c r="H821" s="70" t="s">
        <v>22582</v>
      </c>
      <c r="I821" s="70">
        <v>2495.0</v>
      </c>
      <c r="J821" s="70" t="s">
        <v>22580</v>
      </c>
      <c r="K821" s="70" t="s">
        <v>22581</v>
      </c>
      <c r="W821" s="70" t="s">
        <v>30215</v>
      </c>
      <c r="AA821" s="70" t="s">
        <v>22584</v>
      </c>
      <c r="AI821" s="70" t="s">
        <v>22585</v>
      </c>
      <c r="AJ821" s="70" t="s">
        <v>22586</v>
      </c>
      <c r="AK821" s="70">
        <v>2025.0</v>
      </c>
      <c r="AL821" s="70" t="s">
        <v>16436</v>
      </c>
      <c r="AQ821" s="70">
        <v>0.0</v>
      </c>
      <c r="AR821" s="75" t="s">
        <v>22587</v>
      </c>
      <c r="AS821" s="70" t="s">
        <v>22588</v>
      </c>
      <c r="AU821" s="70" t="s">
        <v>237</v>
      </c>
      <c r="AV821" s="70" t="s">
        <v>22589</v>
      </c>
      <c r="AW821" s="70" t="s">
        <v>22590</v>
      </c>
      <c r="AX821" s="70">
        <v>0.0</v>
      </c>
      <c r="AY821" s="70" t="s">
        <v>24</v>
      </c>
      <c r="AZ821" s="70">
        <v>2263.0</v>
      </c>
    </row>
    <row r="822" ht="22.5" customHeight="1">
      <c r="A822" s="70" t="str">
        <f t="shared" si="1"/>
        <v>Excluded</v>
      </c>
      <c r="B822" s="70">
        <f t="shared" si="2"/>
        <v>0</v>
      </c>
      <c r="C822" s="70">
        <v>0.0</v>
      </c>
      <c r="D822" s="70">
        <v>0.0</v>
      </c>
      <c r="E822" s="70">
        <v>0.0</v>
      </c>
      <c r="F822" s="70">
        <v>0.0</v>
      </c>
      <c r="G822" s="70">
        <v>0.0</v>
      </c>
      <c r="H822" s="70" t="s">
        <v>22832</v>
      </c>
      <c r="I822" s="70">
        <v>2518.0</v>
      </c>
      <c r="J822" s="70" t="s">
        <v>22830</v>
      </c>
      <c r="K822" s="70" t="s">
        <v>22831</v>
      </c>
      <c r="W822" s="70" t="s">
        <v>22833</v>
      </c>
      <c r="AA822" s="70" t="s">
        <v>22834</v>
      </c>
      <c r="AI822" s="70" t="s">
        <v>22835</v>
      </c>
      <c r="AJ822" s="70" t="s">
        <v>22836</v>
      </c>
      <c r="AK822" s="70">
        <v>2025.0</v>
      </c>
      <c r="AL822" s="70" t="s">
        <v>16436</v>
      </c>
      <c r="AQ822" s="70">
        <v>0.0</v>
      </c>
      <c r="AR822" s="75" t="s">
        <v>22837</v>
      </c>
      <c r="AS822" s="70" t="s">
        <v>22588</v>
      </c>
      <c r="AU822" s="70" t="s">
        <v>237</v>
      </c>
      <c r="AV822" s="70" t="s">
        <v>22838</v>
      </c>
      <c r="AW822" s="70" t="s">
        <v>22839</v>
      </c>
      <c r="AX822" s="70">
        <v>0.0</v>
      </c>
      <c r="AY822" s="70" t="s">
        <v>24</v>
      </c>
      <c r="AZ822" s="70">
        <v>1967.0</v>
      </c>
    </row>
    <row r="823" ht="22.5" customHeight="1">
      <c r="A823" s="70" t="str">
        <f t="shared" si="1"/>
        <v>Excluded</v>
      </c>
      <c r="B823" s="70">
        <f t="shared" si="2"/>
        <v>0</v>
      </c>
      <c r="C823" s="70">
        <v>0.0</v>
      </c>
      <c r="D823" s="70">
        <v>0.0</v>
      </c>
      <c r="E823" s="70">
        <v>0.0</v>
      </c>
      <c r="F823" s="70">
        <v>0.0</v>
      </c>
      <c r="G823" s="70">
        <v>0.0</v>
      </c>
      <c r="H823" s="70" t="s">
        <v>22017</v>
      </c>
      <c r="I823" s="70">
        <v>2428.0</v>
      </c>
      <c r="J823" s="70" t="s">
        <v>22015</v>
      </c>
      <c r="K823" s="70" t="s">
        <v>22016</v>
      </c>
      <c r="L823" s="70" t="s">
        <v>16436</v>
      </c>
      <c r="N823" s="70" t="s">
        <v>16437</v>
      </c>
      <c r="P823" s="77">
        <v>45721.0</v>
      </c>
      <c r="U823" s="70" t="s">
        <v>239</v>
      </c>
      <c r="W823" s="70" t="s">
        <v>30216</v>
      </c>
      <c r="Z823" s="75" t="s">
        <v>22020</v>
      </c>
      <c r="AA823" s="70" t="s">
        <v>22021</v>
      </c>
      <c r="AE823" s="70">
        <v>142.0</v>
      </c>
      <c r="AF823" s="70" t="s">
        <v>16423</v>
      </c>
      <c r="AW823" s="70" t="s">
        <v>22022</v>
      </c>
      <c r="AZ823" s="70">
        <v>799.0</v>
      </c>
    </row>
    <row r="824" ht="22.5" customHeight="1">
      <c r="A824" s="70" t="str">
        <f t="shared" si="1"/>
        <v>Excluded</v>
      </c>
      <c r="B824" s="70">
        <f t="shared" si="2"/>
        <v>0</v>
      </c>
      <c r="C824" s="70">
        <v>0.0</v>
      </c>
      <c r="D824" s="70">
        <v>0.0</v>
      </c>
      <c r="E824" s="70">
        <v>0.0</v>
      </c>
      <c r="F824" s="70">
        <v>0.0</v>
      </c>
      <c r="G824" s="70">
        <v>0.0</v>
      </c>
      <c r="H824" s="70" t="s">
        <v>11658</v>
      </c>
      <c r="I824" s="70">
        <v>1221.0</v>
      </c>
      <c r="J824" s="70" t="s">
        <v>11655</v>
      </c>
      <c r="K824" s="70" t="s">
        <v>11656</v>
      </c>
      <c r="L824" s="70" t="s">
        <v>11657</v>
      </c>
      <c r="P824" s="76">
        <v>45371.0</v>
      </c>
      <c r="U824" s="70" t="s">
        <v>239</v>
      </c>
      <c r="W824" s="70" t="s">
        <v>11660</v>
      </c>
      <c r="X824" s="70" t="s">
        <v>11661</v>
      </c>
      <c r="Y824" s="70" t="s">
        <v>30217</v>
      </c>
      <c r="Z824" s="75" t="s">
        <v>11663</v>
      </c>
      <c r="AA824" s="70" t="s">
        <v>11664</v>
      </c>
      <c r="AC824" s="70">
        <v>2.0</v>
      </c>
      <c r="AE824" s="70">
        <v>36.0</v>
      </c>
      <c r="AF824" s="70" t="s">
        <v>239</v>
      </c>
      <c r="AW824" s="70" t="s">
        <v>11665</v>
      </c>
      <c r="AZ824" s="70">
        <v>1206.0</v>
      </c>
    </row>
    <row r="825" ht="22.5" customHeight="1">
      <c r="A825" s="70" t="str">
        <f t="shared" si="1"/>
        <v>Excluded</v>
      </c>
      <c r="B825" s="70">
        <f t="shared" si="2"/>
        <v>0</v>
      </c>
      <c r="C825" s="70">
        <v>0.0</v>
      </c>
      <c r="D825" s="70">
        <v>0.0</v>
      </c>
      <c r="E825" s="70">
        <v>0.0</v>
      </c>
      <c r="F825" s="70">
        <v>0.0</v>
      </c>
      <c r="G825" s="70">
        <v>0.0</v>
      </c>
      <c r="H825" s="70" t="s">
        <v>14344</v>
      </c>
      <c r="I825" s="70">
        <v>1496.0</v>
      </c>
      <c r="J825" s="70" t="s">
        <v>14341</v>
      </c>
      <c r="K825" s="70" t="s">
        <v>14342</v>
      </c>
      <c r="L825" s="70" t="s">
        <v>14343</v>
      </c>
      <c r="P825" s="76">
        <v>45594.0</v>
      </c>
      <c r="U825" s="70" t="s">
        <v>239</v>
      </c>
      <c r="W825" s="70" t="s">
        <v>30218</v>
      </c>
      <c r="X825" s="70" t="s">
        <v>14347</v>
      </c>
      <c r="Z825" s="75" t="s">
        <v>14348</v>
      </c>
      <c r="AA825" s="70" t="s">
        <v>14349</v>
      </c>
      <c r="AE825" s="70">
        <v>15.0</v>
      </c>
      <c r="AF825" s="70" t="s">
        <v>239</v>
      </c>
      <c r="AW825" s="70" t="s">
        <v>14350</v>
      </c>
      <c r="AZ825" s="70">
        <v>1395.0</v>
      </c>
    </row>
    <row r="826" ht="22.5" customHeight="1">
      <c r="A826" s="70" t="str">
        <f t="shared" si="1"/>
        <v>Excluded</v>
      </c>
      <c r="B826" s="70">
        <f t="shared" si="2"/>
        <v>0</v>
      </c>
      <c r="C826" s="70">
        <v>0.0</v>
      </c>
      <c r="D826" s="70">
        <v>0.0</v>
      </c>
      <c r="E826" s="70">
        <v>0.0</v>
      </c>
      <c r="F826" s="70">
        <v>0.0</v>
      </c>
      <c r="G826" s="70">
        <v>0.0</v>
      </c>
      <c r="H826" s="70" t="s">
        <v>15299</v>
      </c>
      <c r="I826" s="70">
        <v>1596.0</v>
      </c>
      <c r="J826" s="70" t="s">
        <v>15296</v>
      </c>
      <c r="K826" s="70" t="s">
        <v>15297</v>
      </c>
      <c r="L826" s="70" t="s">
        <v>15298</v>
      </c>
      <c r="P826" s="76">
        <v>45657.0</v>
      </c>
      <c r="U826" s="70" t="s">
        <v>239</v>
      </c>
      <c r="W826" s="70" t="s">
        <v>15301</v>
      </c>
      <c r="X826" s="70" t="s">
        <v>15302</v>
      </c>
      <c r="Z826" s="75" t="s">
        <v>15303</v>
      </c>
      <c r="AA826" s="70" t="s">
        <v>15304</v>
      </c>
      <c r="AE826" s="70">
        <v>87.0</v>
      </c>
      <c r="AF826" s="70" t="s">
        <v>239</v>
      </c>
      <c r="AW826" s="70" t="s">
        <v>15305</v>
      </c>
      <c r="AZ826" s="70">
        <v>788.0</v>
      </c>
    </row>
    <row r="827" ht="22.5" customHeight="1">
      <c r="A827" s="70" t="str">
        <f t="shared" si="1"/>
        <v>Excluded</v>
      </c>
      <c r="B827" s="70">
        <f t="shared" si="2"/>
        <v>0</v>
      </c>
      <c r="C827" s="70">
        <v>0.0</v>
      </c>
      <c r="D827" s="70">
        <v>0.0</v>
      </c>
      <c r="E827" s="70">
        <v>0.0</v>
      </c>
      <c r="F827" s="70">
        <v>0.0</v>
      </c>
      <c r="G827" s="70">
        <v>0.0</v>
      </c>
      <c r="H827" s="70" t="s">
        <v>10979</v>
      </c>
      <c r="I827" s="70">
        <v>1139.0</v>
      </c>
      <c r="K827" s="70" t="s">
        <v>10805</v>
      </c>
      <c r="L827" s="70" t="s">
        <v>10977</v>
      </c>
      <c r="N827" s="70" t="s">
        <v>10978</v>
      </c>
      <c r="P827" s="76">
        <v>44846.0</v>
      </c>
      <c r="U827" s="70" t="s">
        <v>239</v>
      </c>
      <c r="W827" s="70" t="s">
        <v>10710</v>
      </c>
      <c r="X827" s="70" t="s">
        <v>10981</v>
      </c>
      <c r="Z827" s="75" t="s">
        <v>10982</v>
      </c>
      <c r="AF827" s="70" t="s">
        <v>239</v>
      </c>
      <c r="AZ827" s="70">
        <v>1516.0</v>
      </c>
    </row>
    <row r="828" ht="22.5" customHeight="1">
      <c r="A828" s="70" t="str">
        <f t="shared" si="1"/>
        <v>Excluded</v>
      </c>
      <c r="B828" s="70">
        <f t="shared" si="2"/>
        <v>0</v>
      </c>
      <c r="C828" s="70">
        <v>0.0</v>
      </c>
      <c r="D828" s="70">
        <v>0.0</v>
      </c>
      <c r="E828" s="70">
        <v>0.0</v>
      </c>
      <c r="F828" s="70">
        <v>0.0</v>
      </c>
      <c r="G828" s="70">
        <v>0.0</v>
      </c>
      <c r="H828" s="70" t="s">
        <v>5314</v>
      </c>
      <c r="I828" s="70">
        <v>497.0</v>
      </c>
      <c r="J828" s="70" t="s">
        <v>5311</v>
      </c>
      <c r="K828" s="70" t="s">
        <v>5312</v>
      </c>
      <c r="L828" s="70" t="s">
        <v>5313</v>
      </c>
      <c r="P828" s="77">
        <v>44020.0</v>
      </c>
      <c r="U828" s="70" t="s">
        <v>239</v>
      </c>
      <c r="W828" s="70" t="s">
        <v>5316</v>
      </c>
      <c r="X828" s="70" t="s">
        <v>5317</v>
      </c>
      <c r="Z828" s="75" t="s">
        <v>5318</v>
      </c>
      <c r="AA828" s="70" t="s">
        <v>5319</v>
      </c>
      <c r="AC828" s="70">
        <v>14.0</v>
      </c>
      <c r="AE828" s="70">
        <v>12.0</v>
      </c>
      <c r="AF828" s="70" t="s">
        <v>239</v>
      </c>
      <c r="AW828" s="70" t="s">
        <v>5320</v>
      </c>
      <c r="AX828" s="70">
        <v>0.0</v>
      </c>
      <c r="AY828" s="70" t="s">
        <v>24</v>
      </c>
      <c r="AZ828" s="70">
        <v>3134.0</v>
      </c>
    </row>
    <row r="829" ht="22.5" customHeight="1">
      <c r="A829" s="70" t="str">
        <f t="shared" si="1"/>
        <v>Excluded</v>
      </c>
      <c r="B829" s="70">
        <f t="shared" si="2"/>
        <v>0</v>
      </c>
      <c r="C829" s="70">
        <v>0.0</v>
      </c>
      <c r="D829" s="70">
        <v>0.0</v>
      </c>
      <c r="E829" s="70">
        <v>0.0</v>
      </c>
      <c r="F829" s="70">
        <v>0.0</v>
      </c>
      <c r="G829" s="70">
        <v>0.0</v>
      </c>
      <c r="H829" s="70" t="s">
        <v>10622</v>
      </c>
      <c r="I829" s="70">
        <v>1051.0</v>
      </c>
      <c r="K829" s="70" t="s">
        <v>10597</v>
      </c>
      <c r="L829" s="70" t="s">
        <v>8590</v>
      </c>
      <c r="P829" s="77">
        <v>44713.0</v>
      </c>
      <c r="U829" s="70" t="s">
        <v>239</v>
      </c>
      <c r="W829" s="70" t="s">
        <v>10602</v>
      </c>
      <c r="X829" s="70" t="s">
        <v>8594</v>
      </c>
      <c r="Z829" s="75" t="s">
        <v>10624</v>
      </c>
      <c r="AF829" s="70" t="s">
        <v>239</v>
      </c>
      <c r="AZ829" s="70">
        <v>1592.0</v>
      </c>
    </row>
    <row r="830" ht="22.5" customHeight="1">
      <c r="A830" s="70" t="str">
        <f t="shared" si="1"/>
        <v>Excluded</v>
      </c>
      <c r="B830" s="70">
        <f t="shared" si="2"/>
        <v>0</v>
      </c>
      <c r="C830" s="70">
        <v>0.0</v>
      </c>
      <c r="D830" s="70">
        <v>0.0</v>
      </c>
      <c r="E830" s="70">
        <v>0.0</v>
      </c>
      <c r="F830" s="70">
        <v>0.0</v>
      </c>
      <c r="G830" s="70">
        <v>0.0</v>
      </c>
      <c r="H830" s="70" t="s">
        <v>7011</v>
      </c>
      <c r="I830" s="70">
        <v>669.0</v>
      </c>
      <c r="J830" s="70" t="s">
        <v>7008</v>
      </c>
      <c r="K830" s="70" t="s">
        <v>7009</v>
      </c>
      <c r="L830" s="70" t="s">
        <v>7010</v>
      </c>
      <c r="P830" s="76">
        <v>44089.0</v>
      </c>
      <c r="U830" s="70" t="s">
        <v>239</v>
      </c>
      <c r="W830" s="70" t="s">
        <v>7013</v>
      </c>
      <c r="X830" s="70" t="s">
        <v>7014</v>
      </c>
      <c r="Z830" s="75" t="s">
        <v>7015</v>
      </c>
      <c r="AA830" s="70" t="s">
        <v>7016</v>
      </c>
      <c r="AC830" s="70">
        <v>4.0</v>
      </c>
      <c r="AE830" s="70">
        <v>29.0</v>
      </c>
      <c r="AF830" s="70" t="s">
        <v>239</v>
      </c>
      <c r="AW830" s="70" t="s">
        <v>7017</v>
      </c>
      <c r="AX830" s="70">
        <v>0.0</v>
      </c>
      <c r="AY830" s="70" t="s">
        <v>24</v>
      </c>
      <c r="AZ830" s="70">
        <v>2315.0</v>
      </c>
    </row>
    <row r="831" ht="22.5" customHeight="1">
      <c r="A831" s="70" t="str">
        <f t="shared" si="1"/>
        <v>Excluded</v>
      </c>
      <c r="B831" s="70">
        <f t="shared" si="2"/>
        <v>0</v>
      </c>
      <c r="C831" s="70">
        <v>0.0</v>
      </c>
      <c r="D831" s="70">
        <v>0.0</v>
      </c>
      <c r="E831" s="70">
        <v>0.0</v>
      </c>
      <c r="F831" s="70">
        <v>0.0</v>
      </c>
      <c r="G831" s="70">
        <v>0.0</v>
      </c>
      <c r="H831" s="70" t="s">
        <v>11583</v>
      </c>
      <c r="I831" s="70">
        <v>1213.0</v>
      </c>
      <c r="J831" s="70" t="s">
        <v>11580</v>
      </c>
      <c r="K831" s="70" t="s">
        <v>11581</v>
      </c>
      <c r="L831" s="70" t="s">
        <v>11582</v>
      </c>
      <c r="P831" s="78">
        <v>45435.0</v>
      </c>
      <c r="U831" s="70" t="s">
        <v>239</v>
      </c>
      <c r="W831" s="70" t="s">
        <v>11585</v>
      </c>
      <c r="X831" s="70" t="s">
        <v>11586</v>
      </c>
      <c r="Z831" s="75" t="s">
        <v>11587</v>
      </c>
      <c r="AA831" s="70" t="s">
        <v>11588</v>
      </c>
      <c r="AC831" s="70">
        <v>2.0</v>
      </c>
      <c r="AE831" s="70">
        <v>24.0</v>
      </c>
      <c r="AF831" s="70" t="s">
        <v>239</v>
      </c>
      <c r="AW831" s="70" t="s">
        <v>11589</v>
      </c>
      <c r="AX831" s="70">
        <v>0.0</v>
      </c>
      <c r="AY831" s="70" t="s">
        <v>24</v>
      </c>
      <c r="AZ831" s="70">
        <v>2482.0</v>
      </c>
    </row>
    <row r="832" ht="22.5" customHeight="1">
      <c r="A832" s="70" t="str">
        <f t="shared" si="1"/>
        <v>Excluded</v>
      </c>
      <c r="B832" s="70">
        <f t="shared" si="2"/>
        <v>0</v>
      </c>
      <c r="C832" s="70">
        <v>0.0</v>
      </c>
      <c r="D832" s="70">
        <v>0.0</v>
      </c>
      <c r="E832" s="70">
        <v>0.0</v>
      </c>
      <c r="F832" s="70">
        <v>0.0</v>
      </c>
      <c r="G832" s="70">
        <v>0.0</v>
      </c>
      <c r="H832" s="70" t="s">
        <v>14253</v>
      </c>
      <c r="I832" s="70">
        <v>1486.0</v>
      </c>
      <c r="J832" s="70" t="s">
        <v>14251</v>
      </c>
      <c r="K832" s="70" t="s">
        <v>14252</v>
      </c>
      <c r="L832" s="70" t="s">
        <v>11582</v>
      </c>
      <c r="P832" s="78">
        <v>45435.0</v>
      </c>
      <c r="U832" s="70" t="s">
        <v>239</v>
      </c>
      <c r="W832" s="70" t="s">
        <v>14255</v>
      </c>
      <c r="X832" s="70" t="s">
        <v>11586</v>
      </c>
      <c r="Z832" s="75" t="s">
        <v>14256</v>
      </c>
      <c r="AA832" s="70" t="s">
        <v>14257</v>
      </c>
      <c r="AE832" s="70">
        <v>15.0</v>
      </c>
      <c r="AF832" s="70" t="s">
        <v>239</v>
      </c>
      <c r="AW832" s="70" t="s">
        <v>14258</v>
      </c>
      <c r="AX832" s="70">
        <v>0.0</v>
      </c>
      <c r="AY832" s="70" t="s">
        <v>24</v>
      </c>
      <c r="AZ832" s="70">
        <v>3056.0</v>
      </c>
    </row>
    <row r="833" ht="22.5" customHeight="1">
      <c r="A833" s="70" t="str">
        <f t="shared" si="1"/>
        <v>Excluded</v>
      </c>
      <c r="B833" s="70">
        <f t="shared" si="2"/>
        <v>0</v>
      </c>
      <c r="C833" s="70">
        <v>0.0</v>
      </c>
      <c r="D833" s="70">
        <v>0.0</v>
      </c>
      <c r="E833" s="70">
        <v>0.0</v>
      </c>
      <c r="F833" s="70">
        <v>0.0</v>
      </c>
      <c r="G833" s="70">
        <v>0.0</v>
      </c>
      <c r="H833" s="70" t="s">
        <v>10714</v>
      </c>
      <c r="I833" s="70">
        <v>1071.0</v>
      </c>
      <c r="K833" s="70" t="s">
        <v>10597</v>
      </c>
      <c r="L833" s="70" t="s">
        <v>10713</v>
      </c>
      <c r="P833" s="76">
        <v>44852.0</v>
      </c>
      <c r="U833" s="70" t="s">
        <v>239</v>
      </c>
      <c r="W833" s="70" t="s">
        <v>10710</v>
      </c>
      <c r="X833" s="70" t="s">
        <v>10716</v>
      </c>
      <c r="Z833" s="75" t="s">
        <v>10717</v>
      </c>
      <c r="AF833" s="70" t="s">
        <v>239</v>
      </c>
      <c r="AZ833" s="70">
        <v>1527.0</v>
      </c>
    </row>
    <row r="834" ht="22.5" customHeight="1">
      <c r="A834" s="70" t="str">
        <f t="shared" si="1"/>
        <v>Excluded</v>
      </c>
      <c r="B834" s="70">
        <f t="shared" si="2"/>
        <v>0</v>
      </c>
      <c r="C834" s="70">
        <v>0.0</v>
      </c>
      <c r="D834" s="70">
        <v>0.0</v>
      </c>
      <c r="E834" s="70">
        <v>0.0</v>
      </c>
      <c r="F834" s="70">
        <v>0.0</v>
      </c>
      <c r="G834" s="70">
        <v>0.0</v>
      </c>
      <c r="H834" s="70" t="s">
        <v>8609</v>
      </c>
      <c r="I834" s="70">
        <v>836.0</v>
      </c>
      <c r="J834" s="70" t="s">
        <v>8606</v>
      </c>
      <c r="K834" s="70" t="s">
        <v>8607</v>
      </c>
      <c r="L834" s="70" t="s">
        <v>8608</v>
      </c>
      <c r="P834" s="76">
        <v>44309.0</v>
      </c>
      <c r="U834" s="70" t="s">
        <v>239</v>
      </c>
      <c r="W834" s="70" t="s">
        <v>8611</v>
      </c>
      <c r="X834" s="70" t="s">
        <v>8612</v>
      </c>
      <c r="Z834" s="75" t="s">
        <v>8613</v>
      </c>
      <c r="AA834" s="70" t="s">
        <v>8614</v>
      </c>
      <c r="AC834" s="70">
        <v>1.0</v>
      </c>
      <c r="AE834" s="70">
        <v>15.0</v>
      </c>
      <c r="AF834" s="70" t="s">
        <v>239</v>
      </c>
      <c r="AW834" s="70" t="s">
        <v>8615</v>
      </c>
      <c r="AZ834" s="70">
        <v>252.0</v>
      </c>
    </row>
    <row r="835" ht="22.5" customHeight="1">
      <c r="A835" s="70" t="str">
        <f t="shared" si="1"/>
        <v>Excluded</v>
      </c>
      <c r="B835" s="70">
        <f t="shared" si="2"/>
        <v>0</v>
      </c>
      <c r="C835" s="70">
        <v>0.0</v>
      </c>
      <c r="D835" s="70">
        <v>0.0</v>
      </c>
      <c r="E835" s="70">
        <v>0.0</v>
      </c>
      <c r="F835" s="70">
        <v>0.0</v>
      </c>
      <c r="G835" s="70">
        <v>0.0</v>
      </c>
      <c r="H835" s="70" t="s">
        <v>16272</v>
      </c>
      <c r="I835" s="70">
        <v>1764.0</v>
      </c>
      <c r="K835" s="70" t="s">
        <v>16270</v>
      </c>
      <c r="L835" s="70" t="s">
        <v>16271</v>
      </c>
      <c r="P835" s="76">
        <v>45372.0</v>
      </c>
      <c r="U835" s="70" t="s">
        <v>239</v>
      </c>
      <c r="X835" s="70" t="s">
        <v>16273</v>
      </c>
      <c r="Z835" s="75" t="s">
        <v>16274</v>
      </c>
      <c r="AF835" s="70" t="s">
        <v>239</v>
      </c>
      <c r="AZ835" s="70">
        <v>1459.0</v>
      </c>
    </row>
    <row r="836" ht="22.5" customHeight="1">
      <c r="A836" s="70" t="str">
        <f t="shared" si="1"/>
        <v>Excluded</v>
      </c>
      <c r="B836" s="70">
        <f t="shared" si="2"/>
        <v>0</v>
      </c>
      <c r="C836" s="70">
        <v>0.0</v>
      </c>
      <c r="D836" s="70">
        <v>0.0</v>
      </c>
      <c r="E836" s="70">
        <v>0.0</v>
      </c>
      <c r="F836" s="70">
        <v>0.0</v>
      </c>
      <c r="G836" s="70">
        <v>0.0</v>
      </c>
      <c r="H836" s="70" t="s">
        <v>11029</v>
      </c>
      <c r="I836" s="70">
        <v>1154.0</v>
      </c>
      <c r="K836" s="70" t="s">
        <v>10597</v>
      </c>
      <c r="L836" s="70" t="s">
        <v>11028</v>
      </c>
      <c r="P836" s="76">
        <v>44427.0</v>
      </c>
      <c r="U836" s="70" t="s">
        <v>239</v>
      </c>
      <c r="W836" s="70" t="s">
        <v>10602</v>
      </c>
      <c r="X836" s="70" t="s">
        <v>11030</v>
      </c>
      <c r="Z836" s="75" t="s">
        <v>11031</v>
      </c>
      <c r="AF836" s="70" t="s">
        <v>239</v>
      </c>
      <c r="AZ836" s="70">
        <v>1607.0</v>
      </c>
    </row>
    <row r="837" ht="22.5" customHeight="1">
      <c r="A837" s="70" t="str">
        <f t="shared" si="1"/>
        <v>Excluded</v>
      </c>
      <c r="B837" s="70">
        <f t="shared" si="2"/>
        <v>0</v>
      </c>
      <c r="C837" s="70">
        <v>0.0</v>
      </c>
      <c r="D837" s="70">
        <v>0.0</v>
      </c>
      <c r="E837" s="70">
        <v>0.0</v>
      </c>
      <c r="F837" s="70">
        <v>0.0</v>
      </c>
      <c r="G837" s="70">
        <v>0.0</v>
      </c>
      <c r="H837" s="70" t="s">
        <v>9227</v>
      </c>
      <c r="I837" s="70">
        <v>899.0</v>
      </c>
      <c r="K837" s="70" t="s">
        <v>9225</v>
      </c>
      <c r="L837" s="70" t="s">
        <v>9226</v>
      </c>
      <c r="P837" s="77">
        <v>42894.0</v>
      </c>
      <c r="U837" s="70" t="s">
        <v>239</v>
      </c>
      <c r="W837" s="70" t="s">
        <v>9228</v>
      </c>
      <c r="X837" s="70" t="s">
        <v>9229</v>
      </c>
      <c r="Z837" s="75" t="s">
        <v>9230</v>
      </c>
      <c r="AC837" s="70">
        <v>1.0</v>
      </c>
      <c r="AF837" s="70" t="s">
        <v>239</v>
      </c>
      <c r="AW837" s="70" t="s">
        <v>9231</v>
      </c>
      <c r="AZ837" s="70">
        <v>1304.0</v>
      </c>
    </row>
    <row r="838" ht="22.5" customHeight="1">
      <c r="A838" s="70" t="str">
        <f t="shared" si="1"/>
        <v>Excluded</v>
      </c>
      <c r="B838" s="70">
        <f t="shared" si="2"/>
        <v>0</v>
      </c>
      <c r="C838" s="70">
        <v>0.0</v>
      </c>
      <c r="D838" s="70">
        <v>0.0</v>
      </c>
      <c r="E838" s="70">
        <v>0.0</v>
      </c>
      <c r="F838" s="70">
        <v>0.0</v>
      </c>
      <c r="G838" s="70">
        <v>0.0</v>
      </c>
      <c r="H838" s="70" t="s">
        <v>8072</v>
      </c>
      <c r="I838" s="70">
        <v>779.0</v>
      </c>
      <c r="J838" s="70" t="s">
        <v>30219</v>
      </c>
      <c r="K838" s="70" t="s">
        <v>8069</v>
      </c>
      <c r="L838" s="70" t="s">
        <v>8070</v>
      </c>
      <c r="N838" s="70" t="s">
        <v>8071</v>
      </c>
      <c r="P838" s="77">
        <v>44354.0</v>
      </c>
      <c r="U838" s="70" t="s">
        <v>239</v>
      </c>
      <c r="W838" s="70" t="s">
        <v>8074</v>
      </c>
      <c r="X838" s="70" t="s">
        <v>8075</v>
      </c>
      <c r="Y838" s="70" t="s">
        <v>30220</v>
      </c>
      <c r="Z838" s="75" t="s">
        <v>8077</v>
      </c>
      <c r="AC838" s="70">
        <v>2.0</v>
      </c>
      <c r="AE838" s="70">
        <v>14.0</v>
      </c>
      <c r="AF838" s="70" t="s">
        <v>239</v>
      </c>
      <c r="AW838" s="70" t="s">
        <v>8078</v>
      </c>
      <c r="AZ838" s="70">
        <v>457.0</v>
      </c>
    </row>
    <row r="839" ht="22.5" customHeight="1">
      <c r="A839" s="70" t="str">
        <f t="shared" si="1"/>
        <v>Excluded</v>
      </c>
      <c r="B839" s="70">
        <f t="shared" si="2"/>
        <v>0</v>
      </c>
      <c r="C839" s="70">
        <v>0.0</v>
      </c>
      <c r="D839" s="70">
        <v>0.0</v>
      </c>
      <c r="E839" s="70">
        <v>0.0</v>
      </c>
      <c r="F839" s="70">
        <v>0.0</v>
      </c>
      <c r="G839" s="70">
        <v>0.0</v>
      </c>
      <c r="H839" s="70" t="s">
        <v>15689</v>
      </c>
      <c r="I839" s="70">
        <v>1638.0</v>
      </c>
      <c r="J839" s="70" t="s">
        <v>15686</v>
      </c>
      <c r="K839" s="70" t="s">
        <v>15687</v>
      </c>
      <c r="L839" s="70" t="s">
        <v>15688</v>
      </c>
      <c r="N839" s="70" t="s">
        <v>8071</v>
      </c>
      <c r="P839" s="78">
        <v>45061.0</v>
      </c>
      <c r="U839" s="70" t="s">
        <v>239</v>
      </c>
      <c r="W839" s="70" t="s">
        <v>15691</v>
      </c>
      <c r="X839" s="70" t="s">
        <v>15692</v>
      </c>
      <c r="Z839" s="75" t="s">
        <v>15693</v>
      </c>
      <c r="AE839" s="70">
        <v>43.0</v>
      </c>
      <c r="AF839" s="70" t="s">
        <v>239</v>
      </c>
      <c r="AW839" s="70" t="s">
        <v>15694</v>
      </c>
      <c r="AX839" s="70">
        <v>0.0</v>
      </c>
      <c r="AY839" s="70" t="s">
        <v>24</v>
      </c>
      <c r="AZ839" s="70">
        <v>2736.0</v>
      </c>
    </row>
    <row r="840" ht="22.5" customHeight="1">
      <c r="A840" s="70" t="str">
        <f t="shared" si="1"/>
        <v>Excluded</v>
      </c>
      <c r="B840" s="70">
        <f t="shared" si="2"/>
        <v>0</v>
      </c>
      <c r="C840" s="70">
        <v>0.0</v>
      </c>
      <c r="D840" s="70">
        <v>0.0</v>
      </c>
      <c r="E840" s="70">
        <v>0.0</v>
      </c>
      <c r="F840" s="70">
        <v>0.0</v>
      </c>
      <c r="G840" s="70">
        <v>0.0</v>
      </c>
      <c r="H840" s="70" t="s">
        <v>12636</v>
      </c>
      <c r="I840" s="70">
        <v>1318.0</v>
      </c>
      <c r="J840" s="70" t="s">
        <v>12633</v>
      </c>
      <c r="K840" s="70" t="s">
        <v>12634</v>
      </c>
      <c r="L840" s="70" t="s">
        <v>12635</v>
      </c>
      <c r="N840" s="70" t="s">
        <v>8071</v>
      </c>
      <c r="P840" s="78">
        <v>45425.0</v>
      </c>
      <c r="U840" s="70" t="s">
        <v>239</v>
      </c>
      <c r="W840" s="70" t="s">
        <v>12638</v>
      </c>
      <c r="X840" s="70" t="s">
        <v>12639</v>
      </c>
      <c r="Z840" s="75" t="s">
        <v>12640</v>
      </c>
      <c r="AE840" s="70">
        <v>39.0</v>
      </c>
      <c r="AF840" s="70" t="s">
        <v>239</v>
      </c>
      <c r="AW840" s="70" t="s">
        <v>12641</v>
      </c>
      <c r="AZ840" s="70">
        <v>1253.0</v>
      </c>
    </row>
    <row r="841" ht="22.5" customHeight="1">
      <c r="A841" s="70" t="str">
        <f t="shared" si="1"/>
        <v>Excluded</v>
      </c>
      <c r="B841" s="70">
        <f t="shared" si="2"/>
        <v>0</v>
      </c>
      <c r="C841" s="70">
        <v>0.0</v>
      </c>
      <c r="D841" s="70">
        <v>0.0</v>
      </c>
      <c r="E841" s="70">
        <v>0.0</v>
      </c>
      <c r="F841" s="70">
        <v>0.0</v>
      </c>
      <c r="G841" s="70">
        <v>0.0</v>
      </c>
      <c r="H841" s="70" t="s">
        <v>12533</v>
      </c>
      <c r="I841" s="70">
        <v>1308.0</v>
      </c>
      <c r="J841" s="70" t="s">
        <v>12530</v>
      </c>
      <c r="K841" s="70" t="s">
        <v>12531</v>
      </c>
      <c r="L841" s="70" t="s">
        <v>12532</v>
      </c>
      <c r="P841" s="76">
        <v>45715.0</v>
      </c>
      <c r="U841" s="70" t="s">
        <v>239</v>
      </c>
      <c r="W841" s="70" t="s">
        <v>12535</v>
      </c>
      <c r="X841" s="70" t="s">
        <v>12536</v>
      </c>
      <c r="Z841" s="75" t="s">
        <v>12537</v>
      </c>
      <c r="AA841" s="70" t="s">
        <v>12538</v>
      </c>
      <c r="AE841" s="70">
        <v>15.0</v>
      </c>
      <c r="AF841" s="70" t="s">
        <v>239</v>
      </c>
      <c r="AW841" s="70" t="s">
        <v>12539</v>
      </c>
      <c r="AX841" s="70">
        <v>0.0</v>
      </c>
      <c r="AY841" s="70" t="s">
        <v>24</v>
      </c>
      <c r="AZ841" s="70">
        <v>1884.0</v>
      </c>
    </row>
    <row r="842" ht="22.5" customHeight="1">
      <c r="A842" s="70" t="str">
        <f t="shared" si="1"/>
        <v>Excluded</v>
      </c>
      <c r="B842" s="70">
        <f t="shared" si="2"/>
        <v>0</v>
      </c>
      <c r="C842" s="70">
        <v>0.0</v>
      </c>
      <c r="D842" s="70">
        <v>0.0</v>
      </c>
      <c r="E842" s="70">
        <v>0.0</v>
      </c>
      <c r="F842" s="70">
        <v>0.0</v>
      </c>
      <c r="G842" s="70">
        <v>0.0</v>
      </c>
      <c r="H842" s="70" t="s">
        <v>10171</v>
      </c>
      <c r="I842" s="70">
        <v>998.0</v>
      </c>
      <c r="J842" s="70" t="s">
        <v>10169</v>
      </c>
      <c r="K842" s="70" t="s">
        <v>10170</v>
      </c>
      <c r="L842" s="70" t="s">
        <v>9912</v>
      </c>
      <c r="P842" s="76">
        <v>45012.0</v>
      </c>
      <c r="U842" s="70" t="s">
        <v>239</v>
      </c>
      <c r="W842" s="70" t="s">
        <v>10173</v>
      </c>
      <c r="X842" s="70" t="s">
        <v>9916</v>
      </c>
      <c r="Y842" s="70" t="s">
        <v>30221</v>
      </c>
      <c r="Z842" s="75" t="s">
        <v>10175</v>
      </c>
      <c r="AA842" s="70" t="s">
        <v>10176</v>
      </c>
      <c r="AE842" s="70">
        <v>9.0</v>
      </c>
      <c r="AF842" s="70" t="s">
        <v>239</v>
      </c>
      <c r="AW842" s="70" t="s">
        <v>10177</v>
      </c>
      <c r="AX842" s="70">
        <v>0.0</v>
      </c>
      <c r="AY842" s="70" t="s">
        <v>24</v>
      </c>
      <c r="AZ842" s="70">
        <v>1992.0</v>
      </c>
    </row>
    <row r="843" ht="22.5" customHeight="1">
      <c r="A843" s="70" t="str">
        <f t="shared" si="1"/>
        <v>Excluded</v>
      </c>
      <c r="B843" s="70">
        <f t="shared" si="2"/>
        <v>0</v>
      </c>
      <c r="C843" s="70">
        <v>0.0</v>
      </c>
      <c r="D843" s="70">
        <v>0.0</v>
      </c>
      <c r="E843" s="70">
        <v>0.0</v>
      </c>
      <c r="F843" s="70">
        <v>0.0</v>
      </c>
      <c r="G843" s="70">
        <v>0.0</v>
      </c>
      <c r="H843" s="70" t="s">
        <v>9913</v>
      </c>
      <c r="I843" s="70">
        <v>971.0</v>
      </c>
      <c r="J843" s="70" t="s">
        <v>9910</v>
      </c>
      <c r="K843" s="70" t="s">
        <v>9911</v>
      </c>
      <c r="L843" s="70" t="s">
        <v>9912</v>
      </c>
      <c r="P843" s="76">
        <v>45012.0</v>
      </c>
      <c r="U843" s="70" t="s">
        <v>239</v>
      </c>
      <c r="W843" s="70" t="s">
        <v>9915</v>
      </c>
      <c r="X843" s="70" t="s">
        <v>9916</v>
      </c>
      <c r="Z843" s="75" t="s">
        <v>9917</v>
      </c>
      <c r="AA843" s="70" t="s">
        <v>9918</v>
      </c>
      <c r="AE843" s="70">
        <v>18.0</v>
      </c>
      <c r="AF843" s="70" t="s">
        <v>239</v>
      </c>
      <c r="AW843" s="70" t="s">
        <v>9919</v>
      </c>
      <c r="AX843" s="70">
        <v>0.0</v>
      </c>
      <c r="AY843" s="70" t="s">
        <v>24</v>
      </c>
      <c r="AZ843" s="70">
        <v>2565.0</v>
      </c>
    </row>
    <row r="844" ht="22.5" customHeight="1">
      <c r="A844" s="70" t="str">
        <f t="shared" si="1"/>
        <v>Excluded</v>
      </c>
      <c r="B844" s="70">
        <f t="shared" si="2"/>
        <v>0</v>
      </c>
      <c r="C844" s="70">
        <v>0.0</v>
      </c>
      <c r="D844" s="70">
        <v>0.0</v>
      </c>
      <c r="E844" s="70">
        <v>0.0</v>
      </c>
      <c r="F844" s="70">
        <v>0.0</v>
      </c>
      <c r="G844" s="70">
        <v>0.0</v>
      </c>
      <c r="H844" s="70" t="s">
        <v>7064</v>
      </c>
      <c r="I844" s="70">
        <v>674.0</v>
      </c>
      <c r="J844" s="70" t="s">
        <v>7060</v>
      </c>
      <c r="K844" s="70" t="s">
        <v>7061</v>
      </c>
      <c r="L844" s="70" t="s">
        <v>7062</v>
      </c>
      <c r="N844" s="70" t="s">
        <v>7063</v>
      </c>
      <c r="P844" s="76">
        <v>44946.0</v>
      </c>
      <c r="U844" s="70" t="s">
        <v>239</v>
      </c>
      <c r="W844" s="70" t="s">
        <v>7066</v>
      </c>
      <c r="X844" s="70" t="s">
        <v>7067</v>
      </c>
      <c r="Z844" s="75" t="s">
        <v>7068</v>
      </c>
      <c r="AA844" s="70" t="s">
        <v>7069</v>
      </c>
      <c r="AC844" s="70">
        <v>4.0</v>
      </c>
      <c r="AE844" s="70">
        <v>12.0</v>
      </c>
      <c r="AF844" s="70" t="s">
        <v>239</v>
      </c>
      <c r="AW844" s="70" t="s">
        <v>7070</v>
      </c>
      <c r="AX844" s="70">
        <v>0.0</v>
      </c>
      <c r="AY844" s="70" t="s">
        <v>24</v>
      </c>
      <c r="AZ844" s="70">
        <v>2983.0</v>
      </c>
    </row>
    <row r="845" ht="22.5" customHeight="1">
      <c r="A845" s="70" t="str">
        <f t="shared" si="1"/>
        <v>Excluded</v>
      </c>
      <c r="B845" s="70">
        <f t="shared" si="2"/>
        <v>0</v>
      </c>
      <c r="C845" s="70">
        <v>0.0</v>
      </c>
      <c r="D845" s="70">
        <v>0.0</v>
      </c>
      <c r="E845" s="70">
        <v>0.0</v>
      </c>
      <c r="F845" s="70">
        <v>0.0</v>
      </c>
      <c r="G845" s="70">
        <v>0.0</v>
      </c>
      <c r="H845" s="70" t="s">
        <v>14692</v>
      </c>
      <c r="I845" s="70">
        <v>1532.0</v>
      </c>
      <c r="J845" s="70" t="s">
        <v>14689</v>
      </c>
      <c r="K845" s="70" t="s">
        <v>14690</v>
      </c>
      <c r="L845" s="70" t="s">
        <v>14691</v>
      </c>
      <c r="P845" s="76">
        <v>45595.0</v>
      </c>
      <c r="U845" s="70" t="s">
        <v>239</v>
      </c>
      <c r="W845" s="70" t="s">
        <v>14694</v>
      </c>
      <c r="X845" s="70" t="s">
        <v>14695</v>
      </c>
      <c r="Z845" s="75" t="s">
        <v>14696</v>
      </c>
      <c r="AA845" s="70" t="s">
        <v>14697</v>
      </c>
      <c r="AE845" s="70">
        <v>9.0</v>
      </c>
      <c r="AF845" s="70" t="s">
        <v>239</v>
      </c>
      <c r="AW845" s="70" t="s">
        <v>14698</v>
      </c>
      <c r="AX845" s="70">
        <v>0.0</v>
      </c>
      <c r="AY845" s="70" t="s">
        <v>24</v>
      </c>
      <c r="AZ845" s="70">
        <v>3145.0</v>
      </c>
    </row>
    <row r="846" ht="22.5" customHeight="1">
      <c r="A846" s="70" t="str">
        <f t="shared" si="1"/>
        <v>Excluded</v>
      </c>
      <c r="B846" s="70">
        <f t="shared" si="2"/>
        <v>0</v>
      </c>
      <c r="C846" s="70">
        <v>0.0</v>
      </c>
      <c r="D846" s="70">
        <v>0.0</v>
      </c>
      <c r="E846" s="70">
        <v>0.0</v>
      </c>
      <c r="F846" s="70">
        <v>0.0</v>
      </c>
      <c r="G846" s="70">
        <v>0.0</v>
      </c>
      <c r="H846" s="70" t="s">
        <v>27450</v>
      </c>
      <c r="I846" s="70">
        <v>2965.0</v>
      </c>
      <c r="J846" s="70" t="s">
        <v>27448</v>
      </c>
      <c r="K846" s="70" t="s">
        <v>27449</v>
      </c>
      <c r="W846" s="70" t="s">
        <v>30222</v>
      </c>
      <c r="AA846" s="70" t="s">
        <v>27452</v>
      </c>
      <c r="AI846" s="70" t="s">
        <v>27453</v>
      </c>
      <c r="AJ846" s="70" t="s">
        <v>27454</v>
      </c>
      <c r="AK846" s="70">
        <v>2022.0</v>
      </c>
      <c r="AL846" s="70" t="s">
        <v>27455</v>
      </c>
      <c r="AN846" s="70">
        <v>165.0</v>
      </c>
      <c r="AO846" s="70">
        <v>168.0</v>
      </c>
      <c r="AP846" s="70">
        <v>3.0</v>
      </c>
      <c r="AQ846" s="70">
        <v>0.0</v>
      </c>
      <c r="AR846" s="75" t="s">
        <v>27456</v>
      </c>
      <c r="AS846" s="70" t="s">
        <v>22525</v>
      </c>
      <c r="AU846" s="70" t="s">
        <v>237</v>
      </c>
      <c r="AV846" s="70" t="s">
        <v>27457</v>
      </c>
      <c r="AW846" s="70" t="s">
        <v>27458</v>
      </c>
      <c r="AX846" s="70">
        <v>0.0</v>
      </c>
      <c r="AY846" s="70" t="s">
        <v>24</v>
      </c>
      <c r="AZ846" s="70">
        <v>1897.0</v>
      </c>
    </row>
    <row r="847" ht="22.5" customHeight="1">
      <c r="A847" s="70" t="str">
        <f t="shared" si="1"/>
        <v>Excluded</v>
      </c>
      <c r="B847" s="70">
        <f t="shared" si="2"/>
        <v>0</v>
      </c>
      <c r="C847" s="70">
        <v>0.0</v>
      </c>
      <c r="D847" s="70">
        <v>0.0</v>
      </c>
      <c r="E847" s="70">
        <v>0.0</v>
      </c>
      <c r="F847" s="70">
        <v>0.0</v>
      </c>
      <c r="G847" s="70">
        <v>0.0</v>
      </c>
      <c r="H847" s="70" t="s">
        <v>12998</v>
      </c>
      <c r="I847" s="70">
        <v>1355.0</v>
      </c>
      <c r="J847" s="70" t="s">
        <v>12995</v>
      </c>
      <c r="K847" s="70" t="s">
        <v>12996</v>
      </c>
      <c r="L847" s="70" t="s">
        <v>12997</v>
      </c>
      <c r="P847" s="76">
        <v>45120.0</v>
      </c>
      <c r="U847" s="70" t="s">
        <v>239</v>
      </c>
      <c r="W847" s="70" t="s">
        <v>13000</v>
      </c>
      <c r="X847" s="70" t="s">
        <v>13001</v>
      </c>
      <c r="Z847" s="75" t="s">
        <v>13002</v>
      </c>
      <c r="AA847" s="70" t="s">
        <v>13003</v>
      </c>
      <c r="AE847" s="70">
        <v>30.0</v>
      </c>
      <c r="AF847" s="70" t="s">
        <v>239</v>
      </c>
      <c r="AW847" s="70" t="s">
        <v>13004</v>
      </c>
      <c r="AX847" s="70">
        <v>0.0</v>
      </c>
      <c r="AY847" s="70" t="s">
        <v>24</v>
      </c>
      <c r="AZ847" s="70">
        <v>2881.0</v>
      </c>
    </row>
    <row r="848" ht="22.5" customHeight="1">
      <c r="A848" s="70" t="str">
        <f t="shared" si="1"/>
        <v>Excluded</v>
      </c>
      <c r="B848" s="70">
        <f t="shared" si="2"/>
        <v>0</v>
      </c>
      <c r="C848" s="70">
        <v>0.0</v>
      </c>
      <c r="D848" s="70">
        <v>0.0</v>
      </c>
      <c r="E848" s="70">
        <v>0.0</v>
      </c>
      <c r="F848" s="70">
        <v>0.0</v>
      </c>
      <c r="G848" s="70">
        <v>0.0</v>
      </c>
      <c r="H848" s="70" t="s">
        <v>12726</v>
      </c>
      <c r="I848" s="70">
        <v>1327.0</v>
      </c>
      <c r="J848" s="70" t="s">
        <v>12723</v>
      </c>
      <c r="K848" s="70" t="s">
        <v>12724</v>
      </c>
      <c r="L848" s="70" t="s">
        <v>12725</v>
      </c>
      <c r="P848" s="77">
        <v>45475.0</v>
      </c>
      <c r="U848" s="70" t="s">
        <v>239</v>
      </c>
      <c r="W848" s="70" t="s">
        <v>12728</v>
      </c>
      <c r="X848" s="70" t="s">
        <v>12729</v>
      </c>
      <c r="Z848" s="75" t="s">
        <v>12730</v>
      </c>
      <c r="AA848" s="70" t="s">
        <v>12731</v>
      </c>
      <c r="AE848" s="70">
        <v>16.0</v>
      </c>
      <c r="AF848" s="70" t="s">
        <v>239</v>
      </c>
      <c r="AW848" s="70" t="s">
        <v>12732</v>
      </c>
      <c r="AZ848" s="70">
        <v>747.0</v>
      </c>
    </row>
    <row r="849" ht="22.5" customHeight="1">
      <c r="A849" s="70" t="str">
        <f t="shared" si="1"/>
        <v>Excluded</v>
      </c>
      <c r="B849" s="70">
        <f t="shared" si="2"/>
        <v>0</v>
      </c>
      <c r="C849" s="70">
        <v>0.0</v>
      </c>
      <c r="D849" s="70">
        <v>0.0</v>
      </c>
      <c r="E849" s="70">
        <v>0.0</v>
      </c>
      <c r="F849" s="70">
        <v>0.0</v>
      </c>
      <c r="G849" s="70">
        <v>0.0</v>
      </c>
      <c r="H849" s="70" t="s">
        <v>14299</v>
      </c>
      <c r="I849" s="70">
        <v>1491.0</v>
      </c>
      <c r="J849" s="70" t="s">
        <v>14297</v>
      </c>
      <c r="K849" s="70" t="s">
        <v>14298</v>
      </c>
      <c r="L849" s="70" t="s">
        <v>12725</v>
      </c>
      <c r="P849" s="77">
        <v>45475.0</v>
      </c>
      <c r="U849" s="70" t="s">
        <v>239</v>
      </c>
      <c r="W849" s="70" t="s">
        <v>14301</v>
      </c>
      <c r="X849" s="70" t="s">
        <v>12729</v>
      </c>
      <c r="Z849" s="75" t="s">
        <v>14302</v>
      </c>
      <c r="AA849" s="70" t="s">
        <v>14303</v>
      </c>
      <c r="AE849" s="70">
        <v>16.0</v>
      </c>
      <c r="AF849" s="70" t="s">
        <v>239</v>
      </c>
      <c r="AW849" s="70" t="s">
        <v>14304</v>
      </c>
      <c r="AZ849" s="70">
        <v>308.0</v>
      </c>
    </row>
    <row r="850" ht="22.5" customHeight="1">
      <c r="A850" s="70" t="str">
        <f t="shared" si="1"/>
        <v>Excluded</v>
      </c>
      <c r="B850" s="70">
        <f t="shared" si="2"/>
        <v>0</v>
      </c>
      <c r="C850" s="70">
        <v>0.0</v>
      </c>
      <c r="D850" s="70">
        <v>0.0</v>
      </c>
      <c r="E850" s="70">
        <v>0.0</v>
      </c>
      <c r="F850" s="70">
        <v>0.0</v>
      </c>
      <c r="G850" s="70">
        <v>0.0</v>
      </c>
      <c r="H850" s="70" t="s">
        <v>9661</v>
      </c>
      <c r="I850" s="70">
        <v>945.0</v>
      </c>
      <c r="J850" s="70" t="s">
        <v>9658</v>
      </c>
      <c r="K850" s="70" t="s">
        <v>9659</v>
      </c>
      <c r="L850" s="70" t="s">
        <v>9660</v>
      </c>
      <c r="P850" s="76">
        <v>45036.0</v>
      </c>
      <c r="U850" s="70" t="s">
        <v>239</v>
      </c>
      <c r="W850" s="70" t="s">
        <v>9663</v>
      </c>
      <c r="X850" s="70" t="s">
        <v>9664</v>
      </c>
      <c r="Z850" s="75" t="s">
        <v>9665</v>
      </c>
      <c r="AA850" s="70" t="s">
        <v>9666</v>
      </c>
      <c r="AE850" s="70">
        <v>10.0</v>
      </c>
      <c r="AF850" s="70" t="s">
        <v>239</v>
      </c>
      <c r="AW850" s="70" t="s">
        <v>9667</v>
      </c>
      <c r="AX850" s="70">
        <v>0.0</v>
      </c>
      <c r="AY850" s="70" t="s">
        <v>24</v>
      </c>
      <c r="AZ850" s="70">
        <v>2620.0</v>
      </c>
    </row>
    <row r="851" ht="22.5" customHeight="1">
      <c r="A851" s="70" t="str">
        <f t="shared" si="1"/>
        <v>Excluded</v>
      </c>
      <c r="B851" s="70">
        <f t="shared" si="2"/>
        <v>0</v>
      </c>
      <c r="C851" s="70">
        <v>0.0</v>
      </c>
      <c r="D851" s="70">
        <v>0.0</v>
      </c>
      <c r="E851" s="70">
        <v>0.0</v>
      </c>
      <c r="F851" s="70">
        <v>0.0</v>
      </c>
      <c r="G851" s="70">
        <v>0.0</v>
      </c>
      <c r="H851" s="70" t="s">
        <v>13449</v>
      </c>
      <c r="I851" s="70">
        <v>1401.0</v>
      </c>
      <c r="J851" s="70" t="s">
        <v>13445</v>
      </c>
      <c r="K851" s="70" t="s">
        <v>13446</v>
      </c>
      <c r="L851" s="70" t="s">
        <v>13447</v>
      </c>
      <c r="N851" s="70" t="s">
        <v>13448</v>
      </c>
      <c r="P851" s="77">
        <v>45574.0</v>
      </c>
      <c r="U851" s="70" t="s">
        <v>239</v>
      </c>
      <c r="W851" s="70" t="s">
        <v>13451</v>
      </c>
      <c r="X851" s="70" t="s">
        <v>13452</v>
      </c>
      <c r="Z851" s="75" t="s">
        <v>13453</v>
      </c>
      <c r="AA851" s="70" t="s">
        <v>13454</v>
      </c>
      <c r="AE851" s="70">
        <v>26.0</v>
      </c>
      <c r="AF851" s="70" t="s">
        <v>239</v>
      </c>
      <c r="AW851" s="70" t="s">
        <v>13455</v>
      </c>
      <c r="AZ851" s="70">
        <v>889.0</v>
      </c>
    </row>
    <row r="852" ht="22.5" customHeight="1">
      <c r="A852" s="70" t="str">
        <f t="shared" si="1"/>
        <v>Excluded</v>
      </c>
      <c r="B852" s="70">
        <f t="shared" si="2"/>
        <v>0</v>
      </c>
      <c r="C852" s="70">
        <v>0.0</v>
      </c>
      <c r="D852" s="70">
        <v>0.0</v>
      </c>
      <c r="E852" s="70">
        <v>0.0</v>
      </c>
      <c r="F852" s="70">
        <v>0.0</v>
      </c>
      <c r="G852" s="70">
        <v>0.0</v>
      </c>
      <c r="H852" s="70" t="s">
        <v>10094</v>
      </c>
      <c r="I852" s="70">
        <v>990.0</v>
      </c>
      <c r="J852" s="70" t="s">
        <v>30223</v>
      </c>
      <c r="K852" s="70" t="s">
        <v>10092</v>
      </c>
      <c r="L852" s="70" t="s">
        <v>10093</v>
      </c>
      <c r="P852" s="76">
        <v>44923.0</v>
      </c>
      <c r="U852" s="70" t="s">
        <v>239</v>
      </c>
      <c r="W852" s="70" t="s">
        <v>10096</v>
      </c>
      <c r="X852" s="70" t="s">
        <v>10097</v>
      </c>
      <c r="Z852" s="75" t="s">
        <v>10098</v>
      </c>
      <c r="AA852" s="70" t="s">
        <v>10099</v>
      </c>
      <c r="AE852" s="70">
        <v>20.0</v>
      </c>
      <c r="AF852" s="70" t="s">
        <v>239</v>
      </c>
      <c r="AW852" s="70" t="s">
        <v>10100</v>
      </c>
      <c r="AZ852" s="70">
        <v>858.0</v>
      </c>
    </row>
    <row r="853" ht="22.5" customHeight="1">
      <c r="A853" s="70" t="str">
        <f t="shared" si="1"/>
        <v>Excluded</v>
      </c>
      <c r="B853" s="70">
        <f t="shared" si="2"/>
        <v>0</v>
      </c>
      <c r="C853" s="70">
        <v>0.0</v>
      </c>
      <c r="D853" s="70">
        <v>0.0</v>
      </c>
      <c r="E853" s="70">
        <v>0.0</v>
      </c>
      <c r="F853" s="70">
        <v>0.0</v>
      </c>
      <c r="G853" s="70">
        <v>0.0</v>
      </c>
      <c r="H853" s="70" t="s">
        <v>15413</v>
      </c>
      <c r="I853" s="70">
        <v>1608.0</v>
      </c>
      <c r="J853" s="70" t="s">
        <v>15409</v>
      </c>
      <c r="K853" s="70" t="s">
        <v>15410</v>
      </c>
      <c r="L853" s="70" t="s">
        <v>15411</v>
      </c>
      <c r="N853" s="70" t="s">
        <v>15412</v>
      </c>
      <c r="P853" s="76">
        <v>45621.0</v>
      </c>
      <c r="U853" s="70" t="s">
        <v>239</v>
      </c>
      <c r="W853" s="70" t="s">
        <v>15415</v>
      </c>
      <c r="X853" s="70" t="s">
        <v>15416</v>
      </c>
      <c r="Z853" s="75" t="s">
        <v>15417</v>
      </c>
      <c r="AA853" s="70" t="s">
        <v>15418</v>
      </c>
      <c r="AE853" s="70">
        <v>63.0</v>
      </c>
      <c r="AF853" s="70" t="s">
        <v>239</v>
      </c>
      <c r="AW853" s="70" t="s">
        <v>15419</v>
      </c>
      <c r="AX853" s="70">
        <v>0.0</v>
      </c>
      <c r="AY853" s="70" t="s">
        <v>24</v>
      </c>
      <c r="AZ853" s="70">
        <v>2500.0</v>
      </c>
    </row>
    <row r="854" ht="22.5" customHeight="1">
      <c r="A854" s="70" t="str">
        <f t="shared" si="1"/>
        <v>Excluded</v>
      </c>
      <c r="B854" s="70">
        <f t="shared" si="2"/>
        <v>0</v>
      </c>
      <c r="C854" s="70">
        <v>0.0</v>
      </c>
      <c r="D854" s="70">
        <v>0.0</v>
      </c>
      <c r="E854" s="70">
        <v>0.0</v>
      </c>
      <c r="F854" s="70">
        <v>0.0</v>
      </c>
      <c r="G854" s="70">
        <v>0.0</v>
      </c>
      <c r="H854" s="70" t="s">
        <v>10428</v>
      </c>
      <c r="I854" s="70">
        <v>1025.0</v>
      </c>
      <c r="J854" s="70" t="s">
        <v>10425</v>
      </c>
      <c r="K854" s="70" t="s">
        <v>10426</v>
      </c>
      <c r="L854" s="70" t="s">
        <v>10427</v>
      </c>
      <c r="P854" s="76">
        <v>44104.0</v>
      </c>
      <c r="U854" s="70" t="s">
        <v>239</v>
      </c>
      <c r="W854" s="70" t="s">
        <v>10430</v>
      </c>
      <c r="X854" s="70" t="s">
        <v>10431</v>
      </c>
      <c r="Z854" s="75" t="s">
        <v>10432</v>
      </c>
      <c r="AE854" s="70">
        <v>0.0</v>
      </c>
      <c r="AF854" s="70" t="s">
        <v>239</v>
      </c>
      <c r="AW854" s="70" t="s">
        <v>10433</v>
      </c>
      <c r="AZ854" s="70">
        <v>1094.0</v>
      </c>
    </row>
    <row r="855" ht="22.5" customHeight="1">
      <c r="A855" s="70" t="str">
        <f t="shared" si="1"/>
        <v>Excluded</v>
      </c>
      <c r="B855" s="70">
        <f t="shared" si="2"/>
        <v>0</v>
      </c>
      <c r="C855" s="70">
        <v>0.0</v>
      </c>
      <c r="D855" s="70">
        <v>0.0</v>
      </c>
      <c r="E855" s="70">
        <v>0.0</v>
      </c>
      <c r="F855" s="70">
        <v>0.0</v>
      </c>
      <c r="G855" s="70">
        <v>0.0</v>
      </c>
      <c r="H855" s="70" t="s">
        <v>10661</v>
      </c>
      <c r="I855" s="70">
        <v>1059.0</v>
      </c>
      <c r="K855" s="70" t="s">
        <v>10658</v>
      </c>
      <c r="L855" s="70" t="s">
        <v>10659</v>
      </c>
      <c r="N855" s="70" t="s">
        <v>10660</v>
      </c>
      <c r="P855" s="76">
        <v>44880.0</v>
      </c>
      <c r="U855" s="70" t="s">
        <v>239</v>
      </c>
      <c r="W855" s="70" t="s">
        <v>10664</v>
      </c>
      <c r="X855" s="70" t="s">
        <v>10665</v>
      </c>
      <c r="Z855" s="75" t="s">
        <v>10666</v>
      </c>
      <c r="AF855" s="70" t="s">
        <v>239</v>
      </c>
      <c r="AZ855" s="70">
        <v>1492.0</v>
      </c>
    </row>
    <row r="856" ht="22.5" customHeight="1">
      <c r="A856" s="70" t="str">
        <f t="shared" si="1"/>
        <v>Excluded</v>
      </c>
      <c r="B856" s="70">
        <f t="shared" si="2"/>
        <v>0</v>
      </c>
      <c r="C856" s="70">
        <v>0.0</v>
      </c>
      <c r="D856" s="70">
        <v>0.0</v>
      </c>
      <c r="E856" s="70">
        <v>0.0</v>
      </c>
      <c r="F856" s="70">
        <v>0.0</v>
      </c>
      <c r="G856" s="70">
        <v>0.0</v>
      </c>
      <c r="H856" s="70" t="s">
        <v>7536</v>
      </c>
      <c r="I856" s="70">
        <v>724.0</v>
      </c>
      <c r="J856" s="70" t="s">
        <v>7533</v>
      </c>
      <c r="K856" s="70" t="s">
        <v>7534</v>
      </c>
      <c r="L856" s="70" t="s">
        <v>7535</v>
      </c>
      <c r="P856" s="76">
        <v>42684.0</v>
      </c>
      <c r="U856" s="70" t="s">
        <v>239</v>
      </c>
      <c r="W856" s="70" t="s">
        <v>7538</v>
      </c>
      <c r="X856" s="70" t="s">
        <v>7539</v>
      </c>
      <c r="Z856" s="75" t="s">
        <v>7540</v>
      </c>
      <c r="AA856" s="70" t="s">
        <v>7541</v>
      </c>
      <c r="AC856" s="70">
        <v>3.0</v>
      </c>
      <c r="AE856" s="70">
        <v>8.0</v>
      </c>
      <c r="AW856" s="70" t="s">
        <v>7542</v>
      </c>
      <c r="AZ856" s="70">
        <v>411.0</v>
      </c>
    </row>
    <row r="857" ht="22.5" customHeight="1">
      <c r="A857" s="70" t="str">
        <f t="shared" si="1"/>
        <v>Excluded</v>
      </c>
      <c r="B857" s="70">
        <f t="shared" si="2"/>
        <v>0</v>
      </c>
      <c r="C857" s="70">
        <v>0.0</v>
      </c>
      <c r="D857" s="70">
        <v>0.0</v>
      </c>
      <c r="E857" s="70">
        <v>0.0</v>
      </c>
      <c r="F857" s="70">
        <v>0.0</v>
      </c>
      <c r="G857" s="70">
        <v>0.0</v>
      </c>
      <c r="H857" s="70" t="s">
        <v>9218</v>
      </c>
      <c r="I857" s="70">
        <v>898.0</v>
      </c>
      <c r="J857" s="70" t="s">
        <v>9214</v>
      </c>
      <c r="K857" s="70" t="s">
        <v>9215</v>
      </c>
      <c r="L857" s="70" t="s">
        <v>9216</v>
      </c>
      <c r="N857" s="70" t="s">
        <v>9217</v>
      </c>
      <c r="P857" s="77">
        <v>44256.0</v>
      </c>
      <c r="U857" s="70" t="s">
        <v>239</v>
      </c>
      <c r="W857" s="70" t="s">
        <v>9220</v>
      </c>
      <c r="X857" s="70" t="s">
        <v>9221</v>
      </c>
      <c r="Z857" s="75" t="s">
        <v>9222</v>
      </c>
      <c r="AA857" s="70" t="s">
        <v>9223</v>
      </c>
      <c r="AC857" s="70">
        <v>1.0</v>
      </c>
      <c r="AE857" s="70">
        <v>29.0</v>
      </c>
      <c r="AF857" s="70" t="s">
        <v>239</v>
      </c>
      <c r="AW857" s="70" t="s">
        <v>9224</v>
      </c>
      <c r="AX857" s="70">
        <v>0.0</v>
      </c>
      <c r="AY857" s="70" t="s">
        <v>24</v>
      </c>
      <c r="AZ857" s="70">
        <v>2101.0</v>
      </c>
    </row>
    <row r="858" ht="22.5" customHeight="1">
      <c r="A858" s="70" t="str">
        <f t="shared" si="1"/>
        <v>Excluded</v>
      </c>
      <c r="B858" s="70">
        <f t="shared" si="2"/>
        <v>0</v>
      </c>
      <c r="C858" s="70">
        <v>0.0</v>
      </c>
      <c r="D858" s="70">
        <v>0.0</v>
      </c>
      <c r="E858" s="70">
        <v>0.0</v>
      </c>
      <c r="F858" s="70">
        <v>0.0</v>
      </c>
      <c r="G858" s="70">
        <v>0.0</v>
      </c>
      <c r="H858" s="70" t="s">
        <v>6288</v>
      </c>
      <c r="I858" s="70">
        <v>596.0</v>
      </c>
      <c r="J858" s="70" t="s">
        <v>6285</v>
      </c>
      <c r="K858" s="70" t="s">
        <v>6286</v>
      </c>
      <c r="L858" s="70" t="s">
        <v>6287</v>
      </c>
      <c r="P858" s="76">
        <v>44551.0</v>
      </c>
      <c r="U858" s="70" t="s">
        <v>239</v>
      </c>
      <c r="W858" s="70" t="s">
        <v>6290</v>
      </c>
      <c r="X858" s="70" t="s">
        <v>6291</v>
      </c>
      <c r="Z858" s="75" t="s">
        <v>6292</v>
      </c>
      <c r="AA858" s="70" t="s">
        <v>6293</v>
      </c>
      <c r="AC858" s="70">
        <v>7.0</v>
      </c>
      <c r="AE858" s="70">
        <v>10.0</v>
      </c>
      <c r="AF858" s="70" t="s">
        <v>239</v>
      </c>
      <c r="AW858" s="70" t="s">
        <v>6294</v>
      </c>
      <c r="AZ858" s="70">
        <v>1198.0</v>
      </c>
    </row>
    <row r="859" ht="22.5" customHeight="1">
      <c r="A859" s="70" t="str">
        <f t="shared" si="1"/>
        <v>Excluded</v>
      </c>
      <c r="B859" s="70">
        <f t="shared" si="2"/>
        <v>0</v>
      </c>
      <c r="C859" s="70">
        <v>0.0</v>
      </c>
      <c r="D859" s="70">
        <v>0.0</v>
      </c>
      <c r="E859" s="70">
        <v>0.0</v>
      </c>
      <c r="F859" s="70">
        <v>0.0</v>
      </c>
      <c r="G859" s="70">
        <v>0.0</v>
      </c>
      <c r="H859" s="70" t="s">
        <v>9014</v>
      </c>
      <c r="I859" s="70">
        <v>877.0</v>
      </c>
      <c r="J859" s="70" t="s">
        <v>9011</v>
      </c>
      <c r="K859" s="70" t="s">
        <v>9012</v>
      </c>
      <c r="L859" s="70" t="s">
        <v>9013</v>
      </c>
      <c r="P859" s="76">
        <v>44421.0</v>
      </c>
      <c r="U859" s="70" t="s">
        <v>239</v>
      </c>
      <c r="W859" s="70" t="s">
        <v>9016</v>
      </c>
      <c r="X859" s="70" t="s">
        <v>9017</v>
      </c>
      <c r="Z859" s="75" t="s">
        <v>9018</v>
      </c>
      <c r="AA859" s="70" t="s">
        <v>9019</v>
      </c>
      <c r="AC859" s="70">
        <v>1.0</v>
      </c>
      <c r="AE859" s="70">
        <v>27.0</v>
      </c>
      <c r="AF859" s="70" t="s">
        <v>239</v>
      </c>
      <c r="AW859" s="70" t="s">
        <v>9020</v>
      </c>
      <c r="AZ859" s="70">
        <v>1128.0</v>
      </c>
    </row>
    <row r="860" ht="22.5" customHeight="1">
      <c r="A860" s="70" t="str">
        <f t="shared" si="1"/>
        <v>Excluded</v>
      </c>
      <c r="B860" s="70">
        <f t="shared" si="2"/>
        <v>0</v>
      </c>
      <c r="C860" s="70">
        <v>0.0</v>
      </c>
      <c r="D860" s="70">
        <v>0.0</v>
      </c>
      <c r="E860" s="70">
        <v>0.0</v>
      </c>
      <c r="F860" s="70">
        <v>0.0</v>
      </c>
      <c r="G860" s="70">
        <v>0.0</v>
      </c>
      <c r="H860" s="70" t="s">
        <v>3031</v>
      </c>
      <c r="I860" s="70">
        <v>246.0</v>
      </c>
      <c r="J860" s="70" t="s">
        <v>30224</v>
      </c>
      <c r="K860" s="70" t="s">
        <v>3028</v>
      </c>
      <c r="L860" s="70" t="s">
        <v>3029</v>
      </c>
      <c r="M860" s="70" t="s">
        <v>3030</v>
      </c>
      <c r="O860" s="75" t="s">
        <v>3032</v>
      </c>
      <c r="P860" s="70">
        <v>2020.0</v>
      </c>
      <c r="Q860" s="70" t="s">
        <v>3034</v>
      </c>
      <c r="U860" s="70" t="s">
        <v>555</v>
      </c>
      <c r="V860" s="70" t="s">
        <v>3035</v>
      </c>
      <c r="W860" s="70" t="s">
        <v>3036</v>
      </c>
      <c r="AZ860" s="70">
        <v>1279.0</v>
      </c>
    </row>
    <row r="861" ht="22.5" customHeight="1">
      <c r="A861" s="70" t="str">
        <f t="shared" si="1"/>
        <v>Excluded</v>
      </c>
      <c r="B861" s="70">
        <f t="shared" si="2"/>
        <v>0</v>
      </c>
      <c r="C861" s="70">
        <v>0.0</v>
      </c>
      <c r="D861" s="70">
        <v>0.0</v>
      </c>
      <c r="E861" s="70">
        <v>0.0</v>
      </c>
      <c r="F861" s="70">
        <v>0.0</v>
      </c>
      <c r="G861" s="70">
        <v>0.0</v>
      </c>
      <c r="H861" s="70" t="s">
        <v>15858</v>
      </c>
      <c r="I861" s="70">
        <v>1659.0</v>
      </c>
      <c r="K861" s="70" t="s">
        <v>15856</v>
      </c>
      <c r="L861" s="70" t="s">
        <v>15857</v>
      </c>
      <c r="P861" s="76">
        <v>45209.0</v>
      </c>
      <c r="U861" s="70" t="s">
        <v>239</v>
      </c>
      <c r="X861" s="70" t="s">
        <v>15859</v>
      </c>
      <c r="Z861" s="75" t="s">
        <v>15860</v>
      </c>
      <c r="AF861" s="70" t="s">
        <v>239</v>
      </c>
      <c r="AZ861" s="70">
        <v>1293.0</v>
      </c>
    </row>
    <row r="862" ht="22.5" customHeight="1">
      <c r="A862" s="70" t="str">
        <f t="shared" si="1"/>
        <v>Excluded</v>
      </c>
      <c r="B862" s="70">
        <f t="shared" si="2"/>
        <v>0</v>
      </c>
      <c r="C862" s="70">
        <v>0.0</v>
      </c>
      <c r="D862" s="70">
        <v>0.0</v>
      </c>
      <c r="E862" s="70">
        <v>0.0</v>
      </c>
      <c r="F862" s="70">
        <v>0.0</v>
      </c>
      <c r="G862" s="70">
        <v>0.0</v>
      </c>
      <c r="H862" s="70" t="s">
        <v>9583</v>
      </c>
      <c r="I862" s="70">
        <v>937.0</v>
      </c>
      <c r="J862" s="70" t="s">
        <v>30225</v>
      </c>
      <c r="K862" s="70" t="s">
        <v>9580</v>
      </c>
      <c r="L862" s="70" t="s">
        <v>9581</v>
      </c>
      <c r="N862" s="70" t="s">
        <v>9582</v>
      </c>
      <c r="P862" s="77">
        <v>44866.0</v>
      </c>
      <c r="U862" s="70" t="s">
        <v>239</v>
      </c>
      <c r="W862" s="70" t="s">
        <v>9585</v>
      </c>
      <c r="X862" s="70" t="s">
        <v>9586</v>
      </c>
      <c r="Z862" s="75" t="s">
        <v>9587</v>
      </c>
      <c r="AA862" s="70" t="s">
        <v>9588</v>
      </c>
      <c r="AE862" s="70">
        <v>20.0</v>
      </c>
      <c r="AF862" s="70" t="s">
        <v>239</v>
      </c>
      <c r="AW862" s="70" t="s">
        <v>9589</v>
      </c>
      <c r="AZ862" s="70">
        <v>851.0</v>
      </c>
    </row>
    <row r="863" ht="22.5" customHeight="1">
      <c r="A863" s="70" t="str">
        <f t="shared" si="1"/>
        <v>Excluded</v>
      </c>
      <c r="B863" s="70">
        <f t="shared" si="2"/>
        <v>0</v>
      </c>
      <c r="C863" s="70">
        <v>0.0</v>
      </c>
      <c r="D863" s="70">
        <v>0.0</v>
      </c>
      <c r="E863" s="70">
        <v>0.0</v>
      </c>
      <c r="F863" s="70">
        <v>0.0</v>
      </c>
      <c r="G863" s="70">
        <v>0.0</v>
      </c>
      <c r="H863" s="70" t="s">
        <v>9632</v>
      </c>
      <c r="I863" s="70">
        <v>942.0</v>
      </c>
      <c r="J863" s="70" t="s">
        <v>9629</v>
      </c>
      <c r="K863" s="70" t="s">
        <v>9630</v>
      </c>
      <c r="L863" s="70" t="s">
        <v>9631</v>
      </c>
      <c r="P863" s="76">
        <v>44209.0</v>
      </c>
      <c r="U863" s="70" t="s">
        <v>239</v>
      </c>
      <c r="W863" s="70" t="s">
        <v>9634</v>
      </c>
      <c r="X863" s="70" t="s">
        <v>9635</v>
      </c>
      <c r="Z863" s="75" t="s">
        <v>9636</v>
      </c>
      <c r="AA863" s="70" t="s">
        <v>9637</v>
      </c>
      <c r="AE863" s="70">
        <v>13.0</v>
      </c>
      <c r="AF863" s="70" t="s">
        <v>239</v>
      </c>
      <c r="AW863" s="70" t="s">
        <v>9638</v>
      </c>
      <c r="AX863" s="70">
        <v>0.0</v>
      </c>
      <c r="AY863" s="70" t="s">
        <v>24</v>
      </c>
      <c r="AZ863" s="70">
        <v>2213.0</v>
      </c>
    </row>
    <row r="864" ht="22.5" customHeight="1">
      <c r="A864" s="70" t="str">
        <f t="shared" si="1"/>
        <v>Excluded</v>
      </c>
      <c r="B864" s="70">
        <f t="shared" si="2"/>
        <v>0</v>
      </c>
      <c r="C864" s="70">
        <v>0.0</v>
      </c>
      <c r="D864" s="70">
        <v>0.0</v>
      </c>
      <c r="E864" s="70">
        <v>0.0</v>
      </c>
      <c r="F864" s="70">
        <v>0.0</v>
      </c>
      <c r="G864" s="70">
        <v>0.0</v>
      </c>
      <c r="H864" s="70" t="s">
        <v>9397</v>
      </c>
      <c r="I864" s="70">
        <v>917.0</v>
      </c>
      <c r="J864" s="70" t="s">
        <v>9394</v>
      </c>
      <c r="K864" s="70" t="s">
        <v>9395</v>
      </c>
      <c r="L864" s="70" t="s">
        <v>9396</v>
      </c>
      <c r="P864" s="76">
        <v>44571.0</v>
      </c>
      <c r="U864" s="70" t="s">
        <v>239</v>
      </c>
      <c r="W864" s="70" t="s">
        <v>30226</v>
      </c>
      <c r="X864" s="70" t="s">
        <v>9400</v>
      </c>
      <c r="Z864" s="75" t="s">
        <v>9401</v>
      </c>
      <c r="AA864" s="70" t="s">
        <v>9402</v>
      </c>
      <c r="AE864" s="70">
        <v>13.0</v>
      </c>
      <c r="AF864" s="70" t="s">
        <v>239</v>
      </c>
      <c r="AW864" s="70" t="s">
        <v>9403</v>
      </c>
      <c r="AZ864" s="70">
        <v>1111.0</v>
      </c>
    </row>
    <row r="865" ht="22.5" customHeight="1">
      <c r="A865" s="70" t="str">
        <f t="shared" si="1"/>
        <v>Excluded</v>
      </c>
      <c r="B865" s="70">
        <f t="shared" si="2"/>
        <v>0</v>
      </c>
      <c r="C865" s="70">
        <v>0.0</v>
      </c>
      <c r="D865" s="70">
        <v>0.0</v>
      </c>
      <c r="E865" s="70">
        <v>0.0</v>
      </c>
      <c r="F865" s="70">
        <v>0.0</v>
      </c>
      <c r="G865" s="70">
        <v>0.0</v>
      </c>
      <c r="H865" s="70" t="s">
        <v>12079</v>
      </c>
      <c r="I865" s="70">
        <v>1263.0</v>
      </c>
      <c r="J865" s="70" t="s">
        <v>12076</v>
      </c>
      <c r="K865" s="70" t="s">
        <v>12077</v>
      </c>
      <c r="L865" s="70" t="s">
        <v>12078</v>
      </c>
      <c r="P865" s="76">
        <v>45271.0</v>
      </c>
      <c r="U865" s="70" t="s">
        <v>239</v>
      </c>
      <c r="W865" s="70" t="s">
        <v>12081</v>
      </c>
      <c r="X865" s="70" t="s">
        <v>12082</v>
      </c>
      <c r="Z865" s="75" t="s">
        <v>12083</v>
      </c>
      <c r="AA865" s="70" t="s">
        <v>12084</v>
      </c>
      <c r="AC865" s="70">
        <v>1.0</v>
      </c>
      <c r="AE865" s="70">
        <v>24.0</v>
      </c>
      <c r="AF865" s="70" t="s">
        <v>239</v>
      </c>
      <c r="AW865" s="70" t="s">
        <v>12085</v>
      </c>
      <c r="AX865" s="70">
        <v>0.0</v>
      </c>
      <c r="AY865" s="70" t="s">
        <v>24</v>
      </c>
      <c r="AZ865" s="70">
        <v>2454.0</v>
      </c>
    </row>
    <row r="866" ht="22.5" customHeight="1">
      <c r="A866" s="70" t="str">
        <f t="shared" si="1"/>
        <v>Excluded</v>
      </c>
      <c r="B866" s="70">
        <f t="shared" si="2"/>
        <v>0</v>
      </c>
      <c r="C866" s="70">
        <v>0.0</v>
      </c>
      <c r="D866" s="70">
        <v>0.0</v>
      </c>
      <c r="E866" s="70">
        <v>0.0</v>
      </c>
      <c r="F866" s="70">
        <v>0.0</v>
      </c>
      <c r="G866" s="70">
        <v>0.0</v>
      </c>
      <c r="H866" s="70" t="s">
        <v>10674</v>
      </c>
      <c r="I866" s="70">
        <v>1061.0</v>
      </c>
      <c r="K866" s="70" t="s">
        <v>10618</v>
      </c>
      <c r="L866" s="70" t="s">
        <v>10673</v>
      </c>
      <c r="P866" s="76">
        <v>43433.0</v>
      </c>
      <c r="U866" s="70" t="s">
        <v>239</v>
      </c>
      <c r="W866" s="70" t="s">
        <v>10602</v>
      </c>
      <c r="X866" s="70" t="s">
        <v>10675</v>
      </c>
      <c r="Z866" s="75" t="s">
        <v>10676</v>
      </c>
      <c r="AF866" s="70" t="s">
        <v>239</v>
      </c>
      <c r="AZ866" s="70">
        <v>1596.0</v>
      </c>
    </row>
    <row r="867" ht="22.5" customHeight="1">
      <c r="A867" s="70" t="str">
        <f t="shared" si="1"/>
        <v>Excluded</v>
      </c>
      <c r="B867" s="70">
        <f t="shared" si="2"/>
        <v>0</v>
      </c>
      <c r="C867" s="70">
        <v>0.0</v>
      </c>
      <c r="D867" s="70">
        <v>0.0</v>
      </c>
      <c r="E867" s="70">
        <v>0.0</v>
      </c>
      <c r="F867" s="70">
        <v>0.0</v>
      </c>
      <c r="G867" s="70">
        <v>0.0</v>
      </c>
      <c r="H867" s="70" t="s">
        <v>14365</v>
      </c>
      <c r="I867" s="70">
        <v>1498.0</v>
      </c>
      <c r="J867" s="70" t="s">
        <v>14362</v>
      </c>
      <c r="K867" s="70" t="s">
        <v>14363</v>
      </c>
      <c r="L867" s="70" t="s">
        <v>14364</v>
      </c>
      <c r="P867" s="77">
        <v>45329.0</v>
      </c>
      <c r="U867" s="70" t="s">
        <v>239</v>
      </c>
      <c r="W867" s="70" t="s">
        <v>14367</v>
      </c>
      <c r="X867" s="70" t="s">
        <v>14368</v>
      </c>
      <c r="Y867" s="70" t="s">
        <v>30227</v>
      </c>
      <c r="Z867" s="75" t="s">
        <v>14369</v>
      </c>
      <c r="AA867" s="70" t="s">
        <v>14370</v>
      </c>
      <c r="AE867" s="70">
        <v>35.0</v>
      </c>
      <c r="AF867" s="70" t="s">
        <v>239</v>
      </c>
      <c r="AW867" s="70" t="s">
        <v>14371</v>
      </c>
      <c r="AX867" s="70">
        <v>0.0</v>
      </c>
      <c r="AY867" s="70" t="s">
        <v>24</v>
      </c>
      <c r="AZ867" s="70">
        <v>2317.0</v>
      </c>
    </row>
    <row r="868" ht="22.5" customHeight="1">
      <c r="A868" s="70" t="str">
        <f t="shared" si="1"/>
        <v>Excluded</v>
      </c>
      <c r="B868" s="70">
        <f t="shared" si="2"/>
        <v>0</v>
      </c>
      <c r="C868" s="70">
        <v>0.0</v>
      </c>
      <c r="D868" s="70">
        <v>0.0</v>
      </c>
      <c r="E868" s="70">
        <v>0.0</v>
      </c>
      <c r="F868" s="70">
        <v>0.0</v>
      </c>
      <c r="G868" s="70">
        <v>0.0</v>
      </c>
      <c r="H868" s="70" t="s">
        <v>12626</v>
      </c>
      <c r="I868" s="70">
        <v>1317.0</v>
      </c>
      <c r="J868" s="70" t="s">
        <v>12624</v>
      </c>
      <c r="K868" s="70" t="s">
        <v>12625</v>
      </c>
      <c r="L868" s="70" t="s">
        <v>11942</v>
      </c>
      <c r="N868" s="70" t="s">
        <v>11943</v>
      </c>
      <c r="P868" s="76">
        <v>45154.0</v>
      </c>
      <c r="U868" s="70" t="s">
        <v>239</v>
      </c>
      <c r="W868" s="70" t="s">
        <v>12628</v>
      </c>
      <c r="X868" s="70" t="s">
        <v>11947</v>
      </c>
      <c r="Y868" s="70" t="s">
        <v>30228</v>
      </c>
      <c r="Z868" s="75" t="s">
        <v>12630</v>
      </c>
      <c r="AA868" s="70" t="s">
        <v>12631</v>
      </c>
      <c r="AE868" s="70">
        <v>9.0</v>
      </c>
      <c r="AF868" s="70" t="s">
        <v>239</v>
      </c>
      <c r="AW868" s="70" t="s">
        <v>12632</v>
      </c>
      <c r="AZ868" s="70">
        <v>404.0</v>
      </c>
    </row>
    <row r="869" ht="22.5" customHeight="1">
      <c r="A869" s="70" t="str">
        <f t="shared" si="1"/>
        <v>Excluded</v>
      </c>
      <c r="B869" s="70">
        <f t="shared" si="2"/>
        <v>0</v>
      </c>
      <c r="C869" s="70">
        <v>0.0</v>
      </c>
      <c r="D869" s="70">
        <v>0.0</v>
      </c>
      <c r="E869" s="70">
        <v>0.0</v>
      </c>
      <c r="F869" s="70">
        <v>0.0</v>
      </c>
      <c r="G869" s="70">
        <v>0.0</v>
      </c>
      <c r="H869" s="70" t="s">
        <v>11944</v>
      </c>
      <c r="I869" s="70">
        <v>1249.0</v>
      </c>
      <c r="J869" s="70" t="s">
        <v>11940</v>
      </c>
      <c r="K869" s="70" t="s">
        <v>11941</v>
      </c>
      <c r="L869" s="70" t="s">
        <v>11942</v>
      </c>
      <c r="N869" s="70" t="s">
        <v>11943</v>
      </c>
      <c r="P869" s="76">
        <v>45154.0</v>
      </c>
      <c r="U869" s="70" t="s">
        <v>239</v>
      </c>
      <c r="W869" s="70" t="s">
        <v>11946</v>
      </c>
      <c r="X869" s="70" t="s">
        <v>11947</v>
      </c>
      <c r="Z869" s="75" t="s">
        <v>11948</v>
      </c>
      <c r="AA869" s="70" t="s">
        <v>11949</v>
      </c>
      <c r="AC869" s="70">
        <v>1.0</v>
      </c>
      <c r="AE869" s="70">
        <v>8.0</v>
      </c>
      <c r="AF869" s="70" t="s">
        <v>239</v>
      </c>
      <c r="AW869" s="70" t="s">
        <v>11950</v>
      </c>
      <c r="AZ869" s="70">
        <v>776.0</v>
      </c>
    </row>
    <row r="870" ht="22.5" customHeight="1">
      <c r="A870" s="70" t="str">
        <f t="shared" si="1"/>
        <v>Excluded</v>
      </c>
      <c r="B870" s="70">
        <f t="shared" si="2"/>
        <v>0</v>
      </c>
      <c r="C870" s="70">
        <v>0.0</v>
      </c>
      <c r="D870" s="70">
        <v>0.0</v>
      </c>
      <c r="E870" s="70">
        <v>0.0</v>
      </c>
      <c r="F870" s="70">
        <v>0.0</v>
      </c>
      <c r="G870" s="70">
        <v>0.0</v>
      </c>
      <c r="H870" s="70" t="s">
        <v>14060</v>
      </c>
      <c r="I870" s="70">
        <v>1464.0</v>
      </c>
      <c r="J870" s="70" t="s">
        <v>30229</v>
      </c>
      <c r="K870" s="70" t="s">
        <v>14059</v>
      </c>
      <c r="L870" s="70" t="s">
        <v>12843</v>
      </c>
      <c r="N870" s="70" t="s">
        <v>11943</v>
      </c>
      <c r="P870" s="76">
        <v>45504.0</v>
      </c>
      <c r="U870" s="70" t="s">
        <v>239</v>
      </c>
      <c r="W870" s="70" t="s">
        <v>14062</v>
      </c>
      <c r="X870" s="70" t="s">
        <v>12847</v>
      </c>
      <c r="Z870" s="75" t="s">
        <v>14063</v>
      </c>
      <c r="AA870" s="70" t="s">
        <v>14064</v>
      </c>
      <c r="AE870" s="70">
        <v>25.0</v>
      </c>
      <c r="AF870" s="70" t="s">
        <v>239</v>
      </c>
      <c r="AW870" s="70" t="s">
        <v>14065</v>
      </c>
      <c r="AZ870" s="70">
        <v>1307.0</v>
      </c>
    </row>
    <row r="871" ht="22.5" customHeight="1">
      <c r="A871" s="70" t="str">
        <f t="shared" si="1"/>
        <v>Excluded</v>
      </c>
      <c r="B871" s="70">
        <f t="shared" si="2"/>
        <v>0</v>
      </c>
      <c r="C871" s="70">
        <v>0.0</v>
      </c>
      <c r="D871" s="70">
        <v>0.0</v>
      </c>
      <c r="E871" s="70">
        <v>0.0</v>
      </c>
      <c r="F871" s="70">
        <v>0.0</v>
      </c>
      <c r="G871" s="70">
        <v>0.0</v>
      </c>
      <c r="H871" s="70" t="s">
        <v>12844</v>
      </c>
      <c r="I871" s="70">
        <v>1339.0</v>
      </c>
      <c r="J871" s="70" t="s">
        <v>12841</v>
      </c>
      <c r="K871" s="70" t="s">
        <v>12842</v>
      </c>
      <c r="L871" s="70" t="s">
        <v>12843</v>
      </c>
      <c r="N871" s="70" t="s">
        <v>11943</v>
      </c>
      <c r="P871" s="76">
        <v>45504.0</v>
      </c>
      <c r="U871" s="70" t="s">
        <v>239</v>
      </c>
      <c r="W871" s="70" t="s">
        <v>12846</v>
      </c>
      <c r="X871" s="70" t="s">
        <v>12847</v>
      </c>
      <c r="Z871" s="75" t="s">
        <v>12848</v>
      </c>
      <c r="AA871" s="70" t="s">
        <v>12849</v>
      </c>
      <c r="AE871" s="70">
        <v>36.0</v>
      </c>
      <c r="AF871" s="70" t="s">
        <v>239</v>
      </c>
      <c r="AW871" s="70" t="s">
        <v>12850</v>
      </c>
      <c r="AX871" s="70">
        <v>0.0</v>
      </c>
      <c r="AY871" s="70" t="s">
        <v>24</v>
      </c>
      <c r="AZ871" s="70">
        <v>2465.0</v>
      </c>
    </row>
    <row r="872" ht="22.5" customHeight="1">
      <c r="A872" s="70" t="str">
        <f t="shared" si="1"/>
        <v>Excluded</v>
      </c>
      <c r="B872" s="70">
        <f t="shared" si="2"/>
        <v>0</v>
      </c>
      <c r="C872" s="70">
        <v>0.0</v>
      </c>
      <c r="D872" s="70">
        <v>0.0</v>
      </c>
      <c r="E872" s="70">
        <v>0.0</v>
      </c>
      <c r="F872" s="70">
        <v>0.0</v>
      </c>
      <c r="G872" s="70">
        <v>0.0</v>
      </c>
      <c r="H872" s="70" t="s">
        <v>11223</v>
      </c>
      <c r="I872" s="70">
        <v>1177.0</v>
      </c>
      <c r="J872" s="70" t="s">
        <v>11220</v>
      </c>
      <c r="K872" s="70" t="s">
        <v>11221</v>
      </c>
      <c r="L872" s="70" t="s">
        <v>11222</v>
      </c>
      <c r="P872" s="77">
        <v>45110.0</v>
      </c>
      <c r="U872" s="70" t="s">
        <v>239</v>
      </c>
      <c r="W872" s="70" t="s">
        <v>11225</v>
      </c>
      <c r="X872" s="70" t="s">
        <v>11226</v>
      </c>
      <c r="Z872" s="75" t="s">
        <v>11227</v>
      </c>
      <c r="AA872" s="70" t="s">
        <v>11228</v>
      </c>
      <c r="AC872" s="70">
        <v>5.0</v>
      </c>
      <c r="AE872" s="70">
        <v>27.0</v>
      </c>
      <c r="AF872" s="70" t="s">
        <v>239</v>
      </c>
      <c r="AW872" s="70" t="s">
        <v>11229</v>
      </c>
      <c r="AX872" s="70">
        <v>1.0</v>
      </c>
      <c r="AZ872" s="70">
        <v>1638.0</v>
      </c>
    </row>
    <row r="873" ht="22.5" customHeight="1">
      <c r="A873" s="70" t="str">
        <f t="shared" si="1"/>
        <v>Excluded</v>
      </c>
      <c r="B873" s="70">
        <f t="shared" si="2"/>
        <v>0</v>
      </c>
      <c r="C873" s="70">
        <v>0.0</v>
      </c>
      <c r="D873" s="70">
        <v>0.0</v>
      </c>
      <c r="E873" s="70">
        <v>0.0</v>
      </c>
      <c r="F873" s="70">
        <v>0.0</v>
      </c>
      <c r="G873" s="70">
        <v>0.0</v>
      </c>
      <c r="H873" s="70" t="s">
        <v>15908</v>
      </c>
      <c r="I873" s="70">
        <v>1670.0</v>
      </c>
      <c r="K873" s="70" t="s">
        <v>10827</v>
      </c>
      <c r="L873" s="70" t="s">
        <v>15906</v>
      </c>
      <c r="N873" s="70" t="s">
        <v>15907</v>
      </c>
      <c r="P873" s="76">
        <v>45653.0</v>
      </c>
      <c r="U873" s="70" t="s">
        <v>239</v>
      </c>
      <c r="X873" s="70" t="s">
        <v>15909</v>
      </c>
      <c r="Z873" s="75" t="s">
        <v>15910</v>
      </c>
      <c r="AF873" s="70" t="s">
        <v>239</v>
      </c>
      <c r="AZ873" s="70">
        <v>1501.0</v>
      </c>
    </row>
    <row r="874" ht="22.5" customHeight="1">
      <c r="A874" s="70" t="str">
        <f t="shared" si="1"/>
        <v>Excluded</v>
      </c>
      <c r="B874" s="70">
        <f t="shared" si="2"/>
        <v>0</v>
      </c>
      <c r="C874" s="70">
        <v>0.0</v>
      </c>
      <c r="D874" s="70">
        <v>0.0</v>
      </c>
      <c r="E874" s="70">
        <v>0.0</v>
      </c>
      <c r="F874" s="70">
        <v>0.0</v>
      </c>
      <c r="G874" s="70">
        <v>0.0</v>
      </c>
      <c r="H874" s="70" t="s">
        <v>5469</v>
      </c>
      <c r="I874" s="70">
        <v>513.0</v>
      </c>
      <c r="J874" s="70" t="s">
        <v>5466</v>
      </c>
      <c r="K874" s="70" t="s">
        <v>5467</v>
      </c>
      <c r="L874" s="70" t="s">
        <v>5468</v>
      </c>
      <c r="P874" s="77">
        <v>42772.0</v>
      </c>
      <c r="U874" s="70" t="s">
        <v>239</v>
      </c>
      <c r="W874" s="70" t="s">
        <v>5471</v>
      </c>
      <c r="X874" s="70" t="s">
        <v>5472</v>
      </c>
      <c r="Z874" s="75" t="s">
        <v>5473</v>
      </c>
      <c r="AA874" s="70" t="s">
        <v>5474</v>
      </c>
      <c r="AC874" s="70">
        <v>12.0</v>
      </c>
      <c r="AD874" s="70">
        <v>51.0</v>
      </c>
      <c r="AE874" s="70">
        <v>29.0</v>
      </c>
      <c r="AF874" s="70" t="s">
        <v>239</v>
      </c>
      <c r="AW874" s="70" t="s">
        <v>5475</v>
      </c>
      <c r="AZ874" s="70">
        <v>1038.0</v>
      </c>
    </row>
    <row r="875" ht="22.5" customHeight="1">
      <c r="A875" s="70" t="str">
        <f t="shared" si="1"/>
        <v>Excluded</v>
      </c>
      <c r="B875" s="70">
        <f t="shared" si="2"/>
        <v>0</v>
      </c>
      <c r="C875" s="70">
        <v>0.0</v>
      </c>
      <c r="D875" s="70">
        <v>0.0</v>
      </c>
      <c r="E875" s="70">
        <v>0.0</v>
      </c>
      <c r="F875" s="70">
        <v>0.0</v>
      </c>
      <c r="G875" s="70">
        <v>0.0</v>
      </c>
      <c r="H875" s="70" t="s">
        <v>5559</v>
      </c>
      <c r="I875" s="70">
        <v>522.0</v>
      </c>
      <c r="J875" s="70" t="s">
        <v>5557</v>
      </c>
      <c r="K875" s="70" t="s">
        <v>5558</v>
      </c>
      <c r="L875" s="70" t="s">
        <v>5273</v>
      </c>
      <c r="P875" s="76">
        <v>43885.0</v>
      </c>
      <c r="U875" s="70" t="s">
        <v>239</v>
      </c>
      <c r="W875" s="70" t="s">
        <v>5561</v>
      </c>
      <c r="X875" s="70" t="s">
        <v>5277</v>
      </c>
      <c r="Z875" s="75" t="s">
        <v>5562</v>
      </c>
      <c r="AA875" s="70" t="s">
        <v>5563</v>
      </c>
      <c r="AC875" s="70">
        <v>11.0</v>
      </c>
      <c r="AE875" s="70">
        <v>45.0</v>
      </c>
      <c r="AF875" s="70" t="s">
        <v>239</v>
      </c>
      <c r="AW875" s="70" t="s">
        <v>5564</v>
      </c>
      <c r="AX875" s="70">
        <v>0.0</v>
      </c>
      <c r="AY875" s="70" t="s">
        <v>24</v>
      </c>
      <c r="AZ875" s="70">
        <v>2957.0</v>
      </c>
    </row>
    <row r="876" ht="22.5" customHeight="1">
      <c r="A876" s="70" t="str">
        <f t="shared" si="1"/>
        <v>Excluded</v>
      </c>
      <c r="B876" s="70">
        <f t="shared" si="2"/>
        <v>0</v>
      </c>
      <c r="C876" s="70">
        <v>0.0</v>
      </c>
      <c r="D876" s="70">
        <v>0.0</v>
      </c>
      <c r="E876" s="70">
        <v>0.0</v>
      </c>
      <c r="F876" s="70">
        <v>0.0</v>
      </c>
      <c r="G876" s="70">
        <v>0.0</v>
      </c>
      <c r="H876" s="70" t="s">
        <v>6429</v>
      </c>
      <c r="I876" s="70">
        <v>610.0</v>
      </c>
      <c r="J876" s="70" t="s">
        <v>6427</v>
      </c>
      <c r="K876" s="70" t="s">
        <v>6428</v>
      </c>
      <c r="L876" s="70" t="s">
        <v>5273</v>
      </c>
      <c r="P876" s="76">
        <v>43885.0</v>
      </c>
      <c r="U876" s="70" t="s">
        <v>239</v>
      </c>
      <c r="W876" s="70" t="s">
        <v>6431</v>
      </c>
      <c r="X876" s="70" t="s">
        <v>5277</v>
      </c>
      <c r="Z876" s="75" t="s">
        <v>6432</v>
      </c>
      <c r="AC876" s="70">
        <v>6.0</v>
      </c>
      <c r="AE876" s="70">
        <v>20.0</v>
      </c>
      <c r="AF876" s="70" t="s">
        <v>239</v>
      </c>
      <c r="AW876" s="70" t="s">
        <v>6433</v>
      </c>
      <c r="AZ876" s="70">
        <v>685.0</v>
      </c>
    </row>
    <row r="877" ht="22.5" customHeight="1">
      <c r="A877" s="70" t="str">
        <f t="shared" si="1"/>
        <v>Excluded</v>
      </c>
      <c r="B877" s="70">
        <f t="shared" si="2"/>
        <v>0</v>
      </c>
      <c r="C877" s="70">
        <v>0.0</v>
      </c>
      <c r="D877" s="70">
        <v>0.0</v>
      </c>
      <c r="E877" s="70">
        <v>0.0</v>
      </c>
      <c r="F877" s="70">
        <v>0.0</v>
      </c>
      <c r="G877" s="70">
        <v>0.0</v>
      </c>
      <c r="H877" s="70" t="s">
        <v>5274</v>
      </c>
      <c r="I877" s="70">
        <v>493.0</v>
      </c>
      <c r="J877" s="70" t="s">
        <v>5271</v>
      </c>
      <c r="K877" s="70" t="s">
        <v>5272</v>
      </c>
      <c r="L877" s="70" t="s">
        <v>5273</v>
      </c>
      <c r="P877" s="76">
        <v>43885.0</v>
      </c>
      <c r="U877" s="70" t="s">
        <v>239</v>
      </c>
      <c r="W877" s="70" t="s">
        <v>5276</v>
      </c>
      <c r="X877" s="70" t="s">
        <v>5277</v>
      </c>
      <c r="Z877" s="75" t="s">
        <v>5278</v>
      </c>
      <c r="AA877" s="70" t="s">
        <v>5279</v>
      </c>
      <c r="AC877" s="70">
        <v>15.0</v>
      </c>
      <c r="AE877" s="70">
        <v>16.0</v>
      </c>
      <c r="AF877" s="70" t="s">
        <v>239</v>
      </c>
      <c r="AW877" s="70" t="s">
        <v>5280</v>
      </c>
      <c r="AX877" s="70">
        <v>0.0</v>
      </c>
      <c r="AY877" s="70" t="s">
        <v>24</v>
      </c>
      <c r="AZ877" s="70">
        <v>2708.0</v>
      </c>
    </row>
    <row r="878" ht="22.5" customHeight="1">
      <c r="A878" s="70" t="str">
        <f t="shared" si="1"/>
        <v>Excluded</v>
      </c>
      <c r="B878" s="70">
        <f t="shared" si="2"/>
        <v>0</v>
      </c>
      <c r="C878" s="70">
        <v>0.0</v>
      </c>
      <c r="D878" s="70">
        <v>0.0</v>
      </c>
      <c r="E878" s="70">
        <v>0.0</v>
      </c>
      <c r="F878" s="70">
        <v>0.0</v>
      </c>
      <c r="G878" s="70">
        <v>0.0</v>
      </c>
      <c r="H878" s="70" t="s">
        <v>8045</v>
      </c>
      <c r="I878" s="70">
        <v>776.0</v>
      </c>
      <c r="J878" s="70" t="s">
        <v>8043</v>
      </c>
      <c r="K878" s="70" t="s">
        <v>8044</v>
      </c>
      <c r="L878" s="70" t="s">
        <v>7926</v>
      </c>
      <c r="P878" s="76">
        <v>44274.0</v>
      </c>
      <c r="U878" s="70" t="s">
        <v>239</v>
      </c>
      <c r="W878" s="70" t="s">
        <v>8047</v>
      </c>
      <c r="X878" s="70" t="s">
        <v>7930</v>
      </c>
      <c r="Z878" s="75" t="s">
        <v>8048</v>
      </c>
      <c r="AC878" s="70">
        <v>2.0</v>
      </c>
      <c r="AE878" s="70">
        <v>31.0</v>
      </c>
      <c r="AF878" s="70" t="s">
        <v>239</v>
      </c>
      <c r="AW878" s="70" t="s">
        <v>8049</v>
      </c>
      <c r="AZ878" s="70">
        <v>516.0</v>
      </c>
    </row>
    <row r="879" ht="22.5" customHeight="1">
      <c r="A879" s="70" t="str">
        <f t="shared" si="1"/>
        <v>Excluded</v>
      </c>
      <c r="B879" s="70">
        <f t="shared" si="2"/>
        <v>0</v>
      </c>
      <c r="C879" s="70">
        <v>0.0</v>
      </c>
      <c r="D879" s="70">
        <v>0.0</v>
      </c>
      <c r="E879" s="70">
        <v>0.0</v>
      </c>
      <c r="F879" s="70">
        <v>0.0</v>
      </c>
      <c r="G879" s="70">
        <v>0.0</v>
      </c>
      <c r="H879" s="70" t="s">
        <v>7927</v>
      </c>
      <c r="I879" s="70">
        <v>764.0</v>
      </c>
      <c r="J879" s="70" t="s">
        <v>7924</v>
      </c>
      <c r="K879" s="70" t="s">
        <v>7925</v>
      </c>
      <c r="L879" s="70" t="s">
        <v>7926</v>
      </c>
      <c r="P879" s="76">
        <v>44274.0</v>
      </c>
      <c r="U879" s="70" t="s">
        <v>239</v>
      </c>
      <c r="W879" s="70" t="s">
        <v>7929</v>
      </c>
      <c r="X879" s="70" t="s">
        <v>7930</v>
      </c>
      <c r="Y879" s="70" t="s">
        <v>30230</v>
      </c>
      <c r="Z879" s="75" t="s">
        <v>7932</v>
      </c>
      <c r="AA879" s="70" t="s">
        <v>7933</v>
      </c>
      <c r="AC879" s="70">
        <v>2.0</v>
      </c>
      <c r="AE879" s="70">
        <v>54.0</v>
      </c>
      <c r="AF879" s="70" t="s">
        <v>239</v>
      </c>
      <c r="AW879" s="70" t="s">
        <v>7934</v>
      </c>
      <c r="AX879" s="70">
        <v>0.0</v>
      </c>
      <c r="AY879" s="70" t="s">
        <v>24</v>
      </c>
      <c r="AZ879" s="70">
        <v>2707.0</v>
      </c>
    </row>
    <row r="880" ht="22.5" customHeight="1">
      <c r="A880" s="70" t="str">
        <f t="shared" si="1"/>
        <v>Excluded</v>
      </c>
      <c r="B880" s="70">
        <f t="shared" si="2"/>
        <v>0</v>
      </c>
      <c r="C880" s="70">
        <v>0.0</v>
      </c>
      <c r="D880" s="70">
        <v>0.0</v>
      </c>
      <c r="E880" s="70">
        <v>0.0</v>
      </c>
      <c r="F880" s="70">
        <v>0.0</v>
      </c>
      <c r="G880" s="70">
        <v>0.0</v>
      </c>
      <c r="H880" s="70" t="s">
        <v>12564</v>
      </c>
      <c r="I880" s="70">
        <v>1311.0</v>
      </c>
      <c r="J880" s="70" t="s">
        <v>12560</v>
      </c>
      <c r="K880" s="70" t="s">
        <v>12561</v>
      </c>
      <c r="L880" s="70" t="s">
        <v>12562</v>
      </c>
      <c r="N880" s="70" t="s">
        <v>12563</v>
      </c>
      <c r="P880" s="76">
        <v>45673.0</v>
      </c>
      <c r="U880" s="70" t="s">
        <v>239</v>
      </c>
      <c r="W880" s="70" t="s">
        <v>12566</v>
      </c>
      <c r="X880" s="70" t="s">
        <v>12567</v>
      </c>
      <c r="Z880" s="75" t="s">
        <v>12568</v>
      </c>
      <c r="AA880" s="70" t="s">
        <v>12569</v>
      </c>
      <c r="AE880" s="70">
        <v>26.0</v>
      </c>
      <c r="AF880" s="70" t="s">
        <v>239</v>
      </c>
      <c r="AW880" s="70" t="s">
        <v>12570</v>
      </c>
      <c r="AX880" s="70">
        <v>0.0</v>
      </c>
      <c r="AY880" s="70" t="s">
        <v>24</v>
      </c>
      <c r="AZ880" s="70">
        <v>2449.0</v>
      </c>
    </row>
    <row r="881" ht="22.5" customHeight="1">
      <c r="A881" s="70" t="str">
        <f t="shared" si="1"/>
        <v>Excluded</v>
      </c>
      <c r="B881" s="70">
        <f t="shared" si="2"/>
        <v>0</v>
      </c>
      <c r="C881" s="70">
        <v>0.0</v>
      </c>
      <c r="D881" s="70">
        <v>0.0</v>
      </c>
      <c r="E881" s="70">
        <v>0.0</v>
      </c>
      <c r="F881" s="70">
        <v>0.0</v>
      </c>
      <c r="G881" s="70">
        <v>0.0</v>
      </c>
      <c r="H881" s="70" t="s">
        <v>14968</v>
      </c>
      <c r="I881" s="70">
        <v>1560.0</v>
      </c>
      <c r="J881" s="70" t="s">
        <v>14966</v>
      </c>
      <c r="K881" s="70" t="s">
        <v>14967</v>
      </c>
      <c r="L881" s="70" t="s">
        <v>12562</v>
      </c>
      <c r="N881" s="70" t="s">
        <v>12563</v>
      </c>
      <c r="P881" s="76">
        <v>45673.0</v>
      </c>
      <c r="U881" s="70" t="s">
        <v>239</v>
      </c>
      <c r="W881" s="70" t="s">
        <v>14970</v>
      </c>
      <c r="X881" s="70" t="s">
        <v>12567</v>
      </c>
      <c r="Z881" s="75" t="s">
        <v>14971</v>
      </c>
      <c r="AA881" s="70" t="s">
        <v>14972</v>
      </c>
      <c r="AE881" s="70">
        <v>37.0</v>
      </c>
      <c r="AF881" s="70" t="s">
        <v>239</v>
      </c>
      <c r="AW881" s="70" t="s">
        <v>14973</v>
      </c>
      <c r="AX881" s="70">
        <v>0.0</v>
      </c>
      <c r="AY881" s="70" t="s">
        <v>24</v>
      </c>
      <c r="AZ881" s="70">
        <v>2520.0</v>
      </c>
    </row>
    <row r="882" ht="22.5" customHeight="1">
      <c r="A882" s="70" t="str">
        <f t="shared" si="1"/>
        <v>Excluded</v>
      </c>
      <c r="B882" s="70">
        <f t="shared" si="2"/>
        <v>0</v>
      </c>
      <c r="C882" s="70">
        <v>0.0</v>
      </c>
      <c r="D882" s="70">
        <v>0.0</v>
      </c>
      <c r="E882" s="70">
        <v>0.0</v>
      </c>
      <c r="F882" s="70">
        <v>0.0</v>
      </c>
      <c r="G882" s="70">
        <v>0.0</v>
      </c>
      <c r="H882" s="70" t="s">
        <v>15372</v>
      </c>
      <c r="I882" s="70">
        <v>1604.0</v>
      </c>
      <c r="J882" s="70" t="s">
        <v>15370</v>
      </c>
      <c r="K882" s="70" t="s">
        <v>15371</v>
      </c>
      <c r="L882" s="70" t="s">
        <v>12562</v>
      </c>
      <c r="N882" s="70" t="s">
        <v>12563</v>
      </c>
      <c r="P882" s="76">
        <v>45673.0</v>
      </c>
      <c r="U882" s="70" t="s">
        <v>239</v>
      </c>
      <c r="W882" s="70" t="s">
        <v>30231</v>
      </c>
      <c r="X882" s="70" t="s">
        <v>12567</v>
      </c>
      <c r="Y882" s="70" t="s">
        <v>30232</v>
      </c>
      <c r="Z882" s="75" t="s">
        <v>15376</v>
      </c>
      <c r="AA882" s="70" t="s">
        <v>15377</v>
      </c>
      <c r="AE882" s="70">
        <v>28.0</v>
      </c>
      <c r="AF882" s="70" t="s">
        <v>239</v>
      </c>
      <c r="AW882" s="70" t="s">
        <v>15378</v>
      </c>
      <c r="AZ882" s="70">
        <v>377.0</v>
      </c>
    </row>
    <row r="883" ht="22.5" customHeight="1">
      <c r="A883" s="70" t="str">
        <f t="shared" si="1"/>
        <v>Excluded</v>
      </c>
      <c r="B883" s="70">
        <f t="shared" si="2"/>
        <v>0</v>
      </c>
      <c r="C883" s="70">
        <v>0.0</v>
      </c>
      <c r="D883" s="70">
        <v>0.0</v>
      </c>
      <c r="E883" s="70">
        <v>0.0</v>
      </c>
      <c r="F883" s="70">
        <v>0.0</v>
      </c>
      <c r="G883" s="70">
        <v>0.0</v>
      </c>
      <c r="H883" s="70" t="s">
        <v>14576</v>
      </c>
      <c r="I883" s="70">
        <v>1520.0</v>
      </c>
      <c r="J883" s="70" t="s">
        <v>14574</v>
      </c>
      <c r="K883" s="70" t="s">
        <v>14575</v>
      </c>
      <c r="L883" s="70" t="s">
        <v>12562</v>
      </c>
      <c r="N883" s="70" t="s">
        <v>12563</v>
      </c>
      <c r="P883" s="76">
        <v>45673.0</v>
      </c>
      <c r="U883" s="70" t="s">
        <v>239</v>
      </c>
      <c r="W883" s="70" t="s">
        <v>14578</v>
      </c>
      <c r="X883" s="70" t="s">
        <v>12567</v>
      </c>
      <c r="Z883" s="75" t="s">
        <v>14579</v>
      </c>
      <c r="AE883" s="70">
        <v>33.0</v>
      </c>
      <c r="AF883" s="70" t="s">
        <v>239</v>
      </c>
      <c r="AW883" s="70" t="s">
        <v>14580</v>
      </c>
      <c r="AX883" s="70">
        <v>0.0</v>
      </c>
      <c r="AY883" s="70" t="s">
        <v>24</v>
      </c>
      <c r="AZ883" s="70">
        <v>1684.0</v>
      </c>
    </row>
    <row r="884" ht="22.5" customHeight="1">
      <c r="A884" s="70" t="str">
        <f t="shared" si="1"/>
        <v>Excluded</v>
      </c>
      <c r="B884" s="70">
        <f t="shared" si="2"/>
        <v>0</v>
      </c>
      <c r="C884" s="70">
        <v>0.0</v>
      </c>
      <c r="D884" s="70">
        <v>0.0</v>
      </c>
      <c r="E884" s="70">
        <v>0.0</v>
      </c>
      <c r="F884" s="70">
        <v>0.0</v>
      </c>
      <c r="G884" s="70">
        <v>0.0</v>
      </c>
      <c r="H884" s="70" t="s">
        <v>14131</v>
      </c>
      <c r="I884" s="70">
        <v>1472.0</v>
      </c>
      <c r="J884" s="70" t="s">
        <v>14129</v>
      </c>
      <c r="K884" s="70" t="s">
        <v>14130</v>
      </c>
      <c r="L884" s="70" t="s">
        <v>12562</v>
      </c>
      <c r="N884" s="70" t="s">
        <v>12563</v>
      </c>
      <c r="P884" s="76">
        <v>45673.0</v>
      </c>
      <c r="U884" s="70" t="s">
        <v>239</v>
      </c>
      <c r="W884" s="70" t="s">
        <v>30233</v>
      </c>
      <c r="X884" s="70" t="s">
        <v>12567</v>
      </c>
      <c r="Y884" s="70" t="s">
        <v>29920</v>
      </c>
      <c r="Z884" s="75" t="s">
        <v>14134</v>
      </c>
      <c r="AA884" s="70" t="s">
        <v>14135</v>
      </c>
      <c r="AE884" s="70">
        <v>18.0</v>
      </c>
      <c r="AF884" s="70" t="s">
        <v>239</v>
      </c>
      <c r="AW884" s="70" t="s">
        <v>14136</v>
      </c>
      <c r="AZ884" s="70">
        <v>1070.0</v>
      </c>
    </row>
    <row r="885" ht="22.5" customHeight="1">
      <c r="A885" s="70" t="str">
        <f t="shared" si="1"/>
        <v>Excluded</v>
      </c>
      <c r="B885" s="70">
        <f t="shared" si="2"/>
        <v>0</v>
      </c>
      <c r="C885" s="70">
        <v>0.0</v>
      </c>
      <c r="D885" s="70">
        <v>0.0</v>
      </c>
      <c r="E885" s="70">
        <v>0.0</v>
      </c>
      <c r="F885" s="70">
        <v>0.0</v>
      </c>
      <c r="G885" s="70">
        <v>0.0</v>
      </c>
      <c r="H885" s="70" t="s">
        <v>27565</v>
      </c>
      <c r="I885" s="70">
        <v>2976.0</v>
      </c>
      <c r="J885" s="70" t="s">
        <v>27563</v>
      </c>
      <c r="K885" s="70" t="s">
        <v>27564</v>
      </c>
      <c r="W885" s="70" t="s">
        <v>30234</v>
      </c>
      <c r="AA885" s="70" t="s">
        <v>27567</v>
      </c>
      <c r="AI885" s="70" t="s">
        <v>27568</v>
      </c>
      <c r="AJ885" s="70" t="s">
        <v>27569</v>
      </c>
      <c r="AK885" s="70">
        <v>2022.0</v>
      </c>
      <c r="AL885" s="70" t="s">
        <v>27570</v>
      </c>
      <c r="AN885" s="70">
        <v>75.0</v>
      </c>
      <c r="AO885" s="70">
        <v>80.0</v>
      </c>
      <c r="AP885" s="70">
        <v>5.0</v>
      </c>
      <c r="AQ885" s="70">
        <v>0.0</v>
      </c>
      <c r="AR885" s="75" t="s">
        <v>27571</v>
      </c>
      <c r="AS885" s="70" t="s">
        <v>22525</v>
      </c>
      <c r="AU885" s="70" t="s">
        <v>237</v>
      </c>
      <c r="AV885" s="70" t="s">
        <v>27572</v>
      </c>
      <c r="AW885" s="70" t="s">
        <v>27573</v>
      </c>
      <c r="AZ885" s="70">
        <v>281.0</v>
      </c>
    </row>
    <row r="886" ht="22.5" customHeight="1">
      <c r="A886" s="70" t="str">
        <f t="shared" si="1"/>
        <v>Excluded</v>
      </c>
      <c r="B886" s="70">
        <f t="shared" si="2"/>
        <v>0</v>
      </c>
      <c r="C886" s="70">
        <v>0.0</v>
      </c>
      <c r="D886" s="70">
        <v>0.0</v>
      </c>
      <c r="E886" s="70">
        <v>0.0</v>
      </c>
      <c r="F886" s="70">
        <v>0.0</v>
      </c>
      <c r="G886" s="70">
        <v>0.0</v>
      </c>
      <c r="H886" s="70" t="s">
        <v>5774</v>
      </c>
      <c r="I886" s="70">
        <v>544.0</v>
      </c>
      <c r="J886" s="70" t="s">
        <v>5771</v>
      </c>
      <c r="K886" s="70" t="s">
        <v>5772</v>
      </c>
      <c r="L886" s="70" t="s">
        <v>5773</v>
      </c>
      <c r="P886" s="76">
        <v>44831.0</v>
      </c>
      <c r="U886" s="70" t="s">
        <v>239</v>
      </c>
      <c r="W886" s="70" t="s">
        <v>30235</v>
      </c>
      <c r="X886" s="70" t="s">
        <v>5777</v>
      </c>
      <c r="Y886" s="70" t="s">
        <v>30236</v>
      </c>
      <c r="Z886" s="75" t="s">
        <v>5779</v>
      </c>
      <c r="AA886" s="70" t="s">
        <v>5780</v>
      </c>
      <c r="AC886" s="70">
        <v>9.0</v>
      </c>
      <c r="AE886" s="70">
        <v>20.0</v>
      </c>
      <c r="AF886" s="70" t="s">
        <v>239</v>
      </c>
      <c r="AW886" s="70" t="s">
        <v>5781</v>
      </c>
      <c r="AZ886" s="70">
        <v>427.0</v>
      </c>
    </row>
    <row r="887" ht="22.5" customHeight="1">
      <c r="A887" s="70" t="str">
        <f t="shared" si="1"/>
        <v>Excluded</v>
      </c>
      <c r="B887" s="70">
        <f t="shared" si="2"/>
        <v>0</v>
      </c>
      <c r="C887" s="70">
        <v>0.0</v>
      </c>
      <c r="D887" s="70">
        <v>0.0</v>
      </c>
      <c r="E887" s="70">
        <v>0.0</v>
      </c>
      <c r="F887" s="70">
        <v>0.0</v>
      </c>
      <c r="G887" s="70">
        <v>0.0</v>
      </c>
      <c r="H887" s="70" t="s">
        <v>7823</v>
      </c>
      <c r="I887" s="70">
        <v>753.0</v>
      </c>
      <c r="J887" s="70" t="s">
        <v>30237</v>
      </c>
      <c r="K887" s="70" t="s">
        <v>7821</v>
      </c>
      <c r="L887" s="70" t="s">
        <v>7822</v>
      </c>
      <c r="P887" s="76">
        <v>44176.0</v>
      </c>
      <c r="U887" s="70" t="s">
        <v>239</v>
      </c>
      <c r="W887" s="70" t="s">
        <v>7825</v>
      </c>
      <c r="X887" s="70" t="s">
        <v>7826</v>
      </c>
      <c r="Z887" s="75" t="s">
        <v>7827</v>
      </c>
      <c r="AA887" s="70" t="s">
        <v>7828</v>
      </c>
      <c r="AC887" s="70">
        <v>2.0</v>
      </c>
      <c r="AE887" s="70">
        <v>29.0</v>
      </c>
      <c r="AF887" s="70" t="s">
        <v>7683</v>
      </c>
      <c r="AW887" s="70" t="s">
        <v>7829</v>
      </c>
      <c r="AZ887" s="70">
        <v>451.0</v>
      </c>
    </row>
    <row r="888" ht="22.5" customHeight="1">
      <c r="A888" s="70" t="str">
        <f t="shared" si="1"/>
        <v>Excluded</v>
      </c>
      <c r="B888" s="70">
        <f t="shared" si="2"/>
        <v>0</v>
      </c>
      <c r="C888" s="70">
        <v>0.0</v>
      </c>
      <c r="D888" s="70">
        <v>0.0</v>
      </c>
      <c r="E888" s="70">
        <v>0.0</v>
      </c>
      <c r="F888" s="70">
        <v>0.0</v>
      </c>
      <c r="G888" s="70">
        <v>0.0</v>
      </c>
      <c r="H888" s="70" t="s">
        <v>10780</v>
      </c>
      <c r="I888" s="70">
        <v>1087.0</v>
      </c>
      <c r="K888" s="70" t="s">
        <v>10779</v>
      </c>
      <c r="L888" s="70" t="s">
        <v>7197</v>
      </c>
      <c r="N888" s="70" t="s">
        <v>7198</v>
      </c>
      <c r="P888" s="76">
        <v>44225.0</v>
      </c>
      <c r="U888" s="70" t="s">
        <v>239</v>
      </c>
      <c r="W888" s="70" t="s">
        <v>10602</v>
      </c>
      <c r="X888" s="70" t="s">
        <v>7202</v>
      </c>
      <c r="Z888" s="75" t="s">
        <v>10782</v>
      </c>
      <c r="AF888" s="70" t="s">
        <v>239</v>
      </c>
      <c r="AZ888" s="70">
        <v>1520.0</v>
      </c>
    </row>
    <row r="889" ht="22.5" customHeight="1">
      <c r="A889" s="70" t="str">
        <f t="shared" si="1"/>
        <v>Excluded</v>
      </c>
      <c r="B889" s="70">
        <f t="shared" si="2"/>
        <v>0</v>
      </c>
      <c r="C889" s="70">
        <v>0.0</v>
      </c>
      <c r="D889" s="70">
        <v>0.0</v>
      </c>
      <c r="E889" s="70">
        <v>0.0</v>
      </c>
      <c r="F889" s="70">
        <v>0.0</v>
      </c>
      <c r="G889" s="70">
        <v>0.0</v>
      </c>
      <c r="H889" s="70" t="s">
        <v>7199</v>
      </c>
      <c r="I889" s="70">
        <v>689.0</v>
      </c>
      <c r="J889" s="70" t="s">
        <v>7195</v>
      </c>
      <c r="K889" s="70" t="s">
        <v>7196</v>
      </c>
      <c r="L889" s="70" t="s">
        <v>7197</v>
      </c>
      <c r="N889" s="70" t="s">
        <v>7198</v>
      </c>
      <c r="P889" s="76">
        <v>44225.0</v>
      </c>
      <c r="U889" s="70" t="s">
        <v>239</v>
      </c>
      <c r="W889" s="70" t="s">
        <v>7201</v>
      </c>
      <c r="X889" s="70" t="s">
        <v>7202</v>
      </c>
      <c r="Y889" s="70" t="s">
        <v>30238</v>
      </c>
      <c r="Z889" s="75" t="s">
        <v>7204</v>
      </c>
      <c r="AA889" s="70" t="s">
        <v>7205</v>
      </c>
      <c r="AC889" s="70">
        <v>4.0</v>
      </c>
      <c r="AE889" s="70">
        <v>22.0</v>
      </c>
      <c r="AF889" s="70" t="s">
        <v>239</v>
      </c>
      <c r="AW889" s="70" t="s">
        <v>7206</v>
      </c>
      <c r="AZ889" s="70">
        <v>584.0</v>
      </c>
    </row>
    <row r="890" ht="22.5" customHeight="1">
      <c r="A890" s="70" t="str">
        <f t="shared" si="1"/>
        <v>Excluded</v>
      </c>
      <c r="B890" s="70">
        <f t="shared" si="2"/>
        <v>0</v>
      </c>
      <c r="C890" s="70">
        <v>0.0</v>
      </c>
      <c r="D890" s="70">
        <v>0.0</v>
      </c>
      <c r="E890" s="70">
        <v>0.0</v>
      </c>
      <c r="F890" s="70">
        <v>0.0</v>
      </c>
      <c r="G890" s="70">
        <v>0.0</v>
      </c>
      <c r="H890" s="70" t="s">
        <v>10056</v>
      </c>
      <c r="I890" s="70">
        <v>986.0</v>
      </c>
      <c r="J890" s="70" t="s">
        <v>10053</v>
      </c>
      <c r="K890" s="70" t="s">
        <v>10054</v>
      </c>
      <c r="L890" s="70" t="s">
        <v>10055</v>
      </c>
      <c r="N890" s="70" t="s">
        <v>7198</v>
      </c>
      <c r="P890" s="76">
        <v>44998.0</v>
      </c>
      <c r="U890" s="70" t="s">
        <v>239</v>
      </c>
      <c r="W890" s="70" t="s">
        <v>10058</v>
      </c>
      <c r="X890" s="70" t="s">
        <v>10059</v>
      </c>
      <c r="Z890" s="75" t="s">
        <v>10060</v>
      </c>
      <c r="AA890" s="70" t="s">
        <v>10061</v>
      </c>
      <c r="AE890" s="70">
        <v>12.0</v>
      </c>
      <c r="AF890" s="70" t="s">
        <v>239</v>
      </c>
      <c r="AW890" s="70" t="s">
        <v>10062</v>
      </c>
      <c r="AZ890" s="70">
        <v>508.0</v>
      </c>
    </row>
    <row r="891" ht="22.5" customHeight="1">
      <c r="A891" s="70" t="str">
        <f t="shared" si="1"/>
        <v>Excluded</v>
      </c>
      <c r="B891" s="70">
        <f t="shared" si="2"/>
        <v>0</v>
      </c>
      <c r="C891" s="70">
        <v>0.0</v>
      </c>
      <c r="D891" s="70">
        <v>0.0</v>
      </c>
      <c r="E891" s="70">
        <v>0.0</v>
      </c>
      <c r="F891" s="70">
        <v>0.0</v>
      </c>
      <c r="G891" s="70">
        <v>0.0</v>
      </c>
      <c r="H891" s="70" t="s">
        <v>10987</v>
      </c>
      <c r="I891" s="70">
        <v>1141.0</v>
      </c>
      <c r="K891" s="70" t="s">
        <v>10597</v>
      </c>
      <c r="L891" s="70" t="s">
        <v>10055</v>
      </c>
      <c r="N891" s="70" t="s">
        <v>7198</v>
      </c>
      <c r="P891" s="76">
        <v>44998.0</v>
      </c>
      <c r="U891" s="70" t="s">
        <v>239</v>
      </c>
      <c r="X891" s="70" t="s">
        <v>10059</v>
      </c>
      <c r="Z891" s="75" t="s">
        <v>10989</v>
      </c>
      <c r="AF891" s="70" t="s">
        <v>239</v>
      </c>
      <c r="AZ891" s="70">
        <v>1536.0</v>
      </c>
    </row>
    <row r="892" ht="22.5" customHeight="1">
      <c r="A892" s="70" t="str">
        <f t="shared" si="1"/>
        <v>Excluded</v>
      </c>
      <c r="B892" s="70">
        <f t="shared" si="2"/>
        <v>0</v>
      </c>
      <c r="C892" s="70">
        <v>0.0</v>
      </c>
      <c r="D892" s="70">
        <v>0.0</v>
      </c>
      <c r="E892" s="70">
        <v>0.0</v>
      </c>
      <c r="F892" s="70">
        <v>0.0</v>
      </c>
      <c r="G892" s="70">
        <v>0.0</v>
      </c>
      <c r="H892" s="70" t="s">
        <v>12834</v>
      </c>
      <c r="I892" s="70">
        <v>1338.0</v>
      </c>
      <c r="J892" s="70" t="s">
        <v>12831</v>
      </c>
      <c r="K892" s="70" t="s">
        <v>12832</v>
      </c>
      <c r="L892" s="70" t="s">
        <v>12833</v>
      </c>
      <c r="N892" s="70" t="s">
        <v>7198</v>
      </c>
      <c r="P892" s="76">
        <v>45370.0</v>
      </c>
      <c r="U892" s="70" t="s">
        <v>239</v>
      </c>
      <c r="W892" s="70" t="s">
        <v>12836</v>
      </c>
      <c r="X892" s="70" t="s">
        <v>12837</v>
      </c>
      <c r="Z892" s="75" t="s">
        <v>12838</v>
      </c>
      <c r="AA892" s="70" t="s">
        <v>12839</v>
      </c>
      <c r="AE892" s="70">
        <v>16.0</v>
      </c>
      <c r="AF892" s="70" t="s">
        <v>239</v>
      </c>
      <c r="AW892" s="70" t="s">
        <v>12840</v>
      </c>
      <c r="AZ892" s="70">
        <v>1096.0</v>
      </c>
    </row>
    <row r="893" ht="22.5" customHeight="1">
      <c r="A893" s="70" t="str">
        <f t="shared" si="1"/>
        <v>Excluded</v>
      </c>
      <c r="B893" s="70">
        <f t="shared" si="2"/>
        <v>0</v>
      </c>
      <c r="C893" s="70">
        <v>0.0</v>
      </c>
      <c r="D893" s="70">
        <v>0.0</v>
      </c>
      <c r="E893" s="70">
        <v>0.0</v>
      </c>
      <c r="F893" s="70">
        <v>0.0</v>
      </c>
      <c r="G893" s="70">
        <v>0.0</v>
      </c>
      <c r="H893" s="70" t="s">
        <v>10349</v>
      </c>
      <c r="I893" s="70">
        <v>1017.0</v>
      </c>
      <c r="J893" s="70" t="s">
        <v>10346</v>
      </c>
      <c r="K893" s="70" t="s">
        <v>10347</v>
      </c>
      <c r="L893" s="70" t="s">
        <v>10348</v>
      </c>
      <c r="P893" s="76">
        <v>44467.0</v>
      </c>
      <c r="U893" s="70" t="s">
        <v>239</v>
      </c>
      <c r="W893" s="70" t="s">
        <v>10351</v>
      </c>
      <c r="X893" s="70" t="s">
        <v>10352</v>
      </c>
      <c r="Z893" s="75" t="s">
        <v>10353</v>
      </c>
      <c r="AA893" s="70" t="s">
        <v>10354</v>
      </c>
      <c r="AE893" s="70">
        <v>15.0</v>
      </c>
      <c r="AF893" s="70" t="s">
        <v>239</v>
      </c>
      <c r="AW893" s="70" t="s">
        <v>10355</v>
      </c>
      <c r="AX893" s="70">
        <v>0.0</v>
      </c>
      <c r="AY893" s="70" t="s">
        <v>24</v>
      </c>
      <c r="AZ893" s="70">
        <v>2234.0</v>
      </c>
    </row>
    <row r="894" ht="22.5" customHeight="1">
      <c r="A894" s="70" t="str">
        <f t="shared" si="1"/>
        <v>Excluded</v>
      </c>
      <c r="B894" s="70">
        <f t="shared" si="2"/>
        <v>0</v>
      </c>
      <c r="C894" s="70">
        <v>0.0</v>
      </c>
      <c r="D894" s="70">
        <v>0.0</v>
      </c>
      <c r="E894" s="70">
        <v>0.0</v>
      </c>
      <c r="F894" s="70">
        <v>0.0</v>
      </c>
      <c r="G894" s="70">
        <v>0.0</v>
      </c>
      <c r="H894" s="70" t="s">
        <v>6964</v>
      </c>
      <c r="I894" s="70">
        <v>664.0</v>
      </c>
      <c r="J894" s="70" t="s">
        <v>6960</v>
      </c>
      <c r="K894" s="70" t="s">
        <v>6961</v>
      </c>
      <c r="L894" s="70" t="s">
        <v>6962</v>
      </c>
      <c r="N894" s="70" t="s">
        <v>6963</v>
      </c>
      <c r="P894" s="76">
        <v>44104.0</v>
      </c>
      <c r="U894" s="70" t="s">
        <v>239</v>
      </c>
      <c r="W894" s="70" t="s">
        <v>6966</v>
      </c>
      <c r="X894" s="70" t="s">
        <v>6967</v>
      </c>
      <c r="Z894" s="75" t="s">
        <v>6968</v>
      </c>
      <c r="AA894" s="70" t="s">
        <v>6969</v>
      </c>
      <c r="AC894" s="70">
        <v>5.0</v>
      </c>
      <c r="AE894" s="70">
        <v>22.0</v>
      </c>
      <c r="AF894" s="70" t="s">
        <v>239</v>
      </c>
      <c r="AW894" s="70" t="s">
        <v>6970</v>
      </c>
      <c r="AX894" s="70">
        <v>0.0</v>
      </c>
      <c r="AY894" s="70" t="s">
        <v>24</v>
      </c>
      <c r="AZ894" s="70">
        <v>2490.0</v>
      </c>
    </row>
    <row r="895" ht="22.5" customHeight="1">
      <c r="A895" s="70" t="str">
        <f t="shared" si="1"/>
        <v>Excluded</v>
      </c>
      <c r="B895" s="70">
        <f t="shared" si="2"/>
        <v>0</v>
      </c>
      <c r="C895" s="70">
        <v>0.0</v>
      </c>
      <c r="D895" s="70">
        <v>0.0</v>
      </c>
      <c r="E895" s="70">
        <v>0.0</v>
      </c>
      <c r="F895" s="70">
        <v>0.0</v>
      </c>
      <c r="G895" s="70">
        <v>0.0</v>
      </c>
      <c r="H895" s="70" t="s">
        <v>11295</v>
      </c>
      <c r="I895" s="70">
        <v>1184.0</v>
      </c>
      <c r="J895" s="70" t="s">
        <v>30239</v>
      </c>
      <c r="K895" s="70" t="s">
        <v>11293</v>
      </c>
      <c r="L895" s="70" t="s">
        <v>11294</v>
      </c>
      <c r="N895" s="70" t="s">
        <v>6963</v>
      </c>
      <c r="P895" s="76">
        <v>45378.0</v>
      </c>
      <c r="U895" s="70" t="s">
        <v>239</v>
      </c>
      <c r="W895" s="70" t="s">
        <v>30240</v>
      </c>
      <c r="X895" s="70" t="s">
        <v>11298</v>
      </c>
      <c r="Y895" s="70" t="s">
        <v>30241</v>
      </c>
      <c r="Z895" s="75" t="s">
        <v>11300</v>
      </c>
      <c r="AA895" s="70" t="s">
        <v>11078</v>
      </c>
      <c r="AC895" s="70">
        <v>4.0</v>
      </c>
      <c r="AE895" s="70">
        <v>16.0</v>
      </c>
      <c r="AF895" s="70" t="s">
        <v>239</v>
      </c>
      <c r="AW895" s="70" t="s">
        <v>11301</v>
      </c>
      <c r="AZ895" s="70">
        <v>906.0</v>
      </c>
    </row>
    <row r="896" ht="22.5" customHeight="1">
      <c r="A896" s="70" t="str">
        <f t="shared" si="1"/>
        <v>Excluded</v>
      </c>
      <c r="B896" s="70">
        <f t="shared" si="2"/>
        <v>0</v>
      </c>
      <c r="C896" s="70">
        <v>0.0</v>
      </c>
      <c r="D896" s="70">
        <v>0.0</v>
      </c>
      <c r="E896" s="70">
        <v>0.0</v>
      </c>
      <c r="F896" s="70">
        <v>0.0</v>
      </c>
      <c r="G896" s="70">
        <v>0.0</v>
      </c>
      <c r="H896" s="70" t="s">
        <v>16060</v>
      </c>
      <c r="I896" s="70">
        <v>1711.0</v>
      </c>
      <c r="K896" s="70" t="s">
        <v>16059</v>
      </c>
      <c r="L896" s="70" t="s">
        <v>14121</v>
      </c>
      <c r="P896" s="76">
        <v>45674.0</v>
      </c>
      <c r="U896" s="70" t="s">
        <v>239</v>
      </c>
      <c r="X896" s="70" t="s">
        <v>14125</v>
      </c>
      <c r="Z896" s="75" t="s">
        <v>16061</v>
      </c>
      <c r="AF896" s="70" t="s">
        <v>239</v>
      </c>
      <c r="AZ896" s="70">
        <v>1496.0</v>
      </c>
    </row>
    <row r="897" ht="22.5" customHeight="1">
      <c r="A897" s="70" t="str">
        <f t="shared" si="1"/>
        <v>Excluded</v>
      </c>
      <c r="B897" s="70">
        <f t="shared" si="2"/>
        <v>0</v>
      </c>
      <c r="C897" s="70">
        <v>0.0</v>
      </c>
      <c r="D897" s="70">
        <v>0.0</v>
      </c>
      <c r="E897" s="70">
        <v>0.0</v>
      </c>
      <c r="F897" s="70">
        <v>0.0</v>
      </c>
      <c r="G897" s="70">
        <v>0.0</v>
      </c>
      <c r="H897" s="70" t="s">
        <v>14889</v>
      </c>
      <c r="I897" s="70">
        <v>1552.0</v>
      </c>
      <c r="J897" s="70" t="s">
        <v>14887</v>
      </c>
      <c r="K897" s="70" t="s">
        <v>14888</v>
      </c>
      <c r="L897" s="70" t="s">
        <v>14121</v>
      </c>
      <c r="P897" s="76">
        <v>45674.0</v>
      </c>
      <c r="U897" s="70" t="s">
        <v>239</v>
      </c>
      <c r="W897" s="70" t="s">
        <v>14891</v>
      </c>
      <c r="X897" s="70" t="s">
        <v>14125</v>
      </c>
      <c r="Y897" s="70" t="s">
        <v>30242</v>
      </c>
      <c r="Z897" s="75" t="s">
        <v>14893</v>
      </c>
      <c r="AA897" s="70" t="s">
        <v>14894</v>
      </c>
      <c r="AE897" s="70">
        <v>23.0</v>
      </c>
      <c r="AF897" s="70" t="s">
        <v>239</v>
      </c>
      <c r="AW897" s="70" t="s">
        <v>14895</v>
      </c>
      <c r="AX897" s="70">
        <v>0.0</v>
      </c>
      <c r="AY897" s="70" t="s">
        <v>24</v>
      </c>
      <c r="AZ897" s="70">
        <v>2436.0</v>
      </c>
    </row>
    <row r="898" ht="22.5" customHeight="1">
      <c r="A898" s="70" t="str">
        <f t="shared" si="1"/>
        <v>Excluded</v>
      </c>
      <c r="B898" s="70">
        <f t="shared" si="2"/>
        <v>0</v>
      </c>
      <c r="C898" s="70">
        <v>0.0</v>
      </c>
      <c r="D898" s="70">
        <v>0.0</v>
      </c>
      <c r="E898" s="70">
        <v>0.0</v>
      </c>
      <c r="F898" s="70">
        <v>0.0</v>
      </c>
      <c r="G898" s="70">
        <v>0.0</v>
      </c>
      <c r="H898" s="70" t="s">
        <v>15238</v>
      </c>
      <c r="I898" s="70">
        <v>1589.0</v>
      </c>
      <c r="J898" s="70" t="s">
        <v>15236</v>
      </c>
      <c r="K898" s="70" t="s">
        <v>15237</v>
      </c>
      <c r="L898" s="70" t="s">
        <v>14121</v>
      </c>
      <c r="P898" s="76">
        <v>45674.0</v>
      </c>
      <c r="U898" s="70" t="s">
        <v>239</v>
      </c>
      <c r="W898" s="70" t="s">
        <v>15240</v>
      </c>
      <c r="X898" s="70" t="s">
        <v>14125</v>
      </c>
      <c r="Z898" s="75" t="s">
        <v>15241</v>
      </c>
      <c r="AA898" s="70" t="s">
        <v>15242</v>
      </c>
      <c r="AE898" s="70">
        <v>35.0</v>
      </c>
      <c r="AF898" s="70" t="s">
        <v>239</v>
      </c>
      <c r="AW898" s="70" t="s">
        <v>15243</v>
      </c>
      <c r="AX898" s="70">
        <v>0.0</v>
      </c>
      <c r="AY898" s="70" t="s">
        <v>24</v>
      </c>
      <c r="AZ898" s="70">
        <v>2337.0</v>
      </c>
    </row>
    <row r="899" ht="22.5" customHeight="1">
      <c r="A899" s="70" t="str">
        <f t="shared" si="1"/>
        <v>Excluded</v>
      </c>
      <c r="B899" s="70">
        <f t="shared" si="2"/>
        <v>0</v>
      </c>
      <c r="C899" s="70">
        <v>0.0</v>
      </c>
      <c r="D899" s="70">
        <v>0.0</v>
      </c>
      <c r="E899" s="70">
        <v>0.0</v>
      </c>
      <c r="F899" s="70">
        <v>0.0</v>
      </c>
      <c r="G899" s="70">
        <v>0.0</v>
      </c>
      <c r="H899" s="70" t="s">
        <v>14122</v>
      </c>
      <c r="I899" s="70">
        <v>1471.0</v>
      </c>
      <c r="J899" s="70" t="s">
        <v>14119</v>
      </c>
      <c r="K899" s="70" t="s">
        <v>14120</v>
      </c>
      <c r="L899" s="70" t="s">
        <v>14121</v>
      </c>
      <c r="P899" s="76">
        <v>45674.0</v>
      </c>
      <c r="U899" s="70" t="s">
        <v>239</v>
      </c>
      <c r="W899" s="70" t="s">
        <v>14124</v>
      </c>
      <c r="X899" s="70" t="s">
        <v>14125</v>
      </c>
      <c r="Z899" s="75" t="s">
        <v>14126</v>
      </c>
      <c r="AA899" s="70" t="s">
        <v>14127</v>
      </c>
      <c r="AE899" s="70">
        <v>45.0</v>
      </c>
      <c r="AF899" s="70" t="s">
        <v>239</v>
      </c>
      <c r="AW899" s="70" t="s">
        <v>14128</v>
      </c>
      <c r="AZ899" s="70">
        <v>601.0</v>
      </c>
    </row>
    <row r="900" ht="22.5" customHeight="1">
      <c r="A900" s="70" t="str">
        <f t="shared" si="1"/>
        <v>Excluded</v>
      </c>
      <c r="B900" s="70">
        <f t="shared" si="2"/>
        <v>0</v>
      </c>
      <c r="C900" s="70">
        <v>0.0</v>
      </c>
      <c r="D900" s="70">
        <v>0.0</v>
      </c>
      <c r="E900" s="70">
        <v>0.0</v>
      </c>
      <c r="F900" s="70">
        <v>0.0</v>
      </c>
      <c r="G900" s="70">
        <v>0.0</v>
      </c>
      <c r="H900" s="70" t="s">
        <v>14859</v>
      </c>
      <c r="I900" s="70">
        <v>1549.0</v>
      </c>
      <c r="J900" s="70" t="s">
        <v>30243</v>
      </c>
      <c r="K900" s="70" t="s">
        <v>14856</v>
      </c>
      <c r="L900" s="70" t="s">
        <v>14857</v>
      </c>
      <c r="N900" s="70" t="s">
        <v>14858</v>
      </c>
      <c r="P900" s="76">
        <v>45645.0</v>
      </c>
      <c r="U900" s="70" t="s">
        <v>239</v>
      </c>
      <c r="W900" s="70" t="s">
        <v>30244</v>
      </c>
      <c r="X900" s="70" t="s">
        <v>14862</v>
      </c>
      <c r="Y900" s="70" t="s">
        <v>30245</v>
      </c>
      <c r="Z900" s="75" t="s">
        <v>14864</v>
      </c>
      <c r="AA900" s="70" t="s">
        <v>14865</v>
      </c>
      <c r="AE900" s="70">
        <v>39.0</v>
      </c>
      <c r="AF900" s="70" t="s">
        <v>239</v>
      </c>
      <c r="AW900" s="70" t="s">
        <v>14866</v>
      </c>
      <c r="AX900" s="70">
        <v>0.0</v>
      </c>
      <c r="AY900" s="70" t="s">
        <v>24</v>
      </c>
      <c r="AZ900" s="70">
        <v>2593.0</v>
      </c>
    </row>
    <row r="901" ht="22.5" customHeight="1">
      <c r="A901" s="70" t="str">
        <f t="shared" si="1"/>
        <v>Excluded</v>
      </c>
      <c r="B901" s="70">
        <f t="shared" si="2"/>
        <v>0</v>
      </c>
      <c r="C901" s="70">
        <v>0.0</v>
      </c>
      <c r="D901" s="70">
        <v>0.0</v>
      </c>
      <c r="E901" s="70">
        <v>0.0</v>
      </c>
      <c r="F901" s="70">
        <v>0.0</v>
      </c>
      <c r="G901" s="70">
        <v>0.0</v>
      </c>
      <c r="H901" s="70" t="s">
        <v>5986</v>
      </c>
      <c r="I901" s="70">
        <v>565.0</v>
      </c>
      <c r="J901" s="70" t="s">
        <v>5982</v>
      </c>
      <c r="K901" s="70" t="s">
        <v>5983</v>
      </c>
      <c r="L901" s="70" t="s">
        <v>5984</v>
      </c>
      <c r="N901" s="70" t="s">
        <v>5985</v>
      </c>
      <c r="P901" s="77">
        <v>43682.0</v>
      </c>
      <c r="U901" s="70" t="s">
        <v>239</v>
      </c>
      <c r="W901" s="70" t="s">
        <v>5988</v>
      </c>
      <c r="X901" s="70" t="s">
        <v>5989</v>
      </c>
      <c r="Z901" s="75" t="s">
        <v>5990</v>
      </c>
      <c r="AA901" s="70" t="s">
        <v>5991</v>
      </c>
      <c r="AC901" s="70">
        <v>8.0</v>
      </c>
      <c r="AE901" s="70">
        <v>13.0</v>
      </c>
      <c r="AF901" s="70" t="s">
        <v>239</v>
      </c>
      <c r="AW901" s="70" t="s">
        <v>5992</v>
      </c>
      <c r="AZ901" s="70">
        <v>643.0</v>
      </c>
    </row>
    <row r="902" ht="22.5" customHeight="1">
      <c r="A902" s="70" t="str">
        <f t="shared" si="1"/>
        <v>Excluded</v>
      </c>
      <c r="B902" s="70">
        <f t="shared" si="2"/>
        <v>0</v>
      </c>
      <c r="C902" s="70">
        <v>0.0</v>
      </c>
      <c r="D902" s="70">
        <v>0.0</v>
      </c>
      <c r="E902" s="70">
        <v>0.0</v>
      </c>
      <c r="F902" s="70">
        <v>0.0</v>
      </c>
      <c r="G902" s="70">
        <v>0.0</v>
      </c>
      <c r="H902" s="70" t="s">
        <v>10571</v>
      </c>
      <c r="I902" s="70">
        <v>1040.0</v>
      </c>
      <c r="K902" s="70" t="s">
        <v>10569</v>
      </c>
      <c r="L902" s="70" t="s">
        <v>10570</v>
      </c>
      <c r="P902" s="76">
        <v>44865.0</v>
      </c>
      <c r="U902" s="70" t="s">
        <v>239</v>
      </c>
      <c r="W902" s="70" t="s">
        <v>10574</v>
      </c>
      <c r="X902" s="70" t="s">
        <v>10575</v>
      </c>
      <c r="Z902" s="75" t="s">
        <v>10576</v>
      </c>
      <c r="AF902" s="70" t="s">
        <v>239</v>
      </c>
      <c r="AZ902" s="70">
        <v>1490.0</v>
      </c>
    </row>
    <row r="903" ht="22.5" customHeight="1">
      <c r="A903" s="70" t="str">
        <f t="shared" si="1"/>
        <v>Excluded</v>
      </c>
      <c r="B903" s="70">
        <f t="shared" si="2"/>
        <v>0</v>
      </c>
      <c r="C903" s="70">
        <v>0.0</v>
      </c>
      <c r="D903" s="70">
        <v>0.0</v>
      </c>
      <c r="E903" s="70">
        <v>0.0</v>
      </c>
      <c r="F903" s="70">
        <v>0.0</v>
      </c>
      <c r="G903" s="70">
        <v>0.0</v>
      </c>
      <c r="H903" s="70" t="s">
        <v>7607</v>
      </c>
      <c r="I903" s="70">
        <v>731.0</v>
      </c>
      <c r="J903" s="70" t="s">
        <v>7603</v>
      </c>
      <c r="K903" s="70" t="s">
        <v>7604</v>
      </c>
      <c r="L903" s="70" t="s">
        <v>7605</v>
      </c>
      <c r="N903" s="70" t="s">
        <v>7606</v>
      </c>
      <c r="P903" s="76">
        <v>44054.0</v>
      </c>
      <c r="U903" s="70" t="s">
        <v>239</v>
      </c>
      <c r="W903" s="70" t="s">
        <v>7609</v>
      </c>
      <c r="X903" s="70" t="s">
        <v>7610</v>
      </c>
      <c r="Z903" s="75" t="s">
        <v>7611</v>
      </c>
      <c r="AA903" s="70" t="s">
        <v>7612</v>
      </c>
      <c r="AC903" s="70">
        <v>3.0</v>
      </c>
      <c r="AE903" s="70">
        <v>14.0</v>
      </c>
      <c r="AF903" s="70" t="s">
        <v>239</v>
      </c>
      <c r="AW903" s="70" t="s">
        <v>7613</v>
      </c>
      <c r="AX903" s="70">
        <v>0.0</v>
      </c>
      <c r="AY903" s="70" t="s">
        <v>24</v>
      </c>
      <c r="AZ903" s="70">
        <v>1839.0</v>
      </c>
    </row>
    <row r="904" ht="22.5" customHeight="1">
      <c r="A904" s="70" t="str">
        <f t="shared" si="1"/>
        <v>Excluded</v>
      </c>
      <c r="B904" s="70">
        <f t="shared" si="2"/>
        <v>0</v>
      </c>
      <c r="C904" s="70">
        <v>0.0</v>
      </c>
      <c r="D904" s="70">
        <v>0.0</v>
      </c>
      <c r="E904" s="70">
        <v>0.0</v>
      </c>
      <c r="F904" s="70">
        <v>0.0</v>
      </c>
      <c r="G904" s="70">
        <v>0.0</v>
      </c>
      <c r="H904" s="70" t="s">
        <v>13701</v>
      </c>
      <c r="I904" s="70">
        <v>1427.0</v>
      </c>
      <c r="J904" s="70" t="s">
        <v>13697</v>
      </c>
      <c r="K904" s="70" t="s">
        <v>13698</v>
      </c>
      <c r="L904" s="70" t="s">
        <v>13699</v>
      </c>
      <c r="N904" s="70" t="s">
        <v>13700</v>
      </c>
      <c r="P904" s="77">
        <v>45630.0</v>
      </c>
      <c r="U904" s="70" t="s">
        <v>239</v>
      </c>
      <c r="W904" s="70" t="s">
        <v>13703</v>
      </c>
      <c r="X904" s="70" t="s">
        <v>13704</v>
      </c>
      <c r="Z904" s="75" t="s">
        <v>13705</v>
      </c>
      <c r="AA904" s="70" t="s">
        <v>13706</v>
      </c>
      <c r="AE904" s="70">
        <v>26.0</v>
      </c>
      <c r="AF904" s="70" t="s">
        <v>239</v>
      </c>
      <c r="AW904" s="70" t="s">
        <v>13707</v>
      </c>
      <c r="AX904" s="70">
        <v>0.0</v>
      </c>
      <c r="AY904" s="70" t="s">
        <v>24</v>
      </c>
      <c r="AZ904" s="70">
        <v>1853.0</v>
      </c>
    </row>
    <row r="905" ht="22.5" customHeight="1">
      <c r="A905" s="70" t="str">
        <f t="shared" si="1"/>
        <v>Excluded</v>
      </c>
      <c r="B905" s="70">
        <f t="shared" si="2"/>
        <v>0</v>
      </c>
      <c r="C905" s="70">
        <v>0.0</v>
      </c>
      <c r="D905" s="70">
        <v>0.0</v>
      </c>
      <c r="E905" s="70">
        <v>0.0</v>
      </c>
      <c r="F905" s="70">
        <v>0.0</v>
      </c>
      <c r="G905" s="70">
        <v>0.0</v>
      </c>
      <c r="H905" s="70" t="s">
        <v>15967</v>
      </c>
      <c r="I905" s="70">
        <v>1684.0</v>
      </c>
      <c r="K905" s="70" t="s">
        <v>10597</v>
      </c>
      <c r="L905" s="70" t="s">
        <v>15965</v>
      </c>
      <c r="N905" s="70" t="s">
        <v>15966</v>
      </c>
      <c r="P905" s="77">
        <v>45266.0</v>
      </c>
      <c r="U905" s="70" t="s">
        <v>239</v>
      </c>
      <c r="X905" s="70" t="s">
        <v>15968</v>
      </c>
      <c r="Z905" s="75" t="s">
        <v>15969</v>
      </c>
      <c r="AF905" s="70" t="s">
        <v>239</v>
      </c>
      <c r="AZ905" s="70">
        <v>1582.0</v>
      </c>
    </row>
    <row r="906" ht="22.5" customHeight="1">
      <c r="A906" s="70" t="str">
        <f t="shared" si="1"/>
        <v>Excluded</v>
      </c>
      <c r="B906" s="70">
        <f t="shared" si="2"/>
        <v>0</v>
      </c>
      <c r="C906" s="70">
        <v>0.0</v>
      </c>
      <c r="D906" s="70">
        <v>0.0</v>
      </c>
      <c r="E906" s="70">
        <v>0.0</v>
      </c>
      <c r="F906" s="70">
        <v>0.0</v>
      </c>
      <c r="G906" s="70">
        <v>0.0</v>
      </c>
      <c r="H906" s="70" t="s">
        <v>4840</v>
      </c>
      <c r="I906" s="70">
        <v>450.0</v>
      </c>
      <c r="J906" s="70" t="s">
        <v>4837</v>
      </c>
      <c r="K906" s="70" t="s">
        <v>4838</v>
      </c>
      <c r="L906" s="70" t="s">
        <v>4839</v>
      </c>
      <c r="P906" s="76">
        <v>44026.0</v>
      </c>
      <c r="U906" s="70" t="s">
        <v>239</v>
      </c>
      <c r="W906" s="70" t="s">
        <v>4842</v>
      </c>
      <c r="X906" s="70" t="s">
        <v>4843</v>
      </c>
      <c r="Z906" s="75" t="s">
        <v>4844</v>
      </c>
      <c r="AA906" s="70" t="s">
        <v>4845</v>
      </c>
      <c r="AC906" s="70">
        <v>32.0</v>
      </c>
      <c r="AE906" s="70">
        <v>30.0</v>
      </c>
      <c r="AF906" s="70" t="s">
        <v>239</v>
      </c>
      <c r="AW906" s="70" t="s">
        <v>4846</v>
      </c>
      <c r="AX906" s="70">
        <v>0.0</v>
      </c>
      <c r="AY906" s="70" t="s">
        <v>24</v>
      </c>
      <c r="AZ906" s="70">
        <v>2444.0</v>
      </c>
    </row>
    <row r="907" ht="22.5" customHeight="1">
      <c r="A907" s="70" t="str">
        <f t="shared" si="1"/>
        <v>Excluded</v>
      </c>
      <c r="B907" s="70">
        <f t="shared" si="2"/>
        <v>0</v>
      </c>
      <c r="C907" s="70">
        <v>0.0</v>
      </c>
      <c r="D907" s="70">
        <v>0.0</v>
      </c>
      <c r="E907" s="70">
        <v>0.0</v>
      </c>
      <c r="F907" s="70">
        <v>0.0</v>
      </c>
      <c r="G907" s="70">
        <v>0.0</v>
      </c>
      <c r="H907" s="70" t="s">
        <v>28475</v>
      </c>
      <c r="I907" s="70">
        <v>3065.0</v>
      </c>
      <c r="J907" s="70" t="s">
        <v>28473</v>
      </c>
      <c r="K907" s="70" t="s">
        <v>28474</v>
      </c>
      <c r="W907" s="70" t="s">
        <v>30246</v>
      </c>
      <c r="AA907" s="70" t="s">
        <v>28477</v>
      </c>
      <c r="AI907" s="70" t="s">
        <v>28478</v>
      </c>
      <c r="AJ907" s="70">
        <v>7.102156137E9</v>
      </c>
      <c r="AK907" s="70">
        <v>2020.0</v>
      </c>
      <c r="AL907" s="70" t="s">
        <v>28479</v>
      </c>
      <c r="AM907" s="70">
        <v>9139670.0</v>
      </c>
      <c r="AN907" s="70">
        <v>1.0</v>
      </c>
      <c r="AO907" s="70">
        <v>10.0</v>
      </c>
      <c r="AP907" s="70">
        <v>9.0</v>
      </c>
      <c r="AQ907" s="70">
        <v>22.0</v>
      </c>
      <c r="AR907" s="75" t="s">
        <v>28480</v>
      </c>
      <c r="AS907" s="70" t="s">
        <v>22525</v>
      </c>
      <c r="AU907" s="70" t="s">
        <v>237</v>
      </c>
      <c r="AV907" s="70" t="s">
        <v>28481</v>
      </c>
      <c r="AW907" s="70" t="s">
        <v>28482</v>
      </c>
      <c r="AZ907" s="70">
        <v>539.0</v>
      </c>
    </row>
    <row r="908" ht="22.5" customHeight="1">
      <c r="A908" s="70" t="str">
        <f t="shared" si="1"/>
        <v>Excluded</v>
      </c>
      <c r="B908" s="70">
        <f t="shared" si="2"/>
        <v>0</v>
      </c>
      <c r="C908" s="70">
        <v>0.0</v>
      </c>
      <c r="D908" s="70">
        <v>0.0</v>
      </c>
      <c r="E908" s="70">
        <v>0.0</v>
      </c>
      <c r="F908" s="70">
        <v>0.0</v>
      </c>
      <c r="G908" s="70">
        <v>0.0</v>
      </c>
      <c r="H908" s="70" t="s">
        <v>10600</v>
      </c>
      <c r="I908" s="70">
        <v>1046.0</v>
      </c>
      <c r="K908" s="70" t="s">
        <v>10597</v>
      </c>
      <c r="L908" s="70" t="s">
        <v>4839</v>
      </c>
      <c r="P908" s="76">
        <v>44026.0</v>
      </c>
      <c r="U908" s="70" t="s">
        <v>239</v>
      </c>
      <c r="W908" s="70" t="s">
        <v>10602</v>
      </c>
      <c r="X908" s="70" t="s">
        <v>4843</v>
      </c>
      <c r="Z908" s="75" t="s">
        <v>10603</v>
      </c>
      <c r="AF908" s="70" t="s">
        <v>239</v>
      </c>
      <c r="AZ908" s="70">
        <v>1594.0</v>
      </c>
    </row>
    <row r="909" ht="22.5" customHeight="1">
      <c r="A909" s="70" t="str">
        <f t="shared" si="1"/>
        <v>Excluded</v>
      </c>
      <c r="B909" s="70">
        <f t="shared" si="2"/>
        <v>0</v>
      </c>
      <c r="C909" s="70">
        <v>0.0</v>
      </c>
      <c r="D909" s="70">
        <v>0.0</v>
      </c>
      <c r="E909" s="70">
        <v>0.0</v>
      </c>
      <c r="F909" s="70">
        <v>0.0</v>
      </c>
      <c r="G909" s="70">
        <v>0.0</v>
      </c>
      <c r="H909" s="70" t="s">
        <v>9005</v>
      </c>
      <c r="I909" s="70">
        <v>876.0</v>
      </c>
      <c r="J909" s="70" t="s">
        <v>9003</v>
      </c>
      <c r="K909" s="70" t="s">
        <v>9004</v>
      </c>
      <c r="L909" s="70" t="s">
        <v>5191</v>
      </c>
      <c r="P909" s="77">
        <v>44410.0</v>
      </c>
      <c r="U909" s="70" t="s">
        <v>239</v>
      </c>
      <c r="W909" s="70" t="s">
        <v>9007</v>
      </c>
      <c r="X909" s="70" t="s">
        <v>5195</v>
      </c>
      <c r="Z909" s="75" t="s">
        <v>9008</v>
      </c>
      <c r="AA909" s="70" t="s">
        <v>9009</v>
      </c>
      <c r="AC909" s="70">
        <v>1.0</v>
      </c>
      <c r="AE909" s="70">
        <v>14.0</v>
      </c>
      <c r="AF909" s="70" t="s">
        <v>239</v>
      </c>
      <c r="AW909" s="70" t="s">
        <v>9010</v>
      </c>
      <c r="AX909" s="70">
        <v>0.0</v>
      </c>
      <c r="AY909" s="70" t="s">
        <v>24</v>
      </c>
      <c r="AZ909" s="70">
        <v>2787.0</v>
      </c>
    </row>
    <row r="910" ht="22.5" customHeight="1">
      <c r="A910" s="70" t="str">
        <f t="shared" si="1"/>
        <v>Excluded</v>
      </c>
      <c r="B910" s="70">
        <f t="shared" si="2"/>
        <v>0</v>
      </c>
      <c r="C910" s="70">
        <v>0.0</v>
      </c>
      <c r="D910" s="70">
        <v>0.0</v>
      </c>
      <c r="E910" s="70">
        <v>0.0</v>
      </c>
      <c r="F910" s="70">
        <v>0.0</v>
      </c>
      <c r="G910" s="70">
        <v>0.0</v>
      </c>
      <c r="H910" s="70" t="s">
        <v>5192</v>
      </c>
      <c r="I910" s="70">
        <v>485.0</v>
      </c>
      <c r="J910" s="70" t="s">
        <v>5189</v>
      </c>
      <c r="K910" s="70" t="s">
        <v>5190</v>
      </c>
      <c r="L910" s="70" t="s">
        <v>5191</v>
      </c>
      <c r="P910" s="77">
        <v>44410.0</v>
      </c>
      <c r="U910" s="70" t="s">
        <v>239</v>
      </c>
      <c r="W910" s="70" t="s">
        <v>5194</v>
      </c>
      <c r="X910" s="70" t="s">
        <v>5195</v>
      </c>
      <c r="Z910" s="75" t="s">
        <v>5196</v>
      </c>
      <c r="AA910" s="70" t="s">
        <v>5197</v>
      </c>
      <c r="AC910" s="70">
        <v>16.0</v>
      </c>
      <c r="AE910" s="70">
        <v>39.0</v>
      </c>
      <c r="AF910" s="70" t="s">
        <v>239</v>
      </c>
      <c r="AW910" s="70" t="s">
        <v>5198</v>
      </c>
      <c r="AX910" s="70">
        <v>0.0</v>
      </c>
      <c r="AY910" s="70" t="s">
        <v>24</v>
      </c>
      <c r="AZ910" s="70">
        <v>1892.0</v>
      </c>
    </row>
    <row r="911" ht="22.5" customHeight="1">
      <c r="A911" s="70" t="str">
        <f t="shared" si="1"/>
        <v>Excluded</v>
      </c>
      <c r="B911" s="70">
        <f t="shared" si="2"/>
        <v>0</v>
      </c>
      <c r="C911" s="70">
        <v>0.0</v>
      </c>
      <c r="D911" s="70">
        <v>0.0</v>
      </c>
      <c r="E911" s="70">
        <v>0.0</v>
      </c>
      <c r="F911" s="70">
        <v>0.0</v>
      </c>
      <c r="G911" s="70">
        <v>0.0</v>
      </c>
      <c r="H911" s="70" t="s">
        <v>7755</v>
      </c>
      <c r="I911" s="70">
        <v>746.0</v>
      </c>
      <c r="J911" s="70" t="s">
        <v>7753</v>
      </c>
      <c r="K911" s="70" t="s">
        <v>7754</v>
      </c>
      <c r="L911" s="70" t="s">
        <v>5191</v>
      </c>
      <c r="P911" s="77">
        <v>44410.0</v>
      </c>
      <c r="U911" s="70" t="s">
        <v>239</v>
      </c>
      <c r="W911" s="70" t="s">
        <v>7757</v>
      </c>
      <c r="X911" s="70" t="s">
        <v>5195</v>
      </c>
      <c r="Z911" s="75" t="s">
        <v>7758</v>
      </c>
      <c r="AA911" s="70" t="s">
        <v>7759</v>
      </c>
      <c r="AC911" s="70">
        <v>3.0</v>
      </c>
      <c r="AE911" s="70">
        <v>13.0</v>
      </c>
      <c r="AF911" s="70" t="s">
        <v>239</v>
      </c>
      <c r="AW911" s="70" t="s">
        <v>7760</v>
      </c>
      <c r="AX911" s="70">
        <v>0.0</v>
      </c>
      <c r="AY911" s="70" t="s">
        <v>24</v>
      </c>
      <c r="AZ911" s="70">
        <v>2666.0</v>
      </c>
    </row>
    <row r="912" ht="22.5" customHeight="1">
      <c r="A912" s="70" t="str">
        <f t="shared" si="1"/>
        <v>Excluded</v>
      </c>
      <c r="B912" s="70">
        <f t="shared" si="2"/>
        <v>0</v>
      </c>
      <c r="C912" s="70">
        <v>0.0</v>
      </c>
      <c r="D912" s="70">
        <v>0.0</v>
      </c>
      <c r="E912" s="70">
        <v>0.0</v>
      </c>
      <c r="F912" s="70">
        <v>0.0</v>
      </c>
      <c r="G912" s="70">
        <v>0.0</v>
      </c>
      <c r="H912" s="70" t="s">
        <v>4983</v>
      </c>
      <c r="I912" s="70">
        <v>464.0</v>
      </c>
      <c r="J912" s="70" t="s">
        <v>4980</v>
      </c>
      <c r="K912" s="70" t="s">
        <v>4981</v>
      </c>
      <c r="L912" s="70" t="s">
        <v>4982</v>
      </c>
      <c r="P912" s="76">
        <v>44761.0</v>
      </c>
      <c r="U912" s="70" t="s">
        <v>239</v>
      </c>
      <c r="W912" s="70" t="s">
        <v>30247</v>
      </c>
      <c r="X912" s="70" t="s">
        <v>4986</v>
      </c>
      <c r="Z912" s="75" t="s">
        <v>4987</v>
      </c>
      <c r="AA912" s="70" t="s">
        <v>4988</v>
      </c>
      <c r="AC912" s="70">
        <v>25.0</v>
      </c>
      <c r="AE912" s="70">
        <v>23.0</v>
      </c>
      <c r="AF912" s="70" t="s">
        <v>239</v>
      </c>
      <c r="AW912" s="70" t="s">
        <v>4989</v>
      </c>
      <c r="AX912" s="70">
        <v>0.0</v>
      </c>
      <c r="AY912" s="70" t="s">
        <v>24</v>
      </c>
      <c r="AZ912" s="70">
        <v>1770.0</v>
      </c>
    </row>
    <row r="913" ht="22.5" customHeight="1">
      <c r="A913" s="70" t="str">
        <f t="shared" si="1"/>
        <v>Excluded</v>
      </c>
      <c r="B913" s="70">
        <f t="shared" si="2"/>
        <v>0</v>
      </c>
      <c r="C913" s="70">
        <v>0.0</v>
      </c>
      <c r="D913" s="70">
        <v>0.0</v>
      </c>
      <c r="E913" s="70">
        <v>0.0</v>
      </c>
      <c r="F913" s="70">
        <v>0.0</v>
      </c>
      <c r="G913" s="70">
        <v>0.0</v>
      </c>
      <c r="H913" s="70" t="s">
        <v>7228</v>
      </c>
      <c r="I913" s="70">
        <v>692.0</v>
      </c>
      <c r="J913" s="70" t="s">
        <v>30248</v>
      </c>
      <c r="K913" s="70" t="s">
        <v>7227</v>
      </c>
      <c r="L913" s="70" t="s">
        <v>4982</v>
      </c>
      <c r="P913" s="76">
        <v>44761.0</v>
      </c>
      <c r="U913" s="70" t="s">
        <v>239</v>
      </c>
      <c r="W913" s="70" t="s">
        <v>7230</v>
      </c>
      <c r="X913" s="70" t="s">
        <v>4986</v>
      </c>
      <c r="Y913" s="70" t="s">
        <v>30249</v>
      </c>
      <c r="Z913" s="75" t="s">
        <v>7232</v>
      </c>
      <c r="AA913" s="70" t="s">
        <v>7233</v>
      </c>
      <c r="AC913" s="70">
        <v>4.0</v>
      </c>
      <c r="AE913" s="70">
        <v>29.0</v>
      </c>
      <c r="AF913" s="70" t="s">
        <v>239</v>
      </c>
      <c r="AW913" s="70" t="s">
        <v>7234</v>
      </c>
      <c r="AZ913" s="70">
        <v>306.0</v>
      </c>
    </row>
    <row r="914" ht="22.5" customHeight="1">
      <c r="A914" s="70" t="str">
        <f t="shared" si="1"/>
        <v>Excluded</v>
      </c>
      <c r="B914" s="70">
        <f t="shared" si="2"/>
        <v>0</v>
      </c>
      <c r="C914" s="70">
        <v>0.0</v>
      </c>
      <c r="D914" s="70">
        <v>0.0</v>
      </c>
      <c r="E914" s="70">
        <v>0.0</v>
      </c>
      <c r="F914" s="70">
        <v>0.0</v>
      </c>
      <c r="G914" s="70">
        <v>0.0</v>
      </c>
      <c r="H914" s="70" t="s">
        <v>8446</v>
      </c>
      <c r="I914" s="70">
        <v>819.0</v>
      </c>
      <c r="J914" s="70" t="s">
        <v>8444</v>
      </c>
      <c r="K914" s="70" t="s">
        <v>8445</v>
      </c>
      <c r="L914" s="70" t="s">
        <v>4982</v>
      </c>
      <c r="P914" s="76">
        <v>44761.0</v>
      </c>
      <c r="U914" s="70" t="s">
        <v>239</v>
      </c>
      <c r="W914" s="70" t="s">
        <v>8448</v>
      </c>
      <c r="X914" s="70" t="s">
        <v>4986</v>
      </c>
      <c r="Y914" s="70" t="s">
        <v>30250</v>
      </c>
      <c r="Z914" s="75" t="s">
        <v>8450</v>
      </c>
      <c r="AA914" s="70" t="s">
        <v>8451</v>
      </c>
      <c r="AC914" s="70">
        <v>2.0</v>
      </c>
      <c r="AE914" s="70">
        <v>32.0</v>
      </c>
      <c r="AF914" s="70" t="s">
        <v>239</v>
      </c>
      <c r="AW914" s="70" t="s">
        <v>8452</v>
      </c>
      <c r="AX914" s="70">
        <v>0.0</v>
      </c>
      <c r="AY914" s="70" t="s">
        <v>24</v>
      </c>
      <c r="AZ914" s="70">
        <v>2796.0</v>
      </c>
    </row>
    <row r="915" ht="22.5" customHeight="1">
      <c r="A915" s="70" t="str">
        <f t="shared" si="1"/>
        <v>Excluded</v>
      </c>
      <c r="B915" s="70">
        <f t="shared" si="2"/>
        <v>0</v>
      </c>
      <c r="C915" s="70">
        <v>0.0</v>
      </c>
      <c r="D915" s="70">
        <v>0.0</v>
      </c>
      <c r="E915" s="70">
        <v>0.0</v>
      </c>
      <c r="F915" s="70">
        <v>0.0</v>
      </c>
      <c r="G915" s="70">
        <v>0.0</v>
      </c>
      <c r="H915" s="70" t="s">
        <v>9960</v>
      </c>
      <c r="I915" s="70">
        <v>976.0</v>
      </c>
      <c r="J915" s="70" t="s">
        <v>9958</v>
      </c>
      <c r="K915" s="70" t="s">
        <v>9959</v>
      </c>
      <c r="L915" s="70" t="s">
        <v>4982</v>
      </c>
      <c r="P915" s="76">
        <v>44761.0</v>
      </c>
      <c r="U915" s="70" t="s">
        <v>239</v>
      </c>
      <c r="W915" s="70" t="s">
        <v>9962</v>
      </c>
      <c r="X915" s="70" t="s">
        <v>4986</v>
      </c>
      <c r="Y915" s="70" t="s">
        <v>9963</v>
      </c>
      <c r="Z915" s="75" t="s">
        <v>9964</v>
      </c>
      <c r="AA915" s="70" t="s">
        <v>9965</v>
      </c>
      <c r="AE915" s="70">
        <v>49.0</v>
      </c>
      <c r="AF915" s="70" t="s">
        <v>239</v>
      </c>
      <c r="AW915" s="70" t="s">
        <v>9966</v>
      </c>
      <c r="AX915" s="70">
        <v>0.0</v>
      </c>
      <c r="AY915" s="70" t="s">
        <v>24</v>
      </c>
      <c r="AZ915" s="70">
        <v>1951.0</v>
      </c>
    </row>
    <row r="916" ht="22.5" customHeight="1">
      <c r="A916" s="70" t="str">
        <f t="shared" si="1"/>
        <v>Excluded</v>
      </c>
      <c r="B916" s="70">
        <f t="shared" si="2"/>
        <v>0</v>
      </c>
      <c r="C916" s="70">
        <v>0.0</v>
      </c>
      <c r="D916" s="70">
        <v>0.0</v>
      </c>
      <c r="E916" s="70">
        <v>0.0</v>
      </c>
      <c r="F916" s="70">
        <v>0.0</v>
      </c>
      <c r="G916" s="70">
        <v>0.0</v>
      </c>
      <c r="H916" s="70" t="s">
        <v>8061</v>
      </c>
      <c r="I916" s="70">
        <v>778.0</v>
      </c>
      <c r="J916" s="70" t="s">
        <v>30251</v>
      </c>
      <c r="K916" s="70" t="s">
        <v>8060</v>
      </c>
      <c r="L916" s="70" t="s">
        <v>4982</v>
      </c>
      <c r="P916" s="76">
        <v>44761.0</v>
      </c>
      <c r="U916" s="70" t="s">
        <v>239</v>
      </c>
      <c r="W916" s="70" t="s">
        <v>8063</v>
      </c>
      <c r="X916" s="70" t="s">
        <v>4986</v>
      </c>
      <c r="Y916" s="70" t="s">
        <v>8064</v>
      </c>
      <c r="Z916" s="75" t="s">
        <v>8065</v>
      </c>
      <c r="AA916" s="70" t="s">
        <v>8066</v>
      </c>
      <c r="AC916" s="70">
        <v>2.0</v>
      </c>
      <c r="AE916" s="70">
        <v>45.0</v>
      </c>
      <c r="AF916" s="70" t="s">
        <v>239</v>
      </c>
      <c r="AW916" s="70" t="s">
        <v>8067</v>
      </c>
      <c r="AZ916" s="70">
        <v>769.0</v>
      </c>
    </row>
    <row r="917" ht="22.5" customHeight="1">
      <c r="A917" s="70" t="str">
        <f t="shared" si="1"/>
        <v>Excluded</v>
      </c>
      <c r="B917" s="70">
        <f t="shared" si="2"/>
        <v>0</v>
      </c>
      <c r="C917" s="70">
        <v>0.0</v>
      </c>
      <c r="D917" s="70">
        <v>0.0</v>
      </c>
      <c r="E917" s="70">
        <v>0.0</v>
      </c>
      <c r="F917" s="70">
        <v>0.0</v>
      </c>
      <c r="G917" s="70">
        <v>0.0</v>
      </c>
      <c r="H917" s="70" t="s">
        <v>11130</v>
      </c>
      <c r="I917" s="70">
        <v>1168.0</v>
      </c>
      <c r="J917" s="70" t="s">
        <v>30252</v>
      </c>
      <c r="K917" s="70" t="s">
        <v>11128</v>
      </c>
      <c r="L917" s="70" t="s">
        <v>11129</v>
      </c>
      <c r="P917" s="76">
        <v>45117.0</v>
      </c>
      <c r="U917" s="70" t="s">
        <v>239</v>
      </c>
      <c r="W917" s="70" t="s">
        <v>11132</v>
      </c>
      <c r="X917" s="70" t="s">
        <v>11133</v>
      </c>
      <c r="Y917" s="70" t="s">
        <v>30253</v>
      </c>
      <c r="Z917" s="75" t="s">
        <v>11135</v>
      </c>
      <c r="AA917" s="70" t="s">
        <v>11136</v>
      </c>
      <c r="AC917" s="70">
        <v>6.0</v>
      </c>
      <c r="AE917" s="70">
        <v>37.0</v>
      </c>
      <c r="AF917" s="70" t="s">
        <v>239</v>
      </c>
      <c r="AW917" s="70" t="s">
        <v>11137</v>
      </c>
      <c r="AX917" s="70">
        <v>0.0</v>
      </c>
      <c r="AY917" s="70" t="s">
        <v>24</v>
      </c>
      <c r="AZ917" s="70">
        <v>1780.0</v>
      </c>
    </row>
    <row r="918" ht="22.5" customHeight="1">
      <c r="A918" s="70" t="str">
        <f t="shared" si="1"/>
        <v>Excluded</v>
      </c>
      <c r="B918" s="70">
        <f t="shared" si="2"/>
        <v>0</v>
      </c>
      <c r="C918" s="70">
        <v>0.0</v>
      </c>
      <c r="D918" s="70">
        <v>0.0</v>
      </c>
      <c r="E918" s="70">
        <v>0.0</v>
      </c>
      <c r="F918" s="70">
        <v>0.0</v>
      </c>
      <c r="G918" s="70">
        <v>0.0</v>
      </c>
      <c r="H918" s="70" t="s">
        <v>12746</v>
      </c>
      <c r="I918" s="70">
        <v>1329.0</v>
      </c>
      <c r="J918" s="70" t="s">
        <v>12744</v>
      </c>
      <c r="K918" s="70" t="s">
        <v>12745</v>
      </c>
      <c r="L918" s="70" t="s">
        <v>12229</v>
      </c>
      <c r="N918" s="70" t="s">
        <v>12230</v>
      </c>
      <c r="P918" s="77">
        <v>45573.0</v>
      </c>
      <c r="U918" s="70" t="s">
        <v>239</v>
      </c>
      <c r="W918" s="70" t="s">
        <v>30254</v>
      </c>
      <c r="X918" s="70" t="s">
        <v>12234</v>
      </c>
      <c r="Z918" s="75" t="s">
        <v>12749</v>
      </c>
      <c r="AA918" s="70" t="s">
        <v>12750</v>
      </c>
      <c r="AE918" s="70">
        <v>45.0</v>
      </c>
      <c r="AF918" s="70" t="s">
        <v>239</v>
      </c>
      <c r="AW918" s="70" t="s">
        <v>12751</v>
      </c>
      <c r="AX918" s="70">
        <v>0.0</v>
      </c>
      <c r="AY918" s="70" t="s">
        <v>24</v>
      </c>
      <c r="AZ918" s="70">
        <v>1761.0</v>
      </c>
    </row>
    <row r="919" ht="22.5" customHeight="1">
      <c r="A919" s="70" t="str">
        <f t="shared" si="1"/>
        <v>Excluded</v>
      </c>
      <c r="B919" s="70">
        <f t="shared" si="2"/>
        <v>0</v>
      </c>
      <c r="C919" s="70">
        <v>0.0</v>
      </c>
      <c r="D919" s="70">
        <v>0.0</v>
      </c>
      <c r="E919" s="70">
        <v>0.0</v>
      </c>
      <c r="F919" s="70">
        <v>0.0</v>
      </c>
      <c r="G919" s="70">
        <v>0.0</v>
      </c>
      <c r="H919" s="70" t="s">
        <v>12231</v>
      </c>
      <c r="I919" s="70">
        <v>1278.0</v>
      </c>
      <c r="J919" s="70" t="s">
        <v>12227</v>
      </c>
      <c r="K919" s="70" t="s">
        <v>12228</v>
      </c>
      <c r="L919" s="70" t="s">
        <v>12229</v>
      </c>
      <c r="N919" s="70" t="s">
        <v>12230</v>
      </c>
      <c r="P919" s="77">
        <v>45573.0</v>
      </c>
      <c r="U919" s="70" t="s">
        <v>239</v>
      </c>
      <c r="W919" s="70" t="s">
        <v>12233</v>
      </c>
      <c r="X919" s="70" t="s">
        <v>12234</v>
      </c>
      <c r="Z919" s="75" t="s">
        <v>12235</v>
      </c>
      <c r="AA919" s="70" t="s">
        <v>12236</v>
      </c>
      <c r="AC919" s="70">
        <v>1.0</v>
      </c>
      <c r="AE919" s="70">
        <v>47.0</v>
      </c>
      <c r="AF919" s="70" t="s">
        <v>239</v>
      </c>
      <c r="AW919" s="70" t="s">
        <v>12237</v>
      </c>
      <c r="AX919" s="70">
        <v>0.0</v>
      </c>
      <c r="AY919" s="70" t="s">
        <v>24</v>
      </c>
      <c r="AZ919" s="70">
        <v>2113.0</v>
      </c>
    </row>
    <row r="920" ht="22.5" customHeight="1">
      <c r="A920" s="70" t="str">
        <f t="shared" si="1"/>
        <v>Excluded</v>
      </c>
      <c r="B920" s="70">
        <f t="shared" si="2"/>
        <v>0</v>
      </c>
      <c r="C920" s="70">
        <v>0.0</v>
      </c>
      <c r="D920" s="70">
        <v>0.0</v>
      </c>
      <c r="E920" s="70">
        <v>0.0</v>
      </c>
      <c r="F920" s="70">
        <v>0.0</v>
      </c>
      <c r="G920" s="70">
        <v>0.0</v>
      </c>
      <c r="H920" s="70" t="s">
        <v>15680</v>
      </c>
      <c r="I920" s="70">
        <v>1637.0</v>
      </c>
      <c r="J920" s="70" t="s">
        <v>15678</v>
      </c>
      <c r="K920" s="70" t="s">
        <v>15679</v>
      </c>
      <c r="L920" s="70" t="s">
        <v>12229</v>
      </c>
      <c r="N920" s="70" t="s">
        <v>12230</v>
      </c>
      <c r="P920" s="77">
        <v>45573.0</v>
      </c>
      <c r="U920" s="70" t="s">
        <v>239</v>
      </c>
      <c r="W920" s="70" t="s">
        <v>30255</v>
      </c>
      <c r="X920" s="70" t="s">
        <v>12234</v>
      </c>
      <c r="Y920" s="70" t="s">
        <v>30256</v>
      </c>
      <c r="Z920" s="75" t="s">
        <v>15683</v>
      </c>
      <c r="AA920" s="70" t="s">
        <v>15684</v>
      </c>
      <c r="AE920" s="70">
        <v>29.0</v>
      </c>
      <c r="AF920" s="70" t="s">
        <v>239</v>
      </c>
      <c r="AW920" s="70" t="s">
        <v>15685</v>
      </c>
      <c r="AZ920" s="70">
        <v>289.0</v>
      </c>
    </row>
    <row r="921" ht="22.5" customHeight="1">
      <c r="A921" s="70" t="str">
        <f t="shared" si="1"/>
        <v>Excluded</v>
      </c>
      <c r="B921" s="70">
        <f t="shared" si="2"/>
        <v>0</v>
      </c>
      <c r="C921" s="70">
        <v>0.0</v>
      </c>
      <c r="D921" s="70">
        <v>0.0</v>
      </c>
      <c r="E921" s="70">
        <v>0.0</v>
      </c>
      <c r="F921" s="70">
        <v>0.0</v>
      </c>
      <c r="G921" s="70">
        <v>0.0</v>
      </c>
      <c r="H921" s="70" t="s">
        <v>15781</v>
      </c>
      <c r="I921" s="70">
        <v>1648.0</v>
      </c>
      <c r="J921" s="70" t="s">
        <v>15779</v>
      </c>
      <c r="K921" s="70" t="s">
        <v>15780</v>
      </c>
      <c r="L921" s="70" t="s">
        <v>12229</v>
      </c>
      <c r="N921" s="70" t="s">
        <v>12230</v>
      </c>
      <c r="P921" s="77">
        <v>45573.0</v>
      </c>
      <c r="U921" s="70" t="s">
        <v>239</v>
      </c>
      <c r="W921" s="70" t="s">
        <v>15783</v>
      </c>
      <c r="X921" s="70" t="s">
        <v>12234</v>
      </c>
      <c r="Z921" s="75" t="s">
        <v>15784</v>
      </c>
      <c r="AA921" s="70" t="s">
        <v>15785</v>
      </c>
      <c r="AE921" s="70">
        <v>43.0</v>
      </c>
      <c r="AF921" s="70" t="s">
        <v>239</v>
      </c>
      <c r="AW921" s="70" t="s">
        <v>15786</v>
      </c>
      <c r="AX921" s="70">
        <v>0.0</v>
      </c>
      <c r="AY921" s="70" t="s">
        <v>24</v>
      </c>
      <c r="AZ921" s="70">
        <v>1673.0</v>
      </c>
    </row>
    <row r="922" ht="22.5" customHeight="1">
      <c r="A922" s="70" t="str">
        <f t="shared" si="1"/>
        <v>Excluded</v>
      </c>
      <c r="B922" s="70">
        <f t="shared" si="2"/>
        <v>0</v>
      </c>
      <c r="C922" s="70">
        <v>0.0</v>
      </c>
      <c r="D922" s="70">
        <v>0.0</v>
      </c>
      <c r="E922" s="70">
        <v>0.0</v>
      </c>
      <c r="F922" s="70">
        <v>0.0</v>
      </c>
      <c r="G922" s="70">
        <v>0.0</v>
      </c>
      <c r="H922" s="70" t="s">
        <v>14393</v>
      </c>
      <c r="I922" s="70">
        <v>1501.0</v>
      </c>
      <c r="J922" s="70" t="s">
        <v>14390</v>
      </c>
      <c r="K922" s="70" t="s">
        <v>14391</v>
      </c>
      <c r="L922" s="70" t="s">
        <v>14392</v>
      </c>
      <c r="P922" s="76">
        <v>45492.0</v>
      </c>
      <c r="U922" s="70" t="s">
        <v>239</v>
      </c>
      <c r="W922" s="70" t="s">
        <v>14395</v>
      </c>
      <c r="X922" s="70" t="s">
        <v>14396</v>
      </c>
      <c r="Z922" s="75" t="s">
        <v>14397</v>
      </c>
      <c r="AA922" s="70" t="s">
        <v>14398</v>
      </c>
      <c r="AE922" s="70">
        <v>22.0</v>
      </c>
      <c r="AF922" s="70" t="s">
        <v>239</v>
      </c>
      <c r="AW922" s="70" t="s">
        <v>14399</v>
      </c>
      <c r="AX922" s="70">
        <v>0.0</v>
      </c>
      <c r="AY922" s="70" t="s">
        <v>24</v>
      </c>
      <c r="AZ922" s="70">
        <v>1700.0</v>
      </c>
    </row>
    <row r="923" ht="22.5" customHeight="1">
      <c r="A923" s="70" t="str">
        <f t="shared" si="1"/>
        <v>Excluded</v>
      </c>
      <c r="B923" s="70">
        <f t="shared" si="2"/>
        <v>0</v>
      </c>
      <c r="C923" s="70">
        <v>0.0</v>
      </c>
      <c r="D923" s="70">
        <v>0.0</v>
      </c>
      <c r="E923" s="70">
        <v>0.0</v>
      </c>
      <c r="F923" s="70">
        <v>0.0</v>
      </c>
      <c r="G923" s="70">
        <v>0.0</v>
      </c>
      <c r="H923" s="70" t="s">
        <v>6757</v>
      </c>
      <c r="I923" s="70">
        <v>643.0</v>
      </c>
      <c r="J923" s="70" t="s">
        <v>6754</v>
      </c>
      <c r="K923" s="70" t="s">
        <v>6755</v>
      </c>
      <c r="L923" s="70" t="s">
        <v>6756</v>
      </c>
      <c r="P923" s="76">
        <v>44665.0</v>
      </c>
      <c r="U923" s="70" t="s">
        <v>239</v>
      </c>
      <c r="W923" s="70" t="s">
        <v>6759</v>
      </c>
      <c r="X923" s="70" t="s">
        <v>6760</v>
      </c>
      <c r="Z923" s="75" t="s">
        <v>6761</v>
      </c>
      <c r="AA923" s="70" t="s">
        <v>6762</v>
      </c>
      <c r="AC923" s="70">
        <v>5.0</v>
      </c>
      <c r="AE923" s="70">
        <v>14.0</v>
      </c>
      <c r="AF923" s="70" t="s">
        <v>239</v>
      </c>
      <c r="AW923" s="70" t="s">
        <v>6763</v>
      </c>
      <c r="AZ923" s="70">
        <v>698.0</v>
      </c>
    </row>
    <row r="924" ht="22.5" customHeight="1">
      <c r="A924" s="70" t="str">
        <f t="shared" si="1"/>
        <v>Excluded</v>
      </c>
      <c r="B924" s="70">
        <f t="shared" si="2"/>
        <v>0</v>
      </c>
      <c r="C924" s="70">
        <v>0.0</v>
      </c>
      <c r="D924" s="70">
        <v>0.0</v>
      </c>
      <c r="E924" s="70">
        <v>0.0</v>
      </c>
      <c r="F924" s="70">
        <v>0.0</v>
      </c>
      <c r="G924" s="70">
        <v>0.0</v>
      </c>
      <c r="H924" s="70" t="s">
        <v>5403</v>
      </c>
      <c r="I924" s="70">
        <v>506.0</v>
      </c>
      <c r="J924" s="70" t="s">
        <v>30257</v>
      </c>
      <c r="K924" s="70" t="s">
        <v>5400</v>
      </c>
      <c r="L924" s="70" t="s">
        <v>5401</v>
      </c>
      <c r="N924" s="70" t="s">
        <v>5402</v>
      </c>
      <c r="P924" s="76">
        <v>44602.0</v>
      </c>
      <c r="U924" s="70" t="s">
        <v>239</v>
      </c>
      <c r="W924" s="70" t="s">
        <v>5405</v>
      </c>
      <c r="X924" s="70" t="s">
        <v>5406</v>
      </c>
      <c r="Z924" s="75" t="s">
        <v>5407</v>
      </c>
      <c r="AA924" s="70" t="s">
        <v>5408</v>
      </c>
      <c r="AC924" s="70">
        <v>13.0</v>
      </c>
      <c r="AE924" s="70">
        <v>17.0</v>
      </c>
      <c r="AF924" s="70" t="s">
        <v>239</v>
      </c>
      <c r="AW924" s="70" t="s">
        <v>5409</v>
      </c>
      <c r="AZ924" s="70">
        <v>1084.0</v>
      </c>
    </row>
    <row r="925" ht="22.5" customHeight="1">
      <c r="A925" s="70" t="str">
        <f t="shared" si="1"/>
        <v>Excluded</v>
      </c>
      <c r="B925" s="70">
        <f t="shared" si="2"/>
        <v>0</v>
      </c>
      <c r="C925" s="70">
        <v>0.0</v>
      </c>
      <c r="D925" s="70">
        <v>0.0</v>
      </c>
      <c r="E925" s="70">
        <v>0.0</v>
      </c>
      <c r="F925" s="70">
        <v>0.0</v>
      </c>
      <c r="G925" s="70">
        <v>0.0</v>
      </c>
      <c r="H925" s="70" t="s">
        <v>11885</v>
      </c>
      <c r="I925" s="70">
        <v>1243.0</v>
      </c>
      <c r="J925" s="70" t="s">
        <v>11882</v>
      </c>
      <c r="K925" s="70" t="s">
        <v>11883</v>
      </c>
      <c r="L925" s="70" t="s">
        <v>11884</v>
      </c>
      <c r="N925" s="70" t="s">
        <v>5402</v>
      </c>
      <c r="P925" s="76">
        <v>45369.0</v>
      </c>
      <c r="U925" s="70" t="s">
        <v>239</v>
      </c>
      <c r="W925" s="70" t="s">
        <v>11887</v>
      </c>
      <c r="X925" s="70" t="s">
        <v>11888</v>
      </c>
      <c r="Z925" s="75" t="s">
        <v>11889</v>
      </c>
      <c r="AA925" s="70" t="s">
        <v>11890</v>
      </c>
      <c r="AC925" s="70">
        <v>1.0</v>
      </c>
      <c r="AE925" s="70">
        <v>48.0</v>
      </c>
      <c r="AF925" s="70" t="s">
        <v>239</v>
      </c>
      <c r="AW925" s="70" t="s">
        <v>11891</v>
      </c>
      <c r="AZ925" s="70">
        <v>1437.0</v>
      </c>
    </row>
    <row r="926" ht="22.5" customHeight="1">
      <c r="A926" s="70" t="str">
        <f t="shared" si="1"/>
        <v>Excluded</v>
      </c>
      <c r="B926" s="70">
        <f t="shared" si="2"/>
        <v>0</v>
      </c>
      <c r="C926" s="70">
        <v>0.0</v>
      </c>
      <c r="D926" s="70">
        <v>0.0</v>
      </c>
      <c r="E926" s="70">
        <v>0.0</v>
      </c>
      <c r="F926" s="70">
        <v>0.0</v>
      </c>
      <c r="G926" s="70">
        <v>0.0</v>
      </c>
      <c r="H926" s="70" t="s">
        <v>4963</v>
      </c>
      <c r="I926" s="70">
        <v>462.0</v>
      </c>
      <c r="J926" s="70" t="s">
        <v>4959</v>
      </c>
      <c r="K926" s="70" t="s">
        <v>4960</v>
      </c>
      <c r="L926" s="70" t="s">
        <v>4961</v>
      </c>
      <c r="N926" s="70" t="s">
        <v>4962</v>
      </c>
      <c r="P926" s="76">
        <v>42751.0</v>
      </c>
      <c r="U926" s="70" t="s">
        <v>239</v>
      </c>
      <c r="W926" s="70" t="s">
        <v>30258</v>
      </c>
      <c r="X926" s="70" t="s">
        <v>4966</v>
      </c>
      <c r="Z926" s="75" t="s">
        <v>4967</v>
      </c>
      <c r="AA926" s="70" t="s">
        <v>4968</v>
      </c>
      <c r="AC926" s="70">
        <v>26.0</v>
      </c>
      <c r="AE926" s="70">
        <v>53.0</v>
      </c>
      <c r="AF926" s="70" t="s">
        <v>239</v>
      </c>
      <c r="AX926" s="70">
        <v>0.0</v>
      </c>
      <c r="AY926" s="70" t="s">
        <v>24</v>
      </c>
      <c r="AZ926" s="70">
        <v>2662.0</v>
      </c>
    </row>
    <row r="927" ht="22.5" customHeight="1">
      <c r="A927" s="70" t="str">
        <f t="shared" si="1"/>
        <v>Excluded</v>
      </c>
      <c r="B927" s="70">
        <f t="shared" si="2"/>
        <v>0</v>
      </c>
      <c r="C927" s="70">
        <v>0.0</v>
      </c>
      <c r="D927" s="70">
        <v>0.0</v>
      </c>
      <c r="E927" s="70">
        <v>0.0</v>
      </c>
      <c r="F927" s="70">
        <v>0.0</v>
      </c>
      <c r="G927" s="70">
        <v>0.0</v>
      </c>
      <c r="H927" s="70" t="s">
        <v>12312</v>
      </c>
      <c r="I927" s="70">
        <v>1286.0</v>
      </c>
      <c r="J927" s="70" t="s">
        <v>12309</v>
      </c>
      <c r="K927" s="70" t="s">
        <v>12310</v>
      </c>
      <c r="L927" s="70" t="s">
        <v>12311</v>
      </c>
      <c r="P927" s="76">
        <v>45335.0</v>
      </c>
      <c r="U927" s="70" t="s">
        <v>239</v>
      </c>
      <c r="W927" s="70" t="s">
        <v>30259</v>
      </c>
      <c r="X927" s="70" t="s">
        <v>12315</v>
      </c>
      <c r="Y927" s="70" t="s">
        <v>29920</v>
      </c>
      <c r="Z927" s="75" t="s">
        <v>12316</v>
      </c>
      <c r="AA927" s="70" t="s">
        <v>12317</v>
      </c>
      <c r="AC927" s="70">
        <v>1.0</v>
      </c>
      <c r="AE927" s="70">
        <v>14.0</v>
      </c>
      <c r="AF927" s="70" t="s">
        <v>239</v>
      </c>
      <c r="AW927" s="70" t="s">
        <v>12318</v>
      </c>
      <c r="AZ927" s="70">
        <v>1153.0</v>
      </c>
    </row>
    <row r="928" ht="22.5" customHeight="1">
      <c r="A928" s="70" t="str">
        <f t="shared" si="1"/>
        <v>Excluded</v>
      </c>
      <c r="B928" s="70">
        <f t="shared" si="2"/>
        <v>0</v>
      </c>
      <c r="C928" s="70">
        <v>0.0</v>
      </c>
      <c r="D928" s="70">
        <v>0.0</v>
      </c>
      <c r="E928" s="70">
        <v>0.0</v>
      </c>
      <c r="F928" s="70">
        <v>0.0</v>
      </c>
      <c r="G928" s="70">
        <v>0.0</v>
      </c>
      <c r="H928" s="70" t="s">
        <v>16130</v>
      </c>
      <c r="I928" s="70">
        <v>1730.0</v>
      </c>
      <c r="K928" s="70" t="s">
        <v>16129</v>
      </c>
      <c r="L928" s="70" t="s">
        <v>12311</v>
      </c>
      <c r="P928" s="76">
        <v>45335.0</v>
      </c>
      <c r="U928" s="70" t="s">
        <v>239</v>
      </c>
      <c r="X928" s="70" t="s">
        <v>12315</v>
      </c>
      <c r="Z928" s="75" t="s">
        <v>16132</v>
      </c>
      <c r="AF928" s="70" t="s">
        <v>239</v>
      </c>
      <c r="AZ928" s="70">
        <v>1474.0</v>
      </c>
    </row>
    <row r="929" ht="22.5" customHeight="1">
      <c r="A929" s="70" t="str">
        <f t="shared" si="1"/>
        <v>Excluded</v>
      </c>
      <c r="B929" s="70">
        <f t="shared" si="2"/>
        <v>0</v>
      </c>
      <c r="C929" s="70">
        <v>0.0</v>
      </c>
      <c r="D929" s="70">
        <v>0.0</v>
      </c>
      <c r="E929" s="70">
        <v>0.0</v>
      </c>
      <c r="F929" s="70">
        <v>0.0</v>
      </c>
      <c r="G929" s="70">
        <v>0.0</v>
      </c>
      <c r="H929" s="70" t="s">
        <v>16216</v>
      </c>
      <c r="I929" s="70">
        <v>1750.0</v>
      </c>
      <c r="K929" s="70" t="s">
        <v>9426</v>
      </c>
      <c r="L929" s="70" t="s">
        <v>16215</v>
      </c>
      <c r="P929" s="77">
        <v>45721.0</v>
      </c>
      <c r="U929" s="70" t="s">
        <v>239</v>
      </c>
      <c r="X929" s="70" t="s">
        <v>16217</v>
      </c>
      <c r="Z929" s="75" t="s">
        <v>16218</v>
      </c>
      <c r="AF929" s="70" t="s">
        <v>239</v>
      </c>
      <c r="AZ929" s="70">
        <v>1431.0</v>
      </c>
    </row>
    <row r="930" ht="22.5" customHeight="1">
      <c r="A930" s="70" t="str">
        <f t="shared" si="1"/>
        <v>Excluded</v>
      </c>
      <c r="B930" s="70">
        <f t="shared" si="2"/>
        <v>0</v>
      </c>
      <c r="C930" s="70">
        <v>0.0</v>
      </c>
      <c r="D930" s="70">
        <v>0.0</v>
      </c>
      <c r="E930" s="70">
        <v>0.0</v>
      </c>
      <c r="F930" s="70">
        <v>0.0</v>
      </c>
      <c r="G930" s="70">
        <v>0.0</v>
      </c>
      <c r="H930" s="70" t="s">
        <v>8985</v>
      </c>
      <c r="I930" s="70">
        <v>874.0</v>
      </c>
      <c r="J930" s="70" t="s">
        <v>8982</v>
      </c>
      <c r="K930" s="70" t="s">
        <v>8983</v>
      </c>
      <c r="L930" s="70" t="s">
        <v>8984</v>
      </c>
      <c r="P930" s="77">
        <v>44652.0</v>
      </c>
      <c r="U930" s="70" t="s">
        <v>239</v>
      </c>
      <c r="W930" s="70" t="s">
        <v>8987</v>
      </c>
      <c r="X930" s="70" t="s">
        <v>8988</v>
      </c>
      <c r="Z930" s="75" t="s">
        <v>8989</v>
      </c>
      <c r="AA930" s="70" t="s">
        <v>8990</v>
      </c>
      <c r="AC930" s="70">
        <v>1.0</v>
      </c>
      <c r="AE930" s="70">
        <v>11.0</v>
      </c>
      <c r="AF930" s="70" t="s">
        <v>239</v>
      </c>
      <c r="AW930" s="70" t="s">
        <v>8991</v>
      </c>
      <c r="AX930" s="70">
        <v>0.0</v>
      </c>
      <c r="AY930" s="70" t="s">
        <v>24</v>
      </c>
      <c r="AZ930" s="70">
        <v>2791.0</v>
      </c>
    </row>
    <row r="931" ht="22.5" customHeight="1">
      <c r="A931" s="70" t="str">
        <f t="shared" si="1"/>
        <v>Excluded</v>
      </c>
      <c r="B931" s="70">
        <f t="shared" si="2"/>
        <v>0</v>
      </c>
      <c r="C931" s="70">
        <v>0.0</v>
      </c>
      <c r="D931" s="70">
        <v>0.0</v>
      </c>
      <c r="E931" s="70">
        <v>0.0</v>
      </c>
      <c r="F931" s="70">
        <v>0.0</v>
      </c>
      <c r="G931" s="70">
        <v>0.0</v>
      </c>
      <c r="H931" s="70" t="s">
        <v>9338</v>
      </c>
      <c r="I931" s="70">
        <v>911.0</v>
      </c>
      <c r="J931" s="70" t="s">
        <v>9335</v>
      </c>
      <c r="K931" s="70" t="s">
        <v>9336</v>
      </c>
      <c r="L931" s="70" t="s">
        <v>9337</v>
      </c>
      <c r="P931" s="76">
        <v>44397.0</v>
      </c>
      <c r="U931" s="70" t="s">
        <v>239</v>
      </c>
      <c r="W931" s="70" t="s">
        <v>9340</v>
      </c>
      <c r="X931" s="70" t="s">
        <v>9341</v>
      </c>
      <c r="Y931" s="70" t="s">
        <v>30260</v>
      </c>
      <c r="Z931" s="75" t="s">
        <v>9342</v>
      </c>
      <c r="AA931" s="70" t="s">
        <v>9343</v>
      </c>
      <c r="AE931" s="70">
        <v>6.0</v>
      </c>
      <c r="AF931" s="70" t="s">
        <v>239</v>
      </c>
      <c r="AW931" s="70" t="s">
        <v>9344</v>
      </c>
      <c r="AX931" s="70">
        <v>0.0</v>
      </c>
      <c r="AY931" s="70" t="s">
        <v>24</v>
      </c>
      <c r="AZ931" s="70">
        <v>2284.0</v>
      </c>
    </row>
    <row r="932" ht="22.5" customHeight="1">
      <c r="A932" s="70" t="str">
        <f t="shared" si="1"/>
        <v>Excluded</v>
      </c>
      <c r="B932" s="70">
        <f t="shared" si="2"/>
        <v>0</v>
      </c>
      <c r="C932" s="70">
        <v>0.0</v>
      </c>
      <c r="D932" s="70">
        <v>0.0</v>
      </c>
      <c r="E932" s="70">
        <v>0.0</v>
      </c>
      <c r="F932" s="70">
        <v>0.0</v>
      </c>
      <c r="G932" s="70">
        <v>0.0</v>
      </c>
      <c r="H932" s="70" t="s">
        <v>9545</v>
      </c>
      <c r="I932" s="70">
        <v>933.0</v>
      </c>
      <c r="J932" s="70" t="s">
        <v>9543</v>
      </c>
      <c r="K932" s="70" t="s">
        <v>9544</v>
      </c>
      <c r="L932" s="70" t="s">
        <v>9484</v>
      </c>
      <c r="P932" s="77">
        <v>44713.0</v>
      </c>
      <c r="U932" s="70" t="s">
        <v>239</v>
      </c>
      <c r="W932" s="70" t="s">
        <v>9547</v>
      </c>
      <c r="X932" s="70" t="s">
        <v>9488</v>
      </c>
      <c r="Z932" s="75" t="s">
        <v>9548</v>
      </c>
      <c r="AA932" s="70" t="s">
        <v>9549</v>
      </c>
      <c r="AE932" s="70">
        <v>15.0</v>
      </c>
      <c r="AF932" s="70" t="s">
        <v>239</v>
      </c>
      <c r="AW932" s="70" t="s">
        <v>9550</v>
      </c>
      <c r="AX932" s="70">
        <v>0.0</v>
      </c>
      <c r="AY932" s="70" t="s">
        <v>24</v>
      </c>
      <c r="AZ932" s="70">
        <v>1836.0</v>
      </c>
    </row>
    <row r="933" ht="22.5" customHeight="1">
      <c r="A933" s="70" t="str">
        <f t="shared" si="1"/>
        <v>Excluded</v>
      </c>
      <c r="B933" s="70">
        <f t="shared" si="2"/>
        <v>0</v>
      </c>
      <c r="C933" s="70">
        <v>0.0</v>
      </c>
      <c r="D933" s="70">
        <v>0.0</v>
      </c>
      <c r="E933" s="70">
        <v>0.0</v>
      </c>
      <c r="F933" s="70">
        <v>0.0</v>
      </c>
      <c r="G933" s="70">
        <v>0.0</v>
      </c>
      <c r="H933" s="70" t="s">
        <v>9485</v>
      </c>
      <c r="I933" s="70">
        <v>927.0</v>
      </c>
      <c r="J933" s="70" t="s">
        <v>9482</v>
      </c>
      <c r="K933" s="70" t="s">
        <v>9483</v>
      </c>
      <c r="L933" s="70" t="s">
        <v>9484</v>
      </c>
      <c r="P933" s="77">
        <v>44713.0</v>
      </c>
      <c r="U933" s="70" t="s">
        <v>239</v>
      </c>
      <c r="W933" s="70" t="s">
        <v>9487</v>
      </c>
      <c r="X933" s="70" t="s">
        <v>9488</v>
      </c>
      <c r="Z933" s="75" t="s">
        <v>9489</v>
      </c>
      <c r="AA933" s="70" t="s">
        <v>9490</v>
      </c>
      <c r="AE933" s="70">
        <v>11.0</v>
      </c>
      <c r="AF933" s="70" t="s">
        <v>239</v>
      </c>
      <c r="AW933" s="70" t="s">
        <v>9491</v>
      </c>
      <c r="AZ933" s="70">
        <v>536.0</v>
      </c>
    </row>
    <row r="934" ht="22.5" customHeight="1">
      <c r="A934" s="70" t="str">
        <f t="shared" si="1"/>
        <v>Excluded</v>
      </c>
      <c r="B934" s="70">
        <f t="shared" si="2"/>
        <v>0</v>
      </c>
      <c r="C934" s="70">
        <v>0.0</v>
      </c>
      <c r="D934" s="70">
        <v>0.0</v>
      </c>
      <c r="E934" s="70">
        <v>0.0</v>
      </c>
      <c r="F934" s="70">
        <v>0.0</v>
      </c>
      <c r="G934" s="70">
        <v>0.0</v>
      </c>
      <c r="H934" s="70" t="s">
        <v>15985</v>
      </c>
      <c r="I934" s="70">
        <v>1689.0</v>
      </c>
      <c r="K934" s="70" t="s">
        <v>10597</v>
      </c>
      <c r="L934" s="70" t="s">
        <v>15984</v>
      </c>
      <c r="P934" s="77">
        <v>45114.0</v>
      </c>
      <c r="U934" s="70" t="s">
        <v>239</v>
      </c>
      <c r="X934" s="70" t="s">
        <v>15986</v>
      </c>
      <c r="Z934" s="75" t="s">
        <v>15987</v>
      </c>
      <c r="AF934" s="70" t="s">
        <v>239</v>
      </c>
      <c r="AZ934" s="70">
        <v>1583.0</v>
      </c>
    </row>
    <row r="935" ht="22.5" customHeight="1">
      <c r="A935" s="70" t="str">
        <f t="shared" si="1"/>
        <v>Excluded</v>
      </c>
      <c r="B935" s="70">
        <f t="shared" si="2"/>
        <v>0</v>
      </c>
      <c r="C935" s="70">
        <v>0.0</v>
      </c>
      <c r="D935" s="70">
        <v>0.0</v>
      </c>
      <c r="E935" s="70">
        <v>0.0</v>
      </c>
      <c r="F935" s="70">
        <v>0.0</v>
      </c>
      <c r="G935" s="70">
        <v>0.0</v>
      </c>
      <c r="H935" s="70" t="s">
        <v>15158</v>
      </c>
      <c r="I935" s="70">
        <v>1581.0</v>
      </c>
      <c r="J935" s="70" t="s">
        <v>15156</v>
      </c>
      <c r="K935" s="70" t="s">
        <v>15157</v>
      </c>
      <c r="L935" s="70" t="s">
        <v>14711</v>
      </c>
      <c r="P935" s="76">
        <v>45483.0</v>
      </c>
      <c r="U935" s="70" t="s">
        <v>239</v>
      </c>
      <c r="W935" s="70" t="s">
        <v>15160</v>
      </c>
      <c r="X935" s="70" t="s">
        <v>14715</v>
      </c>
      <c r="Z935" s="75" t="s">
        <v>15161</v>
      </c>
      <c r="AA935" s="70" t="s">
        <v>15162</v>
      </c>
      <c r="AE935" s="70">
        <v>11.0</v>
      </c>
      <c r="AF935" s="70" t="s">
        <v>239</v>
      </c>
      <c r="AW935" s="70" t="s">
        <v>15163</v>
      </c>
      <c r="AZ935" s="70">
        <v>1154.0</v>
      </c>
    </row>
    <row r="936" ht="22.5" customHeight="1">
      <c r="A936" s="70" t="str">
        <f t="shared" si="1"/>
        <v>Excluded</v>
      </c>
      <c r="B936" s="70">
        <f t="shared" si="2"/>
        <v>0</v>
      </c>
      <c r="C936" s="70">
        <v>0.0</v>
      </c>
      <c r="D936" s="70">
        <v>0.0</v>
      </c>
      <c r="E936" s="70">
        <v>0.0</v>
      </c>
      <c r="F936" s="70">
        <v>0.0</v>
      </c>
      <c r="G936" s="70">
        <v>0.0</v>
      </c>
      <c r="H936" s="70" t="s">
        <v>14712</v>
      </c>
      <c r="I936" s="70">
        <v>1534.0</v>
      </c>
      <c r="J936" s="70" t="s">
        <v>14709</v>
      </c>
      <c r="K936" s="70" t="s">
        <v>14710</v>
      </c>
      <c r="L936" s="70" t="s">
        <v>14711</v>
      </c>
      <c r="P936" s="76">
        <v>45483.0</v>
      </c>
      <c r="U936" s="70" t="s">
        <v>239</v>
      </c>
      <c r="W936" s="70" t="s">
        <v>14714</v>
      </c>
      <c r="X936" s="70" t="s">
        <v>14715</v>
      </c>
      <c r="Z936" s="75" t="s">
        <v>14716</v>
      </c>
      <c r="AA936" s="70" t="s">
        <v>14717</v>
      </c>
      <c r="AE936" s="70">
        <v>38.0</v>
      </c>
      <c r="AF936" s="70" t="s">
        <v>239</v>
      </c>
      <c r="AW936" s="70" t="s">
        <v>14718</v>
      </c>
      <c r="AX936" s="70">
        <v>0.0</v>
      </c>
      <c r="AY936" s="70" t="s">
        <v>24</v>
      </c>
      <c r="AZ936" s="70">
        <v>3010.0</v>
      </c>
    </row>
    <row r="937" ht="22.5" customHeight="1">
      <c r="A937" s="70" t="str">
        <f t="shared" si="1"/>
        <v>Excluded</v>
      </c>
      <c r="B937" s="70">
        <f t="shared" si="2"/>
        <v>0</v>
      </c>
      <c r="C937" s="70">
        <v>0.0</v>
      </c>
      <c r="D937" s="70">
        <v>0.0</v>
      </c>
      <c r="E937" s="70">
        <v>0.0</v>
      </c>
      <c r="F937" s="70">
        <v>0.0</v>
      </c>
      <c r="G937" s="70">
        <v>0.0</v>
      </c>
      <c r="H937" s="70" t="s">
        <v>5665</v>
      </c>
      <c r="I937" s="70">
        <v>533.0</v>
      </c>
      <c r="J937" s="70" t="s">
        <v>5662</v>
      </c>
      <c r="K937" s="70" t="s">
        <v>5663</v>
      </c>
      <c r="L937" s="70" t="s">
        <v>5664</v>
      </c>
      <c r="P937" s="76">
        <v>43626.0</v>
      </c>
      <c r="U937" s="70" t="s">
        <v>239</v>
      </c>
      <c r="W937" s="70" t="s">
        <v>5667</v>
      </c>
      <c r="X937" s="70" t="s">
        <v>5668</v>
      </c>
      <c r="Z937" s="75" t="s">
        <v>5669</v>
      </c>
      <c r="AA937" s="70" t="s">
        <v>5670</v>
      </c>
      <c r="AC937" s="70">
        <v>10.0</v>
      </c>
      <c r="AE937" s="70">
        <v>15.0</v>
      </c>
      <c r="AF937" s="70" t="s">
        <v>239</v>
      </c>
      <c r="AW937" s="70" t="s">
        <v>5671</v>
      </c>
      <c r="AX937" s="70">
        <v>0.0</v>
      </c>
      <c r="AY937" s="70" t="s">
        <v>24</v>
      </c>
      <c r="AZ937" s="70">
        <v>2649.0</v>
      </c>
    </row>
    <row r="938" ht="22.5" customHeight="1">
      <c r="A938" s="70" t="str">
        <f t="shared" si="1"/>
        <v>Excluded</v>
      </c>
      <c r="B938" s="70">
        <f t="shared" si="2"/>
        <v>0</v>
      </c>
      <c r="C938" s="70">
        <v>0.0</v>
      </c>
      <c r="D938" s="70">
        <v>0.0</v>
      </c>
      <c r="E938" s="70">
        <v>0.0</v>
      </c>
      <c r="F938" s="70">
        <v>0.0</v>
      </c>
      <c r="G938" s="70">
        <v>0.0</v>
      </c>
      <c r="H938" s="70" t="s">
        <v>8293</v>
      </c>
      <c r="I938" s="70">
        <v>803.0</v>
      </c>
      <c r="J938" s="70" t="s">
        <v>8290</v>
      </c>
      <c r="K938" s="70" t="s">
        <v>8291</v>
      </c>
      <c r="L938" s="70" t="s">
        <v>8292</v>
      </c>
      <c r="P938" s="76">
        <v>44216.0</v>
      </c>
      <c r="U938" s="70" t="s">
        <v>239</v>
      </c>
      <c r="W938" s="70" t="s">
        <v>30261</v>
      </c>
      <c r="X938" s="70" t="s">
        <v>8296</v>
      </c>
      <c r="Y938" s="70" t="s">
        <v>30262</v>
      </c>
      <c r="Z938" s="75" t="s">
        <v>8298</v>
      </c>
      <c r="AA938" s="70" t="s">
        <v>8299</v>
      </c>
      <c r="AC938" s="70">
        <v>2.0</v>
      </c>
      <c r="AE938" s="70">
        <v>64.0</v>
      </c>
      <c r="AF938" s="70" t="s">
        <v>239</v>
      </c>
      <c r="AW938" s="70" t="s">
        <v>8300</v>
      </c>
      <c r="AX938" s="70">
        <v>0.0</v>
      </c>
      <c r="AY938" s="70" t="s">
        <v>24</v>
      </c>
      <c r="AZ938" s="70">
        <v>2653.0</v>
      </c>
    </row>
    <row r="939" ht="22.5" customHeight="1">
      <c r="A939" s="70" t="str">
        <f t="shared" si="1"/>
        <v>Excluded</v>
      </c>
      <c r="B939" s="70">
        <f t="shared" si="2"/>
        <v>0</v>
      </c>
      <c r="C939" s="70">
        <v>0.0</v>
      </c>
      <c r="D939" s="70">
        <v>0.0</v>
      </c>
      <c r="E939" s="70">
        <v>0.0</v>
      </c>
      <c r="F939" s="70">
        <v>0.0</v>
      </c>
      <c r="G939" s="70">
        <v>0.0</v>
      </c>
      <c r="H939" s="70" t="s">
        <v>8789</v>
      </c>
      <c r="I939" s="70">
        <v>854.0</v>
      </c>
      <c r="J939" s="70" t="s">
        <v>8786</v>
      </c>
      <c r="K939" s="70" t="s">
        <v>8787</v>
      </c>
      <c r="L939" s="70" t="s">
        <v>8788</v>
      </c>
      <c r="N939" s="70" t="s">
        <v>8672</v>
      </c>
      <c r="P939" s="77">
        <v>44477.0</v>
      </c>
      <c r="U939" s="70" t="s">
        <v>239</v>
      </c>
      <c r="W939" s="70" t="s">
        <v>8791</v>
      </c>
      <c r="X939" s="70" t="s">
        <v>8792</v>
      </c>
      <c r="Z939" s="75" t="s">
        <v>8793</v>
      </c>
      <c r="AA939" s="70" t="s">
        <v>8794</v>
      </c>
      <c r="AC939" s="70">
        <v>1.0</v>
      </c>
      <c r="AE939" s="70">
        <v>36.0</v>
      </c>
      <c r="AF939" s="70" t="s">
        <v>239</v>
      </c>
      <c r="AW939" s="70" t="s">
        <v>8795</v>
      </c>
      <c r="AX939" s="70">
        <v>0.0</v>
      </c>
      <c r="AY939" s="70" t="s">
        <v>24</v>
      </c>
      <c r="AZ939" s="70">
        <v>2278.0</v>
      </c>
    </row>
    <row r="940" ht="22.5" customHeight="1">
      <c r="A940" s="70" t="str">
        <f t="shared" si="1"/>
        <v>Excluded</v>
      </c>
      <c r="B940" s="70">
        <f t="shared" si="2"/>
        <v>0</v>
      </c>
      <c r="C940" s="70">
        <v>0.0</v>
      </c>
      <c r="D940" s="70">
        <v>0.0</v>
      </c>
      <c r="E940" s="70">
        <v>0.0</v>
      </c>
      <c r="F940" s="70">
        <v>0.0</v>
      </c>
      <c r="G940" s="70">
        <v>0.0</v>
      </c>
      <c r="H940" s="70" t="s">
        <v>9105</v>
      </c>
      <c r="I940" s="70">
        <v>886.0</v>
      </c>
      <c r="J940" s="70" t="s">
        <v>9103</v>
      </c>
      <c r="K940" s="70" t="s">
        <v>9104</v>
      </c>
      <c r="L940" s="70" t="s">
        <v>8788</v>
      </c>
      <c r="N940" s="70" t="s">
        <v>8672</v>
      </c>
      <c r="P940" s="77">
        <v>44477.0</v>
      </c>
      <c r="U940" s="70" t="s">
        <v>239</v>
      </c>
      <c r="W940" s="70" t="s">
        <v>9107</v>
      </c>
      <c r="X940" s="70" t="s">
        <v>8792</v>
      </c>
      <c r="Y940" s="70" t="s">
        <v>30260</v>
      </c>
      <c r="Z940" s="75" t="s">
        <v>9109</v>
      </c>
      <c r="AA940" s="70" t="s">
        <v>9110</v>
      </c>
      <c r="AC940" s="70">
        <v>1.0</v>
      </c>
      <c r="AE940" s="70">
        <v>6.0</v>
      </c>
      <c r="AF940" s="70" t="s">
        <v>239</v>
      </c>
      <c r="AW940" s="70" t="s">
        <v>9111</v>
      </c>
      <c r="AX940" s="70">
        <v>0.0</v>
      </c>
      <c r="AY940" s="70" t="s">
        <v>24</v>
      </c>
      <c r="AZ940" s="70">
        <v>1772.0</v>
      </c>
    </row>
    <row r="941" ht="22.5" customHeight="1">
      <c r="A941" s="70" t="str">
        <f t="shared" si="1"/>
        <v>Excluded</v>
      </c>
      <c r="B941" s="70">
        <f t="shared" si="2"/>
        <v>0</v>
      </c>
      <c r="C941" s="70">
        <v>0.0</v>
      </c>
      <c r="D941" s="70">
        <v>0.0</v>
      </c>
      <c r="E941" s="70">
        <v>0.0</v>
      </c>
      <c r="F941" s="70">
        <v>0.0</v>
      </c>
      <c r="G941" s="70">
        <v>0.0</v>
      </c>
      <c r="H941" s="70" t="s">
        <v>8673</v>
      </c>
      <c r="I941" s="70">
        <v>842.0</v>
      </c>
      <c r="J941" s="70" t="s">
        <v>8669</v>
      </c>
      <c r="K941" s="70" t="s">
        <v>8670</v>
      </c>
      <c r="L941" s="70" t="s">
        <v>8671</v>
      </c>
      <c r="N941" s="70" t="s">
        <v>8672</v>
      </c>
      <c r="P941" s="77">
        <v>44867.0</v>
      </c>
      <c r="U941" s="70" t="s">
        <v>239</v>
      </c>
      <c r="W941" s="70" t="s">
        <v>8675</v>
      </c>
      <c r="X941" s="70" t="s">
        <v>8676</v>
      </c>
      <c r="Y941" s="70" t="s">
        <v>30263</v>
      </c>
      <c r="Z941" s="75" t="s">
        <v>8678</v>
      </c>
      <c r="AA941" s="70" t="s">
        <v>8679</v>
      </c>
      <c r="AC941" s="70">
        <v>1.0</v>
      </c>
      <c r="AE941" s="70">
        <v>14.0</v>
      </c>
      <c r="AF941" s="70" t="s">
        <v>239</v>
      </c>
      <c r="AW941" s="70" t="s">
        <v>8680</v>
      </c>
      <c r="AX941" s="70">
        <v>0.0</v>
      </c>
      <c r="AY941" s="70" t="s">
        <v>24</v>
      </c>
      <c r="AZ941" s="70">
        <v>1960.0</v>
      </c>
    </row>
    <row r="942" ht="22.5" customHeight="1">
      <c r="A942" s="70" t="str">
        <f t="shared" si="1"/>
        <v>Excluded</v>
      </c>
      <c r="B942" s="70">
        <f t="shared" si="2"/>
        <v>0</v>
      </c>
      <c r="C942" s="70">
        <v>0.0</v>
      </c>
      <c r="D942" s="70">
        <v>0.0</v>
      </c>
      <c r="E942" s="70">
        <v>0.0</v>
      </c>
      <c r="F942" s="70">
        <v>0.0</v>
      </c>
      <c r="G942" s="70">
        <v>0.0</v>
      </c>
      <c r="H942" s="70" t="s">
        <v>10015</v>
      </c>
      <c r="I942" s="70">
        <v>982.0</v>
      </c>
      <c r="J942" s="70" t="s">
        <v>10013</v>
      </c>
      <c r="K942" s="70" t="s">
        <v>10014</v>
      </c>
      <c r="L942" s="70" t="s">
        <v>8671</v>
      </c>
      <c r="N942" s="70" t="s">
        <v>8672</v>
      </c>
      <c r="P942" s="77">
        <v>44867.0</v>
      </c>
      <c r="U942" s="70" t="s">
        <v>239</v>
      </c>
      <c r="W942" s="70" t="s">
        <v>10017</v>
      </c>
      <c r="X942" s="70" t="s">
        <v>8676</v>
      </c>
      <c r="Z942" s="75" t="s">
        <v>10018</v>
      </c>
      <c r="AA942" s="70" t="s">
        <v>10019</v>
      </c>
      <c r="AE942" s="70">
        <v>13.0</v>
      </c>
      <c r="AF942" s="70" t="s">
        <v>239</v>
      </c>
      <c r="AW942" s="70" t="s">
        <v>10020</v>
      </c>
      <c r="AZ942" s="70">
        <v>836.0</v>
      </c>
    </row>
    <row r="943" ht="22.5" customHeight="1">
      <c r="A943" s="70" t="str">
        <f t="shared" si="1"/>
        <v>Excluded</v>
      </c>
      <c r="B943" s="70">
        <f t="shared" si="2"/>
        <v>0</v>
      </c>
      <c r="C943" s="70">
        <v>0.0</v>
      </c>
      <c r="D943" s="70">
        <v>0.0</v>
      </c>
      <c r="E943" s="70">
        <v>0.0</v>
      </c>
      <c r="F943" s="70">
        <v>0.0</v>
      </c>
      <c r="G943" s="70">
        <v>0.0</v>
      </c>
      <c r="H943" s="70" t="s">
        <v>11016</v>
      </c>
      <c r="I943" s="70">
        <v>1150.0</v>
      </c>
      <c r="K943" s="70" t="s">
        <v>11015</v>
      </c>
      <c r="L943" s="70" t="s">
        <v>8671</v>
      </c>
      <c r="N943" s="70" t="s">
        <v>8672</v>
      </c>
      <c r="P943" s="77">
        <v>44867.0</v>
      </c>
      <c r="U943" s="70" t="s">
        <v>239</v>
      </c>
      <c r="W943" s="70" t="s">
        <v>11017</v>
      </c>
      <c r="X943" s="70" t="s">
        <v>8676</v>
      </c>
      <c r="Z943" s="75" t="s">
        <v>11018</v>
      </c>
      <c r="AF943" s="70" t="s">
        <v>239</v>
      </c>
      <c r="AZ943" s="70">
        <v>1510.0</v>
      </c>
    </row>
    <row r="944" ht="22.5" customHeight="1">
      <c r="A944" s="70" t="str">
        <f t="shared" si="1"/>
        <v>Excluded</v>
      </c>
      <c r="B944" s="70">
        <f t="shared" si="2"/>
        <v>0</v>
      </c>
      <c r="C944" s="70">
        <v>0.0</v>
      </c>
      <c r="D944" s="70">
        <v>0.0</v>
      </c>
      <c r="E944" s="70">
        <v>0.0</v>
      </c>
      <c r="F944" s="70">
        <v>0.0</v>
      </c>
      <c r="G944" s="70">
        <v>0.0</v>
      </c>
      <c r="H944" s="70" t="s">
        <v>12892</v>
      </c>
      <c r="I944" s="70">
        <v>1344.0</v>
      </c>
      <c r="J944" s="70" t="s">
        <v>12889</v>
      </c>
      <c r="K944" s="70" t="s">
        <v>12890</v>
      </c>
      <c r="L944" s="70" t="s">
        <v>12891</v>
      </c>
      <c r="N944" s="70" t="s">
        <v>8672</v>
      </c>
      <c r="P944" s="76">
        <v>45618.0</v>
      </c>
      <c r="U944" s="70" t="s">
        <v>239</v>
      </c>
      <c r="W944" s="70" t="s">
        <v>12894</v>
      </c>
      <c r="X944" s="70" t="s">
        <v>12895</v>
      </c>
      <c r="Y944" s="70" t="s">
        <v>30264</v>
      </c>
      <c r="Z944" s="75" t="s">
        <v>12897</v>
      </c>
      <c r="AA944" s="70" t="s">
        <v>12898</v>
      </c>
      <c r="AE944" s="70">
        <v>13.0</v>
      </c>
      <c r="AF944" s="70" t="s">
        <v>239</v>
      </c>
      <c r="AW944" s="70" t="s">
        <v>12899</v>
      </c>
      <c r="AX944" s="70">
        <v>0.0</v>
      </c>
      <c r="AY944" s="70" t="s">
        <v>24</v>
      </c>
      <c r="AZ944" s="70">
        <v>2196.0</v>
      </c>
    </row>
    <row r="945" ht="22.5" customHeight="1">
      <c r="A945" s="70" t="str">
        <f t="shared" si="1"/>
        <v>Excluded</v>
      </c>
      <c r="B945" s="70">
        <f t="shared" si="2"/>
        <v>0</v>
      </c>
      <c r="C945" s="70">
        <v>0.0</v>
      </c>
      <c r="D945" s="70">
        <v>0.0</v>
      </c>
      <c r="E945" s="70">
        <v>0.0</v>
      </c>
      <c r="F945" s="70">
        <v>0.0</v>
      </c>
      <c r="G945" s="70">
        <v>0.0</v>
      </c>
      <c r="H945" s="70" t="s">
        <v>7999</v>
      </c>
      <c r="I945" s="70">
        <v>771.0</v>
      </c>
      <c r="J945" s="70" t="s">
        <v>7996</v>
      </c>
      <c r="K945" s="70" t="s">
        <v>7997</v>
      </c>
      <c r="L945" s="70" t="s">
        <v>7998</v>
      </c>
      <c r="P945" s="76">
        <v>44425.0</v>
      </c>
      <c r="U945" s="70" t="s">
        <v>239</v>
      </c>
      <c r="W945" s="70" t="s">
        <v>8001</v>
      </c>
      <c r="X945" s="70" t="s">
        <v>8002</v>
      </c>
      <c r="Z945" s="75" t="s">
        <v>8003</v>
      </c>
      <c r="AA945" s="70" t="s">
        <v>8004</v>
      </c>
      <c r="AC945" s="70">
        <v>2.0</v>
      </c>
      <c r="AE945" s="70">
        <v>16.0</v>
      </c>
      <c r="AF945" s="70" t="s">
        <v>239</v>
      </c>
      <c r="AW945" s="70" t="s">
        <v>8005</v>
      </c>
      <c r="AZ945" s="70">
        <v>644.0</v>
      </c>
    </row>
    <row r="946" ht="22.5" customHeight="1">
      <c r="A946" s="70" t="str">
        <f t="shared" si="1"/>
        <v>Excluded</v>
      </c>
      <c r="B946" s="70">
        <f t="shared" si="2"/>
        <v>0</v>
      </c>
      <c r="C946" s="70">
        <v>0.0</v>
      </c>
      <c r="D946" s="70">
        <v>0.0</v>
      </c>
      <c r="E946" s="70">
        <v>0.0</v>
      </c>
      <c r="F946" s="70">
        <v>0.0</v>
      </c>
      <c r="G946" s="70">
        <v>0.0</v>
      </c>
      <c r="H946" s="70" t="s">
        <v>15309</v>
      </c>
      <c r="I946" s="70">
        <v>1597.0</v>
      </c>
      <c r="J946" s="70" t="s">
        <v>15306</v>
      </c>
      <c r="K946" s="70" t="s">
        <v>15307</v>
      </c>
      <c r="L946" s="70" t="s">
        <v>15308</v>
      </c>
      <c r="P946" s="77">
        <v>45294.0</v>
      </c>
      <c r="U946" s="70" t="s">
        <v>239</v>
      </c>
      <c r="W946" s="70" t="s">
        <v>15311</v>
      </c>
      <c r="X946" s="70" t="s">
        <v>15312</v>
      </c>
      <c r="Z946" s="75" t="s">
        <v>15313</v>
      </c>
      <c r="AA946" s="70" t="s">
        <v>15314</v>
      </c>
      <c r="AE946" s="70">
        <v>44.0</v>
      </c>
      <c r="AF946" s="70" t="s">
        <v>239</v>
      </c>
      <c r="AW946" s="70" t="s">
        <v>15315</v>
      </c>
      <c r="AZ946" s="70">
        <v>1058.0</v>
      </c>
    </row>
    <row r="947" ht="22.5" customHeight="1">
      <c r="A947" s="70" t="str">
        <f t="shared" si="1"/>
        <v>Excluded</v>
      </c>
      <c r="B947" s="70">
        <f t="shared" si="2"/>
        <v>0</v>
      </c>
      <c r="C947" s="70">
        <v>0.0</v>
      </c>
      <c r="D947" s="70">
        <v>0.0</v>
      </c>
      <c r="E947" s="70">
        <v>0.0</v>
      </c>
      <c r="F947" s="70">
        <v>0.0</v>
      </c>
      <c r="G947" s="70">
        <v>0.0</v>
      </c>
      <c r="H947" s="70" t="s">
        <v>15898</v>
      </c>
      <c r="I947" s="70">
        <v>1668.0</v>
      </c>
      <c r="K947" s="70" t="s">
        <v>15896</v>
      </c>
      <c r="L947" s="70" t="s">
        <v>15897</v>
      </c>
      <c r="P947" s="76">
        <v>45657.0</v>
      </c>
      <c r="U947" s="70" t="s">
        <v>239</v>
      </c>
      <c r="X947" s="70" t="s">
        <v>15900</v>
      </c>
      <c r="Z947" s="75" t="s">
        <v>15901</v>
      </c>
      <c r="AF947" s="70" t="s">
        <v>239</v>
      </c>
      <c r="AZ947" s="70">
        <v>1412.0</v>
      </c>
    </row>
    <row r="948" ht="22.5" customHeight="1">
      <c r="A948" s="70" t="str">
        <f t="shared" si="1"/>
        <v>Excluded</v>
      </c>
      <c r="B948" s="70">
        <f t="shared" si="2"/>
        <v>0</v>
      </c>
      <c r="C948" s="70">
        <v>0.0</v>
      </c>
      <c r="D948" s="70">
        <v>0.0</v>
      </c>
      <c r="E948" s="70">
        <v>0.0</v>
      </c>
      <c r="F948" s="70">
        <v>0.0</v>
      </c>
      <c r="G948" s="70">
        <v>0.0</v>
      </c>
      <c r="H948" s="70" t="s">
        <v>10957</v>
      </c>
      <c r="I948" s="70">
        <v>1133.0</v>
      </c>
      <c r="K948" s="70" t="s">
        <v>10618</v>
      </c>
      <c r="L948" s="70" t="s">
        <v>10955</v>
      </c>
      <c r="N948" s="70" t="s">
        <v>10956</v>
      </c>
      <c r="P948" s="77">
        <v>43808.0</v>
      </c>
      <c r="U948" s="70" t="s">
        <v>239</v>
      </c>
      <c r="W948" s="70" t="s">
        <v>10602</v>
      </c>
      <c r="X948" s="70" t="s">
        <v>10958</v>
      </c>
      <c r="Z948" s="75" t="s">
        <v>10959</v>
      </c>
      <c r="AF948" s="70" t="s">
        <v>239</v>
      </c>
      <c r="AZ948" s="70">
        <v>1618.0</v>
      </c>
    </row>
    <row r="949" ht="22.5" customHeight="1">
      <c r="A949" s="70" t="str">
        <f t="shared" si="1"/>
        <v>Excluded</v>
      </c>
      <c r="B949" s="70">
        <f t="shared" si="2"/>
        <v>0</v>
      </c>
      <c r="C949" s="70">
        <v>0.0</v>
      </c>
      <c r="D949" s="70">
        <v>0.0</v>
      </c>
      <c r="E949" s="70">
        <v>0.0</v>
      </c>
      <c r="F949" s="70">
        <v>0.0</v>
      </c>
      <c r="G949" s="70">
        <v>0.0</v>
      </c>
      <c r="H949" s="70" t="s">
        <v>15750</v>
      </c>
      <c r="I949" s="70">
        <v>1645.0</v>
      </c>
      <c r="J949" s="70" t="s">
        <v>15747</v>
      </c>
      <c r="K949" s="70" t="s">
        <v>15748</v>
      </c>
      <c r="L949" s="70" t="s">
        <v>15749</v>
      </c>
      <c r="P949" s="77">
        <v>45567.0</v>
      </c>
      <c r="U949" s="70" t="s">
        <v>239</v>
      </c>
      <c r="W949" s="70" t="s">
        <v>15752</v>
      </c>
      <c r="X949" s="70" t="s">
        <v>15753</v>
      </c>
      <c r="Y949" s="70" t="s">
        <v>30265</v>
      </c>
      <c r="Z949" s="75" t="s">
        <v>15755</v>
      </c>
      <c r="AA949" s="70" t="s">
        <v>15756</v>
      </c>
      <c r="AE949" s="70">
        <v>17.0</v>
      </c>
      <c r="AF949" s="70" t="s">
        <v>239</v>
      </c>
      <c r="AW949" s="70" t="s">
        <v>15757</v>
      </c>
      <c r="AZ949" s="70">
        <v>750.0</v>
      </c>
    </row>
    <row r="950" ht="22.5" customHeight="1">
      <c r="A950" s="70" t="str">
        <f t="shared" si="1"/>
        <v>Excluded</v>
      </c>
      <c r="B950" s="70">
        <f t="shared" si="2"/>
        <v>0</v>
      </c>
      <c r="C950" s="70">
        <v>0.0</v>
      </c>
      <c r="D950" s="70">
        <v>0.0</v>
      </c>
      <c r="E950" s="70">
        <v>0.0</v>
      </c>
      <c r="F950" s="70">
        <v>0.0</v>
      </c>
      <c r="G950" s="70">
        <v>0.0</v>
      </c>
      <c r="H950" s="70" t="s">
        <v>9922</v>
      </c>
      <c r="I950" s="70">
        <v>972.0</v>
      </c>
      <c r="J950" s="70" t="s">
        <v>9920</v>
      </c>
      <c r="K950" s="70" t="s">
        <v>9921</v>
      </c>
      <c r="L950" s="70" t="s">
        <v>5431</v>
      </c>
      <c r="P950" s="76">
        <v>42726.0</v>
      </c>
      <c r="U950" s="70" t="s">
        <v>239</v>
      </c>
      <c r="W950" s="70" t="s">
        <v>30266</v>
      </c>
      <c r="X950" s="70" t="s">
        <v>5435</v>
      </c>
      <c r="Z950" s="75" t="s">
        <v>9925</v>
      </c>
      <c r="AA950" s="70" t="s">
        <v>9926</v>
      </c>
      <c r="AE950" s="70">
        <v>20.0</v>
      </c>
      <c r="AF950" s="70" t="s">
        <v>239</v>
      </c>
      <c r="AW950" s="70" t="s">
        <v>9927</v>
      </c>
      <c r="AX950" s="70">
        <v>0.0</v>
      </c>
      <c r="AY950" s="70" t="s">
        <v>24</v>
      </c>
      <c r="AZ950" s="70">
        <v>2356.0</v>
      </c>
    </row>
    <row r="951" ht="22.5" customHeight="1">
      <c r="A951" s="70" t="str">
        <f t="shared" si="1"/>
        <v>Excluded</v>
      </c>
      <c r="B951" s="70">
        <f t="shared" si="2"/>
        <v>0</v>
      </c>
      <c r="C951" s="70">
        <v>0.0</v>
      </c>
      <c r="D951" s="70">
        <v>0.0</v>
      </c>
      <c r="E951" s="70">
        <v>0.0</v>
      </c>
      <c r="F951" s="70">
        <v>0.0</v>
      </c>
      <c r="G951" s="70">
        <v>0.0</v>
      </c>
      <c r="H951" s="70" t="s">
        <v>10390</v>
      </c>
      <c r="I951" s="70">
        <v>1021.0</v>
      </c>
      <c r="J951" s="70" t="s">
        <v>10387</v>
      </c>
      <c r="K951" s="70" t="s">
        <v>10388</v>
      </c>
      <c r="L951" s="70" t="s">
        <v>10389</v>
      </c>
      <c r="P951" s="76">
        <v>44620.0</v>
      </c>
      <c r="U951" s="70" t="s">
        <v>239</v>
      </c>
      <c r="W951" s="70" t="s">
        <v>10392</v>
      </c>
      <c r="X951" s="70" t="s">
        <v>10393</v>
      </c>
      <c r="Z951" s="75" t="s">
        <v>10394</v>
      </c>
      <c r="AA951" s="70" t="s">
        <v>10395</v>
      </c>
      <c r="AE951" s="70">
        <v>75.0</v>
      </c>
      <c r="AF951" s="70" t="s">
        <v>239</v>
      </c>
      <c r="AW951" s="70" t="s">
        <v>10396</v>
      </c>
      <c r="AZ951" s="70">
        <v>1144.0</v>
      </c>
    </row>
    <row r="952" ht="22.5" customHeight="1">
      <c r="A952" s="70" t="str">
        <f t="shared" si="1"/>
        <v>Excluded</v>
      </c>
      <c r="B952" s="70">
        <f t="shared" si="2"/>
        <v>0</v>
      </c>
      <c r="C952" s="70">
        <v>0.0</v>
      </c>
      <c r="D952" s="70">
        <v>0.0</v>
      </c>
      <c r="E952" s="70">
        <v>0.0</v>
      </c>
      <c r="F952" s="70">
        <v>0.0</v>
      </c>
      <c r="G952" s="70">
        <v>0.0</v>
      </c>
      <c r="H952" s="70" t="s">
        <v>8315</v>
      </c>
      <c r="I952" s="70">
        <v>805.0</v>
      </c>
      <c r="J952" s="70" t="s">
        <v>8312</v>
      </c>
      <c r="K952" s="70" t="s">
        <v>8313</v>
      </c>
      <c r="L952" s="70" t="s">
        <v>8314</v>
      </c>
      <c r="P952" s="76">
        <v>44375.0</v>
      </c>
      <c r="U952" s="70" t="s">
        <v>239</v>
      </c>
      <c r="W952" s="70" t="s">
        <v>8317</v>
      </c>
      <c r="X952" s="70" t="s">
        <v>8318</v>
      </c>
      <c r="Y952" s="70" t="s">
        <v>8319</v>
      </c>
      <c r="Z952" s="75" t="s">
        <v>8320</v>
      </c>
      <c r="AA952" s="70" t="s">
        <v>8321</v>
      </c>
      <c r="AC952" s="70">
        <v>2.0</v>
      </c>
      <c r="AE952" s="70">
        <v>34.0</v>
      </c>
      <c r="AF952" s="70" t="s">
        <v>239</v>
      </c>
      <c r="AW952" s="70" t="s">
        <v>8322</v>
      </c>
      <c r="AX952" s="70">
        <v>0.0</v>
      </c>
      <c r="AY952" s="70" t="s">
        <v>24</v>
      </c>
      <c r="AZ952" s="70">
        <v>2612.0</v>
      </c>
    </row>
    <row r="953" ht="22.5" customHeight="1">
      <c r="A953" s="70" t="str">
        <f t="shared" si="1"/>
        <v>Excluded</v>
      </c>
      <c r="B953" s="70">
        <f t="shared" si="2"/>
        <v>0</v>
      </c>
      <c r="C953" s="70">
        <v>0.0</v>
      </c>
      <c r="D953" s="70">
        <v>0.0</v>
      </c>
      <c r="E953" s="70">
        <v>0.0</v>
      </c>
      <c r="F953" s="70">
        <v>0.0</v>
      </c>
      <c r="G953" s="70">
        <v>0.0</v>
      </c>
      <c r="H953" s="70" t="s">
        <v>5509</v>
      </c>
      <c r="I953" s="70">
        <v>517.0</v>
      </c>
      <c r="J953" s="70" t="s">
        <v>5506</v>
      </c>
      <c r="K953" s="70" t="s">
        <v>5507</v>
      </c>
      <c r="L953" s="70" t="s">
        <v>5508</v>
      </c>
      <c r="N953" s="70" t="s">
        <v>4600</v>
      </c>
      <c r="P953" s="76">
        <v>42754.0</v>
      </c>
      <c r="U953" s="70" t="s">
        <v>239</v>
      </c>
      <c r="W953" s="70" t="s">
        <v>5511</v>
      </c>
      <c r="X953" s="70" t="s">
        <v>5512</v>
      </c>
      <c r="Z953" s="75" t="s">
        <v>5513</v>
      </c>
      <c r="AC953" s="70">
        <v>11.0</v>
      </c>
      <c r="AD953" s="70">
        <v>1.0</v>
      </c>
      <c r="AE953" s="70">
        <v>29.0</v>
      </c>
      <c r="AF953" s="70" t="s">
        <v>239</v>
      </c>
      <c r="AW953" s="70" t="s">
        <v>5514</v>
      </c>
      <c r="AX953" s="70">
        <v>0.0</v>
      </c>
      <c r="AY953" s="70" t="s">
        <v>24</v>
      </c>
      <c r="AZ953" s="70">
        <v>2030.0</v>
      </c>
    </row>
    <row r="954" ht="22.5" customHeight="1">
      <c r="A954" s="70" t="str">
        <f t="shared" si="1"/>
        <v>Excluded</v>
      </c>
      <c r="B954" s="70">
        <f t="shared" si="2"/>
        <v>0</v>
      </c>
      <c r="C954" s="70">
        <v>0.0</v>
      </c>
      <c r="D954" s="70">
        <v>0.0</v>
      </c>
      <c r="E954" s="70">
        <v>0.0</v>
      </c>
      <c r="F954" s="70">
        <v>0.0</v>
      </c>
      <c r="G954" s="70">
        <v>0.0</v>
      </c>
      <c r="H954" s="70" t="s">
        <v>10994</v>
      </c>
      <c r="I954" s="70">
        <v>1143.0</v>
      </c>
      <c r="K954" s="70" t="s">
        <v>10597</v>
      </c>
      <c r="L954" s="70" t="s">
        <v>4649</v>
      </c>
      <c r="N954" s="70" t="s">
        <v>4600</v>
      </c>
      <c r="P954" s="76">
        <v>43354.0</v>
      </c>
      <c r="U954" s="70" t="s">
        <v>239</v>
      </c>
      <c r="X954" s="70" t="s">
        <v>4653</v>
      </c>
      <c r="Z954" s="75" t="s">
        <v>10995</v>
      </c>
      <c r="AF954" s="70" t="s">
        <v>239</v>
      </c>
      <c r="AZ954" s="70">
        <v>1532.0</v>
      </c>
    </row>
    <row r="955" ht="22.5" customHeight="1">
      <c r="A955" s="70" t="str">
        <f t="shared" si="1"/>
        <v>Excluded</v>
      </c>
      <c r="B955" s="70">
        <f t="shared" si="2"/>
        <v>0</v>
      </c>
      <c r="C955" s="70">
        <v>0.0</v>
      </c>
      <c r="D955" s="70">
        <v>0.0</v>
      </c>
      <c r="E955" s="70">
        <v>0.0</v>
      </c>
      <c r="F955" s="70">
        <v>0.0</v>
      </c>
      <c r="G955" s="70">
        <v>0.0</v>
      </c>
      <c r="H955" s="70" t="s">
        <v>7774</v>
      </c>
      <c r="I955" s="70">
        <v>748.0</v>
      </c>
      <c r="J955" s="70" t="s">
        <v>7772</v>
      </c>
      <c r="K955" s="70" t="s">
        <v>7773</v>
      </c>
      <c r="L955" s="70" t="s">
        <v>4649</v>
      </c>
      <c r="N955" s="70" t="s">
        <v>4600</v>
      </c>
      <c r="P955" s="76">
        <v>43354.0</v>
      </c>
      <c r="U955" s="70" t="s">
        <v>239</v>
      </c>
      <c r="W955" s="70" t="s">
        <v>7776</v>
      </c>
      <c r="X955" s="70" t="s">
        <v>4653</v>
      </c>
      <c r="Z955" s="75" t="s">
        <v>7777</v>
      </c>
      <c r="AA955" s="70" t="s">
        <v>7778</v>
      </c>
      <c r="AC955" s="70">
        <v>3.0</v>
      </c>
      <c r="AE955" s="70">
        <v>33.0</v>
      </c>
      <c r="AF955" s="70" t="s">
        <v>239</v>
      </c>
      <c r="AW955" s="70" t="s">
        <v>7779</v>
      </c>
      <c r="AX955" s="70">
        <v>0.0</v>
      </c>
      <c r="AY955" s="70" t="s">
        <v>24</v>
      </c>
      <c r="AZ955" s="70">
        <v>2215.0</v>
      </c>
    </row>
    <row r="956" ht="22.5" customHeight="1">
      <c r="A956" s="70" t="str">
        <f t="shared" si="1"/>
        <v>Excluded</v>
      </c>
      <c r="B956" s="70">
        <f t="shared" si="2"/>
        <v>0</v>
      </c>
      <c r="C956" s="70">
        <v>0.0</v>
      </c>
      <c r="D956" s="70">
        <v>0.0</v>
      </c>
      <c r="E956" s="70">
        <v>0.0</v>
      </c>
      <c r="F956" s="70">
        <v>0.0</v>
      </c>
      <c r="G956" s="70">
        <v>0.0</v>
      </c>
      <c r="H956" s="70" t="s">
        <v>4650</v>
      </c>
      <c r="I956" s="70">
        <v>431.0</v>
      </c>
      <c r="J956" s="70" t="s">
        <v>4647</v>
      </c>
      <c r="K956" s="70" t="s">
        <v>4648</v>
      </c>
      <c r="L956" s="70" t="s">
        <v>4649</v>
      </c>
      <c r="N956" s="70" t="s">
        <v>4600</v>
      </c>
      <c r="P956" s="76">
        <v>43354.0</v>
      </c>
      <c r="U956" s="70" t="s">
        <v>239</v>
      </c>
      <c r="W956" s="70" t="s">
        <v>4652</v>
      </c>
      <c r="X956" s="70" t="s">
        <v>4653</v>
      </c>
      <c r="Z956" s="75" t="s">
        <v>4654</v>
      </c>
      <c r="AA956" s="70" t="s">
        <v>4655</v>
      </c>
      <c r="AC956" s="70">
        <v>84.0</v>
      </c>
      <c r="AD956" s="70">
        <v>1.0</v>
      </c>
      <c r="AE956" s="70">
        <v>38.0</v>
      </c>
      <c r="AF956" s="70" t="s">
        <v>239</v>
      </c>
      <c r="AW956" s="70" t="s">
        <v>4656</v>
      </c>
      <c r="AX956" s="70">
        <v>0.0</v>
      </c>
      <c r="AY956" s="70" t="s">
        <v>24</v>
      </c>
      <c r="AZ956" s="70">
        <v>2174.0</v>
      </c>
    </row>
    <row r="957" ht="22.5" customHeight="1">
      <c r="A957" s="70" t="str">
        <f t="shared" si="1"/>
        <v>Excluded</v>
      </c>
      <c r="B957" s="70">
        <f t="shared" si="2"/>
        <v>0</v>
      </c>
      <c r="C957" s="70">
        <v>0.0</v>
      </c>
      <c r="D957" s="70">
        <v>0.0</v>
      </c>
      <c r="E957" s="70">
        <v>0.0</v>
      </c>
      <c r="F957" s="70">
        <v>0.0</v>
      </c>
      <c r="G957" s="70">
        <v>0.0</v>
      </c>
      <c r="H957" s="70" t="s">
        <v>7081</v>
      </c>
      <c r="I957" s="70">
        <v>676.0</v>
      </c>
      <c r="J957" s="70" t="s">
        <v>7079</v>
      </c>
      <c r="K957" s="70" t="s">
        <v>7080</v>
      </c>
      <c r="L957" s="70" t="s">
        <v>4599</v>
      </c>
      <c r="N957" s="70" t="s">
        <v>4600</v>
      </c>
      <c r="P957" s="76">
        <v>43706.0</v>
      </c>
      <c r="U957" s="70" t="s">
        <v>239</v>
      </c>
      <c r="W957" s="70" t="s">
        <v>7083</v>
      </c>
      <c r="X957" s="70" t="s">
        <v>4604</v>
      </c>
      <c r="Z957" s="75" t="s">
        <v>7084</v>
      </c>
      <c r="AA957" s="70" t="s">
        <v>7085</v>
      </c>
      <c r="AC957" s="70">
        <v>4.0</v>
      </c>
      <c r="AE957" s="70">
        <v>13.0</v>
      </c>
      <c r="AF957" s="70" t="s">
        <v>239</v>
      </c>
      <c r="AX957" s="70">
        <v>0.0</v>
      </c>
      <c r="AY957" s="70" t="s">
        <v>24</v>
      </c>
      <c r="AZ957" s="70">
        <v>2538.0</v>
      </c>
    </row>
    <row r="958" ht="22.5" customHeight="1">
      <c r="A958" s="70" t="str">
        <f t="shared" si="1"/>
        <v>Excluded</v>
      </c>
      <c r="B958" s="70">
        <f t="shared" si="2"/>
        <v>0</v>
      </c>
      <c r="C958" s="70">
        <v>0.0</v>
      </c>
      <c r="D958" s="70">
        <v>0.0</v>
      </c>
      <c r="E958" s="70">
        <v>0.0</v>
      </c>
      <c r="F958" s="70">
        <v>0.0</v>
      </c>
      <c r="G958" s="70">
        <v>0.0</v>
      </c>
      <c r="H958" s="70" t="s">
        <v>28671</v>
      </c>
      <c r="I958" s="70">
        <v>3084.0</v>
      </c>
      <c r="J958" s="70" t="s">
        <v>28669</v>
      </c>
      <c r="K958" s="70" t="s">
        <v>28670</v>
      </c>
      <c r="W958" s="70" t="s">
        <v>30267</v>
      </c>
      <c r="AA958" s="70" t="s">
        <v>28674</v>
      </c>
      <c r="AI958" s="70" t="s">
        <v>28675</v>
      </c>
      <c r="AJ958" s="70" t="s">
        <v>28676</v>
      </c>
      <c r="AK958" s="70">
        <v>2019.0</v>
      </c>
      <c r="AL958" s="70" t="s">
        <v>25953</v>
      </c>
      <c r="AM958" s="70">
        <v>8814535.0</v>
      </c>
      <c r="AN958" s="70">
        <v>199.0</v>
      </c>
      <c r="AO958" s="70">
        <v>208.0</v>
      </c>
      <c r="AP958" s="70">
        <v>9.0</v>
      </c>
      <c r="AQ958" s="70">
        <v>60.0</v>
      </c>
      <c r="AR958" s="75" t="s">
        <v>28677</v>
      </c>
      <c r="AS958" s="70" t="s">
        <v>22525</v>
      </c>
      <c r="AU958" s="70" t="s">
        <v>237</v>
      </c>
      <c r="AV958" s="70" t="s">
        <v>28678</v>
      </c>
      <c r="AW958" s="70" t="s">
        <v>28679</v>
      </c>
      <c r="AX958" s="70">
        <v>0.0</v>
      </c>
      <c r="AY958" s="70" t="s">
        <v>24</v>
      </c>
      <c r="AZ958" s="70">
        <v>2551.0</v>
      </c>
    </row>
    <row r="959" ht="22.5" customHeight="1">
      <c r="A959" s="70" t="str">
        <f t="shared" si="1"/>
        <v>Excluded</v>
      </c>
      <c r="B959" s="70">
        <f t="shared" si="2"/>
        <v>0</v>
      </c>
      <c r="C959" s="70">
        <v>0.0</v>
      </c>
      <c r="D959" s="70">
        <v>0.0</v>
      </c>
      <c r="E959" s="70">
        <v>0.0</v>
      </c>
      <c r="F959" s="70">
        <v>0.0</v>
      </c>
      <c r="G959" s="70">
        <v>0.0</v>
      </c>
      <c r="H959" s="70" t="s">
        <v>4601</v>
      </c>
      <c r="I959" s="70">
        <v>426.0</v>
      </c>
      <c r="J959" s="70" t="s">
        <v>4597</v>
      </c>
      <c r="K959" s="70" t="s">
        <v>4598</v>
      </c>
      <c r="L959" s="70" t="s">
        <v>4599</v>
      </c>
      <c r="N959" s="70" t="s">
        <v>4600</v>
      </c>
      <c r="P959" s="76">
        <v>43706.0</v>
      </c>
      <c r="U959" s="70" t="s">
        <v>239</v>
      </c>
      <c r="W959" s="70" t="s">
        <v>4603</v>
      </c>
      <c r="X959" s="70" t="s">
        <v>4604</v>
      </c>
      <c r="Z959" s="75" t="s">
        <v>4605</v>
      </c>
      <c r="AA959" s="70" t="s">
        <v>4606</v>
      </c>
      <c r="AC959" s="70">
        <v>99.0</v>
      </c>
      <c r="AE959" s="70">
        <v>24.0</v>
      </c>
      <c r="AF959" s="70" t="s">
        <v>239</v>
      </c>
      <c r="AW959" s="70" t="s">
        <v>4607</v>
      </c>
      <c r="AX959" s="70">
        <v>0.0</v>
      </c>
      <c r="AY959" s="70" t="s">
        <v>24</v>
      </c>
      <c r="AZ959" s="70">
        <v>2479.0</v>
      </c>
    </row>
    <row r="960" ht="22.5" customHeight="1">
      <c r="A960" s="70" t="str">
        <f t="shared" si="1"/>
        <v>Excluded</v>
      </c>
      <c r="B960" s="70">
        <f t="shared" si="2"/>
        <v>0</v>
      </c>
      <c r="C960" s="70">
        <v>0.0</v>
      </c>
      <c r="D960" s="70">
        <v>0.0</v>
      </c>
      <c r="E960" s="70">
        <v>0.0</v>
      </c>
      <c r="F960" s="70">
        <v>0.0</v>
      </c>
      <c r="G960" s="70">
        <v>0.0</v>
      </c>
      <c r="H960" s="70" t="s">
        <v>28070</v>
      </c>
      <c r="I960" s="70">
        <v>3025.0</v>
      </c>
      <c r="J960" s="70" t="s">
        <v>28068</v>
      </c>
      <c r="K960" s="70" t="s">
        <v>28069</v>
      </c>
      <c r="W960" s="70" t="s">
        <v>30268</v>
      </c>
      <c r="AA960" s="70" t="s">
        <v>28073</v>
      </c>
      <c r="AI960" s="70" t="s">
        <v>28074</v>
      </c>
      <c r="AJ960" s="70" t="s">
        <v>28075</v>
      </c>
      <c r="AK960" s="70">
        <v>2020.0</v>
      </c>
      <c r="AL960" s="70" t="s">
        <v>25953</v>
      </c>
      <c r="AM960" s="70">
        <v>9284241.0</v>
      </c>
      <c r="AN960" s="70">
        <v>619.0</v>
      </c>
      <c r="AO960" s="70">
        <v>627.0</v>
      </c>
      <c r="AP960" s="70">
        <v>8.0</v>
      </c>
      <c r="AQ960" s="70">
        <v>9.0</v>
      </c>
      <c r="AR960" s="75" t="s">
        <v>28076</v>
      </c>
      <c r="AS960" s="70" t="s">
        <v>22525</v>
      </c>
      <c r="AT960" s="70" t="s">
        <v>22816</v>
      </c>
      <c r="AU960" s="70" t="s">
        <v>237</v>
      </c>
      <c r="AV960" s="70" t="s">
        <v>28077</v>
      </c>
      <c r="AW960" s="70" t="s">
        <v>28078</v>
      </c>
      <c r="AX960" s="70">
        <v>0.0</v>
      </c>
      <c r="AY960" s="70" t="s">
        <v>24</v>
      </c>
      <c r="AZ960" s="70">
        <v>2448.0</v>
      </c>
    </row>
    <row r="961" ht="22.5" customHeight="1">
      <c r="A961" s="70" t="str">
        <f t="shared" si="1"/>
        <v>Excluded</v>
      </c>
      <c r="B961" s="70">
        <f t="shared" si="2"/>
        <v>0</v>
      </c>
      <c r="C961" s="70">
        <v>0.0</v>
      </c>
      <c r="D961" s="70">
        <v>0.0</v>
      </c>
      <c r="E961" s="70">
        <v>0.0</v>
      </c>
      <c r="F961" s="70">
        <v>0.0</v>
      </c>
      <c r="G961" s="70">
        <v>0.0</v>
      </c>
      <c r="H961" s="70" t="s">
        <v>27072</v>
      </c>
      <c r="I961" s="70">
        <v>2928.0</v>
      </c>
      <c r="J961" s="70" t="s">
        <v>27070</v>
      </c>
      <c r="K961" s="70" t="s">
        <v>27071</v>
      </c>
      <c r="W961" s="70" t="s">
        <v>30269</v>
      </c>
      <c r="AA961" s="70" t="s">
        <v>27075</v>
      </c>
      <c r="AI961" s="70" t="s">
        <v>27076</v>
      </c>
      <c r="AJ961" s="70" t="s">
        <v>27077</v>
      </c>
      <c r="AK961" s="70">
        <v>2021.0</v>
      </c>
      <c r="AL961" s="70" t="s">
        <v>25953</v>
      </c>
      <c r="AN961" s="70">
        <v>168.0</v>
      </c>
      <c r="AO961" s="70">
        <v>178.0</v>
      </c>
      <c r="AP961" s="70">
        <v>10.0</v>
      </c>
      <c r="AQ961" s="70">
        <v>12.0</v>
      </c>
      <c r="AR961" s="75" t="s">
        <v>27078</v>
      </c>
      <c r="AS961" s="70" t="s">
        <v>22525</v>
      </c>
      <c r="AU961" s="70" t="s">
        <v>237</v>
      </c>
      <c r="AV961" s="70" t="s">
        <v>27079</v>
      </c>
      <c r="AW961" s="70" t="s">
        <v>27080</v>
      </c>
      <c r="AX961" s="70">
        <v>0.0</v>
      </c>
      <c r="AY961" s="70" t="s">
        <v>24</v>
      </c>
      <c r="AZ961" s="70">
        <v>2257.0</v>
      </c>
    </row>
    <row r="962" ht="22.5" customHeight="1">
      <c r="A962" s="70" t="str">
        <f t="shared" si="1"/>
        <v>Excluded</v>
      </c>
      <c r="B962" s="70">
        <f t="shared" si="2"/>
        <v>0</v>
      </c>
      <c r="C962" s="70">
        <v>0.0</v>
      </c>
      <c r="D962" s="70">
        <v>0.0</v>
      </c>
      <c r="E962" s="70">
        <v>0.0</v>
      </c>
      <c r="F962" s="70">
        <v>0.0</v>
      </c>
      <c r="G962" s="70">
        <v>0.0</v>
      </c>
      <c r="H962" s="70" t="s">
        <v>5044</v>
      </c>
      <c r="I962" s="70">
        <v>470.0</v>
      </c>
      <c r="J962" s="70" t="s">
        <v>5041</v>
      </c>
      <c r="K962" s="70" t="s">
        <v>5042</v>
      </c>
      <c r="L962" s="70" t="s">
        <v>5043</v>
      </c>
      <c r="N962" s="70" t="s">
        <v>4600</v>
      </c>
      <c r="P962" s="77">
        <v>44508.0</v>
      </c>
      <c r="U962" s="70" t="s">
        <v>239</v>
      </c>
      <c r="W962" s="70" t="s">
        <v>5046</v>
      </c>
      <c r="X962" s="70" t="s">
        <v>5047</v>
      </c>
      <c r="Z962" s="75" t="s">
        <v>5048</v>
      </c>
      <c r="AA962" s="70" t="s">
        <v>5049</v>
      </c>
      <c r="AC962" s="70">
        <v>23.0</v>
      </c>
      <c r="AE962" s="70">
        <v>28.0</v>
      </c>
      <c r="AF962" s="70" t="s">
        <v>239</v>
      </c>
      <c r="AW962" s="70" t="s">
        <v>5050</v>
      </c>
      <c r="AX962" s="70">
        <v>0.0</v>
      </c>
      <c r="AY962" s="70" t="s">
        <v>24</v>
      </c>
      <c r="AZ962" s="70">
        <v>3019.0</v>
      </c>
    </row>
    <row r="963" ht="22.5" customHeight="1">
      <c r="A963" s="70" t="str">
        <f t="shared" si="1"/>
        <v>Excluded</v>
      </c>
      <c r="B963" s="70">
        <f t="shared" si="2"/>
        <v>0</v>
      </c>
      <c r="C963" s="70">
        <v>0.0</v>
      </c>
      <c r="D963" s="70">
        <v>0.0</v>
      </c>
      <c r="E963" s="70">
        <v>0.0</v>
      </c>
      <c r="F963" s="70">
        <v>0.0</v>
      </c>
      <c r="G963" s="70">
        <v>0.0</v>
      </c>
      <c r="H963" s="70" t="s">
        <v>27404</v>
      </c>
      <c r="I963" s="70">
        <v>2960.0</v>
      </c>
      <c r="J963" s="70" t="s">
        <v>25657</v>
      </c>
      <c r="K963" s="70" t="s">
        <v>27403</v>
      </c>
      <c r="W963" s="70" t="s">
        <v>30270</v>
      </c>
      <c r="AA963" s="70" t="s">
        <v>27406</v>
      </c>
      <c r="AI963" s="70" t="s">
        <v>25662</v>
      </c>
      <c r="AJ963" s="70" t="s">
        <v>25663</v>
      </c>
      <c r="AK963" s="70">
        <v>2022.0</v>
      </c>
      <c r="AL963" s="70" t="s">
        <v>25953</v>
      </c>
      <c r="AN963" s="70">
        <v>331.0</v>
      </c>
      <c r="AO963" s="70">
        <v>341.0</v>
      </c>
      <c r="AP963" s="70">
        <v>10.0</v>
      </c>
      <c r="AQ963" s="70">
        <v>1.0</v>
      </c>
      <c r="AR963" s="75" t="s">
        <v>27407</v>
      </c>
      <c r="AS963" s="70" t="s">
        <v>22525</v>
      </c>
      <c r="AT963" s="70" t="s">
        <v>22816</v>
      </c>
      <c r="AU963" s="70" t="s">
        <v>237</v>
      </c>
      <c r="AV963" s="70" t="s">
        <v>27408</v>
      </c>
      <c r="AW963" s="70" t="s">
        <v>27409</v>
      </c>
      <c r="AX963" s="70">
        <v>0.0</v>
      </c>
      <c r="AY963" s="70" t="s">
        <v>24</v>
      </c>
      <c r="AZ963" s="70">
        <v>2065.0</v>
      </c>
    </row>
    <row r="964" ht="22.5" customHeight="1">
      <c r="A964" s="70" t="str">
        <f t="shared" si="1"/>
        <v>Excluded</v>
      </c>
      <c r="B964" s="70">
        <f t="shared" si="2"/>
        <v>0</v>
      </c>
      <c r="C964" s="70">
        <v>0.0</v>
      </c>
      <c r="D964" s="70">
        <v>0.0</v>
      </c>
      <c r="E964" s="70">
        <v>0.0</v>
      </c>
      <c r="F964" s="70">
        <v>0.0</v>
      </c>
      <c r="G964" s="70">
        <v>0.0</v>
      </c>
      <c r="H964" s="70" t="s">
        <v>9302</v>
      </c>
      <c r="I964" s="70">
        <v>907.0</v>
      </c>
      <c r="J964" s="70" t="s">
        <v>9300</v>
      </c>
      <c r="K964" s="70" t="s">
        <v>9301</v>
      </c>
      <c r="L964" s="70" t="s">
        <v>8208</v>
      </c>
      <c r="N964" s="70" t="s">
        <v>4600</v>
      </c>
      <c r="P964" s="76">
        <v>44797.0</v>
      </c>
      <c r="U964" s="70" t="s">
        <v>239</v>
      </c>
      <c r="W964" s="70" t="s">
        <v>9304</v>
      </c>
      <c r="X964" s="70" t="s">
        <v>8212</v>
      </c>
      <c r="Z964" s="75" t="s">
        <v>9305</v>
      </c>
      <c r="AA964" s="70" t="s">
        <v>9306</v>
      </c>
      <c r="AC964" s="70">
        <v>1.0</v>
      </c>
      <c r="AE964" s="70">
        <v>22.0</v>
      </c>
      <c r="AF964" s="70" t="s">
        <v>239</v>
      </c>
      <c r="AW964" s="70" t="s">
        <v>9307</v>
      </c>
      <c r="AX964" s="70">
        <v>0.0</v>
      </c>
      <c r="AY964" s="70" t="s">
        <v>24</v>
      </c>
      <c r="AZ964" s="70">
        <v>2418.0</v>
      </c>
    </row>
    <row r="965" ht="22.5" customHeight="1">
      <c r="A965" s="70" t="str">
        <f t="shared" si="1"/>
        <v>Excluded</v>
      </c>
      <c r="B965" s="70">
        <f t="shared" si="2"/>
        <v>0</v>
      </c>
      <c r="C965" s="70">
        <v>0.0</v>
      </c>
      <c r="D965" s="70">
        <v>0.0</v>
      </c>
      <c r="E965" s="70">
        <v>0.0</v>
      </c>
      <c r="F965" s="70">
        <v>0.0</v>
      </c>
      <c r="G965" s="70">
        <v>0.0</v>
      </c>
      <c r="H965" s="70" t="s">
        <v>8209</v>
      </c>
      <c r="I965" s="70">
        <v>794.0</v>
      </c>
      <c r="J965" s="70" t="s">
        <v>8206</v>
      </c>
      <c r="K965" s="70" t="s">
        <v>8207</v>
      </c>
      <c r="L965" s="70" t="s">
        <v>8208</v>
      </c>
      <c r="N965" s="70" t="s">
        <v>4600</v>
      </c>
      <c r="P965" s="76">
        <v>44797.0</v>
      </c>
      <c r="U965" s="70" t="s">
        <v>239</v>
      </c>
      <c r="W965" s="70" t="s">
        <v>8211</v>
      </c>
      <c r="X965" s="70" t="s">
        <v>8212</v>
      </c>
      <c r="Z965" s="75" t="s">
        <v>8213</v>
      </c>
      <c r="AA965" s="70" t="s">
        <v>8214</v>
      </c>
      <c r="AC965" s="70">
        <v>2.0</v>
      </c>
      <c r="AE965" s="70">
        <v>36.0</v>
      </c>
      <c r="AF965" s="70" t="s">
        <v>239</v>
      </c>
      <c r="AW965" s="70" t="s">
        <v>8215</v>
      </c>
      <c r="AX965" s="70">
        <v>0.0</v>
      </c>
      <c r="AY965" s="70" t="s">
        <v>24</v>
      </c>
      <c r="AZ965" s="70">
        <v>2552.0</v>
      </c>
    </row>
    <row r="966" ht="22.5" customHeight="1">
      <c r="A966" s="70" t="str">
        <f t="shared" si="1"/>
        <v>Excluded</v>
      </c>
      <c r="B966" s="70">
        <f t="shared" si="2"/>
        <v>0</v>
      </c>
      <c r="C966" s="70">
        <v>0.0</v>
      </c>
      <c r="D966" s="70">
        <v>0.0</v>
      </c>
      <c r="E966" s="70">
        <v>0.0</v>
      </c>
      <c r="F966" s="70">
        <v>0.0</v>
      </c>
      <c r="G966" s="70">
        <v>0.0</v>
      </c>
      <c r="H966" s="70" t="s">
        <v>13306</v>
      </c>
      <c r="I966" s="70">
        <v>1386.0</v>
      </c>
      <c r="J966" s="70" t="s">
        <v>13304</v>
      </c>
      <c r="K966" s="70" t="s">
        <v>13305</v>
      </c>
      <c r="L966" s="70" t="s">
        <v>12522</v>
      </c>
      <c r="N966" s="70" t="s">
        <v>4600</v>
      </c>
      <c r="P966" s="76">
        <v>45532.0</v>
      </c>
      <c r="U966" s="70" t="s">
        <v>239</v>
      </c>
      <c r="W966" s="70" t="s">
        <v>13308</v>
      </c>
      <c r="X966" s="70" t="s">
        <v>12526</v>
      </c>
      <c r="Z966" s="75" t="s">
        <v>13309</v>
      </c>
      <c r="AA966" s="70" t="s">
        <v>13310</v>
      </c>
      <c r="AE966" s="70">
        <v>29.0</v>
      </c>
      <c r="AF966" s="70" t="s">
        <v>239</v>
      </c>
      <c r="AW966" s="70" t="s">
        <v>13311</v>
      </c>
      <c r="AX966" s="70">
        <v>0.0</v>
      </c>
      <c r="AY966" s="70" t="s">
        <v>24</v>
      </c>
      <c r="AZ966" s="70">
        <v>2186.0</v>
      </c>
    </row>
    <row r="967" ht="22.5" customHeight="1">
      <c r="A967" s="70" t="str">
        <f t="shared" si="1"/>
        <v>Excluded</v>
      </c>
      <c r="B967" s="70">
        <f t="shared" si="2"/>
        <v>0</v>
      </c>
      <c r="C967" s="70">
        <v>0.0</v>
      </c>
      <c r="D967" s="70">
        <v>0.0</v>
      </c>
      <c r="E967" s="70">
        <v>0.0</v>
      </c>
      <c r="F967" s="70">
        <v>0.0</v>
      </c>
      <c r="G967" s="70">
        <v>0.0</v>
      </c>
      <c r="H967" s="70" t="s">
        <v>12523</v>
      </c>
      <c r="I967" s="70">
        <v>1307.0</v>
      </c>
      <c r="J967" s="70" t="s">
        <v>12520</v>
      </c>
      <c r="K967" s="70" t="s">
        <v>12521</v>
      </c>
      <c r="L967" s="70" t="s">
        <v>12522</v>
      </c>
      <c r="N967" s="70" t="s">
        <v>4600</v>
      </c>
      <c r="P967" s="76">
        <v>45532.0</v>
      </c>
      <c r="U967" s="70" t="s">
        <v>239</v>
      </c>
      <c r="W967" s="70" t="s">
        <v>12525</v>
      </c>
      <c r="X967" s="70" t="s">
        <v>12526</v>
      </c>
      <c r="Z967" s="75" t="s">
        <v>12527</v>
      </c>
      <c r="AA967" s="70" t="s">
        <v>12528</v>
      </c>
      <c r="AE967" s="70">
        <v>59.0</v>
      </c>
      <c r="AF967" s="70" t="s">
        <v>239</v>
      </c>
      <c r="AW967" s="70" t="s">
        <v>12529</v>
      </c>
      <c r="AZ967" s="70">
        <v>591.0</v>
      </c>
    </row>
    <row r="968" ht="22.5" customHeight="1">
      <c r="A968" s="70" t="str">
        <f t="shared" si="1"/>
        <v>Excluded</v>
      </c>
      <c r="B968" s="70">
        <f t="shared" si="2"/>
        <v>0</v>
      </c>
      <c r="C968" s="70">
        <v>0.0</v>
      </c>
      <c r="D968" s="70">
        <v>0.0</v>
      </c>
      <c r="E968" s="70">
        <v>0.0</v>
      </c>
      <c r="F968" s="70">
        <v>0.0</v>
      </c>
      <c r="G968" s="70">
        <v>0.0</v>
      </c>
      <c r="H968" s="70" t="s">
        <v>13844</v>
      </c>
      <c r="I968" s="70">
        <v>1441.0</v>
      </c>
      <c r="J968" s="70" t="s">
        <v>13842</v>
      </c>
      <c r="K968" s="70" t="s">
        <v>13843</v>
      </c>
      <c r="L968" s="70" t="s">
        <v>12522</v>
      </c>
      <c r="N968" s="70" t="s">
        <v>4600</v>
      </c>
      <c r="P968" s="76">
        <v>45532.0</v>
      </c>
      <c r="U968" s="70" t="s">
        <v>239</v>
      </c>
      <c r="W968" s="70" t="s">
        <v>30271</v>
      </c>
      <c r="X968" s="70" t="s">
        <v>12526</v>
      </c>
      <c r="Z968" s="75" t="s">
        <v>13847</v>
      </c>
      <c r="AA968" s="70" t="s">
        <v>13848</v>
      </c>
      <c r="AE968" s="70">
        <v>23.0</v>
      </c>
      <c r="AF968" s="70" t="s">
        <v>239</v>
      </c>
      <c r="AW968" s="70" t="s">
        <v>13849</v>
      </c>
      <c r="AZ968" s="70">
        <v>182.0</v>
      </c>
    </row>
    <row r="969" ht="22.5" customHeight="1">
      <c r="A969" s="70" t="str">
        <f t="shared" si="1"/>
        <v>Excluded</v>
      </c>
      <c r="B969" s="70">
        <f t="shared" si="2"/>
        <v>0</v>
      </c>
      <c r="C969" s="70">
        <v>0.0</v>
      </c>
      <c r="D969" s="70">
        <v>0.0</v>
      </c>
      <c r="E969" s="70">
        <v>0.0</v>
      </c>
      <c r="F969" s="70">
        <v>0.0</v>
      </c>
      <c r="G969" s="70">
        <v>0.0</v>
      </c>
      <c r="H969" s="70" t="s">
        <v>7171</v>
      </c>
      <c r="I969" s="70">
        <v>686.0</v>
      </c>
      <c r="J969" s="70" t="s">
        <v>30272</v>
      </c>
      <c r="K969" s="70" t="s">
        <v>7170</v>
      </c>
      <c r="L969" s="70" t="s">
        <v>5458</v>
      </c>
      <c r="N969" s="70" t="s">
        <v>5034</v>
      </c>
      <c r="P969" s="77">
        <v>43405.0</v>
      </c>
      <c r="U969" s="70" t="s">
        <v>239</v>
      </c>
      <c r="W969" s="70" t="s">
        <v>7173</v>
      </c>
      <c r="X969" s="70" t="s">
        <v>5462</v>
      </c>
      <c r="Z969" s="75" t="s">
        <v>7174</v>
      </c>
      <c r="AA969" s="70" t="s">
        <v>7175</v>
      </c>
      <c r="AC969" s="70">
        <v>4.0</v>
      </c>
      <c r="AE969" s="70">
        <v>43.0</v>
      </c>
      <c r="AF969" s="70" t="s">
        <v>239</v>
      </c>
      <c r="AW969" s="70" t="s">
        <v>7176</v>
      </c>
      <c r="AZ969" s="70">
        <v>452.0</v>
      </c>
    </row>
    <row r="970" ht="22.5" customHeight="1">
      <c r="A970" s="70" t="str">
        <f t="shared" si="1"/>
        <v>Excluded</v>
      </c>
      <c r="B970" s="70">
        <f t="shared" si="2"/>
        <v>0</v>
      </c>
      <c r="C970" s="70">
        <v>0.0</v>
      </c>
      <c r="D970" s="70">
        <v>0.0</v>
      </c>
      <c r="E970" s="70">
        <v>0.0</v>
      </c>
      <c r="F970" s="70">
        <v>0.0</v>
      </c>
      <c r="G970" s="70">
        <v>0.0</v>
      </c>
      <c r="H970" s="70" t="s">
        <v>5459</v>
      </c>
      <c r="I970" s="70">
        <v>512.0</v>
      </c>
      <c r="J970" s="70" t="s">
        <v>5456</v>
      </c>
      <c r="K970" s="70" t="s">
        <v>5457</v>
      </c>
      <c r="L970" s="70" t="s">
        <v>5458</v>
      </c>
      <c r="N970" s="70" t="s">
        <v>5034</v>
      </c>
      <c r="P970" s="77">
        <v>43405.0</v>
      </c>
      <c r="U970" s="70" t="s">
        <v>239</v>
      </c>
      <c r="W970" s="70" t="s">
        <v>5461</v>
      </c>
      <c r="X970" s="70" t="s">
        <v>5462</v>
      </c>
      <c r="Z970" s="75" t="s">
        <v>5463</v>
      </c>
      <c r="AA970" s="70" t="s">
        <v>5464</v>
      </c>
      <c r="AC970" s="70">
        <v>12.0</v>
      </c>
      <c r="AE970" s="70">
        <v>27.0</v>
      </c>
      <c r="AF970" s="70" t="s">
        <v>239</v>
      </c>
      <c r="AW970" s="70" t="s">
        <v>5465</v>
      </c>
      <c r="AX970" s="70">
        <v>0.0</v>
      </c>
      <c r="AY970" s="70" t="s">
        <v>24</v>
      </c>
      <c r="AZ970" s="70">
        <v>2279.0</v>
      </c>
    </row>
    <row r="971" ht="22.5" customHeight="1">
      <c r="A971" s="70" t="str">
        <f t="shared" si="1"/>
        <v>Excluded</v>
      </c>
      <c r="B971" s="70">
        <f t="shared" si="2"/>
        <v>0</v>
      </c>
      <c r="C971" s="70">
        <v>0.0</v>
      </c>
      <c r="D971" s="70">
        <v>0.0</v>
      </c>
      <c r="E971" s="70">
        <v>0.0</v>
      </c>
      <c r="F971" s="70">
        <v>0.0</v>
      </c>
      <c r="G971" s="70">
        <v>0.0</v>
      </c>
      <c r="H971" s="70" t="s">
        <v>5035</v>
      </c>
      <c r="I971" s="70">
        <v>469.0</v>
      </c>
      <c r="J971" s="70" t="s">
        <v>5031</v>
      </c>
      <c r="K971" s="70" t="s">
        <v>5032</v>
      </c>
      <c r="L971" s="70" t="s">
        <v>5033</v>
      </c>
      <c r="N971" s="70" t="s">
        <v>5034</v>
      </c>
      <c r="P971" s="77">
        <v>43776.0</v>
      </c>
      <c r="U971" s="70" t="s">
        <v>239</v>
      </c>
      <c r="W971" s="70" t="s">
        <v>5037</v>
      </c>
      <c r="X971" s="70" t="s">
        <v>5038</v>
      </c>
      <c r="Z971" s="75" t="s">
        <v>5039</v>
      </c>
      <c r="AC971" s="70">
        <v>24.0</v>
      </c>
      <c r="AE971" s="70">
        <v>64.0</v>
      </c>
      <c r="AF971" s="70" t="s">
        <v>239</v>
      </c>
      <c r="AW971" s="70" t="s">
        <v>5040</v>
      </c>
      <c r="AX971" s="70">
        <v>0.0</v>
      </c>
      <c r="AY971" s="70" t="s">
        <v>24</v>
      </c>
      <c r="AZ971" s="70">
        <v>2960.0</v>
      </c>
    </row>
    <row r="972" ht="22.5" customHeight="1">
      <c r="A972" s="70" t="str">
        <f t="shared" si="1"/>
        <v>Excluded</v>
      </c>
      <c r="B972" s="70">
        <f t="shared" si="2"/>
        <v>0</v>
      </c>
      <c r="C972" s="70">
        <v>0.0</v>
      </c>
      <c r="D972" s="70">
        <v>0.0</v>
      </c>
      <c r="E972" s="70">
        <v>0.0</v>
      </c>
      <c r="F972" s="70">
        <v>0.0</v>
      </c>
      <c r="G972" s="70">
        <v>0.0</v>
      </c>
      <c r="H972" s="70" t="s">
        <v>6574</v>
      </c>
      <c r="I972" s="70">
        <v>625.0</v>
      </c>
      <c r="J972" s="70" t="s">
        <v>6571</v>
      </c>
      <c r="K972" s="70" t="s">
        <v>6572</v>
      </c>
      <c r="L972" s="70" t="s">
        <v>6573</v>
      </c>
      <c r="N972" s="70" t="s">
        <v>5034</v>
      </c>
      <c r="P972" s="76">
        <v>44852.0</v>
      </c>
      <c r="U972" s="70" t="s">
        <v>239</v>
      </c>
      <c r="W972" s="70" t="s">
        <v>6576</v>
      </c>
      <c r="X972" s="70" t="s">
        <v>6577</v>
      </c>
      <c r="Y972" s="70" t="s">
        <v>30273</v>
      </c>
      <c r="Z972" s="75" t="s">
        <v>6579</v>
      </c>
      <c r="AA972" s="70" t="s">
        <v>6580</v>
      </c>
      <c r="AC972" s="70">
        <v>6.0</v>
      </c>
      <c r="AE972" s="70">
        <v>42.0</v>
      </c>
      <c r="AF972" s="70" t="s">
        <v>239</v>
      </c>
      <c r="AW972" s="70" t="s">
        <v>6581</v>
      </c>
      <c r="AX972" s="70">
        <v>0.0</v>
      </c>
      <c r="AY972" s="70" t="s">
        <v>24</v>
      </c>
      <c r="AZ972" s="70">
        <v>3029.0</v>
      </c>
    </row>
    <row r="973" ht="22.5" customHeight="1">
      <c r="A973" s="70" t="str">
        <f t="shared" si="1"/>
        <v>Excluded</v>
      </c>
      <c r="B973" s="70">
        <f t="shared" si="2"/>
        <v>0</v>
      </c>
      <c r="C973" s="70">
        <v>0.0</v>
      </c>
      <c r="D973" s="70">
        <v>0.0</v>
      </c>
      <c r="E973" s="70">
        <v>0.0</v>
      </c>
      <c r="F973" s="70">
        <v>0.0</v>
      </c>
      <c r="G973" s="70">
        <v>0.0</v>
      </c>
      <c r="H973" s="70" t="s">
        <v>27833</v>
      </c>
      <c r="I973" s="70">
        <v>3002.0</v>
      </c>
      <c r="J973" s="70" t="s">
        <v>27831</v>
      </c>
      <c r="K973" s="70" t="s">
        <v>27832</v>
      </c>
      <c r="W973" s="70" t="s">
        <v>30274</v>
      </c>
      <c r="AA973" s="70" t="s">
        <v>27835</v>
      </c>
      <c r="AI973" s="70" t="s">
        <v>27836</v>
      </c>
      <c r="AJ973" s="70" t="s">
        <v>27837</v>
      </c>
      <c r="AK973" s="70">
        <v>2021.0</v>
      </c>
      <c r="AL973" s="70" t="s">
        <v>27838</v>
      </c>
      <c r="AQ973" s="70">
        <v>1.0</v>
      </c>
      <c r="AR973" s="75" t="s">
        <v>27839</v>
      </c>
      <c r="AS973" s="70" t="s">
        <v>22525</v>
      </c>
      <c r="AU973" s="70" t="s">
        <v>237</v>
      </c>
      <c r="AV973" s="70" t="s">
        <v>27840</v>
      </c>
      <c r="AW973" s="70" t="s">
        <v>27841</v>
      </c>
      <c r="AZ973" s="70">
        <v>612.0</v>
      </c>
    </row>
    <row r="974" ht="22.5" customHeight="1">
      <c r="A974" s="70" t="str">
        <f t="shared" si="1"/>
        <v>Excluded</v>
      </c>
      <c r="B974" s="70">
        <f t="shared" si="2"/>
        <v>0</v>
      </c>
      <c r="C974" s="70">
        <v>0.0</v>
      </c>
      <c r="D974" s="70">
        <v>0.0</v>
      </c>
      <c r="E974" s="70">
        <v>0.0</v>
      </c>
      <c r="F974" s="70">
        <v>0.0</v>
      </c>
      <c r="G974" s="70">
        <v>0.0</v>
      </c>
      <c r="H974" s="70" t="s">
        <v>14723</v>
      </c>
      <c r="I974" s="70">
        <v>1535.0</v>
      </c>
      <c r="J974" s="70" t="s">
        <v>14719</v>
      </c>
      <c r="K974" s="70" t="s">
        <v>14720</v>
      </c>
      <c r="L974" s="70" t="s">
        <v>14721</v>
      </c>
      <c r="N974" s="70" t="s">
        <v>14722</v>
      </c>
      <c r="P974" s="76">
        <v>45588.0</v>
      </c>
      <c r="U974" s="70" t="s">
        <v>239</v>
      </c>
      <c r="W974" s="70" t="s">
        <v>14725</v>
      </c>
      <c r="X974" s="70" t="s">
        <v>14726</v>
      </c>
      <c r="Z974" s="75" t="s">
        <v>14727</v>
      </c>
      <c r="AA974" s="70" t="s">
        <v>14728</v>
      </c>
      <c r="AE974" s="70">
        <v>18.0</v>
      </c>
      <c r="AF974" s="70" t="s">
        <v>239</v>
      </c>
      <c r="AW974" s="70" t="s">
        <v>14729</v>
      </c>
      <c r="AZ974" s="70">
        <v>596.0</v>
      </c>
    </row>
    <row r="975" ht="22.5" customHeight="1">
      <c r="A975" s="70" t="str">
        <f t="shared" si="1"/>
        <v>Excluded</v>
      </c>
      <c r="B975" s="70">
        <f t="shared" si="2"/>
        <v>0</v>
      </c>
      <c r="C975" s="70">
        <v>0.0</v>
      </c>
      <c r="D975" s="70">
        <v>0.0</v>
      </c>
      <c r="E975" s="70">
        <v>0.0</v>
      </c>
      <c r="F975" s="70">
        <v>0.0</v>
      </c>
      <c r="G975" s="70">
        <v>0.0</v>
      </c>
      <c r="H975" s="70" t="s">
        <v>5449</v>
      </c>
      <c r="I975" s="70">
        <v>511.0</v>
      </c>
      <c r="J975" s="70" t="s">
        <v>5446</v>
      </c>
      <c r="K975" s="70" t="s">
        <v>5447</v>
      </c>
      <c r="L975" s="70" t="s">
        <v>5448</v>
      </c>
      <c r="P975" s="76">
        <v>43356.0</v>
      </c>
      <c r="U975" s="70" t="s">
        <v>239</v>
      </c>
      <c r="W975" s="70" t="s">
        <v>5451</v>
      </c>
      <c r="X975" s="70" t="s">
        <v>5452</v>
      </c>
      <c r="Z975" s="75" t="s">
        <v>5453</v>
      </c>
      <c r="AA975" s="70" t="s">
        <v>5454</v>
      </c>
      <c r="AC975" s="70">
        <v>12.0</v>
      </c>
      <c r="AE975" s="70">
        <v>33.0</v>
      </c>
      <c r="AF975" s="70" t="s">
        <v>239</v>
      </c>
      <c r="AW975" s="70" t="s">
        <v>5455</v>
      </c>
      <c r="AZ975" s="70">
        <v>172.0</v>
      </c>
    </row>
    <row r="976" ht="22.5" customHeight="1">
      <c r="A976" s="70" t="str">
        <f t="shared" si="1"/>
        <v>Excluded</v>
      </c>
      <c r="B976" s="70">
        <f t="shared" si="2"/>
        <v>0</v>
      </c>
      <c r="C976" s="70">
        <v>0.0</v>
      </c>
      <c r="D976" s="70">
        <v>0.0</v>
      </c>
      <c r="E976" s="70">
        <v>0.0</v>
      </c>
      <c r="F976" s="70">
        <v>0.0</v>
      </c>
      <c r="G976" s="70">
        <v>0.0</v>
      </c>
      <c r="H976" s="70" t="s">
        <v>6903</v>
      </c>
      <c r="I976" s="70">
        <v>658.0</v>
      </c>
      <c r="J976" s="70" t="s">
        <v>6900</v>
      </c>
      <c r="K976" s="70" t="s">
        <v>6901</v>
      </c>
      <c r="L976" s="70" t="s">
        <v>6902</v>
      </c>
      <c r="P976" s="76">
        <v>43749.0</v>
      </c>
      <c r="U976" s="70" t="s">
        <v>239</v>
      </c>
      <c r="W976" s="70" t="s">
        <v>6905</v>
      </c>
      <c r="X976" s="70" t="s">
        <v>6906</v>
      </c>
      <c r="Z976" s="75" t="s">
        <v>6907</v>
      </c>
      <c r="AA976" s="70" t="s">
        <v>6908</v>
      </c>
      <c r="AC976" s="70">
        <v>5.0</v>
      </c>
      <c r="AE976" s="70">
        <v>11.0</v>
      </c>
      <c r="AF976" s="70" t="s">
        <v>239</v>
      </c>
      <c r="AW976" s="70" t="s">
        <v>6909</v>
      </c>
      <c r="AX976" s="70">
        <v>0.0</v>
      </c>
      <c r="AY976" s="70" t="s">
        <v>24</v>
      </c>
      <c r="AZ976" s="70">
        <v>2005.0</v>
      </c>
    </row>
    <row r="977" ht="22.5" customHeight="1">
      <c r="A977" s="70" t="str">
        <f t="shared" si="1"/>
        <v>Excluded</v>
      </c>
      <c r="B977" s="70">
        <f t="shared" si="2"/>
        <v>0</v>
      </c>
      <c r="C977" s="70">
        <v>0.0</v>
      </c>
      <c r="D977" s="70">
        <v>0.0</v>
      </c>
      <c r="E977" s="70">
        <v>0.0</v>
      </c>
      <c r="F977" s="70">
        <v>0.0</v>
      </c>
      <c r="G977" s="70">
        <v>0.0</v>
      </c>
      <c r="H977" s="70" t="s">
        <v>9784</v>
      </c>
      <c r="I977" s="70">
        <v>958.0</v>
      </c>
      <c r="J977" s="70" t="s">
        <v>9781</v>
      </c>
      <c r="K977" s="70" t="s">
        <v>9782</v>
      </c>
      <c r="L977" s="70" t="s">
        <v>9783</v>
      </c>
      <c r="P977" s="76">
        <v>44028.0</v>
      </c>
      <c r="U977" s="70" t="s">
        <v>239</v>
      </c>
      <c r="W977" s="70" t="s">
        <v>9786</v>
      </c>
      <c r="X977" s="70" t="s">
        <v>9787</v>
      </c>
      <c r="Z977" s="75" t="s">
        <v>9788</v>
      </c>
      <c r="AA977" s="70" t="s">
        <v>9789</v>
      </c>
      <c r="AE977" s="70">
        <v>34.0</v>
      </c>
      <c r="AF977" s="70" t="s">
        <v>239</v>
      </c>
      <c r="AW977" s="70" t="s">
        <v>9790</v>
      </c>
      <c r="AX977" s="70">
        <v>0.0</v>
      </c>
      <c r="AY977" s="70" t="s">
        <v>24</v>
      </c>
      <c r="AZ977" s="70">
        <v>2834.0</v>
      </c>
    </row>
    <row r="978" ht="22.5" customHeight="1">
      <c r="A978" s="70" t="str">
        <f t="shared" si="1"/>
        <v>Excluded</v>
      </c>
      <c r="B978" s="70">
        <f t="shared" si="2"/>
        <v>0</v>
      </c>
      <c r="C978" s="70">
        <v>0.0</v>
      </c>
      <c r="D978" s="70">
        <v>0.0</v>
      </c>
      <c r="E978" s="70">
        <v>0.0</v>
      </c>
      <c r="F978" s="70">
        <v>0.0</v>
      </c>
      <c r="G978" s="70">
        <v>0.0</v>
      </c>
      <c r="H978" s="70" t="s">
        <v>10669</v>
      </c>
      <c r="I978" s="70">
        <v>1060.0</v>
      </c>
      <c r="K978" s="70" t="s">
        <v>10667</v>
      </c>
      <c r="L978" s="70" t="s">
        <v>10668</v>
      </c>
      <c r="P978" s="77">
        <v>44928.0</v>
      </c>
      <c r="U978" s="70" t="s">
        <v>239</v>
      </c>
      <c r="W978" s="70" t="s">
        <v>10670</v>
      </c>
      <c r="X978" s="70" t="s">
        <v>10671</v>
      </c>
      <c r="Z978" s="75" t="s">
        <v>10672</v>
      </c>
      <c r="AF978" s="70" t="s">
        <v>239</v>
      </c>
      <c r="AZ978" s="70">
        <v>1252.0</v>
      </c>
    </row>
    <row r="979" ht="22.5" customHeight="1">
      <c r="A979" s="70" t="str">
        <f t="shared" si="1"/>
        <v>Excluded</v>
      </c>
      <c r="B979" s="70">
        <f t="shared" si="2"/>
        <v>0</v>
      </c>
      <c r="C979" s="70">
        <v>0.0</v>
      </c>
      <c r="D979" s="70">
        <v>0.0</v>
      </c>
      <c r="E979" s="70">
        <v>0.0</v>
      </c>
      <c r="F979" s="70">
        <v>0.0</v>
      </c>
      <c r="G979" s="70">
        <v>0.0</v>
      </c>
      <c r="H979" s="70" t="s">
        <v>15957</v>
      </c>
      <c r="I979" s="70">
        <v>1682.0</v>
      </c>
      <c r="K979" s="70" t="s">
        <v>15955</v>
      </c>
      <c r="L979" s="70" t="s">
        <v>15956</v>
      </c>
      <c r="P979" s="77">
        <v>45329.0</v>
      </c>
      <c r="U979" s="70" t="s">
        <v>239</v>
      </c>
      <c r="X979" s="70" t="s">
        <v>15959</v>
      </c>
      <c r="Z979" s="75" t="s">
        <v>15960</v>
      </c>
      <c r="AF979" s="70" t="s">
        <v>239</v>
      </c>
      <c r="AZ979" s="70">
        <v>1264.0</v>
      </c>
    </row>
    <row r="980" ht="22.5" customHeight="1">
      <c r="A980" s="70" t="str">
        <f t="shared" si="1"/>
        <v>Excluded</v>
      </c>
      <c r="B980" s="70">
        <f t="shared" si="2"/>
        <v>0</v>
      </c>
      <c r="C980" s="70">
        <v>0.0</v>
      </c>
      <c r="D980" s="70">
        <v>0.0</v>
      </c>
      <c r="E980" s="70">
        <v>0.0</v>
      </c>
      <c r="F980" s="70">
        <v>0.0</v>
      </c>
      <c r="G980" s="70">
        <v>0.0</v>
      </c>
      <c r="H980" s="70" t="s">
        <v>13316</v>
      </c>
      <c r="I980" s="70">
        <v>1387.0</v>
      </c>
      <c r="J980" s="70" t="s">
        <v>13312</v>
      </c>
      <c r="K980" s="70" t="s">
        <v>13313</v>
      </c>
      <c r="L980" s="70" t="s">
        <v>13314</v>
      </c>
      <c r="N980" s="70" t="s">
        <v>13315</v>
      </c>
      <c r="P980" s="77">
        <v>45694.0</v>
      </c>
      <c r="U980" s="70" t="s">
        <v>239</v>
      </c>
      <c r="W980" s="70" t="s">
        <v>13318</v>
      </c>
      <c r="X980" s="70" t="s">
        <v>13319</v>
      </c>
      <c r="Z980" s="75" t="s">
        <v>13320</v>
      </c>
      <c r="AA980" s="70" t="s">
        <v>13321</v>
      </c>
      <c r="AE980" s="70">
        <v>19.0</v>
      </c>
      <c r="AF980" s="70" t="s">
        <v>239</v>
      </c>
      <c r="AW980" s="70" t="s">
        <v>13322</v>
      </c>
      <c r="AX980" s="70">
        <v>0.0</v>
      </c>
      <c r="AY980" s="70" t="s">
        <v>24</v>
      </c>
      <c r="AZ980" s="70">
        <v>2524.0</v>
      </c>
    </row>
    <row r="981" ht="22.5" customHeight="1">
      <c r="A981" s="70" t="str">
        <f t="shared" si="1"/>
        <v>Excluded</v>
      </c>
      <c r="B981" s="70">
        <f t="shared" si="2"/>
        <v>0</v>
      </c>
      <c r="C981" s="70">
        <v>0.0</v>
      </c>
      <c r="D981" s="70">
        <v>0.0</v>
      </c>
      <c r="E981" s="70">
        <v>0.0</v>
      </c>
      <c r="F981" s="70">
        <v>0.0</v>
      </c>
      <c r="G981" s="70">
        <v>0.0</v>
      </c>
      <c r="H981" s="70" t="s">
        <v>16223</v>
      </c>
      <c r="I981" s="70">
        <v>1752.0</v>
      </c>
      <c r="K981" s="70" t="s">
        <v>10597</v>
      </c>
      <c r="L981" s="70" t="s">
        <v>13314</v>
      </c>
      <c r="N981" s="70" t="s">
        <v>13315</v>
      </c>
      <c r="P981" s="77">
        <v>45694.0</v>
      </c>
      <c r="U981" s="70" t="s">
        <v>239</v>
      </c>
      <c r="X981" s="70" t="s">
        <v>13319</v>
      </c>
      <c r="Z981" s="75" t="s">
        <v>16224</v>
      </c>
      <c r="AF981" s="70" t="s">
        <v>239</v>
      </c>
      <c r="AZ981" s="70">
        <v>1539.0</v>
      </c>
    </row>
    <row r="982" ht="22.5" customHeight="1">
      <c r="A982" s="70" t="str">
        <f t="shared" si="1"/>
        <v>Excluded</v>
      </c>
      <c r="B982" s="70">
        <f t="shared" si="2"/>
        <v>0</v>
      </c>
      <c r="C982" s="70">
        <v>0.0</v>
      </c>
      <c r="D982" s="70">
        <v>0.0</v>
      </c>
      <c r="E982" s="70">
        <v>0.0</v>
      </c>
      <c r="F982" s="70">
        <v>0.0</v>
      </c>
      <c r="G982" s="70">
        <v>0.0</v>
      </c>
      <c r="H982" s="70" t="s">
        <v>10776</v>
      </c>
      <c r="I982" s="70">
        <v>1086.0</v>
      </c>
      <c r="K982" s="70" t="s">
        <v>10597</v>
      </c>
      <c r="L982" s="70" t="s">
        <v>10775</v>
      </c>
      <c r="N982" s="70" t="s">
        <v>7546</v>
      </c>
      <c r="P982" s="77">
        <v>43655.0</v>
      </c>
      <c r="U982" s="70" t="s">
        <v>239</v>
      </c>
      <c r="W982" s="70" t="s">
        <v>10602</v>
      </c>
      <c r="X982" s="70" t="s">
        <v>10777</v>
      </c>
      <c r="Z982" s="75" t="s">
        <v>10778</v>
      </c>
      <c r="AF982" s="70" t="s">
        <v>239</v>
      </c>
      <c r="AX982" s="70">
        <v>1.0</v>
      </c>
      <c r="AZ982" s="70">
        <v>1629.0</v>
      </c>
    </row>
    <row r="983" ht="22.5" customHeight="1">
      <c r="A983" s="70" t="str">
        <f t="shared" si="1"/>
        <v>Excluded</v>
      </c>
      <c r="B983" s="70">
        <f t="shared" si="2"/>
        <v>0</v>
      </c>
      <c r="C983" s="70">
        <v>0.0</v>
      </c>
      <c r="D983" s="70">
        <v>0.0</v>
      </c>
      <c r="E983" s="70">
        <v>0.0</v>
      </c>
      <c r="F983" s="70">
        <v>0.0</v>
      </c>
      <c r="G983" s="70">
        <v>0.0</v>
      </c>
      <c r="H983" s="70" t="s">
        <v>28807</v>
      </c>
      <c r="I983" s="70">
        <v>3097.0</v>
      </c>
      <c r="J983" s="70" t="s">
        <v>28805</v>
      </c>
      <c r="K983" s="70" t="s">
        <v>28806</v>
      </c>
      <c r="W983" s="70" t="s">
        <v>30275</v>
      </c>
      <c r="AA983" s="70" t="s">
        <v>28809</v>
      </c>
      <c r="AI983" s="70" t="s">
        <v>28810</v>
      </c>
      <c r="AJ983" s="70" t="s">
        <v>28811</v>
      </c>
      <c r="AK983" s="70">
        <v>2019.0</v>
      </c>
      <c r="AL983" s="70" t="s">
        <v>28812</v>
      </c>
      <c r="AM983" s="70">
        <v>8754080.0</v>
      </c>
      <c r="AN983" s="70">
        <v>513.0</v>
      </c>
      <c r="AO983" s="70">
        <v>522.0</v>
      </c>
      <c r="AP983" s="70">
        <v>9.0</v>
      </c>
      <c r="AQ983" s="70">
        <v>7.0</v>
      </c>
      <c r="AR983" s="75" t="s">
        <v>28813</v>
      </c>
      <c r="AS983" s="70" t="s">
        <v>22525</v>
      </c>
      <c r="AU983" s="70" t="s">
        <v>237</v>
      </c>
      <c r="AV983" s="70" t="s">
        <v>28814</v>
      </c>
      <c r="AW983" s="70" t="s">
        <v>28815</v>
      </c>
      <c r="AX983" s="70">
        <v>0.0</v>
      </c>
      <c r="AY983" s="70" t="s">
        <v>24</v>
      </c>
      <c r="AZ983" s="70">
        <v>2997.0</v>
      </c>
    </row>
    <row r="984" ht="22.5" customHeight="1">
      <c r="A984" s="70" t="str">
        <f t="shared" si="1"/>
        <v>Excluded</v>
      </c>
      <c r="B984" s="70">
        <f t="shared" si="2"/>
        <v>0</v>
      </c>
      <c r="C984" s="70">
        <v>0.0</v>
      </c>
      <c r="D984" s="70">
        <v>0.0</v>
      </c>
      <c r="E984" s="70">
        <v>0.0</v>
      </c>
      <c r="F984" s="70">
        <v>0.0</v>
      </c>
      <c r="G984" s="70">
        <v>0.0</v>
      </c>
      <c r="H984" s="70" t="s">
        <v>7832</v>
      </c>
      <c r="I984" s="70">
        <v>754.0</v>
      </c>
      <c r="J984" s="70" t="s">
        <v>7830</v>
      </c>
      <c r="K984" s="70" t="s">
        <v>7831</v>
      </c>
      <c r="L984" s="70" t="s">
        <v>7545</v>
      </c>
      <c r="N984" s="70" t="s">
        <v>7546</v>
      </c>
      <c r="P984" s="77">
        <v>44448.0</v>
      </c>
      <c r="U984" s="70" t="s">
        <v>239</v>
      </c>
      <c r="W984" s="70" t="s">
        <v>30276</v>
      </c>
      <c r="X984" s="70" t="s">
        <v>7550</v>
      </c>
      <c r="Z984" s="75" t="s">
        <v>7835</v>
      </c>
      <c r="AA984" s="70" t="s">
        <v>7836</v>
      </c>
      <c r="AC984" s="70">
        <v>2.0</v>
      </c>
      <c r="AE984" s="70">
        <v>46.0</v>
      </c>
      <c r="AF984" s="70" t="s">
        <v>239</v>
      </c>
      <c r="AW984" s="70" t="s">
        <v>7837</v>
      </c>
      <c r="AX984" s="70">
        <v>0.0</v>
      </c>
      <c r="AY984" s="70" t="s">
        <v>24</v>
      </c>
      <c r="AZ984" s="70">
        <v>2629.0</v>
      </c>
    </row>
    <row r="985" ht="22.5" customHeight="1">
      <c r="A985" s="70" t="str">
        <f t="shared" si="1"/>
        <v>Excluded</v>
      </c>
      <c r="B985" s="70">
        <f t="shared" si="2"/>
        <v>0</v>
      </c>
      <c r="C985" s="70">
        <v>0.0</v>
      </c>
      <c r="D985" s="70">
        <v>0.0</v>
      </c>
      <c r="E985" s="70">
        <v>0.0</v>
      </c>
      <c r="F985" s="70">
        <v>0.0</v>
      </c>
      <c r="G985" s="70">
        <v>0.0</v>
      </c>
      <c r="H985" s="70" t="s">
        <v>7547</v>
      </c>
      <c r="I985" s="70">
        <v>725.0</v>
      </c>
      <c r="J985" s="70" t="s">
        <v>7543</v>
      </c>
      <c r="K985" s="70" t="s">
        <v>7544</v>
      </c>
      <c r="L985" s="70" t="s">
        <v>7545</v>
      </c>
      <c r="N985" s="70" t="s">
        <v>7546</v>
      </c>
      <c r="P985" s="77">
        <v>44448.0</v>
      </c>
      <c r="U985" s="70" t="s">
        <v>239</v>
      </c>
      <c r="W985" s="70" t="s">
        <v>7549</v>
      </c>
      <c r="X985" s="70" t="s">
        <v>7550</v>
      </c>
      <c r="Z985" s="75" t="s">
        <v>7551</v>
      </c>
      <c r="AA985" s="70" t="s">
        <v>7552</v>
      </c>
      <c r="AC985" s="70">
        <v>3.0</v>
      </c>
      <c r="AE985" s="70">
        <v>33.0</v>
      </c>
      <c r="AF985" s="70" t="s">
        <v>239</v>
      </c>
      <c r="AW985" s="70" t="s">
        <v>7553</v>
      </c>
      <c r="AZ985" s="70">
        <v>1069.0</v>
      </c>
    </row>
    <row r="986" ht="22.5" customHeight="1">
      <c r="A986" s="70" t="str">
        <f t="shared" si="1"/>
        <v>Excluded</v>
      </c>
      <c r="B986" s="70">
        <f t="shared" si="2"/>
        <v>0</v>
      </c>
      <c r="C986" s="70">
        <v>0.0</v>
      </c>
      <c r="D986" s="70">
        <v>0.0</v>
      </c>
      <c r="E986" s="70">
        <v>0.0</v>
      </c>
      <c r="F986" s="70">
        <v>0.0</v>
      </c>
      <c r="G986" s="70">
        <v>0.0</v>
      </c>
      <c r="H986" s="70" t="s">
        <v>8268</v>
      </c>
      <c r="I986" s="70">
        <v>800.0</v>
      </c>
      <c r="J986" s="70" t="s">
        <v>8266</v>
      </c>
      <c r="K986" s="70" t="s">
        <v>8267</v>
      </c>
      <c r="L986" s="70" t="s">
        <v>7545</v>
      </c>
      <c r="N986" s="70" t="s">
        <v>7546</v>
      </c>
      <c r="P986" s="77">
        <v>44448.0</v>
      </c>
      <c r="U986" s="70" t="s">
        <v>239</v>
      </c>
      <c r="W986" s="70" t="s">
        <v>8270</v>
      </c>
      <c r="X986" s="70" t="s">
        <v>7550</v>
      </c>
      <c r="Z986" s="75" t="s">
        <v>8271</v>
      </c>
      <c r="AA986" s="70" t="s">
        <v>8272</v>
      </c>
      <c r="AC986" s="70">
        <v>2.0</v>
      </c>
      <c r="AE986" s="70">
        <v>19.0</v>
      </c>
      <c r="AF986" s="70" t="s">
        <v>239</v>
      </c>
      <c r="AW986" s="70" t="s">
        <v>8273</v>
      </c>
      <c r="AX986" s="70">
        <v>0.0</v>
      </c>
      <c r="AY986" s="70" t="s">
        <v>24</v>
      </c>
      <c r="AZ986" s="70">
        <v>1808.0</v>
      </c>
    </row>
    <row r="987" ht="22.5" customHeight="1">
      <c r="A987" s="70" t="str">
        <f t="shared" si="1"/>
        <v>Excluded</v>
      </c>
      <c r="B987" s="70">
        <f t="shared" si="2"/>
        <v>0</v>
      </c>
      <c r="C987" s="70">
        <v>0.0</v>
      </c>
      <c r="D987" s="70">
        <v>0.0</v>
      </c>
      <c r="E987" s="70">
        <v>0.0</v>
      </c>
      <c r="F987" s="70">
        <v>0.0</v>
      </c>
      <c r="G987" s="70">
        <v>0.0</v>
      </c>
      <c r="H987" s="70" t="s">
        <v>16034</v>
      </c>
      <c r="I987" s="70">
        <v>1703.0</v>
      </c>
      <c r="K987" s="70" t="s">
        <v>10597</v>
      </c>
      <c r="L987" s="70" t="s">
        <v>14513</v>
      </c>
      <c r="N987" s="70" t="s">
        <v>14514</v>
      </c>
      <c r="P987" s="76">
        <v>45530.0</v>
      </c>
      <c r="U987" s="70" t="s">
        <v>239</v>
      </c>
      <c r="X987" s="70" t="s">
        <v>14518</v>
      </c>
      <c r="Z987" s="75" t="s">
        <v>16036</v>
      </c>
      <c r="AF987" s="70" t="s">
        <v>239</v>
      </c>
      <c r="AX987" s="70">
        <v>1.0</v>
      </c>
      <c r="AZ987" s="70">
        <v>1632.0</v>
      </c>
    </row>
    <row r="988" ht="22.5" customHeight="1">
      <c r="A988" s="70" t="str">
        <f t="shared" si="1"/>
        <v>Excluded</v>
      </c>
      <c r="B988" s="70">
        <f t="shared" si="2"/>
        <v>0</v>
      </c>
      <c r="C988" s="70">
        <v>0.0</v>
      </c>
      <c r="D988" s="70">
        <v>0.0</v>
      </c>
      <c r="E988" s="70">
        <v>0.0</v>
      </c>
      <c r="F988" s="70">
        <v>0.0</v>
      </c>
      <c r="G988" s="70">
        <v>0.0</v>
      </c>
      <c r="H988" s="70" t="s">
        <v>14515</v>
      </c>
      <c r="I988" s="70">
        <v>1514.0</v>
      </c>
      <c r="J988" s="70" t="s">
        <v>14511</v>
      </c>
      <c r="K988" s="70" t="s">
        <v>14512</v>
      </c>
      <c r="L988" s="70" t="s">
        <v>14513</v>
      </c>
      <c r="N988" s="70" t="s">
        <v>14514</v>
      </c>
      <c r="P988" s="76">
        <v>45530.0</v>
      </c>
      <c r="U988" s="70" t="s">
        <v>239</v>
      </c>
      <c r="W988" s="70" t="s">
        <v>14517</v>
      </c>
      <c r="X988" s="70" t="s">
        <v>14518</v>
      </c>
      <c r="Z988" s="75" t="s">
        <v>14519</v>
      </c>
      <c r="AA988" s="70" t="s">
        <v>14520</v>
      </c>
      <c r="AE988" s="70">
        <v>23.0</v>
      </c>
      <c r="AF988" s="70" t="s">
        <v>239</v>
      </c>
      <c r="AW988" s="70" t="s">
        <v>14521</v>
      </c>
      <c r="AX988" s="70">
        <v>0.0</v>
      </c>
      <c r="AY988" s="70" t="s">
        <v>24</v>
      </c>
      <c r="AZ988" s="70">
        <v>2409.0</v>
      </c>
    </row>
    <row r="989" ht="22.5" customHeight="1">
      <c r="A989" s="70" t="str">
        <f t="shared" si="1"/>
        <v>Excluded</v>
      </c>
      <c r="B989" s="70">
        <f t="shared" si="2"/>
        <v>0</v>
      </c>
      <c r="C989" s="70">
        <v>0.0</v>
      </c>
      <c r="D989" s="70">
        <v>0.0</v>
      </c>
      <c r="E989" s="70">
        <v>0.0</v>
      </c>
      <c r="F989" s="70">
        <v>0.0</v>
      </c>
      <c r="G989" s="70">
        <v>0.0</v>
      </c>
      <c r="H989" s="70" t="s">
        <v>14113</v>
      </c>
      <c r="I989" s="70">
        <v>1470.0</v>
      </c>
      <c r="J989" s="70" t="s">
        <v>14111</v>
      </c>
      <c r="K989" s="70" t="s">
        <v>14112</v>
      </c>
      <c r="L989" s="70" t="s">
        <v>11571</v>
      </c>
      <c r="N989" s="70" t="s">
        <v>11572</v>
      </c>
      <c r="P989" s="76">
        <v>44972.0</v>
      </c>
      <c r="U989" s="70" t="s">
        <v>239</v>
      </c>
      <c r="W989" s="70" t="s">
        <v>14115</v>
      </c>
      <c r="X989" s="70" t="s">
        <v>11576</v>
      </c>
      <c r="Z989" s="75" t="s">
        <v>14116</v>
      </c>
      <c r="AA989" s="70" t="s">
        <v>14117</v>
      </c>
      <c r="AE989" s="70">
        <v>19.0</v>
      </c>
      <c r="AF989" s="70" t="s">
        <v>239</v>
      </c>
      <c r="AW989" s="70" t="s">
        <v>14118</v>
      </c>
      <c r="AX989" s="70">
        <v>0.0</v>
      </c>
      <c r="AY989" s="70" t="s">
        <v>24</v>
      </c>
      <c r="AZ989" s="70">
        <v>2621.0</v>
      </c>
    </row>
    <row r="990" ht="22.5" customHeight="1">
      <c r="A990" s="70" t="str">
        <f t="shared" si="1"/>
        <v>Excluded</v>
      </c>
      <c r="B990" s="70">
        <f t="shared" si="2"/>
        <v>0</v>
      </c>
      <c r="C990" s="70">
        <v>0.0</v>
      </c>
      <c r="D990" s="70">
        <v>0.0</v>
      </c>
      <c r="E990" s="70">
        <v>0.0</v>
      </c>
      <c r="F990" s="70">
        <v>0.0</v>
      </c>
      <c r="G990" s="70">
        <v>0.0</v>
      </c>
      <c r="H990" s="70" t="s">
        <v>11573</v>
      </c>
      <c r="I990" s="70">
        <v>1212.0</v>
      </c>
      <c r="J990" s="70" t="s">
        <v>11569</v>
      </c>
      <c r="K990" s="70" t="s">
        <v>11570</v>
      </c>
      <c r="L990" s="70" t="s">
        <v>11571</v>
      </c>
      <c r="N990" s="70" t="s">
        <v>11572</v>
      </c>
      <c r="P990" s="76">
        <v>44972.0</v>
      </c>
      <c r="U990" s="70" t="s">
        <v>239</v>
      </c>
      <c r="W990" s="70" t="s">
        <v>11575</v>
      </c>
      <c r="X990" s="70" t="s">
        <v>11576</v>
      </c>
      <c r="Z990" s="75" t="s">
        <v>11577</v>
      </c>
      <c r="AA990" s="70" t="s">
        <v>11578</v>
      </c>
      <c r="AC990" s="70">
        <v>2.0</v>
      </c>
      <c r="AE990" s="70">
        <v>37.0</v>
      </c>
      <c r="AF990" s="70" t="s">
        <v>239</v>
      </c>
      <c r="AW990" s="70" t="s">
        <v>11579</v>
      </c>
      <c r="AZ990" s="70">
        <v>681.0</v>
      </c>
    </row>
    <row r="991" ht="22.5" customHeight="1">
      <c r="A991" s="70" t="str">
        <f t="shared" si="1"/>
        <v>Excluded</v>
      </c>
      <c r="B991" s="70">
        <f t="shared" si="2"/>
        <v>0</v>
      </c>
      <c r="C991" s="70">
        <v>0.0</v>
      </c>
      <c r="D991" s="70">
        <v>0.0</v>
      </c>
      <c r="E991" s="70">
        <v>0.0</v>
      </c>
      <c r="F991" s="70">
        <v>0.0</v>
      </c>
      <c r="G991" s="70">
        <v>0.0</v>
      </c>
      <c r="H991" s="70" t="s">
        <v>16350</v>
      </c>
      <c r="I991" s="70">
        <v>1786.0</v>
      </c>
      <c r="K991" s="70" t="s">
        <v>10734</v>
      </c>
      <c r="L991" s="70" t="s">
        <v>16349</v>
      </c>
      <c r="N991" s="70" t="s">
        <v>11572</v>
      </c>
      <c r="P991" s="76">
        <v>45338.0</v>
      </c>
      <c r="U991" s="70" t="s">
        <v>239</v>
      </c>
      <c r="X991" s="70" t="s">
        <v>16351</v>
      </c>
      <c r="Z991" s="75" t="s">
        <v>16352</v>
      </c>
      <c r="AF991" s="70" t="s">
        <v>239</v>
      </c>
      <c r="AZ991" s="70">
        <v>1367.0</v>
      </c>
    </row>
    <row r="992" ht="22.5" customHeight="1">
      <c r="A992" s="70" t="str">
        <f t="shared" si="1"/>
        <v>Excluded</v>
      </c>
      <c r="B992" s="70">
        <f t="shared" si="2"/>
        <v>0</v>
      </c>
      <c r="C992" s="70">
        <v>0.0</v>
      </c>
      <c r="D992" s="70">
        <v>0.0</v>
      </c>
      <c r="E992" s="70">
        <v>0.0</v>
      </c>
      <c r="F992" s="70">
        <v>0.0</v>
      </c>
      <c r="G992" s="70">
        <v>0.0</v>
      </c>
      <c r="H992" s="70" t="s">
        <v>15290</v>
      </c>
      <c r="I992" s="70">
        <v>1595.0</v>
      </c>
      <c r="J992" s="70" t="s">
        <v>15288</v>
      </c>
      <c r="K992" s="70" t="s">
        <v>15289</v>
      </c>
      <c r="L992" s="70" t="s">
        <v>13597</v>
      </c>
      <c r="N992" s="70" t="s">
        <v>11572</v>
      </c>
      <c r="P992" s="76">
        <v>45708.0</v>
      </c>
      <c r="U992" s="70" t="s">
        <v>239</v>
      </c>
      <c r="W992" s="70" t="s">
        <v>15292</v>
      </c>
      <c r="X992" s="70" t="s">
        <v>13601</v>
      </c>
      <c r="Z992" s="75" t="s">
        <v>15293</v>
      </c>
      <c r="AA992" s="70" t="s">
        <v>15294</v>
      </c>
      <c r="AE992" s="70">
        <v>22.0</v>
      </c>
      <c r="AF992" s="70" t="s">
        <v>239</v>
      </c>
      <c r="AW992" s="70" t="s">
        <v>15295</v>
      </c>
      <c r="AX992" s="70">
        <v>0.0</v>
      </c>
      <c r="AY992" s="70" t="s">
        <v>24</v>
      </c>
      <c r="AZ992" s="70">
        <v>2844.0</v>
      </c>
    </row>
    <row r="993" ht="22.5" customHeight="1">
      <c r="A993" s="70" t="str">
        <f t="shared" si="1"/>
        <v>Excluded</v>
      </c>
      <c r="B993" s="70">
        <f t="shared" si="2"/>
        <v>0</v>
      </c>
      <c r="C993" s="70">
        <v>0.0</v>
      </c>
      <c r="D993" s="70">
        <v>0.0</v>
      </c>
      <c r="E993" s="70">
        <v>0.0</v>
      </c>
      <c r="F993" s="70">
        <v>0.0</v>
      </c>
      <c r="G993" s="70">
        <v>0.0</v>
      </c>
      <c r="H993" s="70" t="s">
        <v>16384</v>
      </c>
      <c r="I993" s="70">
        <v>1796.0</v>
      </c>
      <c r="K993" s="70" t="s">
        <v>16383</v>
      </c>
      <c r="L993" s="70" t="s">
        <v>13597</v>
      </c>
      <c r="N993" s="70" t="s">
        <v>11572</v>
      </c>
      <c r="P993" s="76">
        <v>45708.0</v>
      </c>
      <c r="U993" s="70" t="s">
        <v>239</v>
      </c>
      <c r="X993" s="70" t="s">
        <v>13601</v>
      </c>
      <c r="Z993" s="75" t="s">
        <v>16385</v>
      </c>
      <c r="AF993" s="70" t="s">
        <v>239</v>
      </c>
      <c r="AZ993" s="70">
        <v>1290.0</v>
      </c>
    </row>
    <row r="994" ht="22.5" customHeight="1">
      <c r="A994" s="70" t="str">
        <f t="shared" si="1"/>
        <v>Excluded</v>
      </c>
      <c r="B994" s="70">
        <f t="shared" si="2"/>
        <v>0</v>
      </c>
      <c r="C994" s="70">
        <v>0.0</v>
      </c>
      <c r="D994" s="70">
        <v>0.0</v>
      </c>
      <c r="E994" s="70">
        <v>0.0</v>
      </c>
      <c r="F994" s="70">
        <v>0.0</v>
      </c>
      <c r="G994" s="70">
        <v>0.0</v>
      </c>
      <c r="H994" s="70" t="s">
        <v>13598</v>
      </c>
      <c r="I994" s="70">
        <v>1416.0</v>
      </c>
      <c r="J994" s="70" t="s">
        <v>13595</v>
      </c>
      <c r="K994" s="70" t="s">
        <v>13596</v>
      </c>
      <c r="L994" s="70" t="s">
        <v>13597</v>
      </c>
      <c r="N994" s="70" t="s">
        <v>11572</v>
      </c>
      <c r="P994" s="76">
        <v>45708.0</v>
      </c>
      <c r="U994" s="70" t="s">
        <v>239</v>
      </c>
      <c r="W994" s="70" t="s">
        <v>13600</v>
      </c>
      <c r="X994" s="70" t="s">
        <v>13601</v>
      </c>
      <c r="Z994" s="75" t="s">
        <v>13602</v>
      </c>
      <c r="AA994" s="70" t="s">
        <v>13603</v>
      </c>
      <c r="AE994" s="70">
        <v>17.0</v>
      </c>
      <c r="AF994" s="70" t="s">
        <v>239</v>
      </c>
      <c r="AW994" s="70" t="s">
        <v>13604</v>
      </c>
      <c r="AZ994" s="70">
        <v>972.0</v>
      </c>
    </row>
    <row r="995" ht="22.5" customHeight="1">
      <c r="A995" s="70" t="str">
        <f t="shared" si="1"/>
        <v>Excluded</v>
      </c>
      <c r="B995" s="70">
        <f t="shared" si="2"/>
        <v>0</v>
      </c>
      <c r="C995" s="70">
        <v>0.0</v>
      </c>
      <c r="D995" s="70">
        <v>0.0</v>
      </c>
      <c r="E995" s="70">
        <v>0.0</v>
      </c>
      <c r="F995" s="70">
        <v>0.0</v>
      </c>
      <c r="G995" s="70">
        <v>0.0</v>
      </c>
      <c r="H995" s="70" t="s">
        <v>16397</v>
      </c>
      <c r="I995" s="70">
        <v>1799.0</v>
      </c>
      <c r="J995" s="70" t="s">
        <v>16393</v>
      </c>
      <c r="K995" s="70" t="s">
        <v>16394</v>
      </c>
      <c r="L995" s="70" t="s">
        <v>16395</v>
      </c>
      <c r="N995" s="70" t="s">
        <v>16396</v>
      </c>
      <c r="P995" s="78">
        <v>42873.0</v>
      </c>
      <c r="U995" s="70" t="s">
        <v>239</v>
      </c>
      <c r="W995" s="70" t="s">
        <v>16399</v>
      </c>
      <c r="Y995" s="70" t="s">
        <v>30277</v>
      </c>
      <c r="Z995" s="75" t="s">
        <v>16401</v>
      </c>
      <c r="AA995" s="70" t="s">
        <v>16402</v>
      </c>
      <c r="AC995" s="70">
        <v>1361.0</v>
      </c>
      <c r="AE995" s="70">
        <v>209.0</v>
      </c>
      <c r="AF995" s="70" t="s">
        <v>239</v>
      </c>
      <c r="AW995" s="70" t="s">
        <v>16403</v>
      </c>
      <c r="AX995" s="70">
        <v>0.0</v>
      </c>
      <c r="AY995" s="70" t="s">
        <v>24</v>
      </c>
      <c r="AZ995" s="70">
        <v>1789.0</v>
      </c>
    </row>
    <row r="996" ht="22.5" customHeight="1">
      <c r="A996" s="70" t="str">
        <f t="shared" si="1"/>
        <v>Excluded</v>
      </c>
      <c r="B996" s="70">
        <f t="shared" si="2"/>
        <v>0</v>
      </c>
      <c r="C996" s="70">
        <v>0.0</v>
      </c>
      <c r="D996" s="70">
        <v>0.0</v>
      </c>
      <c r="E996" s="70">
        <v>0.0</v>
      </c>
      <c r="F996" s="70">
        <v>0.0</v>
      </c>
      <c r="G996" s="70">
        <v>0.0</v>
      </c>
      <c r="H996" s="70" t="s">
        <v>16934</v>
      </c>
      <c r="I996" s="70">
        <v>1858.0</v>
      </c>
      <c r="J996" s="70" t="s">
        <v>16932</v>
      </c>
      <c r="K996" s="70" t="s">
        <v>16933</v>
      </c>
      <c r="L996" s="70" t="s">
        <v>16395</v>
      </c>
      <c r="N996" s="70" t="s">
        <v>16396</v>
      </c>
      <c r="P996" s="76">
        <v>42899.0</v>
      </c>
      <c r="U996" s="70" t="s">
        <v>239</v>
      </c>
      <c r="W996" s="70" t="s">
        <v>16936</v>
      </c>
      <c r="Z996" s="75" t="s">
        <v>16937</v>
      </c>
      <c r="AA996" s="70" t="s">
        <v>16938</v>
      </c>
      <c r="AC996" s="70">
        <v>94.0</v>
      </c>
      <c r="AE996" s="70">
        <v>250.0</v>
      </c>
      <c r="AF996" s="70" t="s">
        <v>239</v>
      </c>
      <c r="AW996" s="70" t="s">
        <v>16939</v>
      </c>
      <c r="AZ996" s="70">
        <v>1233.0</v>
      </c>
    </row>
    <row r="997" ht="22.5" customHeight="1">
      <c r="A997" s="70" t="str">
        <f t="shared" si="1"/>
        <v>Excluded</v>
      </c>
      <c r="B997" s="70">
        <f t="shared" si="2"/>
        <v>0</v>
      </c>
      <c r="C997" s="70">
        <v>0.0</v>
      </c>
      <c r="D997" s="70">
        <v>0.0</v>
      </c>
      <c r="E997" s="70">
        <v>0.0</v>
      </c>
      <c r="F997" s="70">
        <v>0.0</v>
      </c>
      <c r="G997" s="70">
        <v>0.0</v>
      </c>
      <c r="H997" s="70" t="s">
        <v>16513</v>
      </c>
      <c r="I997" s="70">
        <v>1811.0</v>
      </c>
      <c r="J997" s="70" t="s">
        <v>16511</v>
      </c>
      <c r="K997" s="70" t="s">
        <v>16512</v>
      </c>
      <c r="L997" s="70" t="s">
        <v>16395</v>
      </c>
      <c r="N997" s="70" t="s">
        <v>16396</v>
      </c>
      <c r="P997" s="77">
        <v>42954.0</v>
      </c>
      <c r="U997" s="70" t="s">
        <v>239</v>
      </c>
      <c r="W997" s="70" t="s">
        <v>16515</v>
      </c>
      <c r="Z997" s="75" t="s">
        <v>16516</v>
      </c>
      <c r="AA997" s="70" t="s">
        <v>16517</v>
      </c>
      <c r="AC997" s="70">
        <v>426.0</v>
      </c>
      <c r="AE997" s="70">
        <v>423.0</v>
      </c>
      <c r="AF997" s="70" t="s">
        <v>239</v>
      </c>
      <c r="AW997" s="70" t="s">
        <v>16518</v>
      </c>
      <c r="AZ997" s="70">
        <v>424.0</v>
      </c>
    </row>
    <row r="998" ht="22.5" customHeight="1">
      <c r="A998" s="70" t="str">
        <f t="shared" si="1"/>
        <v>Excluded</v>
      </c>
      <c r="B998" s="70">
        <f t="shared" si="2"/>
        <v>0</v>
      </c>
      <c r="C998" s="70">
        <v>0.0</v>
      </c>
      <c r="D998" s="70">
        <v>0.0</v>
      </c>
      <c r="E998" s="70">
        <v>0.0</v>
      </c>
      <c r="F998" s="70">
        <v>0.0</v>
      </c>
      <c r="G998" s="70">
        <v>0.0</v>
      </c>
      <c r="H998" s="70" t="s">
        <v>16427</v>
      </c>
      <c r="I998" s="70">
        <v>1802.0</v>
      </c>
      <c r="J998" s="70" t="s">
        <v>16425</v>
      </c>
      <c r="K998" s="70" t="s">
        <v>16426</v>
      </c>
      <c r="L998" s="70" t="s">
        <v>16395</v>
      </c>
      <c r="N998" s="70" t="s">
        <v>16396</v>
      </c>
      <c r="P998" s="76">
        <v>43180.0</v>
      </c>
      <c r="U998" s="70" t="s">
        <v>239</v>
      </c>
      <c r="W998" s="70" t="s">
        <v>16429</v>
      </c>
      <c r="Y998" s="70" t="s">
        <v>30278</v>
      </c>
      <c r="Z998" s="75" t="s">
        <v>16431</v>
      </c>
      <c r="AA998" s="70" t="s">
        <v>16432</v>
      </c>
      <c r="AC998" s="70">
        <v>808.0</v>
      </c>
      <c r="AE998" s="70">
        <v>169.0</v>
      </c>
      <c r="AF998" s="70" t="s">
        <v>239</v>
      </c>
      <c r="AW998" s="70" t="s">
        <v>16433</v>
      </c>
      <c r="AX998" s="70">
        <v>1.0</v>
      </c>
      <c r="AZ998" s="70">
        <v>1641.0</v>
      </c>
    </row>
    <row r="999" ht="22.5" customHeight="1">
      <c r="A999" s="70" t="str">
        <f t="shared" si="1"/>
        <v>Excluded</v>
      </c>
      <c r="B999" s="70">
        <f t="shared" si="2"/>
        <v>0</v>
      </c>
      <c r="C999" s="70">
        <v>0.0</v>
      </c>
      <c r="D999" s="70">
        <v>0.0</v>
      </c>
      <c r="E999" s="70">
        <v>0.0</v>
      </c>
      <c r="F999" s="70">
        <v>0.0</v>
      </c>
      <c r="G999" s="70">
        <v>0.0</v>
      </c>
      <c r="H999" s="70" t="s">
        <v>18101</v>
      </c>
      <c r="I999" s="70">
        <v>1988.0</v>
      </c>
      <c r="J999" s="70" t="s">
        <v>30279</v>
      </c>
      <c r="K999" s="70" t="s">
        <v>30280</v>
      </c>
      <c r="L999" s="70" t="s">
        <v>16395</v>
      </c>
      <c r="N999" s="70" t="s">
        <v>16396</v>
      </c>
      <c r="P999" s="79">
        <v>43229.0</v>
      </c>
      <c r="U999" s="70" t="s">
        <v>239</v>
      </c>
      <c r="W999" s="70" t="s">
        <v>30281</v>
      </c>
      <c r="Y999" s="70" t="s">
        <v>30282</v>
      </c>
      <c r="Z999" s="75" t="s">
        <v>18105</v>
      </c>
      <c r="AA999" s="70" t="s">
        <v>18106</v>
      </c>
      <c r="AC999" s="70">
        <v>27.0</v>
      </c>
      <c r="AE999" s="70">
        <v>202.0</v>
      </c>
      <c r="AF999" s="70" t="s">
        <v>239</v>
      </c>
      <c r="AW999" s="70" t="s">
        <v>18107</v>
      </c>
      <c r="AZ999" s="70">
        <v>654.0</v>
      </c>
    </row>
    <row r="1000" ht="22.5" customHeight="1">
      <c r="A1000" s="70" t="str">
        <f t="shared" si="1"/>
        <v>Excluded</v>
      </c>
      <c r="B1000" s="70">
        <f t="shared" si="2"/>
        <v>0</v>
      </c>
      <c r="C1000" s="70">
        <v>0.0</v>
      </c>
      <c r="D1000" s="70">
        <v>0.0</v>
      </c>
      <c r="E1000" s="70">
        <v>0.0</v>
      </c>
      <c r="F1000" s="70">
        <v>0.0</v>
      </c>
      <c r="G1000" s="70">
        <v>0.0</v>
      </c>
      <c r="H1000" s="70" t="s">
        <v>16586</v>
      </c>
      <c r="I1000" s="70">
        <v>1819.0</v>
      </c>
      <c r="J1000" s="70" t="s">
        <v>16584</v>
      </c>
      <c r="K1000" s="70" t="s">
        <v>16585</v>
      </c>
      <c r="L1000" s="70" t="s">
        <v>16395</v>
      </c>
      <c r="N1000" s="70" t="s">
        <v>16396</v>
      </c>
      <c r="P1000" s="77">
        <v>43313.0</v>
      </c>
      <c r="U1000" s="70" t="s">
        <v>239</v>
      </c>
      <c r="W1000" s="70" t="s">
        <v>16588</v>
      </c>
      <c r="Y1000" s="70" t="s">
        <v>16589</v>
      </c>
      <c r="Z1000" s="75" t="s">
        <v>16590</v>
      </c>
      <c r="AA1000" s="70" t="s">
        <v>16591</v>
      </c>
      <c r="AC1000" s="70">
        <v>305.0</v>
      </c>
      <c r="AE1000" s="70">
        <v>204.0</v>
      </c>
      <c r="AF1000" s="70" t="s">
        <v>239</v>
      </c>
      <c r="AW1000" s="70" t="s">
        <v>16592</v>
      </c>
      <c r="AZ1000" s="70">
        <v>488.0</v>
      </c>
    </row>
    <row r="1001" ht="22.5" customHeight="1">
      <c r="A1001" s="70" t="str">
        <f t="shared" si="1"/>
        <v>Excluded</v>
      </c>
      <c r="B1001" s="70">
        <f t="shared" si="2"/>
        <v>0</v>
      </c>
      <c r="C1001" s="70">
        <v>0.0</v>
      </c>
      <c r="D1001" s="70">
        <v>0.0</v>
      </c>
      <c r="E1001" s="70">
        <v>0.0</v>
      </c>
      <c r="F1001" s="70">
        <v>0.0</v>
      </c>
      <c r="G1001" s="70">
        <v>0.0</v>
      </c>
      <c r="H1001" s="70" t="s">
        <v>16475</v>
      </c>
      <c r="I1001" s="70">
        <v>1807.0</v>
      </c>
      <c r="J1001" s="70" t="s">
        <v>16473</v>
      </c>
      <c r="K1001" s="70" t="s">
        <v>16474</v>
      </c>
      <c r="L1001" s="70" t="s">
        <v>16395</v>
      </c>
      <c r="N1001" s="70" t="s">
        <v>16396</v>
      </c>
      <c r="P1001" s="76">
        <v>43488.0</v>
      </c>
      <c r="U1001" s="70" t="s">
        <v>239</v>
      </c>
      <c r="W1001" s="70" t="s">
        <v>16477</v>
      </c>
      <c r="Y1001" s="70" t="s">
        <v>16478</v>
      </c>
      <c r="Z1001" s="75" t="s">
        <v>16479</v>
      </c>
      <c r="AA1001" s="70" t="s">
        <v>16480</v>
      </c>
      <c r="AC1001" s="70">
        <v>513.0</v>
      </c>
      <c r="AE1001" s="70">
        <v>132.0</v>
      </c>
      <c r="AF1001" s="70" t="s">
        <v>239</v>
      </c>
      <c r="AW1001" s="70" t="s">
        <v>16481</v>
      </c>
      <c r="AX1001" s="70">
        <v>0.0</v>
      </c>
      <c r="AY1001" s="70" t="s">
        <v>24</v>
      </c>
      <c r="AZ1001" s="70">
        <v>2395.0</v>
      </c>
    </row>
    <row r="1002" ht="22.5" customHeight="1">
      <c r="A1002" s="70" t="str">
        <f t="shared" si="1"/>
        <v>Excluded</v>
      </c>
      <c r="B1002" s="70">
        <f t="shared" si="2"/>
        <v>0</v>
      </c>
      <c r="C1002" s="70">
        <v>0.0</v>
      </c>
      <c r="D1002" s="70">
        <v>0.0</v>
      </c>
      <c r="E1002" s="70">
        <v>0.0</v>
      </c>
      <c r="F1002" s="70">
        <v>0.0</v>
      </c>
      <c r="G1002" s="70">
        <v>0.0</v>
      </c>
      <c r="H1002" s="70" t="s">
        <v>16406</v>
      </c>
      <c r="I1002" s="70">
        <v>1800.0</v>
      </c>
      <c r="J1002" s="70" t="s">
        <v>16404</v>
      </c>
      <c r="K1002" s="70" t="s">
        <v>16405</v>
      </c>
      <c r="L1002" s="70" t="s">
        <v>16395</v>
      </c>
      <c r="N1002" s="70" t="s">
        <v>16396</v>
      </c>
      <c r="P1002" s="76">
        <v>43860.0</v>
      </c>
      <c r="U1002" s="70" t="s">
        <v>239</v>
      </c>
      <c r="W1002" s="70" t="s">
        <v>30283</v>
      </c>
      <c r="Y1002" s="70" t="s">
        <v>16409</v>
      </c>
      <c r="Z1002" s="75" t="s">
        <v>16410</v>
      </c>
      <c r="AA1002" s="70" t="s">
        <v>16411</v>
      </c>
      <c r="AC1002" s="70">
        <v>910.0</v>
      </c>
      <c r="AE1002" s="70">
        <v>134.0</v>
      </c>
      <c r="AF1002" s="70" t="s">
        <v>239</v>
      </c>
      <c r="AW1002" s="70" t="s">
        <v>16412</v>
      </c>
      <c r="AZ1002" s="70">
        <v>319.0</v>
      </c>
    </row>
    <row r="1003" ht="22.5" customHeight="1">
      <c r="A1003" s="70" t="str">
        <f t="shared" si="1"/>
        <v>Excluded</v>
      </c>
      <c r="B1003" s="70">
        <f t="shared" si="2"/>
        <v>0</v>
      </c>
      <c r="C1003" s="70">
        <v>0.0</v>
      </c>
      <c r="D1003" s="70">
        <v>0.0</v>
      </c>
      <c r="E1003" s="70">
        <v>0.0</v>
      </c>
      <c r="F1003" s="70">
        <v>0.0</v>
      </c>
      <c r="G1003" s="70">
        <v>0.0</v>
      </c>
      <c r="H1003" s="70" t="s">
        <v>16484</v>
      </c>
      <c r="I1003" s="70">
        <v>1808.0</v>
      </c>
      <c r="J1003" s="70" t="s">
        <v>16482</v>
      </c>
      <c r="K1003" s="70" t="s">
        <v>16483</v>
      </c>
      <c r="L1003" s="70" t="s">
        <v>16395</v>
      </c>
      <c r="N1003" s="70" t="s">
        <v>16396</v>
      </c>
      <c r="P1003" s="76">
        <v>44026.0</v>
      </c>
      <c r="U1003" s="70" t="s">
        <v>239</v>
      </c>
      <c r="W1003" s="70" t="s">
        <v>16486</v>
      </c>
      <c r="Y1003" s="70" t="s">
        <v>16487</v>
      </c>
      <c r="Z1003" s="75" t="s">
        <v>16488</v>
      </c>
      <c r="AA1003" s="70" t="s">
        <v>16489</v>
      </c>
      <c r="AC1003" s="70">
        <v>482.0</v>
      </c>
      <c r="AE1003" s="70">
        <v>148.0</v>
      </c>
      <c r="AF1003" s="70" t="s">
        <v>239</v>
      </c>
      <c r="AW1003" s="70" t="s">
        <v>16490</v>
      </c>
      <c r="AZ1003" s="70">
        <v>480.0</v>
      </c>
    </row>
    <row r="1004" ht="22.5" customHeight="1">
      <c r="A1004" s="70" t="str">
        <f t="shared" si="1"/>
        <v>Excluded</v>
      </c>
      <c r="B1004" s="70">
        <f t="shared" si="2"/>
        <v>0</v>
      </c>
      <c r="C1004" s="70">
        <v>0.0</v>
      </c>
      <c r="D1004" s="70">
        <v>0.0</v>
      </c>
      <c r="E1004" s="70">
        <v>0.0</v>
      </c>
      <c r="F1004" s="70">
        <v>0.0</v>
      </c>
      <c r="G1004" s="70">
        <v>0.0</v>
      </c>
      <c r="H1004" s="70" t="s">
        <v>16951</v>
      </c>
      <c r="I1004" s="70">
        <v>1860.0</v>
      </c>
      <c r="J1004" s="70" t="s">
        <v>16949</v>
      </c>
      <c r="K1004" s="70" t="s">
        <v>16950</v>
      </c>
      <c r="L1004" s="70" t="s">
        <v>16395</v>
      </c>
      <c r="N1004" s="70" t="s">
        <v>16396</v>
      </c>
      <c r="P1004" s="76">
        <v>44096.0</v>
      </c>
      <c r="U1004" s="70" t="s">
        <v>239</v>
      </c>
      <c r="W1004" s="70" t="s">
        <v>16953</v>
      </c>
      <c r="Y1004" s="70" t="s">
        <v>30284</v>
      </c>
      <c r="Z1004" s="75" t="s">
        <v>16955</v>
      </c>
      <c r="AA1004" s="70" t="s">
        <v>16956</v>
      </c>
      <c r="AC1004" s="70">
        <v>93.0</v>
      </c>
      <c r="AE1004" s="70">
        <v>192.0</v>
      </c>
      <c r="AF1004" s="70" t="s">
        <v>16423</v>
      </c>
      <c r="AW1004" s="70" t="s">
        <v>16957</v>
      </c>
      <c r="AZ1004" s="70">
        <v>1273.0</v>
      </c>
    </row>
    <row r="1005" ht="22.5" customHeight="1">
      <c r="A1005" s="70" t="str">
        <f t="shared" si="1"/>
        <v>Excluded</v>
      </c>
      <c r="B1005" s="70">
        <f t="shared" si="2"/>
        <v>0</v>
      </c>
      <c r="C1005" s="70">
        <v>0.0</v>
      </c>
      <c r="D1005" s="70">
        <v>0.0</v>
      </c>
      <c r="E1005" s="70">
        <v>0.0</v>
      </c>
      <c r="F1005" s="70">
        <v>0.0</v>
      </c>
      <c r="G1005" s="70">
        <v>0.0</v>
      </c>
      <c r="H1005" s="70" t="s">
        <v>17184</v>
      </c>
      <c r="I1005" s="70">
        <v>1885.0</v>
      </c>
      <c r="J1005" s="70" t="s">
        <v>17182</v>
      </c>
      <c r="K1005" s="70" t="s">
        <v>17183</v>
      </c>
      <c r="L1005" s="70" t="s">
        <v>16395</v>
      </c>
      <c r="N1005" s="70" t="s">
        <v>16396</v>
      </c>
      <c r="P1005" s="76">
        <v>44207.0</v>
      </c>
      <c r="U1005" s="70" t="s">
        <v>239</v>
      </c>
      <c r="W1005" s="70" t="s">
        <v>17186</v>
      </c>
      <c r="Z1005" s="75" t="s">
        <v>17187</v>
      </c>
      <c r="AA1005" s="70" t="s">
        <v>17188</v>
      </c>
      <c r="AC1005" s="70">
        <v>68.0</v>
      </c>
      <c r="AE1005" s="70">
        <v>196.0</v>
      </c>
      <c r="AF1005" s="70" t="s">
        <v>239</v>
      </c>
      <c r="AW1005" s="70" t="s">
        <v>17189</v>
      </c>
      <c r="AX1005" s="70">
        <v>0.0</v>
      </c>
      <c r="AY1005" s="70" t="s">
        <v>24</v>
      </c>
      <c r="AZ1005" s="70">
        <v>1862.0</v>
      </c>
    </row>
    <row r="1006" ht="22.5" customHeight="1">
      <c r="A1006" s="70" t="str">
        <f t="shared" si="1"/>
        <v>Excluded</v>
      </c>
      <c r="B1006" s="70">
        <f t="shared" si="2"/>
        <v>0</v>
      </c>
      <c r="C1006" s="70">
        <v>0.0</v>
      </c>
      <c r="D1006" s="70">
        <v>0.0</v>
      </c>
      <c r="E1006" s="70">
        <v>0.0</v>
      </c>
      <c r="F1006" s="70">
        <v>0.0</v>
      </c>
      <c r="G1006" s="70">
        <v>0.0</v>
      </c>
      <c r="H1006" s="70" t="s">
        <v>16677</v>
      </c>
      <c r="I1006" s="70">
        <v>1829.0</v>
      </c>
      <c r="J1006" s="70" t="s">
        <v>16675</v>
      </c>
      <c r="K1006" s="70" t="s">
        <v>16676</v>
      </c>
      <c r="L1006" s="70" t="s">
        <v>16395</v>
      </c>
      <c r="N1006" s="70" t="s">
        <v>16396</v>
      </c>
      <c r="P1006" s="76">
        <v>44253.0</v>
      </c>
      <c r="U1006" s="70" t="s">
        <v>239</v>
      </c>
      <c r="W1006" s="70" t="s">
        <v>16679</v>
      </c>
      <c r="Y1006" s="70" t="s">
        <v>30285</v>
      </c>
      <c r="Z1006" s="75" t="s">
        <v>16681</v>
      </c>
      <c r="AA1006" s="70" t="s">
        <v>16682</v>
      </c>
      <c r="AC1006" s="70">
        <v>211.0</v>
      </c>
      <c r="AE1006" s="70">
        <v>208.0</v>
      </c>
      <c r="AF1006" s="70" t="s">
        <v>239</v>
      </c>
      <c r="AW1006" s="70" t="s">
        <v>16683</v>
      </c>
      <c r="AZ1006" s="70">
        <v>396.0</v>
      </c>
    </row>
    <row r="1007" ht="22.5" customHeight="1">
      <c r="A1007" s="70" t="str">
        <f t="shared" si="1"/>
        <v>Excluded</v>
      </c>
      <c r="B1007" s="70">
        <f t="shared" si="2"/>
        <v>0</v>
      </c>
      <c r="C1007" s="70">
        <v>0.0</v>
      </c>
      <c r="D1007" s="70">
        <v>0.0</v>
      </c>
      <c r="E1007" s="70">
        <v>0.0</v>
      </c>
      <c r="F1007" s="70">
        <v>0.0</v>
      </c>
      <c r="G1007" s="70">
        <v>0.0</v>
      </c>
      <c r="H1007" s="70" t="s">
        <v>16504</v>
      </c>
      <c r="I1007" s="70">
        <v>1810.0</v>
      </c>
      <c r="J1007" s="70" t="s">
        <v>16502</v>
      </c>
      <c r="K1007" s="70" t="s">
        <v>16503</v>
      </c>
      <c r="L1007" s="70" t="s">
        <v>16395</v>
      </c>
      <c r="N1007" s="70" t="s">
        <v>16396</v>
      </c>
      <c r="P1007" s="76">
        <v>44365.0</v>
      </c>
      <c r="U1007" s="70" t="s">
        <v>239</v>
      </c>
      <c r="W1007" s="70" t="s">
        <v>16506</v>
      </c>
      <c r="Y1007" s="70" t="s">
        <v>30286</v>
      </c>
      <c r="Z1007" s="75" t="s">
        <v>16508</v>
      </c>
      <c r="AA1007" s="70" t="s">
        <v>16509</v>
      </c>
      <c r="AC1007" s="70">
        <v>434.0</v>
      </c>
      <c r="AE1007" s="70">
        <v>182.0</v>
      </c>
      <c r="AF1007" s="70" t="s">
        <v>239</v>
      </c>
      <c r="AW1007" s="70" t="s">
        <v>16510</v>
      </c>
      <c r="AZ1007" s="70">
        <v>734.0</v>
      </c>
    </row>
    <row r="1008" ht="22.5" customHeight="1">
      <c r="A1008" s="70" t="str">
        <f t="shared" si="1"/>
        <v>Excluded</v>
      </c>
      <c r="B1008" s="70">
        <f t="shared" si="2"/>
        <v>0</v>
      </c>
      <c r="C1008" s="70">
        <v>0.0</v>
      </c>
      <c r="D1008" s="70">
        <v>0.0</v>
      </c>
      <c r="E1008" s="70">
        <v>0.0</v>
      </c>
      <c r="F1008" s="70">
        <v>0.0</v>
      </c>
      <c r="G1008" s="70">
        <v>0.0</v>
      </c>
      <c r="H1008" s="70" t="s">
        <v>17326</v>
      </c>
      <c r="I1008" s="70">
        <v>1901.0</v>
      </c>
      <c r="J1008" s="70" t="s">
        <v>4608</v>
      </c>
      <c r="K1008" s="70" t="s">
        <v>17325</v>
      </c>
      <c r="L1008" s="70" t="s">
        <v>16395</v>
      </c>
      <c r="N1008" s="70" t="s">
        <v>16396</v>
      </c>
      <c r="P1008" s="77">
        <v>44384.0</v>
      </c>
      <c r="U1008" s="70" t="s">
        <v>239</v>
      </c>
      <c r="W1008" s="70" t="s">
        <v>17328</v>
      </c>
      <c r="Y1008" s="70" t="s">
        <v>30287</v>
      </c>
      <c r="Z1008" s="75" t="s">
        <v>17330</v>
      </c>
      <c r="AA1008" s="70" t="s">
        <v>17331</v>
      </c>
      <c r="AC1008" s="70">
        <v>57.0</v>
      </c>
      <c r="AE1008" s="70">
        <v>189.0</v>
      </c>
      <c r="AF1008" s="70" t="s">
        <v>239</v>
      </c>
      <c r="AW1008" s="70" t="s">
        <v>17332</v>
      </c>
      <c r="AX1008" s="70">
        <v>0.0</v>
      </c>
      <c r="AY1008" s="70" t="s">
        <v>24</v>
      </c>
      <c r="AZ1008" s="70">
        <v>1749.0</v>
      </c>
    </row>
    <row r="1009" ht="22.5" customHeight="1">
      <c r="A1009" s="70" t="str">
        <f t="shared" si="1"/>
        <v>Excluded</v>
      </c>
      <c r="B1009" s="70">
        <f t="shared" si="2"/>
        <v>0</v>
      </c>
      <c r="C1009" s="70">
        <v>0.0</v>
      </c>
      <c r="D1009" s="70">
        <v>0.0</v>
      </c>
      <c r="E1009" s="70">
        <v>0.0</v>
      </c>
      <c r="F1009" s="70">
        <v>0.0</v>
      </c>
      <c r="G1009" s="70">
        <v>0.0</v>
      </c>
      <c r="H1009" s="70" t="s">
        <v>17370</v>
      </c>
      <c r="I1009" s="70">
        <v>1906.0</v>
      </c>
      <c r="J1009" s="70" t="s">
        <v>30288</v>
      </c>
      <c r="K1009" s="70" t="s">
        <v>17369</v>
      </c>
      <c r="L1009" s="70" t="s">
        <v>16395</v>
      </c>
      <c r="N1009" s="70" t="s">
        <v>16396</v>
      </c>
      <c r="P1009" s="76">
        <v>44407.0</v>
      </c>
      <c r="U1009" s="70" t="s">
        <v>239</v>
      </c>
      <c r="W1009" s="70" t="s">
        <v>17372</v>
      </c>
      <c r="Y1009" s="70" t="s">
        <v>30289</v>
      </c>
      <c r="Z1009" s="75" t="s">
        <v>17374</v>
      </c>
      <c r="AA1009" s="70" t="s">
        <v>17375</v>
      </c>
      <c r="AC1009" s="70">
        <v>53.0</v>
      </c>
      <c r="AE1009" s="70">
        <v>204.0</v>
      </c>
      <c r="AF1009" s="70" t="s">
        <v>16423</v>
      </c>
      <c r="AW1009" s="70" t="s">
        <v>17376</v>
      </c>
      <c r="AX1009" s="70">
        <v>0.0</v>
      </c>
      <c r="AY1009" s="70" t="s">
        <v>24</v>
      </c>
      <c r="AZ1009" s="70">
        <v>1976.0</v>
      </c>
    </row>
    <row r="1010" ht="22.5" customHeight="1">
      <c r="A1010" s="70" t="str">
        <f t="shared" si="1"/>
        <v>Excluded</v>
      </c>
      <c r="B1010" s="70">
        <f t="shared" si="2"/>
        <v>0</v>
      </c>
      <c r="C1010" s="70">
        <v>0.0</v>
      </c>
      <c r="D1010" s="70">
        <v>0.0</v>
      </c>
      <c r="E1010" s="70">
        <v>0.0</v>
      </c>
      <c r="F1010" s="70">
        <v>0.0</v>
      </c>
      <c r="G1010" s="70">
        <v>0.0</v>
      </c>
      <c r="H1010" s="70" t="s">
        <v>16659</v>
      </c>
      <c r="I1010" s="70">
        <v>1827.0</v>
      </c>
      <c r="J1010" s="70" t="s">
        <v>16657</v>
      </c>
      <c r="K1010" s="70" t="s">
        <v>16658</v>
      </c>
      <c r="L1010" s="70" t="s">
        <v>16395</v>
      </c>
      <c r="N1010" s="70" t="s">
        <v>16396</v>
      </c>
      <c r="P1010" s="76">
        <v>44438.0</v>
      </c>
      <c r="U1010" s="70" t="s">
        <v>239</v>
      </c>
      <c r="W1010" s="70" t="s">
        <v>16661</v>
      </c>
      <c r="Y1010" s="70" t="s">
        <v>16662</v>
      </c>
      <c r="Z1010" s="75" t="s">
        <v>16663</v>
      </c>
      <c r="AA1010" s="70" t="s">
        <v>16664</v>
      </c>
      <c r="AC1010" s="70">
        <v>235.0</v>
      </c>
      <c r="AE1010" s="70">
        <v>251.0</v>
      </c>
      <c r="AF1010" s="70" t="s">
        <v>239</v>
      </c>
      <c r="AW1010" s="70" t="s">
        <v>16665</v>
      </c>
      <c r="AZ1010" s="70">
        <v>1178.0</v>
      </c>
    </row>
    <row r="1011" ht="22.5" customHeight="1">
      <c r="A1011" s="70" t="str">
        <f t="shared" si="1"/>
        <v>Excluded</v>
      </c>
      <c r="B1011" s="70">
        <f t="shared" si="2"/>
        <v>0</v>
      </c>
      <c r="C1011" s="70">
        <v>0.0</v>
      </c>
      <c r="D1011" s="70">
        <v>0.0</v>
      </c>
      <c r="E1011" s="70">
        <v>0.0</v>
      </c>
      <c r="F1011" s="70">
        <v>0.0</v>
      </c>
      <c r="G1011" s="70">
        <v>0.0</v>
      </c>
      <c r="H1011" s="70" t="s">
        <v>17031</v>
      </c>
      <c r="I1011" s="70">
        <v>1869.0</v>
      </c>
      <c r="J1011" s="70" t="s">
        <v>17029</v>
      </c>
      <c r="K1011" s="70" t="s">
        <v>17030</v>
      </c>
      <c r="L1011" s="70" t="s">
        <v>16395</v>
      </c>
      <c r="N1011" s="70" t="s">
        <v>16396</v>
      </c>
      <c r="P1011" s="76">
        <v>44466.0</v>
      </c>
      <c r="U1011" s="70" t="s">
        <v>239</v>
      </c>
      <c r="W1011" s="70" t="s">
        <v>17033</v>
      </c>
      <c r="Y1011" s="70" t="s">
        <v>17034</v>
      </c>
      <c r="Z1011" s="75" t="s">
        <v>17035</v>
      </c>
      <c r="AA1011" s="70" t="s">
        <v>17036</v>
      </c>
      <c r="AC1011" s="70">
        <v>81.0</v>
      </c>
      <c r="AE1011" s="70">
        <v>181.0</v>
      </c>
      <c r="AF1011" s="70" t="s">
        <v>239</v>
      </c>
      <c r="AW1011" s="70" t="s">
        <v>17037</v>
      </c>
      <c r="AZ1011" s="70">
        <v>1236.0</v>
      </c>
    </row>
    <row r="1012" ht="22.5" customHeight="1">
      <c r="A1012" s="70" t="str">
        <f t="shared" si="1"/>
        <v>Excluded</v>
      </c>
      <c r="B1012" s="70">
        <f t="shared" si="2"/>
        <v>0</v>
      </c>
      <c r="C1012" s="70">
        <v>0.0</v>
      </c>
      <c r="D1012" s="70">
        <v>0.0</v>
      </c>
      <c r="E1012" s="70">
        <v>0.0</v>
      </c>
      <c r="F1012" s="70">
        <v>0.0</v>
      </c>
      <c r="G1012" s="70">
        <v>0.0</v>
      </c>
      <c r="H1012" s="70" t="s">
        <v>16809</v>
      </c>
      <c r="I1012" s="70">
        <v>1844.0</v>
      </c>
      <c r="J1012" s="70" t="s">
        <v>16807</v>
      </c>
      <c r="K1012" s="70" t="s">
        <v>16808</v>
      </c>
      <c r="L1012" s="70" t="s">
        <v>16395</v>
      </c>
      <c r="N1012" s="70" t="s">
        <v>16396</v>
      </c>
      <c r="P1012" s="76">
        <v>44784.0</v>
      </c>
      <c r="U1012" s="70" t="s">
        <v>239</v>
      </c>
      <c r="W1012" s="70" t="s">
        <v>16811</v>
      </c>
      <c r="Y1012" s="70" t="s">
        <v>16812</v>
      </c>
      <c r="Z1012" s="75" t="s">
        <v>16813</v>
      </c>
      <c r="AA1012" s="70" t="s">
        <v>16814</v>
      </c>
      <c r="AC1012" s="70">
        <v>126.0</v>
      </c>
      <c r="AE1012" s="70">
        <v>141.0</v>
      </c>
      <c r="AF1012" s="70" t="s">
        <v>239</v>
      </c>
      <c r="AW1012" s="70" t="s">
        <v>16815</v>
      </c>
      <c r="AZ1012" s="70">
        <v>1168.0</v>
      </c>
    </row>
    <row r="1013" ht="22.5" customHeight="1">
      <c r="A1013" s="70" t="str">
        <f t="shared" si="1"/>
        <v>Excluded</v>
      </c>
      <c r="B1013" s="70">
        <f t="shared" si="2"/>
        <v>0</v>
      </c>
      <c r="C1013" s="70">
        <v>0.0</v>
      </c>
      <c r="D1013" s="70">
        <v>0.0</v>
      </c>
      <c r="E1013" s="70">
        <v>0.0</v>
      </c>
      <c r="F1013" s="70">
        <v>0.0</v>
      </c>
      <c r="G1013" s="70">
        <v>0.0</v>
      </c>
      <c r="H1013" s="70" t="s">
        <v>17691</v>
      </c>
      <c r="I1013" s="70">
        <v>1942.0</v>
      </c>
      <c r="J1013" s="70" t="s">
        <v>17689</v>
      </c>
      <c r="K1013" s="70" t="s">
        <v>17690</v>
      </c>
      <c r="L1013" s="70" t="s">
        <v>16395</v>
      </c>
      <c r="N1013" s="70" t="s">
        <v>16396</v>
      </c>
      <c r="P1013" s="77">
        <v>44838.0</v>
      </c>
      <c r="U1013" s="70" t="s">
        <v>239</v>
      </c>
      <c r="W1013" s="70" t="s">
        <v>17693</v>
      </c>
      <c r="Z1013" s="75" t="s">
        <v>17694</v>
      </c>
      <c r="AA1013" s="70" t="s">
        <v>17695</v>
      </c>
      <c r="AC1013" s="70">
        <v>36.0</v>
      </c>
      <c r="AE1013" s="70">
        <v>171.0</v>
      </c>
      <c r="AF1013" s="70" t="s">
        <v>239</v>
      </c>
      <c r="AW1013" s="70" t="s">
        <v>17696</v>
      </c>
      <c r="AZ1013" s="70">
        <v>406.0</v>
      </c>
    </row>
    <row r="1014" ht="22.5" customHeight="1">
      <c r="A1014" s="70" t="str">
        <f t="shared" si="1"/>
        <v>Excluded</v>
      </c>
      <c r="B1014" s="70">
        <f t="shared" si="2"/>
        <v>0</v>
      </c>
      <c r="C1014" s="70">
        <v>0.0</v>
      </c>
      <c r="D1014" s="70">
        <v>0.0</v>
      </c>
      <c r="E1014" s="70">
        <v>0.0</v>
      </c>
      <c r="F1014" s="70">
        <v>0.0</v>
      </c>
      <c r="G1014" s="70">
        <v>0.0</v>
      </c>
      <c r="H1014" s="70" t="s">
        <v>17379</v>
      </c>
      <c r="I1014" s="70">
        <v>1907.0</v>
      </c>
      <c r="J1014" s="70" t="s">
        <v>30290</v>
      </c>
      <c r="K1014" s="70" t="s">
        <v>17378</v>
      </c>
      <c r="L1014" s="70" t="s">
        <v>16395</v>
      </c>
      <c r="N1014" s="70" t="s">
        <v>16396</v>
      </c>
      <c r="P1014" s="77">
        <v>44840.0</v>
      </c>
      <c r="U1014" s="70" t="s">
        <v>239</v>
      </c>
      <c r="W1014" s="70" t="s">
        <v>17381</v>
      </c>
      <c r="Y1014" s="70" t="s">
        <v>30291</v>
      </c>
      <c r="Z1014" s="75" t="s">
        <v>17383</v>
      </c>
      <c r="AA1014" s="70" t="s">
        <v>17384</v>
      </c>
      <c r="AC1014" s="70">
        <v>53.0</v>
      </c>
      <c r="AE1014" s="70">
        <v>284.0</v>
      </c>
      <c r="AF1014" s="70" t="s">
        <v>16423</v>
      </c>
      <c r="AW1014" s="70" t="s">
        <v>17385</v>
      </c>
      <c r="AZ1014" s="70">
        <v>370.0</v>
      </c>
    </row>
    <row r="1015" ht="22.5" customHeight="1">
      <c r="A1015" s="70" t="str">
        <f t="shared" si="1"/>
        <v>Excluded</v>
      </c>
      <c r="B1015" s="70">
        <f t="shared" si="2"/>
        <v>0</v>
      </c>
      <c r="C1015" s="70">
        <v>0.0</v>
      </c>
      <c r="D1015" s="70">
        <v>0.0</v>
      </c>
      <c r="E1015" s="70">
        <v>0.0</v>
      </c>
      <c r="F1015" s="70">
        <v>0.0</v>
      </c>
      <c r="G1015" s="70">
        <v>0.0</v>
      </c>
      <c r="H1015" s="70" t="s">
        <v>17388</v>
      </c>
      <c r="I1015" s="70">
        <v>1908.0</v>
      </c>
      <c r="J1015" s="70" t="s">
        <v>17386</v>
      </c>
      <c r="K1015" s="70" t="s">
        <v>17387</v>
      </c>
      <c r="L1015" s="70" t="s">
        <v>16395</v>
      </c>
      <c r="N1015" s="70" t="s">
        <v>16396</v>
      </c>
      <c r="P1015" s="76">
        <v>44848.0</v>
      </c>
      <c r="U1015" s="70" t="s">
        <v>239</v>
      </c>
      <c r="W1015" s="70" t="s">
        <v>17390</v>
      </c>
      <c r="Y1015" s="70" t="s">
        <v>17391</v>
      </c>
      <c r="Z1015" s="75" t="s">
        <v>17392</v>
      </c>
      <c r="AA1015" s="70" t="s">
        <v>17393</v>
      </c>
      <c r="AC1015" s="70">
        <v>53.0</v>
      </c>
      <c r="AE1015" s="70">
        <v>177.0</v>
      </c>
      <c r="AF1015" s="70" t="s">
        <v>16423</v>
      </c>
      <c r="AW1015" s="70" t="s">
        <v>17394</v>
      </c>
      <c r="AX1015" s="70">
        <v>0.0</v>
      </c>
      <c r="AY1015" s="70" t="s">
        <v>24</v>
      </c>
      <c r="AZ1015" s="70">
        <v>2798.0</v>
      </c>
    </row>
    <row r="1016" ht="22.5" customHeight="1">
      <c r="A1016" s="70" t="str">
        <f t="shared" si="1"/>
        <v>Excluded</v>
      </c>
      <c r="B1016" s="70">
        <f t="shared" si="2"/>
        <v>0</v>
      </c>
      <c r="C1016" s="70">
        <v>0.0</v>
      </c>
      <c r="D1016" s="70">
        <v>0.0</v>
      </c>
      <c r="E1016" s="70">
        <v>0.0</v>
      </c>
      <c r="F1016" s="70">
        <v>0.0</v>
      </c>
      <c r="G1016" s="70">
        <v>0.0</v>
      </c>
      <c r="H1016" s="70" t="s">
        <v>16853</v>
      </c>
      <c r="I1016" s="70">
        <v>1849.0</v>
      </c>
      <c r="J1016" s="70" t="s">
        <v>16851</v>
      </c>
      <c r="K1016" s="70" t="s">
        <v>16852</v>
      </c>
      <c r="L1016" s="70" t="s">
        <v>16395</v>
      </c>
      <c r="N1016" s="70" t="s">
        <v>16396</v>
      </c>
      <c r="P1016" s="77">
        <v>44866.0</v>
      </c>
      <c r="U1016" s="70" t="s">
        <v>239</v>
      </c>
      <c r="W1016" s="70" t="s">
        <v>16855</v>
      </c>
      <c r="Y1016" s="70" t="s">
        <v>16856</v>
      </c>
      <c r="Z1016" s="75" t="s">
        <v>16857</v>
      </c>
      <c r="AA1016" s="70" t="s">
        <v>16858</v>
      </c>
      <c r="AC1016" s="70">
        <v>115.0</v>
      </c>
      <c r="AE1016" s="70">
        <v>318.0</v>
      </c>
      <c r="AF1016" s="70" t="s">
        <v>239</v>
      </c>
      <c r="AW1016" s="70" t="s">
        <v>16859</v>
      </c>
      <c r="AZ1016" s="70">
        <v>558.0</v>
      </c>
    </row>
    <row r="1017" ht="22.5" customHeight="1">
      <c r="A1017" s="70" t="str">
        <f t="shared" si="1"/>
        <v>Excluded</v>
      </c>
      <c r="B1017" s="70">
        <f t="shared" si="2"/>
        <v>0</v>
      </c>
      <c r="C1017" s="70">
        <v>0.0</v>
      </c>
      <c r="D1017" s="70">
        <v>0.0</v>
      </c>
      <c r="E1017" s="70">
        <v>0.0</v>
      </c>
      <c r="F1017" s="70">
        <v>0.0</v>
      </c>
      <c r="G1017" s="70">
        <v>0.0</v>
      </c>
      <c r="H1017" s="70" t="s">
        <v>16641</v>
      </c>
      <c r="I1017" s="70">
        <v>1825.0</v>
      </c>
      <c r="J1017" s="70" t="s">
        <v>16639</v>
      </c>
      <c r="K1017" s="70" t="s">
        <v>16640</v>
      </c>
      <c r="L1017" s="70" t="s">
        <v>16395</v>
      </c>
      <c r="N1017" s="70" t="s">
        <v>16396</v>
      </c>
      <c r="P1017" s="76">
        <v>44875.0</v>
      </c>
      <c r="U1017" s="70" t="s">
        <v>239</v>
      </c>
      <c r="W1017" s="70" t="s">
        <v>30292</v>
      </c>
      <c r="Y1017" s="70" t="s">
        <v>16644</v>
      </c>
      <c r="Z1017" s="75" t="s">
        <v>16645</v>
      </c>
      <c r="AA1017" s="70" t="s">
        <v>16646</v>
      </c>
      <c r="AC1017" s="70">
        <v>241.0</v>
      </c>
      <c r="AE1017" s="70">
        <v>322.0</v>
      </c>
      <c r="AF1017" s="70" t="s">
        <v>239</v>
      </c>
      <c r="AW1017" s="70" t="s">
        <v>16647</v>
      </c>
      <c r="AZ1017" s="70">
        <v>738.0</v>
      </c>
    </row>
    <row r="1018" ht="22.5" customHeight="1">
      <c r="A1018" s="70" t="str">
        <f t="shared" si="1"/>
        <v>Excluded</v>
      </c>
      <c r="B1018" s="70">
        <f t="shared" si="2"/>
        <v>0</v>
      </c>
      <c r="C1018" s="70">
        <v>0.0</v>
      </c>
      <c r="D1018" s="70">
        <v>0.0</v>
      </c>
      <c r="E1018" s="70">
        <v>0.0</v>
      </c>
      <c r="F1018" s="70">
        <v>0.0</v>
      </c>
      <c r="G1018" s="70">
        <v>0.0</v>
      </c>
      <c r="H1018" s="70" t="s">
        <v>16549</v>
      </c>
      <c r="I1018" s="70">
        <v>1815.0</v>
      </c>
      <c r="J1018" s="70" t="s">
        <v>30293</v>
      </c>
      <c r="K1018" s="70" t="s">
        <v>16548</v>
      </c>
      <c r="L1018" s="70" t="s">
        <v>16395</v>
      </c>
      <c r="N1018" s="70" t="s">
        <v>16396</v>
      </c>
      <c r="P1018" s="76">
        <v>44949.0</v>
      </c>
      <c r="U1018" s="70" t="s">
        <v>239</v>
      </c>
      <c r="W1018" s="70" t="s">
        <v>16551</v>
      </c>
      <c r="Y1018" s="70" t="s">
        <v>16552</v>
      </c>
      <c r="Z1018" s="75" t="s">
        <v>16553</v>
      </c>
      <c r="AA1018" s="70" t="s">
        <v>16554</v>
      </c>
      <c r="AC1018" s="70">
        <v>341.0</v>
      </c>
      <c r="AE1018" s="70">
        <v>215.0</v>
      </c>
      <c r="AF1018" s="70" t="s">
        <v>16423</v>
      </c>
      <c r="AW1018" s="70" t="s">
        <v>16555</v>
      </c>
      <c r="AZ1018" s="70">
        <v>1237.0</v>
      </c>
    </row>
    <row r="1019" ht="22.5" customHeight="1">
      <c r="A1019" s="70" t="str">
        <f t="shared" si="1"/>
        <v>Excluded</v>
      </c>
      <c r="B1019" s="70">
        <f t="shared" si="2"/>
        <v>0</v>
      </c>
      <c r="C1019" s="70">
        <v>0.0</v>
      </c>
      <c r="D1019" s="70">
        <v>0.0</v>
      </c>
      <c r="E1019" s="70">
        <v>0.0</v>
      </c>
      <c r="F1019" s="70">
        <v>0.0</v>
      </c>
      <c r="G1019" s="70">
        <v>0.0</v>
      </c>
      <c r="H1019" s="70" t="s">
        <v>17239</v>
      </c>
      <c r="I1019" s="70">
        <v>1891.0</v>
      </c>
      <c r="J1019" s="70" t="s">
        <v>17237</v>
      </c>
      <c r="K1019" s="70" t="s">
        <v>30294</v>
      </c>
      <c r="L1019" s="70" t="s">
        <v>16395</v>
      </c>
      <c r="N1019" s="70" t="s">
        <v>16396</v>
      </c>
      <c r="P1019" s="76">
        <v>44951.0</v>
      </c>
      <c r="U1019" s="70" t="s">
        <v>239</v>
      </c>
      <c r="W1019" s="70" t="s">
        <v>17241</v>
      </c>
      <c r="Y1019" s="70" t="s">
        <v>17242</v>
      </c>
      <c r="Z1019" s="75" t="s">
        <v>17243</v>
      </c>
      <c r="AA1019" s="70" t="s">
        <v>17244</v>
      </c>
      <c r="AC1019" s="70">
        <v>63.0</v>
      </c>
      <c r="AE1019" s="70">
        <v>152.0</v>
      </c>
      <c r="AF1019" s="70" t="s">
        <v>239</v>
      </c>
      <c r="AW1019" s="70" t="s">
        <v>17245</v>
      </c>
      <c r="AX1019" s="70">
        <v>0.0</v>
      </c>
      <c r="AY1019" s="70" t="s">
        <v>24</v>
      </c>
      <c r="AZ1019" s="70">
        <v>2863.0</v>
      </c>
    </row>
    <row r="1020" ht="22.5" customHeight="1">
      <c r="A1020" s="70" t="str">
        <f t="shared" si="1"/>
        <v>Excluded</v>
      </c>
      <c r="B1020" s="70">
        <f t="shared" si="2"/>
        <v>0</v>
      </c>
      <c r="C1020" s="70">
        <v>0.0</v>
      </c>
      <c r="D1020" s="70">
        <v>0.0</v>
      </c>
      <c r="E1020" s="70">
        <v>0.0</v>
      </c>
      <c r="F1020" s="70">
        <v>0.0</v>
      </c>
      <c r="G1020" s="70">
        <v>0.0</v>
      </c>
      <c r="H1020" s="70" t="s">
        <v>16448</v>
      </c>
      <c r="I1020" s="70">
        <v>1804.0</v>
      </c>
      <c r="J1020" s="70" t="s">
        <v>16446</v>
      </c>
      <c r="K1020" s="70" t="s">
        <v>16447</v>
      </c>
      <c r="L1020" s="70" t="s">
        <v>16395</v>
      </c>
      <c r="N1020" s="70" t="s">
        <v>16396</v>
      </c>
      <c r="P1020" s="76">
        <v>44984.0</v>
      </c>
      <c r="U1020" s="70" t="s">
        <v>239</v>
      </c>
      <c r="W1020" s="70" t="s">
        <v>16450</v>
      </c>
      <c r="Y1020" s="70" t="s">
        <v>30295</v>
      </c>
      <c r="Z1020" s="75" t="s">
        <v>16452</v>
      </c>
      <c r="AA1020" s="70" t="s">
        <v>16453</v>
      </c>
      <c r="AC1020" s="70">
        <v>660.0</v>
      </c>
      <c r="AE1020" s="70">
        <v>662.0</v>
      </c>
      <c r="AF1020" s="70" t="s">
        <v>239</v>
      </c>
      <c r="AW1020" s="70" t="s">
        <v>16454</v>
      </c>
      <c r="AZ1020" s="70">
        <v>1078.0</v>
      </c>
    </row>
    <row r="1021" ht="22.5" customHeight="1">
      <c r="A1021" s="70" t="str">
        <f t="shared" si="1"/>
        <v>Excluded</v>
      </c>
      <c r="B1021" s="70">
        <f t="shared" si="2"/>
        <v>0</v>
      </c>
      <c r="C1021" s="70">
        <v>0.0</v>
      </c>
      <c r="D1021" s="70">
        <v>0.0</v>
      </c>
      <c r="E1021" s="70">
        <v>0.0</v>
      </c>
      <c r="F1021" s="70">
        <v>0.0</v>
      </c>
      <c r="G1021" s="70">
        <v>0.0</v>
      </c>
      <c r="H1021" s="70" t="s">
        <v>19633</v>
      </c>
      <c r="I1021" s="70">
        <v>2160.0</v>
      </c>
      <c r="J1021" s="70" t="s">
        <v>19631</v>
      </c>
      <c r="K1021" s="70" t="s">
        <v>19632</v>
      </c>
      <c r="L1021" s="70" t="s">
        <v>16395</v>
      </c>
      <c r="N1021" s="70" t="s">
        <v>16396</v>
      </c>
      <c r="P1021" s="79">
        <v>45054.0</v>
      </c>
      <c r="U1021" s="70" t="s">
        <v>239</v>
      </c>
      <c r="W1021" s="70" t="s">
        <v>19635</v>
      </c>
      <c r="Y1021" s="70" t="s">
        <v>30296</v>
      </c>
      <c r="Z1021" s="75" t="s">
        <v>19637</v>
      </c>
      <c r="AA1021" s="70" t="s">
        <v>19638</v>
      </c>
      <c r="AC1021" s="70">
        <v>9.0</v>
      </c>
      <c r="AE1021" s="70">
        <v>252.0</v>
      </c>
      <c r="AF1021" s="70" t="s">
        <v>239</v>
      </c>
      <c r="AW1021" s="70" t="s">
        <v>19639</v>
      </c>
      <c r="AX1021" s="70">
        <v>0.0</v>
      </c>
      <c r="AY1021" s="70" t="s">
        <v>24</v>
      </c>
      <c r="AZ1021" s="70">
        <v>2656.0</v>
      </c>
    </row>
    <row r="1022" ht="22.5" customHeight="1">
      <c r="A1022" s="70" t="str">
        <f t="shared" si="1"/>
        <v>Excluded</v>
      </c>
      <c r="B1022" s="70">
        <f t="shared" si="2"/>
        <v>0</v>
      </c>
      <c r="C1022" s="70">
        <v>0.0</v>
      </c>
      <c r="D1022" s="70">
        <v>0.0</v>
      </c>
      <c r="E1022" s="70">
        <v>0.0</v>
      </c>
      <c r="F1022" s="70">
        <v>0.0</v>
      </c>
      <c r="G1022" s="70">
        <v>0.0</v>
      </c>
      <c r="H1022" s="70" t="s">
        <v>17922</v>
      </c>
      <c r="I1022" s="70">
        <v>1968.0</v>
      </c>
      <c r="J1022" s="70" t="s">
        <v>17920</v>
      </c>
      <c r="K1022" s="70" t="s">
        <v>17921</v>
      </c>
      <c r="L1022" s="70" t="s">
        <v>16395</v>
      </c>
      <c r="N1022" s="70" t="s">
        <v>16396</v>
      </c>
      <c r="P1022" s="76">
        <v>45166.0</v>
      </c>
      <c r="U1022" s="70" t="s">
        <v>239</v>
      </c>
      <c r="W1022" s="70" t="s">
        <v>30297</v>
      </c>
      <c r="Y1022" s="70" t="s">
        <v>30298</v>
      </c>
      <c r="Z1022" s="75" t="s">
        <v>17926</v>
      </c>
      <c r="AA1022" s="70" t="s">
        <v>17927</v>
      </c>
      <c r="AC1022" s="70">
        <v>31.0</v>
      </c>
      <c r="AE1022" s="70">
        <v>236.0</v>
      </c>
      <c r="AF1022" s="70" t="s">
        <v>239</v>
      </c>
      <c r="AW1022" s="70" t="s">
        <v>17928</v>
      </c>
      <c r="AZ1022" s="70">
        <v>1347.0</v>
      </c>
    </row>
    <row r="1023" ht="22.5" customHeight="1">
      <c r="A1023" s="70" t="str">
        <f t="shared" si="1"/>
        <v>Excluded</v>
      </c>
      <c r="B1023" s="70">
        <f t="shared" si="2"/>
        <v>0</v>
      </c>
      <c r="C1023" s="70">
        <v>0.0</v>
      </c>
      <c r="D1023" s="70">
        <v>0.0</v>
      </c>
      <c r="E1023" s="70">
        <v>0.0</v>
      </c>
      <c r="F1023" s="70">
        <v>0.0</v>
      </c>
      <c r="G1023" s="70">
        <v>0.0</v>
      </c>
      <c r="H1023" s="70" t="s">
        <v>17707</v>
      </c>
      <c r="I1023" s="70">
        <v>1944.0</v>
      </c>
      <c r="J1023" s="70" t="s">
        <v>17705</v>
      </c>
      <c r="K1023" s="70" t="s">
        <v>17706</v>
      </c>
      <c r="L1023" s="70" t="s">
        <v>16395</v>
      </c>
      <c r="N1023" s="70" t="s">
        <v>16396</v>
      </c>
      <c r="P1023" s="76">
        <v>45191.0</v>
      </c>
      <c r="U1023" s="70" t="s">
        <v>239</v>
      </c>
      <c r="W1023" s="70" t="s">
        <v>30299</v>
      </c>
      <c r="Y1023" s="70" t="s">
        <v>17710</v>
      </c>
      <c r="Z1023" s="75" t="s">
        <v>17711</v>
      </c>
      <c r="AA1023" s="70" t="s">
        <v>17712</v>
      </c>
      <c r="AC1023" s="70">
        <v>36.0</v>
      </c>
      <c r="AE1023" s="70">
        <v>312.0</v>
      </c>
      <c r="AF1023" s="70" t="s">
        <v>239</v>
      </c>
      <c r="AW1023" s="70" t="s">
        <v>17713</v>
      </c>
      <c r="AZ1023" s="70">
        <v>638.0</v>
      </c>
    </row>
    <row r="1024" ht="22.5" customHeight="1">
      <c r="A1024" s="70" t="str">
        <f t="shared" si="1"/>
        <v>Excluded</v>
      </c>
      <c r="B1024" s="70">
        <f t="shared" si="2"/>
        <v>0</v>
      </c>
      <c r="C1024" s="70">
        <v>0.0</v>
      </c>
      <c r="D1024" s="70">
        <v>0.0</v>
      </c>
      <c r="E1024" s="70">
        <v>0.0</v>
      </c>
      <c r="F1024" s="70">
        <v>0.0</v>
      </c>
      <c r="G1024" s="70">
        <v>0.0</v>
      </c>
      <c r="H1024" s="70" t="s">
        <v>18317</v>
      </c>
      <c r="I1024" s="70">
        <v>2012.0</v>
      </c>
      <c r="J1024" s="70" t="s">
        <v>18315</v>
      </c>
      <c r="K1024" s="70" t="s">
        <v>18316</v>
      </c>
      <c r="L1024" s="70" t="s">
        <v>16395</v>
      </c>
      <c r="N1024" s="70" t="s">
        <v>16396</v>
      </c>
      <c r="P1024" s="76">
        <v>45188.0</v>
      </c>
      <c r="U1024" s="70" t="s">
        <v>239</v>
      </c>
      <c r="W1024" s="70" t="s">
        <v>30300</v>
      </c>
      <c r="Z1024" s="75" t="s">
        <v>18320</v>
      </c>
      <c r="AA1024" s="70" t="s">
        <v>18321</v>
      </c>
      <c r="AC1024" s="70">
        <v>23.0</v>
      </c>
      <c r="AE1024" s="70">
        <v>300.0</v>
      </c>
      <c r="AF1024" s="70" t="s">
        <v>239</v>
      </c>
      <c r="AW1024" s="70" t="s">
        <v>18322</v>
      </c>
      <c r="AZ1024" s="70">
        <v>1042.0</v>
      </c>
    </row>
    <row r="1025" ht="22.5" customHeight="1">
      <c r="A1025" s="70" t="str">
        <f t="shared" si="1"/>
        <v>Excluded</v>
      </c>
      <c r="B1025" s="70">
        <f t="shared" si="2"/>
        <v>0</v>
      </c>
      <c r="C1025" s="70">
        <v>0.0</v>
      </c>
      <c r="D1025" s="70">
        <v>0.0</v>
      </c>
      <c r="E1025" s="70">
        <v>0.0</v>
      </c>
      <c r="F1025" s="70">
        <v>0.0</v>
      </c>
      <c r="G1025" s="70">
        <v>0.0</v>
      </c>
      <c r="H1025" s="70" t="s">
        <v>19158</v>
      </c>
      <c r="I1025" s="70">
        <v>2106.0</v>
      </c>
      <c r="J1025" s="70" t="s">
        <v>19156</v>
      </c>
      <c r="K1025" s="70" t="s">
        <v>19157</v>
      </c>
      <c r="L1025" s="70" t="s">
        <v>16395</v>
      </c>
      <c r="N1025" s="70" t="s">
        <v>16396</v>
      </c>
      <c r="P1025" s="76">
        <v>45209.0</v>
      </c>
      <c r="U1025" s="70" t="s">
        <v>239</v>
      </c>
      <c r="W1025" s="70" t="s">
        <v>19160</v>
      </c>
      <c r="Y1025" s="70" t="s">
        <v>30301</v>
      </c>
      <c r="Z1025" s="75" t="s">
        <v>19162</v>
      </c>
      <c r="AA1025" s="70" t="s">
        <v>19163</v>
      </c>
      <c r="AC1025" s="70">
        <v>12.0</v>
      </c>
      <c r="AE1025" s="70">
        <v>290.0</v>
      </c>
      <c r="AF1025" s="70" t="s">
        <v>239</v>
      </c>
      <c r="AW1025" s="70" t="s">
        <v>19164</v>
      </c>
      <c r="AZ1025" s="70">
        <v>726.0</v>
      </c>
    </row>
    <row r="1026" ht="22.5" customHeight="1">
      <c r="A1026" s="70" t="str">
        <f t="shared" si="1"/>
        <v>Excluded</v>
      </c>
      <c r="B1026" s="70">
        <f t="shared" si="2"/>
        <v>0</v>
      </c>
      <c r="C1026" s="70">
        <v>0.0</v>
      </c>
      <c r="D1026" s="70">
        <v>0.0</v>
      </c>
      <c r="E1026" s="70">
        <v>0.0</v>
      </c>
      <c r="F1026" s="70">
        <v>0.0</v>
      </c>
      <c r="G1026" s="70">
        <v>0.0</v>
      </c>
      <c r="H1026" s="70" t="s">
        <v>19033</v>
      </c>
      <c r="I1026" s="70">
        <v>2092.0</v>
      </c>
      <c r="J1026" s="70" t="s">
        <v>19031</v>
      </c>
      <c r="K1026" s="70" t="s">
        <v>19032</v>
      </c>
      <c r="L1026" s="70" t="s">
        <v>16395</v>
      </c>
      <c r="N1026" s="70" t="s">
        <v>16396</v>
      </c>
      <c r="P1026" s="77">
        <v>45232.0</v>
      </c>
      <c r="U1026" s="70" t="s">
        <v>239</v>
      </c>
      <c r="W1026" s="70" t="s">
        <v>30302</v>
      </c>
      <c r="Y1026" s="70" t="s">
        <v>30303</v>
      </c>
      <c r="Z1026" s="75" t="s">
        <v>19037</v>
      </c>
      <c r="AA1026" s="70" t="s">
        <v>19038</v>
      </c>
      <c r="AC1026" s="70">
        <v>14.0</v>
      </c>
      <c r="AE1026" s="70">
        <v>358.0</v>
      </c>
      <c r="AF1026" s="70" t="s">
        <v>239</v>
      </c>
      <c r="AW1026" s="70" t="s">
        <v>19039</v>
      </c>
      <c r="AZ1026" s="70">
        <v>1272.0</v>
      </c>
    </row>
    <row r="1027" ht="22.5" customHeight="1">
      <c r="A1027" s="70" t="str">
        <f t="shared" si="1"/>
        <v>Excluded</v>
      </c>
      <c r="B1027" s="70">
        <f t="shared" si="2"/>
        <v>0</v>
      </c>
      <c r="C1027" s="70">
        <v>0.0</v>
      </c>
      <c r="D1027" s="70">
        <v>0.0</v>
      </c>
      <c r="E1027" s="70">
        <v>0.0</v>
      </c>
      <c r="F1027" s="70">
        <v>0.0</v>
      </c>
      <c r="G1027" s="70">
        <v>0.0</v>
      </c>
      <c r="H1027" s="70" t="s">
        <v>17526</v>
      </c>
      <c r="I1027" s="70">
        <v>1924.0</v>
      </c>
      <c r="J1027" s="70" t="s">
        <v>17524</v>
      </c>
      <c r="K1027" s="70" t="s">
        <v>17525</v>
      </c>
      <c r="L1027" s="70" t="s">
        <v>16395</v>
      </c>
      <c r="N1027" s="70" t="s">
        <v>16396</v>
      </c>
      <c r="P1027" s="76">
        <v>45260.0</v>
      </c>
      <c r="U1027" s="70" t="s">
        <v>239</v>
      </c>
      <c r="W1027" s="70" t="s">
        <v>17528</v>
      </c>
      <c r="Z1027" s="75" t="s">
        <v>17529</v>
      </c>
      <c r="AA1027" s="70" t="s">
        <v>17530</v>
      </c>
      <c r="AC1027" s="70">
        <v>43.0</v>
      </c>
      <c r="AE1027" s="70">
        <v>205.0</v>
      </c>
      <c r="AF1027" s="70" t="s">
        <v>239</v>
      </c>
      <c r="AW1027" s="70" t="s">
        <v>17531</v>
      </c>
      <c r="AX1027" s="70">
        <v>0.0</v>
      </c>
      <c r="AY1027" s="70" t="s">
        <v>24</v>
      </c>
      <c r="AZ1027" s="70">
        <v>1996.0</v>
      </c>
    </row>
    <row r="1028" ht="22.5" customHeight="1">
      <c r="A1028" s="70" t="str">
        <f t="shared" si="1"/>
        <v>Excluded</v>
      </c>
      <c r="B1028" s="70">
        <f t="shared" si="2"/>
        <v>0</v>
      </c>
      <c r="C1028" s="70">
        <v>0.0</v>
      </c>
      <c r="D1028" s="70">
        <v>0.0</v>
      </c>
      <c r="E1028" s="70">
        <v>0.0</v>
      </c>
      <c r="F1028" s="70">
        <v>0.0</v>
      </c>
      <c r="G1028" s="70">
        <v>0.0</v>
      </c>
      <c r="H1028" s="70" t="s">
        <v>19149</v>
      </c>
      <c r="I1028" s="70">
        <v>2105.0</v>
      </c>
      <c r="J1028" s="70" t="s">
        <v>19147</v>
      </c>
      <c r="K1028" s="70" t="s">
        <v>19148</v>
      </c>
      <c r="L1028" s="70" t="s">
        <v>16395</v>
      </c>
      <c r="N1028" s="70" t="s">
        <v>16396</v>
      </c>
      <c r="P1028" s="77">
        <v>45261.0</v>
      </c>
      <c r="U1028" s="70" t="s">
        <v>239</v>
      </c>
      <c r="W1028" s="70" t="s">
        <v>19151</v>
      </c>
      <c r="Y1028" s="70" t="s">
        <v>19152</v>
      </c>
      <c r="Z1028" s="75" t="s">
        <v>19153</v>
      </c>
      <c r="AA1028" s="70" t="s">
        <v>19154</v>
      </c>
      <c r="AC1028" s="70">
        <v>12.0</v>
      </c>
      <c r="AE1028" s="70">
        <v>449.0</v>
      </c>
      <c r="AF1028" s="70" t="s">
        <v>239</v>
      </c>
      <c r="AW1028" s="70" t="s">
        <v>19155</v>
      </c>
      <c r="AZ1028" s="70">
        <v>579.0</v>
      </c>
    </row>
    <row r="1029" ht="22.5" customHeight="1">
      <c r="A1029" s="70" t="str">
        <f t="shared" si="1"/>
        <v>Excluded</v>
      </c>
      <c r="B1029" s="70">
        <f t="shared" si="2"/>
        <v>0</v>
      </c>
      <c r="C1029" s="70">
        <v>0.0</v>
      </c>
      <c r="D1029" s="70">
        <v>0.0</v>
      </c>
      <c r="E1029" s="70">
        <v>0.0</v>
      </c>
      <c r="F1029" s="70">
        <v>0.0</v>
      </c>
      <c r="G1029" s="70">
        <v>0.0</v>
      </c>
      <c r="H1029" s="70" t="s">
        <v>18523</v>
      </c>
      <c r="I1029" s="70">
        <v>2035.0</v>
      </c>
      <c r="J1029" s="70" t="s">
        <v>18521</v>
      </c>
      <c r="K1029" s="70" t="s">
        <v>18522</v>
      </c>
      <c r="L1029" s="70" t="s">
        <v>16395</v>
      </c>
      <c r="N1029" s="70" t="s">
        <v>16396</v>
      </c>
      <c r="P1029" s="76">
        <v>45307.0</v>
      </c>
      <c r="U1029" s="70" t="s">
        <v>239</v>
      </c>
      <c r="W1029" s="70" t="s">
        <v>18525</v>
      </c>
      <c r="Y1029" s="70" t="s">
        <v>18526</v>
      </c>
      <c r="Z1029" s="75" t="s">
        <v>18527</v>
      </c>
      <c r="AA1029" s="70" t="s">
        <v>18528</v>
      </c>
      <c r="AC1029" s="70">
        <v>20.0</v>
      </c>
      <c r="AE1029" s="70">
        <v>222.0</v>
      </c>
      <c r="AF1029" s="70" t="s">
        <v>239</v>
      </c>
      <c r="AW1029" s="70" t="s">
        <v>18529</v>
      </c>
      <c r="AX1029" s="70">
        <v>0.0</v>
      </c>
      <c r="AY1029" s="70" t="s">
        <v>24</v>
      </c>
      <c r="AZ1029" s="70">
        <v>2468.0</v>
      </c>
    </row>
    <row r="1030" ht="22.5" customHeight="1">
      <c r="A1030" s="70" t="str">
        <f t="shared" si="1"/>
        <v>Excluded</v>
      </c>
      <c r="B1030" s="70">
        <f t="shared" si="2"/>
        <v>0</v>
      </c>
      <c r="C1030" s="70">
        <v>0.0</v>
      </c>
      <c r="D1030" s="70">
        <v>0.0</v>
      </c>
      <c r="E1030" s="70">
        <v>0.0</v>
      </c>
      <c r="F1030" s="70">
        <v>0.0</v>
      </c>
      <c r="G1030" s="70">
        <v>0.0</v>
      </c>
      <c r="H1030" s="70" t="s">
        <v>19921</v>
      </c>
      <c r="I1030" s="70">
        <v>2192.0</v>
      </c>
      <c r="J1030" s="70" t="s">
        <v>19919</v>
      </c>
      <c r="K1030" s="70" t="s">
        <v>19920</v>
      </c>
      <c r="L1030" s="70" t="s">
        <v>16395</v>
      </c>
      <c r="N1030" s="70" t="s">
        <v>16396</v>
      </c>
      <c r="P1030" s="77">
        <v>45352.0</v>
      </c>
      <c r="U1030" s="70" t="s">
        <v>239</v>
      </c>
      <c r="W1030" s="70" t="s">
        <v>30304</v>
      </c>
      <c r="Y1030" s="70" t="s">
        <v>30305</v>
      </c>
      <c r="Z1030" s="75" t="s">
        <v>19925</v>
      </c>
      <c r="AA1030" s="70" t="s">
        <v>19926</v>
      </c>
      <c r="AC1030" s="70">
        <v>7.0</v>
      </c>
      <c r="AE1030" s="70">
        <v>407.0</v>
      </c>
      <c r="AF1030" s="70" t="s">
        <v>239</v>
      </c>
      <c r="AW1030" s="70" t="s">
        <v>19927</v>
      </c>
      <c r="AZ1030" s="70">
        <v>814.0</v>
      </c>
    </row>
    <row r="1031" ht="22.5" customHeight="1">
      <c r="A1031" s="70" t="str">
        <f t="shared" si="1"/>
        <v>Excluded</v>
      </c>
      <c r="B1031" s="70">
        <f t="shared" si="2"/>
        <v>0</v>
      </c>
      <c r="C1031" s="70">
        <v>0.0</v>
      </c>
      <c r="D1031" s="70">
        <v>0.0</v>
      </c>
      <c r="E1031" s="70">
        <v>0.0</v>
      </c>
      <c r="F1031" s="70">
        <v>0.0</v>
      </c>
      <c r="G1031" s="70">
        <v>0.0</v>
      </c>
      <c r="H1031" s="70" t="s">
        <v>19846</v>
      </c>
      <c r="I1031" s="70">
        <v>2184.0</v>
      </c>
      <c r="J1031" s="70" t="s">
        <v>19844</v>
      </c>
      <c r="K1031" s="70" t="s">
        <v>19845</v>
      </c>
      <c r="L1031" s="70" t="s">
        <v>16395</v>
      </c>
      <c r="N1031" s="70" t="s">
        <v>16396</v>
      </c>
      <c r="P1031" s="77">
        <v>45352.0</v>
      </c>
      <c r="U1031" s="70" t="s">
        <v>239</v>
      </c>
      <c r="W1031" s="70" t="s">
        <v>19848</v>
      </c>
      <c r="Z1031" s="75" t="s">
        <v>19849</v>
      </c>
      <c r="AA1031" s="70" t="s">
        <v>19850</v>
      </c>
      <c r="AC1031" s="70">
        <v>7.0</v>
      </c>
      <c r="AE1031" s="70">
        <v>469.0</v>
      </c>
      <c r="AF1031" s="70" t="s">
        <v>16423</v>
      </c>
      <c r="AW1031" s="70" t="s">
        <v>19851</v>
      </c>
      <c r="AZ1031" s="70">
        <v>1484.0</v>
      </c>
    </row>
    <row r="1032" ht="22.5" customHeight="1">
      <c r="A1032" s="70" t="str">
        <f t="shared" si="1"/>
        <v>Excluded</v>
      </c>
      <c r="B1032" s="70">
        <f t="shared" si="2"/>
        <v>0</v>
      </c>
      <c r="C1032" s="70">
        <v>0.0</v>
      </c>
      <c r="D1032" s="70">
        <v>0.0</v>
      </c>
      <c r="E1032" s="70">
        <v>0.0</v>
      </c>
      <c r="F1032" s="70">
        <v>0.0</v>
      </c>
      <c r="G1032" s="70">
        <v>0.0</v>
      </c>
      <c r="H1032" s="70" t="s">
        <v>20381</v>
      </c>
      <c r="I1032" s="70">
        <v>2244.0</v>
      </c>
      <c r="J1032" s="70" t="s">
        <v>20379</v>
      </c>
      <c r="K1032" s="70" t="s">
        <v>20380</v>
      </c>
      <c r="L1032" s="70" t="s">
        <v>16395</v>
      </c>
      <c r="N1032" s="70" t="s">
        <v>16396</v>
      </c>
      <c r="P1032" s="76">
        <v>45365.0</v>
      </c>
      <c r="U1032" s="70" t="s">
        <v>239</v>
      </c>
      <c r="W1032" s="70" t="s">
        <v>20383</v>
      </c>
      <c r="Y1032" s="70" t="s">
        <v>30306</v>
      </c>
      <c r="Z1032" s="75" t="s">
        <v>20385</v>
      </c>
      <c r="AA1032" s="70" t="s">
        <v>20386</v>
      </c>
      <c r="AC1032" s="70">
        <v>4.0</v>
      </c>
      <c r="AE1032" s="70">
        <v>168.0</v>
      </c>
      <c r="AF1032" s="70" t="s">
        <v>16727</v>
      </c>
      <c r="AW1032" s="70" t="s">
        <v>20387</v>
      </c>
      <c r="AX1032" s="70">
        <v>0.0</v>
      </c>
      <c r="AY1032" s="70" t="s">
        <v>24</v>
      </c>
      <c r="AZ1032" s="70">
        <v>3107.0</v>
      </c>
    </row>
    <row r="1033" ht="22.5" customHeight="1">
      <c r="A1033" s="70" t="str">
        <f t="shared" si="1"/>
        <v>Excluded</v>
      </c>
      <c r="B1033" s="70">
        <f t="shared" si="2"/>
        <v>0</v>
      </c>
      <c r="C1033" s="70">
        <v>0.0</v>
      </c>
      <c r="D1033" s="70">
        <v>0.0</v>
      </c>
      <c r="E1033" s="70">
        <v>0.0</v>
      </c>
      <c r="F1033" s="70">
        <v>0.0</v>
      </c>
      <c r="G1033" s="70">
        <v>0.0</v>
      </c>
      <c r="H1033" s="70" t="s">
        <v>20686</v>
      </c>
      <c r="I1033" s="70">
        <v>2278.0</v>
      </c>
      <c r="J1033" s="70" t="s">
        <v>20684</v>
      </c>
      <c r="K1033" s="70" t="s">
        <v>20685</v>
      </c>
      <c r="L1033" s="70" t="s">
        <v>16395</v>
      </c>
      <c r="N1033" s="70" t="s">
        <v>16396</v>
      </c>
      <c r="P1033" s="76">
        <v>45399.0</v>
      </c>
      <c r="U1033" s="70" t="s">
        <v>239</v>
      </c>
      <c r="W1033" s="70" t="s">
        <v>20688</v>
      </c>
      <c r="Y1033" s="70" t="s">
        <v>20689</v>
      </c>
      <c r="Z1033" s="75" t="s">
        <v>20690</v>
      </c>
      <c r="AA1033" s="70" t="s">
        <v>20691</v>
      </c>
      <c r="AC1033" s="70">
        <v>3.0</v>
      </c>
      <c r="AE1033" s="70">
        <v>276.0</v>
      </c>
      <c r="AF1033" s="70" t="s">
        <v>239</v>
      </c>
      <c r="AW1033" s="70" t="s">
        <v>20692</v>
      </c>
      <c r="AZ1033" s="70">
        <v>942.0</v>
      </c>
    </row>
    <row r="1034" ht="22.5" customHeight="1">
      <c r="A1034" s="70" t="str">
        <f t="shared" si="1"/>
        <v>Excluded</v>
      </c>
      <c r="B1034" s="70">
        <f t="shared" si="2"/>
        <v>0</v>
      </c>
      <c r="C1034" s="70">
        <v>0.0</v>
      </c>
      <c r="D1034" s="70">
        <v>0.0</v>
      </c>
      <c r="E1034" s="70">
        <v>0.0</v>
      </c>
      <c r="F1034" s="70">
        <v>0.0</v>
      </c>
      <c r="G1034" s="70">
        <v>0.0</v>
      </c>
      <c r="H1034" s="70" t="s">
        <v>19325</v>
      </c>
      <c r="I1034" s="70">
        <v>2125.0</v>
      </c>
      <c r="J1034" s="70" t="s">
        <v>19323</v>
      </c>
      <c r="K1034" s="70" t="s">
        <v>19324</v>
      </c>
      <c r="L1034" s="70" t="s">
        <v>16395</v>
      </c>
      <c r="N1034" s="70" t="s">
        <v>16396</v>
      </c>
      <c r="P1034" s="76">
        <v>45405.0</v>
      </c>
      <c r="U1034" s="70" t="s">
        <v>239</v>
      </c>
      <c r="W1034" s="70" t="s">
        <v>19327</v>
      </c>
      <c r="Z1034" s="75" t="s">
        <v>19328</v>
      </c>
      <c r="AA1034" s="70" t="s">
        <v>19329</v>
      </c>
      <c r="AC1034" s="70">
        <v>11.0</v>
      </c>
      <c r="AE1034" s="70">
        <v>248.0</v>
      </c>
      <c r="AF1034" s="70" t="s">
        <v>239</v>
      </c>
      <c r="AW1034" s="70" t="s">
        <v>19330</v>
      </c>
      <c r="AZ1034" s="70">
        <v>869.0</v>
      </c>
    </row>
    <row r="1035" ht="22.5" customHeight="1">
      <c r="A1035" s="70" t="str">
        <f t="shared" si="1"/>
        <v>Excluded</v>
      </c>
      <c r="B1035" s="70">
        <f t="shared" si="2"/>
        <v>0</v>
      </c>
      <c r="C1035" s="70">
        <v>0.0</v>
      </c>
      <c r="D1035" s="70">
        <v>0.0</v>
      </c>
      <c r="E1035" s="70">
        <v>0.0</v>
      </c>
      <c r="F1035" s="70">
        <v>0.0</v>
      </c>
      <c r="G1035" s="70">
        <v>0.0</v>
      </c>
      <c r="H1035" s="70" t="s">
        <v>19606</v>
      </c>
      <c r="I1035" s="70">
        <v>2157.0</v>
      </c>
      <c r="J1035" s="70" t="s">
        <v>19604</v>
      </c>
      <c r="K1035" s="70" t="s">
        <v>19605</v>
      </c>
      <c r="L1035" s="70" t="s">
        <v>16395</v>
      </c>
      <c r="N1035" s="70" t="s">
        <v>16396</v>
      </c>
      <c r="P1035" s="76">
        <v>45406.0</v>
      </c>
      <c r="U1035" s="70" t="s">
        <v>239</v>
      </c>
      <c r="W1035" s="70" t="s">
        <v>19608</v>
      </c>
      <c r="Y1035" s="70" t="s">
        <v>19609</v>
      </c>
      <c r="Z1035" s="75" t="s">
        <v>19610</v>
      </c>
      <c r="AA1035" s="70" t="s">
        <v>19611</v>
      </c>
      <c r="AC1035" s="70">
        <v>9.0</v>
      </c>
      <c r="AE1035" s="70">
        <v>252.0</v>
      </c>
      <c r="AF1035" s="70" t="s">
        <v>239</v>
      </c>
      <c r="AW1035" s="70" t="s">
        <v>19612</v>
      </c>
      <c r="AX1035" s="70">
        <v>0.0</v>
      </c>
      <c r="AY1035" s="70" t="s">
        <v>24</v>
      </c>
      <c r="AZ1035" s="70">
        <v>2896.0</v>
      </c>
    </row>
    <row r="1036" ht="22.5" customHeight="1">
      <c r="A1036" s="70" t="str">
        <f t="shared" si="1"/>
        <v>Excluded</v>
      </c>
      <c r="B1036" s="70">
        <f t="shared" si="2"/>
        <v>0</v>
      </c>
      <c r="C1036" s="70">
        <v>0.0</v>
      </c>
      <c r="D1036" s="70">
        <v>0.0</v>
      </c>
      <c r="E1036" s="70">
        <v>0.0</v>
      </c>
      <c r="F1036" s="70">
        <v>0.0</v>
      </c>
      <c r="G1036" s="70">
        <v>0.0</v>
      </c>
      <c r="H1036" s="70" t="s">
        <v>19999</v>
      </c>
      <c r="I1036" s="70">
        <v>2201.0</v>
      </c>
      <c r="J1036" s="70" t="s">
        <v>19997</v>
      </c>
      <c r="K1036" s="70" t="s">
        <v>19998</v>
      </c>
      <c r="L1036" s="70" t="s">
        <v>16395</v>
      </c>
      <c r="N1036" s="70" t="s">
        <v>16396</v>
      </c>
      <c r="P1036" s="77">
        <v>45446.0</v>
      </c>
      <c r="U1036" s="70" t="s">
        <v>239</v>
      </c>
      <c r="W1036" s="70" t="s">
        <v>20001</v>
      </c>
      <c r="Y1036" s="70" t="s">
        <v>30307</v>
      </c>
      <c r="Z1036" s="75" t="s">
        <v>20003</v>
      </c>
      <c r="AA1036" s="70" t="s">
        <v>20004</v>
      </c>
      <c r="AC1036" s="70">
        <v>6.0</v>
      </c>
      <c r="AE1036" s="70">
        <v>279.0</v>
      </c>
      <c r="AF1036" s="70" t="s">
        <v>239</v>
      </c>
      <c r="AW1036" s="70" t="s">
        <v>20005</v>
      </c>
      <c r="AZ1036" s="70">
        <v>1362.0</v>
      </c>
    </row>
    <row r="1037" ht="22.5" customHeight="1">
      <c r="A1037" s="70" t="str">
        <f t="shared" si="1"/>
        <v>Excluded</v>
      </c>
      <c r="B1037" s="70">
        <f t="shared" si="2"/>
        <v>0</v>
      </c>
      <c r="C1037" s="70">
        <v>0.0</v>
      </c>
      <c r="D1037" s="70">
        <v>0.0</v>
      </c>
      <c r="E1037" s="70">
        <v>0.0</v>
      </c>
      <c r="F1037" s="70">
        <v>0.0</v>
      </c>
      <c r="G1037" s="70">
        <v>0.0</v>
      </c>
      <c r="H1037" s="70" t="s">
        <v>20263</v>
      </c>
      <c r="I1037" s="70">
        <v>2231.0</v>
      </c>
      <c r="J1037" s="70" t="s">
        <v>20261</v>
      </c>
      <c r="K1037" s="70" t="s">
        <v>20262</v>
      </c>
      <c r="L1037" s="70" t="s">
        <v>16395</v>
      </c>
      <c r="N1037" s="70" t="s">
        <v>16396</v>
      </c>
      <c r="P1037" s="77">
        <v>45446.0</v>
      </c>
      <c r="U1037" s="70" t="s">
        <v>239</v>
      </c>
      <c r="W1037" s="70" t="s">
        <v>30308</v>
      </c>
      <c r="Y1037" s="70" t="s">
        <v>30309</v>
      </c>
      <c r="Z1037" s="75" t="s">
        <v>20267</v>
      </c>
      <c r="AA1037" s="70" t="s">
        <v>20268</v>
      </c>
      <c r="AC1037" s="70">
        <v>5.0</v>
      </c>
      <c r="AE1037" s="70">
        <v>388.0</v>
      </c>
      <c r="AF1037" s="70" t="s">
        <v>239</v>
      </c>
      <c r="AW1037" s="70" t="s">
        <v>20269</v>
      </c>
      <c r="AZ1037" s="70">
        <v>1311.0</v>
      </c>
    </row>
    <row r="1038" ht="22.5" customHeight="1">
      <c r="A1038" s="70" t="str">
        <f t="shared" si="1"/>
        <v>Excluded</v>
      </c>
      <c r="B1038" s="70">
        <f t="shared" si="2"/>
        <v>0</v>
      </c>
      <c r="C1038" s="70">
        <v>0.0</v>
      </c>
      <c r="D1038" s="70">
        <v>0.0</v>
      </c>
      <c r="E1038" s="70">
        <v>0.0</v>
      </c>
      <c r="F1038" s="70">
        <v>0.0</v>
      </c>
      <c r="G1038" s="70">
        <v>0.0</v>
      </c>
      <c r="H1038" s="70" t="s">
        <v>23920</v>
      </c>
      <c r="I1038" s="70">
        <v>2622.0</v>
      </c>
      <c r="J1038" s="70" t="s">
        <v>23918</v>
      </c>
      <c r="K1038" s="70" t="s">
        <v>23919</v>
      </c>
      <c r="W1038" s="70" t="s">
        <v>30310</v>
      </c>
      <c r="AA1038" s="70" t="s">
        <v>23922</v>
      </c>
      <c r="AI1038" s="70" t="s">
        <v>23923</v>
      </c>
      <c r="AJ1038" s="70" t="s">
        <v>23924</v>
      </c>
      <c r="AK1038" s="70">
        <v>2024.0</v>
      </c>
      <c r="AL1038" s="70" t="s">
        <v>23760</v>
      </c>
      <c r="AQ1038" s="70">
        <v>6.0</v>
      </c>
      <c r="AR1038" s="75" t="s">
        <v>23925</v>
      </c>
      <c r="AS1038" s="70" t="s">
        <v>22588</v>
      </c>
      <c r="AT1038" s="70" t="s">
        <v>22816</v>
      </c>
      <c r="AU1038" s="70" t="s">
        <v>237</v>
      </c>
      <c r="AV1038" s="70" t="s">
        <v>23926</v>
      </c>
      <c r="AW1038" s="70" t="s">
        <v>23927</v>
      </c>
      <c r="AZ1038" s="70">
        <v>1215.0</v>
      </c>
    </row>
    <row r="1039" ht="22.5" customHeight="1">
      <c r="A1039" s="70" t="str">
        <f t="shared" si="1"/>
        <v>Excluded</v>
      </c>
      <c r="B1039" s="70">
        <f t="shared" si="2"/>
        <v>0</v>
      </c>
      <c r="C1039" s="70">
        <v>0.0</v>
      </c>
      <c r="D1039" s="70">
        <v>0.0</v>
      </c>
      <c r="E1039" s="70">
        <v>0.0</v>
      </c>
      <c r="F1039" s="70">
        <v>0.0</v>
      </c>
      <c r="G1039" s="70">
        <v>0.0</v>
      </c>
      <c r="H1039" s="70" t="s">
        <v>23755</v>
      </c>
      <c r="I1039" s="70">
        <v>2606.0</v>
      </c>
      <c r="J1039" s="70" t="s">
        <v>23753</v>
      </c>
      <c r="K1039" s="70" t="s">
        <v>23754</v>
      </c>
      <c r="W1039" s="70" t="s">
        <v>30311</v>
      </c>
      <c r="AA1039" s="70" t="s">
        <v>23757</v>
      </c>
      <c r="AI1039" s="70" t="s">
        <v>23758</v>
      </c>
      <c r="AJ1039" s="70" t="s">
        <v>23759</v>
      </c>
      <c r="AK1039" s="70">
        <v>2024.0</v>
      </c>
      <c r="AL1039" s="70" t="s">
        <v>23760</v>
      </c>
      <c r="AQ1039" s="70">
        <v>4.0</v>
      </c>
      <c r="AR1039" s="75" t="s">
        <v>23761</v>
      </c>
      <c r="AS1039" s="70" t="s">
        <v>22588</v>
      </c>
      <c r="AT1039" s="70" t="s">
        <v>22816</v>
      </c>
      <c r="AU1039" s="70" t="s">
        <v>237</v>
      </c>
      <c r="AV1039" s="70" t="s">
        <v>23762</v>
      </c>
      <c r="AW1039" s="70" t="s">
        <v>23763</v>
      </c>
      <c r="AZ1039" s="70">
        <v>1343.0</v>
      </c>
    </row>
    <row r="1040" ht="22.5" customHeight="1">
      <c r="A1040" s="70" t="str">
        <f t="shared" si="1"/>
        <v>Excluded</v>
      </c>
      <c r="B1040" s="70">
        <f t="shared" si="2"/>
        <v>0</v>
      </c>
      <c r="C1040" s="70">
        <v>0.0</v>
      </c>
      <c r="D1040" s="70">
        <v>0.0</v>
      </c>
      <c r="E1040" s="70">
        <v>0.0</v>
      </c>
      <c r="F1040" s="70">
        <v>0.0</v>
      </c>
      <c r="G1040" s="70">
        <v>0.0</v>
      </c>
      <c r="H1040" s="70" t="s">
        <v>24161</v>
      </c>
      <c r="I1040" s="70">
        <v>2645.0</v>
      </c>
      <c r="J1040" s="70" t="s">
        <v>24159</v>
      </c>
      <c r="K1040" s="70" t="s">
        <v>24160</v>
      </c>
      <c r="W1040" s="70" t="s">
        <v>30312</v>
      </c>
      <c r="AA1040" s="70" t="s">
        <v>24163</v>
      </c>
      <c r="AI1040" s="70" t="s">
        <v>24164</v>
      </c>
      <c r="AJ1040" s="70" t="s">
        <v>24165</v>
      </c>
      <c r="AK1040" s="70">
        <v>2024.0</v>
      </c>
      <c r="AL1040" s="70" t="s">
        <v>23760</v>
      </c>
      <c r="AQ1040" s="70">
        <v>3.0</v>
      </c>
      <c r="AR1040" s="75" t="s">
        <v>24166</v>
      </c>
      <c r="AS1040" s="70" t="s">
        <v>22588</v>
      </c>
      <c r="AU1040" s="70" t="s">
        <v>237</v>
      </c>
      <c r="AV1040" s="70" t="s">
        <v>24167</v>
      </c>
      <c r="AW1040" s="70" t="s">
        <v>24168</v>
      </c>
      <c r="AZ1040" s="70">
        <v>209.0</v>
      </c>
    </row>
    <row r="1041" ht="22.5" customHeight="1">
      <c r="A1041" s="70" t="str">
        <f t="shared" si="1"/>
        <v>Excluded</v>
      </c>
      <c r="B1041" s="70">
        <f t="shared" si="2"/>
        <v>0</v>
      </c>
      <c r="C1041" s="70">
        <v>0.0</v>
      </c>
      <c r="D1041" s="70">
        <v>0.0</v>
      </c>
      <c r="E1041" s="70">
        <v>0.0</v>
      </c>
      <c r="F1041" s="70">
        <v>0.0</v>
      </c>
      <c r="G1041" s="70">
        <v>0.0</v>
      </c>
      <c r="H1041" s="70" t="s">
        <v>10910</v>
      </c>
      <c r="I1041" s="70">
        <v>1121.0</v>
      </c>
      <c r="K1041" s="70" t="s">
        <v>10597</v>
      </c>
      <c r="L1041" s="70" t="s">
        <v>10828</v>
      </c>
      <c r="P1041" s="77">
        <v>43864.0</v>
      </c>
      <c r="U1041" s="70" t="s">
        <v>239</v>
      </c>
      <c r="W1041" s="70" t="s">
        <v>10602</v>
      </c>
      <c r="X1041" s="70" t="s">
        <v>10831</v>
      </c>
      <c r="Z1041" s="75" t="s">
        <v>10911</v>
      </c>
      <c r="AF1041" s="70" t="s">
        <v>239</v>
      </c>
      <c r="AZ1041" s="70">
        <v>1600.0</v>
      </c>
    </row>
    <row r="1042" ht="22.5" customHeight="1">
      <c r="A1042" s="70" t="str">
        <f t="shared" si="1"/>
        <v>Excluded</v>
      </c>
      <c r="B1042" s="70">
        <f t="shared" si="2"/>
        <v>0</v>
      </c>
      <c r="C1042" s="70">
        <v>0.0</v>
      </c>
      <c r="D1042" s="70">
        <v>0.0</v>
      </c>
      <c r="E1042" s="70">
        <v>0.0</v>
      </c>
      <c r="F1042" s="70">
        <v>0.0</v>
      </c>
      <c r="G1042" s="70">
        <v>0.0</v>
      </c>
      <c r="H1042" s="70" t="s">
        <v>10829</v>
      </c>
      <c r="I1042" s="70">
        <v>1099.0</v>
      </c>
      <c r="K1042" s="70" t="s">
        <v>10827</v>
      </c>
      <c r="L1042" s="70" t="s">
        <v>10828</v>
      </c>
      <c r="P1042" s="77">
        <v>43864.0</v>
      </c>
      <c r="U1042" s="70" t="s">
        <v>239</v>
      </c>
      <c r="W1042" s="70" t="s">
        <v>10830</v>
      </c>
      <c r="X1042" s="70" t="s">
        <v>10831</v>
      </c>
      <c r="Z1042" s="75" t="s">
        <v>10832</v>
      </c>
      <c r="AF1042" s="70" t="s">
        <v>239</v>
      </c>
      <c r="AZ1042" s="70">
        <v>1515.0</v>
      </c>
    </row>
    <row r="1043" ht="22.5" customHeight="1">
      <c r="A1043" s="70" t="str">
        <f t="shared" si="1"/>
        <v>Excluded</v>
      </c>
      <c r="B1043" s="70">
        <f t="shared" si="2"/>
        <v>0</v>
      </c>
      <c r="C1043" s="70">
        <v>0.0</v>
      </c>
      <c r="D1043" s="70">
        <v>0.0</v>
      </c>
      <c r="E1043" s="70">
        <v>0.0</v>
      </c>
      <c r="F1043" s="70">
        <v>0.0</v>
      </c>
      <c r="G1043" s="70">
        <v>0.0</v>
      </c>
      <c r="H1043" s="70" t="s">
        <v>15816</v>
      </c>
      <c r="I1043" s="70">
        <v>1652.0</v>
      </c>
      <c r="J1043" s="70" t="s">
        <v>15812</v>
      </c>
      <c r="K1043" s="70" t="s">
        <v>15813</v>
      </c>
      <c r="L1043" s="70" t="s">
        <v>15814</v>
      </c>
      <c r="N1043" s="70" t="s">
        <v>15815</v>
      </c>
      <c r="P1043" s="77">
        <v>45173.0</v>
      </c>
      <c r="U1043" s="70" t="s">
        <v>239</v>
      </c>
      <c r="W1043" s="70" t="s">
        <v>30313</v>
      </c>
      <c r="X1043" s="70" t="s">
        <v>15819</v>
      </c>
      <c r="Z1043" s="75" t="s">
        <v>15820</v>
      </c>
      <c r="AA1043" s="70" t="s">
        <v>15821</v>
      </c>
      <c r="AE1043" s="70">
        <v>19.0</v>
      </c>
      <c r="AF1043" s="70" t="s">
        <v>239</v>
      </c>
      <c r="AW1043" s="70" t="s">
        <v>15822</v>
      </c>
      <c r="AZ1043" s="70">
        <v>436.0</v>
      </c>
    </row>
    <row r="1044" ht="22.5" customHeight="1">
      <c r="A1044" s="70" t="str">
        <f t="shared" si="1"/>
        <v>Excluded</v>
      </c>
      <c r="B1044" s="70">
        <f t="shared" si="2"/>
        <v>0</v>
      </c>
      <c r="C1044" s="70">
        <v>0.0</v>
      </c>
      <c r="D1044" s="70">
        <v>0.0</v>
      </c>
      <c r="E1044" s="70">
        <v>0.0</v>
      </c>
      <c r="F1044" s="70">
        <v>0.0</v>
      </c>
      <c r="G1044" s="70">
        <v>0.0</v>
      </c>
      <c r="H1044" s="70" t="s">
        <v>12957</v>
      </c>
      <c r="I1044" s="70">
        <v>1351.0</v>
      </c>
      <c r="J1044" s="70" t="s">
        <v>12954</v>
      </c>
      <c r="K1044" s="70" t="s">
        <v>12955</v>
      </c>
      <c r="L1044" s="70" t="s">
        <v>12956</v>
      </c>
      <c r="P1044" s="76">
        <v>45519.0</v>
      </c>
      <c r="U1044" s="70" t="s">
        <v>239</v>
      </c>
      <c r="W1044" s="70" t="s">
        <v>30314</v>
      </c>
      <c r="X1044" s="70" t="s">
        <v>12960</v>
      </c>
      <c r="Z1044" s="75" t="s">
        <v>12961</v>
      </c>
      <c r="AA1044" s="70" t="s">
        <v>12962</v>
      </c>
      <c r="AE1044" s="70">
        <v>31.0</v>
      </c>
      <c r="AF1044" s="70" t="s">
        <v>239</v>
      </c>
      <c r="AW1044" s="70" t="s">
        <v>12963</v>
      </c>
      <c r="AX1044" s="70">
        <v>0.0</v>
      </c>
      <c r="AY1044" s="70" t="s">
        <v>24</v>
      </c>
      <c r="AZ1044" s="70">
        <v>2868.0</v>
      </c>
    </row>
    <row r="1045" ht="22.5" customHeight="1">
      <c r="A1045" s="70" t="str">
        <f t="shared" si="1"/>
        <v>Excluded</v>
      </c>
      <c r="B1045" s="70">
        <f t="shared" si="2"/>
        <v>0</v>
      </c>
      <c r="C1045" s="70">
        <v>0.0</v>
      </c>
      <c r="D1045" s="70">
        <v>0.0</v>
      </c>
      <c r="E1045" s="70">
        <v>0.0</v>
      </c>
      <c r="F1045" s="70">
        <v>0.0</v>
      </c>
      <c r="G1045" s="70">
        <v>0.0</v>
      </c>
      <c r="H1045" s="70" t="s">
        <v>15442</v>
      </c>
      <c r="I1045" s="70">
        <v>1611.0</v>
      </c>
      <c r="J1045" s="70" t="s">
        <v>15438</v>
      </c>
      <c r="K1045" s="70" t="s">
        <v>15439</v>
      </c>
      <c r="L1045" s="70" t="s">
        <v>15440</v>
      </c>
      <c r="N1045" s="70" t="s">
        <v>15441</v>
      </c>
      <c r="P1045" s="78">
        <v>45429.0</v>
      </c>
      <c r="U1045" s="70" t="s">
        <v>239</v>
      </c>
      <c r="W1045" s="70" t="s">
        <v>15444</v>
      </c>
      <c r="X1045" s="70" t="s">
        <v>15445</v>
      </c>
      <c r="Y1045" s="70" t="s">
        <v>30315</v>
      </c>
      <c r="Z1045" s="75" t="s">
        <v>15447</v>
      </c>
      <c r="AA1045" s="70" t="s">
        <v>15448</v>
      </c>
      <c r="AE1045" s="70">
        <v>16.0</v>
      </c>
      <c r="AF1045" s="70" t="s">
        <v>239</v>
      </c>
      <c r="AW1045" s="70" t="s">
        <v>15449</v>
      </c>
      <c r="AX1045" s="70">
        <v>0.0</v>
      </c>
      <c r="AY1045" s="70" t="s">
        <v>24</v>
      </c>
      <c r="AZ1045" s="70">
        <v>1698.0</v>
      </c>
    </row>
    <row r="1046" ht="22.5" customHeight="1">
      <c r="A1046" s="70" t="str">
        <f t="shared" si="1"/>
        <v>Excluded</v>
      </c>
      <c r="B1046" s="70">
        <f t="shared" si="2"/>
        <v>0</v>
      </c>
      <c r="C1046" s="70">
        <v>0.0</v>
      </c>
      <c r="D1046" s="70">
        <v>0.0</v>
      </c>
      <c r="E1046" s="70">
        <v>0.0</v>
      </c>
      <c r="F1046" s="70">
        <v>0.0</v>
      </c>
      <c r="G1046" s="70">
        <v>0.0</v>
      </c>
      <c r="H1046" s="70" t="s">
        <v>12663</v>
      </c>
      <c r="I1046" s="70">
        <v>1321.0</v>
      </c>
      <c r="J1046" s="70" t="s">
        <v>12659</v>
      </c>
      <c r="K1046" s="70" t="s">
        <v>12660</v>
      </c>
      <c r="L1046" s="70" t="s">
        <v>12661</v>
      </c>
      <c r="N1046" s="70" t="s">
        <v>12662</v>
      </c>
      <c r="P1046" s="76">
        <v>45607.0</v>
      </c>
      <c r="U1046" s="70" t="s">
        <v>239</v>
      </c>
      <c r="W1046" s="70" t="s">
        <v>30316</v>
      </c>
      <c r="X1046" s="70" t="s">
        <v>12666</v>
      </c>
      <c r="Z1046" s="75" t="s">
        <v>12667</v>
      </c>
      <c r="AA1046" s="70" t="s">
        <v>12668</v>
      </c>
      <c r="AE1046" s="70">
        <v>23.0</v>
      </c>
      <c r="AF1046" s="70" t="s">
        <v>239</v>
      </c>
      <c r="AW1046" s="70" t="s">
        <v>12669</v>
      </c>
      <c r="AX1046" s="70">
        <v>0.0</v>
      </c>
      <c r="AY1046" s="70" t="s">
        <v>24</v>
      </c>
      <c r="AZ1046" s="70">
        <v>2274.0</v>
      </c>
    </row>
    <row r="1047" ht="22.5" customHeight="1">
      <c r="A1047" s="70" t="str">
        <f t="shared" si="1"/>
        <v>Excluded</v>
      </c>
      <c r="B1047" s="70">
        <f t="shared" si="2"/>
        <v>0</v>
      </c>
      <c r="C1047" s="70">
        <v>0.0</v>
      </c>
      <c r="D1047" s="70">
        <v>0.0</v>
      </c>
      <c r="E1047" s="70">
        <v>0.0</v>
      </c>
      <c r="F1047" s="70">
        <v>0.0</v>
      </c>
      <c r="G1047" s="70">
        <v>0.0</v>
      </c>
      <c r="H1047" s="70" t="s">
        <v>16111</v>
      </c>
      <c r="I1047" s="70">
        <v>1724.0</v>
      </c>
      <c r="K1047" s="70" t="s">
        <v>10597</v>
      </c>
      <c r="L1047" s="70" t="s">
        <v>16110</v>
      </c>
      <c r="P1047" s="76">
        <v>45376.0</v>
      </c>
      <c r="U1047" s="70" t="s">
        <v>239</v>
      </c>
      <c r="X1047" s="70" t="s">
        <v>16112</v>
      </c>
      <c r="Z1047" s="75" t="s">
        <v>16113</v>
      </c>
      <c r="AF1047" s="70" t="s">
        <v>239</v>
      </c>
      <c r="AZ1047" s="70">
        <v>1568.0</v>
      </c>
    </row>
    <row r="1048" ht="22.5" customHeight="1">
      <c r="A1048" s="70" t="str">
        <f t="shared" si="1"/>
        <v>Excluded</v>
      </c>
      <c r="B1048" s="70">
        <f t="shared" si="2"/>
        <v>0</v>
      </c>
      <c r="C1048" s="70">
        <v>0.0</v>
      </c>
      <c r="D1048" s="70">
        <v>0.0</v>
      </c>
      <c r="E1048" s="70">
        <v>0.0</v>
      </c>
      <c r="F1048" s="70">
        <v>0.0</v>
      </c>
      <c r="G1048" s="70">
        <v>0.0</v>
      </c>
      <c r="H1048" s="70" t="s">
        <v>9064</v>
      </c>
      <c r="I1048" s="70">
        <v>882.0</v>
      </c>
      <c r="J1048" s="70" t="s">
        <v>30317</v>
      </c>
      <c r="K1048" s="70" t="s">
        <v>9061</v>
      </c>
      <c r="L1048" s="70" t="s">
        <v>9062</v>
      </c>
      <c r="N1048" s="70" t="s">
        <v>9063</v>
      </c>
      <c r="P1048" s="76">
        <v>45163.0</v>
      </c>
      <c r="U1048" s="70" t="s">
        <v>239</v>
      </c>
      <c r="W1048" s="70" t="s">
        <v>9066</v>
      </c>
      <c r="X1048" s="70" t="s">
        <v>9067</v>
      </c>
      <c r="Z1048" s="75" t="s">
        <v>9068</v>
      </c>
      <c r="AA1048" s="70" t="s">
        <v>9069</v>
      </c>
      <c r="AC1048" s="70">
        <v>1.0</v>
      </c>
      <c r="AE1048" s="70">
        <v>11.0</v>
      </c>
      <c r="AF1048" s="70" t="s">
        <v>239</v>
      </c>
      <c r="AW1048" s="70" t="s">
        <v>9070</v>
      </c>
      <c r="AZ1048" s="70">
        <v>1357.0</v>
      </c>
    </row>
    <row r="1049" ht="22.5" customHeight="1">
      <c r="A1049" s="70" t="str">
        <f t="shared" si="1"/>
        <v>Excluded</v>
      </c>
      <c r="B1049" s="70">
        <f t="shared" si="2"/>
        <v>0</v>
      </c>
      <c r="C1049" s="70">
        <v>0.0</v>
      </c>
      <c r="D1049" s="70">
        <v>0.0</v>
      </c>
      <c r="E1049" s="70">
        <v>0.0</v>
      </c>
      <c r="F1049" s="70">
        <v>0.0</v>
      </c>
      <c r="G1049" s="70">
        <v>0.0</v>
      </c>
      <c r="H1049" s="70" t="s">
        <v>11679</v>
      </c>
      <c r="I1049" s="70">
        <v>1223.0</v>
      </c>
      <c r="J1049" s="70" t="s">
        <v>11676</v>
      </c>
      <c r="K1049" s="70" t="s">
        <v>11677</v>
      </c>
      <c r="L1049" s="70" t="s">
        <v>11678</v>
      </c>
      <c r="P1049" s="76">
        <v>45036.0</v>
      </c>
      <c r="U1049" s="70" t="s">
        <v>239</v>
      </c>
      <c r="W1049" s="70" t="s">
        <v>11681</v>
      </c>
      <c r="X1049" s="70" t="s">
        <v>11682</v>
      </c>
      <c r="Z1049" s="75" t="s">
        <v>11683</v>
      </c>
      <c r="AA1049" s="70" t="s">
        <v>11684</v>
      </c>
      <c r="AC1049" s="70">
        <v>2.0</v>
      </c>
      <c r="AE1049" s="70">
        <v>8.0</v>
      </c>
      <c r="AF1049" s="70" t="s">
        <v>239</v>
      </c>
      <c r="AW1049" s="70" t="s">
        <v>11685</v>
      </c>
      <c r="AX1049" s="70">
        <v>0.0</v>
      </c>
      <c r="AY1049" s="70" t="s">
        <v>24</v>
      </c>
      <c r="AZ1049" s="70">
        <v>1661.0</v>
      </c>
    </row>
    <row r="1050" ht="22.5" customHeight="1">
      <c r="A1050" s="70" t="str">
        <f t="shared" si="1"/>
        <v>Excluded</v>
      </c>
      <c r="B1050" s="70">
        <f t="shared" si="2"/>
        <v>0</v>
      </c>
      <c r="C1050" s="70">
        <v>0.0</v>
      </c>
      <c r="D1050" s="70">
        <v>0.0</v>
      </c>
      <c r="E1050" s="70">
        <v>0.0</v>
      </c>
      <c r="F1050" s="70">
        <v>0.0</v>
      </c>
      <c r="G1050" s="70">
        <v>0.0</v>
      </c>
      <c r="H1050" s="70" t="s">
        <v>5254</v>
      </c>
      <c r="I1050" s="70">
        <v>491.0</v>
      </c>
      <c r="J1050" s="70" t="s">
        <v>5250</v>
      </c>
      <c r="K1050" s="70" t="s">
        <v>5251</v>
      </c>
      <c r="L1050" s="70" t="s">
        <v>5252</v>
      </c>
      <c r="N1050" s="70" t="s">
        <v>5253</v>
      </c>
      <c r="P1050" s="76">
        <v>43815.0</v>
      </c>
      <c r="U1050" s="70" t="s">
        <v>239</v>
      </c>
      <c r="W1050" s="70" t="s">
        <v>5256</v>
      </c>
      <c r="X1050" s="70" t="s">
        <v>5257</v>
      </c>
      <c r="Z1050" s="75" t="s">
        <v>5258</v>
      </c>
      <c r="AA1050" s="70" t="s">
        <v>5259</v>
      </c>
      <c r="AC1050" s="70">
        <v>15.0</v>
      </c>
      <c r="AE1050" s="70">
        <v>28.0</v>
      </c>
      <c r="AF1050" s="70" t="s">
        <v>239</v>
      </c>
      <c r="AW1050" s="70" t="s">
        <v>5260</v>
      </c>
      <c r="AZ1050" s="70">
        <v>1374.0</v>
      </c>
    </row>
    <row r="1051" ht="22.5" customHeight="1">
      <c r="A1051" s="70" t="str">
        <f t="shared" si="1"/>
        <v>Excluded</v>
      </c>
      <c r="B1051" s="70">
        <f t="shared" si="2"/>
        <v>0</v>
      </c>
      <c r="C1051" s="70">
        <v>0.0</v>
      </c>
      <c r="D1051" s="70">
        <v>0.0</v>
      </c>
      <c r="E1051" s="70">
        <v>0.0</v>
      </c>
      <c r="F1051" s="70">
        <v>0.0</v>
      </c>
      <c r="G1051" s="70">
        <v>0.0</v>
      </c>
      <c r="H1051" s="70" t="s">
        <v>5323</v>
      </c>
      <c r="I1051" s="70">
        <v>498.0</v>
      </c>
      <c r="J1051" s="70" t="s">
        <v>5321</v>
      </c>
      <c r="K1051" s="70" t="s">
        <v>5322</v>
      </c>
      <c r="L1051" s="70" t="s">
        <v>5252</v>
      </c>
      <c r="N1051" s="70" t="s">
        <v>5253</v>
      </c>
      <c r="P1051" s="76">
        <v>43815.0</v>
      </c>
      <c r="U1051" s="70" t="s">
        <v>239</v>
      </c>
      <c r="W1051" s="70" t="s">
        <v>5325</v>
      </c>
      <c r="X1051" s="70" t="s">
        <v>5257</v>
      </c>
      <c r="Z1051" s="75" t="s">
        <v>5326</v>
      </c>
      <c r="AC1051" s="70">
        <v>14.0</v>
      </c>
      <c r="AE1051" s="70">
        <v>24.0</v>
      </c>
      <c r="AF1051" s="70" t="s">
        <v>239</v>
      </c>
      <c r="AW1051" s="70" t="s">
        <v>5327</v>
      </c>
      <c r="AX1051" s="70">
        <v>1.0</v>
      </c>
      <c r="AZ1051" s="70">
        <v>1640.0</v>
      </c>
    </row>
    <row r="1052" ht="22.5" customHeight="1">
      <c r="A1052" s="70" t="str">
        <f t="shared" si="1"/>
        <v>Excluded</v>
      </c>
      <c r="B1052" s="70">
        <f t="shared" si="2"/>
        <v>0</v>
      </c>
      <c r="C1052" s="70">
        <v>0.0</v>
      </c>
      <c r="D1052" s="70">
        <v>0.0</v>
      </c>
      <c r="E1052" s="70">
        <v>0.0</v>
      </c>
      <c r="F1052" s="70">
        <v>0.0</v>
      </c>
      <c r="G1052" s="70">
        <v>0.0</v>
      </c>
      <c r="H1052" s="70" t="s">
        <v>5715</v>
      </c>
      <c r="I1052" s="70">
        <v>538.0</v>
      </c>
      <c r="J1052" s="70" t="s">
        <v>5712</v>
      </c>
      <c r="K1052" s="70" t="s">
        <v>5713</v>
      </c>
      <c r="L1052" s="70" t="s">
        <v>5714</v>
      </c>
      <c r="P1052" s="76">
        <v>44589.0</v>
      </c>
      <c r="U1052" s="70" t="s">
        <v>239</v>
      </c>
      <c r="W1052" s="70" t="s">
        <v>5717</v>
      </c>
      <c r="X1052" s="70" t="s">
        <v>5718</v>
      </c>
      <c r="Y1052" s="70" t="s">
        <v>5719</v>
      </c>
      <c r="Z1052" s="75" t="s">
        <v>5720</v>
      </c>
      <c r="AA1052" s="70" t="s">
        <v>5721</v>
      </c>
      <c r="AC1052" s="70">
        <v>9.0</v>
      </c>
      <c r="AE1052" s="70">
        <v>13.0</v>
      </c>
      <c r="AF1052" s="70" t="s">
        <v>239</v>
      </c>
      <c r="AW1052" s="70" t="s">
        <v>5722</v>
      </c>
      <c r="AZ1052" s="70">
        <v>1336.0</v>
      </c>
    </row>
    <row r="1053" ht="22.5" customHeight="1">
      <c r="A1053" s="70" t="str">
        <f t="shared" si="1"/>
        <v>Excluded</v>
      </c>
      <c r="B1053" s="70">
        <f t="shared" si="2"/>
        <v>0</v>
      </c>
      <c r="C1053" s="70">
        <v>0.0</v>
      </c>
      <c r="D1053" s="70">
        <v>0.0</v>
      </c>
      <c r="E1053" s="70">
        <v>0.0</v>
      </c>
      <c r="F1053" s="70">
        <v>0.0</v>
      </c>
      <c r="G1053" s="70">
        <v>0.0</v>
      </c>
      <c r="H1053" s="70" t="s">
        <v>5675</v>
      </c>
      <c r="I1053" s="70">
        <v>534.0</v>
      </c>
      <c r="J1053" s="70" t="s">
        <v>30318</v>
      </c>
      <c r="K1053" s="70" t="s">
        <v>5673</v>
      </c>
      <c r="L1053" s="70" t="s">
        <v>5674</v>
      </c>
      <c r="P1053" s="76">
        <v>44984.0</v>
      </c>
      <c r="U1053" s="70" t="s">
        <v>239</v>
      </c>
      <c r="W1053" s="70" t="s">
        <v>5677</v>
      </c>
      <c r="X1053" s="70" t="s">
        <v>5678</v>
      </c>
      <c r="Z1053" s="75" t="s">
        <v>5679</v>
      </c>
      <c r="AA1053" s="70" t="s">
        <v>5680</v>
      </c>
      <c r="AC1053" s="70">
        <v>10.0</v>
      </c>
      <c r="AE1053" s="70">
        <v>39.0</v>
      </c>
      <c r="AF1053" s="70" t="s">
        <v>239</v>
      </c>
      <c r="AW1053" s="70" t="s">
        <v>5681</v>
      </c>
      <c r="AZ1053" s="70">
        <v>1348.0</v>
      </c>
    </row>
    <row r="1054" ht="22.5" customHeight="1">
      <c r="A1054" s="70" t="str">
        <f t="shared" si="1"/>
        <v>Excluded</v>
      </c>
      <c r="B1054" s="70">
        <f t="shared" si="2"/>
        <v>0</v>
      </c>
      <c r="C1054" s="70">
        <v>0.0</v>
      </c>
      <c r="D1054" s="70">
        <v>0.0</v>
      </c>
      <c r="E1054" s="70">
        <v>0.0</v>
      </c>
      <c r="F1054" s="70">
        <v>0.0</v>
      </c>
      <c r="G1054" s="70">
        <v>0.0</v>
      </c>
      <c r="H1054" s="70" t="s">
        <v>11803</v>
      </c>
      <c r="I1054" s="70">
        <v>1235.0</v>
      </c>
      <c r="J1054" s="70" t="s">
        <v>11800</v>
      </c>
      <c r="K1054" s="70" t="s">
        <v>11801</v>
      </c>
      <c r="L1054" s="70" t="s">
        <v>11802</v>
      </c>
      <c r="N1054" s="70" t="s">
        <v>5253</v>
      </c>
      <c r="P1054" s="77">
        <v>45355.0</v>
      </c>
      <c r="U1054" s="70" t="s">
        <v>239</v>
      </c>
      <c r="W1054" s="70" t="s">
        <v>11805</v>
      </c>
      <c r="X1054" s="70" t="s">
        <v>11806</v>
      </c>
      <c r="Z1054" s="75" t="s">
        <v>11807</v>
      </c>
      <c r="AC1054" s="70">
        <v>1.0</v>
      </c>
      <c r="AE1054" s="70">
        <v>14.0</v>
      </c>
      <c r="AF1054" s="70" t="s">
        <v>239</v>
      </c>
      <c r="AW1054" s="70" t="s">
        <v>11808</v>
      </c>
      <c r="AX1054" s="70">
        <v>0.0</v>
      </c>
      <c r="AY1054" s="70" t="s">
        <v>24</v>
      </c>
      <c r="AZ1054" s="70">
        <v>2054.0</v>
      </c>
    </row>
    <row r="1055" ht="22.5" customHeight="1">
      <c r="A1055" s="70" t="str">
        <f t="shared" si="1"/>
        <v>Excluded</v>
      </c>
      <c r="B1055" s="70">
        <f t="shared" si="2"/>
        <v>0</v>
      </c>
      <c r="C1055" s="70">
        <v>0.0</v>
      </c>
      <c r="D1055" s="70">
        <v>0.0</v>
      </c>
      <c r="E1055" s="70">
        <v>0.0</v>
      </c>
      <c r="F1055" s="70">
        <v>0.0</v>
      </c>
      <c r="G1055" s="70">
        <v>0.0</v>
      </c>
      <c r="H1055" s="70" t="s">
        <v>12168</v>
      </c>
      <c r="I1055" s="70">
        <v>1272.0</v>
      </c>
      <c r="J1055" s="70" t="s">
        <v>12166</v>
      </c>
      <c r="K1055" s="70" t="s">
        <v>30319</v>
      </c>
      <c r="L1055" s="70" t="s">
        <v>11802</v>
      </c>
      <c r="N1055" s="70" t="s">
        <v>5253</v>
      </c>
      <c r="P1055" s="77">
        <v>45355.0</v>
      </c>
      <c r="U1055" s="70" t="s">
        <v>239</v>
      </c>
      <c r="W1055" s="70" t="s">
        <v>30320</v>
      </c>
      <c r="X1055" s="70" t="s">
        <v>11806</v>
      </c>
      <c r="Z1055" s="75" t="s">
        <v>12171</v>
      </c>
      <c r="AA1055" s="70" t="s">
        <v>12172</v>
      </c>
      <c r="AC1055" s="70">
        <v>1.0</v>
      </c>
      <c r="AE1055" s="70">
        <v>26.0</v>
      </c>
      <c r="AF1055" s="70" t="s">
        <v>239</v>
      </c>
      <c r="AW1055" s="70" t="s">
        <v>12173</v>
      </c>
      <c r="AX1055" s="70">
        <v>0.0</v>
      </c>
      <c r="AY1055" s="70" t="s">
        <v>24</v>
      </c>
      <c r="AZ1055" s="70">
        <v>2856.0</v>
      </c>
    </row>
    <row r="1056" ht="22.5" customHeight="1">
      <c r="A1056" s="70" t="str">
        <f t="shared" si="1"/>
        <v>Excluded</v>
      </c>
      <c r="B1056" s="70">
        <f t="shared" si="2"/>
        <v>0</v>
      </c>
      <c r="C1056" s="70">
        <v>0.0</v>
      </c>
      <c r="D1056" s="70">
        <v>0.0</v>
      </c>
      <c r="E1056" s="70">
        <v>0.0</v>
      </c>
      <c r="F1056" s="70">
        <v>0.0</v>
      </c>
      <c r="G1056" s="70">
        <v>0.0</v>
      </c>
      <c r="H1056" s="70" t="s">
        <v>14556</v>
      </c>
      <c r="I1056" s="70">
        <v>1518.0</v>
      </c>
      <c r="J1056" s="70" t="s">
        <v>30321</v>
      </c>
      <c r="K1056" s="70" t="s">
        <v>14554</v>
      </c>
      <c r="L1056" s="70" t="s">
        <v>14555</v>
      </c>
      <c r="N1056" s="70" t="s">
        <v>5253</v>
      </c>
      <c r="P1056" s="76">
        <v>45684.0</v>
      </c>
      <c r="U1056" s="70" t="s">
        <v>239</v>
      </c>
      <c r="W1056" s="70" t="s">
        <v>14558</v>
      </c>
      <c r="X1056" s="70" t="s">
        <v>14559</v>
      </c>
      <c r="Z1056" s="75" t="s">
        <v>14560</v>
      </c>
      <c r="AA1056" s="70" t="s">
        <v>14561</v>
      </c>
      <c r="AE1056" s="70">
        <v>16.0</v>
      </c>
      <c r="AF1056" s="70" t="s">
        <v>239</v>
      </c>
      <c r="AW1056" s="70" t="s">
        <v>14562</v>
      </c>
      <c r="AX1056" s="70">
        <v>0.0</v>
      </c>
      <c r="AY1056" s="70" t="s">
        <v>24</v>
      </c>
      <c r="AZ1056" s="70">
        <v>3136.0</v>
      </c>
    </row>
    <row r="1057" ht="22.5" customHeight="1">
      <c r="A1057" s="70" t="str">
        <f t="shared" si="1"/>
        <v>Excluded</v>
      </c>
      <c r="B1057" s="70">
        <f t="shared" si="2"/>
        <v>0</v>
      </c>
      <c r="C1057" s="70">
        <v>0.0</v>
      </c>
      <c r="D1057" s="70">
        <v>0.0</v>
      </c>
      <c r="E1057" s="70">
        <v>0.0</v>
      </c>
      <c r="F1057" s="70">
        <v>0.0</v>
      </c>
      <c r="G1057" s="70">
        <v>0.0</v>
      </c>
      <c r="H1057" s="70" t="s">
        <v>6686</v>
      </c>
      <c r="I1057" s="70">
        <v>636.0</v>
      </c>
      <c r="J1057" s="70" t="s">
        <v>6683</v>
      </c>
      <c r="K1057" s="70" t="s">
        <v>6684</v>
      </c>
      <c r="L1057" s="70" t="s">
        <v>6685</v>
      </c>
      <c r="N1057" s="70" t="s">
        <v>6134</v>
      </c>
      <c r="P1057" s="77">
        <v>42923.0</v>
      </c>
      <c r="U1057" s="70" t="s">
        <v>239</v>
      </c>
      <c r="W1057" s="70" t="s">
        <v>6688</v>
      </c>
      <c r="X1057" s="70" t="s">
        <v>6689</v>
      </c>
      <c r="Z1057" s="75" t="s">
        <v>6690</v>
      </c>
      <c r="AA1057" s="70" t="s">
        <v>6691</v>
      </c>
      <c r="AC1057" s="70">
        <v>5.0</v>
      </c>
      <c r="AE1057" s="70">
        <v>25.0</v>
      </c>
      <c r="AF1057" s="70" t="s">
        <v>239</v>
      </c>
      <c r="AW1057" s="70" t="s">
        <v>6692</v>
      </c>
      <c r="AZ1057" s="70">
        <v>555.0</v>
      </c>
    </row>
    <row r="1058" ht="22.5" customHeight="1">
      <c r="A1058" s="70" t="str">
        <f t="shared" si="1"/>
        <v>Excluded</v>
      </c>
      <c r="B1058" s="70">
        <f t="shared" si="2"/>
        <v>0</v>
      </c>
      <c r="C1058" s="70">
        <v>0.0</v>
      </c>
      <c r="D1058" s="70">
        <v>0.0</v>
      </c>
      <c r="E1058" s="70">
        <v>0.0</v>
      </c>
      <c r="F1058" s="70">
        <v>0.0</v>
      </c>
      <c r="G1058" s="70">
        <v>0.0</v>
      </c>
      <c r="H1058" s="70" t="s">
        <v>6135</v>
      </c>
      <c r="I1058" s="70">
        <v>580.0</v>
      </c>
      <c r="J1058" s="70" t="s">
        <v>6131</v>
      </c>
      <c r="K1058" s="70" t="s">
        <v>6132</v>
      </c>
      <c r="L1058" s="70" t="s">
        <v>6133</v>
      </c>
      <c r="N1058" s="70" t="s">
        <v>6134</v>
      </c>
      <c r="P1058" s="76">
        <v>43643.0</v>
      </c>
      <c r="U1058" s="70" t="s">
        <v>239</v>
      </c>
      <c r="W1058" s="70" t="s">
        <v>6137</v>
      </c>
      <c r="X1058" s="70" t="s">
        <v>6138</v>
      </c>
      <c r="Z1058" s="75" t="s">
        <v>6139</v>
      </c>
      <c r="AA1058" s="70" t="s">
        <v>6140</v>
      </c>
      <c r="AC1058" s="70">
        <v>7.0</v>
      </c>
      <c r="AE1058" s="70">
        <v>18.0</v>
      </c>
      <c r="AF1058" s="70" t="s">
        <v>239</v>
      </c>
      <c r="AX1058" s="70">
        <v>0.0</v>
      </c>
      <c r="AY1058" s="70" t="s">
        <v>24</v>
      </c>
      <c r="AZ1058" s="70">
        <v>2627.0</v>
      </c>
    </row>
    <row r="1059" ht="22.5" customHeight="1">
      <c r="A1059" s="70" t="str">
        <f t="shared" si="1"/>
        <v>Excluded</v>
      </c>
      <c r="B1059" s="70">
        <f t="shared" si="2"/>
        <v>0</v>
      </c>
      <c r="C1059" s="70">
        <v>0.0</v>
      </c>
      <c r="D1059" s="70">
        <v>0.0</v>
      </c>
      <c r="E1059" s="70">
        <v>0.0</v>
      </c>
      <c r="F1059" s="70">
        <v>0.0</v>
      </c>
      <c r="G1059" s="70">
        <v>0.0</v>
      </c>
      <c r="H1059" s="70" t="s">
        <v>16208</v>
      </c>
      <c r="I1059" s="70">
        <v>1747.0</v>
      </c>
      <c r="K1059" s="70" t="s">
        <v>10597</v>
      </c>
      <c r="L1059" s="70" t="s">
        <v>16207</v>
      </c>
      <c r="N1059" s="70" t="s">
        <v>6134</v>
      </c>
      <c r="P1059" s="76">
        <v>45155.0</v>
      </c>
      <c r="U1059" s="70" t="s">
        <v>239</v>
      </c>
      <c r="X1059" s="70" t="s">
        <v>16209</v>
      </c>
      <c r="Z1059" s="75" t="s">
        <v>16210</v>
      </c>
      <c r="AF1059" s="70" t="s">
        <v>239</v>
      </c>
      <c r="AZ1059" s="70">
        <v>1538.0</v>
      </c>
    </row>
    <row r="1060" ht="22.5" customHeight="1">
      <c r="A1060" s="70" t="str">
        <f t="shared" si="1"/>
        <v>Excluded</v>
      </c>
      <c r="B1060" s="70">
        <f t="shared" si="2"/>
        <v>0</v>
      </c>
      <c r="C1060" s="70">
        <v>0.0</v>
      </c>
      <c r="D1060" s="70">
        <v>0.0</v>
      </c>
      <c r="E1060" s="70">
        <v>0.0</v>
      </c>
      <c r="F1060" s="70">
        <v>0.0</v>
      </c>
      <c r="G1060" s="70">
        <v>0.0</v>
      </c>
      <c r="H1060" s="70" t="s">
        <v>10605</v>
      </c>
      <c r="I1060" s="70">
        <v>1047.0</v>
      </c>
      <c r="K1060" s="70" t="s">
        <v>10597</v>
      </c>
      <c r="L1060" s="70" t="s">
        <v>10604</v>
      </c>
      <c r="P1060" s="78">
        <v>44701.0</v>
      </c>
      <c r="U1060" s="70" t="s">
        <v>239</v>
      </c>
      <c r="W1060" s="70" t="s">
        <v>10602</v>
      </c>
      <c r="X1060" s="70" t="s">
        <v>10606</v>
      </c>
      <c r="Z1060" s="75" t="s">
        <v>10607</v>
      </c>
      <c r="AF1060" s="70" t="s">
        <v>239</v>
      </c>
      <c r="AZ1060" s="70">
        <v>1589.0</v>
      </c>
    </row>
    <row r="1061" ht="22.5" customHeight="1">
      <c r="A1061" s="70" t="str">
        <f t="shared" si="1"/>
        <v>Excluded</v>
      </c>
      <c r="B1061" s="70">
        <f t="shared" si="2"/>
        <v>0</v>
      </c>
      <c r="C1061" s="70">
        <v>0.0</v>
      </c>
      <c r="D1061" s="70">
        <v>0.0</v>
      </c>
      <c r="E1061" s="70">
        <v>0.0</v>
      </c>
      <c r="F1061" s="70">
        <v>0.0</v>
      </c>
      <c r="G1061" s="70">
        <v>0.0</v>
      </c>
      <c r="H1061" s="70" t="s">
        <v>15913</v>
      </c>
      <c r="I1061" s="70">
        <v>1672.0</v>
      </c>
      <c r="K1061" s="70" t="s">
        <v>10597</v>
      </c>
      <c r="L1061" s="70" t="s">
        <v>13469</v>
      </c>
      <c r="N1061" s="70" t="s">
        <v>13470</v>
      </c>
      <c r="P1061" s="76">
        <v>45099.0</v>
      </c>
      <c r="U1061" s="70" t="s">
        <v>239</v>
      </c>
      <c r="X1061" s="70" t="s">
        <v>13474</v>
      </c>
      <c r="Z1061" s="75" t="s">
        <v>15914</v>
      </c>
      <c r="AF1061" s="70" t="s">
        <v>239</v>
      </c>
      <c r="AZ1061" s="70">
        <v>1540.0</v>
      </c>
    </row>
    <row r="1062" ht="22.5" customHeight="1">
      <c r="A1062" s="70" t="str">
        <f t="shared" si="1"/>
        <v>Excluded</v>
      </c>
      <c r="B1062" s="70">
        <f t="shared" si="2"/>
        <v>0</v>
      </c>
      <c r="C1062" s="70">
        <v>0.0</v>
      </c>
      <c r="D1062" s="70">
        <v>0.0</v>
      </c>
      <c r="E1062" s="70">
        <v>0.0</v>
      </c>
      <c r="F1062" s="70">
        <v>0.0</v>
      </c>
      <c r="G1062" s="70">
        <v>0.0</v>
      </c>
      <c r="H1062" s="70" t="s">
        <v>13471</v>
      </c>
      <c r="I1062" s="70">
        <v>1403.0</v>
      </c>
      <c r="J1062" s="70" t="s">
        <v>13467</v>
      </c>
      <c r="K1062" s="70" t="s">
        <v>13468</v>
      </c>
      <c r="L1062" s="70" t="s">
        <v>13469</v>
      </c>
      <c r="N1062" s="70" t="s">
        <v>13470</v>
      </c>
      <c r="P1062" s="76">
        <v>45099.0</v>
      </c>
      <c r="U1062" s="70" t="s">
        <v>239</v>
      </c>
      <c r="W1062" s="70" t="s">
        <v>30322</v>
      </c>
      <c r="X1062" s="70" t="s">
        <v>13474</v>
      </c>
      <c r="Y1062" s="70" t="s">
        <v>30323</v>
      </c>
      <c r="Z1062" s="75" t="s">
        <v>13476</v>
      </c>
      <c r="AA1062" s="70" t="s">
        <v>13477</v>
      </c>
      <c r="AE1062" s="70">
        <v>22.0</v>
      </c>
      <c r="AF1062" s="70" t="s">
        <v>239</v>
      </c>
      <c r="AW1062" s="70" t="s">
        <v>13478</v>
      </c>
      <c r="AX1062" s="70">
        <v>0.0</v>
      </c>
      <c r="AY1062" s="70" t="s">
        <v>24</v>
      </c>
      <c r="AZ1062" s="70">
        <v>2871.0</v>
      </c>
    </row>
    <row r="1063" ht="22.5" customHeight="1">
      <c r="A1063" s="70" t="str">
        <f t="shared" si="1"/>
        <v>Excluded</v>
      </c>
      <c r="B1063" s="70">
        <f t="shared" si="2"/>
        <v>0</v>
      </c>
      <c r="C1063" s="70">
        <v>0.0</v>
      </c>
      <c r="D1063" s="70">
        <v>0.0</v>
      </c>
      <c r="E1063" s="70">
        <v>0.0</v>
      </c>
      <c r="F1063" s="70">
        <v>0.0</v>
      </c>
      <c r="G1063" s="70">
        <v>0.0</v>
      </c>
      <c r="H1063" s="70" t="s">
        <v>10609</v>
      </c>
      <c r="I1063" s="70">
        <v>1048.0</v>
      </c>
      <c r="K1063" s="70" t="s">
        <v>10597</v>
      </c>
      <c r="L1063" s="70" t="s">
        <v>10608</v>
      </c>
      <c r="P1063" s="77">
        <v>45022.0</v>
      </c>
      <c r="U1063" s="70" t="s">
        <v>239</v>
      </c>
      <c r="X1063" s="70" t="s">
        <v>10610</v>
      </c>
      <c r="Z1063" s="75" t="s">
        <v>10611</v>
      </c>
      <c r="AF1063" s="70" t="s">
        <v>239</v>
      </c>
      <c r="AZ1063" s="70">
        <v>1552.0</v>
      </c>
    </row>
    <row r="1064" ht="22.5" customHeight="1">
      <c r="A1064" s="70" t="str">
        <f t="shared" si="1"/>
        <v>Excluded</v>
      </c>
      <c r="B1064" s="70">
        <f t="shared" si="2"/>
        <v>0</v>
      </c>
      <c r="C1064" s="70">
        <v>0.0</v>
      </c>
      <c r="D1064" s="70">
        <v>0.0</v>
      </c>
      <c r="E1064" s="70">
        <v>0.0</v>
      </c>
      <c r="F1064" s="70">
        <v>0.0</v>
      </c>
      <c r="G1064" s="70">
        <v>0.0</v>
      </c>
      <c r="H1064" s="70" t="s">
        <v>12108</v>
      </c>
      <c r="I1064" s="70">
        <v>1266.0</v>
      </c>
      <c r="J1064" s="70" t="s">
        <v>12105</v>
      </c>
      <c r="K1064" s="70" t="s">
        <v>12106</v>
      </c>
      <c r="L1064" s="70" t="s">
        <v>12107</v>
      </c>
      <c r="P1064" s="76">
        <v>45042.0</v>
      </c>
      <c r="U1064" s="70" t="s">
        <v>239</v>
      </c>
      <c r="W1064" s="70" t="s">
        <v>30324</v>
      </c>
      <c r="X1064" s="70" t="s">
        <v>12111</v>
      </c>
      <c r="Z1064" s="75" t="s">
        <v>12112</v>
      </c>
      <c r="AA1064" s="70" t="s">
        <v>12113</v>
      </c>
      <c r="AC1064" s="70">
        <v>1.0</v>
      </c>
      <c r="AE1064" s="70">
        <v>21.0</v>
      </c>
      <c r="AF1064" s="70" t="s">
        <v>239</v>
      </c>
      <c r="AW1064" s="70" t="s">
        <v>12114</v>
      </c>
      <c r="AX1064" s="70">
        <v>0.0</v>
      </c>
      <c r="AY1064" s="70" t="s">
        <v>24</v>
      </c>
      <c r="AZ1064" s="70">
        <v>2742.0</v>
      </c>
    </row>
    <row r="1065" ht="22.5" customHeight="1">
      <c r="A1065" s="70" t="str">
        <f t="shared" si="1"/>
        <v>Excluded</v>
      </c>
      <c r="B1065" s="70">
        <f t="shared" si="2"/>
        <v>0</v>
      </c>
      <c r="C1065" s="70">
        <v>0.0</v>
      </c>
      <c r="D1065" s="70">
        <v>0.0</v>
      </c>
      <c r="E1065" s="70">
        <v>0.0</v>
      </c>
      <c r="F1065" s="70">
        <v>0.0</v>
      </c>
      <c r="G1065" s="70">
        <v>0.0</v>
      </c>
      <c r="H1065" s="70" t="s">
        <v>27789</v>
      </c>
      <c r="I1065" s="70">
        <v>2998.0</v>
      </c>
      <c r="J1065" s="70" t="s">
        <v>27787</v>
      </c>
      <c r="K1065" s="70" t="s">
        <v>27788</v>
      </c>
      <c r="W1065" s="70" t="s">
        <v>30325</v>
      </c>
      <c r="AA1065" s="70" t="s">
        <v>27791</v>
      </c>
      <c r="AI1065" s="70" t="s">
        <v>27792</v>
      </c>
      <c r="AJ1065" s="70" t="s">
        <v>27793</v>
      </c>
      <c r="AK1065" s="70">
        <v>2020.0</v>
      </c>
      <c r="AL1065" s="70" t="s">
        <v>27794</v>
      </c>
      <c r="AM1065" s="70">
        <v>9321939.0</v>
      </c>
      <c r="AN1065" s="70">
        <v>119.0</v>
      </c>
      <c r="AO1065" s="70">
        <v>124.0</v>
      </c>
      <c r="AP1065" s="70">
        <v>5.0</v>
      </c>
      <c r="AQ1065" s="70">
        <v>4.0</v>
      </c>
      <c r="AR1065" s="75" t="s">
        <v>27795</v>
      </c>
      <c r="AS1065" s="70" t="s">
        <v>22525</v>
      </c>
      <c r="AU1065" s="70" t="s">
        <v>237</v>
      </c>
      <c r="AV1065" s="70" t="s">
        <v>27796</v>
      </c>
      <c r="AW1065" s="70" t="s">
        <v>27797</v>
      </c>
      <c r="AZ1065" s="70">
        <v>834.0</v>
      </c>
    </row>
    <row r="1066" ht="22.5" customHeight="1">
      <c r="A1066" s="70" t="str">
        <f t="shared" si="1"/>
        <v>Excluded</v>
      </c>
      <c r="B1066" s="70">
        <f t="shared" si="2"/>
        <v>0</v>
      </c>
      <c r="C1066" s="70">
        <v>0.0</v>
      </c>
      <c r="D1066" s="70">
        <v>0.0</v>
      </c>
      <c r="E1066" s="70">
        <v>0.0</v>
      </c>
      <c r="F1066" s="70">
        <v>0.0</v>
      </c>
      <c r="G1066" s="70">
        <v>0.0</v>
      </c>
      <c r="H1066" s="70" t="s">
        <v>27913</v>
      </c>
      <c r="I1066" s="70">
        <v>3010.0</v>
      </c>
      <c r="J1066" s="70" t="s">
        <v>27911</v>
      </c>
      <c r="K1066" s="70" t="s">
        <v>27912</v>
      </c>
      <c r="W1066" s="70" t="s">
        <v>30326</v>
      </c>
      <c r="AA1066" s="70" t="s">
        <v>27791</v>
      </c>
      <c r="AI1066" s="70" t="s">
        <v>27915</v>
      </c>
      <c r="AJ1066" s="70" t="s">
        <v>27916</v>
      </c>
      <c r="AK1066" s="70">
        <v>2020.0</v>
      </c>
      <c r="AL1066" s="70" t="s">
        <v>27794</v>
      </c>
      <c r="AM1066" s="70">
        <v>9321960.0</v>
      </c>
      <c r="AN1066" s="70">
        <v>125.0</v>
      </c>
      <c r="AO1066" s="70">
        <v>133.0</v>
      </c>
      <c r="AP1066" s="70">
        <v>8.0</v>
      </c>
      <c r="AQ1066" s="70">
        <v>4.0</v>
      </c>
      <c r="AR1066" s="75" t="s">
        <v>27917</v>
      </c>
      <c r="AS1066" s="70" t="s">
        <v>22525</v>
      </c>
      <c r="AU1066" s="70" t="s">
        <v>237</v>
      </c>
      <c r="AV1066" s="70" t="s">
        <v>27918</v>
      </c>
      <c r="AW1066" s="70" t="s">
        <v>27919</v>
      </c>
      <c r="AZ1066" s="70">
        <v>1182.0</v>
      </c>
    </row>
    <row r="1067" ht="22.5" customHeight="1">
      <c r="A1067" s="70" t="str">
        <f t="shared" si="1"/>
        <v>Excluded</v>
      </c>
      <c r="B1067" s="70">
        <f t="shared" si="2"/>
        <v>0</v>
      </c>
      <c r="C1067" s="70">
        <v>0.0</v>
      </c>
      <c r="D1067" s="70">
        <v>0.0</v>
      </c>
      <c r="E1067" s="70">
        <v>0.0</v>
      </c>
      <c r="F1067" s="70">
        <v>0.0</v>
      </c>
      <c r="G1067" s="70">
        <v>0.0</v>
      </c>
      <c r="H1067" s="70" t="s">
        <v>28318</v>
      </c>
      <c r="I1067" s="70">
        <v>3050.0</v>
      </c>
      <c r="J1067" s="70" t="s">
        <v>28316</v>
      </c>
      <c r="K1067" s="70" t="s">
        <v>28317</v>
      </c>
      <c r="W1067" s="70" t="s">
        <v>30327</v>
      </c>
      <c r="AA1067" s="70" t="s">
        <v>28320</v>
      </c>
      <c r="AI1067" s="70" t="s">
        <v>28321</v>
      </c>
      <c r="AJ1067" s="70" t="s">
        <v>28322</v>
      </c>
      <c r="AK1067" s="70">
        <v>2020.0</v>
      </c>
      <c r="AL1067" s="70" t="s">
        <v>27794</v>
      </c>
      <c r="AM1067" s="70">
        <v>9322045.0</v>
      </c>
      <c r="AN1067" s="70">
        <v>134.0</v>
      </c>
      <c r="AO1067" s="70">
        <v>140.0</v>
      </c>
      <c r="AP1067" s="70">
        <v>6.0</v>
      </c>
      <c r="AQ1067" s="70">
        <v>2.0</v>
      </c>
      <c r="AR1067" s="75" t="s">
        <v>28323</v>
      </c>
      <c r="AS1067" s="70" t="s">
        <v>22525</v>
      </c>
      <c r="AU1067" s="70" t="s">
        <v>237</v>
      </c>
      <c r="AV1067" s="70" t="s">
        <v>28324</v>
      </c>
      <c r="AW1067" s="70" t="s">
        <v>28325</v>
      </c>
      <c r="AZ1067" s="70">
        <v>1131.0</v>
      </c>
    </row>
    <row r="1068" ht="22.5" customHeight="1">
      <c r="A1068" s="70" t="str">
        <f t="shared" si="1"/>
        <v>Excluded</v>
      </c>
      <c r="B1068" s="70">
        <f t="shared" si="2"/>
        <v>0</v>
      </c>
      <c r="C1068" s="70">
        <v>0.0</v>
      </c>
      <c r="D1068" s="70">
        <v>0.0</v>
      </c>
      <c r="E1068" s="70">
        <v>0.0</v>
      </c>
      <c r="F1068" s="70">
        <v>0.0</v>
      </c>
      <c r="G1068" s="70">
        <v>0.0</v>
      </c>
      <c r="H1068" s="70" t="s">
        <v>9931</v>
      </c>
      <c r="I1068" s="70">
        <v>973.0</v>
      </c>
      <c r="J1068" s="70" t="s">
        <v>9928</v>
      </c>
      <c r="K1068" s="70" t="s">
        <v>9929</v>
      </c>
      <c r="L1068" s="70" t="s">
        <v>9930</v>
      </c>
      <c r="P1068" s="76">
        <v>44957.0</v>
      </c>
      <c r="U1068" s="70" t="s">
        <v>239</v>
      </c>
      <c r="W1068" s="70" t="s">
        <v>9933</v>
      </c>
      <c r="X1068" s="70" t="s">
        <v>9934</v>
      </c>
      <c r="Z1068" s="75" t="s">
        <v>9935</v>
      </c>
      <c r="AA1068" s="70" t="s">
        <v>9936</v>
      </c>
      <c r="AE1068" s="70">
        <v>19.0</v>
      </c>
      <c r="AF1068" s="70" t="s">
        <v>239</v>
      </c>
      <c r="AW1068" s="70" t="s">
        <v>9937</v>
      </c>
      <c r="AZ1068" s="70">
        <v>1134.0</v>
      </c>
    </row>
    <row r="1069" ht="22.5" customHeight="1">
      <c r="A1069" s="70" t="str">
        <f t="shared" si="1"/>
        <v>Excluded</v>
      </c>
      <c r="B1069" s="70">
        <f t="shared" si="2"/>
        <v>0</v>
      </c>
      <c r="C1069" s="70">
        <v>0.0</v>
      </c>
      <c r="D1069" s="70">
        <v>0.0</v>
      </c>
      <c r="E1069" s="70">
        <v>0.0</v>
      </c>
      <c r="F1069" s="70">
        <v>0.0</v>
      </c>
      <c r="G1069" s="70">
        <v>0.0</v>
      </c>
      <c r="H1069" s="70" t="s">
        <v>15143</v>
      </c>
      <c r="I1069" s="70">
        <v>1579.0</v>
      </c>
      <c r="K1069" s="70" t="s">
        <v>15141</v>
      </c>
      <c r="L1069" s="70" t="s">
        <v>15142</v>
      </c>
      <c r="P1069" s="77">
        <v>45267.0</v>
      </c>
      <c r="U1069" s="70" t="s">
        <v>239</v>
      </c>
      <c r="W1069" s="70" t="s">
        <v>15144</v>
      </c>
      <c r="X1069" s="70" t="s">
        <v>15145</v>
      </c>
      <c r="Z1069" s="75" t="s">
        <v>15146</v>
      </c>
      <c r="AF1069" s="70" t="s">
        <v>239</v>
      </c>
      <c r="AW1069" s="70" t="s">
        <v>15147</v>
      </c>
      <c r="AZ1069" s="70">
        <v>621.0</v>
      </c>
    </row>
    <row r="1070" ht="22.5" customHeight="1">
      <c r="A1070" s="70" t="str">
        <f t="shared" si="1"/>
        <v>Excluded</v>
      </c>
      <c r="B1070" s="70">
        <f t="shared" si="2"/>
        <v>0</v>
      </c>
      <c r="C1070" s="70">
        <v>0.0</v>
      </c>
      <c r="D1070" s="70">
        <v>0.0</v>
      </c>
      <c r="E1070" s="70">
        <v>0.0</v>
      </c>
      <c r="F1070" s="70">
        <v>0.0</v>
      </c>
      <c r="G1070" s="70">
        <v>0.0</v>
      </c>
      <c r="H1070" s="70" t="s">
        <v>16226</v>
      </c>
      <c r="I1070" s="70">
        <v>1753.0</v>
      </c>
      <c r="K1070" s="70" t="s">
        <v>16225</v>
      </c>
      <c r="L1070" s="70" t="s">
        <v>15142</v>
      </c>
      <c r="P1070" s="77">
        <v>45267.0</v>
      </c>
      <c r="U1070" s="70" t="s">
        <v>239</v>
      </c>
      <c r="X1070" s="70" t="s">
        <v>15145</v>
      </c>
      <c r="Z1070" s="75" t="s">
        <v>16227</v>
      </c>
      <c r="AF1070" s="70" t="s">
        <v>239</v>
      </c>
      <c r="AZ1070" s="70">
        <v>1507.0</v>
      </c>
    </row>
    <row r="1071" ht="22.5" customHeight="1">
      <c r="A1071" s="70" t="str">
        <f t="shared" si="1"/>
        <v>Excluded</v>
      </c>
      <c r="B1071" s="70">
        <f t="shared" si="2"/>
        <v>0</v>
      </c>
      <c r="C1071" s="70">
        <v>0.0</v>
      </c>
      <c r="D1071" s="70">
        <v>0.0</v>
      </c>
      <c r="E1071" s="70">
        <v>0.0</v>
      </c>
      <c r="F1071" s="70">
        <v>0.0</v>
      </c>
      <c r="G1071" s="70">
        <v>0.0</v>
      </c>
      <c r="H1071" s="70" t="s">
        <v>16032</v>
      </c>
      <c r="I1071" s="70">
        <v>1702.0</v>
      </c>
      <c r="K1071" s="70" t="s">
        <v>10612</v>
      </c>
      <c r="L1071" s="70" t="s">
        <v>15875</v>
      </c>
      <c r="N1071" s="70" t="s">
        <v>15876</v>
      </c>
      <c r="P1071" s="77">
        <v>45658.0</v>
      </c>
      <c r="U1071" s="70" t="s">
        <v>239</v>
      </c>
      <c r="X1071" s="70" t="s">
        <v>15878</v>
      </c>
      <c r="Z1071" s="75" t="s">
        <v>16033</v>
      </c>
      <c r="AF1071" s="70" t="s">
        <v>239</v>
      </c>
      <c r="AZ1071" s="70">
        <v>1423.0</v>
      </c>
    </row>
    <row r="1072" ht="22.5" customHeight="1">
      <c r="A1072" s="70" t="str">
        <f t="shared" si="1"/>
        <v>Excluded</v>
      </c>
      <c r="B1072" s="70">
        <f t="shared" si="2"/>
        <v>0</v>
      </c>
      <c r="C1072" s="70">
        <v>0.0</v>
      </c>
      <c r="D1072" s="70">
        <v>0.0</v>
      </c>
      <c r="E1072" s="70">
        <v>0.0</v>
      </c>
      <c r="F1072" s="70">
        <v>0.0</v>
      </c>
      <c r="G1072" s="70">
        <v>0.0</v>
      </c>
      <c r="H1072" s="70" t="s">
        <v>15877</v>
      </c>
      <c r="I1072" s="70">
        <v>1663.0</v>
      </c>
      <c r="K1072" s="70" t="s">
        <v>15874</v>
      </c>
      <c r="L1072" s="70" t="s">
        <v>15875</v>
      </c>
      <c r="N1072" s="70" t="s">
        <v>15876</v>
      </c>
      <c r="P1072" s="77">
        <v>45658.0</v>
      </c>
      <c r="U1072" s="70" t="s">
        <v>239</v>
      </c>
      <c r="X1072" s="70" t="s">
        <v>15878</v>
      </c>
      <c r="Z1072" s="75" t="s">
        <v>15879</v>
      </c>
      <c r="AF1072" s="70" t="s">
        <v>239</v>
      </c>
      <c r="AW1072" s="70" t="s">
        <v>15880</v>
      </c>
      <c r="AZ1072" s="70">
        <v>1438.0</v>
      </c>
    </row>
    <row r="1073" ht="22.5" customHeight="1">
      <c r="A1073" s="70" t="str">
        <f t="shared" si="1"/>
        <v>Excluded</v>
      </c>
      <c r="B1073" s="70">
        <f t="shared" si="2"/>
        <v>0</v>
      </c>
      <c r="C1073" s="70">
        <v>0.0</v>
      </c>
      <c r="D1073" s="70">
        <v>0.0</v>
      </c>
      <c r="E1073" s="70">
        <v>0.0</v>
      </c>
      <c r="F1073" s="70">
        <v>0.0</v>
      </c>
      <c r="G1073" s="70">
        <v>0.0</v>
      </c>
      <c r="H1073" s="70" t="s">
        <v>10802</v>
      </c>
      <c r="I1073" s="70">
        <v>1093.0</v>
      </c>
      <c r="K1073" s="70" t="s">
        <v>10734</v>
      </c>
      <c r="L1073" s="70" t="s">
        <v>8412</v>
      </c>
      <c r="P1073" s="77">
        <v>44840.0</v>
      </c>
      <c r="U1073" s="70" t="s">
        <v>239</v>
      </c>
      <c r="W1073" s="70" t="s">
        <v>10670</v>
      </c>
      <c r="X1073" s="70" t="s">
        <v>8416</v>
      </c>
      <c r="Z1073" s="75" t="s">
        <v>10804</v>
      </c>
      <c r="AF1073" s="70" t="s">
        <v>239</v>
      </c>
      <c r="AZ1073" s="70">
        <v>1378.0</v>
      </c>
    </row>
    <row r="1074" ht="22.5" customHeight="1">
      <c r="A1074" s="70" t="str">
        <f t="shared" si="1"/>
        <v>Excluded</v>
      </c>
      <c r="B1074" s="70">
        <f t="shared" si="2"/>
        <v>0</v>
      </c>
      <c r="C1074" s="70">
        <v>0.0</v>
      </c>
      <c r="D1074" s="70">
        <v>0.0</v>
      </c>
      <c r="E1074" s="70">
        <v>0.0</v>
      </c>
      <c r="F1074" s="70">
        <v>0.0</v>
      </c>
      <c r="G1074" s="70">
        <v>0.0</v>
      </c>
      <c r="H1074" s="70" t="s">
        <v>8413</v>
      </c>
      <c r="I1074" s="70">
        <v>815.0</v>
      </c>
      <c r="J1074" s="70" t="s">
        <v>8410</v>
      </c>
      <c r="K1074" s="70" t="s">
        <v>8411</v>
      </c>
      <c r="L1074" s="70" t="s">
        <v>8412</v>
      </c>
      <c r="P1074" s="77">
        <v>44840.0</v>
      </c>
      <c r="U1074" s="70" t="s">
        <v>239</v>
      </c>
      <c r="W1074" s="70" t="s">
        <v>8415</v>
      </c>
      <c r="X1074" s="70" t="s">
        <v>8416</v>
      </c>
      <c r="Z1074" s="75" t="s">
        <v>8417</v>
      </c>
      <c r="AA1074" s="70" t="s">
        <v>8418</v>
      </c>
      <c r="AC1074" s="70">
        <v>2.0</v>
      </c>
      <c r="AE1074" s="70">
        <v>35.0</v>
      </c>
      <c r="AF1074" s="70" t="s">
        <v>239</v>
      </c>
      <c r="AW1074" s="70" t="s">
        <v>8419</v>
      </c>
      <c r="AX1074" s="70">
        <v>0.0</v>
      </c>
      <c r="AY1074" s="70" t="s">
        <v>24</v>
      </c>
      <c r="AZ1074" s="70">
        <v>2721.0</v>
      </c>
    </row>
    <row r="1075" ht="22.5" customHeight="1">
      <c r="A1075" s="70" t="str">
        <f t="shared" si="1"/>
        <v>Excluded</v>
      </c>
      <c r="B1075" s="70">
        <f t="shared" si="2"/>
        <v>0</v>
      </c>
      <c r="C1075" s="70">
        <v>0.0</v>
      </c>
      <c r="D1075" s="70">
        <v>0.0</v>
      </c>
      <c r="E1075" s="70">
        <v>0.0</v>
      </c>
      <c r="F1075" s="70">
        <v>0.0</v>
      </c>
      <c r="G1075" s="70">
        <v>0.0</v>
      </c>
      <c r="H1075" s="70" t="s">
        <v>9408</v>
      </c>
      <c r="I1075" s="70">
        <v>918.0</v>
      </c>
      <c r="J1075" s="70" t="s">
        <v>9404</v>
      </c>
      <c r="K1075" s="70" t="s">
        <v>9405</v>
      </c>
      <c r="L1075" s="70" t="s">
        <v>9406</v>
      </c>
      <c r="N1075" s="70" t="s">
        <v>9407</v>
      </c>
      <c r="P1075" s="76">
        <v>44420.0</v>
      </c>
      <c r="U1075" s="70" t="s">
        <v>239</v>
      </c>
      <c r="W1075" s="70" t="s">
        <v>9410</v>
      </c>
      <c r="X1075" s="70" t="s">
        <v>9411</v>
      </c>
      <c r="Z1075" s="75" t="s">
        <v>9412</v>
      </c>
      <c r="AA1075" s="70" t="s">
        <v>9413</v>
      </c>
      <c r="AE1075" s="70">
        <v>27.0</v>
      </c>
      <c r="AF1075" s="70" t="s">
        <v>239</v>
      </c>
      <c r="AW1075" s="70" t="s">
        <v>9414</v>
      </c>
      <c r="AX1075" s="70">
        <v>0.0</v>
      </c>
      <c r="AY1075" s="70" t="s">
        <v>24</v>
      </c>
      <c r="AZ1075" s="70">
        <v>2512.0</v>
      </c>
    </row>
    <row r="1076" ht="22.5" customHeight="1">
      <c r="A1076" s="70" t="str">
        <f t="shared" si="1"/>
        <v>Excluded</v>
      </c>
      <c r="B1076" s="70">
        <f t="shared" si="2"/>
        <v>0</v>
      </c>
      <c r="C1076" s="70">
        <v>0.0</v>
      </c>
      <c r="D1076" s="70">
        <v>0.0</v>
      </c>
      <c r="E1076" s="70">
        <v>0.0</v>
      </c>
      <c r="F1076" s="70">
        <v>0.0</v>
      </c>
      <c r="G1076" s="70">
        <v>0.0</v>
      </c>
      <c r="H1076" s="70" t="s">
        <v>11630</v>
      </c>
      <c r="I1076" s="70">
        <v>1218.0</v>
      </c>
      <c r="J1076" s="70" t="s">
        <v>11626</v>
      </c>
      <c r="K1076" s="70" t="s">
        <v>11627</v>
      </c>
      <c r="L1076" s="70" t="s">
        <v>11628</v>
      </c>
      <c r="N1076" s="70" t="s">
        <v>11629</v>
      </c>
      <c r="P1076" s="76">
        <v>45454.0</v>
      </c>
      <c r="U1076" s="70" t="s">
        <v>239</v>
      </c>
      <c r="W1076" s="70" t="s">
        <v>11632</v>
      </c>
      <c r="X1076" s="70" t="s">
        <v>11633</v>
      </c>
      <c r="Z1076" s="75" t="s">
        <v>11634</v>
      </c>
      <c r="AA1076" s="70" t="s">
        <v>11635</v>
      </c>
      <c r="AC1076" s="70">
        <v>2.0</v>
      </c>
      <c r="AE1076" s="70">
        <v>13.0</v>
      </c>
      <c r="AF1076" s="70" t="s">
        <v>239</v>
      </c>
      <c r="AW1076" s="70" t="s">
        <v>11636</v>
      </c>
      <c r="AX1076" s="70">
        <v>0.0</v>
      </c>
      <c r="AY1076" s="70" t="s">
        <v>24</v>
      </c>
      <c r="AZ1076" s="70">
        <v>2350.0</v>
      </c>
    </row>
    <row r="1077" ht="22.5" customHeight="1">
      <c r="A1077" s="70" t="str">
        <f t="shared" si="1"/>
        <v>Excluded</v>
      </c>
      <c r="B1077" s="70">
        <f t="shared" si="2"/>
        <v>0</v>
      </c>
      <c r="C1077" s="70">
        <v>0.0</v>
      </c>
      <c r="D1077" s="70">
        <v>0.0</v>
      </c>
      <c r="E1077" s="70">
        <v>0.0</v>
      </c>
      <c r="F1077" s="70">
        <v>0.0</v>
      </c>
      <c r="G1077" s="70">
        <v>0.0</v>
      </c>
      <c r="H1077" s="70" t="s">
        <v>15892</v>
      </c>
      <c r="I1077" s="70">
        <v>1666.0</v>
      </c>
      <c r="K1077" s="70" t="s">
        <v>10597</v>
      </c>
      <c r="L1077" s="70" t="s">
        <v>11628</v>
      </c>
      <c r="N1077" s="70" t="s">
        <v>11629</v>
      </c>
      <c r="P1077" s="76">
        <v>45454.0</v>
      </c>
      <c r="U1077" s="70" t="s">
        <v>239</v>
      </c>
      <c r="X1077" s="70" t="s">
        <v>11633</v>
      </c>
      <c r="Z1077" s="75" t="s">
        <v>15893</v>
      </c>
      <c r="AF1077" s="70" t="s">
        <v>239</v>
      </c>
      <c r="AZ1077" s="70">
        <v>1558.0</v>
      </c>
    </row>
    <row r="1078" ht="22.5" customHeight="1">
      <c r="A1078" s="70" t="str">
        <f t="shared" si="1"/>
        <v>Excluded</v>
      </c>
      <c r="B1078" s="70">
        <f t="shared" si="2"/>
        <v>0</v>
      </c>
      <c r="C1078" s="70">
        <v>0.0</v>
      </c>
      <c r="D1078" s="70">
        <v>0.0</v>
      </c>
      <c r="E1078" s="70">
        <v>0.0</v>
      </c>
      <c r="F1078" s="70">
        <v>0.0</v>
      </c>
      <c r="G1078" s="70">
        <v>0.0</v>
      </c>
      <c r="H1078" s="70" t="s">
        <v>7585</v>
      </c>
      <c r="I1078" s="70">
        <v>729.0</v>
      </c>
      <c r="J1078" s="70" t="s">
        <v>7582</v>
      </c>
      <c r="K1078" s="70" t="s">
        <v>7583</v>
      </c>
      <c r="L1078" s="70" t="s">
        <v>7584</v>
      </c>
      <c r="P1078" s="77">
        <v>42800.0</v>
      </c>
      <c r="U1078" s="70" t="s">
        <v>239</v>
      </c>
      <c r="W1078" s="70" t="s">
        <v>7587</v>
      </c>
      <c r="X1078" s="70" t="s">
        <v>7588</v>
      </c>
      <c r="Z1078" s="75" t="s">
        <v>7589</v>
      </c>
      <c r="AA1078" s="70" t="s">
        <v>7590</v>
      </c>
      <c r="AC1078" s="70">
        <v>3.0</v>
      </c>
      <c r="AE1078" s="70">
        <v>35.0</v>
      </c>
      <c r="AF1078" s="70" t="s">
        <v>239</v>
      </c>
      <c r="AW1078" s="70" t="s">
        <v>7591</v>
      </c>
      <c r="AX1078" s="70">
        <v>0.0</v>
      </c>
      <c r="AY1078" s="70" t="s">
        <v>24</v>
      </c>
      <c r="AZ1078" s="70">
        <v>2747.0</v>
      </c>
    </row>
    <row r="1079" ht="22.5" customHeight="1">
      <c r="A1079" s="70" t="str">
        <f t="shared" si="1"/>
        <v>Excluded</v>
      </c>
      <c r="B1079" s="70">
        <f t="shared" si="2"/>
        <v>0</v>
      </c>
      <c r="C1079" s="70">
        <v>0.0</v>
      </c>
      <c r="D1079" s="70">
        <v>0.0</v>
      </c>
      <c r="E1079" s="70">
        <v>0.0</v>
      </c>
      <c r="F1079" s="70">
        <v>0.0</v>
      </c>
      <c r="G1079" s="70">
        <v>0.0</v>
      </c>
      <c r="H1079" s="70" t="s">
        <v>4621</v>
      </c>
      <c r="I1079" s="70">
        <v>428.0</v>
      </c>
      <c r="J1079" s="70" t="s">
        <v>30328</v>
      </c>
      <c r="K1079" s="70" t="s">
        <v>4619</v>
      </c>
      <c r="L1079" s="70" t="s">
        <v>4620</v>
      </c>
      <c r="P1079" s="76">
        <v>43118.0</v>
      </c>
      <c r="U1079" s="70" t="s">
        <v>239</v>
      </c>
      <c r="W1079" s="70" t="s">
        <v>4623</v>
      </c>
      <c r="X1079" s="70" t="s">
        <v>4624</v>
      </c>
      <c r="Z1079" s="75" t="s">
        <v>4625</v>
      </c>
      <c r="AA1079" s="70" t="s">
        <v>4626</v>
      </c>
      <c r="AC1079" s="70">
        <v>90.0</v>
      </c>
      <c r="AE1079" s="70">
        <v>30.0</v>
      </c>
      <c r="AF1079" s="70" t="s">
        <v>239</v>
      </c>
      <c r="AW1079" s="70" t="s">
        <v>4627</v>
      </c>
      <c r="AZ1079" s="70">
        <v>1127.0</v>
      </c>
    </row>
    <row r="1080" ht="22.5" customHeight="1">
      <c r="A1080" s="70" t="str">
        <f t="shared" si="1"/>
        <v>Excluded</v>
      </c>
      <c r="B1080" s="70">
        <f t="shared" si="2"/>
        <v>0</v>
      </c>
      <c r="C1080" s="70">
        <v>0.0</v>
      </c>
      <c r="D1080" s="70">
        <v>0.0</v>
      </c>
      <c r="E1080" s="70">
        <v>0.0</v>
      </c>
      <c r="F1080" s="70">
        <v>0.0</v>
      </c>
      <c r="G1080" s="70">
        <v>0.0</v>
      </c>
      <c r="H1080" s="70" t="s">
        <v>4913</v>
      </c>
      <c r="I1080" s="70">
        <v>457.0</v>
      </c>
      <c r="J1080" s="70" t="s">
        <v>4909</v>
      </c>
      <c r="K1080" s="70" t="s">
        <v>4910</v>
      </c>
      <c r="L1080" s="70" t="s">
        <v>4911</v>
      </c>
      <c r="N1080" s="70" t="s">
        <v>4912</v>
      </c>
      <c r="P1080" s="76">
        <v>42761.0</v>
      </c>
      <c r="U1080" s="70" t="s">
        <v>239</v>
      </c>
      <c r="W1080" s="70" t="s">
        <v>4915</v>
      </c>
      <c r="X1080" s="70" t="s">
        <v>4916</v>
      </c>
      <c r="Z1080" s="75" t="s">
        <v>4917</v>
      </c>
      <c r="AA1080" s="70" t="s">
        <v>4918</v>
      </c>
      <c r="AC1080" s="70">
        <v>27.0</v>
      </c>
      <c r="AE1080" s="70">
        <v>9.0</v>
      </c>
      <c r="AF1080" s="70" t="s">
        <v>239</v>
      </c>
      <c r="AX1080" s="70">
        <v>0.0</v>
      </c>
      <c r="AY1080" s="70" t="s">
        <v>24</v>
      </c>
      <c r="AZ1080" s="70">
        <v>1963.0</v>
      </c>
    </row>
    <row r="1081" ht="22.5" customHeight="1">
      <c r="A1081" s="70" t="str">
        <f t="shared" si="1"/>
        <v>Excluded</v>
      </c>
      <c r="B1081" s="70">
        <f t="shared" si="2"/>
        <v>0</v>
      </c>
      <c r="C1081" s="70">
        <v>0.0</v>
      </c>
      <c r="D1081" s="70">
        <v>0.0</v>
      </c>
      <c r="E1081" s="70">
        <v>0.0</v>
      </c>
      <c r="F1081" s="70">
        <v>0.0</v>
      </c>
      <c r="G1081" s="70">
        <v>0.0</v>
      </c>
      <c r="H1081" s="70" t="s">
        <v>4850</v>
      </c>
      <c r="I1081" s="70">
        <v>451.0</v>
      </c>
      <c r="J1081" s="70" t="s">
        <v>4847</v>
      </c>
      <c r="K1081" s="70" t="s">
        <v>4848</v>
      </c>
      <c r="L1081" s="70" t="s">
        <v>4849</v>
      </c>
      <c r="P1081" s="76">
        <v>43027.0</v>
      </c>
      <c r="U1081" s="70" t="s">
        <v>239</v>
      </c>
      <c r="W1081" s="70" t="s">
        <v>4852</v>
      </c>
      <c r="X1081" s="70" t="s">
        <v>4853</v>
      </c>
      <c r="Z1081" s="75" t="s">
        <v>4854</v>
      </c>
      <c r="AA1081" s="70" t="s">
        <v>4855</v>
      </c>
      <c r="AC1081" s="70">
        <v>32.0</v>
      </c>
      <c r="AE1081" s="70">
        <v>16.0</v>
      </c>
      <c r="AF1081" s="70" t="s">
        <v>239</v>
      </c>
      <c r="AW1081" s="70" t="s">
        <v>4856</v>
      </c>
      <c r="AZ1081" s="70">
        <v>335.0</v>
      </c>
    </row>
    <row r="1082" ht="22.5" customHeight="1">
      <c r="A1082" s="70" t="str">
        <f t="shared" si="1"/>
        <v>Excluded</v>
      </c>
      <c r="B1082" s="70">
        <f t="shared" si="2"/>
        <v>0</v>
      </c>
      <c r="C1082" s="70">
        <v>0.0</v>
      </c>
      <c r="D1082" s="70">
        <v>0.0</v>
      </c>
      <c r="E1082" s="70">
        <v>0.0</v>
      </c>
      <c r="F1082" s="70">
        <v>0.0</v>
      </c>
      <c r="G1082" s="70">
        <v>0.0</v>
      </c>
      <c r="H1082" s="70" t="s">
        <v>6617</v>
      </c>
      <c r="I1082" s="70">
        <v>629.0</v>
      </c>
      <c r="J1082" s="70" t="s">
        <v>6614</v>
      </c>
      <c r="K1082" s="70" t="s">
        <v>6615</v>
      </c>
      <c r="L1082" s="70" t="s">
        <v>6616</v>
      </c>
      <c r="P1082" s="76">
        <v>43433.0</v>
      </c>
      <c r="U1082" s="70" t="s">
        <v>239</v>
      </c>
      <c r="W1082" s="70" t="s">
        <v>6619</v>
      </c>
      <c r="X1082" s="70" t="s">
        <v>6620</v>
      </c>
      <c r="Z1082" s="75" t="s">
        <v>6621</v>
      </c>
      <c r="AA1082" s="70" t="s">
        <v>6622</v>
      </c>
      <c r="AC1082" s="70">
        <v>6.0</v>
      </c>
      <c r="AE1082" s="70">
        <v>12.0</v>
      </c>
      <c r="AF1082" s="70" t="s">
        <v>239</v>
      </c>
      <c r="AW1082" s="70" t="s">
        <v>6623</v>
      </c>
      <c r="AX1082" s="70">
        <v>0.0</v>
      </c>
      <c r="AY1082" s="70" t="s">
        <v>24</v>
      </c>
      <c r="AZ1082" s="70">
        <v>1889.0</v>
      </c>
    </row>
    <row r="1083" ht="22.5" customHeight="1">
      <c r="A1083" s="70" t="str">
        <f t="shared" si="1"/>
        <v>Excluded</v>
      </c>
      <c r="B1083" s="70">
        <f t="shared" si="2"/>
        <v>0</v>
      </c>
      <c r="C1083" s="70">
        <v>0.0</v>
      </c>
      <c r="D1083" s="70">
        <v>0.0</v>
      </c>
      <c r="E1083" s="70">
        <v>0.0</v>
      </c>
      <c r="F1083" s="70">
        <v>0.0</v>
      </c>
      <c r="G1083" s="70">
        <v>0.0</v>
      </c>
      <c r="H1083" s="70" t="s">
        <v>16195</v>
      </c>
      <c r="I1083" s="70">
        <v>1744.0</v>
      </c>
      <c r="K1083" s="70" t="s">
        <v>10734</v>
      </c>
      <c r="L1083" s="70" t="s">
        <v>14869</v>
      </c>
      <c r="N1083" s="70" t="s">
        <v>14870</v>
      </c>
      <c r="P1083" s="77">
        <v>45391.0</v>
      </c>
      <c r="U1083" s="70" t="s">
        <v>239</v>
      </c>
      <c r="X1083" s="70" t="s">
        <v>14874</v>
      </c>
      <c r="Z1083" s="75" t="s">
        <v>16196</v>
      </c>
      <c r="AF1083" s="70" t="s">
        <v>239</v>
      </c>
      <c r="AZ1083" s="70">
        <v>1368.0</v>
      </c>
    </row>
    <row r="1084" ht="22.5" customHeight="1">
      <c r="A1084" s="70" t="str">
        <f t="shared" si="1"/>
        <v>Excluded</v>
      </c>
      <c r="B1084" s="70">
        <f t="shared" si="2"/>
        <v>0</v>
      </c>
      <c r="C1084" s="70">
        <v>0.0</v>
      </c>
      <c r="D1084" s="70">
        <v>0.0</v>
      </c>
      <c r="E1084" s="70">
        <v>0.0</v>
      </c>
      <c r="F1084" s="70">
        <v>0.0</v>
      </c>
      <c r="G1084" s="70">
        <v>0.0</v>
      </c>
      <c r="H1084" s="70" t="s">
        <v>14871</v>
      </c>
      <c r="I1084" s="70">
        <v>1550.0</v>
      </c>
      <c r="J1084" s="70" t="s">
        <v>14867</v>
      </c>
      <c r="K1084" s="70" t="s">
        <v>14868</v>
      </c>
      <c r="L1084" s="70" t="s">
        <v>14869</v>
      </c>
      <c r="N1084" s="70" t="s">
        <v>14870</v>
      </c>
      <c r="P1084" s="77">
        <v>45391.0</v>
      </c>
      <c r="U1084" s="70" t="s">
        <v>239</v>
      </c>
      <c r="W1084" s="70" t="s">
        <v>14873</v>
      </c>
      <c r="X1084" s="70" t="s">
        <v>14874</v>
      </c>
      <c r="Z1084" s="75" t="s">
        <v>14875</v>
      </c>
      <c r="AE1084" s="70">
        <v>17.0</v>
      </c>
      <c r="AF1084" s="70" t="s">
        <v>239</v>
      </c>
      <c r="AW1084" s="70" t="s">
        <v>14876</v>
      </c>
      <c r="AX1084" s="70">
        <v>0.0</v>
      </c>
      <c r="AY1084" s="70" t="s">
        <v>24</v>
      </c>
      <c r="AZ1084" s="70">
        <v>2667.0</v>
      </c>
    </row>
    <row r="1085" ht="22.5" customHeight="1">
      <c r="A1085" s="70" t="str">
        <f t="shared" si="1"/>
        <v>Excluded</v>
      </c>
      <c r="B1085" s="70">
        <f t="shared" si="2"/>
        <v>0</v>
      </c>
      <c r="C1085" s="70">
        <v>0.0</v>
      </c>
      <c r="D1085" s="70">
        <v>0.0</v>
      </c>
      <c r="E1085" s="70">
        <v>0.0</v>
      </c>
      <c r="F1085" s="70">
        <v>0.0</v>
      </c>
      <c r="G1085" s="70">
        <v>0.0</v>
      </c>
      <c r="H1085" s="70" t="s">
        <v>9535</v>
      </c>
      <c r="I1085" s="70">
        <v>932.0</v>
      </c>
      <c r="J1085" s="70" t="s">
        <v>9532</v>
      </c>
      <c r="K1085" s="70" t="s">
        <v>9533</v>
      </c>
      <c r="L1085" s="70" t="s">
        <v>9534</v>
      </c>
      <c r="P1085" s="76">
        <v>44908.0</v>
      </c>
      <c r="U1085" s="70" t="s">
        <v>239</v>
      </c>
      <c r="W1085" s="70" t="s">
        <v>9537</v>
      </c>
      <c r="X1085" s="70" t="s">
        <v>9538</v>
      </c>
      <c r="Y1085" s="70" t="s">
        <v>30329</v>
      </c>
      <c r="Z1085" s="75" t="s">
        <v>9540</v>
      </c>
      <c r="AA1085" s="70" t="s">
        <v>9541</v>
      </c>
      <c r="AE1085" s="70">
        <v>24.0</v>
      </c>
      <c r="AF1085" s="70" t="s">
        <v>239</v>
      </c>
      <c r="AW1085" s="70" t="s">
        <v>9542</v>
      </c>
      <c r="AZ1085" s="70">
        <v>442.0</v>
      </c>
    </row>
    <row r="1086" ht="22.5" customHeight="1">
      <c r="A1086" s="70" t="str">
        <f t="shared" si="1"/>
        <v>Excluded</v>
      </c>
      <c r="B1086" s="70">
        <f t="shared" si="2"/>
        <v>0</v>
      </c>
      <c r="C1086" s="70">
        <v>0.0</v>
      </c>
      <c r="D1086" s="70">
        <v>0.0</v>
      </c>
      <c r="E1086" s="70">
        <v>0.0</v>
      </c>
      <c r="F1086" s="70">
        <v>0.0</v>
      </c>
      <c r="G1086" s="70">
        <v>0.0</v>
      </c>
      <c r="H1086" s="70" t="s">
        <v>15550</v>
      </c>
      <c r="I1086" s="70">
        <v>1623.0</v>
      </c>
      <c r="J1086" s="70" t="s">
        <v>15547</v>
      </c>
      <c r="K1086" s="70" t="s">
        <v>15548</v>
      </c>
      <c r="L1086" s="70" t="s">
        <v>15549</v>
      </c>
      <c r="P1086" s="76">
        <v>45289.0</v>
      </c>
      <c r="U1086" s="70" t="s">
        <v>239</v>
      </c>
      <c r="W1086" s="70" t="s">
        <v>30330</v>
      </c>
      <c r="X1086" s="70" t="s">
        <v>15553</v>
      </c>
      <c r="Z1086" s="75" t="s">
        <v>15554</v>
      </c>
      <c r="AA1086" s="70" t="s">
        <v>15555</v>
      </c>
      <c r="AE1086" s="70">
        <v>18.0</v>
      </c>
      <c r="AF1086" s="70" t="s">
        <v>239</v>
      </c>
      <c r="AW1086" s="70" t="s">
        <v>15556</v>
      </c>
      <c r="AX1086" s="70">
        <v>1.0</v>
      </c>
      <c r="AZ1086" s="70">
        <v>1635.0</v>
      </c>
    </row>
    <row r="1087" ht="22.5" customHeight="1">
      <c r="A1087" s="70" t="str">
        <f t="shared" si="1"/>
        <v>Excluded</v>
      </c>
      <c r="B1087" s="70">
        <f t="shared" si="2"/>
        <v>0</v>
      </c>
      <c r="C1087" s="70">
        <v>0.0</v>
      </c>
      <c r="D1087" s="70">
        <v>0.0</v>
      </c>
      <c r="E1087" s="70">
        <v>0.0</v>
      </c>
      <c r="F1087" s="70">
        <v>0.0</v>
      </c>
      <c r="G1087" s="70">
        <v>0.0</v>
      </c>
      <c r="H1087" s="70" t="s">
        <v>14012</v>
      </c>
      <c r="I1087" s="70">
        <v>1459.0</v>
      </c>
      <c r="J1087" s="70" t="s">
        <v>30331</v>
      </c>
      <c r="K1087" s="70" t="s">
        <v>14009</v>
      </c>
      <c r="L1087" s="70" t="s">
        <v>14010</v>
      </c>
      <c r="N1087" s="70" t="s">
        <v>14011</v>
      </c>
      <c r="P1087" s="76">
        <v>45523.0</v>
      </c>
      <c r="U1087" s="70" t="s">
        <v>239</v>
      </c>
      <c r="W1087" s="70" t="s">
        <v>30332</v>
      </c>
      <c r="X1087" s="70" t="s">
        <v>14015</v>
      </c>
      <c r="Y1087" s="70" t="s">
        <v>30333</v>
      </c>
      <c r="Z1087" s="75" t="s">
        <v>14017</v>
      </c>
      <c r="AA1087" s="70" t="s">
        <v>14018</v>
      </c>
      <c r="AE1087" s="70">
        <v>38.0</v>
      </c>
      <c r="AF1087" s="70" t="s">
        <v>239</v>
      </c>
      <c r="AW1087" s="70" t="s">
        <v>14019</v>
      </c>
      <c r="AZ1087" s="70">
        <v>762.0</v>
      </c>
    </row>
    <row r="1088" ht="22.5" customHeight="1">
      <c r="A1088" s="70" t="str">
        <f t="shared" si="1"/>
        <v>Excluded</v>
      </c>
      <c r="B1088" s="70">
        <f t="shared" si="2"/>
        <v>0</v>
      </c>
      <c r="C1088" s="70">
        <v>0.0</v>
      </c>
      <c r="D1088" s="70">
        <v>0.0</v>
      </c>
      <c r="E1088" s="70">
        <v>0.0</v>
      </c>
      <c r="F1088" s="70">
        <v>0.0</v>
      </c>
      <c r="G1088" s="70">
        <v>0.0</v>
      </c>
      <c r="H1088" s="70" t="s">
        <v>9701</v>
      </c>
      <c r="I1088" s="70">
        <v>949.0</v>
      </c>
      <c r="J1088" s="70" t="s">
        <v>9697</v>
      </c>
      <c r="K1088" s="70" t="s">
        <v>9698</v>
      </c>
      <c r="L1088" s="70" t="s">
        <v>9699</v>
      </c>
      <c r="N1088" s="70" t="s">
        <v>9700</v>
      </c>
      <c r="P1088" s="77">
        <v>43710.0</v>
      </c>
      <c r="U1088" s="70" t="s">
        <v>239</v>
      </c>
      <c r="W1088" s="70" t="s">
        <v>9703</v>
      </c>
      <c r="X1088" s="70" t="s">
        <v>9704</v>
      </c>
      <c r="Z1088" s="75" t="s">
        <v>9705</v>
      </c>
      <c r="AA1088" s="70" t="s">
        <v>9706</v>
      </c>
      <c r="AE1088" s="70">
        <v>48.0</v>
      </c>
      <c r="AF1088" s="70" t="s">
        <v>239</v>
      </c>
      <c r="AW1088" s="70" t="s">
        <v>9707</v>
      </c>
      <c r="AZ1088" s="70">
        <v>220.0</v>
      </c>
    </row>
    <row r="1089" ht="22.5" customHeight="1">
      <c r="A1089" s="70" t="str">
        <f t="shared" si="1"/>
        <v>Excluded</v>
      </c>
      <c r="B1089" s="70">
        <f t="shared" si="2"/>
        <v>0</v>
      </c>
      <c r="C1089" s="70">
        <v>0.0</v>
      </c>
      <c r="D1089" s="70">
        <v>0.0</v>
      </c>
      <c r="E1089" s="70">
        <v>0.0</v>
      </c>
      <c r="F1089" s="70">
        <v>0.0</v>
      </c>
      <c r="G1089" s="70">
        <v>0.0</v>
      </c>
      <c r="H1089" s="70" t="s">
        <v>13055</v>
      </c>
      <c r="I1089" s="70">
        <v>1361.0</v>
      </c>
      <c r="J1089" s="70" t="s">
        <v>13052</v>
      </c>
      <c r="K1089" s="70" t="s">
        <v>13053</v>
      </c>
      <c r="L1089" s="70" t="s">
        <v>13054</v>
      </c>
      <c r="N1089" s="70" t="s">
        <v>9700</v>
      </c>
      <c r="P1089" s="76">
        <v>45583.0</v>
      </c>
      <c r="U1089" s="70" t="s">
        <v>239</v>
      </c>
      <c r="W1089" s="70" t="s">
        <v>30334</v>
      </c>
      <c r="X1089" s="70" t="s">
        <v>13058</v>
      </c>
      <c r="Z1089" s="75" t="s">
        <v>13059</v>
      </c>
      <c r="AE1089" s="70">
        <v>37.0</v>
      </c>
      <c r="AF1089" s="70" t="s">
        <v>239</v>
      </c>
      <c r="AW1089" s="70" t="s">
        <v>13060</v>
      </c>
      <c r="AZ1089" s="70">
        <v>240.0</v>
      </c>
    </row>
    <row r="1090" ht="22.5" customHeight="1">
      <c r="A1090" s="70" t="str">
        <f t="shared" si="1"/>
        <v>Excluded</v>
      </c>
      <c r="B1090" s="70">
        <f t="shared" si="2"/>
        <v>0</v>
      </c>
      <c r="C1090" s="70">
        <v>0.0</v>
      </c>
      <c r="D1090" s="70">
        <v>0.0</v>
      </c>
      <c r="E1090" s="70">
        <v>0.0</v>
      </c>
      <c r="F1090" s="70">
        <v>0.0</v>
      </c>
      <c r="G1090" s="70">
        <v>0.0</v>
      </c>
      <c r="H1090" s="70" t="s">
        <v>5550</v>
      </c>
      <c r="I1090" s="70">
        <v>521.0</v>
      </c>
      <c r="J1090" s="70" t="s">
        <v>5547</v>
      </c>
      <c r="K1090" s="70" t="s">
        <v>5548</v>
      </c>
      <c r="L1090" s="70" t="s">
        <v>5549</v>
      </c>
      <c r="P1090" s="76">
        <v>44216.0</v>
      </c>
      <c r="U1090" s="70" t="s">
        <v>239</v>
      </c>
      <c r="W1090" s="70" t="s">
        <v>5552</v>
      </c>
      <c r="X1090" s="70" t="s">
        <v>5553</v>
      </c>
      <c r="Z1090" s="75" t="s">
        <v>5554</v>
      </c>
      <c r="AA1090" s="70" t="s">
        <v>5555</v>
      </c>
      <c r="AC1090" s="70">
        <v>11.0</v>
      </c>
      <c r="AE1090" s="70">
        <v>26.0</v>
      </c>
      <c r="AF1090" s="70" t="s">
        <v>239</v>
      </c>
      <c r="AW1090" s="70" t="s">
        <v>5556</v>
      </c>
      <c r="AX1090" s="70">
        <v>0.0</v>
      </c>
      <c r="AY1090" s="70" t="s">
        <v>24</v>
      </c>
      <c r="AZ1090" s="70">
        <v>1831.0</v>
      </c>
    </row>
    <row r="1091" ht="22.5" customHeight="1">
      <c r="A1091" s="70" t="str">
        <f t="shared" si="1"/>
        <v>Excluded</v>
      </c>
      <c r="B1091" s="70">
        <f t="shared" si="2"/>
        <v>0</v>
      </c>
      <c r="C1091" s="70">
        <v>0.0</v>
      </c>
      <c r="D1091" s="70">
        <v>0.0</v>
      </c>
      <c r="E1091" s="70">
        <v>0.0</v>
      </c>
      <c r="F1091" s="70">
        <v>0.0</v>
      </c>
      <c r="G1091" s="70">
        <v>0.0</v>
      </c>
      <c r="H1091" s="70" t="s">
        <v>8285</v>
      </c>
      <c r="I1091" s="70">
        <v>802.0</v>
      </c>
      <c r="J1091" s="70" t="s">
        <v>7673</v>
      </c>
      <c r="K1091" s="70" t="s">
        <v>7674</v>
      </c>
      <c r="L1091" s="70" t="s">
        <v>7675</v>
      </c>
      <c r="N1091" s="70" t="s">
        <v>7676</v>
      </c>
      <c r="P1091" s="76">
        <v>44764.0</v>
      </c>
      <c r="U1091" s="70" t="s">
        <v>239</v>
      </c>
      <c r="W1091" s="70" t="s">
        <v>8287</v>
      </c>
      <c r="X1091" s="70" t="s">
        <v>7680</v>
      </c>
      <c r="Z1091" s="75" t="s">
        <v>8288</v>
      </c>
      <c r="AC1091" s="70">
        <v>2.0</v>
      </c>
      <c r="AF1091" s="70" t="s">
        <v>7683</v>
      </c>
      <c r="AW1091" s="70" t="s">
        <v>8289</v>
      </c>
      <c r="AZ1091" s="70">
        <v>1340.0</v>
      </c>
    </row>
    <row r="1092" ht="22.5" customHeight="1">
      <c r="A1092" s="70" t="str">
        <f t="shared" si="1"/>
        <v>Excluded</v>
      </c>
      <c r="B1092" s="70">
        <f t="shared" si="2"/>
        <v>0</v>
      </c>
      <c r="C1092" s="70">
        <v>0.0</v>
      </c>
      <c r="D1092" s="70">
        <v>0.0</v>
      </c>
      <c r="E1092" s="70">
        <v>0.0</v>
      </c>
      <c r="F1092" s="70">
        <v>0.0</v>
      </c>
      <c r="G1092" s="70">
        <v>0.0</v>
      </c>
      <c r="H1092" s="70" t="s">
        <v>7677</v>
      </c>
      <c r="I1092" s="70">
        <v>738.0</v>
      </c>
      <c r="J1092" s="70" t="s">
        <v>7673</v>
      </c>
      <c r="K1092" s="70" t="s">
        <v>7674</v>
      </c>
      <c r="L1092" s="70" t="s">
        <v>7675</v>
      </c>
      <c r="N1092" s="70" t="s">
        <v>7676</v>
      </c>
      <c r="P1092" s="76">
        <v>44830.0</v>
      </c>
      <c r="U1092" s="70" t="s">
        <v>239</v>
      </c>
      <c r="W1092" s="70" t="s">
        <v>30335</v>
      </c>
      <c r="X1092" s="70" t="s">
        <v>7680</v>
      </c>
      <c r="Z1092" s="75" t="s">
        <v>7681</v>
      </c>
      <c r="AA1092" s="70" t="s">
        <v>7682</v>
      </c>
      <c r="AC1092" s="70">
        <v>3.0</v>
      </c>
      <c r="AE1092" s="70">
        <v>29.0</v>
      </c>
      <c r="AF1092" s="70" t="s">
        <v>7683</v>
      </c>
      <c r="AW1092" s="70" t="s">
        <v>7684</v>
      </c>
      <c r="AZ1092" s="70">
        <v>806.0</v>
      </c>
    </row>
    <row r="1093" ht="22.5" customHeight="1">
      <c r="A1093" s="70" t="str">
        <f t="shared" si="1"/>
        <v>Excluded</v>
      </c>
      <c r="B1093" s="70">
        <f t="shared" si="2"/>
        <v>0</v>
      </c>
      <c r="C1093" s="70">
        <v>0.0</v>
      </c>
      <c r="D1093" s="70">
        <v>0.0</v>
      </c>
      <c r="E1093" s="70">
        <v>0.0</v>
      </c>
      <c r="F1093" s="70">
        <v>0.0</v>
      </c>
      <c r="G1093" s="70">
        <v>0.0</v>
      </c>
      <c r="H1093" s="70" t="s">
        <v>28361</v>
      </c>
      <c r="I1093" s="70">
        <v>3054.0</v>
      </c>
      <c r="J1093" s="70" t="s">
        <v>28359</v>
      </c>
      <c r="K1093" s="70" t="s">
        <v>28360</v>
      </c>
      <c r="W1093" s="70" t="s">
        <v>30336</v>
      </c>
      <c r="AA1093" s="70" t="s">
        <v>28363</v>
      </c>
      <c r="AI1093" s="70" t="s">
        <v>28364</v>
      </c>
      <c r="AJ1093" s="70" t="s">
        <v>28365</v>
      </c>
      <c r="AK1093" s="70">
        <v>2021.0</v>
      </c>
      <c r="AL1093" s="70" t="s">
        <v>28366</v>
      </c>
      <c r="AN1093" s="70">
        <v>282.0</v>
      </c>
      <c r="AO1093" s="70">
        <v>287.0</v>
      </c>
      <c r="AP1093" s="70">
        <v>5.0</v>
      </c>
      <c r="AQ1093" s="70">
        <v>2.0</v>
      </c>
      <c r="AR1093" s="75" t="s">
        <v>28367</v>
      </c>
      <c r="AS1093" s="70" t="s">
        <v>22525</v>
      </c>
      <c r="AU1093" s="70" t="s">
        <v>237</v>
      </c>
      <c r="AV1093" s="70" t="s">
        <v>28368</v>
      </c>
      <c r="AW1093" s="70" t="s">
        <v>28369</v>
      </c>
      <c r="AZ1093" s="70">
        <v>1063.0</v>
      </c>
    </row>
    <row r="1094" ht="22.5" customHeight="1">
      <c r="A1094" s="70" t="str">
        <f t="shared" si="1"/>
        <v>Excluded</v>
      </c>
      <c r="B1094" s="70">
        <f t="shared" si="2"/>
        <v>0</v>
      </c>
      <c r="C1094" s="70">
        <v>0.0</v>
      </c>
      <c r="D1094" s="70">
        <v>0.0</v>
      </c>
      <c r="E1094" s="70">
        <v>0.0</v>
      </c>
      <c r="F1094" s="70">
        <v>0.0</v>
      </c>
      <c r="G1094" s="70">
        <v>0.0</v>
      </c>
      <c r="H1094" s="70" t="s">
        <v>5518</v>
      </c>
      <c r="I1094" s="70">
        <v>518.0</v>
      </c>
      <c r="J1094" s="70" t="s">
        <v>5515</v>
      </c>
      <c r="K1094" s="70" t="s">
        <v>5516</v>
      </c>
      <c r="L1094" s="70" t="s">
        <v>5517</v>
      </c>
      <c r="P1094" s="76">
        <v>44092.0</v>
      </c>
      <c r="U1094" s="70" t="s">
        <v>239</v>
      </c>
      <c r="W1094" s="70" t="s">
        <v>5520</v>
      </c>
      <c r="X1094" s="70" t="s">
        <v>5521</v>
      </c>
      <c r="Z1094" s="75" t="s">
        <v>5522</v>
      </c>
      <c r="AA1094" s="70" t="s">
        <v>5523</v>
      </c>
      <c r="AC1094" s="70">
        <v>11.0</v>
      </c>
      <c r="AE1094" s="70">
        <v>14.0</v>
      </c>
      <c r="AF1094" s="70" t="s">
        <v>239</v>
      </c>
      <c r="AW1094" s="70" t="s">
        <v>5524</v>
      </c>
      <c r="AZ1094" s="70">
        <v>656.0</v>
      </c>
    </row>
    <row r="1095" ht="22.5" customHeight="1">
      <c r="A1095" s="70" t="str">
        <f t="shared" si="1"/>
        <v>Excluded</v>
      </c>
      <c r="B1095" s="70">
        <f t="shared" si="2"/>
        <v>0</v>
      </c>
      <c r="C1095" s="70">
        <v>0.0</v>
      </c>
      <c r="D1095" s="70">
        <v>0.0</v>
      </c>
      <c r="E1095" s="70">
        <v>0.0</v>
      </c>
      <c r="F1095" s="70">
        <v>0.0</v>
      </c>
      <c r="G1095" s="70">
        <v>0.0</v>
      </c>
      <c r="H1095" s="70" t="s">
        <v>15124</v>
      </c>
      <c r="I1095" s="70">
        <v>1577.0</v>
      </c>
      <c r="J1095" s="70" t="s">
        <v>15122</v>
      </c>
      <c r="K1095" s="70" t="s">
        <v>15123</v>
      </c>
      <c r="L1095" s="70" t="s">
        <v>13950</v>
      </c>
      <c r="N1095" s="70" t="s">
        <v>13951</v>
      </c>
      <c r="P1095" s="76">
        <v>45643.0</v>
      </c>
      <c r="U1095" s="70" t="s">
        <v>239</v>
      </c>
      <c r="W1095" s="70" t="s">
        <v>30337</v>
      </c>
      <c r="X1095" s="70" t="s">
        <v>13955</v>
      </c>
      <c r="Z1095" s="75" t="s">
        <v>15127</v>
      </c>
      <c r="AA1095" s="70" t="s">
        <v>15128</v>
      </c>
      <c r="AE1095" s="70">
        <v>19.0</v>
      </c>
      <c r="AF1095" s="70" t="s">
        <v>239</v>
      </c>
      <c r="AW1095" s="70" t="s">
        <v>15129</v>
      </c>
      <c r="AX1095" s="70">
        <v>0.0</v>
      </c>
      <c r="AY1095" s="70" t="s">
        <v>24</v>
      </c>
      <c r="AZ1095" s="70">
        <v>2961.0</v>
      </c>
    </row>
    <row r="1096" ht="22.5" customHeight="1">
      <c r="A1096" s="70" t="str">
        <f t="shared" si="1"/>
        <v>Excluded</v>
      </c>
      <c r="B1096" s="70">
        <f t="shared" si="2"/>
        <v>0</v>
      </c>
      <c r="C1096" s="70">
        <v>0.0</v>
      </c>
      <c r="D1096" s="70">
        <v>0.0</v>
      </c>
      <c r="E1096" s="70">
        <v>0.0</v>
      </c>
      <c r="F1096" s="70">
        <v>0.0</v>
      </c>
      <c r="G1096" s="70">
        <v>0.0</v>
      </c>
      <c r="H1096" s="70" t="s">
        <v>13952</v>
      </c>
      <c r="I1096" s="70">
        <v>1453.0</v>
      </c>
      <c r="J1096" s="70" t="s">
        <v>13948</v>
      </c>
      <c r="K1096" s="70" t="s">
        <v>13949</v>
      </c>
      <c r="L1096" s="70" t="s">
        <v>13950</v>
      </c>
      <c r="N1096" s="70" t="s">
        <v>13951</v>
      </c>
      <c r="P1096" s="76">
        <v>45643.0</v>
      </c>
      <c r="U1096" s="70" t="s">
        <v>239</v>
      </c>
      <c r="W1096" s="70" t="s">
        <v>13954</v>
      </c>
      <c r="X1096" s="70" t="s">
        <v>13955</v>
      </c>
      <c r="Z1096" s="75" t="s">
        <v>13956</v>
      </c>
      <c r="AA1096" s="70" t="s">
        <v>13957</v>
      </c>
      <c r="AE1096" s="70">
        <v>42.0</v>
      </c>
      <c r="AF1096" s="70" t="s">
        <v>239</v>
      </c>
      <c r="AW1096" s="70" t="s">
        <v>13958</v>
      </c>
      <c r="AX1096" s="70">
        <v>0.0</v>
      </c>
      <c r="AY1096" s="70" t="s">
        <v>24</v>
      </c>
      <c r="AZ1096" s="70">
        <v>1783.0</v>
      </c>
    </row>
    <row r="1097" ht="22.5" customHeight="1">
      <c r="A1097" s="70" t="str">
        <f t="shared" si="1"/>
        <v>Excluded</v>
      </c>
      <c r="B1097" s="70">
        <f t="shared" si="2"/>
        <v>0</v>
      </c>
      <c r="C1097" s="70">
        <v>0.0</v>
      </c>
      <c r="D1097" s="70">
        <v>0.0</v>
      </c>
      <c r="E1097" s="70">
        <v>0.0</v>
      </c>
      <c r="F1097" s="70">
        <v>0.0</v>
      </c>
      <c r="G1097" s="70">
        <v>0.0</v>
      </c>
      <c r="H1097" s="70" t="s">
        <v>10953</v>
      </c>
      <c r="I1097" s="70">
        <v>1132.0</v>
      </c>
      <c r="K1097" s="70" t="s">
        <v>10952</v>
      </c>
      <c r="L1097" s="70" t="s">
        <v>10684</v>
      </c>
      <c r="P1097" s="76">
        <v>44221.0</v>
      </c>
      <c r="U1097" s="70" t="s">
        <v>239</v>
      </c>
      <c r="W1097" s="70" t="s">
        <v>10602</v>
      </c>
      <c r="X1097" s="70" t="s">
        <v>10686</v>
      </c>
      <c r="Z1097" s="75" t="s">
        <v>10954</v>
      </c>
      <c r="AF1097" s="70" t="s">
        <v>239</v>
      </c>
      <c r="AZ1097" s="70">
        <v>1521.0</v>
      </c>
    </row>
    <row r="1098" ht="22.5" customHeight="1">
      <c r="A1098" s="70" t="str">
        <f t="shared" si="1"/>
        <v>Excluded</v>
      </c>
      <c r="B1098" s="70">
        <f t="shared" si="2"/>
        <v>0</v>
      </c>
      <c r="C1098" s="70">
        <v>0.0</v>
      </c>
      <c r="D1098" s="70">
        <v>0.0</v>
      </c>
      <c r="E1098" s="70">
        <v>0.0</v>
      </c>
      <c r="F1098" s="70">
        <v>0.0</v>
      </c>
      <c r="G1098" s="70">
        <v>0.0</v>
      </c>
      <c r="H1098" s="70" t="s">
        <v>10685</v>
      </c>
      <c r="I1098" s="70">
        <v>1064.0</v>
      </c>
      <c r="K1098" s="70" t="s">
        <v>10683</v>
      </c>
      <c r="L1098" s="70" t="s">
        <v>10684</v>
      </c>
      <c r="P1098" s="76">
        <v>44221.0</v>
      </c>
      <c r="U1098" s="70" t="s">
        <v>239</v>
      </c>
      <c r="W1098" s="70" t="s">
        <v>10634</v>
      </c>
      <c r="X1098" s="70" t="s">
        <v>10686</v>
      </c>
      <c r="Z1098" s="75" t="s">
        <v>10687</v>
      </c>
      <c r="AF1098" s="70" t="s">
        <v>239</v>
      </c>
      <c r="AZ1098" s="70">
        <v>1200.0</v>
      </c>
    </row>
    <row r="1099" ht="22.5" customHeight="1">
      <c r="A1099" s="70" t="str">
        <f t="shared" si="1"/>
        <v>Excluded</v>
      </c>
      <c r="B1099" s="70">
        <f t="shared" si="2"/>
        <v>0</v>
      </c>
      <c r="C1099" s="70">
        <v>0.0</v>
      </c>
      <c r="D1099" s="70">
        <v>0.0</v>
      </c>
      <c r="E1099" s="70">
        <v>0.0</v>
      </c>
      <c r="F1099" s="70">
        <v>0.0</v>
      </c>
      <c r="G1099" s="70">
        <v>0.0</v>
      </c>
      <c r="H1099" s="70" t="s">
        <v>10689</v>
      </c>
      <c r="I1099" s="70">
        <v>1065.0</v>
      </c>
      <c r="K1099" s="70" t="s">
        <v>10597</v>
      </c>
      <c r="L1099" s="70" t="s">
        <v>10688</v>
      </c>
      <c r="P1099" s="77">
        <v>43678.0</v>
      </c>
      <c r="U1099" s="70" t="s">
        <v>239</v>
      </c>
      <c r="W1099" s="70" t="s">
        <v>10602</v>
      </c>
      <c r="X1099" s="70" t="s">
        <v>10690</v>
      </c>
      <c r="Z1099" s="75" t="s">
        <v>10691</v>
      </c>
      <c r="AF1099" s="70" t="s">
        <v>239</v>
      </c>
      <c r="AZ1099" s="70">
        <v>1621.0</v>
      </c>
    </row>
    <row r="1100" ht="22.5" customHeight="1">
      <c r="A1100" s="70" t="str">
        <f t="shared" si="1"/>
        <v>Excluded</v>
      </c>
      <c r="B1100" s="70">
        <f t="shared" si="2"/>
        <v>0</v>
      </c>
      <c r="C1100" s="70">
        <v>0.0</v>
      </c>
      <c r="D1100" s="70">
        <v>0.0</v>
      </c>
      <c r="E1100" s="70">
        <v>0.0</v>
      </c>
      <c r="F1100" s="70">
        <v>0.0</v>
      </c>
      <c r="G1100" s="70">
        <v>0.0</v>
      </c>
      <c r="H1100" s="70" t="s">
        <v>15838</v>
      </c>
      <c r="I1100" s="70">
        <v>1655.0</v>
      </c>
      <c r="K1100" s="70" t="s">
        <v>9426</v>
      </c>
      <c r="L1100" s="70" t="s">
        <v>15837</v>
      </c>
      <c r="P1100" s="76">
        <v>44979.0</v>
      </c>
      <c r="U1100" s="70" t="s">
        <v>239</v>
      </c>
      <c r="X1100" s="70" t="s">
        <v>15840</v>
      </c>
      <c r="Z1100" s="75" t="s">
        <v>15841</v>
      </c>
      <c r="AF1100" s="70" t="s">
        <v>239</v>
      </c>
      <c r="AZ1100" s="70">
        <v>1432.0</v>
      </c>
    </row>
    <row r="1101" ht="22.5" customHeight="1">
      <c r="A1101" s="70" t="str">
        <f t="shared" si="1"/>
        <v>Excluded</v>
      </c>
      <c r="B1101" s="70">
        <f t="shared" si="2"/>
        <v>0</v>
      </c>
      <c r="C1101" s="70">
        <v>0.0</v>
      </c>
      <c r="D1101" s="70">
        <v>0.0</v>
      </c>
      <c r="E1101" s="70">
        <v>0.0</v>
      </c>
      <c r="F1101" s="70">
        <v>0.0</v>
      </c>
      <c r="G1101" s="70">
        <v>0.0</v>
      </c>
      <c r="H1101" s="70" t="s">
        <v>12210</v>
      </c>
      <c r="I1101" s="70">
        <v>1276.0</v>
      </c>
      <c r="J1101" s="70" t="s">
        <v>12206</v>
      </c>
      <c r="K1101" s="70" t="s">
        <v>12207</v>
      </c>
      <c r="L1101" s="70" t="s">
        <v>12208</v>
      </c>
      <c r="N1101" s="70" t="s">
        <v>12209</v>
      </c>
      <c r="P1101" s="76">
        <v>45372.0</v>
      </c>
      <c r="U1101" s="70" t="s">
        <v>239</v>
      </c>
      <c r="W1101" s="70" t="s">
        <v>12212</v>
      </c>
      <c r="X1101" s="70" t="s">
        <v>12213</v>
      </c>
      <c r="Z1101" s="75" t="s">
        <v>12214</v>
      </c>
      <c r="AA1101" s="70" t="s">
        <v>12215</v>
      </c>
      <c r="AC1101" s="70">
        <v>1.0</v>
      </c>
      <c r="AE1101" s="70">
        <v>29.0</v>
      </c>
      <c r="AF1101" s="70" t="s">
        <v>239</v>
      </c>
      <c r="AW1101" s="70" t="s">
        <v>12216</v>
      </c>
      <c r="AZ1101" s="70">
        <v>263.0</v>
      </c>
    </row>
    <row r="1102" ht="22.5" customHeight="1">
      <c r="A1102" s="70" t="str">
        <f t="shared" si="1"/>
        <v>Excluded</v>
      </c>
      <c r="B1102" s="70">
        <f t="shared" si="2"/>
        <v>0</v>
      </c>
      <c r="C1102" s="70">
        <v>0.0</v>
      </c>
      <c r="D1102" s="70">
        <v>0.0</v>
      </c>
      <c r="E1102" s="70">
        <v>0.0</v>
      </c>
      <c r="F1102" s="70">
        <v>0.0</v>
      </c>
      <c r="G1102" s="70">
        <v>0.0</v>
      </c>
      <c r="H1102" s="70" t="s">
        <v>16229</v>
      </c>
      <c r="I1102" s="70">
        <v>1754.0</v>
      </c>
      <c r="K1102" s="70" t="s">
        <v>16228</v>
      </c>
      <c r="L1102" s="70" t="s">
        <v>12208</v>
      </c>
      <c r="N1102" s="70" t="s">
        <v>12209</v>
      </c>
      <c r="P1102" s="76">
        <v>45372.0</v>
      </c>
      <c r="U1102" s="70" t="s">
        <v>239</v>
      </c>
      <c r="W1102" s="70" t="s">
        <v>16230</v>
      </c>
      <c r="X1102" s="70" t="s">
        <v>12213</v>
      </c>
      <c r="Z1102" s="75" t="s">
        <v>16231</v>
      </c>
      <c r="AF1102" s="70" t="s">
        <v>239</v>
      </c>
      <c r="AZ1102" s="70">
        <v>1393.0</v>
      </c>
    </row>
    <row r="1103" ht="22.5" customHeight="1">
      <c r="A1103" s="70" t="str">
        <f t="shared" si="1"/>
        <v>Excluded</v>
      </c>
      <c r="B1103" s="70">
        <f t="shared" si="2"/>
        <v>0</v>
      </c>
      <c r="C1103" s="70">
        <v>0.0</v>
      </c>
      <c r="D1103" s="70">
        <v>0.0</v>
      </c>
      <c r="E1103" s="70">
        <v>0.0</v>
      </c>
      <c r="F1103" s="70">
        <v>0.0</v>
      </c>
      <c r="G1103" s="70">
        <v>0.0</v>
      </c>
      <c r="H1103" s="70" t="s">
        <v>11025</v>
      </c>
      <c r="I1103" s="70">
        <v>1153.0</v>
      </c>
      <c r="K1103" s="70" t="s">
        <v>10597</v>
      </c>
      <c r="L1103" s="70" t="s">
        <v>6103</v>
      </c>
      <c r="P1103" s="77">
        <v>43619.0</v>
      </c>
      <c r="U1103" s="70" t="s">
        <v>239</v>
      </c>
      <c r="W1103" s="70" t="s">
        <v>10602</v>
      </c>
      <c r="X1103" s="70" t="s">
        <v>6107</v>
      </c>
      <c r="Z1103" s="75" t="s">
        <v>11027</v>
      </c>
      <c r="AF1103" s="70" t="s">
        <v>239</v>
      </c>
      <c r="AZ1103" s="70">
        <v>1609.0</v>
      </c>
    </row>
    <row r="1104" ht="22.5" customHeight="1">
      <c r="A1104" s="70" t="str">
        <f t="shared" si="1"/>
        <v>Excluded</v>
      </c>
      <c r="B1104" s="70">
        <f t="shared" si="2"/>
        <v>0</v>
      </c>
      <c r="C1104" s="70">
        <v>0.0</v>
      </c>
      <c r="D1104" s="70">
        <v>0.0</v>
      </c>
      <c r="E1104" s="70">
        <v>0.0</v>
      </c>
      <c r="F1104" s="70">
        <v>0.0</v>
      </c>
      <c r="G1104" s="70">
        <v>0.0</v>
      </c>
      <c r="H1104" s="70" t="s">
        <v>6104</v>
      </c>
      <c r="I1104" s="70">
        <v>577.0</v>
      </c>
      <c r="J1104" s="70" t="s">
        <v>6101</v>
      </c>
      <c r="K1104" s="70" t="s">
        <v>6102</v>
      </c>
      <c r="L1104" s="70" t="s">
        <v>6103</v>
      </c>
      <c r="P1104" s="77">
        <v>43619.0</v>
      </c>
      <c r="U1104" s="70" t="s">
        <v>239</v>
      </c>
      <c r="W1104" s="70" t="s">
        <v>6106</v>
      </c>
      <c r="X1104" s="70" t="s">
        <v>6107</v>
      </c>
      <c r="Z1104" s="75" t="s">
        <v>6108</v>
      </c>
      <c r="AA1104" s="70" t="s">
        <v>6109</v>
      </c>
      <c r="AC1104" s="70">
        <v>7.0</v>
      </c>
      <c r="AE1104" s="70">
        <v>19.0</v>
      </c>
      <c r="AF1104" s="70" t="s">
        <v>239</v>
      </c>
      <c r="AW1104" s="70" t="s">
        <v>6110</v>
      </c>
      <c r="AX1104" s="70">
        <v>0.0</v>
      </c>
      <c r="AY1104" s="70" t="s">
        <v>24</v>
      </c>
      <c r="AZ1104" s="70">
        <v>1757.0</v>
      </c>
    </row>
    <row r="1105" ht="22.5" customHeight="1">
      <c r="A1105" s="70" t="str">
        <f t="shared" si="1"/>
        <v>Excluded</v>
      </c>
      <c r="B1105" s="70">
        <f t="shared" si="2"/>
        <v>0</v>
      </c>
      <c r="C1105" s="70">
        <v>0.0</v>
      </c>
      <c r="D1105" s="70">
        <v>0.0</v>
      </c>
      <c r="E1105" s="70">
        <v>0.0</v>
      </c>
      <c r="F1105" s="70">
        <v>0.0</v>
      </c>
      <c r="G1105" s="70">
        <v>0.0</v>
      </c>
      <c r="H1105" s="70" t="s">
        <v>11523</v>
      </c>
      <c r="I1105" s="70">
        <v>1207.0</v>
      </c>
      <c r="J1105" s="70" t="s">
        <v>11520</v>
      </c>
      <c r="K1105" s="70" t="s">
        <v>11521</v>
      </c>
      <c r="L1105" s="70" t="s">
        <v>11522</v>
      </c>
      <c r="P1105" s="78">
        <v>45443.0</v>
      </c>
      <c r="U1105" s="70" t="s">
        <v>239</v>
      </c>
      <c r="W1105" s="70" t="s">
        <v>11525</v>
      </c>
      <c r="X1105" s="70" t="s">
        <v>11526</v>
      </c>
      <c r="Z1105" s="75" t="s">
        <v>11527</v>
      </c>
      <c r="AA1105" s="70" t="s">
        <v>11528</v>
      </c>
      <c r="AC1105" s="70">
        <v>3.0</v>
      </c>
      <c r="AE1105" s="70">
        <v>14.0</v>
      </c>
      <c r="AF1105" s="70" t="s">
        <v>239</v>
      </c>
      <c r="AW1105" s="70" t="s">
        <v>11529</v>
      </c>
      <c r="AZ1105" s="70">
        <v>357.0</v>
      </c>
    </row>
    <row r="1106" ht="22.5" customHeight="1">
      <c r="A1106" s="70" t="str">
        <f t="shared" si="1"/>
        <v>Excluded</v>
      </c>
      <c r="B1106" s="70">
        <f t="shared" si="2"/>
        <v>0</v>
      </c>
      <c r="C1106" s="70">
        <v>0.0</v>
      </c>
      <c r="D1106" s="70">
        <v>0.0</v>
      </c>
      <c r="E1106" s="70">
        <v>0.0</v>
      </c>
      <c r="F1106" s="70">
        <v>0.0</v>
      </c>
      <c r="G1106" s="70">
        <v>0.0</v>
      </c>
      <c r="H1106" s="70" t="s">
        <v>7001</v>
      </c>
      <c r="I1106" s="70">
        <v>668.0</v>
      </c>
      <c r="J1106" s="70" t="s">
        <v>30338</v>
      </c>
      <c r="K1106" s="70" t="s">
        <v>6999</v>
      </c>
      <c r="L1106" s="70" t="s">
        <v>7000</v>
      </c>
      <c r="P1106" s="76">
        <v>44146.0</v>
      </c>
      <c r="U1106" s="70" t="s">
        <v>239</v>
      </c>
      <c r="W1106" s="70" t="s">
        <v>7003</v>
      </c>
      <c r="X1106" s="70" t="s">
        <v>7004</v>
      </c>
      <c r="Y1106" s="70" t="s">
        <v>30339</v>
      </c>
      <c r="Z1106" s="75" t="s">
        <v>7005</v>
      </c>
      <c r="AA1106" s="70" t="s">
        <v>7006</v>
      </c>
      <c r="AC1106" s="70">
        <v>4.0</v>
      </c>
      <c r="AE1106" s="70">
        <v>25.0</v>
      </c>
      <c r="AF1106" s="70" t="s">
        <v>239</v>
      </c>
      <c r="AW1106" s="70" t="s">
        <v>7007</v>
      </c>
      <c r="AX1106" s="70">
        <v>0.0</v>
      </c>
      <c r="AY1106" s="70" t="s">
        <v>24</v>
      </c>
      <c r="AZ1106" s="70">
        <v>2678.0</v>
      </c>
    </row>
    <row r="1107" ht="22.5" customHeight="1">
      <c r="A1107" s="70" t="str">
        <f t="shared" si="1"/>
        <v>Excluded</v>
      </c>
      <c r="B1107" s="70">
        <f t="shared" si="2"/>
        <v>0</v>
      </c>
      <c r="C1107" s="70">
        <v>0.0</v>
      </c>
      <c r="D1107" s="70">
        <v>0.0</v>
      </c>
      <c r="E1107" s="70">
        <v>0.0</v>
      </c>
      <c r="F1107" s="70">
        <v>0.0</v>
      </c>
      <c r="G1107" s="70">
        <v>0.0</v>
      </c>
      <c r="H1107" s="70" t="s">
        <v>10066</v>
      </c>
      <c r="I1107" s="70">
        <v>987.0</v>
      </c>
      <c r="J1107" s="70" t="s">
        <v>10063</v>
      </c>
      <c r="K1107" s="70" t="s">
        <v>10064</v>
      </c>
      <c r="L1107" s="70" t="s">
        <v>10065</v>
      </c>
      <c r="P1107" s="77">
        <v>43192.0</v>
      </c>
      <c r="U1107" s="70" t="s">
        <v>239</v>
      </c>
      <c r="W1107" s="70" t="s">
        <v>10068</v>
      </c>
      <c r="X1107" s="70" t="s">
        <v>10069</v>
      </c>
      <c r="Z1107" s="75" t="s">
        <v>10070</v>
      </c>
      <c r="AA1107" s="70" t="s">
        <v>10071</v>
      </c>
      <c r="AE1107" s="70">
        <v>21.0</v>
      </c>
      <c r="AF1107" s="70" t="s">
        <v>239</v>
      </c>
      <c r="AW1107" s="70" t="s">
        <v>10072</v>
      </c>
      <c r="AX1107" s="70">
        <v>0.0</v>
      </c>
      <c r="AY1107" s="70" t="s">
        <v>24</v>
      </c>
      <c r="AZ1107" s="70">
        <v>2083.0</v>
      </c>
    </row>
    <row r="1108" ht="22.5" customHeight="1">
      <c r="A1108" s="70" t="str">
        <f t="shared" si="1"/>
        <v>Excluded</v>
      </c>
      <c r="B1108" s="70">
        <f t="shared" si="2"/>
        <v>0</v>
      </c>
      <c r="C1108" s="70">
        <v>0.0</v>
      </c>
      <c r="D1108" s="70">
        <v>0.0</v>
      </c>
      <c r="E1108" s="70">
        <v>0.0</v>
      </c>
      <c r="F1108" s="70">
        <v>0.0</v>
      </c>
      <c r="G1108" s="70">
        <v>0.0</v>
      </c>
      <c r="H1108" s="70" t="s">
        <v>7032</v>
      </c>
      <c r="I1108" s="70">
        <v>671.0</v>
      </c>
      <c r="J1108" s="70" t="s">
        <v>7029</v>
      </c>
      <c r="K1108" s="70" t="s">
        <v>7030</v>
      </c>
      <c r="L1108" s="70" t="s">
        <v>7031</v>
      </c>
      <c r="P1108" s="76">
        <v>44908.0</v>
      </c>
      <c r="U1108" s="70" t="s">
        <v>239</v>
      </c>
      <c r="W1108" s="70" t="s">
        <v>7034</v>
      </c>
      <c r="X1108" s="70" t="s">
        <v>7035</v>
      </c>
      <c r="Z1108" s="75" t="s">
        <v>7036</v>
      </c>
      <c r="AA1108" s="70" t="s">
        <v>7037</v>
      </c>
      <c r="AC1108" s="70">
        <v>4.0</v>
      </c>
      <c r="AE1108" s="70">
        <v>41.0</v>
      </c>
      <c r="AF1108" s="70" t="s">
        <v>239</v>
      </c>
      <c r="AW1108" s="70" t="s">
        <v>7038</v>
      </c>
      <c r="AZ1108" s="70">
        <v>673.0</v>
      </c>
    </row>
    <row r="1109" ht="22.5" customHeight="1">
      <c r="A1109" s="70" t="str">
        <f t="shared" si="1"/>
        <v>Excluded</v>
      </c>
      <c r="B1109" s="70">
        <f t="shared" si="2"/>
        <v>0</v>
      </c>
      <c r="C1109" s="70">
        <v>0.0</v>
      </c>
      <c r="D1109" s="70">
        <v>0.0</v>
      </c>
      <c r="E1109" s="70">
        <v>0.0</v>
      </c>
      <c r="F1109" s="70">
        <v>0.0</v>
      </c>
      <c r="G1109" s="70">
        <v>0.0</v>
      </c>
      <c r="H1109" s="70" t="s">
        <v>25753</v>
      </c>
      <c r="I1109" s="70">
        <v>2799.0</v>
      </c>
      <c r="J1109" s="70" t="s">
        <v>25751</v>
      </c>
      <c r="K1109" s="70" t="s">
        <v>25752</v>
      </c>
      <c r="W1109" s="70" t="s">
        <v>30340</v>
      </c>
      <c r="AA1109" s="70" t="s">
        <v>25755</v>
      </c>
      <c r="AI1109" s="70" t="s">
        <v>25756</v>
      </c>
      <c r="AJ1109" s="70" t="s">
        <v>25757</v>
      </c>
      <c r="AK1109" s="70">
        <v>2023.0</v>
      </c>
      <c r="AL1109" s="70" t="s">
        <v>25758</v>
      </c>
      <c r="AN1109" s="70">
        <v>1016.0</v>
      </c>
      <c r="AO1109" s="70">
        <v>1023.0</v>
      </c>
      <c r="AP1109" s="70">
        <v>7.0</v>
      </c>
      <c r="AQ1109" s="70">
        <v>3.0</v>
      </c>
      <c r="AR1109" s="75" t="s">
        <v>25759</v>
      </c>
      <c r="AS1109" s="70" t="s">
        <v>22525</v>
      </c>
      <c r="AU1109" s="70" t="s">
        <v>237</v>
      </c>
      <c r="AV1109" s="70" t="s">
        <v>25760</v>
      </c>
      <c r="AW1109" s="70" t="s">
        <v>25761</v>
      </c>
      <c r="AX1109" s="70">
        <v>0.0</v>
      </c>
      <c r="AY1109" s="70" t="s">
        <v>24</v>
      </c>
      <c r="AZ1109" s="70">
        <v>2160.0</v>
      </c>
    </row>
    <row r="1110" ht="22.5" customHeight="1">
      <c r="A1110" s="70" t="str">
        <f t="shared" si="1"/>
        <v>Excluded</v>
      </c>
      <c r="B1110" s="70">
        <f t="shared" si="2"/>
        <v>0</v>
      </c>
      <c r="C1110" s="70">
        <v>0.0</v>
      </c>
      <c r="D1110" s="70">
        <v>0.0</v>
      </c>
      <c r="E1110" s="70">
        <v>0.0</v>
      </c>
      <c r="F1110" s="70">
        <v>0.0</v>
      </c>
      <c r="G1110" s="70">
        <v>0.0</v>
      </c>
      <c r="H1110" s="70" t="s">
        <v>10122</v>
      </c>
      <c r="I1110" s="70">
        <v>993.0</v>
      </c>
      <c r="J1110" s="70" t="s">
        <v>30341</v>
      </c>
      <c r="K1110" s="70" t="s">
        <v>10120</v>
      </c>
      <c r="L1110" s="70" t="s">
        <v>10121</v>
      </c>
      <c r="N1110" s="70" t="s">
        <v>8639</v>
      </c>
      <c r="P1110" s="76">
        <v>44153.0</v>
      </c>
      <c r="U1110" s="70" t="s">
        <v>239</v>
      </c>
      <c r="W1110" s="70" t="s">
        <v>10124</v>
      </c>
      <c r="X1110" s="70" t="s">
        <v>10125</v>
      </c>
      <c r="Y1110" s="70" t="s">
        <v>10126</v>
      </c>
      <c r="Z1110" s="75" t="s">
        <v>10127</v>
      </c>
      <c r="AA1110" s="70" t="s">
        <v>10128</v>
      </c>
      <c r="AE1110" s="70">
        <v>11.0</v>
      </c>
      <c r="AF1110" s="70" t="s">
        <v>239</v>
      </c>
      <c r="AW1110" s="70" t="s">
        <v>10129</v>
      </c>
      <c r="AZ1110" s="70">
        <v>1248.0</v>
      </c>
    </row>
    <row r="1111" ht="22.5" customHeight="1">
      <c r="A1111" s="70" t="str">
        <f t="shared" si="1"/>
        <v>Excluded</v>
      </c>
      <c r="B1111" s="70">
        <f t="shared" si="2"/>
        <v>0</v>
      </c>
      <c r="C1111" s="70">
        <v>0.0</v>
      </c>
      <c r="D1111" s="70">
        <v>0.0</v>
      </c>
      <c r="E1111" s="70">
        <v>0.0</v>
      </c>
      <c r="F1111" s="70">
        <v>0.0</v>
      </c>
      <c r="G1111" s="70">
        <v>0.0</v>
      </c>
      <c r="H1111" s="70" t="s">
        <v>8741</v>
      </c>
      <c r="I1111" s="70">
        <v>849.0</v>
      </c>
      <c r="J1111" s="70" t="s">
        <v>8738</v>
      </c>
      <c r="K1111" s="70" t="s">
        <v>8739</v>
      </c>
      <c r="L1111" s="70" t="s">
        <v>8740</v>
      </c>
      <c r="N1111" s="70" t="s">
        <v>8639</v>
      </c>
      <c r="P1111" s="76">
        <v>44515.0</v>
      </c>
      <c r="U1111" s="70" t="s">
        <v>239</v>
      </c>
      <c r="W1111" s="70" t="s">
        <v>8743</v>
      </c>
      <c r="X1111" s="70" t="s">
        <v>8744</v>
      </c>
      <c r="Z1111" s="75" t="s">
        <v>8745</v>
      </c>
      <c r="AA1111" s="70" t="s">
        <v>8746</v>
      </c>
      <c r="AC1111" s="70">
        <v>1.0</v>
      </c>
      <c r="AE1111" s="70">
        <v>11.0</v>
      </c>
      <c r="AF1111" s="70" t="s">
        <v>239</v>
      </c>
      <c r="AW1111" s="70" t="s">
        <v>8747</v>
      </c>
      <c r="AZ1111" s="70">
        <v>1384.0</v>
      </c>
    </row>
    <row r="1112" ht="22.5" customHeight="1">
      <c r="A1112" s="70" t="str">
        <f t="shared" si="1"/>
        <v>Excluded</v>
      </c>
      <c r="B1112" s="70">
        <f t="shared" si="2"/>
        <v>0</v>
      </c>
      <c r="C1112" s="70">
        <v>0.0</v>
      </c>
      <c r="D1112" s="70">
        <v>0.0</v>
      </c>
      <c r="E1112" s="70">
        <v>0.0</v>
      </c>
      <c r="F1112" s="70">
        <v>0.0</v>
      </c>
      <c r="G1112" s="70">
        <v>0.0</v>
      </c>
      <c r="H1112" s="70" t="s">
        <v>8640</v>
      </c>
      <c r="I1112" s="70">
        <v>839.0</v>
      </c>
      <c r="J1112" s="70" t="s">
        <v>8636</v>
      </c>
      <c r="K1112" s="70" t="s">
        <v>8637</v>
      </c>
      <c r="L1112" s="70" t="s">
        <v>8638</v>
      </c>
      <c r="N1112" s="70" t="s">
        <v>8639</v>
      </c>
      <c r="P1112" s="76">
        <v>44865.0</v>
      </c>
      <c r="U1112" s="70" t="s">
        <v>239</v>
      </c>
      <c r="W1112" s="70" t="s">
        <v>8642</v>
      </c>
      <c r="X1112" s="70" t="s">
        <v>8643</v>
      </c>
      <c r="Z1112" s="75" t="s">
        <v>8644</v>
      </c>
      <c r="AA1112" s="70" t="s">
        <v>8645</v>
      </c>
      <c r="AC1112" s="70">
        <v>1.0</v>
      </c>
      <c r="AE1112" s="70">
        <v>26.0</v>
      </c>
      <c r="AF1112" s="70" t="s">
        <v>239</v>
      </c>
      <c r="AW1112" s="70" t="s">
        <v>8646</v>
      </c>
      <c r="AZ1112" s="70">
        <v>1337.0</v>
      </c>
    </row>
    <row r="1113" ht="22.5" customHeight="1">
      <c r="A1113" s="70" t="str">
        <f t="shared" si="1"/>
        <v>Excluded</v>
      </c>
      <c r="B1113" s="70">
        <f t="shared" si="2"/>
        <v>0</v>
      </c>
      <c r="C1113" s="70">
        <v>0.0</v>
      </c>
      <c r="D1113" s="70">
        <v>0.0</v>
      </c>
      <c r="E1113" s="70">
        <v>0.0</v>
      </c>
      <c r="F1113" s="70">
        <v>0.0</v>
      </c>
      <c r="G1113" s="70">
        <v>0.0</v>
      </c>
      <c r="H1113" s="70" t="s">
        <v>12177</v>
      </c>
      <c r="I1113" s="70">
        <v>1273.0</v>
      </c>
      <c r="J1113" s="70" t="s">
        <v>30342</v>
      </c>
      <c r="K1113" s="70" t="s">
        <v>12175</v>
      </c>
      <c r="L1113" s="70" t="s">
        <v>12176</v>
      </c>
      <c r="N1113" s="70" t="s">
        <v>8639</v>
      </c>
      <c r="P1113" s="76">
        <v>45240.0</v>
      </c>
      <c r="U1113" s="70" t="s">
        <v>239</v>
      </c>
      <c r="W1113" s="70" t="s">
        <v>30343</v>
      </c>
      <c r="X1113" s="70" t="s">
        <v>12180</v>
      </c>
      <c r="Z1113" s="75" t="s">
        <v>12181</v>
      </c>
      <c r="AA1113" s="70" t="s">
        <v>12182</v>
      </c>
      <c r="AC1113" s="70">
        <v>1.0</v>
      </c>
      <c r="AE1113" s="70">
        <v>48.0</v>
      </c>
      <c r="AF1113" s="70" t="s">
        <v>239</v>
      </c>
      <c r="AW1113" s="70" t="s">
        <v>12183</v>
      </c>
      <c r="AZ1113" s="70">
        <v>637.0</v>
      </c>
    </row>
    <row r="1114" ht="22.5" customHeight="1">
      <c r="A1114" s="70" t="str">
        <f t="shared" si="1"/>
        <v>Excluded</v>
      </c>
      <c r="B1114" s="70">
        <f t="shared" si="2"/>
        <v>0</v>
      </c>
      <c r="C1114" s="70">
        <v>0.0</v>
      </c>
      <c r="D1114" s="70">
        <v>0.0</v>
      </c>
      <c r="E1114" s="70">
        <v>0.0</v>
      </c>
      <c r="F1114" s="70">
        <v>0.0</v>
      </c>
      <c r="G1114" s="70">
        <v>0.0</v>
      </c>
      <c r="H1114" s="70" t="s">
        <v>8996</v>
      </c>
      <c r="I1114" s="70">
        <v>875.0</v>
      </c>
      <c r="J1114" s="70" t="s">
        <v>8992</v>
      </c>
      <c r="K1114" s="70" t="s">
        <v>8993</v>
      </c>
      <c r="L1114" s="70" t="s">
        <v>8994</v>
      </c>
      <c r="N1114" s="70" t="s">
        <v>8995</v>
      </c>
      <c r="P1114" s="77">
        <v>44966.0</v>
      </c>
      <c r="U1114" s="70" t="s">
        <v>239</v>
      </c>
      <c r="W1114" s="70" t="s">
        <v>8998</v>
      </c>
      <c r="X1114" s="70" t="s">
        <v>8999</v>
      </c>
      <c r="Z1114" s="75" t="s">
        <v>9000</v>
      </c>
      <c r="AA1114" s="70" t="s">
        <v>9001</v>
      </c>
      <c r="AC1114" s="70">
        <v>1.0</v>
      </c>
      <c r="AE1114" s="70">
        <v>11.0</v>
      </c>
      <c r="AF1114" s="70" t="s">
        <v>239</v>
      </c>
      <c r="AW1114" s="70" t="s">
        <v>9002</v>
      </c>
      <c r="AX1114" s="70">
        <v>0.0</v>
      </c>
      <c r="AY1114" s="70" t="s">
        <v>24</v>
      </c>
      <c r="AZ1114" s="70">
        <v>1991.0</v>
      </c>
    </row>
    <row r="1115" ht="22.5" customHeight="1">
      <c r="A1115" s="70" t="str">
        <f t="shared" si="1"/>
        <v>Excluded</v>
      </c>
      <c r="B1115" s="70">
        <f t="shared" si="2"/>
        <v>0</v>
      </c>
      <c r="C1115" s="70">
        <v>0.0</v>
      </c>
      <c r="D1115" s="70">
        <v>0.0</v>
      </c>
      <c r="E1115" s="70">
        <v>0.0</v>
      </c>
      <c r="F1115" s="70">
        <v>0.0</v>
      </c>
      <c r="G1115" s="70">
        <v>0.0</v>
      </c>
      <c r="H1115" s="70" t="s">
        <v>11774</v>
      </c>
      <c r="I1115" s="70">
        <v>1232.0</v>
      </c>
      <c r="J1115" s="70" t="s">
        <v>11772</v>
      </c>
      <c r="K1115" s="70" t="s">
        <v>11773</v>
      </c>
      <c r="L1115" s="70" t="s">
        <v>11262</v>
      </c>
      <c r="N1115" s="70" t="s">
        <v>11263</v>
      </c>
      <c r="P1115" s="76">
        <v>45196.0</v>
      </c>
      <c r="U1115" s="70" t="s">
        <v>239</v>
      </c>
      <c r="W1115" s="70" t="s">
        <v>11776</v>
      </c>
      <c r="X1115" s="70" t="s">
        <v>11267</v>
      </c>
      <c r="Y1115" s="70" t="s">
        <v>30344</v>
      </c>
      <c r="Z1115" s="75" t="s">
        <v>11778</v>
      </c>
      <c r="AA1115" s="70" t="s">
        <v>11779</v>
      </c>
      <c r="AC1115" s="70">
        <v>1.0</v>
      </c>
      <c r="AE1115" s="70">
        <v>13.0</v>
      </c>
      <c r="AF1115" s="70" t="s">
        <v>239</v>
      </c>
      <c r="AW1115" s="70" t="s">
        <v>11780</v>
      </c>
      <c r="AX1115" s="70">
        <v>0.0</v>
      </c>
      <c r="AY1115" s="70" t="s">
        <v>24</v>
      </c>
      <c r="AZ1115" s="70">
        <v>2884.0</v>
      </c>
    </row>
    <row r="1116" ht="22.5" customHeight="1">
      <c r="A1116" s="70" t="str">
        <f t="shared" si="1"/>
        <v>Excluded</v>
      </c>
      <c r="B1116" s="70">
        <f t="shared" si="2"/>
        <v>0</v>
      </c>
      <c r="C1116" s="70">
        <v>0.0</v>
      </c>
      <c r="D1116" s="70">
        <v>0.0</v>
      </c>
      <c r="E1116" s="70">
        <v>0.0</v>
      </c>
      <c r="F1116" s="70">
        <v>0.0</v>
      </c>
      <c r="G1116" s="70">
        <v>0.0</v>
      </c>
      <c r="H1116" s="70" t="s">
        <v>11264</v>
      </c>
      <c r="I1116" s="70">
        <v>1181.0</v>
      </c>
      <c r="J1116" s="70" t="s">
        <v>11260</v>
      </c>
      <c r="K1116" s="70" t="s">
        <v>11261</v>
      </c>
      <c r="L1116" s="70" t="s">
        <v>11262</v>
      </c>
      <c r="N1116" s="70" t="s">
        <v>11263</v>
      </c>
      <c r="P1116" s="76">
        <v>45196.0</v>
      </c>
      <c r="U1116" s="70" t="s">
        <v>239</v>
      </c>
      <c r="W1116" s="70" t="s">
        <v>11266</v>
      </c>
      <c r="X1116" s="70" t="s">
        <v>11267</v>
      </c>
      <c r="Y1116" s="70" t="s">
        <v>30345</v>
      </c>
      <c r="Z1116" s="75" t="s">
        <v>11269</v>
      </c>
      <c r="AA1116" s="70" t="s">
        <v>11270</v>
      </c>
      <c r="AC1116" s="70">
        <v>4.0</v>
      </c>
      <c r="AE1116" s="70">
        <v>21.0</v>
      </c>
      <c r="AF1116" s="70" t="s">
        <v>239</v>
      </c>
      <c r="AW1116" s="70" t="s">
        <v>11271</v>
      </c>
      <c r="AX1116" s="70">
        <v>0.0</v>
      </c>
      <c r="AY1116" s="70" t="s">
        <v>24</v>
      </c>
      <c r="AZ1116" s="70">
        <v>2754.0</v>
      </c>
    </row>
    <row r="1117" ht="22.5" customHeight="1">
      <c r="A1117" s="70" t="str">
        <f t="shared" si="1"/>
        <v>Excluded</v>
      </c>
      <c r="B1117" s="70">
        <f t="shared" si="2"/>
        <v>0</v>
      </c>
      <c r="C1117" s="70">
        <v>0.0</v>
      </c>
      <c r="D1117" s="70">
        <v>0.0</v>
      </c>
      <c r="E1117" s="70">
        <v>0.0</v>
      </c>
      <c r="F1117" s="70">
        <v>0.0</v>
      </c>
      <c r="G1117" s="70">
        <v>0.0</v>
      </c>
      <c r="H1117" s="70" t="s">
        <v>11620</v>
      </c>
      <c r="I1117" s="70">
        <v>1217.0</v>
      </c>
      <c r="J1117" s="70" t="s">
        <v>11618</v>
      </c>
      <c r="K1117" s="70" t="s">
        <v>11619</v>
      </c>
      <c r="L1117" s="70" t="s">
        <v>11262</v>
      </c>
      <c r="N1117" s="70" t="s">
        <v>11263</v>
      </c>
      <c r="P1117" s="76">
        <v>45196.0</v>
      </c>
      <c r="U1117" s="70" t="s">
        <v>239</v>
      </c>
      <c r="W1117" s="70" t="s">
        <v>11622</v>
      </c>
      <c r="X1117" s="70" t="s">
        <v>11267</v>
      </c>
      <c r="Z1117" s="75" t="s">
        <v>11623</v>
      </c>
      <c r="AA1117" s="70" t="s">
        <v>11624</v>
      </c>
      <c r="AC1117" s="70">
        <v>2.0</v>
      </c>
      <c r="AE1117" s="70">
        <v>15.0</v>
      </c>
      <c r="AF1117" s="70" t="s">
        <v>239</v>
      </c>
      <c r="AW1117" s="70" t="s">
        <v>11625</v>
      </c>
      <c r="AX1117" s="70">
        <v>0.0</v>
      </c>
      <c r="AZ1117" s="70">
        <v>2523.0</v>
      </c>
    </row>
    <row r="1118" ht="22.5" customHeight="1">
      <c r="A1118" s="70" t="str">
        <f t="shared" si="1"/>
        <v>Excluded</v>
      </c>
      <c r="B1118" s="70">
        <f t="shared" si="2"/>
        <v>0</v>
      </c>
      <c r="C1118" s="70">
        <v>0.0</v>
      </c>
      <c r="D1118" s="70">
        <v>0.0</v>
      </c>
      <c r="E1118" s="70">
        <v>0.0</v>
      </c>
      <c r="F1118" s="70">
        <v>0.0</v>
      </c>
      <c r="G1118" s="70">
        <v>0.0</v>
      </c>
      <c r="H1118" s="70" t="s">
        <v>13607</v>
      </c>
      <c r="I1118" s="70">
        <v>1417.0</v>
      </c>
      <c r="J1118" s="70" t="s">
        <v>13605</v>
      </c>
      <c r="K1118" s="70" t="s">
        <v>13606</v>
      </c>
      <c r="L1118" s="70" t="s">
        <v>11561</v>
      </c>
      <c r="N1118" s="70" t="s">
        <v>11263</v>
      </c>
      <c r="P1118" s="76">
        <v>45516.0</v>
      </c>
      <c r="U1118" s="70" t="s">
        <v>239</v>
      </c>
      <c r="W1118" s="70" t="s">
        <v>13609</v>
      </c>
      <c r="X1118" s="70" t="s">
        <v>11565</v>
      </c>
      <c r="Y1118" s="70" t="s">
        <v>29380</v>
      </c>
      <c r="Z1118" s="75" t="s">
        <v>13610</v>
      </c>
      <c r="AA1118" s="70" t="s">
        <v>13611</v>
      </c>
      <c r="AE1118" s="70">
        <v>36.0</v>
      </c>
      <c r="AF1118" s="70" t="s">
        <v>239</v>
      </c>
      <c r="AW1118" s="70" t="s">
        <v>13612</v>
      </c>
      <c r="AX1118" s="70">
        <v>0.0</v>
      </c>
      <c r="AY1118" s="70" t="s">
        <v>24</v>
      </c>
      <c r="AZ1118" s="70">
        <v>3008.0</v>
      </c>
    </row>
    <row r="1119" ht="22.5" customHeight="1">
      <c r="A1119" s="70" t="str">
        <f t="shared" si="1"/>
        <v>Excluded</v>
      </c>
      <c r="B1119" s="70">
        <f t="shared" si="2"/>
        <v>0</v>
      </c>
      <c r="C1119" s="70">
        <v>0.0</v>
      </c>
      <c r="D1119" s="70">
        <v>0.0</v>
      </c>
      <c r="E1119" s="70">
        <v>0.0</v>
      </c>
      <c r="F1119" s="70">
        <v>0.0</v>
      </c>
      <c r="G1119" s="70">
        <v>0.0</v>
      </c>
      <c r="H1119" s="70" t="s">
        <v>11562</v>
      </c>
      <c r="I1119" s="70">
        <v>1211.0</v>
      </c>
      <c r="J1119" s="70" t="s">
        <v>11559</v>
      </c>
      <c r="K1119" s="70" t="s">
        <v>11560</v>
      </c>
      <c r="L1119" s="70" t="s">
        <v>11561</v>
      </c>
      <c r="N1119" s="70" t="s">
        <v>11263</v>
      </c>
      <c r="P1119" s="76">
        <v>45516.0</v>
      </c>
      <c r="U1119" s="70" t="s">
        <v>239</v>
      </c>
      <c r="W1119" s="70" t="s">
        <v>11564</v>
      </c>
      <c r="X1119" s="70" t="s">
        <v>11565</v>
      </c>
      <c r="Z1119" s="75" t="s">
        <v>11566</v>
      </c>
      <c r="AA1119" s="70" t="s">
        <v>11567</v>
      </c>
      <c r="AC1119" s="70">
        <v>2.0</v>
      </c>
      <c r="AE1119" s="70">
        <v>16.0</v>
      </c>
      <c r="AF1119" s="70" t="s">
        <v>239</v>
      </c>
      <c r="AW1119" s="70" t="s">
        <v>11568</v>
      </c>
      <c r="AX1119" s="70">
        <v>0.0</v>
      </c>
      <c r="AY1119" s="70" t="s">
        <v>24</v>
      </c>
      <c r="AZ1119" s="70">
        <v>1888.0</v>
      </c>
    </row>
    <row r="1120" ht="22.5" customHeight="1">
      <c r="A1120" s="70" t="str">
        <f t="shared" si="1"/>
        <v>Excluded</v>
      </c>
      <c r="B1120" s="70">
        <f t="shared" si="2"/>
        <v>0</v>
      </c>
      <c r="C1120" s="70">
        <v>0.0</v>
      </c>
      <c r="D1120" s="70">
        <v>0.0</v>
      </c>
      <c r="E1120" s="70">
        <v>0.0</v>
      </c>
      <c r="F1120" s="70">
        <v>0.0</v>
      </c>
      <c r="G1120" s="70">
        <v>0.0</v>
      </c>
      <c r="H1120" s="70" t="s">
        <v>10298</v>
      </c>
      <c r="I1120" s="70">
        <v>1012.0</v>
      </c>
      <c r="J1120" s="70" t="s">
        <v>10295</v>
      </c>
      <c r="K1120" s="70" t="s">
        <v>10296</v>
      </c>
      <c r="L1120" s="70" t="s">
        <v>10297</v>
      </c>
      <c r="P1120" s="76">
        <v>44671.0</v>
      </c>
      <c r="U1120" s="70" t="s">
        <v>239</v>
      </c>
      <c r="W1120" s="70" t="s">
        <v>10300</v>
      </c>
      <c r="X1120" s="70" t="s">
        <v>10301</v>
      </c>
      <c r="Z1120" s="75" t="s">
        <v>10302</v>
      </c>
      <c r="AA1120" s="70" t="s">
        <v>10303</v>
      </c>
      <c r="AE1120" s="70">
        <v>23.0</v>
      </c>
      <c r="AF1120" s="70" t="s">
        <v>239</v>
      </c>
      <c r="AW1120" s="70" t="s">
        <v>10304</v>
      </c>
      <c r="AZ1120" s="70">
        <v>929.0</v>
      </c>
    </row>
    <row r="1121" ht="22.5" customHeight="1">
      <c r="A1121" s="70" t="str">
        <f t="shared" si="1"/>
        <v>Excluded</v>
      </c>
      <c r="B1121" s="70">
        <f t="shared" si="2"/>
        <v>0</v>
      </c>
      <c r="C1121" s="70">
        <v>0.0</v>
      </c>
      <c r="D1121" s="70">
        <v>0.0</v>
      </c>
      <c r="E1121" s="70">
        <v>0.0</v>
      </c>
      <c r="F1121" s="70">
        <v>0.0</v>
      </c>
      <c r="G1121" s="70">
        <v>0.0</v>
      </c>
      <c r="H1121" s="70" t="s">
        <v>14672</v>
      </c>
      <c r="I1121" s="70">
        <v>1530.0</v>
      </c>
      <c r="J1121" s="70" t="s">
        <v>14669</v>
      </c>
      <c r="K1121" s="70" t="s">
        <v>14670</v>
      </c>
      <c r="L1121" s="70" t="s">
        <v>14671</v>
      </c>
      <c r="P1121" s="77">
        <v>45328.0</v>
      </c>
      <c r="U1121" s="70" t="s">
        <v>239</v>
      </c>
      <c r="W1121" s="70" t="s">
        <v>30346</v>
      </c>
      <c r="X1121" s="70" t="s">
        <v>14675</v>
      </c>
      <c r="Z1121" s="75" t="s">
        <v>14676</v>
      </c>
      <c r="AA1121" s="70" t="s">
        <v>14677</v>
      </c>
      <c r="AE1121" s="70">
        <v>10.0</v>
      </c>
      <c r="AF1121" s="70" t="s">
        <v>239</v>
      </c>
      <c r="AW1121" s="70" t="s">
        <v>14678</v>
      </c>
      <c r="AX1121" s="70">
        <v>0.0</v>
      </c>
      <c r="AY1121" s="70" t="s">
        <v>24</v>
      </c>
      <c r="AZ1121" s="70">
        <v>3002.0</v>
      </c>
    </row>
    <row r="1122" ht="22.5" customHeight="1">
      <c r="A1122" s="70" t="str">
        <f t="shared" si="1"/>
        <v>Excluded</v>
      </c>
      <c r="B1122" s="70">
        <f t="shared" si="2"/>
        <v>0</v>
      </c>
      <c r="C1122" s="70">
        <v>0.0</v>
      </c>
      <c r="D1122" s="70">
        <v>0.0</v>
      </c>
      <c r="E1122" s="70">
        <v>0.0</v>
      </c>
      <c r="F1122" s="70">
        <v>0.0</v>
      </c>
      <c r="G1122" s="70">
        <v>0.0</v>
      </c>
      <c r="H1122" s="70" t="s">
        <v>10329</v>
      </c>
      <c r="I1122" s="70">
        <v>1015.0</v>
      </c>
      <c r="J1122" s="70" t="s">
        <v>10326</v>
      </c>
      <c r="K1122" s="70" t="s">
        <v>10327</v>
      </c>
      <c r="L1122" s="70" t="s">
        <v>10328</v>
      </c>
      <c r="P1122" s="76">
        <v>42670.0</v>
      </c>
      <c r="U1122" s="70" t="s">
        <v>239</v>
      </c>
      <c r="W1122" s="70" t="s">
        <v>10331</v>
      </c>
      <c r="X1122" s="70" t="s">
        <v>10332</v>
      </c>
      <c r="Z1122" s="75" t="s">
        <v>10333</v>
      </c>
      <c r="AA1122" s="70" t="s">
        <v>10334</v>
      </c>
      <c r="AD1122" s="70">
        <v>2.0</v>
      </c>
      <c r="AE1122" s="70">
        <v>24.0</v>
      </c>
      <c r="AF1122" s="70" t="s">
        <v>239</v>
      </c>
      <c r="AW1122" s="70" t="s">
        <v>10335</v>
      </c>
      <c r="AX1122" s="70">
        <v>0.0</v>
      </c>
      <c r="AY1122" s="70" t="s">
        <v>24</v>
      </c>
      <c r="AZ1122" s="70">
        <v>1743.0</v>
      </c>
    </row>
    <row r="1123" ht="22.5" customHeight="1">
      <c r="A1123" s="70" t="str">
        <f t="shared" si="1"/>
        <v>Excluded</v>
      </c>
      <c r="B1123" s="70">
        <f t="shared" si="2"/>
        <v>0</v>
      </c>
      <c r="C1123" s="70">
        <v>0.0</v>
      </c>
      <c r="D1123" s="70">
        <v>0.0</v>
      </c>
      <c r="E1123" s="70">
        <v>0.0</v>
      </c>
      <c r="F1123" s="70">
        <v>0.0</v>
      </c>
      <c r="G1123" s="70">
        <v>0.0</v>
      </c>
      <c r="H1123" s="70" t="s">
        <v>7180</v>
      </c>
      <c r="I1123" s="70">
        <v>687.0</v>
      </c>
      <c r="J1123" s="70" t="s">
        <v>30347</v>
      </c>
      <c r="K1123" s="70" t="s">
        <v>7178</v>
      </c>
      <c r="L1123" s="70" t="s">
        <v>7179</v>
      </c>
      <c r="P1123" s="77">
        <v>44112.0</v>
      </c>
      <c r="U1123" s="70" t="s">
        <v>239</v>
      </c>
      <c r="W1123" s="70" t="s">
        <v>7182</v>
      </c>
      <c r="X1123" s="70" t="s">
        <v>7183</v>
      </c>
      <c r="Z1123" s="75" t="s">
        <v>7184</v>
      </c>
      <c r="AA1123" s="70" t="s">
        <v>7185</v>
      </c>
      <c r="AC1123" s="70">
        <v>4.0</v>
      </c>
      <c r="AE1123" s="70">
        <v>12.0</v>
      </c>
      <c r="AF1123" s="70" t="s">
        <v>239</v>
      </c>
      <c r="AW1123" s="70" t="s">
        <v>7186</v>
      </c>
      <c r="AZ1123" s="70">
        <v>229.0</v>
      </c>
    </row>
    <row r="1124" ht="22.5" customHeight="1">
      <c r="A1124" s="70" t="str">
        <f t="shared" si="1"/>
        <v>Excluded</v>
      </c>
      <c r="B1124" s="70">
        <f t="shared" si="2"/>
        <v>0</v>
      </c>
      <c r="C1124" s="70">
        <v>0.0</v>
      </c>
      <c r="D1124" s="70">
        <v>0.0</v>
      </c>
      <c r="E1124" s="70">
        <v>0.0</v>
      </c>
      <c r="F1124" s="70">
        <v>0.0</v>
      </c>
      <c r="G1124" s="70">
        <v>0.0</v>
      </c>
      <c r="H1124" s="70" t="s">
        <v>15772</v>
      </c>
      <c r="I1124" s="70">
        <v>1647.0</v>
      </c>
      <c r="J1124" s="70" t="s">
        <v>30348</v>
      </c>
      <c r="K1124" s="70" t="s">
        <v>15769</v>
      </c>
      <c r="L1124" s="70" t="s">
        <v>15770</v>
      </c>
      <c r="N1124" s="70" t="s">
        <v>15771</v>
      </c>
      <c r="P1124" s="76">
        <v>45370.0</v>
      </c>
      <c r="U1124" s="70" t="s">
        <v>239</v>
      </c>
      <c r="W1124" s="70" t="s">
        <v>30349</v>
      </c>
      <c r="X1124" s="70" t="s">
        <v>15775</v>
      </c>
      <c r="Z1124" s="75" t="s">
        <v>15776</v>
      </c>
      <c r="AA1124" s="70" t="s">
        <v>15777</v>
      </c>
      <c r="AE1124" s="70">
        <v>44.0</v>
      </c>
      <c r="AF1124" s="70" t="s">
        <v>239</v>
      </c>
      <c r="AW1124" s="70" t="s">
        <v>15778</v>
      </c>
      <c r="AZ1124" s="70">
        <v>541.0</v>
      </c>
    </row>
    <row r="1125" ht="22.5" customHeight="1">
      <c r="A1125" s="70" t="str">
        <f t="shared" si="1"/>
        <v>Excluded</v>
      </c>
      <c r="B1125" s="70">
        <f t="shared" si="2"/>
        <v>0</v>
      </c>
      <c r="C1125" s="70">
        <v>0.0</v>
      </c>
      <c r="D1125" s="70">
        <v>0.0</v>
      </c>
      <c r="E1125" s="70">
        <v>0.0</v>
      </c>
      <c r="F1125" s="70">
        <v>0.0</v>
      </c>
      <c r="G1125" s="70">
        <v>0.0</v>
      </c>
      <c r="H1125" s="70" t="s">
        <v>5144</v>
      </c>
      <c r="I1125" s="70">
        <v>480.0</v>
      </c>
      <c r="J1125" s="70" t="s">
        <v>5141</v>
      </c>
      <c r="K1125" s="70" t="s">
        <v>5142</v>
      </c>
      <c r="L1125" s="70" t="s">
        <v>5143</v>
      </c>
      <c r="P1125" s="77">
        <v>43377.0</v>
      </c>
      <c r="U1125" s="70" t="s">
        <v>239</v>
      </c>
      <c r="W1125" s="70" t="s">
        <v>5146</v>
      </c>
      <c r="X1125" s="70" t="s">
        <v>5147</v>
      </c>
      <c r="Z1125" s="75" t="s">
        <v>5148</v>
      </c>
      <c r="AA1125" s="70" t="s">
        <v>5149</v>
      </c>
      <c r="AC1125" s="70">
        <v>18.0</v>
      </c>
      <c r="AE1125" s="70">
        <v>23.0</v>
      </c>
      <c r="AF1125" s="70" t="s">
        <v>239</v>
      </c>
      <c r="AW1125" s="70" t="s">
        <v>5150</v>
      </c>
      <c r="AX1125" s="70">
        <v>0.0</v>
      </c>
      <c r="AY1125" s="70" t="s">
        <v>24</v>
      </c>
      <c r="AZ1125" s="70">
        <v>3084.0</v>
      </c>
    </row>
    <row r="1126" ht="22.5" customHeight="1">
      <c r="A1126" s="70" t="str">
        <f t="shared" si="1"/>
        <v>Excluded</v>
      </c>
      <c r="B1126" s="70">
        <f t="shared" si="2"/>
        <v>0</v>
      </c>
      <c r="C1126" s="70">
        <v>0.0</v>
      </c>
      <c r="D1126" s="70">
        <v>0.0</v>
      </c>
      <c r="E1126" s="70">
        <v>0.0</v>
      </c>
      <c r="F1126" s="70">
        <v>0.0</v>
      </c>
      <c r="G1126" s="70">
        <v>0.0</v>
      </c>
      <c r="H1126" s="70" t="s">
        <v>13560</v>
      </c>
      <c r="I1126" s="70">
        <v>1412.0</v>
      </c>
      <c r="J1126" s="70" t="s">
        <v>30350</v>
      </c>
      <c r="K1126" s="70" t="s">
        <v>13557</v>
      </c>
      <c r="L1126" s="70" t="s">
        <v>13558</v>
      </c>
      <c r="N1126" s="70" t="s">
        <v>13559</v>
      </c>
      <c r="P1126" s="76">
        <v>45533.0</v>
      </c>
      <c r="U1126" s="70" t="s">
        <v>239</v>
      </c>
      <c r="W1126" s="70" t="s">
        <v>30351</v>
      </c>
      <c r="X1126" s="70" t="s">
        <v>13563</v>
      </c>
      <c r="Z1126" s="75" t="s">
        <v>13564</v>
      </c>
      <c r="AA1126" s="70" t="s">
        <v>13565</v>
      </c>
      <c r="AE1126" s="70">
        <v>50.0</v>
      </c>
      <c r="AF1126" s="70" t="s">
        <v>239</v>
      </c>
      <c r="AW1126" s="70" t="s">
        <v>13566</v>
      </c>
      <c r="AX1126" s="70">
        <v>0.0</v>
      </c>
      <c r="AY1126" s="70" t="s">
        <v>24</v>
      </c>
      <c r="AZ1126" s="70">
        <v>1938.0</v>
      </c>
    </row>
    <row r="1127" ht="22.5" customHeight="1">
      <c r="A1127" s="70" t="str">
        <f t="shared" si="1"/>
        <v>Excluded</v>
      </c>
      <c r="B1127" s="70">
        <f t="shared" si="2"/>
        <v>0</v>
      </c>
      <c r="C1127" s="70">
        <v>0.0</v>
      </c>
      <c r="D1127" s="70">
        <v>0.0</v>
      </c>
      <c r="E1127" s="70">
        <v>0.0</v>
      </c>
      <c r="F1127" s="70">
        <v>0.0</v>
      </c>
      <c r="G1127" s="70">
        <v>0.0</v>
      </c>
      <c r="H1127" s="70" t="s">
        <v>13297</v>
      </c>
      <c r="I1127" s="70">
        <v>1385.0</v>
      </c>
      <c r="J1127" s="70" t="s">
        <v>13293</v>
      </c>
      <c r="K1127" s="70" t="s">
        <v>13294</v>
      </c>
      <c r="L1127" s="70" t="s">
        <v>13295</v>
      </c>
      <c r="N1127" s="70" t="s">
        <v>13296</v>
      </c>
      <c r="P1127" s="76">
        <v>45148.0</v>
      </c>
      <c r="U1127" s="70" t="s">
        <v>239</v>
      </c>
      <c r="W1127" s="70" t="s">
        <v>13299</v>
      </c>
      <c r="X1127" s="70" t="s">
        <v>13300</v>
      </c>
      <c r="Z1127" s="75" t="s">
        <v>13301</v>
      </c>
      <c r="AA1127" s="70" t="s">
        <v>13302</v>
      </c>
      <c r="AE1127" s="70">
        <v>29.0</v>
      </c>
      <c r="AF1127" s="70" t="s">
        <v>239</v>
      </c>
      <c r="AW1127" s="70" t="s">
        <v>13303</v>
      </c>
      <c r="AZ1127" s="70">
        <v>1045.0</v>
      </c>
    </row>
    <row r="1128" ht="22.5" customHeight="1">
      <c r="A1128" s="70" t="str">
        <f t="shared" si="1"/>
        <v>Excluded</v>
      </c>
      <c r="B1128" s="70">
        <f t="shared" si="2"/>
        <v>0</v>
      </c>
      <c r="C1128" s="70">
        <v>0.0</v>
      </c>
      <c r="D1128" s="70">
        <v>0.0</v>
      </c>
      <c r="E1128" s="70">
        <v>0.0</v>
      </c>
      <c r="F1128" s="70">
        <v>0.0</v>
      </c>
      <c r="G1128" s="70">
        <v>0.0</v>
      </c>
      <c r="H1128" s="70" t="s">
        <v>7979</v>
      </c>
      <c r="I1128" s="70">
        <v>769.0</v>
      </c>
      <c r="J1128" s="70" t="s">
        <v>7975</v>
      </c>
      <c r="K1128" s="70" t="s">
        <v>7976</v>
      </c>
      <c r="L1128" s="70" t="s">
        <v>7977</v>
      </c>
      <c r="N1128" s="70" t="s">
        <v>7978</v>
      </c>
      <c r="P1128" s="76">
        <v>43304.0</v>
      </c>
      <c r="U1128" s="70" t="s">
        <v>239</v>
      </c>
      <c r="W1128" s="70" t="s">
        <v>7981</v>
      </c>
      <c r="X1128" s="70" t="s">
        <v>7982</v>
      </c>
      <c r="Z1128" s="75" t="s">
        <v>7983</v>
      </c>
      <c r="AA1128" s="70" t="s">
        <v>7984</v>
      </c>
      <c r="AC1128" s="70">
        <v>2.0</v>
      </c>
      <c r="AE1128" s="70">
        <v>41.0</v>
      </c>
      <c r="AF1128" s="70" t="s">
        <v>239</v>
      </c>
      <c r="AW1128" s="70" t="s">
        <v>7985</v>
      </c>
      <c r="AZ1128" s="70">
        <v>994.0</v>
      </c>
    </row>
    <row r="1129" ht="22.5" customHeight="1">
      <c r="A1129" s="70" t="str">
        <f t="shared" si="1"/>
        <v>Excluded</v>
      </c>
      <c r="B1129" s="70">
        <f t="shared" si="2"/>
        <v>0</v>
      </c>
      <c r="C1129" s="70">
        <v>0.0</v>
      </c>
      <c r="D1129" s="70">
        <v>0.0</v>
      </c>
      <c r="E1129" s="70">
        <v>0.0</v>
      </c>
      <c r="F1129" s="70">
        <v>0.0</v>
      </c>
      <c r="G1129" s="70">
        <v>0.0</v>
      </c>
      <c r="H1129" s="70" t="s">
        <v>26947</v>
      </c>
      <c r="I1129" s="70">
        <v>2916.0</v>
      </c>
      <c r="J1129" s="70" t="s">
        <v>25657</v>
      </c>
      <c r="K1129" s="70" t="s">
        <v>26946</v>
      </c>
      <c r="W1129" s="70" t="s">
        <v>30352</v>
      </c>
      <c r="AA1129" s="70" t="s">
        <v>26949</v>
      </c>
      <c r="AI1129" s="70" t="s">
        <v>25662</v>
      </c>
      <c r="AJ1129" s="70" t="s">
        <v>25663</v>
      </c>
      <c r="AK1129" s="70">
        <v>2022.0</v>
      </c>
      <c r="AL1129" s="70" t="s">
        <v>26950</v>
      </c>
      <c r="AN1129" s="70">
        <v>28.0</v>
      </c>
      <c r="AO1129" s="70">
        <v>40.0</v>
      </c>
      <c r="AP1129" s="70">
        <v>12.0</v>
      </c>
      <c r="AQ1129" s="70">
        <v>4.0</v>
      </c>
      <c r="AR1129" s="75" t="s">
        <v>26951</v>
      </c>
      <c r="AS1129" s="70" t="s">
        <v>22525</v>
      </c>
      <c r="AT1129" s="70" t="s">
        <v>22816</v>
      </c>
      <c r="AU1129" s="70" t="s">
        <v>237</v>
      </c>
      <c r="AV1129" s="70" t="s">
        <v>26952</v>
      </c>
      <c r="AW1129" s="70" t="s">
        <v>26953</v>
      </c>
      <c r="AX1129" s="70">
        <v>0.0</v>
      </c>
      <c r="AY1129" s="70" t="s">
        <v>24</v>
      </c>
      <c r="AZ1129" s="70">
        <v>2690.0</v>
      </c>
    </row>
    <row r="1130" ht="22.5" customHeight="1">
      <c r="A1130" s="70" t="str">
        <f t="shared" si="1"/>
        <v>Excluded</v>
      </c>
      <c r="B1130" s="70">
        <f t="shared" si="2"/>
        <v>0</v>
      </c>
      <c r="C1130" s="70">
        <v>0.0</v>
      </c>
      <c r="D1130" s="70">
        <v>0.0</v>
      </c>
      <c r="E1130" s="70">
        <v>0.0</v>
      </c>
      <c r="F1130" s="70">
        <v>0.0</v>
      </c>
      <c r="G1130" s="70">
        <v>0.0</v>
      </c>
      <c r="H1130" s="70" t="s">
        <v>12862</v>
      </c>
      <c r="I1130" s="70">
        <v>1341.0</v>
      </c>
      <c r="J1130" s="70" t="s">
        <v>12859</v>
      </c>
      <c r="K1130" s="70" t="s">
        <v>12860</v>
      </c>
      <c r="L1130" s="70" t="s">
        <v>12861</v>
      </c>
      <c r="P1130" s="76">
        <v>45638.0</v>
      </c>
      <c r="U1130" s="70" t="s">
        <v>239</v>
      </c>
      <c r="W1130" s="70" t="s">
        <v>12864</v>
      </c>
      <c r="X1130" s="70" t="s">
        <v>12865</v>
      </c>
      <c r="Z1130" s="75" t="s">
        <v>12866</v>
      </c>
      <c r="AA1130" s="70" t="s">
        <v>12867</v>
      </c>
      <c r="AE1130" s="70">
        <v>20.0</v>
      </c>
      <c r="AF1130" s="70" t="s">
        <v>239</v>
      </c>
      <c r="AW1130" s="70" t="s">
        <v>12868</v>
      </c>
      <c r="AZ1130" s="70">
        <v>350.0</v>
      </c>
    </row>
    <row r="1131" ht="22.5" customHeight="1">
      <c r="A1131" s="70" t="str">
        <f t="shared" si="1"/>
        <v>Excluded</v>
      </c>
      <c r="B1131" s="70">
        <f t="shared" si="2"/>
        <v>0</v>
      </c>
      <c r="C1131" s="70">
        <v>0.0</v>
      </c>
      <c r="D1131" s="70">
        <v>0.0</v>
      </c>
      <c r="E1131" s="70">
        <v>0.0</v>
      </c>
      <c r="F1131" s="70">
        <v>0.0</v>
      </c>
      <c r="G1131" s="70">
        <v>0.0</v>
      </c>
      <c r="H1131" s="70" t="s">
        <v>12988</v>
      </c>
      <c r="I1131" s="70">
        <v>1354.0</v>
      </c>
      <c r="J1131" s="70" t="s">
        <v>12986</v>
      </c>
      <c r="K1131" s="70" t="s">
        <v>12987</v>
      </c>
      <c r="L1131" s="70" t="s">
        <v>12861</v>
      </c>
      <c r="P1131" s="76">
        <v>45638.0</v>
      </c>
      <c r="U1131" s="70" t="s">
        <v>239</v>
      </c>
      <c r="W1131" s="70" t="s">
        <v>30353</v>
      </c>
      <c r="X1131" s="70" t="s">
        <v>12865</v>
      </c>
      <c r="Y1131" s="70" t="s">
        <v>30354</v>
      </c>
      <c r="Z1131" s="75" t="s">
        <v>12992</v>
      </c>
      <c r="AA1131" s="70" t="s">
        <v>12993</v>
      </c>
      <c r="AE1131" s="70">
        <v>9.0</v>
      </c>
      <c r="AF1131" s="70" t="s">
        <v>239</v>
      </c>
      <c r="AW1131" s="70" t="s">
        <v>12994</v>
      </c>
      <c r="AZ1131" s="70">
        <v>496.0</v>
      </c>
    </row>
    <row r="1132" ht="22.5" customHeight="1">
      <c r="A1132" s="70" t="str">
        <f t="shared" si="1"/>
        <v>Excluded</v>
      </c>
      <c r="B1132" s="70">
        <f t="shared" si="2"/>
        <v>0</v>
      </c>
      <c r="C1132" s="70">
        <v>0.0</v>
      </c>
      <c r="D1132" s="70">
        <v>0.0</v>
      </c>
      <c r="E1132" s="70">
        <v>0.0</v>
      </c>
      <c r="F1132" s="70">
        <v>0.0</v>
      </c>
      <c r="G1132" s="70">
        <v>0.0</v>
      </c>
      <c r="H1132" s="70" t="s">
        <v>8856</v>
      </c>
      <c r="I1132" s="70">
        <v>861.0</v>
      </c>
      <c r="J1132" s="70" t="s">
        <v>8853</v>
      </c>
      <c r="K1132" s="70" t="s">
        <v>8854</v>
      </c>
      <c r="L1132" s="70" t="s">
        <v>8855</v>
      </c>
      <c r="P1132" s="76">
        <v>44887.0</v>
      </c>
      <c r="U1132" s="70" t="s">
        <v>239</v>
      </c>
      <c r="W1132" s="70" t="s">
        <v>8858</v>
      </c>
      <c r="X1132" s="70" t="s">
        <v>8859</v>
      </c>
      <c r="Z1132" s="75" t="s">
        <v>8860</v>
      </c>
      <c r="AA1132" s="70" t="s">
        <v>8861</v>
      </c>
      <c r="AC1132" s="70">
        <v>1.0</v>
      </c>
      <c r="AE1132" s="70">
        <v>47.0</v>
      </c>
      <c r="AF1132" s="70" t="s">
        <v>239</v>
      </c>
      <c r="AW1132" s="70" t="s">
        <v>8862</v>
      </c>
      <c r="AZ1132" s="70">
        <v>336.0</v>
      </c>
    </row>
    <row r="1133" ht="22.5" customHeight="1">
      <c r="A1133" s="70" t="str">
        <f t="shared" si="1"/>
        <v>Excluded</v>
      </c>
      <c r="B1133" s="70">
        <f t="shared" si="2"/>
        <v>0</v>
      </c>
      <c r="C1133" s="70">
        <v>0.0</v>
      </c>
      <c r="D1133" s="70">
        <v>0.0</v>
      </c>
      <c r="E1133" s="70">
        <v>0.0</v>
      </c>
      <c r="F1133" s="70">
        <v>0.0</v>
      </c>
      <c r="G1133" s="70">
        <v>0.0</v>
      </c>
      <c r="H1133" s="70" t="s">
        <v>8699</v>
      </c>
      <c r="I1133" s="70">
        <v>845.0</v>
      </c>
      <c r="J1133" s="70" t="s">
        <v>30355</v>
      </c>
      <c r="K1133" s="70" t="s">
        <v>8697</v>
      </c>
      <c r="L1133" s="70" t="s">
        <v>8698</v>
      </c>
      <c r="P1133" s="76">
        <v>44431.0</v>
      </c>
      <c r="U1133" s="70" t="s">
        <v>239</v>
      </c>
      <c r="W1133" s="70" t="s">
        <v>30356</v>
      </c>
      <c r="X1133" s="70" t="s">
        <v>8702</v>
      </c>
      <c r="Z1133" s="75" t="s">
        <v>8703</v>
      </c>
      <c r="AA1133" s="70" t="s">
        <v>8704</v>
      </c>
      <c r="AC1133" s="70">
        <v>1.0</v>
      </c>
      <c r="AE1133" s="70">
        <v>33.0</v>
      </c>
      <c r="AF1133" s="70" t="s">
        <v>239</v>
      </c>
      <c r="AW1133" s="70" t="s">
        <v>8705</v>
      </c>
      <c r="AX1133" s="70">
        <v>0.0</v>
      </c>
      <c r="AY1133" s="70" t="s">
        <v>24</v>
      </c>
      <c r="AZ1133" s="70">
        <v>2433.0</v>
      </c>
    </row>
    <row r="1134" ht="22.5" customHeight="1">
      <c r="A1134" s="70" t="str">
        <f t="shared" si="1"/>
        <v>Excluded</v>
      </c>
      <c r="B1134" s="70">
        <f t="shared" si="2"/>
        <v>0</v>
      </c>
      <c r="C1134" s="70">
        <v>0.0</v>
      </c>
      <c r="D1134" s="70">
        <v>0.0</v>
      </c>
      <c r="E1134" s="70">
        <v>0.0</v>
      </c>
      <c r="F1134" s="70">
        <v>0.0</v>
      </c>
      <c r="G1134" s="70">
        <v>0.0</v>
      </c>
      <c r="H1134" s="70" t="s">
        <v>16126</v>
      </c>
      <c r="I1134" s="70">
        <v>1729.0</v>
      </c>
      <c r="K1134" s="70" t="s">
        <v>10597</v>
      </c>
      <c r="L1134" s="70" t="s">
        <v>16125</v>
      </c>
      <c r="P1134" s="77">
        <v>45140.0</v>
      </c>
      <c r="U1134" s="70" t="s">
        <v>239</v>
      </c>
      <c r="X1134" s="70" t="s">
        <v>16127</v>
      </c>
      <c r="Z1134" s="75" t="s">
        <v>16128</v>
      </c>
      <c r="AF1134" s="70" t="s">
        <v>239</v>
      </c>
      <c r="AZ1134" s="70">
        <v>1586.0</v>
      </c>
    </row>
    <row r="1135" ht="22.5" customHeight="1">
      <c r="A1135" s="70" t="str">
        <f t="shared" si="1"/>
        <v>Excluded</v>
      </c>
      <c r="B1135" s="70">
        <f t="shared" si="2"/>
        <v>0</v>
      </c>
      <c r="C1135" s="70">
        <v>0.0</v>
      </c>
      <c r="D1135" s="70">
        <v>0.0</v>
      </c>
      <c r="E1135" s="70">
        <v>0.0</v>
      </c>
      <c r="F1135" s="70">
        <v>0.0</v>
      </c>
      <c r="G1135" s="70">
        <v>0.0</v>
      </c>
      <c r="H1135" s="70" t="s">
        <v>6812</v>
      </c>
      <c r="I1135" s="70">
        <v>649.0</v>
      </c>
      <c r="J1135" s="70" t="s">
        <v>30357</v>
      </c>
      <c r="K1135" s="70" t="s">
        <v>30358</v>
      </c>
      <c r="L1135" s="70" t="s">
        <v>6811</v>
      </c>
      <c r="P1135" s="76">
        <v>43216.0</v>
      </c>
      <c r="U1135" s="70" t="s">
        <v>239</v>
      </c>
      <c r="W1135" s="70" t="s">
        <v>6814</v>
      </c>
      <c r="X1135" s="70" t="s">
        <v>6815</v>
      </c>
      <c r="Z1135" s="75" t="s">
        <v>6816</v>
      </c>
      <c r="AC1135" s="70">
        <v>5.0</v>
      </c>
      <c r="AE1135" s="70">
        <v>8.0</v>
      </c>
      <c r="AF1135" s="70" t="s">
        <v>239</v>
      </c>
      <c r="AW1135" s="70" t="s">
        <v>6817</v>
      </c>
      <c r="AZ1135" s="70">
        <v>1043.0</v>
      </c>
    </row>
    <row r="1136" ht="22.5" customHeight="1">
      <c r="A1136" s="70" t="str">
        <f t="shared" si="1"/>
        <v>Excluded</v>
      </c>
      <c r="B1136" s="70">
        <f t="shared" si="2"/>
        <v>0</v>
      </c>
      <c r="C1136" s="70">
        <v>0.0</v>
      </c>
      <c r="D1136" s="70">
        <v>0.0</v>
      </c>
      <c r="E1136" s="70">
        <v>0.0</v>
      </c>
      <c r="F1136" s="70">
        <v>0.0</v>
      </c>
      <c r="G1136" s="70">
        <v>0.0</v>
      </c>
      <c r="H1136" s="70" t="s">
        <v>7418</v>
      </c>
      <c r="I1136" s="70">
        <v>712.0</v>
      </c>
      <c r="J1136" s="70" t="s">
        <v>7415</v>
      </c>
      <c r="K1136" s="70" t="s">
        <v>7416</v>
      </c>
      <c r="L1136" s="70" t="s">
        <v>7417</v>
      </c>
      <c r="P1136" s="76">
        <v>44365.0</v>
      </c>
      <c r="U1136" s="70" t="s">
        <v>239</v>
      </c>
      <c r="W1136" s="70" t="s">
        <v>30359</v>
      </c>
      <c r="X1136" s="70" t="s">
        <v>7421</v>
      </c>
      <c r="Z1136" s="75" t="s">
        <v>7422</v>
      </c>
      <c r="AA1136" s="70" t="s">
        <v>7423</v>
      </c>
      <c r="AC1136" s="70">
        <v>3.0</v>
      </c>
      <c r="AE1136" s="70">
        <v>14.0</v>
      </c>
      <c r="AF1136" s="70" t="s">
        <v>239</v>
      </c>
      <c r="AW1136" s="70" t="s">
        <v>7424</v>
      </c>
      <c r="AZ1136" s="70">
        <v>1314.0</v>
      </c>
    </row>
    <row r="1137" ht="22.5" customHeight="1">
      <c r="A1137" s="70" t="str">
        <f t="shared" si="1"/>
        <v>Excluded</v>
      </c>
      <c r="B1137" s="70">
        <f t="shared" si="2"/>
        <v>0</v>
      </c>
      <c r="C1137" s="70">
        <v>0.0</v>
      </c>
      <c r="D1137" s="70">
        <v>0.0</v>
      </c>
      <c r="E1137" s="70">
        <v>0.0</v>
      </c>
      <c r="F1137" s="70">
        <v>0.0</v>
      </c>
      <c r="G1137" s="70">
        <v>0.0</v>
      </c>
      <c r="H1137" s="70" t="s">
        <v>6180</v>
      </c>
      <c r="I1137" s="70">
        <v>585.0</v>
      </c>
      <c r="J1137" s="70" t="s">
        <v>6177</v>
      </c>
      <c r="K1137" s="70" t="s">
        <v>6178</v>
      </c>
      <c r="L1137" s="70" t="s">
        <v>6179</v>
      </c>
      <c r="P1137" s="76">
        <v>43703.0</v>
      </c>
      <c r="U1137" s="70" t="s">
        <v>239</v>
      </c>
      <c r="W1137" s="70" t="s">
        <v>6182</v>
      </c>
      <c r="X1137" s="70" t="s">
        <v>6183</v>
      </c>
      <c r="Z1137" s="75" t="s">
        <v>6184</v>
      </c>
      <c r="AA1137" s="70" t="s">
        <v>6185</v>
      </c>
      <c r="AC1137" s="70">
        <v>7.0</v>
      </c>
      <c r="AE1137" s="70">
        <v>35.0</v>
      </c>
      <c r="AF1137" s="70" t="s">
        <v>239</v>
      </c>
      <c r="AW1137" s="70" t="s">
        <v>6186</v>
      </c>
      <c r="AX1137" s="70">
        <v>0.0</v>
      </c>
      <c r="AY1137" s="70" t="s">
        <v>24</v>
      </c>
      <c r="AZ1137" s="70">
        <v>2597.0</v>
      </c>
    </row>
    <row r="1138" ht="22.5" customHeight="1">
      <c r="A1138" s="70" t="str">
        <f t="shared" si="1"/>
        <v>Excluded</v>
      </c>
      <c r="B1138" s="70">
        <f t="shared" si="2"/>
        <v>0</v>
      </c>
      <c r="C1138" s="70">
        <v>0.0</v>
      </c>
      <c r="D1138" s="70">
        <v>0.0</v>
      </c>
      <c r="E1138" s="70">
        <v>0.0</v>
      </c>
      <c r="F1138" s="70">
        <v>0.0</v>
      </c>
      <c r="G1138" s="70">
        <v>0.0</v>
      </c>
      <c r="H1138" s="70" t="s">
        <v>4869</v>
      </c>
      <c r="I1138" s="70">
        <v>453.0</v>
      </c>
      <c r="J1138" s="70" t="s">
        <v>4865</v>
      </c>
      <c r="K1138" s="70" t="s">
        <v>4866</v>
      </c>
      <c r="L1138" s="70" t="s">
        <v>4867</v>
      </c>
      <c r="N1138" s="70" t="s">
        <v>4868</v>
      </c>
      <c r="P1138" s="76">
        <v>44609.0</v>
      </c>
      <c r="U1138" s="70" t="s">
        <v>239</v>
      </c>
      <c r="W1138" s="70" t="s">
        <v>4871</v>
      </c>
      <c r="X1138" s="70" t="s">
        <v>4872</v>
      </c>
      <c r="Y1138" s="70" t="s">
        <v>4873</v>
      </c>
      <c r="Z1138" s="75" t="s">
        <v>4874</v>
      </c>
      <c r="AA1138" s="70" t="s">
        <v>4875</v>
      </c>
      <c r="AC1138" s="70">
        <v>30.0</v>
      </c>
      <c r="AE1138" s="70">
        <v>47.0</v>
      </c>
      <c r="AF1138" s="70" t="s">
        <v>239</v>
      </c>
      <c r="AW1138" s="70" t="s">
        <v>4876</v>
      </c>
      <c r="AZ1138" s="70">
        <v>1034.0</v>
      </c>
    </row>
    <row r="1139" ht="22.5" customHeight="1">
      <c r="A1139" s="70" t="str">
        <f t="shared" si="1"/>
        <v>Excluded</v>
      </c>
      <c r="B1139" s="70">
        <f t="shared" si="2"/>
        <v>0</v>
      </c>
      <c r="C1139" s="70">
        <v>0.0</v>
      </c>
      <c r="D1139" s="70">
        <v>0.0</v>
      </c>
      <c r="E1139" s="70">
        <v>0.0</v>
      </c>
      <c r="F1139" s="70">
        <v>0.0</v>
      </c>
      <c r="G1139" s="70">
        <v>0.0</v>
      </c>
      <c r="H1139" s="70" t="s">
        <v>27094</v>
      </c>
      <c r="I1139" s="70">
        <v>2930.0</v>
      </c>
      <c r="J1139" s="70" t="s">
        <v>27092</v>
      </c>
      <c r="K1139" s="70" t="s">
        <v>27093</v>
      </c>
      <c r="W1139" s="70" t="s">
        <v>30360</v>
      </c>
      <c r="AA1139" s="70" t="s">
        <v>27097</v>
      </c>
      <c r="AI1139" s="70" t="s">
        <v>27098</v>
      </c>
      <c r="AJ1139" s="70" t="s">
        <v>27099</v>
      </c>
      <c r="AK1139" s="70">
        <v>2022.0</v>
      </c>
      <c r="AL1139" s="70" t="s">
        <v>24915</v>
      </c>
      <c r="AN1139" s="70">
        <v>153.0</v>
      </c>
      <c r="AO1139" s="70">
        <v>158.0</v>
      </c>
      <c r="AP1139" s="70">
        <v>5.0</v>
      </c>
      <c r="AQ1139" s="70">
        <v>2.0</v>
      </c>
      <c r="AR1139" s="75" t="s">
        <v>27100</v>
      </c>
      <c r="AS1139" s="70" t="s">
        <v>22525</v>
      </c>
      <c r="AU1139" s="70" t="s">
        <v>237</v>
      </c>
      <c r="AV1139" s="70" t="s">
        <v>27101</v>
      </c>
      <c r="AW1139" s="70" t="s">
        <v>27102</v>
      </c>
      <c r="AX1139" s="70">
        <v>0.0</v>
      </c>
      <c r="AY1139" s="70" t="s">
        <v>24</v>
      </c>
      <c r="AZ1139" s="70">
        <v>2968.0</v>
      </c>
    </row>
    <row r="1140" ht="22.5" customHeight="1">
      <c r="A1140" s="70" t="str">
        <f t="shared" si="1"/>
        <v>Excluded</v>
      </c>
      <c r="B1140" s="70">
        <f t="shared" si="2"/>
        <v>0</v>
      </c>
      <c r="C1140" s="70">
        <v>0.0</v>
      </c>
      <c r="D1140" s="70">
        <v>0.0</v>
      </c>
      <c r="E1140" s="70">
        <v>0.0</v>
      </c>
      <c r="F1140" s="70">
        <v>0.0</v>
      </c>
      <c r="G1140" s="70">
        <v>0.0</v>
      </c>
      <c r="H1140" s="70" t="s">
        <v>25815</v>
      </c>
      <c r="I1140" s="70">
        <v>2805.0</v>
      </c>
      <c r="J1140" s="70" t="s">
        <v>25813</v>
      </c>
      <c r="K1140" s="70" t="s">
        <v>25814</v>
      </c>
      <c r="W1140" s="70" t="s">
        <v>30361</v>
      </c>
      <c r="AA1140" s="70" t="s">
        <v>25817</v>
      </c>
      <c r="AI1140" s="70" t="s">
        <v>25818</v>
      </c>
      <c r="AJ1140" s="70" t="s">
        <v>25819</v>
      </c>
      <c r="AK1140" s="70">
        <v>2023.0</v>
      </c>
      <c r="AL1140" s="70" t="s">
        <v>24915</v>
      </c>
      <c r="AN1140" s="70">
        <v>1.0</v>
      </c>
      <c r="AO1140" s="70">
        <v>11.0</v>
      </c>
      <c r="AP1140" s="70">
        <v>10.0</v>
      </c>
      <c r="AQ1140" s="70">
        <v>7.0</v>
      </c>
      <c r="AR1140" s="75" t="s">
        <v>25820</v>
      </c>
      <c r="AS1140" s="70" t="s">
        <v>22525</v>
      </c>
      <c r="AU1140" s="70" t="s">
        <v>237</v>
      </c>
      <c r="AV1140" s="70" t="s">
        <v>25821</v>
      </c>
      <c r="AW1140" s="70" t="s">
        <v>25822</v>
      </c>
      <c r="AX1140" s="70">
        <v>0.0</v>
      </c>
      <c r="AY1140" s="70" t="s">
        <v>24</v>
      </c>
      <c r="AZ1140" s="70">
        <v>2521.0</v>
      </c>
    </row>
    <row r="1141" ht="22.5" customHeight="1">
      <c r="A1141" s="70" t="str">
        <f t="shared" si="1"/>
        <v>Excluded</v>
      </c>
      <c r="B1141" s="70">
        <f t="shared" si="2"/>
        <v>0</v>
      </c>
      <c r="C1141" s="70">
        <v>0.0</v>
      </c>
      <c r="D1141" s="70">
        <v>0.0</v>
      </c>
      <c r="E1141" s="70">
        <v>0.0</v>
      </c>
      <c r="F1141" s="70">
        <v>0.0</v>
      </c>
      <c r="G1141" s="70">
        <v>0.0</v>
      </c>
      <c r="H1141" s="70" t="s">
        <v>11112</v>
      </c>
      <c r="I1141" s="70">
        <v>1166.0</v>
      </c>
      <c r="J1141" s="70" t="s">
        <v>11110</v>
      </c>
      <c r="K1141" s="70" t="s">
        <v>11111</v>
      </c>
      <c r="L1141" s="70" t="s">
        <v>11101</v>
      </c>
      <c r="N1141" s="70" t="s">
        <v>4868</v>
      </c>
      <c r="P1141" s="77">
        <v>45170.0</v>
      </c>
      <c r="U1141" s="70" t="s">
        <v>239</v>
      </c>
      <c r="W1141" s="70" t="s">
        <v>11114</v>
      </c>
      <c r="X1141" s="70" t="s">
        <v>11105</v>
      </c>
      <c r="Y1141" s="70" t="s">
        <v>30362</v>
      </c>
      <c r="Z1141" s="75" t="s">
        <v>11116</v>
      </c>
      <c r="AA1141" s="70" t="s">
        <v>11117</v>
      </c>
      <c r="AC1141" s="70">
        <v>6.0</v>
      </c>
      <c r="AE1141" s="70">
        <v>29.0</v>
      </c>
      <c r="AF1141" s="70" t="s">
        <v>239</v>
      </c>
      <c r="AW1141" s="70" t="s">
        <v>11118</v>
      </c>
      <c r="AZ1141" s="70">
        <v>297.0</v>
      </c>
    </row>
    <row r="1142" ht="22.5" customHeight="1">
      <c r="A1142" s="70" t="str">
        <f t="shared" si="1"/>
        <v>Excluded</v>
      </c>
      <c r="B1142" s="70">
        <f t="shared" si="2"/>
        <v>0</v>
      </c>
      <c r="C1142" s="70">
        <v>0.0</v>
      </c>
      <c r="D1142" s="70">
        <v>0.0</v>
      </c>
      <c r="E1142" s="70">
        <v>0.0</v>
      </c>
      <c r="F1142" s="70">
        <v>0.0</v>
      </c>
      <c r="G1142" s="70">
        <v>0.0</v>
      </c>
      <c r="H1142" s="70" t="s">
        <v>11325</v>
      </c>
      <c r="I1142" s="70">
        <v>1187.0</v>
      </c>
      <c r="J1142" s="70" t="s">
        <v>11323</v>
      </c>
      <c r="K1142" s="70" t="s">
        <v>11324</v>
      </c>
      <c r="L1142" s="70" t="s">
        <v>11101</v>
      </c>
      <c r="N1142" s="70" t="s">
        <v>4868</v>
      </c>
      <c r="P1142" s="77">
        <v>45170.0</v>
      </c>
      <c r="U1142" s="70" t="s">
        <v>239</v>
      </c>
      <c r="W1142" s="70" t="s">
        <v>30363</v>
      </c>
      <c r="X1142" s="70" t="s">
        <v>11105</v>
      </c>
      <c r="Y1142" s="70" t="s">
        <v>30364</v>
      </c>
      <c r="Z1142" s="75" t="s">
        <v>11329</v>
      </c>
      <c r="AA1142" s="70" t="s">
        <v>11330</v>
      </c>
      <c r="AC1142" s="70">
        <v>4.0</v>
      </c>
      <c r="AE1142" s="70">
        <v>50.0</v>
      </c>
      <c r="AF1142" s="70" t="s">
        <v>239</v>
      </c>
      <c r="AW1142" s="70" t="s">
        <v>11331</v>
      </c>
      <c r="AZ1142" s="70">
        <v>207.0</v>
      </c>
    </row>
    <row r="1143" ht="22.5" customHeight="1">
      <c r="A1143" s="70" t="str">
        <f t="shared" si="1"/>
        <v>Excluded</v>
      </c>
      <c r="B1143" s="70">
        <f t="shared" si="2"/>
        <v>0</v>
      </c>
      <c r="C1143" s="70">
        <v>0.0</v>
      </c>
      <c r="D1143" s="70">
        <v>0.0</v>
      </c>
      <c r="E1143" s="70">
        <v>0.0</v>
      </c>
      <c r="F1143" s="70">
        <v>0.0</v>
      </c>
      <c r="G1143" s="70">
        <v>0.0</v>
      </c>
      <c r="H1143" s="70" t="s">
        <v>11102</v>
      </c>
      <c r="I1143" s="70">
        <v>1165.0</v>
      </c>
      <c r="J1143" s="70" t="s">
        <v>11099</v>
      </c>
      <c r="K1143" s="70" t="s">
        <v>11100</v>
      </c>
      <c r="L1143" s="70" t="s">
        <v>11101</v>
      </c>
      <c r="N1143" s="70" t="s">
        <v>4868</v>
      </c>
      <c r="P1143" s="77">
        <v>45170.0</v>
      </c>
      <c r="U1143" s="70" t="s">
        <v>239</v>
      </c>
      <c r="W1143" s="70" t="s">
        <v>30365</v>
      </c>
      <c r="X1143" s="70" t="s">
        <v>11105</v>
      </c>
      <c r="Y1143" s="70" t="s">
        <v>30366</v>
      </c>
      <c r="Z1143" s="75" t="s">
        <v>11107</v>
      </c>
      <c r="AA1143" s="70" t="s">
        <v>11108</v>
      </c>
      <c r="AC1143" s="70">
        <v>7.0</v>
      </c>
      <c r="AE1143" s="70">
        <v>50.0</v>
      </c>
      <c r="AF1143" s="70" t="s">
        <v>239</v>
      </c>
      <c r="AW1143" s="70" t="s">
        <v>11109</v>
      </c>
      <c r="AZ1143" s="70">
        <v>147.0</v>
      </c>
    </row>
    <row r="1144" ht="22.5" customHeight="1">
      <c r="A1144" s="70" t="str">
        <f t="shared" si="1"/>
        <v>Excluded</v>
      </c>
      <c r="B1144" s="70">
        <f t="shared" si="2"/>
        <v>0</v>
      </c>
      <c r="C1144" s="70">
        <v>0.0</v>
      </c>
      <c r="D1144" s="70">
        <v>0.0</v>
      </c>
      <c r="E1144" s="70">
        <v>0.0</v>
      </c>
      <c r="F1144" s="70">
        <v>0.0</v>
      </c>
      <c r="G1144" s="70">
        <v>0.0</v>
      </c>
      <c r="H1144" s="70" t="s">
        <v>11373</v>
      </c>
      <c r="I1144" s="70">
        <v>1192.0</v>
      </c>
      <c r="J1144" s="70" t="s">
        <v>11371</v>
      </c>
      <c r="K1144" s="70" t="s">
        <v>11372</v>
      </c>
      <c r="L1144" s="70" t="s">
        <v>11101</v>
      </c>
      <c r="N1144" s="70" t="s">
        <v>4868</v>
      </c>
      <c r="P1144" s="77">
        <v>45170.0</v>
      </c>
      <c r="U1144" s="70" t="s">
        <v>239</v>
      </c>
      <c r="W1144" s="70" t="s">
        <v>11375</v>
      </c>
      <c r="X1144" s="70" t="s">
        <v>11105</v>
      </c>
      <c r="Z1144" s="75" t="s">
        <v>11376</v>
      </c>
      <c r="AA1144" s="70" t="s">
        <v>11377</v>
      </c>
      <c r="AC1144" s="70">
        <v>3.0</v>
      </c>
      <c r="AE1144" s="70">
        <v>44.0</v>
      </c>
      <c r="AF1144" s="70" t="s">
        <v>239</v>
      </c>
      <c r="AW1144" s="70" t="s">
        <v>11378</v>
      </c>
      <c r="AX1144" s="70">
        <v>0.0</v>
      </c>
      <c r="AY1144" s="70" t="s">
        <v>24</v>
      </c>
      <c r="AZ1144" s="70">
        <v>2536.0</v>
      </c>
    </row>
    <row r="1145" ht="22.5" customHeight="1">
      <c r="A1145" s="70" t="str">
        <f t="shared" si="1"/>
        <v>Excluded</v>
      </c>
      <c r="B1145" s="70">
        <f t="shared" si="2"/>
        <v>0</v>
      </c>
      <c r="C1145" s="70">
        <v>0.0</v>
      </c>
      <c r="D1145" s="70">
        <v>0.0</v>
      </c>
      <c r="E1145" s="70">
        <v>0.0</v>
      </c>
      <c r="F1145" s="70">
        <v>0.0</v>
      </c>
      <c r="G1145" s="70">
        <v>0.0</v>
      </c>
      <c r="H1145" s="70" t="s">
        <v>13382</v>
      </c>
      <c r="I1145" s="70">
        <v>1394.0</v>
      </c>
      <c r="J1145" s="70" t="s">
        <v>13379</v>
      </c>
      <c r="K1145" s="70" t="s">
        <v>13380</v>
      </c>
      <c r="L1145" s="70" t="s">
        <v>13381</v>
      </c>
      <c r="N1145" s="70" t="s">
        <v>4868</v>
      </c>
      <c r="P1145" s="76">
        <v>45532.0</v>
      </c>
      <c r="U1145" s="70" t="s">
        <v>239</v>
      </c>
      <c r="W1145" s="70" t="s">
        <v>13384</v>
      </c>
      <c r="X1145" s="70" t="s">
        <v>13385</v>
      </c>
      <c r="Z1145" s="75" t="s">
        <v>13386</v>
      </c>
      <c r="AA1145" s="70" t="s">
        <v>13387</v>
      </c>
      <c r="AE1145" s="70">
        <v>31.0</v>
      </c>
      <c r="AF1145" s="70" t="s">
        <v>239</v>
      </c>
      <c r="AW1145" s="70" t="s">
        <v>13388</v>
      </c>
      <c r="AX1145" s="70">
        <v>0.0</v>
      </c>
      <c r="AY1145" s="70" t="s">
        <v>24</v>
      </c>
      <c r="AZ1145" s="70">
        <v>1832.0</v>
      </c>
    </row>
    <row r="1146" ht="22.5" customHeight="1">
      <c r="A1146" s="70" t="str">
        <f t="shared" si="1"/>
        <v>Excluded</v>
      </c>
      <c r="B1146" s="70">
        <f t="shared" si="2"/>
        <v>0</v>
      </c>
      <c r="C1146" s="70">
        <v>0.0</v>
      </c>
      <c r="D1146" s="70">
        <v>0.0</v>
      </c>
      <c r="E1146" s="70">
        <v>0.0</v>
      </c>
      <c r="F1146" s="70">
        <v>0.0</v>
      </c>
      <c r="G1146" s="70">
        <v>0.0</v>
      </c>
      <c r="H1146" s="70" t="s">
        <v>24910</v>
      </c>
      <c r="I1146" s="70">
        <v>2718.0</v>
      </c>
      <c r="J1146" s="70" t="s">
        <v>24908</v>
      </c>
      <c r="K1146" s="70" t="s">
        <v>24909</v>
      </c>
      <c r="W1146" s="70" t="s">
        <v>30367</v>
      </c>
      <c r="AA1146" s="70" t="s">
        <v>24912</v>
      </c>
      <c r="AI1146" s="70" t="s">
        <v>24913</v>
      </c>
      <c r="AJ1146" s="70" t="s">
        <v>24914</v>
      </c>
      <c r="AK1146" s="70">
        <v>2024.0</v>
      </c>
      <c r="AL1146" s="70" t="s">
        <v>24915</v>
      </c>
      <c r="AN1146" s="70">
        <v>74.0</v>
      </c>
      <c r="AO1146" s="70">
        <v>83.0</v>
      </c>
      <c r="AP1146" s="70">
        <v>9.0</v>
      </c>
      <c r="AQ1146" s="70">
        <v>0.0</v>
      </c>
      <c r="AR1146" s="75" t="s">
        <v>24916</v>
      </c>
      <c r="AS1146" s="70" t="s">
        <v>22525</v>
      </c>
      <c r="AU1146" s="70" t="s">
        <v>237</v>
      </c>
      <c r="AV1146" s="70" t="s">
        <v>24917</v>
      </c>
      <c r="AW1146" s="70" t="s">
        <v>24918</v>
      </c>
      <c r="AX1146" s="70">
        <v>0.0</v>
      </c>
      <c r="AY1146" s="70" t="s">
        <v>24</v>
      </c>
      <c r="AZ1146" s="70">
        <v>2570.0</v>
      </c>
    </row>
    <row r="1147" ht="22.5" customHeight="1">
      <c r="A1147" s="70" t="str">
        <f t="shared" si="1"/>
        <v>Excluded</v>
      </c>
      <c r="B1147" s="70">
        <f t="shared" si="2"/>
        <v>0</v>
      </c>
      <c r="C1147" s="70">
        <v>0.0</v>
      </c>
      <c r="D1147" s="70">
        <v>0.0</v>
      </c>
      <c r="E1147" s="70">
        <v>0.0</v>
      </c>
      <c r="F1147" s="70">
        <v>0.0</v>
      </c>
      <c r="G1147" s="70">
        <v>0.0</v>
      </c>
      <c r="H1147" s="70" t="s">
        <v>7478</v>
      </c>
      <c r="I1147" s="70">
        <v>718.0</v>
      </c>
      <c r="J1147" s="70" t="s">
        <v>7475</v>
      </c>
      <c r="K1147" s="70" t="s">
        <v>7476</v>
      </c>
      <c r="L1147" s="70" t="s">
        <v>7477</v>
      </c>
      <c r="P1147" s="77">
        <v>44657.0</v>
      </c>
      <c r="U1147" s="70" t="s">
        <v>239</v>
      </c>
      <c r="W1147" s="70" t="s">
        <v>30368</v>
      </c>
      <c r="X1147" s="70" t="s">
        <v>7481</v>
      </c>
      <c r="Z1147" s="75" t="s">
        <v>7482</v>
      </c>
      <c r="AA1147" s="70" t="s">
        <v>7483</v>
      </c>
      <c r="AC1147" s="70">
        <v>3.0</v>
      </c>
      <c r="AE1147" s="70">
        <v>8.0</v>
      </c>
      <c r="AF1147" s="70" t="s">
        <v>239</v>
      </c>
      <c r="AW1147" s="70" t="s">
        <v>7484</v>
      </c>
      <c r="AZ1147" s="70">
        <v>391.0</v>
      </c>
    </row>
    <row r="1148" ht="22.5" customHeight="1">
      <c r="A1148" s="70" t="str">
        <f t="shared" si="1"/>
        <v>Excluded</v>
      </c>
      <c r="B1148" s="70">
        <f t="shared" si="2"/>
        <v>0</v>
      </c>
      <c r="C1148" s="70">
        <v>0.0</v>
      </c>
      <c r="D1148" s="70">
        <v>0.0</v>
      </c>
      <c r="E1148" s="70">
        <v>0.0</v>
      </c>
      <c r="F1148" s="70">
        <v>0.0</v>
      </c>
      <c r="G1148" s="70">
        <v>0.0</v>
      </c>
      <c r="H1148" s="70" t="s">
        <v>16042</v>
      </c>
      <c r="I1148" s="70">
        <v>1705.0</v>
      </c>
      <c r="K1148" s="70" t="s">
        <v>10597</v>
      </c>
      <c r="L1148" s="70" t="s">
        <v>13689</v>
      </c>
      <c r="P1148" s="77">
        <v>45390.0</v>
      </c>
      <c r="U1148" s="70" t="s">
        <v>239</v>
      </c>
      <c r="X1148" s="70" t="s">
        <v>13693</v>
      </c>
      <c r="Z1148" s="75" t="s">
        <v>16043</v>
      </c>
      <c r="AF1148" s="70" t="s">
        <v>239</v>
      </c>
      <c r="AZ1148" s="70">
        <v>1563.0</v>
      </c>
    </row>
    <row r="1149" ht="22.5" customHeight="1">
      <c r="A1149" s="70" t="str">
        <f t="shared" si="1"/>
        <v>Excluded</v>
      </c>
      <c r="B1149" s="70">
        <f t="shared" si="2"/>
        <v>0</v>
      </c>
      <c r="C1149" s="70">
        <v>0.0</v>
      </c>
      <c r="D1149" s="70">
        <v>0.0</v>
      </c>
      <c r="E1149" s="70">
        <v>0.0</v>
      </c>
      <c r="F1149" s="70">
        <v>0.0</v>
      </c>
      <c r="G1149" s="70">
        <v>0.0</v>
      </c>
      <c r="H1149" s="70" t="s">
        <v>13690</v>
      </c>
      <c r="I1149" s="70">
        <v>1426.0</v>
      </c>
      <c r="J1149" s="70" t="s">
        <v>13687</v>
      </c>
      <c r="K1149" s="70" t="s">
        <v>13688</v>
      </c>
      <c r="L1149" s="70" t="s">
        <v>13689</v>
      </c>
      <c r="P1149" s="77">
        <v>45390.0</v>
      </c>
      <c r="U1149" s="70" t="s">
        <v>239</v>
      </c>
      <c r="W1149" s="70" t="s">
        <v>13692</v>
      </c>
      <c r="X1149" s="70" t="s">
        <v>13693</v>
      </c>
      <c r="Z1149" s="75" t="s">
        <v>13694</v>
      </c>
      <c r="AA1149" s="70" t="s">
        <v>13695</v>
      </c>
      <c r="AE1149" s="70">
        <v>20.0</v>
      </c>
      <c r="AF1149" s="70" t="s">
        <v>239</v>
      </c>
      <c r="AW1149" s="70" t="s">
        <v>13696</v>
      </c>
      <c r="AX1149" s="70">
        <v>0.0</v>
      </c>
      <c r="AY1149" s="70" t="s">
        <v>24</v>
      </c>
      <c r="AZ1149" s="70">
        <v>2965.0</v>
      </c>
    </row>
    <row r="1150" ht="22.5" customHeight="1">
      <c r="A1150" s="70" t="str">
        <f t="shared" si="1"/>
        <v>Excluded</v>
      </c>
      <c r="B1150" s="70">
        <f t="shared" si="2"/>
        <v>0</v>
      </c>
      <c r="C1150" s="70">
        <v>0.0</v>
      </c>
      <c r="D1150" s="70">
        <v>0.0</v>
      </c>
      <c r="E1150" s="70">
        <v>0.0</v>
      </c>
      <c r="F1150" s="70">
        <v>0.0</v>
      </c>
      <c r="G1150" s="70">
        <v>0.0</v>
      </c>
      <c r="H1150" s="70" t="s">
        <v>28941</v>
      </c>
      <c r="I1150" s="70">
        <v>3110.0</v>
      </c>
      <c r="J1150" s="70" t="s">
        <v>28868</v>
      </c>
      <c r="K1150" s="70" t="s">
        <v>28869</v>
      </c>
      <c r="W1150" s="70" t="s">
        <v>30369</v>
      </c>
      <c r="AA1150" s="70" t="s">
        <v>28872</v>
      </c>
      <c r="AI1150" s="70" t="s">
        <v>28873</v>
      </c>
      <c r="AJ1150" s="70" t="s">
        <v>28874</v>
      </c>
      <c r="AK1150" s="70">
        <v>2017.0</v>
      </c>
      <c r="AL1150" s="70" t="s">
        <v>28875</v>
      </c>
      <c r="AQ1150" s="70">
        <v>7.0</v>
      </c>
      <c r="AR1150" s="75" t="s">
        <v>28944</v>
      </c>
      <c r="AS1150" s="70" t="s">
        <v>22525</v>
      </c>
      <c r="AU1150" s="70" t="s">
        <v>237</v>
      </c>
      <c r="AV1150" s="70" t="s">
        <v>28945</v>
      </c>
      <c r="AZ1150" s="70">
        <v>1035.0</v>
      </c>
    </row>
    <row r="1151" ht="22.5" customHeight="1">
      <c r="A1151" s="70" t="str">
        <f t="shared" si="1"/>
        <v>Excluded</v>
      </c>
      <c r="B1151" s="70">
        <f t="shared" si="2"/>
        <v>0</v>
      </c>
      <c r="C1151" s="70">
        <v>0.0</v>
      </c>
      <c r="D1151" s="70">
        <v>0.0</v>
      </c>
      <c r="E1151" s="70">
        <v>0.0</v>
      </c>
      <c r="F1151" s="70">
        <v>0.0</v>
      </c>
      <c r="G1151" s="70">
        <v>0.0</v>
      </c>
      <c r="H1151" s="70" t="s">
        <v>16233</v>
      </c>
      <c r="I1151" s="70">
        <v>1755.0</v>
      </c>
      <c r="K1151" s="70" t="s">
        <v>16232</v>
      </c>
      <c r="L1151" s="70" t="s">
        <v>15921</v>
      </c>
      <c r="P1151" s="76">
        <v>45230.0</v>
      </c>
      <c r="U1151" s="70" t="s">
        <v>239</v>
      </c>
      <c r="X1151" s="70" t="s">
        <v>15923</v>
      </c>
      <c r="Z1151" s="75" t="s">
        <v>16234</v>
      </c>
      <c r="AF1151" s="70" t="s">
        <v>239</v>
      </c>
      <c r="AZ1151" s="70">
        <v>1455.0</v>
      </c>
    </row>
    <row r="1152" ht="22.5" customHeight="1">
      <c r="A1152" s="70" t="str">
        <f t="shared" si="1"/>
        <v>Excluded</v>
      </c>
      <c r="B1152" s="70">
        <f t="shared" si="2"/>
        <v>0</v>
      </c>
      <c r="C1152" s="70">
        <v>0.0</v>
      </c>
      <c r="D1152" s="70">
        <v>0.0</v>
      </c>
      <c r="E1152" s="70">
        <v>0.0</v>
      </c>
      <c r="F1152" s="70">
        <v>0.0</v>
      </c>
      <c r="G1152" s="70">
        <v>0.0</v>
      </c>
      <c r="H1152" s="70" t="s">
        <v>16275</v>
      </c>
      <c r="I1152" s="70">
        <v>1765.0</v>
      </c>
      <c r="K1152" s="70" t="s">
        <v>16122</v>
      </c>
      <c r="L1152" s="70" t="s">
        <v>15921</v>
      </c>
      <c r="P1152" s="76">
        <v>45230.0</v>
      </c>
      <c r="U1152" s="70" t="s">
        <v>239</v>
      </c>
      <c r="X1152" s="70" t="s">
        <v>15923</v>
      </c>
      <c r="Z1152" s="75" t="s">
        <v>16276</v>
      </c>
      <c r="AF1152" s="70" t="s">
        <v>239</v>
      </c>
      <c r="AZ1152" s="70">
        <v>1449.0</v>
      </c>
    </row>
    <row r="1153" ht="22.5" customHeight="1">
      <c r="A1153" s="70" t="str">
        <f t="shared" si="1"/>
        <v>Excluded</v>
      </c>
      <c r="B1153" s="70">
        <f t="shared" si="2"/>
        <v>0</v>
      </c>
      <c r="C1153" s="70">
        <v>0.0</v>
      </c>
      <c r="D1153" s="70">
        <v>0.0</v>
      </c>
      <c r="E1153" s="70">
        <v>0.0</v>
      </c>
      <c r="F1153" s="70">
        <v>0.0</v>
      </c>
      <c r="G1153" s="70">
        <v>0.0</v>
      </c>
      <c r="H1153" s="70" t="s">
        <v>15922</v>
      </c>
      <c r="I1153" s="70">
        <v>1674.0</v>
      </c>
      <c r="K1153" s="70" t="s">
        <v>10612</v>
      </c>
      <c r="L1153" s="70" t="s">
        <v>15921</v>
      </c>
      <c r="P1153" s="76">
        <v>45230.0</v>
      </c>
      <c r="U1153" s="70" t="s">
        <v>239</v>
      </c>
      <c r="X1153" s="70" t="s">
        <v>15923</v>
      </c>
      <c r="Z1153" s="75" t="s">
        <v>15924</v>
      </c>
      <c r="AF1153" s="70" t="s">
        <v>239</v>
      </c>
      <c r="AZ1153" s="70">
        <v>1422.0</v>
      </c>
    </row>
    <row r="1154" ht="22.5" customHeight="1">
      <c r="A1154" s="70" t="str">
        <f t="shared" si="1"/>
        <v>Excluded</v>
      </c>
      <c r="B1154" s="70">
        <f t="shared" si="2"/>
        <v>0</v>
      </c>
      <c r="C1154" s="70">
        <v>0.0</v>
      </c>
      <c r="D1154" s="70">
        <v>0.0</v>
      </c>
      <c r="E1154" s="70">
        <v>0.0</v>
      </c>
      <c r="F1154" s="70">
        <v>0.0</v>
      </c>
      <c r="G1154" s="70">
        <v>0.0</v>
      </c>
      <c r="H1154" s="70" t="s">
        <v>13171</v>
      </c>
      <c r="I1154" s="70">
        <v>1373.0</v>
      </c>
      <c r="J1154" s="70" t="s">
        <v>13168</v>
      </c>
      <c r="K1154" s="70" t="s">
        <v>13169</v>
      </c>
      <c r="L1154" s="70" t="s">
        <v>13170</v>
      </c>
      <c r="P1154" s="76">
        <v>45316.0</v>
      </c>
      <c r="U1154" s="70" t="s">
        <v>239</v>
      </c>
      <c r="W1154" s="70" t="s">
        <v>13173</v>
      </c>
      <c r="X1154" s="70" t="s">
        <v>13174</v>
      </c>
      <c r="Z1154" s="75" t="s">
        <v>13175</v>
      </c>
      <c r="AA1154" s="70" t="s">
        <v>13176</v>
      </c>
      <c r="AE1154" s="70">
        <v>12.0</v>
      </c>
      <c r="AF1154" s="70" t="s">
        <v>239</v>
      </c>
      <c r="AW1154" s="70" t="s">
        <v>13177</v>
      </c>
      <c r="AX1154" s="70">
        <v>0.0</v>
      </c>
      <c r="AY1154" s="70" t="s">
        <v>24</v>
      </c>
      <c r="AZ1154" s="70">
        <v>1851.0</v>
      </c>
    </row>
    <row r="1155" ht="22.5" customHeight="1">
      <c r="A1155" s="70" t="str">
        <f t="shared" si="1"/>
        <v>Excluded</v>
      </c>
      <c r="B1155" s="70">
        <f t="shared" si="2"/>
        <v>0</v>
      </c>
      <c r="C1155" s="70">
        <v>0.0</v>
      </c>
      <c r="D1155" s="70">
        <v>0.0</v>
      </c>
      <c r="E1155" s="70">
        <v>0.0</v>
      </c>
      <c r="F1155" s="70">
        <v>0.0</v>
      </c>
      <c r="G1155" s="70">
        <v>0.0</v>
      </c>
      <c r="H1155" s="70" t="s">
        <v>10359</v>
      </c>
      <c r="I1155" s="70">
        <v>1018.0</v>
      </c>
      <c r="J1155" s="70" t="s">
        <v>30370</v>
      </c>
      <c r="K1155" s="70" t="s">
        <v>10357</v>
      </c>
      <c r="L1155" s="70" t="s">
        <v>10358</v>
      </c>
      <c r="P1155" s="77">
        <v>43678.0</v>
      </c>
      <c r="U1155" s="70" t="s">
        <v>239</v>
      </c>
      <c r="W1155" s="70" t="s">
        <v>10361</v>
      </c>
      <c r="X1155" s="70" t="s">
        <v>10362</v>
      </c>
      <c r="Z1155" s="75" t="s">
        <v>10363</v>
      </c>
      <c r="AA1155" s="70" t="s">
        <v>10364</v>
      </c>
      <c r="AE1155" s="70">
        <v>29.0</v>
      </c>
      <c r="AF1155" s="70" t="s">
        <v>239</v>
      </c>
      <c r="AW1155" s="70" t="s">
        <v>10365</v>
      </c>
      <c r="AX1155" s="70">
        <v>0.0</v>
      </c>
      <c r="AY1155" s="70" t="s">
        <v>24</v>
      </c>
      <c r="AZ1155" s="70">
        <v>2038.0</v>
      </c>
    </row>
    <row r="1156" ht="22.5" customHeight="1">
      <c r="A1156" s="70" t="str">
        <f t="shared" si="1"/>
        <v>Excluded</v>
      </c>
      <c r="B1156" s="70">
        <f t="shared" si="2"/>
        <v>0</v>
      </c>
      <c r="C1156" s="70">
        <v>0.0</v>
      </c>
      <c r="D1156" s="70">
        <v>0.0</v>
      </c>
      <c r="E1156" s="70">
        <v>0.0</v>
      </c>
      <c r="F1156" s="70">
        <v>0.0</v>
      </c>
      <c r="G1156" s="70">
        <v>0.0</v>
      </c>
      <c r="H1156" s="70" t="s">
        <v>12968</v>
      </c>
      <c r="I1156" s="70">
        <v>1352.0</v>
      </c>
      <c r="J1156" s="70" t="s">
        <v>12964</v>
      </c>
      <c r="K1156" s="70" t="s">
        <v>12965</v>
      </c>
      <c r="L1156" s="70" t="s">
        <v>12966</v>
      </c>
      <c r="N1156" s="70" t="s">
        <v>12967</v>
      </c>
      <c r="P1156" s="76">
        <v>45616.0</v>
      </c>
      <c r="U1156" s="70" t="s">
        <v>239</v>
      </c>
      <c r="W1156" s="70" t="s">
        <v>12970</v>
      </c>
      <c r="X1156" s="70" t="s">
        <v>12971</v>
      </c>
      <c r="Z1156" s="75" t="s">
        <v>12972</v>
      </c>
      <c r="AA1156" s="70" t="s">
        <v>12973</v>
      </c>
      <c r="AE1156" s="70">
        <v>27.0</v>
      </c>
      <c r="AF1156" s="70" t="s">
        <v>239</v>
      </c>
      <c r="AW1156" s="70" t="s">
        <v>12974</v>
      </c>
      <c r="AX1156" s="70">
        <v>0.0</v>
      </c>
      <c r="AY1156" s="70" t="s">
        <v>24</v>
      </c>
      <c r="AZ1156" s="70">
        <v>1984.0</v>
      </c>
    </row>
    <row r="1157" ht="22.5" customHeight="1">
      <c r="A1157" s="70" t="str">
        <f t="shared" si="1"/>
        <v>Excluded</v>
      </c>
      <c r="B1157" s="70">
        <f t="shared" si="2"/>
        <v>0</v>
      </c>
      <c r="C1157" s="70">
        <v>0.0</v>
      </c>
      <c r="D1157" s="70">
        <v>0.0</v>
      </c>
      <c r="E1157" s="70">
        <v>0.0</v>
      </c>
      <c r="F1157" s="70">
        <v>0.0</v>
      </c>
      <c r="G1157" s="70">
        <v>0.0</v>
      </c>
      <c r="H1157" s="70" t="s">
        <v>10319</v>
      </c>
      <c r="I1157" s="70">
        <v>1014.0</v>
      </c>
      <c r="J1157" s="70" t="s">
        <v>30371</v>
      </c>
      <c r="K1157" s="70" t="s">
        <v>10316</v>
      </c>
      <c r="L1157" s="70" t="s">
        <v>10317</v>
      </c>
      <c r="N1157" s="70" t="s">
        <v>10318</v>
      </c>
      <c r="P1157" s="76">
        <v>44117.0</v>
      </c>
      <c r="U1157" s="70" t="s">
        <v>239</v>
      </c>
      <c r="W1157" s="70" t="s">
        <v>10321</v>
      </c>
      <c r="X1157" s="70" t="s">
        <v>10322</v>
      </c>
      <c r="Z1157" s="75" t="s">
        <v>10323</v>
      </c>
      <c r="AA1157" s="70" t="s">
        <v>10324</v>
      </c>
      <c r="AE1157" s="70">
        <v>79.0</v>
      </c>
      <c r="AF1157" s="70" t="s">
        <v>239</v>
      </c>
      <c r="AW1157" s="70" t="s">
        <v>10325</v>
      </c>
      <c r="AZ1157" s="70">
        <v>883.0</v>
      </c>
    </row>
    <row r="1158" ht="22.5" customHeight="1">
      <c r="A1158" s="70" t="str">
        <f t="shared" si="1"/>
        <v>Excluded</v>
      </c>
      <c r="B1158" s="70">
        <f t="shared" si="2"/>
        <v>0</v>
      </c>
      <c r="C1158" s="70">
        <v>0.0</v>
      </c>
      <c r="D1158" s="70">
        <v>0.0</v>
      </c>
      <c r="E1158" s="70">
        <v>0.0</v>
      </c>
      <c r="F1158" s="70">
        <v>0.0</v>
      </c>
      <c r="G1158" s="70">
        <v>0.0</v>
      </c>
      <c r="H1158" s="70" t="s">
        <v>14475</v>
      </c>
      <c r="I1158" s="70">
        <v>1510.0</v>
      </c>
      <c r="J1158" s="70" t="s">
        <v>30372</v>
      </c>
      <c r="K1158" s="70" t="s">
        <v>14473</v>
      </c>
      <c r="L1158" s="70" t="s">
        <v>14474</v>
      </c>
      <c r="N1158" s="70" t="s">
        <v>10318</v>
      </c>
      <c r="P1158" s="77">
        <v>45512.0</v>
      </c>
      <c r="U1158" s="70" t="s">
        <v>239</v>
      </c>
      <c r="W1158" s="70" t="s">
        <v>14477</v>
      </c>
      <c r="X1158" s="70" t="s">
        <v>14478</v>
      </c>
      <c r="Z1158" s="75" t="s">
        <v>14479</v>
      </c>
      <c r="AA1158" s="70" t="s">
        <v>14480</v>
      </c>
      <c r="AE1158" s="70">
        <v>16.0</v>
      </c>
      <c r="AF1158" s="70" t="s">
        <v>239</v>
      </c>
      <c r="AW1158" s="70" t="s">
        <v>14481</v>
      </c>
      <c r="AX1158" s="70">
        <v>0.0</v>
      </c>
      <c r="AY1158" s="70" t="s">
        <v>24</v>
      </c>
      <c r="AZ1158" s="70">
        <v>3021.0</v>
      </c>
    </row>
    <row r="1159" ht="22.5" customHeight="1">
      <c r="A1159" s="70" t="str">
        <f t="shared" si="1"/>
        <v>Excluded</v>
      </c>
      <c r="B1159" s="70">
        <f t="shared" si="2"/>
        <v>0</v>
      </c>
      <c r="C1159" s="70">
        <v>0.0</v>
      </c>
      <c r="D1159" s="70">
        <v>0.0</v>
      </c>
      <c r="E1159" s="70">
        <v>0.0</v>
      </c>
      <c r="F1159" s="70">
        <v>0.0</v>
      </c>
      <c r="G1159" s="70">
        <v>0.0</v>
      </c>
      <c r="H1159" s="70" t="s">
        <v>13899</v>
      </c>
      <c r="I1159" s="70">
        <v>1447.0</v>
      </c>
      <c r="J1159" s="70" t="s">
        <v>13896</v>
      </c>
      <c r="K1159" s="70" t="s">
        <v>13897</v>
      </c>
      <c r="L1159" s="70" t="s">
        <v>13898</v>
      </c>
      <c r="P1159" s="76">
        <v>45651.0</v>
      </c>
      <c r="U1159" s="70" t="s">
        <v>239</v>
      </c>
      <c r="W1159" s="70" t="s">
        <v>30373</v>
      </c>
      <c r="X1159" s="70" t="s">
        <v>13902</v>
      </c>
      <c r="Z1159" s="75" t="s">
        <v>13903</v>
      </c>
      <c r="AA1159" s="70" t="s">
        <v>13904</v>
      </c>
      <c r="AE1159" s="70">
        <v>8.0</v>
      </c>
      <c r="AF1159" s="70" t="s">
        <v>239</v>
      </c>
      <c r="AW1159" s="70" t="s">
        <v>13905</v>
      </c>
      <c r="AX1159" s="70">
        <v>0.0</v>
      </c>
      <c r="AY1159" s="70" t="s">
        <v>24</v>
      </c>
      <c r="AZ1159" s="70">
        <v>1791.0</v>
      </c>
    </row>
    <row r="1160" ht="22.5" customHeight="1">
      <c r="A1160" s="70" t="str">
        <f t="shared" si="1"/>
        <v>Excluded</v>
      </c>
      <c r="B1160" s="70">
        <f t="shared" si="2"/>
        <v>0</v>
      </c>
      <c r="C1160" s="70">
        <v>0.0</v>
      </c>
      <c r="D1160" s="70">
        <v>0.0</v>
      </c>
      <c r="E1160" s="70">
        <v>0.0</v>
      </c>
      <c r="F1160" s="70">
        <v>0.0</v>
      </c>
      <c r="G1160" s="70">
        <v>0.0</v>
      </c>
      <c r="H1160" s="70" t="s">
        <v>16006</v>
      </c>
      <c r="I1160" s="70">
        <v>1695.0</v>
      </c>
      <c r="K1160" s="70" t="s">
        <v>10597</v>
      </c>
      <c r="L1160" s="70" t="s">
        <v>13898</v>
      </c>
      <c r="P1160" s="76">
        <v>45651.0</v>
      </c>
      <c r="U1160" s="70" t="s">
        <v>239</v>
      </c>
      <c r="X1160" s="70" t="s">
        <v>13902</v>
      </c>
      <c r="Z1160" s="75" t="s">
        <v>16007</v>
      </c>
      <c r="AF1160" s="70" t="s">
        <v>239</v>
      </c>
      <c r="AZ1160" s="70">
        <v>1572.0</v>
      </c>
    </row>
    <row r="1161" ht="22.5" customHeight="1">
      <c r="A1161" s="70" t="str">
        <f t="shared" si="1"/>
        <v>Excluded</v>
      </c>
      <c r="B1161" s="70">
        <f t="shared" si="2"/>
        <v>0</v>
      </c>
      <c r="C1161" s="70">
        <v>0.0</v>
      </c>
      <c r="D1161" s="70">
        <v>0.0</v>
      </c>
      <c r="E1161" s="70">
        <v>0.0</v>
      </c>
      <c r="F1161" s="70">
        <v>0.0</v>
      </c>
      <c r="G1161" s="70">
        <v>0.0</v>
      </c>
      <c r="H1161" s="70" t="s">
        <v>10769</v>
      </c>
      <c r="I1161" s="70">
        <v>1084.0</v>
      </c>
      <c r="K1161" s="70" t="s">
        <v>10597</v>
      </c>
      <c r="L1161" s="70" t="s">
        <v>10768</v>
      </c>
      <c r="P1161" s="76">
        <v>43454.0</v>
      </c>
      <c r="U1161" s="70" t="s">
        <v>239</v>
      </c>
      <c r="W1161" s="70" t="s">
        <v>10770</v>
      </c>
      <c r="X1161" s="70" t="s">
        <v>10771</v>
      </c>
      <c r="Z1161" s="75" t="s">
        <v>10772</v>
      </c>
      <c r="AF1161" s="70" t="s">
        <v>239</v>
      </c>
      <c r="AZ1161" s="70">
        <v>1001.0</v>
      </c>
    </row>
    <row r="1162" ht="22.5" customHeight="1">
      <c r="A1162" s="70" t="str">
        <f t="shared" si="1"/>
        <v>Excluded</v>
      </c>
      <c r="B1162" s="70">
        <f t="shared" si="2"/>
        <v>0</v>
      </c>
      <c r="C1162" s="70">
        <v>0.0</v>
      </c>
      <c r="D1162" s="70">
        <v>0.0</v>
      </c>
      <c r="E1162" s="70">
        <v>0.0</v>
      </c>
      <c r="F1162" s="70">
        <v>0.0</v>
      </c>
      <c r="G1162" s="70">
        <v>0.0</v>
      </c>
      <c r="H1162" s="70" t="s">
        <v>9719</v>
      </c>
      <c r="I1162" s="70">
        <v>951.0</v>
      </c>
      <c r="J1162" s="70" t="s">
        <v>9717</v>
      </c>
      <c r="K1162" s="70" t="s">
        <v>9718</v>
      </c>
      <c r="L1162" s="70" t="s">
        <v>8529</v>
      </c>
      <c r="P1162" s="77">
        <v>43930.0</v>
      </c>
      <c r="U1162" s="70" t="s">
        <v>239</v>
      </c>
      <c r="W1162" s="70" t="s">
        <v>9721</v>
      </c>
      <c r="X1162" s="70" t="s">
        <v>8533</v>
      </c>
      <c r="Z1162" s="75" t="s">
        <v>9722</v>
      </c>
      <c r="AA1162" s="70" t="s">
        <v>9723</v>
      </c>
      <c r="AE1162" s="70">
        <v>13.0</v>
      </c>
      <c r="AF1162" s="70" t="s">
        <v>239</v>
      </c>
      <c r="AW1162" s="70" t="s">
        <v>9724</v>
      </c>
      <c r="AX1162" s="70">
        <v>0.0</v>
      </c>
      <c r="AY1162" s="70" t="s">
        <v>24</v>
      </c>
      <c r="AZ1162" s="70">
        <v>3011.0</v>
      </c>
    </row>
    <row r="1163" ht="22.5" customHeight="1">
      <c r="A1163" s="70" t="str">
        <f t="shared" si="1"/>
        <v>Excluded</v>
      </c>
      <c r="B1163" s="70">
        <f t="shared" si="2"/>
        <v>0</v>
      </c>
      <c r="C1163" s="70">
        <v>0.0</v>
      </c>
      <c r="D1163" s="70">
        <v>0.0</v>
      </c>
      <c r="E1163" s="70">
        <v>0.0</v>
      </c>
      <c r="F1163" s="70">
        <v>0.0</v>
      </c>
      <c r="G1163" s="70">
        <v>0.0</v>
      </c>
      <c r="H1163" s="70" t="s">
        <v>8530</v>
      </c>
      <c r="I1163" s="70">
        <v>828.0</v>
      </c>
      <c r="J1163" s="70" t="s">
        <v>8527</v>
      </c>
      <c r="K1163" s="70" t="s">
        <v>8528</v>
      </c>
      <c r="L1163" s="70" t="s">
        <v>8529</v>
      </c>
      <c r="P1163" s="77">
        <v>43930.0</v>
      </c>
      <c r="U1163" s="70" t="s">
        <v>239</v>
      </c>
      <c r="W1163" s="70" t="s">
        <v>8532</v>
      </c>
      <c r="X1163" s="70" t="s">
        <v>8533</v>
      </c>
      <c r="Z1163" s="75" t="s">
        <v>8534</v>
      </c>
      <c r="AA1163" s="70" t="s">
        <v>8535</v>
      </c>
      <c r="AC1163" s="70">
        <v>1.0</v>
      </c>
      <c r="AE1163" s="70">
        <v>18.0</v>
      </c>
      <c r="AF1163" s="70" t="s">
        <v>239</v>
      </c>
      <c r="AW1163" s="70" t="s">
        <v>8536</v>
      </c>
      <c r="AX1163" s="70">
        <v>0.0</v>
      </c>
      <c r="AY1163" s="70" t="s">
        <v>24</v>
      </c>
      <c r="AZ1163" s="70">
        <v>2063.0</v>
      </c>
    </row>
    <row r="1164" ht="22.5" customHeight="1">
      <c r="A1164" s="70" t="str">
        <f t="shared" si="1"/>
        <v>Excluded</v>
      </c>
      <c r="B1164" s="70">
        <f t="shared" si="2"/>
        <v>0</v>
      </c>
      <c r="C1164" s="70">
        <v>0.0</v>
      </c>
      <c r="D1164" s="70">
        <v>0.0</v>
      </c>
      <c r="E1164" s="70">
        <v>0.0</v>
      </c>
      <c r="F1164" s="70">
        <v>0.0</v>
      </c>
      <c r="G1164" s="70">
        <v>0.0</v>
      </c>
      <c r="H1164" s="70" t="s">
        <v>8915</v>
      </c>
      <c r="I1164" s="70">
        <v>867.0</v>
      </c>
      <c r="J1164" s="70" t="s">
        <v>8913</v>
      </c>
      <c r="K1164" s="70" t="s">
        <v>8914</v>
      </c>
      <c r="L1164" s="70" t="s">
        <v>8905</v>
      </c>
      <c r="P1164" s="76">
        <v>44242.0</v>
      </c>
      <c r="U1164" s="70" t="s">
        <v>239</v>
      </c>
      <c r="W1164" s="70" t="s">
        <v>8917</v>
      </c>
      <c r="X1164" s="70" t="s">
        <v>8909</v>
      </c>
      <c r="Z1164" s="75" t="s">
        <v>8918</v>
      </c>
      <c r="AA1164" s="70" t="s">
        <v>8919</v>
      </c>
      <c r="AC1164" s="70">
        <v>1.0</v>
      </c>
      <c r="AE1164" s="70">
        <v>10.0</v>
      </c>
      <c r="AF1164" s="70" t="s">
        <v>239</v>
      </c>
      <c r="AW1164" s="70" t="s">
        <v>8920</v>
      </c>
      <c r="AX1164" s="70">
        <v>0.0</v>
      </c>
      <c r="AY1164" s="70" t="s">
        <v>24</v>
      </c>
      <c r="AZ1164" s="70">
        <v>2527.0</v>
      </c>
    </row>
    <row r="1165" ht="22.5" customHeight="1">
      <c r="A1165" s="70" t="str">
        <f t="shared" si="1"/>
        <v>Excluded</v>
      </c>
      <c r="B1165" s="70">
        <f t="shared" si="2"/>
        <v>0</v>
      </c>
      <c r="C1165" s="70">
        <v>0.0</v>
      </c>
      <c r="D1165" s="70">
        <v>0.0</v>
      </c>
      <c r="E1165" s="70">
        <v>0.0</v>
      </c>
      <c r="F1165" s="70">
        <v>0.0</v>
      </c>
      <c r="G1165" s="70">
        <v>0.0</v>
      </c>
      <c r="H1165" s="70" t="s">
        <v>10962</v>
      </c>
      <c r="I1165" s="70">
        <v>1135.0</v>
      </c>
      <c r="K1165" s="70" t="s">
        <v>10597</v>
      </c>
      <c r="L1165" s="70" t="s">
        <v>8905</v>
      </c>
      <c r="P1165" s="76">
        <v>44242.0</v>
      </c>
      <c r="U1165" s="70" t="s">
        <v>239</v>
      </c>
      <c r="W1165" s="70" t="s">
        <v>10602</v>
      </c>
      <c r="X1165" s="70" t="s">
        <v>8909</v>
      </c>
      <c r="Z1165" s="75" t="s">
        <v>10963</v>
      </c>
      <c r="AF1165" s="70" t="s">
        <v>239</v>
      </c>
      <c r="AZ1165" s="70">
        <v>1616.0</v>
      </c>
    </row>
    <row r="1166" ht="22.5" customHeight="1">
      <c r="A1166" s="70" t="str">
        <f t="shared" si="1"/>
        <v>Excluded</v>
      </c>
      <c r="B1166" s="70">
        <f t="shared" si="2"/>
        <v>0</v>
      </c>
      <c r="C1166" s="70">
        <v>0.0</v>
      </c>
      <c r="D1166" s="70">
        <v>0.0</v>
      </c>
      <c r="E1166" s="70">
        <v>0.0</v>
      </c>
      <c r="F1166" s="70">
        <v>0.0</v>
      </c>
      <c r="G1166" s="70">
        <v>0.0</v>
      </c>
      <c r="H1166" s="70" t="s">
        <v>9572</v>
      </c>
      <c r="I1166" s="70">
        <v>936.0</v>
      </c>
      <c r="J1166" s="70" t="s">
        <v>9569</v>
      </c>
      <c r="K1166" s="70" t="s">
        <v>9570</v>
      </c>
      <c r="L1166" s="70" t="s">
        <v>9571</v>
      </c>
      <c r="P1166" s="76">
        <v>44617.0</v>
      </c>
      <c r="U1166" s="70" t="s">
        <v>239</v>
      </c>
      <c r="W1166" s="70" t="s">
        <v>9574</v>
      </c>
      <c r="X1166" s="70" t="s">
        <v>9575</v>
      </c>
      <c r="Z1166" s="75" t="s">
        <v>9576</v>
      </c>
      <c r="AA1166" s="70" t="s">
        <v>9577</v>
      </c>
      <c r="AE1166" s="70">
        <v>13.0</v>
      </c>
      <c r="AF1166" s="70" t="s">
        <v>239</v>
      </c>
      <c r="AW1166" s="70" t="s">
        <v>9578</v>
      </c>
      <c r="AX1166" s="70">
        <v>0.0</v>
      </c>
      <c r="AY1166" s="70" t="s">
        <v>24</v>
      </c>
      <c r="AZ1166" s="70">
        <v>3071.0</v>
      </c>
    </row>
    <row r="1167" ht="22.5" customHeight="1">
      <c r="A1167" s="70" t="str">
        <f t="shared" si="1"/>
        <v>Excluded</v>
      </c>
      <c r="B1167" s="70">
        <f t="shared" si="2"/>
        <v>0</v>
      </c>
      <c r="C1167" s="70">
        <v>0.0</v>
      </c>
      <c r="D1167" s="70">
        <v>0.0</v>
      </c>
      <c r="E1167" s="70">
        <v>0.0</v>
      </c>
      <c r="F1167" s="70">
        <v>0.0</v>
      </c>
      <c r="G1167" s="70">
        <v>0.0</v>
      </c>
      <c r="H1167" s="70" t="s">
        <v>9691</v>
      </c>
      <c r="I1167" s="70">
        <v>948.0</v>
      </c>
      <c r="J1167" s="70" t="s">
        <v>9689</v>
      </c>
      <c r="K1167" s="70" t="s">
        <v>9690</v>
      </c>
      <c r="L1167" s="70" t="s">
        <v>9571</v>
      </c>
      <c r="P1167" s="76">
        <v>44617.0</v>
      </c>
      <c r="U1167" s="70" t="s">
        <v>239</v>
      </c>
      <c r="W1167" s="70" t="s">
        <v>30374</v>
      </c>
      <c r="X1167" s="70" t="s">
        <v>9575</v>
      </c>
      <c r="Z1167" s="75" t="s">
        <v>9694</v>
      </c>
      <c r="AA1167" s="70" t="s">
        <v>9695</v>
      </c>
      <c r="AE1167" s="70">
        <v>14.0</v>
      </c>
      <c r="AF1167" s="70" t="s">
        <v>239</v>
      </c>
      <c r="AW1167" s="70" t="s">
        <v>9696</v>
      </c>
      <c r="AX1167" s="70">
        <v>0.0</v>
      </c>
      <c r="AY1167" s="70" t="s">
        <v>24</v>
      </c>
      <c r="AZ1167" s="70">
        <v>2657.0</v>
      </c>
    </row>
    <row r="1168" ht="22.5" customHeight="1">
      <c r="A1168" s="70" t="str">
        <f t="shared" si="1"/>
        <v>Excluded</v>
      </c>
      <c r="B1168" s="70">
        <f t="shared" si="2"/>
        <v>0</v>
      </c>
      <c r="C1168" s="70">
        <v>0.0</v>
      </c>
      <c r="D1168" s="70">
        <v>0.0</v>
      </c>
      <c r="E1168" s="70">
        <v>0.0</v>
      </c>
      <c r="F1168" s="70">
        <v>0.0</v>
      </c>
      <c r="G1168" s="70">
        <v>0.0</v>
      </c>
      <c r="H1168" s="70" t="s">
        <v>16140</v>
      </c>
      <c r="I1168" s="70">
        <v>1732.0</v>
      </c>
      <c r="K1168" s="70" t="s">
        <v>16138</v>
      </c>
      <c r="L1168" s="70" t="s">
        <v>16139</v>
      </c>
      <c r="P1168" s="76">
        <v>45343.0</v>
      </c>
      <c r="U1168" s="70" t="s">
        <v>239</v>
      </c>
      <c r="X1168" s="70" t="s">
        <v>16141</v>
      </c>
      <c r="Z1168" s="75" t="s">
        <v>16142</v>
      </c>
      <c r="AF1168" s="70" t="s">
        <v>239</v>
      </c>
      <c r="AZ1168" s="70">
        <v>1456.0</v>
      </c>
    </row>
    <row r="1169" ht="22.5" customHeight="1">
      <c r="A1169" s="70" t="str">
        <f t="shared" si="1"/>
        <v>Excluded</v>
      </c>
      <c r="B1169" s="70">
        <f t="shared" si="2"/>
        <v>0</v>
      </c>
      <c r="C1169" s="70">
        <v>0.0</v>
      </c>
      <c r="D1169" s="70">
        <v>0.0</v>
      </c>
      <c r="E1169" s="70">
        <v>0.0</v>
      </c>
      <c r="F1169" s="70">
        <v>0.0</v>
      </c>
      <c r="G1169" s="70">
        <v>0.0</v>
      </c>
      <c r="H1169" s="70" t="s">
        <v>10181</v>
      </c>
      <c r="I1169" s="70">
        <v>999.0</v>
      </c>
      <c r="J1169" s="70" t="s">
        <v>10178</v>
      </c>
      <c r="K1169" s="70" t="s">
        <v>10179</v>
      </c>
      <c r="L1169" s="70" t="s">
        <v>10180</v>
      </c>
      <c r="P1169" s="78">
        <v>43969.0</v>
      </c>
      <c r="U1169" s="70" t="s">
        <v>239</v>
      </c>
      <c r="W1169" s="70" t="s">
        <v>10183</v>
      </c>
      <c r="X1169" s="70" t="s">
        <v>10184</v>
      </c>
      <c r="Z1169" s="75" t="s">
        <v>10185</v>
      </c>
      <c r="AA1169" s="70" t="s">
        <v>10186</v>
      </c>
      <c r="AE1169" s="70">
        <v>29.0</v>
      </c>
      <c r="AF1169" s="70" t="s">
        <v>239</v>
      </c>
      <c r="AW1169" s="70" t="s">
        <v>10187</v>
      </c>
      <c r="AZ1169" s="70">
        <v>992.0</v>
      </c>
    </row>
    <row r="1170" ht="22.5" customHeight="1">
      <c r="A1170" s="70" t="str">
        <f t="shared" si="1"/>
        <v>Excluded</v>
      </c>
      <c r="B1170" s="70">
        <f t="shared" si="2"/>
        <v>0</v>
      </c>
      <c r="C1170" s="70">
        <v>0.0</v>
      </c>
      <c r="D1170" s="70">
        <v>0.0</v>
      </c>
      <c r="E1170" s="70">
        <v>0.0</v>
      </c>
      <c r="F1170" s="70">
        <v>0.0</v>
      </c>
      <c r="G1170" s="70">
        <v>0.0</v>
      </c>
      <c r="H1170" s="70" t="s">
        <v>5183</v>
      </c>
      <c r="I1170" s="70">
        <v>484.0</v>
      </c>
      <c r="J1170" s="70" t="s">
        <v>5180</v>
      </c>
      <c r="K1170" s="70" t="s">
        <v>5181</v>
      </c>
      <c r="L1170" s="70" t="s">
        <v>5182</v>
      </c>
      <c r="P1170" s="76">
        <v>43787.0</v>
      </c>
      <c r="U1170" s="70" t="s">
        <v>239</v>
      </c>
      <c r="W1170" s="70" t="s">
        <v>5185</v>
      </c>
      <c r="X1170" s="70" t="s">
        <v>5186</v>
      </c>
      <c r="Z1170" s="75" t="s">
        <v>5187</v>
      </c>
      <c r="AA1170" s="70" t="s">
        <v>5188</v>
      </c>
      <c r="AC1170" s="70">
        <v>17.0</v>
      </c>
      <c r="AE1170" s="70">
        <v>13.0</v>
      </c>
      <c r="AF1170" s="70" t="s">
        <v>239</v>
      </c>
      <c r="AZ1170" s="70">
        <v>1231.0</v>
      </c>
    </row>
    <row r="1171" ht="22.5" customHeight="1">
      <c r="A1171" s="70" t="str">
        <f t="shared" si="1"/>
        <v>Excluded</v>
      </c>
      <c r="B1171" s="70">
        <f t="shared" si="2"/>
        <v>0</v>
      </c>
      <c r="C1171" s="70">
        <v>0.0</v>
      </c>
      <c r="D1171" s="70">
        <v>0.0</v>
      </c>
      <c r="E1171" s="70">
        <v>0.0</v>
      </c>
      <c r="F1171" s="70">
        <v>0.0</v>
      </c>
      <c r="G1171" s="70">
        <v>0.0</v>
      </c>
      <c r="H1171" s="70" t="s">
        <v>6445</v>
      </c>
      <c r="I1171" s="70">
        <v>612.0</v>
      </c>
      <c r="J1171" s="70" t="s">
        <v>30375</v>
      </c>
      <c r="K1171" s="70" t="s">
        <v>6442</v>
      </c>
      <c r="L1171" s="70" t="s">
        <v>6443</v>
      </c>
      <c r="N1171" s="70" t="s">
        <v>6444</v>
      </c>
      <c r="P1171" s="77">
        <v>44473.0</v>
      </c>
      <c r="U1171" s="70" t="s">
        <v>239</v>
      </c>
      <c r="W1171" s="70" t="s">
        <v>30376</v>
      </c>
      <c r="X1171" s="70" t="s">
        <v>6448</v>
      </c>
      <c r="Z1171" s="75" t="s">
        <v>6449</v>
      </c>
      <c r="AA1171" s="70" t="s">
        <v>6450</v>
      </c>
      <c r="AC1171" s="70">
        <v>6.0</v>
      </c>
      <c r="AE1171" s="70">
        <v>31.0</v>
      </c>
      <c r="AF1171" s="70" t="s">
        <v>239</v>
      </c>
      <c r="AW1171" s="70" t="s">
        <v>6451</v>
      </c>
      <c r="AZ1171" s="70">
        <v>1147.0</v>
      </c>
    </row>
    <row r="1172" ht="22.5" customHeight="1">
      <c r="A1172" s="70" t="str">
        <f t="shared" si="1"/>
        <v>Excluded</v>
      </c>
      <c r="B1172" s="70">
        <f t="shared" si="2"/>
        <v>0</v>
      </c>
      <c r="C1172" s="70">
        <v>0.0</v>
      </c>
      <c r="D1172" s="70">
        <v>0.0</v>
      </c>
      <c r="E1172" s="70">
        <v>0.0</v>
      </c>
      <c r="F1172" s="70">
        <v>0.0</v>
      </c>
      <c r="G1172" s="70">
        <v>0.0</v>
      </c>
      <c r="H1172" s="70" t="s">
        <v>10856</v>
      </c>
      <c r="I1172" s="70">
        <v>1106.0</v>
      </c>
      <c r="K1172" s="70" t="s">
        <v>10597</v>
      </c>
      <c r="L1172" s="70" t="s">
        <v>10855</v>
      </c>
      <c r="N1172" s="70" t="s">
        <v>7901</v>
      </c>
      <c r="P1172" s="76">
        <v>43545.0</v>
      </c>
      <c r="U1172" s="70" t="s">
        <v>239</v>
      </c>
      <c r="W1172" s="70" t="s">
        <v>10602</v>
      </c>
      <c r="X1172" s="70" t="s">
        <v>10858</v>
      </c>
      <c r="Z1172" s="75" t="s">
        <v>10859</v>
      </c>
      <c r="AF1172" s="70" t="s">
        <v>239</v>
      </c>
      <c r="AZ1172" s="70">
        <v>1602.0</v>
      </c>
    </row>
    <row r="1173" ht="22.5" customHeight="1">
      <c r="A1173" s="70" t="str">
        <f t="shared" si="1"/>
        <v>Excluded</v>
      </c>
      <c r="B1173" s="70">
        <f t="shared" si="2"/>
        <v>0</v>
      </c>
      <c r="C1173" s="70">
        <v>0.0</v>
      </c>
      <c r="D1173" s="70">
        <v>0.0</v>
      </c>
      <c r="E1173" s="70">
        <v>0.0</v>
      </c>
      <c r="F1173" s="70">
        <v>0.0</v>
      </c>
      <c r="G1173" s="70">
        <v>0.0</v>
      </c>
      <c r="H1173" s="70" t="s">
        <v>19883</v>
      </c>
      <c r="I1173" s="70">
        <v>2188.0</v>
      </c>
      <c r="J1173" s="70" t="s">
        <v>19879</v>
      </c>
      <c r="K1173" s="70" t="s">
        <v>30377</v>
      </c>
      <c r="L1173" s="70" t="s">
        <v>19881</v>
      </c>
      <c r="N1173" s="70" t="s">
        <v>19882</v>
      </c>
      <c r="P1173" s="76">
        <v>44676.0</v>
      </c>
      <c r="U1173" s="70" t="s">
        <v>239</v>
      </c>
      <c r="W1173" s="70" t="s">
        <v>19885</v>
      </c>
      <c r="Z1173" s="75" t="s">
        <v>19886</v>
      </c>
      <c r="AA1173" s="70" t="s">
        <v>19887</v>
      </c>
      <c r="AC1173" s="70">
        <v>7.0</v>
      </c>
      <c r="AE1173" s="70">
        <v>88.0</v>
      </c>
      <c r="AF1173" s="70" t="s">
        <v>239</v>
      </c>
      <c r="AW1173" s="70" t="s">
        <v>19888</v>
      </c>
      <c r="AX1173" s="70">
        <v>0.0</v>
      </c>
      <c r="AY1173" s="70" t="s">
        <v>24</v>
      </c>
      <c r="AZ1173" s="70">
        <v>2268.0</v>
      </c>
    </row>
    <row r="1174" ht="22.5" customHeight="1">
      <c r="A1174" s="70" t="str">
        <f t="shared" si="1"/>
        <v>Excluded</v>
      </c>
      <c r="B1174" s="70">
        <f t="shared" si="2"/>
        <v>0</v>
      </c>
      <c r="C1174" s="70">
        <v>0.0</v>
      </c>
      <c r="D1174" s="70">
        <v>0.0</v>
      </c>
      <c r="E1174" s="70">
        <v>0.0</v>
      </c>
      <c r="F1174" s="70">
        <v>0.0</v>
      </c>
      <c r="G1174" s="70">
        <v>0.0</v>
      </c>
      <c r="H1174" s="70" t="s">
        <v>9820</v>
      </c>
      <c r="I1174" s="70">
        <v>962.0</v>
      </c>
      <c r="J1174" s="70" t="s">
        <v>9817</v>
      </c>
      <c r="K1174" s="70" t="s">
        <v>9818</v>
      </c>
      <c r="L1174" s="70" t="s">
        <v>9819</v>
      </c>
      <c r="P1174" s="76">
        <v>44763.0</v>
      </c>
      <c r="U1174" s="70" t="s">
        <v>239</v>
      </c>
      <c r="W1174" s="70" t="s">
        <v>30378</v>
      </c>
      <c r="X1174" s="70" t="s">
        <v>9823</v>
      </c>
      <c r="Z1174" s="75" t="s">
        <v>9824</v>
      </c>
      <c r="AA1174" s="70" t="s">
        <v>9825</v>
      </c>
      <c r="AE1174" s="70">
        <v>20.0</v>
      </c>
      <c r="AF1174" s="70" t="s">
        <v>239</v>
      </c>
      <c r="AW1174" s="70" t="s">
        <v>9826</v>
      </c>
      <c r="AX1174" s="70">
        <v>0.0</v>
      </c>
      <c r="AY1174" s="70" t="s">
        <v>24</v>
      </c>
      <c r="AZ1174" s="70">
        <v>1949.0</v>
      </c>
    </row>
    <row r="1175" ht="22.5" customHeight="1">
      <c r="A1175" s="70" t="str">
        <f t="shared" si="1"/>
        <v>Excluded</v>
      </c>
      <c r="B1175" s="70">
        <f t="shared" si="2"/>
        <v>0</v>
      </c>
      <c r="C1175" s="70">
        <v>0.0</v>
      </c>
      <c r="D1175" s="70">
        <v>0.0</v>
      </c>
      <c r="E1175" s="70">
        <v>0.0</v>
      </c>
      <c r="F1175" s="70">
        <v>0.0</v>
      </c>
      <c r="G1175" s="70">
        <v>0.0</v>
      </c>
      <c r="H1175" s="70" t="s">
        <v>10272</v>
      </c>
      <c r="I1175" s="70">
        <v>1009.0</v>
      </c>
      <c r="J1175" s="70" t="s">
        <v>10268</v>
      </c>
      <c r="K1175" s="70" t="s">
        <v>10269</v>
      </c>
      <c r="L1175" s="70" t="s">
        <v>10270</v>
      </c>
      <c r="N1175" s="70" t="s">
        <v>10271</v>
      </c>
      <c r="P1175" s="77">
        <v>43468.0</v>
      </c>
      <c r="U1175" s="70" t="s">
        <v>239</v>
      </c>
      <c r="W1175" s="70" t="s">
        <v>10274</v>
      </c>
      <c r="X1175" s="70" t="s">
        <v>10275</v>
      </c>
      <c r="Z1175" s="75" t="s">
        <v>10276</v>
      </c>
      <c r="AA1175" s="70" t="s">
        <v>10277</v>
      </c>
      <c r="AE1175" s="70">
        <v>18.0</v>
      </c>
      <c r="AF1175" s="70" t="s">
        <v>239</v>
      </c>
      <c r="AW1175" s="70" t="s">
        <v>10278</v>
      </c>
      <c r="AZ1175" s="70">
        <v>374.0</v>
      </c>
    </row>
    <row r="1176" ht="22.5" customHeight="1">
      <c r="A1176" s="70" t="str">
        <f t="shared" si="1"/>
        <v>Excluded</v>
      </c>
      <c r="B1176" s="70">
        <f t="shared" si="2"/>
        <v>0</v>
      </c>
      <c r="C1176" s="70">
        <v>0.0</v>
      </c>
      <c r="D1176" s="70">
        <v>0.0</v>
      </c>
      <c r="E1176" s="70">
        <v>0.0</v>
      </c>
      <c r="F1176" s="70">
        <v>0.0</v>
      </c>
      <c r="G1176" s="70">
        <v>0.0</v>
      </c>
      <c r="H1176" s="70" t="s">
        <v>15392</v>
      </c>
      <c r="I1176" s="70">
        <v>1606.0</v>
      </c>
      <c r="J1176" s="70" t="s">
        <v>15389</v>
      </c>
      <c r="K1176" s="70" t="s">
        <v>15390</v>
      </c>
      <c r="L1176" s="70" t="s">
        <v>15391</v>
      </c>
      <c r="P1176" s="77">
        <v>45664.0</v>
      </c>
      <c r="U1176" s="70" t="s">
        <v>239</v>
      </c>
      <c r="W1176" s="70" t="s">
        <v>15394</v>
      </c>
      <c r="X1176" s="70" t="s">
        <v>15395</v>
      </c>
      <c r="Z1176" s="75" t="s">
        <v>15396</v>
      </c>
      <c r="AA1176" s="70" t="s">
        <v>15397</v>
      </c>
      <c r="AE1176" s="70">
        <v>21.0</v>
      </c>
      <c r="AF1176" s="70" t="s">
        <v>239</v>
      </c>
      <c r="AW1176" s="70" t="s">
        <v>15398</v>
      </c>
      <c r="AX1176" s="70">
        <v>0.0</v>
      </c>
      <c r="AY1176" s="70" t="s">
        <v>24</v>
      </c>
      <c r="AZ1176" s="70">
        <v>2051.0</v>
      </c>
    </row>
    <row r="1177" ht="22.5" customHeight="1">
      <c r="A1177" s="70" t="str">
        <f t="shared" si="1"/>
        <v>Excluded</v>
      </c>
      <c r="B1177" s="70">
        <f t="shared" si="2"/>
        <v>0</v>
      </c>
      <c r="C1177" s="70">
        <v>0.0</v>
      </c>
      <c r="D1177" s="70">
        <v>0.0</v>
      </c>
      <c r="E1177" s="70">
        <v>0.0</v>
      </c>
      <c r="F1177" s="70">
        <v>0.0</v>
      </c>
      <c r="G1177" s="70">
        <v>0.0</v>
      </c>
      <c r="H1177" s="70" t="s">
        <v>14959</v>
      </c>
      <c r="I1177" s="70">
        <v>1559.0</v>
      </c>
      <c r="J1177" s="70" t="s">
        <v>30379</v>
      </c>
      <c r="K1177" s="70" t="s">
        <v>14957</v>
      </c>
      <c r="L1177" s="70" t="s">
        <v>14958</v>
      </c>
      <c r="P1177" s="76">
        <v>45608.0</v>
      </c>
      <c r="U1177" s="70" t="s">
        <v>239</v>
      </c>
      <c r="W1177" s="70" t="s">
        <v>14961</v>
      </c>
      <c r="X1177" s="70" t="s">
        <v>14962</v>
      </c>
      <c r="Z1177" s="75" t="s">
        <v>14963</v>
      </c>
      <c r="AA1177" s="70" t="s">
        <v>14964</v>
      </c>
      <c r="AE1177" s="70">
        <v>21.0</v>
      </c>
      <c r="AF1177" s="70" t="s">
        <v>239</v>
      </c>
      <c r="AW1177" s="70" t="s">
        <v>14965</v>
      </c>
      <c r="AX1177" s="70">
        <v>0.0</v>
      </c>
      <c r="AY1177" s="70" t="s">
        <v>24</v>
      </c>
      <c r="AZ1177" s="70">
        <v>2750.0</v>
      </c>
    </row>
    <row r="1178" ht="22.5" customHeight="1">
      <c r="A1178" s="70" t="str">
        <f t="shared" si="1"/>
        <v>Excluded</v>
      </c>
      <c r="B1178" s="70">
        <f t="shared" si="2"/>
        <v>0</v>
      </c>
      <c r="C1178" s="70">
        <v>0.0</v>
      </c>
      <c r="D1178" s="70">
        <v>0.0</v>
      </c>
      <c r="E1178" s="70">
        <v>0.0</v>
      </c>
      <c r="F1178" s="70">
        <v>0.0</v>
      </c>
      <c r="G1178" s="70">
        <v>0.0</v>
      </c>
      <c r="H1178" s="70" t="s">
        <v>6326</v>
      </c>
      <c r="I1178" s="70">
        <v>600.0</v>
      </c>
      <c r="J1178" s="70" t="s">
        <v>6323</v>
      </c>
      <c r="K1178" s="70" t="s">
        <v>6324</v>
      </c>
      <c r="L1178" s="70" t="s">
        <v>6325</v>
      </c>
      <c r="P1178" s="76">
        <v>44530.0</v>
      </c>
      <c r="U1178" s="70" t="s">
        <v>239</v>
      </c>
      <c r="W1178" s="70" t="s">
        <v>6328</v>
      </c>
      <c r="X1178" s="70" t="s">
        <v>6329</v>
      </c>
      <c r="Z1178" s="75" t="s">
        <v>6330</v>
      </c>
      <c r="AA1178" s="70" t="s">
        <v>6331</v>
      </c>
      <c r="AC1178" s="70">
        <v>7.0</v>
      </c>
      <c r="AE1178" s="70">
        <v>30.0</v>
      </c>
      <c r="AF1178" s="70" t="s">
        <v>239</v>
      </c>
      <c r="AW1178" s="70" t="s">
        <v>6332</v>
      </c>
      <c r="AX1178" s="70">
        <v>0.0</v>
      </c>
      <c r="AY1178" s="70" t="s">
        <v>24</v>
      </c>
      <c r="AZ1178" s="70">
        <v>2248.0</v>
      </c>
    </row>
    <row r="1179" ht="22.5" customHeight="1">
      <c r="A1179" s="70" t="str">
        <f t="shared" si="1"/>
        <v>Excluded</v>
      </c>
      <c r="B1179" s="70">
        <f t="shared" si="2"/>
        <v>0</v>
      </c>
      <c r="C1179" s="70">
        <v>0.0</v>
      </c>
      <c r="D1179" s="70">
        <v>0.0</v>
      </c>
      <c r="E1179" s="70">
        <v>0.0</v>
      </c>
      <c r="F1179" s="70">
        <v>0.0</v>
      </c>
      <c r="G1179" s="70">
        <v>0.0</v>
      </c>
      <c r="H1179" s="70" t="s">
        <v>6596</v>
      </c>
      <c r="I1179" s="70">
        <v>627.0</v>
      </c>
      <c r="J1179" s="70" t="s">
        <v>6592</v>
      </c>
      <c r="K1179" s="70" t="s">
        <v>6593</v>
      </c>
      <c r="L1179" s="70" t="s">
        <v>6594</v>
      </c>
      <c r="N1179" s="70" t="s">
        <v>6595</v>
      </c>
      <c r="P1179" s="77">
        <v>44109.0</v>
      </c>
      <c r="U1179" s="70" t="s">
        <v>239</v>
      </c>
      <c r="W1179" s="70" t="s">
        <v>6598</v>
      </c>
      <c r="X1179" s="70" t="s">
        <v>6599</v>
      </c>
      <c r="Z1179" s="75" t="s">
        <v>6600</v>
      </c>
      <c r="AA1179" s="70" t="s">
        <v>6601</v>
      </c>
      <c r="AC1179" s="70">
        <v>6.0</v>
      </c>
      <c r="AE1179" s="70">
        <v>21.0</v>
      </c>
      <c r="AF1179" s="70" t="s">
        <v>239</v>
      </c>
      <c r="AW1179" s="70" t="s">
        <v>6602</v>
      </c>
      <c r="AX1179" s="70">
        <v>0.0</v>
      </c>
      <c r="AY1179" s="70" t="s">
        <v>24</v>
      </c>
      <c r="AZ1179" s="70">
        <v>2237.0</v>
      </c>
    </row>
    <row r="1180" ht="22.5" customHeight="1">
      <c r="A1180" s="70" t="str">
        <f t="shared" si="1"/>
        <v>Excluded</v>
      </c>
      <c r="B1180" s="70">
        <f t="shared" si="2"/>
        <v>0</v>
      </c>
      <c r="C1180" s="70">
        <v>0.0</v>
      </c>
      <c r="D1180" s="70">
        <v>0.0</v>
      </c>
      <c r="E1180" s="70">
        <v>0.0</v>
      </c>
      <c r="F1180" s="70">
        <v>0.0</v>
      </c>
      <c r="G1180" s="70">
        <v>0.0</v>
      </c>
      <c r="H1180" s="70" t="s">
        <v>27251</v>
      </c>
      <c r="I1180" s="70">
        <v>2945.0</v>
      </c>
      <c r="J1180" s="70" t="s">
        <v>27249</v>
      </c>
      <c r="K1180" s="70" t="s">
        <v>27250</v>
      </c>
      <c r="W1180" s="70" t="s">
        <v>30380</v>
      </c>
      <c r="AA1180" s="70" t="s">
        <v>27254</v>
      </c>
      <c r="AI1180" s="70" t="s">
        <v>27255</v>
      </c>
      <c r="AJ1180" s="70" t="s">
        <v>27256</v>
      </c>
      <c r="AK1180" s="70">
        <v>2022.0</v>
      </c>
      <c r="AL1180" s="70" t="s">
        <v>27257</v>
      </c>
      <c r="AQ1180" s="70">
        <v>2.0</v>
      </c>
      <c r="AR1180" s="75" t="s">
        <v>27258</v>
      </c>
      <c r="AS1180" s="70" t="s">
        <v>22525</v>
      </c>
      <c r="AU1180" s="70" t="s">
        <v>237</v>
      </c>
      <c r="AV1180" s="70" t="s">
        <v>27259</v>
      </c>
      <c r="AW1180" s="70" t="s">
        <v>27260</v>
      </c>
      <c r="AX1180" s="70">
        <v>0.0</v>
      </c>
      <c r="AY1180" s="70" t="s">
        <v>24</v>
      </c>
      <c r="AZ1180" s="70">
        <v>2572.0</v>
      </c>
    </row>
    <row r="1181" ht="22.5" customHeight="1">
      <c r="A1181" s="70" t="str">
        <f t="shared" si="1"/>
        <v>Excluded</v>
      </c>
      <c r="B1181" s="70">
        <f t="shared" si="2"/>
        <v>0</v>
      </c>
      <c r="C1181" s="70">
        <v>0.0</v>
      </c>
      <c r="D1181" s="70">
        <v>0.0</v>
      </c>
      <c r="E1181" s="70">
        <v>0.0</v>
      </c>
      <c r="F1181" s="70">
        <v>0.0</v>
      </c>
      <c r="G1181" s="70">
        <v>0.0</v>
      </c>
      <c r="H1181" s="70" t="s">
        <v>8934</v>
      </c>
      <c r="I1181" s="70">
        <v>869.0</v>
      </c>
      <c r="J1181" s="70" t="s">
        <v>8931</v>
      </c>
      <c r="K1181" s="70" t="s">
        <v>8932</v>
      </c>
      <c r="L1181" s="70" t="s">
        <v>8933</v>
      </c>
      <c r="P1181" s="76">
        <v>44859.0</v>
      </c>
      <c r="U1181" s="70" t="s">
        <v>239</v>
      </c>
      <c r="W1181" s="70" t="s">
        <v>8936</v>
      </c>
      <c r="X1181" s="70" t="s">
        <v>8937</v>
      </c>
      <c r="Z1181" s="75" t="s">
        <v>8938</v>
      </c>
      <c r="AA1181" s="70" t="s">
        <v>8939</v>
      </c>
      <c r="AC1181" s="70">
        <v>1.0</v>
      </c>
      <c r="AE1181" s="70">
        <v>27.0</v>
      </c>
      <c r="AF1181" s="70" t="s">
        <v>239</v>
      </c>
      <c r="AW1181" s="70" t="s">
        <v>8940</v>
      </c>
      <c r="AX1181" s="70">
        <v>0.0</v>
      </c>
      <c r="AY1181" s="70" t="s">
        <v>24</v>
      </c>
      <c r="AZ1181" s="70">
        <v>2074.0</v>
      </c>
    </row>
    <row r="1182" ht="22.5" customHeight="1">
      <c r="A1182" s="70" t="str">
        <f t="shared" si="1"/>
        <v>Excluded</v>
      </c>
      <c r="B1182" s="70">
        <f t="shared" si="2"/>
        <v>0</v>
      </c>
      <c r="C1182" s="70">
        <v>0.0</v>
      </c>
      <c r="D1182" s="70">
        <v>0.0</v>
      </c>
      <c r="E1182" s="70">
        <v>0.0</v>
      </c>
      <c r="F1182" s="70">
        <v>0.0</v>
      </c>
      <c r="G1182" s="70">
        <v>0.0</v>
      </c>
      <c r="H1182" s="70" t="s">
        <v>13427</v>
      </c>
      <c r="I1182" s="70">
        <v>1399.0</v>
      </c>
      <c r="J1182" s="70" t="s">
        <v>13424</v>
      </c>
      <c r="K1182" s="70" t="s">
        <v>13425</v>
      </c>
      <c r="L1182" s="70" t="s">
        <v>13426</v>
      </c>
      <c r="N1182" s="70" t="s">
        <v>6595</v>
      </c>
      <c r="P1182" s="76">
        <v>45211.0</v>
      </c>
      <c r="U1182" s="70" t="s">
        <v>239</v>
      </c>
      <c r="W1182" s="70" t="s">
        <v>13429</v>
      </c>
      <c r="X1182" s="70" t="s">
        <v>13430</v>
      </c>
      <c r="Z1182" s="75" t="s">
        <v>13431</v>
      </c>
      <c r="AA1182" s="70" t="s">
        <v>13432</v>
      </c>
      <c r="AE1182" s="70">
        <v>8.0</v>
      </c>
      <c r="AF1182" s="70" t="s">
        <v>239</v>
      </c>
      <c r="AW1182" s="70" t="s">
        <v>13433</v>
      </c>
      <c r="AX1182" s="70">
        <v>0.0</v>
      </c>
      <c r="AY1182" s="70" t="s">
        <v>24</v>
      </c>
      <c r="AZ1182" s="70">
        <v>2915.0</v>
      </c>
    </row>
    <row r="1183" ht="22.5" customHeight="1">
      <c r="A1183" s="70" t="str">
        <f t="shared" si="1"/>
        <v>Excluded</v>
      </c>
      <c r="B1183" s="70">
        <f t="shared" si="2"/>
        <v>0</v>
      </c>
      <c r="C1183" s="70">
        <v>0.0</v>
      </c>
      <c r="D1183" s="70">
        <v>0.0</v>
      </c>
      <c r="E1183" s="70">
        <v>0.0</v>
      </c>
      <c r="F1183" s="70">
        <v>0.0</v>
      </c>
      <c r="G1183" s="70">
        <v>0.0</v>
      </c>
      <c r="H1183" s="70" t="s">
        <v>13274</v>
      </c>
      <c r="I1183" s="70">
        <v>1383.0</v>
      </c>
      <c r="J1183" s="70" t="s">
        <v>13271</v>
      </c>
      <c r="K1183" s="70" t="s">
        <v>13272</v>
      </c>
      <c r="L1183" s="70" t="s">
        <v>13273</v>
      </c>
      <c r="N1183" s="70" t="s">
        <v>6595</v>
      </c>
      <c r="P1183" s="76">
        <v>45581.0</v>
      </c>
      <c r="U1183" s="70" t="s">
        <v>239</v>
      </c>
      <c r="W1183" s="70" t="s">
        <v>13276</v>
      </c>
      <c r="X1183" s="70" t="s">
        <v>13277</v>
      </c>
      <c r="Z1183" s="75" t="s">
        <v>13278</v>
      </c>
      <c r="AA1183" s="70" t="s">
        <v>13279</v>
      </c>
      <c r="AE1183" s="70">
        <v>38.0</v>
      </c>
      <c r="AF1183" s="70" t="s">
        <v>239</v>
      </c>
      <c r="AW1183" s="70" t="s">
        <v>13280</v>
      </c>
      <c r="AX1183" s="70">
        <v>0.0</v>
      </c>
      <c r="AY1183" s="70" t="s">
        <v>24</v>
      </c>
      <c r="AZ1183" s="70">
        <v>3048.0</v>
      </c>
    </row>
    <row r="1184" ht="22.5" customHeight="1">
      <c r="A1184" s="70" t="str">
        <f t="shared" si="1"/>
        <v>Excluded</v>
      </c>
      <c r="B1184" s="70">
        <f t="shared" si="2"/>
        <v>0</v>
      </c>
      <c r="C1184" s="70">
        <v>0.0</v>
      </c>
      <c r="D1184" s="70">
        <v>0.0</v>
      </c>
      <c r="E1184" s="70">
        <v>0.0</v>
      </c>
      <c r="F1184" s="70">
        <v>0.0</v>
      </c>
      <c r="G1184" s="70">
        <v>0.0</v>
      </c>
      <c r="H1184" s="70" t="s">
        <v>13723</v>
      </c>
      <c r="I1184" s="70">
        <v>1429.0</v>
      </c>
      <c r="J1184" s="70" t="s">
        <v>13720</v>
      </c>
      <c r="K1184" s="70" t="s">
        <v>13721</v>
      </c>
      <c r="L1184" s="70" t="s">
        <v>13722</v>
      </c>
      <c r="P1184" s="76">
        <v>45223.0</v>
      </c>
      <c r="U1184" s="70" t="s">
        <v>239</v>
      </c>
      <c r="W1184" s="70" t="s">
        <v>13725</v>
      </c>
      <c r="X1184" s="70" t="s">
        <v>13726</v>
      </c>
      <c r="Z1184" s="75" t="s">
        <v>13727</v>
      </c>
      <c r="AA1184" s="70" t="s">
        <v>13728</v>
      </c>
      <c r="AE1184" s="70">
        <v>24.0</v>
      </c>
      <c r="AF1184" s="70" t="s">
        <v>239</v>
      </c>
      <c r="AW1184" s="70" t="s">
        <v>13729</v>
      </c>
      <c r="AX1184" s="70">
        <v>0.0</v>
      </c>
      <c r="AY1184" s="70" t="s">
        <v>24</v>
      </c>
      <c r="AZ1184" s="70">
        <v>1754.0</v>
      </c>
    </row>
    <row r="1185" ht="22.5" customHeight="1">
      <c r="A1185" s="70" t="str">
        <f t="shared" si="1"/>
        <v>Excluded</v>
      </c>
      <c r="B1185" s="70">
        <f t="shared" si="2"/>
        <v>0</v>
      </c>
      <c r="C1185" s="70">
        <v>0.0</v>
      </c>
      <c r="D1185" s="70">
        <v>0.0</v>
      </c>
      <c r="E1185" s="70">
        <v>0.0</v>
      </c>
      <c r="F1185" s="70">
        <v>0.0</v>
      </c>
      <c r="G1185" s="70">
        <v>0.0</v>
      </c>
      <c r="H1185" s="70" t="s">
        <v>6250</v>
      </c>
      <c r="I1185" s="70">
        <v>592.0</v>
      </c>
      <c r="J1185" s="70" t="s">
        <v>6247</v>
      </c>
      <c r="K1185" s="70" t="s">
        <v>6248</v>
      </c>
      <c r="L1185" s="70" t="s">
        <v>6249</v>
      </c>
      <c r="P1185" s="76">
        <v>42964.0</v>
      </c>
      <c r="U1185" s="70" t="s">
        <v>239</v>
      </c>
      <c r="W1185" s="70" t="s">
        <v>6252</v>
      </c>
      <c r="X1185" s="70" t="s">
        <v>6253</v>
      </c>
      <c r="Z1185" s="75" t="s">
        <v>6254</v>
      </c>
      <c r="AA1185" s="70" t="s">
        <v>6255</v>
      </c>
      <c r="AC1185" s="70">
        <v>7.0</v>
      </c>
      <c r="AD1185" s="70">
        <v>1.0</v>
      </c>
      <c r="AE1185" s="70">
        <v>42.0</v>
      </c>
      <c r="AF1185" s="70" t="s">
        <v>239</v>
      </c>
      <c r="AW1185" s="70" t="s">
        <v>6256</v>
      </c>
      <c r="AZ1185" s="70">
        <v>520.0</v>
      </c>
    </row>
    <row r="1186" ht="22.5" customHeight="1">
      <c r="A1186" s="70" t="str">
        <f t="shared" si="1"/>
        <v>Excluded</v>
      </c>
      <c r="B1186" s="70">
        <f t="shared" si="2"/>
        <v>0</v>
      </c>
      <c r="C1186" s="70">
        <v>0.0</v>
      </c>
      <c r="D1186" s="70">
        <v>0.0</v>
      </c>
      <c r="E1186" s="70">
        <v>0.0</v>
      </c>
      <c r="F1186" s="70">
        <v>0.0</v>
      </c>
      <c r="G1186" s="70">
        <v>0.0</v>
      </c>
      <c r="H1186" s="70" t="s">
        <v>8925</v>
      </c>
      <c r="I1186" s="70">
        <v>868.0</v>
      </c>
      <c r="J1186" s="70" t="s">
        <v>8921</v>
      </c>
      <c r="K1186" s="70" t="s">
        <v>30381</v>
      </c>
      <c r="L1186" s="70" t="s">
        <v>8923</v>
      </c>
      <c r="N1186" s="70" t="s">
        <v>8924</v>
      </c>
      <c r="P1186" s="77">
        <v>42744.0</v>
      </c>
      <c r="U1186" s="70" t="s">
        <v>239</v>
      </c>
      <c r="W1186" s="70" t="s">
        <v>8927</v>
      </c>
      <c r="X1186" s="70" t="s">
        <v>8928</v>
      </c>
      <c r="Z1186" s="75" t="s">
        <v>8929</v>
      </c>
      <c r="AC1186" s="70">
        <v>1.0</v>
      </c>
      <c r="AE1186" s="70">
        <v>14.0</v>
      </c>
      <c r="AF1186" s="70" t="s">
        <v>239</v>
      </c>
      <c r="AW1186" s="70" t="s">
        <v>8930</v>
      </c>
      <c r="AZ1186" s="70">
        <v>530.0</v>
      </c>
    </row>
    <row r="1187" ht="22.5" customHeight="1">
      <c r="A1187" s="70" t="str">
        <f t="shared" si="1"/>
        <v>Excluded</v>
      </c>
      <c r="B1187" s="70">
        <f t="shared" si="2"/>
        <v>0</v>
      </c>
      <c r="C1187" s="70">
        <v>0.0</v>
      </c>
      <c r="D1187" s="70">
        <v>0.0</v>
      </c>
      <c r="E1187" s="70">
        <v>0.0</v>
      </c>
      <c r="F1187" s="70">
        <v>0.0</v>
      </c>
      <c r="G1187" s="70">
        <v>0.0</v>
      </c>
      <c r="H1187" s="70" t="s">
        <v>14448</v>
      </c>
      <c r="I1187" s="70">
        <v>1507.0</v>
      </c>
      <c r="J1187" s="70" t="s">
        <v>14445</v>
      </c>
      <c r="K1187" s="70" t="s">
        <v>14446</v>
      </c>
      <c r="L1187" s="70" t="s">
        <v>14447</v>
      </c>
      <c r="P1187" s="76">
        <v>45518.0</v>
      </c>
      <c r="U1187" s="70" t="s">
        <v>239</v>
      </c>
      <c r="W1187" s="70" t="s">
        <v>14450</v>
      </c>
      <c r="X1187" s="70" t="s">
        <v>14451</v>
      </c>
      <c r="Z1187" s="75" t="s">
        <v>14452</v>
      </c>
      <c r="AA1187" s="70" t="s">
        <v>14453</v>
      </c>
      <c r="AE1187" s="70">
        <v>9.0</v>
      </c>
      <c r="AF1187" s="70" t="s">
        <v>239</v>
      </c>
      <c r="AW1187" s="70" t="s">
        <v>14454</v>
      </c>
      <c r="AX1187" s="70">
        <v>0.0</v>
      </c>
      <c r="AY1187" s="70" t="s">
        <v>24</v>
      </c>
      <c r="AZ1187" s="70">
        <v>3041.0</v>
      </c>
    </row>
    <row r="1188" ht="22.5" customHeight="1">
      <c r="A1188" s="70" t="str">
        <f t="shared" si="1"/>
        <v>Excluded</v>
      </c>
      <c r="B1188" s="70">
        <f t="shared" si="2"/>
        <v>0</v>
      </c>
      <c r="C1188" s="70">
        <v>0.0</v>
      </c>
      <c r="D1188" s="70">
        <v>0.0</v>
      </c>
      <c r="E1188" s="70">
        <v>0.0</v>
      </c>
      <c r="F1188" s="70">
        <v>0.0</v>
      </c>
      <c r="G1188" s="70">
        <v>0.0</v>
      </c>
      <c r="H1188" s="70" t="s">
        <v>15096</v>
      </c>
      <c r="I1188" s="70">
        <v>1574.0</v>
      </c>
      <c r="J1188" s="70" t="s">
        <v>15094</v>
      </c>
      <c r="K1188" s="70" t="s">
        <v>15095</v>
      </c>
      <c r="L1188" s="70" t="s">
        <v>14447</v>
      </c>
      <c r="P1188" s="76">
        <v>45518.0</v>
      </c>
      <c r="U1188" s="70" t="s">
        <v>239</v>
      </c>
      <c r="W1188" s="70" t="s">
        <v>15098</v>
      </c>
      <c r="X1188" s="70" t="s">
        <v>14451</v>
      </c>
      <c r="Y1188" s="70" t="s">
        <v>30382</v>
      </c>
      <c r="Z1188" s="75" t="s">
        <v>15099</v>
      </c>
      <c r="AA1188" s="70" t="s">
        <v>15100</v>
      </c>
      <c r="AE1188" s="70">
        <v>22.0</v>
      </c>
      <c r="AF1188" s="70" t="s">
        <v>239</v>
      </c>
      <c r="AW1188" s="70" t="s">
        <v>15101</v>
      </c>
      <c r="AX1188" s="70">
        <v>0.0</v>
      </c>
      <c r="AY1188" s="70" t="s">
        <v>24</v>
      </c>
      <c r="AZ1188" s="70">
        <v>2341.0</v>
      </c>
    </row>
    <row r="1189" ht="22.5" customHeight="1">
      <c r="A1189" s="70" t="str">
        <f t="shared" si="1"/>
        <v>Excluded</v>
      </c>
      <c r="B1189" s="70">
        <f t="shared" si="2"/>
        <v>0</v>
      </c>
      <c r="C1189" s="70">
        <v>0.0</v>
      </c>
      <c r="D1189" s="70">
        <v>0.0</v>
      </c>
      <c r="E1189" s="70">
        <v>0.0</v>
      </c>
      <c r="F1189" s="70">
        <v>0.0</v>
      </c>
      <c r="G1189" s="70">
        <v>0.0</v>
      </c>
      <c r="H1189" s="70" t="s">
        <v>16023</v>
      </c>
      <c r="I1189" s="70">
        <v>1699.0</v>
      </c>
      <c r="K1189" s="70" t="s">
        <v>16020</v>
      </c>
      <c r="L1189" s="70" t="s">
        <v>16021</v>
      </c>
      <c r="N1189" s="70" t="s">
        <v>16022</v>
      </c>
      <c r="P1189" s="76">
        <v>45371.0</v>
      </c>
      <c r="U1189" s="70" t="s">
        <v>239</v>
      </c>
      <c r="X1189" s="70" t="s">
        <v>16024</v>
      </c>
      <c r="Z1189" s="75" t="s">
        <v>16025</v>
      </c>
      <c r="AF1189" s="70" t="s">
        <v>239</v>
      </c>
      <c r="AZ1189" s="70">
        <v>1410.0</v>
      </c>
    </row>
    <row r="1190" ht="22.5" customHeight="1">
      <c r="A1190" s="70" t="str">
        <f t="shared" si="1"/>
        <v>Excluded</v>
      </c>
      <c r="B1190" s="70">
        <f t="shared" si="2"/>
        <v>0</v>
      </c>
      <c r="C1190" s="70">
        <v>0.0</v>
      </c>
      <c r="D1190" s="70">
        <v>0.0</v>
      </c>
      <c r="E1190" s="70">
        <v>0.0</v>
      </c>
      <c r="F1190" s="70">
        <v>0.0</v>
      </c>
      <c r="G1190" s="70">
        <v>0.0</v>
      </c>
      <c r="H1190" s="70" t="s">
        <v>5175</v>
      </c>
      <c r="I1190" s="70">
        <v>483.0</v>
      </c>
      <c r="J1190" s="70" t="s">
        <v>30383</v>
      </c>
      <c r="K1190" s="70" t="s">
        <v>5173</v>
      </c>
      <c r="L1190" s="70" t="s">
        <v>5174</v>
      </c>
      <c r="N1190" s="70" t="s">
        <v>5095</v>
      </c>
      <c r="P1190" s="76">
        <v>43692.0</v>
      </c>
      <c r="U1190" s="70" t="s">
        <v>239</v>
      </c>
      <c r="W1190" s="70" t="s">
        <v>5177</v>
      </c>
      <c r="X1190" s="70" t="s">
        <v>5178</v>
      </c>
      <c r="Z1190" s="75" t="s">
        <v>5179</v>
      </c>
      <c r="AC1190" s="70">
        <v>17.0</v>
      </c>
      <c r="AE1190" s="70">
        <v>38.0</v>
      </c>
      <c r="AF1190" s="70" t="s">
        <v>239</v>
      </c>
      <c r="AX1190" s="70">
        <v>0.0</v>
      </c>
      <c r="AY1190" s="70" t="s">
        <v>24</v>
      </c>
      <c r="AZ1190" s="70">
        <v>2866.0</v>
      </c>
    </row>
    <row r="1191" ht="22.5" customHeight="1">
      <c r="A1191" s="70" t="str">
        <f t="shared" si="1"/>
        <v>Excluded</v>
      </c>
      <c r="B1191" s="70">
        <f t="shared" si="2"/>
        <v>0</v>
      </c>
      <c r="C1191" s="70">
        <v>0.0</v>
      </c>
      <c r="D1191" s="70">
        <v>0.0</v>
      </c>
      <c r="E1191" s="70">
        <v>0.0</v>
      </c>
      <c r="F1191" s="70">
        <v>0.0</v>
      </c>
      <c r="G1191" s="70">
        <v>0.0</v>
      </c>
      <c r="H1191" s="70" t="s">
        <v>5096</v>
      </c>
      <c r="I1191" s="70">
        <v>475.0</v>
      </c>
      <c r="J1191" s="70" t="s">
        <v>30384</v>
      </c>
      <c r="K1191" s="70" t="s">
        <v>5093</v>
      </c>
      <c r="L1191" s="70" t="s">
        <v>5094</v>
      </c>
      <c r="N1191" s="70" t="s">
        <v>5095</v>
      </c>
      <c r="P1191" s="76">
        <v>44405.0</v>
      </c>
      <c r="U1191" s="70" t="s">
        <v>239</v>
      </c>
      <c r="W1191" s="70" t="s">
        <v>5098</v>
      </c>
      <c r="X1191" s="70" t="s">
        <v>5099</v>
      </c>
      <c r="Z1191" s="75" t="s">
        <v>5100</v>
      </c>
      <c r="AA1191" s="70" t="s">
        <v>5101</v>
      </c>
      <c r="AC1191" s="70">
        <v>20.0</v>
      </c>
      <c r="AE1191" s="70">
        <v>38.0</v>
      </c>
      <c r="AF1191" s="70" t="s">
        <v>239</v>
      </c>
      <c r="AW1191" s="70" t="s">
        <v>5102</v>
      </c>
      <c r="AZ1191" s="70">
        <v>1269.0</v>
      </c>
    </row>
    <row r="1192" ht="22.5" customHeight="1">
      <c r="A1192" s="70" t="str">
        <f t="shared" si="1"/>
        <v>Excluded</v>
      </c>
      <c r="B1192" s="70">
        <f t="shared" si="2"/>
        <v>0</v>
      </c>
      <c r="C1192" s="70">
        <v>0.0</v>
      </c>
      <c r="D1192" s="70">
        <v>0.0</v>
      </c>
      <c r="E1192" s="70">
        <v>0.0</v>
      </c>
      <c r="F1192" s="70">
        <v>0.0</v>
      </c>
      <c r="G1192" s="70">
        <v>0.0</v>
      </c>
      <c r="H1192" s="70" t="s">
        <v>9563</v>
      </c>
      <c r="I1192" s="70">
        <v>935.0</v>
      </c>
      <c r="J1192" s="70" t="s">
        <v>9561</v>
      </c>
      <c r="K1192" s="70" t="s">
        <v>9562</v>
      </c>
      <c r="L1192" s="70" t="s">
        <v>6270</v>
      </c>
      <c r="N1192" s="70" t="s">
        <v>5095</v>
      </c>
      <c r="P1192" s="77">
        <v>44750.0</v>
      </c>
      <c r="U1192" s="70" t="s">
        <v>239</v>
      </c>
      <c r="W1192" s="70" t="s">
        <v>9565</v>
      </c>
      <c r="X1192" s="70" t="s">
        <v>6274</v>
      </c>
      <c r="Z1192" s="75" t="s">
        <v>9566</v>
      </c>
      <c r="AA1192" s="70" t="s">
        <v>9567</v>
      </c>
      <c r="AE1192" s="70">
        <v>18.0</v>
      </c>
      <c r="AF1192" s="70" t="s">
        <v>239</v>
      </c>
      <c r="AW1192" s="70" t="s">
        <v>9568</v>
      </c>
      <c r="AX1192" s="70">
        <v>0.0</v>
      </c>
      <c r="AY1192" s="70" t="s">
        <v>24</v>
      </c>
      <c r="AZ1192" s="70">
        <v>1809.0</v>
      </c>
    </row>
    <row r="1193" ht="22.5" customHeight="1">
      <c r="A1193" s="70" t="str">
        <f t="shared" si="1"/>
        <v>Excluded</v>
      </c>
      <c r="B1193" s="70">
        <f t="shared" si="2"/>
        <v>0</v>
      </c>
      <c r="C1193" s="70">
        <v>0.0</v>
      </c>
      <c r="D1193" s="70">
        <v>0.0</v>
      </c>
      <c r="E1193" s="70">
        <v>0.0</v>
      </c>
      <c r="F1193" s="70">
        <v>0.0</v>
      </c>
      <c r="G1193" s="70">
        <v>0.0</v>
      </c>
      <c r="H1193" s="70" t="s">
        <v>8438</v>
      </c>
      <c r="I1193" s="70">
        <v>818.0</v>
      </c>
      <c r="J1193" s="70" t="s">
        <v>30385</v>
      </c>
      <c r="K1193" s="70" t="s">
        <v>30386</v>
      </c>
      <c r="L1193" s="70" t="s">
        <v>6270</v>
      </c>
      <c r="N1193" s="70" t="s">
        <v>5095</v>
      </c>
      <c r="P1193" s="77">
        <v>44750.0</v>
      </c>
      <c r="U1193" s="70" t="s">
        <v>239</v>
      </c>
      <c r="W1193" s="70" t="s">
        <v>8440</v>
      </c>
      <c r="X1193" s="70" t="s">
        <v>6274</v>
      </c>
      <c r="Y1193" s="70" t="s">
        <v>30387</v>
      </c>
      <c r="Z1193" s="75" t="s">
        <v>8441</v>
      </c>
      <c r="AA1193" s="70" t="s">
        <v>8442</v>
      </c>
      <c r="AC1193" s="70">
        <v>2.0</v>
      </c>
      <c r="AE1193" s="70">
        <v>6.0</v>
      </c>
      <c r="AF1193" s="70" t="s">
        <v>239</v>
      </c>
      <c r="AW1193" s="70" t="s">
        <v>8443</v>
      </c>
      <c r="AZ1193" s="70">
        <v>820.0</v>
      </c>
    </row>
    <row r="1194" ht="22.5" customHeight="1">
      <c r="A1194" s="70" t="str">
        <f t="shared" si="1"/>
        <v>Excluded</v>
      </c>
      <c r="B1194" s="70">
        <f t="shared" si="2"/>
        <v>0</v>
      </c>
      <c r="C1194" s="70">
        <v>0.0</v>
      </c>
      <c r="D1194" s="70">
        <v>0.0</v>
      </c>
      <c r="E1194" s="70">
        <v>0.0</v>
      </c>
      <c r="F1194" s="70">
        <v>0.0</v>
      </c>
      <c r="G1194" s="70">
        <v>0.0</v>
      </c>
      <c r="H1194" s="70" t="s">
        <v>6271</v>
      </c>
      <c r="I1194" s="70">
        <v>594.0</v>
      </c>
      <c r="J1194" s="70" t="s">
        <v>6268</v>
      </c>
      <c r="K1194" s="70" t="s">
        <v>6269</v>
      </c>
      <c r="L1194" s="70" t="s">
        <v>6270</v>
      </c>
      <c r="N1194" s="70" t="s">
        <v>5095</v>
      </c>
      <c r="P1194" s="77">
        <v>44750.0</v>
      </c>
      <c r="U1194" s="70" t="s">
        <v>239</v>
      </c>
      <c r="W1194" s="70" t="s">
        <v>30388</v>
      </c>
      <c r="X1194" s="70" t="s">
        <v>6274</v>
      </c>
      <c r="Z1194" s="75" t="s">
        <v>6275</v>
      </c>
      <c r="AC1194" s="70">
        <v>7.0</v>
      </c>
      <c r="AE1194" s="70">
        <v>13.0</v>
      </c>
      <c r="AF1194" s="70" t="s">
        <v>239</v>
      </c>
      <c r="AW1194" s="70" t="s">
        <v>6276</v>
      </c>
      <c r="AZ1194" s="70">
        <v>1013.0</v>
      </c>
    </row>
    <row r="1195" ht="22.5" customHeight="1">
      <c r="A1195" s="70" t="str">
        <f t="shared" si="1"/>
        <v>Excluded</v>
      </c>
      <c r="B1195" s="70">
        <f t="shared" si="2"/>
        <v>0</v>
      </c>
      <c r="C1195" s="70">
        <v>0.0</v>
      </c>
      <c r="D1195" s="70">
        <v>0.0</v>
      </c>
      <c r="E1195" s="70">
        <v>0.0</v>
      </c>
      <c r="F1195" s="70">
        <v>0.0</v>
      </c>
      <c r="G1195" s="70">
        <v>0.0</v>
      </c>
      <c r="H1195" s="70" t="s">
        <v>11121</v>
      </c>
      <c r="I1195" s="70">
        <v>1167.0</v>
      </c>
      <c r="J1195" s="70" t="s">
        <v>11119</v>
      </c>
      <c r="K1195" s="70" t="s">
        <v>11120</v>
      </c>
      <c r="L1195" s="70" t="s">
        <v>11071</v>
      </c>
      <c r="N1195" s="70" t="s">
        <v>5095</v>
      </c>
      <c r="P1195" s="76">
        <v>45133.0</v>
      </c>
      <c r="U1195" s="70" t="s">
        <v>239</v>
      </c>
      <c r="W1195" s="70" t="s">
        <v>11123</v>
      </c>
      <c r="X1195" s="70" t="s">
        <v>11075</v>
      </c>
      <c r="Z1195" s="75" t="s">
        <v>11124</v>
      </c>
      <c r="AA1195" s="70" t="s">
        <v>11125</v>
      </c>
      <c r="AC1195" s="70">
        <v>6.0</v>
      </c>
      <c r="AE1195" s="70">
        <v>18.0</v>
      </c>
      <c r="AF1195" s="70" t="s">
        <v>239</v>
      </c>
      <c r="AW1195" s="70" t="s">
        <v>11126</v>
      </c>
      <c r="AX1195" s="70">
        <v>0.0</v>
      </c>
      <c r="AY1195" s="70" t="s">
        <v>24</v>
      </c>
      <c r="AZ1195" s="70">
        <v>1890.0</v>
      </c>
    </row>
    <row r="1196" ht="22.5" customHeight="1">
      <c r="A1196" s="70" t="str">
        <f t="shared" si="1"/>
        <v>Excluded</v>
      </c>
      <c r="B1196" s="70">
        <f t="shared" si="2"/>
        <v>0</v>
      </c>
      <c r="C1196" s="70">
        <v>0.0</v>
      </c>
      <c r="D1196" s="70">
        <v>0.0</v>
      </c>
      <c r="E1196" s="70">
        <v>0.0</v>
      </c>
      <c r="F1196" s="70">
        <v>0.0</v>
      </c>
      <c r="G1196" s="70">
        <v>0.0</v>
      </c>
      <c r="H1196" s="70" t="s">
        <v>11093</v>
      </c>
      <c r="I1196" s="70">
        <v>1164.0</v>
      </c>
      <c r="J1196" s="70" t="s">
        <v>30389</v>
      </c>
      <c r="K1196" s="70" t="s">
        <v>11092</v>
      </c>
      <c r="L1196" s="70" t="s">
        <v>11071</v>
      </c>
      <c r="N1196" s="70" t="s">
        <v>5095</v>
      </c>
      <c r="P1196" s="76">
        <v>45133.0</v>
      </c>
      <c r="U1196" s="70" t="s">
        <v>239</v>
      </c>
      <c r="W1196" s="70" t="s">
        <v>11095</v>
      </c>
      <c r="X1196" s="70" t="s">
        <v>11075</v>
      </c>
      <c r="Z1196" s="75" t="s">
        <v>11096</v>
      </c>
      <c r="AA1196" s="70" t="s">
        <v>11097</v>
      </c>
      <c r="AC1196" s="70">
        <v>8.0</v>
      </c>
      <c r="AE1196" s="70">
        <v>48.0</v>
      </c>
      <c r="AF1196" s="70" t="s">
        <v>239</v>
      </c>
      <c r="AW1196" s="70" t="s">
        <v>11098</v>
      </c>
      <c r="AX1196" s="70">
        <v>0.0</v>
      </c>
      <c r="AY1196" s="70" t="s">
        <v>24</v>
      </c>
      <c r="AZ1196" s="70">
        <v>2724.0</v>
      </c>
    </row>
    <row r="1197" ht="22.5" customHeight="1">
      <c r="A1197" s="70" t="str">
        <f t="shared" si="1"/>
        <v>Excluded</v>
      </c>
      <c r="B1197" s="70">
        <f t="shared" si="2"/>
        <v>0</v>
      </c>
      <c r="C1197" s="70">
        <v>0.0</v>
      </c>
      <c r="D1197" s="70">
        <v>0.0</v>
      </c>
      <c r="E1197" s="70">
        <v>0.0</v>
      </c>
      <c r="F1197" s="70">
        <v>0.0</v>
      </c>
      <c r="G1197" s="70">
        <v>0.0</v>
      </c>
      <c r="H1197" s="70" t="s">
        <v>11072</v>
      </c>
      <c r="I1197" s="70">
        <v>1162.0</v>
      </c>
      <c r="J1197" s="70" t="s">
        <v>30390</v>
      </c>
      <c r="K1197" s="70" t="s">
        <v>11070</v>
      </c>
      <c r="L1197" s="70" t="s">
        <v>11071</v>
      </c>
      <c r="N1197" s="70" t="s">
        <v>5095</v>
      </c>
      <c r="P1197" s="76">
        <v>45133.0</v>
      </c>
      <c r="U1197" s="70" t="s">
        <v>239</v>
      </c>
      <c r="W1197" s="70" t="s">
        <v>11074</v>
      </c>
      <c r="X1197" s="70" t="s">
        <v>11075</v>
      </c>
      <c r="Y1197" s="70" t="s">
        <v>30391</v>
      </c>
      <c r="Z1197" s="75" t="s">
        <v>11077</v>
      </c>
      <c r="AA1197" s="70" t="s">
        <v>11078</v>
      </c>
      <c r="AC1197" s="70">
        <v>9.0</v>
      </c>
      <c r="AE1197" s="70">
        <v>14.0</v>
      </c>
      <c r="AF1197" s="70" t="s">
        <v>239</v>
      </c>
      <c r="AW1197" s="70" t="s">
        <v>11079</v>
      </c>
      <c r="AZ1197" s="70">
        <v>583.0</v>
      </c>
    </row>
    <row r="1198" ht="22.5" customHeight="1">
      <c r="A1198" s="70" t="str">
        <f t="shared" si="1"/>
        <v>Excluded</v>
      </c>
      <c r="B1198" s="70">
        <f t="shared" si="2"/>
        <v>0</v>
      </c>
      <c r="C1198" s="70">
        <v>0.0</v>
      </c>
      <c r="D1198" s="70">
        <v>0.0</v>
      </c>
      <c r="E1198" s="70">
        <v>0.0</v>
      </c>
      <c r="F1198" s="70">
        <v>0.0</v>
      </c>
      <c r="G1198" s="70">
        <v>0.0</v>
      </c>
      <c r="H1198" s="70" t="s">
        <v>14147</v>
      </c>
      <c r="I1198" s="70">
        <v>1474.0</v>
      </c>
      <c r="J1198" s="70" t="s">
        <v>14145</v>
      </c>
      <c r="K1198" s="70" t="s">
        <v>14146</v>
      </c>
      <c r="L1198" s="70" t="s">
        <v>12068</v>
      </c>
      <c r="N1198" s="70" t="s">
        <v>5095</v>
      </c>
      <c r="P1198" s="76">
        <v>45492.0</v>
      </c>
      <c r="U1198" s="70" t="s">
        <v>239</v>
      </c>
      <c r="W1198" s="70" t="s">
        <v>14149</v>
      </c>
      <c r="X1198" s="70" t="s">
        <v>12072</v>
      </c>
      <c r="Y1198" s="70" t="s">
        <v>30339</v>
      </c>
      <c r="Z1198" s="75" t="s">
        <v>14150</v>
      </c>
      <c r="AE1198" s="70">
        <v>25.0</v>
      </c>
      <c r="AF1198" s="70" t="s">
        <v>239</v>
      </c>
      <c r="AW1198" s="70" t="s">
        <v>14151</v>
      </c>
      <c r="AZ1198" s="70">
        <v>887.0</v>
      </c>
    </row>
    <row r="1199" ht="22.5" customHeight="1">
      <c r="A1199" s="70" t="str">
        <f t="shared" si="1"/>
        <v>Excluded</v>
      </c>
      <c r="B1199" s="70">
        <f t="shared" si="2"/>
        <v>0</v>
      </c>
      <c r="C1199" s="70">
        <v>0.0</v>
      </c>
      <c r="D1199" s="70">
        <v>0.0</v>
      </c>
      <c r="E1199" s="70">
        <v>0.0</v>
      </c>
      <c r="F1199" s="70">
        <v>0.0</v>
      </c>
      <c r="G1199" s="70">
        <v>0.0</v>
      </c>
      <c r="H1199" s="70" t="s">
        <v>12069</v>
      </c>
      <c r="I1199" s="70">
        <v>1262.0</v>
      </c>
      <c r="J1199" s="70" t="s">
        <v>12066</v>
      </c>
      <c r="K1199" s="70" t="s">
        <v>12067</v>
      </c>
      <c r="L1199" s="70" t="s">
        <v>12068</v>
      </c>
      <c r="N1199" s="70" t="s">
        <v>5095</v>
      </c>
      <c r="P1199" s="76">
        <v>45492.0</v>
      </c>
      <c r="U1199" s="70" t="s">
        <v>239</v>
      </c>
      <c r="W1199" s="70" t="s">
        <v>12071</v>
      </c>
      <c r="X1199" s="70" t="s">
        <v>12072</v>
      </c>
      <c r="Y1199" s="70" t="s">
        <v>29380</v>
      </c>
      <c r="Z1199" s="75" t="s">
        <v>12073</v>
      </c>
      <c r="AA1199" s="70" t="s">
        <v>12074</v>
      </c>
      <c r="AC1199" s="70">
        <v>1.0</v>
      </c>
      <c r="AE1199" s="70">
        <v>15.0</v>
      </c>
      <c r="AF1199" s="70" t="s">
        <v>239</v>
      </c>
      <c r="AW1199" s="70" t="s">
        <v>12075</v>
      </c>
      <c r="AZ1199" s="70">
        <v>1019.0</v>
      </c>
    </row>
    <row r="1200" ht="22.5" customHeight="1">
      <c r="A1200" s="70" t="str">
        <f t="shared" si="1"/>
        <v>Excluded</v>
      </c>
      <c r="B1200" s="70">
        <f t="shared" si="2"/>
        <v>0</v>
      </c>
      <c r="C1200" s="70">
        <v>0.0</v>
      </c>
      <c r="D1200" s="70">
        <v>0.0</v>
      </c>
      <c r="E1200" s="70">
        <v>0.0</v>
      </c>
      <c r="F1200" s="70">
        <v>0.0</v>
      </c>
      <c r="G1200" s="70">
        <v>0.0</v>
      </c>
      <c r="H1200" s="70" t="s">
        <v>15789</v>
      </c>
      <c r="I1200" s="70">
        <v>1649.0</v>
      </c>
      <c r="J1200" s="70" t="s">
        <v>30392</v>
      </c>
      <c r="K1200" s="70" t="s">
        <v>15788</v>
      </c>
      <c r="L1200" s="70" t="s">
        <v>12068</v>
      </c>
      <c r="N1200" s="70" t="s">
        <v>5095</v>
      </c>
      <c r="P1200" s="76">
        <v>45492.0</v>
      </c>
      <c r="U1200" s="70" t="s">
        <v>239</v>
      </c>
      <c r="W1200" s="70" t="s">
        <v>15791</v>
      </c>
      <c r="X1200" s="70" t="s">
        <v>12072</v>
      </c>
      <c r="Y1200" s="70" t="s">
        <v>30387</v>
      </c>
      <c r="Z1200" s="75" t="s">
        <v>15792</v>
      </c>
      <c r="AA1200" s="70" t="s">
        <v>7193</v>
      </c>
      <c r="AE1200" s="70">
        <v>12.0</v>
      </c>
      <c r="AF1200" s="70" t="s">
        <v>239</v>
      </c>
      <c r="AW1200" s="70" t="s">
        <v>15793</v>
      </c>
      <c r="AZ1200" s="70">
        <v>1119.0</v>
      </c>
    </row>
    <row r="1201" ht="22.5" customHeight="1">
      <c r="A1201" s="70" t="str">
        <f t="shared" si="1"/>
        <v>Excluded</v>
      </c>
      <c r="B1201" s="70">
        <f t="shared" si="2"/>
        <v>0</v>
      </c>
      <c r="C1201" s="70">
        <v>0.0</v>
      </c>
      <c r="D1201" s="70">
        <v>0.0</v>
      </c>
      <c r="E1201" s="70">
        <v>0.0</v>
      </c>
      <c r="F1201" s="70">
        <v>0.0</v>
      </c>
      <c r="G1201" s="70">
        <v>0.0</v>
      </c>
      <c r="H1201" s="70" t="s">
        <v>5897</v>
      </c>
      <c r="I1201" s="70">
        <v>556.0</v>
      </c>
      <c r="J1201" s="70" t="s">
        <v>5894</v>
      </c>
      <c r="K1201" s="70" t="s">
        <v>5895</v>
      </c>
      <c r="L1201" s="70" t="s">
        <v>5896</v>
      </c>
      <c r="N1201" s="70" t="s">
        <v>5095</v>
      </c>
      <c r="P1201" s="76">
        <v>44095.0</v>
      </c>
      <c r="U1201" s="70" t="s">
        <v>239</v>
      </c>
      <c r="W1201" s="70" t="s">
        <v>5899</v>
      </c>
      <c r="X1201" s="70" t="s">
        <v>5900</v>
      </c>
      <c r="Z1201" s="75" t="s">
        <v>5901</v>
      </c>
      <c r="AC1201" s="70">
        <v>8.0</v>
      </c>
      <c r="AE1201" s="70">
        <v>35.0</v>
      </c>
      <c r="AF1201" s="70" t="s">
        <v>239</v>
      </c>
      <c r="AW1201" s="70" t="s">
        <v>5902</v>
      </c>
      <c r="AZ1201" s="70">
        <v>1177.0</v>
      </c>
    </row>
    <row r="1202" ht="22.5" customHeight="1">
      <c r="A1202" s="70" t="str">
        <f t="shared" si="1"/>
        <v>Excluded</v>
      </c>
      <c r="B1202" s="70">
        <f t="shared" si="2"/>
        <v>0</v>
      </c>
      <c r="C1202" s="70">
        <v>0.0</v>
      </c>
      <c r="D1202" s="70">
        <v>0.0</v>
      </c>
      <c r="E1202" s="70">
        <v>0.0</v>
      </c>
      <c r="F1202" s="70">
        <v>0.0</v>
      </c>
      <c r="G1202" s="70">
        <v>0.0</v>
      </c>
      <c r="H1202" s="70" t="s">
        <v>15484</v>
      </c>
      <c r="I1202" s="70">
        <v>1616.0</v>
      </c>
      <c r="J1202" s="70" t="s">
        <v>15480</v>
      </c>
      <c r="K1202" s="70" t="s">
        <v>15481</v>
      </c>
      <c r="L1202" s="70" t="s">
        <v>15482</v>
      </c>
      <c r="N1202" s="70" t="s">
        <v>15483</v>
      </c>
      <c r="P1202" s="76">
        <v>45526.0</v>
      </c>
      <c r="U1202" s="70" t="s">
        <v>239</v>
      </c>
      <c r="W1202" s="70" t="s">
        <v>30393</v>
      </c>
      <c r="X1202" s="70" t="s">
        <v>15487</v>
      </c>
      <c r="Y1202" s="70" t="s">
        <v>15488</v>
      </c>
      <c r="Z1202" s="75" t="s">
        <v>15489</v>
      </c>
      <c r="AA1202" s="70" t="s">
        <v>15490</v>
      </c>
      <c r="AE1202" s="70">
        <v>64.0</v>
      </c>
      <c r="AF1202" s="70" t="s">
        <v>239</v>
      </c>
      <c r="AW1202" s="70" t="s">
        <v>15491</v>
      </c>
      <c r="AZ1202" s="70">
        <v>403.0</v>
      </c>
    </row>
    <row r="1203" ht="22.5" customHeight="1">
      <c r="A1203" s="70" t="str">
        <f t="shared" si="1"/>
        <v>Excluded</v>
      </c>
      <c r="B1203" s="70">
        <f t="shared" si="2"/>
        <v>0</v>
      </c>
      <c r="C1203" s="70">
        <v>0.0</v>
      </c>
      <c r="D1203" s="70">
        <v>0.0</v>
      </c>
      <c r="E1203" s="70">
        <v>0.0</v>
      </c>
      <c r="F1203" s="70">
        <v>0.0</v>
      </c>
      <c r="G1203" s="70">
        <v>0.0</v>
      </c>
      <c r="H1203" s="70" t="s">
        <v>4891</v>
      </c>
      <c r="I1203" s="70">
        <v>455.0</v>
      </c>
      <c r="J1203" s="70" t="s">
        <v>4888</v>
      </c>
      <c r="K1203" s="70" t="s">
        <v>4889</v>
      </c>
      <c r="L1203" s="70" t="s">
        <v>4890</v>
      </c>
      <c r="P1203" s="76">
        <v>42723.0</v>
      </c>
      <c r="U1203" s="70" t="s">
        <v>239</v>
      </c>
      <c r="W1203" s="70" t="s">
        <v>4893</v>
      </c>
      <c r="X1203" s="70" t="s">
        <v>4894</v>
      </c>
      <c r="Z1203" s="75" t="s">
        <v>4895</v>
      </c>
      <c r="AA1203" s="70" t="s">
        <v>4896</v>
      </c>
      <c r="AC1203" s="70">
        <v>27.0</v>
      </c>
      <c r="AE1203" s="70">
        <v>16.0</v>
      </c>
      <c r="AF1203" s="70" t="s">
        <v>239</v>
      </c>
      <c r="AW1203" s="70" t="s">
        <v>4897</v>
      </c>
      <c r="AZ1203" s="70">
        <v>740.0</v>
      </c>
    </row>
    <row r="1204" ht="22.5" customHeight="1">
      <c r="A1204" s="70" t="str">
        <f t="shared" si="1"/>
        <v>Excluded</v>
      </c>
      <c r="B1204" s="70">
        <f t="shared" si="2"/>
        <v>0</v>
      </c>
      <c r="C1204" s="70">
        <v>0.0</v>
      </c>
      <c r="D1204" s="70">
        <v>0.0</v>
      </c>
      <c r="E1204" s="70">
        <v>0.0</v>
      </c>
      <c r="F1204" s="70">
        <v>0.0</v>
      </c>
      <c r="G1204" s="70">
        <v>0.0</v>
      </c>
      <c r="H1204" s="70" t="s">
        <v>15716</v>
      </c>
      <c r="I1204" s="70">
        <v>1641.0</v>
      </c>
      <c r="J1204" s="70" t="s">
        <v>15713</v>
      </c>
      <c r="K1204" s="70" t="s">
        <v>15714</v>
      </c>
      <c r="L1204" s="70" t="s">
        <v>15715</v>
      </c>
      <c r="P1204" s="77">
        <v>45450.0</v>
      </c>
      <c r="U1204" s="70" t="s">
        <v>239</v>
      </c>
      <c r="W1204" s="70" t="s">
        <v>15718</v>
      </c>
      <c r="X1204" s="70" t="s">
        <v>15719</v>
      </c>
      <c r="Z1204" s="75" t="s">
        <v>15720</v>
      </c>
      <c r="AA1204" s="70" t="s">
        <v>15721</v>
      </c>
      <c r="AE1204" s="70">
        <v>23.0</v>
      </c>
      <c r="AF1204" s="70" t="s">
        <v>239</v>
      </c>
      <c r="AW1204" s="70" t="s">
        <v>15722</v>
      </c>
      <c r="AZ1204" s="70">
        <v>853.0</v>
      </c>
    </row>
    <row r="1205" ht="22.5" customHeight="1">
      <c r="A1205" s="70" t="str">
        <f t="shared" si="1"/>
        <v>Excluded</v>
      </c>
      <c r="B1205" s="70">
        <f t="shared" si="2"/>
        <v>0</v>
      </c>
      <c r="C1205" s="70">
        <v>0.0</v>
      </c>
      <c r="D1205" s="70">
        <v>0.0</v>
      </c>
      <c r="E1205" s="70">
        <v>0.0</v>
      </c>
      <c r="F1205" s="70">
        <v>0.0</v>
      </c>
      <c r="G1205" s="70">
        <v>0.0</v>
      </c>
      <c r="H1205" s="70" t="s">
        <v>11285</v>
      </c>
      <c r="I1205" s="70">
        <v>1183.0</v>
      </c>
      <c r="J1205" s="70" t="s">
        <v>11282</v>
      </c>
      <c r="K1205" s="70" t="s">
        <v>11283</v>
      </c>
      <c r="L1205" s="70" t="s">
        <v>11284</v>
      </c>
      <c r="P1205" s="76">
        <v>44973.0</v>
      </c>
      <c r="U1205" s="70" t="s">
        <v>239</v>
      </c>
      <c r="W1205" s="70" t="s">
        <v>11287</v>
      </c>
      <c r="X1205" s="70" t="s">
        <v>11288</v>
      </c>
      <c r="Y1205" s="70" t="s">
        <v>30394</v>
      </c>
      <c r="Z1205" s="75" t="s">
        <v>11290</v>
      </c>
      <c r="AC1205" s="70">
        <v>4.0</v>
      </c>
      <c r="AE1205" s="70">
        <v>22.0</v>
      </c>
      <c r="AF1205" s="70" t="s">
        <v>239</v>
      </c>
      <c r="AW1205" s="70" t="s">
        <v>11291</v>
      </c>
      <c r="AZ1205" s="70">
        <v>1202.0</v>
      </c>
    </row>
    <row r="1206" ht="22.5" customHeight="1">
      <c r="A1206" s="70" t="str">
        <f t="shared" si="1"/>
        <v>Excluded</v>
      </c>
      <c r="B1206" s="70">
        <f t="shared" si="2"/>
        <v>0</v>
      </c>
      <c r="C1206" s="70">
        <v>0.0</v>
      </c>
      <c r="D1206" s="70">
        <v>0.0</v>
      </c>
      <c r="E1206" s="70">
        <v>0.0</v>
      </c>
      <c r="F1206" s="70">
        <v>0.0</v>
      </c>
      <c r="G1206" s="70">
        <v>0.0</v>
      </c>
      <c r="H1206" s="70" t="s">
        <v>4922</v>
      </c>
      <c r="I1206" s="70">
        <v>458.0</v>
      </c>
      <c r="J1206" s="70" t="s">
        <v>4919</v>
      </c>
      <c r="K1206" s="70" t="s">
        <v>4920</v>
      </c>
      <c r="L1206" s="70" t="s">
        <v>4921</v>
      </c>
      <c r="P1206" s="76">
        <v>43188.0</v>
      </c>
      <c r="U1206" s="70" t="s">
        <v>239</v>
      </c>
      <c r="W1206" s="70" t="s">
        <v>4924</v>
      </c>
      <c r="X1206" s="70" t="s">
        <v>4925</v>
      </c>
      <c r="Z1206" s="75" t="s">
        <v>4926</v>
      </c>
      <c r="AA1206" s="70" t="s">
        <v>4927</v>
      </c>
      <c r="AC1206" s="70">
        <v>26.0</v>
      </c>
      <c r="AE1206" s="70">
        <v>35.0</v>
      </c>
      <c r="AF1206" s="70" t="s">
        <v>239</v>
      </c>
      <c r="AW1206" s="70" t="s">
        <v>4928</v>
      </c>
      <c r="AX1206" s="70">
        <v>0.0</v>
      </c>
      <c r="AY1206" s="70" t="s">
        <v>24</v>
      </c>
      <c r="AZ1206" s="70">
        <v>1942.0</v>
      </c>
    </row>
    <row r="1207" ht="22.5" customHeight="1">
      <c r="A1207" s="70" t="str">
        <f t="shared" si="1"/>
        <v>Excluded</v>
      </c>
      <c r="B1207" s="70">
        <f t="shared" si="2"/>
        <v>0</v>
      </c>
      <c r="C1207" s="70">
        <v>0.0</v>
      </c>
      <c r="D1207" s="70">
        <v>0.0</v>
      </c>
      <c r="E1207" s="70">
        <v>0.0</v>
      </c>
      <c r="F1207" s="70">
        <v>0.0</v>
      </c>
      <c r="G1207" s="70">
        <v>0.0</v>
      </c>
      <c r="H1207" s="70" t="s">
        <v>12149</v>
      </c>
      <c r="I1207" s="70">
        <v>1270.0</v>
      </c>
      <c r="J1207" s="70" t="s">
        <v>12146</v>
      </c>
      <c r="K1207" s="70" t="s">
        <v>12147</v>
      </c>
      <c r="L1207" s="70" t="s">
        <v>12148</v>
      </c>
      <c r="P1207" s="76">
        <v>45624.0</v>
      </c>
      <c r="U1207" s="70" t="s">
        <v>239</v>
      </c>
      <c r="W1207" s="70" t="s">
        <v>12151</v>
      </c>
      <c r="X1207" s="70" t="s">
        <v>12152</v>
      </c>
      <c r="Z1207" s="75" t="s">
        <v>12153</v>
      </c>
      <c r="AA1207" s="70" t="s">
        <v>12154</v>
      </c>
      <c r="AC1207" s="70">
        <v>1.0</v>
      </c>
      <c r="AE1207" s="70">
        <v>31.0</v>
      </c>
      <c r="AF1207" s="70" t="s">
        <v>239</v>
      </c>
      <c r="AW1207" s="70" t="s">
        <v>12155</v>
      </c>
      <c r="AX1207" s="70">
        <v>0.0</v>
      </c>
      <c r="AY1207" s="70" t="s">
        <v>24</v>
      </c>
      <c r="AZ1207" s="70">
        <v>3118.0</v>
      </c>
    </row>
    <row r="1208" ht="22.5" customHeight="1">
      <c r="A1208" s="70" t="str">
        <f t="shared" si="1"/>
        <v>Excluded</v>
      </c>
      <c r="B1208" s="70">
        <f t="shared" si="2"/>
        <v>0</v>
      </c>
      <c r="C1208" s="70">
        <v>0.0</v>
      </c>
      <c r="D1208" s="70">
        <v>0.0</v>
      </c>
      <c r="E1208" s="70">
        <v>0.0</v>
      </c>
      <c r="F1208" s="70">
        <v>0.0</v>
      </c>
      <c r="G1208" s="70">
        <v>0.0</v>
      </c>
      <c r="H1208" s="70" t="s">
        <v>6794</v>
      </c>
      <c r="I1208" s="70">
        <v>647.0</v>
      </c>
      <c r="J1208" s="70" t="s">
        <v>6791</v>
      </c>
      <c r="K1208" s="70" t="s">
        <v>6792</v>
      </c>
      <c r="L1208" s="70" t="s">
        <v>6793</v>
      </c>
      <c r="P1208" s="78">
        <v>43251.0</v>
      </c>
      <c r="U1208" s="70" t="s">
        <v>239</v>
      </c>
      <c r="W1208" s="70" t="s">
        <v>6796</v>
      </c>
      <c r="X1208" s="70" t="s">
        <v>6797</v>
      </c>
      <c r="Z1208" s="75" t="s">
        <v>6798</v>
      </c>
      <c r="AA1208" s="70" t="s">
        <v>6799</v>
      </c>
      <c r="AC1208" s="70">
        <v>5.0</v>
      </c>
      <c r="AE1208" s="70">
        <v>43.0</v>
      </c>
      <c r="AF1208" s="70" t="s">
        <v>239</v>
      </c>
      <c r="AW1208" s="70" t="s">
        <v>6800</v>
      </c>
      <c r="AX1208" s="70">
        <v>0.0</v>
      </c>
      <c r="AY1208" s="70" t="s">
        <v>24</v>
      </c>
      <c r="AZ1208" s="70">
        <v>2125.0</v>
      </c>
    </row>
    <row r="1209" ht="22.5" customHeight="1">
      <c r="A1209" s="70" t="str">
        <f t="shared" si="1"/>
        <v>Excluded</v>
      </c>
      <c r="B1209" s="70">
        <f t="shared" si="2"/>
        <v>0</v>
      </c>
      <c r="C1209" s="70">
        <v>0.0</v>
      </c>
      <c r="D1209" s="70">
        <v>0.0</v>
      </c>
      <c r="E1209" s="70">
        <v>0.0</v>
      </c>
      <c r="F1209" s="70">
        <v>0.0</v>
      </c>
      <c r="G1209" s="70">
        <v>0.0</v>
      </c>
      <c r="H1209" s="70" t="s">
        <v>8182</v>
      </c>
      <c r="I1209" s="70">
        <v>791.0</v>
      </c>
      <c r="J1209" s="70" t="s">
        <v>8180</v>
      </c>
      <c r="K1209" s="70" t="s">
        <v>8181</v>
      </c>
      <c r="L1209" s="70" t="s">
        <v>7276</v>
      </c>
      <c r="P1209" s="76">
        <v>43692.0</v>
      </c>
      <c r="U1209" s="70" t="s">
        <v>239</v>
      </c>
      <c r="W1209" s="70" t="s">
        <v>8184</v>
      </c>
      <c r="X1209" s="70" t="s">
        <v>7280</v>
      </c>
      <c r="Z1209" s="75" t="s">
        <v>8185</v>
      </c>
      <c r="AA1209" s="70" t="s">
        <v>8186</v>
      </c>
      <c r="AC1209" s="70">
        <v>2.0</v>
      </c>
      <c r="AE1209" s="70">
        <v>60.0</v>
      </c>
      <c r="AF1209" s="70" t="s">
        <v>239</v>
      </c>
      <c r="AW1209" s="70" t="s">
        <v>8187</v>
      </c>
      <c r="AX1209" s="70">
        <v>0.0</v>
      </c>
      <c r="AY1209" s="70" t="s">
        <v>24</v>
      </c>
      <c r="AZ1209" s="70">
        <v>2567.0</v>
      </c>
    </row>
    <row r="1210" ht="22.5" customHeight="1">
      <c r="A1210" s="70" t="str">
        <f t="shared" si="1"/>
        <v>Excluded</v>
      </c>
      <c r="B1210" s="70">
        <f t="shared" si="2"/>
        <v>0</v>
      </c>
      <c r="C1210" s="70">
        <v>0.0</v>
      </c>
      <c r="D1210" s="70">
        <v>0.0</v>
      </c>
      <c r="E1210" s="70">
        <v>0.0</v>
      </c>
      <c r="F1210" s="70">
        <v>0.0</v>
      </c>
      <c r="G1210" s="70">
        <v>0.0</v>
      </c>
      <c r="H1210" s="70" t="s">
        <v>6516</v>
      </c>
      <c r="I1210" s="70">
        <v>619.0</v>
      </c>
      <c r="J1210" s="70" t="s">
        <v>6513</v>
      </c>
      <c r="K1210" s="70" t="s">
        <v>6514</v>
      </c>
      <c r="L1210" s="70" t="s">
        <v>6515</v>
      </c>
      <c r="P1210" s="76">
        <v>44033.0</v>
      </c>
      <c r="U1210" s="70" t="s">
        <v>239</v>
      </c>
      <c r="W1210" s="70" t="s">
        <v>6518</v>
      </c>
      <c r="X1210" s="70" t="s">
        <v>6519</v>
      </c>
      <c r="Z1210" s="75" t="s">
        <v>6520</v>
      </c>
      <c r="AA1210" s="70" t="s">
        <v>6521</v>
      </c>
      <c r="AC1210" s="70">
        <v>6.0</v>
      </c>
      <c r="AE1210" s="70">
        <v>28.0</v>
      </c>
      <c r="AF1210" s="70" t="s">
        <v>239</v>
      </c>
      <c r="AW1210" s="70" t="s">
        <v>6522</v>
      </c>
      <c r="AX1210" s="70">
        <v>0.0</v>
      </c>
      <c r="AY1210" s="70" t="s">
        <v>24</v>
      </c>
      <c r="AZ1210" s="70">
        <v>1985.0</v>
      </c>
    </row>
    <row r="1211" ht="22.5" customHeight="1">
      <c r="A1211" s="70" t="str">
        <f t="shared" si="1"/>
        <v>Excluded</v>
      </c>
      <c r="B1211" s="70">
        <f t="shared" si="2"/>
        <v>0</v>
      </c>
      <c r="C1211" s="70">
        <v>0.0</v>
      </c>
      <c r="D1211" s="70">
        <v>0.0</v>
      </c>
      <c r="E1211" s="70">
        <v>0.0</v>
      </c>
      <c r="F1211" s="70">
        <v>0.0</v>
      </c>
      <c r="G1211" s="70">
        <v>0.0</v>
      </c>
      <c r="H1211" s="70" t="s">
        <v>12199</v>
      </c>
      <c r="I1211" s="70">
        <v>1275.0</v>
      </c>
      <c r="J1211" s="70" t="s">
        <v>30395</v>
      </c>
      <c r="K1211" s="70" t="s">
        <v>12197</v>
      </c>
      <c r="L1211" s="70" t="s">
        <v>12198</v>
      </c>
      <c r="P1211" s="77">
        <v>45238.0</v>
      </c>
      <c r="U1211" s="70" t="s">
        <v>239</v>
      </c>
      <c r="W1211" s="70" t="s">
        <v>12201</v>
      </c>
      <c r="X1211" s="70" t="s">
        <v>12202</v>
      </c>
      <c r="Z1211" s="75" t="s">
        <v>12203</v>
      </c>
      <c r="AA1211" s="70" t="s">
        <v>12204</v>
      </c>
      <c r="AC1211" s="70">
        <v>1.0</v>
      </c>
      <c r="AE1211" s="70">
        <v>21.0</v>
      </c>
      <c r="AF1211" s="70" t="s">
        <v>239</v>
      </c>
      <c r="AW1211" s="70" t="s">
        <v>12205</v>
      </c>
      <c r="AZ1211" s="70">
        <v>616.0</v>
      </c>
    </row>
    <row r="1212" ht="22.5" customHeight="1">
      <c r="A1212" s="70" t="str">
        <f t="shared" si="1"/>
        <v>Excluded</v>
      </c>
      <c r="B1212" s="70">
        <f t="shared" si="2"/>
        <v>0</v>
      </c>
      <c r="C1212" s="70">
        <v>0.0</v>
      </c>
      <c r="D1212" s="70">
        <v>0.0</v>
      </c>
      <c r="E1212" s="70">
        <v>0.0</v>
      </c>
      <c r="F1212" s="70">
        <v>0.0</v>
      </c>
      <c r="G1212" s="70">
        <v>0.0</v>
      </c>
      <c r="H1212" s="70" t="s">
        <v>14661</v>
      </c>
      <c r="I1212" s="70">
        <v>1529.0</v>
      </c>
      <c r="J1212" s="70" t="s">
        <v>30396</v>
      </c>
      <c r="K1212" s="70" t="s">
        <v>14659</v>
      </c>
      <c r="L1212" s="70" t="s">
        <v>14660</v>
      </c>
      <c r="P1212" s="76">
        <v>45579.0</v>
      </c>
      <c r="U1212" s="70" t="s">
        <v>239</v>
      </c>
      <c r="W1212" s="70" t="s">
        <v>14663</v>
      </c>
      <c r="X1212" s="70" t="s">
        <v>14664</v>
      </c>
      <c r="Y1212" s="70" t="s">
        <v>30397</v>
      </c>
      <c r="Z1212" s="75" t="s">
        <v>14666</v>
      </c>
      <c r="AA1212" s="70" t="s">
        <v>14667</v>
      </c>
      <c r="AE1212" s="70">
        <v>11.0</v>
      </c>
      <c r="AF1212" s="70" t="s">
        <v>239</v>
      </c>
      <c r="AW1212" s="70" t="s">
        <v>14668</v>
      </c>
      <c r="AX1212" s="70">
        <v>0.0</v>
      </c>
      <c r="AY1212" s="70" t="s">
        <v>24</v>
      </c>
      <c r="AZ1212" s="70">
        <v>2323.0</v>
      </c>
    </row>
    <row r="1213" ht="22.5" customHeight="1">
      <c r="A1213" s="70" t="str">
        <f t="shared" si="1"/>
        <v>Excluded</v>
      </c>
      <c r="B1213" s="70">
        <f t="shared" si="2"/>
        <v>0</v>
      </c>
      <c r="C1213" s="70">
        <v>0.0</v>
      </c>
      <c r="D1213" s="70">
        <v>0.0</v>
      </c>
      <c r="E1213" s="70">
        <v>0.0</v>
      </c>
      <c r="F1213" s="70">
        <v>0.0</v>
      </c>
      <c r="G1213" s="70">
        <v>0.0</v>
      </c>
      <c r="H1213" s="70" t="s">
        <v>15058</v>
      </c>
      <c r="I1213" s="70">
        <v>1570.0</v>
      </c>
      <c r="J1213" s="70" t="s">
        <v>15056</v>
      </c>
      <c r="K1213" s="70" t="s">
        <v>15057</v>
      </c>
      <c r="L1213" s="70" t="s">
        <v>14660</v>
      </c>
      <c r="P1213" s="76">
        <v>45579.0</v>
      </c>
      <c r="U1213" s="70" t="s">
        <v>239</v>
      </c>
      <c r="W1213" s="70" t="s">
        <v>15060</v>
      </c>
      <c r="X1213" s="70" t="s">
        <v>14664</v>
      </c>
      <c r="Z1213" s="75" t="s">
        <v>15061</v>
      </c>
      <c r="AA1213" s="70" t="s">
        <v>15062</v>
      </c>
      <c r="AE1213" s="70">
        <v>22.0</v>
      </c>
      <c r="AF1213" s="70" t="s">
        <v>239</v>
      </c>
      <c r="AW1213" s="70" t="s">
        <v>15063</v>
      </c>
      <c r="AX1213" s="70">
        <v>0.0</v>
      </c>
      <c r="AY1213" s="70" t="s">
        <v>24</v>
      </c>
      <c r="AZ1213" s="70">
        <v>2705.0</v>
      </c>
    </row>
    <row r="1214" ht="22.5" customHeight="1">
      <c r="A1214" s="70" t="str">
        <f t="shared" si="1"/>
        <v>Excluded</v>
      </c>
      <c r="B1214" s="70">
        <f t="shared" si="2"/>
        <v>0</v>
      </c>
      <c r="C1214" s="70">
        <v>0.0</v>
      </c>
      <c r="D1214" s="70">
        <v>0.0</v>
      </c>
      <c r="E1214" s="70">
        <v>0.0</v>
      </c>
      <c r="F1214" s="70">
        <v>0.0</v>
      </c>
      <c r="G1214" s="70">
        <v>0.0</v>
      </c>
      <c r="H1214" s="70" t="s">
        <v>15826</v>
      </c>
      <c r="I1214" s="70">
        <v>1653.0</v>
      </c>
      <c r="J1214" s="70" t="s">
        <v>15823</v>
      </c>
      <c r="K1214" s="70" t="s">
        <v>15824</v>
      </c>
      <c r="L1214" s="70" t="s">
        <v>15825</v>
      </c>
      <c r="P1214" s="76">
        <v>45705.0</v>
      </c>
      <c r="U1214" s="70" t="s">
        <v>239</v>
      </c>
      <c r="W1214" s="70" t="s">
        <v>15828</v>
      </c>
      <c r="X1214" s="70" t="s">
        <v>15829</v>
      </c>
      <c r="Y1214" s="70" t="s">
        <v>30398</v>
      </c>
      <c r="Z1214" s="75" t="s">
        <v>15830</v>
      </c>
      <c r="AA1214" s="70" t="s">
        <v>15831</v>
      </c>
      <c r="AE1214" s="70">
        <v>36.0</v>
      </c>
      <c r="AF1214" s="70" t="s">
        <v>239</v>
      </c>
      <c r="AW1214" s="70" t="s">
        <v>15832</v>
      </c>
      <c r="AX1214" s="70">
        <v>0.0</v>
      </c>
      <c r="AY1214" s="70" t="s">
        <v>24</v>
      </c>
      <c r="AZ1214" s="70">
        <v>2722.0</v>
      </c>
    </row>
    <row r="1215" ht="22.5" customHeight="1">
      <c r="A1215" s="70" t="str">
        <f t="shared" si="1"/>
        <v>Excluded</v>
      </c>
      <c r="B1215" s="70">
        <f t="shared" si="2"/>
        <v>0</v>
      </c>
      <c r="C1215" s="70">
        <v>0.0</v>
      </c>
      <c r="D1215" s="70">
        <v>0.0</v>
      </c>
      <c r="E1215" s="70">
        <v>0.0</v>
      </c>
      <c r="F1215" s="70">
        <v>0.0</v>
      </c>
      <c r="G1215" s="70">
        <v>0.0</v>
      </c>
      <c r="H1215" s="70" t="s">
        <v>10593</v>
      </c>
      <c r="I1215" s="70">
        <v>1044.0</v>
      </c>
      <c r="K1215" s="70" t="s">
        <v>10592</v>
      </c>
      <c r="L1215" s="70" t="s">
        <v>6725</v>
      </c>
      <c r="N1215" s="70" t="s">
        <v>6726</v>
      </c>
      <c r="P1215" s="77">
        <v>44993.0</v>
      </c>
      <c r="U1215" s="70" t="s">
        <v>239</v>
      </c>
      <c r="X1215" s="70" t="s">
        <v>6730</v>
      </c>
      <c r="Z1215" s="75" t="s">
        <v>10596</v>
      </c>
      <c r="AF1215" s="70" t="s">
        <v>239</v>
      </c>
      <c r="AZ1215" s="70">
        <v>1505.0</v>
      </c>
    </row>
    <row r="1216" ht="22.5" customHeight="1">
      <c r="A1216" s="70" t="str">
        <f t="shared" si="1"/>
        <v>Excluded</v>
      </c>
      <c r="B1216" s="70">
        <f t="shared" si="2"/>
        <v>0</v>
      </c>
      <c r="C1216" s="70">
        <v>0.0</v>
      </c>
      <c r="D1216" s="70">
        <v>0.0</v>
      </c>
      <c r="E1216" s="70">
        <v>0.0</v>
      </c>
      <c r="F1216" s="70">
        <v>0.0</v>
      </c>
      <c r="G1216" s="70">
        <v>0.0</v>
      </c>
      <c r="H1216" s="70" t="s">
        <v>8521</v>
      </c>
      <c r="I1216" s="70">
        <v>827.0</v>
      </c>
      <c r="J1216" s="70" t="s">
        <v>8519</v>
      </c>
      <c r="K1216" s="70" t="s">
        <v>8520</v>
      </c>
      <c r="L1216" s="70" t="s">
        <v>6725</v>
      </c>
      <c r="N1216" s="70" t="s">
        <v>6726</v>
      </c>
      <c r="P1216" s="77">
        <v>44993.0</v>
      </c>
      <c r="U1216" s="70" t="s">
        <v>239</v>
      </c>
      <c r="W1216" s="70" t="s">
        <v>8523</v>
      </c>
      <c r="X1216" s="70" t="s">
        <v>6730</v>
      </c>
      <c r="Z1216" s="75" t="s">
        <v>8524</v>
      </c>
      <c r="AA1216" s="70" t="s">
        <v>8525</v>
      </c>
      <c r="AC1216" s="70">
        <v>1.0</v>
      </c>
      <c r="AE1216" s="70">
        <v>32.0</v>
      </c>
      <c r="AF1216" s="70" t="s">
        <v>239</v>
      </c>
      <c r="AW1216" s="70" t="s">
        <v>8526</v>
      </c>
      <c r="AZ1216" s="70">
        <v>1363.0</v>
      </c>
    </row>
    <row r="1217" ht="22.5" customHeight="1">
      <c r="A1217" s="70" t="str">
        <f t="shared" si="1"/>
        <v>Excluded</v>
      </c>
      <c r="B1217" s="70">
        <f t="shared" si="2"/>
        <v>0</v>
      </c>
      <c r="C1217" s="70">
        <v>0.0</v>
      </c>
      <c r="D1217" s="70">
        <v>0.0</v>
      </c>
      <c r="E1217" s="70">
        <v>0.0</v>
      </c>
      <c r="F1217" s="70">
        <v>0.0</v>
      </c>
      <c r="G1217" s="70">
        <v>0.0</v>
      </c>
      <c r="H1217" s="70" t="s">
        <v>6727</v>
      </c>
      <c r="I1217" s="70">
        <v>640.0</v>
      </c>
      <c r="J1217" s="70" t="s">
        <v>30399</v>
      </c>
      <c r="K1217" s="70" t="s">
        <v>6724</v>
      </c>
      <c r="L1217" s="70" t="s">
        <v>6725</v>
      </c>
      <c r="N1217" s="70" t="s">
        <v>6726</v>
      </c>
      <c r="P1217" s="77">
        <v>44993.0</v>
      </c>
      <c r="U1217" s="70" t="s">
        <v>239</v>
      </c>
      <c r="W1217" s="70" t="s">
        <v>6729</v>
      </c>
      <c r="X1217" s="70" t="s">
        <v>6730</v>
      </c>
      <c r="Z1217" s="75" t="s">
        <v>6731</v>
      </c>
      <c r="AA1217" s="70" t="s">
        <v>6732</v>
      </c>
      <c r="AC1217" s="70">
        <v>5.0</v>
      </c>
      <c r="AE1217" s="70">
        <v>21.0</v>
      </c>
      <c r="AF1217" s="70" t="s">
        <v>239</v>
      </c>
      <c r="AW1217" s="70" t="s">
        <v>6733</v>
      </c>
      <c r="AZ1217" s="70">
        <v>843.0</v>
      </c>
    </row>
    <row r="1218" ht="22.5" customHeight="1">
      <c r="A1218" s="70" t="str">
        <f t="shared" si="1"/>
        <v>Excluded</v>
      </c>
      <c r="B1218" s="70">
        <f t="shared" si="2"/>
        <v>0</v>
      </c>
      <c r="C1218" s="70">
        <v>0.0</v>
      </c>
      <c r="D1218" s="70">
        <v>0.0</v>
      </c>
      <c r="E1218" s="70">
        <v>0.0</v>
      </c>
      <c r="F1218" s="70">
        <v>0.0</v>
      </c>
      <c r="G1218" s="70">
        <v>0.0</v>
      </c>
      <c r="H1218" s="70" t="s">
        <v>8473</v>
      </c>
      <c r="I1218" s="70">
        <v>822.0</v>
      </c>
      <c r="J1218" s="70" t="s">
        <v>8471</v>
      </c>
      <c r="K1218" s="70" t="s">
        <v>8472</v>
      </c>
      <c r="L1218" s="70" t="s">
        <v>6725</v>
      </c>
      <c r="N1218" s="70" t="s">
        <v>6726</v>
      </c>
      <c r="P1218" s="77">
        <v>44993.0</v>
      </c>
      <c r="U1218" s="70" t="s">
        <v>239</v>
      </c>
      <c r="W1218" s="70" t="s">
        <v>8475</v>
      </c>
      <c r="X1218" s="70" t="s">
        <v>6730</v>
      </c>
      <c r="Z1218" s="75" t="s">
        <v>8476</v>
      </c>
      <c r="AA1218" s="70" t="s">
        <v>8477</v>
      </c>
      <c r="AC1218" s="70">
        <v>1.0</v>
      </c>
      <c r="AE1218" s="70">
        <v>23.0</v>
      </c>
      <c r="AF1218" s="70" t="s">
        <v>239</v>
      </c>
      <c r="AW1218" s="70" t="s">
        <v>8478</v>
      </c>
      <c r="AZ1218" s="70">
        <v>1161.0</v>
      </c>
    </row>
    <row r="1219" ht="22.5" customHeight="1">
      <c r="A1219" s="70" t="str">
        <f t="shared" si="1"/>
        <v>Excluded</v>
      </c>
      <c r="B1219" s="70">
        <f t="shared" si="2"/>
        <v>0</v>
      </c>
      <c r="C1219" s="70">
        <v>0.0</v>
      </c>
      <c r="D1219" s="70">
        <v>0.0</v>
      </c>
      <c r="E1219" s="70">
        <v>0.0</v>
      </c>
      <c r="F1219" s="70">
        <v>0.0</v>
      </c>
      <c r="G1219" s="70">
        <v>0.0</v>
      </c>
      <c r="H1219" s="70" t="s">
        <v>10007</v>
      </c>
      <c r="I1219" s="70">
        <v>981.0</v>
      </c>
      <c r="J1219" s="70" t="s">
        <v>10005</v>
      </c>
      <c r="K1219" s="70" t="s">
        <v>10006</v>
      </c>
      <c r="L1219" s="70" t="s">
        <v>6725</v>
      </c>
      <c r="N1219" s="70" t="s">
        <v>6726</v>
      </c>
      <c r="P1219" s="77">
        <v>44993.0</v>
      </c>
      <c r="U1219" s="70" t="s">
        <v>239</v>
      </c>
      <c r="W1219" s="70" t="s">
        <v>30400</v>
      </c>
      <c r="X1219" s="70" t="s">
        <v>6730</v>
      </c>
      <c r="Z1219" s="75" t="s">
        <v>10010</v>
      </c>
      <c r="AA1219" s="70" t="s">
        <v>10011</v>
      </c>
      <c r="AE1219" s="70">
        <v>24.0</v>
      </c>
      <c r="AF1219" s="70" t="s">
        <v>239</v>
      </c>
      <c r="AW1219" s="70" t="s">
        <v>10012</v>
      </c>
      <c r="AZ1219" s="70">
        <v>798.0</v>
      </c>
    </row>
    <row r="1220" ht="22.5" customHeight="1">
      <c r="A1220" s="70" t="str">
        <f t="shared" si="1"/>
        <v>Excluded</v>
      </c>
      <c r="B1220" s="70">
        <f t="shared" si="2"/>
        <v>0</v>
      </c>
      <c r="C1220" s="70">
        <v>0.0</v>
      </c>
      <c r="D1220" s="70">
        <v>0.0</v>
      </c>
      <c r="E1220" s="70">
        <v>0.0</v>
      </c>
      <c r="F1220" s="70">
        <v>0.0</v>
      </c>
      <c r="G1220" s="70">
        <v>0.0</v>
      </c>
      <c r="H1220" s="70" t="s">
        <v>8345</v>
      </c>
      <c r="I1220" s="70">
        <v>808.0</v>
      </c>
      <c r="J1220" s="70" t="s">
        <v>8343</v>
      </c>
      <c r="K1220" s="70" t="s">
        <v>8344</v>
      </c>
      <c r="L1220" s="70" t="s">
        <v>6725</v>
      </c>
      <c r="N1220" s="70" t="s">
        <v>6726</v>
      </c>
      <c r="P1220" s="77">
        <v>44993.0</v>
      </c>
      <c r="U1220" s="70" t="s">
        <v>239</v>
      </c>
      <c r="W1220" s="70" t="s">
        <v>8347</v>
      </c>
      <c r="X1220" s="70" t="s">
        <v>6730</v>
      </c>
      <c r="Z1220" s="75" t="s">
        <v>8348</v>
      </c>
      <c r="AA1220" s="70" t="s">
        <v>8349</v>
      </c>
      <c r="AC1220" s="70">
        <v>2.0</v>
      </c>
      <c r="AE1220" s="70">
        <v>56.0</v>
      </c>
      <c r="AF1220" s="70" t="s">
        <v>239</v>
      </c>
      <c r="AW1220" s="70" t="s">
        <v>8350</v>
      </c>
      <c r="AZ1220" s="70">
        <v>678.0</v>
      </c>
    </row>
    <row r="1221" ht="22.5" customHeight="1">
      <c r="A1221" s="70" t="str">
        <f t="shared" si="1"/>
        <v>Excluded</v>
      </c>
      <c r="B1221" s="70">
        <f t="shared" si="2"/>
        <v>0</v>
      </c>
      <c r="C1221" s="70">
        <v>0.0</v>
      </c>
      <c r="D1221" s="70">
        <v>0.0</v>
      </c>
      <c r="E1221" s="70">
        <v>0.0</v>
      </c>
      <c r="F1221" s="70">
        <v>0.0</v>
      </c>
      <c r="G1221" s="70">
        <v>0.0</v>
      </c>
      <c r="H1221" s="70" t="s">
        <v>9454</v>
      </c>
      <c r="I1221" s="70">
        <v>923.0</v>
      </c>
      <c r="J1221" s="70" t="s">
        <v>9452</v>
      </c>
      <c r="K1221" s="70" t="s">
        <v>9453</v>
      </c>
      <c r="L1221" s="70" t="s">
        <v>6725</v>
      </c>
      <c r="N1221" s="70" t="s">
        <v>6726</v>
      </c>
      <c r="P1221" s="77">
        <v>44993.0</v>
      </c>
      <c r="U1221" s="70" t="s">
        <v>239</v>
      </c>
      <c r="W1221" s="70" t="s">
        <v>9456</v>
      </c>
      <c r="X1221" s="70" t="s">
        <v>6730</v>
      </c>
      <c r="Z1221" s="75" t="s">
        <v>9457</v>
      </c>
      <c r="AA1221" s="70" t="s">
        <v>9458</v>
      </c>
      <c r="AE1221" s="70">
        <v>53.0</v>
      </c>
      <c r="AF1221" s="70" t="s">
        <v>239</v>
      </c>
      <c r="AW1221" s="70" t="s">
        <v>9459</v>
      </c>
      <c r="AZ1221" s="70">
        <v>360.0</v>
      </c>
    </row>
    <row r="1222" ht="22.5" customHeight="1">
      <c r="A1222" s="70" t="str">
        <f t="shared" si="1"/>
        <v>Excluded</v>
      </c>
      <c r="B1222" s="70">
        <f t="shared" si="2"/>
        <v>0</v>
      </c>
      <c r="C1222" s="70">
        <v>0.0</v>
      </c>
      <c r="D1222" s="70">
        <v>0.0</v>
      </c>
      <c r="E1222" s="70">
        <v>0.0</v>
      </c>
      <c r="F1222" s="70">
        <v>0.0</v>
      </c>
      <c r="G1222" s="70">
        <v>0.0</v>
      </c>
      <c r="H1222" s="70" t="s">
        <v>10419</v>
      </c>
      <c r="I1222" s="70">
        <v>1024.0</v>
      </c>
      <c r="J1222" s="70" t="s">
        <v>10417</v>
      </c>
      <c r="K1222" s="70" t="s">
        <v>10418</v>
      </c>
      <c r="L1222" s="70" t="s">
        <v>6725</v>
      </c>
      <c r="N1222" s="70" t="s">
        <v>6726</v>
      </c>
      <c r="P1222" s="77">
        <v>44993.0</v>
      </c>
      <c r="U1222" s="70" t="s">
        <v>239</v>
      </c>
      <c r="W1222" s="70" t="s">
        <v>30401</v>
      </c>
      <c r="X1222" s="70" t="s">
        <v>6730</v>
      </c>
      <c r="Z1222" s="75" t="s">
        <v>10422</v>
      </c>
      <c r="AA1222" s="70" t="s">
        <v>10423</v>
      </c>
      <c r="AE1222" s="70">
        <v>27.0</v>
      </c>
      <c r="AF1222" s="70" t="s">
        <v>239</v>
      </c>
      <c r="AW1222" s="70" t="s">
        <v>10424</v>
      </c>
      <c r="AZ1222" s="70">
        <v>642.0</v>
      </c>
    </row>
    <row r="1223" ht="22.5" customHeight="1">
      <c r="A1223" s="70" t="str">
        <f t="shared" si="1"/>
        <v>Excluded</v>
      </c>
      <c r="B1223" s="70">
        <f t="shared" si="2"/>
        <v>0</v>
      </c>
      <c r="C1223" s="70">
        <v>0.0</v>
      </c>
      <c r="D1223" s="70">
        <v>0.0</v>
      </c>
      <c r="E1223" s="70">
        <v>0.0</v>
      </c>
      <c r="F1223" s="70">
        <v>0.0</v>
      </c>
      <c r="G1223" s="70">
        <v>0.0</v>
      </c>
      <c r="H1223" s="70" t="s">
        <v>8600</v>
      </c>
      <c r="I1223" s="70">
        <v>835.0</v>
      </c>
      <c r="J1223" s="70" t="s">
        <v>30402</v>
      </c>
      <c r="K1223" s="70" t="s">
        <v>8599</v>
      </c>
      <c r="L1223" s="70" t="s">
        <v>6725</v>
      </c>
      <c r="N1223" s="70" t="s">
        <v>6726</v>
      </c>
      <c r="P1223" s="77">
        <v>44993.0</v>
      </c>
      <c r="U1223" s="70" t="s">
        <v>239</v>
      </c>
      <c r="W1223" s="70" t="s">
        <v>30403</v>
      </c>
      <c r="X1223" s="70" t="s">
        <v>6730</v>
      </c>
      <c r="Z1223" s="75" t="s">
        <v>8603</v>
      </c>
      <c r="AA1223" s="70" t="s">
        <v>8604</v>
      </c>
      <c r="AC1223" s="70">
        <v>1.0</v>
      </c>
      <c r="AE1223" s="70">
        <v>47.0</v>
      </c>
      <c r="AF1223" s="70" t="s">
        <v>239</v>
      </c>
      <c r="AW1223" s="70" t="s">
        <v>8605</v>
      </c>
      <c r="AZ1223" s="70">
        <v>482.0</v>
      </c>
    </row>
    <row r="1224" ht="22.5" customHeight="1">
      <c r="A1224" s="70" t="str">
        <f t="shared" si="1"/>
        <v>Excluded</v>
      </c>
      <c r="B1224" s="70">
        <f t="shared" si="2"/>
        <v>0</v>
      </c>
      <c r="C1224" s="70">
        <v>0.0</v>
      </c>
      <c r="D1224" s="70">
        <v>0.0</v>
      </c>
      <c r="E1224" s="70">
        <v>0.0</v>
      </c>
      <c r="F1224" s="70">
        <v>0.0</v>
      </c>
      <c r="G1224" s="70">
        <v>0.0</v>
      </c>
      <c r="H1224" s="70" t="s">
        <v>13991</v>
      </c>
      <c r="I1224" s="70">
        <v>1457.0</v>
      </c>
      <c r="J1224" s="70" t="s">
        <v>13990</v>
      </c>
      <c r="K1224" s="70" t="s">
        <v>10006</v>
      </c>
      <c r="L1224" s="70" t="s">
        <v>11864</v>
      </c>
      <c r="N1224" s="70" t="s">
        <v>6726</v>
      </c>
      <c r="P1224" s="78">
        <v>45425.0</v>
      </c>
      <c r="U1224" s="70" t="s">
        <v>239</v>
      </c>
      <c r="W1224" s="70" t="s">
        <v>13993</v>
      </c>
      <c r="X1224" s="70" t="s">
        <v>11868</v>
      </c>
      <c r="Z1224" s="75" t="s">
        <v>13994</v>
      </c>
      <c r="AA1224" s="70" t="s">
        <v>13995</v>
      </c>
      <c r="AE1224" s="70">
        <v>36.0</v>
      </c>
      <c r="AF1224" s="70" t="s">
        <v>239</v>
      </c>
      <c r="AW1224" s="70" t="s">
        <v>13996</v>
      </c>
      <c r="AZ1224" s="70">
        <v>1124.0</v>
      </c>
    </row>
    <row r="1225" ht="22.5" customHeight="1">
      <c r="A1225" s="70" t="str">
        <f t="shared" si="1"/>
        <v>Excluded</v>
      </c>
      <c r="B1225" s="70">
        <f t="shared" si="2"/>
        <v>0</v>
      </c>
      <c r="C1225" s="70">
        <v>0.0</v>
      </c>
      <c r="D1225" s="70">
        <v>0.0</v>
      </c>
      <c r="E1225" s="70">
        <v>0.0</v>
      </c>
      <c r="F1225" s="70">
        <v>0.0</v>
      </c>
      <c r="G1225" s="70">
        <v>0.0</v>
      </c>
      <c r="H1225" s="70" t="s">
        <v>13152</v>
      </c>
      <c r="I1225" s="70">
        <v>1371.0</v>
      </c>
      <c r="J1225" s="70" t="s">
        <v>13150</v>
      </c>
      <c r="K1225" s="70" t="s">
        <v>13151</v>
      </c>
      <c r="L1225" s="70" t="s">
        <v>11864</v>
      </c>
      <c r="N1225" s="70" t="s">
        <v>6726</v>
      </c>
      <c r="P1225" s="78">
        <v>45425.0</v>
      </c>
      <c r="U1225" s="70" t="s">
        <v>239</v>
      </c>
      <c r="W1225" s="70" t="s">
        <v>13154</v>
      </c>
      <c r="X1225" s="70" t="s">
        <v>11868</v>
      </c>
      <c r="Z1225" s="75" t="s">
        <v>13155</v>
      </c>
      <c r="AA1225" s="70" t="s">
        <v>13156</v>
      </c>
      <c r="AE1225" s="70">
        <v>25.0</v>
      </c>
      <c r="AF1225" s="70" t="s">
        <v>239</v>
      </c>
      <c r="AW1225" s="70" t="s">
        <v>13157</v>
      </c>
      <c r="AZ1225" s="70">
        <v>1383.0</v>
      </c>
    </row>
    <row r="1226" ht="22.5" customHeight="1">
      <c r="A1226" s="70" t="str">
        <f t="shared" si="1"/>
        <v>Excluded</v>
      </c>
      <c r="B1226" s="70">
        <f t="shared" si="2"/>
        <v>0</v>
      </c>
      <c r="C1226" s="70">
        <v>0.0</v>
      </c>
      <c r="D1226" s="70">
        <v>0.0</v>
      </c>
      <c r="E1226" s="70">
        <v>0.0</v>
      </c>
      <c r="F1226" s="70">
        <v>0.0</v>
      </c>
      <c r="G1226" s="70">
        <v>0.0</v>
      </c>
      <c r="H1226" s="70" t="s">
        <v>13503</v>
      </c>
      <c r="I1226" s="70">
        <v>1406.0</v>
      </c>
      <c r="J1226" s="70" t="s">
        <v>30404</v>
      </c>
      <c r="K1226" s="70" t="s">
        <v>13502</v>
      </c>
      <c r="L1226" s="70" t="s">
        <v>11864</v>
      </c>
      <c r="N1226" s="70" t="s">
        <v>6726</v>
      </c>
      <c r="P1226" s="78">
        <v>45425.0</v>
      </c>
      <c r="U1226" s="70" t="s">
        <v>239</v>
      </c>
      <c r="W1226" s="70" t="s">
        <v>30405</v>
      </c>
      <c r="X1226" s="70" t="s">
        <v>11868</v>
      </c>
      <c r="Z1226" s="75" t="s">
        <v>13506</v>
      </c>
      <c r="AA1226" s="70" t="s">
        <v>13507</v>
      </c>
      <c r="AE1226" s="70">
        <v>75.0</v>
      </c>
      <c r="AF1226" s="70" t="s">
        <v>239</v>
      </c>
      <c r="AW1226" s="70" t="s">
        <v>13508</v>
      </c>
      <c r="AZ1226" s="70">
        <v>603.0</v>
      </c>
    </row>
    <row r="1227" ht="22.5" customHeight="1">
      <c r="A1227" s="70" t="str">
        <f t="shared" si="1"/>
        <v>Excluded</v>
      </c>
      <c r="B1227" s="70">
        <f t="shared" si="2"/>
        <v>0</v>
      </c>
      <c r="C1227" s="70">
        <v>0.0</v>
      </c>
      <c r="D1227" s="70">
        <v>0.0</v>
      </c>
      <c r="E1227" s="70">
        <v>0.0</v>
      </c>
      <c r="F1227" s="70">
        <v>0.0</v>
      </c>
      <c r="G1227" s="70">
        <v>0.0</v>
      </c>
      <c r="H1227" s="70" t="s">
        <v>15475</v>
      </c>
      <c r="I1227" s="70">
        <v>1615.0</v>
      </c>
      <c r="J1227" s="70" t="s">
        <v>15474</v>
      </c>
      <c r="K1227" s="70" t="s">
        <v>9453</v>
      </c>
      <c r="L1227" s="70" t="s">
        <v>11864</v>
      </c>
      <c r="N1227" s="70" t="s">
        <v>6726</v>
      </c>
      <c r="P1227" s="78">
        <v>45425.0</v>
      </c>
      <c r="U1227" s="70" t="s">
        <v>239</v>
      </c>
      <c r="W1227" s="70" t="s">
        <v>15477</v>
      </c>
      <c r="X1227" s="70" t="s">
        <v>11868</v>
      </c>
      <c r="Z1227" s="75" t="s">
        <v>15478</v>
      </c>
      <c r="AA1227" s="70" t="s">
        <v>9458</v>
      </c>
      <c r="AE1227" s="70">
        <v>65.0</v>
      </c>
      <c r="AF1227" s="70" t="s">
        <v>239</v>
      </c>
      <c r="AW1227" s="70" t="s">
        <v>15479</v>
      </c>
      <c r="AX1227" s="70">
        <v>0.0</v>
      </c>
      <c r="AY1227" s="70" t="s">
        <v>24</v>
      </c>
      <c r="AZ1227" s="70">
        <v>2827.0</v>
      </c>
    </row>
    <row r="1228" ht="22.5" customHeight="1">
      <c r="A1228" s="70" t="str">
        <f t="shared" si="1"/>
        <v>Excluded</v>
      </c>
      <c r="B1228" s="70">
        <f t="shared" si="2"/>
        <v>0</v>
      </c>
      <c r="C1228" s="70">
        <v>0.0</v>
      </c>
      <c r="D1228" s="70">
        <v>0.0</v>
      </c>
      <c r="E1228" s="70">
        <v>0.0</v>
      </c>
      <c r="F1228" s="70">
        <v>0.0</v>
      </c>
      <c r="G1228" s="70">
        <v>0.0</v>
      </c>
      <c r="H1228" s="70" t="s">
        <v>13420</v>
      </c>
      <c r="I1228" s="70">
        <v>1398.0</v>
      </c>
      <c r="K1228" s="70" t="s">
        <v>13419</v>
      </c>
      <c r="L1228" s="70" t="s">
        <v>11864</v>
      </c>
      <c r="N1228" s="70" t="s">
        <v>6726</v>
      </c>
      <c r="P1228" s="78">
        <v>45425.0</v>
      </c>
      <c r="U1228" s="70" t="s">
        <v>239</v>
      </c>
      <c r="W1228" s="70" t="s">
        <v>13421</v>
      </c>
      <c r="X1228" s="70" t="s">
        <v>11868</v>
      </c>
      <c r="Z1228" s="75" t="s">
        <v>13422</v>
      </c>
      <c r="AE1228" s="70">
        <v>0.0</v>
      </c>
      <c r="AF1228" s="70" t="s">
        <v>239</v>
      </c>
      <c r="AW1228" s="70" t="s">
        <v>13423</v>
      </c>
      <c r="AZ1228" s="70">
        <v>1061.0</v>
      </c>
    </row>
    <row r="1229" ht="22.5" customHeight="1">
      <c r="A1229" s="70" t="str">
        <f t="shared" si="1"/>
        <v>Excluded</v>
      </c>
      <c r="B1229" s="70">
        <f t="shared" si="2"/>
        <v>0</v>
      </c>
      <c r="C1229" s="70">
        <v>0.0</v>
      </c>
      <c r="D1229" s="70">
        <v>0.0</v>
      </c>
      <c r="E1229" s="70">
        <v>0.0</v>
      </c>
      <c r="F1229" s="70">
        <v>0.0</v>
      </c>
      <c r="G1229" s="70">
        <v>0.0</v>
      </c>
      <c r="H1229" s="70" t="s">
        <v>14208</v>
      </c>
      <c r="I1229" s="70">
        <v>1481.0</v>
      </c>
      <c r="J1229" s="70" t="s">
        <v>14207</v>
      </c>
      <c r="K1229" s="70" t="s">
        <v>8344</v>
      </c>
      <c r="L1229" s="70" t="s">
        <v>11864</v>
      </c>
      <c r="N1229" s="70" t="s">
        <v>6726</v>
      </c>
      <c r="P1229" s="78">
        <v>45425.0</v>
      </c>
      <c r="U1229" s="70" t="s">
        <v>239</v>
      </c>
      <c r="W1229" s="70" t="s">
        <v>14210</v>
      </c>
      <c r="X1229" s="70" t="s">
        <v>11868</v>
      </c>
      <c r="Z1229" s="75" t="s">
        <v>14211</v>
      </c>
      <c r="AA1229" s="70" t="s">
        <v>8349</v>
      </c>
      <c r="AE1229" s="70">
        <v>56.0</v>
      </c>
      <c r="AF1229" s="70" t="s">
        <v>239</v>
      </c>
      <c r="AW1229" s="70" t="s">
        <v>14212</v>
      </c>
      <c r="AZ1229" s="70">
        <v>609.0</v>
      </c>
    </row>
    <row r="1230" ht="22.5" customHeight="1">
      <c r="A1230" s="70" t="str">
        <f t="shared" si="1"/>
        <v>Excluded</v>
      </c>
      <c r="B1230" s="70">
        <f t="shared" si="2"/>
        <v>0</v>
      </c>
      <c r="C1230" s="70">
        <v>0.0</v>
      </c>
      <c r="D1230" s="70">
        <v>0.0</v>
      </c>
      <c r="E1230" s="70">
        <v>0.0</v>
      </c>
      <c r="F1230" s="70">
        <v>0.0</v>
      </c>
      <c r="G1230" s="70">
        <v>0.0</v>
      </c>
      <c r="H1230" s="70" t="s">
        <v>11865</v>
      </c>
      <c r="I1230" s="70">
        <v>1241.0</v>
      </c>
      <c r="J1230" s="70" t="s">
        <v>11862</v>
      </c>
      <c r="K1230" s="70" t="s">
        <v>11863</v>
      </c>
      <c r="L1230" s="70" t="s">
        <v>11864</v>
      </c>
      <c r="N1230" s="70" t="s">
        <v>6726</v>
      </c>
      <c r="P1230" s="78">
        <v>45425.0</v>
      </c>
      <c r="U1230" s="70" t="s">
        <v>239</v>
      </c>
      <c r="W1230" s="70" t="s">
        <v>11867</v>
      </c>
      <c r="X1230" s="70" t="s">
        <v>11868</v>
      </c>
      <c r="Z1230" s="75" t="s">
        <v>11869</v>
      </c>
      <c r="AC1230" s="70">
        <v>1.0</v>
      </c>
      <c r="AE1230" s="70">
        <v>48.0</v>
      </c>
      <c r="AF1230" s="70" t="s">
        <v>239</v>
      </c>
      <c r="AW1230" s="70" t="s">
        <v>11870</v>
      </c>
      <c r="AX1230" s="70">
        <v>0.0</v>
      </c>
      <c r="AY1230" s="70" t="s">
        <v>24</v>
      </c>
      <c r="AZ1230" s="70">
        <v>2775.0</v>
      </c>
    </row>
    <row r="1231" ht="22.5" customHeight="1">
      <c r="A1231" s="70" t="str">
        <f t="shared" si="1"/>
        <v>Excluded</v>
      </c>
      <c r="B1231" s="70">
        <f t="shared" si="2"/>
        <v>0</v>
      </c>
      <c r="C1231" s="70">
        <v>0.0</v>
      </c>
      <c r="D1231" s="70">
        <v>0.0</v>
      </c>
      <c r="E1231" s="70">
        <v>0.0</v>
      </c>
      <c r="F1231" s="70">
        <v>0.0</v>
      </c>
      <c r="G1231" s="70">
        <v>0.0</v>
      </c>
      <c r="H1231" s="70" t="s">
        <v>5305</v>
      </c>
      <c r="I1231" s="70">
        <v>496.0</v>
      </c>
      <c r="J1231" s="70" t="s">
        <v>5302</v>
      </c>
      <c r="K1231" s="70" t="s">
        <v>5303</v>
      </c>
      <c r="L1231" s="70" t="s">
        <v>5304</v>
      </c>
      <c r="P1231" s="78">
        <v>43251.0</v>
      </c>
      <c r="U1231" s="70" t="s">
        <v>239</v>
      </c>
      <c r="W1231" s="70" t="s">
        <v>30406</v>
      </c>
      <c r="X1231" s="70" t="s">
        <v>5308</v>
      </c>
      <c r="Z1231" s="75" t="s">
        <v>5309</v>
      </c>
      <c r="AC1231" s="70">
        <v>14.0</v>
      </c>
      <c r="AE1231" s="70">
        <v>27.0</v>
      </c>
      <c r="AF1231" s="70" t="s">
        <v>239</v>
      </c>
      <c r="AW1231" s="70" t="s">
        <v>5310</v>
      </c>
      <c r="AX1231" s="70">
        <v>0.0</v>
      </c>
      <c r="AY1231" s="70" t="s">
        <v>24</v>
      </c>
      <c r="AZ1231" s="70">
        <v>2967.0</v>
      </c>
    </row>
    <row r="1232" ht="22.5" customHeight="1">
      <c r="A1232" s="70" t="str">
        <f t="shared" si="1"/>
        <v>Excluded</v>
      </c>
      <c r="B1232" s="70">
        <f t="shared" si="2"/>
        <v>0</v>
      </c>
      <c r="C1232" s="70">
        <v>0.0</v>
      </c>
      <c r="D1232" s="70">
        <v>0.0</v>
      </c>
      <c r="E1232" s="70">
        <v>0.0</v>
      </c>
      <c r="F1232" s="70">
        <v>0.0</v>
      </c>
      <c r="G1232" s="70">
        <v>0.0</v>
      </c>
      <c r="H1232" s="70" t="s">
        <v>4591</v>
      </c>
      <c r="I1232" s="70">
        <v>425.0</v>
      </c>
      <c r="J1232" s="70" t="s">
        <v>4588</v>
      </c>
      <c r="K1232" s="70" t="s">
        <v>4589</v>
      </c>
      <c r="L1232" s="70" t="s">
        <v>4590</v>
      </c>
      <c r="P1232" s="76">
        <v>42303.0</v>
      </c>
      <c r="U1232" s="70" t="s">
        <v>239</v>
      </c>
      <c r="W1232" s="70" t="s">
        <v>4593</v>
      </c>
      <c r="X1232" s="70" t="s">
        <v>4594</v>
      </c>
      <c r="Z1232" s="75" t="s">
        <v>4595</v>
      </c>
      <c r="AC1232" s="70">
        <v>161.0</v>
      </c>
      <c r="AE1232" s="70">
        <v>27.0</v>
      </c>
      <c r="AF1232" s="70" t="s">
        <v>239</v>
      </c>
      <c r="AW1232" s="70" t="s">
        <v>4596</v>
      </c>
      <c r="AX1232" s="70">
        <v>0.0</v>
      </c>
      <c r="AY1232" s="70" t="s">
        <v>24</v>
      </c>
      <c r="AZ1232" s="70">
        <v>1999.0</v>
      </c>
    </row>
    <row r="1233" ht="22.5" customHeight="1">
      <c r="A1233" s="70" t="str">
        <f t="shared" si="1"/>
        <v>Excluded</v>
      </c>
      <c r="B1233" s="70">
        <f t="shared" si="2"/>
        <v>0</v>
      </c>
      <c r="C1233" s="70">
        <v>0.0</v>
      </c>
      <c r="D1233" s="70">
        <v>0.0</v>
      </c>
      <c r="E1233" s="70">
        <v>0.0</v>
      </c>
      <c r="F1233" s="70">
        <v>0.0</v>
      </c>
      <c r="G1233" s="70">
        <v>0.0</v>
      </c>
      <c r="H1233" s="70" t="s">
        <v>6308</v>
      </c>
      <c r="I1233" s="70">
        <v>598.0</v>
      </c>
      <c r="J1233" s="70" t="s">
        <v>6305</v>
      </c>
      <c r="K1233" s="70" t="s">
        <v>6306</v>
      </c>
      <c r="L1233" s="70" t="s">
        <v>6307</v>
      </c>
      <c r="P1233" s="76">
        <v>43354.0</v>
      </c>
      <c r="U1233" s="70" t="s">
        <v>239</v>
      </c>
      <c r="W1233" s="70" t="s">
        <v>6310</v>
      </c>
      <c r="X1233" s="70" t="s">
        <v>6311</v>
      </c>
      <c r="Z1233" s="75" t="s">
        <v>6312</v>
      </c>
      <c r="AA1233" s="70" t="s">
        <v>6313</v>
      </c>
      <c r="AC1233" s="70">
        <v>7.0</v>
      </c>
      <c r="AE1233" s="70">
        <v>13.0</v>
      </c>
      <c r="AF1233" s="70" t="s">
        <v>239</v>
      </c>
      <c r="AW1233" s="70" t="s">
        <v>6314</v>
      </c>
      <c r="AZ1233" s="70">
        <v>456.0</v>
      </c>
    </row>
    <row r="1234" ht="22.5" customHeight="1">
      <c r="A1234" s="70" t="str">
        <f t="shared" si="1"/>
        <v>Excluded</v>
      </c>
      <c r="B1234" s="70">
        <f t="shared" si="2"/>
        <v>0</v>
      </c>
      <c r="C1234" s="70">
        <v>0.0</v>
      </c>
      <c r="D1234" s="70">
        <v>0.0</v>
      </c>
      <c r="E1234" s="70">
        <v>0.0</v>
      </c>
      <c r="F1234" s="70">
        <v>0.0</v>
      </c>
      <c r="G1234" s="70">
        <v>0.0</v>
      </c>
      <c r="H1234" s="70" t="s">
        <v>10436</v>
      </c>
      <c r="I1234" s="70">
        <v>1026.0</v>
      </c>
      <c r="J1234" s="70" t="s">
        <v>10434</v>
      </c>
      <c r="K1234" s="70" t="s">
        <v>10435</v>
      </c>
      <c r="L1234" s="70" t="s">
        <v>6307</v>
      </c>
      <c r="P1234" s="76">
        <v>43354.0</v>
      </c>
      <c r="U1234" s="70" t="s">
        <v>239</v>
      </c>
      <c r="W1234" s="70" t="s">
        <v>10438</v>
      </c>
      <c r="X1234" s="70" t="s">
        <v>6311</v>
      </c>
      <c r="Z1234" s="75" t="s">
        <v>10439</v>
      </c>
      <c r="AA1234" s="70" t="s">
        <v>10440</v>
      </c>
      <c r="AE1234" s="70">
        <v>37.0</v>
      </c>
      <c r="AF1234" s="70" t="s">
        <v>239</v>
      </c>
      <c r="AW1234" s="70" t="s">
        <v>10441</v>
      </c>
      <c r="AZ1234" s="70">
        <v>564.0</v>
      </c>
    </row>
    <row r="1235" ht="22.5" customHeight="1">
      <c r="A1235" s="70" t="str">
        <f t="shared" si="1"/>
        <v>Excluded</v>
      </c>
      <c r="B1235" s="70">
        <f t="shared" si="2"/>
        <v>0</v>
      </c>
      <c r="C1235" s="70">
        <v>0.0</v>
      </c>
      <c r="D1235" s="70">
        <v>0.0</v>
      </c>
      <c r="E1235" s="70">
        <v>0.0</v>
      </c>
      <c r="F1235" s="70">
        <v>0.0</v>
      </c>
      <c r="G1235" s="70">
        <v>0.0</v>
      </c>
      <c r="H1235" s="70" t="s">
        <v>9811</v>
      </c>
      <c r="I1235" s="70">
        <v>961.0</v>
      </c>
      <c r="J1235" s="70" t="s">
        <v>9809</v>
      </c>
      <c r="K1235" s="70" t="s">
        <v>9810</v>
      </c>
      <c r="L1235" s="70" t="s">
        <v>6307</v>
      </c>
      <c r="P1235" s="76">
        <v>43354.0</v>
      </c>
      <c r="U1235" s="70" t="s">
        <v>239</v>
      </c>
      <c r="W1235" s="70" t="s">
        <v>9813</v>
      </c>
      <c r="X1235" s="70" t="s">
        <v>6311</v>
      </c>
      <c r="Z1235" s="75" t="s">
        <v>9814</v>
      </c>
      <c r="AA1235" s="70" t="s">
        <v>9815</v>
      </c>
      <c r="AE1235" s="70">
        <v>16.0</v>
      </c>
      <c r="AF1235" s="70" t="s">
        <v>239</v>
      </c>
      <c r="AW1235" s="70" t="s">
        <v>9816</v>
      </c>
      <c r="AZ1235" s="70">
        <v>405.0</v>
      </c>
    </row>
    <row r="1236" ht="22.5" customHeight="1">
      <c r="A1236" s="70" t="str">
        <f t="shared" si="1"/>
        <v>Excluded</v>
      </c>
      <c r="B1236" s="70">
        <f t="shared" si="2"/>
        <v>0</v>
      </c>
      <c r="C1236" s="70">
        <v>0.0</v>
      </c>
      <c r="D1236" s="70">
        <v>0.0</v>
      </c>
      <c r="E1236" s="70">
        <v>0.0</v>
      </c>
      <c r="F1236" s="70">
        <v>0.0</v>
      </c>
      <c r="G1236" s="70">
        <v>0.0</v>
      </c>
      <c r="H1236" s="70" t="s">
        <v>10791</v>
      </c>
      <c r="I1236" s="70">
        <v>1090.0</v>
      </c>
      <c r="K1236" s="70" t="s">
        <v>10618</v>
      </c>
      <c r="L1236" s="70" t="s">
        <v>10790</v>
      </c>
      <c r="P1236" s="76">
        <v>43860.0</v>
      </c>
      <c r="U1236" s="70" t="s">
        <v>239</v>
      </c>
      <c r="W1236" s="70" t="s">
        <v>10602</v>
      </c>
      <c r="X1236" s="70" t="s">
        <v>10792</v>
      </c>
      <c r="Z1236" s="75" t="s">
        <v>10793</v>
      </c>
      <c r="AF1236" s="70" t="s">
        <v>239</v>
      </c>
      <c r="AZ1236" s="70">
        <v>1605.0</v>
      </c>
    </row>
    <row r="1237" ht="22.5" customHeight="1">
      <c r="A1237" s="70" t="str">
        <f t="shared" si="1"/>
        <v>Excluded</v>
      </c>
      <c r="B1237" s="70">
        <f t="shared" si="2"/>
        <v>0</v>
      </c>
      <c r="C1237" s="70">
        <v>0.0</v>
      </c>
      <c r="D1237" s="70">
        <v>0.0</v>
      </c>
      <c r="E1237" s="70">
        <v>0.0</v>
      </c>
      <c r="F1237" s="70">
        <v>0.0</v>
      </c>
      <c r="G1237" s="70">
        <v>0.0</v>
      </c>
      <c r="H1237" s="70" t="s">
        <v>15843</v>
      </c>
      <c r="I1237" s="70">
        <v>1656.0</v>
      </c>
      <c r="K1237" s="70" t="s">
        <v>15842</v>
      </c>
      <c r="L1237" s="70" t="s">
        <v>15521</v>
      </c>
      <c r="P1237" s="76">
        <v>45320.0</v>
      </c>
      <c r="U1237" s="70" t="s">
        <v>239</v>
      </c>
      <c r="X1237" s="70" t="s">
        <v>15525</v>
      </c>
      <c r="Z1237" s="75" t="s">
        <v>15844</v>
      </c>
      <c r="AF1237" s="70" t="s">
        <v>239</v>
      </c>
      <c r="AZ1237" s="70">
        <v>1493.0</v>
      </c>
    </row>
    <row r="1238" ht="22.5" customHeight="1">
      <c r="A1238" s="70" t="str">
        <f t="shared" si="1"/>
        <v>Excluded</v>
      </c>
      <c r="B1238" s="70">
        <f t="shared" si="2"/>
        <v>0</v>
      </c>
      <c r="C1238" s="70">
        <v>0.0</v>
      </c>
      <c r="D1238" s="70">
        <v>0.0</v>
      </c>
      <c r="E1238" s="70">
        <v>0.0</v>
      </c>
      <c r="F1238" s="70">
        <v>0.0</v>
      </c>
      <c r="G1238" s="70">
        <v>0.0</v>
      </c>
      <c r="H1238" s="70" t="s">
        <v>15522</v>
      </c>
      <c r="I1238" s="70">
        <v>1620.0</v>
      </c>
      <c r="J1238" s="70" t="s">
        <v>15519</v>
      </c>
      <c r="K1238" s="70" t="s">
        <v>15520</v>
      </c>
      <c r="L1238" s="70" t="s">
        <v>15521</v>
      </c>
      <c r="P1238" s="76">
        <v>45320.0</v>
      </c>
      <c r="U1238" s="70" t="s">
        <v>239</v>
      </c>
      <c r="W1238" s="70" t="s">
        <v>15524</v>
      </c>
      <c r="X1238" s="70" t="s">
        <v>15525</v>
      </c>
      <c r="Z1238" s="75" t="s">
        <v>15526</v>
      </c>
      <c r="AA1238" s="70" t="s">
        <v>15527</v>
      </c>
      <c r="AE1238" s="70">
        <v>19.0</v>
      </c>
      <c r="AF1238" s="70" t="s">
        <v>239</v>
      </c>
      <c r="AW1238" s="70" t="s">
        <v>15528</v>
      </c>
      <c r="AZ1238" s="70">
        <v>428.0</v>
      </c>
    </row>
    <row r="1239" ht="22.5" customHeight="1">
      <c r="A1239" s="70" t="str">
        <f t="shared" si="1"/>
        <v>Excluded</v>
      </c>
      <c r="B1239" s="70">
        <f t="shared" si="2"/>
        <v>0</v>
      </c>
      <c r="C1239" s="70">
        <v>0.0</v>
      </c>
      <c r="D1239" s="70">
        <v>0.0</v>
      </c>
      <c r="E1239" s="70">
        <v>0.0</v>
      </c>
      <c r="F1239" s="70">
        <v>0.0</v>
      </c>
      <c r="G1239" s="70">
        <v>0.0</v>
      </c>
      <c r="H1239" s="70" t="s">
        <v>12382</v>
      </c>
      <c r="I1239" s="70">
        <v>1293.0</v>
      </c>
      <c r="J1239" s="70" t="s">
        <v>12379</v>
      </c>
      <c r="K1239" s="70" t="s">
        <v>12380</v>
      </c>
      <c r="L1239" s="70" t="s">
        <v>12381</v>
      </c>
      <c r="P1239" s="76">
        <v>45306.0</v>
      </c>
      <c r="U1239" s="70" t="s">
        <v>239</v>
      </c>
      <c r="W1239" s="70" t="s">
        <v>30407</v>
      </c>
      <c r="X1239" s="70" t="s">
        <v>12385</v>
      </c>
      <c r="Z1239" s="75" t="s">
        <v>12386</v>
      </c>
      <c r="AA1239" s="70" t="s">
        <v>12387</v>
      </c>
      <c r="AC1239" s="70">
        <v>1.0</v>
      </c>
      <c r="AE1239" s="70">
        <v>23.0</v>
      </c>
      <c r="AF1239" s="70" t="s">
        <v>239</v>
      </c>
      <c r="AW1239" s="70" t="s">
        <v>12388</v>
      </c>
      <c r="AZ1239" s="70">
        <v>772.0</v>
      </c>
    </row>
    <row r="1240" ht="22.5" customHeight="1">
      <c r="A1240" s="70" t="str">
        <f t="shared" si="1"/>
        <v>Excluded</v>
      </c>
      <c r="B1240" s="70">
        <f t="shared" si="2"/>
        <v>0</v>
      </c>
      <c r="C1240" s="70">
        <v>0.0</v>
      </c>
      <c r="D1240" s="70">
        <v>0.0</v>
      </c>
      <c r="E1240" s="70">
        <v>0.0</v>
      </c>
      <c r="F1240" s="70">
        <v>0.0</v>
      </c>
      <c r="G1240" s="70">
        <v>0.0</v>
      </c>
      <c r="H1240" s="70" t="s">
        <v>16108</v>
      </c>
      <c r="I1240" s="70">
        <v>1723.0</v>
      </c>
      <c r="K1240" s="70" t="s">
        <v>16107</v>
      </c>
      <c r="L1240" s="70" t="s">
        <v>16091</v>
      </c>
      <c r="N1240" s="70" t="s">
        <v>16092</v>
      </c>
      <c r="P1240" s="76">
        <v>45624.0</v>
      </c>
      <c r="U1240" s="70" t="s">
        <v>239</v>
      </c>
      <c r="X1240" s="70" t="s">
        <v>16095</v>
      </c>
      <c r="Z1240" s="75" t="s">
        <v>16109</v>
      </c>
      <c r="AF1240" s="70" t="s">
        <v>239</v>
      </c>
      <c r="AX1240" s="70">
        <v>1.0</v>
      </c>
      <c r="AZ1240" s="70">
        <v>1644.0</v>
      </c>
    </row>
    <row r="1241" ht="22.5" customHeight="1">
      <c r="A1241" s="70" t="str">
        <f t="shared" si="1"/>
        <v>Excluded</v>
      </c>
      <c r="B1241" s="70">
        <f t="shared" si="2"/>
        <v>0</v>
      </c>
      <c r="C1241" s="70">
        <v>0.0</v>
      </c>
      <c r="D1241" s="70">
        <v>0.0</v>
      </c>
      <c r="E1241" s="70">
        <v>0.0</v>
      </c>
      <c r="F1241" s="70">
        <v>0.0</v>
      </c>
      <c r="G1241" s="70">
        <v>0.0</v>
      </c>
      <c r="H1241" s="70" t="s">
        <v>16093</v>
      </c>
      <c r="I1241" s="70">
        <v>1720.0</v>
      </c>
      <c r="K1241" s="70" t="s">
        <v>10612</v>
      </c>
      <c r="L1241" s="70" t="s">
        <v>16091</v>
      </c>
      <c r="N1241" s="70" t="s">
        <v>16092</v>
      </c>
      <c r="P1241" s="76">
        <v>45624.0</v>
      </c>
      <c r="U1241" s="70" t="s">
        <v>239</v>
      </c>
      <c r="X1241" s="70" t="s">
        <v>16095</v>
      </c>
      <c r="Z1241" s="75" t="s">
        <v>16096</v>
      </c>
      <c r="AF1241" s="70" t="s">
        <v>239</v>
      </c>
      <c r="AZ1241" s="70">
        <v>1420.0</v>
      </c>
    </row>
    <row r="1242" ht="22.5" customHeight="1">
      <c r="A1242" s="70" t="str">
        <f t="shared" si="1"/>
        <v>Excluded</v>
      </c>
      <c r="B1242" s="70">
        <f t="shared" si="2"/>
        <v>0</v>
      </c>
      <c r="C1242" s="70">
        <v>0.0</v>
      </c>
      <c r="D1242" s="70">
        <v>0.0</v>
      </c>
      <c r="E1242" s="70">
        <v>0.0</v>
      </c>
      <c r="F1242" s="70">
        <v>0.0</v>
      </c>
      <c r="G1242" s="70">
        <v>0.0</v>
      </c>
      <c r="H1242" s="70" t="s">
        <v>16120</v>
      </c>
      <c r="I1242" s="70">
        <v>1727.0</v>
      </c>
      <c r="K1242" s="70" t="s">
        <v>16119</v>
      </c>
      <c r="L1242" s="70" t="s">
        <v>16091</v>
      </c>
      <c r="N1242" s="70" t="s">
        <v>16092</v>
      </c>
      <c r="P1242" s="76">
        <v>45624.0</v>
      </c>
      <c r="U1242" s="70" t="s">
        <v>239</v>
      </c>
      <c r="X1242" s="70" t="s">
        <v>16095</v>
      </c>
      <c r="Z1242" s="75" t="s">
        <v>16121</v>
      </c>
      <c r="AF1242" s="70" t="s">
        <v>239</v>
      </c>
      <c r="AZ1242" s="70">
        <v>1469.0</v>
      </c>
    </row>
    <row r="1243" ht="22.5" customHeight="1">
      <c r="A1243" s="70" t="str">
        <f t="shared" si="1"/>
        <v>Excluded</v>
      </c>
      <c r="B1243" s="70">
        <f t="shared" si="2"/>
        <v>0</v>
      </c>
      <c r="C1243" s="70">
        <v>0.0</v>
      </c>
      <c r="D1243" s="70">
        <v>0.0</v>
      </c>
      <c r="E1243" s="70">
        <v>0.0</v>
      </c>
      <c r="F1243" s="70">
        <v>0.0</v>
      </c>
      <c r="G1243" s="70">
        <v>0.0</v>
      </c>
      <c r="H1243" s="70" t="s">
        <v>13106</v>
      </c>
      <c r="I1243" s="70">
        <v>1366.0</v>
      </c>
      <c r="J1243" s="70" t="s">
        <v>13103</v>
      </c>
      <c r="K1243" s="70" t="s">
        <v>13104</v>
      </c>
      <c r="L1243" s="70" t="s">
        <v>13105</v>
      </c>
      <c r="P1243" s="76">
        <v>45400.0</v>
      </c>
      <c r="U1243" s="70" t="s">
        <v>239</v>
      </c>
      <c r="W1243" s="70" t="s">
        <v>13108</v>
      </c>
      <c r="X1243" s="70" t="s">
        <v>13109</v>
      </c>
      <c r="Z1243" s="75" t="s">
        <v>13110</v>
      </c>
      <c r="AA1243" s="70" t="s">
        <v>13111</v>
      </c>
      <c r="AE1243" s="70">
        <v>25.0</v>
      </c>
      <c r="AF1243" s="70" t="s">
        <v>239</v>
      </c>
      <c r="AW1243" s="70" t="s">
        <v>13112</v>
      </c>
      <c r="AX1243" s="70">
        <v>0.0</v>
      </c>
      <c r="AY1243" s="70" t="s">
        <v>24</v>
      </c>
      <c r="AZ1243" s="70">
        <v>3130.0</v>
      </c>
    </row>
    <row r="1244" ht="22.5" customHeight="1">
      <c r="A1244" s="70" t="str">
        <f t="shared" si="1"/>
        <v>Excluded</v>
      </c>
      <c r="B1244" s="70">
        <f t="shared" si="2"/>
        <v>0</v>
      </c>
      <c r="C1244" s="70">
        <v>0.0</v>
      </c>
      <c r="D1244" s="70">
        <v>0.0</v>
      </c>
      <c r="E1244" s="70">
        <v>0.0</v>
      </c>
      <c r="F1244" s="70">
        <v>0.0</v>
      </c>
      <c r="G1244" s="70">
        <v>0.0</v>
      </c>
      <c r="H1244" s="70" t="s">
        <v>5342</v>
      </c>
      <c r="I1244" s="70">
        <v>500.0</v>
      </c>
      <c r="J1244" s="70" t="s">
        <v>5339</v>
      </c>
      <c r="K1244" s="70" t="s">
        <v>5340</v>
      </c>
      <c r="L1244" s="70" t="s">
        <v>5341</v>
      </c>
      <c r="P1244" s="77">
        <v>43895.0</v>
      </c>
      <c r="U1244" s="70" t="s">
        <v>239</v>
      </c>
      <c r="W1244" s="70" t="s">
        <v>5344</v>
      </c>
      <c r="X1244" s="70" t="s">
        <v>5345</v>
      </c>
      <c r="Z1244" s="75" t="s">
        <v>5346</v>
      </c>
      <c r="AC1244" s="70">
        <v>13.0</v>
      </c>
      <c r="AE1244" s="70">
        <v>29.0</v>
      </c>
      <c r="AF1244" s="70" t="s">
        <v>239</v>
      </c>
      <c r="AW1244" s="70" t="s">
        <v>5347</v>
      </c>
      <c r="AX1244" s="70">
        <v>0.0</v>
      </c>
      <c r="AY1244" s="70" t="s">
        <v>24</v>
      </c>
      <c r="AZ1244" s="70">
        <v>2204.0</v>
      </c>
    </row>
    <row r="1245" ht="22.5" customHeight="1">
      <c r="A1245" s="70" t="str">
        <f t="shared" si="1"/>
        <v>Excluded</v>
      </c>
      <c r="B1245" s="70">
        <f t="shared" si="2"/>
        <v>0</v>
      </c>
      <c r="C1245" s="70">
        <v>0.0</v>
      </c>
      <c r="D1245" s="70">
        <v>0.0</v>
      </c>
      <c r="E1245" s="70">
        <v>0.0</v>
      </c>
      <c r="F1245" s="70">
        <v>0.0</v>
      </c>
      <c r="G1245" s="70">
        <v>0.0</v>
      </c>
      <c r="H1245" s="70" t="s">
        <v>6546</v>
      </c>
      <c r="I1245" s="70">
        <v>622.0</v>
      </c>
      <c r="J1245" s="70" t="s">
        <v>6544</v>
      </c>
      <c r="K1245" s="70" t="s">
        <v>6545</v>
      </c>
      <c r="L1245" s="70" t="s">
        <v>5073</v>
      </c>
      <c r="P1245" s="76">
        <v>44585.0</v>
      </c>
      <c r="U1245" s="70" t="s">
        <v>239</v>
      </c>
      <c r="W1245" s="70" t="s">
        <v>30408</v>
      </c>
      <c r="X1245" s="70" t="s">
        <v>5077</v>
      </c>
      <c r="Z1245" s="75" t="s">
        <v>6549</v>
      </c>
      <c r="AA1245" s="70" t="s">
        <v>6550</v>
      </c>
      <c r="AC1245" s="70">
        <v>6.0</v>
      </c>
      <c r="AE1245" s="70">
        <v>20.0</v>
      </c>
      <c r="AF1245" s="70" t="s">
        <v>239</v>
      </c>
      <c r="AW1245" s="70" t="s">
        <v>6551</v>
      </c>
      <c r="AZ1245" s="70">
        <v>998.0</v>
      </c>
    </row>
    <row r="1246" ht="22.5" customHeight="1">
      <c r="A1246" s="70" t="str">
        <f t="shared" si="1"/>
        <v>Excluded</v>
      </c>
      <c r="B1246" s="70">
        <f t="shared" si="2"/>
        <v>0</v>
      </c>
      <c r="C1246" s="70">
        <v>0.0</v>
      </c>
      <c r="D1246" s="70">
        <v>0.0</v>
      </c>
      <c r="E1246" s="70">
        <v>0.0</v>
      </c>
      <c r="F1246" s="70">
        <v>0.0</v>
      </c>
      <c r="G1246" s="70">
        <v>0.0</v>
      </c>
      <c r="H1246" s="70" t="s">
        <v>7334</v>
      </c>
      <c r="I1246" s="70">
        <v>703.0</v>
      </c>
      <c r="J1246" s="70" t="s">
        <v>7332</v>
      </c>
      <c r="K1246" s="70" t="s">
        <v>7333</v>
      </c>
      <c r="L1246" s="70" t="s">
        <v>5073</v>
      </c>
      <c r="P1246" s="76">
        <v>44585.0</v>
      </c>
      <c r="U1246" s="70" t="s">
        <v>239</v>
      </c>
      <c r="W1246" s="70" t="s">
        <v>7336</v>
      </c>
      <c r="X1246" s="70" t="s">
        <v>5077</v>
      </c>
      <c r="Z1246" s="75" t="s">
        <v>7337</v>
      </c>
      <c r="AA1246" s="70" t="s">
        <v>7338</v>
      </c>
      <c r="AC1246" s="70">
        <v>4.0</v>
      </c>
      <c r="AE1246" s="70">
        <v>20.0</v>
      </c>
      <c r="AF1246" s="70" t="s">
        <v>239</v>
      </c>
      <c r="AW1246" s="70" t="s">
        <v>7339</v>
      </c>
      <c r="AZ1246" s="70">
        <v>1129.0</v>
      </c>
    </row>
    <row r="1247" ht="22.5" customHeight="1">
      <c r="A1247" s="70" t="str">
        <f t="shared" si="1"/>
        <v>Excluded</v>
      </c>
      <c r="B1247" s="70">
        <f t="shared" si="2"/>
        <v>0</v>
      </c>
      <c r="C1247" s="70">
        <v>0.0</v>
      </c>
      <c r="D1247" s="70">
        <v>0.0</v>
      </c>
      <c r="E1247" s="70">
        <v>0.0</v>
      </c>
      <c r="F1247" s="70">
        <v>0.0</v>
      </c>
      <c r="G1247" s="70">
        <v>0.0</v>
      </c>
      <c r="H1247" s="70" t="s">
        <v>5074</v>
      </c>
      <c r="I1247" s="70">
        <v>473.0</v>
      </c>
      <c r="J1247" s="70" t="s">
        <v>5071</v>
      </c>
      <c r="K1247" s="70" t="s">
        <v>5072</v>
      </c>
      <c r="L1247" s="70" t="s">
        <v>5073</v>
      </c>
      <c r="P1247" s="76">
        <v>44585.0</v>
      </c>
      <c r="U1247" s="70" t="s">
        <v>239</v>
      </c>
      <c r="W1247" s="70" t="s">
        <v>30409</v>
      </c>
      <c r="X1247" s="70" t="s">
        <v>5077</v>
      </c>
      <c r="Y1247" s="70" t="s">
        <v>30410</v>
      </c>
      <c r="Z1247" s="75" t="s">
        <v>5079</v>
      </c>
      <c r="AA1247" s="70" t="s">
        <v>5080</v>
      </c>
      <c r="AC1247" s="70">
        <v>20.0</v>
      </c>
      <c r="AE1247" s="70">
        <v>18.0</v>
      </c>
      <c r="AF1247" s="70" t="s">
        <v>239</v>
      </c>
      <c r="AW1247" s="70" t="s">
        <v>5081</v>
      </c>
      <c r="AX1247" s="70">
        <v>0.0</v>
      </c>
      <c r="AY1247" s="70" t="s">
        <v>24</v>
      </c>
      <c r="AZ1247" s="70">
        <v>2422.0</v>
      </c>
    </row>
    <row r="1248" ht="22.5" customHeight="1">
      <c r="A1248" s="70" t="str">
        <f t="shared" si="1"/>
        <v>Excluded</v>
      </c>
      <c r="B1248" s="70">
        <f t="shared" si="2"/>
        <v>0</v>
      </c>
      <c r="C1248" s="70">
        <v>0.0</v>
      </c>
      <c r="D1248" s="70">
        <v>0.0</v>
      </c>
      <c r="E1248" s="70">
        <v>0.0</v>
      </c>
      <c r="F1248" s="70">
        <v>0.0</v>
      </c>
      <c r="G1248" s="70">
        <v>0.0</v>
      </c>
      <c r="H1248" s="70" t="s">
        <v>7189</v>
      </c>
      <c r="I1248" s="70">
        <v>688.0</v>
      </c>
      <c r="J1248" s="70" t="s">
        <v>30411</v>
      </c>
      <c r="K1248" s="70" t="s">
        <v>7188</v>
      </c>
      <c r="L1248" s="70" t="s">
        <v>4701</v>
      </c>
      <c r="P1248" s="76">
        <v>44938.0</v>
      </c>
      <c r="U1248" s="70" t="s">
        <v>239</v>
      </c>
      <c r="W1248" s="70" t="s">
        <v>7191</v>
      </c>
      <c r="X1248" s="70" t="s">
        <v>4705</v>
      </c>
      <c r="Y1248" s="70" t="s">
        <v>30387</v>
      </c>
      <c r="Z1248" s="75" t="s">
        <v>7192</v>
      </c>
      <c r="AA1248" s="70" t="s">
        <v>7193</v>
      </c>
      <c r="AC1248" s="70">
        <v>4.0</v>
      </c>
      <c r="AE1248" s="70">
        <v>11.0</v>
      </c>
      <c r="AF1248" s="70" t="s">
        <v>239</v>
      </c>
      <c r="AW1248" s="70" t="s">
        <v>7194</v>
      </c>
      <c r="AZ1248" s="70">
        <v>1315.0</v>
      </c>
    </row>
    <row r="1249" ht="22.5" customHeight="1">
      <c r="A1249" s="70" t="str">
        <f t="shared" si="1"/>
        <v>Excluded</v>
      </c>
      <c r="B1249" s="70">
        <f t="shared" si="2"/>
        <v>0</v>
      </c>
      <c r="C1249" s="70">
        <v>0.0</v>
      </c>
      <c r="D1249" s="70">
        <v>0.0</v>
      </c>
      <c r="E1249" s="70">
        <v>0.0</v>
      </c>
      <c r="F1249" s="70">
        <v>0.0</v>
      </c>
      <c r="G1249" s="70">
        <v>0.0</v>
      </c>
      <c r="H1249" s="70" t="s">
        <v>6803</v>
      </c>
      <c r="I1249" s="70">
        <v>648.0</v>
      </c>
      <c r="J1249" s="70" t="s">
        <v>6801</v>
      </c>
      <c r="K1249" s="70" t="s">
        <v>6802</v>
      </c>
      <c r="L1249" s="70" t="s">
        <v>4701</v>
      </c>
      <c r="P1249" s="76">
        <v>44938.0</v>
      </c>
      <c r="U1249" s="70" t="s">
        <v>239</v>
      </c>
      <c r="W1249" s="70" t="s">
        <v>30412</v>
      </c>
      <c r="X1249" s="70" t="s">
        <v>4705</v>
      </c>
      <c r="Z1249" s="75" t="s">
        <v>6806</v>
      </c>
      <c r="AA1249" s="70" t="s">
        <v>6807</v>
      </c>
      <c r="AC1249" s="70">
        <v>5.0</v>
      </c>
      <c r="AE1249" s="70">
        <v>25.0</v>
      </c>
      <c r="AF1249" s="70" t="s">
        <v>239</v>
      </c>
      <c r="AW1249" s="70" t="s">
        <v>6808</v>
      </c>
      <c r="AX1249" s="70">
        <v>0.0</v>
      </c>
      <c r="AY1249" s="70" t="s">
        <v>24</v>
      </c>
      <c r="AZ1249" s="70">
        <v>2906.0</v>
      </c>
    </row>
    <row r="1250" ht="22.5" customHeight="1">
      <c r="A1250" s="70" t="str">
        <f t="shared" si="1"/>
        <v>Excluded</v>
      </c>
      <c r="B1250" s="70">
        <f t="shared" si="2"/>
        <v>0</v>
      </c>
      <c r="C1250" s="70">
        <v>0.0</v>
      </c>
      <c r="D1250" s="70">
        <v>0.0</v>
      </c>
      <c r="E1250" s="70">
        <v>0.0</v>
      </c>
      <c r="F1250" s="70">
        <v>0.0</v>
      </c>
      <c r="G1250" s="70">
        <v>0.0</v>
      </c>
      <c r="H1250" s="70" t="s">
        <v>4702</v>
      </c>
      <c r="I1250" s="70">
        <v>436.0</v>
      </c>
      <c r="J1250" s="70" t="s">
        <v>4699</v>
      </c>
      <c r="K1250" s="70" t="s">
        <v>4700</v>
      </c>
      <c r="L1250" s="70" t="s">
        <v>4701</v>
      </c>
      <c r="P1250" s="76">
        <v>44938.0</v>
      </c>
      <c r="U1250" s="70" t="s">
        <v>239</v>
      </c>
      <c r="W1250" s="70" t="s">
        <v>4704</v>
      </c>
      <c r="X1250" s="70" t="s">
        <v>4705</v>
      </c>
      <c r="Y1250" s="70" t="s">
        <v>30413</v>
      </c>
      <c r="Z1250" s="75" t="s">
        <v>4707</v>
      </c>
      <c r="AA1250" s="70" t="s">
        <v>4708</v>
      </c>
      <c r="AC1250" s="70">
        <v>46.0</v>
      </c>
      <c r="AE1250" s="70">
        <v>16.0</v>
      </c>
      <c r="AF1250" s="70" t="s">
        <v>239</v>
      </c>
      <c r="AW1250" s="70" t="s">
        <v>4709</v>
      </c>
      <c r="AZ1250" s="70">
        <v>1373.0</v>
      </c>
    </row>
    <row r="1251" ht="22.5" customHeight="1">
      <c r="A1251" s="70" t="str">
        <f t="shared" si="1"/>
        <v>Excluded</v>
      </c>
      <c r="B1251" s="70">
        <f t="shared" si="2"/>
        <v>0</v>
      </c>
      <c r="C1251" s="70">
        <v>0.0</v>
      </c>
      <c r="D1251" s="70">
        <v>0.0</v>
      </c>
      <c r="E1251" s="70">
        <v>0.0</v>
      </c>
      <c r="F1251" s="70">
        <v>0.0</v>
      </c>
      <c r="G1251" s="70">
        <v>0.0</v>
      </c>
      <c r="H1251" s="70" t="s">
        <v>16123</v>
      </c>
      <c r="I1251" s="70">
        <v>1728.0</v>
      </c>
      <c r="K1251" s="70" t="s">
        <v>16122</v>
      </c>
      <c r="L1251" s="70" t="s">
        <v>12219</v>
      </c>
      <c r="P1251" s="76">
        <v>45372.0</v>
      </c>
      <c r="U1251" s="70" t="s">
        <v>239</v>
      </c>
      <c r="X1251" s="70" t="s">
        <v>12223</v>
      </c>
      <c r="Z1251" s="75" t="s">
        <v>16124</v>
      </c>
      <c r="AF1251" s="70" t="s">
        <v>239</v>
      </c>
      <c r="AZ1251" s="70">
        <v>1450.0</v>
      </c>
    </row>
    <row r="1252" ht="22.5" customHeight="1">
      <c r="A1252" s="70" t="str">
        <f t="shared" si="1"/>
        <v>Excluded</v>
      </c>
      <c r="B1252" s="70">
        <f t="shared" si="2"/>
        <v>0</v>
      </c>
      <c r="C1252" s="70">
        <v>0.0</v>
      </c>
      <c r="D1252" s="70">
        <v>0.0</v>
      </c>
      <c r="E1252" s="70">
        <v>0.0</v>
      </c>
      <c r="F1252" s="70">
        <v>0.0</v>
      </c>
      <c r="G1252" s="70">
        <v>0.0</v>
      </c>
      <c r="H1252" s="70" t="s">
        <v>16254</v>
      </c>
      <c r="I1252" s="70">
        <v>1760.0</v>
      </c>
      <c r="K1252" s="70" t="s">
        <v>268</v>
      </c>
      <c r="L1252" s="70" t="s">
        <v>12219</v>
      </c>
      <c r="P1252" s="76">
        <v>45372.0</v>
      </c>
      <c r="U1252" s="70" t="s">
        <v>239</v>
      </c>
      <c r="W1252" s="70" t="s">
        <v>10759</v>
      </c>
      <c r="X1252" s="70" t="s">
        <v>12223</v>
      </c>
      <c r="Z1252" s="75" t="s">
        <v>16255</v>
      </c>
      <c r="AF1252" s="70" t="s">
        <v>239</v>
      </c>
      <c r="AZ1252" s="70">
        <v>1265.0</v>
      </c>
    </row>
    <row r="1253" ht="22.5" customHeight="1">
      <c r="A1253" s="70" t="str">
        <f t="shared" si="1"/>
        <v>Excluded</v>
      </c>
      <c r="B1253" s="70">
        <f t="shared" si="2"/>
        <v>0</v>
      </c>
      <c r="C1253" s="70">
        <v>0.0</v>
      </c>
      <c r="D1253" s="70">
        <v>0.0</v>
      </c>
      <c r="E1253" s="70">
        <v>0.0</v>
      </c>
      <c r="F1253" s="70">
        <v>0.0</v>
      </c>
      <c r="G1253" s="70">
        <v>0.0</v>
      </c>
      <c r="H1253" s="70" t="s">
        <v>16114</v>
      </c>
      <c r="I1253" s="70">
        <v>1725.0</v>
      </c>
      <c r="K1253" s="70" t="s">
        <v>13682</v>
      </c>
      <c r="L1253" s="70" t="s">
        <v>12219</v>
      </c>
      <c r="P1253" s="76">
        <v>45372.0</v>
      </c>
      <c r="U1253" s="70" t="s">
        <v>239</v>
      </c>
      <c r="X1253" s="70" t="s">
        <v>12223</v>
      </c>
      <c r="Z1253" s="75" t="s">
        <v>16115</v>
      </c>
      <c r="AF1253" s="70" t="s">
        <v>239</v>
      </c>
      <c r="AZ1253" s="70">
        <v>1463.0</v>
      </c>
    </row>
    <row r="1254" ht="22.5" customHeight="1">
      <c r="A1254" s="70" t="str">
        <f t="shared" si="1"/>
        <v>Excluded</v>
      </c>
      <c r="B1254" s="70">
        <f t="shared" si="2"/>
        <v>0</v>
      </c>
      <c r="C1254" s="70">
        <v>0.0</v>
      </c>
      <c r="D1254" s="70">
        <v>0.0</v>
      </c>
      <c r="E1254" s="70">
        <v>0.0</v>
      </c>
      <c r="F1254" s="70">
        <v>0.0</v>
      </c>
      <c r="G1254" s="70">
        <v>0.0</v>
      </c>
      <c r="H1254" s="70" t="s">
        <v>12220</v>
      </c>
      <c r="I1254" s="70">
        <v>1277.0</v>
      </c>
      <c r="J1254" s="70" t="s">
        <v>30414</v>
      </c>
      <c r="K1254" s="70" t="s">
        <v>12218</v>
      </c>
      <c r="L1254" s="70" t="s">
        <v>12219</v>
      </c>
      <c r="P1254" s="76">
        <v>45372.0</v>
      </c>
      <c r="U1254" s="70" t="s">
        <v>239</v>
      </c>
      <c r="W1254" s="70" t="s">
        <v>30415</v>
      </c>
      <c r="X1254" s="70" t="s">
        <v>12223</v>
      </c>
      <c r="Z1254" s="75" t="s">
        <v>12224</v>
      </c>
      <c r="AA1254" s="70" t="s">
        <v>12225</v>
      </c>
      <c r="AC1254" s="70">
        <v>1.0</v>
      </c>
      <c r="AE1254" s="70">
        <v>25.0</v>
      </c>
      <c r="AF1254" s="70" t="s">
        <v>239</v>
      </c>
      <c r="AW1254" s="70" t="s">
        <v>12226</v>
      </c>
      <c r="AZ1254" s="70">
        <v>1270.0</v>
      </c>
    </row>
    <row r="1255" ht="22.5" customHeight="1">
      <c r="A1255" s="70" t="str">
        <f t="shared" si="1"/>
        <v>Excluded</v>
      </c>
      <c r="B1255" s="70">
        <f t="shared" si="2"/>
        <v>0</v>
      </c>
      <c r="C1255" s="70">
        <v>0.0</v>
      </c>
      <c r="D1255" s="70">
        <v>0.0</v>
      </c>
      <c r="E1255" s="70">
        <v>0.0</v>
      </c>
      <c r="F1255" s="70">
        <v>0.0</v>
      </c>
      <c r="G1255" s="70">
        <v>0.0</v>
      </c>
      <c r="H1255" s="70" t="s">
        <v>9244</v>
      </c>
      <c r="I1255" s="70">
        <v>901.0</v>
      </c>
      <c r="J1255" s="70" t="s">
        <v>9240</v>
      </c>
      <c r="K1255" s="70" t="s">
        <v>9241</v>
      </c>
      <c r="L1255" s="70" t="s">
        <v>9242</v>
      </c>
      <c r="N1255" s="70" t="s">
        <v>9243</v>
      </c>
      <c r="P1255" s="76">
        <v>43902.0</v>
      </c>
      <c r="U1255" s="70" t="s">
        <v>239</v>
      </c>
      <c r="W1255" s="70" t="s">
        <v>9246</v>
      </c>
      <c r="X1255" s="70" t="s">
        <v>9247</v>
      </c>
      <c r="Z1255" s="75" t="s">
        <v>9248</v>
      </c>
      <c r="AA1255" s="70" t="s">
        <v>9249</v>
      </c>
      <c r="AC1255" s="70">
        <v>1.0</v>
      </c>
      <c r="AE1255" s="70">
        <v>25.0</v>
      </c>
      <c r="AF1255" s="70" t="s">
        <v>239</v>
      </c>
      <c r="AW1255" s="70" t="s">
        <v>9250</v>
      </c>
      <c r="AX1255" s="70">
        <v>0.0</v>
      </c>
      <c r="AY1255" s="70" t="s">
        <v>24</v>
      </c>
      <c r="AZ1255" s="70">
        <v>2751.0</v>
      </c>
    </row>
    <row r="1256" ht="22.5" customHeight="1">
      <c r="A1256" s="70" t="str">
        <f t="shared" si="1"/>
        <v>Excluded</v>
      </c>
      <c r="B1256" s="70">
        <f t="shared" si="2"/>
        <v>0</v>
      </c>
      <c r="C1256" s="70">
        <v>0.0</v>
      </c>
      <c r="D1256" s="70">
        <v>0.0</v>
      </c>
      <c r="E1256" s="70">
        <v>0.0</v>
      </c>
      <c r="F1256" s="70">
        <v>0.0</v>
      </c>
      <c r="G1256" s="70">
        <v>0.0</v>
      </c>
      <c r="H1256" s="70" t="s">
        <v>10485</v>
      </c>
      <c r="I1256" s="70">
        <v>1031.0</v>
      </c>
      <c r="J1256" s="70" t="s">
        <v>10482</v>
      </c>
      <c r="K1256" s="70" t="s">
        <v>10483</v>
      </c>
      <c r="L1256" s="70" t="s">
        <v>10484</v>
      </c>
      <c r="N1256" s="70" t="s">
        <v>8382</v>
      </c>
      <c r="P1256" s="77">
        <v>43503.0</v>
      </c>
      <c r="U1256" s="70" t="s">
        <v>239</v>
      </c>
      <c r="W1256" s="70" t="s">
        <v>10487</v>
      </c>
      <c r="X1256" s="70" t="s">
        <v>10488</v>
      </c>
      <c r="Z1256" s="75" t="s">
        <v>10489</v>
      </c>
      <c r="AA1256" s="70" t="s">
        <v>10490</v>
      </c>
      <c r="AE1256" s="70">
        <v>12.0</v>
      </c>
      <c r="AF1256" s="70" t="s">
        <v>239</v>
      </c>
      <c r="AW1256" s="70" t="s">
        <v>10491</v>
      </c>
      <c r="AZ1256" s="70">
        <v>363.0</v>
      </c>
    </row>
    <row r="1257" ht="22.5" customHeight="1">
      <c r="A1257" s="70" t="str">
        <f t="shared" si="1"/>
        <v>Excluded</v>
      </c>
      <c r="B1257" s="70">
        <f t="shared" si="2"/>
        <v>0</v>
      </c>
      <c r="C1257" s="70">
        <v>0.0</v>
      </c>
      <c r="D1257" s="70">
        <v>0.0</v>
      </c>
      <c r="E1257" s="70">
        <v>0.0</v>
      </c>
      <c r="F1257" s="70">
        <v>0.0</v>
      </c>
      <c r="G1257" s="70">
        <v>0.0</v>
      </c>
      <c r="H1257" s="70" t="s">
        <v>8383</v>
      </c>
      <c r="I1257" s="70">
        <v>812.0</v>
      </c>
      <c r="J1257" s="70" t="s">
        <v>8379</v>
      </c>
      <c r="K1257" s="70" t="s">
        <v>8380</v>
      </c>
      <c r="L1257" s="70" t="s">
        <v>8381</v>
      </c>
      <c r="N1257" s="70" t="s">
        <v>8382</v>
      </c>
      <c r="P1257" s="77">
        <v>44144.0</v>
      </c>
      <c r="U1257" s="70" t="s">
        <v>239</v>
      </c>
      <c r="W1257" s="70" t="s">
        <v>8385</v>
      </c>
      <c r="X1257" s="70" t="s">
        <v>8386</v>
      </c>
      <c r="Y1257" s="70" t="s">
        <v>30416</v>
      </c>
      <c r="Z1257" s="75" t="s">
        <v>8388</v>
      </c>
      <c r="AA1257" s="70" t="s">
        <v>8389</v>
      </c>
      <c r="AC1257" s="70">
        <v>2.0</v>
      </c>
      <c r="AE1257" s="70">
        <v>20.0</v>
      </c>
      <c r="AF1257" s="70" t="s">
        <v>239</v>
      </c>
      <c r="AW1257" s="70" t="s">
        <v>8390</v>
      </c>
      <c r="AX1257" s="70">
        <v>0.0</v>
      </c>
      <c r="AY1257" s="70" t="s">
        <v>24</v>
      </c>
      <c r="AZ1257" s="70">
        <v>1774.0</v>
      </c>
    </row>
    <row r="1258" ht="22.5" customHeight="1">
      <c r="A1258" s="70" t="str">
        <f t="shared" si="1"/>
        <v>Excluded</v>
      </c>
      <c r="B1258" s="70">
        <f t="shared" si="2"/>
        <v>0</v>
      </c>
      <c r="C1258" s="70">
        <v>0.0</v>
      </c>
      <c r="D1258" s="70">
        <v>0.0</v>
      </c>
      <c r="E1258" s="70">
        <v>0.0</v>
      </c>
      <c r="F1258" s="70">
        <v>0.0</v>
      </c>
      <c r="G1258" s="70">
        <v>0.0</v>
      </c>
      <c r="H1258" s="70" t="s">
        <v>5126</v>
      </c>
      <c r="I1258" s="70">
        <v>478.0</v>
      </c>
      <c r="J1258" s="70" t="s">
        <v>5123</v>
      </c>
      <c r="K1258" s="70" t="s">
        <v>5124</v>
      </c>
      <c r="L1258" s="70" t="s">
        <v>5125</v>
      </c>
      <c r="P1258" s="76">
        <v>42971.0</v>
      </c>
      <c r="U1258" s="70" t="s">
        <v>239</v>
      </c>
      <c r="W1258" s="70" t="s">
        <v>5128</v>
      </c>
      <c r="X1258" s="70" t="s">
        <v>5129</v>
      </c>
      <c r="Z1258" s="75" t="s">
        <v>5130</v>
      </c>
      <c r="AC1258" s="70">
        <v>18.0</v>
      </c>
      <c r="AE1258" s="70">
        <v>10.0</v>
      </c>
      <c r="AF1258" s="70" t="s">
        <v>239</v>
      </c>
      <c r="AW1258" s="70" t="s">
        <v>5131</v>
      </c>
      <c r="AZ1258" s="70">
        <v>1162.0</v>
      </c>
    </row>
    <row r="1259" ht="22.5" customHeight="1">
      <c r="A1259" s="70" t="str">
        <f t="shared" si="1"/>
        <v>Excluded</v>
      </c>
      <c r="B1259" s="70">
        <f t="shared" si="2"/>
        <v>0</v>
      </c>
      <c r="C1259" s="70">
        <v>0.0</v>
      </c>
      <c r="D1259" s="70">
        <v>0.0</v>
      </c>
      <c r="E1259" s="70">
        <v>0.0</v>
      </c>
      <c r="F1259" s="70">
        <v>0.0</v>
      </c>
      <c r="G1259" s="70">
        <v>0.0</v>
      </c>
      <c r="H1259" s="70" t="s">
        <v>7527</v>
      </c>
      <c r="I1259" s="70">
        <v>723.0</v>
      </c>
      <c r="J1259" s="70" t="s">
        <v>30417</v>
      </c>
      <c r="K1259" s="70" t="s">
        <v>7526</v>
      </c>
      <c r="L1259" s="70" t="s">
        <v>7120</v>
      </c>
      <c r="P1259" s="76">
        <v>43419.0</v>
      </c>
      <c r="U1259" s="70" t="s">
        <v>239</v>
      </c>
      <c r="W1259" s="70" t="s">
        <v>7529</v>
      </c>
      <c r="X1259" s="70" t="s">
        <v>7124</v>
      </c>
      <c r="Z1259" s="75" t="s">
        <v>7530</v>
      </c>
      <c r="AA1259" s="70" t="s">
        <v>7531</v>
      </c>
      <c r="AC1259" s="70">
        <v>3.0</v>
      </c>
      <c r="AE1259" s="70">
        <v>9.0</v>
      </c>
      <c r="AF1259" s="70" t="s">
        <v>239</v>
      </c>
      <c r="AW1259" s="70" t="s">
        <v>7532</v>
      </c>
      <c r="AX1259" s="70">
        <v>0.0</v>
      </c>
      <c r="AY1259" s="70" t="s">
        <v>24</v>
      </c>
      <c r="AZ1259" s="70">
        <v>2956.0</v>
      </c>
    </row>
    <row r="1260" ht="22.5" customHeight="1">
      <c r="A1260" s="70" t="str">
        <f t="shared" si="1"/>
        <v>Excluded</v>
      </c>
      <c r="B1260" s="70">
        <f t="shared" si="2"/>
        <v>0</v>
      </c>
      <c r="C1260" s="70">
        <v>0.0</v>
      </c>
      <c r="D1260" s="70">
        <v>0.0</v>
      </c>
      <c r="E1260" s="70">
        <v>0.0</v>
      </c>
      <c r="F1260" s="70">
        <v>0.0</v>
      </c>
      <c r="G1260" s="70">
        <v>0.0</v>
      </c>
      <c r="H1260" s="70" t="s">
        <v>7121</v>
      </c>
      <c r="I1260" s="70">
        <v>680.0</v>
      </c>
      <c r="J1260" s="70" t="s">
        <v>30418</v>
      </c>
      <c r="K1260" s="70" t="s">
        <v>7119</v>
      </c>
      <c r="L1260" s="70" t="s">
        <v>7120</v>
      </c>
      <c r="P1260" s="76">
        <v>43419.0</v>
      </c>
      <c r="U1260" s="70" t="s">
        <v>239</v>
      </c>
      <c r="W1260" s="70" t="s">
        <v>7123</v>
      </c>
      <c r="X1260" s="70" t="s">
        <v>7124</v>
      </c>
      <c r="Z1260" s="75" t="s">
        <v>7125</v>
      </c>
      <c r="AC1260" s="70">
        <v>4.0</v>
      </c>
      <c r="AE1260" s="70">
        <v>67.0</v>
      </c>
      <c r="AF1260" s="70" t="s">
        <v>239</v>
      </c>
      <c r="AW1260" s="70" t="s">
        <v>7126</v>
      </c>
      <c r="AZ1260" s="70">
        <v>824.0</v>
      </c>
    </row>
    <row r="1261" ht="22.5" customHeight="1">
      <c r="A1261" s="70" t="str">
        <f t="shared" si="1"/>
        <v>Excluded</v>
      </c>
      <c r="B1261" s="70">
        <f t="shared" si="2"/>
        <v>0</v>
      </c>
      <c r="C1261" s="70">
        <v>0.0</v>
      </c>
      <c r="D1261" s="70">
        <v>0.0</v>
      </c>
      <c r="E1261" s="70">
        <v>0.0</v>
      </c>
      <c r="F1261" s="70">
        <v>0.0</v>
      </c>
      <c r="G1261" s="70">
        <v>0.0</v>
      </c>
      <c r="H1261" s="70" t="s">
        <v>5441</v>
      </c>
      <c r="I1261" s="70">
        <v>510.0</v>
      </c>
      <c r="J1261" s="70" t="s">
        <v>5439</v>
      </c>
      <c r="K1261" s="70" t="s">
        <v>5440</v>
      </c>
      <c r="L1261" s="70" t="s">
        <v>5002</v>
      </c>
      <c r="N1261" s="70" t="s">
        <v>5003</v>
      </c>
      <c r="P1261" s="76">
        <v>43888.0</v>
      </c>
      <c r="U1261" s="70" t="s">
        <v>239</v>
      </c>
      <c r="W1261" s="70" t="s">
        <v>5443</v>
      </c>
      <c r="X1261" s="70" t="s">
        <v>5007</v>
      </c>
      <c r="Z1261" s="75" t="s">
        <v>5444</v>
      </c>
      <c r="AC1261" s="70">
        <v>12.0</v>
      </c>
      <c r="AE1261" s="70">
        <v>15.0</v>
      </c>
      <c r="AF1261" s="70" t="s">
        <v>239</v>
      </c>
      <c r="AW1261" s="70" t="s">
        <v>5445</v>
      </c>
      <c r="AX1261" s="70">
        <v>0.0</v>
      </c>
      <c r="AY1261" s="70" t="s">
        <v>24</v>
      </c>
      <c r="AZ1261" s="70">
        <v>2068.0</v>
      </c>
    </row>
    <row r="1262" ht="22.5" customHeight="1">
      <c r="A1262" s="70" t="str">
        <f t="shared" si="1"/>
        <v>Excluded</v>
      </c>
      <c r="B1262" s="70">
        <f t="shared" si="2"/>
        <v>0</v>
      </c>
      <c r="C1262" s="70">
        <v>0.0</v>
      </c>
      <c r="D1262" s="70">
        <v>0.0</v>
      </c>
      <c r="E1262" s="70">
        <v>0.0</v>
      </c>
      <c r="F1262" s="70">
        <v>0.0</v>
      </c>
      <c r="G1262" s="70">
        <v>0.0</v>
      </c>
      <c r="H1262" s="70" t="s">
        <v>5004</v>
      </c>
      <c r="I1262" s="70">
        <v>466.0</v>
      </c>
      <c r="J1262" s="70" t="s">
        <v>5000</v>
      </c>
      <c r="K1262" s="70" t="s">
        <v>5001</v>
      </c>
      <c r="L1262" s="70" t="s">
        <v>5002</v>
      </c>
      <c r="N1262" s="70" t="s">
        <v>5003</v>
      </c>
      <c r="P1262" s="76">
        <v>43888.0</v>
      </c>
      <c r="U1262" s="70" t="s">
        <v>239</v>
      </c>
      <c r="W1262" s="70" t="s">
        <v>5006</v>
      </c>
      <c r="X1262" s="70" t="s">
        <v>5007</v>
      </c>
      <c r="Z1262" s="75" t="s">
        <v>5008</v>
      </c>
      <c r="AC1262" s="70">
        <v>24.0</v>
      </c>
      <c r="AE1262" s="70">
        <v>22.0</v>
      </c>
      <c r="AF1262" s="70" t="s">
        <v>239</v>
      </c>
      <c r="AW1262" s="70" t="s">
        <v>5009</v>
      </c>
      <c r="AZ1262" s="70">
        <v>330.0</v>
      </c>
    </row>
    <row r="1263" ht="22.5" customHeight="1">
      <c r="A1263" s="70" t="str">
        <f t="shared" si="1"/>
        <v>Excluded</v>
      </c>
      <c r="B1263" s="70">
        <f t="shared" si="2"/>
        <v>0</v>
      </c>
      <c r="C1263" s="70">
        <v>0.0</v>
      </c>
      <c r="D1263" s="70">
        <v>0.0</v>
      </c>
      <c r="E1263" s="70">
        <v>0.0</v>
      </c>
      <c r="F1263" s="70">
        <v>0.0</v>
      </c>
      <c r="G1263" s="70">
        <v>0.0</v>
      </c>
      <c r="H1263" s="70" t="s">
        <v>5744</v>
      </c>
      <c r="I1263" s="70">
        <v>541.0</v>
      </c>
      <c r="J1263" s="70" t="s">
        <v>5742</v>
      </c>
      <c r="K1263" s="70" t="s">
        <v>5743</v>
      </c>
      <c r="L1263" s="70" t="s">
        <v>5002</v>
      </c>
      <c r="N1263" s="70" t="s">
        <v>5003</v>
      </c>
      <c r="P1263" s="76">
        <v>43888.0</v>
      </c>
      <c r="U1263" s="70" t="s">
        <v>239</v>
      </c>
      <c r="W1263" s="70" t="s">
        <v>5746</v>
      </c>
      <c r="X1263" s="70" t="s">
        <v>5007</v>
      </c>
      <c r="Z1263" s="75" t="s">
        <v>5747</v>
      </c>
      <c r="AC1263" s="70">
        <v>9.0</v>
      </c>
      <c r="AE1263" s="70">
        <v>12.0</v>
      </c>
      <c r="AF1263" s="70" t="s">
        <v>239</v>
      </c>
      <c r="AW1263" s="70" t="s">
        <v>5748</v>
      </c>
      <c r="AX1263" s="70">
        <v>0.0</v>
      </c>
      <c r="AY1263" s="70" t="s">
        <v>24</v>
      </c>
      <c r="AZ1263" s="70">
        <v>1872.0</v>
      </c>
    </row>
    <row r="1264" ht="22.5" customHeight="1">
      <c r="A1264" s="70" t="str">
        <f t="shared" si="1"/>
        <v>Excluded</v>
      </c>
      <c r="B1264" s="70">
        <f t="shared" si="2"/>
        <v>0</v>
      </c>
      <c r="C1264" s="70">
        <v>0.0</v>
      </c>
      <c r="D1264" s="70">
        <v>0.0</v>
      </c>
      <c r="E1264" s="70">
        <v>0.0</v>
      </c>
      <c r="F1264" s="70">
        <v>0.0</v>
      </c>
      <c r="G1264" s="70">
        <v>0.0</v>
      </c>
      <c r="H1264" s="70" t="s">
        <v>5594</v>
      </c>
      <c r="I1264" s="70">
        <v>526.0</v>
      </c>
      <c r="J1264" s="70" t="s">
        <v>5591</v>
      </c>
      <c r="K1264" s="70" t="s">
        <v>5592</v>
      </c>
      <c r="L1264" s="70" t="s">
        <v>5593</v>
      </c>
      <c r="P1264" s="77">
        <v>44594.0</v>
      </c>
      <c r="U1264" s="70" t="s">
        <v>239</v>
      </c>
      <c r="W1264" s="70" t="s">
        <v>5596</v>
      </c>
      <c r="X1264" s="70" t="s">
        <v>5597</v>
      </c>
      <c r="Y1264" s="70" t="s">
        <v>30419</v>
      </c>
      <c r="Z1264" s="75" t="s">
        <v>5599</v>
      </c>
      <c r="AA1264" s="70" t="s">
        <v>5600</v>
      </c>
      <c r="AC1264" s="70">
        <v>10.0</v>
      </c>
      <c r="AE1264" s="70">
        <v>23.0</v>
      </c>
      <c r="AF1264" s="70" t="s">
        <v>239</v>
      </c>
      <c r="AW1264" s="70" t="s">
        <v>5601</v>
      </c>
      <c r="AX1264" s="70">
        <v>0.0</v>
      </c>
      <c r="AY1264" s="70" t="s">
        <v>24</v>
      </c>
      <c r="AZ1264" s="70">
        <v>2059.0</v>
      </c>
    </row>
    <row r="1265" ht="22.5" customHeight="1">
      <c r="A1265" s="70" t="str">
        <f t="shared" si="1"/>
        <v>Excluded</v>
      </c>
      <c r="B1265" s="70">
        <f t="shared" si="2"/>
        <v>0</v>
      </c>
      <c r="C1265" s="70">
        <v>0.0</v>
      </c>
      <c r="D1265" s="70">
        <v>0.0</v>
      </c>
      <c r="E1265" s="70">
        <v>0.0</v>
      </c>
      <c r="F1265" s="70">
        <v>0.0</v>
      </c>
      <c r="G1265" s="70">
        <v>0.0</v>
      </c>
      <c r="H1265" s="70" t="s">
        <v>8373</v>
      </c>
      <c r="I1265" s="70">
        <v>811.0</v>
      </c>
      <c r="J1265" s="70" t="s">
        <v>8371</v>
      </c>
      <c r="K1265" s="70" t="s">
        <v>8372</v>
      </c>
      <c r="L1265" s="70" t="s">
        <v>7324</v>
      </c>
      <c r="N1265" s="70" t="s">
        <v>5003</v>
      </c>
      <c r="P1265" s="76">
        <v>44937.0</v>
      </c>
      <c r="U1265" s="70" t="s">
        <v>239</v>
      </c>
      <c r="W1265" s="70" t="s">
        <v>8375</v>
      </c>
      <c r="X1265" s="70" t="s">
        <v>7328</v>
      </c>
      <c r="Z1265" s="75" t="s">
        <v>8376</v>
      </c>
      <c r="AA1265" s="70" t="s">
        <v>8377</v>
      </c>
      <c r="AC1265" s="70">
        <v>2.0</v>
      </c>
      <c r="AE1265" s="70">
        <v>12.0</v>
      </c>
      <c r="AF1265" s="70" t="s">
        <v>239</v>
      </c>
      <c r="AW1265" s="70" t="s">
        <v>8378</v>
      </c>
      <c r="AX1265" s="70">
        <v>0.0</v>
      </c>
      <c r="AY1265" s="70" t="s">
        <v>24</v>
      </c>
      <c r="AZ1265" s="70">
        <v>2260.0</v>
      </c>
    </row>
    <row r="1266" ht="22.5" customHeight="1">
      <c r="A1266" s="70" t="str">
        <f t="shared" si="1"/>
        <v>Excluded</v>
      </c>
      <c r="B1266" s="70">
        <f t="shared" si="2"/>
        <v>0</v>
      </c>
      <c r="C1266" s="70">
        <v>0.0</v>
      </c>
      <c r="D1266" s="70">
        <v>0.0</v>
      </c>
      <c r="E1266" s="70">
        <v>0.0</v>
      </c>
      <c r="F1266" s="70">
        <v>0.0</v>
      </c>
      <c r="G1266" s="70">
        <v>0.0</v>
      </c>
      <c r="H1266" s="70" t="s">
        <v>7325</v>
      </c>
      <c r="I1266" s="70">
        <v>702.0</v>
      </c>
      <c r="J1266" s="70" t="s">
        <v>7322</v>
      </c>
      <c r="K1266" s="70" t="s">
        <v>7323</v>
      </c>
      <c r="L1266" s="70" t="s">
        <v>7324</v>
      </c>
      <c r="N1266" s="70" t="s">
        <v>5003</v>
      </c>
      <c r="P1266" s="76">
        <v>44937.0</v>
      </c>
      <c r="U1266" s="70" t="s">
        <v>239</v>
      </c>
      <c r="W1266" s="70" t="s">
        <v>7327</v>
      </c>
      <c r="X1266" s="70" t="s">
        <v>7328</v>
      </c>
      <c r="Z1266" s="75" t="s">
        <v>7329</v>
      </c>
      <c r="AA1266" s="70" t="s">
        <v>7330</v>
      </c>
      <c r="AC1266" s="70">
        <v>4.0</v>
      </c>
      <c r="AE1266" s="70">
        <v>14.0</v>
      </c>
      <c r="AF1266" s="70" t="s">
        <v>239</v>
      </c>
      <c r="AW1266" s="70" t="s">
        <v>7331</v>
      </c>
      <c r="AX1266" s="70">
        <v>0.0</v>
      </c>
      <c r="AY1266" s="70" t="s">
        <v>24</v>
      </c>
      <c r="AZ1266" s="70">
        <v>1962.0</v>
      </c>
    </row>
    <row r="1267" ht="22.5" customHeight="1">
      <c r="A1267" s="70" t="str">
        <f t="shared" si="1"/>
        <v>Excluded</v>
      </c>
      <c r="B1267" s="70">
        <f t="shared" si="2"/>
        <v>0</v>
      </c>
      <c r="C1267" s="70">
        <v>0.0</v>
      </c>
      <c r="D1267" s="70">
        <v>0.0</v>
      </c>
      <c r="E1267" s="70">
        <v>0.0</v>
      </c>
      <c r="F1267" s="70">
        <v>0.0</v>
      </c>
      <c r="G1267" s="70">
        <v>0.0</v>
      </c>
      <c r="H1267" s="70" t="s">
        <v>9034</v>
      </c>
      <c r="I1267" s="70">
        <v>879.0</v>
      </c>
      <c r="J1267" s="70" t="s">
        <v>9032</v>
      </c>
      <c r="K1267" s="70" t="s">
        <v>9033</v>
      </c>
      <c r="L1267" s="70" t="s">
        <v>7324</v>
      </c>
      <c r="N1267" s="70" t="s">
        <v>5003</v>
      </c>
      <c r="P1267" s="76">
        <v>44937.0</v>
      </c>
      <c r="U1267" s="70" t="s">
        <v>239</v>
      </c>
      <c r="W1267" s="70" t="s">
        <v>9036</v>
      </c>
      <c r="X1267" s="70" t="s">
        <v>7328</v>
      </c>
      <c r="Y1267" s="70" t="s">
        <v>30420</v>
      </c>
      <c r="Z1267" s="75" t="s">
        <v>9038</v>
      </c>
      <c r="AC1267" s="70">
        <v>1.0</v>
      </c>
      <c r="AE1267" s="70">
        <v>22.0</v>
      </c>
      <c r="AF1267" s="70" t="s">
        <v>239</v>
      </c>
      <c r="AW1267" s="70" t="s">
        <v>9039</v>
      </c>
      <c r="AX1267" s="70">
        <v>0.0</v>
      </c>
      <c r="AY1267" s="70" t="s">
        <v>24</v>
      </c>
      <c r="AZ1267" s="70">
        <v>2511.0</v>
      </c>
    </row>
    <row r="1268" ht="22.5" customHeight="1">
      <c r="A1268" s="70" t="str">
        <f t="shared" si="1"/>
        <v>Excluded</v>
      </c>
      <c r="B1268" s="70">
        <f t="shared" si="2"/>
        <v>0</v>
      </c>
      <c r="C1268" s="70">
        <v>0.0</v>
      </c>
      <c r="D1268" s="70">
        <v>0.0</v>
      </c>
      <c r="E1268" s="70">
        <v>0.0</v>
      </c>
      <c r="F1268" s="70">
        <v>0.0</v>
      </c>
      <c r="G1268" s="70">
        <v>0.0</v>
      </c>
      <c r="H1268" s="70" t="s">
        <v>8099</v>
      </c>
      <c r="I1268" s="70">
        <v>782.0</v>
      </c>
      <c r="J1268" s="70" t="s">
        <v>8097</v>
      </c>
      <c r="K1268" s="70" t="s">
        <v>8098</v>
      </c>
      <c r="L1268" s="70" t="s">
        <v>7324</v>
      </c>
      <c r="N1268" s="70" t="s">
        <v>5003</v>
      </c>
      <c r="P1268" s="76">
        <v>44937.0</v>
      </c>
      <c r="U1268" s="70" t="s">
        <v>239</v>
      </c>
      <c r="W1268" s="70" t="s">
        <v>8101</v>
      </c>
      <c r="X1268" s="70" t="s">
        <v>7328</v>
      </c>
      <c r="Z1268" s="75" t="s">
        <v>8102</v>
      </c>
      <c r="AA1268" s="70" t="s">
        <v>8103</v>
      </c>
      <c r="AC1268" s="70">
        <v>2.0</v>
      </c>
      <c r="AE1268" s="70">
        <v>18.0</v>
      </c>
      <c r="AF1268" s="70" t="s">
        <v>239</v>
      </c>
      <c r="AW1268" s="70" t="s">
        <v>8104</v>
      </c>
      <c r="AX1268" s="70">
        <v>0.0</v>
      </c>
      <c r="AY1268" s="70" t="s">
        <v>24</v>
      </c>
      <c r="AZ1268" s="70">
        <v>2004.0</v>
      </c>
    </row>
    <row r="1269" ht="22.5" customHeight="1">
      <c r="A1269" s="70" t="str">
        <f t="shared" si="1"/>
        <v>Excluded</v>
      </c>
      <c r="B1269" s="70">
        <f t="shared" si="2"/>
        <v>0</v>
      </c>
      <c r="C1269" s="70">
        <v>0.0</v>
      </c>
      <c r="D1269" s="70">
        <v>0.0</v>
      </c>
      <c r="E1269" s="70">
        <v>0.0</v>
      </c>
      <c r="F1269" s="70">
        <v>0.0</v>
      </c>
      <c r="G1269" s="70">
        <v>0.0</v>
      </c>
      <c r="H1269" s="70" t="s">
        <v>15883</v>
      </c>
      <c r="I1269" s="70">
        <v>1664.0</v>
      </c>
      <c r="K1269" s="70" t="s">
        <v>15881</v>
      </c>
      <c r="L1269" s="70" t="s">
        <v>15882</v>
      </c>
      <c r="N1269" s="70" t="s">
        <v>5003</v>
      </c>
      <c r="P1269" s="76">
        <v>45727.0</v>
      </c>
      <c r="U1269" s="70" t="s">
        <v>239</v>
      </c>
      <c r="X1269" s="70" t="s">
        <v>15884</v>
      </c>
      <c r="Z1269" s="75" t="s">
        <v>15885</v>
      </c>
      <c r="AF1269" s="70" t="s">
        <v>239</v>
      </c>
      <c r="AZ1269" s="70">
        <v>1306.0</v>
      </c>
    </row>
    <row r="1270" ht="22.5" customHeight="1">
      <c r="A1270" s="70" t="str">
        <f t="shared" si="1"/>
        <v>Excluded</v>
      </c>
      <c r="B1270" s="70">
        <f t="shared" si="2"/>
        <v>0</v>
      </c>
      <c r="C1270" s="70">
        <v>0.0</v>
      </c>
      <c r="D1270" s="70">
        <v>0.0</v>
      </c>
      <c r="E1270" s="70">
        <v>0.0</v>
      </c>
      <c r="F1270" s="70">
        <v>0.0</v>
      </c>
      <c r="G1270" s="70">
        <v>0.0</v>
      </c>
      <c r="H1270" s="70" t="s">
        <v>15982</v>
      </c>
      <c r="I1270" s="70">
        <v>1688.0</v>
      </c>
      <c r="K1270" s="70" t="s">
        <v>15981</v>
      </c>
      <c r="L1270" s="70" t="s">
        <v>15882</v>
      </c>
      <c r="N1270" s="70" t="s">
        <v>5003</v>
      </c>
      <c r="P1270" s="76">
        <v>45727.0</v>
      </c>
      <c r="U1270" s="70" t="s">
        <v>239</v>
      </c>
      <c r="X1270" s="70" t="s">
        <v>15884</v>
      </c>
      <c r="Z1270" s="75" t="s">
        <v>15983</v>
      </c>
      <c r="AF1270" s="70" t="s">
        <v>239</v>
      </c>
      <c r="AZ1270" s="70">
        <v>1404.0</v>
      </c>
    </row>
    <row r="1271" ht="22.5" customHeight="1">
      <c r="A1271" s="70" t="str">
        <f t="shared" si="1"/>
        <v>Excluded</v>
      </c>
      <c r="B1271" s="70">
        <f t="shared" si="2"/>
        <v>0</v>
      </c>
      <c r="C1271" s="70">
        <v>0.0</v>
      </c>
      <c r="D1271" s="70">
        <v>0.0</v>
      </c>
      <c r="E1271" s="70">
        <v>0.0</v>
      </c>
      <c r="F1271" s="70">
        <v>0.0</v>
      </c>
      <c r="G1271" s="70">
        <v>0.0</v>
      </c>
      <c r="H1271" s="70" t="s">
        <v>15947</v>
      </c>
      <c r="I1271" s="70">
        <v>1680.0</v>
      </c>
      <c r="K1271" s="70" t="s">
        <v>15946</v>
      </c>
      <c r="L1271" s="70" t="s">
        <v>11732</v>
      </c>
      <c r="N1271" s="70" t="s">
        <v>5003</v>
      </c>
      <c r="P1271" s="76">
        <v>45348.0</v>
      </c>
      <c r="U1271" s="70" t="s">
        <v>239</v>
      </c>
      <c r="X1271" s="70" t="s">
        <v>11736</v>
      </c>
      <c r="Z1271" s="75" t="s">
        <v>15948</v>
      </c>
      <c r="AF1271" s="70" t="s">
        <v>239</v>
      </c>
      <c r="AZ1271" s="70">
        <v>1441.0</v>
      </c>
    </row>
    <row r="1272" ht="22.5" customHeight="1">
      <c r="A1272" s="70" t="str">
        <f t="shared" si="1"/>
        <v>Excluded</v>
      </c>
      <c r="B1272" s="70">
        <f t="shared" si="2"/>
        <v>0</v>
      </c>
      <c r="C1272" s="70">
        <v>0.0</v>
      </c>
      <c r="D1272" s="70">
        <v>0.0</v>
      </c>
      <c r="E1272" s="70">
        <v>0.0</v>
      </c>
      <c r="F1272" s="70">
        <v>0.0</v>
      </c>
      <c r="G1272" s="70">
        <v>0.0</v>
      </c>
      <c r="H1272" s="70" t="s">
        <v>16057</v>
      </c>
      <c r="I1272" s="70">
        <v>1710.0</v>
      </c>
      <c r="K1272" s="70" t="s">
        <v>10612</v>
      </c>
      <c r="L1272" s="70" t="s">
        <v>11732</v>
      </c>
      <c r="N1272" s="70" t="s">
        <v>5003</v>
      </c>
      <c r="P1272" s="76">
        <v>45348.0</v>
      </c>
      <c r="U1272" s="70" t="s">
        <v>239</v>
      </c>
      <c r="X1272" s="70" t="s">
        <v>11736</v>
      </c>
      <c r="Z1272" s="75" t="s">
        <v>16058</v>
      </c>
      <c r="AF1272" s="70" t="s">
        <v>239</v>
      </c>
      <c r="AZ1272" s="70">
        <v>1419.0</v>
      </c>
    </row>
    <row r="1273" ht="22.5" customHeight="1">
      <c r="A1273" s="70" t="str">
        <f t="shared" si="1"/>
        <v>Excluded</v>
      </c>
      <c r="B1273" s="70">
        <f t="shared" si="2"/>
        <v>0</v>
      </c>
      <c r="C1273" s="70">
        <v>0.0</v>
      </c>
      <c r="D1273" s="70">
        <v>0.0</v>
      </c>
      <c r="E1273" s="70">
        <v>0.0</v>
      </c>
      <c r="F1273" s="70">
        <v>0.0</v>
      </c>
      <c r="G1273" s="70">
        <v>0.0</v>
      </c>
      <c r="H1273" s="70" t="s">
        <v>11733</v>
      </c>
      <c r="I1273" s="70">
        <v>1228.0</v>
      </c>
      <c r="J1273" s="70" t="s">
        <v>11730</v>
      </c>
      <c r="K1273" s="70" t="s">
        <v>11731</v>
      </c>
      <c r="L1273" s="70" t="s">
        <v>11732</v>
      </c>
      <c r="N1273" s="70" t="s">
        <v>5003</v>
      </c>
      <c r="P1273" s="76">
        <v>45348.0</v>
      </c>
      <c r="U1273" s="70" t="s">
        <v>239</v>
      </c>
      <c r="W1273" s="70" t="s">
        <v>11735</v>
      </c>
      <c r="X1273" s="70" t="s">
        <v>11736</v>
      </c>
      <c r="Z1273" s="75" t="s">
        <v>11737</v>
      </c>
      <c r="AA1273" s="70" t="s">
        <v>11738</v>
      </c>
      <c r="AC1273" s="70">
        <v>2.0</v>
      </c>
      <c r="AE1273" s="70">
        <v>12.0</v>
      </c>
      <c r="AF1273" s="70" t="s">
        <v>239</v>
      </c>
      <c r="AW1273" s="70" t="s">
        <v>11739</v>
      </c>
      <c r="AZ1273" s="70">
        <v>795.0</v>
      </c>
    </row>
    <row r="1274" ht="22.5" customHeight="1">
      <c r="A1274" s="70" t="str">
        <f t="shared" si="1"/>
        <v>Excluded</v>
      </c>
      <c r="B1274" s="70">
        <f t="shared" si="2"/>
        <v>0</v>
      </c>
      <c r="C1274" s="70">
        <v>0.0</v>
      </c>
      <c r="D1274" s="70">
        <v>0.0</v>
      </c>
      <c r="E1274" s="70">
        <v>0.0</v>
      </c>
      <c r="F1274" s="70">
        <v>0.0</v>
      </c>
      <c r="G1274" s="70">
        <v>0.0</v>
      </c>
      <c r="H1274" s="70" t="s">
        <v>13683</v>
      </c>
      <c r="I1274" s="70">
        <v>1425.0</v>
      </c>
      <c r="K1274" s="70" t="s">
        <v>13682</v>
      </c>
      <c r="L1274" s="70" t="s">
        <v>11732</v>
      </c>
      <c r="N1274" s="70" t="s">
        <v>5003</v>
      </c>
      <c r="P1274" s="76">
        <v>45348.0</v>
      </c>
      <c r="U1274" s="70" t="s">
        <v>239</v>
      </c>
      <c r="W1274" s="70" t="s">
        <v>13684</v>
      </c>
      <c r="X1274" s="70" t="s">
        <v>11736</v>
      </c>
      <c r="Z1274" s="75" t="s">
        <v>13685</v>
      </c>
      <c r="AF1274" s="70" t="s">
        <v>239</v>
      </c>
      <c r="AW1274" s="70" t="s">
        <v>13686</v>
      </c>
      <c r="AZ1274" s="70">
        <v>1462.0</v>
      </c>
    </row>
    <row r="1275" ht="22.5" customHeight="1">
      <c r="A1275" s="70" t="str">
        <f t="shared" si="1"/>
        <v>Excluded</v>
      </c>
      <c r="B1275" s="70">
        <f t="shared" si="2"/>
        <v>0</v>
      </c>
      <c r="C1275" s="70">
        <v>0.0</v>
      </c>
      <c r="D1275" s="70">
        <v>0.0</v>
      </c>
      <c r="E1275" s="70">
        <v>0.0</v>
      </c>
      <c r="F1275" s="70">
        <v>0.0</v>
      </c>
      <c r="G1275" s="70">
        <v>0.0</v>
      </c>
      <c r="H1275" s="70" t="s">
        <v>5212</v>
      </c>
      <c r="I1275" s="70">
        <v>487.0</v>
      </c>
      <c r="J1275" s="70" t="s">
        <v>5209</v>
      </c>
      <c r="K1275" s="70" t="s">
        <v>5210</v>
      </c>
      <c r="L1275" s="70" t="s">
        <v>5211</v>
      </c>
      <c r="N1275" s="70" t="s">
        <v>5003</v>
      </c>
      <c r="P1275" s="76">
        <v>43517.0</v>
      </c>
      <c r="U1275" s="70" t="s">
        <v>239</v>
      </c>
      <c r="W1275" s="70" t="s">
        <v>5214</v>
      </c>
      <c r="X1275" s="70" t="s">
        <v>5215</v>
      </c>
      <c r="Z1275" s="75" t="s">
        <v>5216</v>
      </c>
      <c r="AA1275" s="70" t="s">
        <v>5217</v>
      </c>
      <c r="AC1275" s="70">
        <v>16.0</v>
      </c>
      <c r="AE1275" s="70">
        <v>17.0</v>
      </c>
      <c r="AF1275" s="70" t="s">
        <v>239</v>
      </c>
      <c r="AW1275" s="70" t="s">
        <v>5218</v>
      </c>
      <c r="AX1275" s="70">
        <v>0.0</v>
      </c>
      <c r="AY1275" s="70" t="s">
        <v>24</v>
      </c>
      <c r="AZ1275" s="70">
        <v>2616.0</v>
      </c>
    </row>
    <row r="1276" ht="22.5" customHeight="1">
      <c r="A1276" s="70" t="str">
        <f t="shared" si="1"/>
        <v>Excluded</v>
      </c>
      <c r="B1276" s="70">
        <f t="shared" si="2"/>
        <v>0</v>
      </c>
      <c r="C1276" s="70">
        <v>0.0</v>
      </c>
      <c r="D1276" s="70">
        <v>0.0</v>
      </c>
      <c r="E1276" s="70">
        <v>0.0</v>
      </c>
      <c r="F1276" s="70">
        <v>0.0</v>
      </c>
      <c r="G1276" s="70">
        <v>0.0</v>
      </c>
      <c r="H1276" s="70" t="s">
        <v>26884</v>
      </c>
      <c r="I1276" s="70">
        <v>2910.0</v>
      </c>
      <c r="J1276" s="70" t="s">
        <v>26882</v>
      </c>
      <c r="K1276" s="70" t="s">
        <v>26883</v>
      </c>
      <c r="W1276" s="70" t="s">
        <v>30421</v>
      </c>
      <c r="AA1276" s="70" t="s">
        <v>26886</v>
      </c>
      <c r="AI1276" s="70" t="s">
        <v>26887</v>
      </c>
      <c r="AJ1276" s="70" t="s">
        <v>26888</v>
      </c>
      <c r="AK1276" s="70">
        <v>2021.0</v>
      </c>
      <c r="AL1276" s="70" t="s">
        <v>26889</v>
      </c>
      <c r="AQ1276" s="70">
        <v>1.0</v>
      </c>
      <c r="AR1276" s="75" t="s">
        <v>26890</v>
      </c>
      <c r="AS1276" s="70" t="s">
        <v>22525</v>
      </c>
      <c r="AU1276" s="70" t="s">
        <v>237</v>
      </c>
      <c r="AV1276" s="70" t="s">
        <v>26891</v>
      </c>
      <c r="AW1276" s="70" t="s">
        <v>26892</v>
      </c>
      <c r="AX1276" s="70">
        <v>0.0</v>
      </c>
      <c r="AY1276" s="70" t="s">
        <v>24</v>
      </c>
      <c r="AZ1276" s="70">
        <v>2501.0</v>
      </c>
    </row>
    <row r="1277" ht="22.5" customHeight="1">
      <c r="A1277" s="70" t="str">
        <f t="shared" si="1"/>
        <v>Excluded</v>
      </c>
      <c r="B1277" s="70">
        <f t="shared" si="2"/>
        <v>0</v>
      </c>
      <c r="C1277" s="70">
        <v>0.0</v>
      </c>
      <c r="D1277" s="70">
        <v>0.0</v>
      </c>
      <c r="E1277" s="70">
        <v>0.0</v>
      </c>
      <c r="F1277" s="70">
        <v>0.0</v>
      </c>
      <c r="G1277" s="70">
        <v>0.0</v>
      </c>
      <c r="H1277" s="70" t="s">
        <v>13064</v>
      </c>
      <c r="I1277" s="70">
        <v>1362.0</v>
      </c>
      <c r="J1277" s="70" t="s">
        <v>13061</v>
      </c>
      <c r="K1277" s="70" t="s">
        <v>13062</v>
      </c>
      <c r="L1277" s="70" t="s">
        <v>13063</v>
      </c>
      <c r="P1277" s="76">
        <v>45709.0</v>
      </c>
      <c r="U1277" s="70" t="s">
        <v>239</v>
      </c>
      <c r="W1277" s="70" t="s">
        <v>13066</v>
      </c>
      <c r="X1277" s="70" t="s">
        <v>13067</v>
      </c>
      <c r="Y1277" s="70" t="s">
        <v>30422</v>
      </c>
      <c r="Z1277" s="75" t="s">
        <v>13069</v>
      </c>
      <c r="AA1277" s="70" t="s">
        <v>13070</v>
      </c>
      <c r="AE1277" s="70">
        <v>15.0</v>
      </c>
      <c r="AF1277" s="70" t="s">
        <v>239</v>
      </c>
      <c r="AW1277" s="70" t="s">
        <v>13071</v>
      </c>
      <c r="AZ1277" s="70">
        <v>1027.0</v>
      </c>
    </row>
    <row r="1278" ht="22.5" customHeight="1">
      <c r="A1278" s="70" t="str">
        <f t="shared" si="1"/>
        <v>Excluded</v>
      </c>
      <c r="B1278" s="70">
        <f t="shared" si="2"/>
        <v>0</v>
      </c>
      <c r="C1278" s="70">
        <v>0.0</v>
      </c>
      <c r="D1278" s="70">
        <v>0.0</v>
      </c>
      <c r="E1278" s="70">
        <v>0.0</v>
      </c>
      <c r="F1278" s="70">
        <v>0.0</v>
      </c>
      <c r="G1278" s="70">
        <v>0.0</v>
      </c>
      <c r="H1278" s="70" t="s">
        <v>12139</v>
      </c>
      <c r="I1278" s="70">
        <v>1269.0</v>
      </c>
      <c r="J1278" s="70" t="s">
        <v>12136</v>
      </c>
      <c r="K1278" s="70" t="s">
        <v>12137</v>
      </c>
      <c r="L1278" s="70" t="s">
        <v>12138</v>
      </c>
      <c r="P1278" s="76">
        <v>45103.0</v>
      </c>
      <c r="U1278" s="70" t="s">
        <v>239</v>
      </c>
      <c r="W1278" s="70" t="s">
        <v>12141</v>
      </c>
      <c r="X1278" s="70" t="s">
        <v>12142</v>
      </c>
      <c r="Z1278" s="75" t="s">
        <v>12143</v>
      </c>
      <c r="AA1278" s="70" t="s">
        <v>12144</v>
      </c>
      <c r="AC1278" s="70">
        <v>1.0</v>
      </c>
      <c r="AE1278" s="70">
        <v>21.0</v>
      </c>
      <c r="AF1278" s="70" t="s">
        <v>239</v>
      </c>
      <c r="AW1278" s="70" t="s">
        <v>12145</v>
      </c>
      <c r="AZ1278" s="70">
        <v>1240.0</v>
      </c>
    </row>
    <row r="1279" ht="22.5" customHeight="1">
      <c r="A1279" s="70" t="str">
        <f t="shared" si="1"/>
        <v>Excluded</v>
      </c>
      <c r="B1279" s="70">
        <f t="shared" si="2"/>
        <v>0</v>
      </c>
      <c r="C1279" s="70">
        <v>0.0</v>
      </c>
      <c r="D1279" s="70">
        <v>0.0</v>
      </c>
      <c r="E1279" s="70">
        <v>0.0</v>
      </c>
      <c r="F1279" s="70">
        <v>0.0</v>
      </c>
      <c r="G1279" s="70">
        <v>0.0</v>
      </c>
      <c r="H1279" s="70" t="s">
        <v>11712</v>
      </c>
      <c r="I1279" s="70">
        <v>1226.0</v>
      </c>
      <c r="J1279" s="70" t="s">
        <v>11708</v>
      </c>
      <c r="K1279" s="70" t="s">
        <v>11709</v>
      </c>
      <c r="L1279" s="70" t="s">
        <v>11710</v>
      </c>
      <c r="N1279" s="70" t="s">
        <v>11711</v>
      </c>
      <c r="P1279" s="76">
        <v>45219.0</v>
      </c>
      <c r="U1279" s="70" t="s">
        <v>239</v>
      </c>
      <c r="W1279" s="70" t="s">
        <v>30423</v>
      </c>
      <c r="X1279" s="70" t="s">
        <v>11715</v>
      </c>
      <c r="Z1279" s="75" t="s">
        <v>11716</v>
      </c>
      <c r="AA1279" s="70" t="s">
        <v>11717</v>
      </c>
      <c r="AC1279" s="70">
        <v>2.0</v>
      </c>
      <c r="AE1279" s="70">
        <v>53.0</v>
      </c>
      <c r="AF1279" s="70" t="s">
        <v>239</v>
      </c>
      <c r="AW1279" s="70" t="s">
        <v>11718</v>
      </c>
      <c r="AX1279" s="70">
        <v>0.0</v>
      </c>
      <c r="AY1279" s="70" t="s">
        <v>24</v>
      </c>
      <c r="AZ1279" s="70">
        <v>2869.0</v>
      </c>
    </row>
    <row r="1280" ht="22.5" customHeight="1">
      <c r="A1280" s="70" t="str">
        <f t="shared" si="1"/>
        <v>Excluded</v>
      </c>
      <c r="B1280" s="70">
        <f t="shared" si="2"/>
        <v>0</v>
      </c>
      <c r="C1280" s="70">
        <v>0.0</v>
      </c>
      <c r="D1280" s="70">
        <v>0.0</v>
      </c>
      <c r="E1280" s="70">
        <v>0.0</v>
      </c>
      <c r="F1280" s="70">
        <v>0.0</v>
      </c>
      <c r="G1280" s="70">
        <v>0.0</v>
      </c>
      <c r="H1280" s="70" t="s">
        <v>28828</v>
      </c>
      <c r="I1280" s="70">
        <v>3099.0</v>
      </c>
      <c r="J1280" s="70" t="s">
        <v>28826</v>
      </c>
      <c r="K1280" s="70" t="s">
        <v>28827</v>
      </c>
      <c r="W1280" s="70" t="s">
        <v>30424</v>
      </c>
      <c r="AA1280" s="70" t="s">
        <v>28830</v>
      </c>
      <c r="AI1280" s="70" t="s">
        <v>28831</v>
      </c>
      <c r="AJ1280" s="70" t="s">
        <v>28832</v>
      </c>
      <c r="AK1280" s="70">
        <v>2020.0</v>
      </c>
      <c r="AL1280" s="70" t="s">
        <v>28833</v>
      </c>
      <c r="AM1280" s="70">
        <v>9065583.0</v>
      </c>
      <c r="AN1280" s="70">
        <v>193.0</v>
      </c>
      <c r="AO1280" s="70">
        <v>206.0</v>
      </c>
      <c r="AP1280" s="70">
        <v>13.0</v>
      </c>
      <c r="AQ1280" s="70">
        <v>129.0</v>
      </c>
      <c r="AR1280" s="75" t="s">
        <v>28834</v>
      </c>
      <c r="AS1280" s="70" t="s">
        <v>22525</v>
      </c>
      <c r="AU1280" s="70" t="s">
        <v>237</v>
      </c>
      <c r="AV1280" s="70" t="s">
        <v>28835</v>
      </c>
      <c r="AW1280" s="70" t="s">
        <v>28836</v>
      </c>
      <c r="AZ1280" s="70">
        <v>354.0</v>
      </c>
    </row>
    <row r="1281" ht="22.5" customHeight="1">
      <c r="A1281" s="70" t="str">
        <f t="shared" si="1"/>
        <v>Excluded</v>
      </c>
      <c r="B1281" s="70">
        <f t="shared" si="2"/>
        <v>0</v>
      </c>
      <c r="C1281" s="70">
        <v>0.0</v>
      </c>
      <c r="D1281" s="70">
        <v>0.0</v>
      </c>
      <c r="E1281" s="70">
        <v>0.0</v>
      </c>
      <c r="F1281" s="70">
        <v>0.0</v>
      </c>
      <c r="G1281" s="70">
        <v>0.0</v>
      </c>
      <c r="H1281" s="70" t="s">
        <v>28111</v>
      </c>
      <c r="I1281" s="70">
        <v>3029.0</v>
      </c>
      <c r="J1281" s="70" t="s">
        <v>28109</v>
      </c>
      <c r="K1281" s="70" t="s">
        <v>28110</v>
      </c>
      <c r="W1281" s="70" t="s">
        <v>30425</v>
      </c>
      <c r="AA1281" s="70" t="s">
        <v>28113</v>
      </c>
      <c r="AI1281" s="70" t="s">
        <v>28114</v>
      </c>
      <c r="AJ1281" s="70" t="s">
        <v>28115</v>
      </c>
      <c r="AK1281" s="70">
        <v>2021.0</v>
      </c>
      <c r="AL1281" s="70" t="s">
        <v>24521</v>
      </c>
      <c r="AM1281" s="70">
        <v>9407243.0</v>
      </c>
      <c r="AN1281" s="70">
        <v>545.0</v>
      </c>
      <c r="AO1281" s="70">
        <v>556.0</v>
      </c>
      <c r="AP1281" s="70">
        <v>11.0</v>
      </c>
      <c r="AQ1281" s="70">
        <v>3.0</v>
      </c>
      <c r="AR1281" s="75" t="s">
        <v>28116</v>
      </c>
      <c r="AS1281" s="70" t="s">
        <v>22525</v>
      </c>
      <c r="AT1281" s="70" t="s">
        <v>22816</v>
      </c>
      <c r="AU1281" s="70" t="s">
        <v>237</v>
      </c>
      <c r="AV1281" s="70" t="s">
        <v>28117</v>
      </c>
      <c r="AW1281" s="70" t="s">
        <v>28118</v>
      </c>
      <c r="AZ1281" s="70">
        <v>213.0</v>
      </c>
    </row>
    <row r="1282" ht="22.5" customHeight="1">
      <c r="A1282" s="70" t="str">
        <f t="shared" si="1"/>
        <v>Excluded</v>
      </c>
      <c r="B1282" s="70">
        <f t="shared" si="2"/>
        <v>0</v>
      </c>
      <c r="C1282" s="70">
        <v>0.0</v>
      </c>
      <c r="D1282" s="70">
        <v>0.0</v>
      </c>
      <c r="E1282" s="70">
        <v>0.0</v>
      </c>
      <c r="F1282" s="70">
        <v>0.0</v>
      </c>
      <c r="G1282" s="70">
        <v>0.0</v>
      </c>
      <c r="H1282" s="70" t="s">
        <v>27975</v>
      </c>
      <c r="I1282" s="70">
        <v>3016.0</v>
      </c>
      <c r="J1282" s="70" t="s">
        <v>27973</v>
      </c>
      <c r="K1282" s="70" t="s">
        <v>27974</v>
      </c>
      <c r="W1282" s="70" t="s">
        <v>30426</v>
      </c>
      <c r="AA1282" s="70" t="s">
        <v>27977</v>
      </c>
      <c r="AI1282" s="70" t="s">
        <v>27978</v>
      </c>
      <c r="AJ1282" s="70" t="s">
        <v>27979</v>
      </c>
      <c r="AK1282" s="70">
        <v>2021.0</v>
      </c>
      <c r="AL1282" s="70" t="s">
        <v>24521</v>
      </c>
      <c r="AM1282" s="70">
        <v>9407142.0</v>
      </c>
      <c r="AN1282" s="70">
        <v>854.0</v>
      </c>
      <c r="AO1282" s="70">
        <v>867.0</v>
      </c>
      <c r="AP1282" s="70">
        <v>13.0</v>
      </c>
      <c r="AQ1282" s="70">
        <v>91.0</v>
      </c>
      <c r="AR1282" s="75" t="s">
        <v>27980</v>
      </c>
      <c r="AS1282" s="70" t="s">
        <v>22525</v>
      </c>
      <c r="AT1282" s="70" t="s">
        <v>22816</v>
      </c>
      <c r="AU1282" s="70" t="s">
        <v>237</v>
      </c>
      <c r="AV1282" s="70" t="s">
        <v>27981</v>
      </c>
      <c r="AW1282" s="70" t="s">
        <v>27982</v>
      </c>
      <c r="AX1282" s="70">
        <v>0.0</v>
      </c>
      <c r="AY1282" s="70" t="s">
        <v>24</v>
      </c>
      <c r="AZ1282" s="70">
        <v>1880.0</v>
      </c>
    </row>
    <row r="1283" ht="22.5" customHeight="1">
      <c r="A1283" s="70" t="str">
        <f t="shared" si="1"/>
        <v>Excluded</v>
      </c>
      <c r="B1283" s="70">
        <f t="shared" si="2"/>
        <v>0</v>
      </c>
      <c r="C1283" s="70">
        <v>0.0</v>
      </c>
      <c r="D1283" s="70">
        <v>0.0</v>
      </c>
      <c r="E1283" s="70">
        <v>0.0</v>
      </c>
      <c r="F1283" s="70">
        <v>0.0</v>
      </c>
      <c r="G1283" s="70">
        <v>0.0</v>
      </c>
      <c r="H1283" s="70" t="s">
        <v>8430</v>
      </c>
      <c r="I1283" s="70">
        <v>817.0</v>
      </c>
      <c r="J1283" s="70" t="s">
        <v>30427</v>
      </c>
      <c r="K1283" s="70" t="s">
        <v>8428</v>
      </c>
      <c r="L1283" s="70" t="s">
        <v>8429</v>
      </c>
      <c r="N1283" s="70" t="s">
        <v>4880</v>
      </c>
      <c r="P1283" s="78">
        <v>44698.0</v>
      </c>
      <c r="U1283" s="70" t="s">
        <v>239</v>
      </c>
      <c r="W1283" s="70" t="s">
        <v>30428</v>
      </c>
      <c r="X1283" s="70" t="s">
        <v>8433</v>
      </c>
      <c r="Z1283" s="75" t="s">
        <v>8434</v>
      </c>
      <c r="AC1283" s="70">
        <v>2.0</v>
      </c>
      <c r="AE1283" s="70">
        <v>74.0</v>
      </c>
      <c r="AF1283" s="70" t="s">
        <v>239</v>
      </c>
      <c r="AW1283" s="70" t="s">
        <v>8435</v>
      </c>
      <c r="AZ1283" s="70">
        <v>194.0</v>
      </c>
    </row>
    <row r="1284" ht="22.5" customHeight="1">
      <c r="A1284" s="70" t="str">
        <f t="shared" si="1"/>
        <v>Excluded</v>
      </c>
      <c r="B1284" s="70">
        <f t="shared" si="2"/>
        <v>0</v>
      </c>
      <c r="C1284" s="70">
        <v>0.0</v>
      </c>
      <c r="D1284" s="70">
        <v>0.0</v>
      </c>
      <c r="E1284" s="70">
        <v>0.0</v>
      </c>
      <c r="F1284" s="70">
        <v>0.0</v>
      </c>
      <c r="G1284" s="70">
        <v>0.0</v>
      </c>
      <c r="H1284" s="70" t="s">
        <v>11152</v>
      </c>
      <c r="I1284" s="70">
        <v>1170.0</v>
      </c>
      <c r="J1284" s="70" t="s">
        <v>11149</v>
      </c>
      <c r="K1284" s="70" t="s">
        <v>11150</v>
      </c>
      <c r="L1284" s="70" t="s">
        <v>11151</v>
      </c>
      <c r="N1284" s="70" t="s">
        <v>4880</v>
      </c>
      <c r="P1284" s="76">
        <v>45009.0</v>
      </c>
      <c r="U1284" s="70" t="s">
        <v>239</v>
      </c>
      <c r="W1284" s="70" t="s">
        <v>30429</v>
      </c>
      <c r="X1284" s="70" t="s">
        <v>11155</v>
      </c>
      <c r="Z1284" s="75" t="s">
        <v>11156</v>
      </c>
      <c r="AA1284" s="70" t="s">
        <v>11157</v>
      </c>
      <c r="AC1284" s="70">
        <v>6.0</v>
      </c>
      <c r="AE1284" s="70">
        <v>91.0</v>
      </c>
      <c r="AF1284" s="70" t="s">
        <v>239</v>
      </c>
      <c r="AW1284" s="70" t="s">
        <v>11158</v>
      </c>
      <c r="AZ1284" s="70">
        <v>1163.0</v>
      </c>
    </row>
    <row r="1285" ht="22.5" customHeight="1">
      <c r="A1285" s="70" t="str">
        <f t="shared" si="1"/>
        <v>Excluded</v>
      </c>
      <c r="B1285" s="70">
        <f t="shared" si="2"/>
        <v>0</v>
      </c>
      <c r="C1285" s="70">
        <v>0.0</v>
      </c>
      <c r="D1285" s="70">
        <v>0.0</v>
      </c>
      <c r="E1285" s="70">
        <v>0.0</v>
      </c>
      <c r="F1285" s="70">
        <v>0.0</v>
      </c>
      <c r="G1285" s="70">
        <v>0.0</v>
      </c>
      <c r="H1285" s="70" t="s">
        <v>15805</v>
      </c>
      <c r="I1285" s="70">
        <v>1651.0</v>
      </c>
      <c r="J1285" s="70" t="s">
        <v>15802</v>
      </c>
      <c r="K1285" s="70" t="s">
        <v>15803</v>
      </c>
      <c r="L1285" s="70" t="s">
        <v>15804</v>
      </c>
      <c r="N1285" s="70" t="s">
        <v>4880</v>
      </c>
      <c r="P1285" s="77">
        <v>45384.0</v>
      </c>
      <c r="U1285" s="70" t="s">
        <v>239</v>
      </c>
      <c r="W1285" s="70" t="s">
        <v>30430</v>
      </c>
      <c r="X1285" s="70" t="s">
        <v>15808</v>
      </c>
      <c r="Z1285" s="75" t="s">
        <v>15809</v>
      </c>
      <c r="AA1285" s="70" t="s">
        <v>15810</v>
      </c>
      <c r="AE1285" s="70">
        <v>97.0</v>
      </c>
      <c r="AF1285" s="70" t="s">
        <v>239</v>
      </c>
      <c r="AW1285" s="70" t="s">
        <v>15811</v>
      </c>
      <c r="AZ1285" s="70">
        <v>1092.0</v>
      </c>
    </row>
    <row r="1286" ht="22.5" customHeight="1">
      <c r="A1286" s="70" t="str">
        <f t="shared" si="1"/>
        <v>Excluded</v>
      </c>
      <c r="B1286" s="70">
        <f t="shared" si="2"/>
        <v>0</v>
      </c>
      <c r="C1286" s="70">
        <v>0.0</v>
      </c>
      <c r="D1286" s="70">
        <v>0.0</v>
      </c>
      <c r="E1286" s="70">
        <v>0.0</v>
      </c>
      <c r="F1286" s="70">
        <v>0.0</v>
      </c>
      <c r="G1286" s="70">
        <v>0.0</v>
      </c>
      <c r="H1286" s="70" t="s">
        <v>24517</v>
      </c>
      <c r="I1286" s="70">
        <v>2680.0</v>
      </c>
      <c r="J1286" s="70" t="s">
        <v>24515</v>
      </c>
      <c r="K1286" s="70" t="s">
        <v>24516</v>
      </c>
      <c r="W1286" s="70" t="s">
        <v>30431</v>
      </c>
      <c r="AI1286" s="70" t="s">
        <v>24519</v>
      </c>
      <c r="AJ1286" s="70" t="s">
        <v>24520</v>
      </c>
      <c r="AK1286" s="70">
        <v>2024.0</v>
      </c>
      <c r="AL1286" s="70" t="s">
        <v>24521</v>
      </c>
      <c r="AN1286" s="70">
        <v>1043.0</v>
      </c>
      <c r="AO1286" s="70">
        <v>1062.0</v>
      </c>
      <c r="AP1286" s="70">
        <v>19.0</v>
      </c>
      <c r="AQ1286" s="70">
        <v>3.0</v>
      </c>
      <c r="AR1286" s="75" t="s">
        <v>24522</v>
      </c>
      <c r="AS1286" s="70" t="s">
        <v>22525</v>
      </c>
      <c r="AU1286" s="70" t="s">
        <v>237</v>
      </c>
      <c r="AV1286" s="70" t="s">
        <v>24523</v>
      </c>
      <c r="AW1286" s="70" t="s">
        <v>24524</v>
      </c>
      <c r="AZ1286" s="70">
        <v>580.0</v>
      </c>
    </row>
    <row r="1287" ht="22.5" customHeight="1">
      <c r="A1287" s="70" t="str">
        <f t="shared" si="1"/>
        <v>Excluded</v>
      </c>
      <c r="B1287" s="70">
        <f t="shared" si="2"/>
        <v>0</v>
      </c>
      <c r="C1287" s="70">
        <v>0.0</v>
      </c>
      <c r="D1287" s="70">
        <v>0.0</v>
      </c>
      <c r="E1287" s="70">
        <v>0.0</v>
      </c>
      <c r="F1287" s="70">
        <v>0.0</v>
      </c>
      <c r="G1287" s="70">
        <v>0.0</v>
      </c>
      <c r="H1287" s="70" t="s">
        <v>9593</v>
      </c>
      <c r="I1287" s="70">
        <v>938.0</v>
      </c>
      <c r="J1287" s="70" t="s">
        <v>9590</v>
      </c>
      <c r="K1287" s="70" t="s">
        <v>9591</v>
      </c>
      <c r="L1287" s="70" t="s">
        <v>9592</v>
      </c>
      <c r="P1287" s="78">
        <v>44711.0</v>
      </c>
      <c r="U1287" s="70" t="s">
        <v>239</v>
      </c>
      <c r="W1287" s="70" t="s">
        <v>9595</v>
      </c>
      <c r="X1287" s="70" t="s">
        <v>9596</v>
      </c>
      <c r="Y1287" s="70" t="s">
        <v>30432</v>
      </c>
      <c r="Z1287" s="75" t="s">
        <v>9598</v>
      </c>
      <c r="AA1287" s="70" t="s">
        <v>9599</v>
      </c>
      <c r="AE1287" s="70">
        <v>35.0</v>
      </c>
      <c r="AF1287" s="70" t="s">
        <v>239</v>
      </c>
      <c r="AW1287" s="70" t="s">
        <v>9600</v>
      </c>
      <c r="AX1287" s="70">
        <v>0.0</v>
      </c>
      <c r="AY1287" s="70" t="s">
        <v>24</v>
      </c>
      <c r="AZ1287" s="70">
        <v>2381.0</v>
      </c>
    </row>
    <row r="1288" ht="22.5" customHeight="1">
      <c r="A1288" s="70" t="str">
        <f t="shared" si="1"/>
        <v>Excluded</v>
      </c>
      <c r="B1288" s="70">
        <f t="shared" si="2"/>
        <v>0</v>
      </c>
      <c r="C1288" s="70">
        <v>0.0</v>
      </c>
      <c r="D1288" s="70">
        <v>0.0</v>
      </c>
      <c r="E1288" s="70">
        <v>0.0</v>
      </c>
      <c r="F1288" s="70">
        <v>0.0</v>
      </c>
      <c r="G1288" s="70">
        <v>0.0</v>
      </c>
      <c r="H1288" s="70" t="s">
        <v>5914</v>
      </c>
      <c r="I1288" s="70">
        <v>558.0</v>
      </c>
      <c r="J1288" s="70" t="s">
        <v>5911</v>
      </c>
      <c r="K1288" s="70" t="s">
        <v>5912</v>
      </c>
      <c r="L1288" s="70" t="s">
        <v>5913</v>
      </c>
      <c r="P1288" s="76">
        <v>44312.0</v>
      </c>
      <c r="U1288" s="70" t="s">
        <v>239</v>
      </c>
      <c r="W1288" s="70" t="s">
        <v>5916</v>
      </c>
      <c r="X1288" s="70" t="s">
        <v>5917</v>
      </c>
      <c r="Y1288" s="70" t="s">
        <v>30433</v>
      </c>
      <c r="Z1288" s="75" t="s">
        <v>5919</v>
      </c>
      <c r="AA1288" s="70" t="s">
        <v>5920</v>
      </c>
      <c r="AC1288" s="70">
        <v>8.0</v>
      </c>
      <c r="AE1288" s="70">
        <v>22.0</v>
      </c>
      <c r="AF1288" s="70" t="s">
        <v>239</v>
      </c>
      <c r="AW1288" s="70" t="s">
        <v>5921</v>
      </c>
      <c r="AX1288" s="70">
        <v>0.0</v>
      </c>
      <c r="AY1288" s="70" t="s">
        <v>24</v>
      </c>
      <c r="AZ1288" s="70">
        <v>2148.0</v>
      </c>
    </row>
    <row r="1289" ht="22.5" customHeight="1">
      <c r="A1289" s="70" t="str">
        <f t="shared" si="1"/>
        <v>Excluded</v>
      </c>
      <c r="B1289" s="70">
        <f t="shared" si="2"/>
        <v>0</v>
      </c>
      <c r="C1289" s="70">
        <v>0.0</v>
      </c>
      <c r="D1289" s="70">
        <v>0.0</v>
      </c>
      <c r="E1289" s="70">
        <v>0.0</v>
      </c>
      <c r="F1289" s="70">
        <v>0.0</v>
      </c>
      <c r="G1289" s="70">
        <v>0.0</v>
      </c>
      <c r="H1289" s="70" t="s">
        <v>10852</v>
      </c>
      <c r="I1289" s="70">
        <v>1105.0</v>
      </c>
      <c r="K1289" s="70" t="s">
        <v>10618</v>
      </c>
      <c r="L1289" s="70" t="s">
        <v>10851</v>
      </c>
      <c r="P1289" s="77">
        <v>43741.0</v>
      </c>
      <c r="U1289" s="70" t="s">
        <v>239</v>
      </c>
      <c r="W1289" s="70" t="s">
        <v>10602</v>
      </c>
      <c r="X1289" s="70" t="s">
        <v>10853</v>
      </c>
      <c r="Z1289" s="75" t="s">
        <v>10854</v>
      </c>
      <c r="AF1289" s="70" t="s">
        <v>239</v>
      </c>
      <c r="AZ1289" s="70">
        <v>1622.0</v>
      </c>
    </row>
    <row r="1290" ht="22.5" customHeight="1">
      <c r="A1290" s="70" t="str">
        <f t="shared" si="1"/>
        <v>Excluded</v>
      </c>
      <c r="B1290" s="70">
        <f t="shared" si="2"/>
        <v>0</v>
      </c>
      <c r="C1290" s="70">
        <v>0.0</v>
      </c>
      <c r="D1290" s="70">
        <v>0.0</v>
      </c>
      <c r="E1290" s="70">
        <v>0.0</v>
      </c>
      <c r="F1290" s="70">
        <v>0.0</v>
      </c>
      <c r="G1290" s="70">
        <v>0.0</v>
      </c>
      <c r="H1290" s="70" t="s">
        <v>6507</v>
      </c>
      <c r="I1290" s="70">
        <v>618.0</v>
      </c>
      <c r="J1290" s="70" t="s">
        <v>6503</v>
      </c>
      <c r="K1290" s="70" t="s">
        <v>6504</v>
      </c>
      <c r="L1290" s="70" t="s">
        <v>6505</v>
      </c>
      <c r="N1290" s="70" t="s">
        <v>6506</v>
      </c>
      <c r="P1290" s="76">
        <v>44187.0</v>
      </c>
      <c r="U1290" s="70" t="s">
        <v>239</v>
      </c>
      <c r="W1290" s="70" t="s">
        <v>6509</v>
      </c>
      <c r="X1290" s="70" t="s">
        <v>6510</v>
      </c>
      <c r="Z1290" s="75" t="s">
        <v>6511</v>
      </c>
      <c r="AC1290" s="70">
        <v>6.0</v>
      </c>
      <c r="AE1290" s="70">
        <v>12.0</v>
      </c>
      <c r="AF1290" s="70" t="s">
        <v>239</v>
      </c>
      <c r="AW1290" s="70" t="s">
        <v>6512</v>
      </c>
      <c r="AX1290" s="70">
        <v>0.0</v>
      </c>
      <c r="AY1290" s="70" t="s">
        <v>24</v>
      </c>
      <c r="AZ1290" s="70">
        <v>3098.0</v>
      </c>
    </row>
    <row r="1291" ht="22.5" customHeight="1">
      <c r="A1291" s="70" t="str">
        <f t="shared" si="1"/>
        <v>Excluded</v>
      </c>
      <c r="B1291" s="70">
        <f t="shared" si="2"/>
        <v>0</v>
      </c>
      <c r="C1291" s="70">
        <v>0.0</v>
      </c>
      <c r="D1291" s="70">
        <v>0.0</v>
      </c>
      <c r="E1291" s="70">
        <v>0.0</v>
      </c>
      <c r="F1291" s="70">
        <v>0.0</v>
      </c>
      <c r="G1291" s="70">
        <v>0.0</v>
      </c>
      <c r="H1291" s="70" t="s">
        <v>6537</v>
      </c>
      <c r="I1291" s="70">
        <v>621.0</v>
      </c>
      <c r="J1291" s="70" t="s">
        <v>6533</v>
      </c>
      <c r="K1291" s="70" t="s">
        <v>6534</v>
      </c>
      <c r="L1291" s="70" t="s">
        <v>6535</v>
      </c>
      <c r="N1291" s="70" t="s">
        <v>6536</v>
      </c>
      <c r="P1291" s="76">
        <v>44392.0</v>
      </c>
      <c r="U1291" s="70" t="s">
        <v>239</v>
      </c>
      <c r="W1291" s="70" t="s">
        <v>6539</v>
      </c>
      <c r="X1291" s="70" t="s">
        <v>6540</v>
      </c>
      <c r="Z1291" s="75" t="s">
        <v>6541</v>
      </c>
      <c r="AA1291" s="70" t="s">
        <v>6542</v>
      </c>
      <c r="AC1291" s="70">
        <v>6.0</v>
      </c>
      <c r="AE1291" s="70">
        <v>27.0</v>
      </c>
      <c r="AF1291" s="70" t="s">
        <v>239</v>
      </c>
      <c r="AW1291" s="70" t="s">
        <v>6543</v>
      </c>
      <c r="AZ1291" s="70">
        <v>864.0</v>
      </c>
    </row>
    <row r="1292" ht="22.5" customHeight="1">
      <c r="A1292" s="70" t="str">
        <f t="shared" si="1"/>
        <v>Excluded</v>
      </c>
      <c r="B1292" s="70">
        <f t="shared" si="2"/>
        <v>0</v>
      </c>
      <c r="C1292" s="70">
        <v>0.0</v>
      </c>
      <c r="D1292" s="70">
        <v>0.0</v>
      </c>
      <c r="E1292" s="70">
        <v>0.0</v>
      </c>
      <c r="F1292" s="70">
        <v>0.0</v>
      </c>
      <c r="G1292" s="70">
        <v>0.0</v>
      </c>
      <c r="H1292" s="70" t="s">
        <v>9043</v>
      </c>
      <c r="I1292" s="70">
        <v>880.0</v>
      </c>
      <c r="J1292" s="70" t="s">
        <v>9040</v>
      </c>
      <c r="K1292" s="70" t="s">
        <v>9041</v>
      </c>
      <c r="L1292" s="70" t="s">
        <v>9042</v>
      </c>
      <c r="P1292" s="76">
        <v>43087.0</v>
      </c>
      <c r="U1292" s="70" t="s">
        <v>239</v>
      </c>
      <c r="W1292" s="70" t="s">
        <v>30434</v>
      </c>
      <c r="X1292" s="70" t="s">
        <v>9046</v>
      </c>
      <c r="Z1292" s="75" t="s">
        <v>9047</v>
      </c>
      <c r="AA1292" s="70" t="s">
        <v>9048</v>
      </c>
      <c r="AC1292" s="70">
        <v>1.0</v>
      </c>
      <c r="AE1292" s="70">
        <v>23.0</v>
      </c>
      <c r="AF1292" s="70" t="s">
        <v>239</v>
      </c>
      <c r="AW1292" s="70" t="s">
        <v>9049</v>
      </c>
      <c r="AZ1292" s="70">
        <v>1185.0</v>
      </c>
    </row>
    <row r="1293" ht="22.5" customHeight="1">
      <c r="A1293" s="70" t="str">
        <f t="shared" si="1"/>
        <v>Excluded</v>
      </c>
      <c r="B1293" s="70">
        <f t="shared" si="2"/>
        <v>0</v>
      </c>
      <c r="C1293" s="70">
        <v>0.0</v>
      </c>
      <c r="D1293" s="70">
        <v>0.0</v>
      </c>
      <c r="E1293" s="70">
        <v>0.0</v>
      </c>
      <c r="F1293" s="70">
        <v>0.0</v>
      </c>
      <c r="G1293" s="70">
        <v>0.0</v>
      </c>
      <c r="H1293" s="70" t="s">
        <v>9283</v>
      </c>
      <c r="I1293" s="70">
        <v>905.0</v>
      </c>
      <c r="J1293" s="70" t="s">
        <v>9280</v>
      </c>
      <c r="K1293" s="70" t="s">
        <v>9281</v>
      </c>
      <c r="L1293" s="70" t="s">
        <v>9282</v>
      </c>
      <c r="P1293" s="77">
        <v>43013.0</v>
      </c>
      <c r="U1293" s="70" t="s">
        <v>239</v>
      </c>
      <c r="W1293" s="70" t="s">
        <v>9285</v>
      </c>
      <c r="X1293" s="70" t="s">
        <v>9286</v>
      </c>
      <c r="Z1293" s="75" t="s">
        <v>9287</v>
      </c>
      <c r="AA1293" s="70" t="s">
        <v>9288</v>
      </c>
      <c r="AC1293" s="70">
        <v>1.0</v>
      </c>
      <c r="AE1293" s="70">
        <v>15.0</v>
      </c>
      <c r="AF1293" s="70" t="s">
        <v>239</v>
      </c>
      <c r="AW1293" s="70" t="s">
        <v>9289</v>
      </c>
      <c r="AZ1293" s="70">
        <v>923.0</v>
      </c>
    </row>
    <row r="1294" ht="22.5" customHeight="1">
      <c r="A1294" s="70" t="str">
        <f t="shared" si="1"/>
        <v>Excluded</v>
      </c>
      <c r="B1294" s="70">
        <f t="shared" si="2"/>
        <v>0</v>
      </c>
      <c r="C1294" s="70">
        <v>0.0</v>
      </c>
      <c r="D1294" s="70">
        <v>0.0</v>
      </c>
      <c r="E1294" s="70">
        <v>0.0</v>
      </c>
      <c r="F1294" s="70">
        <v>0.0</v>
      </c>
      <c r="G1294" s="70">
        <v>0.0</v>
      </c>
      <c r="H1294" s="70" t="s">
        <v>11008</v>
      </c>
      <c r="I1294" s="70">
        <v>1148.0</v>
      </c>
      <c r="K1294" s="70" t="s">
        <v>10597</v>
      </c>
      <c r="L1294" s="70" t="s">
        <v>11007</v>
      </c>
      <c r="P1294" s="76">
        <v>44145.0</v>
      </c>
      <c r="U1294" s="70" t="s">
        <v>239</v>
      </c>
      <c r="W1294" s="70" t="s">
        <v>10602</v>
      </c>
      <c r="X1294" s="70" t="s">
        <v>11009</v>
      </c>
      <c r="Z1294" s="75" t="s">
        <v>11010</v>
      </c>
      <c r="AF1294" s="70" t="s">
        <v>239</v>
      </c>
      <c r="AZ1294" s="70">
        <v>1612.0</v>
      </c>
    </row>
    <row r="1295" ht="22.5" customHeight="1">
      <c r="A1295" s="70" t="str">
        <f t="shared" si="1"/>
        <v>Excluded</v>
      </c>
      <c r="B1295" s="70">
        <f t="shared" si="2"/>
        <v>0</v>
      </c>
      <c r="C1295" s="70">
        <v>0.0</v>
      </c>
      <c r="D1295" s="70">
        <v>0.0</v>
      </c>
      <c r="E1295" s="70">
        <v>0.0</v>
      </c>
      <c r="F1295" s="70">
        <v>0.0</v>
      </c>
      <c r="G1295" s="70">
        <v>0.0</v>
      </c>
      <c r="H1295" s="70" t="s">
        <v>11051</v>
      </c>
      <c r="I1295" s="70">
        <v>1160.0</v>
      </c>
      <c r="J1295" s="70" t="s">
        <v>11047</v>
      </c>
      <c r="K1295" s="70" t="s">
        <v>11048</v>
      </c>
      <c r="L1295" s="70" t="s">
        <v>11049</v>
      </c>
      <c r="N1295" s="70" t="s">
        <v>11050</v>
      </c>
      <c r="P1295" s="76">
        <v>45225.0</v>
      </c>
      <c r="U1295" s="70" t="s">
        <v>239</v>
      </c>
      <c r="W1295" s="70" t="s">
        <v>11053</v>
      </c>
      <c r="X1295" s="70" t="s">
        <v>11054</v>
      </c>
      <c r="Z1295" s="75" t="s">
        <v>11055</v>
      </c>
      <c r="AA1295" s="70" t="s">
        <v>11056</v>
      </c>
      <c r="AC1295" s="70">
        <v>17.0</v>
      </c>
      <c r="AE1295" s="70">
        <v>20.0</v>
      </c>
      <c r="AF1295" s="70" t="s">
        <v>239</v>
      </c>
      <c r="AW1295" s="70" t="s">
        <v>11057</v>
      </c>
      <c r="AZ1295" s="70">
        <v>1142.0</v>
      </c>
    </row>
    <row r="1296" ht="22.5" customHeight="1">
      <c r="A1296" s="70" t="str">
        <f t="shared" si="1"/>
        <v>Excluded</v>
      </c>
      <c r="B1296" s="70">
        <f t="shared" si="2"/>
        <v>0</v>
      </c>
      <c r="C1296" s="70">
        <v>0.0</v>
      </c>
      <c r="D1296" s="70">
        <v>0.0</v>
      </c>
      <c r="E1296" s="70">
        <v>0.0</v>
      </c>
      <c r="F1296" s="70">
        <v>0.0</v>
      </c>
      <c r="G1296" s="70">
        <v>0.0</v>
      </c>
      <c r="H1296" s="70" t="s">
        <v>11391</v>
      </c>
      <c r="I1296" s="70">
        <v>1194.0</v>
      </c>
      <c r="J1296" s="70" t="s">
        <v>11389</v>
      </c>
      <c r="K1296" s="70" t="s">
        <v>11390</v>
      </c>
      <c r="L1296" s="70" t="s">
        <v>11049</v>
      </c>
      <c r="N1296" s="70" t="s">
        <v>11050</v>
      </c>
      <c r="P1296" s="76">
        <v>45225.0</v>
      </c>
      <c r="U1296" s="70" t="s">
        <v>239</v>
      </c>
      <c r="W1296" s="70" t="s">
        <v>11393</v>
      </c>
      <c r="X1296" s="70" t="s">
        <v>11054</v>
      </c>
      <c r="Z1296" s="75" t="s">
        <v>11394</v>
      </c>
      <c r="AA1296" s="70" t="s">
        <v>11395</v>
      </c>
      <c r="AC1296" s="70">
        <v>3.0</v>
      </c>
      <c r="AE1296" s="70">
        <v>23.0</v>
      </c>
      <c r="AF1296" s="70" t="s">
        <v>239</v>
      </c>
      <c r="AW1296" s="70" t="s">
        <v>11396</v>
      </c>
      <c r="AX1296" s="70">
        <v>0.0</v>
      </c>
      <c r="AY1296" s="70" t="s">
        <v>24</v>
      </c>
      <c r="AZ1296" s="70">
        <v>1797.0</v>
      </c>
    </row>
    <row r="1297" ht="22.5" customHeight="1">
      <c r="A1297" s="70" t="str">
        <f t="shared" si="1"/>
        <v>Excluded</v>
      </c>
      <c r="B1297" s="70">
        <f t="shared" si="2"/>
        <v>0</v>
      </c>
      <c r="C1297" s="70">
        <v>0.0</v>
      </c>
      <c r="D1297" s="70">
        <v>0.0</v>
      </c>
      <c r="E1297" s="70">
        <v>0.0</v>
      </c>
      <c r="F1297" s="70">
        <v>0.0</v>
      </c>
      <c r="G1297" s="70">
        <v>0.0</v>
      </c>
      <c r="H1297" s="70" t="s">
        <v>16192</v>
      </c>
      <c r="I1297" s="70">
        <v>1743.0</v>
      </c>
      <c r="K1297" s="70" t="s">
        <v>10597</v>
      </c>
      <c r="L1297" s="70" t="s">
        <v>16191</v>
      </c>
      <c r="N1297" s="70" t="s">
        <v>11050</v>
      </c>
      <c r="P1297" s="76">
        <v>45588.0</v>
      </c>
      <c r="U1297" s="70" t="s">
        <v>239</v>
      </c>
      <c r="X1297" s="70" t="s">
        <v>16193</v>
      </c>
      <c r="Z1297" s="75" t="s">
        <v>16194</v>
      </c>
      <c r="AF1297" s="70" t="s">
        <v>239</v>
      </c>
      <c r="AZ1297" s="70">
        <v>1535.0</v>
      </c>
    </row>
    <row r="1298" ht="22.5" customHeight="1">
      <c r="A1298" s="70" t="str">
        <f t="shared" si="1"/>
        <v>Excluded</v>
      </c>
      <c r="B1298" s="70">
        <f t="shared" si="2"/>
        <v>0</v>
      </c>
      <c r="C1298" s="70">
        <v>0.0</v>
      </c>
      <c r="D1298" s="70">
        <v>0.0</v>
      </c>
      <c r="E1298" s="70">
        <v>0.0</v>
      </c>
      <c r="F1298" s="70">
        <v>0.0</v>
      </c>
      <c r="G1298" s="70">
        <v>0.0</v>
      </c>
      <c r="H1298" s="70" t="s">
        <v>13570</v>
      </c>
      <c r="I1298" s="70">
        <v>1413.0</v>
      </c>
      <c r="J1298" s="70" t="s">
        <v>13567</v>
      </c>
      <c r="K1298" s="70" t="s">
        <v>13568</v>
      </c>
      <c r="L1298" s="70" t="s">
        <v>13569</v>
      </c>
      <c r="P1298" s="76">
        <v>45453.0</v>
      </c>
      <c r="U1298" s="70" t="s">
        <v>239</v>
      </c>
      <c r="W1298" s="70" t="s">
        <v>13572</v>
      </c>
      <c r="X1298" s="70" t="s">
        <v>13573</v>
      </c>
      <c r="Z1298" s="75" t="s">
        <v>13574</v>
      </c>
      <c r="AA1298" s="70" t="s">
        <v>13575</v>
      </c>
      <c r="AE1298" s="70">
        <v>20.0</v>
      </c>
      <c r="AF1298" s="70" t="s">
        <v>239</v>
      </c>
      <c r="AW1298" s="70" t="s">
        <v>13576</v>
      </c>
      <c r="AX1298" s="70">
        <v>0.0</v>
      </c>
      <c r="AY1298" s="70" t="s">
        <v>24</v>
      </c>
      <c r="AZ1298" s="70">
        <v>2096.0</v>
      </c>
    </row>
    <row r="1299" ht="22.5" customHeight="1">
      <c r="A1299" s="70" t="str">
        <f t="shared" si="1"/>
        <v>Excluded</v>
      </c>
      <c r="B1299" s="70">
        <f t="shared" si="2"/>
        <v>0</v>
      </c>
      <c r="C1299" s="70">
        <v>0.0</v>
      </c>
      <c r="D1299" s="70">
        <v>0.0</v>
      </c>
      <c r="E1299" s="70">
        <v>0.0</v>
      </c>
      <c r="F1299" s="70">
        <v>0.0</v>
      </c>
      <c r="G1299" s="70">
        <v>0.0</v>
      </c>
      <c r="H1299" s="70" t="s">
        <v>15453</v>
      </c>
      <c r="I1299" s="70">
        <v>1612.0</v>
      </c>
      <c r="J1299" s="70" t="s">
        <v>15450</v>
      </c>
      <c r="K1299" s="70" t="s">
        <v>15451</v>
      </c>
      <c r="L1299" s="70" t="s">
        <v>15452</v>
      </c>
      <c r="P1299" s="76">
        <v>45589.0</v>
      </c>
      <c r="U1299" s="70" t="s">
        <v>239</v>
      </c>
      <c r="W1299" s="70" t="s">
        <v>15455</v>
      </c>
      <c r="X1299" s="70" t="s">
        <v>15456</v>
      </c>
      <c r="Z1299" s="75" t="s">
        <v>15457</v>
      </c>
      <c r="AA1299" s="70" t="s">
        <v>15458</v>
      </c>
      <c r="AE1299" s="70">
        <v>18.0</v>
      </c>
      <c r="AF1299" s="70" t="s">
        <v>239</v>
      </c>
      <c r="AW1299" s="70" t="s">
        <v>15459</v>
      </c>
      <c r="AX1299" s="70">
        <v>0.0</v>
      </c>
      <c r="AY1299" s="70" t="s">
        <v>24</v>
      </c>
      <c r="AZ1299" s="70">
        <v>2980.0</v>
      </c>
    </row>
    <row r="1300" ht="22.5" customHeight="1">
      <c r="A1300" s="70" t="str">
        <f t="shared" si="1"/>
        <v>Excluded</v>
      </c>
      <c r="B1300" s="70">
        <f t="shared" si="2"/>
        <v>0</v>
      </c>
      <c r="C1300" s="70">
        <v>0.0</v>
      </c>
      <c r="D1300" s="70">
        <v>0.0</v>
      </c>
      <c r="E1300" s="70">
        <v>0.0</v>
      </c>
      <c r="F1300" s="70">
        <v>0.0</v>
      </c>
      <c r="G1300" s="70">
        <v>0.0</v>
      </c>
      <c r="H1300" s="70" t="s">
        <v>11044</v>
      </c>
      <c r="I1300" s="70">
        <v>1159.0</v>
      </c>
      <c r="K1300" s="70" t="s">
        <v>10618</v>
      </c>
      <c r="L1300" s="70" t="s">
        <v>11042</v>
      </c>
      <c r="N1300" s="70" t="s">
        <v>11043</v>
      </c>
      <c r="P1300" s="76">
        <v>43450.0</v>
      </c>
      <c r="U1300" s="70" t="s">
        <v>239</v>
      </c>
      <c r="W1300" s="70" t="s">
        <v>10602</v>
      </c>
      <c r="X1300" s="70" t="s">
        <v>11045</v>
      </c>
      <c r="Z1300" s="75" t="s">
        <v>11046</v>
      </c>
      <c r="AF1300" s="70" t="s">
        <v>239</v>
      </c>
      <c r="AZ1300" s="70">
        <v>1604.0</v>
      </c>
    </row>
    <row r="1301" ht="22.5" customHeight="1">
      <c r="A1301" s="70" t="str">
        <f t="shared" si="1"/>
        <v>Excluded</v>
      </c>
      <c r="B1301" s="70">
        <f t="shared" si="2"/>
        <v>0</v>
      </c>
      <c r="C1301" s="70">
        <v>0.0</v>
      </c>
      <c r="D1301" s="70">
        <v>0.0</v>
      </c>
      <c r="E1301" s="70">
        <v>0.0</v>
      </c>
      <c r="F1301" s="70">
        <v>0.0</v>
      </c>
      <c r="G1301" s="70">
        <v>0.0</v>
      </c>
      <c r="H1301" s="70" t="s">
        <v>16188</v>
      </c>
      <c r="I1301" s="70">
        <v>1742.0</v>
      </c>
      <c r="K1301" s="70" t="s">
        <v>16185</v>
      </c>
      <c r="L1301" s="70" t="s">
        <v>16186</v>
      </c>
      <c r="N1301" s="70" t="s">
        <v>16187</v>
      </c>
      <c r="P1301" s="76">
        <v>45407.0</v>
      </c>
      <c r="U1301" s="70" t="s">
        <v>239</v>
      </c>
      <c r="X1301" s="70" t="s">
        <v>16189</v>
      </c>
      <c r="Z1301" s="75" t="s">
        <v>16190</v>
      </c>
      <c r="AF1301" s="70" t="s">
        <v>239</v>
      </c>
      <c r="AZ1301" s="70">
        <v>1416.0</v>
      </c>
    </row>
    <row r="1302" ht="22.5" customHeight="1">
      <c r="A1302" s="70" t="str">
        <f t="shared" si="1"/>
        <v>Excluded</v>
      </c>
      <c r="B1302" s="70">
        <f t="shared" si="2"/>
        <v>0</v>
      </c>
      <c r="C1302" s="70">
        <v>0.0</v>
      </c>
      <c r="D1302" s="70">
        <v>0.0</v>
      </c>
      <c r="E1302" s="70">
        <v>0.0</v>
      </c>
      <c r="F1302" s="70">
        <v>0.0</v>
      </c>
      <c r="G1302" s="70">
        <v>0.0</v>
      </c>
      <c r="H1302" s="70" t="s">
        <v>12872</v>
      </c>
      <c r="I1302" s="70">
        <v>1342.0</v>
      </c>
      <c r="J1302" s="70" t="s">
        <v>12869</v>
      </c>
      <c r="K1302" s="70" t="s">
        <v>12870</v>
      </c>
      <c r="L1302" s="70" t="s">
        <v>12871</v>
      </c>
      <c r="P1302" s="76">
        <v>45407.0</v>
      </c>
      <c r="U1302" s="70" t="s">
        <v>239</v>
      </c>
      <c r="W1302" s="70" t="s">
        <v>12874</v>
      </c>
      <c r="X1302" s="70" t="s">
        <v>12875</v>
      </c>
      <c r="Z1302" s="75" t="s">
        <v>12876</v>
      </c>
      <c r="AA1302" s="70" t="s">
        <v>12877</v>
      </c>
      <c r="AE1302" s="70">
        <v>17.0</v>
      </c>
      <c r="AF1302" s="70" t="s">
        <v>239</v>
      </c>
      <c r="AW1302" s="70" t="s">
        <v>12878</v>
      </c>
      <c r="AZ1302" s="70">
        <v>1204.0</v>
      </c>
    </row>
    <row r="1303" ht="22.5" customHeight="1">
      <c r="A1303" s="70" t="str">
        <f t="shared" si="1"/>
        <v>Excluded</v>
      </c>
      <c r="B1303" s="70">
        <f t="shared" si="2"/>
        <v>0</v>
      </c>
      <c r="C1303" s="70">
        <v>0.0</v>
      </c>
      <c r="D1303" s="70">
        <v>0.0</v>
      </c>
      <c r="E1303" s="70">
        <v>0.0</v>
      </c>
      <c r="F1303" s="70">
        <v>0.0</v>
      </c>
      <c r="G1303" s="70">
        <v>0.0</v>
      </c>
      <c r="H1303" s="70" t="s">
        <v>12282</v>
      </c>
      <c r="I1303" s="70">
        <v>1283.0</v>
      </c>
      <c r="J1303" s="70" t="s">
        <v>12279</v>
      </c>
      <c r="K1303" s="70" t="s">
        <v>12280</v>
      </c>
      <c r="L1303" s="70" t="s">
        <v>12281</v>
      </c>
      <c r="P1303" s="78">
        <v>45434.0</v>
      </c>
      <c r="U1303" s="70" t="s">
        <v>239</v>
      </c>
      <c r="W1303" s="70" t="s">
        <v>12284</v>
      </c>
      <c r="X1303" s="70" t="s">
        <v>12285</v>
      </c>
      <c r="Z1303" s="75" t="s">
        <v>12286</v>
      </c>
      <c r="AA1303" s="70" t="s">
        <v>12287</v>
      </c>
      <c r="AC1303" s="70">
        <v>1.0</v>
      </c>
      <c r="AE1303" s="70">
        <v>20.0</v>
      </c>
      <c r="AF1303" s="70" t="s">
        <v>239</v>
      </c>
      <c r="AW1303" s="70" t="s">
        <v>12288</v>
      </c>
      <c r="AZ1303" s="70">
        <v>333.0</v>
      </c>
    </row>
    <row r="1304" ht="22.5" customHeight="1">
      <c r="A1304" s="70" t="str">
        <f t="shared" si="1"/>
        <v>Excluded</v>
      </c>
      <c r="B1304" s="70">
        <f t="shared" si="2"/>
        <v>0</v>
      </c>
      <c r="C1304" s="70">
        <v>0.0</v>
      </c>
      <c r="D1304" s="70">
        <v>0.0</v>
      </c>
      <c r="E1304" s="70">
        <v>0.0</v>
      </c>
      <c r="F1304" s="70">
        <v>0.0</v>
      </c>
      <c r="G1304" s="70">
        <v>0.0</v>
      </c>
      <c r="H1304" s="70" t="s">
        <v>4782</v>
      </c>
      <c r="I1304" s="70">
        <v>444.0</v>
      </c>
      <c r="J1304" s="70" t="s">
        <v>4779</v>
      </c>
      <c r="K1304" s="70" t="s">
        <v>4780</v>
      </c>
      <c r="L1304" s="70" t="s">
        <v>4781</v>
      </c>
      <c r="P1304" s="78">
        <v>43237.0</v>
      </c>
      <c r="U1304" s="70" t="s">
        <v>239</v>
      </c>
      <c r="W1304" s="70" t="s">
        <v>4784</v>
      </c>
      <c r="X1304" s="70" t="s">
        <v>4785</v>
      </c>
      <c r="Z1304" s="75" t="s">
        <v>4786</v>
      </c>
      <c r="AA1304" s="70" t="s">
        <v>4787</v>
      </c>
      <c r="AC1304" s="70">
        <v>37.0</v>
      </c>
      <c r="AE1304" s="70">
        <v>37.0</v>
      </c>
      <c r="AF1304" s="70" t="s">
        <v>239</v>
      </c>
      <c r="AW1304" s="70" t="s">
        <v>4788</v>
      </c>
      <c r="AX1304" s="70">
        <v>0.0</v>
      </c>
      <c r="AY1304" s="70" t="s">
        <v>24</v>
      </c>
      <c r="AZ1304" s="70">
        <v>2989.0</v>
      </c>
    </row>
    <row r="1305" ht="22.5" customHeight="1">
      <c r="A1305" s="70" t="str">
        <f t="shared" si="1"/>
        <v>Excluded</v>
      </c>
      <c r="B1305" s="70">
        <f t="shared" si="2"/>
        <v>0</v>
      </c>
      <c r="C1305" s="70">
        <v>0.0</v>
      </c>
      <c r="D1305" s="70">
        <v>0.0</v>
      </c>
      <c r="E1305" s="70">
        <v>0.0</v>
      </c>
      <c r="F1305" s="70">
        <v>0.0</v>
      </c>
      <c r="G1305" s="70">
        <v>0.0</v>
      </c>
      <c r="H1305" s="70" t="s">
        <v>5382</v>
      </c>
      <c r="I1305" s="70">
        <v>504.0</v>
      </c>
      <c r="J1305" s="70" t="s">
        <v>5379</v>
      </c>
      <c r="K1305" s="70" t="s">
        <v>5380</v>
      </c>
      <c r="L1305" s="70" t="s">
        <v>5381</v>
      </c>
      <c r="P1305" s="77">
        <v>43685.0</v>
      </c>
      <c r="U1305" s="70" t="s">
        <v>239</v>
      </c>
      <c r="W1305" s="70" t="s">
        <v>5384</v>
      </c>
      <c r="X1305" s="70" t="s">
        <v>5385</v>
      </c>
      <c r="Z1305" s="75" t="s">
        <v>5386</v>
      </c>
      <c r="AA1305" s="70" t="s">
        <v>5387</v>
      </c>
      <c r="AC1305" s="70">
        <v>13.0</v>
      </c>
      <c r="AE1305" s="70">
        <v>51.0</v>
      </c>
      <c r="AF1305" s="70" t="s">
        <v>239</v>
      </c>
      <c r="AW1305" s="70" t="s">
        <v>5388</v>
      </c>
      <c r="AZ1305" s="70">
        <v>833.0</v>
      </c>
    </row>
    <row r="1306" ht="22.5" customHeight="1">
      <c r="A1306" s="70" t="str">
        <f t="shared" si="1"/>
        <v>Excluded</v>
      </c>
      <c r="B1306" s="70">
        <f t="shared" si="2"/>
        <v>0</v>
      </c>
      <c r="C1306" s="70">
        <v>0.0</v>
      </c>
      <c r="D1306" s="70">
        <v>0.0</v>
      </c>
      <c r="E1306" s="70">
        <v>0.0</v>
      </c>
      <c r="F1306" s="70">
        <v>0.0</v>
      </c>
      <c r="G1306" s="70">
        <v>0.0</v>
      </c>
      <c r="H1306" s="70" t="s">
        <v>12012</v>
      </c>
      <c r="I1306" s="70">
        <v>1256.0</v>
      </c>
      <c r="J1306" s="70" t="s">
        <v>12009</v>
      </c>
      <c r="K1306" s="70" t="s">
        <v>12010</v>
      </c>
      <c r="L1306" s="70" t="s">
        <v>12011</v>
      </c>
      <c r="P1306" s="76">
        <v>45198.0</v>
      </c>
      <c r="U1306" s="70" t="s">
        <v>239</v>
      </c>
      <c r="W1306" s="70" t="s">
        <v>12014</v>
      </c>
      <c r="X1306" s="70" t="s">
        <v>12015</v>
      </c>
      <c r="Z1306" s="75" t="s">
        <v>12016</v>
      </c>
      <c r="AA1306" s="70" t="s">
        <v>12017</v>
      </c>
      <c r="AC1306" s="70">
        <v>1.0</v>
      </c>
      <c r="AE1306" s="70">
        <v>13.0</v>
      </c>
      <c r="AF1306" s="70" t="s">
        <v>239</v>
      </c>
      <c r="AW1306" s="70" t="s">
        <v>12018</v>
      </c>
      <c r="AX1306" s="70">
        <v>0.0</v>
      </c>
      <c r="AY1306" s="70" t="s">
        <v>24</v>
      </c>
      <c r="AZ1306" s="70">
        <v>3135.0</v>
      </c>
    </row>
    <row r="1307" ht="22.5" customHeight="1">
      <c r="A1307" s="70" t="str">
        <f t="shared" si="1"/>
        <v>Excluded</v>
      </c>
      <c r="B1307" s="70">
        <f t="shared" si="2"/>
        <v>0</v>
      </c>
      <c r="C1307" s="70">
        <v>0.0</v>
      </c>
      <c r="D1307" s="70">
        <v>0.0</v>
      </c>
      <c r="E1307" s="70">
        <v>0.0</v>
      </c>
      <c r="F1307" s="70">
        <v>0.0</v>
      </c>
      <c r="G1307" s="70">
        <v>0.0</v>
      </c>
      <c r="H1307" s="70" t="s">
        <v>4792</v>
      </c>
      <c r="I1307" s="70">
        <v>445.0</v>
      </c>
      <c r="J1307" s="70" t="s">
        <v>4789</v>
      </c>
      <c r="K1307" s="70" t="s">
        <v>4790</v>
      </c>
      <c r="L1307" s="70" t="s">
        <v>4791</v>
      </c>
      <c r="P1307" s="76">
        <v>44522.0</v>
      </c>
      <c r="U1307" s="70" t="s">
        <v>239</v>
      </c>
      <c r="W1307" s="70" t="s">
        <v>4794</v>
      </c>
      <c r="X1307" s="70" t="s">
        <v>4795</v>
      </c>
      <c r="Z1307" s="75" t="s">
        <v>4796</v>
      </c>
      <c r="AA1307" s="70" t="s">
        <v>4797</v>
      </c>
      <c r="AC1307" s="70">
        <v>33.0</v>
      </c>
      <c r="AE1307" s="70">
        <v>47.0</v>
      </c>
      <c r="AF1307" s="70" t="s">
        <v>239</v>
      </c>
      <c r="AW1307" s="70" t="s">
        <v>4798</v>
      </c>
      <c r="AZ1307" s="70">
        <v>602.0</v>
      </c>
    </row>
    <row r="1308" ht="22.5" customHeight="1">
      <c r="A1308" s="70" t="str">
        <f t="shared" si="1"/>
        <v>Excluded</v>
      </c>
      <c r="B1308" s="70">
        <f t="shared" si="2"/>
        <v>0</v>
      </c>
      <c r="C1308" s="70">
        <v>0.0</v>
      </c>
      <c r="D1308" s="70">
        <v>0.0</v>
      </c>
      <c r="E1308" s="70">
        <v>0.0</v>
      </c>
      <c r="F1308" s="70">
        <v>0.0</v>
      </c>
      <c r="G1308" s="70">
        <v>0.0</v>
      </c>
      <c r="H1308" s="70" t="s">
        <v>11794</v>
      </c>
      <c r="I1308" s="70">
        <v>1234.0</v>
      </c>
      <c r="J1308" s="70" t="s">
        <v>11792</v>
      </c>
      <c r="K1308" s="70" t="s">
        <v>11793</v>
      </c>
      <c r="L1308" s="70" t="s">
        <v>11140</v>
      </c>
      <c r="N1308" s="70" t="s">
        <v>11141</v>
      </c>
      <c r="P1308" s="77">
        <v>45236.0</v>
      </c>
      <c r="U1308" s="70" t="s">
        <v>239</v>
      </c>
      <c r="W1308" s="70" t="s">
        <v>11796</v>
      </c>
      <c r="X1308" s="70" t="s">
        <v>11145</v>
      </c>
      <c r="Z1308" s="75" t="s">
        <v>11797</v>
      </c>
      <c r="AA1308" s="70" t="s">
        <v>11798</v>
      </c>
      <c r="AC1308" s="70">
        <v>1.0</v>
      </c>
      <c r="AE1308" s="70">
        <v>22.0</v>
      </c>
      <c r="AF1308" s="70" t="s">
        <v>239</v>
      </c>
      <c r="AW1308" s="70" t="s">
        <v>11799</v>
      </c>
      <c r="AX1308" s="70">
        <v>0.0</v>
      </c>
      <c r="AY1308" s="70" t="s">
        <v>24</v>
      </c>
      <c r="AZ1308" s="70">
        <v>2110.0</v>
      </c>
    </row>
    <row r="1309" ht="22.5" customHeight="1">
      <c r="A1309" s="70" t="str">
        <f t="shared" si="1"/>
        <v>Excluded</v>
      </c>
      <c r="B1309" s="70">
        <f t="shared" si="2"/>
        <v>0</v>
      </c>
      <c r="C1309" s="70">
        <v>0.0</v>
      </c>
      <c r="D1309" s="70">
        <v>0.0</v>
      </c>
      <c r="E1309" s="70">
        <v>0.0</v>
      </c>
      <c r="F1309" s="70">
        <v>0.0</v>
      </c>
      <c r="G1309" s="70">
        <v>0.0</v>
      </c>
      <c r="H1309" s="70" t="s">
        <v>15007</v>
      </c>
      <c r="I1309" s="70">
        <v>1564.0</v>
      </c>
      <c r="J1309" s="70" t="s">
        <v>15005</v>
      </c>
      <c r="K1309" s="70" t="s">
        <v>15006</v>
      </c>
      <c r="L1309" s="70" t="s">
        <v>11140</v>
      </c>
      <c r="N1309" s="70" t="s">
        <v>11141</v>
      </c>
      <c r="P1309" s="77">
        <v>45236.0</v>
      </c>
      <c r="U1309" s="70" t="s">
        <v>239</v>
      </c>
      <c r="W1309" s="70" t="s">
        <v>15009</v>
      </c>
      <c r="X1309" s="70" t="s">
        <v>11145</v>
      </c>
      <c r="Z1309" s="75" t="s">
        <v>15010</v>
      </c>
      <c r="AA1309" s="70" t="s">
        <v>15011</v>
      </c>
      <c r="AE1309" s="70">
        <v>19.0</v>
      </c>
      <c r="AF1309" s="70" t="s">
        <v>239</v>
      </c>
      <c r="AW1309" s="70" t="s">
        <v>15012</v>
      </c>
      <c r="AX1309" s="70">
        <v>1.0</v>
      </c>
      <c r="AZ1309" s="70">
        <v>1633.0</v>
      </c>
    </row>
    <row r="1310" ht="22.5" customHeight="1">
      <c r="A1310" s="70" t="str">
        <f t="shared" si="1"/>
        <v>Excluded</v>
      </c>
      <c r="B1310" s="70">
        <f t="shared" si="2"/>
        <v>0</v>
      </c>
      <c r="C1310" s="70">
        <v>0.0</v>
      </c>
      <c r="D1310" s="70">
        <v>0.0</v>
      </c>
      <c r="E1310" s="70">
        <v>0.0</v>
      </c>
      <c r="F1310" s="70">
        <v>0.0</v>
      </c>
      <c r="G1310" s="70">
        <v>0.0</v>
      </c>
      <c r="H1310" s="70" t="s">
        <v>10847</v>
      </c>
      <c r="I1310" s="70">
        <v>1104.0</v>
      </c>
      <c r="K1310" s="70" t="s">
        <v>10597</v>
      </c>
      <c r="L1310" s="70" t="s">
        <v>10846</v>
      </c>
      <c r="P1310" s="77">
        <v>45022.0</v>
      </c>
      <c r="U1310" s="70" t="s">
        <v>239</v>
      </c>
      <c r="X1310" s="70" t="s">
        <v>10849</v>
      </c>
      <c r="Z1310" s="75" t="s">
        <v>10850</v>
      </c>
      <c r="AF1310" s="70" t="s">
        <v>239</v>
      </c>
      <c r="AZ1310" s="70">
        <v>1548.0</v>
      </c>
    </row>
    <row r="1311" ht="22.5" customHeight="1">
      <c r="A1311" s="70" t="str">
        <f t="shared" si="1"/>
        <v>Excluded</v>
      </c>
      <c r="B1311" s="70">
        <f t="shared" si="2"/>
        <v>0</v>
      </c>
      <c r="C1311" s="70">
        <v>0.0</v>
      </c>
      <c r="D1311" s="70">
        <v>0.0</v>
      </c>
      <c r="E1311" s="70">
        <v>0.0</v>
      </c>
      <c r="F1311" s="70">
        <v>0.0</v>
      </c>
      <c r="G1311" s="70">
        <v>0.0</v>
      </c>
      <c r="H1311" s="70" t="s">
        <v>13863</v>
      </c>
      <c r="I1311" s="70">
        <v>1443.0</v>
      </c>
      <c r="J1311" s="70" t="s">
        <v>13860</v>
      </c>
      <c r="K1311" s="70" t="s">
        <v>13861</v>
      </c>
      <c r="L1311" s="70" t="s">
        <v>13862</v>
      </c>
      <c r="P1311" s="76">
        <v>45397.0</v>
      </c>
      <c r="U1311" s="70" t="s">
        <v>239</v>
      </c>
      <c r="W1311" s="70" t="s">
        <v>30435</v>
      </c>
      <c r="X1311" s="70" t="s">
        <v>13866</v>
      </c>
      <c r="Z1311" s="75" t="s">
        <v>13867</v>
      </c>
      <c r="AA1311" s="70" t="s">
        <v>13868</v>
      </c>
      <c r="AE1311" s="70">
        <v>21.0</v>
      </c>
      <c r="AF1311" s="70" t="s">
        <v>239</v>
      </c>
      <c r="AW1311" s="70" t="s">
        <v>13869</v>
      </c>
      <c r="AZ1311" s="70">
        <v>1085.0</v>
      </c>
    </row>
    <row r="1312" ht="22.5" customHeight="1">
      <c r="A1312" s="70" t="str">
        <f t="shared" si="1"/>
        <v>Excluded</v>
      </c>
      <c r="B1312" s="70">
        <f t="shared" si="2"/>
        <v>0</v>
      </c>
      <c r="C1312" s="70">
        <v>0.0</v>
      </c>
      <c r="D1312" s="70">
        <v>0.0</v>
      </c>
      <c r="E1312" s="70">
        <v>0.0</v>
      </c>
      <c r="F1312" s="70">
        <v>0.0</v>
      </c>
      <c r="G1312" s="70">
        <v>0.0</v>
      </c>
      <c r="H1312" s="70" t="s">
        <v>15993</v>
      </c>
      <c r="I1312" s="70">
        <v>1691.0</v>
      </c>
      <c r="K1312" s="70" t="s">
        <v>15992</v>
      </c>
      <c r="L1312" s="70" t="s">
        <v>11440</v>
      </c>
      <c r="P1312" s="77">
        <v>45390.0</v>
      </c>
      <c r="U1312" s="70" t="s">
        <v>239</v>
      </c>
      <c r="X1312" s="70" t="s">
        <v>11444</v>
      </c>
      <c r="Z1312" s="75" t="s">
        <v>15994</v>
      </c>
      <c r="AF1312" s="70" t="s">
        <v>239</v>
      </c>
      <c r="AZ1312" s="70">
        <v>1409.0</v>
      </c>
    </row>
    <row r="1313" ht="22.5" customHeight="1">
      <c r="A1313" s="70" t="str">
        <f t="shared" si="1"/>
        <v>Excluded</v>
      </c>
      <c r="B1313" s="70">
        <f t="shared" si="2"/>
        <v>0</v>
      </c>
      <c r="C1313" s="70">
        <v>0.0</v>
      </c>
      <c r="D1313" s="70">
        <v>0.0</v>
      </c>
      <c r="E1313" s="70">
        <v>0.0</v>
      </c>
      <c r="F1313" s="70">
        <v>0.0</v>
      </c>
      <c r="G1313" s="70">
        <v>0.0</v>
      </c>
      <c r="H1313" s="70" t="s">
        <v>11441</v>
      </c>
      <c r="I1313" s="70">
        <v>1199.0</v>
      </c>
      <c r="J1313" s="70" t="s">
        <v>11438</v>
      </c>
      <c r="K1313" s="70" t="s">
        <v>11439</v>
      </c>
      <c r="L1313" s="70" t="s">
        <v>11440</v>
      </c>
      <c r="P1313" s="77">
        <v>45390.0</v>
      </c>
      <c r="U1313" s="70" t="s">
        <v>239</v>
      </c>
      <c r="W1313" s="70" t="s">
        <v>11443</v>
      </c>
      <c r="X1313" s="70" t="s">
        <v>11444</v>
      </c>
      <c r="Z1313" s="75" t="s">
        <v>11445</v>
      </c>
      <c r="AA1313" s="70" t="s">
        <v>11446</v>
      </c>
      <c r="AC1313" s="70">
        <v>3.0</v>
      </c>
      <c r="AE1313" s="70">
        <v>22.0</v>
      </c>
      <c r="AF1313" s="70" t="s">
        <v>239</v>
      </c>
      <c r="AW1313" s="70" t="s">
        <v>11447</v>
      </c>
      <c r="AX1313" s="70">
        <v>0.0</v>
      </c>
      <c r="AY1313" s="70" t="s">
        <v>24</v>
      </c>
      <c r="AZ1313" s="70">
        <v>1847.0</v>
      </c>
    </row>
    <row r="1314" ht="22.5" customHeight="1">
      <c r="A1314" s="70" t="str">
        <f t="shared" si="1"/>
        <v>Excluded</v>
      </c>
      <c r="B1314" s="70">
        <f t="shared" si="2"/>
        <v>0</v>
      </c>
      <c r="C1314" s="70">
        <v>0.0</v>
      </c>
      <c r="D1314" s="70">
        <v>0.0</v>
      </c>
      <c r="E1314" s="70">
        <v>0.0</v>
      </c>
      <c r="F1314" s="70">
        <v>0.0</v>
      </c>
      <c r="G1314" s="70">
        <v>0.0</v>
      </c>
      <c r="H1314" s="70" t="s">
        <v>12574</v>
      </c>
      <c r="I1314" s="70">
        <v>1312.0</v>
      </c>
      <c r="J1314" s="70" t="s">
        <v>12571</v>
      </c>
      <c r="K1314" s="70" t="s">
        <v>12572</v>
      </c>
      <c r="L1314" s="70" t="s">
        <v>12573</v>
      </c>
      <c r="P1314" s="77">
        <v>45569.0</v>
      </c>
      <c r="U1314" s="70" t="s">
        <v>239</v>
      </c>
      <c r="W1314" s="70" t="s">
        <v>12576</v>
      </c>
      <c r="X1314" s="70" t="s">
        <v>12577</v>
      </c>
      <c r="Z1314" s="75" t="s">
        <v>12578</v>
      </c>
      <c r="AA1314" s="70" t="s">
        <v>12579</v>
      </c>
      <c r="AE1314" s="70">
        <v>10.0</v>
      </c>
      <c r="AF1314" s="70" t="s">
        <v>239</v>
      </c>
      <c r="AW1314" s="70" t="s">
        <v>12580</v>
      </c>
      <c r="AX1314" s="70">
        <v>0.0</v>
      </c>
      <c r="AY1314" s="70" t="s">
        <v>24</v>
      </c>
      <c r="AZ1314" s="70">
        <v>2324.0</v>
      </c>
    </row>
    <row r="1315" ht="22.5" customHeight="1">
      <c r="A1315" s="70" t="str">
        <f t="shared" si="1"/>
        <v>Excluded</v>
      </c>
      <c r="B1315" s="70">
        <f t="shared" si="2"/>
        <v>0</v>
      </c>
      <c r="C1315" s="70">
        <v>0.0</v>
      </c>
      <c r="D1315" s="70">
        <v>0.0</v>
      </c>
      <c r="E1315" s="70">
        <v>0.0</v>
      </c>
      <c r="F1315" s="70">
        <v>0.0</v>
      </c>
      <c r="G1315" s="70">
        <v>0.0</v>
      </c>
      <c r="H1315" s="70" t="s">
        <v>13018</v>
      </c>
      <c r="I1315" s="70">
        <v>1357.0</v>
      </c>
      <c r="J1315" s="70" t="s">
        <v>13015</v>
      </c>
      <c r="K1315" s="70" t="s">
        <v>13016</v>
      </c>
      <c r="L1315" s="70" t="s">
        <v>13017</v>
      </c>
      <c r="P1315" s="76">
        <v>45317.0</v>
      </c>
      <c r="U1315" s="70" t="s">
        <v>239</v>
      </c>
      <c r="W1315" s="70" t="s">
        <v>13020</v>
      </c>
      <c r="X1315" s="70" t="s">
        <v>13021</v>
      </c>
      <c r="Z1315" s="75" t="s">
        <v>13022</v>
      </c>
      <c r="AA1315" s="70" t="s">
        <v>13023</v>
      </c>
      <c r="AE1315" s="70">
        <v>39.0</v>
      </c>
      <c r="AF1315" s="70" t="s">
        <v>239</v>
      </c>
      <c r="AW1315" s="70" t="s">
        <v>13024</v>
      </c>
      <c r="AX1315" s="70">
        <v>0.0</v>
      </c>
      <c r="AY1315" s="70" t="s">
        <v>24</v>
      </c>
      <c r="AZ1315" s="70">
        <v>2045.0</v>
      </c>
    </row>
    <row r="1316" ht="22.5" customHeight="1">
      <c r="A1316" s="70" t="str">
        <f t="shared" si="1"/>
        <v>Excluded</v>
      </c>
      <c r="B1316" s="70">
        <f t="shared" si="2"/>
        <v>0</v>
      </c>
      <c r="C1316" s="70">
        <v>0.0</v>
      </c>
      <c r="D1316" s="70">
        <v>0.0</v>
      </c>
      <c r="E1316" s="70">
        <v>0.0</v>
      </c>
      <c r="F1316" s="70">
        <v>0.0</v>
      </c>
      <c r="G1316" s="70">
        <v>0.0</v>
      </c>
      <c r="H1316" s="70" t="s">
        <v>14421</v>
      </c>
      <c r="I1316" s="70">
        <v>1504.0</v>
      </c>
      <c r="J1316" s="70" t="s">
        <v>14418</v>
      </c>
      <c r="K1316" s="70" t="s">
        <v>14419</v>
      </c>
      <c r="L1316" s="70" t="s">
        <v>14420</v>
      </c>
      <c r="P1316" s="76">
        <v>45672.0</v>
      </c>
      <c r="U1316" s="70" t="s">
        <v>239</v>
      </c>
      <c r="W1316" s="70" t="s">
        <v>14423</v>
      </c>
      <c r="X1316" s="70" t="s">
        <v>14424</v>
      </c>
      <c r="Z1316" s="75" t="s">
        <v>14425</v>
      </c>
      <c r="AA1316" s="70" t="s">
        <v>14426</v>
      </c>
      <c r="AE1316" s="70">
        <v>18.0</v>
      </c>
      <c r="AF1316" s="70" t="s">
        <v>239</v>
      </c>
      <c r="AW1316" s="70" t="s">
        <v>14427</v>
      </c>
      <c r="AX1316" s="70">
        <v>0.0</v>
      </c>
      <c r="AY1316" s="70" t="s">
        <v>24</v>
      </c>
      <c r="AZ1316" s="70">
        <v>2952.0</v>
      </c>
    </row>
    <row r="1317" ht="22.5" customHeight="1">
      <c r="A1317" s="70" t="str">
        <f t="shared" si="1"/>
        <v>Excluded</v>
      </c>
      <c r="B1317" s="70">
        <f t="shared" si="2"/>
        <v>0</v>
      </c>
      <c r="C1317" s="70">
        <v>0.0</v>
      </c>
      <c r="D1317" s="70">
        <v>0.0</v>
      </c>
      <c r="E1317" s="70">
        <v>0.0</v>
      </c>
      <c r="F1317" s="70">
        <v>0.0</v>
      </c>
      <c r="G1317" s="70">
        <v>0.0</v>
      </c>
      <c r="H1317" s="70" t="s">
        <v>15219</v>
      </c>
      <c r="I1317" s="70">
        <v>1587.0</v>
      </c>
      <c r="J1317" s="70" t="s">
        <v>15216</v>
      </c>
      <c r="K1317" s="70" t="s">
        <v>15217</v>
      </c>
      <c r="L1317" s="70" t="s">
        <v>15218</v>
      </c>
      <c r="P1317" s="76">
        <v>45705.0</v>
      </c>
      <c r="U1317" s="70" t="s">
        <v>239</v>
      </c>
      <c r="W1317" s="70" t="s">
        <v>15221</v>
      </c>
      <c r="X1317" s="70" t="s">
        <v>15222</v>
      </c>
      <c r="Z1317" s="75" t="s">
        <v>15223</v>
      </c>
      <c r="AA1317" s="70" t="s">
        <v>15224</v>
      </c>
      <c r="AE1317" s="70">
        <v>15.0</v>
      </c>
      <c r="AF1317" s="70" t="s">
        <v>239</v>
      </c>
      <c r="AW1317" s="70" t="s">
        <v>15225</v>
      </c>
      <c r="AX1317" s="70">
        <v>0.0</v>
      </c>
      <c r="AY1317" s="70" t="s">
        <v>24</v>
      </c>
      <c r="AZ1317" s="70">
        <v>1861.0</v>
      </c>
    </row>
    <row r="1318" ht="22.5" customHeight="1">
      <c r="A1318" s="70" t="str">
        <f t="shared" si="1"/>
        <v>Excluded</v>
      </c>
      <c r="B1318" s="70">
        <f t="shared" si="2"/>
        <v>0</v>
      </c>
      <c r="C1318" s="70">
        <v>0.0</v>
      </c>
      <c r="D1318" s="70">
        <v>0.0</v>
      </c>
      <c r="E1318" s="70">
        <v>0.0</v>
      </c>
      <c r="F1318" s="70">
        <v>0.0</v>
      </c>
      <c r="G1318" s="70">
        <v>0.0</v>
      </c>
      <c r="H1318" s="70" t="s">
        <v>15271</v>
      </c>
      <c r="I1318" s="70">
        <v>1593.0</v>
      </c>
      <c r="J1318" s="70" t="s">
        <v>15269</v>
      </c>
      <c r="K1318" s="70" t="s">
        <v>15270</v>
      </c>
      <c r="L1318" s="70" t="s">
        <v>15218</v>
      </c>
      <c r="P1318" s="76">
        <v>45705.0</v>
      </c>
      <c r="U1318" s="70" t="s">
        <v>239</v>
      </c>
      <c r="W1318" s="70" t="s">
        <v>15273</v>
      </c>
      <c r="X1318" s="70" t="s">
        <v>15222</v>
      </c>
      <c r="Z1318" s="75" t="s">
        <v>15274</v>
      </c>
      <c r="AA1318" s="70" t="s">
        <v>15275</v>
      </c>
      <c r="AE1318" s="70">
        <v>18.0</v>
      </c>
      <c r="AF1318" s="70" t="s">
        <v>239</v>
      </c>
      <c r="AW1318" s="70" t="s">
        <v>15276</v>
      </c>
      <c r="AZ1318" s="70">
        <v>727.0</v>
      </c>
    </row>
    <row r="1319" ht="22.5" customHeight="1">
      <c r="A1319" s="70" t="str">
        <f t="shared" si="1"/>
        <v>Excluded</v>
      </c>
      <c r="B1319" s="70">
        <f t="shared" si="2"/>
        <v>0</v>
      </c>
      <c r="C1319" s="70">
        <v>0.0</v>
      </c>
      <c r="D1319" s="70">
        <v>0.0</v>
      </c>
      <c r="E1319" s="70">
        <v>0.0</v>
      </c>
      <c r="F1319" s="70">
        <v>0.0</v>
      </c>
      <c r="G1319" s="70">
        <v>0.0</v>
      </c>
      <c r="H1319" s="70" t="s">
        <v>10410</v>
      </c>
      <c r="I1319" s="70">
        <v>1023.0</v>
      </c>
      <c r="J1319" s="70" t="s">
        <v>10407</v>
      </c>
      <c r="K1319" s="70" t="s">
        <v>10408</v>
      </c>
      <c r="L1319" s="70" t="s">
        <v>10409</v>
      </c>
      <c r="P1319" s="76">
        <v>44728.0</v>
      </c>
      <c r="U1319" s="70" t="s">
        <v>239</v>
      </c>
      <c r="W1319" s="70" t="s">
        <v>10412</v>
      </c>
      <c r="X1319" s="70" t="s">
        <v>10413</v>
      </c>
      <c r="Z1319" s="75" t="s">
        <v>10414</v>
      </c>
      <c r="AA1319" s="70" t="s">
        <v>10415</v>
      </c>
      <c r="AE1319" s="70">
        <v>22.0</v>
      </c>
      <c r="AF1319" s="70" t="s">
        <v>239</v>
      </c>
      <c r="AW1319" s="70" t="s">
        <v>10416</v>
      </c>
      <c r="AX1319" s="70">
        <v>0.0</v>
      </c>
      <c r="AY1319" s="70" t="s">
        <v>24</v>
      </c>
      <c r="AZ1319" s="70">
        <v>2219.0</v>
      </c>
    </row>
    <row r="1320" ht="22.5" customHeight="1">
      <c r="A1320" s="70" t="str">
        <f t="shared" si="1"/>
        <v>Excluded</v>
      </c>
      <c r="B1320" s="70">
        <f t="shared" si="2"/>
        <v>0</v>
      </c>
      <c r="C1320" s="70">
        <v>0.0</v>
      </c>
      <c r="D1320" s="70">
        <v>0.0</v>
      </c>
      <c r="E1320" s="70">
        <v>0.0</v>
      </c>
      <c r="F1320" s="70">
        <v>0.0</v>
      </c>
      <c r="G1320" s="70">
        <v>0.0</v>
      </c>
      <c r="H1320" s="70" t="s">
        <v>15354</v>
      </c>
      <c r="I1320" s="70">
        <v>1602.0</v>
      </c>
      <c r="J1320" s="70" t="s">
        <v>15352</v>
      </c>
      <c r="K1320" s="70" t="s">
        <v>15353</v>
      </c>
      <c r="L1320" s="70" t="s">
        <v>13548</v>
      </c>
      <c r="P1320" s="77">
        <v>45475.0</v>
      </c>
      <c r="U1320" s="70" t="s">
        <v>239</v>
      </c>
      <c r="W1320" s="70" t="s">
        <v>30436</v>
      </c>
      <c r="X1320" s="70" t="s">
        <v>13552</v>
      </c>
      <c r="Z1320" s="75" t="s">
        <v>15357</v>
      </c>
      <c r="AA1320" s="70" t="s">
        <v>15358</v>
      </c>
      <c r="AE1320" s="70">
        <v>15.0</v>
      </c>
      <c r="AF1320" s="70" t="s">
        <v>239</v>
      </c>
      <c r="AW1320" s="70" t="s">
        <v>15359</v>
      </c>
      <c r="AX1320" s="70">
        <v>0.0</v>
      </c>
      <c r="AY1320" s="70" t="s">
        <v>24</v>
      </c>
      <c r="AZ1320" s="70">
        <v>2388.0</v>
      </c>
    </row>
    <row r="1321" ht="22.5" customHeight="1">
      <c r="A1321" s="70" t="str">
        <f t="shared" si="1"/>
        <v>Excluded</v>
      </c>
      <c r="B1321" s="70">
        <f t="shared" si="2"/>
        <v>0</v>
      </c>
      <c r="C1321" s="70">
        <v>0.0</v>
      </c>
      <c r="D1321" s="70">
        <v>0.0</v>
      </c>
      <c r="E1321" s="70">
        <v>0.0</v>
      </c>
      <c r="F1321" s="70">
        <v>0.0</v>
      </c>
      <c r="G1321" s="70">
        <v>0.0</v>
      </c>
      <c r="H1321" s="70" t="s">
        <v>13549</v>
      </c>
      <c r="I1321" s="70">
        <v>1411.0</v>
      </c>
      <c r="J1321" s="70" t="s">
        <v>13546</v>
      </c>
      <c r="K1321" s="70" t="s">
        <v>13547</v>
      </c>
      <c r="L1321" s="70" t="s">
        <v>13548</v>
      </c>
      <c r="P1321" s="77">
        <v>45475.0</v>
      </c>
      <c r="U1321" s="70" t="s">
        <v>239</v>
      </c>
      <c r="W1321" s="70" t="s">
        <v>13551</v>
      </c>
      <c r="X1321" s="70" t="s">
        <v>13552</v>
      </c>
      <c r="Z1321" s="75" t="s">
        <v>13553</v>
      </c>
      <c r="AA1321" s="70" t="s">
        <v>13554</v>
      </c>
      <c r="AE1321" s="70">
        <v>17.0</v>
      </c>
      <c r="AF1321" s="70" t="s">
        <v>239</v>
      </c>
      <c r="AW1321" s="70" t="s">
        <v>13555</v>
      </c>
      <c r="AX1321" s="70">
        <v>0.0</v>
      </c>
      <c r="AY1321" s="70" t="s">
        <v>24</v>
      </c>
      <c r="AZ1321" s="70">
        <v>2647.0</v>
      </c>
    </row>
    <row r="1322" ht="22.5" customHeight="1">
      <c r="A1322" s="70" t="str">
        <f t="shared" si="1"/>
        <v>Excluded</v>
      </c>
      <c r="B1322" s="70">
        <f t="shared" si="2"/>
        <v>0</v>
      </c>
      <c r="C1322" s="70">
        <v>0.0</v>
      </c>
      <c r="D1322" s="70">
        <v>0.0</v>
      </c>
      <c r="E1322" s="70">
        <v>0.0</v>
      </c>
      <c r="F1322" s="70">
        <v>0.0</v>
      </c>
      <c r="G1322" s="70">
        <v>0.0</v>
      </c>
      <c r="H1322" s="70" t="s">
        <v>8761</v>
      </c>
      <c r="I1322" s="70">
        <v>851.0</v>
      </c>
      <c r="J1322" s="70" t="s">
        <v>8758</v>
      </c>
      <c r="K1322" s="70" t="s">
        <v>8759</v>
      </c>
      <c r="L1322" s="70" t="s">
        <v>8760</v>
      </c>
      <c r="P1322" s="76">
        <v>44865.0</v>
      </c>
      <c r="U1322" s="70" t="s">
        <v>239</v>
      </c>
      <c r="W1322" s="70" t="s">
        <v>8763</v>
      </c>
      <c r="X1322" s="70" t="s">
        <v>8764</v>
      </c>
      <c r="Z1322" s="75" t="s">
        <v>8765</v>
      </c>
      <c r="AA1322" s="70" t="s">
        <v>8766</v>
      </c>
      <c r="AC1322" s="70">
        <v>1.0</v>
      </c>
      <c r="AE1322" s="70">
        <v>16.0</v>
      </c>
      <c r="AF1322" s="70" t="s">
        <v>239</v>
      </c>
      <c r="AW1322" s="70" t="s">
        <v>8767</v>
      </c>
      <c r="AX1322" s="70">
        <v>0.0</v>
      </c>
      <c r="AY1322" s="70" t="s">
        <v>24</v>
      </c>
      <c r="AZ1322" s="70">
        <v>2177.0</v>
      </c>
    </row>
    <row r="1323" ht="22.5" customHeight="1">
      <c r="A1323" s="70" t="str">
        <f t="shared" si="1"/>
        <v>Excluded</v>
      </c>
      <c r="B1323" s="70">
        <f t="shared" si="2"/>
        <v>0</v>
      </c>
      <c r="C1323" s="70">
        <v>0.0</v>
      </c>
      <c r="D1323" s="70">
        <v>0.0</v>
      </c>
      <c r="E1323" s="70">
        <v>0.0</v>
      </c>
      <c r="F1323" s="70">
        <v>0.0</v>
      </c>
      <c r="G1323" s="70">
        <v>0.0</v>
      </c>
      <c r="H1323" s="70" t="s">
        <v>8770</v>
      </c>
      <c r="I1323" s="70">
        <v>852.0</v>
      </c>
      <c r="J1323" s="70" t="s">
        <v>8768</v>
      </c>
      <c r="K1323" s="70" t="s">
        <v>8769</v>
      </c>
      <c r="L1323" s="70" t="s">
        <v>8760</v>
      </c>
      <c r="P1323" s="76">
        <v>44865.0</v>
      </c>
      <c r="U1323" s="70" t="s">
        <v>239</v>
      </c>
      <c r="W1323" s="70" t="s">
        <v>8772</v>
      </c>
      <c r="X1323" s="70" t="s">
        <v>8764</v>
      </c>
      <c r="Z1323" s="75" t="s">
        <v>8773</v>
      </c>
      <c r="AA1323" s="70" t="s">
        <v>8774</v>
      </c>
      <c r="AC1323" s="70">
        <v>1.0</v>
      </c>
      <c r="AE1323" s="70">
        <v>13.0</v>
      </c>
      <c r="AF1323" s="70" t="s">
        <v>239</v>
      </c>
      <c r="AW1323" s="70" t="s">
        <v>8775</v>
      </c>
      <c r="AZ1323" s="70">
        <v>179.0</v>
      </c>
    </row>
    <row r="1324" ht="22.5" customHeight="1">
      <c r="A1324" s="70" t="str">
        <f t="shared" si="1"/>
        <v>Excluded</v>
      </c>
      <c r="B1324" s="70">
        <f t="shared" si="2"/>
        <v>0</v>
      </c>
      <c r="C1324" s="70">
        <v>0.0</v>
      </c>
      <c r="D1324" s="70">
        <v>0.0</v>
      </c>
      <c r="E1324" s="70">
        <v>0.0</v>
      </c>
      <c r="F1324" s="70">
        <v>0.0</v>
      </c>
      <c r="G1324" s="70">
        <v>0.0</v>
      </c>
      <c r="H1324" s="70" t="s">
        <v>6160</v>
      </c>
      <c r="I1324" s="70">
        <v>583.0</v>
      </c>
      <c r="J1324" s="70" t="s">
        <v>30437</v>
      </c>
      <c r="K1324" s="70" t="s">
        <v>6159</v>
      </c>
      <c r="L1324" s="70" t="s">
        <v>5478</v>
      </c>
      <c r="N1324" s="70" t="s">
        <v>5479</v>
      </c>
      <c r="P1324" s="76">
        <v>43394.0</v>
      </c>
      <c r="U1324" s="70" t="s">
        <v>239</v>
      </c>
      <c r="W1324" s="70" t="s">
        <v>6162</v>
      </c>
      <c r="X1324" s="70" t="s">
        <v>5483</v>
      </c>
      <c r="Z1324" s="75" t="s">
        <v>6163</v>
      </c>
      <c r="AA1324" s="70" t="s">
        <v>6164</v>
      </c>
      <c r="AC1324" s="70">
        <v>7.0</v>
      </c>
      <c r="AE1324" s="70">
        <v>35.0</v>
      </c>
      <c r="AF1324" s="70" t="s">
        <v>239</v>
      </c>
      <c r="AW1324" s="70" t="s">
        <v>6165</v>
      </c>
      <c r="AX1324" s="70">
        <v>0.0</v>
      </c>
      <c r="AY1324" s="70" t="s">
        <v>24</v>
      </c>
      <c r="AZ1324" s="70">
        <v>2676.0</v>
      </c>
    </row>
    <row r="1325" ht="22.5" customHeight="1">
      <c r="A1325" s="70" t="str">
        <f t="shared" si="1"/>
        <v>Excluded</v>
      </c>
      <c r="B1325" s="70">
        <f t="shared" si="2"/>
        <v>0</v>
      </c>
      <c r="C1325" s="70">
        <v>0.0</v>
      </c>
      <c r="D1325" s="70">
        <v>0.0</v>
      </c>
      <c r="E1325" s="70">
        <v>0.0</v>
      </c>
      <c r="F1325" s="70">
        <v>0.0</v>
      </c>
      <c r="G1325" s="70">
        <v>0.0</v>
      </c>
      <c r="H1325" s="70" t="s">
        <v>5480</v>
      </c>
      <c r="I1325" s="70">
        <v>514.0</v>
      </c>
      <c r="J1325" s="70" t="s">
        <v>5476</v>
      </c>
      <c r="K1325" s="70" t="s">
        <v>5477</v>
      </c>
      <c r="L1325" s="70" t="s">
        <v>5478</v>
      </c>
      <c r="N1325" s="70" t="s">
        <v>5479</v>
      </c>
      <c r="P1325" s="76">
        <v>43394.0</v>
      </c>
      <c r="U1325" s="70" t="s">
        <v>239</v>
      </c>
      <c r="W1325" s="70" t="s">
        <v>5482</v>
      </c>
      <c r="X1325" s="70" t="s">
        <v>5483</v>
      </c>
      <c r="Z1325" s="75" t="s">
        <v>5484</v>
      </c>
      <c r="AA1325" s="70" t="s">
        <v>5485</v>
      </c>
      <c r="AC1325" s="70">
        <v>12.0</v>
      </c>
      <c r="AE1325" s="70">
        <v>23.0</v>
      </c>
      <c r="AF1325" s="70" t="s">
        <v>239</v>
      </c>
      <c r="AW1325" s="70" t="s">
        <v>5486</v>
      </c>
      <c r="AX1325" s="70">
        <v>0.0</v>
      </c>
      <c r="AY1325" s="70" t="s">
        <v>24</v>
      </c>
      <c r="AZ1325" s="70">
        <v>1686.0</v>
      </c>
    </row>
    <row r="1326" ht="22.5" customHeight="1">
      <c r="A1326" s="70" t="str">
        <f t="shared" si="1"/>
        <v>Excluded</v>
      </c>
      <c r="B1326" s="70">
        <f t="shared" si="2"/>
        <v>0</v>
      </c>
      <c r="C1326" s="70">
        <v>0.0</v>
      </c>
      <c r="D1326" s="70">
        <v>0.0</v>
      </c>
      <c r="E1326" s="70">
        <v>0.0</v>
      </c>
      <c r="F1326" s="70">
        <v>0.0</v>
      </c>
      <c r="G1326" s="70">
        <v>0.0</v>
      </c>
      <c r="H1326" s="70" t="s">
        <v>5633</v>
      </c>
      <c r="I1326" s="70">
        <v>530.0</v>
      </c>
      <c r="J1326" s="70" t="s">
        <v>5630</v>
      </c>
      <c r="K1326" s="70" t="s">
        <v>5631</v>
      </c>
      <c r="L1326" s="70" t="s">
        <v>5632</v>
      </c>
      <c r="N1326" s="70" t="s">
        <v>5479</v>
      </c>
      <c r="P1326" s="76">
        <v>43720.0</v>
      </c>
      <c r="U1326" s="70" t="s">
        <v>239</v>
      </c>
      <c r="W1326" s="70" t="s">
        <v>5635</v>
      </c>
      <c r="X1326" s="70" t="s">
        <v>5636</v>
      </c>
      <c r="Z1326" s="75" t="s">
        <v>5637</v>
      </c>
      <c r="AA1326" s="70" t="s">
        <v>5638</v>
      </c>
      <c r="AC1326" s="70">
        <v>10.0</v>
      </c>
      <c r="AE1326" s="70">
        <v>22.0</v>
      </c>
      <c r="AF1326" s="70" t="s">
        <v>239</v>
      </c>
      <c r="AW1326" s="70" t="s">
        <v>5639</v>
      </c>
      <c r="AX1326" s="70">
        <v>0.0</v>
      </c>
      <c r="AY1326" s="70" t="s">
        <v>24</v>
      </c>
      <c r="AZ1326" s="70">
        <v>2181.0</v>
      </c>
    </row>
    <row r="1327" ht="22.5" customHeight="1">
      <c r="A1327" s="70" t="str">
        <f t="shared" si="1"/>
        <v>Excluded</v>
      </c>
      <c r="B1327" s="70">
        <f t="shared" si="2"/>
        <v>0</v>
      </c>
      <c r="C1327" s="70">
        <v>0.0</v>
      </c>
      <c r="D1327" s="70">
        <v>0.0</v>
      </c>
      <c r="E1327" s="70">
        <v>0.0</v>
      </c>
      <c r="F1327" s="70">
        <v>0.0</v>
      </c>
      <c r="G1327" s="70">
        <v>0.0</v>
      </c>
      <c r="H1327" s="70" t="s">
        <v>7989</v>
      </c>
      <c r="I1327" s="70">
        <v>770.0</v>
      </c>
      <c r="J1327" s="70" t="s">
        <v>7986</v>
      </c>
      <c r="K1327" s="70" t="s">
        <v>7987</v>
      </c>
      <c r="L1327" s="70" t="s">
        <v>7988</v>
      </c>
      <c r="P1327" s="76">
        <v>43027.0</v>
      </c>
      <c r="U1327" s="70" t="s">
        <v>239</v>
      </c>
      <c r="W1327" s="70" t="s">
        <v>7991</v>
      </c>
      <c r="X1327" s="70" t="s">
        <v>7992</v>
      </c>
      <c r="Z1327" s="75" t="s">
        <v>7993</v>
      </c>
      <c r="AA1327" s="70" t="s">
        <v>7994</v>
      </c>
      <c r="AC1327" s="70">
        <v>2.0</v>
      </c>
      <c r="AE1327" s="70">
        <v>37.0</v>
      </c>
      <c r="AF1327" s="70" t="s">
        <v>239</v>
      </c>
      <c r="AW1327" s="70" t="s">
        <v>7995</v>
      </c>
      <c r="AZ1327" s="70">
        <v>259.0</v>
      </c>
    </row>
    <row r="1328" ht="22.5" customHeight="1">
      <c r="A1328" s="70" t="str">
        <f t="shared" si="1"/>
        <v>Excluded</v>
      </c>
      <c r="B1328" s="70">
        <f t="shared" si="2"/>
        <v>0</v>
      </c>
      <c r="C1328" s="70">
        <v>0.0</v>
      </c>
      <c r="D1328" s="70">
        <v>0.0</v>
      </c>
      <c r="E1328" s="70">
        <v>0.0</v>
      </c>
      <c r="F1328" s="70">
        <v>0.0</v>
      </c>
      <c r="G1328" s="70">
        <v>0.0</v>
      </c>
      <c r="H1328" s="70" t="s">
        <v>12342</v>
      </c>
      <c r="I1328" s="70">
        <v>1289.0</v>
      </c>
      <c r="J1328" s="70" t="s">
        <v>12339</v>
      </c>
      <c r="K1328" s="70" t="s">
        <v>12340</v>
      </c>
      <c r="L1328" s="70" t="s">
        <v>12341</v>
      </c>
      <c r="P1328" s="76">
        <v>45131.0</v>
      </c>
      <c r="U1328" s="70" t="s">
        <v>239</v>
      </c>
      <c r="W1328" s="70" t="s">
        <v>12344</v>
      </c>
      <c r="X1328" s="70" t="s">
        <v>12345</v>
      </c>
      <c r="Z1328" s="75" t="s">
        <v>12346</v>
      </c>
      <c r="AA1328" s="70" t="s">
        <v>12347</v>
      </c>
      <c r="AC1328" s="70">
        <v>1.0</v>
      </c>
      <c r="AE1328" s="70">
        <v>23.0</v>
      </c>
      <c r="AF1328" s="70" t="s">
        <v>239</v>
      </c>
      <c r="AW1328" s="70" t="s">
        <v>12348</v>
      </c>
      <c r="AZ1328" s="70">
        <v>730.0</v>
      </c>
    </row>
    <row r="1329" ht="22.5" customHeight="1">
      <c r="A1329" s="70" t="str">
        <f t="shared" si="1"/>
        <v>Excluded</v>
      </c>
      <c r="B1329" s="70">
        <f t="shared" si="2"/>
        <v>0</v>
      </c>
      <c r="C1329" s="70">
        <v>0.0</v>
      </c>
      <c r="D1329" s="70">
        <v>0.0</v>
      </c>
      <c r="E1329" s="70">
        <v>0.0</v>
      </c>
      <c r="F1329" s="70">
        <v>0.0</v>
      </c>
      <c r="G1329" s="70">
        <v>0.0</v>
      </c>
      <c r="H1329" s="70" t="s">
        <v>13616</v>
      </c>
      <c r="I1329" s="70">
        <v>1418.0</v>
      </c>
      <c r="J1329" s="70" t="s">
        <v>13613</v>
      </c>
      <c r="K1329" s="70" t="s">
        <v>13614</v>
      </c>
      <c r="L1329" s="70" t="s">
        <v>13615</v>
      </c>
      <c r="P1329" s="77">
        <v>45513.0</v>
      </c>
      <c r="U1329" s="70" t="s">
        <v>239</v>
      </c>
      <c r="W1329" s="70" t="s">
        <v>13618</v>
      </c>
      <c r="X1329" s="70" t="s">
        <v>13619</v>
      </c>
      <c r="Z1329" s="75" t="s">
        <v>13620</v>
      </c>
      <c r="AA1329" s="70" t="s">
        <v>13621</v>
      </c>
      <c r="AE1329" s="70">
        <v>43.0</v>
      </c>
      <c r="AF1329" s="70" t="s">
        <v>239</v>
      </c>
      <c r="AW1329" s="70" t="s">
        <v>13622</v>
      </c>
      <c r="AZ1329" s="70">
        <v>430.0</v>
      </c>
    </row>
    <row r="1330" ht="22.5" customHeight="1">
      <c r="A1330" s="70" t="str">
        <f t="shared" si="1"/>
        <v>Excluded</v>
      </c>
      <c r="B1330" s="70">
        <f t="shared" si="2"/>
        <v>0</v>
      </c>
      <c r="C1330" s="70">
        <v>0.0</v>
      </c>
      <c r="D1330" s="70">
        <v>0.0</v>
      </c>
      <c r="E1330" s="70">
        <v>0.0</v>
      </c>
      <c r="F1330" s="70">
        <v>0.0</v>
      </c>
      <c r="G1330" s="70">
        <v>0.0</v>
      </c>
      <c r="H1330" s="70" t="s">
        <v>7380</v>
      </c>
      <c r="I1330" s="70">
        <v>708.0</v>
      </c>
      <c r="J1330" s="70" t="s">
        <v>7377</v>
      </c>
      <c r="K1330" s="70" t="s">
        <v>7378</v>
      </c>
      <c r="L1330" s="70" t="s">
        <v>7379</v>
      </c>
      <c r="P1330" s="77">
        <v>44964.0</v>
      </c>
      <c r="U1330" s="70" t="s">
        <v>239</v>
      </c>
      <c r="W1330" s="70" t="s">
        <v>7382</v>
      </c>
      <c r="X1330" s="70" t="s">
        <v>7383</v>
      </c>
      <c r="Z1330" s="75" t="s">
        <v>7384</v>
      </c>
      <c r="AA1330" s="70" t="s">
        <v>7385</v>
      </c>
      <c r="AC1330" s="70">
        <v>3.0</v>
      </c>
      <c r="AE1330" s="70">
        <v>15.0</v>
      </c>
      <c r="AF1330" s="70" t="s">
        <v>239</v>
      </c>
      <c r="AW1330" s="70" t="s">
        <v>7386</v>
      </c>
      <c r="AX1330" s="70">
        <v>0.0</v>
      </c>
      <c r="AY1330" s="70" t="s">
        <v>24</v>
      </c>
      <c r="AZ1330" s="70">
        <v>2643.0</v>
      </c>
    </row>
    <row r="1331" ht="22.5" customHeight="1">
      <c r="A1331" s="70" t="str">
        <f t="shared" si="1"/>
        <v>Excluded</v>
      </c>
      <c r="B1331" s="70">
        <f t="shared" si="2"/>
        <v>0</v>
      </c>
      <c r="C1331" s="70">
        <v>0.0</v>
      </c>
      <c r="D1331" s="70">
        <v>0.0</v>
      </c>
      <c r="E1331" s="70">
        <v>0.0</v>
      </c>
      <c r="F1331" s="70">
        <v>0.0</v>
      </c>
      <c r="G1331" s="70">
        <v>0.0</v>
      </c>
      <c r="H1331" s="70" t="s">
        <v>12423</v>
      </c>
      <c r="I1331" s="70">
        <v>1297.0</v>
      </c>
      <c r="J1331" s="70" t="s">
        <v>12420</v>
      </c>
      <c r="K1331" s="70" t="s">
        <v>12421</v>
      </c>
      <c r="L1331" s="70" t="s">
        <v>12422</v>
      </c>
      <c r="P1331" s="76">
        <v>45317.0</v>
      </c>
      <c r="U1331" s="70" t="s">
        <v>239</v>
      </c>
      <c r="W1331" s="70" t="s">
        <v>12425</v>
      </c>
      <c r="X1331" s="70" t="s">
        <v>12426</v>
      </c>
      <c r="Z1331" s="75" t="s">
        <v>12427</v>
      </c>
      <c r="AA1331" s="70" t="s">
        <v>12428</v>
      </c>
      <c r="AC1331" s="70">
        <v>1.0</v>
      </c>
      <c r="AE1331" s="70">
        <v>24.0</v>
      </c>
      <c r="AF1331" s="70" t="s">
        <v>239</v>
      </c>
      <c r="AW1331" s="70" t="s">
        <v>12429</v>
      </c>
      <c r="AX1331" s="70">
        <v>0.0</v>
      </c>
      <c r="AY1331" s="70" t="s">
        <v>24</v>
      </c>
      <c r="AZ1331" s="70">
        <v>2327.0</v>
      </c>
    </row>
    <row r="1332" ht="22.5" customHeight="1">
      <c r="A1332" s="70" t="str">
        <f t="shared" si="1"/>
        <v>Excluded</v>
      </c>
      <c r="B1332" s="70">
        <f t="shared" si="2"/>
        <v>0</v>
      </c>
      <c r="C1332" s="70">
        <v>0.0</v>
      </c>
      <c r="D1332" s="70">
        <v>0.0</v>
      </c>
      <c r="E1332" s="70">
        <v>0.0</v>
      </c>
      <c r="F1332" s="70">
        <v>0.0</v>
      </c>
      <c r="G1332" s="70">
        <v>0.0</v>
      </c>
      <c r="H1332" s="70" t="s">
        <v>25366</v>
      </c>
      <c r="I1332" s="70">
        <v>2762.0</v>
      </c>
      <c r="J1332" s="70" t="s">
        <v>25364</v>
      </c>
      <c r="K1332" s="70" t="s">
        <v>25365</v>
      </c>
      <c r="W1332" s="70" t="s">
        <v>30438</v>
      </c>
      <c r="AA1332" s="70" t="s">
        <v>25368</v>
      </c>
      <c r="AI1332" s="70" t="s">
        <v>25369</v>
      </c>
      <c r="AJ1332" s="70" t="s">
        <v>25370</v>
      </c>
      <c r="AK1332" s="70">
        <v>2023.0</v>
      </c>
      <c r="AL1332" s="70" t="s">
        <v>25371</v>
      </c>
      <c r="AN1332" s="70">
        <v>1270.0</v>
      </c>
      <c r="AO1332" s="70">
        <v>1275.0</v>
      </c>
      <c r="AP1332" s="70">
        <v>5.0</v>
      </c>
      <c r="AQ1332" s="70">
        <v>3.0</v>
      </c>
      <c r="AR1332" s="75" t="s">
        <v>25372</v>
      </c>
      <c r="AS1332" s="70" t="s">
        <v>22525</v>
      </c>
      <c r="AU1332" s="70" t="s">
        <v>237</v>
      </c>
      <c r="AV1332" s="70" t="s">
        <v>25373</v>
      </c>
      <c r="AW1332" s="70" t="s">
        <v>25374</v>
      </c>
      <c r="AX1332" s="70">
        <v>0.0</v>
      </c>
      <c r="AY1332" s="70" t="s">
        <v>24</v>
      </c>
      <c r="AZ1332" s="70">
        <v>2561.0</v>
      </c>
    </row>
    <row r="1333" ht="22.5" customHeight="1">
      <c r="A1333" s="70" t="str">
        <f t="shared" si="1"/>
        <v>Excluded</v>
      </c>
      <c r="B1333" s="70">
        <f t="shared" si="2"/>
        <v>0</v>
      </c>
      <c r="C1333" s="70">
        <v>0.0</v>
      </c>
      <c r="D1333" s="70">
        <v>0.0</v>
      </c>
      <c r="E1333" s="70">
        <v>0.0</v>
      </c>
      <c r="F1333" s="70">
        <v>0.0</v>
      </c>
      <c r="G1333" s="70">
        <v>0.0</v>
      </c>
      <c r="H1333" s="70" t="s">
        <v>27126</v>
      </c>
      <c r="I1333" s="70">
        <v>2933.0</v>
      </c>
      <c r="J1333" s="70" t="s">
        <v>27124</v>
      </c>
      <c r="K1333" s="70" t="s">
        <v>27125</v>
      </c>
      <c r="W1333" s="70" t="s">
        <v>30439</v>
      </c>
      <c r="AA1333" s="70" t="s">
        <v>27128</v>
      </c>
      <c r="AI1333" s="70" t="s">
        <v>27129</v>
      </c>
      <c r="AJ1333" s="70" t="s">
        <v>27130</v>
      </c>
      <c r="AK1333" s="70">
        <v>2022.0</v>
      </c>
      <c r="AL1333" s="70" t="s">
        <v>27131</v>
      </c>
      <c r="AN1333" s="70">
        <v>380.0</v>
      </c>
      <c r="AO1333" s="70">
        <v>388.0</v>
      </c>
      <c r="AP1333" s="70">
        <v>8.0</v>
      </c>
      <c r="AQ1333" s="70">
        <v>0.0</v>
      </c>
      <c r="AR1333" s="75" t="s">
        <v>27132</v>
      </c>
      <c r="AS1333" s="70" t="s">
        <v>22525</v>
      </c>
      <c r="AU1333" s="70" t="s">
        <v>237</v>
      </c>
      <c r="AV1333" s="70" t="s">
        <v>27133</v>
      </c>
      <c r="AW1333" s="70" t="s">
        <v>27134</v>
      </c>
      <c r="AX1333" s="70">
        <v>0.0</v>
      </c>
      <c r="AY1333" s="70" t="s">
        <v>24</v>
      </c>
      <c r="AZ1333" s="70">
        <v>2047.0</v>
      </c>
    </row>
    <row r="1334" ht="22.5" customHeight="1">
      <c r="A1334" s="70" t="str">
        <f t="shared" si="1"/>
        <v>Excluded</v>
      </c>
      <c r="B1334" s="70">
        <f t="shared" si="2"/>
        <v>0</v>
      </c>
      <c r="C1334" s="70">
        <v>0.0</v>
      </c>
      <c r="D1334" s="70">
        <v>0.0</v>
      </c>
      <c r="E1334" s="70">
        <v>0.0</v>
      </c>
      <c r="F1334" s="70">
        <v>0.0</v>
      </c>
      <c r="G1334" s="70">
        <v>0.0</v>
      </c>
      <c r="H1334" s="70" t="s">
        <v>14096</v>
      </c>
      <c r="I1334" s="70">
        <v>1468.0</v>
      </c>
      <c r="J1334" s="70" t="s">
        <v>14093</v>
      </c>
      <c r="K1334" s="70" t="s">
        <v>14094</v>
      </c>
      <c r="L1334" s="70" t="s">
        <v>14095</v>
      </c>
      <c r="P1334" s="76">
        <v>45371.0</v>
      </c>
      <c r="U1334" s="70" t="s">
        <v>239</v>
      </c>
      <c r="W1334" s="70" t="s">
        <v>14098</v>
      </c>
      <c r="X1334" s="70" t="s">
        <v>14099</v>
      </c>
      <c r="Z1334" s="75" t="s">
        <v>14100</v>
      </c>
      <c r="AA1334" s="70" t="s">
        <v>14101</v>
      </c>
      <c r="AE1334" s="70">
        <v>17.0</v>
      </c>
      <c r="AF1334" s="70" t="s">
        <v>239</v>
      </c>
      <c r="AW1334" s="70" t="s">
        <v>14102</v>
      </c>
      <c r="AZ1334" s="70">
        <v>522.0</v>
      </c>
    </row>
    <row r="1335" ht="22.5" customHeight="1">
      <c r="A1335" s="70" t="str">
        <f t="shared" si="1"/>
        <v>Excluded</v>
      </c>
      <c r="B1335" s="70">
        <f t="shared" si="2"/>
        <v>0</v>
      </c>
      <c r="C1335" s="70">
        <v>0.0</v>
      </c>
      <c r="D1335" s="70">
        <v>0.0</v>
      </c>
      <c r="E1335" s="70">
        <v>0.0</v>
      </c>
      <c r="F1335" s="70">
        <v>0.0</v>
      </c>
      <c r="G1335" s="70">
        <v>0.0</v>
      </c>
      <c r="H1335" s="70" t="s">
        <v>14216</v>
      </c>
      <c r="I1335" s="70">
        <v>1482.0</v>
      </c>
      <c r="J1335" s="70" t="s">
        <v>14213</v>
      </c>
      <c r="K1335" s="70" t="s">
        <v>14214</v>
      </c>
      <c r="L1335" s="70" t="s">
        <v>14215</v>
      </c>
      <c r="P1335" s="76">
        <v>45729.0</v>
      </c>
      <c r="U1335" s="70" t="s">
        <v>239</v>
      </c>
      <c r="W1335" s="70" t="s">
        <v>30440</v>
      </c>
      <c r="X1335" s="70" t="s">
        <v>14219</v>
      </c>
      <c r="Z1335" s="75" t="s">
        <v>14220</v>
      </c>
      <c r="AA1335" s="70" t="s">
        <v>14221</v>
      </c>
      <c r="AE1335" s="70">
        <v>20.0</v>
      </c>
      <c r="AF1335" s="70" t="s">
        <v>239</v>
      </c>
      <c r="AW1335" s="70" t="s">
        <v>14222</v>
      </c>
      <c r="AZ1335" s="70">
        <v>1175.0</v>
      </c>
    </row>
    <row r="1336" ht="22.5" customHeight="1">
      <c r="A1336" s="70" t="str">
        <f t="shared" si="1"/>
        <v>Excluded</v>
      </c>
      <c r="B1336" s="70">
        <f t="shared" si="2"/>
        <v>0</v>
      </c>
      <c r="C1336" s="70">
        <v>0.0</v>
      </c>
      <c r="D1336" s="70">
        <v>0.0</v>
      </c>
      <c r="E1336" s="70">
        <v>0.0</v>
      </c>
      <c r="F1336" s="70">
        <v>0.0</v>
      </c>
      <c r="G1336" s="70">
        <v>0.0</v>
      </c>
      <c r="H1336" s="70" t="s">
        <v>12403</v>
      </c>
      <c r="I1336" s="70">
        <v>1295.0</v>
      </c>
      <c r="J1336" s="70" t="s">
        <v>12400</v>
      </c>
      <c r="K1336" s="70" t="s">
        <v>12401</v>
      </c>
      <c r="L1336" s="70" t="s">
        <v>12402</v>
      </c>
      <c r="P1336" s="76">
        <v>45338.0</v>
      </c>
      <c r="U1336" s="70" t="s">
        <v>239</v>
      </c>
      <c r="W1336" s="70" t="s">
        <v>12405</v>
      </c>
      <c r="X1336" s="70" t="s">
        <v>12406</v>
      </c>
      <c r="Z1336" s="75" t="s">
        <v>12407</v>
      </c>
      <c r="AA1336" s="70" t="s">
        <v>12408</v>
      </c>
      <c r="AC1336" s="70">
        <v>1.0</v>
      </c>
      <c r="AE1336" s="70">
        <v>23.0</v>
      </c>
      <c r="AF1336" s="70" t="s">
        <v>239</v>
      </c>
      <c r="AW1336" s="70" t="s">
        <v>12409</v>
      </c>
      <c r="AX1336" s="70">
        <v>0.0</v>
      </c>
      <c r="AY1336" s="70" t="s">
        <v>24</v>
      </c>
      <c r="AZ1336" s="70">
        <v>2826.0</v>
      </c>
    </row>
    <row r="1337" ht="22.5" customHeight="1">
      <c r="A1337" s="70" t="str">
        <f t="shared" si="1"/>
        <v>Excluded</v>
      </c>
      <c r="B1337" s="70">
        <f t="shared" si="2"/>
        <v>0</v>
      </c>
      <c r="C1337" s="70">
        <v>0.0</v>
      </c>
      <c r="D1337" s="70">
        <v>0.0</v>
      </c>
      <c r="E1337" s="70">
        <v>0.0</v>
      </c>
      <c r="F1337" s="70">
        <v>0.0</v>
      </c>
      <c r="G1337" s="70">
        <v>0.0</v>
      </c>
      <c r="H1337" s="70" t="s">
        <v>11357</v>
      </c>
      <c r="I1337" s="70">
        <v>1190.0</v>
      </c>
      <c r="J1337" s="70" t="s">
        <v>11353</v>
      </c>
      <c r="K1337" s="70" t="s">
        <v>11354</v>
      </c>
      <c r="L1337" s="70" t="s">
        <v>11355</v>
      </c>
      <c r="N1337" s="70" t="s">
        <v>11356</v>
      </c>
      <c r="P1337" s="76">
        <v>45371.0</v>
      </c>
      <c r="U1337" s="70" t="s">
        <v>239</v>
      </c>
      <c r="W1337" s="70" t="s">
        <v>11359</v>
      </c>
      <c r="X1337" s="70" t="s">
        <v>11360</v>
      </c>
      <c r="Z1337" s="75" t="s">
        <v>11361</v>
      </c>
      <c r="AA1337" s="70" t="s">
        <v>11362</v>
      </c>
      <c r="AC1337" s="70">
        <v>3.0</v>
      </c>
      <c r="AE1337" s="70">
        <v>22.0</v>
      </c>
      <c r="AF1337" s="70" t="s">
        <v>239</v>
      </c>
      <c r="AW1337" s="70" t="s">
        <v>11363</v>
      </c>
      <c r="AX1337" s="70">
        <v>0.0</v>
      </c>
      <c r="AY1337" s="70" t="s">
        <v>24</v>
      </c>
      <c r="AZ1337" s="70">
        <v>2825.0</v>
      </c>
    </row>
    <row r="1338" ht="22.5" customHeight="1">
      <c r="A1338" s="70" t="str">
        <f t="shared" si="1"/>
        <v>Excluded</v>
      </c>
      <c r="B1338" s="70">
        <f t="shared" si="2"/>
        <v>0</v>
      </c>
      <c r="C1338" s="70">
        <v>0.0</v>
      </c>
      <c r="D1338" s="70">
        <v>0.0</v>
      </c>
      <c r="E1338" s="70">
        <v>0.0</v>
      </c>
      <c r="F1338" s="70">
        <v>0.0</v>
      </c>
      <c r="G1338" s="70">
        <v>0.0</v>
      </c>
      <c r="H1338" s="70" t="s">
        <v>16117</v>
      </c>
      <c r="I1338" s="70">
        <v>1726.0</v>
      </c>
      <c r="K1338" s="70" t="s">
        <v>16116</v>
      </c>
      <c r="L1338" s="70" t="s">
        <v>11355</v>
      </c>
      <c r="N1338" s="70" t="s">
        <v>11356</v>
      </c>
      <c r="P1338" s="76">
        <v>45371.0</v>
      </c>
      <c r="U1338" s="70" t="s">
        <v>239</v>
      </c>
      <c r="X1338" s="70" t="s">
        <v>11360</v>
      </c>
      <c r="Z1338" s="75" t="s">
        <v>16118</v>
      </c>
      <c r="AF1338" s="70" t="s">
        <v>239</v>
      </c>
      <c r="AZ1338" s="70">
        <v>1479.0</v>
      </c>
    </row>
    <row r="1339" ht="22.5" customHeight="1">
      <c r="A1339" s="70" t="str">
        <f t="shared" si="1"/>
        <v>Excluded</v>
      </c>
      <c r="B1339" s="70">
        <f t="shared" si="2"/>
        <v>0</v>
      </c>
      <c r="C1339" s="70">
        <v>0.0</v>
      </c>
      <c r="D1339" s="70">
        <v>0.0</v>
      </c>
      <c r="E1339" s="70">
        <v>0.0</v>
      </c>
      <c r="F1339" s="70">
        <v>0.0</v>
      </c>
      <c r="G1339" s="70">
        <v>0.0</v>
      </c>
      <c r="H1339" s="70" t="s">
        <v>14041</v>
      </c>
      <c r="I1339" s="70">
        <v>1462.0</v>
      </c>
      <c r="J1339" s="70" t="s">
        <v>14038</v>
      </c>
      <c r="K1339" s="70" t="s">
        <v>14039</v>
      </c>
      <c r="L1339" s="70" t="s">
        <v>14040</v>
      </c>
      <c r="P1339" s="76">
        <v>45709.0</v>
      </c>
      <c r="U1339" s="70" t="s">
        <v>239</v>
      </c>
      <c r="W1339" s="70" t="s">
        <v>14043</v>
      </c>
      <c r="X1339" s="70" t="s">
        <v>14044</v>
      </c>
      <c r="Z1339" s="75" t="s">
        <v>14045</v>
      </c>
      <c r="AA1339" s="70" t="s">
        <v>14046</v>
      </c>
      <c r="AE1339" s="70">
        <v>21.0</v>
      </c>
      <c r="AF1339" s="70" t="s">
        <v>239</v>
      </c>
      <c r="AW1339" s="70" t="s">
        <v>14047</v>
      </c>
      <c r="AZ1339" s="70">
        <v>823.0</v>
      </c>
    </row>
    <row r="1340" ht="22.5" customHeight="1">
      <c r="A1340" s="70" t="str">
        <f t="shared" si="1"/>
        <v>Excluded</v>
      </c>
      <c r="B1340" s="70">
        <f t="shared" si="2"/>
        <v>0</v>
      </c>
      <c r="C1340" s="70">
        <v>0.0</v>
      </c>
      <c r="D1340" s="70">
        <v>0.0</v>
      </c>
      <c r="E1340" s="70">
        <v>0.0</v>
      </c>
      <c r="F1340" s="70">
        <v>0.0</v>
      </c>
      <c r="G1340" s="70">
        <v>0.0</v>
      </c>
      <c r="H1340" s="70" t="s">
        <v>12047</v>
      </c>
      <c r="I1340" s="70">
        <v>1260.0</v>
      </c>
      <c r="J1340" s="70" t="s">
        <v>12044</v>
      </c>
      <c r="K1340" s="70" t="s">
        <v>12045</v>
      </c>
      <c r="L1340" s="70" t="s">
        <v>12046</v>
      </c>
      <c r="P1340" s="77">
        <v>45147.0</v>
      </c>
      <c r="U1340" s="70" t="s">
        <v>239</v>
      </c>
      <c r="W1340" s="70" t="s">
        <v>12049</v>
      </c>
      <c r="X1340" s="70" t="s">
        <v>12050</v>
      </c>
      <c r="Z1340" s="75" t="s">
        <v>12051</v>
      </c>
      <c r="AA1340" s="70" t="s">
        <v>12052</v>
      </c>
      <c r="AC1340" s="70">
        <v>1.0</v>
      </c>
      <c r="AE1340" s="70">
        <v>30.0</v>
      </c>
      <c r="AF1340" s="70" t="s">
        <v>239</v>
      </c>
      <c r="AW1340" s="70" t="s">
        <v>12053</v>
      </c>
      <c r="AZ1340" s="70">
        <v>1009.0</v>
      </c>
    </row>
    <row r="1341" ht="22.5" customHeight="1">
      <c r="A1341" s="70" t="str">
        <f t="shared" si="1"/>
        <v>Excluded</v>
      </c>
      <c r="B1341" s="70">
        <f t="shared" si="2"/>
        <v>0</v>
      </c>
      <c r="C1341" s="70">
        <v>0.0</v>
      </c>
      <c r="D1341" s="70">
        <v>0.0</v>
      </c>
      <c r="E1341" s="70">
        <v>0.0</v>
      </c>
      <c r="F1341" s="70">
        <v>0.0</v>
      </c>
      <c r="G1341" s="70">
        <v>0.0</v>
      </c>
      <c r="H1341" s="70" t="s">
        <v>13134</v>
      </c>
      <c r="I1341" s="70">
        <v>1369.0</v>
      </c>
      <c r="J1341" s="70" t="s">
        <v>13132</v>
      </c>
      <c r="K1341" s="70" t="s">
        <v>13133</v>
      </c>
      <c r="L1341" s="70" t="s">
        <v>12046</v>
      </c>
      <c r="P1341" s="77">
        <v>45147.0</v>
      </c>
      <c r="U1341" s="70" t="s">
        <v>239</v>
      </c>
      <c r="W1341" s="70" t="s">
        <v>30441</v>
      </c>
      <c r="X1341" s="70" t="s">
        <v>12050</v>
      </c>
      <c r="Z1341" s="75" t="s">
        <v>13137</v>
      </c>
      <c r="AA1341" s="70" t="s">
        <v>13138</v>
      </c>
      <c r="AE1341" s="70">
        <v>10.0</v>
      </c>
      <c r="AF1341" s="70" t="s">
        <v>239</v>
      </c>
      <c r="AW1341" s="70" t="s">
        <v>13139</v>
      </c>
      <c r="AX1341" s="70">
        <v>0.0</v>
      </c>
      <c r="AY1341" s="70" t="s">
        <v>24</v>
      </c>
      <c r="AZ1341" s="70">
        <v>2927.0</v>
      </c>
    </row>
    <row r="1342" ht="22.5" customHeight="1">
      <c r="A1342" s="70" t="str">
        <f t="shared" si="1"/>
        <v>Excluded</v>
      </c>
      <c r="B1342" s="70">
        <f t="shared" si="2"/>
        <v>0</v>
      </c>
      <c r="C1342" s="70">
        <v>0.0</v>
      </c>
      <c r="D1342" s="70">
        <v>0.0</v>
      </c>
      <c r="E1342" s="70">
        <v>0.0</v>
      </c>
      <c r="F1342" s="70">
        <v>0.0</v>
      </c>
      <c r="G1342" s="70">
        <v>0.0</v>
      </c>
      <c r="H1342" s="70" t="s">
        <v>9075</v>
      </c>
      <c r="I1342" s="70">
        <v>883.0</v>
      </c>
      <c r="J1342" s="70" t="s">
        <v>9071</v>
      </c>
      <c r="K1342" s="70" t="s">
        <v>9072</v>
      </c>
      <c r="L1342" s="70" t="s">
        <v>9073</v>
      </c>
      <c r="N1342" s="70" t="s">
        <v>9074</v>
      </c>
      <c r="P1342" s="77">
        <v>44202.0</v>
      </c>
      <c r="U1342" s="70" t="s">
        <v>239</v>
      </c>
      <c r="W1342" s="70" t="s">
        <v>9077</v>
      </c>
      <c r="X1342" s="70" t="s">
        <v>9078</v>
      </c>
      <c r="Y1342" s="70" t="s">
        <v>30227</v>
      </c>
      <c r="Z1342" s="75" t="s">
        <v>9080</v>
      </c>
      <c r="AA1342" s="70" t="s">
        <v>9081</v>
      </c>
      <c r="AC1342" s="70">
        <v>1.0</v>
      </c>
      <c r="AE1342" s="70">
        <v>19.0</v>
      </c>
      <c r="AF1342" s="70" t="s">
        <v>239</v>
      </c>
      <c r="AW1342" s="70" t="s">
        <v>9082</v>
      </c>
      <c r="AX1342" s="70">
        <v>0.0</v>
      </c>
      <c r="AY1342" s="70" t="s">
        <v>24</v>
      </c>
      <c r="AZ1342" s="70">
        <v>2842.0</v>
      </c>
    </row>
    <row r="1343" ht="22.5" customHeight="1">
      <c r="A1343" s="70" t="str">
        <f t="shared" si="1"/>
        <v>Excluded</v>
      </c>
      <c r="B1343" s="70">
        <f t="shared" si="2"/>
        <v>0</v>
      </c>
      <c r="C1343" s="70">
        <v>0.0</v>
      </c>
      <c r="D1343" s="70">
        <v>0.0</v>
      </c>
      <c r="E1343" s="70">
        <v>0.0</v>
      </c>
      <c r="F1343" s="70">
        <v>0.0</v>
      </c>
      <c r="G1343" s="70">
        <v>0.0</v>
      </c>
      <c r="H1343" s="70" t="s">
        <v>15532</v>
      </c>
      <c r="I1343" s="70">
        <v>1621.0</v>
      </c>
      <c r="J1343" s="70" t="s">
        <v>15529</v>
      </c>
      <c r="K1343" s="70" t="s">
        <v>15530</v>
      </c>
      <c r="L1343" s="70" t="s">
        <v>15531</v>
      </c>
      <c r="P1343" s="76">
        <v>45705.0</v>
      </c>
      <c r="U1343" s="70" t="s">
        <v>239</v>
      </c>
      <c r="W1343" s="70" t="s">
        <v>30442</v>
      </c>
      <c r="X1343" s="70" t="s">
        <v>15535</v>
      </c>
      <c r="Z1343" s="75" t="s">
        <v>15536</v>
      </c>
      <c r="AA1343" s="70" t="s">
        <v>15537</v>
      </c>
      <c r="AE1343" s="70">
        <v>17.0</v>
      </c>
      <c r="AF1343" s="70" t="s">
        <v>239</v>
      </c>
      <c r="AW1343" s="70" t="s">
        <v>15538</v>
      </c>
      <c r="AZ1343" s="70">
        <v>288.0</v>
      </c>
    </row>
    <row r="1344" ht="22.5" customHeight="1">
      <c r="A1344" s="70" t="str">
        <f t="shared" si="1"/>
        <v>Excluded</v>
      </c>
      <c r="B1344" s="70">
        <f t="shared" si="2"/>
        <v>0</v>
      </c>
      <c r="C1344" s="70">
        <v>0.0</v>
      </c>
      <c r="D1344" s="70">
        <v>0.0</v>
      </c>
      <c r="E1344" s="70">
        <v>0.0</v>
      </c>
      <c r="F1344" s="70">
        <v>0.0</v>
      </c>
      <c r="G1344" s="70">
        <v>0.0</v>
      </c>
      <c r="H1344" s="70" t="s">
        <v>16149</v>
      </c>
      <c r="I1344" s="70">
        <v>1734.0</v>
      </c>
      <c r="K1344" s="70" t="s">
        <v>16148</v>
      </c>
      <c r="L1344" s="70" t="s">
        <v>15531</v>
      </c>
      <c r="P1344" s="76">
        <v>45705.0</v>
      </c>
      <c r="U1344" s="70" t="s">
        <v>239</v>
      </c>
      <c r="X1344" s="70" t="s">
        <v>15535</v>
      </c>
      <c r="Z1344" s="75" t="s">
        <v>16150</v>
      </c>
      <c r="AF1344" s="70" t="s">
        <v>239</v>
      </c>
      <c r="AZ1344" s="70">
        <v>1467.0</v>
      </c>
    </row>
    <row r="1345" ht="22.5" customHeight="1">
      <c r="A1345" s="70" t="str">
        <f t="shared" si="1"/>
        <v>Excluded</v>
      </c>
      <c r="B1345" s="70">
        <f t="shared" si="2"/>
        <v>0</v>
      </c>
      <c r="C1345" s="70">
        <v>0.0</v>
      </c>
      <c r="D1345" s="70">
        <v>0.0</v>
      </c>
      <c r="E1345" s="70">
        <v>0.0</v>
      </c>
      <c r="F1345" s="70">
        <v>0.0</v>
      </c>
      <c r="G1345" s="70">
        <v>0.0</v>
      </c>
      <c r="H1345" s="70" t="s">
        <v>6639</v>
      </c>
      <c r="I1345" s="70">
        <v>631.0</v>
      </c>
      <c r="J1345" s="70" t="s">
        <v>6635</v>
      </c>
      <c r="K1345" s="70" t="s">
        <v>6636</v>
      </c>
      <c r="L1345" s="70" t="s">
        <v>6637</v>
      </c>
      <c r="N1345" s="70" t="s">
        <v>6638</v>
      </c>
      <c r="P1345" s="76">
        <v>42947.0</v>
      </c>
      <c r="U1345" s="70" t="s">
        <v>239</v>
      </c>
      <c r="W1345" s="70" t="s">
        <v>6641</v>
      </c>
      <c r="X1345" s="70" t="s">
        <v>6642</v>
      </c>
      <c r="Z1345" s="75" t="s">
        <v>6643</v>
      </c>
      <c r="AC1345" s="70">
        <v>6.0</v>
      </c>
      <c r="AE1345" s="70">
        <v>18.0</v>
      </c>
      <c r="AF1345" s="70" t="s">
        <v>239</v>
      </c>
      <c r="AW1345" s="70" t="s">
        <v>6644</v>
      </c>
      <c r="AX1345" s="70">
        <v>0.0</v>
      </c>
      <c r="AY1345" s="70" t="s">
        <v>24</v>
      </c>
      <c r="AZ1345" s="70">
        <v>2935.0</v>
      </c>
    </row>
    <row r="1346" ht="22.5" customHeight="1">
      <c r="A1346" s="70" t="str">
        <f t="shared" si="1"/>
        <v>Excluded</v>
      </c>
      <c r="B1346" s="70">
        <f t="shared" si="2"/>
        <v>0</v>
      </c>
      <c r="C1346" s="70">
        <v>0.0</v>
      </c>
      <c r="D1346" s="70">
        <v>0.0</v>
      </c>
      <c r="E1346" s="70">
        <v>0.0</v>
      </c>
      <c r="F1346" s="70">
        <v>0.0</v>
      </c>
      <c r="G1346" s="70">
        <v>0.0</v>
      </c>
      <c r="H1346" s="70" t="s">
        <v>7129</v>
      </c>
      <c r="I1346" s="70">
        <v>681.0</v>
      </c>
      <c r="J1346" s="70" t="s">
        <v>7127</v>
      </c>
      <c r="K1346" s="70" t="s">
        <v>7128</v>
      </c>
      <c r="L1346" s="70" t="s">
        <v>6637</v>
      </c>
      <c r="N1346" s="70" t="s">
        <v>6638</v>
      </c>
      <c r="P1346" s="76">
        <v>42947.0</v>
      </c>
      <c r="U1346" s="70" t="s">
        <v>239</v>
      </c>
      <c r="W1346" s="70" t="s">
        <v>7131</v>
      </c>
      <c r="X1346" s="70" t="s">
        <v>6642</v>
      </c>
      <c r="Z1346" s="75" t="s">
        <v>7132</v>
      </c>
      <c r="AC1346" s="70">
        <v>4.0</v>
      </c>
      <c r="AE1346" s="70">
        <v>22.0</v>
      </c>
      <c r="AF1346" s="70" t="s">
        <v>239</v>
      </c>
      <c r="AW1346" s="70" t="s">
        <v>7133</v>
      </c>
      <c r="AX1346" s="70">
        <v>0.0</v>
      </c>
      <c r="AY1346" s="70" t="s">
        <v>24</v>
      </c>
      <c r="AZ1346" s="70">
        <v>2995.0</v>
      </c>
    </row>
    <row r="1347" ht="22.5" customHeight="1">
      <c r="A1347" s="70" t="str">
        <f t="shared" si="1"/>
        <v>Excluded</v>
      </c>
      <c r="B1347" s="70">
        <f t="shared" si="2"/>
        <v>0</v>
      </c>
      <c r="C1347" s="70">
        <v>0.0</v>
      </c>
      <c r="D1347" s="70">
        <v>0.0</v>
      </c>
      <c r="E1347" s="70">
        <v>0.0</v>
      </c>
      <c r="F1347" s="70">
        <v>0.0</v>
      </c>
      <c r="G1347" s="70">
        <v>0.0</v>
      </c>
      <c r="H1347" s="70" t="s">
        <v>6648</v>
      </c>
      <c r="I1347" s="70">
        <v>632.0</v>
      </c>
      <c r="J1347" s="70" t="s">
        <v>6645</v>
      </c>
      <c r="K1347" s="70" t="s">
        <v>6646</v>
      </c>
      <c r="L1347" s="70" t="s">
        <v>6647</v>
      </c>
      <c r="N1347" s="70" t="s">
        <v>6638</v>
      </c>
      <c r="P1347" s="76">
        <v>44039.0</v>
      </c>
      <c r="U1347" s="70" t="s">
        <v>239</v>
      </c>
      <c r="W1347" s="70" t="s">
        <v>6650</v>
      </c>
      <c r="X1347" s="70" t="s">
        <v>6651</v>
      </c>
      <c r="Z1347" s="75" t="s">
        <v>6652</v>
      </c>
      <c r="AA1347" s="70" t="s">
        <v>6653</v>
      </c>
      <c r="AC1347" s="70">
        <v>6.0</v>
      </c>
      <c r="AE1347" s="70">
        <v>23.0</v>
      </c>
      <c r="AF1347" s="70" t="s">
        <v>239</v>
      </c>
      <c r="AW1347" s="70" t="s">
        <v>6654</v>
      </c>
      <c r="AX1347" s="70">
        <v>0.0</v>
      </c>
      <c r="AY1347" s="70" t="s">
        <v>24</v>
      </c>
      <c r="AZ1347" s="70">
        <v>1677.0</v>
      </c>
    </row>
    <row r="1348" ht="22.5" customHeight="1">
      <c r="A1348" s="70" t="str">
        <f t="shared" si="1"/>
        <v>Excluded</v>
      </c>
      <c r="B1348" s="70">
        <f t="shared" si="2"/>
        <v>0</v>
      </c>
      <c r="C1348" s="70">
        <v>0.0</v>
      </c>
      <c r="D1348" s="70">
        <v>0.0</v>
      </c>
      <c r="E1348" s="70">
        <v>0.0</v>
      </c>
      <c r="F1348" s="70">
        <v>0.0</v>
      </c>
      <c r="G1348" s="70">
        <v>0.0</v>
      </c>
      <c r="H1348" s="70" t="s">
        <v>12595</v>
      </c>
      <c r="I1348" s="70">
        <v>1314.0</v>
      </c>
      <c r="J1348" s="70" t="s">
        <v>12592</v>
      </c>
      <c r="K1348" s="70" t="s">
        <v>12593</v>
      </c>
      <c r="L1348" s="70" t="s">
        <v>12594</v>
      </c>
      <c r="N1348" s="70" t="s">
        <v>6638</v>
      </c>
      <c r="P1348" s="76">
        <v>45524.0</v>
      </c>
      <c r="U1348" s="70" t="s">
        <v>239</v>
      </c>
      <c r="W1348" s="70" t="s">
        <v>12597</v>
      </c>
      <c r="X1348" s="70" t="s">
        <v>12598</v>
      </c>
      <c r="Y1348" s="70" t="s">
        <v>30443</v>
      </c>
      <c r="Z1348" s="75" t="s">
        <v>12600</v>
      </c>
      <c r="AA1348" s="70" t="s">
        <v>12601</v>
      </c>
      <c r="AE1348" s="70">
        <v>15.0</v>
      </c>
      <c r="AF1348" s="70" t="s">
        <v>239</v>
      </c>
      <c r="AW1348" s="70" t="s">
        <v>12602</v>
      </c>
      <c r="AX1348" s="70">
        <v>0.0</v>
      </c>
      <c r="AY1348" s="70" t="s">
        <v>24</v>
      </c>
      <c r="AZ1348" s="70">
        <v>2994.0</v>
      </c>
    </row>
    <row r="1349" ht="22.5" customHeight="1">
      <c r="A1349" s="70" t="str">
        <f t="shared" si="1"/>
        <v>Excluded</v>
      </c>
      <c r="B1349" s="70">
        <f t="shared" si="2"/>
        <v>0</v>
      </c>
      <c r="C1349" s="70">
        <v>0.0</v>
      </c>
      <c r="D1349" s="70">
        <v>0.0</v>
      </c>
      <c r="E1349" s="70">
        <v>0.0</v>
      </c>
      <c r="F1349" s="70">
        <v>0.0</v>
      </c>
      <c r="G1349" s="70">
        <v>0.0</v>
      </c>
      <c r="H1349" s="70" t="s">
        <v>14813</v>
      </c>
      <c r="I1349" s="70">
        <v>1544.0</v>
      </c>
      <c r="J1349" s="70" t="s">
        <v>14811</v>
      </c>
      <c r="K1349" s="70" t="s">
        <v>14812</v>
      </c>
      <c r="L1349" s="70" t="s">
        <v>12594</v>
      </c>
      <c r="N1349" s="70" t="s">
        <v>6638</v>
      </c>
      <c r="P1349" s="76">
        <v>45524.0</v>
      </c>
      <c r="U1349" s="70" t="s">
        <v>239</v>
      </c>
      <c r="W1349" s="70" t="s">
        <v>30444</v>
      </c>
      <c r="X1349" s="70" t="s">
        <v>12598</v>
      </c>
      <c r="Z1349" s="75" t="s">
        <v>14816</v>
      </c>
      <c r="AA1349" s="70" t="s">
        <v>14817</v>
      </c>
      <c r="AE1349" s="70">
        <v>27.0</v>
      </c>
      <c r="AF1349" s="70" t="s">
        <v>239</v>
      </c>
      <c r="AW1349" s="70" t="s">
        <v>14818</v>
      </c>
      <c r="AZ1349" s="70">
        <v>720.0</v>
      </c>
    </row>
    <row r="1350" ht="22.5" customHeight="1">
      <c r="A1350" s="70" t="str">
        <f t="shared" si="1"/>
        <v>Excluded</v>
      </c>
      <c r="B1350" s="70">
        <f t="shared" si="2"/>
        <v>0</v>
      </c>
      <c r="C1350" s="70">
        <v>0.0</v>
      </c>
      <c r="D1350" s="70">
        <v>0.0</v>
      </c>
      <c r="E1350" s="70">
        <v>0.0</v>
      </c>
      <c r="F1350" s="70">
        <v>0.0</v>
      </c>
      <c r="G1350" s="70">
        <v>0.0</v>
      </c>
      <c r="H1350" s="70" t="s">
        <v>11701</v>
      </c>
      <c r="I1350" s="70">
        <v>1225.0</v>
      </c>
      <c r="J1350" s="70" t="s">
        <v>11697</v>
      </c>
      <c r="K1350" s="70" t="s">
        <v>11698</v>
      </c>
      <c r="L1350" s="70" t="s">
        <v>11699</v>
      </c>
      <c r="N1350" s="70" t="s">
        <v>11700</v>
      </c>
      <c r="P1350" s="79">
        <v>45049.0</v>
      </c>
      <c r="U1350" s="70" t="s">
        <v>239</v>
      </c>
      <c r="W1350" s="70" t="s">
        <v>11703</v>
      </c>
      <c r="X1350" s="70" t="s">
        <v>11704</v>
      </c>
      <c r="Z1350" s="75" t="s">
        <v>11705</v>
      </c>
      <c r="AA1350" s="70" t="s">
        <v>11706</v>
      </c>
      <c r="AC1350" s="70">
        <v>2.0</v>
      </c>
      <c r="AE1350" s="70">
        <v>11.0</v>
      </c>
      <c r="AF1350" s="70" t="s">
        <v>239</v>
      </c>
      <c r="AW1350" s="70" t="s">
        <v>11707</v>
      </c>
      <c r="AZ1350" s="70">
        <v>863.0</v>
      </c>
    </row>
    <row r="1351" ht="22.5" customHeight="1">
      <c r="A1351" s="70" t="str">
        <f t="shared" si="1"/>
        <v>Excluded</v>
      </c>
      <c r="B1351" s="70">
        <f t="shared" si="2"/>
        <v>0</v>
      </c>
      <c r="C1351" s="70">
        <v>0.0</v>
      </c>
      <c r="D1351" s="70">
        <v>0.0</v>
      </c>
      <c r="E1351" s="70">
        <v>0.0</v>
      </c>
      <c r="F1351" s="70">
        <v>0.0</v>
      </c>
      <c r="G1351" s="70">
        <v>0.0</v>
      </c>
      <c r="H1351" s="70" t="s">
        <v>8847</v>
      </c>
      <c r="I1351" s="70">
        <v>860.0</v>
      </c>
      <c r="J1351" s="70" t="s">
        <v>8844</v>
      </c>
      <c r="K1351" s="70" t="s">
        <v>8845</v>
      </c>
      <c r="L1351" s="70" t="s">
        <v>8846</v>
      </c>
      <c r="P1351" s="76">
        <v>43860.0</v>
      </c>
      <c r="U1351" s="70" t="s">
        <v>239</v>
      </c>
      <c r="W1351" s="70" t="s">
        <v>30445</v>
      </c>
      <c r="X1351" s="70" t="s">
        <v>8850</v>
      </c>
      <c r="Z1351" s="75" t="s">
        <v>8851</v>
      </c>
      <c r="AA1351" s="70" t="s">
        <v>8852</v>
      </c>
      <c r="AC1351" s="70">
        <v>1.0</v>
      </c>
      <c r="AE1351" s="70">
        <v>10.0</v>
      </c>
      <c r="AF1351" s="70" t="s">
        <v>239</v>
      </c>
      <c r="AZ1351" s="70">
        <v>1180.0</v>
      </c>
    </row>
    <row r="1352" ht="22.5" customHeight="1">
      <c r="A1352" s="70" t="str">
        <f t="shared" si="1"/>
        <v>Excluded</v>
      </c>
      <c r="B1352" s="70">
        <f t="shared" si="2"/>
        <v>0</v>
      </c>
      <c r="C1352" s="70">
        <v>0.0</v>
      </c>
      <c r="D1352" s="70">
        <v>0.0</v>
      </c>
      <c r="E1352" s="70">
        <v>0.0</v>
      </c>
      <c r="F1352" s="70">
        <v>0.0</v>
      </c>
      <c r="G1352" s="70">
        <v>0.0</v>
      </c>
      <c r="H1352" s="70" t="s">
        <v>10288</v>
      </c>
      <c r="I1352" s="70">
        <v>1011.0</v>
      </c>
      <c r="J1352" s="70" t="s">
        <v>10285</v>
      </c>
      <c r="K1352" s="70" t="s">
        <v>10286</v>
      </c>
      <c r="L1352" s="70" t="s">
        <v>10287</v>
      </c>
      <c r="P1352" s="76">
        <v>44922.0</v>
      </c>
      <c r="U1352" s="70" t="s">
        <v>239</v>
      </c>
      <c r="W1352" s="70" t="s">
        <v>10290</v>
      </c>
      <c r="X1352" s="70" t="s">
        <v>10291</v>
      </c>
      <c r="Z1352" s="75" t="s">
        <v>10292</v>
      </c>
      <c r="AA1352" s="70" t="s">
        <v>10293</v>
      </c>
      <c r="AE1352" s="70">
        <v>20.0</v>
      </c>
      <c r="AF1352" s="70" t="s">
        <v>239</v>
      </c>
      <c r="AW1352" s="70" t="s">
        <v>10294</v>
      </c>
      <c r="AX1352" s="70">
        <v>0.0</v>
      </c>
      <c r="AY1352" s="70" t="s">
        <v>24</v>
      </c>
      <c r="AZ1352" s="70">
        <v>1728.0</v>
      </c>
    </row>
    <row r="1353" ht="22.5" customHeight="1">
      <c r="A1353" s="70" t="str">
        <f t="shared" si="1"/>
        <v>Excluded</v>
      </c>
      <c r="B1353" s="70">
        <f t="shared" si="2"/>
        <v>0</v>
      </c>
      <c r="C1353" s="70">
        <v>0.0</v>
      </c>
      <c r="D1353" s="70">
        <v>0.0</v>
      </c>
      <c r="E1353" s="70">
        <v>0.0</v>
      </c>
      <c r="F1353" s="70">
        <v>0.0</v>
      </c>
      <c r="G1353" s="70">
        <v>0.0</v>
      </c>
      <c r="H1353" s="70" t="s">
        <v>12491</v>
      </c>
      <c r="I1353" s="70">
        <v>1304.0</v>
      </c>
      <c r="J1353" s="70" t="s">
        <v>12488</v>
      </c>
      <c r="K1353" s="70" t="s">
        <v>12489</v>
      </c>
      <c r="L1353" s="70" t="s">
        <v>12490</v>
      </c>
      <c r="P1353" s="76">
        <v>45671.0</v>
      </c>
      <c r="U1353" s="70" t="s">
        <v>239</v>
      </c>
      <c r="W1353" s="70" t="s">
        <v>12493</v>
      </c>
      <c r="X1353" s="70" t="s">
        <v>12494</v>
      </c>
      <c r="Z1353" s="75" t="s">
        <v>12495</v>
      </c>
      <c r="AA1353" s="70" t="s">
        <v>12496</v>
      </c>
      <c r="AE1353" s="70">
        <v>13.0</v>
      </c>
      <c r="AF1353" s="70" t="s">
        <v>239</v>
      </c>
      <c r="AW1353" s="70" t="s">
        <v>12497</v>
      </c>
      <c r="AZ1353" s="70">
        <v>565.0</v>
      </c>
    </row>
    <row r="1354" ht="22.5" customHeight="1">
      <c r="A1354" s="70" t="str">
        <f t="shared" si="1"/>
        <v>Excluded</v>
      </c>
      <c r="B1354" s="70">
        <f t="shared" si="2"/>
        <v>0</v>
      </c>
      <c r="C1354" s="70">
        <v>0.0</v>
      </c>
      <c r="D1354" s="70">
        <v>0.0</v>
      </c>
      <c r="E1354" s="70">
        <v>0.0</v>
      </c>
      <c r="F1354" s="70">
        <v>0.0</v>
      </c>
      <c r="G1354" s="70">
        <v>0.0</v>
      </c>
      <c r="H1354" s="70" t="s">
        <v>15042</v>
      </c>
      <c r="I1354" s="70">
        <v>1568.0</v>
      </c>
      <c r="J1354" s="70" t="s">
        <v>15040</v>
      </c>
      <c r="K1354" s="70" t="s">
        <v>15041</v>
      </c>
      <c r="L1354" s="70" t="s">
        <v>12490</v>
      </c>
      <c r="P1354" s="76">
        <v>45671.0</v>
      </c>
      <c r="U1354" s="70" t="s">
        <v>239</v>
      </c>
      <c r="W1354" s="70" t="s">
        <v>15044</v>
      </c>
      <c r="X1354" s="70" t="s">
        <v>12494</v>
      </c>
      <c r="Z1354" s="75" t="s">
        <v>15045</v>
      </c>
      <c r="AA1354" s="70" t="s">
        <v>15046</v>
      </c>
      <c r="AE1354" s="70">
        <v>16.0</v>
      </c>
      <c r="AF1354" s="70" t="s">
        <v>239</v>
      </c>
      <c r="AW1354" s="70" t="s">
        <v>15047</v>
      </c>
      <c r="AX1354" s="70">
        <v>0.0</v>
      </c>
      <c r="AY1354" s="70" t="s">
        <v>24</v>
      </c>
      <c r="AZ1354" s="70">
        <v>1975.0</v>
      </c>
    </row>
    <row r="1355" ht="22.5" customHeight="1">
      <c r="A1355" s="70" t="str">
        <f t="shared" si="1"/>
        <v>Excluded</v>
      </c>
      <c r="B1355" s="70">
        <f t="shared" si="2"/>
        <v>0</v>
      </c>
      <c r="C1355" s="70">
        <v>0.0</v>
      </c>
      <c r="D1355" s="70">
        <v>0.0</v>
      </c>
      <c r="E1355" s="70">
        <v>0.0</v>
      </c>
      <c r="F1355" s="70">
        <v>0.0</v>
      </c>
      <c r="G1355" s="70">
        <v>0.0</v>
      </c>
      <c r="H1355" s="70" t="s">
        <v>26976</v>
      </c>
      <c r="I1355" s="70">
        <v>2919.0</v>
      </c>
      <c r="J1355" s="70" t="s">
        <v>26974</v>
      </c>
      <c r="K1355" s="70" t="s">
        <v>26975</v>
      </c>
      <c r="W1355" s="70" t="s">
        <v>30446</v>
      </c>
      <c r="AA1355" s="70" t="s">
        <v>26978</v>
      </c>
      <c r="AI1355" s="70" t="s">
        <v>26979</v>
      </c>
      <c r="AJ1355" s="70">
        <v>5.79267348E10</v>
      </c>
      <c r="AK1355" s="70">
        <v>2022.0</v>
      </c>
      <c r="AL1355" s="70" t="s">
        <v>26980</v>
      </c>
      <c r="AN1355" s="70">
        <v>351.0</v>
      </c>
      <c r="AO1355" s="70">
        <v>358.0</v>
      </c>
      <c r="AP1355" s="70">
        <v>7.0</v>
      </c>
      <c r="AQ1355" s="70">
        <v>1.0</v>
      </c>
      <c r="AR1355" s="75" t="s">
        <v>26981</v>
      </c>
      <c r="AS1355" s="70" t="s">
        <v>22525</v>
      </c>
      <c r="AU1355" s="70" t="s">
        <v>237</v>
      </c>
      <c r="AV1355" s="70" t="s">
        <v>26982</v>
      </c>
      <c r="AW1355" s="70" t="s">
        <v>26983</v>
      </c>
      <c r="AZ1355" s="70">
        <v>198.0</v>
      </c>
    </row>
    <row r="1356" ht="22.5" customHeight="1">
      <c r="A1356" s="70" t="str">
        <f t="shared" si="1"/>
        <v>Excluded</v>
      </c>
      <c r="B1356" s="70">
        <f t="shared" si="2"/>
        <v>0</v>
      </c>
      <c r="C1356" s="70">
        <v>0.0</v>
      </c>
      <c r="D1356" s="70">
        <v>0.0</v>
      </c>
      <c r="E1356" s="70">
        <v>0.0</v>
      </c>
      <c r="F1356" s="70">
        <v>0.0</v>
      </c>
      <c r="G1356" s="70">
        <v>0.0</v>
      </c>
      <c r="H1356" s="70" t="s">
        <v>9951</v>
      </c>
      <c r="I1356" s="70">
        <v>975.0</v>
      </c>
      <c r="J1356" s="70" t="s">
        <v>9948</v>
      </c>
      <c r="K1356" s="70" t="s">
        <v>9949</v>
      </c>
      <c r="L1356" s="70" t="s">
        <v>9950</v>
      </c>
      <c r="P1356" s="76">
        <v>45005.0</v>
      </c>
      <c r="U1356" s="70" t="s">
        <v>239</v>
      </c>
      <c r="W1356" s="70" t="s">
        <v>9953</v>
      </c>
      <c r="X1356" s="70" t="s">
        <v>9954</v>
      </c>
      <c r="Z1356" s="75" t="s">
        <v>9955</v>
      </c>
      <c r="AA1356" s="70" t="s">
        <v>9956</v>
      </c>
      <c r="AE1356" s="70">
        <v>19.0</v>
      </c>
      <c r="AF1356" s="70" t="s">
        <v>239</v>
      </c>
      <c r="AW1356" s="70" t="s">
        <v>9957</v>
      </c>
      <c r="AZ1356" s="70">
        <v>871.0</v>
      </c>
    </row>
    <row r="1357" ht="22.5" customHeight="1">
      <c r="A1357" s="70" t="str">
        <f t="shared" si="1"/>
        <v>Excluded</v>
      </c>
      <c r="B1357" s="70">
        <f t="shared" si="2"/>
        <v>0</v>
      </c>
      <c r="C1357" s="70">
        <v>0.0</v>
      </c>
      <c r="D1357" s="70">
        <v>0.0</v>
      </c>
      <c r="E1357" s="70">
        <v>0.0</v>
      </c>
      <c r="F1357" s="70">
        <v>0.0</v>
      </c>
      <c r="G1357" s="70">
        <v>0.0</v>
      </c>
      <c r="H1357" s="70" t="s">
        <v>14261</v>
      </c>
      <c r="I1357" s="70">
        <v>1487.0</v>
      </c>
      <c r="J1357" s="70" t="s">
        <v>14259</v>
      </c>
      <c r="K1357" s="70" t="s">
        <v>14260</v>
      </c>
      <c r="L1357" s="70" t="s">
        <v>12735</v>
      </c>
      <c r="N1357" s="70" t="s">
        <v>12736</v>
      </c>
      <c r="P1357" s="76">
        <v>45412.0</v>
      </c>
      <c r="U1357" s="70" t="s">
        <v>239</v>
      </c>
      <c r="W1357" s="70" t="s">
        <v>14263</v>
      </c>
      <c r="X1357" s="70" t="s">
        <v>12740</v>
      </c>
      <c r="Z1357" s="75" t="s">
        <v>14264</v>
      </c>
      <c r="AA1357" s="70" t="s">
        <v>14265</v>
      </c>
      <c r="AE1357" s="70">
        <v>13.0</v>
      </c>
      <c r="AF1357" s="70" t="s">
        <v>239</v>
      </c>
      <c r="AW1357" s="70" t="s">
        <v>14266</v>
      </c>
      <c r="AX1357" s="70">
        <v>0.0</v>
      </c>
      <c r="AY1357" s="70" t="s">
        <v>24</v>
      </c>
      <c r="AZ1357" s="70">
        <v>1819.0</v>
      </c>
    </row>
    <row r="1358" ht="22.5" customHeight="1">
      <c r="A1358" s="70" t="str">
        <f t="shared" si="1"/>
        <v>Excluded</v>
      </c>
      <c r="B1358" s="70">
        <f t="shared" si="2"/>
        <v>0</v>
      </c>
      <c r="C1358" s="70">
        <v>0.0</v>
      </c>
      <c r="D1358" s="70">
        <v>0.0</v>
      </c>
      <c r="E1358" s="70">
        <v>0.0</v>
      </c>
      <c r="F1358" s="70">
        <v>0.0</v>
      </c>
      <c r="G1358" s="70">
        <v>0.0</v>
      </c>
      <c r="H1358" s="70" t="s">
        <v>16342</v>
      </c>
      <c r="I1358" s="70">
        <v>1784.0</v>
      </c>
      <c r="K1358" s="70" t="s">
        <v>16341</v>
      </c>
      <c r="L1358" s="70" t="s">
        <v>12735</v>
      </c>
      <c r="N1358" s="70" t="s">
        <v>12736</v>
      </c>
      <c r="P1358" s="76">
        <v>45412.0</v>
      </c>
      <c r="U1358" s="70" t="s">
        <v>239</v>
      </c>
      <c r="X1358" s="70" t="s">
        <v>12740</v>
      </c>
      <c r="Z1358" s="75" t="s">
        <v>16343</v>
      </c>
      <c r="AF1358" s="70" t="s">
        <v>239</v>
      </c>
      <c r="AZ1358" s="70">
        <v>1458.0</v>
      </c>
    </row>
    <row r="1359" ht="22.5" customHeight="1">
      <c r="A1359" s="70" t="str">
        <f t="shared" si="1"/>
        <v>Excluded</v>
      </c>
      <c r="B1359" s="70">
        <f t="shared" si="2"/>
        <v>0</v>
      </c>
      <c r="C1359" s="70">
        <v>0.0</v>
      </c>
      <c r="D1359" s="70">
        <v>0.0</v>
      </c>
      <c r="E1359" s="70">
        <v>0.0</v>
      </c>
      <c r="F1359" s="70">
        <v>0.0</v>
      </c>
      <c r="G1359" s="70">
        <v>0.0</v>
      </c>
      <c r="H1359" s="70" t="s">
        <v>12737</v>
      </c>
      <c r="I1359" s="70">
        <v>1328.0</v>
      </c>
      <c r="J1359" s="70" t="s">
        <v>12733</v>
      </c>
      <c r="K1359" s="70" t="s">
        <v>12734</v>
      </c>
      <c r="L1359" s="70" t="s">
        <v>12735</v>
      </c>
      <c r="N1359" s="70" t="s">
        <v>12736</v>
      </c>
      <c r="P1359" s="76">
        <v>45412.0</v>
      </c>
      <c r="U1359" s="70" t="s">
        <v>239</v>
      </c>
      <c r="W1359" s="70" t="s">
        <v>12739</v>
      </c>
      <c r="X1359" s="70" t="s">
        <v>12740</v>
      </c>
      <c r="Z1359" s="75" t="s">
        <v>12741</v>
      </c>
      <c r="AA1359" s="70" t="s">
        <v>12742</v>
      </c>
      <c r="AE1359" s="70">
        <v>17.0</v>
      </c>
      <c r="AF1359" s="70" t="s">
        <v>239</v>
      </c>
      <c r="AW1359" s="70" t="s">
        <v>12743</v>
      </c>
      <c r="AZ1359" s="70">
        <v>1077.0</v>
      </c>
    </row>
    <row r="1360" ht="22.5" customHeight="1">
      <c r="A1360" s="70" t="str">
        <f t="shared" si="1"/>
        <v>Excluded</v>
      </c>
      <c r="B1360" s="70">
        <f t="shared" si="2"/>
        <v>0</v>
      </c>
      <c r="C1360" s="70">
        <v>0.0</v>
      </c>
      <c r="D1360" s="70">
        <v>0.0</v>
      </c>
      <c r="E1360" s="70">
        <v>0.0</v>
      </c>
      <c r="F1360" s="70">
        <v>0.0</v>
      </c>
      <c r="G1360" s="70">
        <v>0.0</v>
      </c>
      <c r="H1360" s="70" t="s">
        <v>24635</v>
      </c>
      <c r="I1360" s="70">
        <v>2691.0</v>
      </c>
      <c r="J1360" s="70" t="s">
        <v>24633</v>
      </c>
      <c r="K1360" s="70" t="s">
        <v>24634</v>
      </c>
      <c r="W1360" s="70" t="s">
        <v>30447</v>
      </c>
      <c r="AA1360" s="70" t="s">
        <v>24637</v>
      </c>
      <c r="AI1360" s="70" t="s">
        <v>24638</v>
      </c>
      <c r="AJ1360" s="70" t="s">
        <v>24639</v>
      </c>
      <c r="AK1360" s="70">
        <v>2024.0</v>
      </c>
      <c r="AL1360" s="70" t="s">
        <v>24640</v>
      </c>
      <c r="AN1360" s="70">
        <v>1363.0</v>
      </c>
      <c r="AO1360" s="70">
        <v>1367.0</v>
      </c>
      <c r="AP1360" s="70">
        <v>4.0</v>
      </c>
      <c r="AQ1360" s="70">
        <v>0.0</v>
      </c>
      <c r="AR1360" s="75" t="s">
        <v>24641</v>
      </c>
      <c r="AS1360" s="70" t="s">
        <v>22525</v>
      </c>
      <c r="AU1360" s="70" t="s">
        <v>237</v>
      </c>
      <c r="AV1360" s="70" t="s">
        <v>24642</v>
      </c>
      <c r="AW1360" s="70" t="s">
        <v>24643</v>
      </c>
      <c r="AX1360" s="70">
        <v>0.0</v>
      </c>
      <c r="AY1360" s="70" t="s">
        <v>24</v>
      </c>
      <c r="AZ1360" s="70">
        <v>2513.0</v>
      </c>
    </row>
    <row r="1361" ht="22.5" customHeight="1">
      <c r="A1361" s="70" t="str">
        <f t="shared" si="1"/>
        <v>Excluded</v>
      </c>
      <c r="B1361" s="70">
        <f t="shared" si="2"/>
        <v>0</v>
      </c>
      <c r="C1361" s="70">
        <v>0.0</v>
      </c>
      <c r="D1361" s="70">
        <v>0.0</v>
      </c>
      <c r="E1361" s="70">
        <v>0.0</v>
      </c>
      <c r="F1361" s="70">
        <v>0.0</v>
      </c>
      <c r="G1361" s="70">
        <v>0.0</v>
      </c>
      <c r="H1361" s="70" t="s">
        <v>9125</v>
      </c>
      <c r="I1361" s="70">
        <v>888.0</v>
      </c>
      <c r="J1361" s="70" t="s">
        <v>9122</v>
      </c>
      <c r="K1361" s="70" t="s">
        <v>9123</v>
      </c>
      <c r="L1361" s="70" t="s">
        <v>9124</v>
      </c>
      <c r="P1361" s="76">
        <v>43269.0</v>
      </c>
      <c r="U1361" s="70" t="s">
        <v>239</v>
      </c>
      <c r="W1361" s="70" t="s">
        <v>9127</v>
      </c>
      <c r="X1361" s="70" t="s">
        <v>9128</v>
      </c>
      <c r="Z1361" s="75" t="s">
        <v>9129</v>
      </c>
      <c r="AA1361" s="70" t="s">
        <v>9130</v>
      </c>
      <c r="AC1361" s="70">
        <v>1.0</v>
      </c>
      <c r="AE1361" s="70">
        <v>22.0</v>
      </c>
      <c r="AF1361" s="70" t="s">
        <v>239</v>
      </c>
      <c r="AW1361" s="70" t="s">
        <v>9131</v>
      </c>
      <c r="AX1361" s="70">
        <v>0.0</v>
      </c>
      <c r="AY1361" s="70" t="s">
        <v>24</v>
      </c>
      <c r="AZ1361" s="70">
        <v>2929.0</v>
      </c>
    </row>
    <row r="1362" ht="22.5" customHeight="1">
      <c r="A1362" s="70" t="str">
        <f t="shared" si="1"/>
        <v>Excluded</v>
      </c>
      <c r="B1362" s="70">
        <f t="shared" si="2"/>
        <v>0</v>
      </c>
      <c r="C1362" s="70">
        <v>0.0</v>
      </c>
      <c r="D1362" s="70">
        <v>0.0</v>
      </c>
      <c r="E1362" s="70">
        <v>0.0</v>
      </c>
      <c r="F1362" s="70">
        <v>0.0</v>
      </c>
      <c r="G1362" s="70">
        <v>0.0</v>
      </c>
      <c r="H1362" s="70" t="s">
        <v>24921</v>
      </c>
      <c r="I1362" s="70">
        <v>2719.0</v>
      </c>
      <c r="J1362" s="70" t="s">
        <v>24919</v>
      </c>
      <c r="K1362" s="70" t="s">
        <v>24920</v>
      </c>
      <c r="W1362" s="70" t="s">
        <v>30448</v>
      </c>
      <c r="AA1362" s="70" t="s">
        <v>24923</v>
      </c>
      <c r="AI1362" s="70" t="s">
        <v>24924</v>
      </c>
      <c r="AJ1362" s="70" t="s">
        <v>24925</v>
      </c>
      <c r="AK1362" s="70">
        <v>2024.0</v>
      </c>
      <c r="AL1362" s="70" t="s">
        <v>24926</v>
      </c>
      <c r="AN1362" s="70">
        <v>211.0</v>
      </c>
      <c r="AO1362" s="70">
        <v>215.0</v>
      </c>
      <c r="AP1362" s="70">
        <v>4.0</v>
      </c>
      <c r="AQ1362" s="70">
        <v>0.0</v>
      </c>
      <c r="AR1362" s="75" t="s">
        <v>24927</v>
      </c>
      <c r="AS1362" s="70" t="s">
        <v>22525</v>
      </c>
      <c r="AU1362" s="70" t="s">
        <v>237</v>
      </c>
      <c r="AV1362" s="70" t="s">
        <v>24928</v>
      </c>
      <c r="AW1362" s="70" t="s">
        <v>24929</v>
      </c>
      <c r="AX1362" s="70">
        <v>0.0</v>
      </c>
      <c r="AY1362" s="70" t="s">
        <v>24</v>
      </c>
      <c r="AZ1362" s="70">
        <v>2441.0</v>
      </c>
    </row>
    <row r="1363" ht="22.5" customHeight="1">
      <c r="A1363" s="70" t="str">
        <f t="shared" si="1"/>
        <v>Excluded</v>
      </c>
      <c r="B1363" s="70">
        <f t="shared" si="2"/>
        <v>0</v>
      </c>
      <c r="C1363" s="70">
        <v>0.0</v>
      </c>
      <c r="D1363" s="70">
        <v>0.0</v>
      </c>
      <c r="E1363" s="70">
        <v>0.0</v>
      </c>
      <c r="F1363" s="70">
        <v>0.0</v>
      </c>
      <c r="G1363" s="70">
        <v>0.0</v>
      </c>
      <c r="H1363" s="70" t="s">
        <v>5165</v>
      </c>
      <c r="I1363" s="70">
        <v>482.0</v>
      </c>
      <c r="J1363" s="70" t="s">
        <v>5161</v>
      </c>
      <c r="K1363" s="70" t="s">
        <v>5162</v>
      </c>
      <c r="L1363" s="70" t="s">
        <v>5163</v>
      </c>
      <c r="N1363" s="70" t="s">
        <v>5164</v>
      </c>
      <c r="P1363" s="77">
        <v>43983.0</v>
      </c>
      <c r="U1363" s="70" t="s">
        <v>239</v>
      </c>
      <c r="W1363" s="70" t="s">
        <v>5167</v>
      </c>
      <c r="X1363" s="70" t="s">
        <v>5168</v>
      </c>
      <c r="Z1363" s="75" t="s">
        <v>5169</v>
      </c>
      <c r="AA1363" s="70" t="s">
        <v>5170</v>
      </c>
      <c r="AC1363" s="70">
        <v>17.0</v>
      </c>
      <c r="AE1363" s="70">
        <v>33.0</v>
      </c>
      <c r="AF1363" s="70" t="s">
        <v>239</v>
      </c>
      <c r="AW1363" s="70" t="s">
        <v>5171</v>
      </c>
      <c r="AX1363" s="70">
        <v>0.0</v>
      </c>
      <c r="AY1363" s="70" t="s">
        <v>24</v>
      </c>
      <c r="AZ1363" s="70">
        <v>1710.0</v>
      </c>
    </row>
    <row r="1364" ht="22.5" customHeight="1">
      <c r="A1364" s="70" t="str">
        <f t="shared" si="1"/>
        <v>Excluded</v>
      </c>
      <c r="B1364" s="70">
        <f t="shared" si="2"/>
        <v>0</v>
      </c>
      <c r="C1364" s="70">
        <v>0.0</v>
      </c>
      <c r="D1364" s="70">
        <v>0.0</v>
      </c>
      <c r="E1364" s="70">
        <v>0.0</v>
      </c>
      <c r="F1364" s="70">
        <v>0.0</v>
      </c>
      <c r="G1364" s="70">
        <v>0.0</v>
      </c>
      <c r="H1364" s="70" t="s">
        <v>12363</v>
      </c>
      <c r="I1364" s="70">
        <v>1291.0</v>
      </c>
      <c r="J1364" s="70" t="s">
        <v>12360</v>
      </c>
      <c r="K1364" s="70" t="s">
        <v>12361</v>
      </c>
      <c r="L1364" s="70" t="s">
        <v>12362</v>
      </c>
      <c r="P1364" s="76">
        <v>45337.0</v>
      </c>
      <c r="U1364" s="70" t="s">
        <v>239</v>
      </c>
      <c r="W1364" s="70" t="s">
        <v>12365</v>
      </c>
      <c r="X1364" s="70" t="s">
        <v>12366</v>
      </c>
      <c r="Z1364" s="75" t="s">
        <v>12367</v>
      </c>
      <c r="AA1364" s="70" t="s">
        <v>12368</v>
      </c>
      <c r="AC1364" s="70">
        <v>1.0</v>
      </c>
      <c r="AE1364" s="70">
        <v>33.0</v>
      </c>
      <c r="AF1364" s="70" t="s">
        <v>239</v>
      </c>
      <c r="AW1364" s="70" t="s">
        <v>12369</v>
      </c>
      <c r="AX1364" s="70">
        <v>0.0</v>
      </c>
      <c r="AY1364" s="70" t="s">
        <v>24</v>
      </c>
      <c r="AZ1364" s="70">
        <v>2387.0</v>
      </c>
    </row>
    <row r="1365" ht="22.5" customHeight="1">
      <c r="A1365" s="70" t="str">
        <f t="shared" si="1"/>
        <v>Excluded</v>
      </c>
      <c r="B1365" s="70">
        <f t="shared" si="2"/>
        <v>0</v>
      </c>
      <c r="C1365" s="70">
        <v>0.0</v>
      </c>
      <c r="D1365" s="70">
        <v>0.0</v>
      </c>
      <c r="E1365" s="70">
        <v>0.0</v>
      </c>
      <c r="F1365" s="70">
        <v>0.0</v>
      </c>
      <c r="G1365" s="70">
        <v>0.0</v>
      </c>
      <c r="H1365" s="70" t="s">
        <v>16313</v>
      </c>
      <c r="I1365" s="70">
        <v>1775.0</v>
      </c>
      <c r="K1365" s="70" t="s">
        <v>10942</v>
      </c>
      <c r="L1365" s="70" t="s">
        <v>12362</v>
      </c>
      <c r="P1365" s="76">
        <v>45337.0</v>
      </c>
      <c r="U1365" s="70" t="s">
        <v>239</v>
      </c>
      <c r="X1365" s="70" t="s">
        <v>12366</v>
      </c>
      <c r="Z1365" s="75" t="s">
        <v>16314</v>
      </c>
      <c r="AF1365" s="70" t="s">
        <v>239</v>
      </c>
      <c r="AZ1365" s="70">
        <v>1513.0</v>
      </c>
    </row>
    <row r="1366" ht="22.5" customHeight="1">
      <c r="A1366" s="70" t="str">
        <f t="shared" si="1"/>
        <v>Excluded</v>
      </c>
      <c r="B1366" s="70">
        <f t="shared" si="2"/>
        <v>0</v>
      </c>
      <c r="C1366" s="70">
        <v>0.0</v>
      </c>
      <c r="D1366" s="70">
        <v>0.0</v>
      </c>
      <c r="E1366" s="70">
        <v>0.0</v>
      </c>
      <c r="F1366" s="70">
        <v>0.0</v>
      </c>
      <c r="G1366" s="70">
        <v>0.0</v>
      </c>
      <c r="H1366" s="70" t="s">
        <v>5859</v>
      </c>
      <c r="I1366" s="70">
        <v>552.0</v>
      </c>
      <c r="J1366" s="70" t="s">
        <v>5855</v>
      </c>
      <c r="K1366" s="70" t="s">
        <v>5856</v>
      </c>
      <c r="L1366" s="70" t="s">
        <v>5857</v>
      </c>
      <c r="N1366" s="70" t="s">
        <v>5858</v>
      </c>
      <c r="P1366" s="76">
        <v>43734.0</v>
      </c>
      <c r="U1366" s="70" t="s">
        <v>239</v>
      </c>
      <c r="W1366" s="70" t="s">
        <v>5861</v>
      </c>
      <c r="X1366" s="70" t="s">
        <v>5862</v>
      </c>
      <c r="Z1366" s="75" t="s">
        <v>5863</v>
      </c>
      <c r="AC1366" s="70">
        <v>9.0</v>
      </c>
      <c r="AE1366" s="70">
        <v>32.0</v>
      </c>
      <c r="AF1366" s="70" t="s">
        <v>239</v>
      </c>
      <c r="AW1366" s="70" t="s">
        <v>5864</v>
      </c>
      <c r="AX1366" s="70">
        <v>0.0</v>
      </c>
      <c r="AY1366" s="70" t="s">
        <v>24</v>
      </c>
      <c r="AZ1366" s="70">
        <v>2959.0</v>
      </c>
    </row>
    <row r="1367" ht="22.5" customHeight="1">
      <c r="A1367" s="70" t="str">
        <f t="shared" si="1"/>
        <v>Excluded</v>
      </c>
      <c r="B1367" s="70">
        <f t="shared" si="2"/>
        <v>0</v>
      </c>
      <c r="C1367" s="70">
        <v>0.0</v>
      </c>
      <c r="D1367" s="70">
        <v>0.0</v>
      </c>
      <c r="E1367" s="70">
        <v>0.0</v>
      </c>
      <c r="F1367" s="70">
        <v>0.0</v>
      </c>
      <c r="G1367" s="70">
        <v>0.0</v>
      </c>
      <c r="H1367" s="70" t="s">
        <v>6436</v>
      </c>
      <c r="I1367" s="70">
        <v>611.0</v>
      </c>
      <c r="J1367" s="70" t="s">
        <v>6434</v>
      </c>
      <c r="K1367" s="70" t="s">
        <v>6435</v>
      </c>
      <c r="L1367" s="70" t="s">
        <v>5857</v>
      </c>
      <c r="N1367" s="70" t="s">
        <v>5858</v>
      </c>
      <c r="P1367" s="76">
        <v>43734.0</v>
      </c>
      <c r="U1367" s="70" t="s">
        <v>239</v>
      </c>
      <c r="W1367" s="70" t="s">
        <v>6438</v>
      </c>
      <c r="X1367" s="70" t="s">
        <v>5862</v>
      </c>
      <c r="Z1367" s="75" t="s">
        <v>6439</v>
      </c>
      <c r="AC1367" s="70">
        <v>6.0</v>
      </c>
      <c r="AE1367" s="70">
        <v>43.0</v>
      </c>
      <c r="AF1367" s="70" t="s">
        <v>239</v>
      </c>
      <c r="AW1367" s="70" t="s">
        <v>6440</v>
      </c>
      <c r="AX1367" s="70">
        <v>0.0</v>
      </c>
      <c r="AY1367" s="70" t="s">
        <v>24</v>
      </c>
      <c r="AZ1367" s="70">
        <v>1810.0</v>
      </c>
    </row>
    <row r="1368" ht="22.5" customHeight="1">
      <c r="A1368" s="70" t="str">
        <f t="shared" si="1"/>
        <v>Excluded</v>
      </c>
      <c r="B1368" s="70">
        <f t="shared" si="2"/>
        <v>0</v>
      </c>
      <c r="C1368" s="70">
        <v>0.0</v>
      </c>
      <c r="D1368" s="70">
        <v>0.0</v>
      </c>
      <c r="E1368" s="70">
        <v>0.0</v>
      </c>
      <c r="F1368" s="70">
        <v>0.0</v>
      </c>
      <c r="G1368" s="70">
        <v>0.0</v>
      </c>
      <c r="H1368" s="70" t="s">
        <v>27747</v>
      </c>
      <c r="I1368" s="70">
        <v>2994.0</v>
      </c>
      <c r="J1368" s="70" t="s">
        <v>27745</v>
      </c>
      <c r="K1368" s="70" t="s">
        <v>27746</v>
      </c>
      <c r="W1368" s="70" t="s">
        <v>30449</v>
      </c>
      <c r="AA1368" s="70" t="s">
        <v>27750</v>
      </c>
      <c r="AI1368" s="70" t="s">
        <v>27751</v>
      </c>
      <c r="AJ1368" s="70" t="s">
        <v>27752</v>
      </c>
      <c r="AK1368" s="70">
        <v>2020.0</v>
      </c>
      <c r="AL1368" s="70" t="s">
        <v>27753</v>
      </c>
      <c r="AM1368" s="70">
        <v>9209674.0</v>
      </c>
      <c r="AQ1368" s="70">
        <v>7.0</v>
      </c>
      <c r="AR1368" s="75" t="s">
        <v>27754</v>
      </c>
      <c r="AS1368" s="70" t="s">
        <v>22525</v>
      </c>
      <c r="AU1368" s="70" t="s">
        <v>237</v>
      </c>
      <c r="AV1368" s="70" t="s">
        <v>27755</v>
      </c>
      <c r="AW1368" s="70" t="s">
        <v>27756</v>
      </c>
      <c r="AZ1368" s="70">
        <v>1156.0</v>
      </c>
    </row>
    <row r="1369" ht="22.5" customHeight="1">
      <c r="A1369" s="70" t="str">
        <f t="shared" si="1"/>
        <v>Excluded</v>
      </c>
      <c r="B1369" s="70">
        <f t="shared" si="2"/>
        <v>0</v>
      </c>
      <c r="C1369" s="70">
        <v>0.0</v>
      </c>
      <c r="D1369" s="70">
        <v>0.0</v>
      </c>
      <c r="E1369" s="70">
        <v>0.0</v>
      </c>
      <c r="F1369" s="70">
        <v>0.0</v>
      </c>
      <c r="G1369" s="70">
        <v>0.0</v>
      </c>
      <c r="H1369" s="70" t="s">
        <v>9178</v>
      </c>
      <c r="I1369" s="70">
        <v>894.0</v>
      </c>
      <c r="J1369" s="70" t="s">
        <v>9175</v>
      </c>
      <c r="K1369" s="70" t="s">
        <v>9176</v>
      </c>
      <c r="L1369" s="70" t="s">
        <v>9177</v>
      </c>
      <c r="N1369" s="70" t="s">
        <v>5858</v>
      </c>
      <c r="P1369" s="77">
        <v>44809.0</v>
      </c>
      <c r="U1369" s="70" t="s">
        <v>239</v>
      </c>
      <c r="W1369" s="70" t="s">
        <v>9180</v>
      </c>
      <c r="X1369" s="70" t="s">
        <v>9181</v>
      </c>
      <c r="Z1369" s="75" t="s">
        <v>9182</v>
      </c>
      <c r="AA1369" s="70" t="s">
        <v>9183</v>
      </c>
      <c r="AC1369" s="70">
        <v>1.0</v>
      </c>
      <c r="AE1369" s="70">
        <v>17.0</v>
      </c>
      <c r="AF1369" s="70" t="s">
        <v>239</v>
      </c>
      <c r="AW1369" s="70" t="s">
        <v>9184</v>
      </c>
      <c r="AZ1369" s="70">
        <v>572.0</v>
      </c>
    </row>
    <row r="1370" ht="22.5" customHeight="1">
      <c r="A1370" s="70" t="str">
        <f t="shared" si="1"/>
        <v>Excluded</v>
      </c>
      <c r="B1370" s="70">
        <f t="shared" si="2"/>
        <v>0</v>
      </c>
      <c r="C1370" s="70">
        <v>0.0</v>
      </c>
      <c r="D1370" s="70">
        <v>0.0</v>
      </c>
      <c r="E1370" s="70">
        <v>0.0</v>
      </c>
      <c r="F1370" s="70">
        <v>0.0</v>
      </c>
      <c r="G1370" s="70">
        <v>0.0</v>
      </c>
      <c r="H1370" s="70" t="s">
        <v>11451</v>
      </c>
      <c r="I1370" s="70">
        <v>1200.0</v>
      </c>
      <c r="J1370" s="70" t="s">
        <v>30450</v>
      </c>
      <c r="K1370" s="70" t="s">
        <v>11449</v>
      </c>
      <c r="L1370" s="70" t="s">
        <v>11450</v>
      </c>
      <c r="N1370" s="70" t="s">
        <v>5858</v>
      </c>
      <c r="P1370" s="77">
        <v>45170.0</v>
      </c>
      <c r="U1370" s="70" t="s">
        <v>239</v>
      </c>
      <c r="W1370" s="70" t="s">
        <v>11453</v>
      </c>
      <c r="X1370" s="70" t="s">
        <v>11454</v>
      </c>
      <c r="Y1370" s="70" t="s">
        <v>30451</v>
      </c>
      <c r="Z1370" s="75" t="s">
        <v>11456</v>
      </c>
      <c r="AA1370" s="70" t="s">
        <v>11457</v>
      </c>
      <c r="AC1370" s="70">
        <v>3.0</v>
      </c>
      <c r="AE1370" s="70">
        <v>22.0</v>
      </c>
      <c r="AF1370" s="70" t="s">
        <v>239</v>
      </c>
      <c r="AW1370" s="70" t="s">
        <v>11458</v>
      </c>
      <c r="AX1370" s="70">
        <v>0.0</v>
      </c>
      <c r="AY1370" s="70" t="s">
        <v>24</v>
      </c>
      <c r="AZ1370" s="70">
        <v>2173.0</v>
      </c>
    </row>
    <row r="1371" ht="22.5" customHeight="1">
      <c r="A1371" s="70" t="str">
        <f t="shared" si="1"/>
        <v>Excluded</v>
      </c>
      <c r="B1371" s="70">
        <f t="shared" si="2"/>
        <v>0</v>
      </c>
      <c r="C1371" s="70">
        <v>0.0</v>
      </c>
      <c r="D1371" s="70">
        <v>0.0</v>
      </c>
      <c r="E1371" s="70">
        <v>0.0</v>
      </c>
      <c r="F1371" s="70">
        <v>0.0</v>
      </c>
      <c r="G1371" s="70">
        <v>0.0</v>
      </c>
      <c r="H1371" s="70" t="s">
        <v>14612</v>
      </c>
      <c r="I1371" s="70">
        <v>1524.0</v>
      </c>
      <c r="J1371" s="70" t="s">
        <v>14610</v>
      </c>
      <c r="K1371" s="70" t="s">
        <v>14611</v>
      </c>
      <c r="L1371" s="70" t="s">
        <v>12881</v>
      </c>
      <c r="N1371" s="70" t="s">
        <v>5858</v>
      </c>
      <c r="P1371" s="76">
        <v>45526.0</v>
      </c>
      <c r="U1371" s="70" t="s">
        <v>239</v>
      </c>
      <c r="W1371" s="70" t="s">
        <v>14614</v>
      </c>
      <c r="X1371" s="70" t="s">
        <v>12885</v>
      </c>
      <c r="Z1371" s="75" t="s">
        <v>14615</v>
      </c>
      <c r="AA1371" s="70" t="s">
        <v>14616</v>
      </c>
      <c r="AE1371" s="70">
        <v>34.0</v>
      </c>
      <c r="AF1371" s="70" t="s">
        <v>239</v>
      </c>
      <c r="AW1371" s="70" t="s">
        <v>14617</v>
      </c>
      <c r="AX1371" s="70">
        <v>0.0</v>
      </c>
      <c r="AY1371" s="70" t="s">
        <v>24</v>
      </c>
      <c r="AZ1371" s="70">
        <v>2288.0</v>
      </c>
    </row>
    <row r="1372" ht="22.5" customHeight="1">
      <c r="A1372" s="70" t="str">
        <f t="shared" si="1"/>
        <v>Excluded</v>
      </c>
      <c r="B1372" s="70">
        <f t="shared" si="2"/>
        <v>0</v>
      </c>
      <c r="C1372" s="70">
        <v>0.0</v>
      </c>
      <c r="D1372" s="70">
        <v>0.0</v>
      </c>
      <c r="E1372" s="70">
        <v>0.0</v>
      </c>
      <c r="F1372" s="70">
        <v>0.0</v>
      </c>
      <c r="G1372" s="70">
        <v>0.0</v>
      </c>
      <c r="H1372" s="70" t="s">
        <v>12882</v>
      </c>
      <c r="I1372" s="70">
        <v>1343.0</v>
      </c>
      <c r="J1372" s="70" t="s">
        <v>12879</v>
      </c>
      <c r="K1372" s="70" t="s">
        <v>12880</v>
      </c>
      <c r="L1372" s="70" t="s">
        <v>12881</v>
      </c>
      <c r="N1372" s="70" t="s">
        <v>5858</v>
      </c>
      <c r="P1372" s="76">
        <v>45526.0</v>
      </c>
      <c r="U1372" s="70" t="s">
        <v>239</v>
      </c>
      <c r="W1372" s="70" t="s">
        <v>12884</v>
      </c>
      <c r="X1372" s="70" t="s">
        <v>12885</v>
      </c>
      <c r="Y1372" s="70" t="s">
        <v>29481</v>
      </c>
      <c r="Z1372" s="75" t="s">
        <v>12886</v>
      </c>
      <c r="AA1372" s="70" t="s">
        <v>12887</v>
      </c>
      <c r="AE1372" s="70">
        <v>52.0</v>
      </c>
      <c r="AF1372" s="70" t="s">
        <v>239</v>
      </c>
      <c r="AW1372" s="70" t="s">
        <v>12888</v>
      </c>
      <c r="AX1372" s="70">
        <v>0.0</v>
      </c>
      <c r="AY1372" s="70" t="s">
        <v>24</v>
      </c>
      <c r="AZ1372" s="70">
        <v>2580.0</v>
      </c>
    </row>
    <row r="1373" ht="22.5" customHeight="1">
      <c r="A1373" s="70" t="str">
        <f t="shared" si="1"/>
        <v>Excluded</v>
      </c>
      <c r="B1373" s="70">
        <f t="shared" si="2"/>
        <v>0</v>
      </c>
      <c r="C1373" s="70">
        <v>0.0</v>
      </c>
      <c r="D1373" s="70">
        <v>0.0</v>
      </c>
      <c r="E1373" s="70">
        <v>0.0</v>
      </c>
      <c r="F1373" s="70">
        <v>0.0</v>
      </c>
      <c r="G1373" s="70">
        <v>0.0</v>
      </c>
      <c r="H1373" s="70" t="s">
        <v>15346</v>
      </c>
      <c r="I1373" s="70">
        <v>1601.0</v>
      </c>
      <c r="J1373" s="70" t="s">
        <v>15344</v>
      </c>
      <c r="K1373" s="70" t="s">
        <v>15345</v>
      </c>
      <c r="L1373" s="70" t="s">
        <v>12881</v>
      </c>
      <c r="N1373" s="70" t="s">
        <v>5858</v>
      </c>
      <c r="P1373" s="76">
        <v>45526.0</v>
      </c>
      <c r="U1373" s="70" t="s">
        <v>239</v>
      </c>
      <c r="W1373" s="70" t="s">
        <v>15348</v>
      </c>
      <c r="X1373" s="70" t="s">
        <v>12885</v>
      </c>
      <c r="Z1373" s="75" t="s">
        <v>15349</v>
      </c>
      <c r="AA1373" s="70" t="s">
        <v>15350</v>
      </c>
      <c r="AE1373" s="70">
        <v>18.0</v>
      </c>
      <c r="AF1373" s="70" t="s">
        <v>239</v>
      </c>
      <c r="AW1373" s="70" t="s">
        <v>15351</v>
      </c>
      <c r="AX1373" s="70">
        <v>0.0</v>
      </c>
      <c r="AY1373" s="70" t="s">
        <v>24</v>
      </c>
      <c r="AZ1373" s="70">
        <v>2365.0</v>
      </c>
    </row>
    <row r="1374" ht="22.5" customHeight="1">
      <c r="A1374" s="70" t="str">
        <f t="shared" si="1"/>
        <v>Excluded</v>
      </c>
      <c r="B1374" s="70">
        <f t="shared" si="2"/>
        <v>0</v>
      </c>
      <c r="C1374" s="70">
        <v>0.0</v>
      </c>
      <c r="D1374" s="70">
        <v>0.0</v>
      </c>
      <c r="E1374" s="70">
        <v>0.0</v>
      </c>
      <c r="F1374" s="70">
        <v>0.0</v>
      </c>
      <c r="G1374" s="70">
        <v>0.0</v>
      </c>
      <c r="H1374" s="70" t="s">
        <v>15422</v>
      </c>
      <c r="I1374" s="70">
        <v>1609.0</v>
      </c>
      <c r="J1374" s="70" t="s">
        <v>15420</v>
      </c>
      <c r="K1374" s="70" t="s">
        <v>15421</v>
      </c>
      <c r="L1374" s="70" t="s">
        <v>13810</v>
      </c>
      <c r="N1374" s="70" t="s">
        <v>13811</v>
      </c>
      <c r="P1374" s="77">
        <v>45600.0</v>
      </c>
      <c r="U1374" s="70" t="s">
        <v>239</v>
      </c>
      <c r="W1374" s="70" t="s">
        <v>15424</v>
      </c>
      <c r="X1374" s="70" t="s">
        <v>13815</v>
      </c>
      <c r="Z1374" s="75" t="s">
        <v>15425</v>
      </c>
      <c r="AA1374" s="70" t="s">
        <v>15426</v>
      </c>
      <c r="AE1374" s="70">
        <v>24.0</v>
      </c>
      <c r="AF1374" s="70" t="s">
        <v>239</v>
      </c>
      <c r="AW1374" s="70" t="s">
        <v>15427</v>
      </c>
      <c r="AX1374" s="70">
        <v>0.0</v>
      </c>
      <c r="AY1374" s="70" t="s">
        <v>24</v>
      </c>
      <c r="AZ1374" s="70">
        <v>2420.0</v>
      </c>
    </row>
    <row r="1375" ht="22.5" customHeight="1">
      <c r="A1375" s="70" t="str">
        <f t="shared" si="1"/>
        <v>Excluded</v>
      </c>
      <c r="B1375" s="70">
        <f t="shared" si="2"/>
        <v>0</v>
      </c>
      <c r="C1375" s="70">
        <v>0.0</v>
      </c>
      <c r="D1375" s="70">
        <v>0.0</v>
      </c>
      <c r="E1375" s="70">
        <v>0.0</v>
      </c>
      <c r="F1375" s="70">
        <v>0.0</v>
      </c>
      <c r="G1375" s="70">
        <v>0.0</v>
      </c>
      <c r="H1375" s="70" t="s">
        <v>15725</v>
      </c>
      <c r="I1375" s="70">
        <v>1642.0</v>
      </c>
      <c r="J1375" s="70" t="s">
        <v>15723</v>
      </c>
      <c r="K1375" s="70" t="s">
        <v>15724</v>
      </c>
      <c r="L1375" s="70" t="s">
        <v>13810</v>
      </c>
      <c r="N1375" s="70" t="s">
        <v>13811</v>
      </c>
      <c r="P1375" s="77">
        <v>45600.0</v>
      </c>
      <c r="U1375" s="70" t="s">
        <v>239</v>
      </c>
      <c r="W1375" s="70" t="s">
        <v>15727</v>
      </c>
      <c r="X1375" s="70" t="s">
        <v>13815</v>
      </c>
      <c r="Z1375" s="75" t="s">
        <v>15728</v>
      </c>
      <c r="AA1375" s="70" t="s">
        <v>15729</v>
      </c>
      <c r="AE1375" s="70">
        <v>16.0</v>
      </c>
      <c r="AF1375" s="70" t="s">
        <v>239</v>
      </c>
      <c r="AW1375" s="70" t="s">
        <v>15730</v>
      </c>
      <c r="AX1375" s="70">
        <v>0.0</v>
      </c>
      <c r="AY1375" s="70" t="s">
        <v>24</v>
      </c>
      <c r="AZ1375" s="70">
        <v>1740.0</v>
      </c>
    </row>
    <row r="1376" ht="22.5" customHeight="1">
      <c r="A1376" s="70" t="str">
        <f t="shared" si="1"/>
        <v>Excluded</v>
      </c>
      <c r="B1376" s="70">
        <f t="shared" si="2"/>
        <v>0</v>
      </c>
      <c r="C1376" s="70">
        <v>0.0</v>
      </c>
      <c r="D1376" s="70">
        <v>0.0</v>
      </c>
      <c r="E1376" s="70">
        <v>0.0</v>
      </c>
      <c r="F1376" s="70">
        <v>0.0</v>
      </c>
      <c r="G1376" s="70">
        <v>0.0</v>
      </c>
      <c r="H1376" s="70" t="s">
        <v>15609</v>
      </c>
      <c r="I1376" s="70">
        <v>1629.0</v>
      </c>
      <c r="J1376" s="70" t="s">
        <v>15607</v>
      </c>
      <c r="K1376" s="70" t="s">
        <v>15608</v>
      </c>
      <c r="L1376" s="70" t="s">
        <v>13810</v>
      </c>
      <c r="N1376" s="70" t="s">
        <v>13811</v>
      </c>
      <c r="P1376" s="77">
        <v>45600.0</v>
      </c>
      <c r="U1376" s="70" t="s">
        <v>239</v>
      </c>
      <c r="W1376" s="70" t="s">
        <v>30452</v>
      </c>
      <c r="X1376" s="70" t="s">
        <v>13815</v>
      </c>
      <c r="Z1376" s="75" t="s">
        <v>15612</v>
      </c>
      <c r="AA1376" s="70" t="s">
        <v>15613</v>
      </c>
      <c r="AE1376" s="70">
        <v>15.0</v>
      </c>
      <c r="AF1376" s="70" t="s">
        <v>239</v>
      </c>
      <c r="AW1376" s="70" t="s">
        <v>15614</v>
      </c>
      <c r="AX1376" s="70">
        <v>0.0</v>
      </c>
      <c r="AY1376" s="70" t="s">
        <v>24</v>
      </c>
      <c r="AZ1376" s="70">
        <v>1804.0</v>
      </c>
    </row>
    <row r="1377" ht="22.5" customHeight="1">
      <c r="A1377" s="70" t="str">
        <f t="shared" si="1"/>
        <v>Excluded</v>
      </c>
      <c r="B1377" s="70">
        <f t="shared" si="2"/>
        <v>0</v>
      </c>
      <c r="C1377" s="70">
        <v>0.0</v>
      </c>
      <c r="D1377" s="70">
        <v>0.0</v>
      </c>
      <c r="E1377" s="70">
        <v>0.0</v>
      </c>
      <c r="F1377" s="70">
        <v>0.0</v>
      </c>
      <c r="G1377" s="70">
        <v>0.0</v>
      </c>
      <c r="H1377" s="70" t="s">
        <v>12617</v>
      </c>
      <c r="I1377" s="70">
        <v>1316.0</v>
      </c>
      <c r="J1377" s="70" t="s">
        <v>12614</v>
      </c>
      <c r="K1377" s="70" t="s">
        <v>12615</v>
      </c>
      <c r="L1377" s="70" t="s">
        <v>12616</v>
      </c>
      <c r="P1377" s="77">
        <v>45139.0</v>
      </c>
      <c r="U1377" s="70" t="s">
        <v>239</v>
      </c>
      <c r="W1377" s="70" t="s">
        <v>12619</v>
      </c>
      <c r="X1377" s="70" t="s">
        <v>12620</v>
      </c>
      <c r="Z1377" s="75" t="s">
        <v>12621</v>
      </c>
      <c r="AA1377" s="70" t="s">
        <v>12622</v>
      </c>
      <c r="AE1377" s="70">
        <v>18.0</v>
      </c>
      <c r="AF1377" s="70" t="s">
        <v>239</v>
      </c>
      <c r="AW1377" s="70" t="s">
        <v>12623</v>
      </c>
      <c r="AX1377" s="70">
        <v>0.0</v>
      </c>
      <c r="AY1377" s="70" t="s">
        <v>24</v>
      </c>
      <c r="AZ1377" s="70">
        <v>1950.0</v>
      </c>
    </row>
    <row r="1378" ht="22.5" customHeight="1">
      <c r="A1378" s="70" t="str">
        <f t="shared" si="1"/>
        <v>Excluded</v>
      </c>
      <c r="B1378" s="70">
        <f t="shared" si="2"/>
        <v>0</v>
      </c>
      <c r="C1378" s="70">
        <v>0.0</v>
      </c>
      <c r="D1378" s="70">
        <v>0.0</v>
      </c>
      <c r="E1378" s="70">
        <v>0.0</v>
      </c>
      <c r="F1378" s="70">
        <v>0.0</v>
      </c>
      <c r="G1378" s="70">
        <v>0.0</v>
      </c>
      <c r="H1378" s="70" t="s">
        <v>11346</v>
      </c>
      <c r="I1378" s="70">
        <v>1189.0</v>
      </c>
      <c r="J1378" s="70" t="s">
        <v>11342</v>
      </c>
      <c r="K1378" s="70" t="s">
        <v>11343</v>
      </c>
      <c r="L1378" s="70" t="s">
        <v>11344</v>
      </c>
      <c r="N1378" s="70" t="s">
        <v>11345</v>
      </c>
      <c r="P1378" s="77">
        <v>45170.0</v>
      </c>
      <c r="U1378" s="70" t="s">
        <v>239</v>
      </c>
      <c r="W1378" s="70" t="s">
        <v>11348</v>
      </c>
      <c r="X1378" s="70" t="s">
        <v>11349</v>
      </c>
      <c r="Y1378" s="70" t="s">
        <v>29920</v>
      </c>
      <c r="Z1378" s="75" t="s">
        <v>11350</v>
      </c>
      <c r="AA1378" s="70" t="s">
        <v>11351</v>
      </c>
      <c r="AC1378" s="70">
        <v>3.0</v>
      </c>
      <c r="AE1378" s="70">
        <v>10.0</v>
      </c>
      <c r="AF1378" s="70" t="s">
        <v>239</v>
      </c>
      <c r="AW1378" s="70" t="s">
        <v>11352</v>
      </c>
      <c r="AX1378" s="70">
        <v>0.0</v>
      </c>
      <c r="AY1378" s="70" t="s">
        <v>24</v>
      </c>
      <c r="AZ1378" s="70">
        <v>2078.0</v>
      </c>
    </row>
    <row r="1379" ht="22.5" customHeight="1">
      <c r="A1379" s="70" t="str">
        <f t="shared" si="1"/>
        <v>Excluded</v>
      </c>
      <c r="B1379" s="70">
        <f t="shared" si="2"/>
        <v>0</v>
      </c>
      <c r="C1379" s="70">
        <v>0.0</v>
      </c>
      <c r="D1379" s="70">
        <v>0.0</v>
      </c>
      <c r="E1379" s="70">
        <v>0.0</v>
      </c>
      <c r="F1379" s="70">
        <v>0.0</v>
      </c>
      <c r="G1379" s="70">
        <v>0.0</v>
      </c>
      <c r="H1379" s="70" t="s">
        <v>23723</v>
      </c>
      <c r="I1379" s="70">
        <v>2603.0</v>
      </c>
      <c r="J1379" s="70" t="s">
        <v>23721</v>
      </c>
      <c r="K1379" s="70" t="s">
        <v>23722</v>
      </c>
      <c r="W1379" s="70" t="s">
        <v>30453</v>
      </c>
      <c r="AA1379" s="70" t="s">
        <v>23725</v>
      </c>
      <c r="AI1379" s="70" t="s">
        <v>23726</v>
      </c>
      <c r="AJ1379" s="70" t="s">
        <v>23727</v>
      </c>
      <c r="AK1379" s="70">
        <v>2024.0</v>
      </c>
      <c r="AL1379" s="70" t="s">
        <v>23728</v>
      </c>
      <c r="AN1379" s="70">
        <v>637.0</v>
      </c>
      <c r="AO1379" s="70">
        <v>644.0</v>
      </c>
      <c r="AP1379" s="70">
        <v>7.0</v>
      </c>
      <c r="AQ1379" s="70">
        <v>0.0</v>
      </c>
      <c r="AR1379" s="75" t="s">
        <v>23729</v>
      </c>
      <c r="AS1379" s="70" t="s">
        <v>22525</v>
      </c>
      <c r="AU1379" s="70" t="s">
        <v>237</v>
      </c>
      <c r="AV1379" s="70" t="s">
        <v>23730</v>
      </c>
      <c r="AW1379" s="70" t="s">
        <v>23731</v>
      </c>
      <c r="AX1379" s="70">
        <v>0.0</v>
      </c>
      <c r="AY1379" s="70" t="s">
        <v>24</v>
      </c>
      <c r="AZ1379" s="70">
        <v>3110.0</v>
      </c>
    </row>
    <row r="1380" ht="22.5" customHeight="1">
      <c r="A1380" s="70" t="str">
        <f t="shared" si="1"/>
        <v>Excluded</v>
      </c>
      <c r="B1380" s="70">
        <f t="shared" si="2"/>
        <v>0</v>
      </c>
      <c r="C1380" s="70">
        <v>0.0</v>
      </c>
      <c r="D1380" s="70">
        <v>0.0</v>
      </c>
      <c r="E1380" s="70">
        <v>0.0</v>
      </c>
      <c r="F1380" s="70">
        <v>0.0</v>
      </c>
      <c r="G1380" s="70">
        <v>0.0</v>
      </c>
      <c r="H1380" s="70" t="s">
        <v>8651</v>
      </c>
      <c r="I1380" s="70">
        <v>840.0</v>
      </c>
      <c r="J1380" s="70" t="s">
        <v>30454</v>
      </c>
      <c r="K1380" s="70" t="s">
        <v>8648</v>
      </c>
      <c r="L1380" s="70" t="s">
        <v>8649</v>
      </c>
      <c r="N1380" s="70" t="s">
        <v>8650</v>
      </c>
      <c r="P1380" s="76">
        <v>43853.0</v>
      </c>
      <c r="U1380" s="70" t="s">
        <v>239</v>
      </c>
      <c r="W1380" s="70" t="s">
        <v>8653</v>
      </c>
      <c r="X1380" s="70" t="s">
        <v>8654</v>
      </c>
      <c r="Z1380" s="75" t="s">
        <v>8655</v>
      </c>
      <c r="AA1380" s="70" t="s">
        <v>8656</v>
      </c>
      <c r="AC1380" s="70">
        <v>1.0</v>
      </c>
      <c r="AE1380" s="70">
        <v>17.0</v>
      </c>
      <c r="AF1380" s="70" t="s">
        <v>239</v>
      </c>
      <c r="AX1380" s="70">
        <v>0.0</v>
      </c>
      <c r="AY1380" s="70" t="s">
        <v>24</v>
      </c>
      <c r="AZ1380" s="70">
        <v>2157.0</v>
      </c>
    </row>
    <row r="1381" ht="22.5" customHeight="1">
      <c r="A1381" s="70" t="str">
        <f t="shared" si="1"/>
        <v>Excluded</v>
      </c>
      <c r="B1381" s="70">
        <f t="shared" si="2"/>
        <v>0</v>
      </c>
      <c r="C1381" s="70">
        <v>0.0</v>
      </c>
      <c r="D1381" s="70">
        <v>0.0</v>
      </c>
      <c r="E1381" s="70">
        <v>0.0</v>
      </c>
      <c r="F1381" s="70">
        <v>0.0</v>
      </c>
      <c r="G1381" s="70">
        <v>0.0</v>
      </c>
      <c r="H1381" s="70" t="s">
        <v>10744</v>
      </c>
      <c r="I1381" s="70">
        <v>1077.0</v>
      </c>
      <c r="K1381" s="70" t="s">
        <v>10742</v>
      </c>
      <c r="L1381" s="70" t="s">
        <v>10743</v>
      </c>
      <c r="N1381" s="70" t="s">
        <v>8650</v>
      </c>
      <c r="P1381" s="76">
        <v>44244.0</v>
      </c>
      <c r="U1381" s="70" t="s">
        <v>239</v>
      </c>
      <c r="W1381" s="70" t="s">
        <v>10634</v>
      </c>
      <c r="X1381" s="70" t="s">
        <v>10746</v>
      </c>
      <c r="Z1381" s="75" t="s">
        <v>10747</v>
      </c>
      <c r="AF1381" s="70" t="s">
        <v>239</v>
      </c>
      <c r="AZ1381" s="70">
        <v>1364.0</v>
      </c>
    </row>
    <row r="1382" ht="22.5" customHeight="1">
      <c r="A1382" s="70" t="str">
        <f t="shared" si="1"/>
        <v>Excluded</v>
      </c>
      <c r="B1382" s="70">
        <f t="shared" si="2"/>
        <v>0</v>
      </c>
      <c r="C1382" s="70">
        <v>0.0</v>
      </c>
      <c r="D1382" s="70">
        <v>0.0</v>
      </c>
      <c r="E1382" s="70">
        <v>0.0</v>
      </c>
      <c r="F1382" s="70">
        <v>0.0</v>
      </c>
      <c r="G1382" s="70">
        <v>0.0</v>
      </c>
      <c r="H1382" s="70" t="s">
        <v>15889</v>
      </c>
      <c r="I1382" s="70">
        <v>1665.0</v>
      </c>
      <c r="K1382" s="70" t="s">
        <v>15886</v>
      </c>
      <c r="L1382" s="70" t="s">
        <v>15887</v>
      </c>
      <c r="N1382" s="70" t="s">
        <v>15888</v>
      </c>
      <c r="P1382" s="76">
        <v>45169.0</v>
      </c>
      <c r="U1382" s="70" t="s">
        <v>239</v>
      </c>
      <c r="X1382" s="70" t="s">
        <v>15890</v>
      </c>
      <c r="Z1382" s="75" t="s">
        <v>15891</v>
      </c>
      <c r="AF1382" s="70" t="s">
        <v>239</v>
      </c>
      <c r="AZ1382" s="70">
        <v>1499.0</v>
      </c>
    </row>
    <row r="1383" ht="22.5" customHeight="1">
      <c r="A1383" s="70" t="str">
        <f t="shared" si="1"/>
        <v>Excluded</v>
      </c>
      <c r="B1383" s="70">
        <f t="shared" si="2"/>
        <v>0</v>
      </c>
      <c r="C1383" s="70">
        <v>0.0</v>
      </c>
      <c r="D1383" s="70">
        <v>0.0</v>
      </c>
      <c r="E1383" s="70">
        <v>0.0</v>
      </c>
      <c r="F1383" s="70">
        <v>0.0</v>
      </c>
      <c r="G1383" s="70">
        <v>0.0</v>
      </c>
      <c r="H1383" s="70" t="s">
        <v>16145</v>
      </c>
      <c r="I1383" s="70">
        <v>1733.0</v>
      </c>
      <c r="K1383" s="70" t="s">
        <v>16143</v>
      </c>
      <c r="L1383" s="70" t="s">
        <v>16144</v>
      </c>
      <c r="N1383" s="70" t="s">
        <v>15888</v>
      </c>
      <c r="P1383" s="76">
        <v>45553.0</v>
      </c>
      <c r="U1383" s="70" t="s">
        <v>239</v>
      </c>
      <c r="X1383" s="70" t="s">
        <v>16146</v>
      </c>
      <c r="Z1383" s="75" t="s">
        <v>16147</v>
      </c>
      <c r="AF1383" s="70" t="s">
        <v>239</v>
      </c>
      <c r="AZ1383" s="70">
        <v>1448.0</v>
      </c>
    </row>
    <row r="1384" ht="22.5" customHeight="1">
      <c r="A1384" s="70" t="str">
        <f t="shared" si="1"/>
        <v>Excluded</v>
      </c>
      <c r="B1384" s="70">
        <f t="shared" si="2"/>
        <v>0</v>
      </c>
      <c r="C1384" s="70">
        <v>0.0</v>
      </c>
      <c r="D1384" s="70">
        <v>0.0</v>
      </c>
      <c r="E1384" s="70">
        <v>0.0</v>
      </c>
      <c r="F1384" s="70">
        <v>0.0</v>
      </c>
      <c r="G1384" s="70">
        <v>0.0</v>
      </c>
      <c r="H1384" s="70" t="s">
        <v>16370</v>
      </c>
      <c r="I1384" s="70">
        <v>1791.0</v>
      </c>
      <c r="K1384" s="70" t="s">
        <v>16369</v>
      </c>
      <c r="L1384" s="70" t="s">
        <v>16144</v>
      </c>
      <c r="N1384" s="70" t="s">
        <v>15888</v>
      </c>
      <c r="P1384" s="76">
        <v>45553.0</v>
      </c>
      <c r="U1384" s="70" t="s">
        <v>239</v>
      </c>
      <c r="X1384" s="70" t="s">
        <v>16146</v>
      </c>
      <c r="Z1384" s="75" t="s">
        <v>16371</v>
      </c>
      <c r="AF1384" s="70" t="s">
        <v>239</v>
      </c>
      <c r="AZ1384" s="70">
        <v>1402.0</v>
      </c>
    </row>
    <row r="1385" ht="22.5" customHeight="1">
      <c r="A1385" s="70" t="str">
        <f t="shared" si="1"/>
        <v>Excluded</v>
      </c>
      <c r="B1385" s="70">
        <f t="shared" si="2"/>
        <v>0</v>
      </c>
      <c r="C1385" s="70">
        <v>0.0</v>
      </c>
      <c r="D1385" s="70">
        <v>0.0</v>
      </c>
      <c r="E1385" s="70">
        <v>0.0</v>
      </c>
      <c r="F1385" s="70">
        <v>0.0</v>
      </c>
      <c r="G1385" s="70">
        <v>0.0</v>
      </c>
      <c r="H1385" s="70" t="s">
        <v>16330</v>
      </c>
      <c r="I1385" s="70">
        <v>1780.0</v>
      </c>
      <c r="K1385" s="70" t="s">
        <v>16329</v>
      </c>
      <c r="L1385" s="70" t="s">
        <v>16262</v>
      </c>
      <c r="N1385" s="70" t="s">
        <v>16263</v>
      </c>
      <c r="P1385" s="76">
        <v>45350.0</v>
      </c>
      <c r="U1385" s="70" t="s">
        <v>239</v>
      </c>
      <c r="X1385" s="70" t="s">
        <v>16266</v>
      </c>
      <c r="Z1385" s="75" t="s">
        <v>16331</v>
      </c>
      <c r="AF1385" s="70" t="s">
        <v>239</v>
      </c>
      <c r="AZ1385" s="70">
        <v>1466.0</v>
      </c>
    </row>
    <row r="1386" ht="22.5" customHeight="1">
      <c r="A1386" s="70" t="str">
        <f t="shared" si="1"/>
        <v>Excluded</v>
      </c>
      <c r="B1386" s="70">
        <f t="shared" si="2"/>
        <v>0</v>
      </c>
      <c r="C1386" s="70">
        <v>0.0</v>
      </c>
      <c r="D1386" s="70">
        <v>0.0</v>
      </c>
      <c r="E1386" s="70">
        <v>0.0</v>
      </c>
      <c r="F1386" s="70">
        <v>0.0</v>
      </c>
      <c r="G1386" s="70">
        <v>0.0</v>
      </c>
      <c r="H1386" s="70" t="s">
        <v>16264</v>
      </c>
      <c r="I1386" s="70">
        <v>1762.0</v>
      </c>
      <c r="K1386" s="70" t="s">
        <v>16261</v>
      </c>
      <c r="L1386" s="70" t="s">
        <v>16262</v>
      </c>
      <c r="N1386" s="70" t="s">
        <v>16263</v>
      </c>
      <c r="P1386" s="76">
        <v>45350.0</v>
      </c>
      <c r="U1386" s="70" t="s">
        <v>239</v>
      </c>
      <c r="X1386" s="70" t="s">
        <v>16266</v>
      </c>
      <c r="Z1386" s="75" t="s">
        <v>16267</v>
      </c>
      <c r="AF1386" s="70" t="s">
        <v>239</v>
      </c>
      <c r="AZ1386" s="70">
        <v>1400.0</v>
      </c>
    </row>
    <row r="1387" ht="22.5" customHeight="1">
      <c r="A1387" s="70" t="str">
        <f t="shared" si="1"/>
        <v>Excluded</v>
      </c>
      <c r="B1387" s="70">
        <f t="shared" si="2"/>
        <v>0</v>
      </c>
      <c r="C1387" s="70">
        <v>0.0</v>
      </c>
      <c r="D1387" s="70">
        <v>0.0</v>
      </c>
      <c r="E1387" s="70">
        <v>0.0</v>
      </c>
      <c r="F1387" s="70">
        <v>0.0</v>
      </c>
      <c r="G1387" s="70">
        <v>0.0</v>
      </c>
      <c r="H1387" s="70" t="s">
        <v>16322</v>
      </c>
      <c r="I1387" s="70">
        <v>1778.0</v>
      </c>
      <c r="K1387" s="70" t="s">
        <v>10597</v>
      </c>
      <c r="L1387" s="70" t="s">
        <v>16320</v>
      </c>
      <c r="N1387" s="70" t="s">
        <v>16321</v>
      </c>
      <c r="P1387" s="76">
        <v>45525.0</v>
      </c>
      <c r="U1387" s="70" t="s">
        <v>239</v>
      </c>
      <c r="X1387" s="70" t="s">
        <v>16323</v>
      </c>
      <c r="Z1387" s="75" t="s">
        <v>16324</v>
      </c>
      <c r="AF1387" s="70" t="s">
        <v>239</v>
      </c>
      <c r="AZ1387" s="70">
        <v>1580.0</v>
      </c>
    </row>
    <row r="1388" ht="22.5" customHeight="1">
      <c r="A1388" s="70" t="str">
        <f t="shared" si="1"/>
        <v>Excluded</v>
      </c>
      <c r="B1388" s="70">
        <f t="shared" si="2"/>
        <v>0</v>
      </c>
      <c r="C1388" s="70">
        <v>0.0</v>
      </c>
      <c r="D1388" s="70">
        <v>0.0</v>
      </c>
      <c r="E1388" s="70">
        <v>0.0</v>
      </c>
      <c r="F1388" s="70">
        <v>0.0</v>
      </c>
      <c r="G1388" s="70">
        <v>0.0</v>
      </c>
      <c r="H1388" s="70" t="s">
        <v>16238</v>
      </c>
      <c r="I1388" s="70">
        <v>1756.0</v>
      </c>
      <c r="K1388" s="70" t="s">
        <v>16235</v>
      </c>
      <c r="L1388" s="70" t="s">
        <v>16236</v>
      </c>
      <c r="N1388" s="70" t="s">
        <v>16237</v>
      </c>
      <c r="P1388" s="76">
        <v>45502.0</v>
      </c>
      <c r="U1388" s="70" t="s">
        <v>239</v>
      </c>
      <c r="X1388" s="70" t="s">
        <v>16239</v>
      </c>
      <c r="Z1388" s="75" t="s">
        <v>16240</v>
      </c>
      <c r="AF1388" s="70" t="s">
        <v>239</v>
      </c>
      <c r="AZ1388" s="70">
        <v>1411.0</v>
      </c>
    </row>
    <row r="1389" ht="22.5" customHeight="1">
      <c r="A1389" s="70" t="str">
        <f t="shared" si="1"/>
        <v>Excluded</v>
      </c>
      <c r="B1389" s="70">
        <f t="shared" si="2"/>
        <v>0</v>
      </c>
      <c r="C1389" s="70">
        <v>0.0</v>
      </c>
      <c r="D1389" s="70">
        <v>0.0</v>
      </c>
      <c r="E1389" s="70">
        <v>0.0</v>
      </c>
      <c r="F1389" s="70">
        <v>0.0</v>
      </c>
      <c r="G1389" s="70">
        <v>0.0</v>
      </c>
      <c r="H1389" s="70" t="s">
        <v>9293</v>
      </c>
      <c r="I1389" s="70">
        <v>906.0</v>
      </c>
      <c r="J1389" s="70" t="s">
        <v>9290</v>
      </c>
      <c r="K1389" s="70" t="s">
        <v>9291</v>
      </c>
      <c r="L1389" s="70" t="s">
        <v>9292</v>
      </c>
      <c r="P1389" s="76">
        <v>44790.0</v>
      </c>
      <c r="U1389" s="70" t="s">
        <v>239</v>
      </c>
      <c r="W1389" s="70" t="s">
        <v>9295</v>
      </c>
      <c r="X1389" s="70" t="s">
        <v>9296</v>
      </c>
      <c r="Z1389" s="75" t="s">
        <v>9297</v>
      </c>
      <c r="AA1389" s="70" t="s">
        <v>9298</v>
      </c>
      <c r="AC1389" s="70">
        <v>1.0</v>
      </c>
      <c r="AE1389" s="70">
        <v>11.0</v>
      </c>
      <c r="AF1389" s="70" t="s">
        <v>239</v>
      </c>
      <c r="AW1389" s="70" t="s">
        <v>9299</v>
      </c>
      <c r="AZ1389" s="70">
        <v>155.0</v>
      </c>
    </row>
    <row r="1390" ht="22.5" customHeight="1">
      <c r="A1390" s="70" t="str">
        <f t="shared" si="1"/>
        <v>Excluded</v>
      </c>
      <c r="B1390" s="70">
        <f t="shared" si="2"/>
        <v>0</v>
      </c>
      <c r="C1390" s="70">
        <v>0.0</v>
      </c>
      <c r="D1390" s="70">
        <v>0.0</v>
      </c>
      <c r="E1390" s="70">
        <v>0.0</v>
      </c>
      <c r="F1390" s="70">
        <v>0.0</v>
      </c>
      <c r="G1390" s="70">
        <v>0.0</v>
      </c>
      <c r="H1390" s="70" t="s">
        <v>16295</v>
      </c>
      <c r="I1390" s="70">
        <v>1770.0</v>
      </c>
      <c r="K1390" s="70" t="s">
        <v>10597</v>
      </c>
      <c r="L1390" s="70" t="s">
        <v>12321</v>
      </c>
      <c r="P1390" s="77">
        <v>45083.0</v>
      </c>
      <c r="U1390" s="70" t="s">
        <v>239</v>
      </c>
      <c r="X1390" s="70" t="s">
        <v>12325</v>
      </c>
      <c r="Z1390" s="75" t="s">
        <v>16296</v>
      </c>
      <c r="AF1390" s="70" t="s">
        <v>239</v>
      </c>
      <c r="AZ1390" s="70">
        <v>1547.0</v>
      </c>
    </row>
    <row r="1391" ht="22.5" customHeight="1">
      <c r="A1391" s="70" t="str">
        <f t="shared" si="1"/>
        <v>Excluded</v>
      </c>
      <c r="B1391" s="70">
        <f t="shared" si="2"/>
        <v>0</v>
      </c>
      <c r="C1391" s="70">
        <v>0.0</v>
      </c>
      <c r="D1391" s="70">
        <v>0.0</v>
      </c>
      <c r="E1391" s="70">
        <v>0.0</v>
      </c>
      <c r="F1391" s="70">
        <v>0.0</v>
      </c>
      <c r="G1391" s="70">
        <v>0.0</v>
      </c>
      <c r="H1391" s="70" t="s">
        <v>12322</v>
      </c>
      <c r="I1391" s="70">
        <v>1287.0</v>
      </c>
      <c r="J1391" s="70" t="s">
        <v>12319</v>
      </c>
      <c r="K1391" s="70" t="s">
        <v>12320</v>
      </c>
      <c r="L1391" s="70" t="s">
        <v>12321</v>
      </c>
      <c r="P1391" s="77">
        <v>45083.0</v>
      </c>
      <c r="U1391" s="70" t="s">
        <v>239</v>
      </c>
      <c r="W1391" s="70" t="s">
        <v>12324</v>
      </c>
      <c r="X1391" s="70" t="s">
        <v>12325</v>
      </c>
      <c r="Z1391" s="75" t="s">
        <v>12326</v>
      </c>
      <c r="AA1391" s="70" t="s">
        <v>12327</v>
      </c>
      <c r="AC1391" s="70">
        <v>1.0</v>
      </c>
      <c r="AE1391" s="70">
        <v>10.0</v>
      </c>
      <c r="AF1391" s="70" t="s">
        <v>239</v>
      </c>
      <c r="AW1391" s="70" t="s">
        <v>12328</v>
      </c>
      <c r="AX1391" s="70">
        <v>0.0</v>
      </c>
      <c r="AY1391" s="70" t="s">
        <v>24</v>
      </c>
      <c r="AZ1391" s="70">
        <v>1726.0</v>
      </c>
    </row>
    <row r="1392" ht="22.5" customHeight="1">
      <c r="A1392" s="70" t="str">
        <f t="shared" si="1"/>
        <v>Excluded</v>
      </c>
      <c r="B1392" s="70">
        <f t="shared" si="2"/>
        <v>0</v>
      </c>
      <c r="C1392" s="70">
        <v>0.0</v>
      </c>
      <c r="D1392" s="70">
        <v>0.0</v>
      </c>
      <c r="E1392" s="70">
        <v>0.0</v>
      </c>
      <c r="F1392" s="70">
        <v>0.0</v>
      </c>
      <c r="G1392" s="70">
        <v>0.0</v>
      </c>
      <c r="H1392" s="70" t="s">
        <v>16248</v>
      </c>
      <c r="I1392" s="70">
        <v>1758.0</v>
      </c>
      <c r="K1392" s="70" t="s">
        <v>16247</v>
      </c>
      <c r="L1392" s="70" t="s">
        <v>13940</v>
      </c>
      <c r="P1392" s="76">
        <v>45335.0</v>
      </c>
      <c r="U1392" s="70" t="s">
        <v>239</v>
      </c>
      <c r="X1392" s="70" t="s">
        <v>13944</v>
      </c>
      <c r="Z1392" s="75" t="s">
        <v>16249</v>
      </c>
      <c r="AF1392" s="70" t="s">
        <v>239</v>
      </c>
      <c r="AZ1392" s="70">
        <v>1457.0</v>
      </c>
    </row>
    <row r="1393" ht="22.5" customHeight="1">
      <c r="A1393" s="70" t="str">
        <f t="shared" si="1"/>
        <v>Excluded</v>
      </c>
      <c r="B1393" s="70">
        <f t="shared" si="2"/>
        <v>0</v>
      </c>
      <c r="C1393" s="70">
        <v>0.0</v>
      </c>
      <c r="D1393" s="70">
        <v>0.0</v>
      </c>
      <c r="E1393" s="70">
        <v>0.0</v>
      </c>
      <c r="F1393" s="70">
        <v>0.0</v>
      </c>
      <c r="G1393" s="70">
        <v>0.0</v>
      </c>
      <c r="H1393" s="70" t="s">
        <v>13941</v>
      </c>
      <c r="I1393" s="70">
        <v>1452.0</v>
      </c>
      <c r="J1393" s="70" t="s">
        <v>13938</v>
      </c>
      <c r="K1393" s="70" t="s">
        <v>13939</v>
      </c>
      <c r="L1393" s="70" t="s">
        <v>13940</v>
      </c>
      <c r="P1393" s="76">
        <v>45335.0</v>
      </c>
      <c r="U1393" s="70" t="s">
        <v>239</v>
      </c>
      <c r="W1393" s="70" t="s">
        <v>30455</v>
      </c>
      <c r="X1393" s="70" t="s">
        <v>13944</v>
      </c>
      <c r="Z1393" s="75" t="s">
        <v>13945</v>
      </c>
      <c r="AA1393" s="70" t="s">
        <v>13946</v>
      </c>
      <c r="AE1393" s="70">
        <v>12.0</v>
      </c>
      <c r="AF1393" s="70" t="s">
        <v>239</v>
      </c>
      <c r="AW1393" s="70" t="s">
        <v>13947</v>
      </c>
      <c r="AZ1393" s="70">
        <v>542.0</v>
      </c>
    </row>
    <row r="1394" ht="22.5" customHeight="1">
      <c r="A1394" s="70" t="str">
        <f t="shared" si="1"/>
        <v>Excluded</v>
      </c>
      <c r="B1394" s="70">
        <f t="shared" si="2"/>
        <v>0</v>
      </c>
      <c r="C1394" s="70">
        <v>0.0</v>
      </c>
      <c r="D1394" s="70">
        <v>0.0</v>
      </c>
      <c r="E1394" s="70">
        <v>0.0</v>
      </c>
      <c r="F1394" s="70">
        <v>0.0</v>
      </c>
      <c r="G1394" s="70">
        <v>0.0</v>
      </c>
      <c r="H1394" s="70" t="s">
        <v>13243</v>
      </c>
      <c r="I1394" s="70">
        <v>1380.0</v>
      </c>
      <c r="J1394" s="70" t="s">
        <v>13240</v>
      </c>
      <c r="K1394" s="70" t="s">
        <v>13241</v>
      </c>
      <c r="L1394" s="70" t="s">
        <v>13242</v>
      </c>
      <c r="P1394" s="76">
        <v>45637.0</v>
      </c>
      <c r="U1394" s="70" t="s">
        <v>239</v>
      </c>
      <c r="W1394" s="70" t="s">
        <v>13245</v>
      </c>
      <c r="X1394" s="70" t="s">
        <v>13246</v>
      </c>
      <c r="Z1394" s="75" t="s">
        <v>13247</v>
      </c>
      <c r="AA1394" s="70" t="s">
        <v>13248</v>
      </c>
      <c r="AE1394" s="70">
        <v>10.0</v>
      </c>
      <c r="AF1394" s="70" t="s">
        <v>239</v>
      </c>
      <c r="AW1394" s="70" t="s">
        <v>13249</v>
      </c>
      <c r="AX1394" s="70">
        <v>0.0</v>
      </c>
      <c r="AY1394" s="70" t="s">
        <v>24</v>
      </c>
      <c r="AZ1394" s="70">
        <v>2801.0</v>
      </c>
    </row>
    <row r="1395" ht="22.5" customHeight="1">
      <c r="A1395" s="70" t="str">
        <f t="shared" si="1"/>
        <v>Excluded</v>
      </c>
      <c r="B1395" s="70">
        <f t="shared" si="2"/>
        <v>0</v>
      </c>
      <c r="C1395" s="70">
        <v>0.0</v>
      </c>
      <c r="D1395" s="70">
        <v>0.0</v>
      </c>
      <c r="E1395" s="70">
        <v>0.0</v>
      </c>
      <c r="F1395" s="70">
        <v>0.0</v>
      </c>
      <c r="G1395" s="70">
        <v>0.0</v>
      </c>
      <c r="H1395" s="70" t="s">
        <v>6706</v>
      </c>
      <c r="I1395" s="70">
        <v>638.0</v>
      </c>
      <c r="J1395" s="70" t="s">
        <v>6703</v>
      </c>
      <c r="K1395" s="70" t="s">
        <v>6704</v>
      </c>
      <c r="L1395" s="70" t="s">
        <v>6705</v>
      </c>
      <c r="P1395" s="76">
        <v>44158.0</v>
      </c>
      <c r="U1395" s="70" t="s">
        <v>239</v>
      </c>
      <c r="W1395" s="70" t="s">
        <v>6708</v>
      </c>
      <c r="X1395" s="70" t="s">
        <v>6709</v>
      </c>
      <c r="Z1395" s="75" t="s">
        <v>6710</v>
      </c>
      <c r="AA1395" s="70" t="s">
        <v>6711</v>
      </c>
      <c r="AC1395" s="70">
        <v>5.0</v>
      </c>
      <c r="AE1395" s="70">
        <v>19.0</v>
      </c>
      <c r="AF1395" s="70" t="s">
        <v>239</v>
      </c>
      <c r="AW1395" s="70" t="s">
        <v>6712</v>
      </c>
      <c r="AX1395" s="70">
        <v>0.0</v>
      </c>
      <c r="AY1395" s="70" t="s">
        <v>24</v>
      </c>
      <c r="AZ1395" s="70">
        <v>2680.0</v>
      </c>
    </row>
    <row r="1396" ht="22.5" customHeight="1">
      <c r="A1396" s="70" t="str">
        <f t="shared" si="1"/>
        <v>Excluded</v>
      </c>
      <c r="B1396" s="70">
        <f t="shared" si="2"/>
        <v>0</v>
      </c>
      <c r="C1396" s="70">
        <v>0.0</v>
      </c>
      <c r="D1396" s="70">
        <v>0.0</v>
      </c>
      <c r="E1396" s="70">
        <v>0.0</v>
      </c>
      <c r="F1396" s="70">
        <v>0.0</v>
      </c>
      <c r="G1396" s="70">
        <v>0.0</v>
      </c>
      <c r="H1396" s="70" t="s">
        <v>10339</v>
      </c>
      <c r="I1396" s="70">
        <v>1016.0</v>
      </c>
      <c r="J1396" s="70" t="s">
        <v>10336</v>
      </c>
      <c r="K1396" s="70" t="s">
        <v>10337</v>
      </c>
      <c r="L1396" s="70" t="s">
        <v>10338</v>
      </c>
      <c r="P1396" s="77">
        <v>44960.0</v>
      </c>
      <c r="U1396" s="70" t="s">
        <v>239</v>
      </c>
      <c r="W1396" s="70" t="s">
        <v>30456</v>
      </c>
      <c r="X1396" s="70" t="s">
        <v>10342</v>
      </c>
      <c r="Z1396" s="75" t="s">
        <v>10343</v>
      </c>
      <c r="AA1396" s="70" t="s">
        <v>10344</v>
      </c>
      <c r="AE1396" s="70">
        <v>45.0</v>
      </c>
      <c r="AF1396" s="70" t="s">
        <v>239</v>
      </c>
      <c r="AW1396" s="70" t="s">
        <v>10345</v>
      </c>
      <c r="AZ1396" s="70">
        <v>757.0</v>
      </c>
    </row>
    <row r="1397" ht="22.5" customHeight="1">
      <c r="A1397" s="70" t="str">
        <f t="shared" si="1"/>
        <v>Excluded</v>
      </c>
      <c r="B1397" s="70">
        <f t="shared" si="2"/>
        <v>0</v>
      </c>
      <c r="C1397" s="70">
        <v>0.0</v>
      </c>
      <c r="D1397" s="70">
        <v>0.0</v>
      </c>
      <c r="E1397" s="70">
        <v>0.0</v>
      </c>
      <c r="F1397" s="70">
        <v>0.0</v>
      </c>
      <c r="G1397" s="70">
        <v>0.0</v>
      </c>
      <c r="H1397" s="70" t="s">
        <v>8779</v>
      </c>
      <c r="I1397" s="70">
        <v>853.0</v>
      </c>
      <c r="J1397" s="70" t="s">
        <v>8776</v>
      </c>
      <c r="K1397" s="70" t="s">
        <v>8777</v>
      </c>
      <c r="L1397" s="70" t="s">
        <v>8778</v>
      </c>
      <c r="P1397" s="79">
        <v>44322.0</v>
      </c>
      <c r="U1397" s="70" t="s">
        <v>239</v>
      </c>
      <c r="W1397" s="70" t="s">
        <v>8781</v>
      </c>
      <c r="X1397" s="70" t="s">
        <v>8782</v>
      </c>
      <c r="Z1397" s="75" t="s">
        <v>8783</v>
      </c>
      <c r="AA1397" s="70" t="s">
        <v>8784</v>
      </c>
      <c r="AC1397" s="70">
        <v>1.0</v>
      </c>
      <c r="AE1397" s="70">
        <v>25.0</v>
      </c>
      <c r="AF1397" s="70" t="s">
        <v>239</v>
      </c>
      <c r="AW1397" s="70" t="s">
        <v>8785</v>
      </c>
      <c r="AX1397" s="70">
        <v>0.0</v>
      </c>
      <c r="AY1397" s="70" t="s">
        <v>24</v>
      </c>
      <c r="AZ1397" s="70">
        <v>2442.0</v>
      </c>
    </row>
    <row r="1398" ht="22.5" customHeight="1">
      <c r="A1398" s="70" t="str">
        <f t="shared" si="1"/>
        <v>Excluded</v>
      </c>
      <c r="B1398" s="70">
        <f t="shared" si="2"/>
        <v>0</v>
      </c>
      <c r="C1398" s="70">
        <v>0.0</v>
      </c>
      <c r="D1398" s="70">
        <v>0.0</v>
      </c>
      <c r="E1398" s="70">
        <v>0.0</v>
      </c>
      <c r="F1398" s="70">
        <v>0.0</v>
      </c>
      <c r="G1398" s="70">
        <v>0.0</v>
      </c>
      <c r="H1398" s="70" t="s">
        <v>10035</v>
      </c>
      <c r="I1398" s="70">
        <v>984.0</v>
      </c>
      <c r="J1398" s="70" t="s">
        <v>10031</v>
      </c>
      <c r="K1398" s="70" t="s">
        <v>10032</v>
      </c>
      <c r="L1398" s="70" t="s">
        <v>10033</v>
      </c>
      <c r="N1398" s="70" t="s">
        <v>10034</v>
      </c>
      <c r="P1398" s="77">
        <v>44867.0</v>
      </c>
      <c r="U1398" s="70" t="s">
        <v>239</v>
      </c>
      <c r="W1398" s="70" t="s">
        <v>10037</v>
      </c>
      <c r="X1398" s="70" t="s">
        <v>10038</v>
      </c>
      <c r="Z1398" s="75" t="s">
        <v>10039</v>
      </c>
      <c r="AA1398" s="70" t="s">
        <v>10040</v>
      </c>
      <c r="AE1398" s="70">
        <v>11.0</v>
      </c>
      <c r="AF1398" s="70" t="s">
        <v>239</v>
      </c>
      <c r="AW1398" s="70" t="s">
        <v>10041</v>
      </c>
      <c r="AZ1398" s="70">
        <v>1064.0</v>
      </c>
    </row>
    <row r="1399" ht="22.5" customHeight="1">
      <c r="A1399" s="70" t="str">
        <f t="shared" si="1"/>
        <v>Excluded</v>
      </c>
      <c r="B1399" s="70">
        <f t="shared" si="2"/>
        <v>0</v>
      </c>
      <c r="C1399" s="70">
        <v>0.0</v>
      </c>
      <c r="D1399" s="70">
        <v>0.0</v>
      </c>
      <c r="E1399" s="70">
        <v>0.0</v>
      </c>
      <c r="F1399" s="70">
        <v>0.0</v>
      </c>
      <c r="G1399" s="70">
        <v>0.0</v>
      </c>
      <c r="H1399" s="70" t="s">
        <v>7353</v>
      </c>
      <c r="I1399" s="70">
        <v>705.0</v>
      </c>
      <c r="J1399" s="70" t="s">
        <v>7350</v>
      </c>
      <c r="K1399" s="70" t="s">
        <v>7351</v>
      </c>
      <c r="L1399" s="70" t="s">
        <v>7352</v>
      </c>
      <c r="P1399" s="77">
        <v>43405.0</v>
      </c>
      <c r="U1399" s="70" t="s">
        <v>239</v>
      </c>
      <c r="W1399" s="70" t="s">
        <v>7355</v>
      </c>
      <c r="X1399" s="70" t="s">
        <v>7356</v>
      </c>
      <c r="Z1399" s="75" t="s">
        <v>7357</v>
      </c>
      <c r="AA1399" s="70" t="s">
        <v>7358</v>
      </c>
      <c r="AC1399" s="70">
        <v>3.0</v>
      </c>
      <c r="AE1399" s="70">
        <v>36.0</v>
      </c>
      <c r="AF1399" s="70" t="s">
        <v>239</v>
      </c>
      <c r="AW1399" s="70" t="s">
        <v>7359</v>
      </c>
      <c r="AX1399" s="70">
        <v>0.0</v>
      </c>
      <c r="AY1399" s="70" t="s">
        <v>24</v>
      </c>
      <c r="AZ1399" s="70">
        <v>2210.0</v>
      </c>
    </row>
    <row r="1400" ht="22.5" customHeight="1">
      <c r="A1400" s="70" t="str">
        <f t="shared" si="1"/>
        <v>Excluded</v>
      </c>
      <c r="B1400" s="70">
        <f t="shared" si="2"/>
        <v>0</v>
      </c>
      <c r="C1400" s="70">
        <v>0.0</v>
      </c>
      <c r="D1400" s="70">
        <v>0.0</v>
      </c>
      <c r="E1400" s="70">
        <v>0.0</v>
      </c>
      <c r="F1400" s="70">
        <v>0.0</v>
      </c>
      <c r="G1400" s="70">
        <v>0.0</v>
      </c>
      <c r="H1400" s="70" t="s">
        <v>10589</v>
      </c>
      <c r="I1400" s="70">
        <v>1043.0</v>
      </c>
      <c r="K1400" s="70" t="s">
        <v>9426</v>
      </c>
      <c r="L1400" s="70" t="s">
        <v>10588</v>
      </c>
      <c r="P1400" s="76">
        <v>45008.0</v>
      </c>
      <c r="U1400" s="70" t="s">
        <v>239</v>
      </c>
      <c r="X1400" s="70" t="s">
        <v>10590</v>
      </c>
      <c r="Z1400" s="75" t="s">
        <v>10591</v>
      </c>
      <c r="AF1400" s="70" t="s">
        <v>239</v>
      </c>
      <c r="AZ1400" s="70">
        <v>1435.0</v>
      </c>
    </row>
    <row r="1401" ht="22.5" customHeight="1">
      <c r="A1401" s="70" t="str">
        <f t="shared" si="1"/>
        <v>Excluded</v>
      </c>
      <c r="B1401" s="70">
        <f t="shared" si="2"/>
        <v>0</v>
      </c>
      <c r="C1401" s="70">
        <v>0.0</v>
      </c>
      <c r="D1401" s="70">
        <v>0.0</v>
      </c>
      <c r="E1401" s="70">
        <v>0.0</v>
      </c>
      <c r="F1401" s="70">
        <v>0.0</v>
      </c>
      <c r="G1401" s="70">
        <v>0.0</v>
      </c>
      <c r="H1401" s="70" t="s">
        <v>4952</v>
      </c>
      <c r="I1401" s="70">
        <v>461.0</v>
      </c>
      <c r="J1401" s="70" t="s">
        <v>4949</v>
      </c>
      <c r="K1401" s="70" t="s">
        <v>4950</v>
      </c>
      <c r="L1401" s="70" t="s">
        <v>4951</v>
      </c>
      <c r="P1401" s="77">
        <v>42586.0</v>
      </c>
      <c r="U1401" s="70" t="s">
        <v>239</v>
      </c>
      <c r="W1401" s="70" t="s">
        <v>4954</v>
      </c>
      <c r="X1401" s="70" t="s">
        <v>4955</v>
      </c>
      <c r="Z1401" s="75" t="s">
        <v>4956</v>
      </c>
      <c r="AA1401" s="70" t="s">
        <v>4957</v>
      </c>
      <c r="AC1401" s="70">
        <v>26.0</v>
      </c>
      <c r="AD1401" s="70">
        <v>3.0</v>
      </c>
      <c r="AE1401" s="70">
        <v>71.0</v>
      </c>
      <c r="AF1401" s="70" t="s">
        <v>239</v>
      </c>
      <c r="AW1401" s="70" t="s">
        <v>4958</v>
      </c>
      <c r="AZ1401" s="70">
        <v>171.0</v>
      </c>
    </row>
    <row r="1402" ht="22.5" customHeight="1">
      <c r="A1402" s="70" t="str">
        <f t="shared" si="1"/>
        <v>Excluded</v>
      </c>
      <c r="B1402" s="70">
        <f t="shared" si="2"/>
        <v>0</v>
      </c>
      <c r="C1402" s="70">
        <v>0.0</v>
      </c>
      <c r="D1402" s="70">
        <v>0.0</v>
      </c>
      <c r="E1402" s="70">
        <v>0.0</v>
      </c>
      <c r="F1402" s="70">
        <v>0.0</v>
      </c>
      <c r="G1402" s="70">
        <v>0.0</v>
      </c>
      <c r="H1402" s="70" t="s">
        <v>15580</v>
      </c>
      <c r="I1402" s="70">
        <v>1626.0</v>
      </c>
      <c r="J1402" s="70" t="s">
        <v>15577</v>
      </c>
      <c r="K1402" s="70" t="s">
        <v>15578</v>
      </c>
      <c r="L1402" s="70" t="s">
        <v>15579</v>
      </c>
      <c r="P1402" s="76">
        <v>45551.0</v>
      </c>
      <c r="U1402" s="70" t="s">
        <v>239</v>
      </c>
      <c r="W1402" s="70" t="s">
        <v>15582</v>
      </c>
      <c r="X1402" s="70" t="s">
        <v>15583</v>
      </c>
      <c r="Z1402" s="75" t="s">
        <v>15584</v>
      </c>
      <c r="AA1402" s="70" t="s">
        <v>15585</v>
      </c>
      <c r="AE1402" s="70">
        <v>15.0</v>
      </c>
      <c r="AF1402" s="70" t="s">
        <v>239</v>
      </c>
      <c r="AW1402" s="70" t="s">
        <v>15586</v>
      </c>
      <c r="AZ1402" s="70">
        <v>1052.0</v>
      </c>
    </row>
    <row r="1403" ht="22.5" customHeight="1">
      <c r="A1403" s="70" t="str">
        <f t="shared" si="1"/>
        <v>Excluded</v>
      </c>
      <c r="B1403" s="70">
        <f t="shared" si="2"/>
        <v>0</v>
      </c>
      <c r="C1403" s="70">
        <v>0.0</v>
      </c>
      <c r="D1403" s="70">
        <v>0.0</v>
      </c>
      <c r="E1403" s="70">
        <v>0.0</v>
      </c>
      <c r="F1403" s="70">
        <v>0.0</v>
      </c>
      <c r="G1403" s="70">
        <v>0.0</v>
      </c>
      <c r="H1403" s="70" t="s">
        <v>12097</v>
      </c>
      <c r="I1403" s="70">
        <v>1265.0</v>
      </c>
      <c r="J1403" s="70" t="s">
        <v>12094</v>
      </c>
      <c r="K1403" s="70" t="s">
        <v>12095</v>
      </c>
      <c r="L1403" s="70" t="s">
        <v>12096</v>
      </c>
      <c r="P1403" s="76">
        <v>45351.0</v>
      </c>
      <c r="U1403" s="70" t="s">
        <v>239</v>
      </c>
      <c r="W1403" s="70" t="s">
        <v>12099</v>
      </c>
      <c r="X1403" s="70" t="s">
        <v>12100</v>
      </c>
      <c r="Y1403" s="70" t="s">
        <v>30457</v>
      </c>
      <c r="Z1403" s="75" t="s">
        <v>12102</v>
      </c>
      <c r="AA1403" s="70" t="s">
        <v>12103</v>
      </c>
      <c r="AC1403" s="70">
        <v>1.0</v>
      </c>
      <c r="AE1403" s="70">
        <v>28.0</v>
      </c>
      <c r="AF1403" s="70" t="s">
        <v>239</v>
      </c>
      <c r="AW1403" s="70" t="s">
        <v>12104</v>
      </c>
      <c r="AX1403" s="70">
        <v>0.0</v>
      </c>
      <c r="AY1403" s="70" t="s">
        <v>24</v>
      </c>
      <c r="AZ1403" s="70">
        <v>2251.0</v>
      </c>
    </row>
    <row r="1404" ht="22.5" customHeight="1">
      <c r="A1404" s="70" t="str">
        <f t="shared" si="1"/>
        <v>Excluded</v>
      </c>
      <c r="B1404" s="70">
        <f t="shared" si="2"/>
        <v>0</v>
      </c>
      <c r="C1404" s="70">
        <v>0.0</v>
      </c>
      <c r="D1404" s="70">
        <v>0.0</v>
      </c>
      <c r="E1404" s="70">
        <v>0.0</v>
      </c>
      <c r="F1404" s="70">
        <v>0.0</v>
      </c>
      <c r="G1404" s="70">
        <v>0.0</v>
      </c>
      <c r="H1404" s="70" t="s">
        <v>13772</v>
      </c>
      <c r="I1404" s="70">
        <v>1434.0</v>
      </c>
      <c r="J1404" s="70" t="s">
        <v>13769</v>
      </c>
      <c r="K1404" s="70" t="s">
        <v>13770</v>
      </c>
      <c r="L1404" s="70" t="s">
        <v>13771</v>
      </c>
      <c r="P1404" s="76">
        <v>45645.0</v>
      </c>
      <c r="U1404" s="70" t="s">
        <v>239</v>
      </c>
      <c r="W1404" s="70" t="s">
        <v>13774</v>
      </c>
      <c r="X1404" s="70" t="s">
        <v>13775</v>
      </c>
      <c r="Z1404" s="75" t="s">
        <v>13776</v>
      </c>
      <c r="AA1404" s="70" t="s">
        <v>13777</v>
      </c>
      <c r="AE1404" s="70">
        <v>24.0</v>
      </c>
      <c r="AF1404" s="70" t="s">
        <v>239</v>
      </c>
      <c r="AW1404" s="70" t="s">
        <v>13778</v>
      </c>
      <c r="AZ1404" s="70">
        <v>955.0</v>
      </c>
    </row>
    <row r="1405" ht="22.5" customHeight="1">
      <c r="A1405" s="70" t="str">
        <f t="shared" si="1"/>
        <v>Excluded</v>
      </c>
      <c r="B1405" s="70">
        <f t="shared" si="2"/>
        <v>0</v>
      </c>
      <c r="C1405" s="70">
        <v>0.0</v>
      </c>
      <c r="D1405" s="70">
        <v>0.0</v>
      </c>
      <c r="E1405" s="70">
        <v>0.0</v>
      </c>
      <c r="F1405" s="70">
        <v>0.0</v>
      </c>
      <c r="G1405" s="70">
        <v>0.0</v>
      </c>
      <c r="H1405" s="70" t="s">
        <v>15974</v>
      </c>
      <c r="I1405" s="70">
        <v>1686.0</v>
      </c>
      <c r="K1405" s="70" t="s">
        <v>15874</v>
      </c>
      <c r="L1405" s="70" t="s">
        <v>15973</v>
      </c>
      <c r="P1405" s="76">
        <v>45672.0</v>
      </c>
      <c r="U1405" s="70" t="s">
        <v>239</v>
      </c>
      <c r="X1405" s="70" t="s">
        <v>15975</v>
      </c>
      <c r="Z1405" s="75" t="s">
        <v>15976</v>
      </c>
      <c r="AF1405" s="70" t="s">
        <v>239</v>
      </c>
      <c r="AZ1405" s="70">
        <v>1439.0</v>
      </c>
    </row>
    <row r="1406" ht="22.5" customHeight="1">
      <c r="A1406" s="70" t="str">
        <f t="shared" si="1"/>
        <v>Excluded</v>
      </c>
      <c r="B1406" s="70">
        <f t="shared" si="2"/>
        <v>0</v>
      </c>
      <c r="C1406" s="70">
        <v>0.0</v>
      </c>
      <c r="D1406" s="70">
        <v>0.0</v>
      </c>
      <c r="E1406" s="70">
        <v>0.0</v>
      </c>
      <c r="F1406" s="70">
        <v>0.0</v>
      </c>
      <c r="G1406" s="70">
        <v>0.0</v>
      </c>
      <c r="H1406" s="70" t="s">
        <v>16381</v>
      </c>
      <c r="I1406" s="70">
        <v>1795.0</v>
      </c>
      <c r="K1406" s="70" t="s">
        <v>10597</v>
      </c>
      <c r="L1406" s="70" t="s">
        <v>15973</v>
      </c>
      <c r="P1406" s="76">
        <v>45672.0</v>
      </c>
      <c r="U1406" s="70" t="s">
        <v>239</v>
      </c>
      <c r="X1406" s="70" t="s">
        <v>15975</v>
      </c>
      <c r="Z1406" s="75" t="s">
        <v>16382</v>
      </c>
      <c r="AF1406" s="70" t="s">
        <v>239</v>
      </c>
      <c r="AZ1406" s="70">
        <v>1556.0</v>
      </c>
    </row>
    <row r="1407" ht="22.5" customHeight="1">
      <c r="A1407" s="70" t="str">
        <f t="shared" si="1"/>
        <v>Excluded</v>
      </c>
      <c r="B1407" s="70">
        <f t="shared" si="2"/>
        <v>0</v>
      </c>
      <c r="C1407" s="70">
        <v>0.0</v>
      </c>
      <c r="D1407" s="70">
        <v>0.0</v>
      </c>
      <c r="E1407" s="70">
        <v>0.0</v>
      </c>
      <c r="F1407" s="70">
        <v>0.0</v>
      </c>
      <c r="G1407" s="70">
        <v>0.0</v>
      </c>
      <c r="H1407" s="70" t="s">
        <v>28038</v>
      </c>
      <c r="I1407" s="70">
        <v>3022.0</v>
      </c>
      <c r="J1407" s="70" t="s">
        <v>28036</v>
      </c>
      <c r="K1407" s="70" t="s">
        <v>28037</v>
      </c>
      <c r="W1407" s="70" t="s">
        <v>30458</v>
      </c>
      <c r="AA1407" s="70" t="s">
        <v>28040</v>
      </c>
      <c r="AI1407" s="70" t="s">
        <v>28041</v>
      </c>
      <c r="AJ1407" s="70" t="s">
        <v>28042</v>
      </c>
      <c r="AK1407" s="70">
        <v>2020.0</v>
      </c>
      <c r="AL1407" s="70" t="s">
        <v>28043</v>
      </c>
      <c r="AM1407" s="70">
        <v>9139102.0</v>
      </c>
      <c r="AN1407" s="70">
        <v>233.0</v>
      </c>
      <c r="AO1407" s="70">
        <v>239.0</v>
      </c>
      <c r="AP1407" s="70">
        <v>6.0</v>
      </c>
      <c r="AQ1407" s="70">
        <v>11.0</v>
      </c>
      <c r="AR1407" s="75" t="s">
        <v>28044</v>
      </c>
      <c r="AS1407" s="70" t="s">
        <v>22525</v>
      </c>
      <c r="AU1407" s="70" t="s">
        <v>237</v>
      </c>
      <c r="AV1407" s="70" t="s">
        <v>28045</v>
      </c>
      <c r="AW1407" s="70" t="s">
        <v>28046</v>
      </c>
      <c r="AX1407" s="70">
        <v>0.0</v>
      </c>
      <c r="AY1407" s="70" t="s">
        <v>24</v>
      </c>
      <c r="AZ1407" s="70">
        <v>2211.0</v>
      </c>
    </row>
    <row r="1408" ht="22.5" customHeight="1">
      <c r="A1408" s="70" t="str">
        <f t="shared" si="1"/>
        <v>Excluded</v>
      </c>
      <c r="B1408" s="70">
        <f t="shared" si="2"/>
        <v>0</v>
      </c>
      <c r="C1408" s="70">
        <v>0.0</v>
      </c>
      <c r="D1408" s="70">
        <v>0.0</v>
      </c>
      <c r="E1408" s="70">
        <v>0.0</v>
      </c>
      <c r="F1408" s="70">
        <v>0.0</v>
      </c>
      <c r="G1408" s="70">
        <v>0.0</v>
      </c>
      <c r="H1408" s="70" t="s">
        <v>13712</v>
      </c>
      <c r="I1408" s="70">
        <v>1428.0</v>
      </c>
      <c r="J1408" s="70" t="s">
        <v>13708</v>
      </c>
      <c r="K1408" s="70" t="s">
        <v>13709</v>
      </c>
      <c r="L1408" s="70" t="s">
        <v>13710</v>
      </c>
      <c r="N1408" s="70" t="s">
        <v>13711</v>
      </c>
      <c r="P1408" s="77">
        <v>45236.0</v>
      </c>
      <c r="U1408" s="70" t="s">
        <v>239</v>
      </c>
      <c r="W1408" s="70" t="s">
        <v>13714</v>
      </c>
      <c r="X1408" s="70" t="s">
        <v>13715</v>
      </c>
      <c r="Y1408" s="70" t="s">
        <v>13716</v>
      </c>
      <c r="Z1408" s="75" t="s">
        <v>13717</v>
      </c>
      <c r="AA1408" s="70" t="s">
        <v>13718</v>
      </c>
      <c r="AE1408" s="70">
        <v>13.0</v>
      </c>
      <c r="AF1408" s="70" t="s">
        <v>239</v>
      </c>
      <c r="AW1408" s="70" t="s">
        <v>13719</v>
      </c>
      <c r="AZ1408" s="70">
        <v>677.0</v>
      </c>
    </row>
    <row r="1409" ht="22.5" customHeight="1">
      <c r="A1409" s="70" t="str">
        <f t="shared" si="1"/>
        <v>Excluded</v>
      </c>
      <c r="B1409" s="70">
        <f t="shared" si="2"/>
        <v>0</v>
      </c>
      <c r="C1409" s="70">
        <v>0.0</v>
      </c>
      <c r="D1409" s="70">
        <v>0.0</v>
      </c>
      <c r="E1409" s="70">
        <v>0.0</v>
      </c>
      <c r="F1409" s="70">
        <v>0.0</v>
      </c>
      <c r="G1409" s="70">
        <v>0.0</v>
      </c>
      <c r="H1409" s="70" t="s">
        <v>14404</v>
      </c>
      <c r="I1409" s="70">
        <v>1502.0</v>
      </c>
      <c r="J1409" s="70" t="s">
        <v>14400</v>
      </c>
      <c r="K1409" s="70" t="s">
        <v>14401</v>
      </c>
      <c r="L1409" s="70" t="s">
        <v>14402</v>
      </c>
      <c r="N1409" s="70" t="s">
        <v>14403</v>
      </c>
      <c r="P1409" s="77">
        <v>45449.0</v>
      </c>
      <c r="U1409" s="70" t="s">
        <v>239</v>
      </c>
      <c r="W1409" s="70" t="s">
        <v>30459</v>
      </c>
      <c r="X1409" s="70" t="s">
        <v>14407</v>
      </c>
      <c r="Z1409" s="75" t="s">
        <v>14408</v>
      </c>
      <c r="AA1409" s="70" t="s">
        <v>14409</v>
      </c>
      <c r="AE1409" s="70">
        <v>12.0</v>
      </c>
      <c r="AF1409" s="70" t="s">
        <v>239</v>
      </c>
      <c r="AW1409" s="70" t="s">
        <v>14410</v>
      </c>
      <c r="AX1409" s="70">
        <v>0.0</v>
      </c>
      <c r="AY1409" s="70" t="s">
        <v>24</v>
      </c>
      <c r="AZ1409" s="70">
        <v>2495.0</v>
      </c>
    </row>
    <row r="1410" ht="22.5" customHeight="1">
      <c r="A1410" s="70" t="str">
        <f t="shared" si="1"/>
        <v>Excluded</v>
      </c>
      <c r="B1410" s="70">
        <f t="shared" si="2"/>
        <v>0</v>
      </c>
      <c r="C1410" s="70">
        <v>0.0</v>
      </c>
      <c r="D1410" s="70">
        <v>0.0</v>
      </c>
      <c r="E1410" s="70">
        <v>0.0</v>
      </c>
      <c r="F1410" s="70">
        <v>0.0</v>
      </c>
      <c r="G1410" s="70">
        <v>0.0</v>
      </c>
      <c r="H1410" s="70" t="s">
        <v>8888</v>
      </c>
      <c r="I1410" s="70">
        <v>864.0</v>
      </c>
      <c r="J1410" s="70" t="s">
        <v>8884</v>
      </c>
      <c r="K1410" s="70" t="s">
        <v>8885</v>
      </c>
      <c r="L1410" s="70" t="s">
        <v>8886</v>
      </c>
      <c r="N1410" s="70" t="s">
        <v>8887</v>
      </c>
      <c r="P1410" s="76">
        <v>44950.0</v>
      </c>
      <c r="U1410" s="70" t="s">
        <v>239</v>
      </c>
      <c r="W1410" s="70" t="s">
        <v>8890</v>
      </c>
      <c r="X1410" s="70" t="s">
        <v>8891</v>
      </c>
      <c r="Z1410" s="75" t="s">
        <v>8892</v>
      </c>
      <c r="AA1410" s="70" t="s">
        <v>8893</v>
      </c>
      <c r="AC1410" s="70">
        <v>1.0</v>
      </c>
      <c r="AE1410" s="70">
        <v>31.0</v>
      </c>
      <c r="AF1410" s="70" t="s">
        <v>239</v>
      </c>
      <c r="AW1410" s="70" t="s">
        <v>8894</v>
      </c>
      <c r="AX1410" s="70">
        <v>0.0</v>
      </c>
      <c r="AY1410" s="70" t="s">
        <v>24</v>
      </c>
      <c r="AZ1410" s="70">
        <v>2390.0</v>
      </c>
    </row>
    <row r="1411" ht="22.5" customHeight="1">
      <c r="A1411" s="70" t="str">
        <f t="shared" si="1"/>
        <v>Excluded</v>
      </c>
      <c r="B1411" s="70">
        <f t="shared" si="2"/>
        <v>0</v>
      </c>
      <c r="C1411" s="70">
        <v>0.0</v>
      </c>
      <c r="D1411" s="70">
        <v>0.0</v>
      </c>
      <c r="E1411" s="70">
        <v>0.0</v>
      </c>
      <c r="F1411" s="70">
        <v>0.0</v>
      </c>
      <c r="G1411" s="70">
        <v>0.0</v>
      </c>
      <c r="H1411" s="70" t="s">
        <v>9135</v>
      </c>
      <c r="I1411" s="70">
        <v>889.0</v>
      </c>
      <c r="J1411" s="70" t="s">
        <v>9132</v>
      </c>
      <c r="K1411" s="70" t="s">
        <v>9133</v>
      </c>
      <c r="L1411" s="70" t="s">
        <v>9134</v>
      </c>
      <c r="P1411" s="76">
        <v>44971.0</v>
      </c>
      <c r="U1411" s="70" t="s">
        <v>239</v>
      </c>
      <c r="W1411" s="70" t="s">
        <v>9137</v>
      </c>
      <c r="X1411" s="70" t="s">
        <v>9138</v>
      </c>
      <c r="Z1411" s="75" t="s">
        <v>9139</v>
      </c>
      <c r="AA1411" s="70" t="s">
        <v>9140</v>
      </c>
      <c r="AC1411" s="70">
        <v>1.0</v>
      </c>
      <c r="AE1411" s="70">
        <v>20.0</v>
      </c>
      <c r="AF1411" s="70" t="s">
        <v>239</v>
      </c>
      <c r="AW1411" s="70" t="s">
        <v>9141</v>
      </c>
      <c r="AX1411" s="70">
        <v>0.0</v>
      </c>
      <c r="AY1411" s="70" t="s">
        <v>24</v>
      </c>
      <c r="AZ1411" s="70">
        <v>2897.0</v>
      </c>
    </row>
    <row r="1412" ht="22.5" customHeight="1">
      <c r="A1412" s="70" t="str">
        <f t="shared" si="1"/>
        <v>Excluded</v>
      </c>
      <c r="B1412" s="70">
        <f t="shared" si="2"/>
        <v>0</v>
      </c>
      <c r="C1412" s="70">
        <v>0.0</v>
      </c>
      <c r="D1412" s="70">
        <v>0.0</v>
      </c>
      <c r="E1412" s="70">
        <v>0.0</v>
      </c>
      <c r="F1412" s="70">
        <v>0.0</v>
      </c>
      <c r="G1412" s="70">
        <v>0.0</v>
      </c>
      <c r="H1412" s="70" t="s">
        <v>10644</v>
      </c>
      <c r="I1412" s="70">
        <v>1056.0</v>
      </c>
      <c r="K1412" s="70" t="s">
        <v>10597</v>
      </c>
      <c r="L1412" s="70" t="s">
        <v>10642</v>
      </c>
      <c r="N1412" s="70" t="s">
        <v>10643</v>
      </c>
      <c r="P1412" s="76">
        <v>44189.0</v>
      </c>
      <c r="U1412" s="70" t="s">
        <v>239</v>
      </c>
      <c r="W1412" s="70" t="s">
        <v>10602</v>
      </c>
      <c r="X1412" s="70" t="s">
        <v>10645</v>
      </c>
      <c r="Z1412" s="75" t="s">
        <v>10646</v>
      </c>
      <c r="AF1412" s="70" t="s">
        <v>239</v>
      </c>
      <c r="AZ1412" s="70">
        <v>1619.0</v>
      </c>
    </row>
    <row r="1413" ht="22.5" customHeight="1">
      <c r="A1413" s="70" t="str">
        <f t="shared" si="1"/>
        <v>Excluded</v>
      </c>
      <c r="B1413" s="70">
        <f t="shared" si="2"/>
        <v>0</v>
      </c>
      <c r="C1413" s="70">
        <v>0.0</v>
      </c>
      <c r="D1413" s="70">
        <v>0.0</v>
      </c>
      <c r="E1413" s="70">
        <v>0.0</v>
      </c>
      <c r="F1413" s="70">
        <v>0.0</v>
      </c>
      <c r="G1413" s="70">
        <v>0.0</v>
      </c>
      <c r="H1413" s="70" t="s">
        <v>11305</v>
      </c>
      <c r="I1413" s="70">
        <v>1185.0</v>
      </c>
      <c r="J1413" s="70" t="s">
        <v>11302</v>
      </c>
      <c r="K1413" s="70" t="s">
        <v>11303</v>
      </c>
      <c r="L1413" s="70" t="s">
        <v>11304</v>
      </c>
      <c r="N1413" s="70" t="s">
        <v>10643</v>
      </c>
      <c r="P1413" s="76">
        <v>45334.0</v>
      </c>
      <c r="U1413" s="70" t="s">
        <v>239</v>
      </c>
      <c r="W1413" s="70" t="s">
        <v>11307</v>
      </c>
      <c r="X1413" s="70" t="s">
        <v>11308</v>
      </c>
      <c r="Z1413" s="75" t="s">
        <v>11309</v>
      </c>
      <c r="AA1413" s="70" t="s">
        <v>11310</v>
      </c>
      <c r="AC1413" s="70">
        <v>4.0</v>
      </c>
      <c r="AE1413" s="70">
        <v>75.0</v>
      </c>
      <c r="AF1413" s="70" t="s">
        <v>239</v>
      </c>
      <c r="AW1413" s="70" t="s">
        <v>11311</v>
      </c>
      <c r="AZ1413" s="70">
        <v>930.0</v>
      </c>
    </row>
    <row r="1414" ht="22.5" customHeight="1">
      <c r="A1414" s="70" t="str">
        <f t="shared" si="1"/>
        <v>Excluded</v>
      </c>
      <c r="B1414" s="70">
        <f t="shared" si="2"/>
        <v>0</v>
      </c>
      <c r="C1414" s="70">
        <v>0.0</v>
      </c>
      <c r="D1414" s="70">
        <v>0.0</v>
      </c>
      <c r="E1414" s="70">
        <v>0.0</v>
      </c>
      <c r="F1414" s="70">
        <v>0.0</v>
      </c>
      <c r="G1414" s="70">
        <v>0.0</v>
      </c>
      <c r="H1414" s="70" t="s">
        <v>10887</v>
      </c>
      <c r="I1414" s="70">
        <v>1115.0</v>
      </c>
      <c r="K1414" s="70" t="s">
        <v>10618</v>
      </c>
      <c r="L1414" s="70" t="s">
        <v>10886</v>
      </c>
      <c r="P1414" s="76">
        <v>43433.0</v>
      </c>
      <c r="U1414" s="70" t="s">
        <v>239</v>
      </c>
      <c r="W1414" s="70" t="s">
        <v>10602</v>
      </c>
      <c r="X1414" s="70" t="s">
        <v>10888</v>
      </c>
      <c r="Z1414" s="75" t="s">
        <v>10889</v>
      </c>
      <c r="AF1414" s="70" t="s">
        <v>239</v>
      </c>
      <c r="AZ1414" s="70">
        <v>1597.0</v>
      </c>
    </row>
    <row r="1415" ht="22.5" customHeight="1">
      <c r="A1415" s="70" t="str">
        <f t="shared" si="1"/>
        <v>Excluded</v>
      </c>
      <c r="B1415" s="70">
        <f t="shared" si="2"/>
        <v>0</v>
      </c>
      <c r="C1415" s="70">
        <v>0.0</v>
      </c>
      <c r="D1415" s="70">
        <v>0.0</v>
      </c>
      <c r="E1415" s="70">
        <v>0.0</v>
      </c>
      <c r="F1415" s="70">
        <v>0.0</v>
      </c>
      <c r="G1415" s="70">
        <v>0.0</v>
      </c>
      <c r="H1415" s="70" t="s">
        <v>5117</v>
      </c>
      <c r="I1415" s="70">
        <v>477.0</v>
      </c>
      <c r="J1415" s="70" t="s">
        <v>5113</v>
      </c>
      <c r="K1415" s="70" t="s">
        <v>5114</v>
      </c>
      <c r="L1415" s="70" t="s">
        <v>5115</v>
      </c>
      <c r="N1415" s="70" t="s">
        <v>5116</v>
      </c>
      <c r="P1415" s="76">
        <v>43657.0</v>
      </c>
      <c r="U1415" s="70" t="s">
        <v>239</v>
      </c>
      <c r="W1415" s="70" t="s">
        <v>5119</v>
      </c>
      <c r="X1415" s="70" t="s">
        <v>5120</v>
      </c>
      <c r="Z1415" s="75" t="s">
        <v>5121</v>
      </c>
      <c r="AC1415" s="70">
        <v>18.0</v>
      </c>
      <c r="AE1415" s="70">
        <v>25.0</v>
      </c>
      <c r="AF1415" s="70" t="s">
        <v>239</v>
      </c>
      <c r="AW1415" s="70" t="s">
        <v>5122</v>
      </c>
      <c r="AZ1415" s="70">
        <v>717.0</v>
      </c>
    </row>
    <row r="1416" ht="22.5" customHeight="1">
      <c r="A1416" s="70" t="str">
        <f t="shared" si="1"/>
        <v>Excluded</v>
      </c>
      <c r="B1416" s="70">
        <f t="shared" si="2"/>
        <v>0</v>
      </c>
      <c r="C1416" s="70">
        <v>0.0</v>
      </c>
      <c r="D1416" s="70">
        <v>0.0</v>
      </c>
      <c r="E1416" s="70">
        <v>0.0</v>
      </c>
      <c r="F1416" s="70">
        <v>0.0</v>
      </c>
      <c r="G1416" s="70">
        <v>0.0</v>
      </c>
      <c r="H1416" s="70" t="s">
        <v>4973</v>
      </c>
      <c r="I1416" s="70">
        <v>463.0</v>
      </c>
      <c r="J1416" s="70" t="s">
        <v>4969</v>
      </c>
      <c r="K1416" s="70" t="s">
        <v>4970</v>
      </c>
      <c r="L1416" s="70" t="s">
        <v>4971</v>
      </c>
      <c r="N1416" s="70" t="s">
        <v>4972</v>
      </c>
      <c r="P1416" s="77">
        <v>44386.0</v>
      </c>
      <c r="U1416" s="70" t="s">
        <v>239</v>
      </c>
      <c r="W1416" s="70" t="s">
        <v>4975</v>
      </c>
      <c r="X1416" s="70" t="s">
        <v>4976</v>
      </c>
      <c r="Y1416" s="70" t="s">
        <v>30460</v>
      </c>
      <c r="Z1416" s="75" t="s">
        <v>4978</v>
      </c>
      <c r="AC1416" s="70">
        <v>25.0</v>
      </c>
      <c r="AE1416" s="70">
        <v>43.0</v>
      </c>
      <c r="AF1416" s="70" t="s">
        <v>239</v>
      </c>
      <c r="AW1416" s="70" t="s">
        <v>4979</v>
      </c>
      <c r="AZ1416" s="70">
        <v>919.0</v>
      </c>
    </row>
    <row r="1417" ht="22.5" customHeight="1">
      <c r="A1417" s="70" t="str">
        <f t="shared" si="1"/>
        <v>Excluded</v>
      </c>
      <c r="B1417" s="70">
        <f t="shared" si="2"/>
        <v>0</v>
      </c>
      <c r="C1417" s="70">
        <v>0.0</v>
      </c>
      <c r="D1417" s="70">
        <v>0.0</v>
      </c>
      <c r="E1417" s="70">
        <v>0.0</v>
      </c>
      <c r="F1417" s="70">
        <v>0.0</v>
      </c>
      <c r="G1417" s="70">
        <v>0.0</v>
      </c>
      <c r="H1417" s="70" t="s">
        <v>7305</v>
      </c>
      <c r="I1417" s="70">
        <v>700.0</v>
      </c>
      <c r="J1417" s="70" t="s">
        <v>7303</v>
      </c>
      <c r="K1417" s="70" t="s">
        <v>7304</v>
      </c>
      <c r="L1417" s="70" t="s">
        <v>4971</v>
      </c>
      <c r="N1417" s="70" t="s">
        <v>4972</v>
      </c>
      <c r="P1417" s="77">
        <v>44386.0</v>
      </c>
      <c r="U1417" s="70" t="s">
        <v>239</v>
      </c>
      <c r="W1417" s="70" t="s">
        <v>7307</v>
      </c>
      <c r="X1417" s="70" t="s">
        <v>4976</v>
      </c>
      <c r="Y1417" s="70" t="s">
        <v>30461</v>
      </c>
      <c r="Z1417" s="75" t="s">
        <v>7309</v>
      </c>
      <c r="AA1417" s="70" t="s">
        <v>7310</v>
      </c>
      <c r="AC1417" s="70">
        <v>4.0</v>
      </c>
      <c r="AE1417" s="70">
        <v>15.0</v>
      </c>
      <c r="AF1417" s="70" t="s">
        <v>239</v>
      </c>
      <c r="AW1417" s="70" t="s">
        <v>7311</v>
      </c>
      <c r="AX1417" s="70">
        <v>0.0</v>
      </c>
      <c r="AY1417" s="70" t="s">
        <v>24</v>
      </c>
      <c r="AZ1417" s="70">
        <v>2702.0</v>
      </c>
    </row>
    <row r="1418" ht="22.5" customHeight="1">
      <c r="A1418" s="70" t="str">
        <f t="shared" si="1"/>
        <v>Excluded</v>
      </c>
      <c r="B1418" s="70">
        <f t="shared" si="2"/>
        <v>0</v>
      </c>
      <c r="C1418" s="70">
        <v>0.0</v>
      </c>
      <c r="D1418" s="70">
        <v>0.0</v>
      </c>
      <c r="E1418" s="70">
        <v>0.0</v>
      </c>
      <c r="F1418" s="70">
        <v>0.0</v>
      </c>
      <c r="G1418" s="70">
        <v>0.0</v>
      </c>
      <c r="H1418" s="70" t="s">
        <v>10758</v>
      </c>
      <c r="I1418" s="70">
        <v>1081.0</v>
      </c>
      <c r="K1418" s="70" t="s">
        <v>268</v>
      </c>
      <c r="L1418" s="70" t="s">
        <v>10757</v>
      </c>
      <c r="N1418" s="70" t="s">
        <v>4972</v>
      </c>
      <c r="P1418" s="76">
        <v>44753.0</v>
      </c>
      <c r="U1418" s="70" t="s">
        <v>239</v>
      </c>
      <c r="W1418" s="70" t="s">
        <v>10759</v>
      </c>
      <c r="X1418" s="70" t="s">
        <v>10760</v>
      </c>
      <c r="Z1418" s="75" t="s">
        <v>10761</v>
      </c>
      <c r="AF1418" s="70" t="s">
        <v>239</v>
      </c>
      <c r="AZ1418" s="70">
        <v>1266.0</v>
      </c>
    </row>
    <row r="1419" ht="22.5" customHeight="1">
      <c r="A1419" s="70" t="str">
        <f t="shared" si="1"/>
        <v>Excluded</v>
      </c>
      <c r="B1419" s="70">
        <f t="shared" si="2"/>
        <v>0</v>
      </c>
      <c r="C1419" s="70">
        <v>0.0</v>
      </c>
      <c r="D1419" s="70">
        <v>0.0</v>
      </c>
      <c r="E1419" s="70">
        <v>0.0</v>
      </c>
      <c r="F1419" s="70">
        <v>0.0</v>
      </c>
      <c r="G1419" s="70">
        <v>0.0</v>
      </c>
      <c r="H1419" s="70" t="s">
        <v>10915</v>
      </c>
      <c r="I1419" s="70">
        <v>1123.0</v>
      </c>
      <c r="K1419" s="70" t="s">
        <v>10914</v>
      </c>
      <c r="L1419" s="70" t="s">
        <v>10757</v>
      </c>
      <c r="N1419" s="70" t="s">
        <v>4972</v>
      </c>
      <c r="P1419" s="76">
        <v>44753.0</v>
      </c>
      <c r="U1419" s="70" t="s">
        <v>239</v>
      </c>
      <c r="W1419" s="70" t="s">
        <v>10916</v>
      </c>
      <c r="X1419" s="70" t="s">
        <v>10760</v>
      </c>
      <c r="Z1419" s="75" t="s">
        <v>10917</v>
      </c>
      <c r="AF1419" s="70" t="s">
        <v>239</v>
      </c>
      <c r="AZ1419" s="70">
        <v>1461.0</v>
      </c>
    </row>
    <row r="1420" ht="22.5" customHeight="1">
      <c r="A1420" s="70" t="str">
        <f t="shared" si="1"/>
        <v>Excluded</v>
      </c>
      <c r="B1420" s="70">
        <f t="shared" si="2"/>
        <v>0</v>
      </c>
      <c r="C1420" s="70">
        <v>0.0</v>
      </c>
      <c r="D1420" s="70">
        <v>0.0</v>
      </c>
      <c r="E1420" s="70">
        <v>0.0</v>
      </c>
      <c r="F1420" s="70">
        <v>0.0</v>
      </c>
      <c r="G1420" s="70">
        <v>0.0</v>
      </c>
      <c r="H1420" s="70" t="s">
        <v>11366</v>
      </c>
      <c r="I1420" s="70">
        <v>1191.0</v>
      </c>
      <c r="J1420" s="70" t="s">
        <v>30462</v>
      </c>
      <c r="K1420" s="70" t="s">
        <v>11365</v>
      </c>
      <c r="L1420" s="70" t="s">
        <v>11192</v>
      </c>
      <c r="N1420" s="70" t="s">
        <v>4972</v>
      </c>
      <c r="P1420" s="76">
        <v>45222.0</v>
      </c>
      <c r="U1420" s="70" t="s">
        <v>239</v>
      </c>
      <c r="W1420" s="70" t="s">
        <v>11368</v>
      </c>
      <c r="X1420" s="70" t="s">
        <v>11196</v>
      </c>
      <c r="Z1420" s="75" t="s">
        <v>11369</v>
      </c>
      <c r="AC1420" s="70">
        <v>3.0</v>
      </c>
      <c r="AE1420" s="70">
        <v>27.0</v>
      </c>
      <c r="AF1420" s="70" t="s">
        <v>239</v>
      </c>
      <c r="AW1420" s="70" t="s">
        <v>11370</v>
      </c>
      <c r="AZ1420" s="70">
        <v>1188.0</v>
      </c>
    </row>
    <row r="1421" ht="22.5" customHeight="1">
      <c r="A1421" s="70" t="str">
        <f t="shared" si="1"/>
        <v>Excluded</v>
      </c>
      <c r="B1421" s="70">
        <f t="shared" si="2"/>
        <v>0</v>
      </c>
      <c r="C1421" s="70">
        <v>0.0</v>
      </c>
      <c r="D1421" s="70">
        <v>0.0</v>
      </c>
      <c r="E1421" s="70">
        <v>0.0</v>
      </c>
      <c r="F1421" s="70">
        <v>0.0</v>
      </c>
      <c r="G1421" s="70">
        <v>0.0</v>
      </c>
      <c r="H1421" s="70" t="s">
        <v>12272</v>
      </c>
      <c r="I1421" s="70">
        <v>1282.0</v>
      </c>
      <c r="J1421" s="70" t="s">
        <v>12270</v>
      </c>
      <c r="K1421" s="70" t="s">
        <v>12271</v>
      </c>
      <c r="L1421" s="70" t="s">
        <v>11192</v>
      </c>
      <c r="N1421" s="70" t="s">
        <v>4972</v>
      </c>
      <c r="P1421" s="76">
        <v>45222.0</v>
      </c>
      <c r="U1421" s="70" t="s">
        <v>239</v>
      </c>
      <c r="W1421" s="70" t="s">
        <v>12274</v>
      </c>
      <c r="X1421" s="70" t="s">
        <v>11196</v>
      </c>
      <c r="Y1421" s="70" t="s">
        <v>30463</v>
      </c>
      <c r="Z1421" s="75" t="s">
        <v>12276</v>
      </c>
      <c r="AA1421" s="70" t="s">
        <v>12277</v>
      </c>
      <c r="AC1421" s="70">
        <v>1.0</v>
      </c>
      <c r="AE1421" s="70">
        <v>12.0</v>
      </c>
      <c r="AF1421" s="70" t="s">
        <v>239</v>
      </c>
      <c r="AW1421" s="70" t="s">
        <v>12278</v>
      </c>
      <c r="AX1421" s="70">
        <v>0.0</v>
      </c>
      <c r="AY1421" s="70" t="s">
        <v>24</v>
      </c>
      <c r="AZ1421" s="70">
        <v>2857.0</v>
      </c>
    </row>
    <row r="1422" ht="22.5" customHeight="1">
      <c r="A1422" s="70" t="str">
        <f t="shared" si="1"/>
        <v>Excluded</v>
      </c>
      <c r="B1422" s="70">
        <f t="shared" si="2"/>
        <v>0</v>
      </c>
      <c r="C1422" s="70">
        <v>0.0</v>
      </c>
      <c r="D1422" s="70">
        <v>0.0</v>
      </c>
      <c r="E1422" s="70">
        <v>0.0</v>
      </c>
      <c r="F1422" s="70">
        <v>0.0</v>
      </c>
      <c r="G1422" s="70">
        <v>0.0</v>
      </c>
      <c r="H1422" s="70" t="s">
        <v>11193</v>
      </c>
      <c r="I1422" s="70">
        <v>1174.0</v>
      </c>
      <c r="J1422" s="70" t="s">
        <v>30464</v>
      </c>
      <c r="K1422" s="70" t="s">
        <v>11191</v>
      </c>
      <c r="L1422" s="70" t="s">
        <v>11192</v>
      </c>
      <c r="N1422" s="70" t="s">
        <v>4972</v>
      </c>
      <c r="P1422" s="76">
        <v>45222.0</v>
      </c>
      <c r="U1422" s="70" t="s">
        <v>239</v>
      </c>
      <c r="W1422" s="70" t="s">
        <v>11195</v>
      </c>
      <c r="X1422" s="70" t="s">
        <v>11196</v>
      </c>
      <c r="Z1422" s="75" t="s">
        <v>11197</v>
      </c>
      <c r="AA1422" s="70" t="s">
        <v>11198</v>
      </c>
      <c r="AC1422" s="70">
        <v>5.0</v>
      </c>
      <c r="AE1422" s="70">
        <v>28.0</v>
      </c>
      <c r="AF1422" s="70" t="s">
        <v>239</v>
      </c>
      <c r="AW1422" s="70" t="s">
        <v>11199</v>
      </c>
      <c r="AX1422" s="70">
        <v>0.0</v>
      </c>
      <c r="AY1422" s="70" t="s">
        <v>24</v>
      </c>
      <c r="AZ1422" s="70">
        <v>1989.0</v>
      </c>
    </row>
    <row r="1423" ht="22.5" customHeight="1">
      <c r="A1423" s="70" t="str">
        <f t="shared" si="1"/>
        <v>Excluded</v>
      </c>
      <c r="B1423" s="70">
        <f t="shared" si="2"/>
        <v>0</v>
      </c>
      <c r="C1423" s="70">
        <v>0.0</v>
      </c>
      <c r="D1423" s="70">
        <v>0.0</v>
      </c>
      <c r="E1423" s="70">
        <v>0.0</v>
      </c>
      <c r="F1423" s="70">
        <v>0.0</v>
      </c>
      <c r="G1423" s="70">
        <v>0.0</v>
      </c>
      <c r="H1423" s="70" t="s">
        <v>16076</v>
      </c>
      <c r="I1423" s="70">
        <v>1715.0</v>
      </c>
      <c r="K1423" s="70" t="s">
        <v>10612</v>
      </c>
      <c r="L1423" s="70" t="s">
        <v>11192</v>
      </c>
      <c r="N1423" s="70" t="s">
        <v>4972</v>
      </c>
      <c r="P1423" s="76">
        <v>45222.0</v>
      </c>
      <c r="U1423" s="70" t="s">
        <v>239</v>
      </c>
      <c r="X1423" s="70" t="s">
        <v>11196</v>
      </c>
      <c r="Z1423" s="75" t="s">
        <v>16077</v>
      </c>
      <c r="AF1423" s="70" t="s">
        <v>239</v>
      </c>
      <c r="AZ1423" s="70">
        <v>1424.0</v>
      </c>
    </row>
    <row r="1424" ht="22.5" customHeight="1">
      <c r="A1424" s="70" t="str">
        <f t="shared" si="1"/>
        <v>Excluded</v>
      </c>
      <c r="B1424" s="70">
        <f t="shared" si="2"/>
        <v>0</v>
      </c>
      <c r="C1424" s="70">
        <v>0.0</v>
      </c>
      <c r="D1424" s="70">
        <v>0.0</v>
      </c>
      <c r="E1424" s="70">
        <v>0.0</v>
      </c>
      <c r="F1424" s="70">
        <v>0.0</v>
      </c>
      <c r="G1424" s="70">
        <v>0.0</v>
      </c>
      <c r="H1424" s="70" t="s">
        <v>14821</v>
      </c>
      <c r="I1424" s="70">
        <v>1545.0</v>
      </c>
      <c r="J1424" s="70" t="s">
        <v>14819</v>
      </c>
      <c r="K1424" s="70" t="s">
        <v>14820</v>
      </c>
      <c r="L1424" s="70" t="s">
        <v>11192</v>
      </c>
      <c r="N1424" s="70" t="s">
        <v>4972</v>
      </c>
      <c r="P1424" s="76">
        <v>45222.0</v>
      </c>
      <c r="U1424" s="70" t="s">
        <v>239</v>
      </c>
      <c r="W1424" s="70" t="s">
        <v>14823</v>
      </c>
      <c r="X1424" s="70" t="s">
        <v>11196</v>
      </c>
      <c r="Z1424" s="75" t="s">
        <v>14824</v>
      </c>
      <c r="AA1424" s="70" t="s">
        <v>14825</v>
      </c>
      <c r="AE1424" s="70">
        <v>20.0</v>
      </c>
      <c r="AF1424" s="70" t="s">
        <v>239</v>
      </c>
      <c r="AW1424" s="70" t="s">
        <v>14826</v>
      </c>
      <c r="AX1424" s="70">
        <v>0.0</v>
      </c>
      <c r="AY1424" s="70" t="s">
        <v>24</v>
      </c>
      <c r="AZ1424" s="70">
        <v>1753.0</v>
      </c>
    </row>
    <row r="1425" ht="22.5" customHeight="1">
      <c r="A1425" s="70" t="str">
        <f t="shared" si="1"/>
        <v>Excluded</v>
      </c>
      <c r="B1425" s="70">
        <f t="shared" si="2"/>
        <v>0</v>
      </c>
      <c r="C1425" s="70">
        <v>0.0</v>
      </c>
      <c r="D1425" s="70">
        <v>0.0</v>
      </c>
      <c r="E1425" s="70">
        <v>0.0</v>
      </c>
      <c r="F1425" s="70">
        <v>0.0</v>
      </c>
      <c r="G1425" s="70">
        <v>0.0</v>
      </c>
      <c r="H1425" s="70" t="s">
        <v>16377</v>
      </c>
      <c r="I1425" s="70">
        <v>1793.0</v>
      </c>
      <c r="K1425" s="70" t="s">
        <v>16029</v>
      </c>
      <c r="L1425" s="70" t="s">
        <v>13635</v>
      </c>
      <c r="N1425" s="70" t="s">
        <v>4972</v>
      </c>
      <c r="P1425" s="76">
        <v>45516.0</v>
      </c>
      <c r="U1425" s="70" t="s">
        <v>239</v>
      </c>
      <c r="X1425" s="70" t="s">
        <v>13639</v>
      </c>
      <c r="Z1425" s="75" t="s">
        <v>16378</v>
      </c>
      <c r="AF1425" s="70" t="s">
        <v>239</v>
      </c>
      <c r="AZ1425" s="70">
        <v>1285.0</v>
      </c>
    </row>
    <row r="1426" ht="22.5" customHeight="1">
      <c r="A1426" s="70" t="str">
        <f t="shared" si="1"/>
        <v>Excluded</v>
      </c>
      <c r="B1426" s="70">
        <f t="shared" si="2"/>
        <v>0</v>
      </c>
      <c r="C1426" s="70">
        <v>0.0</v>
      </c>
      <c r="D1426" s="70">
        <v>0.0</v>
      </c>
      <c r="E1426" s="70">
        <v>0.0</v>
      </c>
      <c r="F1426" s="70">
        <v>0.0</v>
      </c>
      <c r="G1426" s="70">
        <v>0.0</v>
      </c>
      <c r="H1426" s="70" t="s">
        <v>13636</v>
      </c>
      <c r="I1426" s="70">
        <v>1420.0</v>
      </c>
      <c r="J1426" s="70" t="s">
        <v>13633</v>
      </c>
      <c r="K1426" s="70" t="s">
        <v>13634</v>
      </c>
      <c r="L1426" s="70" t="s">
        <v>13635</v>
      </c>
      <c r="N1426" s="70" t="s">
        <v>4972</v>
      </c>
      <c r="P1426" s="76">
        <v>45516.0</v>
      </c>
      <c r="U1426" s="70" t="s">
        <v>239</v>
      </c>
      <c r="W1426" s="70" t="s">
        <v>13638</v>
      </c>
      <c r="X1426" s="70" t="s">
        <v>13639</v>
      </c>
      <c r="Z1426" s="75" t="s">
        <v>13640</v>
      </c>
      <c r="AA1426" s="70" t="s">
        <v>13641</v>
      </c>
      <c r="AE1426" s="70">
        <v>31.0</v>
      </c>
      <c r="AF1426" s="70" t="s">
        <v>239</v>
      </c>
      <c r="AW1426" s="70" t="s">
        <v>13642</v>
      </c>
      <c r="AZ1426" s="70">
        <v>325.0</v>
      </c>
    </row>
    <row r="1427" ht="22.5" customHeight="1">
      <c r="A1427" s="70" t="str">
        <f t="shared" si="1"/>
        <v>Excluded</v>
      </c>
      <c r="B1427" s="70">
        <f t="shared" si="2"/>
        <v>0</v>
      </c>
      <c r="C1427" s="70">
        <v>0.0</v>
      </c>
      <c r="D1427" s="70">
        <v>0.0</v>
      </c>
      <c r="E1427" s="70">
        <v>0.0</v>
      </c>
      <c r="F1427" s="70">
        <v>0.0</v>
      </c>
      <c r="G1427" s="70">
        <v>0.0</v>
      </c>
      <c r="H1427" s="70" t="s">
        <v>11925</v>
      </c>
      <c r="I1427" s="70">
        <v>1247.0</v>
      </c>
      <c r="J1427" s="70" t="s">
        <v>11922</v>
      </c>
      <c r="K1427" s="70" t="s">
        <v>11923</v>
      </c>
      <c r="L1427" s="70" t="s">
        <v>11924</v>
      </c>
      <c r="P1427" s="76">
        <v>45098.0</v>
      </c>
      <c r="U1427" s="70" t="s">
        <v>239</v>
      </c>
      <c r="W1427" s="70" t="s">
        <v>11927</v>
      </c>
      <c r="X1427" s="70" t="s">
        <v>11928</v>
      </c>
      <c r="Z1427" s="75" t="s">
        <v>11929</v>
      </c>
      <c r="AA1427" s="70" t="s">
        <v>11930</v>
      </c>
      <c r="AC1427" s="70">
        <v>1.0</v>
      </c>
      <c r="AE1427" s="70">
        <v>12.0</v>
      </c>
      <c r="AF1427" s="70" t="s">
        <v>239</v>
      </c>
      <c r="AW1427" s="70" t="s">
        <v>11931</v>
      </c>
      <c r="AZ1427" s="70">
        <v>614.0</v>
      </c>
    </row>
    <row r="1428" ht="22.5" customHeight="1">
      <c r="A1428" s="70" t="str">
        <f t="shared" si="1"/>
        <v>Excluded</v>
      </c>
      <c r="B1428" s="70">
        <f t="shared" si="2"/>
        <v>0</v>
      </c>
      <c r="C1428" s="70">
        <v>0.0</v>
      </c>
      <c r="D1428" s="70">
        <v>0.0</v>
      </c>
      <c r="E1428" s="70">
        <v>0.0</v>
      </c>
      <c r="F1428" s="70">
        <v>0.0</v>
      </c>
      <c r="G1428" s="70">
        <v>0.0</v>
      </c>
      <c r="H1428" s="70" t="s">
        <v>28923</v>
      </c>
      <c r="I1428" s="70">
        <v>3108.0</v>
      </c>
      <c r="J1428" s="70" t="s">
        <v>28921</v>
      </c>
      <c r="K1428" s="70" t="s">
        <v>28922</v>
      </c>
      <c r="W1428" s="70" t="s">
        <v>30465</v>
      </c>
      <c r="AA1428" s="70" t="s">
        <v>28925</v>
      </c>
      <c r="AI1428" s="70" t="s">
        <v>28926</v>
      </c>
      <c r="AJ1428" s="70" t="s">
        <v>28927</v>
      </c>
      <c r="AK1428" s="70">
        <v>2018.0</v>
      </c>
      <c r="AL1428" s="70" t="s">
        <v>25445</v>
      </c>
      <c r="AN1428" s="70">
        <v>645.0</v>
      </c>
      <c r="AO1428" s="70">
        <v>659.0</v>
      </c>
      <c r="AP1428" s="70">
        <v>14.0</v>
      </c>
      <c r="AQ1428" s="70">
        <v>3.0</v>
      </c>
      <c r="AR1428" s="75" t="s">
        <v>28928</v>
      </c>
      <c r="AS1428" s="70" t="s">
        <v>22525</v>
      </c>
      <c r="AT1428" s="70" t="s">
        <v>22816</v>
      </c>
      <c r="AU1428" s="70" t="s">
        <v>237</v>
      </c>
      <c r="AV1428" s="70" t="s">
        <v>28929</v>
      </c>
      <c r="AW1428" s="70" t="s">
        <v>28930</v>
      </c>
      <c r="AX1428" s="70">
        <v>0.0</v>
      </c>
      <c r="AY1428" s="70" t="s">
        <v>24</v>
      </c>
      <c r="AZ1428" s="70">
        <v>2577.0</v>
      </c>
    </row>
    <row r="1429" ht="22.5" customHeight="1">
      <c r="A1429" s="70" t="str">
        <f t="shared" si="1"/>
        <v>Excluded</v>
      </c>
      <c r="B1429" s="70">
        <f t="shared" si="2"/>
        <v>0</v>
      </c>
      <c r="C1429" s="70">
        <v>0.0</v>
      </c>
      <c r="D1429" s="70">
        <v>0.0</v>
      </c>
      <c r="E1429" s="70">
        <v>0.0</v>
      </c>
      <c r="F1429" s="70">
        <v>0.0</v>
      </c>
      <c r="G1429" s="70">
        <v>0.0</v>
      </c>
      <c r="H1429" s="70" t="s">
        <v>28558</v>
      </c>
      <c r="I1429" s="70">
        <v>3073.0</v>
      </c>
      <c r="J1429" s="70" t="s">
        <v>28556</v>
      </c>
      <c r="K1429" s="70" t="s">
        <v>28557</v>
      </c>
      <c r="W1429" s="70" t="s">
        <v>30466</v>
      </c>
      <c r="AA1429" s="70" t="s">
        <v>28561</v>
      </c>
      <c r="AI1429" s="70" t="s">
        <v>30467</v>
      </c>
      <c r="AJ1429" s="70" t="s">
        <v>28563</v>
      </c>
      <c r="AK1429" s="70">
        <v>2018.0</v>
      </c>
      <c r="AL1429" s="70" t="s">
        <v>25445</v>
      </c>
      <c r="AN1429" s="70">
        <v>730.0</v>
      </c>
      <c r="AO1429" s="70">
        <v>741.0</v>
      </c>
      <c r="AP1429" s="70">
        <v>11.0</v>
      </c>
      <c r="AQ1429" s="70">
        <v>41.0</v>
      </c>
      <c r="AR1429" s="75" t="s">
        <v>28564</v>
      </c>
      <c r="AS1429" s="70" t="s">
        <v>22525</v>
      </c>
      <c r="AT1429" s="70" t="s">
        <v>22816</v>
      </c>
      <c r="AU1429" s="70" t="s">
        <v>237</v>
      </c>
      <c r="AV1429" s="70" t="s">
        <v>28565</v>
      </c>
      <c r="AW1429" s="70" t="s">
        <v>28566</v>
      </c>
      <c r="AX1429" s="70">
        <v>0.0</v>
      </c>
      <c r="AY1429" s="70" t="s">
        <v>24</v>
      </c>
      <c r="AZ1429" s="70">
        <v>2637.0</v>
      </c>
    </row>
    <row r="1430" ht="22.5" customHeight="1">
      <c r="A1430" s="70" t="str">
        <f t="shared" si="1"/>
        <v>Excluded</v>
      </c>
      <c r="B1430" s="70">
        <f t="shared" si="2"/>
        <v>0</v>
      </c>
      <c r="C1430" s="70">
        <v>0.0</v>
      </c>
      <c r="D1430" s="70">
        <v>0.0</v>
      </c>
      <c r="E1430" s="70">
        <v>0.0</v>
      </c>
      <c r="F1430" s="70">
        <v>0.0</v>
      </c>
      <c r="G1430" s="70">
        <v>0.0</v>
      </c>
      <c r="H1430" s="70" t="s">
        <v>11032</v>
      </c>
      <c r="I1430" s="70">
        <v>1155.0</v>
      </c>
      <c r="K1430" s="70" t="s">
        <v>10618</v>
      </c>
      <c r="L1430" s="70" t="s">
        <v>4670</v>
      </c>
      <c r="N1430" s="70" t="s">
        <v>4671</v>
      </c>
      <c r="P1430" s="76">
        <v>43769.0</v>
      </c>
      <c r="U1430" s="70" t="s">
        <v>239</v>
      </c>
      <c r="W1430" s="70" t="s">
        <v>11033</v>
      </c>
      <c r="X1430" s="70" t="s">
        <v>4675</v>
      </c>
      <c r="Z1430" s="75" t="s">
        <v>11034</v>
      </c>
      <c r="AF1430" s="70" t="s">
        <v>239</v>
      </c>
      <c r="AZ1430" s="70">
        <v>1056.0</v>
      </c>
    </row>
    <row r="1431" ht="22.5" customHeight="1">
      <c r="A1431" s="70" t="str">
        <f t="shared" si="1"/>
        <v>Excluded</v>
      </c>
      <c r="B1431" s="70">
        <f t="shared" si="2"/>
        <v>0</v>
      </c>
      <c r="C1431" s="70">
        <v>0.0</v>
      </c>
      <c r="D1431" s="70">
        <v>0.0</v>
      </c>
      <c r="E1431" s="70">
        <v>0.0</v>
      </c>
      <c r="F1431" s="70">
        <v>0.0</v>
      </c>
      <c r="G1431" s="70">
        <v>0.0</v>
      </c>
      <c r="H1431" s="70" t="s">
        <v>4753</v>
      </c>
      <c r="I1431" s="70">
        <v>441.0</v>
      </c>
      <c r="J1431" s="70" t="s">
        <v>4751</v>
      </c>
      <c r="K1431" s="70" t="s">
        <v>4752</v>
      </c>
      <c r="L1431" s="70" t="s">
        <v>4670</v>
      </c>
      <c r="N1431" s="70" t="s">
        <v>4671</v>
      </c>
      <c r="P1431" s="76">
        <v>43769.0</v>
      </c>
      <c r="U1431" s="70" t="s">
        <v>239</v>
      </c>
      <c r="W1431" s="70" t="s">
        <v>4755</v>
      </c>
      <c r="X1431" s="70" t="s">
        <v>4675</v>
      </c>
      <c r="Z1431" s="75" t="s">
        <v>4756</v>
      </c>
      <c r="AA1431" s="70" t="s">
        <v>4757</v>
      </c>
      <c r="AC1431" s="70">
        <v>38.0</v>
      </c>
      <c r="AE1431" s="70">
        <v>38.0</v>
      </c>
      <c r="AF1431" s="70" t="s">
        <v>239</v>
      </c>
      <c r="AW1431" s="70" t="s">
        <v>4758</v>
      </c>
      <c r="AX1431" s="70">
        <v>0.0</v>
      </c>
      <c r="AY1431" s="70" t="s">
        <v>24</v>
      </c>
      <c r="AZ1431" s="70">
        <v>1974.0</v>
      </c>
    </row>
    <row r="1432" ht="22.5" customHeight="1">
      <c r="A1432" s="70" t="str">
        <f t="shared" si="1"/>
        <v>Excluded</v>
      </c>
      <c r="B1432" s="70">
        <f t="shared" si="2"/>
        <v>0</v>
      </c>
      <c r="C1432" s="70">
        <v>0.0</v>
      </c>
      <c r="D1432" s="70">
        <v>0.0</v>
      </c>
      <c r="E1432" s="70">
        <v>0.0</v>
      </c>
      <c r="F1432" s="70">
        <v>0.0</v>
      </c>
      <c r="G1432" s="70">
        <v>0.0</v>
      </c>
      <c r="H1432" s="70" t="s">
        <v>4672</v>
      </c>
      <c r="I1432" s="70">
        <v>433.0</v>
      </c>
      <c r="J1432" s="70" t="s">
        <v>4668</v>
      </c>
      <c r="K1432" s="70" t="s">
        <v>4669</v>
      </c>
      <c r="L1432" s="70" t="s">
        <v>4670</v>
      </c>
      <c r="N1432" s="70" t="s">
        <v>4671</v>
      </c>
      <c r="P1432" s="76">
        <v>43769.0</v>
      </c>
      <c r="U1432" s="70" t="s">
        <v>239</v>
      </c>
      <c r="W1432" s="70" t="s">
        <v>4674</v>
      </c>
      <c r="X1432" s="70" t="s">
        <v>4675</v>
      </c>
      <c r="Z1432" s="75" t="s">
        <v>4676</v>
      </c>
      <c r="AA1432" s="70" t="s">
        <v>4677</v>
      </c>
      <c r="AC1432" s="70">
        <v>59.0</v>
      </c>
      <c r="AE1432" s="70">
        <v>38.0</v>
      </c>
      <c r="AF1432" s="70" t="s">
        <v>239</v>
      </c>
      <c r="AW1432" s="70" t="s">
        <v>4678</v>
      </c>
      <c r="AX1432" s="70">
        <v>0.0</v>
      </c>
      <c r="AY1432" s="70" t="s">
        <v>24</v>
      </c>
      <c r="AZ1432" s="70">
        <v>1737.0</v>
      </c>
    </row>
    <row r="1433" ht="22.5" customHeight="1">
      <c r="A1433" s="70" t="str">
        <f t="shared" si="1"/>
        <v>Excluded</v>
      </c>
      <c r="B1433" s="70">
        <f t="shared" si="2"/>
        <v>0</v>
      </c>
      <c r="C1433" s="70">
        <v>0.0</v>
      </c>
      <c r="D1433" s="70">
        <v>0.0</v>
      </c>
      <c r="E1433" s="70">
        <v>0.0</v>
      </c>
      <c r="F1433" s="70">
        <v>0.0</v>
      </c>
      <c r="G1433" s="70">
        <v>0.0</v>
      </c>
      <c r="H1433" s="70" t="s">
        <v>5624</v>
      </c>
      <c r="I1433" s="70">
        <v>529.0</v>
      </c>
      <c r="J1433" s="70" t="s">
        <v>5622</v>
      </c>
      <c r="K1433" s="70" t="s">
        <v>5623</v>
      </c>
      <c r="L1433" s="70" t="s">
        <v>4670</v>
      </c>
      <c r="N1433" s="70" t="s">
        <v>4671</v>
      </c>
      <c r="P1433" s="76">
        <v>43769.0</v>
      </c>
      <c r="U1433" s="70" t="s">
        <v>239</v>
      </c>
      <c r="W1433" s="70" t="s">
        <v>5626</v>
      </c>
      <c r="X1433" s="70" t="s">
        <v>4675</v>
      </c>
      <c r="Z1433" s="75" t="s">
        <v>5627</v>
      </c>
      <c r="AA1433" s="70" t="s">
        <v>5628</v>
      </c>
      <c r="AC1433" s="70">
        <v>10.0</v>
      </c>
      <c r="AE1433" s="70">
        <v>58.0</v>
      </c>
      <c r="AF1433" s="70" t="s">
        <v>239</v>
      </c>
      <c r="AW1433" s="70" t="s">
        <v>5629</v>
      </c>
      <c r="AX1433" s="70">
        <v>0.0</v>
      </c>
      <c r="AY1433" s="70" t="s">
        <v>24</v>
      </c>
      <c r="AZ1433" s="70">
        <v>2608.0</v>
      </c>
    </row>
    <row r="1434" ht="22.5" customHeight="1">
      <c r="A1434" s="70" t="str">
        <f t="shared" si="1"/>
        <v>Excluded</v>
      </c>
      <c r="B1434" s="70">
        <f t="shared" si="2"/>
        <v>0</v>
      </c>
      <c r="C1434" s="70">
        <v>0.0</v>
      </c>
      <c r="D1434" s="70">
        <v>0.0</v>
      </c>
      <c r="E1434" s="70">
        <v>0.0</v>
      </c>
      <c r="F1434" s="70">
        <v>0.0</v>
      </c>
      <c r="G1434" s="70">
        <v>0.0</v>
      </c>
      <c r="H1434" s="70" t="s">
        <v>8018</v>
      </c>
      <c r="I1434" s="70">
        <v>773.0</v>
      </c>
      <c r="J1434" s="70" t="s">
        <v>30468</v>
      </c>
      <c r="K1434" s="70" t="s">
        <v>8017</v>
      </c>
      <c r="L1434" s="70" t="s">
        <v>4670</v>
      </c>
      <c r="N1434" s="70" t="s">
        <v>4671</v>
      </c>
      <c r="P1434" s="76">
        <v>43769.0</v>
      </c>
      <c r="U1434" s="70" t="s">
        <v>239</v>
      </c>
      <c r="W1434" s="70" t="s">
        <v>8020</v>
      </c>
      <c r="X1434" s="70" t="s">
        <v>4675</v>
      </c>
      <c r="Z1434" s="75" t="s">
        <v>8021</v>
      </c>
      <c r="AA1434" s="70" t="s">
        <v>8022</v>
      </c>
      <c r="AC1434" s="70">
        <v>2.0</v>
      </c>
      <c r="AE1434" s="70">
        <v>52.0</v>
      </c>
      <c r="AF1434" s="70" t="s">
        <v>239</v>
      </c>
      <c r="AW1434" s="70" t="s">
        <v>8023</v>
      </c>
      <c r="AX1434" s="70">
        <v>0.0</v>
      </c>
      <c r="AY1434" s="70" t="s">
        <v>24</v>
      </c>
      <c r="AZ1434" s="70">
        <v>2910.0</v>
      </c>
    </row>
    <row r="1435" ht="22.5" customHeight="1">
      <c r="A1435" s="70" t="str">
        <f t="shared" si="1"/>
        <v>Excluded</v>
      </c>
      <c r="B1435" s="70">
        <f t="shared" si="2"/>
        <v>0</v>
      </c>
      <c r="C1435" s="70">
        <v>0.0</v>
      </c>
      <c r="D1435" s="70">
        <v>0.0</v>
      </c>
      <c r="E1435" s="70">
        <v>0.0</v>
      </c>
      <c r="F1435" s="70">
        <v>0.0</v>
      </c>
      <c r="G1435" s="70">
        <v>0.0</v>
      </c>
      <c r="H1435" s="70" t="s">
        <v>4831</v>
      </c>
      <c r="I1435" s="70">
        <v>449.0</v>
      </c>
      <c r="J1435" s="70" t="s">
        <v>4829</v>
      </c>
      <c r="K1435" s="70" t="s">
        <v>4830</v>
      </c>
      <c r="L1435" s="70" t="s">
        <v>4670</v>
      </c>
      <c r="N1435" s="70" t="s">
        <v>4671</v>
      </c>
      <c r="P1435" s="76">
        <v>43769.0</v>
      </c>
      <c r="U1435" s="70" t="s">
        <v>239</v>
      </c>
      <c r="W1435" s="70" t="s">
        <v>4833</v>
      </c>
      <c r="X1435" s="70" t="s">
        <v>4675</v>
      </c>
      <c r="Z1435" s="75" t="s">
        <v>4834</v>
      </c>
      <c r="AA1435" s="70" t="s">
        <v>4835</v>
      </c>
      <c r="AC1435" s="70">
        <v>32.0</v>
      </c>
      <c r="AE1435" s="70">
        <v>30.0</v>
      </c>
      <c r="AF1435" s="70" t="s">
        <v>239</v>
      </c>
      <c r="AW1435" s="70" t="s">
        <v>4836</v>
      </c>
      <c r="AZ1435" s="70">
        <v>356.0</v>
      </c>
    </row>
    <row r="1436" ht="22.5" customHeight="1">
      <c r="A1436" s="70" t="str">
        <f t="shared" si="1"/>
        <v>Excluded</v>
      </c>
      <c r="B1436" s="70">
        <f t="shared" si="2"/>
        <v>0</v>
      </c>
      <c r="C1436" s="70">
        <v>0.0</v>
      </c>
      <c r="D1436" s="70">
        <v>0.0</v>
      </c>
      <c r="E1436" s="70">
        <v>0.0</v>
      </c>
      <c r="F1436" s="70">
        <v>0.0</v>
      </c>
      <c r="G1436" s="70">
        <v>0.0</v>
      </c>
      <c r="H1436" s="70" t="s">
        <v>11275</v>
      </c>
      <c r="I1436" s="70">
        <v>1182.0</v>
      </c>
      <c r="J1436" s="70" t="s">
        <v>11272</v>
      </c>
      <c r="K1436" s="70" t="s">
        <v>11273</v>
      </c>
      <c r="L1436" s="70" t="s">
        <v>11274</v>
      </c>
      <c r="N1436" s="70" t="s">
        <v>4671</v>
      </c>
      <c r="P1436" s="76">
        <v>45210.0</v>
      </c>
      <c r="U1436" s="70" t="s">
        <v>239</v>
      </c>
      <c r="W1436" s="70" t="s">
        <v>11277</v>
      </c>
      <c r="X1436" s="70" t="s">
        <v>11278</v>
      </c>
      <c r="Z1436" s="75" t="s">
        <v>11279</v>
      </c>
      <c r="AA1436" s="70" t="s">
        <v>11280</v>
      </c>
      <c r="AC1436" s="70">
        <v>4.0</v>
      </c>
      <c r="AE1436" s="70">
        <v>39.0</v>
      </c>
      <c r="AF1436" s="70" t="s">
        <v>239</v>
      </c>
      <c r="AW1436" s="70" t="s">
        <v>11281</v>
      </c>
      <c r="AX1436" s="70">
        <v>0.0</v>
      </c>
      <c r="AY1436" s="70" t="s">
        <v>24</v>
      </c>
      <c r="AZ1436" s="70">
        <v>2445.0</v>
      </c>
    </row>
    <row r="1437" ht="22.5" customHeight="1">
      <c r="A1437" s="70" t="str">
        <f t="shared" si="1"/>
        <v>Excluded</v>
      </c>
      <c r="B1437" s="70">
        <f t="shared" si="2"/>
        <v>0</v>
      </c>
      <c r="C1437" s="70">
        <v>0.0</v>
      </c>
      <c r="D1437" s="70">
        <v>0.0</v>
      </c>
      <c r="E1437" s="70">
        <v>0.0</v>
      </c>
      <c r="F1437" s="70">
        <v>0.0</v>
      </c>
      <c r="G1437" s="70">
        <v>0.0</v>
      </c>
      <c r="H1437" s="70" t="s">
        <v>25440</v>
      </c>
      <c r="I1437" s="70">
        <v>2769.0</v>
      </c>
      <c r="J1437" s="70" t="s">
        <v>25438</v>
      </c>
      <c r="K1437" s="70" t="s">
        <v>25439</v>
      </c>
      <c r="W1437" s="70" t="s">
        <v>30469</v>
      </c>
      <c r="AI1437" s="70" t="s">
        <v>25443</v>
      </c>
      <c r="AJ1437" s="70" t="s">
        <v>25444</v>
      </c>
      <c r="AK1437" s="70">
        <v>2023.0</v>
      </c>
      <c r="AL1437" s="70" t="s">
        <v>25445</v>
      </c>
      <c r="AN1437" s="70">
        <v>511.0</v>
      </c>
      <c r="AO1437" s="70">
        <v>522.0</v>
      </c>
      <c r="AP1437" s="70">
        <v>11.0</v>
      </c>
      <c r="AQ1437" s="70">
        <v>4.0</v>
      </c>
      <c r="AR1437" s="75" t="s">
        <v>25446</v>
      </c>
      <c r="AS1437" s="70" t="s">
        <v>22525</v>
      </c>
      <c r="AU1437" s="70" t="s">
        <v>237</v>
      </c>
      <c r="AV1437" s="70" t="s">
        <v>25447</v>
      </c>
      <c r="AW1437" s="70" t="s">
        <v>25448</v>
      </c>
      <c r="AZ1437" s="70">
        <v>548.0</v>
      </c>
    </row>
    <row r="1438" ht="22.5" customHeight="1">
      <c r="A1438" s="70" t="str">
        <f t="shared" si="1"/>
        <v>Excluded</v>
      </c>
      <c r="B1438" s="70">
        <f t="shared" si="2"/>
        <v>0</v>
      </c>
      <c r="C1438" s="70">
        <v>0.0</v>
      </c>
      <c r="D1438" s="70">
        <v>0.0</v>
      </c>
      <c r="E1438" s="70">
        <v>0.0</v>
      </c>
      <c r="F1438" s="70">
        <v>0.0</v>
      </c>
      <c r="G1438" s="70">
        <v>0.0</v>
      </c>
      <c r="H1438" s="70" t="s">
        <v>16134</v>
      </c>
      <c r="I1438" s="70">
        <v>1731.0</v>
      </c>
      <c r="K1438" s="70" t="s">
        <v>10597</v>
      </c>
      <c r="L1438" s="70" t="s">
        <v>16133</v>
      </c>
      <c r="N1438" s="70" t="s">
        <v>4671</v>
      </c>
      <c r="P1438" s="76">
        <v>45526.0</v>
      </c>
      <c r="U1438" s="70" t="s">
        <v>239</v>
      </c>
      <c r="X1438" s="70" t="s">
        <v>16136</v>
      </c>
      <c r="Z1438" s="75" t="s">
        <v>16137</v>
      </c>
      <c r="AF1438" s="70" t="s">
        <v>239</v>
      </c>
      <c r="AZ1438" s="70">
        <v>1585.0</v>
      </c>
    </row>
    <row r="1439" ht="22.5" customHeight="1">
      <c r="A1439" s="70" t="str">
        <f t="shared" si="1"/>
        <v>Excluded</v>
      </c>
      <c r="B1439" s="70">
        <f t="shared" si="2"/>
        <v>0</v>
      </c>
      <c r="C1439" s="70">
        <v>0.0</v>
      </c>
      <c r="D1439" s="70">
        <v>0.0</v>
      </c>
      <c r="E1439" s="70">
        <v>0.0</v>
      </c>
      <c r="F1439" s="70">
        <v>0.0</v>
      </c>
      <c r="G1439" s="70">
        <v>0.0</v>
      </c>
      <c r="H1439" s="70" t="s">
        <v>24386</v>
      </c>
      <c r="I1439" s="70">
        <v>2667.0</v>
      </c>
      <c r="J1439" s="70" t="s">
        <v>24384</v>
      </c>
      <c r="K1439" s="70" t="s">
        <v>24385</v>
      </c>
      <c r="W1439" s="70" t="s">
        <v>30470</v>
      </c>
      <c r="AA1439" s="70" t="s">
        <v>24388</v>
      </c>
      <c r="AI1439" s="70" t="s">
        <v>24389</v>
      </c>
      <c r="AJ1439" s="70" t="s">
        <v>24390</v>
      </c>
      <c r="AK1439" s="70">
        <v>2024.0</v>
      </c>
      <c r="AL1439" s="70" t="s">
        <v>24391</v>
      </c>
      <c r="AN1439" s="70">
        <v>237.0</v>
      </c>
      <c r="AO1439" s="70">
        <v>243.0</v>
      </c>
      <c r="AP1439" s="70">
        <v>6.0</v>
      </c>
      <c r="AQ1439" s="70">
        <v>0.0</v>
      </c>
      <c r="AR1439" s="75" t="s">
        <v>24392</v>
      </c>
      <c r="AS1439" s="70" t="s">
        <v>22525</v>
      </c>
      <c r="AU1439" s="70" t="s">
        <v>237</v>
      </c>
      <c r="AV1439" s="70" t="s">
        <v>24393</v>
      </c>
      <c r="AW1439" s="70" t="s">
        <v>24394</v>
      </c>
      <c r="AX1439" s="70">
        <v>0.0</v>
      </c>
      <c r="AY1439" s="70" t="s">
        <v>24</v>
      </c>
      <c r="AZ1439" s="70">
        <v>2634.0</v>
      </c>
    </row>
    <row r="1440" ht="22.5" customHeight="1">
      <c r="A1440" s="70" t="str">
        <f t="shared" si="1"/>
        <v>Excluded</v>
      </c>
      <c r="B1440" s="70">
        <f t="shared" si="2"/>
        <v>0</v>
      </c>
      <c r="C1440" s="70">
        <v>0.0</v>
      </c>
      <c r="D1440" s="70">
        <v>0.0</v>
      </c>
      <c r="E1440" s="70">
        <v>0.0</v>
      </c>
      <c r="F1440" s="70">
        <v>0.0</v>
      </c>
      <c r="G1440" s="70">
        <v>0.0</v>
      </c>
      <c r="H1440" s="70" t="s">
        <v>6390</v>
      </c>
      <c r="I1440" s="70">
        <v>606.0</v>
      </c>
      <c r="J1440" s="70" t="s">
        <v>6386</v>
      </c>
      <c r="K1440" s="70" t="s">
        <v>6387</v>
      </c>
      <c r="L1440" s="70" t="s">
        <v>6388</v>
      </c>
      <c r="N1440" s="70" t="s">
        <v>6389</v>
      </c>
      <c r="P1440" s="76">
        <v>43506.0</v>
      </c>
      <c r="U1440" s="70" t="s">
        <v>239</v>
      </c>
      <c r="W1440" s="70" t="s">
        <v>6392</v>
      </c>
      <c r="X1440" s="70" t="s">
        <v>6393</v>
      </c>
      <c r="Z1440" s="75" t="s">
        <v>6394</v>
      </c>
      <c r="AA1440" s="70" t="s">
        <v>6395</v>
      </c>
      <c r="AC1440" s="70">
        <v>6.0</v>
      </c>
      <c r="AE1440" s="70">
        <v>19.0</v>
      </c>
      <c r="AF1440" s="70" t="s">
        <v>239</v>
      </c>
      <c r="AW1440" s="70" t="s">
        <v>6396</v>
      </c>
      <c r="AZ1440" s="70">
        <v>515.0</v>
      </c>
    </row>
    <row r="1441" ht="22.5" customHeight="1">
      <c r="A1441" s="70" t="str">
        <f t="shared" si="1"/>
        <v>Excluded</v>
      </c>
      <c r="B1441" s="70">
        <f t="shared" si="2"/>
        <v>0</v>
      </c>
      <c r="C1441" s="70">
        <v>0.0</v>
      </c>
      <c r="D1441" s="70">
        <v>0.0</v>
      </c>
      <c r="E1441" s="70">
        <v>0.0</v>
      </c>
      <c r="F1441" s="70">
        <v>0.0</v>
      </c>
      <c r="G1441" s="70">
        <v>0.0</v>
      </c>
      <c r="H1441" s="70" t="s">
        <v>15263</v>
      </c>
      <c r="I1441" s="70">
        <v>1592.0</v>
      </c>
      <c r="J1441" s="70" t="s">
        <v>15261</v>
      </c>
      <c r="K1441" s="70" t="s">
        <v>15262</v>
      </c>
      <c r="L1441" s="70" t="s">
        <v>13800</v>
      </c>
      <c r="P1441" s="76">
        <v>45314.0</v>
      </c>
      <c r="U1441" s="70" t="s">
        <v>239</v>
      </c>
      <c r="W1441" s="70" t="s">
        <v>15265</v>
      </c>
      <c r="X1441" s="70" t="s">
        <v>13804</v>
      </c>
      <c r="Z1441" s="75" t="s">
        <v>15266</v>
      </c>
      <c r="AA1441" s="70" t="s">
        <v>15267</v>
      </c>
      <c r="AE1441" s="70">
        <v>9.0</v>
      </c>
      <c r="AF1441" s="70" t="s">
        <v>239</v>
      </c>
      <c r="AW1441" s="70" t="s">
        <v>15268</v>
      </c>
      <c r="AX1441" s="70">
        <v>0.0</v>
      </c>
      <c r="AY1441" s="70" t="s">
        <v>24</v>
      </c>
      <c r="AZ1441" s="70">
        <v>2979.0</v>
      </c>
    </row>
    <row r="1442" ht="22.5" customHeight="1">
      <c r="A1442" s="70" t="str">
        <f t="shared" si="1"/>
        <v>Excluded</v>
      </c>
      <c r="B1442" s="70">
        <f t="shared" si="2"/>
        <v>0</v>
      </c>
      <c r="C1442" s="70">
        <v>0.0</v>
      </c>
      <c r="D1442" s="70">
        <v>0.0</v>
      </c>
      <c r="E1442" s="70">
        <v>0.0</v>
      </c>
      <c r="F1442" s="70">
        <v>0.0</v>
      </c>
      <c r="G1442" s="70">
        <v>0.0</v>
      </c>
      <c r="H1442" s="70" t="s">
        <v>13801</v>
      </c>
      <c r="I1442" s="70">
        <v>1437.0</v>
      </c>
      <c r="J1442" s="70" t="s">
        <v>13798</v>
      </c>
      <c r="K1442" s="70" t="s">
        <v>13799</v>
      </c>
      <c r="L1442" s="70" t="s">
        <v>13800</v>
      </c>
      <c r="P1442" s="76">
        <v>45314.0</v>
      </c>
      <c r="U1442" s="70" t="s">
        <v>239</v>
      </c>
      <c r="W1442" s="70" t="s">
        <v>13803</v>
      </c>
      <c r="X1442" s="70" t="s">
        <v>13804</v>
      </c>
      <c r="Z1442" s="75" t="s">
        <v>13805</v>
      </c>
      <c r="AA1442" s="70" t="s">
        <v>13806</v>
      </c>
      <c r="AE1442" s="70">
        <v>22.0</v>
      </c>
      <c r="AF1442" s="70" t="s">
        <v>239</v>
      </c>
      <c r="AW1442" s="70" t="s">
        <v>13807</v>
      </c>
      <c r="AZ1442" s="70">
        <v>631.0</v>
      </c>
    </row>
    <row r="1443" ht="22.5" customHeight="1">
      <c r="A1443" s="70" t="str">
        <f t="shared" si="1"/>
        <v>Excluded</v>
      </c>
      <c r="B1443" s="70">
        <f t="shared" si="2"/>
        <v>0</v>
      </c>
      <c r="C1443" s="70">
        <v>0.0</v>
      </c>
      <c r="D1443" s="70">
        <v>0.0</v>
      </c>
      <c r="E1443" s="70">
        <v>0.0</v>
      </c>
      <c r="F1443" s="70">
        <v>0.0</v>
      </c>
      <c r="G1443" s="70">
        <v>0.0</v>
      </c>
      <c r="H1443" s="70" t="s">
        <v>14775</v>
      </c>
      <c r="I1443" s="70">
        <v>1540.0</v>
      </c>
      <c r="J1443" s="70" t="s">
        <v>14772</v>
      </c>
      <c r="K1443" s="70" t="s">
        <v>14773</v>
      </c>
      <c r="L1443" s="70" t="s">
        <v>14774</v>
      </c>
      <c r="P1443" s="76">
        <v>45491.0</v>
      </c>
      <c r="U1443" s="70" t="s">
        <v>239</v>
      </c>
      <c r="W1443" s="70" t="s">
        <v>14777</v>
      </c>
      <c r="X1443" s="70" t="s">
        <v>14778</v>
      </c>
      <c r="Z1443" s="75" t="s">
        <v>14779</v>
      </c>
      <c r="AA1443" s="70" t="s">
        <v>14780</v>
      </c>
      <c r="AE1443" s="70">
        <v>21.0</v>
      </c>
      <c r="AF1443" s="70" t="s">
        <v>239</v>
      </c>
      <c r="AW1443" s="70" t="s">
        <v>14781</v>
      </c>
      <c r="AX1443" s="70">
        <v>0.0</v>
      </c>
      <c r="AY1443" s="70" t="s">
        <v>24</v>
      </c>
      <c r="AZ1443" s="70">
        <v>2993.0</v>
      </c>
    </row>
    <row r="1444" ht="22.5" customHeight="1">
      <c r="A1444" s="70" t="str">
        <f t="shared" si="1"/>
        <v>Excluded</v>
      </c>
      <c r="B1444" s="70">
        <f t="shared" si="2"/>
        <v>0</v>
      </c>
      <c r="C1444" s="70">
        <v>0.0</v>
      </c>
      <c r="D1444" s="70">
        <v>0.0</v>
      </c>
      <c r="E1444" s="70">
        <v>0.0</v>
      </c>
      <c r="F1444" s="70">
        <v>0.0</v>
      </c>
      <c r="G1444" s="70">
        <v>0.0</v>
      </c>
      <c r="H1444" s="70" t="s">
        <v>13835</v>
      </c>
      <c r="I1444" s="70">
        <v>1440.0</v>
      </c>
      <c r="J1444" s="70" t="s">
        <v>30471</v>
      </c>
      <c r="K1444" s="70" t="s">
        <v>13832</v>
      </c>
      <c r="L1444" s="70" t="s">
        <v>13833</v>
      </c>
      <c r="N1444" s="70" t="s">
        <v>13834</v>
      </c>
      <c r="P1444" s="76">
        <v>45644.0</v>
      </c>
      <c r="U1444" s="70" t="s">
        <v>239</v>
      </c>
      <c r="W1444" s="70" t="s">
        <v>13837</v>
      </c>
      <c r="X1444" s="70" t="s">
        <v>13838</v>
      </c>
      <c r="Z1444" s="75" t="s">
        <v>13839</v>
      </c>
      <c r="AA1444" s="70" t="s">
        <v>13840</v>
      </c>
      <c r="AE1444" s="70">
        <v>32.0</v>
      </c>
      <c r="AF1444" s="70" t="s">
        <v>239</v>
      </c>
      <c r="AW1444" s="70" t="s">
        <v>13841</v>
      </c>
      <c r="AX1444" s="70">
        <v>0.0</v>
      </c>
      <c r="AY1444" s="70" t="s">
        <v>24</v>
      </c>
      <c r="AZ1444" s="70">
        <v>1725.0</v>
      </c>
    </row>
    <row r="1445" ht="22.5" customHeight="1">
      <c r="A1445" s="70" t="str">
        <f t="shared" si="1"/>
        <v>Excluded</v>
      </c>
      <c r="B1445" s="70">
        <f t="shared" si="2"/>
        <v>0</v>
      </c>
      <c r="C1445" s="70">
        <v>0.0</v>
      </c>
      <c r="D1445" s="70">
        <v>0.0</v>
      </c>
      <c r="E1445" s="70">
        <v>0.0</v>
      </c>
      <c r="F1445" s="70">
        <v>0.0</v>
      </c>
      <c r="G1445" s="70">
        <v>0.0</v>
      </c>
      <c r="H1445" s="70" t="s">
        <v>15643</v>
      </c>
      <c r="I1445" s="70">
        <v>1633.0</v>
      </c>
      <c r="J1445" s="70" t="s">
        <v>15641</v>
      </c>
      <c r="K1445" s="70" t="s">
        <v>15642</v>
      </c>
      <c r="L1445" s="70" t="s">
        <v>13833</v>
      </c>
      <c r="N1445" s="70" t="s">
        <v>13834</v>
      </c>
      <c r="P1445" s="76">
        <v>45644.0</v>
      </c>
      <c r="U1445" s="70" t="s">
        <v>239</v>
      </c>
      <c r="W1445" s="70" t="s">
        <v>15645</v>
      </c>
      <c r="X1445" s="70" t="s">
        <v>13838</v>
      </c>
      <c r="Y1445" s="70" t="s">
        <v>30472</v>
      </c>
      <c r="Z1445" s="75" t="s">
        <v>15647</v>
      </c>
      <c r="AA1445" s="70" t="s">
        <v>15648</v>
      </c>
      <c r="AE1445" s="70">
        <v>22.0</v>
      </c>
      <c r="AF1445" s="70" t="s">
        <v>239</v>
      </c>
      <c r="AW1445" s="70" t="s">
        <v>15649</v>
      </c>
      <c r="AZ1445" s="70">
        <v>1067.0</v>
      </c>
    </row>
    <row r="1446" ht="22.5" customHeight="1">
      <c r="A1446" s="70" t="str">
        <f t="shared" si="1"/>
        <v>Excluded</v>
      </c>
      <c r="B1446" s="70">
        <f t="shared" si="2"/>
        <v>0</v>
      </c>
      <c r="C1446" s="70">
        <v>0.0</v>
      </c>
      <c r="D1446" s="70">
        <v>0.0</v>
      </c>
      <c r="E1446" s="70">
        <v>0.0</v>
      </c>
      <c r="F1446" s="70">
        <v>0.0</v>
      </c>
      <c r="G1446" s="70">
        <v>0.0</v>
      </c>
      <c r="H1446" s="70" t="s">
        <v>6465</v>
      </c>
      <c r="I1446" s="70">
        <v>614.0</v>
      </c>
      <c r="J1446" s="70" t="s">
        <v>6462</v>
      </c>
      <c r="K1446" s="70" t="s">
        <v>6463</v>
      </c>
      <c r="L1446" s="70" t="s">
        <v>6464</v>
      </c>
      <c r="P1446" s="76">
        <v>44664.0</v>
      </c>
      <c r="U1446" s="70" t="s">
        <v>239</v>
      </c>
      <c r="W1446" s="70" t="s">
        <v>6467</v>
      </c>
      <c r="X1446" s="70" t="s">
        <v>6468</v>
      </c>
      <c r="Z1446" s="75" t="s">
        <v>6469</v>
      </c>
      <c r="AA1446" s="70" t="s">
        <v>6470</v>
      </c>
      <c r="AC1446" s="70">
        <v>6.0</v>
      </c>
      <c r="AE1446" s="70">
        <v>30.0</v>
      </c>
      <c r="AF1446" s="70" t="s">
        <v>239</v>
      </c>
      <c r="AW1446" s="70" t="s">
        <v>6471</v>
      </c>
      <c r="AX1446" s="70">
        <v>0.0</v>
      </c>
      <c r="AY1446" s="70" t="s">
        <v>24</v>
      </c>
      <c r="AZ1446" s="70">
        <v>1803.0</v>
      </c>
    </row>
    <row r="1447" ht="22.5" customHeight="1">
      <c r="A1447" s="70" t="str">
        <f t="shared" si="1"/>
        <v>Excluded</v>
      </c>
      <c r="B1447" s="70">
        <f t="shared" si="2"/>
        <v>0</v>
      </c>
      <c r="C1447" s="70">
        <v>0.0</v>
      </c>
      <c r="D1447" s="70">
        <v>0.0</v>
      </c>
      <c r="E1447" s="70">
        <v>0.0</v>
      </c>
      <c r="F1447" s="70">
        <v>0.0</v>
      </c>
      <c r="G1447" s="70">
        <v>0.0</v>
      </c>
      <c r="H1447" s="70" t="s">
        <v>11203</v>
      </c>
      <c r="I1447" s="70">
        <v>1175.0</v>
      </c>
      <c r="J1447" s="70" t="s">
        <v>11200</v>
      </c>
      <c r="K1447" s="70" t="s">
        <v>11201</v>
      </c>
      <c r="L1447" s="70" t="s">
        <v>11202</v>
      </c>
      <c r="P1447" s="76">
        <v>45154.0</v>
      </c>
      <c r="U1447" s="70" t="s">
        <v>239</v>
      </c>
      <c r="W1447" s="70" t="s">
        <v>11205</v>
      </c>
      <c r="X1447" s="70" t="s">
        <v>11206</v>
      </c>
      <c r="Z1447" s="75" t="s">
        <v>11207</v>
      </c>
      <c r="AA1447" s="70" t="s">
        <v>11208</v>
      </c>
      <c r="AC1447" s="70">
        <v>5.0</v>
      </c>
      <c r="AE1447" s="70">
        <v>33.0</v>
      </c>
      <c r="AF1447" s="70" t="s">
        <v>239</v>
      </c>
      <c r="AW1447" s="70" t="s">
        <v>11209</v>
      </c>
      <c r="AZ1447" s="70">
        <v>195.0</v>
      </c>
    </row>
    <row r="1448" ht="22.5" customHeight="1">
      <c r="A1448" s="70" t="str">
        <f t="shared" si="1"/>
        <v>Excluded</v>
      </c>
      <c r="B1448" s="70">
        <f t="shared" si="2"/>
        <v>0</v>
      </c>
      <c r="C1448" s="70">
        <v>0.0</v>
      </c>
      <c r="D1448" s="70">
        <v>0.0</v>
      </c>
      <c r="E1448" s="70">
        <v>0.0</v>
      </c>
      <c r="F1448" s="70">
        <v>0.0</v>
      </c>
      <c r="G1448" s="70">
        <v>0.0</v>
      </c>
      <c r="H1448" s="70" t="s">
        <v>15150</v>
      </c>
      <c r="I1448" s="70">
        <v>1580.0</v>
      </c>
      <c r="J1448" s="70" t="s">
        <v>15148</v>
      </c>
      <c r="K1448" s="70" t="s">
        <v>15149</v>
      </c>
      <c r="L1448" s="70" t="s">
        <v>11202</v>
      </c>
      <c r="P1448" s="76">
        <v>45154.0</v>
      </c>
      <c r="U1448" s="70" t="s">
        <v>239</v>
      </c>
      <c r="W1448" s="70" t="s">
        <v>15152</v>
      </c>
      <c r="X1448" s="70" t="s">
        <v>11206</v>
      </c>
      <c r="Z1448" s="75" t="s">
        <v>15153</v>
      </c>
      <c r="AA1448" s="70" t="s">
        <v>15154</v>
      </c>
      <c r="AE1448" s="70">
        <v>15.0</v>
      </c>
      <c r="AF1448" s="70" t="s">
        <v>239</v>
      </c>
      <c r="AW1448" s="70" t="s">
        <v>15155</v>
      </c>
      <c r="AX1448" s="70">
        <v>0.0</v>
      </c>
      <c r="AY1448" s="70" t="s">
        <v>24</v>
      </c>
      <c r="AZ1448" s="70">
        <v>3000.0</v>
      </c>
    </row>
    <row r="1449" ht="22.5" customHeight="1">
      <c r="A1449" s="70" t="str">
        <f t="shared" si="1"/>
        <v>Excluded</v>
      </c>
      <c r="B1449" s="70">
        <f t="shared" si="2"/>
        <v>0</v>
      </c>
      <c r="C1449" s="70">
        <v>0.0</v>
      </c>
      <c r="D1449" s="70">
        <v>0.0</v>
      </c>
      <c r="E1449" s="70">
        <v>0.0</v>
      </c>
      <c r="F1449" s="70">
        <v>0.0</v>
      </c>
      <c r="G1449" s="70">
        <v>0.0</v>
      </c>
      <c r="H1449" s="70" t="s">
        <v>10739</v>
      </c>
      <c r="I1449" s="70">
        <v>1076.0</v>
      </c>
      <c r="K1449" s="70" t="s">
        <v>10597</v>
      </c>
      <c r="L1449" s="70" t="s">
        <v>10738</v>
      </c>
      <c r="P1449" s="76">
        <v>44925.0</v>
      </c>
      <c r="U1449" s="70" t="s">
        <v>239</v>
      </c>
      <c r="W1449" s="70" t="s">
        <v>10710</v>
      </c>
      <c r="X1449" s="70" t="s">
        <v>10740</v>
      </c>
      <c r="Z1449" s="75" t="s">
        <v>10741</v>
      </c>
      <c r="AF1449" s="70" t="s">
        <v>239</v>
      </c>
      <c r="AZ1449" s="70">
        <v>1525.0</v>
      </c>
    </row>
    <row r="1450" ht="22.5" customHeight="1">
      <c r="A1450" s="70" t="str">
        <f t="shared" si="1"/>
        <v>Excluded</v>
      </c>
      <c r="B1450" s="70">
        <f t="shared" si="2"/>
        <v>0</v>
      </c>
      <c r="C1450" s="70">
        <v>0.0</v>
      </c>
      <c r="D1450" s="70">
        <v>0.0</v>
      </c>
      <c r="E1450" s="70">
        <v>0.0</v>
      </c>
      <c r="F1450" s="70">
        <v>0.0</v>
      </c>
      <c r="G1450" s="70">
        <v>0.0</v>
      </c>
      <c r="H1450" s="70" t="s">
        <v>10928</v>
      </c>
      <c r="I1450" s="70">
        <v>1126.0</v>
      </c>
      <c r="K1450" s="70" t="s">
        <v>10927</v>
      </c>
      <c r="L1450" s="70" t="s">
        <v>10738</v>
      </c>
      <c r="P1450" s="76">
        <v>44925.0</v>
      </c>
      <c r="U1450" s="70" t="s">
        <v>239</v>
      </c>
      <c r="W1450" s="70" t="s">
        <v>10929</v>
      </c>
      <c r="X1450" s="70" t="s">
        <v>10740</v>
      </c>
      <c r="Z1450" s="75" t="s">
        <v>10930</v>
      </c>
      <c r="AF1450" s="70" t="s">
        <v>239</v>
      </c>
      <c r="AZ1450" s="70">
        <v>1508.0</v>
      </c>
    </row>
    <row r="1451" ht="22.5" customHeight="1">
      <c r="A1451" s="70" t="str">
        <f t="shared" si="1"/>
        <v>Excluded</v>
      </c>
      <c r="B1451" s="70">
        <f t="shared" si="2"/>
        <v>0</v>
      </c>
      <c r="C1451" s="70">
        <v>0.0</v>
      </c>
      <c r="D1451" s="70">
        <v>0.0</v>
      </c>
      <c r="E1451" s="70">
        <v>0.0</v>
      </c>
      <c r="F1451" s="70">
        <v>0.0</v>
      </c>
      <c r="G1451" s="70">
        <v>0.0</v>
      </c>
      <c r="H1451" s="70" t="s">
        <v>7438</v>
      </c>
      <c r="I1451" s="70">
        <v>714.0</v>
      </c>
      <c r="J1451" s="70" t="s">
        <v>7435</v>
      </c>
      <c r="K1451" s="70" t="s">
        <v>7436</v>
      </c>
      <c r="L1451" s="70" t="s">
        <v>7437</v>
      </c>
      <c r="P1451" s="76">
        <v>44603.0</v>
      </c>
      <c r="U1451" s="70" t="s">
        <v>239</v>
      </c>
      <c r="W1451" s="70" t="s">
        <v>7440</v>
      </c>
      <c r="X1451" s="70" t="s">
        <v>7441</v>
      </c>
      <c r="Z1451" s="75" t="s">
        <v>7442</v>
      </c>
      <c r="AA1451" s="70" t="s">
        <v>7443</v>
      </c>
      <c r="AC1451" s="70">
        <v>3.0</v>
      </c>
      <c r="AE1451" s="70">
        <v>41.0</v>
      </c>
      <c r="AF1451" s="70" t="s">
        <v>239</v>
      </c>
      <c r="AW1451" s="70" t="s">
        <v>7444</v>
      </c>
      <c r="AX1451" s="70">
        <v>0.0</v>
      </c>
      <c r="AY1451" s="70" t="s">
        <v>24</v>
      </c>
      <c r="AZ1451" s="70">
        <v>1815.0</v>
      </c>
    </row>
    <row r="1452" ht="22.5" customHeight="1">
      <c r="A1452" s="70" t="str">
        <f t="shared" si="1"/>
        <v>Excluded</v>
      </c>
      <c r="B1452" s="70">
        <f t="shared" si="2"/>
        <v>0</v>
      </c>
      <c r="C1452" s="70">
        <v>0.0</v>
      </c>
      <c r="D1452" s="70">
        <v>0.0</v>
      </c>
      <c r="E1452" s="70">
        <v>0.0</v>
      </c>
      <c r="F1452" s="70">
        <v>0.0</v>
      </c>
      <c r="G1452" s="70">
        <v>0.0</v>
      </c>
      <c r="H1452" s="70" t="s">
        <v>10932</v>
      </c>
      <c r="I1452" s="70">
        <v>1127.0</v>
      </c>
      <c r="K1452" s="70" t="s">
        <v>10931</v>
      </c>
      <c r="L1452" s="70" t="s">
        <v>9553</v>
      </c>
      <c r="P1452" s="77">
        <v>44813.0</v>
      </c>
      <c r="U1452" s="70" t="s">
        <v>239</v>
      </c>
      <c r="W1452" s="70" t="s">
        <v>10933</v>
      </c>
      <c r="X1452" s="70" t="s">
        <v>9557</v>
      </c>
      <c r="Z1452" s="75" t="s">
        <v>10934</v>
      </c>
      <c r="AF1452" s="70" t="s">
        <v>239</v>
      </c>
      <c r="AZ1452" s="70">
        <v>1497.0</v>
      </c>
    </row>
    <row r="1453" ht="22.5" customHeight="1">
      <c r="A1453" s="70" t="str">
        <f t="shared" si="1"/>
        <v>Excluded</v>
      </c>
      <c r="B1453" s="70">
        <f t="shared" si="2"/>
        <v>0</v>
      </c>
      <c r="C1453" s="70">
        <v>0.0</v>
      </c>
      <c r="D1453" s="70">
        <v>0.0</v>
      </c>
      <c r="E1453" s="70">
        <v>0.0</v>
      </c>
      <c r="F1453" s="70">
        <v>0.0</v>
      </c>
      <c r="G1453" s="70">
        <v>0.0</v>
      </c>
      <c r="H1453" s="70" t="s">
        <v>10795</v>
      </c>
      <c r="I1453" s="70">
        <v>1091.0</v>
      </c>
      <c r="K1453" s="70" t="s">
        <v>10794</v>
      </c>
      <c r="L1453" s="70" t="s">
        <v>9553</v>
      </c>
      <c r="P1453" s="77">
        <v>44813.0</v>
      </c>
      <c r="U1453" s="70" t="s">
        <v>239</v>
      </c>
      <c r="W1453" s="70" t="s">
        <v>10796</v>
      </c>
      <c r="X1453" s="70" t="s">
        <v>9557</v>
      </c>
      <c r="Z1453" s="75" t="s">
        <v>10797</v>
      </c>
      <c r="AF1453" s="70" t="s">
        <v>239</v>
      </c>
      <c r="AZ1453" s="70">
        <v>1506.0</v>
      </c>
    </row>
    <row r="1454" ht="22.5" customHeight="1">
      <c r="A1454" s="70" t="str">
        <f t="shared" si="1"/>
        <v>Excluded</v>
      </c>
      <c r="B1454" s="70">
        <f t="shared" si="2"/>
        <v>0</v>
      </c>
      <c r="C1454" s="70">
        <v>0.0</v>
      </c>
      <c r="D1454" s="70">
        <v>0.0</v>
      </c>
      <c r="E1454" s="70">
        <v>0.0</v>
      </c>
      <c r="F1454" s="70">
        <v>0.0</v>
      </c>
      <c r="G1454" s="70">
        <v>0.0</v>
      </c>
      <c r="H1454" s="70" t="s">
        <v>9554</v>
      </c>
      <c r="I1454" s="70">
        <v>934.0</v>
      </c>
      <c r="J1454" s="70" t="s">
        <v>9551</v>
      </c>
      <c r="K1454" s="70" t="s">
        <v>9552</v>
      </c>
      <c r="L1454" s="70" t="s">
        <v>9553</v>
      </c>
      <c r="P1454" s="77">
        <v>44813.0</v>
      </c>
      <c r="U1454" s="70" t="s">
        <v>239</v>
      </c>
      <c r="W1454" s="70" t="s">
        <v>30473</v>
      </c>
      <c r="X1454" s="70" t="s">
        <v>9557</v>
      </c>
      <c r="Z1454" s="75" t="s">
        <v>9558</v>
      </c>
      <c r="AA1454" s="70" t="s">
        <v>9559</v>
      </c>
      <c r="AE1454" s="70">
        <v>26.0</v>
      </c>
      <c r="AF1454" s="70" t="s">
        <v>239</v>
      </c>
      <c r="AW1454" s="70" t="s">
        <v>9560</v>
      </c>
      <c r="AZ1454" s="70">
        <v>1187.0</v>
      </c>
    </row>
    <row r="1455" ht="22.5" customHeight="1">
      <c r="A1455" s="70" t="str">
        <f t="shared" si="1"/>
        <v>Excluded</v>
      </c>
      <c r="B1455" s="70">
        <f t="shared" si="2"/>
        <v>0</v>
      </c>
      <c r="C1455" s="70">
        <v>0.0</v>
      </c>
      <c r="D1455" s="70">
        <v>0.0</v>
      </c>
      <c r="E1455" s="70">
        <v>0.0</v>
      </c>
      <c r="F1455" s="70">
        <v>0.0</v>
      </c>
      <c r="G1455" s="70">
        <v>0.0</v>
      </c>
      <c r="H1455" s="70" t="s">
        <v>11611</v>
      </c>
      <c r="I1455" s="70">
        <v>1216.0</v>
      </c>
      <c r="J1455" s="70" t="s">
        <v>11608</v>
      </c>
      <c r="K1455" s="70" t="s">
        <v>11609</v>
      </c>
      <c r="L1455" s="70" t="s">
        <v>11610</v>
      </c>
      <c r="P1455" s="76">
        <v>45313.0</v>
      </c>
      <c r="U1455" s="70" t="s">
        <v>239</v>
      </c>
      <c r="W1455" s="70" t="s">
        <v>30474</v>
      </c>
      <c r="X1455" s="70" t="s">
        <v>11614</v>
      </c>
      <c r="Z1455" s="75" t="s">
        <v>11615</v>
      </c>
      <c r="AA1455" s="70" t="s">
        <v>11616</v>
      </c>
      <c r="AC1455" s="70">
        <v>2.0</v>
      </c>
      <c r="AE1455" s="70">
        <v>23.0</v>
      </c>
      <c r="AF1455" s="70" t="s">
        <v>239</v>
      </c>
      <c r="AW1455" s="70" t="s">
        <v>11617</v>
      </c>
      <c r="AZ1455" s="70">
        <v>545.0</v>
      </c>
    </row>
    <row r="1456" ht="22.5" customHeight="1">
      <c r="A1456" s="70" t="str">
        <f t="shared" si="1"/>
        <v>Excluded</v>
      </c>
      <c r="B1456" s="70">
        <f t="shared" si="2"/>
        <v>0</v>
      </c>
      <c r="C1456" s="70">
        <v>0.0</v>
      </c>
      <c r="D1456" s="70">
        <v>0.0</v>
      </c>
      <c r="E1456" s="70">
        <v>0.0</v>
      </c>
      <c r="F1456" s="70">
        <v>0.0</v>
      </c>
      <c r="G1456" s="70">
        <v>0.0</v>
      </c>
      <c r="H1456" s="70" t="s">
        <v>10197</v>
      </c>
      <c r="I1456" s="70">
        <v>1001.0</v>
      </c>
      <c r="J1456" s="70" t="s">
        <v>10194</v>
      </c>
      <c r="K1456" s="70" t="s">
        <v>10195</v>
      </c>
      <c r="L1456" s="70" t="s">
        <v>10196</v>
      </c>
      <c r="P1456" s="77">
        <v>44928.0</v>
      </c>
      <c r="U1456" s="70" t="s">
        <v>239</v>
      </c>
      <c r="W1456" s="70" t="s">
        <v>10199</v>
      </c>
      <c r="X1456" s="70" t="s">
        <v>10200</v>
      </c>
      <c r="Z1456" s="75" t="s">
        <v>10201</v>
      </c>
      <c r="AA1456" s="70" t="s">
        <v>10202</v>
      </c>
      <c r="AE1456" s="70">
        <v>6.0</v>
      </c>
      <c r="AF1456" s="70" t="s">
        <v>239</v>
      </c>
      <c r="AW1456" s="70" t="s">
        <v>10203</v>
      </c>
      <c r="AX1456" s="70">
        <v>0.0</v>
      </c>
      <c r="AY1456" s="70" t="s">
        <v>24</v>
      </c>
      <c r="AZ1456" s="70">
        <v>2846.0</v>
      </c>
    </row>
    <row r="1457" ht="22.5" customHeight="1">
      <c r="A1457" s="70" t="str">
        <f t="shared" si="1"/>
        <v>Excluded</v>
      </c>
      <c r="B1457" s="70">
        <f t="shared" si="2"/>
        <v>0</v>
      </c>
      <c r="C1457" s="70">
        <v>0.0</v>
      </c>
      <c r="D1457" s="70">
        <v>0.0</v>
      </c>
      <c r="E1457" s="70">
        <v>0.0</v>
      </c>
      <c r="F1457" s="70">
        <v>0.0</v>
      </c>
      <c r="G1457" s="70">
        <v>0.0</v>
      </c>
      <c r="H1457" s="70" t="s">
        <v>13528</v>
      </c>
      <c r="I1457" s="70">
        <v>1409.0</v>
      </c>
      <c r="J1457" s="70" t="s">
        <v>13525</v>
      </c>
      <c r="K1457" s="70" t="s">
        <v>13526</v>
      </c>
      <c r="L1457" s="70" t="s">
        <v>13527</v>
      </c>
      <c r="P1457" s="76">
        <v>45673.0</v>
      </c>
      <c r="U1457" s="70" t="s">
        <v>239</v>
      </c>
      <c r="W1457" s="70" t="s">
        <v>13530</v>
      </c>
      <c r="X1457" s="70" t="s">
        <v>13531</v>
      </c>
      <c r="Z1457" s="75" t="s">
        <v>13532</v>
      </c>
      <c r="AA1457" s="70" t="s">
        <v>13533</v>
      </c>
      <c r="AE1457" s="70">
        <v>12.0</v>
      </c>
      <c r="AF1457" s="70" t="s">
        <v>239</v>
      </c>
      <c r="AW1457" s="70" t="s">
        <v>13534</v>
      </c>
      <c r="AX1457" s="70">
        <v>0.0</v>
      </c>
      <c r="AY1457" s="70" t="s">
        <v>24</v>
      </c>
      <c r="AZ1457" s="70">
        <v>2190.0</v>
      </c>
    </row>
    <row r="1458" ht="22.5" customHeight="1">
      <c r="A1458" s="70" t="str">
        <f t="shared" si="1"/>
        <v>Excluded</v>
      </c>
      <c r="B1458" s="70">
        <f t="shared" si="2"/>
        <v>0</v>
      </c>
      <c r="C1458" s="70">
        <v>0.0</v>
      </c>
      <c r="D1458" s="70">
        <v>0.0</v>
      </c>
      <c r="E1458" s="70">
        <v>0.0</v>
      </c>
      <c r="F1458" s="70">
        <v>0.0</v>
      </c>
      <c r="G1458" s="70">
        <v>0.0</v>
      </c>
      <c r="H1458" s="70" t="s">
        <v>6170</v>
      </c>
      <c r="I1458" s="70">
        <v>584.0</v>
      </c>
      <c r="J1458" s="70" t="s">
        <v>30475</v>
      </c>
      <c r="K1458" s="70" t="s">
        <v>6167</v>
      </c>
      <c r="L1458" s="70" t="s">
        <v>6168</v>
      </c>
      <c r="N1458" s="70" t="s">
        <v>6169</v>
      </c>
      <c r="P1458" s="77">
        <v>43258.0</v>
      </c>
      <c r="U1458" s="70" t="s">
        <v>239</v>
      </c>
      <c r="W1458" s="70" t="s">
        <v>6172</v>
      </c>
      <c r="X1458" s="70" t="s">
        <v>6173</v>
      </c>
      <c r="Z1458" s="75" t="s">
        <v>6174</v>
      </c>
      <c r="AA1458" s="70" t="s">
        <v>6175</v>
      </c>
      <c r="AC1458" s="70">
        <v>7.0</v>
      </c>
      <c r="AE1458" s="70">
        <v>55.0</v>
      </c>
      <c r="AF1458" s="70" t="s">
        <v>239</v>
      </c>
      <c r="AW1458" s="70" t="s">
        <v>6176</v>
      </c>
      <c r="AZ1458" s="70">
        <v>1179.0</v>
      </c>
    </row>
    <row r="1459" ht="22.5" customHeight="1">
      <c r="A1459" s="70" t="str">
        <f t="shared" si="1"/>
        <v>Excluded</v>
      </c>
      <c r="B1459" s="70">
        <f t="shared" si="2"/>
        <v>0</v>
      </c>
      <c r="C1459" s="70">
        <v>0.0</v>
      </c>
      <c r="D1459" s="70">
        <v>0.0</v>
      </c>
      <c r="E1459" s="70">
        <v>0.0</v>
      </c>
      <c r="F1459" s="70">
        <v>0.0</v>
      </c>
      <c r="G1459" s="70">
        <v>0.0</v>
      </c>
      <c r="H1459" s="70" t="s">
        <v>16346</v>
      </c>
      <c r="I1459" s="70">
        <v>1785.0</v>
      </c>
      <c r="K1459" s="70" t="s">
        <v>16344</v>
      </c>
      <c r="L1459" s="70" t="s">
        <v>16345</v>
      </c>
      <c r="P1459" s="77">
        <v>45600.0</v>
      </c>
      <c r="U1459" s="70" t="s">
        <v>239</v>
      </c>
      <c r="X1459" s="70" t="s">
        <v>16347</v>
      </c>
      <c r="Z1459" s="75" t="s">
        <v>16348</v>
      </c>
      <c r="AF1459" s="70" t="s">
        <v>239</v>
      </c>
      <c r="AZ1459" s="70">
        <v>1405.0</v>
      </c>
    </row>
    <row r="1460" ht="22.5" customHeight="1">
      <c r="A1460" s="70" t="str">
        <f t="shared" si="1"/>
        <v>Excluded</v>
      </c>
      <c r="B1460" s="70">
        <f t="shared" si="2"/>
        <v>0</v>
      </c>
      <c r="C1460" s="70">
        <v>0.0</v>
      </c>
      <c r="D1460" s="70">
        <v>0.0</v>
      </c>
      <c r="E1460" s="70">
        <v>0.0</v>
      </c>
      <c r="F1460" s="70">
        <v>0.0</v>
      </c>
      <c r="G1460" s="70">
        <v>0.0</v>
      </c>
      <c r="H1460" s="70" t="s">
        <v>9852</v>
      </c>
      <c r="I1460" s="70">
        <v>965.0</v>
      </c>
      <c r="J1460" s="70" t="s">
        <v>9848</v>
      </c>
      <c r="K1460" s="70" t="s">
        <v>9849</v>
      </c>
      <c r="L1460" s="70" t="s">
        <v>9850</v>
      </c>
      <c r="N1460" s="70" t="s">
        <v>9851</v>
      </c>
      <c r="P1460" s="76">
        <v>44525.0</v>
      </c>
      <c r="U1460" s="70" t="s">
        <v>239</v>
      </c>
      <c r="W1460" s="70" t="s">
        <v>9854</v>
      </c>
      <c r="X1460" s="70" t="s">
        <v>9855</v>
      </c>
      <c r="Z1460" s="75" t="s">
        <v>9856</v>
      </c>
      <c r="AA1460" s="70" t="s">
        <v>9857</v>
      </c>
      <c r="AE1460" s="70">
        <v>16.0</v>
      </c>
      <c r="AF1460" s="70" t="s">
        <v>239</v>
      </c>
      <c r="AW1460" s="70" t="s">
        <v>9858</v>
      </c>
      <c r="AZ1460" s="70">
        <v>872.0</v>
      </c>
    </row>
    <row r="1461" ht="22.5" customHeight="1">
      <c r="A1461" s="70" t="str">
        <f t="shared" si="1"/>
        <v>Excluded</v>
      </c>
      <c r="B1461" s="70">
        <f t="shared" si="2"/>
        <v>0</v>
      </c>
      <c r="C1461" s="70">
        <v>0.0</v>
      </c>
      <c r="D1461" s="70">
        <v>0.0</v>
      </c>
      <c r="E1461" s="70">
        <v>0.0</v>
      </c>
      <c r="F1461" s="70">
        <v>0.0</v>
      </c>
      <c r="G1461" s="70">
        <v>0.0</v>
      </c>
      <c r="H1461" s="70" t="s">
        <v>10974</v>
      </c>
      <c r="I1461" s="70">
        <v>1138.0</v>
      </c>
      <c r="K1461" s="70" t="s">
        <v>10618</v>
      </c>
      <c r="L1461" s="70" t="s">
        <v>10973</v>
      </c>
      <c r="P1461" s="77">
        <v>43867.0</v>
      </c>
      <c r="U1461" s="70" t="s">
        <v>239</v>
      </c>
      <c r="W1461" s="70" t="s">
        <v>10602</v>
      </c>
      <c r="X1461" s="70" t="s">
        <v>10975</v>
      </c>
      <c r="Z1461" s="75" t="s">
        <v>10976</v>
      </c>
      <c r="AF1461" s="70" t="s">
        <v>239</v>
      </c>
      <c r="AZ1461" s="70">
        <v>1614.0</v>
      </c>
    </row>
    <row r="1462" ht="22.5" customHeight="1">
      <c r="A1462" s="70" t="str">
        <f t="shared" si="1"/>
        <v>Excluded</v>
      </c>
      <c r="B1462" s="70">
        <f t="shared" si="2"/>
        <v>0</v>
      </c>
      <c r="C1462" s="70">
        <v>0.0</v>
      </c>
      <c r="D1462" s="70">
        <v>0.0</v>
      </c>
      <c r="E1462" s="70">
        <v>0.0</v>
      </c>
      <c r="F1462" s="70">
        <v>0.0</v>
      </c>
      <c r="G1462" s="70">
        <v>0.0</v>
      </c>
      <c r="H1462" s="70" t="s">
        <v>13482</v>
      </c>
      <c r="I1462" s="70">
        <v>1404.0</v>
      </c>
      <c r="J1462" s="70" t="s">
        <v>13479</v>
      </c>
      <c r="K1462" s="70" t="s">
        <v>13480</v>
      </c>
      <c r="L1462" s="70" t="s">
        <v>13481</v>
      </c>
      <c r="P1462" s="77">
        <v>45569.0</v>
      </c>
      <c r="U1462" s="70" t="s">
        <v>239</v>
      </c>
      <c r="W1462" s="70" t="s">
        <v>13484</v>
      </c>
      <c r="X1462" s="70" t="s">
        <v>13485</v>
      </c>
      <c r="Y1462" s="70" t="s">
        <v>30476</v>
      </c>
      <c r="Z1462" s="75" t="s">
        <v>13487</v>
      </c>
      <c r="AA1462" s="70" t="s">
        <v>13488</v>
      </c>
      <c r="AE1462" s="70">
        <v>18.0</v>
      </c>
      <c r="AF1462" s="70" t="s">
        <v>239</v>
      </c>
      <c r="AW1462" s="70" t="s">
        <v>13489</v>
      </c>
      <c r="AX1462" s="70">
        <v>0.0</v>
      </c>
      <c r="AY1462" s="70" t="s">
        <v>24</v>
      </c>
      <c r="AZ1462" s="70">
        <v>2399.0</v>
      </c>
    </row>
    <row r="1463" ht="22.5" customHeight="1">
      <c r="A1463" s="70" t="str">
        <f t="shared" si="1"/>
        <v>Excluded</v>
      </c>
      <c r="B1463" s="70">
        <f t="shared" si="2"/>
        <v>0</v>
      </c>
      <c r="C1463" s="70">
        <v>0.0</v>
      </c>
      <c r="D1463" s="70">
        <v>0.0</v>
      </c>
      <c r="E1463" s="70">
        <v>0.0</v>
      </c>
      <c r="F1463" s="70">
        <v>0.0</v>
      </c>
      <c r="G1463" s="70">
        <v>0.0</v>
      </c>
      <c r="H1463" s="70" t="s">
        <v>15167</v>
      </c>
      <c r="I1463" s="70">
        <v>1582.0</v>
      </c>
      <c r="J1463" s="70" t="s">
        <v>15164</v>
      </c>
      <c r="K1463" s="70" t="s">
        <v>15165</v>
      </c>
      <c r="L1463" s="70" t="s">
        <v>15166</v>
      </c>
      <c r="P1463" s="76">
        <v>45733.0</v>
      </c>
      <c r="U1463" s="70" t="s">
        <v>239</v>
      </c>
      <c r="W1463" s="70" t="s">
        <v>15169</v>
      </c>
      <c r="X1463" s="70" t="s">
        <v>15170</v>
      </c>
      <c r="Z1463" s="75" t="s">
        <v>15171</v>
      </c>
      <c r="AA1463" s="70" t="s">
        <v>15172</v>
      </c>
      <c r="AE1463" s="70">
        <v>6.0</v>
      </c>
      <c r="AF1463" s="70" t="s">
        <v>239</v>
      </c>
      <c r="AW1463" s="70" t="s">
        <v>15173</v>
      </c>
      <c r="AZ1463" s="70">
        <v>320.0</v>
      </c>
    </row>
    <row r="1464" ht="22.5" customHeight="1">
      <c r="A1464" s="70" t="str">
        <f t="shared" si="1"/>
        <v>Excluded</v>
      </c>
      <c r="B1464" s="70">
        <f t="shared" si="2"/>
        <v>0</v>
      </c>
      <c r="C1464" s="70">
        <v>0.0</v>
      </c>
      <c r="D1464" s="70">
        <v>0.0</v>
      </c>
      <c r="E1464" s="70">
        <v>0.0</v>
      </c>
      <c r="F1464" s="70">
        <v>0.0</v>
      </c>
      <c r="G1464" s="70">
        <v>0.0</v>
      </c>
      <c r="H1464" s="70" t="s">
        <v>14977</v>
      </c>
      <c r="I1464" s="70">
        <v>1561.0</v>
      </c>
      <c r="J1464" s="70" t="s">
        <v>14974</v>
      </c>
      <c r="K1464" s="70" t="s">
        <v>14975</v>
      </c>
      <c r="L1464" s="70" t="s">
        <v>14976</v>
      </c>
      <c r="N1464" s="70" t="s">
        <v>11844</v>
      </c>
      <c r="P1464" s="77">
        <v>45145.0</v>
      </c>
      <c r="U1464" s="70" t="s">
        <v>239</v>
      </c>
      <c r="W1464" s="70" t="s">
        <v>14979</v>
      </c>
      <c r="X1464" s="70" t="s">
        <v>14980</v>
      </c>
      <c r="Z1464" s="75" t="s">
        <v>14981</v>
      </c>
      <c r="AA1464" s="70" t="s">
        <v>14982</v>
      </c>
      <c r="AE1464" s="70">
        <v>14.0</v>
      </c>
      <c r="AF1464" s="70" t="s">
        <v>239</v>
      </c>
      <c r="AW1464" s="70" t="s">
        <v>14983</v>
      </c>
      <c r="AZ1464" s="70">
        <v>819.0</v>
      </c>
    </row>
    <row r="1465" ht="22.5" customHeight="1">
      <c r="A1465" s="70" t="str">
        <f t="shared" si="1"/>
        <v>Excluded</v>
      </c>
      <c r="B1465" s="70">
        <f t="shared" si="2"/>
        <v>0</v>
      </c>
      <c r="C1465" s="70">
        <v>0.0</v>
      </c>
      <c r="D1465" s="70">
        <v>0.0</v>
      </c>
      <c r="E1465" s="70">
        <v>0.0</v>
      </c>
      <c r="F1465" s="70">
        <v>0.0</v>
      </c>
      <c r="G1465" s="70">
        <v>0.0</v>
      </c>
      <c r="H1465" s="70" t="s">
        <v>11845</v>
      </c>
      <c r="I1465" s="70">
        <v>1239.0</v>
      </c>
      <c r="J1465" s="70" t="s">
        <v>11841</v>
      </c>
      <c r="K1465" s="70" t="s">
        <v>30477</v>
      </c>
      <c r="L1465" s="70" t="s">
        <v>11843</v>
      </c>
      <c r="N1465" s="70" t="s">
        <v>11844</v>
      </c>
      <c r="P1465" s="76">
        <v>45463.0</v>
      </c>
      <c r="U1465" s="70" t="s">
        <v>239</v>
      </c>
      <c r="W1465" s="70" t="s">
        <v>11847</v>
      </c>
      <c r="X1465" s="70" t="s">
        <v>11848</v>
      </c>
      <c r="Z1465" s="75" t="s">
        <v>11849</v>
      </c>
      <c r="AA1465" s="70" t="s">
        <v>11850</v>
      </c>
      <c r="AC1465" s="70">
        <v>1.0</v>
      </c>
      <c r="AE1465" s="70">
        <v>18.0</v>
      </c>
      <c r="AF1465" s="70" t="s">
        <v>239</v>
      </c>
      <c r="AW1465" s="70" t="s">
        <v>11851</v>
      </c>
      <c r="AZ1465" s="70">
        <v>423.0</v>
      </c>
    </row>
    <row r="1466" ht="22.5" customHeight="1">
      <c r="A1466" s="70" t="str">
        <f t="shared" si="1"/>
        <v>Excluded</v>
      </c>
      <c r="B1466" s="70">
        <f t="shared" si="2"/>
        <v>0</v>
      </c>
      <c r="C1466" s="70">
        <v>0.0</v>
      </c>
      <c r="D1466" s="70">
        <v>0.0</v>
      </c>
      <c r="E1466" s="70">
        <v>0.0</v>
      </c>
      <c r="F1466" s="70">
        <v>0.0</v>
      </c>
      <c r="G1466" s="70">
        <v>0.0</v>
      </c>
      <c r="H1466" s="70" t="s">
        <v>15281</v>
      </c>
      <c r="I1466" s="70">
        <v>1594.0</v>
      </c>
      <c r="J1466" s="70" t="s">
        <v>15277</v>
      </c>
      <c r="K1466" s="70" t="s">
        <v>15278</v>
      </c>
      <c r="L1466" s="70" t="s">
        <v>15279</v>
      </c>
      <c r="N1466" s="70" t="s">
        <v>15280</v>
      </c>
      <c r="P1466" s="76">
        <v>45657.0</v>
      </c>
      <c r="U1466" s="70" t="s">
        <v>239</v>
      </c>
      <c r="W1466" s="70" t="s">
        <v>15283</v>
      </c>
      <c r="X1466" s="70" t="s">
        <v>15284</v>
      </c>
      <c r="Z1466" s="75" t="s">
        <v>15285</v>
      </c>
      <c r="AA1466" s="70" t="s">
        <v>15286</v>
      </c>
      <c r="AE1466" s="70">
        <v>18.0</v>
      </c>
      <c r="AF1466" s="70" t="s">
        <v>239</v>
      </c>
      <c r="AW1466" s="70" t="s">
        <v>15287</v>
      </c>
      <c r="AX1466" s="70">
        <v>0.0</v>
      </c>
      <c r="AY1466" s="70" t="s">
        <v>24</v>
      </c>
      <c r="AZ1466" s="70">
        <v>2913.0</v>
      </c>
    </row>
    <row r="1467" ht="22.5" customHeight="1">
      <c r="A1467" s="70" t="str">
        <f t="shared" si="1"/>
        <v>Excluded</v>
      </c>
      <c r="B1467" s="70">
        <f t="shared" si="2"/>
        <v>0</v>
      </c>
      <c r="C1467" s="70">
        <v>0.0</v>
      </c>
      <c r="D1467" s="70">
        <v>0.0</v>
      </c>
      <c r="E1467" s="70">
        <v>0.0</v>
      </c>
      <c r="F1467" s="70">
        <v>0.0</v>
      </c>
      <c r="G1467" s="70">
        <v>0.0</v>
      </c>
      <c r="H1467" s="70" t="s">
        <v>14375</v>
      </c>
      <c r="I1467" s="70">
        <v>1499.0</v>
      </c>
      <c r="J1467" s="70" t="s">
        <v>14372</v>
      </c>
      <c r="K1467" s="70" t="s">
        <v>14373</v>
      </c>
      <c r="L1467" s="70" t="s">
        <v>14374</v>
      </c>
      <c r="P1467" s="76">
        <v>45700.0</v>
      </c>
      <c r="U1467" s="70" t="s">
        <v>239</v>
      </c>
      <c r="W1467" s="70" t="s">
        <v>30478</v>
      </c>
      <c r="X1467" s="70" t="s">
        <v>14378</v>
      </c>
      <c r="Z1467" s="75" t="s">
        <v>14379</v>
      </c>
      <c r="AA1467" s="70" t="s">
        <v>14380</v>
      </c>
      <c r="AE1467" s="70">
        <v>8.0</v>
      </c>
      <c r="AF1467" s="70" t="s">
        <v>239</v>
      </c>
      <c r="AW1467" s="70" t="s">
        <v>14381</v>
      </c>
      <c r="AX1467" s="70">
        <v>0.0</v>
      </c>
      <c r="AY1467" s="70" t="s">
        <v>24</v>
      </c>
      <c r="AZ1467" s="70">
        <v>2918.0</v>
      </c>
    </row>
    <row r="1468" ht="22.5" customHeight="1">
      <c r="A1468" s="70" t="str">
        <f t="shared" si="1"/>
        <v>Excluded</v>
      </c>
      <c r="B1468" s="70">
        <f t="shared" si="2"/>
        <v>0</v>
      </c>
      <c r="C1468" s="70">
        <v>0.0</v>
      </c>
      <c r="D1468" s="70">
        <v>0.0</v>
      </c>
      <c r="E1468" s="70">
        <v>0.0</v>
      </c>
      <c r="F1468" s="70">
        <v>0.0</v>
      </c>
      <c r="G1468" s="70">
        <v>0.0</v>
      </c>
      <c r="H1468" s="70" t="s">
        <v>6676</v>
      </c>
      <c r="I1468" s="70">
        <v>635.0</v>
      </c>
      <c r="J1468" s="70" t="s">
        <v>6673</v>
      </c>
      <c r="K1468" s="70" t="s">
        <v>6674</v>
      </c>
      <c r="L1468" s="70" t="s">
        <v>6675</v>
      </c>
      <c r="P1468" s="76">
        <v>44462.0</v>
      </c>
      <c r="U1468" s="70" t="s">
        <v>239</v>
      </c>
      <c r="W1468" s="70" t="s">
        <v>6678</v>
      </c>
      <c r="X1468" s="70" t="s">
        <v>6679</v>
      </c>
      <c r="Z1468" s="75" t="s">
        <v>6680</v>
      </c>
      <c r="AA1468" s="70" t="s">
        <v>6681</v>
      </c>
      <c r="AC1468" s="70">
        <v>5.0</v>
      </c>
      <c r="AE1468" s="70">
        <v>23.0</v>
      </c>
      <c r="AF1468" s="70" t="s">
        <v>239</v>
      </c>
      <c r="AW1468" s="70" t="s">
        <v>6682</v>
      </c>
      <c r="AZ1468" s="70">
        <v>505.0</v>
      </c>
    </row>
    <row r="1469" ht="22.5" customHeight="1">
      <c r="A1469" s="70" t="str">
        <f t="shared" si="1"/>
        <v>Excluded</v>
      </c>
      <c r="B1469" s="70">
        <f t="shared" si="2"/>
        <v>0</v>
      </c>
      <c r="C1469" s="70">
        <v>0.0</v>
      </c>
      <c r="D1469" s="70">
        <v>0.0</v>
      </c>
      <c r="E1469" s="70">
        <v>0.0</v>
      </c>
      <c r="F1469" s="70">
        <v>0.0</v>
      </c>
      <c r="G1469" s="70">
        <v>0.0</v>
      </c>
      <c r="H1469" s="70" t="s">
        <v>14280</v>
      </c>
      <c r="I1469" s="70">
        <v>1489.0</v>
      </c>
      <c r="J1469" s="70" t="s">
        <v>14277</v>
      </c>
      <c r="K1469" s="70" t="s">
        <v>14278</v>
      </c>
      <c r="L1469" s="70" t="s">
        <v>14279</v>
      </c>
      <c r="P1469" s="77">
        <v>45139.0</v>
      </c>
      <c r="U1469" s="70" t="s">
        <v>239</v>
      </c>
      <c r="W1469" s="70" t="s">
        <v>14282</v>
      </c>
      <c r="X1469" s="70" t="s">
        <v>14283</v>
      </c>
      <c r="Z1469" s="75" t="s">
        <v>14284</v>
      </c>
      <c r="AA1469" s="70" t="s">
        <v>14285</v>
      </c>
      <c r="AE1469" s="70">
        <v>15.0</v>
      </c>
      <c r="AF1469" s="70" t="s">
        <v>239</v>
      </c>
      <c r="AW1469" s="70" t="s">
        <v>14286</v>
      </c>
      <c r="AX1469" s="70">
        <v>0.0</v>
      </c>
      <c r="AY1469" s="70" t="s">
        <v>24</v>
      </c>
      <c r="AZ1469" s="70">
        <v>3123.0</v>
      </c>
    </row>
    <row r="1470" ht="22.5" customHeight="1">
      <c r="A1470" s="70" t="str">
        <f t="shared" si="1"/>
        <v>Excluded</v>
      </c>
      <c r="B1470" s="70">
        <f t="shared" si="2"/>
        <v>0</v>
      </c>
      <c r="C1470" s="70">
        <v>0.0</v>
      </c>
      <c r="D1470" s="70">
        <v>0.0</v>
      </c>
      <c r="E1470" s="70">
        <v>0.0</v>
      </c>
      <c r="F1470" s="70">
        <v>0.0</v>
      </c>
      <c r="G1470" s="70">
        <v>0.0</v>
      </c>
      <c r="H1470" s="70" t="s">
        <v>15087</v>
      </c>
      <c r="I1470" s="70">
        <v>1573.0</v>
      </c>
      <c r="J1470" s="70" t="s">
        <v>15084</v>
      </c>
      <c r="K1470" s="70" t="s">
        <v>15085</v>
      </c>
      <c r="L1470" s="70" t="s">
        <v>15086</v>
      </c>
      <c r="P1470" s="77">
        <v>45541.0</v>
      </c>
      <c r="U1470" s="70" t="s">
        <v>239</v>
      </c>
      <c r="W1470" s="70" t="s">
        <v>15089</v>
      </c>
      <c r="X1470" s="70" t="s">
        <v>15090</v>
      </c>
      <c r="Z1470" s="75" t="s">
        <v>15091</v>
      </c>
      <c r="AA1470" s="70" t="s">
        <v>15092</v>
      </c>
      <c r="AE1470" s="70">
        <v>14.0</v>
      </c>
      <c r="AF1470" s="70" t="s">
        <v>239</v>
      </c>
      <c r="AW1470" s="70" t="s">
        <v>15093</v>
      </c>
      <c r="AZ1470" s="70">
        <v>1205.0</v>
      </c>
    </row>
    <row r="1471" ht="22.5" customHeight="1">
      <c r="A1471" s="70" t="str">
        <f t="shared" si="1"/>
        <v>Excluded</v>
      </c>
      <c r="B1471" s="70">
        <f t="shared" si="2"/>
        <v>0</v>
      </c>
      <c r="C1471" s="70">
        <v>0.0</v>
      </c>
      <c r="D1471" s="70">
        <v>0.0</v>
      </c>
      <c r="E1471" s="70">
        <v>0.0</v>
      </c>
      <c r="F1471" s="70">
        <v>0.0</v>
      </c>
      <c r="G1471" s="70">
        <v>0.0</v>
      </c>
      <c r="H1471" s="70" t="s">
        <v>8751</v>
      </c>
      <c r="I1471" s="70">
        <v>850.0</v>
      </c>
      <c r="J1471" s="70" t="s">
        <v>8748</v>
      </c>
      <c r="K1471" s="70" t="s">
        <v>8749</v>
      </c>
      <c r="L1471" s="70" t="s">
        <v>8750</v>
      </c>
      <c r="P1471" s="76">
        <v>43999.0</v>
      </c>
      <c r="U1471" s="70" t="s">
        <v>239</v>
      </c>
      <c r="W1471" s="70" t="s">
        <v>8753</v>
      </c>
      <c r="X1471" s="70" t="s">
        <v>8754</v>
      </c>
      <c r="Z1471" s="75" t="s">
        <v>8755</v>
      </c>
      <c r="AA1471" s="70" t="s">
        <v>8756</v>
      </c>
      <c r="AC1471" s="70">
        <v>1.0</v>
      </c>
      <c r="AE1471" s="70">
        <v>9.0</v>
      </c>
      <c r="AF1471" s="70" t="s">
        <v>239</v>
      </c>
      <c r="AW1471" s="70" t="s">
        <v>8757</v>
      </c>
      <c r="AX1471" s="70">
        <v>0.0</v>
      </c>
      <c r="AY1471" s="70" t="s">
        <v>24</v>
      </c>
      <c r="AZ1471" s="70">
        <v>2921.0</v>
      </c>
    </row>
    <row r="1472" ht="22.5" customHeight="1">
      <c r="A1472" s="70" t="str">
        <f t="shared" si="1"/>
        <v>Excluded</v>
      </c>
      <c r="B1472" s="70">
        <f t="shared" si="2"/>
        <v>0</v>
      </c>
      <c r="C1472" s="70">
        <v>0.0</v>
      </c>
      <c r="D1472" s="70">
        <v>0.0</v>
      </c>
      <c r="E1472" s="70">
        <v>0.0</v>
      </c>
      <c r="F1472" s="70">
        <v>0.0</v>
      </c>
      <c r="G1472" s="70">
        <v>0.0</v>
      </c>
      <c r="H1472" s="70" t="s">
        <v>13752</v>
      </c>
      <c r="I1472" s="70">
        <v>1432.0</v>
      </c>
      <c r="J1472" s="70" t="s">
        <v>13748</v>
      </c>
      <c r="K1472" s="70" t="s">
        <v>13749</v>
      </c>
      <c r="L1472" s="70" t="s">
        <v>13750</v>
      </c>
      <c r="N1472" s="70" t="s">
        <v>13751</v>
      </c>
      <c r="P1472" s="76">
        <v>45553.0</v>
      </c>
      <c r="U1472" s="70" t="s">
        <v>239</v>
      </c>
      <c r="W1472" s="70" t="s">
        <v>13754</v>
      </c>
      <c r="X1472" s="70" t="s">
        <v>13755</v>
      </c>
      <c r="Z1472" s="75" t="s">
        <v>13756</v>
      </c>
      <c r="AA1472" s="70" t="s">
        <v>13757</v>
      </c>
      <c r="AE1472" s="70">
        <v>15.0</v>
      </c>
      <c r="AF1472" s="70" t="s">
        <v>239</v>
      </c>
      <c r="AW1472" s="70" t="s">
        <v>13758</v>
      </c>
      <c r="AX1472" s="70">
        <v>0.0</v>
      </c>
      <c r="AY1472" s="70" t="s">
        <v>24</v>
      </c>
      <c r="AZ1472" s="70">
        <v>2267.0</v>
      </c>
    </row>
    <row r="1473" ht="22.5" customHeight="1">
      <c r="A1473" s="70" t="str">
        <f t="shared" si="1"/>
        <v>Excluded</v>
      </c>
      <c r="B1473" s="70">
        <f t="shared" si="2"/>
        <v>0</v>
      </c>
      <c r="C1473" s="70">
        <v>0.0</v>
      </c>
      <c r="D1473" s="70">
        <v>0.0</v>
      </c>
      <c r="E1473" s="70">
        <v>0.0</v>
      </c>
      <c r="F1473" s="70">
        <v>0.0</v>
      </c>
      <c r="G1473" s="70">
        <v>0.0</v>
      </c>
      <c r="H1473" s="70" t="s">
        <v>15382</v>
      </c>
      <c r="I1473" s="70">
        <v>1605.0</v>
      </c>
      <c r="J1473" s="70" t="s">
        <v>30479</v>
      </c>
      <c r="K1473" s="70" t="s">
        <v>15380</v>
      </c>
      <c r="L1473" s="70" t="s">
        <v>15381</v>
      </c>
      <c r="P1473" s="76">
        <v>45685.0</v>
      </c>
      <c r="U1473" s="70" t="s">
        <v>239</v>
      </c>
      <c r="W1473" s="70" t="s">
        <v>15384</v>
      </c>
      <c r="X1473" s="70" t="s">
        <v>15385</v>
      </c>
      <c r="Z1473" s="75" t="s">
        <v>15386</v>
      </c>
      <c r="AA1473" s="70" t="s">
        <v>15387</v>
      </c>
      <c r="AE1473" s="70">
        <v>15.0</v>
      </c>
      <c r="AF1473" s="70" t="s">
        <v>239</v>
      </c>
      <c r="AW1473" s="70" t="s">
        <v>15388</v>
      </c>
      <c r="AZ1473" s="70">
        <v>573.0</v>
      </c>
    </row>
    <row r="1474" ht="22.5" customHeight="1">
      <c r="A1474" s="70" t="str">
        <f t="shared" si="1"/>
        <v>Excluded</v>
      </c>
      <c r="B1474" s="70">
        <f t="shared" si="2"/>
        <v>0</v>
      </c>
      <c r="C1474" s="70">
        <v>0.0</v>
      </c>
      <c r="D1474" s="70">
        <v>0.0</v>
      </c>
      <c r="E1474" s="70">
        <v>0.0</v>
      </c>
      <c r="F1474" s="70">
        <v>0.0</v>
      </c>
      <c r="G1474" s="70">
        <v>0.0</v>
      </c>
      <c r="H1474" s="70" t="s">
        <v>8867</v>
      </c>
      <c r="I1474" s="70">
        <v>862.0</v>
      </c>
      <c r="J1474" s="70" t="s">
        <v>8863</v>
      </c>
      <c r="K1474" s="70" t="s">
        <v>8864</v>
      </c>
      <c r="L1474" s="70" t="s">
        <v>8865</v>
      </c>
      <c r="N1474" s="70" t="s">
        <v>8866</v>
      </c>
      <c r="P1474" s="76">
        <v>44727.0</v>
      </c>
      <c r="U1474" s="70" t="s">
        <v>239</v>
      </c>
      <c r="W1474" s="70" t="s">
        <v>8869</v>
      </c>
      <c r="X1474" s="70" t="s">
        <v>8870</v>
      </c>
      <c r="Z1474" s="75" t="s">
        <v>8871</v>
      </c>
      <c r="AA1474" s="70" t="s">
        <v>8872</v>
      </c>
      <c r="AC1474" s="70">
        <v>1.0</v>
      </c>
      <c r="AE1474" s="70">
        <v>24.0</v>
      </c>
      <c r="AF1474" s="70" t="s">
        <v>239</v>
      </c>
      <c r="AW1474" s="70" t="s">
        <v>8873</v>
      </c>
      <c r="AZ1474" s="70">
        <v>173.0</v>
      </c>
    </row>
    <row r="1475" ht="22.5" customHeight="1">
      <c r="A1475" s="70" t="str">
        <f t="shared" si="1"/>
        <v>Excluded</v>
      </c>
      <c r="B1475" s="70">
        <f t="shared" si="2"/>
        <v>0</v>
      </c>
      <c r="C1475" s="70">
        <v>0.0</v>
      </c>
      <c r="D1475" s="70">
        <v>0.0</v>
      </c>
      <c r="E1475" s="70">
        <v>0.0</v>
      </c>
      <c r="F1475" s="70">
        <v>0.0</v>
      </c>
      <c r="G1475" s="70">
        <v>0.0</v>
      </c>
      <c r="H1475" s="70" t="s">
        <v>5615</v>
      </c>
      <c r="I1475" s="70">
        <v>528.0</v>
      </c>
      <c r="J1475" s="70" t="s">
        <v>30480</v>
      </c>
      <c r="K1475" s="70" t="s">
        <v>5613</v>
      </c>
      <c r="L1475" s="70" t="s">
        <v>5614</v>
      </c>
      <c r="P1475" s="77">
        <v>43710.0</v>
      </c>
      <c r="U1475" s="70" t="s">
        <v>239</v>
      </c>
      <c r="W1475" s="70" t="s">
        <v>5617</v>
      </c>
      <c r="X1475" s="70" t="s">
        <v>5618</v>
      </c>
      <c r="Z1475" s="75" t="s">
        <v>5619</v>
      </c>
      <c r="AA1475" s="70" t="s">
        <v>5620</v>
      </c>
      <c r="AC1475" s="70">
        <v>10.0</v>
      </c>
      <c r="AE1475" s="70">
        <v>30.0</v>
      </c>
      <c r="AF1475" s="70" t="s">
        <v>239</v>
      </c>
      <c r="AW1475" s="70" t="s">
        <v>5621</v>
      </c>
      <c r="AX1475" s="70">
        <v>0.0</v>
      </c>
      <c r="AY1475" s="70" t="s">
        <v>24</v>
      </c>
      <c r="AZ1475" s="70">
        <v>1841.0</v>
      </c>
    </row>
    <row r="1476" ht="22.5" customHeight="1">
      <c r="A1476" s="70" t="str">
        <f t="shared" si="1"/>
        <v>Excluded</v>
      </c>
      <c r="B1476" s="70">
        <f t="shared" si="2"/>
        <v>0</v>
      </c>
      <c r="C1476" s="70">
        <v>0.0</v>
      </c>
      <c r="D1476" s="70">
        <v>0.0</v>
      </c>
      <c r="E1476" s="70">
        <v>0.0</v>
      </c>
      <c r="F1476" s="70">
        <v>0.0</v>
      </c>
      <c r="G1476" s="70">
        <v>0.0</v>
      </c>
      <c r="H1476" s="70" t="s">
        <v>4640</v>
      </c>
      <c r="I1476" s="70">
        <v>430.0</v>
      </c>
      <c r="J1476" s="70" t="s">
        <v>4637</v>
      </c>
      <c r="K1476" s="70" t="s">
        <v>4638</v>
      </c>
      <c r="L1476" s="70" t="s">
        <v>4639</v>
      </c>
      <c r="P1476" s="76">
        <v>42971.0</v>
      </c>
      <c r="U1476" s="70" t="s">
        <v>239</v>
      </c>
      <c r="W1476" s="70" t="s">
        <v>4642</v>
      </c>
      <c r="X1476" s="70" t="s">
        <v>4643</v>
      </c>
      <c r="Z1476" s="75" t="s">
        <v>4644</v>
      </c>
      <c r="AA1476" s="70" t="s">
        <v>4645</v>
      </c>
      <c r="AC1476" s="70">
        <v>86.0</v>
      </c>
      <c r="AF1476" s="70" t="s">
        <v>239</v>
      </c>
      <c r="AW1476" s="70" t="s">
        <v>4646</v>
      </c>
      <c r="AX1476" s="70">
        <v>0.0</v>
      </c>
      <c r="AY1476" s="70" t="s">
        <v>24</v>
      </c>
      <c r="AZ1476" s="70">
        <v>2249.0</v>
      </c>
    </row>
    <row r="1477" ht="22.5" customHeight="1">
      <c r="A1477" s="70" t="str">
        <f t="shared" si="1"/>
        <v>Excluded</v>
      </c>
      <c r="B1477" s="70">
        <f t="shared" si="2"/>
        <v>0</v>
      </c>
      <c r="C1477" s="70">
        <v>0.0</v>
      </c>
      <c r="D1477" s="70">
        <v>0.0</v>
      </c>
      <c r="E1477" s="70">
        <v>0.0</v>
      </c>
      <c r="F1477" s="70">
        <v>0.0</v>
      </c>
      <c r="G1477" s="70">
        <v>0.0</v>
      </c>
      <c r="H1477" s="70" t="s">
        <v>6240</v>
      </c>
      <c r="I1477" s="70">
        <v>591.0</v>
      </c>
      <c r="J1477" s="70" t="s">
        <v>6237</v>
      </c>
      <c r="K1477" s="70" t="s">
        <v>6238</v>
      </c>
      <c r="L1477" s="70" t="s">
        <v>6239</v>
      </c>
      <c r="P1477" s="76">
        <v>44368.0</v>
      </c>
      <c r="U1477" s="70" t="s">
        <v>239</v>
      </c>
      <c r="W1477" s="70" t="s">
        <v>6242</v>
      </c>
      <c r="X1477" s="70" t="s">
        <v>6243</v>
      </c>
      <c r="Z1477" s="75" t="s">
        <v>6244</v>
      </c>
      <c r="AA1477" s="70" t="s">
        <v>6245</v>
      </c>
      <c r="AC1477" s="70">
        <v>7.0</v>
      </c>
      <c r="AE1477" s="70">
        <v>22.0</v>
      </c>
      <c r="AF1477" s="70" t="s">
        <v>239</v>
      </c>
      <c r="AW1477" s="70" t="s">
        <v>6246</v>
      </c>
      <c r="AX1477" s="70">
        <v>0.0</v>
      </c>
      <c r="AY1477" s="70" t="s">
        <v>24</v>
      </c>
      <c r="AZ1477" s="70">
        <v>2432.0</v>
      </c>
    </row>
    <row r="1478" ht="22.5" customHeight="1">
      <c r="A1478" s="70" t="str">
        <f t="shared" si="1"/>
        <v>Excluded</v>
      </c>
      <c r="B1478" s="70">
        <f t="shared" si="2"/>
        <v>0</v>
      </c>
      <c r="C1478" s="70">
        <v>0.0</v>
      </c>
      <c r="D1478" s="70">
        <v>0.0</v>
      </c>
      <c r="E1478" s="70">
        <v>0.0</v>
      </c>
      <c r="F1478" s="70">
        <v>0.0</v>
      </c>
      <c r="G1478" s="70">
        <v>0.0</v>
      </c>
      <c r="H1478" s="70" t="s">
        <v>7468</v>
      </c>
      <c r="I1478" s="70">
        <v>717.0</v>
      </c>
      <c r="J1478" s="70" t="s">
        <v>7466</v>
      </c>
      <c r="K1478" s="70" t="s">
        <v>7467</v>
      </c>
      <c r="L1478" s="70" t="s">
        <v>7088</v>
      </c>
      <c r="P1478" s="76">
        <v>44732.0</v>
      </c>
      <c r="U1478" s="70" t="s">
        <v>239</v>
      </c>
      <c r="W1478" s="70" t="s">
        <v>7470</v>
      </c>
      <c r="X1478" s="70" t="s">
        <v>7092</v>
      </c>
      <c r="Y1478" s="70" t="s">
        <v>30481</v>
      </c>
      <c r="Z1478" s="75" t="s">
        <v>7472</v>
      </c>
      <c r="AA1478" s="70" t="s">
        <v>7473</v>
      </c>
      <c r="AC1478" s="70">
        <v>3.0</v>
      </c>
      <c r="AE1478" s="70">
        <v>30.0</v>
      </c>
      <c r="AF1478" s="70" t="s">
        <v>239</v>
      </c>
      <c r="AW1478" s="70" t="s">
        <v>7474</v>
      </c>
      <c r="AX1478" s="70">
        <v>0.0</v>
      </c>
      <c r="AY1478" s="70" t="s">
        <v>24</v>
      </c>
      <c r="AZ1478" s="70">
        <v>2635.0</v>
      </c>
    </row>
    <row r="1479" ht="22.5" customHeight="1">
      <c r="A1479" s="70" t="str">
        <f t="shared" si="1"/>
        <v>Excluded</v>
      </c>
      <c r="B1479" s="70">
        <f t="shared" si="2"/>
        <v>0</v>
      </c>
      <c r="C1479" s="70">
        <v>0.0</v>
      </c>
      <c r="D1479" s="70">
        <v>0.0</v>
      </c>
      <c r="E1479" s="70">
        <v>0.0</v>
      </c>
      <c r="F1479" s="70">
        <v>0.0</v>
      </c>
      <c r="G1479" s="70">
        <v>0.0</v>
      </c>
      <c r="H1479" s="70" t="s">
        <v>7089</v>
      </c>
      <c r="I1479" s="70">
        <v>677.0</v>
      </c>
      <c r="J1479" s="70" t="s">
        <v>7086</v>
      </c>
      <c r="K1479" s="70" t="s">
        <v>7087</v>
      </c>
      <c r="L1479" s="70" t="s">
        <v>7088</v>
      </c>
      <c r="P1479" s="76">
        <v>44732.0</v>
      </c>
      <c r="U1479" s="70" t="s">
        <v>239</v>
      </c>
      <c r="W1479" s="70" t="s">
        <v>30482</v>
      </c>
      <c r="X1479" s="70" t="s">
        <v>7092</v>
      </c>
      <c r="Z1479" s="75" t="s">
        <v>7093</v>
      </c>
      <c r="AA1479" s="70" t="s">
        <v>7094</v>
      </c>
      <c r="AC1479" s="70">
        <v>4.0</v>
      </c>
      <c r="AE1479" s="70">
        <v>11.0</v>
      </c>
      <c r="AF1479" s="70" t="s">
        <v>239</v>
      </c>
      <c r="AW1479" s="70" t="s">
        <v>7095</v>
      </c>
      <c r="AX1479" s="70">
        <v>0.0</v>
      </c>
      <c r="AY1479" s="70" t="s">
        <v>24</v>
      </c>
      <c r="AZ1479" s="70">
        <v>2823.0</v>
      </c>
    </row>
    <row r="1480" ht="22.5" customHeight="1">
      <c r="A1480" s="70" t="str">
        <f t="shared" si="1"/>
        <v>Excluded</v>
      </c>
      <c r="B1480" s="70">
        <f t="shared" si="2"/>
        <v>0</v>
      </c>
      <c r="C1480" s="70">
        <v>0.0</v>
      </c>
      <c r="D1480" s="70">
        <v>0.0</v>
      </c>
      <c r="E1480" s="70">
        <v>0.0</v>
      </c>
      <c r="F1480" s="70">
        <v>0.0</v>
      </c>
      <c r="G1480" s="70">
        <v>0.0</v>
      </c>
      <c r="H1480" s="70" t="s">
        <v>9097</v>
      </c>
      <c r="I1480" s="70">
        <v>885.0</v>
      </c>
      <c r="J1480" s="70" t="s">
        <v>9093</v>
      </c>
      <c r="K1480" s="70" t="s">
        <v>9094</v>
      </c>
      <c r="L1480" s="70" t="s">
        <v>9095</v>
      </c>
      <c r="N1480" s="70" t="s">
        <v>9096</v>
      </c>
      <c r="P1480" s="77">
        <v>44897.0</v>
      </c>
      <c r="U1480" s="70" t="s">
        <v>239</v>
      </c>
      <c r="W1480" s="70" t="s">
        <v>9099</v>
      </c>
      <c r="X1480" s="70" t="s">
        <v>9100</v>
      </c>
      <c r="Z1480" s="75" t="s">
        <v>9101</v>
      </c>
      <c r="AC1480" s="70">
        <v>1.0</v>
      </c>
      <c r="AE1480" s="70">
        <v>7.0</v>
      </c>
      <c r="AF1480" s="70" t="s">
        <v>239</v>
      </c>
      <c r="AW1480" s="70" t="s">
        <v>9102</v>
      </c>
      <c r="AX1480" s="70">
        <v>0.0</v>
      </c>
      <c r="AY1480" s="70" t="s">
        <v>24</v>
      </c>
      <c r="AZ1480" s="70">
        <v>2888.0</v>
      </c>
    </row>
    <row r="1481" ht="22.5" customHeight="1">
      <c r="A1481" s="70" t="str">
        <f t="shared" si="1"/>
        <v>Excluded</v>
      </c>
      <c r="B1481" s="70">
        <f t="shared" si="2"/>
        <v>0</v>
      </c>
      <c r="C1481" s="70">
        <v>0.0</v>
      </c>
      <c r="D1481" s="70">
        <v>0.0</v>
      </c>
      <c r="E1481" s="70">
        <v>0.0</v>
      </c>
      <c r="F1481" s="70">
        <v>0.0</v>
      </c>
      <c r="G1481" s="70">
        <v>0.0</v>
      </c>
      <c r="H1481" s="70" t="s">
        <v>7162</v>
      </c>
      <c r="I1481" s="70">
        <v>685.0</v>
      </c>
      <c r="J1481" s="70" t="s">
        <v>7159</v>
      </c>
      <c r="K1481" s="70" t="s">
        <v>7160</v>
      </c>
      <c r="L1481" s="70" t="s">
        <v>7161</v>
      </c>
      <c r="P1481" s="76">
        <v>44518.0</v>
      </c>
      <c r="U1481" s="70" t="s">
        <v>239</v>
      </c>
      <c r="W1481" s="70" t="s">
        <v>7164</v>
      </c>
      <c r="X1481" s="70" t="s">
        <v>7165</v>
      </c>
      <c r="Z1481" s="75" t="s">
        <v>7166</v>
      </c>
      <c r="AA1481" s="70" t="s">
        <v>7167</v>
      </c>
      <c r="AC1481" s="70">
        <v>4.0</v>
      </c>
      <c r="AE1481" s="70">
        <v>6.0</v>
      </c>
      <c r="AF1481" s="70" t="s">
        <v>239</v>
      </c>
      <c r="AW1481" s="70" t="s">
        <v>7168</v>
      </c>
      <c r="AZ1481" s="70">
        <v>1201.0</v>
      </c>
    </row>
    <row r="1482" ht="22.5" customHeight="1">
      <c r="A1482" s="70" t="str">
        <f t="shared" si="1"/>
        <v>Excluded</v>
      </c>
      <c r="B1482" s="70">
        <f t="shared" si="2"/>
        <v>0</v>
      </c>
      <c r="C1482" s="70">
        <v>0.0</v>
      </c>
      <c r="D1482" s="70">
        <v>0.0</v>
      </c>
      <c r="E1482" s="70">
        <v>0.0</v>
      </c>
      <c r="F1482" s="70">
        <v>0.0</v>
      </c>
      <c r="G1482" s="70">
        <v>0.0</v>
      </c>
      <c r="H1482" s="70" t="s">
        <v>13336</v>
      </c>
      <c r="I1482" s="70">
        <v>1389.0</v>
      </c>
      <c r="J1482" s="70" t="s">
        <v>13333</v>
      </c>
      <c r="K1482" s="70" t="s">
        <v>13334</v>
      </c>
      <c r="L1482" s="70" t="s">
        <v>13335</v>
      </c>
      <c r="P1482" s="77">
        <v>45113.0</v>
      </c>
      <c r="U1482" s="70" t="s">
        <v>239</v>
      </c>
      <c r="W1482" s="70" t="s">
        <v>13338</v>
      </c>
      <c r="X1482" s="70" t="s">
        <v>13339</v>
      </c>
      <c r="Z1482" s="75" t="s">
        <v>13340</v>
      </c>
      <c r="AA1482" s="70" t="s">
        <v>13341</v>
      </c>
      <c r="AE1482" s="70">
        <v>12.0</v>
      </c>
      <c r="AF1482" s="70" t="s">
        <v>239</v>
      </c>
      <c r="AW1482" s="70" t="s">
        <v>13342</v>
      </c>
      <c r="AZ1482" s="70">
        <v>250.0</v>
      </c>
    </row>
    <row r="1483" ht="22.5" customHeight="1">
      <c r="A1483" s="70" t="str">
        <f t="shared" si="1"/>
        <v>Excluded</v>
      </c>
      <c r="B1483" s="70">
        <f t="shared" si="2"/>
        <v>0</v>
      </c>
      <c r="C1483" s="70">
        <v>0.0</v>
      </c>
      <c r="D1483" s="70">
        <v>0.0</v>
      </c>
      <c r="E1483" s="70">
        <v>0.0</v>
      </c>
      <c r="F1483" s="70">
        <v>0.0</v>
      </c>
      <c r="G1483" s="70">
        <v>0.0</v>
      </c>
      <c r="H1483" s="70" t="s">
        <v>15911</v>
      </c>
      <c r="I1483" s="70">
        <v>1671.0</v>
      </c>
      <c r="K1483" s="70" t="s">
        <v>10597</v>
      </c>
      <c r="L1483" s="70" t="s">
        <v>13335</v>
      </c>
      <c r="P1483" s="77">
        <v>45113.0</v>
      </c>
      <c r="U1483" s="70" t="s">
        <v>239</v>
      </c>
      <c r="X1483" s="70" t="s">
        <v>13339</v>
      </c>
      <c r="Z1483" s="75" t="s">
        <v>15912</v>
      </c>
      <c r="AF1483" s="70" t="s">
        <v>239</v>
      </c>
      <c r="AZ1483" s="70">
        <v>1557.0</v>
      </c>
    </row>
    <row r="1484" ht="22.5" customHeight="1">
      <c r="A1484" s="70" t="str">
        <f t="shared" si="1"/>
        <v>Excluded</v>
      </c>
      <c r="B1484" s="70">
        <f t="shared" si="2"/>
        <v>0</v>
      </c>
      <c r="C1484" s="70">
        <v>0.0</v>
      </c>
      <c r="D1484" s="70">
        <v>0.0</v>
      </c>
      <c r="E1484" s="70">
        <v>0.0</v>
      </c>
      <c r="F1484" s="70">
        <v>0.0</v>
      </c>
      <c r="G1484" s="70">
        <v>0.0</v>
      </c>
      <c r="H1484" s="70" t="s">
        <v>14546</v>
      </c>
      <c r="I1484" s="70">
        <v>1517.0</v>
      </c>
      <c r="J1484" s="70" t="s">
        <v>14543</v>
      </c>
      <c r="K1484" s="70" t="s">
        <v>14544</v>
      </c>
      <c r="L1484" s="70" t="s">
        <v>14545</v>
      </c>
      <c r="P1484" s="77">
        <v>45201.0</v>
      </c>
      <c r="U1484" s="70" t="s">
        <v>239</v>
      </c>
      <c r="W1484" s="70" t="s">
        <v>14548</v>
      </c>
      <c r="X1484" s="70" t="s">
        <v>14549</v>
      </c>
      <c r="Z1484" s="75" t="s">
        <v>14550</v>
      </c>
      <c r="AA1484" s="70" t="s">
        <v>14551</v>
      </c>
      <c r="AE1484" s="70">
        <v>11.0</v>
      </c>
      <c r="AF1484" s="70" t="s">
        <v>239</v>
      </c>
      <c r="AW1484" s="70" t="s">
        <v>14552</v>
      </c>
      <c r="AZ1484" s="70">
        <v>598.0</v>
      </c>
    </row>
    <row r="1485" ht="22.5" customHeight="1">
      <c r="A1485" s="70" t="str">
        <f t="shared" si="1"/>
        <v>Excluded</v>
      </c>
      <c r="B1485" s="70">
        <f t="shared" si="2"/>
        <v>0</v>
      </c>
      <c r="C1485" s="70">
        <v>0.0</v>
      </c>
      <c r="D1485" s="70">
        <v>0.0</v>
      </c>
      <c r="E1485" s="70">
        <v>0.0</v>
      </c>
      <c r="F1485" s="70">
        <v>0.0</v>
      </c>
      <c r="G1485" s="70">
        <v>0.0</v>
      </c>
      <c r="H1485" s="70" t="s">
        <v>6934</v>
      </c>
      <c r="I1485" s="70">
        <v>661.0</v>
      </c>
      <c r="J1485" s="70" t="s">
        <v>6931</v>
      </c>
      <c r="K1485" s="70" t="s">
        <v>6932</v>
      </c>
      <c r="L1485" s="70" t="s">
        <v>6933</v>
      </c>
      <c r="P1485" s="78">
        <v>44342.0</v>
      </c>
      <c r="U1485" s="70" t="s">
        <v>239</v>
      </c>
      <c r="W1485" s="70" t="s">
        <v>6936</v>
      </c>
      <c r="X1485" s="70" t="s">
        <v>6937</v>
      </c>
      <c r="Z1485" s="75" t="s">
        <v>6938</v>
      </c>
      <c r="AA1485" s="70" t="s">
        <v>6939</v>
      </c>
      <c r="AC1485" s="70">
        <v>5.0</v>
      </c>
      <c r="AE1485" s="70">
        <v>20.0</v>
      </c>
      <c r="AF1485" s="70" t="s">
        <v>239</v>
      </c>
      <c r="AW1485" s="70" t="s">
        <v>6940</v>
      </c>
      <c r="AZ1485" s="70">
        <v>1278.0</v>
      </c>
    </row>
    <row r="1486" ht="22.5" customHeight="1">
      <c r="A1486" s="70" t="str">
        <f t="shared" si="1"/>
        <v>Excluded</v>
      </c>
      <c r="B1486" s="70">
        <f t="shared" si="2"/>
        <v>0</v>
      </c>
      <c r="C1486" s="70">
        <v>0.0</v>
      </c>
      <c r="D1486" s="70">
        <v>0.0</v>
      </c>
      <c r="E1486" s="70">
        <v>0.0</v>
      </c>
      <c r="F1486" s="70">
        <v>0.0</v>
      </c>
      <c r="G1486" s="70">
        <v>0.0</v>
      </c>
      <c r="H1486" s="70" t="s">
        <v>13362</v>
      </c>
      <c r="I1486" s="70">
        <v>1392.0</v>
      </c>
      <c r="J1486" s="70" t="s">
        <v>13359</v>
      </c>
      <c r="K1486" s="70" t="s">
        <v>13360</v>
      </c>
      <c r="L1486" s="70" t="s">
        <v>13361</v>
      </c>
      <c r="P1486" s="77">
        <v>45510.0</v>
      </c>
      <c r="U1486" s="70" t="s">
        <v>239</v>
      </c>
      <c r="W1486" s="70" t="s">
        <v>30483</v>
      </c>
      <c r="X1486" s="70" t="s">
        <v>13365</v>
      </c>
      <c r="Z1486" s="75" t="s">
        <v>13366</v>
      </c>
      <c r="AA1486" s="70" t="s">
        <v>13367</v>
      </c>
      <c r="AE1486" s="70">
        <v>21.0</v>
      </c>
      <c r="AF1486" s="70" t="s">
        <v>239</v>
      </c>
      <c r="AW1486" s="70" t="s">
        <v>13368</v>
      </c>
      <c r="AZ1486" s="70">
        <v>1071.0</v>
      </c>
    </row>
    <row r="1487" ht="22.5" customHeight="1">
      <c r="A1487" s="70" t="str">
        <f t="shared" si="1"/>
        <v>Excluded</v>
      </c>
      <c r="B1487" s="70">
        <f t="shared" si="2"/>
        <v>0</v>
      </c>
      <c r="C1487" s="70">
        <v>0.0</v>
      </c>
      <c r="D1487" s="70">
        <v>0.0</v>
      </c>
      <c r="E1487" s="70">
        <v>0.0</v>
      </c>
      <c r="F1487" s="70">
        <v>0.0</v>
      </c>
      <c r="G1487" s="70">
        <v>0.0</v>
      </c>
      <c r="H1487" s="70" t="s">
        <v>14465</v>
      </c>
      <c r="I1487" s="70">
        <v>1509.0</v>
      </c>
      <c r="J1487" s="70" t="s">
        <v>14462</v>
      </c>
      <c r="K1487" s="70" t="s">
        <v>14463</v>
      </c>
      <c r="L1487" s="70" t="s">
        <v>14464</v>
      </c>
      <c r="P1487" s="76">
        <v>45553.0</v>
      </c>
      <c r="U1487" s="70" t="s">
        <v>239</v>
      </c>
      <c r="W1487" s="70" t="s">
        <v>30484</v>
      </c>
      <c r="X1487" s="70" t="s">
        <v>14468</v>
      </c>
      <c r="Z1487" s="75" t="s">
        <v>14469</v>
      </c>
      <c r="AA1487" s="70" t="s">
        <v>14470</v>
      </c>
      <c r="AE1487" s="70">
        <v>15.0</v>
      </c>
      <c r="AF1487" s="70" t="s">
        <v>239</v>
      </c>
      <c r="AW1487" s="70" t="s">
        <v>14471</v>
      </c>
      <c r="AZ1487" s="70">
        <v>867.0</v>
      </c>
    </row>
    <row r="1488" ht="22.5" customHeight="1">
      <c r="A1488" s="70" t="str">
        <f t="shared" si="1"/>
        <v>Excluded</v>
      </c>
      <c r="B1488" s="70">
        <f t="shared" si="2"/>
        <v>0</v>
      </c>
      <c r="C1488" s="70">
        <v>0.0</v>
      </c>
      <c r="D1488" s="70">
        <v>0.0</v>
      </c>
      <c r="E1488" s="70">
        <v>0.0</v>
      </c>
      <c r="F1488" s="70">
        <v>0.0</v>
      </c>
      <c r="G1488" s="70">
        <v>0.0</v>
      </c>
      <c r="H1488" s="70" t="s">
        <v>10906</v>
      </c>
      <c r="I1488" s="70">
        <v>1120.0</v>
      </c>
      <c r="K1488" s="70" t="s">
        <v>10597</v>
      </c>
      <c r="L1488" s="70" t="s">
        <v>10905</v>
      </c>
      <c r="P1488" s="76">
        <v>44852.0</v>
      </c>
      <c r="U1488" s="70" t="s">
        <v>239</v>
      </c>
      <c r="W1488" s="70" t="s">
        <v>10710</v>
      </c>
      <c r="X1488" s="70" t="s">
        <v>10908</v>
      </c>
      <c r="Z1488" s="75" t="s">
        <v>10909</v>
      </c>
      <c r="AF1488" s="70" t="s">
        <v>239</v>
      </c>
      <c r="AZ1488" s="70">
        <v>1524.0</v>
      </c>
    </row>
    <row r="1489" ht="22.5" customHeight="1">
      <c r="A1489" s="70" t="str">
        <f t="shared" si="1"/>
        <v>Excluded</v>
      </c>
      <c r="B1489" s="70">
        <f t="shared" si="2"/>
        <v>0</v>
      </c>
      <c r="C1489" s="70">
        <v>0.0</v>
      </c>
      <c r="D1489" s="70">
        <v>0.0</v>
      </c>
      <c r="E1489" s="70">
        <v>0.0</v>
      </c>
      <c r="F1489" s="70">
        <v>0.0</v>
      </c>
      <c r="G1489" s="70">
        <v>0.0</v>
      </c>
      <c r="H1489" s="70" t="s">
        <v>27263</v>
      </c>
      <c r="I1489" s="70">
        <v>2946.0</v>
      </c>
      <c r="J1489" s="70" t="s">
        <v>27261</v>
      </c>
      <c r="K1489" s="70" t="s">
        <v>27262</v>
      </c>
      <c r="W1489" s="70" t="s">
        <v>30485</v>
      </c>
      <c r="AA1489" s="70" t="s">
        <v>27265</v>
      </c>
      <c r="AI1489" s="70" t="s">
        <v>27266</v>
      </c>
      <c r="AJ1489" s="70" t="s">
        <v>27267</v>
      </c>
      <c r="AK1489" s="70">
        <v>2022.0</v>
      </c>
      <c r="AL1489" s="70" t="s">
        <v>27268</v>
      </c>
      <c r="AN1489" s="70">
        <v>1534.0</v>
      </c>
      <c r="AO1489" s="70">
        <v>1539.0</v>
      </c>
      <c r="AP1489" s="70">
        <v>5.0</v>
      </c>
      <c r="AQ1489" s="70">
        <v>7.0</v>
      </c>
      <c r="AR1489" s="75" t="s">
        <v>27269</v>
      </c>
      <c r="AS1489" s="70" t="s">
        <v>22525</v>
      </c>
      <c r="AU1489" s="70" t="s">
        <v>237</v>
      </c>
      <c r="AV1489" s="70" t="s">
        <v>27270</v>
      </c>
      <c r="AW1489" s="70" t="s">
        <v>27271</v>
      </c>
      <c r="AZ1489" s="70">
        <v>997.0</v>
      </c>
    </row>
    <row r="1490" ht="22.5" customHeight="1">
      <c r="A1490" s="70" t="str">
        <f t="shared" si="1"/>
        <v>Excluded</v>
      </c>
      <c r="B1490" s="70">
        <f t="shared" si="2"/>
        <v>0</v>
      </c>
      <c r="C1490" s="70">
        <v>0.0</v>
      </c>
      <c r="D1490" s="70">
        <v>0.0</v>
      </c>
      <c r="E1490" s="70">
        <v>0.0</v>
      </c>
      <c r="F1490" s="70">
        <v>0.0</v>
      </c>
      <c r="G1490" s="70">
        <v>0.0</v>
      </c>
      <c r="H1490" s="70" t="s">
        <v>7890</v>
      </c>
      <c r="I1490" s="70">
        <v>760.0</v>
      </c>
      <c r="J1490" s="70" t="s">
        <v>7887</v>
      </c>
      <c r="K1490" s="70" t="s">
        <v>7888</v>
      </c>
      <c r="L1490" s="70" t="s">
        <v>7889</v>
      </c>
      <c r="P1490" s="76">
        <v>44525.0</v>
      </c>
      <c r="U1490" s="70" t="s">
        <v>239</v>
      </c>
      <c r="W1490" s="70" t="s">
        <v>7892</v>
      </c>
      <c r="X1490" s="70" t="s">
        <v>7893</v>
      </c>
      <c r="Y1490" s="70" t="s">
        <v>7894</v>
      </c>
      <c r="Z1490" s="75" t="s">
        <v>7895</v>
      </c>
      <c r="AA1490" s="70" t="s">
        <v>7896</v>
      </c>
      <c r="AC1490" s="70">
        <v>2.0</v>
      </c>
      <c r="AE1490" s="70">
        <v>20.0</v>
      </c>
      <c r="AF1490" s="70" t="s">
        <v>239</v>
      </c>
      <c r="AW1490" s="70" t="s">
        <v>7897</v>
      </c>
      <c r="AX1490" s="70">
        <v>1.0</v>
      </c>
      <c r="AZ1490" s="70">
        <v>1625.0</v>
      </c>
    </row>
    <row r="1491" ht="22.5" customHeight="1">
      <c r="A1491" s="70" t="str">
        <f t="shared" si="1"/>
        <v>Excluded</v>
      </c>
      <c r="B1491" s="70">
        <f t="shared" si="2"/>
        <v>0</v>
      </c>
      <c r="C1491" s="70">
        <v>0.0</v>
      </c>
      <c r="D1491" s="70">
        <v>0.0</v>
      </c>
      <c r="E1491" s="70">
        <v>0.0</v>
      </c>
      <c r="F1491" s="70">
        <v>0.0</v>
      </c>
      <c r="G1491" s="70">
        <v>0.0</v>
      </c>
      <c r="H1491" s="70" t="s">
        <v>6716</v>
      </c>
      <c r="I1491" s="70">
        <v>639.0</v>
      </c>
      <c r="J1491" s="70" t="s">
        <v>30486</v>
      </c>
      <c r="K1491" s="70" t="s">
        <v>6714</v>
      </c>
      <c r="L1491" s="70" t="s">
        <v>6715</v>
      </c>
      <c r="P1491" s="78">
        <v>43965.0</v>
      </c>
      <c r="U1491" s="70" t="s">
        <v>239</v>
      </c>
      <c r="W1491" s="70" t="s">
        <v>6718</v>
      </c>
      <c r="X1491" s="70" t="s">
        <v>6719</v>
      </c>
      <c r="Z1491" s="75" t="s">
        <v>6720</v>
      </c>
      <c r="AA1491" s="70" t="s">
        <v>6721</v>
      </c>
      <c r="AC1491" s="70">
        <v>5.0</v>
      </c>
      <c r="AE1491" s="70">
        <v>30.0</v>
      </c>
      <c r="AF1491" s="70" t="s">
        <v>239</v>
      </c>
      <c r="AW1491" s="70" t="s">
        <v>6722</v>
      </c>
      <c r="AZ1491" s="70">
        <v>1060.0</v>
      </c>
    </row>
    <row r="1492" ht="22.5" customHeight="1">
      <c r="A1492" s="70" t="str">
        <f t="shared" si="1"/>
        <v>Excluded</v>
      </c>
      <c r="B1492" s="70">
        <f t="shared" si="2"/>
        <v>0</v>
      </c>
      <c r="C1492" s="70">
        <v>0.0</v>
      </c>
      <c r="D1492" s="70">
        <v>0.0</v>
      </c>
      <c r="E1492" s="70">
        <v>0.0</v>
      </c>
      <c r="F1492" s="70">
        <v>0.0</v>
      </c>
      <c r="G1492" s="70">
        <v>0.0</v>
      </c>
      <c r="H1492" s="70" t="s">
        <v>7257</v>
      </c>
      <c r="I1492" s="70">
        <v>695.0</v>
      </c>
      <c r="J1492" s="70" t="s">
        <v>7254</v>
      </c>
      <c r="K1492" s="70" t="s">
        <v>7255</v>
      </c>
      <c r="L1492" s="70" t="s">
        <v>7256</v>
      </c>
      <c r="P1492" s="76">
        <v>45005.0</v>
      </c>
      <c r="U1492" s="70" t="s">
        <v>239</v>
      </c>
      <c r="W1492" s="70" t="s">
        <v>30487</v>
      </c>
      <c r="X1492" s="70" t="s">
        <v>7260</v>
      </c>
      <c r="Z1492" s="75" t="s">
        <v>7261</v>
      </c>
      <c r="AA1492" s="70" t="s">
        <v>7262</v>
      </c>
      <c r="AC1492" s="70">
        <v>4.0</v>
      </c>
      <c r="AE1492" s="70">
        <v>17.0</v>
      </c>
      <c r="AF1492" s="70" t="s">
        <v>239</v>
      </c>
      <c r="AW1492" s="70" t="s">
        <v>7263</v>
      </c>
      <c r="AX1492" s="70">
        <v>0.0</v>
      </c>
      <c r="AY1492" s="70" t="s">
        <v>24</v>
      </c>
      <c r="AZ1492" s="70">
        <v>1924.0</v>
      </c>
    </row>
    <row r="1493" ht="22.5" customHeight="1">
      <c r="A1493" s="70" t="str">
        <f t="shared" si="1"/>
        <v>Excluded</v>
      </c>
      <c r="B1493" s="70">
        <f t="shared" si="2"/>
        <v>0</v>
      </c>
      <c r="C1493" s="70">
        <v>0.0</v>
      </c>
      <c r="D1493" s="70">
        <v>0.0</v>
      </c>
      <c r="E1493" s="70">
        <v>0.0</v>
      </c>
      <c r="F1493" s="70">
        <v>0.0</v>
      </c>
      <c r="G1493" s="70">
        <v>0.0</v>
      </c>
      <c r="H1493" s="70" t="s">
        <v>15495</v>
      </c>
      <c r="I1493" s="70">
        <v>1617.0</v>
      </c>
      <c r="J1493" s="70" t="s">
        <v>15492</v>
      </c>
      <c r="K1493" s="70" t="s">
        <v>15493</v>
      </c>
      <c r="L1493" s="70" t="s">
        <v>15494</v>
      </c>
      <c r="N1493" s="70" t="s">
        <v>13790</v>
      </c>
      <c r="P1493" s="77">
        <v>45078.0</v>
      </c>
      <c r="U1493" s="70" t="s">
        <v>239</v>
      </c>
      <c r="W1493" s="70" t="s">
        <v>15497</v>
      </c>
      <c r="X1493" s="70" t="s">
        <v>15498</v>
      </c>
      <c r="Z1493" s="75" t="s">
        <v>15499</v>
      </c>
      <c r="AA1493" s="70" t="s">
        <v>15500</v>
      </c>
      <c r="AE1493" s="70">
        <v>24.0</v>
      </c>
      <c r="AF1493" s="70" t="s">
        <v>239</v>
      </c>
      <c r="AW1493" s="70" t="s">
        <v>15501</v>
      </c>
      <c r="AZ1493" s="70">
        <v>227.0</v>
      </c>
    </row>
    <row r="1494" ht="22.5" customHeight="1">
      <c r="A1494" s="70" t="str">
        <f t="shared" si="1"/>
        <v>Excluded</v>
      </c>
      <c r="B1494" s="70">
        <f t="shared" si="2"/>
        <v>0</v>
      </c>
      <c r="C1494" s="70">
        <v>0.0</v>
      </c>
      <c r="D1494" s="70">
        <v>0.0</v>
      </c>
      <c r="E1494" s="70">
        <v>0.0</v>
      </c>
      <c r="F1494" s="70">
        <v>0.0</v>
      </c>
      <c r="G1494" s="70">
        <v>0.0</v>
      </c>
      <c r="H1494" s="70" t="s">
        <v>14929</v>
      </c>
      <c r="I1494" s="70">
        <v>1556.0</v>
      </c>
      <c r="J1494" s="70" t="s">
        <v>14927</v>
      </c>
      <c r="K1494" s="70" t="s">
        <v>14928</v>
      </c>
      <c r="L1494" s="70" t="s">
        <v>13789</v>
      </c>
      <c r="N1494" s="70" t="s">
        <v>13790</v>
      </c>
      <c r="P1494" s="77">
        <v>45450.0</v>
      </c>
      <c r="U1494" s="70" t="s">
        <v>239</v>
      </c>
      <c r="W1494" s="70" t="s">
        <v>14931</v>
      </c>
      <c r="X1494" s="70" t="s">
        <v>13794</v>
      </c>
      <c r="Z1494" s="75" t="s">
        <v>14932</v>
      </c>
      <c r="AA1494" s="70" t="s">
        <v>14933</v>
      </c>
      <c r="AE1494" s="70">
        <v>20.0</v>
      </c>
      <c r="AF1494" s="70" t="s">
        <v>239</v>
      </c>
      <c r="AW1494" s="70" t="s">
        <v>14934</v>
      </c>
      <c r="AX1494" s="70">
        <v>0.0</v>
      </c>
      <c r="AY1494" s="70" t="s">
        <v>24</v>
      </c>
      <c r="AZ1494" s="70">
        <v>3059.0</v>
      </c>
    </row>
    <row r="1495" ht="22.5" customHeight="1">
      <c r="A1495" s="70" t="str">
        <f t="shared" si="1"/>
        <v>Excluded</v>
      </c>
      <c r="B1495" s="70">
        <f t="shared" si="2"/>
        <v>0</v>
      </c>
      <c r="C1495" s="70">
        <v>0.0</v>
      </c>
      <c r="D1495" s="70">
        <v>0.0</v>
      </c>
      <c r="E1495" s="70">
        <v>0.0</v>
      </c>
      <c r="F1495" s="70">
        <v>0.0</v>
      </c>
      <c r="G1495" s="70">
        <v>0.0</v>
      </c>
      <c r="H1495" s="70" t="s">
        <v>13791</v>
      </c>
      <c r="I1495" s="70">
        <v>1436.0</v>
      </c>
      <c r="J1495" s="70" t="s">
        <v>13787</v>
      </c>
      <c r="K1495" s="70" t="s">
        <v>13788</v>
      </c>
      <c r="L1495" s="70" t="s">
        <v>13789</v>
      </c>
      <c r="N1495" s="70" t="s">
        <v>13790</v>
      </c>
      <c r="P1495" s="77">
        <v>45450.0</v>
      </c>
      <c r="U1495" s="70" t="s">
        <v>239</v>
      </c>
      <c r="W1495" s="70" t="s">
        <v>13793</v>
      </c>
      <c r="X1495" s="70" t="s">
        <v>13794</v>
      </c>
      <c r="Z1495" s="75" t="s">
        <v>13795</v>
      </c>
      <c r="AA1495" s="70" t="s">
        <v>13796</v>
      </c>
      <c r="AE1495" s="70">
        <v>15.0</v>
      </c>
      <c r="AF1495" s="70" t="s">
        <v>239</v>
      </c>
      <c r="AW1495" s="70" t="s">
        <v>13797</v>
      </c>
      <c r="AX1495" s="70">
        <v>0.0</v>
      </c>
      <c r="AY1495" s="70" t="s">
        <v>24</v>
      </c>
      <c r="AZ1495" s="70">
        <v>2679.0</v>
      </c>
    </row>
    <row r="1496" ht="22.5" customHeight="1">
      <c r="A1496" s="70" t="str">
        <f t="shared" si="1"/>
        <v>Excluded</v>
      </c>
      <c r="B1496" s="70">
        <f t="shared" si="2"/>
        <v>0</v>
      </c>
      <c r="C1496" s="70">
        <v>0.0</v>
      </c>
      <c r="D1496" s="70">
        <v>0.0</v>
      </c>
      <c r="E1496" s="70">
        <v>0.0</v>
      </c>
      <c r="F1496" s="70">
        <v>0.0</v>
      </c>
      <c r="G1496" s="70">
        <v>0.0</v>
      </c>
      <c r="H1496" s="70" t="s">
        <v>16220</v>
      </c>
      <c r="I1496" s="70">
        <v>1751.0</v>
      </c>
      <c r="K1496" s="70" t="s">
        <v>10734</v>
      </c>
      <c r="L1496" s="70" t="s">
        <v>16219</v>
      </c>
      <c r="P1496" s="76">
        <v>45727.0</v>
      </c>
      <c r="U1496" s="70" t="s">
        <v>239</v>
      </c>
      <c r="X1496" s="70" t="s">
        <v>16221</v>
      </c>
      <c r="Z1496" s="75" t="s">
        <v>16222</v>
      </c>
      <c r="AF1496" s="70" t="s">
        <v>239</v>
      </c>
      <c r="AZ1496" s="70">
        <v>1370.0</v>
      </c>
    </row>
    <row r="1497" ht="22.5" customHeight="1">
      <c r="A1497" s="70" t="str">
        <f t="shared" si="1"/>
        <v>Excluded</v>
      </c>
      <c r="B1497" s="70">
        <f t="shared" si="2"/>
        <v>0</v>
      </c>
      <c r="C1497" s="70">
        <v>0.0</v>
      </c>
      <c r="D1497" s="70">
        <v>0.0</v>
      </c>
      <c r="E1497" s="70">
        <v>0.0</v>
      </c>
      <c r="F1497" s="70">
        <v>0.0</v>
      </c>
      <c r="G1497" s="70">
        <v>0.0</v>
      </c>
      <c r="H1497" s="70" t="s">
        <v>10815</v>
      </c>
      <c r="I1497" s="70">
        <v>1096.0</v>
      </c>
      <c r="K1497" s="70" t="s">
        <v>9426</v>
      </c>
      <c r="L1497" s="70" t="s">
        <v>10813</v>
      </c>
      <c r="N1497" s="70" t="s">
        <v>10814</v>
      </c>
      <c r="P1497" s="76">
        <v>44938.0</v>
      </c>
      <c r="U1497" s="70" t="s">
        <v>239</v>
      </c>
      <c r="W1497" s="70" t="s">
        <v>10817</v>
      </c>
      <c r="X1497" s="70" t="s">
        <v>10818</v>
      </c>
      <c r="Z1497" s="75" t="s">
        <v>10819</v>
      </c>
      <c r="AF1497" s="70" t="s">
        <v>239</v>
      </c>
      <c r="AZ1497" s="70">
        <v>1528.0</v>
      </c>
    </row>
    <row r="1498" ht="22.5" customHeight="1">
      <c r="A1498" s="70" t="str">
        <f t="shared" si="1"/>
        <v>Excluded</v>
      </c>
      <c r="B1498" s="70">
        <f t="shared" si="2"/>
        <v>0</v>
      </c>
      <c r="C1498" s="70">
        <v>0.0</v>
      </c>
      <c r="D1498" s="70">
        <v>0.0</v>
      </c>
      <c r="E1498" s="70">
        <v>0.0</v>
      </c>
      <c r="F1498" s="70">
        <v>0.0</v>
      </c>
      <c r="G1498" s="70">
        <v>0.0</v>
      </c>
      <c r="H1498" s="70" t="s">
        <v>11905</v>
      </c>
      <c r="I1498" s="70">
        <v>1245.0</v>
      </c>
      <c r="J1498" s="70" t="s">
        <v>11902</v>
      </c>
      <c r="K1498" s="70" t="s">
        <v>11903</v>
      </c>
      <c r="L1498" s="70" t="s">
        <v>11904</v>
      </c>
      <c r="N1498" s="70" t="s">
        <v>10814</v>
      </c>
      <c r="P1498" s="76">
        <v>45180.0</v>
      </c>
      <c r="U1498" s="70" t="s">
        <v>239</v>
      </c>
      <c r="W1498" s="70" t="s">
        <v>11907</v>
      </c>
      <c r="X1498" s="70" t="s">
        <v>11908</v>
      </c>
      <c r="Z1498" s="75" t="s">
        <v>11909</v>
      </c>
      <c r="AA1498" s="70" t="s">
        <v>11910</v>
      </c>
      <c r="AC1498" s="70">
        <v>1.0</v>
      </c>
      <c r="AE1498" s="70">
        <v>16.0</v>
      </c>
      <c r="AF1498" s="70" t="s">
        <v>239</v>
      </c>
      <c r="AW1498" s="70" t="s">
        <v>11911</v>
      </c>
      <c r="AZ1498" s="70">
        <v>1171.0</v>
      </c>
    </row>
    <row r="1499" ht="22.5" customHeight="1">
      <c r="A1499" s="70" t="str">
        <f t="shared" si="1"/>
        <v>Excluded</v>
      </c>
      <c r="B1499" s="70">
        <f t="shared" si="2"/>
        <v>0</v>
      </c>
      <c r="C1499" s="70">
        <v>0.0</v>
      </c>
      <c r="D1499" s="70">
        <v>0.0</v>
      </c>
      <c r="E1499" s="70">
        <v>0.0</v>
      </c>
      <c r="F1499" s="70">
        <v>0.0</v>
      </c>
      <c r="G1499" s="70">
        <v>0.0</v>
      </c>
      <c r="H1499" s="70" t="s">
        <v>9387</v>
      </c>
      <c r="I1499" s="70">
        <v>916.0</v>
      </c>
      <c r="J1499" s="70" t="s">
        <v>9384</v>
      </c>
      <c r="K1499" s="70" t="s">
        <v>9385</v>
      </c>
      <c r="L1499" s="70" t="s">
        <v>9386</v>
      </c>
      <c r="P1499" s="77">
        <v>43991.0</v>
      </c>
      <c r="U1499" s="70" t="s">
        <v>239</v>
      </c>
      <c r="W1499" s="70" t="s">
        <v>9389</v>
      </c>
      <c r="X1499" s="70" t="s">
        <v>9390</v>
      </c>
      <c r="Z1499" s="75" t="s">
        <v>9391</v>
      </c>
      <c r="AA1499" s="70" t="s">
        <v>9392</v>
      </c>
      <c r="AE1499" s="70">
        <v>18.0</v>
      </c>
      <c r="AF1499" s="70" t="s">
        <v>239</v>
      </c>
      <c r="AW1499" s="70" t="s">
        <v>9393</v>
      </c>
      <c r="AX1499" s="70">
        <v>0.0</v>
      </c>
      <c r="AY1499" s="70" t="s">
        <v>24</v>
      </c>
      <c r="AZ1499" s="70">
        <v>2686.0</v>
      </c>
    </row>
    <row r="1500" ht="22.5" customHeight="1">
      <c r="A1500" s="70" t="str">
        <f t="shared" si="1"/>
        <v>Excluded</v>
      </c>
      <c r="B1500" s="70">
        <f t="shared" si="2"/>
        <v>0</v>
      </c>
      <c r="C1500" s="70">
        <v>0.0</v>
      </c>
      <c r="D1500" s="70">
        <v>0.0</v>
      </c>
      <c r="E1500" s="70">
        <v>0.0</v>
      </c>
      <c r="F1500" s="70">
        <v>0.0</v>
      </c>
      <c r="G1500" s="70">
        <v>0.0</v>
      </c>
      <c r="H1500" s="70" t="s">
        <v>9941</v>
      </c>
      <c r="I1500" s="70">
        <v>974.0</v>
      </c>
      <c r="J1500" s="70" t="s">
        <v>9938</v>
      </c>
      <c r="K1500" s="70" t="s">
        <v>9939</v>
      </c>
      <c r="L1500" s="70" t="s">
        <v>9940</v>
      </c>
      <c r="P1500" s="76">
        <v>44790.0</v>
      </c>
      <c r="U1500" s="70" t="s">
        <v>239</v>
      </c>
      <c r="W1500" s="70" t="s">
        <v>9943</v>
      </c>
      <c r="X1500" s="70" t="s">
        <v>9944</v>
      </c>
      <c r="Z1500" s="75" t="s">
        <v>9945</v>
      </c>
      <c r="AA1500" s="70" t="s">
        <v>9946</v>
      </c>
      <c r="AE1500" s="70">
        <v>7.0</v>
      </c>
      <c r="AF1500" s="70" t="s">
        <v>239</v>
      </c>
      <c r="AW1500" s="70" t="s">
        <v>9947</v>
      </c>
      <c r="AZ1500" s="70">
        <v>489.0</v>
      </c>
    </row>
    <row r="1501" ht="22.5" customHeight="1">
      <c r="A1501" s="70" t="str">
        <f t="shared" si="1"/>
        <v>Excluded</v>
      </c>
      <c r="B1501" s="70">
        <f t="shared" si="2"/>
        <v>0</v>
      </c>
      <c r="C1501" s="70">
        <v>0.0</v>
      </c>
      <c r="D1501" s="70">
        <v>0.0</v>
      </c>
      <c r="E1501" s="70">
        <v>0.0</v>
      </c>
      <c r="F1501" s="70">
        <v>0.0</v>
      </c>
      <c r="G1501" s="70">
        <v>0.0</v>
      </c>
      <c r="H1501" s="70" t="s">
        <v>25669</v>
      </c>
      <c r="I1501" s="70">
        <v>2791.0</v>
      </c>
      <c r="J1501" s="70" t="s">
        <v>25667</v>
      </c>
      <c r="K1501" s="70" t="s">
        <v>25668</v>
      </c>
      <c r="W1501" s="70" t="s">
        <v>30488</v>
      </c>
      <c r="AA1501" s="70" t="s">
        <v>25671</v>
      </c>
      <c r="AI1501" s="70" t="s">
        <v>25672</v>
      </c>
      <c r="AJ1501" s="70" t="s">
        <v>25673</v>
      </c>
      <c r="AK1501" s="70">
        <v>2023.0</v>
      </c>
      <c r="AL1501" s="70" t="s">
        <v>25674</v>
      </c>
      <c r="AN1501" s="70">
        <v>501.0</v>
      </c>
      <c r="AO1501" s="70">
        <v>507.0</v>
      </c>
      <c r="AP1501" s="70">
        <v>6.0</v>
      </c>
      <c r="AQ1501" s="70">
        <v>0.0</v>
      </c>
      <c r="AR1501" s="75" t="s">
        <v>25675</v>
      </c>
      <c r="AS1501" s="70" t="s">
        <v>22525</v>
      </c>
      <c r="AU1501" s="70" t="s">
        <v>237</v>
      </c>
      <c r="AV1501" s="70" t="s">
        <v>25676</v>
      </c>
      <c r="AW1501" s="70" t="s">
        <v>25677</v>
      </c>
      <c r="AZ1501" s="70">
        <v>593.0</v>
      </c>
    </row>
    <row r="1502" ht="22.5" customHeight="1">
      <c r="A1502" s="70" t="str">
        <f t="shared" si="1"/>
        <v>Excluded</v>
      </c>
      <c r="B1502" s="70">
        <f t="shared" si="2"/>
        <v>0</v>
      </c>
      <c r="C1502" s="70">
        <v>0.0</v>
      </c>
      <c r="D1502" s="70">
        <v>0.0</v>
      </c>
      <c r="E1502" s="70">
        <v>0.0</v>
      </c>
      <c r="F1502" s="70">
        <v>0.0</v>
      </c>
      <c r="G1502" s="70">
        <v>0.0</v>
      </c>
      <c r="H1502" s="70" t="s">
        <v>7509</v>
      </c>
      <c r="I1502" s="70">
        <v>721.0</v>
      </c>
      <c r="J1502" s="70" t="s">
        <v>7505</v>
      </c>
      <c r="K1502" s="70" t="s">
        <v>7506</v>
      </c>
      <c r="L1502" s="70" t="s">
        <v>7507</v>
      </c>
      <c r="N1502" s="70" t="s">
        <v>7508</v>
      </c>
      <c r="P1502" s="76">
        <v>43934.0</v>
      </c>
      <c r="U1502" s="70" t="s">
        <v>239</v>
      </c>
      <c r="W1502" s="70" t="s">
        <v>7511</v>
      </c>
      <c r="X1502" s="70" t="s">
        <v>7512</v>
      </c>
      <c r="Z1502" s="75" t="s">
        <v>7513</v>
      </c>
      <c r="AA1502" s="70" t="s">
        <v>7514</v>
      </c>
      <c r="AC1502" s="70">
        <v>3.0</v>
      </c>
      <c r="AE1502" s="70">
        <v>12.0</v>
      </c>
      <c r="AF1502" s="70" t="s">
        <v>239</v>
      </c>
      <c r="AZ1502" s="70">
        <v>805.0</v>
      </c>
    </row>
    <row r="1503" ht="22.5" customHeight="1">
      <c r="A1503" s="70" t="str">
        <f t="shared" si="1"/>
        <v>Excluded</v>
      </c>
      <c r="B1503" s="70">
        <f t="shared" si="2"/>
        <v>0</v>
      </c>
      <c r="C1503" s="70">
        <v>0.0</v>
      </c>
      <c r="D1503" s="70">
        <v>0.0</v>
      </c>
      <c r="E1503" s="70">
        <v>0.0</v>
      </c>
      <c r="F1503" s="70">
        <v>0.0</v>
      </c>
      <c r="G1503" s="70">
        <v>0.0</v>
      </c>
      <c r="H1503" s="70" t="s">
        <v>8336</v>
      </c>
      <c r="I1503" s="70">
        <v>807.0</v>
      </c>
      <c r="J1503" s="70" t="s">
        <v>8333</v>
      </c>
      <c r="K1503" s="70" t="s">
        <v>8334</v>
      </c>
      <c r="L1503" s="70" t="s">
        <v>8335</v>
      </c>
      <c r="N1503" s="70" t="s">
        <v>7508</v>
      </c>
      <c r="P1503" s="77">
        <v>44235.0</v>
      </c>
      <c r="U1503" s="70" t="s">
        <v>239</v>
      </c>
      <c r="W1503" s="70" t="s">
        <v>8338</v>
      </c>
      <c r="X1503" s="70" t="s">
        <v>8339</v>
      </c>
      <c r="Z1503" s="75" t="s">
        <v>8340</v>
      </c>
      <c r="AA1503" s="70" t="s">
        <v>8341</v>
      </c>
      <c r="AC1503" s="70">
        <v>2.0</v>
      </c>
      <c r="AE1503" s="70">
        <v>27.0</v>
      </c>
      <c r="AF1503" s="70" t="s">
        <v>239</v>
      </c>
      <c r="AW1503" s="70" t="s">
        <v>8342</v>
      </c>
      <c r="AX1503" s="70">
        <v>0.0</v>
      </c>
      <c r="AY1503" s="70" t="s">
        <v>24</v>
      </c>
      <c r="AZ1503" s="70">
        <v>2919.0</v>
      </c>
    </row>
    <row r="1504" ht="22.5" customHeight="1">
      <c r="A1504" s="70" t="str">
        <f t="shared" si="1"/>
        <v>Excluded</v>
      </c>
      <c r="B1504" s="70">
        <f t="shared" si="2"/>
        <v>0</v>
      </c>
      <c r="C1504" s="70">
        <v>0.0</v>
      </c>
      <c r="D1504" s="70">
        <v>0.0</v>
      </c>
      <c r="E1504" s="70">
        <v>0.0</v>
      </c>
      <c r="F1504" s="70">
        <v>0.0</v>
      </c>
      <c r="G1504" s="70">
        <v>0.0</v>
      </c>
      <c r="H1504" s="70" t="s">
        <v>11162</v>
      </c>
      <c r="I1504" s="70">
        <v>1171.0</v>
      </c>
      <c r="J1504" s="70" t="s">
        <v>11159</v>
      </c>
      <c r="K1504" s="70" t="s">
        <v>11160</v>
      </c>
      <c r="L1504" s="70" t="s">
        <v>11161</v>
      </c>
      <c r="P1504" s="76">
        <v>45400.0</v>
      </c>
      <c r="U1504" s="70" t="s">
        <v>239</v>
      </c>
      <c r="W1504" s="70" t="s">
        <v>30489</v>
      </c>
      <c r="X1504" s="70" t="s">
        <v>11165</v>
      </c>
      <c r="Z1504" s="75" t="s">
        <v>11166</v>
      </c>
      <c r="AA1504" s="70" t="s">
        <v>11167</v>
      </c>
      <c r="AC1504" s="70">
        <v>6.0</v>
      </c>
      <c r="AE1504" s="70">
        <v>32.0</v>
      </c>
      <c r="AF1504" s="70" t="s">
        <v>239</v>
      </c>
      <c r="AW1504" s="70" t="s">
        <v>11168</v>
      </c>
      <c r="AX1504" s="70">
        <v>0.0</v>
      </c>
      <c r="AY1504" s="70" t="s">
        <v>24</v>
      </c>
      <c r="AZ1504" s="70">
        <v>2182.0</v>
      </c>
    </row>
    <row r="1505" ht="22.5" customHeight="1">
      <c r="A1505" s="70" t="str">
        <f t="shared" si="1"/>
        <v>Excluded</v>
      </c>
      <c r="B1505" s="70">
        <f t="shared" si="2"/>
        <v>0</v>
      </c>
      <c r="C1505" s="70">
        <v>0.0</v>
      </c>
      <c r="D1505" s="70">
        <v>0.0</v>
      </c>
      <c r="E1505" s="70">
        <v>0.0</v>
      </c>
      <c r="F1505" s="70">
        <v>0.0</v>
      </c>
      <c r="G1505" s="70">
        <v>0.0</v>
      </c>
      <c r="H1505" s="70" t="s">
        <v>14484</v>
      </c>
      <c r="I1505" s="70">
        <v>1511.0</v>
      </c>
      <c r="J1505" s="70" t="s">
        <v>14482</v>
      </c>
      <c r="K1505" s="70" t="s">
        <v>30490</v>
      </c>
      <c r="L1505" s="70" t="s">
        <v>11161</v>
      </c>
      <c r="P1505" s="76">
        <v>45400.0</v>
      </c>
      <c r="U1505" s="70" t="s">
        <v>239</v>
      </c>
      <c r="W1505" s="70" t="s">
        <v>30491</v>
      </c>
      <c r="X1505" s="70" t="s">
        <v>11165</v>
      </c>
      <c r="Z1505" s="75" t="s">
        <v>14487</v>
      </c>
      <c r="AA1505" s="70" t="s">
        <v>14488</v>
      </c>
      <c r="AE1505" s="70">
        <v>16.0</v>
      </c>
      <c r="AF1505" s="70" t="s">
        <v>239</v>
      </c>
      <c r="AW1505" s="70" t="s">
        <v>14489</v>
      </c>
      <c r="AZ1505" s="70">
        <v>1140.0</v>
      </c>
    </row>
    <row r="1506" ht="22.5" customHeight="1">
      <c r="A1506" s="70" t="str">
        <f t="shared" si="1"/>
        <v>Excluded</v>
      </c>
      <c r="B1506" s="70">
        <f t="shared" si="2"/>
        <v>0</v>
      </c>
      <c r="C1506" s="70">
        <v>0.0</v>
      </c>
      <c r="D1506" s="70">
        <v>0.0</v>
      </c>
      <c r="E1506" s="70">
        <v>0.0</v>
      </c>
      <c r="F1506" s="70">
        <v>0.0</v>
      </c>
      <c r="G1506" s="70">
        <v>0.0</v>
      </c>
      <c r="H1506" s="70" t="s">
        <v>10614</v>
      </c>
      <c r="I1506" s="70">
        <v>1049.0</v>
      </c>
      <c r="K1506" s="70" t="s">
        <v>10612</v>
      </c>
      <c r="L1506" s="70" t="s">
        <v>10613</v>
      </c>
      <c r="P1506" s="77">
        <v>44106.0</v>
      </c>
      <c r="U1506" s="70" t="s">
        <v>239</v>
      </c>
      <c r="W1506" s="70" t="s">
        <v>10615</v>
      </c>
      <c r="X1506" s="70" t="s">
        <v>10616</v>
      </c>
      <c r="Z1506" s="75" t="s">
        <v>10617</v>
      </c>
      <c r="AF1506" s="70" t="s">
        <v>239</v>
      </c>
      <c r="AX1506" s="70">
        <v>1.0</v>
      </c>
      <c r="AZ1506" s="70">
        <v>1626.0</v>
      </c>
    </row>
    <row r="1507" ht="22.5" customHeight="1">
      <c r="A1507" s="70" t="str">
        <f t="shared" si="1"/>
        <v>Excluded</v>
      </c>
      <c r="B1507" s="70">
        <f t="shared" si="2"/>
        <v>0</v>
      </c>
      <c r="C1507" s="70">
        <v>0.0</v>
      </c>
      <c r="D1507" s="70">
        <v>0.0</v>
      </c>
      <c r="E1507" s="70">
        <v>0.0</v>
      </c>
      <c r="F1507" s="70">
        <v>0.0</v>
      </c>
      <c r="G1507" s="70">
        <v>0.0</v>
      </c>
      <c r="H1507" s="70" t="s">
        <v>10874</v>
      </c>
      <c r="I1507" s="70">
        <v>1112.0</v>
      </c>
      <c r="K1507" s="70" t="s">
        <v>10597</v>
      </c>
      <c r="L1507" s="70" t="s">
        <v>10613</v>
      </c>
      <c r="P1507" s="77">
        <v>44106.0</v>
      </c>
      <c r="U1507" s="70" t="s">
        <v>239</v>
      </c>
      <c r="W1507" s="70" t="s">
        <v>10875</v>
      </c>
      <c r="X1507" s="70" t="s">
        <v>10616</v>
      </c>
      <c r="Z1507" s="75" t="s">
        <v>10876</v>
      </c>
      <c r="AF1507" s="70" t="s">
        <v>239</v>
      </c>
      <c r="AZ1507" s="70">
        <v>1555.0</v>
      </c>
    </row>
    <row r="1508" ht="22.5" customHeight="1">
      <c r="A1508" s="70" t="str">
        <f t="shared" si="1"/>
        <v>Excluded</v>
      </c>
      <c r="B1508" s="70">
        <f t="shared" si="2"/>
        <v>0</v>
      </c>
      <c r="C1508" s="70">
        <v>0.0</v>
      </c>
      <c r="D1508" s="70">
        <v>0.0</v>
      </c>
      <c r="E1508" s="70">
        <v>0.0</v>
      </c>
      <c r="F1508" s="70">
        <v>0.0</v>
      </c>
      <c r="G1508" s="70">
        <v>0.0</v>
      </c>
      <c r="H1508" s="70" t="s">
        <v>6747</v>
      </c>
      <c r="I1508" s="70">
        <v>642.0</v>
      </c>
      <c r="J1508" s="70" t="s">
        <v>6743</v>
      </c>
      <c r="K1508" s="70" t="s">
        <v>6744</v>
      </c>
      <c r="L1508" s="70" t="s">
        <v>6745</v>
      </c>
      <c r="N1508" s="70" t="s">
        <v>6746</v>
      </c>
      <c r="P1508" s="76">
        <v>44284.0</v>
      </c>
      <c r="U1508" s="70" t="s">
        <v>239</v>
      </c>
      <c r="W1508" s="70" t="s">
        <v>6749</v>
      </c>
      <c r="X1508" s="70" t="s">
        <v>6750</v>
      </c>
      <c r="Z1508" s="75" t="s">
        <v>6751</v>
      </c>
      <c r="AA1508" s="70" t="s">
        <v>6752</v>
      </c>
      <c r="AC1508" s="70">
        <v>5.0</v>
      </c>
      <c r="AE1508" s="70">
        <v>10.0</v>
      </c>
      <c r="AF1508" s="70" t="s">
        <v>239</v>
      </c>
      <c r="AW1508" s="70" t="s">
        <v>6753</v>
      </c>
      <c r="AX1508" s="70">
        <v>0.0</v>
      </c>
      <c r="AY1508" s="70" t="s">
        <v>24</v>
      </c>
      <c r="AZ1508" s="70">
        <v>2026.0</v>
      </c>
    </row>
    <row r="1509" ht="22.5" customHeight="1">
      <c r="A1509" s="70" t="str">
        <f t="shared" si="1"/>
        <v>Excluded</v>
      </c>
      <c r="B1509" s="70">
        <f t="shared" si="2"/>
        <v>0</v>
      </c>
      <c r="C1509" s="70">
        <v>0.0</v>
      </c>
      <c r="D1509" s="70">
        <v>0.0</v>
      </c>
      <c r="E1509" s="70">
        <v>0.0</v>
      </c>
      <c r="F1509" s="70">
        <v>0.0</v>
      </c>
      <c r="G1509" s="70">
        <v>0.0</v>
      </c>
      <c r="H1509" s="70" t="s">
        <v>11213</v>
      </c>
      <c r="I1509" s="70">
        <v>1176.0</v>
      </c>
      <c r="J1509" s="70" t="s">
        <v>30492</v>
      </c>
      <c r="K1509" s="70" t="s">
        <v>11211</v>
      </c>
      <c r="L1509" s="70" t="s">
        <v>11212</v>
      </c>
      <c r="N1509" s="70" t="s">
        <v>6746</v>
      </c>
      <c r="P1509" s="76">
        <v>45007.0</v>
      </c>
      <c r="U1509" s="70" t="s">
        <v>239</v>
      </c>
      <c r="W1509" s="70" t="s">
        <v>11215</v>
      </c>
      <c r="X1509" s="70" t="s">
        <v>11216</v>
      </c>
      <c r="Z1509" s="75" t="s">
        <v>11217</v>
      </c>
      <c r="AA1509" s="70" t="s">
        <v>11218</v>
      </c>
      <c r="AC1509" s="70">
        <v>5.0</v>
      </c>
      <c r="AE1509" s="70">
        <v>34.0</v>
      </c>
      <c r="AF1509" s="70" t="s">
        <v>239</v>
      </c>
      <c r="AW1509" s="70" t="s">
        <v>11219</v>
      </c>
      <c r="AX1509" s="70">
        <v>0.0</v>
      </c>
      <c r="AY1509" s="70" t="s">
        <v>24</v>
      </c>
      <c r="AZ1509" s="70">
        <v>2671.0</v>
      </c>
    </row>
    <row r="1510" ht="22.5" customHeight="1">
      <c r="A1510" s="70" t="str">
        <f t="shared" si="1"/>
        <v>Excluded</v>
      </c>
      <c r="B1510" s="70">
        <f t="shared" si="2"/>
        <v>0</v>
      </c>
      <c r="C1510" s="70">
        <v>0.0</v>
      </c>
      <c r="D1510" s="70">
        <v>0.0</v>
      </c>
      <c r="E1510" s="70">
        <v>0.0</v>
      </c>
      <c r="F1510" s="70">
        <v>0.0</v>
      </c>
      <c r="G1510" s="70">
        <v>0.0</v>
      </c>
      <c r="H1510" s="70" t="s">
        <v>12693</v>
      </c>
      <c r="I1510" s="70">
        <v>1324.0</v>
      </c>
      <c r="J1510" s="70" t="s">
        <v>12690</v>
      </c>
      <c r="K1510" s="70" t="s">
        <v>12691</v>
      </c>
      <c r="L1510" s="70" t="s">
        <v>12692</v>
      </c>
      <c r="P1510" s="76">
        <v>45196.0</v>
      </c>
      <c r="U1510" s="70" t="s">
        <v>239</v>
      </c>
      <c r="W1510" s="70" t="s">
        <v>12695</v>
      </c>
      <c r="X1510" s="70" t="s">
        <v>12696</v>
      </c>
      <c r="Y1510" s="70" t="s">
        <v>30493</v>
      </c>
      <c r="Z1510" s="75" t="s">
        <v>12698</v>
      </c>
      <c r="AA1510" s="70" t="s">
        <v>12699</v>
      </c>
      <c r="AE1510" s="70">
        <v>8.0</v>
      </c>
      <c r="AF1510" s="70" t="s">
        <v>239</v>
      </c>
      <c r="AW1510" s="70" t="s">
        <v>12700</v>
      </c>
      <c r="AZ1510" s="70">
        <v>606.0</v>
      </c>
    </row>
    <row r="1511" ht="22.5" customHeight="1">
      <c r="A1511" s="70" t="str">
        <f t="shared" si="1"/>
        <v>Excluded</v>
      </c>
      <c r="B1511" s="70">
        <f t="shared" si="2"/>
        <v>0</v>
      </c>
      <c r="C1511" s="70">
        <v>0.0</v>
      </c>
      <c r="D1511" s="70">
        <v>0.0</v>
      </c>
      <c r="E1511" s="70">
        <v>0.0</v>
      </c>
      <c r="F1511" s="70">
        <v>0.0</v>
      </c>
      <c r="G1511" s="70">
        <v>0.0</v>
      </c>
      <c r="H1511" s="70" t="s">
        <v>14504</v>
      </c>
      <c r="I1511" s="70">
        <v>1513.0</v>
      </c>
      <c r="J1511" s="70" t="s">
        <v>14501</v>
      </c>
      <c r="K1511" s="70" t="s">
        <v>14502</v>
      </c>
      <c r="L1511" s="70" t="s">
        <v>14503</v>
      </c>
      <c r="P1511" s="77">
        <v>45323.0</v>
      </c>
      <c r="U1511" s="70" t="s">
        <v>239</v>
      </c>
      <c r="W1511" s="70" t="s">
        <v>14506</v>
      </c>
      <c r="X1511" s="70" t="s">
        <v>14507</v>
      </c>
      <c r="Z1511" s="75" t="s">
        <v>14508</v>
      </c>
      <c r="AA1511" s="70" t="s">
        <v>14509</v>
      </c>
      <c r="AE1511" s="70">
        <v>23.0</v>
      </c>
      <c r="AF1511" s="70" t="s">
        <v>239</v>
      </c>
      <c r="AW1511" s="70" t="s">
        <v>14510</v>
      </c>
      <c r="AZ1511" s="70">
        <v>1081.0</v>
      </c>
    </row>
    <row r="1512" ht="22.5" customHeight="1">
      <c r="A1512" s="70" t="str">
        <f t="shared" si="1"/>
        <v>Excluded</v>
      </c>
      <c r="B1512" s="70">
        <f t="shared" si="2"/>
        <v>0</v>
      </c>
      <c r="C1512" s="70">
        <v>0.0</v>
      </c>
      <c r="D1512" s="70">
        <v>0.0</v>
      </c>
      <c r="E1512" s="70">
        <v>0.0</v>
      </c>
      <c r="F1512" s="70">
        <v>0.0</v>
      </c>
      <c r="G1512" s="70">
        <v>0.0</v>
      </c>
      <c r="H1512" s="70" t="s">
        <v>5361</v>
      </c>
      <c r="I1512" s="70">
        <v>502.0</v>
      </c>
      <c r="J1512" s="70" t="s">
        <v>5358</v>
      </c>
      <c r="K1512" s="70" t="s">
        <v>5359</v>
      </c>
      <c r="L1512" s="70" t="s">
        <v>5360</v>
      </c>
      <c r="P1512" s="77">
        <v>43468.0</v>
      </c>
      <c r="U1512" s="70" t="s">
        <v>239</v>
      </c>
      <c r="W1512" s="70" t="s">
        <v>5363</v>
      </c>
      <c r="X1512" s="70" t="s">
        <v>5364</v>
      </c>
      <c r="Z1512" s="75" t="s">
        <v>5365</v>
      </c>
      <c r="AA1512" s="70" t="s">
        <v>5366</v>
      </c>
      <c r="AC1512" s="70">
        <v>13.0</v>
      </c>
      <c r="AE1512" s="70">
        <v>18.0</v>
      </c>
      <c r="AF1512" s="70" t="s">
        <v>239</v>
      </c>
      <c r="AW1512" s="70" t="s">
        <v>5367</v>
      </c>
      <c r="AZ1512" s="70">
        <v>810.0</v>
      </c>
    </row>
    <row r="1513" ht="22.5" customHeight="1">
      <c r="A1513" s="70" t="str">
        <f t="shared" si="1"/>
        <v>Excluded</v>
      </c>
      <c r="B1513" s="70">
        <f t="shared" si="2"/>
        <v>0</v>
      </c>
      <c r="C1513" s="70">
        <v>0.0</v>
      </c>
      <c r="D1513" s="70">
        <v>0.0</v>
      </c>
      <c r="E1513" s="70">
        <v>0.0</v>
      </c>
      <c r="F1513" s="70">
        <v>0.0</v>
      </c>
      <c r="G1513" s="70">
        <v>0.0</v>
      </c>
      <c r="H1513" s="70" t="s">
        <v>10152</v>
      </c>
      <c r="I1513" s="70">
        <v>996.0</v>
      </c>
      <c r="J1513" s="70" t="s">
        <v>10149</v>
      </c>
      <c r="K1513" s="70" t="s">
        <v>10150</v>
      </c>
      <c r="L1513" s="70" t="s">
        <v>10151</v>
      </c>
      <c r="P1513" s="76">
        <v>44924.0</v>
      </c>
      <c r="U1513" s="70" t="s">
        <v>239</v>
      </c>
      <c r="W1513" s="70" t="s">
        <v>10154</v>
      </c>
      <c r="X1513" s="70" t="s">
        <v>10155</v>
      </c>
      <c r="Z1513" s="75" t="s">
        <v>10156</v>
      </c>
      <c r="AA1513" s="70" t="s">
        <v>10157</v>
      </c>
      <c r="AE1513" s="70">
        <v>16.0</v>
      </c>
      <c r="AF1513" s="70" t="s">
        <v>239</v>
      </c>
      <c r="AW1513" s="70" t="s">
        <v>10158</v>
      </c>
      <c r="AZ1513" s="70">
        <v>202.0</v>
      </c>
    </row>
    <row r="1514" ht="22.5" customHeight="1">
      <c r="A1514" s="70" t="str">
        <f t="shared" si="1"/>
        <v>Excluded</v>
      </c>
      <c r="B1514" s="70">
        <f t="shared" si="2"/>
        <v>0</v>
      </c>
      <c r="C1514" s="70">
        <v>0.0</v>
      </c>
      <c r="D1514" s="70">
        <v>0.0</v>
      </c>
      <c r="E1514" s="70">
        <v>0.0</v>
      </c>
      <c r="F1514" s="70">
        <v>0.0</v>
      </c>
      <c r="G1514" s="70">
        <v>0.0</v>
      </c>
      <c r="H1514" s="70" t="s">
        <v>10524</v>
      </c>
      <c r="I1514" s="70">
        <v>1035.0</v>
      </c>
      <c r="J1514" s="70" t="s">
        <v>10522</v>
      </c>
      <c r="K1514" s="70" t="s">
        <v>10523</v>
      </c>
      <c r="L1514" s="70" t="s">
        <v>10151</v>
      </c>
      <c r="P1514" s="76">
        <v>44924.0</v>
      </c>
      <c r="U1514" s="70" t="s">
        <v>239</v>
      </c>
      <c r="W1514" s="70" t="s">
        <v>10526</v>
      </c>
      <c r="X1514" s="70" t="s">
        <v>10155</v>
      </c>
      <c r="Z1514" s="75" t="s">
        <v>10527</v>
      </c>
      <c r="AA1514" s="70" t="s">
        <v>10528</v>
      </c>
      <c r="AE1514" s="70">
        <v>29.0</v>
      </c>
      <c r="AF1514" s="70" t="s">
        <v>239</v>
      </c>
      <c r="AW1514" s="70" t="s">
        <v>10529</v>
      </c>
      <c r="AX1514" s="70">
        <v>0.0</v>
      </c>
      <c r="AY1514" s="70" t="s">
        <v>24</v>
      </c>
      <c r="AZ1514" s="70">
        <v>3085.0</v>
      </c>
    </row>
    <row r="1515" ht="22.5" customHeight="1">
      <c r="A1515" s="70" t="str">
        <f t="shared" si="1"/>
        <v>Excluded</v>
      </c>
      <c r="B1515" s="70">
        <f t="shared" si="2"/>
        <v>0</v>
      </c>
      <c r="C1515" s="70">
        <v>0.0</v>
      </c>
      <c r="D1515" s="70">
        <v>0.0</v>
      </c>
      <c r="E1515" s="70">
        <v>0.0</v>
      </c>
      <c r="F1515" s="70">
        <v>0.0</v>
      </c>
      <c r="G1515" s="70">
        <v>0.0</v>
      </c>
      <c r="H1515" s="70" t="s">
        <v>14164</v>
      </c>
      <c r="I1515" s="70">
        <v>1476.0</v>
      </c>
      <c r="J1515" s="70" t="s">
        <v>14161</v>
      </c>
      <c r="K1515" s="70" t="s">
        <v>14162</v>
      </c>
      <c r="L1515" s="70" t="s">
        <v>14163</v>
      </c>
      <c r="P1515" s="79">
        <v>45415.0</v>
      </c>
      <c r="U1515" s="70" t="s">
        <v>239</v>
      </c>
      <c r="W1515" s="70" t="s">
        <v>14166</v>
      </c>
      <c r="X1515" s="70" t="s">
        <v>14167</v>
      </c>
      <c r="Z1515" s="75" t="s">
        <v>14168</v>
      </c>
      <c r="AA1515" s="70" t="s">
        <v>14169</v>
      </c>
      <c r="AE1515" s="70">
        <v>13.0</v>
      </c>
      <c r="AF1515" s="70" t="s">
        <v>239</v>
      </c>
      <c r="AW1515" s="70" t="s">
        <v>14170</v>
      </c>
      <c r="AZ1515" s="70">
        <v>968.0</v>
      </c>
    </row>
    <row r="1516" ht="22.5" customHeight="1">
      <c r="A1516" s="70" t="str">
        <f t="shared" si="1"/>
        <v>Excluded</v>
      </c>
      <c r="B1516" s="70">
        <f t="shared" si="2"/>
        <v>0</v>
      </c>
      <c r="C1516" s="70">
        <v>0.0</v>
      </c>
      <c r="D1516" s="70">
        <v>0.0</v>
      </c>
      <c r="E1516" s="70">
        <v>0.0</v>
      </c>
      <c r="F1516" s="70">
        <v>0.0</v>
      </c>
      <c r="G1516" s="70">
        <v>0.0</v>
      </c>
      <c r="H1516" s="70" t="s">
        <v>12765</v>
      </c>
      <c r="I1516" s="70">
        <v>1331.0</v>
      </c>
      <c r="J1516" s="70" t="s">
        <v>12762</v>
      </c>
      <c r="K1516" s="70" t="s">
        <v>12763</v>
      </c>
      <c r="L1516" s="70" t="s">
        <v>12764</v>
      </c>
      <c r="P1516" s="76">
        <v>45708.0</v>
      </c>
      <c r="U1516" s="70" t="s">
        <v>239</v>
      </c>
      <c r="W1516" s="70" t="s">
        <v>30494</v>
      </c>
      <c r="X1516" s="70" t="s">
        <v>12768</v>
      </c>
      <c r="Z1516" s="75" t="s">
        <v>12769</v>
      </c>
      <c r="AA1516" s="70" t="s">
        <v>12770</v>
      </c>
      <c r="AE1516" s="70">
        <v>51.0</v>
      </c>
      <c r="AF1516" s="70" t="s">
        <v>239</v>
      </c>
      <c r="AW1516" s="70" t="s">
        <v>12771</v>
      </c>
      <c r="AX1516" s="70">
        <v>0.0</v>
      </c>
      <c r="AY1516" s="70" t="s">
        <v>24</v>
      </c>
      <c r="AZ1516" s="70">
        <v>3055.0</v>
      </c>
    </row>
    <row r="1517" ht="22.5" customHeight="1">
      <c r="A1517" s="70" t="str">
        <f t="shared" si="1"/>
        <v>Excluded</v>
      </c>
      <c r="B1517" s="70">
        <f t="shared" si="2"/>
        <v>0</v>
      </c>
      <c r="C1517" s="70">
        <v>0.0</v>
      </c>
      <c r="D1517" s="70">
        <v>0.0</v>
      </c>
      <c r="E1517" s="70">
        <v>0.0</v>
      </c>
      <c r="F1517" s="70">
        <v>0.0</v>
      </c>
      <c r="G1517" s="70">
        <v>0.0</v>
      </c>
      <c r="H1517" s="70" t="s">
        <v>10724</v>
      </c>
      <c r="I1517" s="70">
        <v>1073.0</v>
      </c>
      <c r="K1517" s="70" t="s">
        <v>10618</v>
      </c>
      <c r="L1517" s="70" t="s">
        <v>10723</v>
      </c>
      <c r="P1517" s="77">
        <v>44137.0</v>
      </c>
      <c r="U1517" s="70" t="s">
        <v>239</v>
      </c>
      <c r="W1517" s="70" t="s">
        <v>10602</v>
      </c>
      <c r="X1517" s="70" t="s">
        <v>10725</v>
      </c>
      <c r="Z1517" s="75" t="s">
        <v>10726</v>
      </c>
      <c r="AF1517" s="70" t="s">
        <v>239</v>
      </c>
      <c r="AZ1517" s="70">
        <v>1608.0</v>
      </c>
    </row>
    <row r="1518" ht="22.5" customHeight="1">
      <c r="A1518" s="70" t="str">
        <f t="shared" si="1"/>
        <v>Excluded</v>
      </c>
      <c r="B1518" s="70">
        <f t="shared" si="2"/>
        <v>0</v>
      </c>
      <c r="C1518" s="70">
        <v>0.0</v>
      </c>
      <c r="D1518" s="70">
        <v>0.0</v>
      </c>
      <c r="E1518" s="70">
        <v>0.0</v>
      </c>
      <c r="F1518" s="70">
        <v>0.0</v>
      </c>
      <c r="G1518" s="70">
        <v>0.0</v>
      </c>
      <c r="H1518" s="70" t="s">
        <v>10821</v>
      </c>
      <c r="I1518" s="70">
        <v>1097.0</v>
      </c>
      <c r="K1518" s="70" t="s">
        <v>10618</v>
      </c>
      <c r="L1518" s="70" t="s">
        <v>10820</v>
      </c>
      <c r="P1518" s="76">
        <v>43482.0</v>
      </c>
      <c r="U1518" s="70" t="s">
        <v>239</v>
      </c>
      <c r="W1518" s="70" t="s">
        <v>10602</v>
      </c>
      <c r="X1518" s="70" t="s">
        <v>10822</v>
      </c>
      <c r="Z1518" s="75" t="s">
        <v>10823</v>
      </c>
      <c r="AF1518" s="70" t="s">
        <v>239</v>
      </c>
      <c r="AZ1518" s="70">
        <v>1617.0</v>
      </c>
    </row>
    <row r="1519" ht="22.5" customHeight="1">
      <c r="A1519" s="70" t="str">
        <f t="shared" si="1"/>
        <v>Excluded</v>
      </c>
      <c r="B1519" s="70">
        <f t="shared" si="2"/>
        <v>0</v>
      </c>
      <c r="C1519" s="70">
        <v>0.0</v>
      </c>
      <c r="D1519" s="70">
        <v>0.0</v>
      </c>
      <c r="E1519" s="70">
        <v>0.0</v>
      </c>
      <c r="F1519" s="70">
        <v>0.0</v>
      </c>
      <c r="G1519" s="70">
        <v>0.0</v>
      </c>
      <c r="H1519" s="70" t="s">
        <v>10262</v>
      </c>
      <c r="I1519" s="70">
        <v>1008.0</v>
      </c>
      <c r="J1519" s="70" t="s">
        <v>10260</v>
      </c>
      <c r="K1519" s="70" t="s">
        <v>10261</v>
      </c>
      <c r="L1519" s="70" t="s">
        <v>9319</v>
      </c>
      <c r="P1519" s="76">
        <v>44459.0</v>
      </c>
      <c r="U1519" s="70" t="s">
        <v>239</v>
      </c>
      <c r="W1519" s="70" t="s">
        <v>30495</v>
      </c>
      <c r="X1519" s="70" t="s">
        <v>9323</v>
      </c>
      <c r="Z1519" s="75" t="s">
        <v>10265</v>
      </c>
      <c r="AA1519" s="70" t="s">
        <v>10266</v>
      </c>
      <c r="AE1519" s="70">
        <v>4.0</v>
      </c>
      <c r="AF1519" s="70" t="s">
        <v>239</v>
      </c>
      <c r="AW1519" s="70" t="s">
        <v>10267</v>
      </c>
      <c r="AZ1519" s="70">
        <v>663.0</v>
      </c>
    </row>
    <row r="1520" ht="22.5" customHeight="1">
      <c r="A1520" s="70" t="str">
        <f t="shared" si="1"/>
        <v>Excluded</v>
      </c>
      <c r="B1520" s="70">
        <f t="shared" si="2"/>
        <v>0</v>
      </c>
      <c r="C1520" s="70">
        <v>0.0</v>
      </c>
      <c r="D1520" s="70">
        <v>0.0</v>
      </c>
      <c r="E1520" s="70">
        <v>0.0</v>
      </c>
      <c r="F1520" s="70">
        <v>0.0</v>
      </c>
      <c r="G1520" s="70">
        <v>0.0</v>
      </c>
      <c r="H1520" s="70" t="s">
        <v>9320</v>
      </c>
      <c r="I1520" s="70">
        <v>909.0</v>
      </c>
      <c r="J1520" s="70" t="s">
        <v>9317</v>
      </c>
      <c r="K1520" s="70" t="s">
        <v>9318</v>
      </c>
      <c r="L1520" s="70" t="s">
        <v>9319</v>
      </c>
      <c r="P1520" s="76">
        <v>44459.0</v>
      </c>
      <c r="U1520" s="70" t="s">
        <v>239</v>
      </c>
      <c r="W1520" s="70" t="s">
        <v>9322</v>
      </c>
      <c r="X1520" s="70" t="s">
        <v>9323</v>
      </c>
      <c r="Z1520" s="75" t="s">
        <v>9324</v>
      </c>
      <c r="AA1520" s="70" t="s">
        <v>9325</v>
      </c>
      <c r="AC1520" s="70">
        <v>1.0</v>
      </c>
      <c r="AE1520" s="70">
        <v>7.0</v>
      </c>
      <c r="AF1520" s="70" t="s">
        <v>239</v>
      </c>
      <c r="AW1520" s="70" t="s">
        <v>9326</v>
      </c>
      <c r="AX1520" s="70">
        <v>0.0</v>
      </c>
      <c r="AY1520" s="70" t="s">
        <v>24</v>
      </c>
      <c r="AZ1520" s="70">
        <v>2466.0</v>
      </c>
    </row>
    <row r="1521" ht="22.5" customHeight="1">
      <c r="A1521" s="70" t="str">
        <f t="shared" si="1"/>
        <v>Excluded</v>
      </c>
      <c r="B1521" s="70">
        <f t="shared" si="2"/>
        <v>0</v>
      </c>
      <c r="C1521" s="70">
        <v>0.0</v>
      </c>
      <c r="D1521" s="70">
        <v>0.0</v>
      </c>
      <c r="E1521" s="70">
        <v>0.0</v>
      </c>
      <c r="F1521" s="70">
        <v>0.0</v>
      </c>
      <c r="G1521" s="70">
        <v>0.0</v>
      </c>
      <c r="H1521" s="70" t="s">
        <v>10142</v>
      </c>
      <c r="I1521" s="70">
        <v>995.0</v>
      </c>
      <c r="J1521" s="70" t="s">
        <v>10139</v>
      </c>
      <c r="K1521" s="70" t="s">
        <v>10140</v>
      </c>
      <c r="L1521" s="70" t="s">
        <v>10141</v>
      </c>
      <c r="P1521" s="77">
        <v>44837.0</v>
      </c>
      <c r="U1521" s="70" t="s">
        <v>239</v>
      </c>
      <c r="W1521" s="70" t="s">
        <v>30496</v>
      </c>
      <c r="X1521" s="70" t="s">
        <v>10145</v>
      </c>
      <c r="Z1521" s="75" t="s">
        <v>10146</v>
      </c>
      <c r="AA1521" s="70" t="s">
        <v>10147</v>
      </c>
      <c r="AE1521" s="70">
        <v>6.0</v>
      </c>
      <c r="AF1521" s="70" t="s">
        <v>239</v>
      </c>
      <c r="AW1521" s="70" t="s">
        <v>10148</v>
      </c>
      <c r="AZ1521" s="70">
        <v>438.0</v>
      </c>
    </row>
    <row r="1522" ht="22.5" customHeight="1">
      <c r="A1522" s="70" t="str">
        <f t="shared" si="1"/>
        <v>Excluded</v>
      </c>
      <c r="B1522" s="70">
        <f t="shared" si="2"/>
        <v>0</v>
      </c>
      <c r="C1522" s="70">
        <v>0.0</v>
      </c>
      <c r="D1522" s="70">
        <v>0.0</v>
      </c>
      <c r="E1522" s="70">
        <v>0.0</v>
      </c>
      <c r="F1522" s="70">
        <v>0.0</v>
      </c>
      <c r="G1522" s="70">
        <v>0.0</v>
      </c>
      <c r="H1522" s="70" t="s">
        <v>16083</v>
      </c>
      <c r="I1522" s="70">
        <v>1718.0</v>
      </c>
      <c r="K1522" s="70" t="s">
        <v>10597</v>
      </c>
      <c r="L1522" s="70" t="s">
        <v>16082</v>
      </c>
      <c r="P1522" s="76">
        <v>45615.0</v>
      </c>
      <c r="U1522" s="70" t="s">
        <v>239</v>
      </c>
      <c r="X1522" s="70" t="s">
        <v>16084</v>
      </c>
      <c r="Z1522" s="75" t="s">
        <v>16085</v>
      </c>
      <c r="AF1522" s="70" t="s">
        <v>239</v>
      </c>
      <c r="AZ1522" s="70">
        <v>1564.0</v>
      </c>
    </row>
    <row r="1523" ht="22.5" customHeight="1">
      <c r="A1523" s="70" t="str">
        <f t="shared" si="1"/>
        <v>Excluded</v>
      </c>
      <c r="B1523" s="70">
        <f t="shared" si="2"/>
        <v>0</v>
      </c>
      <c r="C1523" s="70">
        <v>0.0</v>
      </c>
      <c r="D1523" s="70">
        <v>0.0</v>
      </c>
      <c r="E1523" s="70">
        <v>0.0</v>
      </c>
      <c r="F1523" s="70">
        <v>0.0</v>
      </c>
      <c r="G1523" s="70">
        <v>0.0</v>
      </c>
      <c r="H1523" s="70" t="s">
        <v>16268</v>
      </c>
      <c r="I1523" s="70">
        <v>1763.0</v>
      </c>
      <c r="K1523" s="70" t="s">
        <v>10827</v>
      </c>
      <c r="L1523" s="70" t="s">
        <v>16082</v>
      </c>
      <c r="P1523" s="76">
        <v>45615.0</v>
      </c>
      <c r="U1523" s="70" t="s">
        <v>239</v>
      </c>
      <c r="X1523" s="70" t="s">
        <v>16084</v>
      </c>
      <c r="Z1523" s="75" t="s">
        <v>16269</v>
      </c>
      <c r="AF1523" s="70" t="s">
        <v>239</v>
      </c>
      <c r="AZ1523" s="70">
        <v>1500.0</v>
      </c>
    </row>
    <row r="1524" ht="22.5" customHeight="1">
      <c r="A1524" s="70" t="str">
        <f t="shared" si="1"/>
        <v>Excluded</v>
      </c>
      <c r="B1524" s="70">
        <f t="shared" si="2"/>
        <v>0</v>
      </c>
      <c r="C1524" s="70">
        <v>0.0</v>
      </c>
      <c r="D1524" s="70">
        <v>0.0</v>
      </c>
      <c r="E1524" s="70">
        <v>0.0</v>
      </c>
      <c r="F1524" s="70">
        <v>0.0</v>
      </c>
      <c r="G1524" s="70">
        <v>0.0</v>
      </c>
      <c r="H1524" s="70" t="s">
        <v>5106</v>
      </c>
      <c r="I1524" s="70">
        <v>476.0</v>
      </c>
      <c r="J1524" s="70" t="s">
        <v>5103</v>
      </c>
      <c r="K1524" s="70" t="s">
        <v>5104</v>
      </c>
      <c r="L1524" s="70" t="s">
        <v>5105</v>
      </c>
      <c r="P1524" s="77">
        <v>43314.0</v>
      </c>
      <c r="U1524" s="70" t="s">
        <v>239</v>
      </c>
      <c r="W1524" s="70" t="s">
        <v>5108</v>
      </c>
      <c r="X1524" s="70" t="s">
        <v>5109</v>
      </c>
      <c r="Z1524" s="75" t="s">
        <v>5110</v>
      </c>
      <c r="AA1524" s="70" t="s">
        <v>5111</v>
      </c>
      <c r="AC1524" s="70">
        <v>19.0</v>
      </c>
      <c r="AE1524" s="70">
        <v>19.0</v>
      </c>
      <c r="AF1524" s="70" t="s">
        <v>239</v>
      </c>
      <c r="AW1524" s="70" t="s">
        <v>5112</v>
      </c>
      <c r="AX1524" s="70">
        <v>0.0</v>
      </c>
      <c r="AY1524" s="70" t="s">
        <v>24</v>
      </c>
      <c r="AZ1524" s="70">
        <v>1906.0</v>
      </c>
    </row>
    <row r="1525" ht="22.5" customHeight="1">
      <c r="A1525" s="70" t="str">
        <f t="shared" si="1"/>
        <v>Excluded</v>
      </c>
      <c r="B1525" s="70">
        <f t="shared" si="2"/>
        <v>0</v>
      </c>
      <c r="C1525" s="70">
        <v>0.0</v>
      </c>
      <c r="D1525" s="70">
        <v>0.0</v>
      </c>
      <c r="E1525" s="70">
        <v>0.0</v>
      </c>
      <c r="F1525" s="70">
        <v>0.0</v>
      </c>
      <c r="G1525" s="70">
        <v>0.0</v>
      </c>
      <c r="H1525" s="70" t="s">
        <v>9153</v>
      </c>
      <c r="I1525" s="70">
        <v>891.0</v>
      </c>
      <c r="J1525" s="70" t="s">
        <v>9150</v>
      </c>
      <c r="K1525" s="70" t="s">
        <v>9151</v>
      </c>
      <c r="L1525" s="70" t="s">
        <v>9152</v>
      </c>
      <c r="P1525" s="78">
        <v>43615.0</v>
      </c>
      <c r="U1525" s="70" t="s">
        <v>239</v>
      </c>
      <c r="W1525" s="70" t="s">
        <v>9154</v>
      </c>
      <c r="X1525" s="70" t="s">
        <v>9155</v>
      </c>
      <c r="Z1525" s="75" t="s">
        <v>9156</v>
      </c>
      <c r="AA1525" s="70" t="s">
        <v>9157</v>
      </c>
      <c r="AC1525" s="70">
        <v>1.0</v>
      </c>
      <c r="AE1525" s="70">
        <v>19.0</v>
      </c>
      <c r="AF1525" s="70" t="s">
        <v>239</v>
      </c>
      <c r="AW1525" s="70" t="s">
        <v>9158</v>
      </c>
      <c r="AX1525" s="70">
        <v>0.0</v>
      </c>
      <c r="AY1525" s="70" t="s">
        <v>24</v>
      </c>
      <c r="AZ1525" s="70">
        <v>2269.0</v>
      </c>
    </row>
    <row r="1526" ht="22.5" customHeight="1">
      <c r="A1526" s="70" t="str">
        <f t="shared" si="1"/>
        <v>Excluded</v>
      </c>
      <c r="B1526" s="70">
        <f t="shared" si="2"/>
        <v>0</v>
      </c>
      <c r="C1526" s="70">
        <v>0.0</v>
      </c>
      <c r="D1526" s="70">
        <v>0.0</v>
      </c>
      <c r="E1526" s="70">
        <v>0.0</v>
      </c>
      <c r="F1526" s="70">
        <v>0.0</v>
      </c>
      <c r="G1526" s="70">
        <v>0.0</v>
      </c>
      <c r="H1526" s="70" t="s">
        <v>16030</v>
      </c>
      <c r="I1526" s="70">
        <v>1701.0</v>
      </c>
      <c r="K1526" s="70" t="s">
        <v>16029</v>
      </c>
      <c r="L1526" s="70" t="s">
        <v>15925</v>
      </c>
      <c r="N1526" s="70" t="s">
        <v>15926</v>
      </c>
      <c r="P1526" s="77">
        <v>45629.0</v>
      </c>
      <c r="U1526" s="70" t="s">
        <v>239</v>
      </c>
      <c r="X1526" s="70" t="s">
        <v>15928</v>
      </c>
      <c r="Z1526" s="75" t="s">
        <v>16031</v>
      </c>
      <c r="AF1526" s="70" t="s">
        <v>239</v>
      </c>
      <c r="AZ1526" s="70">
        <v>1284.0</v>
      </c>
    </row>
    <row r="1527" ht="22.5" customHeight="1">
      <c r="A1527" s="70" t="str">
        <f t="shared" si="1"/>
        <v>Excluded</v>
      </c>
      <c r="B1527" s="70">
        <f t="shared" si="2"/>
        <v>0</v>
      </c>
      <c r="C1527" s="70">
        <v>0.0</v>
      </c>
      <c r="D1527" s="70">
        <v>0.0</v>
      </c>
      <c r="E1527" s="70">
        <v>0.0</v>
      </c>
      <c r="F1527" s="70">
        <v>0.0</v>
      </c>
      <c r="G1527" s="70">
        <v>0.0</v>
      </c>
      <c r="H1527" s="70" t="s">
        <v>16063</v>
      </c>
      <c r="I1527" s="70">
        <v>1712.0</v>
      </c>
      <c r="K1527" s="70" t="s">
        <v>16062</v>
      </c>
      <c r="L1527" s="70" t="s">
        <v>15925</v>
      </c>
      <c r="N1527" s="70" t="s">
        <v>15926</v>
      </c>
      <c r="P1527" s="77">
        <v>45629.0</v>
      </c>
      <c r="U1527" s="70" t="s">
        <v>239</v>
      </c>
      <c r="X1527" s="70" t="s">
        <v>15928</v>
      </c>
      <c r="Z1527" s="75" t="s">
        <v>16064</v>
      </c>
      <c r="AF1527" s="70" t="s">
        <v>239</v>
      </c>
      <c r="AZ1527" s="70">
        <v>1491.0</v>
      </c>
    </row>
    <row r="1528" ht="22.5" customHeight="1">
      <c r="A1528" s="70" t="str">
        <f t="shared" si="1"/>
        <v>Excluded</v>
      </c>
      <c r="B1528" s="70">
        <f t="shared" si="2"/>
        <v>0</v>
      </c>
      <c r="C1528" s="70">
        <v>0.0</v>
      </c>
      <c r="D1528" s="70">
        <v>0.0</v>
      </c>
      <c r="E1528" s="70">
        <v>0.0</v>
      </c>
      <c r="F1528" s="70">
        <v>0.0</v>
      </c>
      <c r="G1528" s="70">
        <v>0.0</v>
      </c>
      <c r="H1528" s="70" t="s">
        <v>15927</v>
      </c>
      <c r="I1528" s="70">
        <v>1675.0</v>
      </c>
      <c r="K1528" s="70" t="s">
        <v>10597</v>
      </c>
      <c r="L1528" s="70" t="s">
        <v>15925</v>
      </c>
      <c r="N1528" s="70" t="s">
        <v>15926</v>
      </c>
      <c r="P1528" s="77">
        <v>45629.0</v>
      </c>
      <c r="U1528" s="70" t="s">
        <v>239</v>
      </c>
      <c r="X1528" s="70" t="s">
        <v>15928</v>
      </c>
      <c r="Z1528" s="75" t="s">
        <v>15929</v>
      </c>
      <c r="AF1528" s="70" t="s">
        <v>239</v>
      </c>
      <c r="AZ1528" s="70">
        <v>1537.0</v>
      </c>
    </row>
    <row r="1529" ht="22.5" customHeight="1">
      <c r="A1529" s="70" t="str">
        <f t="shared" si="1"/>
        <v>Excluded</v>
      </c>
      <c r="B1529" s="70">
        <f t="shared" si="2"/>
        <v>0</v>
      </c>
      <c r="C1529" s="70">
        <v>0.0</v>
      </c>
      <c r="D1529" s="70">
        <v>0.0</v>
      </c>
      <c r="E1529" s="70">
        <v>0.0</v>
      </c>
      <c r="F1529" s="70">
        <v>0.0</v>
      </c>
      <c r="G1529" s="70">
        <v>0.0</v>
      </c>
      <c r="H1529" s="70" t="s">
        <v>11020</v>
      </c>
      <c r="I1529" s="70">
        <v>1151.0</v>
      </c>
      <c r="K1529" s="70" t="s">
        <v>10618</v>
      </c>
      <c r="L1529" s="70" t="s">
        <v>11019</v>
      </c>
      <c r="P1529" s="77">
        <v>43990.0</v>
      </c>
      <c r="U1529" s="70" t="s">
        <v>239</v>
      </c>
      <c r="W1529" s="70" t="s">
        <v>10602</v>
      </c>
      <c r="X1529" s="70" t="s">
        <v>11021</v>
      </c>
      <c r="Z1529" s="75" t="s">
        <v>11022</v>
      </c>
      <c r="AF1529" s="70" t="s">
        <v>239</v>
      </c>
      <c r="AZ1529" s="70">
        <v>1610.0</v>
      </c>
    </row>
    <row r="1530" ht="22.5" customHeight="1">
      <c r="A1530" s="70" t="str">
        <f t="shared" si="1"/>
        <v>Excluded</v>
      </c>
      <c r="B1530" s="70">
        <f t="shared" si="2"/>
        <v>0</v>
      </c>
      <c r="C1530" s="70">
        <v>0.0</v>
      </c>
      <c r="D1530" s="70">
        <v>0.0</v>
      </c>
      <c r="E1530" s="70">
        <v>0.0</v>
      </c>
      <c r="F1530" s="70">
        <v>0.0</v>
      </c>
      <c r="G1530" s="70">
        <v>0.0</v>
      </c>
      <c r="H1530" s="70" t="s">
        <v>15863</v>
      </c>
      <c r="I1530" s="70">
        <v>1660.0</v>
      </c>
      <c r="K1530" s="70" t="s">
        <v>15861</v>
      </c>
      <c r="L1530" s="70" t="s">
        <v>15862</v>
      </c>
      <c r="P1530" s="76">
        <v>45526.0</v>
      </c>
      <c r="U1530" s="70" t="s">
        <v>239</v>
      </c>
      <c r="X1530" s="70" t="s">
        <v>15864</v>
      </c>
      <c r="Z1530" s="75" t="s">
        <v>15865</v>
      </c>
      <c r="AF1530" s="70" t="s">
        <v>239</v>
      </c>
      <c r="AZ1530" s="70">
        <v>1254.0</v>
      </c>
    </row>
    <row r="1531" ht="22.5" customHeight="1">
      <c r="A1531" s="70" t="str">
        <f t="shared" si="1"/>
        <v>Excluded</v>
      </c>
      <c r="B1531" s="70">
        <f t="shared" si="2"/>
        <v>0</v>
      </c>
      <c r="C1531" s="70">
        <v>0.0</v>
      </c>
      <c r="D1531" s="70">
        <v>0.0</v>
      </c>
      <c r="E1531" s="70">
        <v>0.0</v>
      </c>
      <c r="F1531" s="70">
        <v>0.0</v>
      </c>
      <c r="G1531" s="70">
        <v>0.0</v>
      </c>
      <c r="H1531" s="70" t="s">
        <v>8581</v>
      </c>
      <c r="I1531" s="70">
        <v>833.0</v>
      </c>
      <c r="J1531" s="70" t="s">
        <v>8578</v>
      </c>
      <c r="K1531" s="70" t="s">
        <v>8579</v>
      </c>
      <c r="L1531" s="70" t="s">
        <v>8580</v>
      </c>
      <c r="P1531" s="76">
        <v>43629.0</v>
      </c>
      <c r="U1531" s="70" t="s">
        <v>239</v>
      </c>
      <c r="W1531" s="70" t="s">
        <v>8583</v>
      </c>
      <c r="X1531" s="70" t="s">
        <v>8584</v>
      </c>
      <c r="Z1531" s="75" t="s">
        <v>8585</v>
      </c>
      <c r="AA1531" s="70" t="s">
        <v>8586</v>
      </c>
      <c r="AC1531" s="70">
        <v>1.0</v>
      </c>
      <c r="AE1531" s="70">
        <v>31.0</v>
      </c>
      <c r="AF1531" s="70" t="s">
        <v>239</v>
      </c>
      <c r="AW1531" s="70" t="s">
        <v>8587</v>
      </c>
      <c r="AZ1531" s="70">
        <v>699.0</v>
      </c>
    </row>
    <row r="1532" ht="22.5" customHeight="1">
      <c r="A1532" s="70" t="str">
        <f t="shared" si="1"/>
        <v>Excluded</v>
      </c>
      <c r="B1532" s="70">
        <f t="shared" si="2"/>
        <v>0</v>
      </c>
      <c r="C1532" s="70">
        <v>0.0</v>
      </c>
      <c r="D1532" s="70">
        <v>0.0</v>
      </c>
      <c r="E1532" s="70">
        <v>0.0</v>
      </c>
      <c r="F1532" s="70">
        <v>0.0</v>
      </c>
      <c r="G1532" s="70">
        <v>0.0</v>
      </c>
      <c r="H1532" s="70" t="s">
        <v>8619</v>
      </c>
      <c r="I1532" s="70">
        <v>837.0</v>
      </c>
      <c r="J1532" s="70" t="s">
        <v>8616</v>
      </c>
      <c r="K1532" s="70" t="s">
        <v>8617</v>
      </c>
      <c r="L1532" s="70" t="s">
        <v>8618</v>
      </c>
      <c r="P1532" s="76">
        <v>43580.0</v>
      </c>
      <c r="U1532" s="70" t="s">
        <v>239</v>
      </c>
      <c r="W1532" s="70" t="s">
        <v>8621</v>
      </c>
      <c r="X1532" s="70" t="s">
        <v>8622</v>
      </c>
      <c r="Z1532" s="75" t="s">
        <v>8623</v>
      </c>
      <c r="AA1532" s="70" t="s">
        <v>8624</v>
      </c>
      <c r="AC1532" s="70">
        <v>1.0</v>
      </c>
      <c r="AE1532" s="70">
        <v>48.0</v>
      </c>
      <c r="AF1532" s="70" t="s">
        <v>239</v>
      </c>
      <c r="AW1532" s="70" t="s">
        <v>8625</v>
      </c>
      <c r="AX1532" s="70">
        <v>0.0</v>
      </c>
      <c r="AY1532" s="70" t="s">
        <v>24</v>
      </c>
      <c r="AZ1532" s="70">
        <v>1830.0</v>
      </c>
    </row>
    <row r="1533" ht="22.5" customHeight="1">
      <c r="A1533" s="70" t="str">
        <f t="shared" si="1"/>
        <v>Excluded</v>
      </c>
      <c r="B1533" s="70">
        <f t="shared" si="2"/>
        <v>0</v>
      </c>
      <c r="C1533" s="70">
        <v>0.0</v>
      </c>
      <c r="D1533" s="70">
        <v>0.0</v>
      </c>
      <c r="E1533" s="70">
        <v>0.0</v>
      </c>
      <c r="F1533" s="70">
        <v>0.0</v>
      </c>
      <c r="G1533" s="70">
        <v>0.0</v>
      </c>
      <c r="H1533" s="70" t="s">
        <v>8798</v>
      </c>
      <c r="I1533" s="70">
        <v>855.0</v>
      </c>
      <c r="J1533" s="70" t="s">
        <v>8796</v>
      </c>
      <c r="K1533" s="70" t="s">
        <v>8797</v>
      </c>
      <c r="L1533" s="70" t="s">
        <v>8618</v>
      </c>
      <c r="P1533" s="76">
        <v>43580.0</v>
      </c>
      <c r="U1533" s="70" t="s">
        <v>239</v>
      </c>
      <c r="W1533" s="70" t="s">
        <v>8800</v>
      </c>
      <c r="X1533" s="70" t="s">
        <v>8622</v>
      </c>
      <c r="Z1533" s="75" t="s">
        <v>8801</v>
      </c>
      <c r="AA1533" s="70" t="s">
        <v>8802</v>
      </c>
      <c r="AC1533" s="70">
        <v>1.0</v>
      </c>
      <c r="AE1533" s="70">
        <v>48.0</v>
      </c>
      <c r="AF1533" s="70" t="s">
        <v>239</v>
      </c>
      <c r="AW1533" s="70" t="s">
        <v>8803</v>
      </c>
      <c r="AZ1533" s="70">
        <v>600.0</v>
      </c>
    </row>
    <row r="1534" ht="22.5" customHeight="1">
      <c r="A1534" s="70" t="str">
        <f t="shared" si="1"/>
        <v>Excluded</v>
      </c>
      <c r="B1534" s="70">
        <f t="shared" si="2"/>
        <v>0</v>
      </c>
      <c r="C1534" s="70">
        <v>0.0</v>
      </c>
      <c r="D1534" s="70">
        <v>0.0</v>
      </c>
      <c r="E1534" s="70">
        <v>0.0</v>
      </c>
      <c r="F1534" s="70">
        <v>0.0</v>
      </c>
      <c r="G1534" s="70">
        <v>0.0</v>
      </c>
      <c r="H1534" s="70" t="s">
        <v>27687</v>
      </c>
      <c r="I1534" s="70">
        <v>2988.0</v>
      </c>
      <c r="J1534" s="70" t="s">
        <v>27685</v>
      </c>
      <c r="K1534" s="70" t="s">
        <v>27686</v>
      </c>
      <c r="W1534" s="70" t="s">
        <v>30497</v>
      </c>
      <c r="AA1534" s="70" t="s">
        <v>27689</v>
      </c>
      <c r="AI1534" s="70" t="s">
        <v>27690</v>
      </c>
      <c r="AJ1534" s="70" t="s">
        <v>27691</v>
      </c>
      <c r="AK1534" s="70">
        <v>2020.0</v>
      </c>
      <c r="AL1534" s="70" t="s">
        <v>27692</v>
      </c>
      <c r="AM1534" s="70">
        <v>9264955.0</v>
      </c>
      <c r="AN1534" s="70">
        <v>416.0</v>
      </c>
      <c r="AO1534" s="70">
        <v>422.0</v>
      </c>
      <c r="AP1534" s="70">
        <v>6.0</v>
      </c>
      <c r="AQ1534" s="70">
        <v>2.0</v>
      </c>
      <c r="AR1534" s="75" t="s">
        <v>27693</v>
      </c>
      <c r="AS1534" s="70" t="s">
        <v>22525</v>
      </c>
      <c r="AU1534" s="70" t="s">
        <v>237</v>
      </c>
      <c r="AV1534" s="70" t="s">
        <v>27694</v>
      </c>
      <c r="AW1534" s="70" t="s">
        <v>27695</v>
      </c>
      <c r="AZ1534" s="70">
        <v>369.0</v>
      </c>
    </row>
    <row r="1535" ht="22.5" customHeight="1">
      <c r="A1535" s="70" t="str">
        <f t="shared" si="1"/>
        <v>Excluded</v>
      </c>
      <c r="B1535" s="70">
        <f t="shared" si="2"/>
        <v>0</v>
      </c>
      <c r="C1535" s="70">
        <v>0.0</v>
      </c>
      <c r="D1535" s="70">
        <v>0.0</v>
      </c>
      <c r="E1535" s="70">
        <v>0.0</v>
      </c>
      <c r="F1535" s="70">
        <v>0.0</v>
      </c>
      <c r="G1535" s="70">
        <v>0.0</v>
      </c>
      <c r="H1535" s="70" t="s">
        <v>28849</v>
      </c>
      <c r="I1535" s="70">
        <v>3101.0</v>
      </c>
      <c r="J1535" s="70" t="s">
        <v>28847</v>
      </c>
      <c r="K1535" s="70" t="s">
        <v>28848</v>
      </c>
      <c r="W1535" s="70" t="s">
        <v>30498</v>
      </c>
      <c r="AA1535" s="70" t="s">
        <v>28851</v>
      </c>
      <c r="AI1535" s="70" t="s">
        <v>28852</v>
      </c>
      <c r="AJ1535" s="70" t="s">
        <v>28853</v>
      </c>
      <c r="AK1535" s="70">
        <v>2017.0</v>
      </c>
      <c r="AL1535" s="70" t="s">
        <v>28854</v>
      </c>
      <c r="AM1535" s="70">
        <v>7856721.0</v>
      </c>
      <c r="AN1535" s="70">
        <v>318.0</v>
      </c>
      <c r="AO1535" s="70">
        <v>325.0</v>
      </c>
      <c r="AP1535" s="70">
        <v>7.0</v>
      </c>
      <c r="AQ1535" s="70">
        <v>78.0</v>
      </c>
      <c r="AR1535" s="75" t="s">
        <v>28855</v>
      </c>
      <c r="AS1535" s="70" t="s">
        <v>22525</v>
      </c>
      <c r="AU1535" s="70" t="s">
        <v>237</v>
      </c>
      <c r="AV1535" s="70" t="s">
        <v>28856</v>
      </c>
      <c r="AW1535" s="70" t="s">
        <v>28857</v>
      </c>
      <c r="AX1535" s="70">
        <v>1.0</v>
      </c>
      <c r="AZ1535" s="70">
        <v>1643.0</v>
      </c>
    </row>
    <row r="1536" ht="22.5" customHeight="1">
      <c r="A1536" s="70" t="str">
        <f t="shared" si="1"/>
        <v>Excluded</v>
      </c>
      <c r="B1536" s="70">
        <f t="shared" si="2"/>
        <v>0</v>
      </c>
      <c r="C1536" s="70">
        <v>0.0</v>
      </c>
      <c r="D1536" s="70">
        <v>0.0</v>
      </c>
      <c r="E1536" s="70">
        <v>0.0</v>
      </c>
      <c r="F1536" s="70">
        <v>0.0</v>
      </c>
      <c r="G1536" s="70">
        <v>0.0</v>
      </c>
      <c r="H1536" s="70" t="s">
        <v>15024</v>
      </c>
      <c r="I1536" s="70">
        <v>1566.0</v>
      </c>
      <c r="J1536" s="70" t="s">
        <v>30499</v>
      </c>
      <c r="K1536" s="70" t="s">
        <v>15022</v>
      </c>
      <c r="L1536" s="70" t="s">
        <v>15023</v>
      </c>
      <c r="P1536" s="77">
        <v>45448.0</v>
      </c>
      <c r="U1536" s="70" t="s">
        <v>239</v>
      </c>
      <c r="W1536" s="70" t="s">
        <v>15026</v>
      </c>
      <c r="X1536" s="70" t="s">
        <v>15027</v>
      </c>
      <c r="Z1536" s="75" t="s">
        <v>15028</v>
      </c>
      <c r="AA1536" s="70" t="s">
        <v>15029</v>
      </c>
      <c r="AE1536" s="70">
        <v>35.0</v>
      </c>
      <c r="AF1536" s="70" t="s">
        <v>7683</v>
      </c>
      <c r="AW1536" s="70" t="s">
        <v>15030</v>
      </c>
      <c r="AZ1536" s="70">
        <v>917.0</v>
      </c>
    </row>
    <row r="1537" ht="22.5" customHeight="1">
      <c r="A1537" s="70" t="str">
        <f t="shared" si="1"/>
        <v>Excluded</v>
      </c>
      <c r="B1537" s="70">
        <f t="shared" si="2"/>
        <v>0</v>
      </c>
      <c r="C1537" s="70">
        <v>0.0</v>
      </c>
      <c r="D1537" s="70">
        <v>0.0</v>
      </c>
      <c r="E1537" s="70">
        <v>0.0</v>
      </c>
      <c r="F1537" s="70">
        <v>0.0</v>
      </c>
      <c r="G1537" s="70">
        <v>0.0</v>
      </c>
      <c r="H1537" s="70" t="s">
        <v>13733</v>
      </c>
      <c r="I1537" s="70">
        <v>1430.0</v>
      </c>
      <c r="J1537" s="70" t="s">
        <v>13730</v>
      </c>
      <c r="K1537" s="70" t="s">
        <v>13731</v>
      </c>
      <c r="L1537" s="70" t="s">
        <v>13732</v>
      </c>
      <c r="P1537" s="76">
        <v>45708.0</v>
      </c>
      <c r="U1537" s="70" t="s">
        <v>239</v>
      </c>
      <c r="W1537" s="70" t="s">
        <v>13735</v>
      </c>
      <c r="X1537" s="70" t="s">
        <v>13736</v>
      </c>
      <c r="Z1537" s="75" t="s">
        <v>13737</v>
      </c>
      <c r="AA1537" s="70" t="s">
        <v>13738</v>
      </c>
      <c r="AE1537" s="70">
        <v>18.0</v>
      </c>
      <c r="AF1537" s="70" t="s">
        <v>239</v>
      </c>
      <c r="AW1537" s="70" t="s">
        <v>13739</v>
      </c>
      <c r="AX1537" s="70">
        <v>0.0</v>
      </c>
      <c r="AY1537" s="70" t="s">
        <v>24</v>
      </c>
      <c r="AZ1537" s="70">
        <v>2385.0</v>
      </c>
    </row>
    <row r="1538" ht="22.5" customHeight="1">
      <c r="A1538" s="70" t="str">
        <f t="shared" si="1"/>
        <v>Excluded</v>
      </c>
      <c r="B1538" s="70">
        <f t="shared" si="2"/>
        <v>0</v>
      </c>
      <c r="C1538" s="70">
        <v>0.0</v>
      </c>
      <c r="D1538" s="70">
        <v>0.0</v>
      </c>
      <c r="E1538" s="70">
        <v>0.0</v>
      </c>
      <c r="F1538" s="70">
        <v>0.0</v>
      </c>
      <c r="G1538" s="70">
        <v>0.0</v>
      </c>
      <c r="H1538" s="70" t="s">
        <v>16211</v>
      </c>
      <c r="I1538" s="70">
        <v>1748.0</v>
      </c>
      <c r="K1538" s="70" t="s">
        <v>10597</v>
      </c>
      <c r="L1538" s="70" t="s">
        <v>13732</v>
      </c>
      <c r="P1538" s="76">
        <v>45708.0</v>
      </c>
      <c r="U1538" s="70" t="s">
        <v>239</v>
      </c>
      <c r="X1538" s="70" t="s">
        <v>13736</v>
      </c>
      <c r="Z1538" s="75" t="s">
        <v>16212</v>
      </c>
      <c r="AF1538" s="70" t="s">
        <v>239</v>
      </c>
      <c r="AZ1538" s="70">
        <v>1533.0</v>
      </c>
    </row>
    <row r="1539" ht="22.5" customHeight="1">
      <c r="A1539" s="70" t="str">
        <f t="shared" si="1"/>
        <v>Excluded</v>
      </c>
      <c r="B1539" s="70">
        <f t="shared" si="2"/>
        <v>0</v>
      </c>
      <c r="C1539" s="70">
        <v>0.0</v>
      </c>
      <c r="D1539" s="70">
        <v>0.0</v>
      </c>
      <c r="E1539" s="70">
        <v>0.0</v>
      </c>
      <c r="F1539" s="70">
        <v>0.0</v>
      </c>
      <c r="G1539" s="70">
        <v>0.0</v>
      </c>
      <c r="H1539" s="70" t="s">
        <v>15199</v>
      </c>
      <c r="I1539" s="70">
        <v>1585.0</v>
      </c>
      <c r="J1539" s="70" t="s">
        <v>15196</v>
      </c>
      <c r="K1539" s="70" t="s">
        <v>15197</v>
      </c>
      <c r="L1539" s="70" t="s">
        <v>15198</v>
      </c>
      <c r="P1539" s="76">
        <v>45708.0</v>
      </c>
      <c r="U1539" s="70" t="s">
        <v>239</v>
      </c>
      <c r="W1539" s="70" t="s">
        <v>15201</v>
      </c>
      <c r="X1539" s="70" t="s">
        <v>15202</v>
      </c>
      <c r="Z1539" s="75" t="s">
        <v>15203</v>
      </c>
      <c r="AA1539" s="70" t="s">
        <v>15204</v>
      </c>
      <c r="AE1539" s="70">
        <v>20.0</v>
      </c>
      <c r="AF1539" s="70" t="s">
        <v>239</v>
      </c>
      <c r="AW1539" s="70" t="s">
        <v>15205</v>
      </c>
      <c r="AX1539" s="70">
        <v>0.0</v>
      </c>
      <c r="AY1539" s="70" t="s">
        <v>24</v>
      </c>
      <c r="AZ1539" s="70">
        <v>2746.0</v>
      </c>
    </row>
    <row r="1540" ht="22.5" customHeight="1">
      <c r="A1540" s="70" t="str">
        <f t="shared" si="1"/>
        <v>Excluded</v>
      </c>
      <c r="B1540" s="70">
        <f t="shared" si="2"/>
        <v>0</v>
      </c>
      <c r="C1540" s="70">
        <v>0.0</v>
      </c>
      <c r="D1540" s="70">
        <v>0.0</v>
      </c>
      <c r="E1540" s="70">
        <v>0.0</v>
      </c>
      <c r="F1540" s="70">
        <v>0.0</v>
      </c>
      <c r="G1540" s="70">
        <v>0.0</v>
      </c>
      <c r="H1540" s="70" t="s">
        <v>9419</v>
      </c>
      <c r="I1540" s="70">
        <v>919.0</v>
      </c>
      <c r="J1540" s="70" t="s">
        <v>9415</v>
      </c>
      <c r="K1540" s="70" t="s">
        <v>9416</v>
      </c>
      <c r="L1540" s="70" t="s">
        <v>9417</v>
      </c>
      <c r="N1540" s="70" t="s">
        <v>9418</v>
      </c>
      <c r="P1540" s="76">
        <v>44309.0</v>
      </c>
      <c r="U1540" s="70" t="s">
        <v>239</v>
      </c>
      <c r="W1540" s="70" t="s">
        <v>30500</v>
      </c>
      <c r="X1540" s="70" t="s">
        <v>9422</v>
      </c>
      <c r="Z1540" s="75" t="s">
        <v>9423</v>
      </c>
      <c r="AA1540" s="70" t="s">
        <v>9424</v>
      </c>
      <c r="AE1540" s="70">
        <v>16.0</v>
      </c>
      <c r="AF1540" s="70" t="s">
        <v>239</v>
      </c>
      <c r="AW1540" s="70" t="s">
        <v>9425</v>
      </c>
      <c r="AX1540" s="70">
        <v>0.0</v>
      </c>
      <c r="AY1540" s="70" t="s">
        <v>24</v>
      </c>
      <c r="AZ1540" s="70">
        <v>1964.0</v>
      </c>
    </row>
    <row r="1541" ht="22.5" customHeight="1">
      <c r="A1541" s="70" t="str">
        <f t="shared" si="1"/>
        <v>Excluded</v>
      </c>
      <c r="B1541" s="70">
        <f t="shared" si="2"/>
        <v>0</v>
      </c>
      <c r="C1541" s="70">
        <v>0.0</v>
      </c>
      <c r="D1541" s="70">
        <v>0.0</v>
      </c>
      <c r="E1541" s="70">
        <v>0.0</v>
      </c>
      <c r="F1541" s="70">
        <v>0.0</v>
      </c>
      <c r="G1541" s="70">
        <v>0.0</v>
      </c>
      <c r="H1541" s="70" t="s">
        <v>5540</v>
      </c>
      <c r="I1541" s="70">
        <v>520.0</v>
      </c>
      <c r="J1541" s="70" t="s">
        <v>5536</v>
      </c>
      <c r="K1541" s="70" t="s">
        <v>5537</v>
      </c>
      <c r="L1541" s="70" t="s">
        <v>5538</v>
      </c>
      <c r="N1541" s="70" t="s">
        <v>5539</v>
      </c>
      <c r="P1541" s="76">
        <v>43920.0</v>
      </c>
      <c r="U1541" s="70" t="s">
        <v>239</v>
      </c>
      <c r="W1541" s="70" t="s">
        <v>5542</v>
      </c>
      <c r="X1541" s="70" t="s">
        <v>5543</v>
      </c>
      <c r="Z1541" s="75" t="s">
        <v>5544</v>
      </c>
      <c r="AA1541" s="70" t="s">
        <v>5545</v>
      </c>
      <c r="AC1541" s="70">
        <v>11.0</v>
      </c>
      <c r="AE1541" s="70">
        <v>21.0</v>
      </c>
      <c r="AF1541" s="70" t="s">
        <v>239</v>
      </c>
      <c r="AW1541" s="70" t="s">
        <v>5546</v>
      </c>
      <c r="AX1541" s="70">
        <v>0.0</v>
      </c>
      <c r="AY1541" s="70" t="s">
        <v>24</v>
      </c>
      <c r="AZ1541" s="70">
        <v>1649.0</v>
      </c>
    </row>
    <row r="1542" ht="22.5" customHeight="1">
      <c r="A1542" s="70" t="str">
        <f t="shared" si="1"/>
        <v>Excluded</v>
      </c>
      <c r="B1542" s="70">
        <f t="shared" si="2"/>
        <v>0</v>
      </c>
      <c r="C1542" s="70">
        <v>0.0</v>
      </c>
      <c r="D1542" s="70">
        <v>0.0</v>
      </c>
      <c r="E1542" s="70">
        <v>0.0</v>
      </c>
      <c r="F1542" s="70">
        <v>0.0</v>
      </c>
      <c r="G1542" s="70">
        <v>0.0</v>
      </c>
      <c r="H1542" s="70" t="s">
        <v>10024</v>
      </c>
      <c r="I1542" s="70">
        <v>983.0</v>
      </c>
      <c r="J1542" s="70" t="s">
        <v>10021</v>
      </c>
      <c r="K1542" s="70" t="s">
        <v>10022</v>
      </c>
      <c r="L1542" s="70" t="s">
        <v>10023</v>
      </c>
      <c r="P1542" s="76">
        <v>44523.0</v>
      </c>
      <c r="U1542" s="70" t="s">
        <v>239</v>
      </c>
      <c r="W1542" s="70" t="s">
        <v>10026</v>
      </c>
      <c r="X1542" s="70" t="s">
        <v>10027</v>
      </c>
      <c r="Z1542" s="75" t="s">
        <v>10028</v>
      </c>
      <c r="AA1542" s="70" t="s">
        <v>10029</v>
      </c>
      <c r="AE1542" s="70">
        <v>24.0</v>
      </c>
      <c r="AF1542" s="70" t="s">
        <v>239</v>
      </c>
      <c r="AW1542" s="70" t="s">
        <v>10030</v>
      </c>
      <c r="AZ1542" s="70">
        <v>556.0</v>
      </c>
    </row>
    <row r="1543" ht="22.5" customHeight="1">
      <c r="A1543" s="70" t="str">
        <f t="shared" si="1"/>
        <v>Excluded</v>
      </c>
      <c r="B1543" s="70">
        <f t="shared" si="2"/>
        <v>0</v>
      </c>
      <c r="C1543" s="70">
        <v>0.0</v>
      </c>
      <c r="D1543" s="70">
        <v>0.0</v>
      </c>
      <c r="E1543" s="70">
        <v>0.0</v>
      </c>
      <c r="F1543" s="70">
        <v>0.0</v>
      </c>
      <c r="G1543" s="70">
        <v>0.0</v>
      </c>
      <c r="H1543" s="70" t="s">
        <v>14987</v>
      </c>
      <c r="I1543" s="70">
        <v>1562.0</v>
      </c>
      <c r="J1543" s="70" t="s">
        <v>14984</v>
      </c>
      <c r="K1543" s="70" t="s">
        <v>14985</v>
      </c>
      <c r="L1543" s="70" t="s">
        <v>14986</v>
      </c>
      <c r="P1543" s="76">
        <v>45376.0</v>
      </c>
      <c r="U1543" s="70" t="s">
        <v>239</v>
      </c>
      <c r="W1543" s="70" t="s">
        <v>14989</v>
      </c>
      <c r="X1543" s="70" t="s">
        <v>14990</v>
      </c>
      <c r="Z1543" s="75" t="s">
        <v>14991</v>
      </c>
      <c r="AA1543" s="70" t="s">
        <v>14992</v>
      </c>
      <c r="AE1543" s="70">
        <v>29.0</v>
      </c>
      <c r="AF1543" s="70" t="s">
        <v>239</v>
      </c>
      <c r="AW1543" s="70" t="s">
        <v>14993</v>
      </c>
      <c r="AZ1543" s="70">
        <v>949.0</v>
      </c>
    </row>
    <row r="1544" ht="22.5" customHeight="1">
      <c r="A1544" s="70" t="str">
        <f t="shared" si="1"/>
        <v>Excluded</v>
      </c>
      <c r="B1544" s="70">
        <f t="shared" si="2"/>
        <v>0</v>
      </c>
      <c r="C1544" s="70">
        <v>0.0</v>
      </c>
      <c r="D1544" s="70">
        <v>0.0</v>
      </c>
      <c r="E1544" s="70">
        <v>0.0</v>
      </c>
      <c r="F1544" s="70">
        <v>0.0</v>
      </c>
      <c r="G1544" s="70">
        <v>0.0</v>
      </c>
      <c r="H1544" s="70" t="s">
        <v>7765</v>
      </c>
      <c r="I1544" s="70">
        <v>747.0</v>
      </c>
      <c r="J1544" s="70" t="s">
        <v>7761</v>
      </c>
      <c r="K1544" s="70" t="s">
        <v>7762</v>
      </c>
      <c r="L1544" s="70" t="s">
        <v>7763</v>
      </c>
      <c r="N1544" s="70" t="s">
        <v>7764</v>
      </c>
      <c r="P1544" s="76">
        <v>44558.0</v>
      </c>
      <c r="U1544" s="70" t="s">
        <v>239</v>
      </c>
      <c r="W1544" s="70" t="s">
        <v>7767</v>
      </c>
      <c r="X1544" s="70" t="s">
        <v>7768</v>
      </c>
      <c r="Z1544" s="75" t="s">
        <v>7769</v>
      </c>
      <c r="AA1544" s="70" t="s">
        <v>7770</v>
      </c>
      <c r="AC1544" s="70">
        <v>3.0</v>
      </c>
      <c r="AE1544" s="70">
        <v>58.0</v>
      </c>
      <c r="AF1544" s="70" t="s">
        <v>239</v>
      </c>
      <c r="AW1544" s="70" t="s">
        <v>7771</v>
      </c>
      <c r="AX1544" s="70">
        <v>0.0</v>
      </c>
      <c r="AY1544" s="70" t="s">
        <v>24</v>
      </c>
      <c r="AZ1544" s="70">
        <v>2036.0</v>
      </c>
    </row>
    <row r="1545" ht="22.5" customHeight="1">
      <c r="A1545" s="70" t="str">
        <f t="shared" si="1"/>
        <v>Excluded</v>
      </c>
      <c r="B1545" s="70">
        <f t="shared" si="2"/>
        <v>0</v>
      </c>
      <c r="C1545" s="70">
        <v>0.0</v>
      </c>
      <c r="D1545" s="70">
        <v>0.0</v>
      </c>
      <c r="E1545" s="70">
        <v>0.0</v>
      </c>
      <c r="F1545" s="70">
        <v>0.0</v>
      </c>
      <c r="G1545" s="70">
        <v>0.0</v>
      </c>
      <c r="H1545" s="70" t="s">
        <v>12683</v>
      </c>
      <c r="I1545" s="70">
        <v>1323.0</v>
      </c>
      <c r="J1545" s="70" t="s">
        <v>12680</v>
      </c>
      <c r="K1545" s="70" t="s">
        <v>12681</v>
      </c>
      <c r="L1545" s="70" t="s">
        <v>12682</v>
      </c>
      <c r="P1545" s="78">
        <v>45440.0</v>
      </c>
      <c r="U1545" s="70" t="s">
        <v>239</v>
      </c>
      <c r="W1545" s="70" t="s">
        <v>12685</v>
      </c>
      <c r="X1545" s="70" t="s">
        <v>12686</v>
      </c>
      <c r="Z1545" s="75" t="s">
        <v>12687</v>
      </c>
      <c r="AA1545" s="70" t="s">
        <v>12688</v>
      </c>
      <c r="AE1545" s="70">
        <v>15.0</v>
      </c>
      <c r="AF1545" s="70" t="s">
        <v>239</v>
      </c>
      <c r="AW1545" s="70" t="s">
        <v>12689</v>
      </c>
      <c r="AZ1545" s="70">
        <v>527.0</v>
      </c>
    </row>
    <row r="1546" ht="22.5" customHeight="1">
      <c r="A1546" s="70" t="str">
        <f t="shared" si="1"/>
        <v>Excluded</v>
      </c>
      <c r="B1546" s="70">
        <f t="shared" si="2"/>
        <v>0</v>
      </c>
      <c r="C1546" s="70">
        <v>0.0</v>
      </c>
      <c r="D1546" s="70">
        <v>0.0</v>
      </c>
      <c r="E1546" s="70">
        <v>0.0</v>
      </c>
      <c r="F1546" s="70">
        <v>0.0</v>
      </c>
      <c r="G1546" s="70">
        <v>0.0</v>
      </c>
      <c r="H1546" s="70" t="s">
        <v>8249</v>
      </c>
      <c r="I1546" s="70">
        <v>798.0</v>
      </c>
      <c r="J1546" s="70" t="s">
        <v>8246</v>
      </c>
      <c r="K1546" s="70" t="s">
        <v>8247</v>
      </c>
      <c r="L1546" s="70" t="s">
        <v>8248</v>
      </c>
      <c r="P1546" s="76">
        <v>44029.0</v>
      </c>
      <c r="U1546" s="70" t="s">
        <v>239</v>
      </c>
      <c r="W1546" s="70" t="s">
        <v>8251</v>
      </c>
      <c r="X1546" s="70" t="s">
        <v>8252</v>
      </c>
      <c r="Z1546" s="75" t="s">
        <v>8253</v>
      </c>
      <c r="AA1546" s="70" t="s">
        <v>8254</v>
      </c>
      <c r="AC1546" s="70">
        <v>2.0</v>
      </c>
      <c r="AE1546" s="70">
        <v>18.0</v>
      </c>
      <c r="AF1546" s="70" t="s">
        <v>239</v>
      </c>
      <c r="AW1546" s="70" t="s">
        <v>8255</v>
      </c>
      <c r="AZ1546" s="70">
        <v>390.0</v>
      </c>
    </row>
    <row r="1547" ht="22.5" customHeight="1">
      <c r="A1547" s="70" t="str">
        <f t="shared" si="1"/>
        <v>Excluded</v>
      </c>
      <c r="B1547" s="70">
        <f t="shared" si="2"/>
        <v>0</v>
      </c>
      <c r="C1547" s="70">
        <v>0.0</v>
      </c>
      <c r="D1547" s="70">
        <v>0.0</v>
      </c>
      <c r="E1547" s="70">
        <v>0.0</v>
      </c>
      <c r="F1547" s="70">
        <v>0.0</v>
      </c>
      <c r="G1547" s="70">
        <v>0.0</v>
      </c>
      <c r="H1547" s="70" t="s">
        <v>16176</v>
      </c>
      <c r="I1547" s="70">
        <v>1740.0</v>
      </c>
      <c r="K1547" s="70" t="s">
        <v>16148</v>
      </c>
      <c r="L1547" s="70" t="s">
        <v>16174</v>
      </c>
      <c r="N1547" s="70" t="s">
        <v>16175</v>
      </c>
      <c r="P1547" s="76">
        <v>44979.0</v>
      </c>
      <c r="U1547" s="70" t="s">
        <v>239</v>
      </c>
      <c r="X1547" s="70" t="s">
        <v>16177</v>
      </c>
      <c r="Z1547" s="75" t="s">
        <v>16178</v>
      </c>
      <c r="AF1547" s="70" t="s">
        <v>239</v>
      </c>
      <c r="AZ1547" s="70">
        <v>1468.0</v>
      </c>
    </row>
    <row r="1548" ht="22.5" customHeight="1">
      <c r="A1548" s="70" t="str">
        <f t="shared" si="1"/>
        <v>Excluded</v>
      </c>
      <c r="B1548" s="70">
        <f t="shared" si="2"/>
        <v>0</v>
      </c>
      <c r="C1548" s="70">
        <v>0.0</v>
      </c>
      <c r="D1548" s="70">
        <v>0.0</v>
      </c>
      <c r="E1548" s="70">
        <v>0.0</v>
      </c>
      <c r="F1548" s="70">
        <v>0.0</v>
      </c>
      <c r="G1548" s="70">
        <v>0.0</v>
      </c>
      <c r="H1548" s="70" t="s">
        <v>13762</v>
      </c>
      <c r="I1548" s="70">
        <v>1433.0</v>
      </c>
      <c r="J1548" s="70" t="s">
        <v>13759</v>
      </c>
      <c r="K1548" s="70" t="s">
        <v>13760</v>
      </c>
      <c r="L1548" s="70" t="s">
        <v>13761</v>
      </c>
      <c r="P1548" s="76">
        <v>45636.0</v>
      </c>
      <c r="U1548" s="70" t="s">
        <v>239</v>
      </c>
      <c r="W1548" s="70" t="s">
        <v>13764</v>
      </c>
      <c r="X1548" s="70" t="s">
        <v>13765</v>
      </c>
      <c r="Z1548" s="75" t="s">
        <v>13766</v>
      </c>
      <c r="AA1548" s="70" t="s">
        <v>13767</v>
      </c>
      <c r="AE1548" s="70">
        <v>12.0</v>
      </c>
      <c r="AF1548" s="70" t="s">
        <v>239</v>
      </c>
      <c r="AW1548" s="70" t="s">
        <v>13768</v>
      </c>
      <c r="AZ1548" s="70">
        <v>432.0</v>
      </c>
    </row>
    <row r="1549" ht="22.5" customHeight="1">
      <c r="A1549" s="70" t="str">
        <f t="shared" si="1"/>
        <v>Excluded</v>
      </c>
      <c r="B1549" s="70">
        <f t="shared" si="2"/>
        <v>0</v>
      </c>
      <c r="C1549" s="70">
        <v>0.0</v>
      </c>
      <c r="D1549" s="70">
        <v>0.0</v>
      </c>
      <c r="E1549" s="70">
        <v>0.0</v>
      </c>
      <c r="F1549" s="70">
        <v>0.0</v>
      </c>
      <c r="G1549" s="70">
        <v>0.0</v>
      </c>
      <c r="H1549" s="70" t="s">
        <v>14023</v>
      </c>
      <c r="I1549" s="70">
        <v>1460.0</v>
      </c>
      <c r="J1549" s="70" t="s">
        <v>14020</v>
      </c>
      <c r="K1549" s="70" t="s">
        <v>14021</v>
      </c>
      <c r="L1549" s="70" t="s">
        <v>14022</v>
      </c>
      <c r="P1549" s="76">
        <v>45471.0</v>
      </c>
      <c r="U1549" s="70" t="s">
        <v>239</v>
      </c>
      <c r="W1549" s="70" t="s">
        <v>14025</v>
      </c>
      <c r="X1549" s="70" t="s">
        <v>14026</v>
      </c>
      <c r="Z1549" s="75" t="s">
        <v>14027</v>
      </c>
      <c r="AA1549" s="70" t="s">
        <v>14028</v>
      </c>
      <c r="AE1549" s="70">
        <v>11.0</v>
      </c>
      <c r="AF1549" s="70" t="s">
        <v>239</v>
      </c>
      <c r="AW1549" s="70" t="s">
        <v>14029</v>
      </c>
      <c r="AZ1549" s="70">
        <v>1165.0</v>
      </c>
    </row>
    <row r="1550" ht="22.5" customHeight="1">
      <c r="A1550" s="70" t="str">
        <f t="shared" si="1"/>
        <v>Excluded</v>
      </c>
      <c r="B1550" s="70">
        <f t="shared" si="2"/>
        <v>0</v>
      </c>
      <c r="C1550" s="70">
        <v>0.0</v>
      </c>
      <c r="D1550" s="70">
        <v>0.0</v>
      </c>
      <c r="E1550" s="70">
        <v>0.0</v>
      </c>
      <c r="F1550" s="70">
        <v>0.0</v>
      </c>
      <c r="G1550" s="70">
        <v>0.0</v>
      </c>
      <c r="H1550" s="70" t="s">
        <v>9234</v>
      </c>
      <c r="I1550" s="70">
        <v>900.0</v>
      </c>
      <c r="J1550" s="70" t="s">
        <v>9232</v>
      </c>
      <c r="K1550" s="70" t="s">
        <v>9233</v>
      </c>
      <c r="L1550" s="70" t="s">
        <v>5153</v>
      </c>
      <c r="P1550" s="76">
        <v>44512.0</v>
      </c>
      <c r="U1550" s="70" t="s">
        <v>239</v>
      </c>
      <c r="W1550" s="70" t="s">
        <v>9236</v>
      </c>
      <c r="X1550" s="70" t="s">
        <v>5157</v>
      </c>
      <c r="Z1550" s="75" t="s">
        <v>9237</v>
      </c>
      <c r="AA1550" s="70" t="s">
        <v>9238</v>
      </c>
      <c r="AC1550" s="70">
        <v>1.0</v>
      </c>
      <c r="AE1550" s="70">
        <v>60.0</v>
      </c>
      <c r="AF1550" s="70" t="s">
        <v>239</v>
      </c>
      <c r="AW1550" s="70" t="s">
        <v>9239</v>
      </c>
      <c r="AZ1550" s="70">
        <v>974.0</v>
      </c>
    </row>
    <row r="1551" ht="22.5" customHeight="1">
      <c r="A1551" s="70" t="str">
        <f t="shared" si="1"/>
        <v>Excluded</v>
      </c>
      <c r="B1551" s="70">
        <f t="shared" si="2"/>
        <v>0</v>
      </c>
      <c r="C1551" s="70">
        <v>0.0</v>
      </c>
      <c r="D1551" s="70">
        <v>0.0</v>
      </c>
      <c r="E1551" s="70">
        <v>0.0</v>
      </c>
      <c r="F1551" s="70">
        <v>0.0</v>
      </c>
      <c r="G1551" s="70">
        <v>0.0</v>
      </c>
      <c r="H1551" s="70" t="s">
        <v>5154</v>
      </c>
      <c r="I1551" s="70">
        <v>481.0</v>
      </c>
      <c r="J1551" s="70" t="s">
        <v>5151</v>
      </c>
      <c r="K1551" s="70" t="s">
        <v>5152</v>
      </c>
      <c r="L1551" s="70" t="s">
        <v>5153</v>
      </c>
      <c r="P1551" s="76">
        <v>44512.0</v>
      </c>
      <c r="U1551" s="70" t="s">
        <v>239</v>
      </c>
      <c r="W1551" s="70" t="s">
        <v>5156</v>
      </c>
      <c r="X1551" s="70" t="s">
        <v>5157</v>
      </c>
      <c r="Z1551" s="75" t="s">
        <v>5158</v>
      </c>
      <c r="AA1551" s="70" t="s">
        <v>5159</v>
      </c>
      <c r="AC1551" s="70">
        <v>18.0</v>
      </c>
      <c r="AE1551" s="70">
        <v>57.0</v>
      </c>
      <c r="AF1551" s="70" t="s">
        <v>239</v>
      </c>
      <c r="AW1551" s="70" t="s">
        <v>5160</v>
      </c>
      <c r="AZ1551" s="70">
        <v>1238.0</v>
      </c>
    </row>
    <row r="1552" ht="22.5" customHeight="1">
      <c r="A1552" s="70" t="str">
        <f t="shared" si="1"/>
        <v>Excluded</v>
      </c>
      <c r="B1552" s="70">
        <f t="shared" si="2"/>
        <v>0</v>
      </c>
      <c r="C1552" s="70">
        <v>0.0</v>
      </c>
      <c r="D1552" s="70">
        <v>0.0</v>
      </c>
      <c r="E1552" s="70">
        <v>0.0</v>
      </c>
      <c r="F1552" s="70">
        <v>0.0</v>
      </c>
      <c r="G1552" s="70">
        <v>0.0</v>
      </c>
      <c r="H1552" s="70" t="s">
        <v>8540</v>
      </c>
      <c r="I1552" s="70">
        <v>829.0</v>
      </c>
      <c r="J1552" s="70" t="s">
        <v>8537</v>
      </c>
      <c r="K1552" s="70" t="s">
        <v>8538</v>
      </c>
      <c r="L1552" s="70" t="s">
        <v>8539</v>
      </c>
      <c r="P1552" s="76">
        <v>44887.0</v>
      </c>
      <c r="U1552" s="70" t="s">
        <v>239</v>
      </c>
      <c r="W1552" s="70" t="s">
        <v>30501</v>
      </c>
      <c r="X1552" s="70" t="s">
        <v>8543</v>
      </c>
      <c r="Z1552" s="75" t="s">
        <v>8544</v>
      </c>
      <c r="AA1552" s="70" t="s">
        <v>8545</v>
      </c>
      <c r="AC1552" s="70">
        <v>1.0</v>
      </c>
      <c r="AE1552" s="70">
        <v>30.0</v>
      </c>
      <c r="AF1552" s="70" t="s">
        <v>239</v>
      </c>
      <c r="AW1552" s="70" t="s">
        <v>8546</v>
      </c>
      <c r="AZ1552" s="70">
        <v>808.0</v>
      </c>
    </row>
    <row r="1553" ht="22.5" customHeight="1">
      <c r="A1553" s="70" t="str">
        <f t="shared" si="1"/>
        <v>Excluded</v>
      </c>
      <c r="B1553" s="70">
        <f t="shared" si="2"/>
        <v>0</v>
      </c>
      <c r="C1553" s="70">
        <v>0.0</v>
      </c>
      <c r="D1553" s="70">
        <v>0.0</v>
      </c>
      <c r="E1553" s="70">
        <v>0.0</v>
      </c>
      <c r="F1553" s="70">
        <v>0.0</v>
      </c>
      <c r="G1553" s="70">
        <v>0.0</v>
      </c>
      <c r="H1553" s="70" t="s">
        <v>13853</v>
      </c>
      <c r="I1553" s="70">
        <v>1442.0</v>
      </c>
      <c r="J1553" s="70" t="s">
        <v>13850</v>
      </c>
      <c r="K1553" s="70" t="s">
        <v>13851</v>
      </c>
      <c r="L1553" s="70" t="s">
        <v>13852</v>
      </c>
      <c r="P1553" s="76">
        <v>45589.0</v>
      </c>
      <c r="U1553" s="70" t="s">
        <v>239</v>
      </c>
      <c r="W1553" s="70" t="s">
        <v>13855</v>
      </c>
      <c r="X1553" s="70" t="s">
        <v>13856</v>
      </c>
      <c r="Z1553" s="75" t="s">
        <v>13857</v>
      </c>
      <c r="AA1553" s="70" t="s">
        <v>13858</v>
      </c>
      <c r="AE1553" s="70">
        <v>15.0</v>
      </c>
      <c r="AF1553" s="70" t="s">
        <v>239</v>
      </c>
      <c r="AW1553" s="70" t="s">
        <v>13859</v>
      </c>
      <c r="AX1553" s="70">
        <v>0.0</v>
      </c>
      <c r="AY1553" s="70" t="s">
        <v>24</v>
      </c>
      <c r="AZ1553" s="70">
        <v>2660.0</v>
      </c>
    </row>
    <row r="1554" ht="22.5" customHeight="1">
      <c r="A1554" s="70" t="str">
        <f t="shared" si="1"/>
        <v>Excluded</v>
      </c>
      <c r="B1554" s="70">
        <f t="shared" si="2"/>
        <v>0</v>
      </c>
      <c r="C1554" s="70">
        <v>0.0</v>
      </c>
      <c r="D1554" s="70">
        <v>0.0</v>
      </c>
      <c r="E1554" s="70">
        <v>0.0</v>
      </c>
      <c r="F1554" s="70">
        <v>0.0</v>
      </c>
      <c r="G1554" s="70">
        <v>0.0</v>
      </c>
      <c r="H1554" s="70" t="s">
        <v>10938</v>
      </c>
      <c r="I1554" s="70">
        <v>1129.0</v>
      </c>
      <c r="K1554" s="70" t="s">
        <v>10805</v>
      </c>
      <c r="L1554" s="70" t="s">
        <v>10937</v>
      </c>
      <c r="P1554" s="76">
        <v>44767.0</v>
      </c>
      <c r="U1554" s="70" t="s">
        <v>239</v>
      </c>
      <c r="W1554" s="70" t="s">
        <v>10939</v>
      </c>
      <c r="X1554" s="70" t="s">
        <v>10940</v>
      </c>
      <c r="Z1554" s="75" t="s">
        <v>10941</v>
      </c>
      <c r="AF1554" s="70" t="s">
        <v>239</v>
      </c>
      <c r="AZ1554" s="70">
        <v>1529.0</v>
      </c>
    </row>
    <row r="1555" ht="22.5" customHeight="1">
      <c r="A1555" s="70" t="str">
        <f t="shared" si="1"/>
        <v>Excluded</v>
      </c>
      <c r="B1555" s="70">
        <f t="shared" si="2"/>
        <v>0</v>
      </c>
      <c r="C1555" s="70">
        <v>0.0</v>
      </c>
      <c r="D1555" s="70">
        <v>0.0</v>
      </c>
      <c r="E1555" s="70">
        <v>0.0</v>
      </c>
      <c r="F1555" s="70">
        <v>0.0</v>
      </c>
      <c r="G1555" s="70">
        <v>0.0</v>
      </c>
      <c r="H1555" s="70" t="s">
        <v>9746</v>
      </c>
      <c r="I1555" s="70">
        <v>954.0</v>
      </c>
      <c r="J1555" s="70" t="s">
        <v>9743</v>
      </c>
      <c r="K1555" s="70" t="s">
        <v>9744</v>
      </c>
      <c r="L1555" s="70" t="s">
        <v>9745</v>
      </c>
      <c r="P1555" s="76">
        <v>44404.0</v>
      </c>
      <c r="U1555" s="70" t="s">
        <v>239</v>
      </c>
      <c r="W1555" s="70" t="s">
        <v>30502</v>
      </c>
      <c r="X1555" s="70" t="s">
        <v>9749</v>
      </c>
      <c r="Z1555" s="75" t="s">
        <v>9750</v>
      </c>
      <c r="AA1555" s="70" t="s">
        <v>9751</v>
      </c>
      <c r="AE1555" s="70">
        <v>20.0</v>
      </c>
      <c r="AF1555" s="70" t="s">
        <v>239</v>
      </c>
      <c r="AW1555" s="70" t="s">
        <v>9752</v>
      </c>
      <c r="AX1555" s="70">
        <v>0.0</v>
      </c>
      <c r="AY1555" s="70" t="s">
        <v>24</v>
      </c>
      <c r="AZ1555" s="70">
        <v>2352.0</v>
      </c>
    </row>
    <row r="1556" ht="22.5" customHeight="1">
      <c r="A1556" s="70" t="str">
        <f t="shared" si="1"/>
        <v>Excluded</v>
      </c>
      <c r="B1556" s="70">
        <f t="shared" si="2"/>
        <v>0</v>
      </c>
      <c r="C1556" s="70">
        <v>0.0</v>
      </c>
      <c r="D1556" s="70">
        <v>0.0</v>
      </c>
      <c r="E1556" s="70">
        <v>0.0</v>
      </c>
      <c r="F1556" s="70">
        <v>0.0</v>
      </c>
      <c r="G1556" s="70">
        <v>0.0</v>
      </c>
      <c r="H1556" s="70" t="s">
        <v>15698</v>
      </c>
      <c r="I1556" s="70">
        <v>1639.0</v>
      </c>
      <c r="J1556" s="70" t="s">
        <v>15695</v>
      </c>
      <c r="K1556" s="70" t="s">
        <v>15696</v>
      </c>
      <c r="L1556" s="70" t="s">
        <v>15697</v>
      </c>
      <c r="P1556" s="76">
        <v>45310.0</v>
      </c>
      <c r="U1556" s="70" t="s">
        <v>239</v>
      </c>
      <c r="W1556" s="70" t="s">
        <v>30503</v>
      </c>
      <c r="X1556" s="70" t="s">
        <v>15701</v>
      </c>
      <c r="Z1556" s="75" t="s">
        <v>15702</v>
      </c>
      <c r="AA1556" s="70" t="s">
        <v>15703</v>
      </c>
      <c r="AE1556" s="70">
        <v>20.0</v>
      </c>
      <c r="AF1556" s="70" t="s">
        <v>239</v>
      </c>
      <c r="AW1556" s="70" t="s">
        <v>15704</v>
      </c>
      <c r="AZ1556" s="70">
        <v>1016.0</v>
      </c>
    </row>
    <row r="1557" ht="22.5" customHeight="1">
      <c r="A1557" s="70" t="str">
        <f t="shared" si="1"/>
        <v>Excluded</v>
      </c>
      <c r="B1557" s="70">
        <f t="shared" si="2"/>
        <v>0</v>
      </c>
      <c r="C1557" s="70">
        <v>0.0</v>
      </c>
      <c r="D1557" s="70">
        <v>0.0</v>
      </c>
      <c r="E1557" s="70">
        <v>0.0</v>
      </c>
      <c r="F1557" s="70">
        <v>0.0</v>
      </c>
      <c r="G1557" s="70">
        <v>0.0</v>
      </c>
      <c r="H1557" s="70" t="s">
        <v>9206</v>
      </c>
      <c r="I1557" s="70">
        <v>897.0</v>
      </c>
      <c r="J1557" s="70" t="s">
        <v>9202</v>
      </c>
      <c r="K1557" s="70" t="s">
        <v>9203</v>
      </c>
      <c r="L1557" s="70" t="s">
        <v>9204</v>
      </c>
      <c r="N1557" s="70" t="s">
        <v>9205</v>
      </c>
      <c r="P1557" s="76">
        <v>44252.0</v>
      </c>
      <c r="U1557" s="70" t="s">
        <v>239</v>
      </c>
      <c r="W1557" s="70" t="s">
        <v>9208</v>
      </c>
      <c r="X1557" s="70" t="s">
        <v>9209</v>
      </c>
      <c r="Y1557" s="70" t="s">
        <v>9210</v>
      </c>
      <c r="Z1557" s="75" t="s">
        <v>9211</v>
      </c>
      <c r="AA1557" s="70" t="s">
        <v>9212</v>
      </c>
      <c r="AC1557" s="70">
        <v>1.0</v>
      </c>
      <c r="AE1557" s="70">
        <v>31.0</v>
      </c>
      <c r="AF1557" s="70" t="s">
        <v>239</v>
      </c>
      <c r="AW1557" s="70" t="s">
        <v>9213</v>
      </c>
      <c r="AZ1557" s="70">
        <v>525.0</v>
      </c>
    </row>
    <row r="1558" ht="22.5" customHeight="1">
      <c r="A1558" s="70" t="str">
        <f t="shared" si="1"/>
        <v>Excluded</v>
      </c>
      <c r="B1558" s="70">
        <f t="shared" si="2"/>
        <v>0</v>
      </c>
      <c r="C1558" s="70">
        <v>0.0</v>
      </c>
      <c r="D1558" s="70">
        <v>0.0</v>
      </c>
      <c r="E1558" s="70">
        <v>0.0</v>
      </c>
      <c r="F1558" s="70">
        <v>0.0</v>
      </c>
      <c r="G1558" s="70">
        <v>0.0</v>
      </c>
      <c r="H1558" s="70" t="s">
        <v>16315</v>
      </c>
      <c r="I1558" s="70">
        <v>1776.0</v>
      </c>
      <c r="K1558" s="70" t="s">
        <v>10597</v>
      </c>
      <c r="L1558" s="70" t="s">
        <v>11334</v>
      </c>
      <c r="N1558" s="70" t="s">
        <v>9205</v>
      </c>
      <c r="P1558" s="76">
        <v>45012.0</v>
      </c>
      <c r="U1558" s="70" t="s">
        <v>239</v>
      </c>
      <c r="X1558" s="70" t="s">
        <v>11338</v>
      </c>
      <c r="Z1558" s="75" t="s">
        <v>16316</v>
      </c>
      <c r="AF1558" s="70" t="s">
        <v>239</v>
      </c>
      <c r="AZ1558" s="70">
        <v>1554.0</v>
      </c>
    </row>
    <row r="1559" ht="22.5" customHeight="1">
      <c r="A1559" s="70" t="str">
        <f t="shared" si="1"/>
        <v>Excluded</v>
      </c>
      <c r="B1559" s="70">
        <f t="shared" si="2"/>
        <v>0</v>
      </c>
      <c r="C1559" s="70">
        <v>0.0</v>
      </c>
      <c r="D1559" s="70">
        <v>0.0</v>
      </c>
      <c r="E1559" s="70">
        <v>0.0</v>
      </c>
      <c r="F1559" s="70">
        <v>0.0</v>
      </c>
      <c r="G1559" s="70">
        <v>0.0</v>
      </c>
      <c r="H1559" s="70" t="s">
        <v>11934</v>
      </c>
      <c r="I1559" s="70">
        <v>1248.0</v>
      </c>
      <c r="J1559" s="70" t="s">
        <v>11932</v>
      </c>
      <c r="K1559" s="70" t="s">
        <v>11933</v>
      </c>
      <c r="L1559" s="70" t="s">
        <v>11334</v>
      </c>
      <c r="N1559" s="70" t="s">
        <v>9205</v>
      </c>
      <c r="P1559" s="76">
        <v>45012.0</v>
      </c>
      <c r="U1559" s="70" t="s">
        <v>239</v>
      </c>
      <c r="W1559" s="70" t="s">
        <v>11936</v>
      </c>
      <c r="X1559" s="70" t="s">
        <v>11338</v>
      </c>
      <c r="Z1559" s="75" t="s">
        <v>11937</v>
      </c>
      <c r="AA1559" s="70" t="s">
        <v>11938</v>
      </c>
      <c r="AC1559" s="70">
        <v>1.0</v>
      </c>
      <c r="AE1559" s="70">
        <v>25.0</v>
      </c>
      <c r="AF1559" s="70" t="s">
        <v>239</v>
      </c>
      <c r="AW1559" s="70" t="s">
        <v>11939</v>
      </c>
      <c r="AX1559" s="70">
        <v>0.0</v>
      </c>
      <c r="AY1559" s="70" t="s">
        <v>24</v>
      </c>
      <c r="AZ1559" s="70">
        <v>2380.0</v>
      </c>
    </row>
    <row r="1560" ht="22.5" customHeight="1">
      <c r="A1560" s="70" t="str">
        <f t="shared" si="1"/>
        <v>Excluded</v>
      </c>
      <c r="B1560" s="70">
        <f t="shared" si="2"/>
        <v>0</v>
      </c>
      <c r="C1560" s="70">
        <v>0.0</v>
      </c>
      <c r="D1560" s="70">
        <v>0.0</v>
      </c>
      <c r="E1560" s="70">
        <v>0.0</v>
      </c>
      <c r="F1560" s="70">
        <v>0.0</v>
      </c>
      <c r="G1560" s="70">
        <v>0.0</v>
      </c>
      <c r="H1560" s="70" t="s">
        <v>11335</v>
      </c>
      <c r="I1560" s="70">
        <v>1188.0</v>
      </c>
      <c r="J1560" s="70" t="s">
        <v>11332</v>
      </c>
      <c r="K1560" s="70" t="s">
        <v>11333</v>
      </c>
      <c r="L1560" s="70" t="s">
        <v>11334</v>
      </c>
      <c r="N1560" s="70" t="s">
        <v>9205</v>
      </c>
      <c r="P1560" s="76">
        <v>45012.0</v>
      </c>
      <c r="U1560" s="70" t="s">
        <v>239</v>
      </c>
      <c r="W1560" s="70" t="s">
        <v>30504</v>
      </c>
      <c r="X1560" s="70" t="s">
        <v>11338</v>
      </c>
      <c r="Z1560" s="75" t="s">
        <v>11339</v>
      </c>
      <c r="AA1560" s="70" t="s">
        <v>11340</v>
      </c>
      <c r="AC1560" s="70">
        <v>4.0</v>
      </c>
      <c r="AE1560" s="70">
        <v>25.0</v>
      </c>
      <c r="AF1560" s="70" t="s">
        <v>239</v>
      </c>
      <c r="AW1560" s="70" t="s">
        <v>11341</v>
      </c>
      <c r="AX1560" s="70">
        <v>0.0</v>
      </c>
      <c r="AY1560" s="70" t="s">
        <v>24</v>
      </c>
      <c r="AZ1560" s="70">
        <v>2624.0</v>
      </c>
    </row>
    <row r="1561" ht="22.5" customHeight="1">
      <c r="A1561" s="70" t="str">
        <f t="shared" si="1"/>
        <v>Excluded</v>
      </c>
      <c r="B1561" s="70">
        <f t="shared" si="2"/>
        <v>0</v>
      </c>
      <c r="C1561" s="70">
        <v>0.0</v>
      </c>
      <c r="D1561" s="70">
        <v>0.0</v>
      </c>
      <c r="E1561" s="70">
        <v>0.0</v>
      </c>
      <c r="F1561" s="70">
        <v>0.0</v>
      </c>
      <c r="G1561" s="70">
        <v>0.0</v>
      </c>
      <c r="H1561" s="70" t="s">
        <v>16213</v>
      </c>
      <c r="I1561" s="70">
        <v>1749.0</v>
      </c>
      <c r="K1561" s="70" t="s">
        <v>10597</v>
      </c>
      <c r="L1561" s="70" t="s">
        <v>12262</v>
      </c>
      <c r="N1561" s="70" t="s">
        <v>9205</v>
      </c>
      <c r="P1561" s="76">
        <v>45377.0</v>
      </c>
      <c r="U1561" s="70" t="s">
        <v>239</v>
      </c>
      <c r="X1561" s="70" t="s">
        <v>12266</v>
      </c>
      <c r="Z1561" s="75" t="s">
        <v>16214</v>
      </c>
      <c r="AF1561" s="70" t="s">
        <v>239</v>
      </c>
      <c r="AZ1561" s="70">
        <v>1534.0</v>
      </c>
    </row>
    <row r="1562" ht="22.5" customHeight="1">
      <c r="A1562" s="70" t="str">
        <f t="shared" si="1"/>
        <v>Excluded</v>
      </c>
      <c r="B1562" s="70">
        <f t="shared" si="2"/>
        <v>0</v>
      </c>
      <c r="C1562" s="70">
        <v>0.0</v>
      </c>
      <c r="D1562" s="70">
        <v>0.0</v>
      </c>
      <c r="E1562" s="70">
        <v>0.0</v>
      </c>
      <c r="F1562" s="70">
        <v>0.0</v>
      </c>
      <c r="G1562" s="70">
        <v>0.0</v>
      </c>
      <c r="H1562" s="70" t="s">
        <v>13932</v>
      </c>
      <c r="I1562" s="70">
        <v>1451.0</v>
      </c>
      <c r="J1562" s="70" t="s">
        <v>13930</v>
      </c>
      <c r="K1562" s="70" t="s">
        <v>13931</v>
      </c>
      <c r="L1562" s="70" t="s">
        <v>12262</v>
      </c>
      <c r="N1562" s="70" t="s">
        <v>9205</v>
      </c>
      <c r="P1562" s="76">
        <v>45377.0</v>
      </c>
      <c r="U1562" s="70" t="s">
        <v>239</v>
      </c>
      <c r="W1562" s="70" t="s">
        <v>13934</v>
      </c>
      <c r="X1562" s="70" t="s">
        <v>12266</v>
      </c>
      <c r="Y1562" s="70" t="s">
        <v>30227</v>
      </c>
      <c r="Z1562" s="75" t="s">
        <v>13935</v>
      </c>
      <c r="AA1562" s="70" t="s">
        <v>13936</v>
      </c>
      <c r="AE1562" s="70">
        <v>19.0</v>
      </c>
      <c r="AF1562" s="70" t="s">
        <v>239</v>
      </c>
      <c r="AW1562" s="70" t="s">
        <v>13937</v>
      </c>
      <c r="AX1562" s="70">
        <v>0.0</v>
      </c>
      <c r="AY1562" s="70" t="s">
        <v>24</v>
      </c>
      <c r="AZ1562" s="70">
        <v>2355.0</v>
      </c>
    </row>
    <row r="1563" ht="22.5" customHeight="1">
      <c r="A1563" s="70" t="str">
        <f t="shared" si="1"/>
        <v>Excluded</v>
      </c>
      <c r="B1563" s="70">
        <f t="shared" si="2"/>
        <v>0</v>
      </c>
      <c r="C1563" s="70">
        <v>0.0</v>
      </c>
      <c r="D1563" s="70">
        <v>0.0</v>
      </c>
      <c r="E1563" s="70">
        <v>0.0</v>
      </c>
      <c r="F1563" s="70">
        <v>0.0</v>
      </c>
      <c r="G1563" s="70">
        <v>0.0</v>
      </c>
      <c r="H1563" s="70" t="s">
        <v>25584</v>
      </c>
      <c r="I1563" s="70">
        <v>2783.0</v>
      </c>
      <c r="J1563" s="70" t="s">
        <v>25582</v>
      </c>
      <c r="K1563" s="70" t="s">
        <v>25583</v>
      </c>
      <c r="W1563" s="70" t="s">
        <v>30505</v>
      </c>
      <c r="AA1563" s="70" t="s">
        <v>25586</v>
      </c>
      <c r="AI1563" s="70" t="s">
        <v>25587</v>
      </c>
      <c r="AJ1563" s="70" t="s">
        <v>25588</v>
      </c>
      <c r="AK1563" s="70">
        <v>2023.0</v>
      </c>
      <c r="AL1563" s="70" t="s">
        <v>25589</v>
      </c>
      <c r="AN1563" s="70">
        <v>2410.0</v>
      </c>
      <c r="AO1563" s="70">
        <v>2419.0</v>
      </c>
      <c r="AP1563" s="70">
        <v>9.0</v>
      </c>
      <c r="AQ1563" s="70">
        <v>0.0</v>
      </c>
      <c r="AR1563" s="75" t="s">
        <v>25590</v>
      </c>
      <c r="AS1563" s="70" t="s">
        <v>22525</v>
      </c>
      <c r="AU1563" s="70" t="s">
        <v>237</v>
      </c>
      <c r="AV1563" s="70" t="s">
        <v>25591</v>
      </c>
      <c r="AW1563" s="70" t="s">
        <v>25592</v>
      </c>
      <c r="AX1563" s="70">
        <v>0.0</v>
      </c>
      <c r="AY1563" s="70" t="s">
        <v>24</v>
      </c>
      <c r="AZ1563" s="70">
        <v>2265.0</v>
      </c>
    </row>
    <row r="1564" ht="22.5" customHeight="1">
      <c r="A1564" s="70" t="str">
        <f t="shared" si="1"/>
        <v>Excluded</v>
      </c>
      <c r="B1564" s="70">
        <f t="shared" si="2"/>
        <v>0</v>
      </c>
      <c r="C1564" s="70">
        <v>0.0</v>
      </c>
      <c r="D1564" s="70">
        <v>0.0</v>
      </c>
      <c r="E1564" s="70">
        <v>0.0</v>
      </c>
      <c r="F1564" s="70">
        <v>0.0</v>
      </c>
      <c r="G1564" s="70">
        <v>0.0</v>
      </c>
      <c r="H1564" s="70" t="s">
        <v>12263</v>
      </c>
      <c r="I1564" s="70">
        <v>1281.0</v>
      </c>
      <c r="J1564" s="70" t="s">
        <v>12260</v>
      </c>
      <c r="K1564" s="70" t="s">
        <v>12261</v>
      </c>
      <c r="L1564" s="70" t="s">
        <v>12262</v>
      </c>
      <c r="N1564" s="70" t="s">
        <v>9205</v>
      </c>
      <c r="P1564" s="76">
        <v>45377.0</v>
      </c>
      <c r="U1564" s="70" t="s">
        <v>239</v>
      </c>
      <c r="W1564" s="70" t="s">
        <v>30506</v>
      </c>
      <c r="X1564" s="70" t="s">
        <v>12266</v>
      </c>
      <c r="Z1564" s="75" t="s">
        <v>12267</v>
      </c>
      <c r="AA1564" s="70" t="s">
        <v>12268</v>
      </c>
      <c r="AC1564" s="70">
        <v>1.0</v>
      </c>
      <c r="AE1564" s="70">
        <v>30.0</v>
      </c>
      <c r="AF1564" s="70" t="s">
        <v>239</v>
      </c>
      <c r="AW1564" s="70" t="s">
        <v>12269</v>
      </c>
      <c r="AX1564" s="70">
        <v>0.0</v>
      </c>
      <c r="AY1564" s="70" t="s">
        <v>24</v>
      </c>
      <c r="AZ1564" s="70">
        <v>2489.0</v>
      </c>
    </row>
    <row r="1565" ht="22.5" customHeight="1">
      <c r="A1565" s="70" t="str">
        <f t="shared" si="1"/>
        <v>Excluded</v>
      </c>
      <c r="B1565" s="70">
        <f t="shared" si="2"/>
        <v>0</v>
      </c>
      <c r="C1565" s="70">
        <v>0.0</v>
      </c>
      <c r="D1565" s="70">
        <v>0.0</v>
      </c>
      <c r="E1565" s="70">
        <v>0.0</v>
      </c>
      <c r="F1565" s="70">
        <v>0.0</v>
      </c>
      <c r="G1565" s="70">
        <v>0.0</v>
      </c>
      <c r="H1565" s="70" t="s">
        <v>14536</v>
      </c>
      <c r="I1565" s="70">
        <v>1516.0</v>
      </c>
      <c r="J1565" s="70" t="s">
        <v>14533</v>
      </c>
      <c r="K1565" s="70" t="s">
        <v>14534</v>
      </c>
      <c r="L1565" s="70" t="s">
        <v>14535</v>
      </c>
      <c r="N1565" s="70" t="s">
        <v>9205</v>
      </c>
      <c r="P1565" s="76">
        <v>45624.0</v>
      </c>
      <c r="U1565" s="70" t="s">
        <v>239</v>
      </c>
      <c r="W1565" s="70" t="s">
        <v>14538</v>
      </c>
      <c r="X1565" s="70" t="s">
        <v>14539</v>
      </c>
      <c r="Z1565" s="75" t="s">
        <v>14540</v>
      </c>
      <c r="AA1565" s="70" t="s">
        <v>14541</v>
      </c>
      <c r="AE1565" s="70">
        <v>28.0</v>
      </c>
      <c r="AF1565" s="70" t="s">
        <v>239</v>
      </c>
      <c r="AW1565" s="70" t="s">
        <v>14542</v>
      </c>
      <c r="AX1565" s="70">
        <v>0.0</v>
      </c>
      <c r="AY1565" s="70" t="s">
        <v>24</v>
      </c>
      <c r="AZ1565" s="70">
        <v>3064.0</v>
      </c>
    </row>
    <row r="1566" ht="22.5" customHeight="1">
      <c r="A1566" s="70" t="str">
        <f t="shared" si="1"/>
        <v>Excluded</v>
      </c>
      <c r="B1566" s="70">
        <f t="shared" si="2"/>
        <v>0</v>
      </c>
      <c r="C1566" s="70">
        <v>0.0</v>
      </c>
      <c r="D1566" s="70">
        <v>0.0</v>
      </c>
      <c r="E1566" s="70">
        <v>0.0</v>
      </c>
      <c r="F1566" s="70">
        <v>0.0</v>
      </c>
      <c r="G1566" s="70">
        <v>0.0</v>
      </c>
      <c r="H1566" s="70" t="s">
        <v>13412</v>
      </c>
      <c r="I1566" s="70">
        <v>1397.0</v>
      </c>
      <c r="J1566" s="70" t="s">
        <v>13409</v>
      </c>
      <c r="K1566" s="70" t="s">
        <v>13410</v>
      </c>
      <c r="L1566" s="70" t="s">
        <v>13411</v>
      </c>
      <c r="P1566" s="76">
        <v>45313.0</v>
      </c>
      <c r="U1566" s="70" t="s">
        <v>239</v>
      </c>
      <c r="W1566" s="70" t="s">
        <v>30507</v>
      </c>
      <c r="X1566" s="70" t="s">
        <v>13415</v>
      </c>
      <c r="Z1566" s="75" t="s">
        <v>13416</v>
      </c>
      <c r="AA1566" s="70" t="s">
        <v>13417</v>
      </c>
      <c r="AE1566" s="70">
        <v>10.0</v>
      </c>
      <c r="AF1566" s="70" t="s">
        <v>239</v>
      </c>
      <c r="AW1566" s="70" t="s">
        <v>13418</v>
      </c>
      <c r="AX1566" s="70">
        <v>0.0</v>
      </c>
      <c r="AY1566" s="70" t="s">
        <v>24</v>
      </c>
      <c r="AZ1566" s="70">
        <v>2590.0</v>
      </c>
    </row>
    <row r="1567" ht="22.5" customHeight="1">
      <c r="A1567" s="70" t="str">
        <f t="shared" si="1"/>
        <v>Excluded</v>
      </c>
      <c r="B1567" s="70">
        <f t="shared" si="2"/>
        <v>0</v>
      </c>
      <c r="C1567" s="70">
        <v>0.0</v>
      </c>
      <c r="D1567" s="70">
        <v>0.0</v>
      </c>
      <c r="E1567" s="70">
        <v>0.0</v>
      </c>
      <c r="F1567" s="70">
        <v>0.0</v>
      </c>
      <c r="G1567" s="70">
        <v>0.0</v>
      </c>
      <c r="H1567" s="70" t="s">
        <v>13075</v>
      </c>
      <c r="I1567" s="70">
        <v>1363.0</v>
      </c>
      <c r="J1567" s="70" t="s">
        <v>13072</v>
      </c>
      <c r="K1567" s="70" t="s">
        <v>13073</v>
      </c>
      <c r="L1567" s="70" t="s">
        <v>13074</v>
      </c>
      <c r="P1567" s="76">
        <v>45014.0</v>
      </c>
      <c r="U1567" s="70" t="s">
        <v>239</v>
      </c>
      <c r="W1567" s="70" t="s">
        <v>13077</v>
      </c>
      <c r="X1567" s="70" t="s">
        <v>13078</v>
      </c>
      <c r="Z1567" s="75" t="s">
        <v>13079</v>
      </c>
      <c r="AA1567" s="70" t="s">
        <v>13080</v>
      </c>
      <c r="AE1567" s="70">
        <v>11.0</v>
      </c>
      <c r="AF1567" s="70" t="s">
        <v>239</v>
      </c>
      <c r="AW1567" s="70" t="s">
        <v>13081</v>
      </c>
      <c r="AX1567" s="70">
        <v>0.0</v>
      </c>
      <c r="AY1567" s="70" t="s">
        <v>24</v>
      </c>
      <c r="AZ1567" s="70">
        <v>3028.0</v>
      </c>
    </row>
    <row r="1568" ht="22.5" customHeight="1">
      <c r="A1568" s="70" t="str">
        <f t="shared" si="1"/>
        <v>Excluded</v>
      </c>
      <c r="B1568" s="70">
        <f t="shared" si="2"/>
        <v>0</v>
      </c>
      <c r="C1568" s="70">
        <v>0.0</v>
      </c>
      <c r="D1568" s="70">
        <v>0.0</v>
      </c>
      <c r="E1568" s="70">
        <v>0.0</v>
      </c>
      <c r="F1568" s="70">
        <v>0.0</v>
      </c>
      <c r="G1568" s="70">
        <v>0.0</v>
      </c>
      <c r="H1568" s="70" t="s">
        <v>12814</v>
      </c>
      <c r="I1568" s="70">
        <v>1336.0</v>
      </c>
      <c r="J1568" s="70" t="s">
        <v>12811</v>
      </c>
      <c r="K1568" s="70" t="s">
        <v>12812</v>
      </c>
      <c r="L1568" s="70" t="s">
        <v>12813</v>
      </c>
      <c r="P1568" s="76">
        <v>45376.0</v>
      </c>
      <c r="U1568" s="70" t="s">
        <v>239</v>
      </c>
      <c r="W1568" s="70" t="s">
        <v>12816</v>
      </c>
      <c r="X1568" s="70" t="s">
        <v>12817</v>
      </c>
      <c r="Z1568" s="75" t="s">
        <v>12818</v>
      </c>
      <c r="AA1568" s="70" t="s">
        <v>12819</v>
      </c>
      <c r="AE1568" s="70">
        <v>8.0</v>
      </c>
      <c r="AF1568" s="70" t="s">
        <v>239</v>
      </c>
      <c r="AW1568" s="70" t="s">
        <v>12820</v>
      </c>
      <c r="AX1568" s="70">
        <v>0.0</v>
      </c>
      <c r="AY1568" s="70" t="s">
        <v>24</v>
      </c>
      <c r="AZ1568" s="70">
        <v>2837.0</v>
      </c>
    </row>
    <row r="1569" ht="22.5" customHeight="1">
      <c r="A1569" s="70" t="str">
        <f t="shared" si="1"/>
        <v>Excluded</v>
      </c>
      <c r="B1569" s="70">
        <f t="shared" si="2"/>
        <v>0</v>
      </c>
      <c r="C1569" s="70">
        <v>0.0</v>
      </c>
      <c r="D1569" s="70">
        <v>0.0</v>
      </c>
      <c r="E1569" s="70">
        <v>0.0</v>
      </c>
      <c r="F1569" s="70">
        <v>0.0</v>
      </c>
      <c r="G1569" s="70">
        <v>0.0</v>
      </c>
      <c r="H1569" s="70" t="s">
        <v>16285</v>
      </c>
      <c r="I1569" s="70">
        <v>1767.0</v>
      </c>
      <c r="K1569" s="70" t="s">
        <v>9426</v>
      </c>
      <c r="L1569" s="70" t="s">
        <v>16284</v>
      </c>
      <c r="P1569" s="76">
        <v>45588.0</v>
      </c>
      <c r="U1569" s="70" t="s">
        <v>239</v>
      </c>
      <c r="X1569" s="70" t="s">
        <v>16286</v>
      </c>
      <c r="Z1569" s="75" t="s">
        <v>16287</v>
      </c>
      <c r="AF1569" s="70" t="s">
        <v>239</v>
      </c>
      <c r="AZ1569" s="70">
        <v>1429.0</v>
      </c>
    </row>
    <row r="1570" ht="22.5" customHeight="1">
      <c r="A1570" s="70" t="str">
        <f t="shared" si="1"/>
        <v>Excluded</v>
      </c>
      <c r="B1570" s="70">
        <f t="shared" si="2"/>
        <v>0</v>
      </c>
      <c r="C1570" s="70">
        <v>0.0</v>
      </c>
      <c r="D1570" s="70">
        <v>0.0</v>
      </c>
      <c r="E1570" s="70">
        <v>0.0</v>
      </c>
      <c r="F1570" s="70">
        <v>0.0</v>
      </c>
      <c r="G1570" s="70">
        <v>0.0</v>
      </c>
      <c r="H1570" s="70" t="s">
        <v>9613</v>
      </c>
      <c r="I1570" s="70">
        <v>940.0</v>
      </c>
      <c r="J1570" s="70" t="s">
        <v>9611</v>
      </c>
      <c r="K1570" s="70" t="s">
        <v>9612</v>
      </c>
      <c r="L1570" s="70" t="s">
        <v>9603</v>
      </c>
      <c r="P1570" s="76">
        <v>44242.0</v>
      </c>
      <c r="U1570" s="70" t="s">
        <v>239</v>
      </c>
      <c r="W1570" s="70" t="s">
        <v>9615</v>
      </c>
      <c r="X1570" s="70" t="s">
        <v>9607</v>
      </c>
      <c r="Z1570" s="75" t="s">
        <v>9616</v>
      </c>
      <c r="AA1570" s="70" t="s">
        <v>9617</v>
      </c>
      <c r="AE1570" s="70">
        <v>13.0</v>
      </c>
      <c r="AF1570" s="70" t="s">
        <v>239</v>
      </c>
      <c r="AW1570" s="70" t="s">
        <v>9618</v>
      </c>
      <c r="AX1570" s="70">
        <v>0.0</v>
      </c>
      <c r="AY1570" s="70" t="s">
        <v>24</v>
      </c>
      <c r="AZ1570" s="70">
        <v>2245.0</v>
      </c>
    </row>
    <row r="1571" ht="22.5" customHeight="1">
      <c r="A1571" s="70" t="str">
        <f t="shared" si="1"/>
        <v>Excluded</v>
      </c>
      <c r="B1571" s="70">
        <f t="shared" si="2"/>
        <v>0</v>
      </c>
      <c r="C1571" s="70">
        <v>0.0</v>
      </c>
      <c r="D1571" s="70">
        <v>0.0</v>
      </c>
      <c r="E1571" s="70">
        <v>0.0</v>
      </c>
      <c r="F1571" s="70">
        <v>0.0</v>
      </c>
      <c r="G1571" s="70">
        <v>0.0</v>
      </c>
      <c r="H1571" s="70" t="s">
        <v>9604</v>
      </c>
      <c r="I1571" s="70">
        <v>939.0</v>
      </c>
      <c r="J1571" s="70" t="s">
        <v>9601</v>
      </c>
      <c r="K1571" s="70" t="s">
        <v>9602</v>
      </c>
      <c r="L1571" s="70" t="s">
        <v>9603</v>
      </c>
      <c r="P1571" s="76">
        <v>44242.0</v>
      </c>
      <c r="U1571" s="70" t="s">
        <v>239</v>
      </c>
      <c r="W1571" s="70" t="s">
        <v>9606</v>
      </c>
      <c r="X1571" s="70" t="s">
        <v>9607</v>
      </c>
      <c r="Z1571" s="75" t="s">
        <v>9608</v>
      </c>
      <c r="AA1571" s="70" t="s">
        <v>9609</v>
      </c>
      <c r="AE1571" s="70">
        <v>19.0</v>
      </c>
      <c r="AF1571" s="70" t="s">
        <v>239</v>
      </c>
      <c r="AW1571" s="70" t="s">
        <v>9610</v>
      </c>
      <c r="AZ1571" s="70">
        <v>832.0</v>
      </c>
    </row>
    <row r="1572" ht="22.5" customHeight="1">
      <c r="A1572" s="70" t="str">
        <f t="shared" si="1"/>
        <v>Excluded</v>
      </c>
      <c r="B1572" s="70">
        <f t="shared" si="2"/>
        <v>0</v>
      </c>
      <c r="C1572" s="70">
        <v>0.0</v>
      </c>
      <c r="D1572" s="70">
        <v>0.0</v>
      </c>
      <c r="E1572" s="70">
        <v>0.0</v>
      </c>
      <c r="F1572" s="70">
        <v>0.0</v>
      </c>
      <c r="G1572" s="70">
        <v>0.0</v>
      </c>
      <c r="H1572" s="70" t="s">
        <v>9515</v>
      </c>
      <c r="I1572" s="70">
        <v>930.0</v>
      </c>
      <c r="J1572" s="70" t="s">
        <v>9513</v>
      </c>
      <c r="K1572" s="70" t="s">
        <v>9514</v>
      </c>
      <c r="L1572" s="70" t="s">
        <v>9023</v>
      </c>
      <c r="N1572" s="70" t="s">
        <v>9024</v>
      </c>
      <c r="P1572" s="76">
        <v>44587.0</v>
      </c>
      <c r="U1572" s="70" t="s">
        <v>239</v>
      </c>
      <c r="W1572" s="70" t="s">
        <v>9517</v>
      </c>
      <c r="X1572" s="70" t="s">
        <v>9028</v>
      </c>
      <c r="Y1572" s="70" t="s">
        <v>30508</v>
      </c>
      <c r="Z1572" s="75" t="s">
        <v>9519</v>
      </c>
      <c r="AA1572" s="70" t="s">
        <v>9520</v>
      </c>
      <c r="AE1572" s="70">
        <v>11.0</v>
      </c>
      <c r="AF1572" s="70" t="s">
        <v>239</v>
      </c>
      <c r="AW1572" s="70" t="s">
        <v>9521</v>
      </c>
      <c r="AX1572" s="70">
        <v>0.0</v>
      </c>
      <c r="AZ1572" s="70">
        <v>2628.0</v>
      </c>
    </row>
    <row r="1573" ht="22.5" customHeight="1">
      <c r="A1573" s="70" t="str">
        <f t="shared" si="1"/>
        <v>Excluded</v>
      </c>
      <c r="B1573" s="70">
        <f t="shared" si="2"/>
        <v>0</v>
      </c>
      <c r="C1573" s="70">
        <v>0.0</v>
      </c>
      <c r="D1573" s="70">
        <v>0.0</v>
      </c>
      <c r="E1573" s="70">
        <v>0.0</v>
      </c>
      <c r="F1573" s="70">
        <v>0.0</v>
      </c>
      <c r="G1573" s="70">
        <v>0.0</v>
      </c>
      <c r="H1573" s="70" t="s">
        <v>9025</v>
      </c>
      <c r="I1573" s="70">
        <v>878.0</v>
      </c>
      <c r="J1573" s="70" t="s">
        <v>9021</v>
      </c>
      <c r="K1573" s="70" t="s">
        <v>9022</v>
      </c>
      <c r="L1573" s="70" t="s">
        <v>9023</v>
      </c>
      <c r="N1573" s="70" t="s">
        <v>9024</v>
      </c>
      <c r="P1573" s="76">
        <v>44587.0</v>
      </c>
      <c r="U1573" s="70" t="s">
        <v>239</v>
      </c>
      <c r="W1573" s="70" t="s">
        <v>30509</v>
      </c>
      <c r="X1573" s="70" t="s">
        <v>9028</v>
      </c>
      <c r="Z1573" s="75" t="s">
        <v>9029</v>
      </c>
      <c r="AA1573" s="70" t="s">
        <v>9030</v>
      </c>
      <c r="AC1573" s="70">
        <v>1.0</v>
      </c>
      <c r="AE1573" s="70">
        <v>15.0</v>
      </c>
      <c r="AF1573" s="70" t="s">
        <v>239</v>
      </c>
      <c r="AW1573" s="70" t="s">
        <v>9031</v>
      </c>
      <c r="AX1573" s="70">
        <v>0.0</v>
      </c>
      <c r="AY1573" s="70" t="s">
        <v>24</v>
      </c>
      <c r="AZ1573" s="70">
        <v>2854.0</v>
      </c>
    </row>
    <row r="1574" ht="22.5" customHeight="1">
      <c r="A1574" s="70" t="str">
        <f t="shared" si="1"/>
        <v>Excluded</v>
      </c>
      <c r="B1574" s="70">
        <f t="shared" si="2"/>
        <v>0</v>
      </c>
      <c r="C1574" s="70">
        <v>0.0</v>
      </c>
      <c r="D1574" s="70">
        <v>0.0</v>
      </c>
      <c r="E1574" s="70">
        <v>0.0</v>
      </c>
      <c r="F1574" s="70">
        <v>0.0</v>
      </c>
      <c r="G1574" s="70">
        <v>0.0</v>
      </c>
      <c r="H1574" s="70" t="s">
        <v>10104</v>
      </c>
      <c r="I1574" s="70">
        <v>991.0</v>
      </c>
      <c r="J1574" s="70" t="s">
        <v>10101</v>
      </c>
      <c r="K1574" s="70" t="s">
        <v>10102</v>
      </c>
      <c r="L1574" s="70" t="s">
        <v>10103</v>
      </c>
      <c r="N1574" s="70" t="s">
        <v>9024</v>
      </c>
      <c r="P1574" s="76">
        <v>45012.0</v>
      </c>
      <c r="U1574" s="70" t="s">
        <v>239</v>
      </c>
      <c r="W1574" s="70" t="s">
        <v>10106</v>
      </c>
      <c r="X1574" s="70" t="s">
        <v>10107</v>
      </c>
      <c r="Z1574" s="75" t="s">
        <v>10108</v>
      </c>
      <c r="AA1574" s="70" t="s">
        <v>10109</v>
      </c>
      <c r="AE1574" s="70">
        <v>18.0</v>
      </c>
      <c r="AF1574" s="70" t="s">
        <v>239</v>
      </c>
      <c r="AW1574" s="70" t="s">
        <v>10110</v>
      </c>
      <c r="AX1574" s="70">
        <v>0.0</v>
      </c>
      <c r="AY1574" s="70" t="s">
        <v>24</v>
      </c>
      <c r="AZ1574" s="70">
        <v>3061.0</v>
      </c>
    </row>
    <row r="1575" ht="22.5" customHeight="1">
      <c r="A1575" s="70" t="str">
        <f t="shared" si="1"/>
        <v>Excluded</v>
      </c>
      <c r="B1575" s="70">
        <f t="shared" si="2"/>
        <v>0</v>
      </c>
      <c r="C1575" s="70">
        <v>0.0</v>
      </c>
      <c r="D1575" s="70">
        <v>0.0</v>
      </c>
      <c r="E1575" s="70">
        <v>0.0</v>
      </c>
      <c r="F1575" s="70">
        <v>0.0</v>
      </c>
      <c r="G1575" s="70">
        <v>0.0</v>
      </c>
      <c r="H1575" s="70" t="s">
        <v>10692</v>
      </c>
      <c r="I1575" s="70">
        <v>1066.0</v>
      </c>
      <c r="K1575" s="70" t="s">
        <v>10597</v>
      </c>
      <c r="L1575" s="70" t="s">
        <v>10103</v>
      </c>
      <c r="N1575" s="70" t="s">
        <v>9024</v>
      </c>
      <c r="P1575" s="76">
        <v>45012.0</v>
      </c>
      <c r="U1575" s="70" t="s">
        <v>239</v>
      </c>
      <c r="X1575" s="70" t="s">
        <v>10107</v>
      </c>
      <c r="Z1575" s="75" t="s">
        <v>10695</v>
      </c>
      <c r="AF1575" s="70" t="s">
        <v>239</v>
      </c>
      <c r="AZ1575" s="70">
        <v>1553.0</v>
      </c>
    </row>
    <row r="1576" ht="22.5" customHeight="1">
      <c r="A1576" s="70" t="str">
        <f t="shared" si="1"/>
        <v>Excluded</v>
      </c>
      <c r="B1576" s="70">
        <f t="shared" si="2"/>
        <v>0</v>
      </c>
      <c r="C1576" s="70">
        <v>0.0</v>
      </c>
      <c r="D1576" s="70">
        <v>0.0</v>
      </c>
      <c r="E1576" s="70">
        <v>0.0</v>
      </c>
      <c r="F1576" s="70">
        <v>0.0</v>
      </c>
      <c r="G1576" s="70">
        <v>0.0</v>
      </c>
      <c r="H1576" s="70" t="s">
        <v>7783</v>
      </c>
      <c r="I1576" s="70">
        <v>749.0</v>
      </c>
      <c r="J1576" s="70" t="s">
        <v>7780</v>
      </c>
      <c r="K1576" s="70" t="s">
        <v>7781</v>
      </c>
      <c r="L1576" s="70" t="s">
        <v>7782</v>
      </c>
      <c r="P1576" s="77">
        <v>44441.0</v>
      </c>
      <c r="U1576" s="70" t="s">
        <v>239</v>
      </c>
      <c r="W1576" s="70" t="s">
        <v>30510</v>
      </c>
      <c r="X1576" s="70" t="s">
        <v>7786</v>
      </c>
      <c r="Z1576" s="75" t="s">
        <v>7787</v>
      </c>
      <c r="AA1576" s="70" t="s">
        <v>7788</v>
      </c>
      <c r="AC1576" s="70">
        <v>3.0</v>
      </c>
      <c r="AE1576" s="70">
        <v>4.0</v>
      </c>
      <c r="AF1576" s="70" t="s">
        <v>239</v>
      </c>
      <c r="AW1576" s="70" t="s">
        <v>7789</v>
      </c>
      <c r="AX1576" s="70">
        <v>0.0</v>
      </c>
      <c r="AY1576" s="70" t="s">
        <v>24</v>
      </c>
      <c r="AZ1576" s="70">
        <v>3095.0</v>
      </c>
    </row>
    <row r="1577" ht="22.5" customHeight="1">
      <c r="A1577" s="70" t="str">
        <f t="shared" si="1"/>
        <v>Excluded</v>
      </c>
      <c r="B1577" s="70">
        <f t="shared" si="2"/>
        <v>0</v>
      </c>
      <c r="C1577" s="70">
        <v>0.0</v>
      </c>
      <c r="D1577" s="70">
        <v>0.0</v>
      </c>
      <c r="E1577" s="70">
        <v>0.0</v>
      </c>
      <c r="F1577" s="70">
        <v>0.0</v>
      </c>
      <c r="G1577" s="70">
        <v>0.0</v>
      </c>
      <c r="H1577" s="70" t="s">
        <v>8897</v>
      </c>
      <c r="I1577" s="70">
        <v>865.0</v>
      </c>
      <c r="J1577" s="70" t="s">
        <v>8895</v>
      </c>
      <c r="K1577" s="70" t="s">
        <v>8896</v>
      </c>
      <c r="L1577" s="70" t="s">
        <v>7782</v>
      </c>
      <c r="P1577" s="77">
        <v>44441.0</v>
      </c>
      <c r="U1577" s="70" t="s">
        <v>239</v>
      </c>
      <c r="W1577" s="70" t="s">
        <v>8899</v>
      </c>
      <c r="X1577" s="70" t="s">
        <v>7786</v>
      </c>
      <c r="Z1577" s="75" t="s">
        <v>8900</v>
      </c>
      <c r="AA1577" s="70" t="s">
        <v>8901</v>
      </c>
      <c r="AC1577" s="70">
        <v>1.0</v>
      </c>
      <c r="AE1577" s="70">
        <v>14.0</v>
      </c>
      <c r="AF1577" s="70" t="s">
        <v>239</v>
      </c>
      <c r="AW1577" s="70" t="s">
        <v>8902</v>
      </c>
      <c r="AZ1577" s="70">
        <v>592.0</v>
      </c>
    </row>
    <row r="1578" ht="22.5" customHeight="1">
      <c r="A1578" s="70" t="str">
        <f t="shared" si="1"/>
        <v>Excluded</v>
      </c>
      <c r="B1578" s="70">
        <f t="shared" si="2"/>
        <v>0</v>
      </c>
      <c r="C1578" s="70">
        <v>0.0</v>
      </c>
      <c r="D1578" s="70">
        <v>0.0</v>
      </c>
      <c r="E1578" s="70">
        <v>0.0</v>
      </c>
      <c r="F1578" s="70">
        <v>0.0</v>
      </c>
      <c r="G1578" s="70">
        <v>0.0</v>
      </c>
      <c r="H1578" s="70" t="s">
        <v>8482</v>
      </c>
      <c r="I1578" s="70">
        <v>823.0</v>
      </c>
      <c r="J1578" s="70" t="s">
        <v>8479</v>
      </c>
      <c r="K1578" s="70" t="s">
        <v>8480</v>
      </c>
      <c r="L1578" s="70" t="s">
        <v>8481</v>
      </c>
      <c r="P1578" s="77">
        <v>44811.0</v>
      </c>
      <c r="U1578" s="70" t="s">
        <v>239</v>
      </c>
      <c r="W1578" s="70" t="s">
        <v>30511</v>
      </c>
      <c r="X1578" s="70" t="s">
        <v>8485</v>
      </c>
      <c r="Z1578" s="75" t="s">
        <v>8486</v>
      </c>
      <c r="AA1578" s="70" t="s">
        <v>8487</v>
      </c>
      <c r="AC1578" s="70">
        <v>1.0</v>
      </c>
      <c r="AE1578" s="70">
        <v>13.0</v>
      </c>
      <c r="AF1578" s="70" t="s">
        <v>239</v>
      </c>
      <c r="AW1578" s="70" t="s">
        <v>8488</v>
      </c>
      <c r="AX1578" s="70">
        <v>0.0</v>
      </c>
      <c r="AY1578" s="70" t="s">
        <v>24</v>
      </c>
      <c r="AZ1578" s="70">
        <v>1821.0</v>
      </c>
    </row>
    <row r="1579" ht="22.5" customHeight="1">
      <c r="A1579" s="70" t="str">
        <f t="shared" si="1"/>
        <v>Excluded</v>
      </c>
      <c r="B1579" s="70">
        <f t="shared" si="2"/>
        <v>0</v>
      </c>
      <c r="C1579" s="70">
        <v>0.0</v>
      </c>
      <c r="D1579" s="70">
        <v>0.0</v>
      </c>
      <c r="E1579" s="70">
        <v>0.0</v>
      </c>
      <c r="F1579" s="70">
        <v>0.0</v>
      </c>
      <c r="G1579" s="70">
        <v>0.0</v>
      </c>
      <c r="H1579" s="70" t="s">
        <v>6124</v>
      </c>
      <c r="I1579" s="70">
        <v>579.0</v>
      </c>
      <c r="J1579" s="70" t="s">
        <v>6121</v>
      </c>
      <c r="K1579" s="70" t="s">
        <v>6122</v>
      </c>
      <c r="L1579" s="70" t="s">
        <v>6123</v>
      </c>
      <c r="P1579" s="77">
        <v>43682.0</v>
      </c>
      <c r="U1579" s="70" t="s">
        <v>239</v>
      </c>
      <c r="W1579" s="70" t="s">
        <v>6126</v>
      </c>
      <c r="X1579" s="70" t="s">
        <v>6127</v>
      </c>
      <c r="Z1579" s="75" t="s">
        <v>6128</v>
      </c>
      <c r="AA1579" s="70" t="s">
        <v>6129</v>
      </c>
      <c r="AC1579" s="70">
        <v>7.0</v>
      </c>
      <c r="AE1579" s="70">
        <v>30.0</v>
      </c>
      <c r="AF1579" s="70" t="s">
        <v>239</v>
      </c>
      <c r="AW1579" s="70" t="s">
        <v>6130</v>
      </c>
      <c r="AZ1579" s="70">
        <v>924.0</v>
      </c>
    </row>
    <row r="1580" ht="22.5" customHeight="1">
      <c r="A1580" s="70" t="str">
        <f t="shared" si="1"/>
        <v>Excluded</v>
      </c>
      <c r="B1580" s="70">
        <f t="shared" si="2"/>
        <v>0</v>
      </c>
      <c r="C1580" s="70">
        <v>0.0</v>
      </c>
      <c r="D1580" s="70">
        <v>0.0</v>
      </c>
      <c r="E1580" s="70">
        <v>0.0</v>
      </c>
      <c r="F1580" s="70">
        <v>0.0</v>
      </c>
      <c r="G1580" s="70">
        <v>0.0</v>
      </c>
      <c r="H1580" s="70" t="s">
        <v>5491</v>
      </c>
      <c r="I1580" s="70">
        <v>515.0</v>
      </c>
      <c r="J1580" s="70" t="s">
        <v>5487</v>
      </c>
      <c r="K1580" s="70" t="s">
        <v>5488</v>
      </c>
      <c r="L1580" s="70" t="s">
        <v>5489</v>
      </c>
      <c r="N1580" s="70" t="s">
        <v>5490</v>
      </c>
      <c r="P1580" s="77">
        <v>42985.0</v>
      </c>
      <c r="U1580" s="70" t="s">
        <v>239</v>
      </c>
      <c r="W1580" s="70" t="s">
        <v>5493</v>
      </c>
      <c r="X1580" s="70" t="s">
        <v>5494</v>
      </c>
      <c r="Z1580" s="75" t="s">
        <v>5495</v>
      </c>
      <c r="AA1580" s="70" t="s">
        <v>5496</v>
      </c>
      <c r="AC1580" s="70">
        <v>11.0</v>
      </c>
      <c r="AE1580" s="70">
        <v>41.0</v>
      </c>
      <c r="AF1580" s="70" t="s">
        <v>239</v>
      </c>
      <c r="AW1580" s="70" t="s">
        <v>5497</v>
      </c>
      <c r="AX1580" s="70">
        <v>0.0</v>
      </c>
      <c r="AY1580" s="70" t="s">
        <v>24</v>
      </c>
      <c r="AZ1580" s="70">
        <v>2253.0</v>
      </c>
    </row>
    <row r="1581" ht="22.5" customHeight="1">
      <c r="A1581" s="70" t="str">
        <f t="shared" si="1"/>
        <v>Excluded</v>
      </c>
      <c r="B1581" s="70">
        <f t="shared" si="2"/>
        <v>0</v>
      </c>
      <c r="C1581" s="70">
        <v>0.0</v>
      </c>
      <c r="D1581" s="70">
        <v>0.0</v>
      </c>
      <c r="E1581" s="70">
        <v>0.0</v>
      </c>
      <c r="F1581" s="70">
        <v>0.0</v>
      </c>
      <c r="G1581" s="70">
        <v>0.0</v>
      </c>
      <c r="H1581" s="70" t="s">
        <v>13285</v>
      </c>
      <c r="I1581" s="70">
        <v>1384.0</v>
      </c>
      <c r="J1581" s="70" t="s">
        <v>13281</v>
      </c>
      <c r="K1581" s="70" t="s">
        <v>13282</v>
      </c>
      <c r="L1581" s="70" t="s">
        <v>13283</v>
      </c>
      <c r="N1581" s="70" t="s">
        <v>13284</v>
      </c>
      <c r="P1581" s="77">
        <v>45630.0</v>
      </c>
      <c r="U1581" s="70" t="s">
        <v>239</v>
      </c>
      <c r="W1581" s="70" t="s">
        <v>13287</v>
      </c>
      <c r="X1581" s="70" t="s">
        <v>13288</v>
      </c>
      <c r="Y1581" s="70" t="s">
        <v>30512</v>
      </c>
      <c r="Z1581" s="75" t="s">
        <v>13290</v>
      </c>
      <c r="AA1581" s="70" t="s">
        <v>13291</v>
      </c>
      <c r="AE1581" s="70">
        <v>34.0</v>
      </c>
      <c r="AF1581" s="70" t="s">
        <v>239</v>
      </c>
      <c r="AW1581" s="70" t="s">
        <v>13292</v>
      </c>
      <c r="AX1581" s="70">
        <v>0.0</v>
      </c>
      <c r="AY1581" s="70" t="s">
        <v>24</v>
      </c>
      <c r="AZ1581" s="70">
        <v>2841.0</v>
      </c>
    </row>
    <row r="1582" ht="22.5" customHeight="1">
      <c r="A1582" s="70" t="str">
        <f t="shared" si="1"/>
        <v>Excluded</v>
      </c>
      <c r="B1582" s="70">
        <f t="shared" si="2"/>
        <v>0</v>
      </c>
      <c r="C1582" s="70">
        <v>0.0</v>
      </c>
      <c r="D1582" s="70">
        <v>0.0</v>
      </c>
      <c r="E1582" s="70">
        <v>0.0</v>
      </c>
      <c r="F1582" s="70">
        <v>0.0</v>
      </c>
      <c r="G1582" s="70">
        <v>0.0</v>
      </c>
      <c r="H1582" s="70" t="s">
        <v>8816</v>
      </c>
      <c r="I1582" s="70">
        <v>857.0</v>
      </c>
      <c r="J1582" s="70" t="s">
        <v>8813</v>
      </c>
      <c r="K1582" s="70" t="s">
        <v>8814</v>
      </c>
      <c r="L1582" s="70" t="s">
        <v>8815</v>
      </c>
      <c r="P1582" s="76">
        <v>44883.0</v>
      </c>
      <c r="U1582" s="70" t="s">
        <v>239</v>
      </c>
      <c r="W1582" s="70" t="s">
        <v>8818</v>
      </c>
      <c r="X1582" s="70" t="s">
        <v>8819</v>
      </c>
      <c r="Z1582" s="75" t="s">
        <v>8820</v>
      </c>
      <c r="AA1582" s="70" t="s">
        <v>8821</v>
      </c>
      <c r="AC1582" s="70">
        <v>1.0</v>
      </c>
      <c r="AE1582" s="70">
        <v>17.0</v>
      </c>
      <c r="AF1582" s="70" t="s">
        <v>239</v>
      </c>
      <c r="AW1582" s="70" t="s">
        <v>8822</v>
      </c>
      <c r="AX1582" s="70">
        <v>0.0</v>
      </c>
      <c r="AY1582" s="70" t="s">
        <v>24</v>
      </c>
      <c r="AZ1582" s="70">
        <v>2864.0</v>
      </c>
    </row>
    <row r="1583" ht="22.5" customHeight="1">
      <c r="A1583" s="70" t="str">
        <f t="shared" si="1"/>
        <v>Excluded</v>
      </c>
      <c r="B1583" s="70">
        <f t="shared" si="2"/>
        <v>0</v>
      </c>
      <c r="C1583" s="70">
        <v>0.0</v>
      </c>
      <c r="D1583" s="70">
        <v>0.0</v>
      </c>
      <c r="E1583" s="70">
        <v>0.0</v>
      </c>
      <c r="F1583" s="70">
        <v>0.0</v>
      </c>
      <c r="G1583" s="70">
        <v>0.0</v>
      </c>
      <c r="H1583" s="70" t="s">
        <v>16181</v>
      </c>
      <c r="I1583" s="70">
        <v>1741.0</v>
      </c>
      <c r="K1583" s="70" t="s">
        <v>16179</v>
      </c>
      <c r="L1583" s="70" t="s">
        <v>16180</v>
      </c>
      <c r="P1583" s="77">
        <v>45512.0</v>
      </c>
      <c r="U1583" s="70" t="s">
        <v>239</v>
      </c>
      <c r="X1583" s="70" t="s">
        <v>16183</v>
      </c>
      <c r="Z1583" s="75" t="s">
        <v>16184</v>
      </c>
      <c r="AF1583" s="70" t="s">
        <v>239</v>
      </c>
      <c r="AZ1583" s="70">
        <v>1426.0</v>
      </c>
    </row>
    <row r="1584" ht="22.5" customHeight="1">
      <c r="A1584" s="70" t="str">
        <f t="shared" si="1"/>
        <v>Excluded</v>
      </c>
      <c r="B1584" s="70">
        <f t="shared" si="2"/>
        <v>0</v>
      </c>
      <c r="C1584" s="70">
        <v>0.0</v>
      </c>
      <c r="D1584" s="70">
        <v>0.0</v>
      </c>
      <c r="E1584" s="70">
        <v>0.0</v>
      </c>
      <c r="F1584" s="70">
        <v>0.0</v>
      </c>
      <c r="G1584" s="70">
        <v>0.0</v>
      </c>
      <c r="H1584" s="70" t="s">
        <v>8954</v>
      </c>
      <c r="I1584" s="70">
        <v>871.0</v>
      </c>
      <c r="J1584" s="70" t="s">
        <v>8951</v>
      </c>
      <c r="K1584" s="70" t="s">
        <v>8952</v>
      </c>
      <c r="L1584" s="70" t="s">
        <v>8953</v>
      </c>
      <c r="P1584" s="76">
        <v>44186.0</v>
      </c>
      <c r="U1584" s="70" t="s">
        <v>239</v>
      </c>
      <c r="W1584" s="70" t="s">
        <v>8956</v>
      </c>
      <c r="X1584" s="70" t="s">
        <v>8957</v>
      </c>
      <c r="Z1584" s="75" t="s">
        <v>8958</v>
      </c>
      <c r="AA1584" s="70" t="s">
        <v>8959</v>
      </c>
      <c r="AC1584" s="70">
        <v>1.0</v>
      </c>
      <c r="AE1584" s="70">
        <v>15.0</v>
      </c>
      <c r="AF1584" s="70" t="s">
        <v>239</v>
      </c>
      <c r="AW1584" s="70" t="s">
        <v>8960</v>
      </c>
      <c r="AZ1584" s="70">
        <v>1298.0</v>
      </c>
    </row>
    <row r="1585" ht="22.5" customHeight="1">
      <c r="A1585" s="70" t="str">
        <f t="shared" si="1"/>
        <v>Excluded</v>
      </c>
      <c r="B1585" s="70">
        <f t="shared" si="2"/>
        <v>0</v>
      </c>
      <c r="C1585" s="70">
        <v>0.0</v>
      </c>
      <c r="D1585" s="70">
        <v>0.0</v>
      </c>
      <c r="E1585" s="70">
        <v>0.0</v>
      </c>
      <c r="F1585" s="70">
        <v>0.0</v>
      </c>
      <c r="G1585" s="70">
        <v>0.0</v>
      </c>
      <c r="H1585" s="70" t="s">
        <v>8492</v>
      </c>
      <c r="I1585" s="70">
        <v>824.0</v>
      </c>
      <c r="J1585" s="70" t="s">
        <v>30513</v>
      </c>
      <c r="K1585" s="70" t="s">
        <v>8490</v>
      </c>
      <c r="L1585" s="70" t="s">
        <v>8491</v>
      </c>
      <c r="P1585" s="78">
        <v>43598.0</v>
      </c>
      <c r="U1585" s="70" t="s">
        <v>239</v>
      </c>
      <c r="W1585" s="70" t="s">
        <v>8494</v>
      </c>
      <c r="X1585" s="70" t="s">
        <v>8495</v>
      </c>
      <c r="Z1585" s="75" t="s">
        <v>8496</v>
      </c>
      <c r="AA1585" s="70" t="s">
        <v>8497</v>
      </c>
      <c r="AC1585" s="70">
        <v>1.0</v>
      </c>
      <c r="AE1585" s="70">
        <v>15.0</v>
      </c>
      <c r="AF1585" s="70" t="s">
        <v>239</v>
      </c>
      <c r="AW1585" s="70" t="s">
        <v>8498</v>
      </c>
      <c r="AZ1585" s="70">
        <v>272.0</v>
      </c>
    </row>
    <row r="1586" ht="22.5" customHeight="1">
      <c r="A1586" s="70" t="str">
        <f t="shared" si="1"/>
        <v>Excluded</v>
      </c>
      <c r="B1586" s="70">
        <f t="shared" si="2"/>
        <v>0</v>
      </c>
      <c r="C1586" s="70">
        <v>0.0</v>
      </c>
      <c r="D1586" s="70">
        <v>0.0</v>
      </c>
      <c r="E1586" s="70">
        <v>0.0</v>
      </c>
      <c r="F1586" s="70">
        <v>0.0</v>
      </c>
      <c r="G1586" s="70">
        <v>0.0</v>
      </c>
      <c r="H1586" s="70" t="s">
        <v>7343</v>
      </c>
      <c r="I1586" s="70">
        <v>704.0</v>
      </c>
      <c r="J1586" s="70" t="s">
        <v>7340</v>
      </c>
      <c r="K1586" s="70" t="s">
        <v>7341</v>
      </c>
      <c r="L1586" s="70" t="s">
        <v>7342</v>
      </c>
      <c r="P1586" s="78">
        <v>44326.0</v>
      </c>
      <c r="U1586" s="70" t="s">
        <v>239</v>
      </c>
      <c r="W1586" s="70" t="s">
        <v>7345</v>
      </c>
      <c r="X1586" s="70" t="s">
        <v>7346</v>
      </c>
      <c r="Z1586" s="75" t="s">
        <v>7347</v>
      </c>
      <c r="AA1586" s="70" t="s">
        <v>7348</v>
      </c>
      <c r="AC1586" s="70">
        <v>3.0</v>
      </c>
      <c r="AE1586" s="70">
        <v>23.0</v>
      </c>
      <c r="AF1586" s="70" t="s">
        <v>239</v>
      </c>
      <c r="AW1586" s="70" t="s">
        <v>7349</v>
      </c>
      <c r="AX1586" s="70">
        <v>0.0</v>
      </c>
      <c r="AY1586" s="70" t="s">
        <v>24</v>
      </c>
      <c r="AZ1586" s="70">
        <v>2573.0</v>
      </c>
    </row>
    <row r="1587" ht="22.5" customHeight="1">
      <c r="A1587" s="70" t="str">
        <f t="shared" si="1"/>
        <v>Excluded</v>
      </c>
      <c r="B1587" s="70">
        <f t="shared" si="2"/>
        <v>0</v>
      </c>
      <c r="C1587" s="70">
        <v>0.0</v>
      </c>
      <c r="D1587" s="70">
        <v>0.0</v>
      </c>
      <c r="E1587" s="70">
        <v>0.0</v>
      </c>
      <c r="F1587" s="70">
        <v>0.0</v>
      </c>
      <c r="G1587" s="70">
        <v>0.0</v>
      </c>
      <c r="H1587" s="70" t="s">
        <v>11494</v>
      </c>
      <c r="I1587" s="70">
        <v>1204.0</v>
      </c>
      <c r="J1587" s="70" t="s">
        <v>11490</v>
      </c>
      <c r="K1587" s="70" t="s">
        <v>11491</v>
      </c>
      <c r="L1587" s="70" t="s">
        <v>11492</v>
      </c>
      <c r="N1587" s="70" t="s">
        <v>11493</v>
      </c>
      <c r="P1587" s="76">
        <v>45040.0</v>
      </c>
      <c r="U1587" s="70" t="s">
        <v>239</v>
      </c>
      <c r="W1587" s="70" t="s">
        <v>11496</v>
      </c>
      <c r="X1587" s="70" t="s">
        <v>11497</v>
      </c>
      <c r="Z1587" s="75" t="s">
        <v>11498</v>
      </c>
      <c r="AA1587" s="70" t="s">
        <v>11499</v>
      </c>
      <c r="AC1587" s="70">
        <v>3.0</v>
      </c>
      <c r="AE1587" s="70">
        <v>29.0</v>
      </c>
      <c r="AF1587" s="70" t="s">
        <v>239</v>
      </c>
      <c r="AW1587" s="70" t="s">
        <v>11500</v>
      </c>
      <c r="AZ1587" s="70">
        <v>1049.0</v>
      </c>
    </row>
    <row r="1588" ht="22.5" customHeight="1">
      <c r="A1588" s="70" t="str">
        <f t="shared" si="1"/>
        <v>Excluded</v>
      </c>
      <c r="B1588" s="70">
        <f t="shared" si="2"/>
        <v>0</v>
      </c>
      <c r="C1588" s="70">
        <v>0.0</v>
      </c>
      <c r="D1588" s="70">
        <v>0.0</v>
      </c>
      <c r="E1588" s="70">
        <v>0.0</v>
      </c>
      <c r="F1588" s="70">
        <v>0.0</v>
      </c>
      <c r="G1588" s="70">
        <v>0.0</v>
      </c>
      <c r="H1588" s="70" t="s">
        <v>11855</v>
      </c>
      <c r="I1588" s="70">
        <v>1240.0</v>
      </c>
      <c r="J1588" s="70" t="s">
        <v>30514</v>
      </c>
      <c r="K1588" s="70" t="s">
        <v>11853</v>
      </c>
      <c r="L1588" s="70" t="s">
        <v>11854</v>
      </c>
      <c r="N1588" s="70" t="s">
        <v>11493</v>
      </c>
      <c r="P1588" s="76">
        <v>45525.0</v>
      </c>
      <c r="U1588" s="70" t="s">
        <v>239</v>
      </c>
      <c r="W1588" s="70" t="s">
        <v>11857</v>
      </c>
      <c r="X1588" s="70" t="s">
        <v>11858</v>
      </c>
      <c r="Z1588" s="75" t="s">
        <v>11859</v>
      </c>
      <c r="AA1588" s="70" t="s">
        <v>11860</v>
      </c>
      <c r="AC1588" s="70">
        <v>1.0</v>
      </c>
      <c r="AE1588" s="70">
        <v>43.0</v>
      </c>
      <c r="AF1588" s="70" t="s">
        <v>239</v>
      </c>
      <c r="AW1588" s="70" t="s">
        <v>11861</v>
      </c>
      <c r="AX1588" s="70">
        <v>0.0</v>
      </c>
      <c r="AY1588" s="70" t="s">
        <v>24</v>
      </c>
      <c r="AZ1588" s="70">
        <v>2126.0</v>
      </c>
    </row>
    <row r="1589" ht="22.5" customHeight="1">
      <c r="A1589" s="70" t="str">
        <f t="shared" si="1"/>
        <v>Excluded</v>
      </c>
      <c r="B1589" s="70">
        <f t="shared" si="2"/>
        <v>0</v>
      </c>
      <c r="C1589" s="70">
        <v>0.0</v>
      </c>
      <c r="D1589" s="70">
        <v>0.0</v>
      </c>
      <c r="E1589" s="70">
        <v>0.0</v>
      </c>
      <c r="F1589" s="70">
        <v>0.0</v>
      </c>
      <c r="G1589" s="70">
        <v>0.0</v>
      </c>
      <c r="H1589" s="70" t="s">
        <v>14593</v>
      </c>
      <c r="I1589" s="70">
        <v>1522.0</v>
      </c>
      <c r="J1589" s="70" t="s">
        <v>14591</v>
      </c>
      <c r="K1589" s="70" t="s">
        <v>14592</v>
      </c>
      <c r="L1589" s="70" t="s">
        <v>11854</v>
      </c>
      <c r="N1589" s="70" t="s">
        <v>11493</v>
      </c>
      <c r="P1589" s="76">
        <v>45525.0</v>
      </c>
      <c r="U1589" s="70" t="s">
        <v>239</v>
      </c>
      <c r="W1589" s="70" t="s">
        <v>30515</v>
      </c>
      <c r="X1589" s="70" t="s">
        <v>11858</v>
      </c>
      <c r="Z1589" s="75" t="s">
        <v>14596</v>
      </c>
      <c r="AA1589" s="70" t="s">
        <v>14597</v>
      </c>
      <c r="AE1589" s="70">
        <v>16.0</v>
      </c>
      <c r="AF1589" s="70" t="s">
        <v>239</v>
      </c>
      <c r="AW1589" s="70" t="s">
        <v>14598</v>
      </c>
      <c r="AZ1589" s="70">
        <v>1146.0</v>
      </c>
    </row>
    <row r="1590" ht="22.5" customHeight="1">
      <c r="A1590" s="70" t="str">
        <f t="shared" si="1"/>
        <v>Excluded</v>
      </c>
      <c r="B1590" s="70">
        <f t="shared" si="2"/>
        <v>0</v>
      </c>
      <c r="C1590" s="70">
        <v>0.0</v>
      </c>
      <c r="D1590" s="70">
        <v>0.0</v>
      </c>
      <c r="E1590" s="70">
        <v>0.0</v>
      </c>
      <c r="F1590" s="70">
        <v>0.0</v>
      </c>
      <c r="G1590" s="70">
        <v>0.0</v>
      </c>
      <c r="H1590" s="70" t="s">
        <v>5936</v>
      </c>
      <c r="I1590" s="70">
        <v>560.0</v>
      </c>
      <c r="J1590" s="70" t="s">
        <v>5933</v>
      </c>
      <c r="K1590" s="70" t="s">
        <v>5934</v>
      </c>
      <c r="L1590" s="70" t="s">
        <v>5935</v>
      </c>
      <c r="P1590" s="79">
        <v>43587.0</v>
      </c>
      <c r="U1590" s="70" t="s">
        <v>239</v>
      </c>
      <c r="W1590" s="70" t="s">
        <v>5938</v>
      </c>
      <c r="X1590" s="70" t="s">
        <v>5939</v>
      </c>
      <c r="Z1590" s="75" t="s">
        <v>5940</v>
      </c>
      <c r="AA1590" s="70" t="s">
        <v>5941</v>
      </c>
      <c r="AC1590" s="70">
        <v>8.0</v>
      </c>
      <c r="AE1590" s="70">
        <v>24.0</v>
      </c>
      <c r="AF1590" s="70" t="s">
        <v>239</v>
      </c>
      <c r="AW1590" s="70" t="s">
        <v>5942</v>
      </c>
      <c r="AX1590" s="70">
        <v>0.0</v>
      </c>
      <c r="AY1590" s="70" t="s">
        <v>24</v>
      </c>
      <c r="AZ1590" s="70">
        <v>2932.0</v>
      </c>
    </row>
    <row r="1591" ht="22.5" customHeight="1">
      <c r="A1591" s="70" t="str">
        <f t="shared" si="1"/>
        <v>Excluded</v>
      </c>
      <c r="B1591" s="70">
        <f t="shared" si="2"/>
        <v>0</v>
      </c>
      <c r="C1591" s="70">
        <v>0.0</v>
      </c>
      <c r="D1591" s="70">
        <v>0.0</v>
      </c>
      <c r="E1591" s="70">
        <v>0.0</v>
      </c>
      <c r="F1591" s="70">
        <v>0.0</v>
      </c>
      <c r="G1591" s="70">
        <v>0.0</v>
      </c>
      <c r="H1591" s="70" t="s">
        <v>11410</v>
      </c>
      <c r="I1591" s="70">
        <v>1196.0</v>
      </c>
      <c r="J1591" s="70" t="s">
        <v>11407</v>
      </c>
      <c r="K1591" s="70" t="s">
        <v>11408</v>
      </c>
      <c r="L1591" s="70" t="s">
        <v>11409</v>
      </c>
      <c r="P1591" s="76">
        <v>45040.0</v>
      </c>
      <c r="U1591" s="70" t="s">
        <v>239</v>
      </c>
      <c r="W1591" s="70" t="s">
        <v>11412</v>
      </c>
      <c r="X1591" s="70" t="s">
        <v>11413</v>
      </c>
      <c r="Z1591" s="75" t="s">
        <v>11414</v>
      </c>
      <c r="AA1591" s="70" t="s">
        <v>11415</v>
      </c>
      <c r="AC1591" s="70">
        <v>3.0</v>
      </c>
      <c r="AE1591" s="70">
        <v>58.0</v>
      </c>
      <c r="AF1591" s="70" t="s">
        <v>239</v>
      </c>
      <c r="AW1591" s="70" t="s">
        <v>11416</v>
      </c>
      <c r="AX1591" s="70">
        <v>0.0</v>
      </c>
      <c r="AY1591" s="70" t="s">
        <v>24</v>
      </c>
      <c r="AZ1591" s="70">
        <v>2095.0</v>
      </c>
    </row>
    <row r="1592" ht="22.5" customHeight="1">
      <c r="A1592" s="70" t="str">
        <f t="shared" si="1"/>
        <v>Excluded</v>
      </c>
      <c r="B1592" s="70">
        <f t="shared" si="2"/>
        <v>0</v>
      </c>
      <c r="C1592" s="70">
        <v>0.0</v>
      </c>
      <c r="D1592" s="70">
        <v>0.0</v>
      </c>
      <c r="E1592" s="70">
        <v>0.0</v>
      </c>
      <c r="F1592" s="70">
        <v>0.0</v>
      </c>
      <c r="G1592" s="70">
        <v>0.0</v>
      </c>
      <c r="H1592" s="70" t="s">
        <v>15015</v>
      </c>
      <c r="I1592" s="70">
        <v>1565.0</v>
      </c>
      <c r="J1592" s="70" t="s">
        <v>15013</v>
      </c>
      <c r="K1592" s="70" t="s">
        <v>15014</v>
      </c>
      <c r="L1592" s="70" t="s">
        <v>11409</v>
      </c>
      <c r="P1592" s="76">
        <v>45040.0</v>
      </c>
      <c r="U1592" s="70" t="s">
        <v>239</v>
      </c>
      <c r="W1592" s="70" t="s">
        <v>15017</v>
      </c>
      <c r="X1592" s="70" t="s">
        <v>11413</v>
      </c>
      <c r="Z1592" s="75" t="s">
        <v>15018</v>
      </c>
      <c r="AA1592" s="70" t="s">
        <v>15019</v>
      </c>
      <c r="AE1592" s="70">
        <v>57.0</v>
      </c>
      <c r="AF1592" s="70" t="s">
        <v>239</v>
      </c>
      <c r="AW1592" s="70" t="s">
        <v>15020</v>
      </c>
      <c r="AX1592" s="70">
        <v>0.0</v>
      </c>
      <c r="AY1592" s="70" t="s">
        <v>24</v>
      </c>
      <c r="AZ1592" s="70">
        <v>2090.0</v>
      </c>
    </row>
    <row r="1593" ht="22.5" customHeight="1">
      <c r="A1593" s="70" t="str">
        <f t="shared" si="1"/>
        <v>Excluded</v>
      </c>
      <c r="B1593" s="70">
        <f t="shared" si="2"/>
        <v>0</v>
      </c>
      <c r="C1593" s="70">
        <v>0.0</v>
      </c>
      <c r="D1593" s="70">
        <v>0.0</v>
      </c>
      <c r="E1593" s="70">
        <v>0.0</v>
      </c>
      <c r="F1593" s="70">
        <v>0.0</v>
      </c>
      <c r="G1593" s="70">
        <v>0.0</v>
      </c>
      <c r="H1593" s="70" t="s">
        <v>12644</v>
      </c>
      <c r="I1593" s="70">
        <v>1319.0</v>
      </c>
      <c r="J1593" s="70" t="s">
        <v>12642</v>
      </c>
      <c r="K1593" s="70" t="s">
        <v>12643</v>
      </c>
      <c r="L1593" s="70" t="s">
        <v>12583</v>
      </c>
      <c r="N1593" s="70" t="s">
        <v>12584</v>
      </c>
      <c r="P1593" s="76">
        <v>45497.0</v>
      </c>
      <c r="U1593" s="70" t="s">
        <v>239</v>
      </c>
      <c r="W1593" s="70" t="s">
        <v>30516</v>
      </c>
      <c r="X1593" s="70" t="s">
        <v>12588</v>
      </c>
      <c r="Y1593" s="70" t="s">
        <v>30517</v>
      </c>
      <c r="Z1593" s="75" t="s">
        <v>12648</v>
      </c>
      <c r="AA1593" s="70" t="s">
        <v>12649</v>
      </c>
      <c r="AE1593" s="70">
        <v>30.0</v>
      </c>
      <c r="AF1593" s="70" t="s">
        <v>239</v>
      </c>
      <c r="AW1593" s="70" t="s">
        <v>12650</v>
      </c>
      <c r="AX1593" s="70">
        <v>0.0</v>
      </c>
      <c r="AY1593" s="70" t="s">
        <v>24</v>
      </c>
      <c r="AZ1593" s="70">
        <v>2765.0</v>
      </c>
    </row>
    <row r="1594" ht="22.5" customHeight="1">
      <c r="A1594" s="70" t="str">
        <f t="shared" si="1"/>
        <v>Excluded</v>
      </c>
      <c r="B1594" s="70">
        <f t="shared" si="2"/>
        <v>0</v>
      </c>
      <c r="C1594" s="70">
        <v>0.0</v>
      </c>
      <c r="D1594" s="70">
        <v>0.0</v>
      </c>
      <c r="E1594" s="70">
        <v>0.0</v>
      </c>
      <c r="F1594" s="70">
        <v>0.0</v>
      </c>
      <c r="G1594" s="70">
        <v>0.0</v>
      </c>
      <c r="H1594" s="70" t="s">
        <v>12585</v>
      </c>
      <c r="I1594" s="70">
        <v>1313.0</v>
      </c>
      <c r="J1594" s="70" t="s">
        <v>12581</v>
      </c>
      <c r="K1594" s="70" t="s">
        <v>12582</v>
      </c>
      <c r="L1594" s="70" t="s">
        <v>12583</v>
      </c>
      <c r="N1594" s="70" t="s">
        <v>12584</v>
      </c>
      <c r="P1594" s="76">
        <v>45497.0</v>
      </c>
      <c r="U1594" s="70" t="s">
        <v>239</v>
      </c>
      <c r="W1594" s="70" t="s">
        <v>12587</v>
      </c>
      <c r="X1594" s="70" t="s">
        <v>12588</v>
      </c>
      <c r="Z1594" s="75" t="s">
        <v>12589</v>
      </c>
      <c r="AA1594" s="70" t="s">
        <v>12590</v>
      </c>
      <c r="AE1594" s="70">
        <v>46.0</v>
      </c>
      <c r="AF1594" s="70" t="s">
        <v>239</v>
      </c>
      <c r="AW1594" s="70" t="s">
        <v>12591</v>
      </c>
      <c r="AX1594" s="70">
        <v>0.0</v>
      </c>
      <c r="AY1594" s="70" t="s">
        <v>24</v>
      </c>
      <c r="AZ1594" s="70">
        <v>2777.0</v>
      </c>
    </row>
    <row r="1595" ht="22.5" customHeight="1">
      <c r="A1595" s="70" t="str">
        <f t="shared" si="1"/>
        <v>Excluded</v>
      </c>
      <c r="B1595" s="70">
        <f t="shared" si="2"/>
        <v>0</v>
      </c>
      <c r="C1595" s="70">
        <v>0.0</v>
      </c>
      <c r="D1595" s="70">
        <v>0.0</v>
      </c>
      <c r="E1595" s="70">
        <v>0.0</v>
      </c>
      <c r="F1595" s="70">
        <v>0.0</v>
      </c>
      <c r="G1595" s="70">
        <v>0.0</v>
      </c>
      <c r="H1595" s="70" t="s">
        <v>15971</v>
      </c>
      <c r="I1595" s="70">
        <v>1685.0</v>
      </c>
      <c r="K1595" s="70" t="s">
        <v>15970</v>
      </c>
      <c r="L1595" s="70" t="s">
        <v>14879</v>
      </c>
      <c r="P1595" s="77">
        <v>45566.0</v>
      </c>
      <c r="U1595" s="70" t="s">
        <v>239</v>
      </c>
      <c r="X1595" s="70" t="s">
        <v>14883</v>
      </c>
      <c r="Z1595" s="75" t="s">
        <v>15972</v>
      </c>
      <c r="AF1595" s="70" t="s">
        <v>239</v>
      </c>
      <c r="AZ1595" s="70">
        <v>1481.0</v>
      </c>
    </row>
    <row r="1596" ht="22.5" customHeight="1">
      <c r="A1596" s="70" t="str">
        <f t="shared" si="1"/>
        <v>Excluded</v>
      </c>
      <c r="B1596" s="70">
        <f t="shared" si="2"/>
        <v>0</v>
      </c>
      <c r="C1596" s="70">
        <v>0.0</v>
      </c>
      <c r="D1596" s="70">
        <v>0.0</v>
      </c>
      <c r="E1596" s="70">
        <v>0.0</v>
      </c>
      <c r="F1596" s="70">
        <v>0.0</v>
      </c>
      <c r="G1596" s="70">
        <v>0.0</v>
      </c>
      <c r="H1596" s="70" t="s">
        <v>13161</v>
      </c>
      <c r="I1596" s="70">
        <v>1372.0</v>
      </c>
      <c r="J1596" s="70" t="s">
        <v>13158</v>
      </c>
      <c r="K1596" s="70" t="s">
        <v>13159</v>
      </c>
      <c r="L1596" s="70" t="s">
        <v>13160</v>
      </c>
      <c r="P1596" s="77">
        <v>45292.0</v>
      </c>
      <c r="U1596" s="70" t="s">
        <v>239</v>
      </c>
      <c r="W1596" s="70" t="s">
        <v>30518</v>
      </c>
      <c r="X1596" s="70" t="s">
        <v>13164</v>
      </c>
      <c r="Z1596" s="75" t="s">
        <v>13165</v>
      </c>
      <c r="AA1596" s="70" t="s">
        <v>13166</v>
      </c>
      <c r="AE1596" s="70">
        <v>24.0</v>
      </c>
      <c r="AF1596" s="70" t="s">
        <v>239</v>
      </c>
      <c r="AW1596" s="70" t="s">
        <v>13167</v>
      </c>
      <c r="AZ1596" s="70">
        <v>652.0</v>
      </c>
    </row>
    <row r="1597" ht="22.5" customHeight="1">
      <c r="A1597" s="70" t="str">
        <f t="shared" si="1"/>
        <v>Excluded</v>
      </c>
      <c r="B1597" s="70">
        <f t="shared" si="2"/>
        <v>0</v>
      </c>
      <c r="C1597" s="70">
        <v>0.0</v>
      </c>
      <c r="D1597" s="70">
        <v>0.0</v>
      </c>
      <c r="E1597" s="70">
        <v>0.0</v>
      </c>
      <c r="F1597" s="70">
        <v>0.0</v>
      </c>
      <c r="G1597" s="70">
        <v>0.0</v>
      </c>
      <c r="H1597" s="70" t="s">
        <v>2621</v>
      </c>
      <c r="I1597" s="70">
        <v>208.0</v>
      </c>
      <c r="J1597" s="70" t="s">
        <v>2618</v>
      </c>
      <c r="K1597" s="70" t="s">
        <v>2619</v>
      </c>
      <c r="L1597" s="70" t="s">
        <v>2620</v>
      </c>
      <c r="O1597" s="75" t="s">
        <v>2622</v>
      </c>
      <c r="P1597" s="70">
        <v>2019.0</v>
      </c>
      <c r="Q1597" s="70" t="s">
        <v>2624</v>
      </c>
      <c r="U1597" s="70" t="s">
        <v>555</v>
      </c>
      <c r="V1597" s="70" t="s">
        <v>2625</v>
      </c>
      <c r="W1597" s="70" t="s">
        <v>2626</v>
      </c>
      <c r="AZ1597" s="70">
        <v>664.0</v>
      </c>
    </row>
    <row r="1598" ht="22.5" customHeight="1">
      <c r="A1598" s="70" t="str">
        <f t="shared" si="1"/>
        <v>Excluded</v>
      </c>
      <c r="B1598" s="70">
        <f t="shared" si="2"/>
        <v>0</v>
      </c>
      <c r="C1598" s="70">
        <v>0.0</v>
      </c>
      <c r="D1598" s="70">
        <v>0.0</v>
      </c>
      <c r="E1598" s="70">
        <v>0.0</v>
      </c>
      <c r="F1598" s="70">
        <v>0.0</v>
      </c>
      <c r="G1598" s="70">
        <v>0.0</v>
      </c>
      <c r="H1598" s="70" t="s">
        <v>12450</v>
      </c>
      <c r="I1598" s="70">
        <v>1300.0</v>
      </c>
      <c r="J1598" s="70" t="s">
        <v>12447</v>
      </c>
      <c r="K1598" s="70" t="s">
        <v>12448</v>
      </c>
      <c r="L1598" s="70" t="s">
        <v>12449</v>
      </c>
      <c r="P1598" s="77">
        <v>45355.0</v>
      </c>
      <c r="U1598" s="70" t="s">
        <v>239</v>
      </c>
      <c r="W1598" s="70" t="s">
        <v>12452</v>
      </c>
      <c r="X1598" s="70" t="s">
        <v>12453</v>
      </c>
      <c r="Y1598" s="70" t="s">
        <v>12454</v>
      </c>
      <c r="Z1598" s="75" t="s">
        <v>12455</v>
      </c>
      <c r="AA1598" s="70" t="s">
        <v>12456</v>
      </c>
      <c r="AC1598" s="70">
        <v>1.0</v>
      </c>
      <c r="AE1598" s="70">
        <v>38.0</v>
      </c>
      <c r="AF1598" s="70" t="s">
        <v>239</v>
      </c>
      <c r="AW1598" s="70" t="s">
        <v>12457</v>
      </c>
      <c r="AX1598" s="70">
        <v>0.0</v>
      </c>
      <c r="AY1598" s="70" t="s">
        <v>24</v>
      </c>
      <c r="AZ1598" s="70">
        <v>3076.0</v>
      </c>
    </row>
    <row r="1599" ht="22.5" customHeight="1">
      <c r="A1599" s="70" t="str">
        <f t="shared" si="1"/>
        <v>Excluded</v>
      </c>
      <c r="B1599" s="70">
        <f t="shared" si="2"/>
        <v>0</v>
      </c>
      <c r="C1599" s="70">
        <v>0.0</v>
      </c>
      <c r="D1599" s="70">
        <v>0.0</v>
      </c>
      <c r="E1599" s="70">
        <v>0.0</v>
      </c>
      <c r="F1599" s="70">
        <v>0.0</v>
      </c>
      <c r="G1599" s="70">
        <v>0.0</v>
      </c>
      <c r="H1599" s="70" t="s">
        <v>2894</v>
      </c>
      <c r="I1599" s="70">
        <v>234.0</v>
      </c>
      <c r="J1599" s="70" t="s">
        <v>30519</v>
      </c>
      <c r="K1599" s="70" t="s">
        <v>2891</v>
      </c>
      <c r="L1599" s="70" t="s">
        <v>2892</v>
      </c>
      <c r="M1599" s="70" t="s">
        <v>2893</v>
      </c>
      <c r="O1599" s="75" t="s">
        <v>2895</v>
      </c>
      <c r="P1599" s="70">
        <v>2023.0</v>
      </c>
      <c r="Q1599" s="70" t="s">
        <v>2897</v>
      </c>
      <c r="U1599" s="70" t="s">
        <v>555</v>
      </c>
      <c r="V1599" s="70" t="s">
        <v>1624</v>
      </c>
      <c r="W1599" s="70" t="s">
        <v>2898</v>
      </c>
      <c r="AW1599" s="70" t="s">
        <v>2899</v>
      </c>
      <c r="AX1599" s="70">
        <v>0.0</v>
      </c>
      <c r="AY1599" s="70" t="s">
        <v>24</v>
      </c>
      <c r="AZ1599" s="70">
        <v>3053.0</v>
      </c>
    </row>
    <row r="1600" ht="22.5" customHeight="1">
      <c r="A1600" s="70" t="str">
        <f t="shared" si="1"/>
        <v>Excluded</v>
      </c>
      <c r="B1600" s="70">
        <f t="shared" si="2"/>
        <v>0</v>
      </c>
      <c r="C1600" s="70">
        <v>0.0</v>
      </c>
      <c r="D1600" s="70">
        <v>0.0</v>
      </c>
      <c r="E1600" s="70">
        <v>0.0</v>
      </c>
      <c r="F1600" s="70">
        <v>0.0</v>
      </c>
      <c r="G1600" s="70">
        <v>0.0</v>
      </c>
      <c r="H1600" s="70" t="s">
        <v>1620</v>
      </c>
      <c r="I1600" s="70">
        <v>113.0</v>
      </c>
      <c r="J1600" s="70" t="s">
        <v>1616</v>
      </c>
      <c r="K1600" s="70" t="s">
        <v>1617</v>
      </c>
      <c r="L1600" s="70" t="s">
        <v>1618</v>
      </c>
      <c r="M1600" s="70" t="s">
        <v>1619</v>
      </c>
      <c r="O1600" s="75" t="s">
        <v>1621</v>
      </c>
      <c r="P1600" s="70">
        <v>2023.0</v>
      </c>
      <c r="Q1600" s="70" t="s">
        <v>1623</v>
      </c>
      <c r="U1600" s="70" t="s">
        <v>555</v>
      </c>
      <c r="V1600" s="70" t="s">
        <v>1624</v>
      </c>
      <c r="W1600" s="70" t="s">
        <v>1625</v>
      </c>
      <c r="AW1600" s="70" t="s">
        <v>1626</v>
      </c>
      <c r="AX1600" s="70">
        <v>0.0</v>
      </c>
      <c r="AY1600" s="70" t="s">
        <v>24</v>
      </c>
      <c r="AZ1600" s="70">
        <v>2822.0</v>
      </c>
    </row>
    <row r="1601" ht="22.5" customHeight="1">
      <c r="A1601" s="70" t="str">
        <f t="shared" si="1"/>
        <v>Excluded</v>
      </c>
      <c r="B1601" s="70">
        <f t="shared" si="2"/>
        <v>0</v>
      </c>
      <c r="C1601" s="70">
        <v>0.0</v>
      </c>
      <c r="D1601" s="70">
        <v>0.0</v>
      </c>
      <c r="E1601" s="70">
        <v>0.0</v>
      </c>
      <c r="F1601" s="70">
        <v>0.0</v>
      </c>
      <c r="G1601" s="70">
        <v>0.0</v>
      </c>
      <c r="H1601" s="70" t="s">
        <v>16366</v>
      </c>
      <c r="I1601" s="70">
        <v>1790.0</v>
      </c>
      <c r="K1601" s="70" t="s">
        <v>10597</v>
      </c>
      <c r="L1601" s="70" t="s">
        <v>16364</v>
      </c>
      <c r="N1601" s="70" t="s">
        <v>16365</v>
      </c>
      <c r="P1601" s="76">
        <v>45121.0</v>
      </c>
      <c r="U1601" s="70" t="s">
        <v>239</v>
      </c>
      <c r="X1601" s="70" t="s">
        <v>16367</v>
      </c>
      <c r="Z1601" s="75" t="s">
        <v>16368</v>
      </c>
      <c r="AF1601" s="70" t="s">
        <v>239</v>
      </c>
      <c r="AZ1601" s="70">
        <v>1542.0</v>
      </c>
    </row>
    <row r="1602" ht="22.5" customHeight="1">
      <c r="A1602" s="70" t="str">
        <f t="shared" si="1"/>
        <v>Excluded</v>
      </c>
      <c r="B1602" s="70">
        <f t="shared" si="2"/>
        <v>0</v>
      </c>
      <c r="C1602" s="70">
        <v>0.0</v>
      </c>
      <c r="D1602" s="70">
        <v>0.0</v>
      </c>
      <c r="E1602" s="70">
        <v>0.0</v>
      </c>
      <c r="F1602" s="70">
        <v>0.0</v>
      </c>
      <c r="G1602" s="70">
        <v>0.0</v>
      </c>
      <c r="H1602" s="70" t="s">
        <v>8807</v>
      </c>
      <c r="I1602" s="70">
        <v>856.0</v>
      </c>
      <c r="J1602" s="70" t="s">
        <v>8804</v>
      </c>
      <c r="K1602" s="70" t="s">
        <v>8805</v>
      </c>
      <c r="L1602" s="70" t="s">
        <v>8806</v>
      </c>
      <c r="P1602" s="76">
        <v>43860.0</v>
      </c>
      <c r="U1602" s="70" t="s">
        <v>239</v>
      </c>
      <c r="W1602" s="70" t="s">
        <v>8809</v>
      </c>
      <c r="X1602" s="70" t="s">
        <v>8810</v>
      </c>
      <c r="Z1602" s="75" t="s">
        <v>8811</v>
      </c>
      <c r="AA1602" s="70" t="s">
        <v>8812</v>
      </c>
      <c r="AC1602" s="70">
        <v>1.0</v>
      </c>
      <c r="AE1602" s="70">
        <v>20.0</v>
      </c>
      <c r="AF1602" s="70" t="s">
        <v>239</v>
      </c>
      <c r="AX1602" s="70">
        <v>0.0</v>
      </c>
      <c r="AY1602" s="70" t="s">
        <v>24</v>
      </c>
      <c r="AZ1602" s="70">
        <v>2417.0</v>
      </c>
    </row>
    <row r="1603" ht="22.5" customHeight="1">
      <c r="A1603" s="70" t="str">
        <f t="shared" si="1"/>
        <v>Excluded</v>
      </c>
      <c r="B1603" s="70">
        <f t="shared" si="2"/>
        <v>0</v>
      </c>
      <c r="C1603" s="70">
        <v>0.0</v>
      </c>
      <c r="D1603" s="70">
        <v>0.0</v>
      </c>
      <c r="E1603" s="70">
        <v>0.0</v>
      </c>
      <c r="F1603" s="70">
        <v>0.0</v>
      </c>
      <c r="G1603" s="70">
        <v>0.0</v>
      </c>
      <c r="H1603" s="70" t="s">
        <v>15940</v>
      </c>
      <c r="I1603" s="70">
        <v>1678.0</v>
      </c>
      <c r="K1603" s="70" t="s">
        <v>10597</v>
      </c>
      <c r="L1603" s="70" t="s">
        <v>15939</v>
      </c>
      <c r="P1603" s="76">
        <v>45198.0</v>
      </c>
      <c r="U1603" s="70" t="s">
        <v>239</v>
      </c>
      <c r="X1603" s="70" t="s">
        <v>15941</v>
      </c>
      <c r="Z1603" s="75" t="s">
        <v>15942</v>
      </c>
      <c r="AF1603" s="70" t="s">
        <v>239</v>
      </c>
      <c r="AZ1603" s="70">
        <v>1559.0</v>
      </c>
    </row>
    <row r="1604" ht="22.5" customHeight="1">
      <c r="A1604" s="70" t="str">
        <f t="shared" si="1"/>
        <v>Excluded</v>
      </c>
      <c r="B1604" s="70">
        <f t="shared" si="2"/>
        <v>0</v>
      </c>
      <c r="C1604" s="70">
        <v>0.0</v>
      </c>
      <c r="D1604" s="70">
        <v>0.0</v>
      </c>
      <c r="E1604" s="70">
        <v>0.0</v>
      </c>
      <c r="F1604" s="70">
        <v>0.0</v>
      </c>
      <c r="G1604" s="70">
        <v>0.0</v>
      </c>
      <c r="H1604" s="70" t="s">
        <v>16049</v>
      </c>
      <c r="I1604" s="70">
        <v>1707.0</v>
      </c>
      <c r="K1604" s="70" t="s">
        <v>16048</v>
      </c>
      <c r="L1604" s="70" t="s">
        <v>16038</v>
      </c>
      <c r="P1604" s="77">
        <v>45237.0</v>
      </c>
      <c r="U1604" s="70" t="s">
        <v>239</v>
      </c>
      <c r="X1604" s="70" t="s">
        <v>16040</v>
      </c>
      <c r="Z1604" s="75" t="s">
        <v>16050</v>
      </c>
      <c r="AF1604" s="70" t="s">
        <v>239</v>
      </c>
      <c r="AZ1604" s="70">
        <v>1392.0</v>
      </c>
    </row>
    <row r="1605" ht="22.5" customHeight="1">
      <c r="A1605" s="70" t="str">
        <f t="shared" si="1"/>
        <v>Excluded</v>
      </c>
      <c r="B1605" s="70">
        <f t="shared" si="2"/>
        <v>0</v>
      </c>
      <c r="C1605" s="70">
        <v>0.0</v>
      </c>
      <c r="D1605" s="70">
        <v>0.0</v>
      </c>
      <c r="E1605" s="70">
        <v>0.0</v>
      </c>
      <c r="F1605" s="70">
        <v>0.0</v>
      </c>
      <c r="G1605" s="70">
        <v>0.0</v>
      </c>
      <c r="H1605" s="70" t="s">
        <v>25344</v>
      </c>
      <c r="I1605" s="70">
        <v>2760.0</v>
      </c>
      <c r="J1605" s="70" t="s">
        <v>25342</v>
      </c>
      <c r="K1605" s="70" t="s">
        <v>25343</v>
      </c>
      <c r="W1605" s="70" t="s">
        <v>30520</v>
      </c>
      <c r="AA1605" s="70" t="s">
        <v>25346</v>
      </c>
      <c r="AI1605" s="70" t="s">
        <v>25347</v>
      </c>
      <c r="AJ1605" s="70" t="s">
        <v>25348</v>
      </c>
      <c r="AK1605" s="70">
        <v>2023.0</v>
      </c>
      <c r="AL1605" s="70" t="s">
        <v>25349</v>
      </c>
      <c r="AN1605" s="70">
        <v>757.0</v>
      </c>
      <c r="AO1605" s="70">
        <v>762.0</v>
      </c>
      <c r="AP1605" s="70">
        <v>5.0</v>
      </c>
      <c r="AQ1605" s="70">
        <v>2.0</v>
      </c>
      <c r="AR1605" s="75" t="s">
        <v>25350</v>
      </c>
      <c r="AS1605" s="70" t="s">
        <v>22525</v>
      </c>
      <c r="AU1605" s="70" t="s">
        <v>237</v>
      </c>
      <c r="AV1605" s="70" t="s">
        <v>25351</v>
      </c>
      <c r="AW1605" s="70" t="s">
        <v>25352</v>
      </c>
      <c r="AZ1605" s="70">
        <v>1299.0</v>
      </c>
    </row>
    <row r="1606" ht="22.5" customHeight="1">
      <c r="A1606" s="70" t="str">
        <f t="shared" si="1"/>
        <v>Excluded</v>
      </c>
      <c r="B1606" s="70">
        <f t="shared" si="2"/>
        <v>0</v>
      </c>
      <c r="C1606" s="70">
        <v>0.0</v>
      </c>
      <c r="D1606" s="70">
        <v>0.0</v>
      </c>
      <c r="E1606" s="70">
        <v>0.0</v>
      </c>
      <c r="F1606" s="70">
        <v>0.0</v>
      </c>
      <c r="G1606" s="70">
        <v>0.0</v>
      </c>
      <c r="H1606" s="70" t="s">
        <v>16039</v>
      </c>
      <c r="I1606" s="70">
        <v>1704.0</v>
      </c>
      <c r="K1606" s="70" t="s">
        <v>16037</v>
      </c>
      <c r="L1606" s="70" t="s">
        <v>16038</v>
      </c>
      <c r="P1606" s="77">
        <v>45237.0</v>
      </c>
      <c r="U1606" s="70" t="s">
        <v>239</v>
      </c>
      <c r="X1606" s="70" t="s">
        <v>16040</v>
      </c>
      <c r="Z1606" s="75" t="s">
        <v>16041</v>
      </c>
      <c r="AF1606" s="70" t="s">
        <v>239</v>
      </c>
      <c r="AZ1606" s="70">
        <v>1587.0</v>
      </c>
    </row>
    <row r="1607" ht="22.5" customHeight="1">
      <c r="A1607" s="70" t="str">
        <f t="shared" si="1"/>
        <v>Excluded</v>
      </c>
      <c r="B1607" s="70">
        <f t="shared" si="2"/>
        <v>0</v>
      </c>
      <c r="C1607" s="70">
        <v>0.0</v>
      </c>
      <c r="D1607" s="70">
        <v>0.0</v>
      </c>
      <c r="E1607" s="70">
        <v>0.0</v>
      </c>
      <c r="F1607" s="70">
        <v>0.0</v>
      </c>
      <c r="G1607" s="70">
        <v>0.0</v>
      </c>
      <c r="H1607" s="70" t="s">
        <v>13781</v>
      </c>
      <c r="I1607" s="70">
        <v>1435.0</v>
      </c>
      <c r="J1607" s="70" t="s">
        <v>13779</v>
      </c>
      <c r="K1607" s="70" t="s">
        <v>13780</v>
      </c>
      <c r="L1607" s="70" t="s">
        <v>13674</v>
      </c>
      <c r="P1607" s="77">
        <v>45629.0</v>
      </c>
      <c r="U1607" s="70" t="s">
        <v>239</v>
      </c>
      <c r="W1607" s="70" t="s">
        <v>13783</v>
      </c>
      <c r="X1607" s="70" t="s">
        <v>13678</v>
      </c>
      <c r="Z1607" s="75" t="s">
        <v>13784</v>
      </c>
      <c r="AA1607" s="70" t="s">
        <v>13785</v>
      </c>
      <c r="AE1607" s="70">
        <v>43.0</v>
      </c>
      <c r="AF1607" s="70" t="s">
        <v>239</v>
      </c>
      <c r="AW1607" s="70" t="s">
        <v>13786</v>
      </c>
      <c r="AX1607" s="70">
        <v>0.0</v>
      </c>
      <c r="AY1607" s="70" t="s">
        <v>24</v>
      </c>
      <c r="AZ1607" s="70">
        <v>2589.0</v>
      </c>
    </row>
    <row r="1608" ht="22.5" customHeight="1">
      <c r="A1608" s="70" t="str">
        <f t="shared" si="1"/>
        <v>Excluded</v>
      </c>
      <c r="B1608" s="70">
        <f t="shared" si="2"/>
        <v>0</v>
      </c>
      <c r="C1608" s="70">
        <v>0.0</v>
      </c>
      <c r="D1608" s="70">
        <v>0.0</v>
      </c>
      <c r="E1608" s="70">
        <v>0.0</v>
      </c>
      <c r="F1608" s="70">
        <v>0.0</v>
      </c>
      <c r="G1608" s="70">
        <v>0.0</v>
      </c>
      <c r="H1608" s="70" t="s">
        <v>13675</v>
      </c>
      <c r="I1608" s="70">
        <v>1424.0</v>
      </c>
      <c r="J1608" s="70" t="s">
        <v>13672</v>
      </c>
      <c r="K1608" s="70" t="s">
        <v>13673</v>
      </c>
      <c r="L1608" s="70" t="s">
        <v>13674</v>
      </c>
      <c r="P1608" s="77">
        <v>45629.0</v>
      </c>
      <c r="U1608" s="70" t="s">
        <v>239</v>
      </c>
      <c r="W1608" s="70" t="s">
        <v>13677</v>
      </c>
      <c r="X1608" s="70" t="s">
        <v>13678</v>
      </c>
      <c r="Z1608" s="75" t="s">
        <v>13679</v>
      </c>
      <c r="AA1608" s="70" t="s">
        <v>13680</v>
      </c>
      <c r="AE1608" s="70">
        <v>20.0</v>
      </c>
      <c r="AF1608" s="70" t="s">
        <v>239</v>
      </c>
      <c r="AW1608" s="70" t="s">
        <v>13681</v>
      </c>
      <c r="AZ1608" s="70">
        <v>957.0</v>
      </c>
    </row>
    <row r="1609" ht="22.5" customHeight="1">
      <c r="A1609" s="70" t="str">
        <f t="shared" si="1"/>
        <v>Excluded</v>
      </c>
      <c r="B1609" s="70">
        <f t="shared" si="2"/>
        <v>0</v>
      </c>
      <c r="C1609" s="70">
        <v>0.0</v>
      </c>
      <c r="D1609" s="70">
        <v>0.0</v>
      </c>
      <c r="E1609" s="70">
        <v>0.0</v>
      </c>
      <c r="F1609" s="70">
        <v>0.0</v>
      </c>
      <c r="G1609" s="70">
        <v>0.0</v>
      </c>
      <c r="H1609" s="70" t="s">
        <v>8878</v>
      </c>
      <c r="I1609" s="70">
        <v>863.0</v>
      </c>
      <c r="J1609" s="70" t="s">
        <v>8874</v>
      </c>
      <c r="K1609" s="70" t="s">
        <v>8875</v>
      </c>
      <c r="L1609" s="70" t="s">
        <v>8876</v>
      </c>
      <c r="N1609" s="70" t="s">
        <v>8877</v>
      </c>
      <c r="P1609" s="76">
        <v>43909.0</v>
      </c>
      <c r="U1609" s="70" t="s">
        <v>239</v>
      </c>
      <c r="W1609" s="70" t="s">
        <v>8880</v>
      </c>
      <c r="X1609" s="70" t="s">
        <v>8881</v>
      </c>
      <c r="Z1609" s="75" t="s">
        <v>8882</v>
      </c>
      <c r="AA1609" s="70" t="s">
        <v>8883</v>
      </c>
      <c r="AC1609" s="70">
        <v>1.0</v>
      </c>
      <c r="AE1609" s="70">
        <v>12.0</v>
      </c>
      <c r="AF1609" s="70" t="s">
        <v>239</v>
      </c>
      <c r="AX1609" s="70">
        <v>0.0</v>
      </c>
      <c r="AY1609" s="70" t="s">
        <v>24</v>
      </c>
      <c r="AZ1609" s="70">
        <v>1779.0</v>
      </c>
    </row>
    <row r="1610" ht="22.5" customHeight="1">
      <c r="A1610" s="70" t="str">
        <f t="shared" si="1"/>
        <v>Excluded</v>
      </c>
      <c r="B1610" s="70">
        <f t="shared" si="2"/>
        <v>0</v>
      </c>
      <c r="C1610" s="70">
        <v>0.0</v>
      </c>
      <c r="D1610" s="70">
        <v>0.0</v>
      </c>
      <c r="E1610" s="70">
        <v>0.0</v>
      </c>
      <c r="F1610" s="70">
        <v>0.0</v>
      </c>
      <c r="G1610" s="70">
        <v>0.0</v>
      </c>
      <c r="H1610" s="70" t="s">
        <v>16045</v>
      </c>
      <c r="I1610" s="70">
        <v>1706.0</v>
      </c>
      <c r="K1610" s="70" t="s">
        <v>10597</v>
      </c>
      <c r="L1610" s="70" t="s">
        <v>16044</v>
      </c>
      <c r="N1610" s="70" t="s">
        <v>8877</v>
      </c>
      <c r="P1610" s="76">
        <v>45230.0</v>
      </c>
      <c r="U1610" s="70" t="s">
        <v>239</v>
      </c>
      <c r="X1610" s="70" t="s">
        <v>16046</v>
      </c>
      <c r="Z1610" s="75" t="s">
        <v>16047</v>
      </c>
      <c r="AF1610" s="70" t="s">
        <v>239</v>
      </c>
      <c r="AZ1610" s="70">
        <v>1561.0</v>
      </c>
    </row>
    <row r="1611" ht="22.5" customHeight="1">
      <c r="A1611" s="70" t="str">
        <f t="shared" si="1"/>
        <v>Excluded</v>
      </c>
      <c r="B1611" s="70">
        <f t="shared" si="2"/>
        <v>0</v>
      </c>
      <c r="C1611" s="70">
        <v>0.0</v>
      </c>
      <c r="D1611" s="70">
        <v>0.0</v>
      </c>
      <c r="E1611" s="70">
        <v>0.0</v>
      </c>
      <c r="F1611" s="70">
        <v>0.0</v>
      </c>
      <c r="G1611" s="70">
        <v>0.0</v>
      </c>
      <c r="H1611" s="70" t="s">
        <v>6840</v>
      </c>
      <c r="I1611" s="70">
        <v>652.0</v>
      </c>
      <c r="J1611" s="70" t="s">
        <v>30521</v>
      </c>
      <c r="K1611" s="70" t="s">
        <v>6838</v>
      </c>
      <c r="L1611" s="70" t="s">
        <v>6839</v>
      </c>
      <c r="P1611" s="76">
        <v>43069.0</v>
      </c>
      <c r="U1611" s="70" t="s">
        <v>239</v>
      </c>
      <c r="W1611" s="70" t="s">
        <v>6842</v>
      </c>
      <c r="X1611" s="70" t="s">
        <v>6843</v>
      </c>
      <c r="Z1611" s="75" t="s">
        <v>6844</v>
      </c>
      <c r="AA1611" s="70" t="s">
        <v>6845</v>
      </c>
      <c r="AC1611" s="70">
        <v>5.0</v>
      </c>
      <c r="AE1611" s="70">
        <v>15.0</v>
      </c>
      <c r="AF1611" s="70" t="s">
        <v>239</v>
      </c>
      <c r="AW1611" s="70" t="s">
        <v>6846</v>
      </c>
      <c r="AX1611" s="70">
        <v>0.0</v>
      </c>
      <c r="AY1611" s="70" t="s">
        <v>24</v>
      </c>
      <c r="AZ1611" s="70">
        <v>2820.0</v>
      </c>
    </row>
    <row r="1612" ht="22.5" customHeight="1">
      <c r="A1612" s="70" t="str">
        <f t="shared" si="1"/>
        <v>Excluded</v>
      </c>
      <c r="B1612" s="70">
        <f t="shared" si="2"/>
        <v>0</v>
      </c>
      <c r="C1612" s="70">
        <v>0.0</v>
      </c>
      <c r="D1612" s="70">
        <v>0.0</v>
      </c>
      <c r="E1612" s="70">
        <v>0.0</v>
      </c>
      <c r="F1612" s="70">
        <v>0.0</v>
      </c>
      <c r="G1612" s="70">
        <v>0.0</v>
      </c>
      <c r="H1612" s="70" t="s">
        <v>15402</v>
      </c>
      <c r="I1612" s="70">
        <v>1607.0</v>
      </c>
      <c r="J1612" s="70" t="s">
        <v>15399</v>
      </c>
      <c r="K1612" s="70" t="s">
        <v>15400</v>
      </c>
      <c r="L1612" s="70" t="s">
        <v>15401</v>
      </c>
      <c r="P1612" s="78">
        <v>45072.0</v>
      </c>
      <c r="U1612" s="70" t="s">
        <v>239</v>
      </c>
      <c r="W1612" s="70" t="s">
        <v>15404</v>
      </c>
      <c r="X1612" s="70" t="s">
        <v>15405</v>
      </c>
      <c r="Z1612" s="75" t="s">
        <v>15406</v>
      </c>
      <c r="AA1612" s="70" t="s">
        <v>15407</v>
      </c>
      <c r="AE1612" s="70">
        <v>15.0</v>
      </c>
      <c r="AF1612" s="70" t="s">
        <v>239</v>
      </c>
      <c r="AW1612" s="70" t="s">
        <v>15408</v>
      </c>
      <c r="AZ1612" s="70">
        <v>491.0</v>
      </c>
    </row>
    <row r="1613" ht="22.5" customHeight="1">
      <c r="A1613" s="70" t="str">
        <f t="shared" si="1"/>
        <v>Excluded</v>
      </c>
      <c r="B1613" s="70">
        <f t="shared" si="2"/>
        <v>0</v>
      </c>
      <c r="C1613" s="70">
        <v>0.0</v>
      </c>
      <c r="D1613" s="70">
        <v>0.0</v>
      </c>
      <c r="E1613" s="70">
        <v>0.0</v>
      </c>
      <c r="F1613" s="70">
        <v>0.0</v>
      </c>
      <c r="G1613" s="70">
        <v>0.0</v>
      </c>
      <c r="H1613" s="70" t="s">
        <v>10871</v>
      </c>
      <c r="I1613" s="70">
        <v>1111.0</v>
      </c>
      <c r="K1613" s="70" t="s">
        <v>10597</v>
      </c>
      <c r="L1613" s="70" t="s">
        <v>10870</v>
      </c>
      <c r="P1613" s="78">
        <v>44705.0</v>
      </c>
      <c r="U1613" s="70" t="s">
        <v>239</v>
      </c>
      <c r="W1613" s="70" t="s">
        <v>10602</v>
      </c>
      <c r="X1613" s="70" t="s">
        <v>10872</v>
      </c>
      <c r="Z1613" s="75" t="s">
        <v>10873</v>
      </c>
      <c r="AF1613" s="70" t="s">
        <v>239</v>
      </c>
      <c r="AZ1613" s="70">
        <v>1599.0</v>
      </c>
    </row>
    <row r="1614" ht="22.5" customHeight="1">
      <c r="A1614" s="70" t="str">
        <f t="shared" si="1"/>
        <v>Excluded</v>
      </c>
      <c r="B1614" s="70">
        <f t="shared" si="2"/>
        <v>0</v>
      </c>
      <c r="C1614" s="70">
        <v>0.0</v>
      </c>
      <c r="D1614" s="70">
        <v>0.0</v>
      </c>
      <c r="E1614" s="70">
        <v>0.0</v>
      </c>
      <c r="F1614" s="70">
        <v>0.0</v>
      </c>
      <c r="G1614" s="70">
        <v>0.0</v>
      </c>
      <c r="H1614" s="70" t="s">
        <v>16310</v>
      </c>
      <c r="I1614" s="70">
        <v>1774.0</v>
      </c>
      <c r="K1614" s="70" t="s">
        <v>10597</v>
      </c>
      <c r="L1614" s="70" t="s">
        <v>16309</v>
      </c>
      <c r="P1614" s="76">
        <v>45188.0</v>
      </c>
      <c r="U1614" s="70" t="s">
        <v>239</v>
      </c>
      <c r="X1614" s="70" t="s">
        <v>16311</v>
      </c>
      <c r="Z1614" s="75" t="s">
        <v>16312</v>
      </c>
      <c r="AF1614" s="70" t="s">
        <v>239</v>
      </c>
      <c r="AZ1614" s="70">
        <v>1543.0</v>
      </c>
    </row>
    <row r="1615" ht="22.5" customHeight="1">
      <c r="A1615" s="70" t="str">
        <f t="shared" si="1"/>
        <v>Excluded</v>
      </c>
      <c r="B1615" s="70">
        <f t="shared" si="2"/>
        <v>0</v>
      </c>
      <c r="C1615" s="70">
        <v>0.0</v>
      </c>
      <c r="D1615" s="70">
        <v>0.0</v>
      </c>
      <c r="E1615" s="70">
        <v>0.0</v>
      </c>
      <c r="F1615" s="70">
        <v>0.0</v>
      </c>
      <c r="G1615" s="70">
        <v>0.0</v>
      </c>
      <c r="H1615" s="70" t="s">
        <v>10226</v>
      </c>
      <c r="I1615" s="70">
        <v>1004.0</v>
      </c>
      <c r="K1615" s="70" t="s">
        <v>10224</v>
      </c>
      <c r="L1615" s="70" t="s">
        <v>10225</v>
      </c>
      <c r="P1615" s="76">
        <v>43846.0</v>
      </c>
      <c r="U1615" s="70" t="s">
        <v>239</v>
      </c>
      <c r="W1615" s="70" t="s">
        <v>9479</v>
      </c>
      <c r="X1615" s="70" t="s">
        <v>10227</v>
      </c>
      <c r="Z1615" s="75" t="s">
        <v>10228</v>
      </c>
      <c r="AF1615" s="70" t="s">
        <v>239</v>
      </c>
      <c r="AZ1615" s="70">
        <v>1471.0</v>
      </c>
    </row>
    <row r="1616" ht="22.5" customHeight="1">
      <c r="A1616" s="70" t="str">
        <f t="shared" si="1"/>
        <v>Excluded</v>
      </c>
      <c r="B1616" s="70">
        <f t="shared" si="2"/>
        <v>0</v>
      </c>
      <c r="C1616" s="70">
        <v>0.0</v>
      </c>
      <c r="D1616" s="70">
        <v>0.0</v>
      </c>
      <c r="E1616" s="70">
        <v>0.0</v>
      </c>
      <c r="F1616" s="70">
        <v>0.0</v>
      </c>
      <c r="G1616" s="70">
        <v>0.0</v>
      </c>
      <c r="H1616" s="70" t="s">
        <v>9478</v>
      </c>
      <c r="I1616" s="70">
        <v>926.0</v>
      </c>
      <c r="K1616" s="70" t="s">
        <v>9476</v>
      </c>
      <c r="L1616" s="70" t="s">
        <v>9477</v>
      </c>
      <c r="P1616" s="76">
        <v>44494.0</v>
      </c>
      <c r="U1616" s="70" t="s">
        <v>239</v>
      </c>
      <c r="W1616" s="70" t="s">
        <v>9479</v>
      </c>
      <c r="X1616" s="70" t="s">
        <v>9480</v>
      </c>
      <c r="Z1616" s="75" t="s">
        <v>9481</v>
      </c>
      <c r="AF1616" s="70" t="s">
        <v>239</v>
      </c>
      <c r="AZ1616" s="70">
        <v>1454.0</v>
      </c>
    </row>
    <row r="1617" ht="22.5" customHeight="1">
      <c r="A1617" s="70" t="str">
        <f t="shared" si="1"/>
        <v>Excluded</v>
      </c>
      <c r="B1617" s="70">
        <f t="shared" si="2"/>
        <v>0</v>
      </c>
      <c r="C1617" s="70">
        <v>0.0</v>
      </c>
      <c r="D1617" s="70">
        <v>0.0</v>
      </c>
      <c r="E1617" s="70">
        <v>0.0</v>
      </c>
      <c r="F1617" s="70">
        <v>0.0</v>
      </c>
      <c r="G1617" s="70">
        <v>0.0</v>
      </c>
      <c r="H1617" s="70" t="s">
        <v>14733</v>
      </c>
      <c r="I1617" s="70">
        <v>1536.0</v>
      </c>
      <c r="J1617" s="70" t="s">
        <v>14730</v>
      </c>
      <c r="K1617" s="70" t="s">
        <v>14731</v>
      </c>
      <c r="L1617" s="70" t="s">
        <v>14732</v>
      </c>
      <c r="P1617" s="77">
        <v>45538.0</v>
      </c>
      <c r="U1617" s="70" t="s">
        <v>239</v>
      </c>
      <c r="W1617" s="70" t="s">
        <v>14735</v>
      </c>
      <c r="X1617" s="70" t="s">
        <v>14736</v>
      </c>
      <c r="Z1617" s="75" t="s">
        <v>14737</v>
      </c>
      <c r="AA1617" s="70" t="s">
        <v>14738</v>
      </c>
      <c r="AE1617" s="70">
        <v>27.0</v>
      </c>
      <c r="AF1617" s="70" t="s">
        <v>239</v>
      </c>
      <c r="AW1617" s="70" t="s">
        <v>14739</v>
      </c>
      <c r="AX1617" s="70">
        <v>0.0</v>
      </c>
      <c r="AY1617" s="70" t="s">
        <v>24</v>
      </c>
      <c r="AZ1617" s="70">
        <v>2195.0</v>
      </c>
    </row>
    <row r="1618" ht="22.5" customHeight="1">
      <c r="A1618" s="70" t="str">
        <f t="shared" si="1"/>
        <v>Excluded</v>
      </c>
      <c r="B1618" s="70">
        <f t="shared" si="2"/>
        <v>0</v>
      </c>
      <c r="C1618" s="70">
        <v>0.0</v>
      </c>
      <c r="D1618" s="70">
        <v>0.0</v>
      </c>
      <c r="E1618" s="70">
        <v>0.0</v>
      </c>
      <c r="F1618" s="70">
        <v>0.0</v>
      </c>
      <c r="G1618" s="70">
        <v>0.0</v>
      </c>
      <c r="H1618" s="70" t="s">
        <v>10680</v>
      </c>
      <c r="I1618" s="70">
        <v>1063.0</v>
      </c>
      <c r="K1618" s="70" t="s">
        <v>10597</v>
      </c>
      <c r="L1618" s="70" t="s">
        <v>10679</v>
      </c>
      <c r="P1618" s="76">
        <v>45034.0</v>
      </c>
      <c r="U1618" s="70" t="s">
        <v>239</v>
      </c>
      <c r="X1618" s="70" t="s">
        <v>10681</v>
      </c>
      <c r="Z1618" s="75" t="s">
        <v>10682</v>
      </c>
      <c r="AF1618" s="70" t="s">
        <v>239</v>
      </c>
      <c r="AZ1618" s="70">
        <v>1549.0</v>
      </c>
    </row>
    <row r="1619" ht="22.5" customHeight="1">
      <c r="A1619" s="70" t="str">
        <f t="shared" si="1"/>
        <v>Excluded</v>
      </c>
      <c r="B1619" s="70">
        <f t="shared" si="2"/>
        <v>0</v>
      </c>
      <c r="C1619" s="70">
        <v>0.0</v>
      </c>
      <c r="D1619" s="70">
        <v>0.0</v>
      </c>
      <c r="E1619" s="70">
        <v>0.0</v>
      </c>
      <c r="F1619" s="70">
        <v>0.0</v>
      </c>
      <c r="G1619" s="70">
        <v>0.0</v>
      </c>
      <c r="H1619" s="70" t="s">
        <v>14324</v>
      </c>
      <c r="I1619" s="70">
        <v>1494.0</v>
      </c>
      <c r="J1619" s="70" t="s">
        <v>14321</v>
      </c>
      <c r="K1619" s="70" t="s">
        <v>14322</v>
      </c>
      <c r="L1619" s="70" t="s">
        <v>14323</v>
      </c>
      <c r="P1619" s="76">
        <v>45678.0</v>
      </c>
      <c r="U1619" s="70" t="s">
        <v>239</v>
      </c>
      <c r="W1619" s="70" t="s">
        <v>14326</v>
      </c>
      <c r="X1619" s="70" t="s">
        <v>14327</v>
      </c>
      <c r="Z1619" s="75" t="s">
        <v>14328</v>
      </c>
      <c r="AA1619" s="70" t="s">
        <v>14329</v>
      </c>
      <c r="AE1619" s="70">
        <v>16.0</v>
      </c>
      <c r="AF1619" s="70" t="s">
        <v>239</v>
      </c>
      <c r="AW1619" s="70" t="s">
        <v>14330</v>
      </c>
      <c r="AX1619" s="70">
        <v>0.0</v>
      </c>
      <c r="AY1619" s="70" t="s">
        <v>24</v>
      </c>
      <c r="AZ1619" s="70">
        <v>2367.0</v>
      </c>
    </row>
    <row r="1620" ht="22.5" customHeight="1">
      <c r="A1620" s="70" t="str">
        <f t="shared" si="1"/>
        <v>Excluded</v>
      </c>
      <c r="B1620" s="70">
        <f t="shared" si="2"/>
        <v>0</v>
      </c>
      <c r="C1620" s="70">
        <v>0.0</v>
      </c>
      <c r="D1620" s="70">
        <v>0.0</v>
      </c>
      <c r="E1620" s="70">
        <v>0.0</v>
      </c>
      <c r="F1620" s="70">
        <v>0.0</v>
      </c>
      <c r="G1620" s="70">
        <v>0.0</v>
      </c>
      <c r="H1620" s="70" t="s">
        <v>6369</v>
      </c>
      <c r="I1620" s="70">
        <v>604.0</v>
      </c>
      <c r="J1620" s="70" t="s">
        <v>30522</v>
      </c>
      <c r="K1620" s="70" t="s">
        <v>30523</v>
      </c>
      <c r="L1620" s="70" t="s">
        <v>6367</v>
      </c>
      <c r="N1620" s="70" t="s">
        <v>6368</v>
      </c>
      <c r="P1620" s="77">
        <v>44720.0</v>
      </c>
      <c r="U1620" s="70" t="s">
        <v>239</v>
      </c>
      <c r="W1620" s="70" t="s">
        <v>6371</v>
      </c>
      <c r="X1620" s="70" t="s">
        <v>6372</v>
      </c>
      <c r="Y1620" s="70" t="s">
        <v>30339</v>
      </c>
      <c r="Z1620" s="75" t="s">
        <v>6373</v>
      </c>
      <c r="AA1620" s="70" t="s">
        <v>6374</v>
      </c>
      <c r="AC1620" s="70">
        <v>6.0</v>
      </c>
      <c r="AE1620" s="70">
        <v>21.0</v>
      </c>
      <c r="AF1620" s="70" t="s">
        <v>239</v>
      </c>
      <c r="AW1620" s="70" t="s">
        <v>6375</v>
      </c>
      <c r="AZ1620" s="70">
        <v>444.0</v>
      </c>
    </row>
    <row r="1621" ht="22.5" customHeight="1">
      <c r="A1621" s="70" t="str">
        <f t="shared" si="1"/>
        <v>Excluded</v>
      </c>
      <c r="B1621" s="70">
        <f t="shared" si="2"/>
        <v>0</v>
      </c>
      <c r="C1621" s="70">
        <v>0.0</v>
      </c>
      <c r="D1621" s="70">
        <v>0.0</v>
      </c>
      <c r="E1621" s="70">
        <v>0.0</v>
      </c>
      <c r="F1621" s="70">
        <v>0.0</v>
      </c>
      <c r="G1621" s="70">
        <v>0.0</v>
      </c>
      <c r="H1621" s="70" t="s">
        <v>6230</v>
      </c>
      <c r="I1621" s="70">
        <v>590.0</v>
      </c>
      <c r="J1621" s="70" t="s">
        <v>6227</v>
      </c>
      <c r="K1621" s="70" t="s">
        <v>6228</v>
      </c>
      <c r="L1621" s="70" t="s">
        <v>6229</v>
      </c>
      <c r="P1621" s="76">
        <v>43359.0</v>
      </c>
      <c r="U1621" s="70" t="s">
        <v>239</v>
      </c>
      <c r="W1621" s="70" t="s">
        <v>6232</v>
      </c>
      <c r="X1621" s="70" t="s">
        <v>6233</v>
      </c>
      <c r="Z1621" s="75" t="s">
        <v>6234</v>
      </c>
      <c r="AA1621" s="70" t="s">
        <v>6235</v>
      </c>
      <c r="AC1621" s="70">
        <v>7.0</v>
      </c>
      <c r="AE1621" s="70">
        <v>31.0</v>
      </c>
      <c r="AF1621" s="70" t="s">
        <v>239</v>
      </c>
      <c r="AW1621" s="70" t="s">
        <v>6236</v>
      </c>
      <c r="AZ1621" s="70">
        <v>901.0</v>
      </c>
    </row>
    <row r="1622" ht="22.5" customHeight="1">
      <c r="A1622" s="70" t="str">
        <f t="shared" si="1"/>
        <v>Excluded</v>
      </c>
      <c r="B1622" s="70">
        <f t="shared" si="2"/>
        <v>0</v>
      </c>
      <c r="C1622" s="70">
        <v>0.0</v>
      </c>
      <c r="D1622" s="70">
        <v>0.0</v>
      </c>
      <c r="E1622" s="70">
        <v>0.0</v>
      </c>
      <c r="F1622" s="70">
        <v>0.0</v>
      </c>
      <c r="G1622" s="70">
        <v>0.0</v>
      </c>
      <c r="H1622" s="70" t="s">
        <v>14413</v>
      </c>
      <c r="I1622" s="70">
        <v>1503.0</v>
      </c>
      <c r="J1622" s="70" t="s">
        <v>14411</v>
      </c>
      <c r="K1622" s="70" t="s">
        <v>14412</v>
      </c>
      <c r="L1622" s="70" t="s">
        <v>13916</v>
      </c>
      <c r="P1622" s="76">
        <v>45729.0</v>
      </c>
      <c r="U1622" s="70" t="s">
        <v>239</v>
      </c>
      <c r="W1622" s="70" t="s">
        <v>30524</v>
      </c>
      <c r="X1622" s="70" t="s">
        <v>13920</v>
      </c>
      <c r="Z1622" s="75" t="s">
        <v>14416</v>
      </c>
      <c r="AE1622" s="70">
        <v>11.0</v>
      </c>
      <c r="AF1622" s="70" t="s">
        <v>239</v>
      </c>
      <c r="AW1622" s="70" t="s">
        <v>14417</v>
      </c>
      <c r="AZ1622" s="70">
        <v>723.0</v>
      </c>
    </row>
    <row r="1623" ht="22.5" customHeight="1">
      <c r="A1623" s="70" t="str">
        <f t="shared" si="1"/>
        <v>Excluded</v>
      </c>
      <c r="B1623" s="70">
        <f t="shared" si="2"/>
        <v>0</v>
      </c>
      <c r="C1623" s="70">
        <v>0.0</v>
      </c>
      <c r="D1623" s="70">
        <v>0.0</v>
      </c>
      <c r="E1623" s="70">
        <v>0.0</v>
      </c>
      <c r="F1623" s="70">
        <v>0.0</v>
      </c>
      <c r="G1623" s="70">
        <v>0.0</v>
      </c>
      <c r="H1623" s="70" t="s">
        <v>13917</v>
      </c>
      <c r="I1623" s="70">
        <v>1449.0</v>
      </c>
      <c r="J1623" s="70" t="s">
        <v>13914</v>
      </c>
      <c r="K1623" s="70" t="s">
        <v>13915</v>
      </c>
      <c r="L1623" s="70" t="s">
        <v>13916</v>
      </c>
      <c r="P1623" s="76">
        <v>45729.0</v>
      </c>
      <c r="U1623" s="70" t="s">
        <v>239</v>
      </c>
      <c r="W1623" s="70" t="s">
        <v>13919</v>
      </c>
      <c r="X1623" s="70" t="s">
        <v>13920</v>
      </c>
      <c r="Z1623" s="75" t="s">
        <v>13921</v>
      </c>
      <c r="AA1623" s="70" t="s">
        <v>13922</v>
      </c>
      <c r="AE1623" s="70">
        <v>30.0</v>
      </c>
      <c r="AF1623" s="70" t="s">
        <v>239</v>
      </c>
      <c r="AW1623" s="70" t="s">
        <v>13923</v>
      </c>
      <c r="AZ1623" s="70">
        <v>197.0</v>
      </c>
    </row>
    <row r="1624" ht="22.5" customHeight="1">
      <c r="A1624" s="70" t="str">
        <f t="shared" si="1"/>
        <v>Excluded</v>
      </c>
      <c r="B1624" s="70">
        <f t="shared" si="2"/>
        <v>0</v>
      </c>
      <c r="C1624" s="70">
        <v>0.0</v>
      </c>
      <c r="D1624" s="70">
        <v>0.0</v>
      </c>
      <c r="E1624" s="70">
        <v>0.0</v>
      </c>
      <c r="F1624" s="70">
        <v>0.0</v>
      </c>
      <c r="G1624" s="70">
        <v>0.0</v>
      </c>
      <c r="H1624" s="70" t="s">
        <v>8511</v>
      </c>
      <c r="I1624" s="70">
        <v>826.0</v>
      </c>
      <c r="J1624" s="70" t="s">
        <v>8507</v>
      </c>
      <c r="K1624" s="70" t="s">
        <v>8508</v>
      </c>
      <c r="L1624" s="70" t="s">
        <v>8509</v>
      </c>
      <c r="N1624" s="70" t="s">
        <v>8510</v>
      </c>
      <c r="P1624" s="76">
        <v>44890.0</v>
      </c>
      <c r="U1624" s="70" t="s">
        <v>239</v>
      </c>
      <c r="W1624" s="70" t="s">
        <v>8513</v>
      </c>
      <c r="X1624" s="70" t="s">
        <v>8514</v>
      </c>
      <c r="Y1624" s="70" t="s">
        <v>30525</v>
      </c>
      <c r="Z1624" s="75" t="s">
        <v>8516</v>
      </c>
      <c r="AA1624" s="70" t="s">
        <v>8517</v>
      </c>
      <c r="AC1624" s="70">
        <v>1.0</v>
      </c>
      <c r="AE1624" s="70">
        <v>19.0</v>
      </c>
      <c r="AF1624" s="70" t="s">
        <v>239</v>
      </c>
      <c r="AW1624" s="70" t="s">
        <v>8518</v>
      </c>
      <c r="AX1624" s="70">
        <v>0.0</v>
      </c>
      <c r="AY1624" s="70" t="s">
        <v>24</v>
      </c>
      <c r="AZ1624" s="70">
        <v>2019.0</v>
      </c>
    </row>
    <row r="1625" ht="22.5" customHeight="1">
      <c r="A1625" s="70" t="str">
        <f t="shared" si="1"/>
        <v>Excluded</v>
      </c>
      <c r="B1625" s="70">
        <f t="shared" si="2"/>
        <v>0</v>
      </c>
      <c r="C1625" s="70">
        <v>0.0</v>
      </c>
      <c r="D1625" s="70">
        <v>0.0</v>
      </c>
      <c r="E1625" s="70">
        <v>0.0</v>
      </c>
      <c r="F1625" s="70">
        <v>0.0</v>
      </c>
      <c r="G1625" s="70">
        <v>0.0</v>
      </c>
      <c r="H1625" s="70" t="s">
        <v>10825</v>
      </c>
      <c r="I1625" s="70">
        <v>1098.0</v>
      </c>
      <c r="K1625" s="70" t="s">
        <v>10824</v>
      </c>
      <c r="L1625" s="70" t="s">
        <v>8509</v>
      </c>
      <c r="N1625" s="70" t="s">
        <v>8510</v>
      </c>
      <c r="P1625" s="76">
        <v>44890.0</v>
      </c>
      <c r="U1625" s="70" t="s">
        <v>239</v>
      </c>
      <c r="W1625" s="70" t="s">
        <v>10670</v>
      </c>
      <c r="X1625" s="70" t="s">
        <v>8514</v>
      </c>
      <c r="Z1625" s="75" t="s">
        <v>10826</v>
      </c>
      <c r="AF1625" s="70" t="s">
        <v>239</v>
      </c>
      <c r="AZ1625" s="70">
        <v>1444.0</v>
      </c>
    </row>
    <row r="1626" ht="22.5" customHeight="1">
      <c r="A1626" s="70" t="str">
        <f t="shared" si="1"/>
        <v>Excluded</v>
      </c>
      <c r="B1626" s="70">
        <f t="shared" si="2"/>
        <v>0</v>
      </c>
      <c r="C1626" s="70">
        <v>0.0</v>
      </c>
      <c r="D1626" s="70">
        <v>0.0</v>
      </c>
      <c r="E1626" s="70">
        <v>0.0</v>
      </c>
      <c r="F1626" s="70">
        <v>0.0</v>
      </c>
      <c r="G1626" s="70">
        <v>0.0</v>
      </c>
      <c r="H1626" s="70" t="s">
        <v>15917</v>
      </c>
      <c r="I1626" s="70">
        <v>1673.0</v>
      </c>
      <c r="K1626" s="70" t="s">
        <v>15915</v>
      </c>
      <c r="L1626" s="70" t="s">
        <v>15916</v>
      </c>
      <c r="N1626" s="70" t="s">
        <v>8510</v>
      </c>
      <c r="P1626" s="76">
        <v>45314.0</v>
      </c>
      <c r="U1626" s="70" t="s">
        <v>239</v>
      </c>
      <c r="X1626" s="70" t="s">
        <v>15919</v>
      </c>
      <c r="Z1626" s="75" t="s">
        <v>15920</v>
      </c>
      <c r="AF1626" s="70" t="s">
        <v>239</v>
      </c>
      <c r="AZ1626" s="70">
        <v>1483.0</v>
      </c>
    </row>
    <row r="1627" ht="22.5" customHeight="1">
      <c r="A1627" s="70" t="str">
        <f t="shared" si="1"/>
        <v>Excluded</v>
      </c>
      <c r="B1627" s="70">
        <f t="shared" si="2"/>
        <v>0</v>
      </c>
      <c r="C1627" s="70">
        <v>0.0</v>
      </c>
      <c r="D1627" s="70">
        <v>0.0</v>
      </c>
      <c r="E1627" s="70">
        <v>0.0</v>
      </c>
      <c r="F1627" s="70">
        <v>0.0</v>
      </c>
      <c r="G1627" s="70">
        <v>0.0</v>
      </c>
      <c r="H1627" s="70" t="s">
        <v>15903</v>
      </c>
      <c r="I1627" s="70">
        <v>1669.0</v>
      </c>
      <c r="K1627" s="70" t="s">
        <v>9426</v>
      </c>
      <c r="L1627" s="70" t="s">
        <v>15902</v>
      </c>
      <c r="N1627" s="70" t="s">
        <v>8510</v>
      </c>
      <c r="P1627" s="76">
        <v>45671.0</v>
      </c>
      <c r="U1627" s="70" t="s">
        <v>239</v>
      </c>
      <c r="X1627" s="70" t="s">
        <v>15904</v>
      </c>
      <c r="Z1627" s="75" t="s">
        <v>15905</v>
      </c>
      <c r="AF1627" s="70" t="s">
        <v>239</v>
      </c>
      <c r="AZ1627" s="70">
        <v>1430.0</v>
      </c>
    </row>
    <row r="1628" ht="22.5" customHeight="1">
      <c r="A1628" s="70" t="str">
        <f t="shared" si="1"/>
        <v>Excluded</v>
      </c>
      <c r="B1628" s="70">
        <f t="shared" si="2"/>
        <v>0</v>
      </c>
      <c r="C1628" s="70">
        <v>0.0</v>
      </c>
      <c r="D1628" s="70">
        <v>0.0</v>
      </c>
      <c r="E1628" s="70">
        <v>0.0</v>
      </c>
      <c r="F1628" s="70">
        <v>0.0</v>
      </c>
      <c r="G1628" s="70">
        <v>0.0</v>
      </c>
      <c r="H1628" s="70" t="s">
        <v>11640</v>
      </c>
      <c r="I1628" s="70">
        <v>1219.0</v>
      </c>
      <c r="J1628" s="70" t="s">
        <v>11637</v>
      </c>
      <c r="K1628" s="70" t="s">
        <v>11638</v>
      </c>
      <c r="L1628" s="70" t="s">
        <v>11639</v>
      </c>
      <c r="P1628" s="77">
        <v>45020.0</v>
      </c>
      <c r="U1628" s="70" t="s">
        <v>239</v>
      </c>
      <c r="W1628" s="70" t="s">
        <v>11642</v>
      </c>
      <c r="X1628" s="70" t="s">
        <v>11643</v>
      </c>
      <c r="Z1628" s="75" t="s">
        <v>11644</v>
      </c>
      <c r="AA1628" s="70" t="s">
        <v>11645</v>
      </c>
      <c r="AC1628" s="70">
        <v>2.0</v>
      </c>
      <c r="AE1628" s="70">
        <v>46.0</v>
      </c>
      <c r="AF1628" s="70" t="s">
        <v>239</v>
      </c>
      <c r="AW1628" s="70" t="s">
        <v>11646</v>
      </c>
      <c r="AX1628" s="70">
        <v>0.0</v>
      </c>
      <c r="AY1628" s="70" t="s">
        <v>24</v>
      </c>
      <c r="AZ1628" s="70">
        <v>2055.0</v>
      </c>
    </row>
    <row r="1629" ht="22.5" customHeight="1">
      <c r="A1629" s="70" t="str">
        <f t="shared" si="1"/>
        <v>Excluded</v>
      </c>
      <c r="B1629" s="70">
        <f t="shared" si="2"/>
        <v>0</v>
      </c>
      <c r="C1629" s="70">
        <v>0.0</v>
      </c>
      <c r="D1629" s="70">
        <v>0.0</v>
      </c>
      <c r="E1629" s="70">
        <v>0.0</v>
      </c>
      <c r="F1629" s="70">
        <v>0.0</v>
      </c>
      <c r="G1629" s="70">
        <v>0.0</v>
      </c>
      <c r="H1629" s="70" t="s">
        <v>6476</v>
      </c>
      <c r="I1629" s="70">
        <v>615.0</v>
      </c>
      <c r="J1629" s="70" t="s">
        <v>6472</v>
      </c>
      <c r="K1629" s="70" t="s">
        <v>6473</v>
      </c>
      <c r="L1629" s="70" t="s">
        <v>6474</v>
      </c>
      <c r="N1629" s="70" t="s">
        <v>6475</v>
      </c>
      <c r="P1629" s="76">
        <v>43727.0</v>
      </c>
      <c r="U1629" s="70" t="s">
        <v>239</v>
      </c>
      <c r="W1629" s="70" t="s">
        <v>6478</v>
      </c>
      <c r="X1629" s="70" t="s">
        <v>6479</v>
      </c>
      <c r="Z1629" s="75" t="s">
        <v>6480</v>
      </c>
      <c r="AA1629" s="70" t="s">
        <v>6481</v>
      </c>
      <c r="AC1629" s="70">
        <v>6.0</v>
      </c>
      <c r="AE1629" s="70">
        <v>11.0</v>
      </c>
      <c r="AF1629" s="70" t="s">
        <v>239</v>
      </c>
      <c r="AW1629" s="70" t="s">
        <v>6482</v>
      </c>
      <c r="AX1629" s="70">
        <v>0.0</v>
      </c>
      <c r="AY1629" s="70" t="s">
        <v>24</v>
      </c>
      <c r="AZ1629" s="70">
        <v>2853.0</v>
      </c>
    </row>
    <row r="1630" ht="22.5" customHeight="1">
      <c r="A1630" s="70" t="str">
        <f t="shared" si="1"/>
        <v>Excluded</v>
      </c>
      <c r="B1630" s="70">
        <f t="shared" si="2"/>
        <v>0</v>
      </c>
      <c r="C1630" s="70">
        <v>0.0</v>
      </c>
      <c r="D1630" s="70">
        <v>0.0</v>
      </c>
      <c r="E1630" s="70">
        <v>0.0</v>
      </c>
      <c r="F1630" s="70">
        <v>0.0</v>
      </c>
      <c r="G1630" s="70">
        <v>0.0</v>
      </c>
      <c r="H1630" s="70" t="s">
        <v>11723</v>
      </c>
      <c r="I1630" s="70">
        <v>1227.0</v>
      </c>
      <c r="J1630" s="70" t="s">
        <v>11719</v>
      </c>
      <c r="K1630" s="70" t="s">
        <v>11720</v>
      </c>
      <c r="L1630" s="70" t="s">
        <v>11721</v>
      </c>
      <c r="N1630" s="70" t="s">
        <v>11722</v>
      </c>
      <c r="P1630" s="77">
        <v>45145.0</v>
      </c>
      <c r="U1630" s="70" t="s">
        <v>239</v>
      </c>
      <c r="W1630" s="70" t="s">
        <v>11725</v>
      </c>
      <c r="X1630" s="70" t="s">
        <v>11726</v>
      </c>
      <c r="Z1630" s="75" t="s">
        <v>11727</v>
      </c>
      <c r="AA1630" s="70" t="s">
        <v>11728</v>
      </c>
      <c r="AC1630" s="70">
        <v>2.0</v>
      </c>
      <c r="AE1630" s="70">
        <v>34.0</v>
      </c>
      <c r="AF1630" s="70" t="s">
        <v>239</v>
      </c>
      <c r="AW1630" s="70" t="s">
        <v>11729</v>
      </c>
      <c r="AX1630" s="70">
        <v>0.0</v>
      </c>
      <c r="AY1630" s="70" t="s">
        <v>24</v>
      </c>
      <c r="AZ1630" s="70">
        <v>1714.0</v>
      </c>
    </row>
    <row r="1631" ht="22.5" customHeight="1">
      <c r="A1631" s="70" t="str">
        <f t="shared" si="1"/>
        <v>Excluded</v>
      </c>
      <c r="B1631" s="70">
        <f t="shared" si="2"/>
        <v>0</v>
      </c>
      <c r="C1631" s="70">
        <v>0.0</v>
      </c>
      <c r="D1631" s="70">
        <v>0.0</v>
      </c>
      <c r="E1631" s="70">
        <v>0.0</v>
      </c>
      <c r="F1631" s="70">
        <v>0.0</v>
      </c>
      <c r="G1631" s="70">
        <v>0.0</v>
      </c>
      <c r="H1631" s="70" t="s">
        <v>15134</v>
      </c>
      <c r="I1631" s="70">
        <v>1578.0</v>
      </c>
      <c r="J1631" s="70" t="s">
        <v>15130</v>
      </c>
      <c r="K1631" s="70" t="s">
        <v>15131</v>
      </c>
      <c r="L1631" s="70" t="s">
        <v>15132</v>
      </c>
      <c r="N1631" s="70" t="s">
        <v>15133</v>
      </c>
      <c r="P1631" s="77">
        <v>45265.0</v>
      </c>
      <c r="U1631" s="70" t="s">
        <v>239</v>
      </c>
      <c r="W1631" s="70" t="s">
        <v>15136</v>
      </c>
      <c r="X1631" s="70" t="s">
        <v>15137</v>
      </c>
      <c r="Z1631" s="75" t="s">
        <v>15138</v>
      </c>
      <c r="AA1631" s="70" t="s">
        <v>15139</v>
      </c>
      <c r="AE1631" s="70">
        <v>17.0</v>
      </c>
      <c r="AF1631" s="70" t="s">
        <v>239</v>
      </c>
      <c r="AW1631" s="70" t="s">
        <v>15140</v>
      </c>
      <c r="AZ1631" s="70">
        <v>782.0</v>
      </c>
    </row>
    <row r="1632" ht="22.5" customHeight="1">
      <c r="A1632" s="70" t="str">
        <f t="shared" si="1"/>
        <v>Excluded</v>
      </c>
      <c r="B1632" s="70">
        <f t="shared" si="2"/>
        <v>0</v>
      </c>
      <c r="C1632" s="70">
        <v>0.0</v>
      </c>
      <c r="D1632" s="70">
        <v>0.0</v>
      </c>
      <c r="E1632" s="70">
        <v>0.0</v>
      </c>
      <c r="F1632" s="70">
        <v>0.0</v>
      </c>
      <c r="G1632" s="70">
        <v>0.0</v>
      </c>
      <c r="H1632" s="70" t="s">
        <v>14076</v>
      </c>
      <c r="I1632" s="70">
        <v>1466.0</v>
      </c>
      <c r="J1632" s="70" t="s">
        <v>14073</v>
      </c>
      <c r="K1632" s="70" t="s">
        <v>14074</v>
      </c>
      <c r="L1632" s="70" t="s">
        <v>14075</v>
      </c>
      <c r="P1632" s="76">
        <v>45405.0</v>
      </c>
      <c r="U1632" s="70" t="s">
        <v>239</v>
      </c>
      <c r="W1632" s="70" t="s">
        <v>14078</v>
      </c>
      <c r="X1632" s="70" t="s">
        <v>14079</v>
      </c>
      <c r="Z1632" s="75" t="s">
        <v>14080</v>
      </c>
      <c r="AA1632" s="70" t="s">
        <v>14081</v>
      </c>
      <c r="AE1632" s="70">
        <v>17.0</v>
      </c>
      <c r="AF1632" s="70" t="s">
        <v>239</v>
      </c>
      <c r="AW1632" s="70" t="s">
        <v>14082</v>
      </c>
      <c r="AZ1632" s="70">
        <v>1453.0</v>
      </c>
    </row>
    <row r="1633" ht="22.5" customHeight="1">
      <c r="A1633" s="70" t="str">
        <f t="shared" si="1"/>
        <v>Excluded</v>
      </c>
      <c r="B1633" s="70">
        <f t="shared" si="2"/>
        <v>0</v>
      </c>
      <c r="C1633" s="70">
        <v>0.0</v>
      </c>
      <c r="D1633" s="70">
        <v>0.0</v>
      </c>
      <c r="E1633" s="70">
        <v>0.0</v>
      </c>
      <c r="F1633" s="70">
        <v>0.0</v>
      </c>
      <c r="G1633" s="70">
        <v>0.0</v>
      </c>
      <c r="H1633" s="70" t="s">
        <v>7575</v>
      </c>
      <c r="I1633" s="70">
        <v>728.0</v>
      </c>
      <c r="J1633" s="70" t="s">
        <v>7572</v>
      </c>
      <c r="K1633" s="70" t="s">
        <v>7573</v>
      </c>
      <c r="L1633" s="70" t="s">
        <v>7574</v>
      </c>
      <c r="P1633" s="77">
        <v>44349.0</v>
      </c>
      <c r="U1633" s="70" t="s">
        <v>239</v>
      </c>
      <c r="W1633" s="70" t="s">
        <v>7577</v>
      </c>
      <c r="X1633" s="70" t="s">
        <v>7578</v>
      </c>
      <c r="Z1633" s="75" t="s">
        <v>7579</v>
      </c>
      <c r="AA1633" s="70" t="s">
        <v>7580</v>
      </c>
      <c r="AC1633" s="70">
        <v>3.0</v>
      </c>
      <c r="AE1633" s="70">
        <v>26.0</v>
      </c>
      <c r="AF1633" s="70" t="s">
        <v>239</v>
      </c>
      <c r="AW1633" s="70" t="s">
        <v>7581</v>
      </c>
      <c r="AZ1633" s="70">
        <v>702.0</v>
      </c>
    </row>
    <row r="1634" ht="22.5" customHeight="1">
      <c r="A1634" s="70" t="str">
        <f t="shared" si="1"/>
        <v>Excluded</v>
      </c>
      <c r="B1634" s="70">
        <f t="shared" si="2"/>
        <v>0</v>
      </c>
      <c r="C1634" s="70">
        <v>0.0</v>
      </c>
      <c r="D1634" s="70">
        <v>0.0</v>
      </c>
      <c r="E1634" s="70">
        <v>0.0</v>
      </c>
      <c r="F1634" s="70">
        <v>0.0</v>
      </c>
      <c r="G1634" s="70">
        <v>0.0</v>
      </c>
      <c r="H1634" s="70" t="s">
        <v>13096</v>
      </c>
      <c r="I1634" s="70">
        <v>1365.0</v>
      </c>
      <c r="J1634" s="70" t="s">
        <v>13092</v>
      </c>
      <c r="K1634" s="70" t="s">
        <v>13093</v>
      </c>
      <c r="L1634" s="70" t="s">
        <v>13094</v>
      </c>
      <c r="N1634" s="70" t="s">
        <v>13095</v>
      </c>
      <c r="P1634" s="78">
        <v>45433.0</v>
      </c>
      <c r="U1634" s="70" t="s">
        <v>239</v>
      </c>
      <c r="W1634" s="70" t="s">
        <v>13098</v>
      </c>
      <c r="X1634" s="70" t="s">
        <v>13099</v>
      </c>
      <c r="Z1634" s="75" t="s">
        <v>13100</v>
      </c>
      <c r="AA1634" s="70" t="s">
        <v>13101</v>
      </c>
      <c r="AE1634" s="70">
        <v>29.0</v>
      </c>
      <c r="AF1634" s="70" t="s">
        <v>239</v>
      </c>
      <c r="AW1634" s="70" t="s">
        <v>13102</v>
      </c>
      <c r="AX1634" s="70">
        <v>0.0</v>
      </c>
      <c r="AY1634" s="70" t="s">
        <v>24</v>
      </c>
      <c r="AZ1634" s="70">
        <v>2020.0</v>
      </c>
    </row>
    <row r="1635" ht="22.5" customHeight="1">
      <c r="A1635" s="70" t="str">
        <f t="shared" si="1"/>
        <v>Excluded</v>
      </c>
      <c r="B1635" s="70">
        <f t="shared" si="2"/>
        <v>0</v>
      </c>
      <c r="C1635" s="70">
        <v>0.0</v>
      </c>
      <c r="D1635" s="70">
        <v>0.0</v>
      </c>
      <c r="E1635" s="70">
        <v>0.0</v>
      </c>
      <c r="F1635" s="70">
        <v>0.0</v>
      </c>
      <c r="G1635" s="70">
        <v>0.0</v>
      </c>
      <c r="H1635" s="70" t="s">
        <v>5054</v>
      </c>
      <c r="I1635" s="70">
        <v>471.0</v>
      </c>
      <c r="J1635" s="70" t="s">
        <v>5051</v>
      </c>
      <c r="K1635" s="70" t="s">
        <v>5052</v>
      </c>
      <c r="L1635" s="70" t="s">
        <v>5053</v>
      </c>
      <c r="P1635" s="76">
        <v>42989.0</v>
      </c>
      <c r="U1635" s="70" t="s">
        <v>239</v>
      </c>
      <c r="W1635" s="70" t="s">
        <v>5056</v>
      </c>
      <c r="X1635" s="70" t="s">
        <v>5057</v>
      </c>
      <c r="Z1635" s="75" t="s">
        <v>5058</v>
      </c>
      <c r="AA1635" s="70" t="s">
        <v>5059</v>
      </c>
      <c r="AC1635" s="70">
        <v>22.0</v>
      </c>
      <c r="AE1635" s="70">
        <v>13.0</v>
      </c>
      <c r="AF1635" s="70" t="s">
        <v>239</v>
      </c>
      <c r="AW1635" s="70" t="s">
        <v>5060</v>
      </c>
      <c r="AZ1635" s="70">
        <v>301.0</v>
      </c>
    </row>
    <row r="1636" ht="22.5" customHeight="1">
      <c r="A1636" s="70" t="str">
        <f t="shared" si="1"/>
        <v>Excluded</v>
      </c>
      <c r="B1636" s="70">
        <f t="shared" si="2"/>
        <v>0</v>
      </c>
      <c r="C1636" s="70">
        <v>0.0</v>
      </c>
      <c r="D1636" s="70">
        <v>0.0</v>
      </c>
      <c r="E1636" s="70">
        <v>0.0</v>
      </c>
      <c r="F1636" s="70">
        <v>0.0</v>
      </c>
      <c r="G1636" s="70">
        <v>0.0</v>
      </c>
      <c r="H1636" s="70" t="s">
        <v>7409</v>
      </c>
      <c r="I1636" s="70">
        <v>711.0</v>
      </c>
      <c r="J1636" s="70" t="s">
        <v>30526</v>
      </c>
      <c r="K1636" s="70" t="s">
        <v>7408</v>
      </c>
      <c r="L1636" s="70" t="s">
        <v>5053</v>
      </c>
      <c r="P1636" s="76">
        <v>42989.0</v>
      </c>
      <c r="U1636" s="70" t="s">
        <v>239</v>
      </c>
      <c r="W1636" s="70" t="s">
        <v>7411</v>
      </c>
      <c r="X1636" s="70" t="s">
        <v>5057</v>
      </c>
      <c r="Z1636" s="75" t="s">
        <v>7412</v>
      </c>
      <c r="AA1636" s="70" t="s">
        <v>7413</v>
      </c>
      <c r="AC1636" s="70">
        <v>3.0</v>
      </c>
      <c r="AE1636" s="70">
        <v>30.0</v>
      </c>
      <c r="AF1636" s="70" t="s">
        <v>239</v>
      </c>
      <c r="AW1636" s="70" t="s">
        <v>7414</v>
      </c>
      <c r="AX1636" s="70">
        <v>0.0</v>
      </c>
      <c r="AY1636" s="70" t="s">
        <v>24</v>
      </c>
      <c r="AZ1636" s="70">
        <v>3072.0</v>
      </c>
    </row>
    <row r="1637" ht="22.5" customHeight="1">
      <c r="A1637" s="70" t="str">
        <f t="shared" si="1"/>
        <v>Excluded</v>
      </c>
      <c r="B1637" s="70">
        <f t="shared" si="2"/>
        <v>0</v>
      </c>
      <c r="C1637" s="70">
        <v>0.0</v>
      </c>
      <c r="D1637" s="70">
        <v>0.0</v>
      </c>
      <c r="E1637" s="70">
        <v>0.0</v>
      </c>
      <c r="F1637" s="70">
        <v>0.0</v>
      </c>
      <c r="G1637" s="70">
        <v>0.0</v>
      </c>
      <c r="H1637" s="70" t="s">
        <v>8173</v>
      </c>
      <c r="I1637" s="70">
        <v>790.0</v>
      </c>
      <c r="J1637" s="70" t="s">
        <v>8170</v>
      </c>
      <c r="K1637" s="70" t="s">
        <v>8171</v>
      </c>
      <c r="L1637" s="70" t="s">
        <v>8172</v>
      </c>
      <c r="P1637" s="76">
        <v>44511.0</v>
      </c>
      <c r="U1637" s="70" t="s">
        <v>239</v>
      </c>
      <c r="W1637" s="70" t="s">
        <v>30527</v>
      </c>
      <c r="X1637" s="70" t="s">
        <v>8176</v>
      </c>
      <c r="Z1637" s="75" t="s">
        <v>8177</v>
      </c>
      <c r="AA1637" s="70" t="s">
        <v>8178</v>
      </c>
      <c r="AC1637" s="70">
        <v>2.0</v>
      </c>
      <c r="AE1637" s="70">
        <v>64.0</v>
      </c>
      <c r="AF1637" s="70" t="s">
        <v>239</v>
      </c>
      <c r="AW1637" s="70" t="s">
        <v>8179</v>
      </c>
      <c r="AX1637" s="70">
        <v>0.0</v>
      </c>
      <c r="AY1637" s="70" t="s">
        <v>24</v>
      </c>
      <c r="AZ1637" s="70">
        <v>2987.0</v>
      </c>
    </row>
    <row r="1638" ht="22.5" customHeight="1">
      <c r="A1638" s="70" t="str">
        <f t="shared" si="1"/>
        <v>Excluded</v>
      </c>
      <c r="B1638" s="70">
        <f t="shared" si="2"/>
        <v>0</v>
      </c>
      <c r="C1638" s="70">
        <v>0.0</v>
      </c>
      <c r="D1638" s="70">
        <v>0.0</v>
      </c>
      <c r="E1638" s="70">
        <v>0.0</v>
      </c>
      <c r="F1638" s="70">
        <v>0.0</v>
      </c>
      <c r="G1638" s="70">
        <v>0.0</v>
      </c>
      <c r="H1638" s="70" t="s">
        <v>11473</v>
      </c>
      <c r="I1638" s="70">
        <v>1202.0</v>
      </c>
      <c r="J1638" s="70" t="s">
        <v>11469</v>
      </c>
      <c r="K1638" s="70" t="s">
        <v>11470</v>
      </c>
      <c r="L1638" s="70" t="s">
        <v>11471</v>
      </c>
      <c r="N1638" s="70" t="s">
        <v>11472</v>
      </c>
      <c r="P1638" s="76">
        <v>45188.0</v>
      </c>
      <c r="U1638" s="70" t="s">
        <v>239</v>
      </c>
      <c r="W1638" s="70" t="s">
        <v>11475</v>
      </c>
      <c r="X1638" s="70" t="s">
        <v>11476</v>
      </c>
      <c r="Y1638" s="70" t="s">
        <v>30227</v>
      </c>
      <c r="Z1638" s="75" t="s">
        <v>11477</v>
      </c>
      <c r="AA1638" s="70" t="s">
        <v>11478</v>
      </c>
      <c r="AC1638" s="70">
        <v>3.0</v>
      </c>
      <c r="AE1638" s="70">
        <v>27.0</v>
      </c>
      <c r="AF1638" s="70" t="s">
        <v>239</v>
      </c>
      <c r="AW1638" s="70" t="s">
        <v>11479</v>
      </c>
      <c r="AX1638" s="70">
        <v>0.0</v>
      </c>
      <c r="AY1638" s="70" t="s">
        <v>24</v>
      </c>
      <c r="AZ1638" s="70">
        <v>3139.0</v>
      </c>
    </row>
    <row r="1639" ht="22.5" customHeight="1">
      <c r="A1639" s="70" t="str">
        <f t="shared" si="1"/>
        <v>Excluded</v>
      </c>
      <c r="B1639" s="70">
        <f t="shared" si="2"/>
        <v>0</v>
      </c>
      <c r="C1639" s="70">
        <v>0.0</v>
      </c>
      <c r="D1639" s="70">
        <v>0.0</v>
      </c>
      <c r="E1639" s="70">
        <v>0.0</v>
      </c>
      <c r="F1639" s="70">
        <v>0.0</v>
      </c>
      <c r="G1639" s="70">
        <v>0.0</v>
      </c>
      <c r="H1639" s="70" t="s">
        <v>15894</v>
      </c>
      <c r="I1639" s="70">
        <v>1667.0</v>
      </c>
      <c r="K1639" s="70" t="s">
        <v>10597</v>
      </c>
      <c r="L1639" s="70" t="s">
        <v>14183</v>
      </c>
      <c r="N1639" s="70" t="s">
        <v>11472</v>
      </c>
      <c r="P1639" s="76">
        <v>45580.0</v>
      </c>
      <c r="U1639" s="70" t="s">
        <v>239</v>
      </c>
      <c r="X1639" s="70" t="s">
        <v>14187</v>
      </c>
      <c r="Z1639" s="75" t="s">
        <v>15895</v>
      </c>
      <c r="AF1639" s="70" t="s">
        <v>239</v>
      </c>
      <c r="AZ1639" s="70">
        <v>1541.0</v>
      </c>
    </row>
    <row r="1640" ht="22.5" customHeight="1">
      <c r="A1640" s="70" t="str">
        <f t="shared" si="1"/>
        <v>Excluded</v>
      </c>
      <c r="B1640" s="70">
        <f t="shared" si="2"/>
        <v>0</v>
      </c>
      <c r="C1640" s="70">
        <v>0.0</v>
      </c>
      <c r="D1640" s="70">
        <v>0.0</v>
      </c>
      <c r="E1640" s="70">
        <v>0.0</v>
      </c>
      <c r="F1640" s="70">
        <v>0.0</v>
      </c>
      <c r="G1640" s="70">
        <v>0.0</v>
      </c>
      <c r="H1640" s="70" t="s">
        <v>14184</v>
      </c>
      <c r="I1640" s="70">
        <v>1478.0</v>
      </c>
      <c r="J1640" s="70" t="s">
        <v>14181</v>
      </c>
      <c r="K1640" s="70" t="s">
        <v>14182</v>
      </c>
      <c r="L1640" s="70" t="s">
        <v>14183</v>
      </c>
      <c r="N1640" s="70" t="s">
        <v>11472</v>
      </c>
      <c r="P1640" s="76">
        <v>45580.0</v>
      </c>
      <c r="U1640" s="70" t="s">
        <v>239</v>
      </c>
      <c r="W1640" s="70" t="s">
        <v>14186</v>
      </c>
      <c r="X1640" s="70" t="s">
        <v>14187</v>
      </c>
      <c r="Y1640" s="70" t="s">
        <v>30227</v>
      </c>
      <c r="Z1640" s="75" t="s">
        <v>14188</v>
      </c>
      <c r="AA1640" s="70" t="s">
        <v>14189</v>
      </c>
      <c r="AE1640" s="70">
        <v>36.0</v>
      </c>
      <c r="AF1640" s="70" t="s">
        <v>239</v>
      </c>
      <c r="AW1640" s="70" t="s">
        <v>14190</v>
      </c>
      <c r="AZ1640" s="70">
        <v>200.0</v>
      </c>
    </row>
    <row r="1641" ht="22.5" customHeight="1">
      <c r="A1641" s="70" t="str">
        <f t="shared" si="1"/>
        <v>Excluded</v>
      </c>
      <c r="B1641" s="70">
        <f t="shared" si="2"/>
        <v>0</v>
      </c>
      <c r="C1641" s="70">
        <v>0.0</v>
      </c>
      <c r="D1641" s="70">
        <v>0.0</v>
      </c>
      <c r="E1641" s="70">
        <v>0.0</v>
      </c>
      <c r="F1641" s="70">
        <v>0.0</v>
      </c>
      <c r="G1641" s="70">
        <v>0.0</v>
      </c>
      <c r="H1641" s="70" t="s">
        <v>15996</v>
      </c>
      <c r="I1641" s="70">
        <v>1692.0</v>
      </c>
      <c r="K1641" s="70" t="s">
        <v>10597</v>
      </c>
      <c r="L1641" s="70" t="s">
        <v>15995</v>
      </c>
      <c r="P1641" s="77">
        <v>45574.0</v>
      </c>
      <c r="U1641" s="70" t="s">
        <v>239</v>
      </c>
      <c r="X1641" s="70" t="s">
        <v>15997</v>
      </c>
      <c r="Z1641" s="75" t="s">
        <v>15998</v>
      </c>
      <c r="AF1641" s="70" t="s">
        <v>239</v>
      </c>
      <c r="AZ1641" s="70">
        <v>1574.0</v>
      </c>
    </row>
    <row r="1642" ht="22.5" customHeight="1">
      <c r="A1642" s="70" t="str">
        <f t="shared" si="1"/>
        <v>Excluded</v>
      </c>
      <c r="B1642" s="70">
        <f t="shared" si="2"/>
        <v>0</v>
      </c>
      <c r="C1642" s="70">
        <v>0.0</v>
      </c>
      <c r="D1642" s="70">
        <v>0.0</v>
      </c>
      <c r="E1642" s="70">
        <v>0.0</v>
      </c>
      <c r="F1642" s="70">
        <v>0.0</v>
      </c>
      <c r="G1642" s="70">
        <v>0.0</v>
      </c>
      <c r="H1642" s="70" t="s">
        <v>16080</v>
      </c>
      <c r="I1642" s="70">
        <v>1717.0</v>
      </c>
      <c r="K1642" s="70" t="s">
        <v>10734</v>
      </c>
      <c r="L1642" s="70" t="s">
        <v>15995</v>
      </c>
      <c r="P1642" s="77">
        <v>45574.0</v>
      </c>
      <c r="U1642" s="70" t="s">
        <v>239</v>
      </c>
      <c r="X1642" s="70" t="s">
        <v>15997</v>
      </c>
      <c r="Z1642" s="75" t="s">
        <v>16081</v>
      </c>
      <c r="AF1642" s="70" t="s">
        <v>239</v>
      </c>
      <c r="AZ1642" s="70">
        <v>1371.0</v>
      </c>
    </row>
    <row r="1643" ht="22.5" customHeight="1">
      <c r="A1643" s="70" t="str">
        <f t="shared" si="1"/>
        <v>Excluded</v>
      </c>
      <c r="B1643" s="70">
        <f t="shared" si="2"/>
        <v>0</v>
      </c>
      <c r="C1643" s="70">
        <v>0.0</v>
      </c>
      <c r="D1643" s="70">
        <v>0.0</v>
      </c>
      <c r="E1643" s="70">
        <v>0.0</v>
      </c>
      <c r="F1643" s="70">
        <v>0.0</v>
      </c>
      <c r="G1643" s="70">
        <v>0.0</v>
      </c>
      <c r="H1643" s="70" t="s">
        <v>16379</v>
      </c>
      <c r="I1643" s="70">
        <v>1794.0</v>
      </c>
      <c r="K1643" s="70" t="s">
        <v>10612</v>
      </c>
      <c r="L1643" s="70" t="s">
        <v>15995</v>
      </c>
      <c r="P1643" s="77">
        <v>45574.0</v>
      </c>
      <c r="U1643" s="70" t="s">
        <v>239</v>
      </c>
      <c r="X1643" s="70" t="s">
        <v>15997</v>
      </c>
      <c r="Z1643" s="75" t="s">
        <v>16380</v>
      </c>
      <c r="AF1643" s="70" t="s">
        <v>239</v>
      </c>
      <c r="AZ1643" s="70">
        <v>1421.0</v>
      </c>
    </row>
    <row r="1644" ht="22.5" customHeight="1">
      <c r="A1644" s="70" t="str">
        <f t="shared" si="1"/>
        <v>Excluded</v>
      </c>
      <c r="B1644" s="70">
        <f t="shared" si="2"/>
        <v>0</v>
      </c>
      <c r="C1644" s="70">
        <v>0.0</v>
      </c>
      <c r="D1644" s="70">
        <v>0.0</v>
      </c>
      <c r="E1644" s="70">
        <v>0.0</v>
      </c>
      <c r="F1644" s="70">
        <v>0.0</v>
      </c>
      <c r="G1644" s="70">
        <v>0.0</v>
      </c>
      <c r="H1644" s="70" t="s">
        <v>5584</v>
      </c>
      <c r="I1644" s="70">
        <v>525.0</v>
      </c>
      <c r="J1644" s="70" t="s">
        <v>5581</v>
      </c>
      <c r="K1644" s="70" t="s">
        <v>5582</v>
      </c>
      <c r="L1644" s="70" t="s">
        <v>5583</v>
      </c>
      <c r="P1644" s="76">
        <v>43335.0</v>
      </c>
      <c r="U1644" s="70" t="s">
        <v>239</v>
      </c>
      <c r="W1644" s="70" t="s">
        <v>5586</v>
      </c>
      <c r="X1644" s="70" t="s">
        <v>5587</v>
      </c>
      <c r="Z1644" s="75" t="s">
        <v>5588</v>
      </c>
      <c r="AA1644" s="70" t="s">
        <v>5589</v>
      </c>
      <c r="AC1644" s="70">
        <v>10.0</v>
      </c>
      <c r="AE1644" s="70">
        <v>48.0</v>
      </c>
      <c r="AF1644" s="70" t="s">
        <v>239</v>
      </c>
      <c r="AW1644" s="70" t="s">
        <v>5590</v>
      </c>
      <c r="AX1644" s="70">
        <v>0.0</v>
      </c>
      <c r="AY1644" s="70" t="s">
        <v>24</v>
      </c>
      <c r="AZ1644" s="70">
        <v>2214.0</v>
      </c>
    </row>
    <row r="1645" ht="22.5" customHeight="1">
      <c r="A1645" s="70" t="str">
        <f t="shared" si="1"/>
        <v>Excluded</v>
      </c>
      <c r="B1645" s="70">
        <f t="shared" si="2"/>
        <v>0</v>
      </c>
      <c r="C1645" s="70">
        <v>0.0</v>
      </c>
      <c r="D1645" s="70">
        <v>0.0</v>
      </c>
      <c r="E1645" s="70">
        <v>0.0</v>
      </c>
      <c r="F1645" s="70">
        <v>0.0</v>
      </c>
      <c r="G1645" s="70">
        <v>0.0</v>
      </c>
      <c r="H1645" s="70" t="s">
        <v>16243</v>
      </c>
      <c r="I1645" s="70">
        <v>1757.0</v>
      </c>
      <c r="K1645" s="70" t="s">
        <v>16241</v>
      </c>
      <c r="L1645" s="70" t="s">
        <v>16242</v>
      </c>
      <c r="P1645" s="76">
        <v>45398.0</v>
      </c>
      <c r="U1645" s="70" t="s">
        <v>239</v>
      </c>
      <c r="X1645" s="70" t="s">
        <v>16245</v>
      </c>
      <c r="Z1645" s="75" t="s">
        <v>16246</v>
      </c>
      <c r="AF1645" s="70" t="s">
        <v>239</v>
      </c>
      <c r="AZ1645" s="70">
        <v>1475.0</v>
      </c>
    </row>
    <row r="1646" ht="22.5" customHeight="1">
      <c r="A1646" s="70" t="str">
        <f t="shared" si="1"/>
        <v>Excluded</v>
      </c>
      <c r="B1646" s="70">
        <f t="shared" si="2"/>
        <v>0</v>
      </c>
      <c r="C1646" s="70">
        <v>0.0</v>
      </c>
      <c r="D1646" s="70">
        <v>0.0</v>
      </c>
      <c r="E1646" s="70">
        <v>0.0</v>
      </c>
      <c r="F1646" s="70">
        <v>0.0</v>
      </c>
      <c r="G1646" s="70">
        <v>0.0</v>
      </c>
      <c r="H1646" s="70" t="s">
        <v>10380</v>
      </c>
      <c r="I1646" s="70">
        <v>1020.0</v>
      </c>
      <c r="J1646" s="70" t="s">
        <v>10376</v>
      </c>
      <c r="K1646" s="70" t="s">
        <v>10377</v>
      </c>
      <c r="L1646" s="70" t="s">
        <v>10378</v>
      </c>
      <c r="N1646" s="70" t="s">
        <v>10379</v>
      </c>
      <c r="P1646" s="77">
        <v>44566.0</v>
      </c>
      <c r="U1646" s="70" t="s">
        <v>239</v>
      </c>
      <c r="W1646" s="70" t="s">
        <v>30528</v>
      </c>
      <c r="X1646" s="70" t="s">
        <v>10383</v>
      </c>
      <c r="Z1646" s="75" t="s">
        <v>10384</v>
      </c>
      <c r="AA1646" s="70" t="s">
        <v>10385</v>
      </c>
      <c r="AE1646" s="70">
        <v>19.0</v>
      </c>
      <c r="AF1646" s="70" t="s">
        <v>239</v>
      </c>
      <c r="AW1646" s="70" t="s">
        <v>10386</v>
      </c>
      <c r="AX1646" s="70">
        <v>0.0</v>
      </c>
      <c r="AY1646" s="70" t="s">
        <v>24</v>
      </c>
      <c r="AZ1646" s="70">
        <v>2408.0</v>
      </c>
    </row>
    <row r="1647" ht="22.5" customHeight="1">
      <c r="A1647" s="70" t="str">
        <f t="shared" si="1"/>
        <v>Excluded</v>
      </c>
      <c r="B1647" s="70">
        <f t="shared" si="2"/>
        <v>0</v>
      </c>
      <c r="C1647" s="70">
        <v>0.0</v>
      </c>
      <c r="D1647" s="70">
        <v>0.0</v>
      </c>
      <c r="E1647" s="70">
        <v>0.0</v>
      </c>
      <c r="F1647" s="70">
        <v>0.0</v>
      </c>
      <c r="G1647" s="70">
        <v>0.0</v>
      </c>
      <c r="H1647" s="70" t="s">
        <v>16289</v>
      </c>
      <c r="I1647" s="70">
        <v>1768.0</v>
      </c>
      <c r="K1647" s="70" t="s">
        <v>10597</v>
      </c>
      <c r="L1647" s="70" t="s">
        <v>16288</v>
      </c>
      <c r="N1647" s="70" t="s">
        <v>10379</v>
      </c>
      <c r="P1647" s="76">
        <v>45281.0</v>
      </c>
      <c r="U1647" s="70" t="s">
        <v>239</v>
      </c>
      <c r="X1647" s="70" t="s">
        <v>16290</v>
      </c>
      <c r="Z1647" s="75" t="s">
        <v>16291</v>
      </c>
      <c r="AF1647" s="70" t="s">
        <v>239</v>
      </c>
      <c r="AZ1647" s="70">
        <v>1551.0</v>
      </c>
    </row>
    <row r="1648" ht="22.5" customHeight="1">
      <c r="A1648" s="70" t="str">
        <f t="shared" si="1"/>
        <v>Excluded</v>
      </c>
      <c r="B1648" s="70">
        <f t="shared" si="2"/>
        <v>0</v>
      </c>
      <c r="C1648" s="70">
        <v>0.0</v>
      </c>
      <c r="D1648" s="70">
        <v>0.0</v>
      </c>
      <c r="E1648" s="70">
        <v>0.0</v>
      </c>
      <c r="F1648" s="70">
        <v>0.0</v>
      </c>
      <c r="G1648" s="70">
        <v>0.0</v>
      </c>
      <c r="H1648" s="70" t="s">
        <v>16390</v>
      </c>
      <c r="I1648" s="70">
        <v>1798.0</v>
      </c>
      <c r="K1648" s="70" t="s">
        <v>10597</v>
      </c>
      <c r="L1648" s="70" t="s">
        <v>16288</v>
      </c>
      <c r="N1648" s="70" t="s">
        <v>10379</v>
      </c>
      <c r="P1648" s="76">
        <v>45281.0</v>
      </c>
      <c r="U1648" s="70" t="s">
        <v>239</v>
      </c>
      <c r="X1648" s="70" t="s">
        <v>16290</v>
      </c>
      <c r="Z1648" s="75" t="s">
        <v>16391</v>
      </c>
      <c r="AF1648" s="70" t="s">
        <v>239</v>
      </c>
      <c r="AZ1648" s="70">
        <v>1581.0</v>
      </c>
    </row>
    <row r="1649" ht="22.5" customHeight="1">
      <c r="A1649" s="70" t="str">
        <f t="shared" si="1"/>
        <v>Excluded</v>
      </c>
      <c r="B1649" s="70">
        <f t="shared" si="2"/>
        <v>0</v>
      </c>
      <c r="C1649" s="70">
        <v>0.0</v>
      </c>
      <c r="D1649" s="70">
        <v>0.0</v>
      </c>
      <c r="E1649" s="70">
        <v>0.0</v>
      </c>
      <c r="F1649" s="70">
        <v>0.0</v>
      </c>
      <c r="G1649" s="70">
        <v>0.0</v>
      </c>
      <c r="H1649" s="70" t="s">
        <v>16332</v>
      </c>
      <c r="I1649" s="70">
        <v>1781.0</v>
      </c>
      <c r="K1649" s="70" t="s">
        <v>10597</v>
      </c>
      <c r="L1649" s="70" t="s">
        <v>13232</v>
      </c>
      <c r="P1649" s="76">
        <v>45729.0</v>
      </c>
      <c r="U1649" s="70" t="s">
        <v>239</v>
      </c>
      <c r="X1649" s="70" t="s">
        <v>13236</v>
      </c>
      <c r="Z1649" s="75" t="s">
        <v>16333</v>
      </c>
      <c r="AF1649" s="70" t="s">
        <v>239</v>
      </c>
      <c r="AZ1649" s="70">
        <v>1571.0</v>
      </c>
    </row>
    <row r="1650" ht="22.5" customHeight="1">
      <c r="A1650" s="70" t="str">
        <f t="shared" si="1"/>
        <v>Excluded</v>
      </c>
      <c r="B1650" s="70">
        <f t="shared" si="2"/>
        <v>0</v>
      </c>
      <c r="C1650" s="70">
        <v>0.0</v>
      </c>
      <c r="D1650" s="70">
        <v>0.0</v>
      </c>
      <c r="E1650" s="70">
        <v>0.0</v>
      </c>
      <c r="F1650" s="70">
        <v>0.0</v>
      </c>
      <c r="G1650" s="70">
        <v>0.0</v>
      </c>
      <c r="H1650" s="70" t="s">
        <v>13233</v>
      </c>
      <c r="I1650" s="70">
        <v>1379.0</v>
      </c>
      <c r="J1650" s="70" t="s">
        <v>13230</v>
      </c>
      <c r="K1650" s="70" t="s">
        <v>13231</v>
      </c>
      <c r="L1650" s="70" t="s">
        <v>13232</v>
      </c>
      <c r="P1650" s="76">
        <v>45729.0</v>
      </c>
      <c r="U1650" s="70" t="s">
        <v>239</v>
      </c>
      <c r="W1650" s="70" t="s">
        <v>13235</v>
      </c>
      <c r="X1650" s="70" t="s">
        <v>13236</v>
      </c>
      <c r="Z1650" s="75" t="s">
        <v>13237</v>
      </c>
      <c r="AA1650" s="70" t="s">
        <v>13238</v>
      </c>
      <c r="AE1650" s="70">
        <v>17.0</v>
      </c>
      <c r="AF1650" s="70" t="s">
        <v>239</v>
      </c>
      <c r="AW1650" s="70" t="s">
        <v>13239</v>
      </c>
      <c r="AZ1650" s="70">
        <v>831.0</v>
      </c>
    </row>
    <row r="1651" ht="22.5" customHeight="1">
      <c r="A1651" s="70" t="str">
        <f t="shared" si="1"/>
        <v>Excluded</v>
      </c>
      <c r="B1651" s="70">
        <f t="shared" si="2"/>
        <v>0</v>
      </c>
      <c r="C1651" s="70">
        <v>0.0</v>
      </c>
      <c r="D1651" s="70">
        <v>0.0</v>
      </c>
      <c r="E1651" s="70">
        <v>0.0</v>
      </c>
      <c r="F1651" s="70">
        <v>0.0</v>
      </c>
      <c r="G1651" s="70">
        <v>0.0</v>
      </c>
      <c r="H1651" s="70" t="s">
        <v>11963</v>
      </c>
      <c r="I1651" s="70">
        <v>1251.0</v>
      </c>
      <c r="J1651" s="70" t="s">
        <v>11959</v>
      </c>
      <c r="K1651" s="70" t="s">
        <v>11960</v>
      </c>
      <c r="L1651" s="70" t="s">
        <v>11961</v>
      </c>
      <c r="N1651" s="70" t="s">
        <v>11962</v>
      </c>
      <c r="P1651" s="77">
        <v>45139.0</v>
      </c>
      <c r="U1651" s="70" t="s">
        <v>239</v>
      </c>
      <c r="W1651" s="70" t="s">
        <v>11965</v>
      </c>
      <c r="X1651" s="70" t="s">
        <v>11966</v>
      </c>
      <c r="Z1651" s="75" t="s">
        <v>11967</v>
      </c>
      <c r="AA1651" s="70" t="s">
        <v>11968</v>
      </c>
      <c r="AC1651" s="70">
        <v>1.0</v>
      </c>
      <c r="AE1651" s="70">
        <v>23.0</v>
      </c>
      <c r="AF1651" s="70" t="s">
        <v>239</v>
      </c>
      <c r="AW1651" s="70" t="s">
        <v>11969</v>
      </c>
      <c r="AX1651" s="70">
        <v>0.0</v>
      </c>
      <c r="AY1651" s="70" t="s">
        <v>24</v>
      </c>
      <c r="AZ1651" s="70">
        <v>2922.0</v>
      </c>
    </row>
    <row r="1652" ht="22.5" customHeight="1">
      <c r="A1652" s="70" t="str">
        <f t="shared" si="1"/>
        <v>Excluded</v>
      </c>
      <c r="B1652" s="70">
        <f t="shared" si="2"/>
        <v>0</v>
      </c>
      <c r="C1652" s="70">
        <v>0.0</v>
      </c>
      <c r="D1652" s="70">
        <v>0.0</v>
      </c>
      <c r="E1652" s="70">
        <v>0.0</v>
      </c>
      <c r="F1652" s="70">
        <v>0.0</v>
      </c>
      <c r="G1652" s="70">
        <v>0.0</v>
      </c>
      <c r="H1652" s="70" t="s">
        <v>5233</v>
      </c>
      <c r="I1652" s="70">
        <v>489.0</v>
      </c>
      <c r="J1652" s="70" t="s">
        <v>5230</v>
      </c>
      <c r="K1652" s="70" t="s">
        <v>5231</v>
      </c>
      <c r="L1652" s="70" t="s">
        <v>5232</v>
      </c>
      <c r="P1652" s="76">
        <v>43087.0</v>
      </c>
      <c r="U1652" s="70" t="s">
        <v>239</v>
      </c>
      <c r="W1652" s="70" t="s">
        <v>5235</v>
      </c>
      <c r="X1652" s="70" t="s">
        <v>5236</v>
      </c>
      <c r="Z1652" s="75" t="s">
        <v>5237</v>
      </c>
      <c r="AA1652" s="70" t="s">
        <v>5238</v>
      </c>
      <c r="AC1652" s="70">
        <v>15.0</v>
      </c>
      <c r="AE1652" s="70">
        <v>28.0</v>
      </c>
      <c r="AF1652" s="70" t="s">
        <v>239</v>
      </c>
      <c r="AW1652" s="70" t="s">
        <v>5239</v>
      </c>
      <c r="AZ1652" s="70">
        <v>246.0</v>
      </c>
    </row>
    <row r="1653" ht="22.5" customHeight="1">
      <c r="A1653" s="70" t="str">
        <f t="shared" si="1"/>
        <v>Excluded</v>
      </c>
      <c r="B1653" s="70">
        <f t="shared" si="2"/>
        <v>0</v>
      </c>
      <c r="C1653" s="70">
        <v>0.0</v>
      </c>
      <c r="D1653" s="70">
        <v>0.0</v>
      </c>
      <c r="E1653" s="70">
        <v>0.0</v>
      </c>
      <c r="F1653" s="70">
        <v>0.0</v>
      </c>
      <c r="G1653" s="70">
        <v>0.0</v>
      </c>
      <c r="H1653" s="70" t="s">
        <v>5014</v>
      </c>
      <c r="I1653" s="70">
        <v>467.0</v>
      </c>
      <c r="J1653" s="70" t="s">
        <v>30529</v>
      </c>
      <c r="K1653" s="70" t="s">
        <v>5011</v>
      </c>
      <c r="L1653" s="70" t="s">
        <v>5012</v>
      </c>
      <c r="N1653" s="70" t="s">
        <v>5013</v>
      </c>
      <c r="P1653" s="77">
        <v>43808.0</v>
      </c>
      <c r="U1653" s="70" t="s">
        <v>239</v>
      </c>
      <c r="W1653" s="70" t="s">
        <v>30530</v>
      </c>
      <c r="X1653" s="70" t="s">
        <v>5017</v>
      </c>
      <c r="Z1653" s="75" t="s">
        <v>5018</v>
      </c>
      <c r="AA1653" s="70" t="s">
        <v>5019</v>
      </c>
      <c r="AC1653" s="70">
        <v>24.0</v>
      </c>
      <c r="AE1653" s="70">
        <v>39.0</v>
      </c>
      <c r="AF1653" s="70" t="s">
        <v>239</v>
      </c>
      <c r="AW1653" s="70" t="s">
        <v>5020</v>
      </c>
      <c r="AZ1653" s="70">
        <v>627.0</v>
      </c>
    </row>
    <row r="1654" ht="22.5" customHeight="1">
      <c r="A1654" s="70" t="str">
        <f t="shared" si="1"/>
        <v>Excluded</v>
      </c>
      <c r="B1654" s="70">
        <f t="shared" si="2"/>
        <v>0</v>
      </c>
      <c r="C1654" s="70">
        <v>0.0</v>
      </c>
      <c r="D1654" s="70">
        <v>0.0</v>
      </c>
      <c r="E1654" s="70">
        <v>0.0</v>
      </c>
      <c r="F1654" s="70">
        <v>0.0</v>
      </c>
      <c r="G1654" s="70">
        <v>0.0</v>
      </c>
      <c r="H1654" s="70" t="s">
        <v>7153</v>
      </c>
      <c r="I1654" s="70">
        <v>684.0</v>
      </c>
      <c r="J1654" s="70" t="s">
        <v>7151</v>
      </c>
      <c r="K1654" s="70" t="s">
        <v>7152</v>
      </c>
      <c r="L1654" s="70" t="s">
        <v>5012</v>
      </c>
      <c r="N1654" s="70" t="s">
        <v>5013</v>
      </c>
      <c r="P1654" s="77">
        <v>43808.0</v>
      </c>
      <c r="U1654" s="70" t="s">
        <v>239</v>
      </c>
      <c r="W1654" s="70" t="s">
        <v>7155</v>
      </c>
      <c r="X1654" s="70" t="s">
        <v>5017</v>
      </c>
      <c r="Z1654" s="75" t="s">
        <v>7156</v>
      </c>
      <c r="AA1654" s="70" t="s">
        <v>7157</v>
      </c>
      <c r="AC1654" s="70">
        <v>4.0</v>
      </c>
      <c r="AE1654" s="70">
        <v>37.0</v>
      </c>
      <c r="AF1654" s="70" t="s">
        <v>239</v>
      </c>
      <c r="AW1654" s="70" t="s">
        <v>7158</v>
      </c>
      <c r="AX1654" s="70">
        <v>0.0</v>
      </c>
      <c r="AY1654" s="70" t="s">
        <v>24</v>
      </c>
      <c r="AZ1654" s="70">
        <v>2894.0</v>
      </c>
    </row>
    <row r="1655" ht="22.5" customHeight="1">
      <c r="A1655" s="70" t="str">
        <f t="shared" si="1"/>
        <v>Excluded</v>
      </c>
      <c r="B1655" s="70">
        <f t="shared" si="2"/>
        <v>0</v>
      </c>
      <c r="C1655" s="70">
        <v>0.0</v>
      </c>
      <c r="D1655" s="70">
        <v>0.0</v>
      </c>
      <c r="E1655" s="70">
        <v>0.0</v>
      </c>
      <c r="F1655" s="70">
        <v>0.0</v>
      </c>
      <c r="G1655" s="70">
        <v>0.0</v>
      </c>
      <c r="H1655" s="70" t="s">
        <v>8561</v>
      </c>
      <c r="I1655" s="70">
        <v>831.0</v>
      </c>
      <c r="J1655" s="70" t="s">
        <v>30531</v>
      </c>
      <c r="K1655" s="70" t="s">
        <v>8559</v>
      </c>
      <c r="L1655" s="70" t="s">
        <v>30532</v>
      </c>
      <c r="N1655" s="70" t="s">
        <v>5013</v>
      </c>
      <c r="P1655" s="77">
        <v>44904.0</v>
      </c>
      <c r="U1655" s="70" t="s">
        <v>239</v>
      </c>
      <c r="W1655" s="70" t="s">
        <v>8563</v>
      </c>
      <c r="X1655" s="70" t="s">
        <v>8564</v>
      </c>
      <c r="Z1655" s="75" t="s">
        <v>8565</v>
      </c>
      <c r="AA1655" s="70" t="s">
        <v>8566</v>
      </c>
      <c r="AC1655" s="70">
        <v>1.0</v>
      </c>
      <c r="AE1655" s="70">
        <v>17.0</v>
      </c>
      <c r="AF1655" s="70" t="s">
        <v>239</v>
      </c>
      <c r="AW1655" s="70" t="s">
        <v>8567</v>
      </c>
      <c r="AZ1655" s="70">
        <v>743.0</v>
      </c>
    </row>
    <row r="1656" ht="22.5" customHeight="1">
      <c r="A1656" s="70" t="str">
        <f t="shared" si="1"/>
        <v>Excluded</v>
      </c>
      <c r="B1656" s="70">
        <f t="shared" si="2"/>
        <v>0</v>
      </c>
      <c r="C1656" s="70">
        <v>0.0</v>
      </c>
      <c r="D1656" s="70">
        <v>0.0</v>
      </c>
      <c r="E1656" s="70">
        <v>0.0</v>
      </c>
      <c r="F1656" s="70">
        <v>0.0</v>
      </c>
      <c r="G1656" s="70">
        <v>0.0</v>
      </c>
      <c r="H1656" s="70" t="s">
        <v>12606</v>
      </c>
      <c r="I1656" s="70">
        <v>1315.0</v>
      </c>
      <c r="J1656" s="70" t="s">
        <v>12603</v>
      </c>
      <c r="K1656" s="70" t="s">
        <v>12604</v>
      </c>
      <c r="L1656" s="70" t="s">
        <v>12605</v>
      </c>
      <c r="P1656" s="76">
        <v>45726.0</v>
      </c>
      <c r="U1656" s="70" t="s">
        <v>239</v>
      </c>
      <c r="W1656" s="70" t="s">
        <v>30533</v>
      </c>
      <c r="X1656" s="70" t="s">
        <v>12609</v>
      </c>
      <c r="Y1656" s="70" t="s">
        <v>30534</v>
      </c>
      <c r="Z1656" s="75" t="s">
        <v>12611</v>
      </c>
      <c r="AA1656" s="70" t="s">
        <v>12612</v>
      </c>
      <c r="AE1656" s="70">
        <v>17.0</v>
      </c>
      <c r="AF1656" s="70" t="s">
        <v>239</v>
      </c>
      <c r="AW1656" s="70" t="s">
        <v>12613</v>
      </c>
      <c r="AZ1656" s="70">
        <v>316.0</v>
      </c>
    </row>
    <row r="1657" ht="22.5" customHeight="1">
      <c r="A1657" s="70" t="str">
        <f t="shared" si="1"/>
        <v>Excluded</v>
      </c>
      <c r="B1657" s="70">
        <f t="shared" si="2"/>
        <v>0</v>
      </c>
      <c r="C1657" s="70">
        <v>0.0</v>
      </c>
      <c r="D1657" s="70">
        <v>0.0</v>
      </c>
      <c r="E1657" s="70">
        <v>0.0</v>
      </c>
      <c r="F1657" s="70">
        <v>0.0</v>
      </c>
      <c r="G1657" s="70">
        <v>0.0</v>
      </c>
      <c r="H1657" s="70" t="s">
        <v>5284</v>
      </c>
      <c r="I1657" s="70">
        <v>494.0</v>
      </c>
      <c r="J1657" s="70" t="s">
        <v>5281</v>
      </c>
      <c r="K1657" s="70" t="s">
        <v>5282</v>
      </c>
      <c r="L1657" s="70" t="s">
        <v>5283</v>
      </c>
      <c r="P1657" s="76">
        <v>44180.0</v>
      </c>
      <c r="U1657" s="70" t="s">
        <v>239</v>
      </c>
      <c r="W1657" s="70" t="s">
        <v>5286</v>
      </c>
      <c r="X1657" s="70" t="s">
        <v>5287</v>
      </c>
      <c r="Z1657" s="75" t="s">
        <v>5288</v>
      </c>
      <c r="AA1657" s="70" t="s">
        <v>5289</v>
      </c>
      <c r="AC1657" s="70">
        <v>15.0</v>
      </c>
      <c r="AE1657" s="70">
        <v>39.0</v>
      </c>
      <c r="AF1657" s="70" t="s">
        <v>239</v>
      </c>
      <c r="AW1657" s="70" t="s">
        <v>5290</v>
      </c>
      <c r="AX1657" s="70">
        <v>0.0</v>
      </c>
      <c r="AY1657" s="70" t="s">
        <v>24</v>
      </c>
      <c r="AZ1657" s="70">
        <v>2563.0</v>
      </c>
    </row>
    <row r="1658" ht="22.5" customHeight="1">
      <c r="A1658" s="70" t="str">
        <f t="shared" si="1"/>
        <v>Excluded</v>
      </c>
      <c r="B1658" s="70">
        <f t="shared" si="2"/>
        <v>0</v>
      </c>
      <c r="C1658" s="70">
        <v>0.0</v>
      </c>
      <c r="D1658" s="70">
        <v>0.0</v>
      </c>
      <c r="E1658" s="70">
        <v>0.0</v>
      </c>
      <c r="F1658" s="70">
        <v>0.0</v>
      </c>
      <c r="G1658" s="70">
        <v>0.0</v>
      </c>
      <c r="H1658" s="70" t="s">
        <v>10476</v>
      </c>
      <c r="I1658" s="70">
        <v>1030.0</v>
      </c>
      <c r="J1658" s="70" t="s">
        <v>10474</v>
      </c>
      <c r="K1658" s="70" t="s">
        <v>10475</v>
      </c>
      <c r="L1658" s="70" t="s">
        <v>5283</v>
      </c>
      <c r="P1658" s="76">
        <v>44180.0</v>
      </c>
      <c r="U1658" s="70" t="s">
        <v>239</v>
      </c>
      <c r="W1658" s="70" t="s">
        <v>10478</v>
      </c>
      <c r="X1658" s="70" t="s">
        <v>5287</v>
      </c>
      <c r="Z1658" s="75" t="s">
        <v>10479</v>
      </c>
      <c r="AA1658" s="70" t="s">
        <v>30535</v>
      </c>
      <c r="AE1658" s="70">
        <v>17.0</v>
      </c>
      <c r="AF1658" s="70" t="s">
        <v>239</v>
      </c>
      <c r="AW1658" s="70" t="s">
        <v>10481</v>
      </c>
      <c r="AX1658" s="70">
        <v>0.0</v>
      </c>
      <c r="AY1658" s="70" t="s">
        <v>24</v>
      </c>
      <c r="AZ1658" s="70">
        <v>1711.0</v>
      </c>
    </row>
    <row r="1659" ht="22.5" customHeight="1">
      <c r="A1659" s="70" t="str">
        <f t="shared" si="1"/>
        <v>Excluded</v>
      </c>
      <c r="B1659" s="70">
        <f t="shared" si="2"/>
        <v>0</v>
      </c>
      <c r="C1659" s="70">
        <v>0.0</v>
      </c>
      <c r="D1659" s="70">
        <v>0.0</v>
      </c>
      <c r="E1659" s="70">
        <v>0.0</v>
      </c>
      <c r="F1659" s="70">
        <v>0.0</v>
      </c>
      <c r="G1659" s="70">
        <v>0.0</v>
      </c>
      <c r="H1659" s="70" t="s">
        <v>10944</v>
      </c>
      <c r="I1659" s="70">
        <v>1130.0</v>
      </c>
      <c r="K1659" s="70" t="s">
        <v>10942</v>
      </c>
      <c r="L1659" s="70" t="s">
        <v>10943</v>
      </c>
      <c r="P1659" s="76">
        <v>43482.0</v>
      </c>
      <c r="U1659" s="70" t="s">
        <v>239</v>
      </c>
      <c r="W1659" s="70" t="s">
        <v>10945</v>
      </c>
      <c r="X1659" s="70" t="s">
        <v>10946</v>
      </c>
      <c r="Z1659" s="75" t="s">
        <v>10947</v>
      </c>
      <c r="AF1659" s="70" t="s">
        <v>239</v>
      </c>
      <c r="AZ1659" s="70">
        <v>1155.0</v>
      </c>
    </row>
    <row r="1660" ht="22.5" customHeight="1">
      <c r="A1660" s="70" t="str">
        <f t="shared" si="1"/>
        <v>Excluded</v>
      </c>
      <c r="B1660" s="70">
        <f t="shared" si="2"/>
        <v>0</v>
      </c>
      <c r="C1660" s="70">
        <v>0.0</v>
      </c>
      <c r="D1660" s="70">
        <v>0.0</v>
      </c>
      <c r="E1660" s="70">
        <v>0.0</v>
      </c>
      <c r="F1660" s="70">
        <v>0.0</v>
      </c>
      <c r="G1660" s="70">
        <v>0.0</v>
      </c>
      <c r="H1660" s="70" t="s">
        <v>15363</v>
      </c>
      <c r="I1660" s="70">
        <v>1603.0</v>
      </c>
      <c r="J1660" s="70" t="s">
        <v>15360</v>
      </c>
      <c r="K1660" s="70" t="s">
        <v>15361</v>
      </c>
      <c r="L1660" s="70" t="s">
        <v>15362</v>
      </c>
      <c r="P1660" s="76">
        <v>45680.0</v>
      </c>
      <c r="U1660" s="70" t="s">
        <v>239</v>
      </c>
      <c r="W1660" s="70" t="s">
        <v>15365</v>
      </c>
      <c r="X1660" s="70" t="s">
        <v>15366</v>
      </c>
      <c r="Z1660" s="75" t="s">
        <v>15367</v>
      </c>
      <c r="AA1660" s="70" t="s">
        <v>15368</v>
      </c>
      <c r="AE1660" s="70">
        <v>70.0</v>
      </c>
      <c r="AF1660" s="70" t="s">
        <v>239</v>
      </c>
      <c r="AW1660" s="70" t="s">
        <v>15369</v>
      </c>
      <c r="AZ1660" s="70">
        <v>473.0</v>
      </c>
    </row>
    <row r="1661" ht="22.5" customHeight="1">
      <c r="A1661" s="70" t="str">
        <f t="shared" si="1"/>
        <v>Excluded</v>
      </c>
      <c r="B1661" s="70">
        <f t="shared" si="2"/>
        <v>0</v>
      </c>
      <c r="C1661" s="70">
        <v>0.0</v>
      </c>
      <c r="D1661" s="70">
        <v>0.0</v>
      </c>
      <c r="E1661" s="70">
        <v>0.0</v>
      </c>
      <c r="F1661" s="70">
        <v>0.0</v>
      </c>
      <c r="G1661" s="70">
        <v>0.0</v>
      </c>
      <c r="H1661" s="70" t="s">
        <v>13035</v>
      </c>
      <c r="I1661" s="70">
        <v>1359.0</v>
      </c>
      <c r="J1661" s="70" t="s">
        <v>13032</v>
      </c>
      <c r="K1661" s="70" t="s">
        <v>13033</v>
      </c>
      <c r="L1661" s="70" t="s">
        <v>13034</v>
      </c>
      <c r="P1661" s="76">
        <v>45706.0</v>
      </c>
      <c r="U1661" s="70" t="s">
        <v>239</v>
      </c>
      <c r="W1661" s="70" t="s">
        <v>13037</v>
      </c>
      <c r="X1661" s="70" t="s">
        <v>13038</v>
      </c>
      <c r="Z1661" s="75" t="s">
        <v>13039</v>
      </c>
      <c r="AA1661" s="70" t="s">
        <v>13040</v>
      </c>
      <c r="AE1661" s="70">
        <v>19.0</v>
      </c>
      <c r="AF1661" s="70" t="s">
        <v>239</v>
      </c>
      <c r="AW1661" s="70" t="s">
        <v>13041</v>
      </c>
      <c r="AZ1661" s="70">
        <v>1062.0</v>
      </c>
    </row>
    <row r="1662" ht="22.5" customHeight="1">
      <c r="A1662" s="70" t="str">
        <f t="shared" si="1"/>
        <v>Excluded</v>
      </c>
      <c r="B1662" s="70">
        <f t="shared" si="2"/>
        <v>0</v>
      </c>
      <c r="C1662" s="70">
        <v>0.0</v>
      </c>
      <c r="D1662" s="70">
        <v>0.0</v>
      </c>
      <c r="E1662" s="70">
        <v>0.0</v>
      </c>
      <c r="F1662" s="70">
        <v>0.0</v>
      </c>
      <c r="G1662" s="70">
        <v>0.0</v>
      </c>
      <c r="H1662" s="70" t="s">
        <v>15571</v>
      </c>
      <c r="I1662" s="70">
        <v>1625.0</v>
      </c>
      <c r="J1662" s="70" t="s">
        <v>15567</v>
      </c>
      <c r="K1662" s="70" t="s">
        <v>15568</v>
      </c>
      <c r="L1662" s="70" t="s">
        <v>15569</v>
      </c>
      <c r="N1662" s="70" t="s">
        <v>15570</v>
      </c>
      <c r="P1662" s="76">
        <v>45625.0</v>
      </c>
      <c r="U1662" s="70" t="s">
        <v>239</v>
      </c>
      <c r="W1662" s="70" t="s">
        <v>15573</v>
      </c>
      <c r="X1662" s="70" t="s">
        <v>15574</v>
      </c>
      <c r="Z1662" s="75" t="s">
        <v>15575</v>
      </c>
      <c r="AE1662" s="70">
        <v>12.0</v>
      </c>
      <c r="AF1662" s="70" t="s">
        <v>239</v>
      </c>
      <c r="AW1662" s="70" t="s">
        <v>15576</v>
      </c>
      <c r="AZ1662" s="70">
        <v>588.0</v>
      </c>
    </row>
    <row r="1663" ht="22.5" customHeight="1">
      <c r="A1663" s="70" t="str">
        <f t="shared" si="1"/>
        <v>Excluded</v>
      </c>
      <c r="B1663" s="70">
        <f t="shared" si="2"/>
        <v>0</v>
      </c>
      <c r="C1663" s="70">
        <v>0.0</v>
      </c>
      <c r="D1663" s="70">
        <v>0.0</v>
      </c>
      <c r="E1663" s="70">
        <v>0.0</v>
      </c>
      <c r="F1663" s="70">
        <v>0.0</v>
      </c>
      <c r="G1663" s="70">
        <v>0.0</v>
      </c>
      <c r="H1663" s="70" t="s">
        <v>10232</v>
      </c>
      <c r="I1663" s="70">
        <v>1005.0</v>
      </c>
      <c r="J1663" s="70" t="s">
        <v>10229</v>
      </c>
      <c r="K1663" s="70" t="s">
        <v>10230</v>
      </c>
      <c r="L1663" s="70" t="s">
        <v>10231</v>
      </c>
      <c r="P1663" s="77">
        <v>44931.0</v>
      </c>
      <c r="U1663" s="70" t="s">
        <v>239</v>
      </c>
      <c r="W1663" s="70" t="s">
        <v>10234</v>
      </c>
      <c r="X1663" s="70" t="s">
        <v>10235</v>
      </c>
      <c r="Z1663" s="75" t="s">
        <v>10236</v>
      </c>
      <c r="AA1663" s="70" t="s">
        <v>10237</v>
      </c>
      <c r="AE1663" s="70">
        <v>17.0</v>
      </c>
      <c r="AF1663" s="70" t="s">
        <v>239</v>
      </c>
      <c r="AW1663" s="70" t="s">
        <v>10238</v>
      </c>
      <c r="AZ1663" s="70">
        <v>818.0</v>
      </c>
    </row>
    <row r="1664" ht="22.5" customHeight="1">
      <c r="A1664" s="70" t="str">
        <f t="shared" si="1"/>
        <v>Excluded</v>
      </c>
      <c r="B1664" s="70">
        <f t="shared" si="2"/>
        <v>0</v>
      </c>
      <c r="C1664" s="70">
        <v>0.0</v>
      </c>
      <c r="D1664" s="70">
        <v>0.0</v>
      </c>
      <c r="E1664" s="70">
        <v>0.0</v>
      </c>
      <c r="F1664" s="70">
        <v>0.0</v>
      </c>
      <c r="G1664" s="70">
        <v>0.0</v>
      </c>
      <c r="H1664" s="70" t="s">
        <v>8133</v>
      </c>
      <c r="I1664" s="70">
        <v>786.0</v>
      </c>
      <c r="J1664" s="70" t="s">
        <v>8130</v>
      </c>
      <c r="K1664" s="70" t="s">
        <v>8131</v>
      </c>
      <c r="L1664" s="70" t="s">
        <v>8132</v>
      </c>
      <c r="P1664" s="77">
        <v>44228.0</v>
      </c>
      <c r="U1664" s="70" t="s">
        <v>239</v>
      </c>
      <c r="W1664" s="70" t="s">
        <v>8135</v>
      </c>
      <c r="X1664" s="70" t="s">
        <v>8136</v>
      </c>
      <c r="Y1664" s="70" t="s">
        <v>30536</v>
      </c>
      <c r="Z1664" s="75" t="s">
        <v>8138</v>
      </c>
      <c r="AA1664" s="70" t="s">
        <v>8139</v>
      </c>
      <c r="AC1664" s="70">
        <v>2.0</v>
      </c>
      <c r="AE1664" s="70">
        <v>15.0</v>
      </c>
      <c r="AF1664" s="70" t="s">
        <v>239</v>
      </c>
      <c r="AW1664" s="70" t="s">
        <v>8140</v>
      </c>
      <c r="AZ1664" s="70">
        <v>703.0</v>
      </c>
    </row>
    <row r="1665" ht="22.5" customHeight="1">
      <c r="A1665" s="70" t="str">
        <f t="shared" si="1"/>
        <v>Excluded</v>
      </c>
      <c r="B1665" s="70">
        <f t="shared" si="2"/>
        <v>0</v>
      </c>
      <c r="C1665" s="70">
        <v>0.0</v>
      </c>
      <c r="D1665" s="70">
        <v>0.0</v>
      </c>
      <c r="E1665" s="70">
        <v>0.0</v>
      </c>
      <c r="F1665" s="70">
        <v>0.0</v>
      </c>
      <c r="G1665" s="70">
        <v>0.0</v>
      </c>
      <c r="H1665" s="70" t="s">
        <v>26895</v>
      </c>
      <c r="I1665" s="70">
        <v>2911.0</v>
      </c>
      <c r="J1665" s="70" t="s">
        <v>26893</v>
      </c>
      <c r="K1665" s="70" t="s">
        <v>26894</v>
      </c>
      <c r="W1665" s="70" t="s">
        <v>30537</v>
      </c>
      <c r="AA1665" s="70" t="s">
        <v>26897</v>
      </c>
      <c r="AI1665" s="70" t="s">
        <v>26898</v>
      </c>
      <c r="AJ1665" s="70" t="s">
        <v>26899</v>
      </c>
      <c r="AK1665" s="70">
        <v>2022.0</v>
      </c>
      <c r="AL1665" s="70" t="s">
        <v>26900</v>
      </c>
      <c r="AN1665" s="70">
        <v>340.0</v>
      </c>
      <c r="AO1665" s="70">
        <v>343.0</v>
      </c>
      <c r="AP1665" s="70">
        <v>3.0</v>
      </c>
      <c r="AQ1665" s="70">
        <v>0.0</v>
      </c>
      <c r="AR1665" s="75" t="s">
        <v>26901</v>
      </c>
      <c r="AS1665" s="70" t="s">
        <v>22525</v>
      </c>
      <c r="AU1665" s="70" t="s">
        <v>237</v>
      </c>
      <c r="AV1665" s="70" t="s">
        <v>26902</v>
      </c>
      <c r="AW1665" s="70" t="s">
        <v>26903</v>
      </c>
      <c r="AZ1665" s="70">
        <v>692.0</v>
      </c>
    </row>
    <row r="1666" ht="22.5" customHeight="1">
      <c r="A1666" s="70" t="str">
        <f t="shared" si="1"/>
        <v>Excluded</v>
      </c>
      <c r="B1666" s="70">
        <f t="shared" si="2"/>
        <v>0</v>
      </c>
      <c r="C1666" s="70">
        <v>0.0</v>
      </c>
      <c r="D1666" s="70">
        <v>0.0</v>
      </c>
      <c r="E1666" s="70">
        <v>0.0</v>
      </c>
      <c r="F1666" s="70">
        <v>0.0</v>
      </c>
      <c r="G1666" s="70">
        <v>0.0</v>
      </c>
      <c r="H1666" s="70" t="s">
        <v>7802</v>
      </c>
      <c r="I1666" s="70">
        <v>751.0</v>
      </c>
      <c r="J1666" s="70" t="s">
        <v>7799</v>
      </c>
      <c r="K1666" s="70" t="s">
        <v>7800</v>
      </c>
      <c r="L1666" s="70" t="s">
        <v>7801</v>
      </c>
      <c r="P1666" s="77">
        <v>44477.0</v>
      </c>
      <c r="U1666" s="70" t="s">
        <v>239</v>
      </c>
      <c r="W1666" s="70" t="s">
        <v>7804</v>
      </c>
      <c r="X1666" s="70" t="s">
        <v>7805</v>
      </c>
      <c r="Z1666" s="75" t="s">
        <v>7806</v>
      </c>
      <c r="AA1666" s="70" t="s">
        <v>7807</v>
      </c>
      <c r="AC1666" s="70">
        <v>3.0</v>
      </c>
      <c r="AE1666" s="70">
        <v>18.0</v>
      </c>
      <c r="AF1666" s="70" t="s">
        <v>239</v>
      </c>
      <c r="AW1666" s="70" t="s">
        <v>7808</v>
      </c>
      <c r="AX1666" s="70">
        <v>0.0</v>
      </c>
      <c r="AY1666" s="70" t="s">
        <v>24</v>
      </c>
      <c r="AZ1666" s="70">
        <v>2900.0</v>
      </c>
    </row>
    <row r="1667" ht="22.5" customHeight="1">
      <c r="A1667" s="70" t="str">
        <f t="shared" si="1"/>
        <v>Excluded</v>
      </c>
      <c r="B1667" s="70">
        <f t="shared" si="2"/>
        <v>0</v>
      </c>
      <c r="C1667" s="70">
        <v>0.0</v>
      </c>
      <c r="D1667" s="70">
        <v>0.0</v>
      </c>
      <c r="E1667" s="70">
        <v>0.0</v>
      </c>
      <c r="F1667" s="70">
        <v>0.0</v>
      </c>
      <c r="G1667" s="70">
        <v>0.0</v>
      </c>
      <c r="H1667" s="70" t="s">
        <v>6526</v>
      </c>
      <c r="I1667" s="70">
        <v>620.0</v>
      </c>
      <c r="J1667" s="70" t="s">
        <v>6523</v>
      </c>
      <c r="K1667" s="70" t="s">
        <v>6524</v>
      </c>
      <c r="L1667" s="70" t="s">
        <v>6525</v>
      </c>
      <c r="P1667" s="76">
        <v>44834.0</v>
      </c>
      <c r="U1667" s="70" t="s">
        <v>239</v>
      </c>
      <c r="W1667" s="70" t="s">
        <v>30538</v>
      </c>
      <c r="X1667" s="70" t="s">
        <v>6529</v>
      </c>
      <c r="Z1667" s="75" t="s">
        <v>6530</v>
      </c>
      <c r="AA1667" s="70" t="s">
        <v>6531</v>
      </c>
      <c r="AC1667" s="70">
        <v>6.0</v>
      </c>
      <c r="AE1667" s="70">
        <v>18.0</v>
      </c>
      <c r="AF1667" s="70" t="s">
        <v>239</v>
      </c>
      <c r="AW1667" s="70" t="s">
        <v>6532</v>
      </c>
      <c r="AX1667" s="70">
        <v>0.0</v>
      </c>
      <c r="AY1667" s="70" t="s">
        <v>24</v>
      </c>
      <c r="AZ1667" s="70">
        <v>2532.0</v>
      </c>
    </row>
    <row r="1668" ht="22.5" customHeight="1">
      <c r="A1668" s="70" t="str">
        <f t="shared" si="1"/>
        <v>Excluded</v>
      </c>
      <c r="B1668" s="70">
        <f t="shared" si="2"/>
        <v>0</v>
      </c>
      <c r="C1668" s="70">
        <v>0.0</v>
      </c>
      <c r="D1668" s="70">
        <v>0.0</v>
      </c>
      <c r="E1668" s="70">
        <v>0.0</v>
      </c>
      <c r="F1668" s="70">
        <v>0.0</v>
      </c>
      <c r="G1668" s="70">
        <v>0.0</v>
      </c>
      <c r="H1668" s="70" t="s">
        <v>7372</v>
      </c>
      <c r="I1668" s="70">
        <v>707.0</v>
      </c>
      <c r="J1668" s="70" t="s">
        <v>7370</v>
      </c>
      <c r="K1668" s="70" t="s">
        <v>7371</v>
      </c>
      <c r="L1668" s="70" t="s">
        <v>6525</v>
      </c>
      <c r="P1668" s="76">
        <v>44834.0</v>
      </c>
      <c r="U1668" s="70" t="s">
        <v>239</v>
      </c>
      <c r="W1668" s="70" t="s">
        <v>30539</v>
      </c>
      <c r="X1668" s="70" t="s">
        <v>6529</v>
      </c>
      <c r="Z1668" s="75" t="s">
        <v>7374</v>
      </c>
      <c r="AA1668" s="70" t="s">
        <v>7375</v>
      </c>
      <c r="AC1668" s="70">
        <v>3.0</v>
      </c>
      <c r="AE1668" s="70">
        <v>20.0</v>
      </c>
      <c r="AF1668" s="70" t="s">
        <v>239</v>
      </c>
      <c r="AW1668" s="70" t="s">
        <v>7376</v>
      </c>
      <c r="AX1668" s="70">
        <v>0.0</v>
      </c>
      <c r="AY1668" s="70" t="s">
        <v>24</v>
      </c>
      <c r="AZ1668" s="70">
        <v>2507.0</v>
      </c>
    </row>
    <row r="1669" ht="22.5" customHeight="1">
      <c r="A1669" s="70" t="str">
        <f t="shared" si="1"/>
        <v>Excluded</v>
      </c>
      <c r="B1669" s="70">
        <f t="shared" si="2"/>
        <v>0</v>
      </c>
      <c r="C1669" s="70">
        <v>0.0</v>
      </c>
      <c r="D1669" s="70">
        <v>0.0</v>
      </c>
      <c r="E1669" s="70">
        <v>0.0</v>
      </c>
      <c r="F1669" s="70">
        <v>0.0</v>
      </c>
      <c r="G1669" s="70">
        <v>0.0</v>
      </c>
      <c r="H1669" s="70" t="s">
        <v>11462</v>
      </c>
      <c r="I1669" s="70">
        <v>1201.0</v>
      </c>
      <c r="J1669" s="70" t="s">
        <v>11459</v>
      </c>
      <c r="K1669" s="70" t="s">
        <v>11460</v>
      </c>
      <c r="L1669" s="70" t="s">
        <v>11461</v>
      </c>
      <c r="P1669" s="76">
        <v>45275.0</v>
      </c>
      <c r="U1669" s="70" t="s">
        <v>239</v>
      </c>
      <c r="W1669" s="70" t="s">
        <v>11464</v>
      </c>
      <c r="X1669" s="70" t="s">
        <v>11465</v>
      </c>
      <c r="Z1669" s="75" t="s">
        <v>11466</v>
      </c>
      <c r="AA1669" s="70" t="s">
        <v>11467</v>
      </c>
      <c r="AC1669" s="70">
        <v>3.0</v>
      </c>
      <c r="AE1669" s="70">
        <v>28.0</v>
      </c>
      <c r="AF1669" s="70" t="s">
        <v>239</v>
      </c>
      <c r="AW1669" s="70" t="s">
        <v>11468</v>
      </c>
      <c r="AX1669" s="70">
        <v>0.0</v>
      </c>
      <c r="AY1669" s="70" t="s">
        <v>24</v>
      </c>
      <c r="AZ1669" s="70">
        <v>2363.0</v>
      </c>
    </row>
    <row r="1670" ht="22.5" customHeight="1">
      <c r="A1670" s="70" t="str">
        <f t="shared" si="1"/>
        <v>Excluded</v>
      </c>
      <c r="B1670" s="70">
        <f t="shared" si="2"/>
        <v>0</v>
      </c>
      <c r="C1670" s="70">
        <v>0.0</v>
      </c>
      <c r="D1670" s="70">
        <v>0.0</v>
      </c>
      <c r="E1670" s="70">
        <v>0.0</v>
      </c>
      <c r="F1670" s="70">
        <v>0.0</v>
      </c>
      <c r="G1670" s="70">
        <v>0.0</v>
      </c>
      <c r="H1670" s="70" t="s">
        <v>11953</v>
      </c>
      <c r="I1670" s="70">
        <v>1250.0</v>
      </c>
      <c r="J1670" s="70" t="s">
        <v>11951</v>
      </c>
      <c r="K1670" s="70" t="s">
        <v>11952</v>
      </c>
      <c r="L1670" s="70" t="s">
        <v>11461</v>
      </c>
      <c r="P1670" s="76">
        <v>45275.0</v>
      </c>
      <c r="U1670" s="70" t="s">
        <v>239</v>
      </c>
      <c r="W1670" s="70" t="s">
        <v>11955</v>
      </c>
      <c r="X1670" s="70" t="s">
        <v>11465</v>
      </c>
      <c r="Z1670" s="75" t="s">
        <v>11956</v>
      </c>
      <c r="AA1670" s="70" t="s">
        <v>11957</v>
      </c>
      <c r="AC1670" s="70">
        <v>1.0</v>
      </c>
      <c r="AE1670" s="70">
        <v>25.0</v>
      </c>
      <c r="AF1670" s="70" t="s">
        <v>239</v>
      </c>
      <c r="AW1670" s="70" t="s">
        <v>11958</v>
      </c>
      <c r="AZ1670" s="70">
        <v>371.0</v>
      </c>
    </row>
    <row r="1671" ht="22.5" customHeight="1">
      <c r="A1671" s="70" t="str">
        <f t="shared" si="1"/>
        <v>Excluded</v>
      </c>
      <c r="B1671" s="70">
        <f t="shared" si="2"/>
        <v>0</v>
      </c>
      <c r="C1671" s="70">
        <v>0.0</v>
      </c>
      <c r="D1671" s="70">
        <v>0.0</v>
      </c>
      <c r="E1671" s="70">
        <v>0.0</v>
      </c>
      <c r="F1671" s="70">
        <v>0.0</v>
      </c>
      <c r="G1671" s="70">
        <v>0.0</v>
      </c>
      <c r="H1671" s="70" t="s">
        <v>11670</v>
      </c>
      <c r="I1671" s="70">
        <v>1222.0</v>
      </c>
      <c r="J1671" s="70" t="s">
        <v>11666</v>
      </c>
      <c r="K1671" s="70" t="s">
        <v>11667</v>
      </c>
      <c r="L1671" s="70" t="s">
        <v>11668</v>
      </c>
      <c r="N1671" s="70" t="s">
        <v>11669</v>
      </c>
      <c r="P1671" s="76">
        <v>45225.0</v>
      </c>
      <c r="U1671" s="70" t="s">
        <v>239</v>
      </c>
      <c r="W1671" s="70" t="s">
        <v>11672</v>
      </c>
      <c r="X1671" s="70" t="s">
        <v>11673</v>
      </c>
      <c r="Z1671" s="75" t="s">
        <v>11674</v>
      </c>
      <c r="AC1671" s="70">
        <v>2.0</v>
      </c>
      <c r="AE1671" s="70">
        <v>84.0</v>
      </c>
      <c r="AF1671" s="70" t="s">
        <v>239</v>
      </c>
      <c r="AW1671" s="70" t="s">
        <v>11675</v>
      </c>
      <c r="AX1671" s="70">
        <v>0.0</v>
      </c>
      <c r="AY1671" s="70" t="s">
        <v>24</v>
      </c>
      <c r="AZ1671" s="70">
        <v>2176.0</v>
      </c>
    </row>
    <row r="1672" ht="22.5" customHeight="1">
      <c r="A1672" s="70" t="str">
        <f t="shared" si="1"/>
        <v>Excluded</v>
      </c>
      <c r="B1672" s="70">
        <f t="shared" si="2"/>
        <v>0</v>
      </c>
      <c r="C1672" s="70">
        <v>0.0</v>
      </c>
      <c r="D1672" s="70">
        <v>0.0</v>
      </c>
      <c r="E1672" s="70">
        <v>0.0</v>
      </c>
      <c r="F1672" s="70">
        <v>0.0</v>
      </c>
      <c r="G1672" s="70">
        <v>0.0</v>
      </c>
      <c r="H1672" s="70" t="s">
        <v>14785</v>
      </c>
      <c r="I1672" s="70">
        <v>1541.0</v>
      </c>
      <c r="J1672" s="70" t="s">
        <v>14782</v>
      </c>
      <c r="K1672" s="70" t="s">
        <v>14783</v>
      </c>
      <c r="L1672" s="70" t="s">
        <v>14784</v>
      </c>
      <c r="N1672" s="70" t="s">
        <v>11669</v>
      </c>
      <c r="P1672" s="76">
        <v>45624.0</v>
      </c>
      <c r="U1672" s="70" t="s">
        <v>239</v>
      </c>
      <c r="W1672" s="70" t="s">
        <v>30540</v>
      </c>
      <c r="X1672" s="70" t="s">
        <v>14788</v>
      </c>
      <c r="Z1672" s="75" t="s">
        <v>14789</v>
      </c>
      <c r="AA1672" s="70" t="s">
        <v>14790</v>
      </c>
      <c r="AE1672" s="70">
        <v>37.0</v>
      </c>
      <c r="AF1672" s="70" t="s">
        <v>239</v>
      </c>
      <c r="AW1672" s="70" t="s">
        <v>14791</v>
      </c>
      <c r="AZ1672" s="70">
        <v>346.0</v>
      </c>
    </row>
    <row r="1673" ht="22.5" customHeight="1">
      <c r="A1673" s="70" t="str">
        <f t="shared" si="1"/>
        <v>Excluded</v>
      </c>
      <c r="B1673" s="70">
        <f t="shared" si="2"/>
        <v>0</v>
      </c>
      <c r="C1673" s="70">
        <v>0.0</v>
      </c>
      <c r="D1673" s="70">
        <v>0.0</v>
      </c>
      <c r="E1673" s="70">
        <v>0.0</v>
      </c>
      <c r="F1673" s="70">
        <v>0.0</v>
      </c>
      <c r="G1673" s="70">
        <v>0.0</v>
      </c>
      <c r="H1673" s="70" t="s">
        <v>15733</v>
      </c>
      <c r="I1673" s="70">
        <v>1643.0</v>
      </c>
      <c r="J1673" s="70" t="s">
        <v>15731</v>
      </c>
      <c r="K1673" s="70" t="s">
        <v>15732</v>
      </c>
      <c r="L1673" s="70" t="s">
        <v>14784</v>
      </c>
      <c r="N1673" s="70" t="s">
        <v>11669</v>
      </c>
      <c r="P1673" s="76">
        <v>45624.0</v>
      </c>
      <c r="U1673" s="70" t="s">
        <v>239</v>
      </c>
      <c r="W1673" s="70" t="s">
        <v>15735</v>
      </c>
      <c r="X1673" s="70" t="s">
        <v>14788</v>
      </c>
      <c r="Z1673" s="75" t="s">
        <v>15736</v>
      </c>
      <c r="AA1673" s="70" t="s">
        <v>15737</v>
      </c>
      <c r="AE1673" s="70">
        <v>52.0</v>
      </c>
      <c r="AF1673" s="70" t="s">
        <v>239</v>
      </c>
      <c r="AW1673" s="70" t="s">
        <v>15738</v>
      </c>
      <c r="AX1673" s="70">
        <v>0.0</v>
      </c>
      <c r="AY1673" s="70" t="s">
        <v>24</v>
      </c>
      <c r="AZ1673" s="70">
        <v>2092.0</v>
      </c>
    </row>
    <row r="1674" ht="22.5" customHeight="1">
      <c r="A1674" s="70" t="str">
        <f t="shared" si="1"/>
        <v>Excluded</v>
      </c>
      <c r="B1674" s="70">
        <f t="shared" si="2"/>
        <v>0</v>
      </c>
      <c r="C1674" s="70">
        <v>0.0</v>
      </c>
      <c r="D1674" s="70">
        <v>0.0</v>
      </c>
      <c r="E1674" s="70">
        <v>0.0</v>
      </c>
      <c r="F1674" s="70">
        <v>0.0</v>
      </c>
      <c r="G1674" s="70">
        <v>0.0</v>
      </c>
      <c r="H1674" s="70" t="s">
        <v>16203</v>
      </c>
      <c r="I1674" s="70">
        <v>1746.0</v>
      </c>
      <c r="K1674" s="70" t="s">
        <v>16201</v>
      </c>
      <c r="L1674" s="70" t="s">
        <v>16202</v>
      </c>
      <c r="P1674" s="76">
        <v>45026.0</v>
      </c>
      <c r="U1674" s="70" t="s">
        <v>239</v>
      </c>
      <c r="X1674" s="70" t="s">
        <v>16205</v>
      </c>
      <c r="Z1674" s="75" t="s">
        <v>16206</v>
      </c>
      <c r="AF1674" s="70" t="s">
        <v>239</v>
      </c>
      <c r="AZ1674" s="70">
        <v>1359.0</v>
      </c>
    </row>
    <row r="1675" ht="22.5" customHeight="1">
      <c r="A1675" s="70" t="str">
        <f t="shared" si="1"/>
        <v>Excluded</v>
      </c>
      <c r="B1675" s="70">
        <f t="shared" si="2"/>
        <v>0</v>
      </c>
      <c r="C1675" s="70">
        <v>0.0</v>
      </c>
      <c r="D1675" s="70">
        <v>0.0</v>
      </c>
      <c r="E1675" s="70">
        <v>0.0</v>
      </c>
      <c r="F1675" s="70">
        <v>0.0</v>
      </c>
      <c r="G1675" s="70">
        <v>0.0</v>
      </c>
      <c r="H1675" s="70" t="s">
        <v>13192</v>
      </c>
      <c r="I1675" s="70">
        <v>1375.0</v>
      </c>
      <c r="J1675" s="70" t="s">
        <v>13189</v>
      </c>
      <c r="K1675" s="70" t="s">
        <v>13190</v>
      </c>
      <c r="L1675" s="70" t="s">
        <v>13191</v>
      </c>
      <c r="P1675" s="76">
        <v>45371.0</v>
      </c>
      <c r="U1675" s="70" t="s">
        <v>239</v>
      </c>
      <c r="W1675" s="70" t="s">
        <v>13194</v>
      </c>
      <c r="X1675" s="70" t="s">
        <v>13195</v>
      </c>
      <c r="Z1675" s="75" t="s">
        <v>13196</v>
      </c>
      <c r="AA1675" s="70" t="s">
        <v>13197</v>
      </c>
      <c r="AE1675" s="70">
        <v>10.0</v>
      </c>
      <c r="AF1675" s="70" t="s">
        <v>239</v>
      </c>
      <c r="AW1675" s="70" t="s">
        <v>13198</v>
      </c>
      <c r="AZ1675" s="70">
        <v>982.0</v>
      </c>
    </row>
    <row r="1676" ht="22.5" customHeight="1">
      <c r="A1676" s="70" t="str">
        <f t="shared" si="1"/>
        <v>Excluded</v>
      </c>
      <c r="B1676" s="70">
        <f t="shared" si="2"/>
        <v>0</v>
      </c>
      <c r="C1676" s="70">
        <v>0.0</v>
      </c>
      <c r="D1676" s="70">
        <v>0.0</v>
      </c>
      <c r="E1676" s="70">
        <v>0.0</v>
      </c>
      <c r="F1676" s="70">
        <v>0.0</v>
      </c>
      <c r="G1676" s="70">
        <v>0.0</v>
      </c>
      <c r="H1676" s="70" t="s">
        <v>14584</v>
      </c>
      <c r="I1676" s="70">
        <v>1521.0</v>
      </c>
      <c r="J1676" s="70" t="s">
        <v>14581</v>
      </c>
      <c r="K1676" s="70" t="s">
        <v>14582</v>
      </c>
      <c r="L1676" s="70" t="s">
        <v>14583</v>
      </c>
      <c r="P1676" s="76">
        <v>45702.0</v>
      </c>
      <c r="U1676" s="70" t="s">
        <v>239</v>
      </c>
      <c r="W1676" s="70" t="s">
        <v>14586</v>
      </c>
      <c r="X1676" s="70" t="s">
        <v>14587</v>
      </c>
      <c r="Z1676" s="75" t="s">
        <v>14588</v>
      </c>
      <c r="AA1676" s="70" t="s">
        <v>14589</v>
      </c>
      <c r="AE1676" s="70">
        <v>12.0</v>
      </c>
      <c r="AF1676" s="70" t="s">
        <v>239</v>
      </c>
      <c r="AW1676" s="70" t="s">
        <v>14590</v>
      </c>
      <c r="AX1676" s="70">
        <v>0.0</v>
      </c>
      <c r="AY1676" s="70" t="s">
        <v>24</v>
      </c>
      <c r="AZ1676" s="70">
        <v>2410.0</v>
      </c>
    </row>
    <row r="1677" ht="22.5" customHeight="1">
      <c r="A1677" s="70" t="str">
        <f t="shared" si="1"/>
        <v>Excluded</v>
      </c>
      <c r="B1677" s="70">
        <f t="shared" si="2"/>
        <v>0</v>
      </c>
      <c r="C1677" s="70">
        <v>0.0</v>
      </c>
      <c r="D1677" s="70">
        <v>0.0</v>
      </c>
      <c r="E1677" s="70">
        <v>0.0</v>
      </c>
      <c r="F1677" s="70">
        <v>0.0</v>
      </c>
      <c r="G1677" s="70">
        <v>0.0</v>
      </c>
      <c r="H1677" s="70" t="s">
        <v>8155</v>
      </c>
      <c r="I1677" s="70">
        <v>788.0</v>
      </c>
      <c r="J1677" s="70" t="s">
        <v>8151</v>
      </c>
      <c r="K1677" s="70" t="s">
        <v>8152</v>
      </c>
      <c r="L1677" s="70" t="s">
        <v>8153</v>
      </c>
      <c r="N1677" s="70" t="s">
        <v>8154</v>
      </c>
      <c r="P1677" s="76">
        <v>44834.0</v>
      </c>
      <c r="U1677" s="70" t="s">
        <v>239</v>
      </c>
      <c r="W1677" s="70" t="s">
        <v>8157</v>
      </c>
      <c r="X1677" s="70" t="s">
        <v>8158</v>
      </c>
      <c r="Z1677" s="75" t="s">
        <v>8159</v>
      </c>
      <c r="AA1677" s="70" t="s">
        <v>8160</v>
      </c>
      <c r="AC1677" s="70">
        <v>2.0</v>
      </c>
      <c r="AE1677" s="70">
        <v>18.0</v>
      </c>
      <c r="AF1677" s="70" t="s">
        <v>239</v>
      </c>
      <c r="AW1677" s="70" t="s">
        <v>8161</v>
      </c>
      <c r="AZ1677" s="70">
        <v>1398.0</v>
      </c>
    </row>
    <row r="1678" ht="22.5" customHeight="1">
      <c r="A1678" s="70" t="str">
        <f t="shared" si="1"/>
        <v>Excluded</v>
      </c>
      <c r="B1678" s="70">
        <f t="shared" si="2"/>
        <v>0</v>
      </c>
      <c r="C1678" s="70">
        <v>0.0</v>
      </c>
      <c r="D1678" s="70">
        <v>0.0</v>
      </c>
      <c r="E1678" s="70">
        <v>0.0</v>
      </c>
      <c r="F1678" s="70">
        <v>0.0</v>
      </c>
      <c r="G1678" s="70">
        <v>0.0</v>
      </c>
      <c r="H1678" s="70" t="s">
        <v>13973</v>
      </c>
      <c r="I1678" s="70">
        <v>1455.0</v>
      </c>
      <c r="J1678" s="70" t="s">
        <v>13969</v>
      </c>
      <c r="K1678" s="70" t="s">
        <v>13970</v>
      </c>
      <c r="L1678" s="70" t="s">
        <v>13971</v>
      </c>
      <c r="N1678" s="70" t="s">
        <v>13972</v>
      </c>
      <c r="P1678" s="76">
        <v>45341.0</v>
      </c>
      <c r="U1678" s="70" t="s">
        <v>239</v>
      </c>
      <c r="W1678" s="70" t="s">
        <v>13975</v>
      </c>
      <c r="X1678" s="70" t="s">
        <v>13976</v>
      </c>
      <c r="Z1678" s="75" t="s">
        <v>13977</v>
      </c>
      <c r="AA1678" s="70" t="s">
        <v>13978</v>
      </c>
      <c r="AE1678" s="70">
        <v>24.0</v>
      </c>
      <c r="AF1678" s="70" t="s">
        <v>239</v>
      </c>
      <c r="AW1678" s="70" t="s">
        <v>13979</v>
      </c>
      <c r="AX1678" s="70">
        <v>0.0</v>
      </c>
      <c r="AY1678" s="70" t="s">
        <v>24</v>
      </c>
      <c r="AZ1678" s="70">
        <v>2022.0</v>
      </c>
    </row>
    <row r="1679" ht="22.5" customHeight="1">
      <c r="A1679" s="70" t="str">
        <f t="shared" si="1"/>
        <v>Excluded</v>
      </c>
      <c r="B1679" s="70">
        <f t="shared" si="2"/>
        <v>0</v>
      </c>
      <c r="C1679" s="70">
        <v>0.0</v>
      </c>
      <c r="D1679" s="70">
        <v>0.0</v>
      </c>
      <c r="E1679" s="70">
        <v>0.0</v>
      </c>
      <c r="F1679" s="70">
        <v>0.0</v>
      </c>
      <c r="G1679" s="70">
        <v>0.0</v>
      </c>
      <c r="H1679" s="70" t="s">
        <v>10878</v>
      </c>
      <c r="I1679" s="70">
        <v>1113.0</v>
      </c>
      <c r="K1679" s="70" t="s">
        <v>10597</v>
      </c>
      <c r="L1679" s="70" t="s">
        <v>10877</v>
      </c>
      <c r="N1679" s="70" t="s">
        <v>10719</v>
      </c>
      <c r="P1679" s="76">
        <v>44396.0</v>
      </c>
      <c r="U1679" s="70" t="s">
        <v>239</v>
      </c>
      <c r="W1679" s="70" t="s">
        <v>10602</v>
      </c>
      <c r="X1679" s="70" t="s">
        <v>10879</v>
      </c>
      <c r="Z1679" s="75" t="s">
        <v>10880</v>
      </c>
      <c r="AF1679" s="70" t="s">
        <v>239</v>
      </c>
      <c r="AZ1679" s="70">
        <v>1595.0</v>
      </c>
    </row>
    <row r="1680" ht="22.5" customHeight="1">
      <c r="A1680" s="70" t="str">
        <f t="shared" si="1"/>
        <v>Excluded</v>
      </c>
      <c r="B1680" s="70">
        <f t="shared" si="2"/>
        <v>0</v>
      </c>
      <c r="C1680" s="70">
        <v>0.0</v>
      </c>
      <c r="D1680" s="70">
        <v>0.0</v>
      </c>
      <c r="E1680" s="70">
        <v>0.0</v>
      </c>
      <c r="F1680" s="70">
        <v>0.0</v>
      </c>
      <c r="G1680" s="70">
        <v>0.0</v>
      </c>
      <c r="H1680" s="70" t="s">
        <v>10720</v>
      </c>
      <c r="I1680" s="70">
        <v>1072.0</v>
      </c>
      <c r="K1680" s="70" t="s">
        <v>10597</v>
      </c>
      <c r="L1680" s="70" t="s">
        <v>10718</v>
      </c>
      <c r="N1680" s="70" t="s">
        <v>10719</v>
      </c>
      <c r="P1680" s="76">
        <v>44952.0</v>
      </c>
      <c r="U1680" s="70" t="s">
        <v>239</v>
      </c>
      <c r="W1680" s="70" t="s">
        <v>10710</v>
      </c>
      <c r="X1680" s="70" t="s">
        <v>10721</v>
      </c>
      <c r="Z1680" s="75" t="s">
        <v>10722</v>
      </c>
      <c r="AF1680" s="70" t="s">
        <v>239</v>
      </c>
      <c r="AZ1680" s="70">
        <v>1523.0</v>
      </c>
    </row>
    <row r="1681" ht="22.5" customHeight="1">
      <c r="A1681" s="70" t="str">
        <f t="shared" si="1"/>
        <v>Excluded</v>
      </c>
      <c r="B1681" s="70">
        <f t="shared" si="2"/>
        <v>0</v>
      </c>
      <c r="C1681" s="70">
        <v>0.0</v>
      </c>
      <c r="D1681" s="70">
        <v>0.0</v>
      </c>
      <c r="E1681" s="70">
        <v>0.0</v>
      </c>
      <c r="F1681" s="70">
        <v>0.0</v>
      </c>
      <c r="G1681" s="70">
        <v>0.0</v>
      </c>
      <c r="H1681" s="70" t="s">
        <v>16258</v>
      </c>
      <c r="I1681" s="70">
        <v>1761.0</v>
      </c>
      <c r="K1681" s="70" t="s">
        <v>16256</v>
      </c>
      <c r="L1681" s="70" t="s">
        <v>16257</v>
      </c>
      <c r="N1681" s="70" t="s">
        <v>10719</v>
      </c>
      <c r="P1681" s="77">
        <v>45475.0</v>
      </c>
      <c r="U1681" s="70" t="s">
        <v>239</v>
      </c>
      <c r="X1681" s="70" t="s">
        <v>16259</v>
      </c>
      <c r="Z1681" s="75" t="s">
        <v>16260</v>
      </c>
      <c r="AF1681" s="70" t="s">
        <v>239</v>
      </c>
      <c r="AZ1681" s="70">
        <v>1415.0</v>
      </c>
    </row>
    <row r="1682" ht="22.5" customHeight="1">
      <c r="A1682" s="70" t="str">
        <f t="shared" si="1"/>
        <v>Excluded</v>
      </c>
      <c r="B1682" s="70">
        <f t="shared" si="2"/>
        <v>0</v>
      </c>
      <c r="C1682" s="70">
        <v>0.0</v>
      </c>
      <c r="D1682" s="70">
        <v>0.0</v>
      </c>
      <c r="E1682" s="70">
        <v>0.0</v>
      </c>
      <c r="F1682" s="70">
        <v>0.0</v>
      </c>
      <c r="G1682" s="70">
        <v>0.0</v>
      </c>
      <c r="H1682" s="70" t="s">
        <v>15853</v>
      </c>
      <c r="I1682" s="70">
        <v>1658.0</v>
      </c>
      <c r="K1682" s="70" t="s">
        <v>15851</v>
      </c>
      <c r="L1682" s="70" t="s">
        <v>15852</v>
      </c>
      <c r="P1682" s="76">
        <v>45117.0</v>
      </c>
      <c r="U1682" s="70" t="s">
        <v>239</v>
      </c>
      <c r="X1682" s="70" t="s">
        <v>15854</v>
      </c>
      <c r="Z1682" s="75" t="s">
        <v>15855</v>
      </c>
      <c r="AF1682" s="70" t="s">
        <v>239</v>
      </c>
      <c r="AZ1682" s="70">
        <v>1292.0</v>
      </c>
    </row>
    <row r="1683" ht="22.5" customHeight="1">
      <c r="A1683" s="70" t="str">
        <f t="shared" si="1"/>
        <v>Excluded</v>
      </c>
      <c r="B1683" s="70">
        <f t="shared" si="2"/>
        <v>0</v>
      </c>
      <c r="C1683" s="70">
        <v>0.0</v>
      </c>
      <c r="D1683" s="70">
        <v>0.0</v>
      </c>
      <c r="E1683" s="70">
        <v>0.0</v>
      </c>
      <c r="F1683" s="70">
        <v>0.0</v>
      </c>
      <c r="G1683" s="70">
        <v>0.0</v>
      </c>
      <c r="H1683" s="70" t="s">
        <v>10578</v>
      </c>
      <c r="I1683" s="70">
        <v>1041.0</v>
      </c>
      <c r="K1683" s="70" t="s">
        <v>10577</v>
      </c>
      <c r="L1683" s="70" t="s">
        <v>9902</v>
      </c>
      <c r="P1683" s="76">
        <v>45029.0</v>
      </c>
      <c r="U1683" s="70" t="s">
        <v>239</v>
      </c>
      <c r="X1683" s="70" t="s">
        <v>9906</v>
      </c>
      <c r="Z1683" s="75" t="s">
        <v>10579</v>
      </c>
      <c r="AF1683" s="70" t="s">
        <v>239</v>
      </c>
      <c r="AZ1683" s="70">
        <v>1286.0</v>
      </c>
    </row>
    <row r="1684" ht="22.5" customHeight="1">
      <c r="A1684" s="70" t="str">
        <f t="shared" si="1"/>
        <v>Excluded</v>
      </c>
      <c r="B1684" s="70">
        <f t="shared" si="2"/>
        <v>0</v>
      </c>
      <c r="C1684" s="70">
        <v>0.0</v>
      </c>
      <c r="D1684" s="70">
        <v>0.0</v>
      </c>
      <c r="E1684" s="70">
        <v>0.0</v>
      </c>
      <c r="F1684" s="70">
        <v>0.0</v>
      </c>
      <c r="G1684" s="70">
        <v>0.0</v>
      </c>
      <c r="H1684" s="70" t="s">
        <v>9903</v>
      </c>
      <c r="I1684" s="70">
        <v>970.0</v>
      </c>
      <c r="J1684" s="70" t="s">
        <v>9900</v>
      </c>
      <c r="K1684" s="70" t="s">
        <v>9901</v>
      </c>
      <c r="L1684" s="70" t="s">
        <v>9902</v>
      </c>
      <c r="P1684" s="76">
        <v>45029.0</v>
      </c>
      <c r="U1684" s="70" t="s">
        <v>239</v>
      </c>
      <c r="W1684" s="70" t="s">
        <v>30541</v>
      </c>
      <c r="X1684" s="70" t="s">
        <v>9906</v>
      </c>
      <c r="Z1684" s="75" t="s">
        <v>9907</v>
      </c>
      <c r="AA1684" s="70" t="s">
        <v>9908</v>
      </c>
      <c r="AE1684" s="70">
        <v>20.0</v>
      </c>
      <c r="AF1684" s="70" t="s">
        <v>239</v>
      </c>
      <c r="AW1684" s="70" t="s">
        <v>9909</v>
      </c>
      <c r="AX1684" s="70">
        <v>0.0</v>
      </c>
      <c r="AY1684" s="70" t="s">
        <v>24</v>
      </c>
      <c r="AZ1684" s="70">
        <v>1701.0</v>
      </c>
    </row>
    <row r="1685" ht="22.5" customHeight="1">
      <c r="A1685" s="70" t="str">
        <f t="shared" si="1"/>
        <v>Excluded</v>
      </c>
      <c r="B1685" s="70">
        <f t="shared" si="2"/>
        <v>0</v>
      </c>
      <c r="C1685" s="70">
        <v>0.0</v>
      </c>
      <c r="D1685" s="70">
        <v>0.0</v>
      </c>
      <c r="E1685" s="70">
        <v>0.0</v>
      </c>
      <c r="F1685" s="70">
        <v>0.0</v>
      </c>
      <c r="G1685" s="70">
        <v>0.0</v>
      </c>
      <c r="H1685" s="70" t="s">
        <v>9980</v>
      </c>
      <c r="I1685" s="70">
        <v>978.0</v>
      </c>
      <c r="J1685" s="70" t="s">
        <v>9976</v>
      </c>
      <c r="K1685" s="70" t="s">
        <v>9977</v>
      </c>
      <c r="L1685" s="70" t="s">
        <v>9978</v>
      </c>
      <c r="N1685" s="70" t="s">
        <v>9979</v>
      </c>
      <c r="P1685" s="77">
        <v>44593.0</v>
      </c>
      <c r="U1685" s="70" t="s">
        <v>239</v>
      </c>
      <c r="W1685" s="70" t="s">
        <v>30542</v>
      </c>
      <c r="X1685" s="70" t="s">
        <v>9983</v>
      </c>
      <c r="Z1685" s="75" t="s">
        <v>9984</v>
      </c>
      <c r="AA1685" s="70" t="s">
        <v>9985</v>
      </c>
      <c r="AE1685" s="70">
        <v>31.0</v>
      </c>
      <c r="AF1685" s="70" t="s">
        <v>239</v>
      </c>
      <c r="AW1685" s="70" t="s">
        <v>9986</v>
      </c>
      <c r="AZ1685" s="70">
        <v>1145.0</v>
      </c>
    </row>
    <row r="1686" ht="22.5" customHeight="1">
      <c r="A1686" s="70" t="str">
        <f t="shared" si="1"/>
        <v>Excluded</v>
      </c>
      <c r="B1686" s="70">
        <f t="shared" si="2"/>
        <v>0</v>
      </c>
      <c r="C1686" s="70">
        <v>0.0</v>
      </c>
      <c r="D1686" s="70">
        <v>0.0</v>
      </c>
      <c r="E1686" s="70">
        <v>0.0</v>
      </c>
      <c r="F1686" s="70">
        <v>0.0</v>
      </c>
      <c r="G1686" s="70">
        <v>0.0</v>
      </c>
      <c r="H1686" s="70" t="s">
        <v>10839</v>
      </c>
      <c r="I1686" s="70">
        <v>1102.0</v>
      </c>
      <c r="K1686" s="70" t="s">
        <v>10597</v>
      </c>
      <c r="L1686" s="70" t="s">
        <v>10838</v>
      </c>
      <c r="N1686" s="70" t="s">
        <v>9979</v>
      </c>
      <c r="P1686" s="76">
        <v>44973.0</v>
      </c>
      <c r="U1686" s="70" t="s">
        <v>239</v>
      </c>
      <c r="X1686" s="70" t="s">
        <v>10840</v>
      </c>
      <c r="Z1686" s="75" t="s">
        <v>10841</v>
      </c>
      <c r="AF1686" s="70" t="s">
        <v>239</v>
      </c>
      <c r="AZ1686" s="70">
        <v>1550.0</v>
      </c>
    </row>
    <row r="1687" ht="22.5" customHeight="1">
      <c r="A1687" s="70" t="str">
        <f t="shared" si="1"/>
        <v>Excluded</v>
      </c>
      <c r="B1687" s="70">
        <f t="shared" si="2"/>
        <v>0</v>
      </c>
      <c r="C1687" s="70">
        <v>0.0</v>
      </c>
      <c r="D1687" s="70">
        <v>0.0</v>
      </c>
      <c r="E1687" s="70">
        <v>0.0</v>
      </c>
      <c r="F1687" s="70">
        <v>0.0</v>
      </c>
      <c r="G1687" s="70">
        <v>0.0</v>
      </c>
      <c r="H1687" s="70" t="s">
        <v>15662</v>
      </c>
      <c r="I1687" s="70">
        <v>1635.0</v>
      </c>
      <c r="J1687" s="70" t="s">
        <v>30543</v>
      </c>
      <c r="K1687" s="70" t="s">
        <v>15659</v>
      </c>
      <c r="L1687" s="70" t="s">
        <v>15660</v>
      </c>
      <c r="N1687" s="70" t="s">
        <v>15661</v>
      </c>
      <c r="P1687" s="76">
        <v>45160.0</v>
      </c>
      <c r="U1687" s="70" t="s">
        <v>239</v>
      </c>
      <c r="W1687" s="70" t="s">
        <v>15663</v>
      </c>
      <c r="X1687" s="70" t="s">
        <v>15664</v>
      </c>
      <c r="Z1687" s="75" t="s">
        <v>15665</v>
      </c>
      <c r="AA1687" s="70" t="s">
        <v>15666</v>
      </c>
      <c r="AE1687" s="70">
        <v>17.0</v>
      </c>
      <c r="AF1687" s="70" t="s">
        <v>239</v>
      </c>
      <c r="AW1687" s="70" t="s">
        <v>15667</v>
      </c>
      <c r="AX1687" s="70">
        <v>0.0</v>
      </c>
      <c r="AY1687" s="70" t="s">
        <v>24</v>
      </c>
      <c r="AZ1687" s="70">
        <v>3111.0</v>
      </c>
    </row>
    <row r="1688" ht="22.5" customHeight="1">
      <c r="A1688" s="70" t="str">
        <f t="shared" si="1"/>
        <v>Excluded</v>
      </c>
      <c r="B1688" s="70">
        <f t="shared" si="2"/>
        <v>0</v>
      </c>
      <c r="C1688" s="70">
        <v>0.0</v>
      </c>
      <c r="D1688" s="70">
        <v>0.0</v>
      </c>
      <c r="E1688" s="70">
        <v>0.0</v>
      </c>
      <c r="F1688" s="70">
        <v>0.0</v>
      </c>
      <c r="G1688" s="70">
        <v>0.0</v>
      </c>
      <c r="H1688" s="70" t="s">
        <v>16004</v>
      </c>
      <c r="I1688" s="70">
        <v>1694.0</v>
      </c>
      <c r="K1688" s="70" t="s">
        <v>15999</v>
      </c>
      <c r="L1688" s="70" t="s">
        <v>15660</v>
      </c>
      <c r="N1688" s="70" t="s">
        <v>15661</v>
      </c>
      <c r="P1688" s="76">
        <v>45160.0</v>
      </c>
      <c r="U1688" s="70" t="s">
        <v>239</v>
      </c>
      <c r="X1688" s="70" t="s">
        <v>15664</v>
      </c>
      <c r="Z1688" s="75" t="s">
        <v>16005</v>
      </c>
      <c r="AF1688" s="70" t="s">
        <v>239</v>
      </c>
      <c r="AZ1688" s="70">
        <v>1486.0</v>
      </c>
    </row>
    <row r="1689" ht="22.5" customHeight="1">
      <c r="A1689" s="70" t="str">
        <f t="shared" si="1"/>
        <v>Excluded</v>
      </c>
      <c r="B1689" s="70">
        <f t="shared" si="2"/>
        <v>0</v>
      </c>
      <c r="C1689" s="70">
        <v>0.0</v>
      </c>
      <c r="D1689" s="70">
        <v>0.0</v>
      </c>
      <c r="E1689" s="70">
        <v>0.0</v>
      </c>
      <c r="F1689" s="70">
        <v>0.0</v>
      </c>
      <c r="G1689" s="70">
        <v>0.0</v>
      </c>
      <c r="H1689" s="70" t="s">
        <v>16001</v>
      </c>
      <c r="I1689" s="70">
        <v>1693.0</v>
      </c>
      <c r="K1689" s="70" t="s">
        <v>15999</v>
      </c>
      <c r="L1689" s="70" t="s">
        <v>16000</v>
      </c>
      <c r="N1689" s="70" t="s">
        <v>15661</v>
      </c>
      <c r="P1689" s="76">
        <v>45638.0</v>
      </c>
      <c r="U1689" s="70" t="s">
        <v>239</v>
      </c>
      <c r="X1689" s="70" t="s">
        <v>16002</v>
      </c>
      <c r="Z1689" s="75" t="s">
        <v>16003</v>
      </c>
      <c r="AF1689" s="70" t="s">
        <v>239</v>
      </c>
      <c r="AZ1689" s="70">
        <v>1485.0</v>
      </c>
    </row>
    <row r="1690" ht="22.5" customHeight="1">
      <c r="A1690" s="70" t="str">
        <f t="shared" si="1"/>
        <v>Excluded</v>
      </c>
      <c r="B1690" s="70">
        <f t="shared" si="2"/>
        <v>0</v>
      </c>
      <c r="C1690" s="70">
        <v>0.0</v>
      </c>
      <c r="D1690" s="70">
        <v>0.0</v>
      </c>
      <c r="E1690" s="70">
        <v>0.0</v>
      </c>
      <c r="F1690" s="70">
        <v>0.0</v>
      </c>
      <c r="G1690" s="70">
        <v>0.0</v>
      </c>
      <c r="H1690" s="70" t="s">
        <v>5655</v>
      </c>
      <c r="I1690" s="70">
        <v>532.0</v>
      </c>
      <c r="J1690" s="70" t="s">
        <v>5652</v>
      </c>
      <c r="K1690" s="70" t="s">
        <v>5653</v>
      </c>
      <c r="L1690" s="70" t="s">
        <v>5654</v>
      </c>
      <c r="P1690" s="76">
        <v>43731.0</v>
      </c>
      <c r="U1690" s="70" t="s">
        <v>239</v>
      </c>
      <c r="W1690" s="70" t="s">
        <v>5657</v>
      </c>
      <c r="X1690" s="70" t="s">
        <v>5658</v>
      </c>
      <c r="Z1690" s="75" t="s">
        <v>5659</v>
      </c>
      <c r="AA1690" s="70" t="s">
        <v>5660</v>
      </c>
      <c r="AC1690" s="70">
        <v>10.0</v>
      </c>
      <c r="AE1690" s="70">
        <v>10.0</v>
      </c>
      <c r="AF1690" s="70" t="s">
        <v>239</v>
      </c>
      <c r="AW1690" s="70" t="s">
        <v>5661</v>
      </c>
      <c r="AX1690" s="70">
        <v>0.0</v>
      </c>
      <c r="AY1690" s="70" t="s">
        <v>24</v>
      </c>
      <c r="AZ1690" s="70">
        <v>2700.0</v>
      </c>
    </row>
    <row r="1691" ht="22.5" customHeight="1">
      <c r="A1691" s="70" t="str">
        <f t="shared" si="1"/>
        <v>Excluded</v>
      </c>
      <c r="B1691" s="70">
        <f t="shared" si="2"/>
        <v>0</v>
      </c>
      <c r="C1691" s="70">
        <v>0.0</v>
      </c>
      <c r="D1691" s="70">
        <v>0.0</v>
      </c>
      <c r="E1691" s="70">
        <v>0.0</v>
      </c>
      <c r="F1691" s="70">
        <v>0.0</v>
      </c>
      <c r="G1691" s="70">
        <v>0.0</v>
      </c>
      <c r="H1691" s="70" t="s">
        <v>4734</v>
      </c>
      <c r="I1691" s="70">
        <v>439.0</v>
      </c>
      <c r="J1691" s="70" t="s">
        <v>4730</v>
      </c>
      <c r="K1691" s="70" t="s">
        <v>4731</v>
      </c>
      <c r="L1691" s="70" t="s">
        <v>4732</v>
      </c>
      <c r="N1691" s="70" t="s">
        <v>4733</v>
      </c>
      <c r="P1691" s="76">
        <v>43633.0</v>
      </c>
      <c r="U1691" s="70" t="s">
        <v>239</v>
      </c>
      <c r="W1691" s="70" t="s">
        <v>4736</v>
      </c>
      <c r="X1691" s="70" t="s">
        <v>4737</v>
      </c>
      <c r="Z1691" s="75" t="s">
        <v>4738</v>
      </c>
      <c r="AA1691" s="70" t="s">
        <v>4739</v>
      </c>
      <c r="AC1691" s="70">
        <v>40.0</v>
      </c>
      <c r="AE1691" s="70">
        <v>33.0</v>
      </c>
      <c r="AF1691" s="70" t="s">
        <v>239</v>
      </c>
      <c r="AW1691" s="70" t="s">
        <v>4740</v>
      </c>
      <c r="AX1691" s="70">
        <v>0.0</v>
      </c>
      <c r="AY1691" s="70" t="s">
        <v>24</v>
      </c>
      <c r="AZ1691" s="70">
        <v>1668.0</v>
      </c>
    </row>
    <row r="1692" ht="22.5" customHeight="1">
      <c r="A1692" s="70" t="str">
        <f t="shared" si="1"/>
        <v>Excluded</v>
      </c>
      <c r="B1692" s="70">
        <f t="shared" si="2"/>
        <v>0</v>
      </c>
      <c r="C1692" s="70">
        <v>0.0</v>
      </c>
      <c r="D1692" s="70">
        <v>0.0</v>
      </c>
      <c r="E1692" s="70">
        <v>0.0</v>
      </c>
      <c r="F1692" s="70">
        <v>0.0</v>
      </c>
      <c r="G1692" s="70">
        <v>0.0</v>
      </c>
      <c r="H1692" s="70" t="s">
        <v>10754</v>
      </c>
      <c r="I1692" s="70">
        <v>1080.0</v>
      </c>
      <c r="K1692" s="70" t="s">
        <v>10753</v>
      </c>
      <c r="L1692" s="70" t="s">
        <v>4732</v>
      </c>
      <c r="N1692" s="70" t="s">
        <v>4733</v>
      </c>
      <c r="P1692" s="76">
        <v>43633.0</v>
      </c>
      <c r="U1692" s="70" t="s">
        <v>239</v>
      </c>
      <c r="W1692" s="70" t="s">
        <v>10634</v>
      </c>
      <c r="X1692" s="70" t="s">
        <v>4737</v>
      </c>
      <c r="Z1692" s="75" t="s">
        <v>10756</v>
      </c>
      <c r="AF1692" s="70" t="s">
        <v>239</v>
      </c>
      <c r="AZ1692" s="70">
        <v>1196.0</v>
      </c>
    </row>
    <row r="1693" ht="22.5" customHeight="1">
      <c r="A1693" s="70" t="str">
        <f t="shared" si="1"/>
        <v>Excluded</v>
      </c>
      <c r="B1693" s="70">
        <f t="shared" si="2"/>
        <v>0</v>
      </c>
      <c r="C1693" s="70">
        <v>0.0</v>
      </c>
      <c r="D1693" s="70">
        <v>0.0</v>
      </c>
      <c r="E1693" s="70">
        <v>0.0</v>
      </c>
      <c r="F1693" s="70">
        <v>0.0</v>
      </c>
      <c r="G1693" s="70">
        <v>0.0</v>
      </c>
      <c r="H1693" s="70" t="s">
        <v>10786</v>
      </c>
      <c r="I1693" s="70">
        <v>1089.0</v>
      </c>
      <c r="K1693" s="70" t="s">
        <v>10734</v>
      </c>
      <c r="L1693" s="70" t="s">
        <v>10785</v>
      </c>
      <c r="N1693" s="70" t="s">
        <v>4733</v>
      </c>
      <c r="P1693" s="76">
        <v>44403.0</v>
      </c>
      <c r="U1693" s="70" t="s">
        <v>239</v>
      </c>
      <c r="W1693" s="70" t="s">
        <v>10634</v>
      </c>
      <c r="X1693" s="70" t="s">
        <v>10788</v>
      </c>
      <c r="Z1693" s="75" t="s">
        <v>10789</v>
      </c>
      <c r="AF1693" s="70" t="s">
        <v>239</v>
      </c>
      <c r="AZ1693" s="70">
        <v>1281.0</v>
      </c>
    </row>
    <row r="1694" ht="22.5" customHeight="1">
      <c r="A1694" s="70" t="str">
        <f t="shared" si="1"/>
        <v>Excluded</v>
      </c>
      <c r="B1694" s="70">
        <f t="shared" si="2"/>
        <v>0</v>
      </c>
      <c r="C1694" s="70">
        <v>0.0</v>
      </c>
      <c r="D1694" s="70">
        <v>0.0</v>
      </c>
      <c r="E1694" s="70">
        <v>0.0</v>
      </c>
      <c r="F1694" s="70">
        <v>0.0</v>
      </c>
      <c r="G1694" s="70">
        <v>0.0</v>
      </c>
      <c r="H1694" s="70" t="s">
        <v>14457</v>
      </c>
      <c r="I1694" s="70">
        <v>1508.0</v>
      </c>
      <c r="J1694" s="70" t="s">
        <v>14455</v>
      </c>
      <c r="K1694" s="70" t="s">
        <v>14456</v>
      </c>
      <c r="L1694" s="70" t="s">
        <v>12468</v>
      </c>
      <c r="N1694" s="70" t="s">
        <v>4733</v>
      </c>
      <c r="P1694" s="76">
        <v>45516.0</v>
      </c>
      <c r="U1694" s="70" t="s">
        <v>239</v>
      </c>
      <c r="W1694" s="70" t="s">
        <v>30544</v>
      </c>
      <c r="X1694" s="70" t="s">
        <v>12472</v>
      </c>
      <c r="Z1694" s="75" t="s">
        <v>14460</v>
      </c>
      <c r="AE1694" s="70">
        <v>30.0</v>
      </c>
      <c r="AF1694" s="70" t="s">
        <v>239</v>
      </c>
      <c r="AW1694" s="70" t="s">
        <v>14461</v>
      </c>
      <c r="AZ1694" s="70">
        <v>903.0</v>
      </c>
    </row>
    <row r="1695" ht="22.5" customHeight="1">
      <c r="A1695" s="70" t="str">
        <f t="shared" si="1"/>
        <v>Excluded</v>
      </c>
      <c r="B1695" s="70">
        <f t="shared" si="2"/>
        <v>0</v>
      </c>
      <c r="C1695" s="70">
        <v>0.0</v>
      </c>
      <c r="D1695" s="70">
        <v>0.0</v>
      </c>
      <c r="E1695" s="70">
        <v>0.0</v>
      </c>
      <c r="F1695" s="70">
        <v>0.0</v>
      </c>
      <c r="G1695" s="70">
        <v>0.0</v>
      </c>
      <c r="H1695" s="70" t="s">
        <v>14032</v>
      </c>
      <c r="I1695" s="70">
        <v>1461.0</v>
      </c>
      <c r="J1695" s="70" t="s">
        <v>14030</v>
      </c>
      <c r="K1695" s="70" t="s">
        <v>14031</v>
      </c>
      <c r="L1695" s="70" t="s">
        <v>12468</v>
      </c>
      <c r="N1695" s="70" t="s">
        <v>4733</v>
      </c>
      <c r="P1695" s="76">
        <v>45516.0</v>
      </c>
      <c r="U1695" s="70" t="s">
        <v>239</v>
      </c>
      <c r="W1695" s="70" t="s">
        <v>14034</v>
      </c>
      <c r="X1695" s="70" t="s">
        <v>12472</v>
      </c>
      <c r="Y1695" s="70" t="s">
        <v>30227</v>
      </c>
      <c r="Z1695" s="75" t="s">
        <v>14035</v>
      </c>
      <c r="AA1695" s="70" t="s">
        <v>14036</v>
      </c>
      <c r="AE1695" s="70">
        <v>34.0</v>
      </c>
      <c r="AF1695" s="70" t="s">
        <v>239</v>
      </c>
      <c r="AW1695" s="70" t="s">
        <v>14037</v>
      </c>
      <c r="AZ1695" s="70">
        <v>157.0</v>
      </c>
    </row>
    <row r="1696" ht="22.5" customHeight="1">
      <c r="A1696" s="70" t="str">
        <f t="shared" si="1"/>
        <v>Excluded</v>
      </c>
      <c r="B1696" s="70">
        <f t="shared" si="2"/>
        <v>0</v>
      </c>
      <c r="C1696" s="70">
        <v>0.0</v>
      </c>
      <c r="D1696" s="70">
        <v>0.0</v>
      </c>
      <c r="E1696" s="70">
        <v>0.0</v>
      </c>
      <c r="F1696" s="70">
        <v>0.0</v>
      </c>
      <c r="G1696" s="70">
        <v>0.0</v>
      </c>
      <c r="H1696" s="70" t="s">
        <v>16078</v>
      </c>
      <c r="I1696" s="70">
        <v>1716.0</v>
      </c>
      <c r="K1696" s="70" t="s">
        <v>10734</v>
      </c>
      <c r="L1696" s="70" t="s">
        <v>12468</v>
      </c>
      <c r="N1696" s="70" t="s">
        <v>4733</v>
      </c>
      <c r="P1696" s="76">
        <v>45516.0</v>
      </c>
      <c r="U1696" s="70" t="s">
        <v>239</v>
      </c>
      <c r="X1696" s="70" t="s">
        <v>12472</v>
      </c>
      <c r="Z1696" s="75" t="s">
        <v>16079</v>
      </c>
      <c r="AF1696" s="70" t="s">
        <v>239</v>
      </c>
      <c r="AZ1696" s="70">
        <v>1369.0</v>
      </c>
    </row>
    <row r="1697" ht="22.5" customHeight="1">
      <c r="A1697" s="70" t="str">
        <f t="shared" si="1"/>
        <v>Excluded</v>
      </c>
      <c r="B1697" s="70">
        <f t="shared" si="2"/>
        <v>0</v>
      </c>
      <c r="C1697" s="70">
        <v>0.0</v>
      </c>
      <c r="D1697" s="70">
        <v>0.0</v>
      </c>
      <c r="E1697" s="70">
        <v>0.0</v>
      </c>
      <c r="F1697" s="70">
        <v>0.0</v>
      </c>
      <c r="G1697" s="70">
        <v>0.0</v>
      </c>
      <c r="H1697" s="70" t="s">
        <v>12469</v>
      </c>
      <c r="I1697" s="70">
        <v>1302.0</v>
      </c>
      <c r="J1697" s="70" t="s">
        <v>12466</v>
      </c>
      <c r="K1697" s="70" t="s">
        <v>12467</v>
      </c>
      <c r="L1697" s="70" t="s">
        <v>12468</v>
      </c>
      <c r="N1697" s="70" t="s">
        <v>4733</v>
      </c>
      <c r="P1697" s="76">
        <v>45516.0</v>
      </c>
      <c r="U1697" s="70" t="s">
        <v>239</v>
      </c>
      <c r="W1697" s="70" t="s">
        <v>12471</v>
      </c>
      <c r="X1697" s="70" t="s">
        <v>12472</v>
      </c>
      <c r="Y1697" s="70" t="s">
        <v>30545</v>
      </c>
      <c r="Z1697" s="75" t="s">
        <v>12474</v>
      </c>
      <c r="AA1697" s="70" t="s">
        <v>12475</v>
      </c>
      <c r="AC1697" s="70">
        <v>1.0</v>
      </c>
      <c r="AE1697" s="70">
        <v>25.0</v>
      </c>
      <c r="AF1697" s="70" t="s">
        <v>239</v>
      </c>
      <c r="AW1697" s="70" t="s">
        <v>12476</v>
      </c>
      <c r="AX1697" s="70">
        <v>0.0</v>
      </c>
      <c r="AY1697" s="70" t="s">
        <v>24</v>
      </c>
      <c r="AZ1697" s="70">
        <v>1919.0</v>
      </c>
    </row>
    <row r="1698" ht="22.5" customHeight="1">
      <c r="A1698" s="70" t="str">
        <f t="shared" si="1"/>
        <v>Excluded</v>
      </c>
      <c r="B1698" s="70">
        <f t="shared" si="2"/>
        <v>0</v>
      </c>
      <c r="C1698" s="70">
        <v>0.0</v>
      </c>
      <c r="D1698" s="70">
        <v>0.0</v>
      </c>
      <c r="E1698" s="70">
        <v>0.0</v>
      </c>
      <c r="F1698" s="70">
        <v>0.0</v>
      </c>
      <c r="G1698" s="70">
        <v>0.0</v>
      </c>
      <c r="H1698" s="70" t="s">
        <v>11005</v>
      </c>
      <c r="I1698" s="70">
        <v>1147.0</v>
      </c>
      <c r="K1698" s="70" t="s">
        <v>10631</v>
      </c>
      <c r="L1698" s="70" t="s">
        <v>10632</v>
      </c>
      <c r="P1698" s="76">
        <v>44053.0</v>
      </c>
      <c r="U1698" s="70" t="s">
        <v>239</v>
      </c>
      <c r="W1698" s="70" t="s">
        <v>10634</v>
      </c>
      <c r="X1698" s="70" t="s">
        <v>10635</v>
      </c>
      <c r="Z1698" s="75" t="s">
        <v>11006</v>
      </c>
      <c r="AF1698" s="70" t="s">
        <v>239</v>
      </c>
      <c r="AZ1698" s="70">
        <v>1324.0</v>
      </c>
    </row>
    <row r="1699" ht="22.5" customHeight="1">
      <c r="A1699" s="70" t="str">
        <f t="shared" si="1"/>
        <v>Excluded</v>
      </c>
      <c r="B1699" s="70">
        <f t="shared" si="2"/>
        <v>0</v>
      </c>
      <c r="C1699" s="70">
        <v>0.0</v>
      </c>
      <c r="D1699" s="70">
        <v>0.0</v>
      </c>
      <c r="E1699" s="70">
        <v>0.0</v>
      </c>
      <c r="F1699" s="70">
        <v>0.0</v>
      </c>
      <c r="G1699" s="70">
        <v>0.0</v>
      </c>
      <c r="H1699" s="70" t="s">
        <v>10866</v>
      </c>
      <c r="I1699" s="70">
        <v>1109.0</v>
      </c>
      <c r="K1699" s="70" t="s">
        <v>10631</v>
      </c>
      <c r="L1699" s="70" t="s">
        <v>10632</v>
      </c>
      <c r="P1699" s="76">
        <v>44053.0</v>
      </c>
      <c r="U1699" s="70" t="s">
        <v>239</v>
      </c>
      <c r="W1699" s="70" t="s">
        <v>10634</v>
      </c>
      <c r="X1699" s="70" t="s">
        <v>10635</v>
      </c>
      <c r="Z1699" s="75" t="s">
        <v>10867</v>
      </c>
      <c r="AF1699" s="70" t="s">
        <v>239</v>
      </c>
      <c r="AZ1699" s="70">
        <v>1317.0</v>
      </c>
    </row>
    <row r="1700" ht="22.5" customHeight="1">
      <c r="A1700" s="70" t="str">
        <f t="shared" si="1"/>
        <v>Excluded</v>
      </c>
      <c r="B1700" s="70">
        <f t="shared" si="2"/>
        <v>0</v>
      </c>
      <c r="C1700" s="70">
        <v>0.0</v>
      </c>
      <c r="D1700" s="70">
        <v>0.0</v>
      </c>
      <c r="E1700" s="70">
        <v>0.0</v>
      </c>
      <c r="F1700" s="70">
        <v>0.0</v>
      </c>
      <c r="G1700" s="70">
        <v>0.0</v>
      </c>
      <c r="H1700" s="70" t="s">
        <v>10706</v>
      </c>
      <c r="I1700" s="70">
        <v>1069.0</v>
      </c>
      <c r="K1700" s="70" t="s">
        <v>10631</v>
      </c>
      <c r="L1700" s="70" t="s">
        <v>10632</v>
      </c>
      <c r="P1700" s="76">
        <v>44053.0</v>
      </c>
      <c r="U1700" s="70" t="s">
        <v>239</v>
      </c>
      <c r="W1700" s="70" t="s">
        <v>10634</v>
      </c>
      <c r="X1700" s="70" t="s">
        <v>10635</v>
      </c>
      <c r="Z1700" s="75" t="s">
        <v>10707</v>
      </c>
      <c r="AF1700" s="70" t="s">
        <v>239</v>
      </c>
      <c r="AZ1700" s="70">
        <v>1332.0</v>
      </c>
    </row>
    <row r="1701" ht="22.5" customHeight="1">
      <c r="A1701" s="70" t="str">
        <f t="shared" si="1"/>
        <v>Excluded</v>
      </c>
      <c r="B1701" s="70">
        <f t="shared" si="2"/>
        <v>0</v>
      </c>
      <c r="C1701" s="70">
        <v>0.0</v>
      </c>
      <c r="D1701" s="70">
        <v>0.0</v>
      </c>
      <c r="E1701" s="70">
        <v>0.0</v>
      </c>
      <c r="F1701" s="70">
        <v>0.0</v>
      </c>
      <c r="G1701" s="70">
        <v>0.0</v>
      </c>
      <c r="H1701" s="70" t="s">
        <v>11023</v>
      </c>
      <c r="I1701" s="70">
        <v>1152.0</v>
      </c>
      <c r="K1701" s="70" t="s">
        <v>10631</v>
      </c>
      <c r="L1701" s="70" t="s">
        <v>10632</v>
      </c>
      <c r="P1701" s="76">
        <v>44053.0</v>
      </c>
      <c r="U1701" s="70" t="s">
        <v>239</v>
      </c>
      <c r="W1701" s="70" t="s">
        <v>10634</v>
      </c>
      <c r="X1701" s="70" t="s">
        <v>10635</v>
      </c>
      <c r="Z1701" s="75" t="s">
        <v>11024</v>
      </c>
      <c r="AF1701" s="70" t="s">
        <v>239</v>
      </c>
      <c r="AZ1701" s="70">
        <v>1331.0</v>
      </c>
    </row>
    <row r="1702" ht="22.5" customHeight="1">
      <c r="A1702" s="70" t="str">
        <f t="shared" si="1"/>
        <v>Excluded</v>
      </c>
      <c r="B1702" s="70">
        <f t="shared" si="2"/>
        <v>0</v>
      </c>
      <c r="C1702" s="70">
        <v>0.0</v>
      </c>
      <c r="D1702" s="70">
        <v>0.0</v>
      </c>
      <c r="E1702" s="70">
        <v>0.0</v>
      </c>
      <c r="F1702" s="70">
        <v>0.0</v>
      </c>
      <c r="G1702" s="70">
        <v>0.0</v>
      </c>
      <c r="H1702" s="70" t="s">
        <v>10836</v>
      </c>
      <c r="I1702" s="70">
        <v>1101.0</v>
      </c>
      <c r="K1702" s="70" t="s">
        <v>10631</v>
      </c>
      <c r="L1702" s="70" t="s">
        <v>10632</v>
      </c>
      <c r="P1702" s="76">
        <v>44053.0</v>
      </c>
      <c r="U1702" s="70" t="s">
        <v>239</v>
      </c>
      <c r="W1702" s="70" t="s">
        <v>10634</v>
      </c>
      <c r="X1702" s="70" t="s">
        <v>10635</v>
      </c>
      <c r="Z1702" s="75" t="s">
        <v>10837</v>
      </c>
      <c r="AF1702" s="70" t="s">
        <v>239</v>
      </c>
      <c r="AZ1702" s="70">
        <v>1325.0</v>
      </c>
    </row>
    <row r="1703" ht="22.5" customHeight="1">
      <c r="A1703" s="70" t="str">
        <f t="shared" si="1"/>
        <v>Excluded</v>
      </c>
      <c r="B1703" s="70">
        <f t="shared" si="2"/>
        <v>0</v>
      </c>
      <c r="C1703" s="70">
        <v>0.0</v>
      </c>
      <c r="D1703" s="70">
        <v>0.0</v>
      </c>
      <c r="E1703" s="70">
        <v>0.0</v>
      </c>
      <c r="F1703" s="70">
        <v>0.0</v>
      </c>
      <c r="G1703" s="70">
        <v>0.0</v>
      </c>
      <c r="H1703" s="70" t="s">
        <v>11040</v>
      </c>
      <c r="I1703" s="70">
        <v>1158.0</v>
      </c>
      <c r="K1703" s="70" t="s">
        <v>10631</v>
      </c>
      <c r="L1703" s="70" t="s">
        <v>10632</v>
      </c>
      <c r="P1703" s="76">
        <v>44053.0</v>
      </c>
      <c r="U1703" s="70" t="s">
        <v>239</v>
      </c>
      <c r="W1703" s="70" t="s">
        <v>10634</v>
      </c>
      <c r="X1703" s="70" t="s">
        <v>10635</v>
      </c>
      <c r="Z1703" s="75" t="s">
        <v>11041</v>
      </c>
      <c r="AF1703" s="70" t="s">
        <v>239</v>
      </c>
      <c r="AZ1703" s="70">
        <v>1334.0</v>
      </c>
    </row>
    <row r="1704" ht="22.5" customHeight="1">
      <c r="A1704" s="70" t="str">
        <f t="shared" si="1"/>
        <v>Excluded</v>
      </c>
      <c r="B1704" s="70">
        <f t="shared" si="2"/>
        <v>0</v>
      </c>
      <c r="C1704" s="70">
        <v>0.0</v>
      </c>
      <c r="D1704" s="70">
        <v>0.0</v>
      </c>
      <c r="E1704" s="70">
        <v>0.0</v>
      </c>
      <c r="F1704" s="70">
        <v>0.0</v>
      </c>
      <c r="G1704" s="70">
        <v>0.0</v>
      </c>
      <c r="H1704" s="70" t="s">
        <v>10860</v>
      </c>
      <c r="I1704" s="70">
        <v>1107.0</v>
      </c>
      <c r="K1704" s="70" t="s">
        <v>10631</v>
      </c>
      <c r="L1704" s="70" t="s">
        <v>10632</v>
      </c>
      <c r="P1704" s="76">
        <v>44053.0</v>
      </c>
      <c r="U1704" s="70" t="s">
        <v>239</v>
      </c>
      <c r="W1704" s="70" t="s">
        <v>10634</v>
      </c>
      <c r="X1704" s="70" t="s">
        <v>10635</v>
      </c>
      <c r="Z1704" s="75" t="s">
        <v>10861</v>
      </c>
      <c r="AF1704" s="70" t="s">
        <v>239</v>
      </c>
      <c r="AZ1704" s="70">
        <v>1316.0</v>
      </c>
    </row>
    <row r="1705" ht="22.5" customHeight="1">
      <c r="A1705" s="70" t="str">
        <f t="shared" si="1"/>
        <v>Excluded</v>
      </c>
      <c r="B1705" s="70">
        <f t="shared" si="2"/>
        <v>0</v>
      </c>
      <c r="C1705" s="70">
        <v>0.0</v>
      </c>
      <c r="D1705" s="70">
        <v>0.0</v>
      </c>
      <c r="E1705" s="70">
        <v>0.0</v>
      </c>
      <c r="F1705" s="70">
        <v>0.0</v>
      </c>
      <c r="G1705" s="70">
        <v>0.0</v>
      </c>
      <c r="H1705" s="70" t="s">
        <v>10960</v>
      </c>
      <c r="I1705" s="70">
        <v>1134.0</v>
      </c>
      <c r="K1705" s="70" t="s">
        <v>10631</v>
      </c>
      <c r="L1705" s="70" t="s">
        <v>10632</v>
      </c>
      <c r="P1705" s="76">
        <v>44053.0</v>
      </c>
      <c r="U1705" s="70" t="s">
        <v>239</v>
      </c>
      <c r="W1705" s="70" t="s">
        <v>10634</v>
      </c>
      <c r="X1705" s="70" t="s">
        <v>10635</v>
      </c>
      <c r="Z1705" s="75" t="s">
        <v>10961</v>
      </c>
      <c r="AF1705" s="70" t="s">
        <v>239</v>
      </c>
      <c r="AZ1705" s="70">
        <v>1318.0</v>
      </c>
    </row>
    <row r="1706" ht="22.5" customHeight="1">
      <c r="A1706" s="70" t="str">
        <f t="shared" si="1"/>
        <v>Excluded</v>
      </c>
      <c r="B1706" s="70">
        <f t="shared" si="2"/>
        <v>0</v>
      </c>
      <c r="C1706" s="70">
        <v>0.0</v>
      </c>
      <c r="D1706" s="70">
        <v>0.0</v>
      </c>
      <c r="E1706" s="70">
        <v>0.0</v>
      </c>
      <c r="F1706" s="70">
        <v>0.0</v>
      </c>
      <c r="G1706" s="70">
        <v>0.0</v>
      </c>
      <c r="H1706" s="70" t="s">
        <v>11035</v>
      </c>
      <c r="I1706" s="70">
        <v>1156.0</v>
      </c>
      <c r="K1706" s="70" t="s">
        <v>10631</v>
      </c>
      <c r="L1706" s="70" t="s">
        <v>10632</v>
      </c>
      <c r="P1706" s="76">
        <v>44053.0</v>
      </c>
      <c r="U1706" s="70" t="s">
        <v>239</v>
      </c>
      <c r="W1706" s="70" t="s">
        <v>10634</v>
      </c>
      <c r="X1706" s="70" t="s">
        <v>10635</v>
      </c>
      <c r="Z1706" s="75" t="s">
        <v>11036</v>
      </c>
      <c r="AF1706" s="70" t="s">
        <v>239</v>
      </c>
      <c r="AZ1706" s="70">
        <v>1330.0</v>
      </c>
    </row>
    <row r="1707" ht="22.5" customHeight="1">
      <c r="A1707" s="70" t="str">
        <f t="shared" si="1"/>
        <v>Excluded</v>
      </c>
      <c r="B1707" s="70">
        <f t="shared" si="2"/>
        <v>0</v>
      </c>
      <c r="C1707" s="70">
        <v>0.0</v>
      </c>
      <c r="D1707" s="70">
        <v>0.0</v>
      </c>
      <c r="E1707" s="70">
        <v>0.0</v>
      </c>
      <c r="F1707" s="70">
        <v>0.0</v>
      </c>
      <c r="G1707" s="70">
        <v>0.0</v>
      </c>
      <c r="H1707" s="70" t="s">
        <v>10633</v>
      </c>
      <c r="I1707" s="70">
        <v>1053.0</v>
      </c>
      <c r="K1707" s="70" t="s">
        <v>10631</v>
      </c>
      <c r="L1707" s="70" t="s">
        <v>10632</v>
      </c>
      <c r="P1707" s="76">
        <v>44053.0</v>
      </c>
      <c r="U1707" s="70" t="s">
        <v>239</v>
      </c>
      <c r="W1707" s="70" t="s">
        <v>10634</v>
      </c>
      <c r="X1707" s="70" t="s">
        <v>10635</v>
      </c>
      <c r="Z1707" s="75" t="s">
        <v>10636</v>
      </c>
      <c r="AF1707" s="70" t="s">
        <v>239</v>
      </c>
      <c r="AZ1707" s="70">
        <v>1322.0</v>
      </c>
    </row>
    <row r="1708" ht="22.5" customHeight="1">
      <c r="A1708" s="70" t="str">
        <f t="shared" si="1"/>
        <v>Excluded</v>
      </c>
      <c r="B1708" s="70">
        <f t="shared" si="2"/>
        <v>0</v>
      </c>
      <c r="C1708" s="70">
        <v>0.0</v>
      </c>
      <c r="D1708" s="70">
        <v>0.0</v>
      </c>
      <c r="E1708" s="70">
        <v>0.0</v>
      </c>
      <c r="F1708" s="70">
        <v>0.0</v>
      </c>
      <c r="G1708" s="70">
        <v>0.0</v>
      </c>
      <c r="H1708" s="70" t="s">
        <v>10868</v>
      </c>
      <c r="I1708" s="70">
        <v>1110.0</v>
      </c>
      <c r="K1708" s="70" t="s">
        <v>10631</v>
      </c>
      <c r="L1708" s="70" t="s">
        <v>10632</v>
      </c>
      <c r="P1708" s="76">
        <v>44053.0</v>
      </c>
      <c r="U1708" s="70" t="s">
        <v>239</v>
      </c>
      <c r="W1708" s="70" t="s">
        <v>10634</v>
      </c>
      <c r="X1708" s="70" t="s">
        <v>10635</v>
      </c>
      <c r="Z1708" s="75" t="s">
        <v>10869</v>
      </c>
      <c r="AF1708" s="70" t="s">
        <v>239</v>
      </c>
      <c r="AZ1708" s="70">
        <v>1329.0</v>
      </c>
    </row>
    <row r="1709" ht="22.5" customHeight="1">
      <c r="A1709" s="70" t="str">
        <f t="shared" si="1"/>
        <v>Excluded</v>
      </c>
      <c r="B1709" s="70">
        <f t="shared" si="2"/>
        <v>0</v>
      </c>
      <c r="C1709" s="70">
        <v>0.0</v>
      </c>
      <c r="D1709" s="70">
        <v>0.0</v>
      </c>
      <c r="E1709" s="70">
        <v>0.0</v>
      </c>
      <c r="F1709" s="70">
        <v>0.0</v>
      </c>
      <c r="G1709" s="70">
        <v>0.0</v>
      </c>
      <c r="H1709" s="70" t="s">
        <v>10762</v>
      </c>
      <c r="I1709" s="70">
        <v>1082.0</v>
      </c>
      <c r="K1709" s="70" t="s">
        <v>10631</v>
      </c>
      <c r="L1709" s="70" t="s">
        <v>10632</v>
      </c>
      <c r="P1709" s="76">
        <v>44053.0</v>
      </c>
      <c r="U1709" s="70" t="s">
        <v>239</v>
      </c>
      <c r="W1709" s="70" t="s">
        <v>10634</v>
      </c>
      <c r="X1709" s="70" t="s">
        <v>10635</v>
      </c>
      <c r="Z1709" s="75" t="s">
        <v>10763</v>
      </c>
      <c r="AF1709" s="70" t="s">
        <v>239</v>
      </c>
      <c r="AZ1709" s="70">
        <v>1321.0</v>
      </c>
    </row>
    <row r="1710" ht="22.5" customHeight="1">
      <c r="A1710" s="70" t="str">
        <f t="shared" si="1"/>
        <v>Excluded</v>
      </c>
      <c r="B1710" s="70">
        <f t="shared" si="2"/>
        <v>0</v>
      </c>
      <c r="C1710" s="70">
        <v>0.0</v>
      </c>
      <c r="D1710" s="70">
        <v>0.0</v>
      </c>
      <c r="E1710" s="70">
        <v>0.0</v>
      </c>
      <c r="F1710" s="70">
        <v>0.0</v>
      </c>
      <c r="G1710" s="70">
        <v>0.0</v>
      </c>
      <c r="H1710" s="70" t="s">
        <v>11000</v>
      </c>
      <c r="I1710" s="70">
        <v>1145.0</v>
      </c>
      <c r="K1710" s="70" t="s">
        <v>10631</v>
      </c>
      <c r="L1710" s="70" t="s">
        <v>10632</v>
      </c>
      <c r="P1710" s="76">
        <v>44053.0</v>
      </c>
      <c r="U1710" s="70" t="s">
        <v>239</v>
      </c>
      <c r="W1710" s="70" t="s">
        <v>10634</v>
      </c>
      <c r="X1710" s="70" t="s">
        <v>10635</v>
      </c>
      <c r="Z1710" s="75" t="s">
        <v>11001</v>
      </c>
      <c r="AF1710" s="70" t="s">
        <v>239</v>
      </c>
      <c r="AZ1710" s="70">
        <v>1333.0</v>
      </c>
    </row>
    <row r="1711" ht="22.5" customHeight="1">
      <c r="A1711" s="70" t="str">
        <f t="shared" si="1"/>
        <v>Excluded</v>
      </c>
      <c r="B1711" s="70">
        <f t="shared" si="2"/>
        <v>0</v>
      </c>
      <c r="C1711" s="70">
        <v>0.0</v>
      </c>
      <c r="D1711" s="70">
        <v>0.0</v>
      </c>
      <c r="E1711" s="70">
        <v>0.0</v>
      </c>
      <c r="F1711" s="70">
        <v>0.0</v>
      </c>
      <c r="G1711" s="70">
        <v>0.0</v>
      </c>
      <c r="H1711" s="70" t="s">
        <v>10890</v>
      </c>
      <c r="I1711" s="70">
        <v>1116.0</v>
      </c>
      <c r="K1711" s="70" t="s">
        <v>10631</v>
      </c>
      <c r="L1711" s="70" t="s">
        <v>10632</v>
      </c>
      <c r="P1711" s="76">
        <v>44053.0</v>
      </c>
      <c r="U1711" s="70" t="s">
        <v>239</v>
      </c>
      <c r="W1711" s="70" t="s">
        <v>10634</v>
      </c>
      <c r="X1711" s="70" t="s">
        <v>10635</v>
      </c>
      <c r="Z1711" s="75" t="s">
        <v>10891</v>
      </c>
      <c r="AF1711" s="70" t="s">
        <v>239</v>
      </c>
      <c r="AZ1711" s="70">
        <v>1328.0</v>
      </c>
    </row>
    <row r="1712" ht="22.5" customHeight="1">
      <c r="A1712" s="70" t="str">
        <f t="shared" si="1"/>
        <v>Excluded</v>
      </c>
      <c r="B1712" s="70">
        <f t="shared" si="2"/>
        <v>0</v>
      </c>
      <c r="C1712" s="70">
        <v>0.0</v>
      </c>
      <c r="D1712" s="70">
        <v>0.0</v>
      </c>
      <c r="E1712" s="70">
        <v>0.0</v>
      </c>
      <c r="F1712" s="70">
        <v>0.0</v>
      </c>
      <c r="G1712" s="70">
        <v>0.0</v>
      </c>
      <c r="H1712" s="70" t="s">
        <v>10640</v>
      </c>
      <c r="I1712" s="70">
        <v>1055.0</v>
      </c>
      <c r="K1712" s="70" t="s">
        <v>10631</v>
      </c>
      <c r="L1712" s="70" t="s">
        <v>10632</v>
      </c>
      <c r="P1712" s="76">
        <v>44053.0</v>
      </c>
      <c r="U1712" s="70" t="s">
        <v>239</v>
      </c>
      <c r="W1712" s="70" t="s">
        <v>10634</v>
      </c>
      <c r="X1712" s="70" t="s">
        <v>10635</v>
      </c>
      <c r="Z1712" s="75" t="s">
        <v>10641</v>
      </c>
      <c r="AF1712" s="70" t="s">
        <v>239</v>
      </c>
      <c r="AZ1712" s="70">
        <v>1326.0</v>
      </c>
    </row>
    <row r="1713" ht="22.5" customHeight="1">
      <c r="A1713" s="70" t="str">
        <f t="shared" si="1"/>
        <v>Excluded</v>
      </c>
      <c r="B1713" s="70">
        <f t="shared" si="2"/>
        <v>0</v>
      </c>
      <c r="C1713" s="70">
        <v>0.0</v>
      </c>
      <c r="D1713" s="70">
        <v>0.0</v>
      </c>
      <c r="E1713" s="70">
        <v>0.0</v>
      </c>
      <c r="F1713" s="70">
        <v>0.0</v>
      </c>
      <c r="G1713" s="70">
        <v>0.0</v>
      </c>
      <c r="H1713" s="70" t="s">
        <v>10935</v>
      </c>
      <c r="I1713" s="70">
        <v>1128.0</v>
      </c>
      <c r="K1713" s="70" t="s">
        <v>10631</v>
      </c>
      <c r="L1713" s="70" t="s">
        <v>10632</v>
      </c>
      <c r="P1713" s="76">
        <v>44053.0</v>
      </c>
      <c r="U1713" s="70" t="s">
        <v>239</v>
      </c>
      <c r="W1713" s="70" t="s">
        <v>10634</v>
      </c>
      <c r="X1713" s="70" t="s">
        <v>10635</v>
      </c>
      <c r="Z1713" s="75" t="s">
        <v>10936</v>
      </c>
      <c r="AF1713" s="70" t="s">
        <v>239</v>
      </c>
      <c r="AZ1713" s="70">
        <v>1327.0</v>
      </c>
    </row>
    <row r="1714" ht="22.5" customHeight="1">
      <c r="A1714" s="70" t="str">
        <f t="shared" si="1"/>
        <v>Excluded</v>
      </c>
      <c r="B1714" s="70">
        <f t="shared" si="2"/>
        <v>0</v>
      </c>
      <c r="C1714" s="70">
        <v>0.0</v>
      </c>
      <c r="D1714" s="70">
        <v>0.0</v>
      </c>
      <c r="E1714" s="70">
        <v>0.0</v>
      </c>
      <c r="F1714" s="70">
        <v>0.0</v>
      </c>
      <c r="G1714" s="70">
        <v>0.0</v>
      </c>
      <c r="H1714" s="70" t="s">
        <v>10912</v>
      </c>
      <c r="I1714" s="70">
        <v>1122.0</v>
      </c>
      <c r="K1714" s="70" t="s">
        <v>10631</v>
      </c>
      <c r="L1714" s="70" t="s">
        <v>10632</v>
      </c>
      <c r="P1714" s="76">
        <v>44053.0</v>
      </c>
      <c r="U1714" s="70" t="s">
        <v>239</v>
      </c>
      <c r="W1714" s="70" t="s">
        <v>10634</v>
      </c>
      <c r="X1714" s="70" t="s">
        <v>10635</v>
      </c>
      <c r="Z1714" s="75" t="s">
        <v>10913</v>
      </c>
      <c r="AF1714" s="70" t="s">
        <v>239</v>
      </c>
      <c r="AZ1714" s="70">
        <v>1319.0</v>
      </c>
    </row>
    <row r="1715" ht="22.5" customHeight="1">
      <c r="A1715" s="70" t="str">
        <f t="shared" si="1"/>
        <v>Excluded</v>
      </c>
      <c r="B1715" s="70">
        <f t="shared" si="2"/>
        <v>0</v>
      </c>
      <c r="C1715" s="70">
        <v>0.0</v>
      </c>
      <c r="D1715" s="70">
        <v>0.0</v>
      </c>
      <c r="E1715" s="70">
        <v>0.0</v>
      </c>
      <c r="F1715" s="70">
        <v>0.0</v>
      </c>
      <c r="G1715" s="70">
        <v>0.0</v>
      </c>
      <c r="H1715" s="70" t="s">
        <v>10677</v>
      </c>
      <c r="I1715" s="70">
        <v>1062.0</v>
      </c>
      <c r="K1715" s="70" t="s">
        <v>10631</v>
      </c>
      <c r="L1715" s="70" t="s">
        <v>10632</v>
      </c>
      <c r="P1715" s="76">
        <v>44053.0</v>
      </c>
      <c r="U1715" s="70" t="s">
        <v>239</v>
      </c>
      <c r="W1715" s="70" t="s">
        <v>10634</v>
      </c>
      <c r="X1715" s="70" t="s">
        <v>10635</v>
      </c>
      <c r="Z1715" s="75" t="s">
        <v>10678</v>
      </c>
      <c r="AF1715" s="70" t="s">
        <v>239</v>
      </c>
      <c r="AZ1715" s="70">
        <v>1320.0</v>
      </c>
    </row>
    <row r="1716" ht="22.5" customHeight="1">
      <c r="A1716" s="70" t="str">
        <f t="shared" si="1"/>
        <v>Excluded</v>
      </c>
      <c r="B1716" s="70">
        <f t="shared" si="2"/>
        <v>0</v>
      </c>
      <c r="C1716" s="70">
        <v>0.0</v>
      </c>
      <c r="D1716" s="70">
        <v>0.0</v>
      </c>
      <c r="E1716" s="70">
        <v>0.0</v>
      </c>
      <c r="F1716" s="70">
        <v>0.0</v>
      </c>
      <c r="G1716" s="70">
        <v>0.0</v>
      </c>
      <c r="H1716" s="70" t="s">
        <v>10773</v>
      </c>
      <c r="I1716" s="70">
        <v>1085.0</v>
      </c>
      <c r="K1716" s="70" t="s">
        <v>10631</v>
      </c>
      <c r="L1716" s="70" t="s">
        <v>10632</v>
      </c>
      <c r="P1716" s="76">
        <v>44053.0</v>
      </c>
      <c r="U1716" s="70" t="s">
        <v>239</v>
      </c>
      <c r="W1716" s="70" t="s">
        <v>10634</v>
      </c>
      <c r="X1716" s="70" t="s">
        <v>10635</v>
      </c>
      <c r="Z1716" s="75" t="s">
        <v>10774</v>
      </c>
      <c r="AF1716" s="70" t="s">
        <v>239</v>
      </c>
      <c r="AZ1716" s="70">
        <v>1323.0</v>
      </c>
    </row>
    <row r="1717" ht="22.5" customHeight="1">
      <c r="A1717" s="70" t="str">
        <f t="shared" si="1"/>
        <v>Excluded</v>
      </c>
      <c r="B1717" s="70">
        <f t="shared" si="2"/>
        <v>0</v>
      </c>
      <c r="C1717" s="70">
        <v>0.0</v>
      </c>
      <c r="D1717" s="70">
        <v>0.0</v>
      </c>
      <c r="E1717" s="70">
        <v>0.0</v>
      </c>
      <c r="F1717" s="70">
        <v>0.0</v>
      </c>
      <c r="G1717" s="70">
        <v>0.0</v>
      </c>
      <c r="H1717" s="70" t="s">
        <v>13027</v>
      </c>
      <c r="I1717" s="70">
        <v>1358.0</v>
      </c>
      <c r="J1717" s="70" t="s">
        <v>30546</v>
      </c>
      <c r="K1717" s="70" t="s">
        <v>13026</v>
      </c>
      <c r="L1717" s="70" t="s">
        <v>12511</v>
      </c>
      <c r="N1717" s="70" t="s">
        <v>12512</v>
      </c>
      <c r="P1717" s="76">
        <v>45517.0</v>
      </c>
      <c r="U1717" s="70" t="s">
        <v>239</v>
      </c>
      <c r="W1717" s="70" t="s">
        <v>13029</v>
      </c>
      <c r="X1717" s="70" t="s">
        <v>12516</v>
      </c>
      <c r="Z1717" s="75" t="s">
        <v>13030</v>
      </c>
      <c r="AE1717" s="70">
        <v>25.0</v>
      </c>
      <c r="AF1717" s="70" t="s">
        <v>239</v>
      </c>
      <c r="AW1717" s="70" t="s">
        <v>13031</v>
      </c>
      <c r="AZ1717" s="70">
        <v>689.0</v>
      </c>
    </row>
    <row r="1718" ht="22.5" customHeight="1">
      <c r="A1718" s="70" t="str">
        <f t="shared" si="1"/>
        <v>Excluded</v>
      </c>
      <c r="B1718" s="70">
        <f t="shared" si="2"/>
        <v>0</v>
      </c>
      <c r="C1718" s="70">
        <v>0.0</v>
      </c>
      <c r="D1718" s="70">
        <v>0.0</v>
      </c>
      <c r="E1718" s="70">
        <v>0.0</v>
      </c>
      <c r="F1718" s="70">
        <v>0.0</v>
      </c>
      <c r="G1718" s="70">
        <v>0.0</v>
      </c>
      <c r="H1718" s="70" t="s">
        <v>7363</v>
      </c>
      <c r="I1718" s="70">
        <v>706.0</v>
      </c>
      <c r="J1718" s="70" t="s">
        <v>30547</v>
      </c>
      <c r="K1718" s="70" t="s">
        <v>7361</v>
      </c>
      <c r="L1718" s="70" t="s">
        <v>7362</v>
      </c>
      <c r="P1718" s="76">
        <v>43216.0</v>
      </c>
      <c r="U1718" s="70" t="s">
        <v>239</v>
      </c>
      <c r="W1718" s="70" t="s">
        <v>7365</v>
      </c>
      <c r="X1718" s="70" t="s">
        <v>7366</v>
      </c>
      <c r="Z1718" s="75" t="s">
        <v>7367</v>
      </c>
      <c r="AA1718" s="70" t="s">
        <v>7368</v>
      </c>
      <c r="AC1718" s="70">
        <v>3.0</v>
      </c>
      <c r="AE1718" s="70">
        <v>13.0</v>
      </c>
      <c r="AF1718" s="70" t="s">
        <v>239</v>
      </c>
      <c r="AW1718" s="70" t="s">
        <v>7369</v>
      </c>
      <c r="AX1718" s="70">
        <v>0.0</v>
      </c>
      <c r="AY1718" s="70" t="s">
        <v>24</v>
      </c>
      <c r="AZ1718" s="70">
        <v>2832.0</v>
      </c>
    </row>
    <row r="1719" ht="22.5" customHeight="1">
      <c r="A1719" s="70" t="str">
        <f t="shared" si="1"/>
        <v>Excluded</v>
      </c>
      <c r="B1719" s="70">
        <f t="shared" si="2"/>
        <v>0</v>
      </c>
      <c r="C1719" s="70">
        <v>0.0</v>
      </c>
      <c r="D1719" s="70">
        <v>0.0</v>
      </c>
      <c r="E1719" s="70">
        <v>0.0</v>
      </c>
      <c r="F1719" s="70">
        <v>0.0</v>
      </c>
      <c r="G1719" s="70">
        <v>0.0</v>
      </c>
      <c r="H1719" s="70" t="s">
        <v>13823</v>
      </c>
      <c r="I1719" s="70">
        <v>1439.0</v>
      </c>
      <c r="J1719" s="70" t="s">
        <v>30548</v>
      </c>
      <c r="K1719" s="70" t="s">
        <v>13820</v>
      </c>
      <c r="L1719" s="70" t="s">
        <v>13821</v>
      </c>
      <c r="N1719" s="70" t="s">
        <v>13822</v>
      </c>
      <c r="P1719" s="76">
        <v>45559.0</v>
      </c>
      <c r="U1719" s="70" t="s">
        <v>239</v>
      </c>
      <c r="W1719" s="70" t="s">
        <v>13825</v>
      </c>
      <c r="X1719" s="70" t="s">
        <v>13826</v>
      </c>
      <c r="Y1719" s="70" t="s">
        <v>30549</v>
      </c>
      <c r="Z1719" s="75" t="s">
        <v>13828</v>
      </c>
      <c r="AA1719" s="70" t="s">
        <v>13829</v>
      </c>
      <c r="AE1719" s="70">
        <v>36.0</v>
      </c>
      <c r="AF1719" s="70" t="s">
        <v>239</v>
      </c>
      <c r="AW1719" s="70" t="s">
        <v>13830</v>
      </c>
      <c r="AX1719" s="70">
        <v>0.0</v>
      </c>
      <c r="AY1719" s="70" t="s">
        <v>24</v>
      </c>
      <c r="AZ1719" s="70">
        <v>2803.0</v>
      </c>
    </row>
    <row r="1720" ht="22.5" customHeight="1">
      <c r="A1720" s="70" t="str">
        <f t="shared" si="1"/>
        <v>Excluded</v>
      </c>
      <c r="B1720" s="70">
        <f t="shared" si="2"/>
        <v>0</v>
      </c>
      <c r="C1720" s="70">
        <v>0.0</v>
      </c>
      <c r="D1720" s="70">
        <v>0.0</v>
      </c>
      <c r="E1720" s="70">
        <v>0.0</v>
      </c>
      <c r="F1720" s="70">
        <v>0.0</v>
      </c>
      <c r="G1720" s="70">
        <v>0.0</v>
      </c>
      <c r="H1720" s="70" t="s">
        <v>13143</v>
      </c>
      <c r="I1720" s="70">
        <v>1370.0</v>
      </c>
      <c r="J1720" s="70" t="s">
        <v>13140</v>
      </c>
      <c r="K1720" s="70" t="s">
        <v>13141</v>
      </c>
      <c r="L1720" s="70" t="s">
        <v>13142</v>
      </c>
      <c r="P1720" s="76">
        <v>45552.0</v>
      </c>
      <c r="U1720" s="70" t="s">
        <v>239</v>
      </c>
      <c r="W1720" s="70" t="s">
        <v>13145</v>
      </c>
      <c r="X1720" s="70" t="s">
        <v>13146</v>
      </c>
      <c r="Z1720" s="75" t="s">
        <v>13147</v>
      </c>
      <c r="AA1720" s="70" t="s">
        <v>13148</v>
      </c>
      <c r="AE1720" s="70">
        <v>15.0</v>
      </c>
      <c r="AF1720" s="70" t="s">
        <v>239</v>
      </c>
      <c r="AW1720" s="70" t="s">
        <v>13149</v>
      </c>
      <c r="AX1720" s="70">
        <v>0.0</v>
      </c>
      <c r="AY1720" s="70" t="s">
        <v>24</v>
      </c>
      <c r="AZ1720" s="70">
        <v>3047.0</v>
      </c>
    </row>
    <row r="1721" ht="22.5" customHeight="1">
      <c r="A1721" s="70" t="str">
        <f t="shared" si="1"/>
        <v>Excluded</v>
      </c>
      <c r="B1721" s="70">
        <f t="shared" si="2"/>
        <v>0</v>
      </c>
      <c r="C1721" s="70">
        <v>0.0</v>
      </c>
      <c r="D1721" s="70">
        <v>0.0</v>
      </c>
      <c r="E1721" s="70">
        <v>0.0</v>
      </c>
      <c r="F1721" s="70">
        <v>0.0</v>
      </c>
      <c r="G1721" s="70">
        <v>0.0</v>
      </c>
      <c r="H1721" s="70" t="s">
        <v>7851</v>
      </c>
      <c r="I1721" s="70">
        <v>756.0</v>
      </c>
      <c r="J1721" s="70" t="s">
        <v>7848</v>
      </c>
      <c r="K1721" s="70" t="s">
        <v>7849</v>
      </c>
      <c r="L1721" s="70" t="s">
        <v>7850</v>
      </c>
      <c r="P1721" s="76">
        <v>42383.0</v>
      </c>
      <c r="U1721" s="70" t="s">
        <v>239</v>
      </c>
      <c r="W1721" s="70" t="s">
        <v>7853</v>
      </c>
      <c r="X1721" s="70" t="s">
        <v>7854</v>
      </c>
      <c r="Z1721" s="75" t="s">
        <v>7855</v>
      </c>
      <c r="AA1721" s="70" t="s">
        <v>7856</v>
      </c>
      <c r="AC1721" s="70">
        <v>2.0</v>
      </c>
      <c r="AE1721" s="70">
        <v>10.0</v>
      </c>
      <c r="AF1721" s="70" t="s">
        <v>239</v>
      </c>
      <c r="AW1721" s="70" t="s">
        <v>7857</v>
      </c>
      <c r="AZ1721" s="70">
        <v>392.0</v>
      </c>
    </row>
    <row r="1722" ht="22.5" customHeight="1">
      <c r="A1722" s="70" t="str">
        <f t="shared" si="1"/>
        <v>Excluded</v>
      </c>
      <c r="B1722" s="70">
        <f t="shared" si="2"/>
        <v>0</v>
      </c>
      <c r="C1722" s="70">
        <v>0.0</v>
      </c>
      <c r="D1722" s="70">
        <v>0.0</v>
      </c>
      <c r="E1722" s="70">
        <v>0.0</v>
      </c>
      <c r="F1722" s="70">
        <v>0.0</v>
      </c>
      <c r="G1722" s="70">
        <v>0.0</v>
      </c>
      <c r="H1722" s="70" t="s">
        <v>15867</v>
      </c>
      <c r="I1722" s="70">
        <v>1661.0</v>
      </c>
      <c r="K1722" s="70" t="s">
        <v>15866</v>
      </c>
      <c r="L1722" s="70" t="s">
        <v>12412</v>
      </c>
      <c r="P1722" s="79">
        <v>45418.0</v>
      </c>
      <c r="U1722" s="70" t="s">
        <v>239</v>
      </c>
      <c r="X1722" s="70" t="s">
        <v>12416</v>
      </c>
      <c r="Z1722" s="75" t="s">
        <v>15868</v>
      </c>
      <c r="AF1722" s="70" t="s">
        <v>239</v>
      </c>
      <c r="AZ1722" s="70">
        <v>1339.0</v>
      </c>
    </row>
    <row r="1723" ht="22.5" customHeight="1">
      <c r="A1723" s="70" t="str">
        <f t="shared" si="1"/>
        <v>Excluded</v>
      </c>
      <c r="B1723" s="70">
        <f t="shared" si="2"/>
        <v>0</v>
      </c>
      <c r="C1723" s="70">
        <v>0.0</v>
      </c>
      <c r="D1723" s="70">
        <v>0.0</v>
      </c>
      <c r="E1723" s="70">
        <v>0.0</v>
      </c>
      <c r="F1723" s="70">
        <v>0.0</v>
      </c>
      <c r="G1723" s="70">
        <v>0.0</v>
      </c>
      <c r="H1723" s="70" t="s">
        <v>12413</v>
      </c>
      <c r="I1723" s="70">
        <v>1296.0</v>
      </c>
      <c r="J1723" s="70" t="s">
        <v>12410</v>
      </c>
      <c r="K1723" s="70" t="s">
        <v>12411</v>
      </c>
      <c r="L1723" s="70" t="s">
        <v>12412</v>
      </c>
      <c r="P1723" s="79">
        <v>45418.0</v>
      </c>
      <c r="U1723" s="70" t="s">
        <v>239</v>
      </c>
      <c r="W1723" s="70" t="s">
        <v>12415</v>
      </c>
      <c r="X1723" s="70" t="s">
        <v>12416</v>
      </c>
      <c r="Z1723" s="75" t="s">
        <v>12417</v>
      </c>
      <c r="AA1723" s="70" t="s">
        <v>12418</v>
      </c>
      <c r="AC1723" s="70">
        <v>1.0</v>
      </c>
      <c r="AE1723" s="70">
        <v>17.0</v>
      </c>
      <c r="AF1723" s="70" t="s">
        <v>239</v>
      </c>
      <c r="AW1723" s="70" t="s">
        <v>12419</v>
      </c>
      <c r="AX1723" s="70">
        <v>0.0</v>
      </c>
      <c r="AY1723" s="70" t="s">
        <v>24</v>
      </c>
      <c r="AZ1723" s="70">
        <v>1802.0</v>
      </c>
    </row>
    <row r="1724" ht="22.5" customHeight="1">
      <c r="A1724" s="70" t="str">
        <f t="shared" si="1"/>
        <v>Excluded</v>
      </c>
      <c r="B1724" s="70">
        <f t="shared" si="2"/>
        <v>0</v>
      </c>
      <c r="C1724" s="70">
        <v>0.0</v>
      </c>
      <c r="D1724" s="70">
        <v>0.0</v>
      </c>
      <c r="E1724" s="70">
        <v>0.0</v>
      </c>
      <c r="F1724" s="70">
        <v>0.0</v>
      </c>
      <c r="G1724" s="70">
        <v>0.0</v>
      </c>
      <c r="H1724" s="70" t="s">
        <v>6151</v>
      </c>
      <c r="I1724" s="70">
        <v>582.0</v>
      </c>
      <c r="J1724" s="70" t="s">
        <v>6148</v>
      </c>
      <c r="K1724" s="70" t="s">
        <v>6149</v>
      </c>
      <c r="L1724" s="70" t="s">
        <v>6150</v>
      </c>
      <c r="P1724" s="77">
        <v>44229.0</v>
      </c>
      <c r="U1724" s="70" t="s">
        <v>239</v>
      </c>
      <c r="W1724" s="70" t="s">
        <v>6153</v>
      </c>
      <c r="X1724" s="70" t="s">
        <v>6154</v>
      </c>
      <c r="Z1724" s="75" t="s">
        <v>6155</v>
      </c>
      <c r="AA1724" s="70" t="s">
        <v>6156</v>
      </c>
      <c r="AC1724" s="70">
        <v>7.0</v>
      </c>
      <c r="AE1724" s="70">
        <v>27.0</v>
      </c>
      <c r="AF1724" s="70" t="s">
        <v>239</v>
      </c>
      <c r="AW1724" s="70" t="s">
        <v>6157</v>
      </c>
      <c r="AX1724" s="70">
        <v>0.0</v>
      </c>
      <c r="AY1724" s="70" t="s">
        <v>24</v>
      </c>
      <c r="AZ1724" s="70">
        <v>3080.0</v>
      </c>
    </row>
    <row r="1725" ht="22.5" customHeight="1">
      <c r="A1725" s="70" t="str">
        <f t="shared" si="1"/>
        <v>Excluded</v>
      </c>
      <c r="B1725" s="70">
        <f t="shared" si="2"/>
        <v>0</v>
      </c>
      <c r="C1725" s="70">
        <v>0.0</v>
      </c>
      <c r="D1725" s="70">
        <v>0.0</v>
      </c>
      <c r="E1725" s="70">
        <v>0.0</v>
      </c>
      <c r="F1725" s="70">
        <v>0.0</v>
      </c>
      <c r="G1725" s="70">
        <v>0.0</v>
      </c>
      <c r="H1725" s="70" t="s">
        <v>8827</v>
      </c>
      <c r="I1725" s="70">
        <v>858.0</v>
      </c>
      <c r="J1725" s="70" t="s">
        <v>8823</v>
      </c>
      <c r="K1725" s="70" t="s">
        <v>8824</v>
      </c>
      <c r="L1725" s="70" t="s">
        <v>8825</v>
      </c>
      <c r="N1725" s="70" t="s">
        <v>8826</v>
      </c>
      <c r="P1725" s="76">
        <v>44998.0</v>
      </c>
      <c r="U1725" s="70" t="s">
        <v>239</v>
      </c>
      <c r="W1725" s="70" t="s">
        <v>8829</v>
      </c>
      <c r="X1725" s="70" t="s">
        <v>8830</v>
      </c>
      <c r="Z1725" s="75" t="s">
        <v>8831</v>
      </c>
      <c r="AA1725" s="70" t="s">
        <v>8832</v>
      </c>
      <c r="AC1725" s="70">
        <v>1.0</v>
      </c>
      <c r="AE1725" s="70">
        <v>37.0</v>
      </c>
      <c r="AF1725" s="70" t="s">
        <v>239</v>
      </c>
      <c r="AW1725" s="70" t="s">
        <v>8833</v>
      </c>
      <c r="AX1725" s="70">
        <v>0.0</v>
      </c>
      <c r="AY1725" s="70" t="s">
        <v>24</v>
      </c>
      <c r="AZ1725" s="70">
        <v>1891.0</v>
      </c>
    </row>
    <row r="1726" ht="22.5" customHeight="1">
      <c r="A1726" s="70" t="str">
        <f t="shared" si="1"/>
        <v>Excluded</v>
      </c>
      <c r="B1726" s="70">
        <f t="shared" si="2"/>
        <v>0</v>
      </c>
      <c r="C1726" s="70">
        <v>0.0</v>
      </c>
      <c r="D1726" s="70">
        <v>0.0</v>
      </c>
      <c r="E1726" s="70">
        <v>0.0</v>
      </c>
      <c r="F1726" s="70">
        <v>0.0</v>
      </c>
      <c r="G1726" s="70">
        <v>0.0</v>
      </c>
      <c r="H1726" s="70" t="s">
        <v>12704</v>
      </c>
      <c r="I1726" s="70">
        <v>1325.0</v>
      </c>
      <c r="J1726" s="70" t="s">
        <v>30550</v>
      </c>
      <c r="K1726" s="70" t="s">
        <v>12702</v>
      </c>
      <c r="L1726" s="70" t="s">
        <v>12703</v>
      </c>
      <c r="N1726" s="70" t="s">
        <v>8826</v>
      </c>
      <c r="P1726" s="76">
        <v>45579.0</v>
      </c>
      <c r="U1726" s="70" t="s">
        <v>239</v>
      </c>
      <c r="W1726" s="70" t="s">
        <v>12706</v>
      </c>
      <c r="X1726" s="70" t="s">
        <v>12707</v>
      </c>
      <c r="Y1726" s="70" t="s">
        <v>29380</v>
      </c>
      <c r="Z1726" s="75" t="s">
        <v>12708</v>
      </c>
      <c r="AA1726" s="70" t="s">
        <v>12709</v>
      </c>
      <c r="AE1726" s="70">
        <v>54.0</v>
      </c>
      <c r="AF1726" s="70" t="s">
        <v>239</v>
      </c>
      <c r="AW1726" s="70" t="s">
        <v>12710</v>
      </c>
      <c r="AX1726" s="70">
        <v>0.0</v>
      </c>
      <c r="AY1726" s="70" t="s">
        <v>24</v>
      </c>
      <c r="AZ1726" s="70">
        <v>1648.0</v>
      </c>
    </row>
    <row r="1727" ht="22.5" customHeight="1">
      <c r="A1727" s="70" t="str">
        <f t="shared" si="1"/>
        <v>Excluded</v>
      </c>
      <c r="B1727" s="70">
        <f t="shared" si="2"/>
        <v>0</v>
      </c>
      <c r="C1727" s="70">
        <v>0.0</v>
      </c>
      <c r="D1727" s="70">
        <v>0.0</v>
      </c>
      <c r="E1727" s="70">
        <v>0.0</v>
      </c>
      <c r="F1727" s="70">
        <v>0.0</v>
      </c>
      <c r="G1727" s="70">
        <v>0.0</v>
      </c>
      <c r="H1727" s="70" t="s">
        <v>8661</v>
      </c>
      <c r="I1727" s="70">
        <v>841.0</v>
      </c>
      <c r="J1727" s="70" t="s">
        <v>8657</v>
      </c>
      <c r="K1727" s="70" t="s">
        <v>8658</v>
      </c>
      <c r="L1727" s="70" t="s">
        <v>8659</v>
      </c>
      <c r="N1727" s="70" t="s">
        <v>8660</v>
      </c>
      <c r="P1727" s="77">
        <v>44291.0</v>
      </c>
      <c r="U1727" s="70" t="s">
        <v>239</v>
      </c>
      <c r="W1727" s="70" t="s">
        <v>8663</v>
      </c>
      <c r="X1727" s="70" t="s">
        <v>8664</v>
      </c>
      <c r="Y1727" s="70" t="s">
        <v>30551</v>
      </c>
      <c r="Z1727" s="75" t="s">
        <v>8666</v>
      </c>
      <c r="AA1727" s="70" t="s">
        <v>8667</v>
      </c>
      <c r="AC1727" s="70">
        <v>1.0</v>
      </c>
      <c r="AE1727" s="70">
        <v>9.0</v>
      </c>
      <c r="AF1727" s="70" t="s">
        <v>239</v>
      </c>
      <c r="AW1727" s="70" t="s">
        <v>8668</v>
      </c>
      <c r="AZ1727" s="70">
        <v>1097.0</v>
      </c>
    </row>
    <row r="1728" ht="22.5" customHeight="1">
      <c r="A1728" s="70" t="str">
        <f t="shared" si="1"/>
        <v>Excluded</v>
      </c>
      <c r="B1728" s="70">
        <f t="shared" si="2"/>
        <v>0</v>
      </c>
      <c r="C1728" s="70">
        <v>0.0</v>
      </c>
      <c r="D1728" s="70">
        <v>0.0</v>
      </c>
      <c r="E1728" s="70">
        <v>0.0</v>
      </c>
      <c r="F1728" s="70">
        <v>0.0</v>
      </c>
      <c r="G1728" s="70">
        <v>0.0</v>
      </c>
      <c r="H1728" s="70" t="s">
        <v>10965</v>
      </c>
      <c r="I1728" s="70">
        <v>1136.0</v>
      </c>
      <c r="K1728" s="70" t="s">
        <v>10597</v>
      </c>
      <c r="L1728" s="70" t="s">
        <v>10964</v>
      </c>
      <c r="N1728" s="70" t="s">
        <v>4813</v>
      </c>
      <c r="P1728" s="76">
        <v>44026.0</v>
      </c>
      <c r="U1728" s="70" t="s">
        <v>239</v>
      </c>
      <c r="W1728" s="70" t="s">
        <v>10602</v>
      </c>
      <c r="X1728" s="70" t="s">
        <v>10966</v>
      </c>
      <c r="Z1728" s="75" t="s">
        <v>10967</v>
      </c>
      <c r="AF1728" s="70" t="s">
        <v>239</v>
      </c>
      <c r="AZ1728" s="70">
        <v>1615.0</v>
      </c>
    </row>
    <row r="1729" ht="22.5" customHeight="1">
      <c r="A1729" s="70" t="str">
        <f t="shared" si="1"/>
        <v>Excluded</v>
      </c>
      <c r="B1729" s="70">
        <f t="shared" si="2"/>
        <v>0</v>
      </c>
      <c r="C1729" s="70">
        <v>0.0</v>
      </c>
      <c r="D1729" s="70">
        <v>0.0</v>
      </c>
      <c r="E1729" s="70">
        <v>0.0</v>
      </c>
      <c r="F1729" s="70">
        <v>0.0</v>
      </c>
      <c r="G1729" s="70">
        <v>0.0</v>
      </c>
      <c r="H1729" s="70" t="s">
        <v>28059</v>
      </c>
      <c r="I1729" s="70">
        <v>3024.0</v>
      </c>
      <c r="J1729" s="70" t="s">
        <v>28057</v>
      </c>
      <c r="K1729" s="70" t="s">
        <v>28058</v>
      </c>
      <c r="W1729" s="70" t="s">
        <v>30552</v>
      </c>
      <c r="AA1729" s="70" t="s">
        <v>28061</v>
      </c>
      <c r="AI1729" s="70" t="s">
        <v>28062</v>
      </c>
      <c r="AJ1729" s="70" t="s">
        <v>28063</v>
      </c>
      <c r="AK1729" s="70">
        <v>2020.0</v>
      </c>
      <c r="AL1729" s="70" t="s">
        <v>28064</v>
      </c>
      <c r="AM1729" s="70">
        <v>9139802.0</v>
      </c>
      <c r="AN1729" s="70">
        <v>718.0</v>
      </c>
      <c r="AO1729" s="70">
        <v>727.0</v>
      </c>
      <c r="AP1729" s="70">
        <v>9.0</v>
      </c>
      <c r="AQ1729" s="70">
        <v>10.0</v>
      </c>
      <c r="AR1729" s="75" t="s">
        <v>28065</v>
      </c>
      <c r="AS1729" s="70" t="s">
        <v>22525</v>
      </c>
      <c r="AU1729" s="70" t="s">
        <v>237</v>
      </c>
      <c r="AV1729" s="70" t="s">
        <v>28066</v>
      </c>
      <c r="AW1729" s="70" t="s">
        <v>28067</v>
      </c>
      <c r="AX1729" s="70">
        <v>0.0</v>
      </c>
      <c r="AY1729" s="70" t="s">
        <v>24</v>
      </c>
      <c r="AZ1729" s="70">
        <v>2459.0</v>
      </c>
    </row>
    <row r="1730" ht="22.5" customHeight="1">
      <c r="A1730" s="70" t="str">
        <f t="shared" si="1"/>
        <v>Excluded</v>
      </c>
      <c r="B1730" s="70">
        <f t="shared" si="2"/>
        <v>0</v>
      </c>
      <c r="C1730" s="70">
        <v>0.0</v>
      </c>
      <c r="D1730" s="70">
        <v>0.0</v>
      </c>
      <c r="E1730" s="70">
        <v>0.0</v>
      </c>
      <c r="F1730" s="70">
        <v>0.0</v>
      </c>
      <c r="G1730" s="70">
        <v>0.0</v>
      </c>
      <c r="H1730" s="70" t="s">
        <v>4814</v>
      </c>
      <c r="I1730" s="70">
        <v>447.0</v>
      </c>
      <c r="J1730" s="70" t="s">
        <v>4810</v>
      </c>
      <c r="K1730" s="70" t="s">
        <v>4811</v>
      </c>
      <c r="L1730" s="70" t="s">
        <v>4812</v>
      </c>
      <c r="N1730" s="70" t="s">
        <v>4813</v>
      </c>
      <c r="P1730" s="76">
        <v>44375.0</v>
      </c>
      <c r="U1730" s="70" t="s">
        <v>239</v>
      </c>
      <c r="W1730" s="70" t="s">
        <v>4816</v>
      </c>
      <c r="X1730" s="70" t="s">
        <v>4817</v>
      </c>
      <c r="Z1730" s="75" t="s">
        <v>4818</v>
      </c>
      <c r="AC1730" s="70">
        <v>33.0</v>
      </c>
      <c r="AE1730" s="70">
        <v>38.0</v>
      </c>
      <c r="AF1730" s="70" t="s">
        <v>239</v>
      </c>
      <c r="AW1730" s="70" t="s">
        <v>4819</v>
      </c>
      <c r="AX1730" s="70">
        <v>0.0</v>
      </c>
      <c r="AY1730" s="70" t="s">
        <v>24</v>
      </c>
      <c r="AZ1730" s="70">
        <v>1659.0</v>
      </c>
    </row>
    <row r="1731" ht="22.5" customHeight="1">
      <c r="A1731" s="70" t="str">
        <f t="shared" si="1"/>
        <v>Excluded</v>
      </c>
      <c r="B1731" s="70">
        <f t="shared" si="2"/>
        <v>0</v>
      </c>
      <c r="C1731" s="70">
        <v>0.0</v>
      </c>
      <c r="D1731" s="70">
        <v>0.0</v>
      </c>
      <c r="E1731" s="70">
        <v>0.0</v>
      </c>
      <c r="F1731" s="70">
        <v>0.0</v>
      </c>
      <c r="G1731" s="70">
        <v>0.0</v>
      </c>
      <c r="H1731" s="70" t="s">
        <v>10648</v>
      </c>
      <c r="I1731" s="70">
        <v>1057.0</v>
      </c>
      <c r="K1731" s="70" t="s">
        <v>10597</v>
      </c>
      <c r="L1731" s="70" t="s">
        <v>10647</v>
      </c>
      <c r="N1731" s="70" t="s">
        <v>4813</v>
      </c>
      <c r="P1731" s="76">
        <v>44757.0</v>
      </c>
      <c r="U1731" s="70" t="s">
        <v>239</v>
      </c>
      <c r="W1731" s="70" t="s">
        <v>10602</v>
      </c>
      <c r="X1731" s="70" t="s">
        <v>10650</v>
      </c>
      <c r="Z1731" s="75" t="s">
        <v>10651</v>
      </c>
      <c r="AF1731" s="70" t="s">
        <v>239</v>
      </c>
      <c r="AZ1731" s="70">
        <v>1593.0</v>
      </c>
    </row>
    <row r="1732" ht="22.5" customHeight="1">
      <c r="A1732" s="70" t="str">
        <f t="shared" si="1"/>
        <v>Excluded</v>
      </c>
      <c r="B1732" s="70">
        <f t="shared" si="2"/>
        <v>0</v>
      </c>
      <c r="C1732" s="70">
        <v>0.0</v>
      </c>
      <c r="D1732" s="70">
        <v>0.0</v>
      </c>
      <c r="E1732" s="70">
        <v>0.0</v>
      </c>
      <c r="F1732" s="70">
        <v>0.0</v>
      </c>
      <c r="G1732" s="70">
        <v>0.0</v>
      </c>
      <c r="H1732" s="70" t="s">
        <v>8394</v>
      </c>
      <c r="I1732" s="70">
        <v>813.0</v>
      </c>
      <c r="J1732" s="70" t="s">
        <v>8391</v>
      </c>
      <c r="K1732" s="70" t="s">
        <v>8392</v>
      </c>
      <c r="L1732" s="70" t="s">
        <v>8393</v>
      </c>
      <c r="P1732" s="76">
        <v>44371.0</v>
      </c>
      <c r="U1732" s="70" t="s">
        <v>239</v>
      </c>
      <c r="W1732" s="70" t="s">
        <v>8396</v>
      </c>
      <c r="X1732" s="70" t="s">
        <v>8397</v>
      </c>
      <c r="Z1732" s="75" t="s">
        <v>8398</v>
      </c>
      <c r="AA1732" s="70" t="s">
        <v>8399</v>
      </c>
      <c r="AC1732" s="70">
        <v>2.0</v>
      </c>
      <c r="AE1732" s="70">
        <v>22.0</v>
      </c>
      <c r="AF1732" s="70" t="s">
        <v>239</v>
      </c>
      <c r="AW1732" s="70" t="s">
        <v>8400</v>
      </c>
      <c r="AX1732" s="70">
        <v>0.0</v>
      </c>
      <c r="AY1732" s="70" t="s">
        <v>24</v>
      </c>
      <c r="AZ1732" s="70">
        <v>2714.0</v>
      </c>
    </row>
    <row r="1733" ht="22.5" customHeight="1">
      <c r="A1733" s="70" t="str">
        <f t="shared" si="1"/>
        <v>Excluded</v>
      </c>
      <c r="B1733" s="70">
        <f t="shared" si="2"/>
        <v>0</v>
      </c>
      <c r="C1733" s="70">
        <v>0.0</v>
      </c>
      <c r="D1733" s="70">
        <v>0.0</v>
      </c>
      <c r="E1733" s="70">
        <v>0.0</v>
      </c>
      <c r="F1733" s="70">
        <v>0.0</v>
      </c>
      <c r="G1733" s="70">
        <v>0.0</v>
      </c>
      <c r="H1733" s="70" t="s">
        <v>6190</v>
      </c>
      <c r="I1733" s="70">
        <v>586.0</v>
      </c>
      <c r="J1733" s="70" t="s">
        <v>6187</v>
      </c>
      <c r="K1733" s="70" t="s">
        <v>6188</v>
      </c>
      <c r="L1733" s="70" t="s">
        <v>6189</v>
      </c>
      <c r="P1733" s="77">
        <v>44774.0</v>
      </c>
      <c r="U1733" s="70" t="s">
        <v>239</v>
      </c>
      <c r="W1733" s="70" t="s">
        <v>6192</v>
      </c>
      <c r="X1733" s="70" t="s">
        <v>6193</v>
      </c>
      <c r="Z1733" s="75" t="s">
        <v>6194</v>
      </c>
      <c r="AA1733" s="70" t="s">
        <v>6195</v>
      </c>
      <c r="AC1733" s="70">
        <v>7.0</v>
      </c>
      <c r="AE1733" s="70">
        <v>87.0</v>
      </c>
      <c r="AF1733" s="70" t="s">
        <v>239</v>
      </c>
      <c r="AW1733" s="70" t="s">
        <v>6196</v>
      </c>
      <c r="AX1733" s="70">
        <v>1.0</v>
      </c>
      <c r="AZ1733" s="70">
        <v>1627.0</v>
      </c>
    </row>
    <row r="1734" ht="22.5" customHeight="1">
      <c r="A1734" s="70" t="str">
        <f t="shared" si="1"/>
        <v>Excluded</v>
      </c>
      <c r="B1734" s="70">
        <f t="shared" si="2"/>
        <v>0</v>
      </c>
      <c r="C1734" s="70">
        <v>0.0</v>
      </c>
      <c r="D1734" s="70">
        <v>0.0</v>
      </c>
      <c r="E1734" s="70">
        <v>0.0</v>
      </c>
      <c r="F1734" s="70">
        <v>0.0</v>
      </c>
      <c r="G1734" s="70">
        <v>0.0</v>
      </c>
      <c r="H1734" s="70" t="s">
        <v>26519</v>
      </c>
      <c r="I1734" s="70">
        <v>2874.0</v>
      </c>
      <c r="J1734" s="70" t="s">
        <v>26517</v>
      </c>
      <c r="K1734" s="70" t="s">
        <v>26518</v>
      </c>
      <c r="W1734" s="70" t="s">
        <v>30553</v>
      </c>
      <c r="AA1734" s="70" t="s">
        <v>26521</v>
      </c>
      <c r="AI1734" s="70" t="s">
        <v>26522</v>
      </c>
      <c r="AJ1734" s="70" t="s">
        <v>26523</v>
      </c>
      <c r="AK1734" s="70">
        <v>2023.0</v>
      </c>
      <c r="AL1734" s="70" t="s">
        <v>26524</v>
      </c>
      <c r="AN1734" s="70">
        <v>769.0</v>
      </c>
      <c r="AO1734" s="70">
        <v>776.0</v>
      </c>
      <c r="AP1734" s="70">
        <v>7.0</v>
      </c>
      <c r="AQ1734" s="70">
        <v>1.0</v>
      </c>
      <c r="AR1734" s="75" t="s">
        <v>26525</v>
      </c>
      <c r="AS1734" s="70" t="s">
        <v>22525</v>
      </c>
      <c r="AT1734" s="70" t="s">
        <v>22816</v>
      </c>
      <c r="AU1734" s="70" t="s">
        <v>237</v>
      </c>
      <c r="AV1734" s="70" t="s">
        <v>26526</v>
      </c>
      <c r="AW1734" s="70" t="s">
        <v>26527</v>
      </c>
      <c r="AX1734" s="70">
        <v>0.0</v>
      </c>
      <c r="AY1734" s="70" t="s">
        <v>24</v>
      </c>
      <c r="AZ1734" s="70">
        <v>2345.0</v>
      </c>
    </row>
    <row r="1735" ht="22.5" customHeight="1">
      <c r="A1735" s="70" t="str">
        <f t="shared" si="1"/>
        <v>Excluded</v>
      </c>
      <c r="B1735" s="70">
        <f t="shared" si="2"/>
        <v>0</v>
      </c>
      <c r="C1735" s="70">
        <v>0.0</v>
      </c>
      <c r="D1735" s="70">
        <v>0.0</v>
      </c>
      <c r="E1735" s="70">
        <v>0.0</v>
      </c>
      <c r="F1735" s="70">
        <v>0.0</v>
      </c>
      <c r="G1735" s="70">
        <v>0.0</v>
      </c>
      <c r="H1735" s="70" t="s">
        <v>9622</v>
      </c>
      <c r="I1735" s="70">
        <v>941.0</v>
      </c>
      <c r="J1735" s="70" t="s">
        <v>9619</v>
      </c>
      <c r="K1735" s="70" t="s">
        <v>9620</v>
      </c>
      <c r="L1735" s="70" t="s">
        <v>9621</v>
      </c>
      <c r="P1735" s="79">
        <v>44323.0</v>
      </c>
      <c r="U1735" s="70" t="s">
        <v>239</v>
      </c>
      <c r="W1735" s="70" t="s">
        <v>9624</v>
      </c>
      <c r="X1735" s="70" t="s">
        <v>9625</v>
      </c>
      <c r="Z1735" s="75" t="s">
        <v>9626</v>
      </c>
      <c r="AA1735" s="70" t="s">
        <v>9627</v>
      </c>
      <c r="AE1735" s="70">
        <v>20.0</v>
      </c>
      <c r="AF1735" s="70" t="s">
        <v>239</v>
      </c>
      <c r="AW1735" s="70" t="s">
        <v>9628</v>
      </c>
      <c r="AX1735" s="70">
        <v>0.0</v>
      </c>
      <c r="AY1735" s="70" t="s">
        <v>24</v>
      </c>
      <c r="AZ1735" s="70">
        <v>3122.0</v>
      </c>
    </row>
    <row r="1736" ht="22.5" customHeight="1">
      <c r="A1736" s="70" t="str">
        <f t="shared" si="1"/>
        <v>Excluded</v>
      </c>
      <c r="B1736" s="70">
        <f t="shared" si="2"/>
        <v>0</v>
      </c>
      <c r="C1736" s="70">
        <v>0.0</v>
      </c>
      <c r="D1736" s="70">
        <v>0.0</v>
      </c>
      <c r="E1736" s="70">
        <v>0.0</v>
      </c>
      <c r="F1736" s="70">
        <v>0.0</v>
      </c>
      <c r="G1736" s="70">
        <v>0.0</v>
      </c>
      <c r="H1736" s="70" t="s">
        <v>9841</v>
      </c>
      <c r="I1736" s="70">
        <v>964.0</v>
      </c>
      <c r="J1736" s="70" t="s">
        <v>9838</v>
      </c>
      <c r="K1736" s="70" t="s">
        <v>9839</v>
      </c>
      <c r="L1736" s="70" t="s">
        <v>9840</v>
      </c>
      <c r="P1736" s="76">
        <v>44645.0</v>
      </c>
      <c r="U1736" s="70" t="s">
        <v>239</v>
      </c>
      <c r="W1736" s="70" t="s">
        <v>9843</v>
      </c>
      <c r="X1736" s="70" t="s">
        <v>9844</v>
      </c>
      <c r="Z1736" s="75" t="s">
        <v>9845</v>
      </c>
      <c r="AA1736" s="70" t="s">
        <v>9846</v>
      </c>
      <c r="AE1736" s="70">
        <v>17.0</v>
      </c>
      <c r="AF1736" s="70" t="s">
        <v>239</v>
      </c>
      <c r="AW1736" s="70" t="s">
        <v>9847</v>
      </c>
      <c r="AX1736" s="70">
        <v>0.0</v>
      </c>
      <c r="AY1736" s="70" t="s">
        <v>24</v>
      </c>
      <c r="AZ1736" s="70">
        <v>1856.0</v>
      </c>
    </row>
    <row r="1737" ht="22.5" customHeight="1">
      <c r="A1737" s="70" t="str">
        <f t="shared" si="1"/>
        <v>Excluded</v>
      </c>
      <c r="B1737" s="70">
        <f t="shared" si="2"/>
        <v>0</v>
      </c>
      <c r="C1737" s="70">
        <v>0.0</v>
      </c>
      <c r="D1737" s="70">
        <v>0.0</v>
      </c>
      <c r="E1737" s="70">
        <v>0.0</v>
      </c>
      <c r="F1737" s="70">
        <v>0.0</v>
      </c>
      <c r="G1737" s="70">
        <v>0.0</v>
      </c>
      <c r="H1737" s="70" t="s">
        <v>16104</v>
      </c>
      <c r="I1737" s="70">
        <v>1722.0</v>
      </c>
      <c r="K1737" s="70" t="s">
        <v>10597</v>
      </c>
      <c r="L1737" s="70" t="s">
        <v>16103</v>
      </c>
      <c r="P1737" s="76">
        <v>45456.0</v>
      </c>
      <c r="U1737" s="70" t="s">
        <v>239</v>
      </c>
      <c r="X1737" s="70" t="s">
        <v>16105</v>
      </c>
      <c r="Z1737" s="75" t="s">
        <v>16106</v>
      </c>
      <c r="AF1737" s="70" t="s">
        <v>239</v>
      </c>
      <c r="AZ1737" s="70">
        <v>1566.0</v>
      </c>
    </row>
    <row r="1738" ht="22.5" customHeight="1">
      <c r="A1738" s="70" t="str">
        <f t="shared" si="1"/>
        <v>Excluded</v>
      </c>
      <c r="B1738" s="70">
        <f t="shared" si="2"/>
        <v>0</v>
      </c>
      <c r="C1738" s="70">
        <v>0.0</v>
      </c>
      <c r="D1738" s="70">
        <v>0.0</v>
      </c>
      <c r="E1738" s="70">
        <v>0.0</v>
      </c>
      <c r="F1738" s="70">
        <v>0.0</v>
      </c>
      <c r="G1738" s="70">
        <v>0.0</v>
      </c>
      <c r="H1738" s="70" t="s">
        <v>10799</v>
      </c>
      <c r="I1738" s="70">
        <v>1092.0</v>
      </c>
      <c r="K1738" s="70" t="s">
        <v>10597</v>
      </c>
      <c r="L1738" s="70" t="s">
        <v>10798</v>
      </c>
      <c r="P1738" s="77">
        <v>44294.0</v>
      </c>
      <c r="U1738" s="70" t="s">
        <v>239</v>
      </c>
      <c r="W1738" s="70" t="s">
        <v>10602</v>
      </c>
      <c r="X1738" s="70" t="s">
        <v>10800</v>
      </c>
      <c r="Z1738" s="75" t="s">
        <v>10801</v>
      </c>
      <c r="AF1738" s="70" t="s">
        <v>239</v>
      </c>
      <c r="AZ1738" s="70">
        <v>1606.0</v>
      </c>
    </row>
    <row r="1739" ht="22.5" customHeight="1">
      <c r="A1739" s="70" t="str">
        <f t="shared" si="1"/>
        <v>Excluded</v>
      </c>
      <c r="B1739" s="70">
        <f t="shared" si="2"/>
        <v>0</v>
      </c>
      <c r="C1739" s="70">
        <v>0.0</v>
      </c>
      <c r="D1739" s="70">
        <v>0.0</v>
      </c>
      <c r="E1739" s="70">
        <v>0.0</v>
      </c>
      <c r="F1739" s="70">
        <v>0.0</v>
      </c>
      <c r="G1739" s="70">
        <v>0.0</v>
      </c>
      <c r="H1739" s="70" t="s">
        <v>4859</v>
      </c>
      <c r="I1739" s="70">
        <v>452.0</v>
      </c>
      <c r="J1739" s="70" t="s">
        <v>4857</v>
      </c>
      <c r="K1739" s="70" t="s">
        <v>4858</v>
      </c>
      <c r="L1739" s="70" t="s">
        <v>4630</v>
      </c>
      <c r="P1739" s="77">
        <v>42646.0</v>
      </c>
      <c r="U1739" s="70" t="s">
        <v>239</v>
      </c>
      <c r="W1739" s="70" t="s">
        <v>4861</v>
      </c>
      <c r="X1739" s="70" t="s">
        <v>4634</v>
      </c>
      <c r="Z1739" s="75" t="s">
        <v>4862</v>
      </c>
      <c r="AA1739" s="70" t="s">
        <v>4863</v>
      </c>
      <c r="AC1739" s="70">
        <v>31.0</v>
      </c>
      <c r="AE1739" s="70">
        <v>8.0</v>
      </c>
      <c r="AF1739" s="70" t="s">
        <v>239</v>
      </c>
      <c r="AW1739" s="70" t="s">
        <v>4864</v>
      </c>
      <c r="AX1739" s="70">
        <v>0.0</v>
      </c>
      <c r="AY1739" s="70" t="s">
        <v>24</v>
      </c>
      <c r="AZ1739" s="70">
        <v>2185.0</v>
      </c>
    </row>
    <row r="1740" ht="22.5" customHeight="1">
      <c r="A1740" s="70" t="str">
        <f t="shared" si="1"/>
        <v>Excluded</v>
      </c>
      <c r="B1740" s="70">
        <f t="shared" si="2"/>
        <v>0</v>
      </c>
      <c r="C1740" s="70">
        <v>0.0</v>
      </c>
      <c r="D1740" s="70">
        <v>0.0</v>
      </c>
      <c r="E1740" s="70">
        <v>0.0</v>
      </c>
      <c r="F1740" s="70">
        <v>0.0</v>
      </c>
      <c r="G1740" s="70">
        <v>0.0</v>
      </c>
      <c r="H1740" s="70" t="s">
        <v>4631</v>
      </c>
      <c r="I1740" s="70">
        <v>429.0</v>
      </c>
      <c r="J1740" s="70" t="s">
        <v>4628</v>
      </c>
      <c r="K1740" s="70" t="s">
        <v>4629</v>
      </c>
      <c r="L1740" s="70" t="s">
        <v>4630</v>
      </c>
      <c r="P1740" s="77">
        <v>42646.0</v>
      </c>
      <c r="U1740" s="70" t="s">
        <v>239</v>
      </c>
      <c r="W1740" s="70" t="s">
        <v>4633</v>
      </c>
      <c r="X1740" s="70" t="s">
        <v>4634</v>
      </c>
      <c r="Z1740" s="75" t="s">
        <v>4635</v>
      </c>
      <c r="AC1740" s="70">
        <v>88.0</v>
      </c>
      <c r="AE1740" s="70">
        <v>21.0</v>
      </c>
      <c r="AF1740" s="70" t="s">
        <v>239</v>
      </c>
      <c r="AW1740" s="70" t="s">
        <v>4636</v>
      </c>
      <c r="AZ1740" s="70">
        <v>1391.0</v>
      </c>
    </row>
    <row r="1741" ht="22.5" customHeight="1">
      <c r="A1741" s="70" t="str">
        <f t="shared" si="1"/>
        <v>Excluded</v>
      </c>
      <c r="B1741" s="70">
        <f t="shared" si="2"/>
        <v>0</v>
      </c>
      <c r="C1741" s="70">
        <v>0.0</v>
      </c>
      <c r="D1741" s="70">
        <v>0.0</v>
      </c>
      <c r="E1741" s="70">
        <v>0.0</v>
      </c>
      <c r="F1741" s="70">
        <v>0.0</v>
      </c>
      <c r="G1741" s="70">
        <v>0.0</v>
      </c>
      <c r="H1741" s="70" t="s">
        <v>5726</v>
      </c>
      <c r="I1741" s="70">
        <v>539.0</v>
      </c>
      <c r="J1741" s="70" t="s">
        <v>5723</v>
      </c>
      <c r="K1741" s="70" t="s">
        <v>5724</v>
      </c>
      <c r="L1741" s="70" t="s">
        <v>5725</v>
      </c>
      <c r="P1741" s="77">
        <v>43528.0</v>
      </c>
      <c r="U1741" s="70" t="s">
        <v>239</v>
      </c>
      <c r="W1741" s="70" t="s">
        <v>5728</v>
      </c>
      <c r="X1741" s="70" t="s">
        <v>5729</v>
      </c>
      <c r="Z1741" s="75" t="s">
        <v>5730</v>
      </c>
      <c r="AA1741" s="70" t="s">
        <v>5731</v>
      </c>
      <c r="AC1741" s="70">
        <v>9.0</v>
      </c>
      <c r="AE1741" s="70">
        <v>18.0</v>
      </c>
      <c r="AF1741" s="70" t="s">
        <v>239</v>
      </c>
      <c r="AW1741" s="70" t="s">
        <v>5732</v>
      </c>
      <c r="AZ1741" s="70">
        <v>1258.0</v>
      </c>
    </row>
    <row r="1742" ht="22.5" customHeight="1">
      <c r="A1742" s="70" t="str">
        <f t="shared" si="1"/>
        <v>Excluded</v>
      </c>
      <c r="B1742" s="70">
        <f t="shared" si="2"/>
        <v>0</v>
      </c>
      <c r="C1742" s="70">
        <v>0.0</v>
      </c>
      <c r="D1742" s="70">
        <v>0.0</v>
      </c>
      <c r="E1742" s="70">
        <v>0.0</v>
      </c>
      <c r="F1742" s="70">
        <v>0.0</v>
      </c>
      <c r="G1742" s="70">
        <v>0.0</v>
      </c>
      <c r="H1742" s="70" t="s">
        <v>6667</v>
      </c>
      <c r="I1742" s="70">
        <v>634.0</v>
      </c>
      <c r="J1742" s="70" t="s">
        <v>6665</v>
      </c>
      <c r="K1742" s="70" t="s">
        <v>6666</v>
      </c>
      <c r="L1742" s="70" t="s">
        <v>5725</v>
      </c>
      <c r="P1742" s="77">
        <v>43528.0</v>
      </c>
      <c r="U1742" s="70" t="s">
        <v>239</v>
      </c>
      <c r="W1742" s="70" t="s">
        <v>6669</v>
      </c>
      <c r="X1742" s="70" t="s">
        <v>5729</v>
      </c>
      <c r="Z1742" s="75" t="s">
        <v>6670</v>
      </c>
      <c r="AA1742" s="70" t="s">
        <v>6671</v>
      </c>
      <c r="AC1742" s="70">
        <v>5.0</v>
      </c>
      <c r="AE1742" s="70">
        <v>23.0</v>
      </c>
      <c r="AF1742" s="70" t="s">
        <v>239</v>
      </c>
      <c r="AW1742" s="70" t="s">
        <v>6672</v>
      </c>
      <c r="AZ1742" s="70">
        <v>661.0</v>
      </c>
    </row>
    <row r="1743" ht="22.5" customHeight="1">
      <c r="A1743" s="70" t="str">
        <f t="shared" si="1"/>
        <v>Excluded</v>
      </c>
      <c r="B1743" s="70">
        <f t="shared" si="2"/>
        <v>0</v>
      </c>
      <c r="C1743" s="70">
        <v>0.0</v>
      </c>
      <c r="D1743" s="70">
        <v>0.0</v>
      </c>
      <c r="E1743" s="70">
        <v>0.0</v>
      </c>
      <c r="F1743" s="70">
        <v>0.0</v>
      </c>
      <c r="G1743" s="70">
        <v>0.0</v>
      </c>
      <c r="H1743" s="70" t="s">
        <v>6607</v>
      </c>
      <c r="I1743" s="70">
        <v>628.0</v>
      </c>
      <c r="J1743" s="70" t="s">
        <v>6603</v>
      </c>
      <c r="K1743" s="70" t="s">
        <v>6604</v>
      </c>
      <c r="L1743" s="70" t="s">
        <v>6605</v>
      </c>
      <c r="N1743" s="70" t="s">
        <v>6606</v>
      </c>
      <c r="P1743" s="76">
        <v>43941.0</v>
      </c>
      <c r="U1743" s="70" t="s">
        <v>239</v>
      </c>
      <c r="W1743" s="70" t="s">
        <v>6609</v>
      </c>
      <c r="X1743" s="70" t="s">
        <v>6610</v>
      </c>
      <c r="Z1743" s="75" t="s">
        <v>6611</v>
      </c>
      <c r="AA1743" s="70" t="s">
        <v>6612</v>
      </c>
      <c r="AC1743" s="70">
        <v>6.0</v>
      </c>
      <c r="AE1743" s="70">
        <v>24.0</v>
      </c>
      <c r="AF1743" s="70" t="s">
        <v>239</v>
      </c>
      <c r="AW1743" s="70" t="s">
        <v>6613</v>
      </c>
      <c r="AX1743" s="70">
        <v>0.0</v>
      </c>
      <c r="AY1743" s="70" t="s">
        <v>24</v>
      </c>
      <c r="AZ1743" s="70">
        <v>3050.0</v>
      </c>
    </row>
    <row r="1744" ht="22.5" customHeight="1">
      <c r="A1744" s="70" t="str">
        <f t="shared" si="1"/>
        <v>Excluded</v>
      </c>
      <c r="B1744" s="70">
        <f t="shared" si="2"/>
        <v>0</v>
      </c>
      <c r="C1744" s="70">
        <v>0.0</v>
      </c>
      <c r="D1744" s="70">
        <v>0.0</v>
      </c>
      <c r="E1744" s="70">
        <v>0.0</v>
      </c>
      <c r="F1744" s="70">
        <v>0.0</v>
      </c>
      <c r="G1744" s="70">
        <v>0.0</v>
      </c>
      <c r="H1744" s="70" t="s">
        <v>10997</v>
      </c>
      <c r="I1744" s="70">
        <v>1144.0</v>
      </c>
      <c r="K1744" s="70" t="s">
        <v>10996</v>
      </c>
      <c r="L1744" s="70" t="s">
        <v>6605</v>
      </c>
      <c r="N1744" s="70" t="s">
        <v>6606</v>
      </c>
      <c r="P1744" s="76">
        <v>43941.0</v>
      </c>
      <c r="U1744" s="70" t="s">
        <v>239</v>
      </c>
      <c r="W1744" s="70" t="s">
        <v>10634</v>
      </c>
      <c r="X1744" s="70" t="s">
        <v>6610</v>
      </c>
      <c r="Z1744" s="75" t="s">
        <v>10999</v>
      </c>
      <c r="AF1744" s="70" t="s">
        <v>239</v>
      </c>
      <c r="AZ1744" s="70">
        <v>1226.0</v>
      </c>
    </row>
    <row r="1745" ht="22.5" customHeight="1">
      <c r="A1745" s="70" t="str">
        <f t="shared" si="1"/>
        <v>Excluded</v>
      </c>
      <c r="B1745" s="70">
        <f t="shared" si="2"/>
        <v>0</v>
      </c>
      <c r="C1745" s="70">
        <v>0.0</v>
      </c>
      <c r="D1745" s="70">
        <v>0.0</v>
      </c>
      <c r="E1745" s="70">
        <v>0.0</v>
      </c>
      <c r="F1745" s="70">
        <v>0.0</v>
      </c>
      <c r="G1745" s="70">
        <v>0.0</v>
      </c>
      <c r="H1745" s="70" t="s">
        <v>8277</v>
      </c>
      <c r="I1745" s="70">
        <v>801.0</v>
      </c>
      <c r="J1745" s="70" t="s">
        <v>8274</v>
      </c>
      <c r="K1745" s="70" t="s">
        <v>8275</v>
      </c>
      <c r="L1745" s="70" t="s">
        <v>8276</v>
      </c>
      <c r="N1745" s="70" t="s">
        <v>6606</v>
      </c>
      <c r="P1745" s="76">
        <v>44133.0</v>
      </c>
      <c r="U1745" s="70" t="s">
        <v>239</v>
      </c>
      <c r="W1745" s="70" t="s">
        <v>30554</v>
      </c>
      <c r="X1745" s="70" t="s">
        <v>8280</v>
      </c>
      <c r="Y1745" s="70" t="s">
        <v>30555</v>
      </c>
      <c r="Z1745" s="75" t="s">
        <v>8282</v>
      </c>
      <c r="AA1745" s="70" t="s">
        <v>8283</v>
      </c>
      <c r="AC1745" s="70">
        <v>2.0</v>
      </c>
      <c r="AE1745" s="70">
        <v>32.0</v>
      </c>
      <c r="AF1745" s="70" t="s">
        <v>239</v>
      </c>
      <c r="AW1745" s="70" t="s">
        <v>8284</v>
      </c>
      <c r="AZ1745" s="70">
        <v>950.0</v>
      </c>
    </row>
    <row r="1746" ht="22.5" customHeight="1">
      <c r="A1746" s="70" t="str">
        <f t="shared" si="1"/>
        <v>Excluded</v>
      </c>
      <c r="B1746" s="70">
        <f t="shared" si="2"/>
        <v>0</v>
      </c>
      <c r="C1746" s="70">
        <v>0.0</v>
      </c>
      <c r="D1746" s="70">
        <v>0.0</v>
      </c>
      <c r="E1746" s="70">
        <v>0.0</v>
      </c>
      <c r="F1746" s="70">
        <v>0.0</v>
      </c>
      <c r="G1746" s="70">
        <v>0.0</v>
      </c>
      <c r="H1746" s="70" t="s">
        <v>9115</v>
      </c>
      <c r="I1746" s="70">
        <v>887.0</v>
      </c>
      <c r="J1746" s="70" t="s">
        <v>9112</v>
      </c>
      <c r="K1746" s="70" t="s">
        <v>9113</v>
      </c>
      <c r="L1746" s="70" t="s">
        <v>9114</v>
      </c>
      <c r="N1746" s="70" t="s">
        <v>6606</v>
      </c>
      <c r="P1746" s="76">
        <v>44860.0</v>
      </c>
      <c r="U1746" s="70" t="s">
        <v>239</v>
      </c>
      <c r="W1746" s="70" t="s">
        <v>9117</v>
      </c>
      <c r="X1746" s="70" t="s">
        <v>9118</v>
      </c>
      <c r="Z1746" s="75" t="s">
        <v>9119</v>
      </c>
      <c r="AA1746" s="70" t="s">
        <v>9120</v>
      </c>
      <c r="AC1746" s="70">
        <v>1.0</v>
      </c>
      <c r="AE1746" s="70">
        <v>10.0</v>
      </c>
      <c r="AF1746" s="70" t="s">
        <v>239</v>
      </c>
      <c r="AW1746" s="70" t="s">
        <v>9121</v>
      </c>
      <c r="AZ1746" s="70">
        <v>751.0</v>
      </c>
    </row>
    <row r="1747" ht="22.5" customHeight="1">
      <c r="A1747" s="70" t="str">
        <f t="shared" si="1"/>
        <v>Excluded</v>
      </c>
      <c r="B1747" s="70">
        <f t="shared" si="2"/>
        <v>0</v>
      </c>
      <c r="C1747" s="70">
        <v>0.0</v>
      </c>
      <c r="D1747" s="70">
        <v>0.0</v>
      </c>
      <c r="E1747" s="70">
        <v>0.0</v>
      </c>
      <c r="F1747" s="70">
        <v>0.0</v>
      </c>
      <c r="G1747" s="70">
        <v>0.0</v>
      </c>
      <c r="H1747" s="70" t="s">
        <v>3086</v>
      </c>
      <c r="I1747" s="70">
        <v>251.0</v>
      </c>
      <c r="J1747" s="70" t="s">
        <v>3082</v>
      </c>
      <c r="K1747" s="70" t="s">
        <v>3083</v>
      </c>
      <c r="L1747" s="70" t="s">
        <v>3084</v>
      </c>
      <c r="M1747" s="70" t="s">
        <v>3085</v>
      </c>
      <c r="O1747" s="75" t="s">
        <v>3087</v>
      </c>
      <c r="P1747" s="70">
        <v>2018.0</v>
      </c>
      <c r="Q1747" s="70" t="s">
        <v>3088</v>
      </c>
      <c r="U1747" s="70" t="s">
        <v>555</v>
      </c>
      <c r="V1747" s="70" t="s">
        <v>3089</v>
      </c>
      <c r="W1747" s="70" t="s">
        <v>30556</v>
      </c>
      <c r="AW1747" s="70" t="s">
        <v>3091</v>
      </c>
      <c r="AX1747" s="70">
        <v>0.0</v>
      </c>
      <c r="AY1747" s="70" t="s">
        <v>24</v>
      </c>
      <c r="AZ1747" s="70">
        <v>2904.0</v>
      </c>
    </row>
    <row r="1748" ht="22.5" customHeight="1">
      <c r="A1748" s="70" t="str">
        <f t="shared" si="1"/>
        <v>Excluded</v>
      </c>
      <c r="B1748" s="70">
        <f t="shared" si="2"/>
        <v>0</v>
      </c>
      <c r="C1748" s="70">
        <v>0.0</v>
      </c>
      <c r="D1748" s="70">
        <v>0.0</v>
      </c>
      <c r="E1748" s="70">
        <v>0.0</v>
      </c>
      <c r="F1748" s="70">
        <v>0.0</v>
      </c>
      <c r="G1748" s="70">
        <v>0.0</v>
      </c>
      <c r="H1748" s="70" t="s">
        <v>3317</v>
      </c>
      <c r="I1748" s="70">
        <v>273.0</v>
      </c>
      <c r="J1748" s="70" t="s">
        <v>3315</v>
      </c>
      <c r="K1748" s="70" t="s">
        <v>3316</v>
      </c>
      <c r="L1748" s="70" t="s">
        <v>2926</v>
      </c>
      <c r="M1748" s="70" t="s">
        <v>2927</v>
      </c>
      <c r="O1748" s="75" t="s">
        <v>3318</v>
      </c>
      <c r="P1748" s="70">
        <v>2020.0</v>
      </c>
      <c r="Q1748" s="70" t="s">
        <v>2931</v>
      </c>
      <c r="U1748" s="70" t="s">
        <v>555</v>
      </c>
      <c r="V1748" s="70" t="s">
        <v>2932</v>
      </c>
      <c r="W1748" s="70" t="s">
        <v>3320</v>
      </c>
      <c r="AZ1748" s="70">
        <v>713.0</v>
      </c>
    </row>
    <row r="1749" ht="22.5" customHeight="1">
      <c r="A1749" s="70" t="str">
        <f t="shared" si="1"/>
        <v>Excluded</v>
      </c>
      <c r="B1749" s="70">
        <f t="shared" si="2"/>
        <v>0</v>
      </c>
      <c r="C1749" s="70">
        <v>0.0</v>
      </c>
      <c r="D1749" s="70">
        <v>0.0</v>
      </c>
      <c r="E1749" s="70">
        <v>0.0</v>
      </c>
      <c r="F1749" s="70">
        <v>0.0</v>
      </c>
      <c r="G1749" s="70">
        <v>0.0</v>
      </c>
      <c r="H1749" s="70" t="s">
        <v>2928</v>
      </c>
      <c r="I1749" s="70">
        <v>237.0</v>
      </c>
      <c r="J1749" s="70" t="s">
        <v>2924</v>
      </c>
      <c r="K1749" s="70" t="s">
        <v>2925</v>
      </c>
      <c r="L1749" s="70" t="s">
        <v>2926</v>
      </c>
      <c r="M1749" s="70" t="s">
        <v>2927</v>
      </c>
      <c r="O1749" s="75" t="s">
        <v>2929</v>
      </c>
      <c r="P1749" s="70">
        <v>2020.0</v>
      </c>
      <c r="Q1749" s="70" t="s">
        <v>2931</v>
      </c>
      <c r="U1749" s="70" t="s">
        <v>555</v>
      </c>
      <c r="V1749" s="70" t="s">
        <v>2932</v>
      </c>
      <c r="W1749" s="70" t="s">
        <v>2933</v>
      </c>
      <c r="AX1749" s="70">
        <v>0.0</v>
      </c>
      <c r="AY1749" s="70" t="s">
        <v>24</v>
      </c>
      <c r="AZ1749" s="70">
        <v>2430.0</v>
      </c>
    </row>
    <row r="1750" ht="22.5" customHeight="1">
      <c r="A1750" s="70" t="str">
        <f t="shared" si="1"/>
        <v>Excluded</v>
      </c>
      <c r="B1750" s="70">
        <f t="shared" si="2"/>
        <v>0</v>
      </c>
      <c r="C1750" s="70">
        <v>0.0</v>
      </c>
      <c r="D1750" s="70">
        <v>0.0</v>
      </c>
      <c r="E1750" s="70">
        <v>0.0</v>
      </c>
      <c r="F1750" s="70">
        <v>0.0</v>
      </c>
      <c r="G1750" s="70">
        <v>0.0</v>
      </c>
      <c r="H1750" s="70" t="s">
        <v>27800</v>
      </c>
      <c r="I1750" s="70">
        <v>2999.0</v>
      </c>
      <c r="J1750" s="70" t="s">
        <v>27798</v>
      </c>
      <c r="K1750" s="70" t="s">
        <v>27799</v>
      </c>
      <c r="W1750" s="70" t="s">
        <v>30557</v>
      </c>
      <c r="AA1750" s="70" t="s">
        <v>27803</v>
      </c>
      <c r="AI1750" s="70" t="s">
        <v>27804</v>
      </c>
      <c r="AJ1750" s="70" t="s">
        <v>27805</v>
      </c>
      <c r="AK1750" s="70">
        <v>2021.0</v>
      </c>
      <c r="AL1750" s="70" t="s">
        <v>24596</v>
      </c>
      <c r="AN1750" s="70">
        <v>734.0</v>
      </c>
      <c r="AO1750" s="70">
        <v>747.0</v>
      </c>
      <c r="AP1750" s="70">
        <v>13.0</v>
      </c>
      <c r="AQ1750" s="70">
        <v>29.0</v>
      </c>
      <c r="AR1750" s="75" t="s">
        <v>27806</v>
      </c>
      <c r="AS1750" s="70" t="s">
        <v>22525</v>
      </c>
      <c r="AU1750" s="70" t="s">
        <v>237</v>
      </c>
      <c r="AV1750" s="70" t="s">
        <v>27807</v>
      </c>
      <c r="AW1750" s="70" t="s">
        <v>27808</v>
      </c>
      <c r="AX1750" s="70">
        <v>0.0</v>
      </c>
      <c r="AY1750" s="70" t="s">
        <v>24</v>
      </c>
      <c r="AZ1750" s="70">
        <v>2923.0</v>
      </c>
    </row>
    <row r="1751" ht="22.5" customHeight="1">
      <c r="A1751" s="70" t="str">
        <f t="shared" si="1"/>
        <v>Excluded</v>
      </c>
      <c r="B1751" s="70">
        <f t="shared" si="2"/>
        <v>0</v>
      </c>
      <c r="C1751" s="70">
        <v>0.0</v>
      </c>
      <c r="D1751" s="70">
        <v>0.0</v>
      </c>
      <c r="E1751" s="70">
        <v>0.0</v>
      </c>
      <c r="F1751" s="70">
        <v>0.0</v>
      </c>
      <c r="G1751" s="70">
        <v>0.0</v>
      </c>
      <c r="H1751" s="70" t="s">
        <v>24625</v>
      </c>
      <c r="I1751" s="70">
        <v>2690.0</v>
      </c>
      <c r="J1751" s="70" t="s">
        <v>24623</v>
      </c>
      <c r="K1751" s="70" t="s">
        <v>24624</v>
      </c>
      <c r="W1751" s="70" t="s">
        <v>30558</v>
      </c>
      <c r="AA1751" s="70" t="s">
        <v>24627</v>
      </c>
      <c r="AI1751" s="70" t="s">
        <v>24628</v>
      </c>
      <c r="AJ1751" s="70" t="s">
        <v>24629</v>
      </c>
      <c r="AK1751" s="70">
        <v>2024.0</v>
      </c>
      <c r="AL1751" s="70" t="s">
        <v>24596</v>
      </c>
      <c r="AN1751" s="70">
        <v>471.0</v>
      </c>
      <c r="AO1751" s="70">
        <v>486.0</v>
      </c>
      <c r="AP1751" s="70">
        <v>15.0</v>
      </c>
      <c r="AQ1751" s="70">
        <v>4.0</v>
      </c>
      <c r="AR1751" s="75" t="s">
        <v>24630</v>
      </c>
      <c r="AS1751" s="70" t="s">
        <v>22525</v>
      </c>
      <c r="AU1751" s="70" t="s">
        <v>237</v>
      </c>
      <c r="AV1751" s="70" t="s">
        <v>24631</v>
      </c>
      <c r="AW1751" s="70" t="s">
        <v>24632</v>
      </c>
      <c r="AX1751" s="70">
        <v>0.0</v>
      </c>
      <c r="AY1751" s="70" t="s">
        <v>24</v>
      </c>
      <c r="AZ1751" s="70">
        <v>2016.0</v>
      </c>
    </row>
    <row r="1752" ht="22.5" customHeight="1">
      <c r="A1752" s="70" t="str">
        <f t="shared" si="1"/>
        <v>Excluded</v>
      </c>
      <c r="B1752" s="70">
        <f t="shared" si="2"/>
        <v>0</v>
      </c>
      <c r="C1752" s="70">
        <v>0.0</v>
      </c>
      <c r="D1752" s="70">
        <v>0.0</v>
      </c>
      <c r="E1752" s="70">
        <v>0.0</v>
      </c>
      <c r="F1752" s="70">
        <v>0.0</v>
      </c>
      <c r="G1752" s="70">
        <v>0.0</v>
      </c>
      <c r="H1752" s="70" t="s">
        <v>12039</v>
      </c>
      <c r="I1752" s="70">
        <v>1259.0</v>
      </c>
      <c r="J1752" s="70" t="s">
        <v>12037</v>
      </c>
      <c r="K1752" s="70" t="s">
        <v>12038</v>
      </c>
      <c r="L1752" s="70" t="s">
        <v>11429</v>
      </c>
      <c r="P1752" s="77">
        <v>45505.0</v>
      </c>
      <c r="U1752" s="70" t="s">
        <v>239</v>
      </c>
      <c r="W1752" s="70" t="s">
        <v>30559</v>
      </c>
      <c r="X1752" s="70" t="s">
        <v>11433</v>
      </c>
      <c r="Z1752" s="75" t="s">
        <v>12042</v>
      </c>
      <c r="AC1752" s="70">
        <v>1.0</v>
      </c>
      <c r="AE1752" s="70">
        <v>82.0</v>
      </c>
      <c r="AF1752" s="70" t="s">
        <v>239</v>
      </c>
      <c r="AW1752" s="70" t="s">
        <v>12043</v>
      </c>
      <c r="AZ1752" s="70">
        <v>162.0</v>
      </c>
    </row>
    <row r="1753" ht="22.5" customHeight="1">
      <c r="A1753" s="70" t="str">
        <f t="shared" si="1"/>
        <v>Excluded</v>
      </c>
      <c r="B1753" s="70">
        <f t="shared" si="2"/>
        <v>0</v>
      </c>
      <c r="C1753" s="70">
        <v>0.0</v>
      </c>
      <c r="D1753" s="70">
        <v>0.0</v>
      </c>
      <c r="E1753" s="70">
        <v>0.0</v>
      </c>
      <c r="F1753" s="70">
        <v>0.0</v>
      </c>
      <c r="G1753" s="70">
        <v>0.0</v>
      </c>
      <c r="H1753" s="70" t="s">
        <v>11430</v>
      </c>
      <c r="I1753" s="70">
        <v>1198.0</v>
      </c>
      <c r="J1753" s="70" t="s">
        <v>11427</v>
      </c>
      <c r="K1753" s="70" t="s">
        <v>11428</v>
      </c>
      <c r="L1753" s="70" t="s">
        <v>11429</v>
      </c>
      <c r="P1753" s="77">
        <v>45505.0</v>
      </c>
      <c r="U1753" s="70" t="s">
        <v>239</v>
      </c>
      <c r="W1753" s="70" t="s">
        <v>30560</v>
      </c>
      <c r="X1753" s="70" t="s">
        <v>11433</v>
      </c>
      <c r="Y1753" s="70" t="s">
        <v>30561</v>
      </c>
      <c r="Z1753" s="75" t="s">
        <v>11435</v>
      </c>
      <c r="AA1753" s="70" t="s">
        <v>11436</v>
      </c>
      <c r="AC1753" s="70">
        <v>3.0</v>
      </c>
      <c r="AE1753" s="70">
        <v>116.0</v>
      </c>
      <c r="AF1753" s="70" t="s">
        <v>239</v>
      </c>
      <c r="AW1753" s="70" t="s">
        <v>11437</v>
      </c>
      <c r="AZ1753" s="70">
        <v>389.0</v>
      </c>
    </row>
    <row r="1754" ht="22.5" customHeight="1">
      <c r="A1754" s="70" t="str">
        <f t="shared" si="1"/>
        <v>Excluded</v>
      </c>
      <c r="B1754" s="70">
        <f t="shared" si="2"/>
        <v>0</v>
      </c>
      <c r="C1754" s="70">
        <v>0.0</v>
      </c>
      <c r="D1754" s="70">
        <v>0.0</v>
      </c>
      <c r="E1754" s="70">
        <v>0.0</v>
      </c>
      <c r="F1754" s="70">
        <v>0.0</v>
      </c>
      <c r="G1754" s="70">
        <v>0.0</v>
      </c>
      <c r="H1754" s="70" t="s">
        <v>11183</v>
      </c>
      <c r="I1754" s="70">
        <v>1173.0</v>
      </c>
      <c r="J1754" s="70" t="s">
        <v>11179</v>
      </c>
      <c r="K1754" s="70" t="s">
        <v>11180</v>
      </c>
      <c r="L1754" s="70" t="s">
        <v>11181</v>
      </c>
      <c r="N1754" s="70" t="s">
        <v>11182</v>
      </c>
      <c r="P1754" s="77">
        <v>45110.0</v>
      </c>
      <c r="U1754" s="70" t="s">
        <v>239</v>
      </c>
      <c r="W1754" s="70" t="s">
        <v>30562</v>
      </c>
      <c r="X1754" s="70" t="s">
        <v>11186</v>
      </c>
      <c r="Y1754" s="70" t="s">
        <v>29920</v>
      </c>
      <c r="Z1754" s="75" t="s">
        <v>11187</v>
      </c>
      <c r="AA1754" s="70" t="s">
        <v>11188</v>
      </c>
      <c r="AC1754" s="70">
        <v>5.0</v>
      </c>
      <c r="AE1754" s="70">
        <v>18.0</v>
      </c>
      <c r="AF1754" s="70" t="s">
        <v>239</v>
      </c>
      <c r="AW1754" s="70" t="s">
        <v>11189</v>
      </c>
      <c r="AX1754" s="70">
        <v>0.0</v>
      </c>
      <c r="AY1754" s="70" t="s">
        <v>24</v>
      </c>
      <c r="AZ1754" s="70">
        <v>2953.0</v>
      </c>
    </row>
    <row r="1755" ht="22.5" customHeight="1">
      <c r="A1755" s="70" t="str">
        <f t="shared" si="1"/>
        <v>Excluded</v>
      </c>
      <c r="B1755" s="70">
        <f t="shared" si="2"/>
        <v>0</v>
      </c>
      <c r="C1755" s="70">
        <v>0.0</v>
      </c>
      <c r="D1755" s="70">
        <v>0.0</v>
      </c>
      <c r="E1755" s="70">
        <v>0.0</v>
      </c>
      <c r="F1755" s="70">
        <v>0.0</v>
      </c>
      <c r="G1755" s="70">
        <v>0.0</v>
      </c>
      <c r="H1755" s="70" t="s">
        <v>6586</v>
      </c>
      <c r="I1755" s="70">
        <v>626.0</v>
      </c>
      <c r="J1755" s="70" t="s">
        <v>6582</v>
      </c>
      <c r="K1755" s="70" t="s">
        <v>6583</v>
      </c>
      <c r="L1755" s="70" t="s">
        <v>6584</v>
      </c>
      <c r="N1755" s="70" t="s">
        <v>6585</v>
      </c>
      <c r="P1755" s="76">
        <v>43422.0</v>
      </c>
      <c r="U1755" s="70" t="s">
        <v>239</v>
      </c>
      <c r="W1755" s="70" t="s">
        <v>6588</v>
      </c>
      <c r="X1755" s="70" t="s">
        <v>6589</v>
      </c>
      <c r="Z1755" s="75" t="s">
        <v>6590</v>
      </c>
      <c r="AC1755" s="70">
        <v>6.0</v>
      </c>
      <c r="AE1755" s="70">
        <v>41.0</v>
      </c>
      <c r="AF1755" s="70" t="s">
        <v>239</v>
      </c>
      <c r="AW1755" s="70" t="s">
        <v>6591</v>
      </c>
      <c r="AX1755" s="70">
        <v>0.0</v>
      </c>
      <c r="AY1755" s="70" t="s">
        <v>24</v>
      </c>
      <c r="AZ1755" s="70">
        <v>2405.0</v>
      </c>
    </row>
    <row r="1756" ht="22.5" customHeight="1">
      <c r="A1756" s="70" t="str">
        <f t="shared" si="1"/>
        <v>Excluded</v>
      </c>
      <c r="B1756" s="70">
        <f t="shared" si="2"/>
        <v>0</v>
      </c>
      <c r="C1756" s="70">
        <v>0.0</v>
      </c>
      <c r="D1756" s="70">
        <v>0.0</v>
      </c>
      <c r="E1756" s="70">
        <v>0.0</v>
      </c>
      <c r="F1756" s="70">
        <v>0.0</v>
      </c>
      <c r="G1756" s="70">
        <v>0.0</v>
      </c>
      <c r="H1756" s="70" t="s">
        <v>6006</v>
      </c>
      <c r="I1756" s="70">
        <v>567.0</v>
      </c>
      <c r="J1756" s="70" t="s">
        <v>6004</v>
      </c>
      <c r="K1756" s="70" t="s">
        <v>6005</v>
      </c>
      <c r="L1756" s="70" t="s">
        <v>5350</v>
      </c>
      <c r="N1756" s="70" t="s">
        <v>5351</v>
      </c>
      <c r="P1756" s="76">
        <v>43857.0</v>
      </c>
      <c r="U1756" s="70" t="s">
        <v>239</v>
      </c>
      <c r="W1756" s="70" t="s">
        <v>6008</v>
      </c>
      <c r="X1756" s="70" t="s">
        <v>5355</v>
      </c>
      <c r="Z1756" s="75" t="s">
        <v>6009</v>
      </c>
      <c r="AA1756" s="70" t="s">
        <v>30563</v>
      </c>
      <c r="AC1756" s="70">
        <v>8.0</v>
      </c>
      <c r="AE1756" s="70">
        <v>15.0</v>
      </c>
      <c r="AF1756" s="70" t="s">
        <v>239</v>
      </c>
      <c r="AW1756" s="70" t="s">
        <v>6011</v>
      </c>
      <c r="AX1756" s="70">
        <v>0.0</v>
      </c>
      <c r="AY1756" s="70" t="s">
        <v>24</v>
      </c>
      <c r="AZ1756" s="70">
        <v>2768.0</v>
      </c>
    </row>
    <row r="1757" ht="22.5" customHeight="1">
      <c r="A1757" s="70" t="str">
        <f t="shared" si="1"/>
        <v>Excluded</v>
      </c>
      <c r="B1757" s="70">
        <f t="shared" si="2"/>
        <v>0</v>
      </c>
      <c r="C1757" s="70">
        <v>0.0</v>
      </c>
      <c r="D1757" s="70">
        <v>0.0</v>
      </c>
      <c r="E1757" s="70">
        <v>0.0</v>
      </c>
      <c r="F1757" s="70">
        <v>0.0</v>
      </c>
      <c r="G1757" s="70">
        <v>0.0</v>
      </c>
      <c r="H1757" s="70" t="s">
        <v>5352</v>
      </c>
      <c r="I1757" s="70">
        <v>501.0</v>
      </c>
      <c r="J1757" s="70" t="s">
        <v>5348</v>
      </c>
      <c r="K1757" s="70" t="s">
        <v>5349</v>
      </c>
      <c r="L1757" s="70" t="s">
        <v>5350</v>
      </c>
      <c r="N1757" s="70" t="s">
        <v>5351</v>
      </c>
      <c r="P1757" s="76">
        <v>43857.0</v>
      </c>
      <c r="U1757" s="70" t="s">
        <v>239</v>
      </c>
      <c r="W1757" s="70" t="s">
        <v>5354</v>
      </c>
      <c r="X1757" s="70" t="s">
        <v>5355</v>
      </c>
      <c r="Z1757" s="75" t="s">
        <v>5356</v>
      </c>
      <c r="AC1757" s="70">
        <v>13.0</v>
      </c>
      <c r="AE1757" s="70">
        <v>22.0</v>
      </c>
      <c r="AF1757" s="70" t="s">
        <v>239</v>
      </c>
      <c r="AW1757" s="70" t="s">
        <v>5357</v>
      </c>
      <c r="AZ1757" s="70">
        <v>467.0</v>
      </c>
    </row>
    <row r="1758" ht="22.5" customHeight="1">
      <c r="A1758" s="70" t="str">
        <f t="shared" si="1"/>
        <v>Excluded</v>
      </c>
      <c r="B1758" s="70">
        <f t="shared" si="2"/>
        <v>0</v>
      </c>
      <c r="C1758" s="70">
        <v>0.0</v>
      </c>
      <c r="D1758" s="70">
        <v>0.0</v>
      </c>
      <c r="E1758" s="70">
        <v>0.0</v>
      </c>
      <c r="F1758" s="70">
        <v>0.0</v>
      </c>
      <c r="G1758" s="70">
        <v>0.0</v>
      </c>
      <c r="H1758" s="70" t="s">
        <v>6496</v>
      </c>
      <c r="I1758" s="70">
        <v>617.0</v>
      </c>
      <c r="J1758" s="70" t="s">
        <v>30564</v>
      </c>
      <c r="K1758" s="70" t="s">
        <v>6494</v>
      </c>
      <c r="L1758" s="70" t="s">
        <v>6495</v>
      </c>
      <c r="N1758" s="70" t="s">
        <v>5351</v>
      </c>
      <c r="P1758" s="76">
        <v>44116.0</v>
      </c>
      <c r="U1758" s="70" t="s">
        <v>239</v>
      </c>
      <c r="W1758" s="70" t="s">
        <v>6498</v>
      </c>
      <c r="X1758" s="70" t="s">
        <v>6499</v>
      </c>
      <c r="Z1758" s="75" t="s">
        <v>6500</v>
      </c>
      <c r="AA1758" s="70" t="s">
        <v>6501</v>
      </c>
      <c r="AC1758" s="70">
        <v>6.0</v>
      </c>
      <c r="AE1758" s="70">
        <v>18.0</v>
      </c>
      <c r="AF1758" s="70" t="s">
        <v>239</v>
      </c>
      <c r="AW1758" s="70" t="s">
        <v>6502</v>
      </c>
      <c r="AZ1758" s="70">
        <v>422.0</v>
      </c>
    </row>
    <row r="1759" ht="22.5" customHeight="1">
      <c r="A1759" s="70" t="str">
        <f t="shared" si="1"/>
        <v>Excluded</v>
      </c>
      <c r="B1759" s="70">
        <f t="shared" si="2"/>
        <v>0</v>
      </c>
      <c r="C1759" s="70">
        <v>0.0</v>
      </c>
      <c r="D1759" s="70">
        <v>0.0</v>
      </c>
      <c r="E1759" s="70">
        <v>0.0</v>
      </c>
      <c r="F1759" s="70">
        <v>0.0</v>
      </c>
      <c r="G1759" s="70">
        <v>0.0</v>
      </c>
      <c r="H1759" s="70" t="s">
        <v>9170</v>
      </c>
      <c r="I1759" s="70">
        <v>893.0</v>
      </c>
      <c r="J1759" s="70" t="s">
        <v>29480</v>
      </c>
      <c r="K1759" s="70" t="s">
        <v>9169</v>
      </c>
      <c r="L1759" s="70" t="s">
        <v>7517</v>
      </c>
      <c r="N1759" s="70" t="s">
        <v>5351</v>
      </c>
      <c r="P1759" s="76">
        <v>44853.0</v>
      </c>
      <c r="U1759" s="70" t="s">
        <v>239</v>
      </c>
      <c r="W1759" s="70" t="s">
        <v>9171</v>
      </c>
      <c r="X1759" s="70" t="s">
        <v>7521</v>
      </c>
      <c r="Z1759" s="75" t="s">
        <v>9172</v>
      </c>
      <c r="AA1759" s="70" t="s">
        <v>9173</v>
      </c>
      <c r="AC1759" s="70">
        <v>1.0</v>
      </c>
      <c r="AE1759" s="70">
        <v>21.0</v>
      </c>
      <c r="AF1759" s="70" t="s">
        <v>239</v>
      </c>
      <c r="AW1759" s="70" t="s">
        <v>9174</v>
      </c>
      <c r="AX1759" s="70">
        <v>0.0</v>
      </c>
      <c r="AY1759" s="70" t="s">
        <v>24</v>
      </c>
      <c r="AZ1759" s="70">
        <v>1645.0</v>
      </c>
    </row>
    <row r="1760" ht="22.5" customHeight="1">
      <c r="A1760" s="70" t="str">
        <f t="shared" si="1"/>
        <v>Excluded</v>
      </c>
      <c r="B1760" s="70">
        <f t="shared" si="2"/>
        <v>0</v>
      </c>
      <c r="C1760" s="70">
        <v>0.0</v>
      </c>
      <c r="D1760" s="70">
        <v>0.0</v>
      </c>
      <c r="E1760" s="70">
        <v>0.0</v>
      </c>
      <c r="F1760" s="70">
        <v>0.0</v>
      </c>
      <c r="G1760" s="70">
        <v>0.0</v>
      </c>
      <c r="H1760" s="70" t="s">
        <v>15978</v>
      </c>
      <c r="I1760" s="70">
        <v>1687.0</v>
      </c>
      <c r="K1760" s="70" t="s">
        <v>10597</v>
      </c>
      <c r="L1760" s="70" t="s">
        <v>15977</v>
      </c>
      <c r="N1760" s="70" t="s">
        <v>5351</v>
      </c>
      <c r="P1760" s="76">
        <v>45166.0</v>
      </c>
      <c r="U1760" s="70" t="s">
        <v>239</v>
      </c>
      <c r="X1760" s="70" t="s">
        <v>15979</v>
      </c>
      <c r="Z1760" s="75" t="s">
        <v>15980</v>
      </c>
      <c r="AF1760" s="70" t="s">
        <v>239</v>
      </c>
      <c r="AZ1760" s="70">
        <v>1575.0</v>
      </c>
    </row>
    <row r="1761" ht="22.5" customHeight="1">
      <c r="A1761" s="70" t="str">
        <f t="shared" si="1"/>
        <v>Excluded</v>
      </c>
      <c r="B1761" s="70">
        <f t="shared" si="2"/>
        <v>0</v>
      </c>
      <c r="C1761" s="70">
        <v>0.0</v>
      </c>
      <c r="D1761" s="70">
        <v>0.0</v>
      </c>
      <c r="E1761" s="70">
        <v>0.0</v>
      </c>
      <c r="F1761" s="70">
        <v>0.0</v>
      </c>
      <c r="G1761" s="70">
        <v>0.0</v>
      </c>
      <c r="H1761" s="70" t="s">
        <v>16014</v>
      </c>
      <c r="I1761" s="70">
        <v>1697.0</v>
      </c>
      <c r="K1761" s="70" t="s">
        <v>16013</v>
      </c>
      <c r="L1761" s="70" t="s">
        <v>15977</v>
      </c>
      <c r="N1761" s="70" t="s">
        <v>5351</v>
      </c>
      <c r="P1761" s="76">
        <v>45166.0</v>
      </c>
      <c r="U1761" s="70" t="s">
        <v>239</v>
      </c>
      <c r="X1761" s="70" t="s">
        <v>15979</v>
      </c>
      <c r="Z1761" s="75" t="s">
        <v>16015</v>
      </c>
      <c r="AF1761" s="70" t="s">
        <v>239</v>
      </c>
      <c r="AZ1761" s="70">
        <v>899.0</v>
      </c>
    </row>
    <row r="1762" ht="22.5" customHeight="1">
      <c r="A1762" s="70" t="str">
        <f t="shared" si="1"/>
        <v>Excluded</v>
      </c>
      <c r="B1762" s="70">
        <f t="shared" si="2"/>
        <v>0</v>
      </c>
      <c r="C1762" s="70">
        <v>0.0</v>
      </c>
      <c r="D1762" s="70">
        <v>0.0</v>
      </c>
      <c r="E1762" s="70">
        <v>0.0</v>
      </c>
      <c r="F1762" s="70">
        <v>0.0</v>
      </c>
      <c r="G1762" s="70">
        <v>0.0</v>
      </c>
      <c r="H1762" s="70" t="s">
        <v>13666</v>
      </c>
      <c r="I1762" s="70">
        <v>1423.0</v>
      </c>
      <c r="J1762" s="70" t="s">
        <v>13664</v>
      </c>
      <c r="K1762" s="70" t="s">
        <v>13665</v>
      </c>
      <c r="L1762" s="70" t="s">
        <v>12672</v>
      </c>
      <c r="N1762" s="70" t="s">
        <v>5351</v>
      </c>
      <c r="P1762" s="76">
        <v>45596.0</v>
      </c>
      <c r="U1762" s="70" t="s">
        <v>239</v>
      </c>
      <c r="W1762" s="70" t="s">
        <v>13668</v>
      </c>
      <c r="X1762" s="70" t="s">
        <v>12676</v>
      </c>
      <c r="Z1762" s="75" t="s">
        <v>13669</v>
      </c>
      <c r="AA1762" s="70" t="s">
        <v>13670</v>
      </c>
      <c r="AE1762" s="70">
        <v>11.0</v>
      </c>
      <c r="AF1762" s="70" t="s">
        <v>239</v>
      </c>
      <c r="AW1762" s="70" t="s">
        <v>13671</v>
      </c>
      <c r="AX1762" s="70">
        <v>0.0</v>
      </c>
      <c r="AY1762" s="70" t="s">
        <v>24</v>
      </c>
      <c r="AZ1762" s="70">
        <v>2404.0</v>
      </c>
    </row>
    <row r="1763" ht="22.5" customHeight="1">
      <c r="A1763" s="70" t="str">
        <f t="shared" si="1"/>
        <v>Excluded</v>
      </c>
      <c r="B1763" s="70">
        <f t="shared" si="2"/>
        <v>0</v>
      </c>
      <c r="C1763" s="70">
        <v>0.0</v>
      </c>
      <c r="D1763" s="70">
        <v>0.0</v>
      </c>
      <c r="E1763" s="70">
        <v>0.0</v>
      </c>
      <c r="F1763" s="70">
        <v>0.0</v>
      </c>
      <c r="G1763" s="70">
        <v>0.0</v>
      </c>
      <c r="H1763" s="70" t="s">
        <v>15989</v>
      </c>
      <c r="I1763" s="70">
        <v>1690.0</v>
      </c>
      <c r="K1763" s="70" t="s">
        <v>15988</v>
      </c>
      <c r="L1763" s="70" t="s">
        <v>12672</v>
      </c>
      <c r="N1763" s="70" t="s">
        <v>5351</v>
      </c>
      <c r="P1763" s="76">
        <v>45596.0</v>
      </c>
      <c r="U1763" s="70" t="s">
        <v>239</v>
      </c>
      <c r="X1763" s="70" t="s">
        <v>12676</v>
      </c>
      <c r="Z1763" s="75" t="s">
        <v>15991</v>
      </c>
      <c r="AF1763" s="70" t="s">
        <v>239</v>
      </c>
      <c r="AZ1763" s="70">
        <v>1382.0</v>
      </c>
    </row>
    <row r="1764" ht="22.5" customHeight="1">
      <c r="A1764" s="70" t="str">
        <f t="shared" si="1"/>
        <v>Excluded</v>
      </c>
      <c r="B1764" s="70">
        <f t="shared" si="2"/>
        <v>0</v>
      </c>
      <c r="C1764" s="70">
        <v>0.0</v>
      </c>
      <c r="D1764" s="70">
        <v>0.0</v>
      </c>
      <c r="E1764" s="70">
        <v>0.0</v>
      </c>
      <c r="F1764" s="70">
        <v>0.0</v>
      </c>
      <c r="G1764" s="70">
        <v>0.0</v>
      </c>
      <c r="H1764" s="70" t="s">
        <v>12673</v>
      </c>
      <c r="I1764" s="70">
        <v>1322.0</v>
      </c>
      <c r="J1764" s="70" t="s">
        <v>12670</v>
      </c>
      <c r="K1764" s="70" t="s">
        <v>12671</v>
      </c>
      <c r="L1764" s="70" t="s">
        <v>12672</v>
      </c>
      <c r="N1764" s="70" t="s">
        <v>5351</v>
      </c>
      <c r="P1764" s="76">
        <v>45596.0</v>
      </c>
      <c r="U1764" s="70" t="s">
        <v>239</v>
      </c>
      <c r="W1764" s="70" t="s">
        <v>12675</v>
      </c>
      <c r="X1764" s="70" t="s">
        <v>12676</v>
      </c>
      <c r="Z1764" s="75" t="s">
        <v>12677</v>
      </c>
      <c r="AA1764" s="70" t="s">
        <v>12678</v>
      </c>
      <c r="AE1764" s="70">
        <v>7.0</v>
      </c>
      <c r="AF1764" s="70" t="s">
        <v>239</v>
      </c>
      <c r="AW1764" s="70" t="s">
        <v>12679</v>
      </c>
      <c r="AX1764" s="70">
        <v>0.0</v>
      </c>
      <c r="AY1764" s="70" t="s">
        <v>24</v>
      </c>
      <c r="AZ1764" s="70">
        <v>2706.0</v>
      </c>
    </row>
    <row r="1765" ht="22.5" customHeight="1">
      <c r="A1765" s="70" t="str">
        <f t="shared" si="1"/>
        <v>Excluded</v>
      </c>
      <c r="B1765" s="70">
        <f t="shared" si="2"/>
        <v>0</v>
      </c>
      <c r="C1765" s="70">
        <v>0.0</v>
      </c>
      <c r="D1765" s="70">
        <v>0.0</v>
      </c>
      <c r="E1765" s="70">
        <v>0.0</v>
      </c>
      <c r="F1765" s="70">
        <v>0.0</v>
      </c>
      <c r="G1765" s="70">
        <v>0.0</v>
      </c>
      <c r="H1765" s="70" t="s">
        <v>14193</v>
      </c>
      <c r="I1765" s="70">
        <v>1479.0</v>
      </c>
      <c r="J1765" s="70" t="s">
        <v>14191</v>
      </c>
      <c r="K1765" s="70" t="s">
        <v>14192</v>
      </c>
      <c r="L1765" s="70" t="s">
        <v>12672</v>
      </c>
      <c r="N1765" s="70" t="s">
        <v>5351</v>
      </c>
      <c r="P1765" s="76">
        <v>45596.0</v>
      </c>
      <c r="U1765" s="70" t="s">
        <v>239</v>
      </c>
      <c r="W1765" s="70" t="s">
        <v>14195</v>
      </c>
      <c r="X1765" s="70" t="s">
        <v>12676</v>
      </c>
      <c r="Z1765" s="75" t="s">
        <v>14196</v>
      </c>
      <c r="AA1765" s="70" t="s">
        <v>14197</v>
      </c>
      <c r="AE1765" s="70">
        <v>18.0</v>
      </c>
      <c r="AF1765" s="70" t="s">
        <v>239</v>
      </c>
      <c r="AW1765" s="70" t="s">
        <v>14198</v>
      </c>
      <c r="AX1765" s="70">
        <v>0.0</v>
      </c>
      <c r="AY1765" s="70" t="s">
        <v>24</v>
      </c>
      <c r="AZ1765" s="70">
        <v>1848.0</v>
      </c>
    </row>
    <row r="1766" ht="22.5" customHeight="1">
      <c r="A1766" s="70" t="str">
        <f t="shared" si="1"/>
        <v>Excluded</v>
      </c>
      <c r="B1766" s="70">
        <f t="shared" si="2"/>
        <v>0</v>
      </c>
      <c r="C1766" s="70">
        <v>0.0</v>
      </c>
      <c r="D1766" s="70">
        <v>0.0</v>
      </c>
      <c r="E1766" s="70">
        <v>0.0</v>
      </c>
      <c r="F1766" s="70">
        <v>0.0</v>
      </c>
      <c r="G1766" s="70">
        <v>0.0</v>
      </c>
      <c r="H1766" s="70" t="s">
        <v>14620</v>
      </c>
      <c r="I1766" s="70">
        <v>1525.0</v>
      </c>
      <c r="J1766" s="70" t="s">
        <v>30565</v>
      </c>
      <c r="K1766" s="70" t="s">
        <v>14619</v>
      </c>
      <c r="L1766" s="70" t="s">
        <v>12672</v>
      </c>
      <c r="N1766" s="70" t="s">
        <v>5351</v>
      </c>
      <c r="P1766" s="76">
        <v>45596.0</v>
      </c>
      <c r="U1766" s="70" t="s">
        <v>239</v>
      </c>
      <c r="W1766" s="70" t="s">
        <v>14622</v>
      </c>
      <c r="X1766" s="70" t="s">
        <v>12676</v>
      </c>
      <c r="Z1766" s="75" t="s">
        <v>14623</v>
      </c>
      <c r="AA1766" s="70" t="s">
        <v>14624</v>
      </c>
      <c r="AE1766" s="70">
        <v>19.0</v>
      </c>
      <c r="AF1766" s="70" t="s">
        <v>239</v>
      </c>
      <c r="AW1766" s="70" t="s">
        <v>14625</v>
      </c>
      <c r="AX1766" s="70">
        <v>0.0</v>
      </c>
      <c r="AY1766" s="70" t="s">
        <v>24</v>
      </c>
      <c r="AZ1766" s="70">
        <v>1646.0</v>
      </c>
    </row>
    <row r="1767" ht="22.5" customHeight="1">
      <c r="A1767" s="70" t="str">
        <f t="shared" si="1"/>
        <v>Excluded</v>
      </c>
      <c r="B1767" s="70">
        <f t="shared" si="2"/>
        <v>0</v>
      </c>
      <c r="C1767" s="70">
        <v>0.0</v>
      </c>
      <c r="D1767" s="70">
        <v>0.0</v>
      </c>
      <c r="E1767" s="70">
        <v>0.0</v>
      </c>
      <c r="F1767" s="70">
        <v>0.0</v>
      </c>
      <c r="G1767" s="70">
        <v>0.0</v>
      </c>
      <c r="H1767" s="70" t="s">
        <v>6299</v>
      </c>
      <c r="I1767" s="70">
        <v>597.0</v>
      </c>
      <c r="J1767" s="70" t="s">
        <v>6295</v>
      </c>
      <c r="K1767" s="70" t="s">
        <v>6296</v>
      </c>
      <c r="L1767" s="70" t="s">
        <v>6297</v>
      </c>
      <c r="N1767" s="70" t="s">
        <v>6298</v>
      </c>
      <c r="P1767" s="76">
        <v>43783.0</v>
      </c>
      <c r="U1767" s="70" t="s">
        <v>239</v>
      </c>
      <c r="W1767" s="70" t="s">
        <v>6301</v>
      </c>
      <c r="X1767" s="70" t="s">
        <v>6302</v>
      </c>
      <c r="Z1767" s="75" t="s">
        <v>6303</v>
      </c>
      <c r="AA1767" s="70" t="s">
        <v>6304</v>
      </c>
      <c r="AC1767" s="70">
        <v>7.0</v>
      </c>
      <c r="AE1767" s="70">
        <v>22.0</v>
      </c>
      <c r="AF1767" s="70" t="s">
        <v>239</v>
      </c>
      <c r="AZ1767" s="70">
        <v>988.0</v>
      </c>
    </row>
    <row r="1768" ht="22.5" customHeight="1">
      <c r="A1768" s="70" t="str">
        <f t="shared" si="1"/>
        <v>Excluded</v>
      </c>
      <c r="B1768" s="70">
        <f t="shared" si="2"/>
        <v>0</v>
      </c>
      <c r="C1768" s="70">
        <v>0.0</v>
      </c>
      <c r="D1768" s="70">
        <v>0.0</v>
      </c>
      <c r="E1768" s="70">
        <v>0.0</v>
      </c>
      <c r="F1768" s="70">
        <v>0.0</v>
      </c>
      <c r="G1768" s="70">
        <v>0.0</v>
      </c>
      <c r="H1768" s="70" t="s">
        <v>15962</v>
      </c>
      <c r="I1768" s="70">
        <v>1683.0</v>
      </c>
      <c r="K1768" s="70" t="s">
        <v>10597</v>
      </c>
      <c r="L1768" s="70" t="s">
        <v>15961</v>
      </c>
      <c r="P1768" s="76">
        <v>45653.0</v>
      </c>
      <c r="U1768" s="70" t="s">
        <v>239</v>
      </c>
      <c r="X1768" s="70" t="s">
        <v>15963</v>
      </c>
      <c r="Z1768" s="75" t="s">
        <v>15964</v>
      </c>
      <c r="AF1768" s="70" t="s">
        <v>239</v>
      </c>
      <c r="AZ1768" s="70">
        <v>1577.0</v>
      </c>
    </row>
    <row r="1769" ht="22.5" customHeight="1">
      <c r="A1769" s="70" t="str">
        <f t="shared" si="1"/>
        <v>Excluded</v>
      </c>
      <c r="B1769" s="70">
        <f t="shared" si="2"/>
        <v>0</v>
      </c>
      <c r="C1769" s="70">
        <v>0.0</v>
      </c>
      <c r="D1769" s="70">
        <v>0.0</v>
      </c>
      <c r="E1769" s="70">
        <v>0.0</v>
      </c>
      <c r="F1769" s="70">
        <v>0.0</v>
      </c>
      <c r="G1769" s="70">
        <v>0.0</v>
      </c>
      <c r="H1769" s="70" t="s">
        <v>16166</v>
      </c>
      <c r="I1769" s="70">
        <v>1738.0</v>
      </c>
      <c r="K1769" s="70" t="s">
        <v>16164</v>
      </c>
      <c r="L1769" s="70" t="s">
        <v>16165</v>
      </c>
      <c r="P1769" s="76">
        <v>45551.0</v>
      </c>
      <c r="U1769" s="70" t="s">
        <v>239</v>
      </c>
      <c r="X1769" s="70" t="s">
        <v>16167</v>
      </c>
      <c r="Z1769" s="75" t="s">
        <v>16168</v>
      </c>
      <c r="AF1769" s="70" t="s">
        <v>239</v>
      </c>
      <c r="AZ1769" s="70">
        <v>1406.0</v>
      </c>
    </row>
    <row r="1770" ht="22.5" customHeight="1">
      <c r="A1770" s="70" t="str">
        <f t="shared" si="1"/>
        <v>Excluded</v>
      </c>
      <c r="B1770" s="70">
        <f t="shared" si="2"/>
        <v>0</v>
      </c>
      <c r="C1770" s="70">
        <v>0.0</v>
      </c>
      <c r="D1770" s="70">
        <v>0.0</v>
      </c>
      <c r="E1770" s="70">
        <v>0.0</v>
      </c>
      <c r="F1770" s="70">
        <v>0.0</v>
      </c>
      <c r="G1770" s="70">
        <v>0.0</v>
      </c>
      <c r="H1770" s="70" t="s">
        <v>24192</v>
      </c>
      <c r="I1770" s="70">
        <v>2648.0</v>
      </c>
      <c r="J1770" s="70" t="s">
        <v>24190</v>
      </c>
      <c r="K1770" s="70" t="s">
        <v>24191</v>
      </c>
      <c r="W1770" s="70" t="s">
        <v>30566</v>
      </c>
      <c r="AA1770" s="70" t="s">
        <v>24194</v>
      </c>
      <c r="AI1770" s="70" t="s">
        <v>24195</v>
      </c>
      <c r="AJ1770" s="70" t="s">
        <v>24196</v>
      </c>
      <c r="AK1770" s="70">
        <v>2024.0</v>
      </c>
      <c r="AL1770" s="70" t="s">
        <v>24197</v>
      </c>
      <c r="AN1770" s="70">
        <v>339.0</v>
      </c>
      <c r="AO1770" s="70">
        <v>345.0</v>
      </c>
      <c r="AP1770" s="70">
        <v>6.0</v>
      </c>
      <c r="AQ1770" s="70">
        <v>1.0</v>
      </c>
      <c r="AR1770" s="75" t="s">
        <v>24198</v>
      </c>
      <c r="AS1770" s="70" t="s">
        <v>22525</v>
      </c>
      <c r="AU1770" s="70" t="s">
        <v>237</v>
      </c>
      <c r="AV1770" s="70" t="s">
        <v>24199</v>
      </c>
      <c r="AW1770" s="70" t="s">
        <v>24200</v>
      </c>
      <c r="AZ1770" s="70">
        <v>687.0</v>
      </c>
    </row>
    <row r="1771" ht="22.5" customHeight="1">
      <c r="A1771" s="70" t="str">
        <f t="shared" si="1"/>
        <v>Excluded</v>
      </c>
      <c r="B1771" s="70">
        <f t="shared" si="2"/>
        <v>0</v>
      </c>
      <c r="C1771" s="70">
        <v>0.0</v>
      </c>
      <c r="D1771" s="70">
        <v>0.0</v>
      </c>
      <c r="E1771" s="70">
        <v>0.0</v>
      </c>
      <c r="F1771" s="70">
        <v>0.0</v>
      </c>
      <c r="G1771" s="70">
        <v>0.0</v>
      </c>
      <c r="H1771" s="70" t="s">
        <v>13580</v>
      </c>
      <c r="I1771" s="70">
        <v>1414.0</v>
      </c>
      <c r="J1771" s="70" t="s">
        <v>13577</v>
      </c>
      <c r="K1771" s="70" t="s">
        <v>13578</v>
      </c>
      <c r="L1771" s="70" t="s">
        <v>13579</v>
      </c>
      <c r="P1771" s="76">
        <v>45343.0</v>
      </c>
      <c r="U1771" s="70" t="s">
        <v>239</v>
      </c>
      <c r="W1771" s="70" t="s">
        <v>13582</v>
      </c>
      <c r="X1771" s="70" t="s">
        <v>13583</v>
      </c>
      <c r="Z1771" s="75" t="s">
        <v>13584</v>
      </c>
      <c r="AA1771" s="70" t="s">
        <v>13585</v>
      </c>
      <c r="AE1771" s="70">
        <v>15.0</v>
      </c>
      <c r="AF1771" s="70" t="s">
        <v>239</v>
      </c>
      <c r="AW1771" s="70" t="s">
        <v>13586</v>
      </c>
      <c r="AZ1771" s="70">
        <v>386.0</v>
      </c>
    </row>
    <row r="1772" ht="22.5" customHeight="1">
      <c r="A1772" s="70" t="str">
        <f t="shared" si="1"/>
        <v>Excluded</v>
      </c>
      <c r="B1772" s="70">
        <f t="shared" si="2"/>
        <v>0</v>
      </c>
      <c r="C1772" s="70">
        <v>0.0</v>
      </c>
      <c r="D1772" s="70">
        <v>0.0</v>
      </c>
      <c r="E1772" s="70">
        <v>0.0</v>
      </c>
      <c r="F1772" s="70">
        <v>0.0</v>
      </c>
      <c r="G1772" s="70">
        <v>0.0</v>
      </c>
      <c r="H1772" s="70" t="s">
        <v>15590</v>
      </c>
      <c r="I1772" s="70">
        <v>1627.0</v>
      </c>
      <c r="J1772" s="70" t="s">
        <v>15587</v>
      </c>
      <c r="K1772" s="70" t="s">
        <v>15588</v>
      </c>
      <c r="L1772" s="70" t="s">
        <v>15589</v>
      </c>
      <c r="P1772" s="76">
        <v>45705.0</v>
      </c>
      <c r="U1772" s="70" t="s">
        <v>239</v>
      </c>
      <c r="W1772" s="70" t="s">
        <v>15592</v>
      </c>
      <c r="X1772" s="70" t="s">
        <v>15593</v>
      </c>
      <c r="Z1772" s="75" t="s">
        <v>15594</v>
      </c>
      <c r="AA1772" s="70" t="s">
        <v>15595</v>
      </c>
      <c r="AE1772" s="70">
        <v>25.0</v>
      </c>
      <c r="AF1772" s="70" t="s">
        <v>239</v>
      </c>
      <c r="AW1772" s="70" t="s">
        <v>15596</v>
      </c>
      <c r="AZ1772" s="70">
        <v>1024.0</v>
      </c>
    </row>
    <row r="1773" ht="22.5" customHeight="1">
      <c r="A1773" s="70" t="str">
        <f t="shared" si="1"/>
        <v>Excluded</v>
      </c>
      <c r="B1773" s="70">
        <f t="shared" si="2"/>
        <v>0</v>
      </c>
      <c r="C1773" s="70">
        <v>0.0</v>
      </c>
      <c r="D1773" s="70">
        <v>0.0</v>
      </c>
      <c r="E1773" s="70">
        <v>0.0</v>
      </c>
      <c r="F1773" s="70">
        <v>0.0</v>
      </c>
      <c r="G1773" s="70">
        <v>0.0</v>
      </c>
      <c r="H1773" s="70" t="s">
        <v>9496</v>
      </c>
      <c r="I1773" s="70">
        <v>928.0</v>
      </c>
      <c r="J1773" s="70" t="s">
        <v>9492</v>
      </c>
      <c r="K1773" s="70" t="s">
        <v>9493</v>
      </c>
      <c r="L1773" s="70" t="s">
        <v>9494</v>
      </c>
      <c r="N1773" s="70" t="s">
        <v>9495</v>
      </c>
      <c r="P1773" s="76">
        <v>43454.0</v>
      </c>
      <c r="U1773" s="70" t="s">
        <v>239</v>
      </c>
      <c r="W1773" s="70" t="s">
        <v>9498</v>
      </c>
      <c r="X1773" s="70" t="s">
        <v>9499</v>
      </c>
      <c r="Z1773" s="75" t="s">
        <v>9500</v>
      </c>
      <c r="AA1773" s="70" t="s">
        <v>9501</v>
      </c>
      <c r="AE1773" s="70">
        <v>23.0</v>
      </c>
      <c r="AF1773" s="70" t="s">
        <v>239</v>
      </c>
      <c r="AW1773" s="70" t="s">
        <v>9502</v>
      </c>
      <c r="AX1773" s="70">
        <v>0.0</v>
      </c>
      <c r="AY1773" s="70" t="s">
        <v>24</v>
      </c>
      <c r="AZ1773" s="70">
        <v>3051.0</v>
      </c>
    </row>
    <row r="1774" ht="22.5" customHeight="1">
      <c r="A1774" s="70" t="str">
        <f t="shared" si="1"/>
        <v>Excluded</v>
      </c>
      <c r="B1774" s="70">
        <f t="shared" si="2"/>
        <v>0</v>
      </c>
      <c r="C1774" s="70">
        <v>0.0</v>
      </c>
      <c r="D1774" s="70">
        <v>0.0</v>
      </c>
      <c r="E1774" s="70">
        <v>0.0</v>
      </c>
      <c r="F1774" s="70">
        <v>0.0</v>
      </c>
      <c r="G1774" s="70">
        <v>0.0</v>
      </c>
      <c r="H1774" s="70" t="s">
        <v>10515</v>
      </c>
      <c r="I1774" s="70">
        <v>1034.0</v>
      </c>
      <c r="J1774" s="70" t="s">
        <v>10512</v>
      </c>
      <c r="K1774" s="70" t="s">
        <v>10513</v>
      </c>
      <c r="L1774" s="70" t="s">
        <v>10514</v>
      </c>
      <c r="N1774" s="70" t="s">
        <v>9495</v>
      </c>
      <c r="P1774" s="76">
        <v>44942.0</v>
      </c>
      <c r="U1774" s="70" t="s">
        <v>239</v>
      </c>
      <c r="W1774" s="70" t="s">
        <v>10517</v>
      </c>
      <c r="X1774" s="70" t="s">
        <v>10518</v>
      </c>
      <c r="Z1774" s="75" t="s">
        <v>10519</v>
      </c>
      <c r="AA1774" s="70" t="s">
        <v>10520</v>
      </c>
      <c r="AE1774" s="70">
        <v>16.0</v>
      </c>
      <c r="AF1774" s="70" t="s">
        <v>239</v>
      </c>
      <c r="AW1774" s="70" t="s">
        <v>10521</v>
      </c>
      <c r="AZ1774" s="70">
        <v>1350.0</v>
      </c>
    </row>
    <row r="1775" ht="22.5" customHeight="1">
      <c r="A1775" s="70" t="str">
        <f t="shared" si="1"/>
        <v>Excluded</v>
      </c>
      <c r="B1775" s="70">
        <f t="shared" si="2"/>
        <v>0</v>
      </c>
      <c r="C1775" s="70">
        <v>0.0</v>
      </c>
      <c r="D1775" s="70">
        <v>0.0</v>
      </c>
      <c r="E1775" s="70">
        <v>0.0</v>
      </c>
      <c r="F1775" s="70">
        <v>0.0</v>
      </c>
      <c r="G1775" s="70">
        <v>0.0</v>
      </c>
      <c r="H1775" s="70" t="s">
        <v>5869</v>
      </c>
      <c r="I1775" s="70">
        <v>553.0</v>
      </c>
      <c r="J1775" s="70" t="s">
        <v>5865</v>
      </c>
      <c r="K1775" s="70" t="s">
        <v>5866</v>
      </c>
      <c r="L1775" s="70" t="s">
        <v>5867</v>
      </c>
      <c r="N1775" s="70" t="s">
        <v>5868</v>
      </c>
      <c r="P1775" s="76">
        <v>43780.0</v>
      </c>
      <c r="U1775" s="70" t="s">
        <v>239</v>
      </c>
      <c r="W1775" s="70" t="s">
        <v>5871</v>
      </c>
      <c r="X1775" s="70" t="s">
        <v>5872</v>
      </c>
      <c r="Z1775" s="75" t="s">
        <v>5873</v>
      </c>
      <c r="AA1775" s="70" t="s">
        <v>5874</v>
      </c>
      <c r="AC1775" s="70">
        <v>9.0</v>
      </c>
      <c r="AE1775" s="70">
        <v>15.0</v>
      </c>
      <c r="AF1775" s="70" t="s">
        <v>239</v>
      </c>
      <c r="AZ1775" s="70">
        <v>1126.0</v>
      </c>
    </row>
    <row r="1776" ht="22.5" customHeight="1">
      <c r="A1776" s="70" t="str">
        <f t="shared" si="1"/>
        <v>Excluded</v>
      </c>
      <c r="B1776" s="70">
        <f t="shared" si="2"/>
        <v>0</v>
      </c>
      <c r="C1776" s="70">
        <v>0.0</v>
      </c>
      <c r="D1776" s="70">
        <v>0.0</v>
      </c>
      <c r="E1776" s="70">
        <v>0.0</v>
      </c>
      <c r="F1776" s="70">
        <v>0.0</v>
      </c>
      <c r="G1776" s="70">
        <v>0.0</v>
      </c>
      <c r="H1776" s="70" t="s">
        <v>15513</v>
      </c>
      <c r="I1776" s="70">
        <v>1619.0</v>
      </c>
      <c r="J1776" s="70" t="s">
        <v>15511</v>
      </c>
      <c r="K1776" s="70" t="s">
        <v>15512</v>
      </c>
      <c r="L1776" s="70" t="s">
        <v>11894</v>
      </c>
      <c r="P1776" s="76">
        <v>45321.0</v>
      </c>
      <c r="U1776" s="70" t="s">
        <v>239</v>
      </c>
      <c r="W1776" s="70" t="s">
        <v>15515</v>
      </c>
      <c r="X1776" s="70" t="s">
        <v>11898</v>
      </c>
      <c r="Z1776" s="75" t="s">
        <v>15516</v>
      </c>
      <c r="AA1776" s="70" t="s">
        <v>15517</v>
      </c>
      <c r="AE1776" s="70">
        <v>4.0</v>
      </c>
      <c r="AF1776" s="70" t="s">
        <v>239</v>
      </c>
      <c r="AW1776" s="70" t="s">
        <v>15518</v>
      </c>
      <c r="AX1776" s="70">
        <v>0.0</v>
      </c>
      <c r="AY1776" s="70" t="s">
        <v>24</v>
      </c>
      <c r="AZ1776" s="70">
        <v>2434.0</v>
      </c>
    </row>
    <row r="1777" ht="22.5" customHeight="1">
      <c r="A1777" s="70" t="str">
        <f t="shared" si="1"/>
        <v>Excluded</v>
      </c>
      <c r="B1777" s="70">
        <f t="shared" si="2"/>
        <v>0</v>
      </c>
      <c r="C1777" s="70">
        <v>0.0</v>
      </c>
      <c r="D1777" s="70">
        <v>0.0</v>
      </c>
      <c r="E1777" s="70">
        <v>0.0</v>
      </c>
      <c r="F1777" s="70">
        <v>0.0</v>
      </c>
      <c r="G1777" s="70">
        <v>0.0</v>
      </c>
      <c r="H1777" s="70" t="s">
        <v>15625</v>
      </c>
      <c r="I1777" s="70">
        <v>1631.0</v>
      </c>
      <c r="J1777" s="70" t="s">
        <v>15623</v>
      </c>
      <c r="K1777" s="70" t="s">
        <v>15624</v>
      </c>
      <c r="L1777" s="70" t="s">
        <v>15176</v>
      </c>
      <c r="N1777" s="70" t="s">
        <v>6861</v>
      </c>
      <c r="P1777" s="76">
        <v>45169.0</v>
      </c>
      <c r="U1777" s="70" t="s">
        <v>239</v>
      </c>
      <c r="W1777" s="70" t="s">
        <v>15627</v>
      </c>
      <c r="X1777" s="70" t="s">
        <v>15180</v>
      </c>
      <c r="Y1777" s="70" t="s">
        <v>30567</v>
      </c>
      <c r="Z1777" s="75" t="s">
        <v>15629</v>
      </c>
      <c r="AA1777" s="70" t="s">
        <v>15630</v>
      </c>
      <c r="AE1777" s="70">
        <v>12.0</v>
      </c>
      <c r="AF1777" s="70" t="s">
        <v>239</v>
      </c>
      <c r="AW1777" s="70" t="s">
        <v>15631</v>
      </c>
      <c r="AZ1777" s="70">
        <v>881.0</v>
      </c>
    </row>
    <row r="1778" ht="22.5" customHeight="1">
      <c r="A1778" s="70" t="str">
        <f t="shared" si="1"/>
        <v>Excluded</v>
      </c>
      <c r="B1778" s="70">
        <f t="shared" si="2"/>
        <v>0</v>
      </c>
      <c r="C1778" s="70">
        <v>0.0</v>
      </c>
      <c r="D1778" s="70">
        <v>0.0</v>
      </c>
      <c r="E1778" s="70">
        <v>0.0</v>
      </c>
      <c r="F1778" s="70">
        <v>0.0</v>
      </c>
      <c r="G1778" s="70">
        <v>0.0</v>
      </c>
      <c r="H1778" s="70" t="s">
        <v>6862</v>
      </c>
      <c r="I1778" s="70">
        <v>654.0</v>
      </c>
      <c r="J1778" s="70" t="s">
        <v>6858</v>
      </c>
      <c r="K1778" s="70" t="s">
        <v>6859</v>
      </c>
      <c r="L1778" s="70" t="s">
        <v>6860</v>
      </c>
      <c r="N1778" s="70" t="s">
        <v>6861</v>
      </c>
      <c r="P1778" s="76">
        <v>44767.0</v>
      </c>
      <c r="U1778" s="70" t="s">
        <v>239</v>
      </c>
      <c r="W1778" s="70" t="s">
        <v>6864</v>
      </c>
      <c r="X1778" s="70" t="s">
        <v>6865</v>
      </c>
      <c r="Z1778" s="75" t="s">
        <v>6866</v>
      </c>
      <c r="AA1778" s="70" t="s">
        <v>6867</v>
      </c>
      <c r="AC1778" s="70">
        <v>5.0</v>
      </c>
      <c r="AE1778" s="70">
        <v>24.0</v>
      </c>
      <c r="AF1778" s="70" t="s">
        <v>239</v>
      </c>
      <c r="AW1778" s="70" t="s">
        <v>6868</v>
      </c>
      <c r="AX1778" s="70">
        <v>0.0</v>
      </c>
      <c r="AY1778" s="70" t="s">
        <v>24</v>
      </c>
      <c r="AZ1778" s="70">
        <v>3045.0</v>
      </c>
    </row>
    <row r="1779" ht="22.5" customHeight="1">
      <c r="A1779" s="70" t="str">
        <f t="shared" si="1"/>
        <v>Excluded</v>
      </c>
      <c r="B1779" s="70">
        <f t="shared" si="2"/>
        <v>0</v>
      </c>
      <c r="C1779" s="70">
        <v>0.0</v>
      </c>
      <c r="D1779" s="70">
        <v>0.0</v>
      </c>
      <c r="E1779" s="70">
        <v>0.0</v>
      </c>
      <c r="F1779" s="70">
        <v>0.0</v>
      </c>
      <c r="G1779" s="70">
        <v>0.0</v>
      </c>
      <c r="H1779" s="70" t="s">
        <v>10162</v>
      </c>
      <c r="I1779" s="70">
        <v>997.0</v>
      </c>
      <c r="J1779" s="70" t="s">
        <v>10159</v>
      </c>
      <c r="K1779" s="70" t="s">
        <v>10160</v>
      </c>
      <c r="L1779" s="70" t="s">
        <v>10161</v>
      </c>
      <c r="P1779" s="76">
        <v>43482.0</v>
      </c>
      <c r="U1779" s="70" t="s">
        <v>239</v>
      </c>
      <c r="W1779" s="70" t="s">
        <v>10164</v>
      </c>
      <c r="X1779" s="70" t="s">
        <v>10165</v>
      </c>
      <c r="Z1779" s="75" t="s">
        <v>10166</v>
      </c>
      <c r="AA1779" s="70" t="s">
        <v>10167</v>
      </c>
      <c r="AE1779" s="70">
        <v>24.0</v>
      </c>
      <c r="AF1779" s="70" t="s">
        <v>239</v>
      </c>
      <c r="AW1779" s="70" t="s">
        <v>10168</v>
      </c>
      <c r="AX1779" s="70">
        <v>0.0</v>
      </c>
      <c r="AY1779" s="70" t="s">
        <v>24</v>
      </c>
      <c r="AZ1779" s="70">
        <v>2312.0</v>
      </c>
    </row>
    <row r="1780" ht="22.5" customHeight="1">
      <c r="A1780" s="70" t="str">
        <f t="shared" si="1"/>
        <v>Excluded</v>
      </c>
      <c r="B1780" s="70">
        <f t="shared" si="2"/>
        <v>0</v>
      </c>
      <c r="C1780" s="70">
        <v>0.0</v>
      </c>
      <c r="D1780" s="70">
        <v>0.0</v>
      </c>
      <c r="E1780" s="70">
        <v>0.0</v>
      </c>
      <c r="F1780" s="70">
        <v>0.0</v>
      </c>
      <c r="G1780" s="70">
        <v>0.0</v>
      </c>
      <c r="H1780" s="70" t="s">
        <v>9893</v>
      </c>
      <c r="I1780" s="70">
        <v>969.0</v>
      </c>
      <c r="J1780" s="70" t="s">
        <v>9890</v>
      </c>
      <c r="K1780" s="70" t="s">
        <v>9891</v>
      </c>
      <c r="L1780" s="70" t="s">
        <v>9892</v>
      </c>
      <c r="P1780" s="76">
        <v>44882.0</v>
      </c>
      <c r="U1780" s="70" t="s">
        <v>239</v>
      </c>
      <c r="W1780" s="70" t="s">
        <v>9895</v>
      </c>
      <c r="X1780" s="70" t="s">
        <v>9896</v>
      </c>
      <c r="Z1780" s="75" t="s">
        <v>9897</v>
      </c>
      <c r="AA1780" s="70" t="s">
        <v>9898</v>
      </c>
      <c r="AE1780" s="70">
        <v>27.0</v>
      </c>
      <c r="AF1780" s="70" t="s">
        <v>239</v>
      </c>
      <c r="AW1780" s="70" t="s">
        <v>9899</v>
      </c>
      <c r="AX1780" s="70">
        <v>0.0</v>
      </c>
      <c r="AY1780" s="70" t="s">
        <v>24</v>
      </c>
      <c r="AZ1780" s="70">
        <v>1982.0</v>
      </c>
    </row>
    <row r="1781" ht="22.5" customHeight="1">
      <c r="A1781" s="70" t="str">
        <f t="shared" si="1"/>
        <v>Excluded</v>
      </c>
      <c r="B1781" s="70">
        <f t="shared" si="2"/>
        <v>0</v>
      </c>
      <c r="C1781" s="70">
        <v>0.0</v>
      </c>
      <c r="D1781" s="70">
        <v>0.0</v>
      </c>
      <c r="E1781" s="70">
        <v>0.0</v>
      </c>
      <c r="F1781" s="70">
        <v>0.0</v>
      </c>
      <c r="G1781" s="70">
        <v>0.0</v>
      </c>
      <c r="H1781" s="70" t="s">
        <v>11875</v>
      </c>
      <c r="I1781" s="70">
        <v>1242.0</v>
      </c>
      <c r="J1781" s="70" t="s">
        <v>11871</v>
      </c>
      <c r="K1781" s="70" t="s">
        <v>11872</v>
      </c>
      <c r="L1781" s="70" t="s">
        <v>11873</v>
      </c>
      <c r="N1781" s="70" t="s">
        <v>11874</v>
      </c>
      <c r="P1781" s="76">
        <v>45161.0</v>
      </c>
      <c r="U1781" s="70" t="s">
        <v>239</v>
      </c>
      <c r="W1781" s="70" t="s">
        <v>11877</v>
      </c>
      <c r="X1781" s="70" t="s">
        <v>11878</v>
      </c>
      <c r="Z1781" s="75" t="s">
        <v>11879</v>
      </c>
      <c r="AA1781" s="70" t="s">
        <v>11880</v>
      </c>
      <c r="AC1781" s="70">
        <v>1.0</v>
      </c>
      <c r="AE1781" s="70">
        <v>15.0</v>
      </c>
      <c r="AF1781" s="70" t="s">
        <v>239</v>
      </c>
      <c r="AW1781" s="70" t="s">
        <v>11881</v>
      </c>
      <c r="AX1781" s="70">
        <v>0.0</v>
      </c>
      <c r="AY1781" s="70" t="s">
        <v>24</v>
      </c>
      <c r="AZ1781" s="70">
        <v>2225.0</v>
      </c>
    </row>
    <row r="1782" ht="22.5" customHeight="1">
      <c r="A1782" s="70" t="str">
        <f t="shared" si="1"/>
        <v>Excluded</v>
      </c>
      <c r="B1782" s="70">
        <f t="shared" si="2"/>
        <v>0</v>
      </c>
      <c r="C1782" s="70">
        <v>0.0</v>
      </c>
      <c r="D1782" s="70">
        <v>0.0</v>
      </c>
      <c r="E1782" s="70">
        <v>0.0</v>
      </c>
      <c r="F1782" s="70">
        <v>0.0</v>
      </c>
      <c r="G1782" s="70">
        <v>0.0</v>
      </c>
      <c r="H1782" s="70" t="s">
        <v>16171</v>
      </c>
      <c r="I1782" s="70">
        <v>1739.0</v>
      </c>
      <c r="K1782" s="70" t="s">
        <v>16169</v>
      </c>
      <c r="L1782" s="70" t="s">
        <v>16170</v>
      </c>
      <c r="N1782" s="70" t="s">
        <v>11874</v>
      </c>
      <c r="P1782" s="76">
        <v>45547.0</v>
      </c>
      <c r="U1782" s="70" t="s">
        <v>239</v>
      </c>
      <c r="X1782" s="70" t="s">
        <v>16172</v>
      </c>
      <c r="Z1782" s="75" t="s">
        <v>16173</v>
      </c>
      <c r="AF1782" s="70" t="s">
        <v>239</v>
      </c>
      <c r="AZ1782" s="70">
        <v>1403.0</v>
      </c>
    </row>
    <row r="1783" ht="22.5" customHeight="1">
      <c r="A1783" s="70" t="str">
        <f t="shared" si="1"/>
        <v>Excluded</v>
      </c>
      <c r="B1783" s="70">
        <f t="shared" si="2"/>
        <v>0</v>
      </c>
      <c r="C1783" s="70">
        <v>0.0</v>
      </c>
      <c r="D1783" s="70">
        <v>0.0</v>
      </c>
      <c r="E1783" s="70">
        <v>0.0</v>
      </c>
      <c r="F1783" s="70">
        <v>0.0</v>
      </c>
      <c r="G1783" s="70">
        <v>0.0</v>
      </c>
      <c r="H1783" s="70" t="s">
        <v>16298</v>
      </c>
      <c r="I1783" s="70">
        <v>1771.0</v>
      </c>
      <c r="K1783" s="70" t="s">
        <v>16297</v>
      </c>
      <c r="L1783" s="70" t="s">
        <v>16170</v>
      </c>
      <c r="N1783" s="70" t="s">
        <v>11874</v>
      </c>
      <c r="P1783" s="76">
        <v>45547.0</v>
      </c>
      <c r="U1783" s="70" t="s">
        <v>239</v>
      </c>
      <c r="X1783" s="70" t="s">
        <v>16172</v>
      </c>
      <c r="Z1783" s="75" t="s">
        <v>16300</v>
      </c>
      <c r="AF1783" s="70" t="s">
        <v>239</v>
      </c>
      <c r="AZ1783" s="70">
        <v>1361.0</v>
      </c>
    </row>
    <row r="1784" ht="22.5" customHeight="1">
      <c r="A1784" s="70" t="str">
        <f t="shared" si="1"/>
        <v>Excluded</v>
      </c>
      <c r="B1784" s="70">
        <f t="shared" si="2"/>
        <v>0</v>
      </c>
      <c r="C1784" s="70">
        <v>0.0</v>
      </c>
      <c r="D1784" s="70">
        <v>0.0</v>
      </c>
      <c r="E1784" s="70">
        <v>0.0</v>
      </c>
      <c r="F1784" s="70">
        <v>0.0</v>
      </c>
      <c r="G1784" s="70">
        <v>0.0</v>
      </c>
      <c r="H1784" s="70" t="s">
        <v>14830</v>
      </c>
      <c r="I1784" s="70">
        <v>1546.0</v>
      </c>
      <c r="J1784" s="70" t="s">
        <v>14827</v>
      </c>
      <c r="K1784" s="70" t="s">
        <v>14828</v>
      </c>
      <c r="L1784" s="70" t="s">
        <v>14829</v>
      </c>
      <c r="P1784" s="76">
        <v>45188.0</v>
      </c>
      <c r="U1784" s="70" t="s">
        <v>239</v>
      </c>
      <c r="W1784" s="70" t="s">
        <v>14832</v>
      </c>
      <c r="X1784" s="70" t="s">
        <v>14833</v>
      </c>
      <c r="Z1784" s="75" t="s">
        <v>14834</v>
      </c>
      <c r="AA1784" s="70" t="s">
        <v>14835</v>
      </c>
      <c r="AE1784" s="70">
        <v>26.0</v>
      </c>
      <c r="AF1784" s="70" t="s">
        <v>239</v>
      </c>
      <c r="AW1784" s="70" t="s">
        <v>14836</v>
      </c>
      <c r="AX1784" s="70">
        <v>0.0</v>
      </c>
      <c r="AY1784" s="70" t="s">
        <v>24</v>
      </c>
      <c r="AZ1784" s="70">
        <v>2809.0</v>
      </c>
    </row>
    <row r="1785" ht="22.5" customHeight="1">
      <c r="A1785" s="70" t="str">
        <f t="shared" si="1"/>
        <v>Excluded</v>
      </c>
      <c r="B1785" s="70">
        <f t="shared" si="2"/>
        <v>0</v>
      </c>
      <c r="C1785" s="70">
        <v>0.0</v>
      </c>
      <c r="D1785" s="70">
        <v>0.0</v>
      </c>
      <c r="E1785" s="70">
        <v>0.0</v>
      </c>
      <c r="F1785" s="70">
        <v>0.0</v>
      </c>
      <c r="G1785" s="70">
        <v>0.0</v>
      </c>
      <c r="H1785" s="70" t="s">
        <v>10505</v>
      </c>
      <c r="I1785" s="70">
        <v>1033.0</v>
      </c>
      <c r="J1785" s="70" t="s">
        <v>10502</v>
      </c>
      <c r="K1785" s="70" t="s">
        <v>10503</v>
      </c>
      <c r="L1785" s="70" t="s">
        <v>10504</v>
      </c>
      <c r="P1785" s="76">
        <v>44519.0</v>
      </c>
      <c r="U1785" s="70" t="s">
        <v>239</v>
      </c>
      <c r="W1785" s="70" t="s">
        <v>10507</v>
      </c>
      <c r="X1785" s="70" t="s">
        <v>10508</v>
      </c>
      <c r="Z1785" s="75" t="s">
        <v>10509</v>
      </c>
      <c r="AA1785" s="70" t="s">
        <v>10510</v>
      </c>
      <c r="AE1785" s="70">
        <v>29.0</v>
      </c>
      <c r="AF1785" s="70" t="s">
        <v>239</v>
      </c>
      <c r="AW1785" s="70" t="s">
        <v>10511</v>
      </c>
      <c r="AZ1785" s="70">
        <v>510.0</v>
      </c>
    </row>
    <row r="1786" ht="22.5" customHeight="1">
      <c r="A1786" s="70" t="str">
        <f t="shared" si="1"/>
        <v>Excluded</v>
      </c>
      <c r="B1786" s="70">
        <f t="shared" si="2"/>
        <v>0</v>
      </c>
      <c r="C1786" s="70">
        <v>0.0</v>
      </c>
      <c r="D1786" s="70">
        <v>0.0</v>
      </c>
      <c r="E1786" s="70">
        <v>0.0</v>
      </c>
      <c r="F1786" s="70">
        <v>0.0</v>
      </c>
      <c r="G1786" s="70">
        <v>0.0</v>
      </c>
      <c r="H1786" s="70" t="s">
        <v>27822</v>
      </c>
      <c r="I1786" s="70">
        <v>3001.0</v>
      </c>
      <c r="J1786" s="70" t="s">
        <v>27820</v>
      </c>
      <c r="K1786" s="70" t="s">
        <v>27821</v>
      </c>
      <c r="W1786" s="70" t="s">
        <v>30568</v>
      </c>
      <c r="AA1786" s="70" t="s">
        <v>27824</v>
      </c>
      <c r="AI1786" s="70" t="s">
        <v>27825</v>
      </c>
      <c r="AJ1786" s="70" t="s">
        <v>27826</v>
      </c>
      <c r="AK1786" s="70">
        <v>2020.0</v>
      </c>
      <c r="AL1786" s="70" t="s">
        <v>27827</v>
      </c>
      <c r="AM1786" s="70">
        <v>9112926.0</v>
      </c>
      <c r="AN1786" s="70">
        <v>79.0</v>
      </c>
      <c r="AO1786" s="70">
        <v>88.0</v>
      </c>
      <c r="AP1786" s="70">
        <v>9.0</v>
      </c>
      <c r="AQ1786" s="70">
        <v>18.0</v>
      </c>
      <c r="AR1786" s="75" t="s">
        <v>27828</v>
      </c>
      <c r="AS1786" s="70" t="s">
        <v>22525</v>
      </c>
      <c r="AU1786" s="70" t="s">
        <v>237</v>
      </c>
      <c r="AV1786" s="70" t="s">
        <v>27829</v>
      </c>
      <c r="AW1786" s="70" t="s">
        <v>27830</v>
      </c>
      <c r="AX1786" s="70">
        <v>0.0</v>
      </c>
      <c r="AY1786" s="70" t="s">
        <v>24</v>
      </c>
      <c r="AZ1786" s="70">
        <v>2431.0</v>
      </c>
    </row>
    <row r="1787" ht="22.5" customHeight="1">
      <c r="A1787" s="70" t="str">
        <f t="shared" si="1"/>
        <v>Excluded</v>
      </c>
      <c r="B1787" s="70">
        <f t="shared" si="2"/>
        <v>0</v>
      </c>
      <c r="C1787" s="70">
        <v>0.0</v>
      </c>
      <c r="D1787" s="70">
        <v>0.0</v>
      </c>
      <c r="E1787" s="70">
        <v>0.0</v>
      </c>
      <c r="F1787" s="70">
        <v>0.0</v>
      </c>
      <c r="G1787" s="70">
        <v>0.0</v>
      </c>
      <c r="H1787" s="70" t="s">
        <v>11690</v>
      </c>
      <c r="I1787" s="70">
        <v>1224.0</v>
      </c>
      <c r="J1787" s="70" t="s">
        <v>11686</v>
      </c>
      <c r="K1787" s="70" t="s">
        <v>11687</v>
      </c>
      <c r="L1787" s="70" t="s">
        <v>11688</v>
      </c>
      <c r="N1787" s="70" t="s">
        <v>11689</v>
      </c>
      <c r="P1787" s="77">
        <v>45140.0</v>
      </c>
      <c r="U1787" s="70" t="s">
        <v>239</v>
      </c>
      <c r="W1787" s="70" t="s">
        <v>11692</v>
      </c>
      <c r="X1787" s="70" t="s">
        <v>11693</v>
      </c>
      <c r="Z1787" s="75" t="s">
        <v>11694</v>
      </c>
      <c r="AA1787" s="70" t="s">
        <v>11695</v>
      </c>
      <c r="AC1787" s="70">
        <v>2.0</v>
      </c>
      <c r="AE1787" s="70">
        <v>32.0</v>
      </c>
      <c r="AF1787" s="70" t="s">
        <v>239</v>
      </c>
      <c r="AW1787" s="70" t="s">
        <v>11696</v>
      </c>
      <c r="AX1787" s="70">
        <v>0.0</v>
      </c>
      <c r="AY1787" s="70" t="s">
        <v>24</v>
      </c>
      <c r="AZ1787" s="70">
        <v>2362.0</v>
      </c>
    </row>
    <row r="1788" ht="22.5" customHeight="1">
      <c r="A1788" s="70" t="str">
        <f t="shared" si="1"/>
        <v>Excluded</v>
      </c>
      <c r="B1788" s="70">
        <f t="shared" si="2"/>
        <v>0</v>
      </c>
      <c r="C1788" s="70">
        <v>0.0</v>
      </c>
      <c r="D1788" s="70">
        <v>0.0</v>
      </c>
      <c r="E1788" s="70">
        <v>0.0</v>
      </c>
      <c r="F1788" s="70">
        <v>0.0</v>
      </c>
      <c r="G1788" s="70">
        <v>0.0</v>
      </c>
      <c r="H1788" s="70" t="s">
        <v>14839</v>
      </c>
      <c r="I1788" s="70">
        <v>1547.0</v>
      </c>
      <c r="J1788" s="70" t="s">
        <v>14837</v>
      </c>
      <c r="K1788" s="70" t="s">
        <v>14838</v>
      </c>
      <c r="L1788" s="70" t="s">
        <v>11688</v>
      </c>
      <c r="N1788" s="70" t="s">
        <v>11689</v>
      </c>
      <c r="P1788" s="77">
        <v>45140.0</v>
      </c>
      <c r="U1788" s="70" t="s">
        <v>239</v>
      </c>
      <c r="W1788" s="70" t="s">
        <v>14841</v>
      </c>
      <c r="X1788" s="70" t="s">
        <v>11693</v>
      </c>
      <c r="Z1788" s="75" t="s">
        <v>14842</v>
      </c>
      <c r="AA1788" s="70" t="s">
        <v>14843</v>
      </c>
      <c r="AE1788" s="70">
        <v>21.0</v>
      </c>
      <c r="AF1788" s="70" t="s">
        <v>239</v>
      </c>
      <c r="AW1788" s="70" t="s">
        <v>14844</v>
      </c>
      <c r="AZ1788" s="70">
        <v>1346.0</v>
      </c>
    </row>
    <row r="1789" ht="22.5" customHeight="1">
      <c r="A1789" s="70" t="str">
        <f t="shared" si="1"/>
        <v>Excluded</v>
      </c>
      <c r="B1789" s="70">
        <f t="shared" si="2"/>
        <v>0</v>
      </c>
      <c r="C1789" s="70">
        <v>0.0</v>
      </c>
      <c r="D1789" s="70">
        <v>0.0</v>
      </c>
      <c r="E1789" s="70">
        <v>0.0</v>
      </c>
      <c r="F1789" s="70">
        <v>0.0</v>
      </c>
      <c r="G1789" s="70">
        <v>0.0</v>
      </c>
      <c r="H1789" s="70" t="s">
        <v>10626</v>
      </c>
      <c r="I1789" s="70">
        <v>1052.0</v>
      </c>
      <c r="K1789" s="70" t="s">
        <v>10597</v>
      </c>
      <c r="L1789" s="70" t="s">
        <v>10625</v>
      </c>
      <c r="P1789" s="77">
        <v>44351.0</v>
      </c>
      <c r="U1789" s="70" t="s">
        <v>239</v>
      </c>
      <c r="W1789" s="70" t="s">
        <v>10602</v>
      </c>
      <c r="X1789" s="70" t="s">
        <v>10629</v>
      </c>
      <c r="Z1789" s="75" t="s">
        <v>10630</v>
      </c>
      <c r="AF1789" s="70" t="s">
        <v>239</v>
      </c>
      <c r="AZ1789" s="70">
        <v>1598.0</v>
      </c>
    </row>
    <row r="1790" ht="22.5" customHeight="1">
      <c r="A1790" s="70" t="str">
        <f t="shared" si="1"/>
        <v>Excluded</v>
      </c>
      <c r="B1790" s="70">
        <f t="shared" si="2"/>
        <v>0</v>
      </c>
      <c r="C1790" s="70">
        <v>0.0</v>
      </c>
      <c r="D1790" s="70">
        <v>0.0</v>
      </c>
      <c r="E1790" s="70">
        <v>0.0</v>
      </c>
      <c r="F1790" s="70">
        <v>0.0</v>
      </c>
      <c r="G1790" s="70">
        <v>0.0</v>
      </c>
      <c r="H1790" s="70" t="s">
        <v>16302</v>
      </c>
      <c r="I1790" s="70">
        <v>1772.0</v>
      </c>
      <c r="K1790" s="70" t="s">
        <v>10597</v>
      </c>
      <c r="L1790" s="70" t="s">
        <v>16301</v>
      </c>
      <c r="P1790" s="76">
        <v>45393.0</v>
      </c>
      <c r="U1790" s="70" t="s">
        <v>239</v>
      </c>
      <c r="X1790" s="70" t="s">
        <v>16303</v>
      </c>
      <c r="Z1790" s="75" t="s">
        <v>16304</v>
      </c>
      <c r="AF1790" s="70" t="s">
        <v>239</v>
      </c>
      <c r="AZ1790" s="70">
        <v>1546.0</v>
      </c>
    </row>
    <row r="1791" ht="22.5" customHeight="1">
      <c r="A1791" s="70" t="str">
        <f t="shared" si="1"/>
        <v>Excluded</v>
      </c>
      <c r="B1791" s="70">
        <f t="shared" si="2"/>
        <v>0</v>
      </c>
      <c r="C1791" s="70">
        <v>0.0</v>
      </c>
      <c r="D1791" s="70">
        <v>0.0</v>
      </c>
      <c r="E1791" s="70">
        <v>0.0</v>
      </c>
      <c r="F1791" s="70">
        <v>0.0</v>
      </c>
      <c r="G1791" s="70">
        <v>0.0</v>
      </c>
      <c r="H1791" s="70" t="s">
        <v>16338</v>
      </c>
      <c r="I1791" s="70">
        <v>1783.0</v>
      </c>
      <c r="K1791" s="70" t="s">
        <v>10597</v>
      </c>
      <c r="L1791" s="70" t="s">
        <v>16336</v>
      </c>
      <c r="N1791" s="70" t="s">
        <v>16337</v>
      </c>
      <c r="P1791" s="76">
        <v>45708.0</v>
      </c>
      <c r="U1791" s="70" t="s">
        <v>239</v>
      </c>
      <c r="X1791" s="70" t="s">
        <v>16339</v>
      </c>
      <c r="Z1791" s="75" t="s">
        <v>16340</v>
      </c>
      <c r="AF1791" s="70" t="s">
        <v>239</v>
      </c>
      <c r="AZ1791" s="70">
        <v>1567.0</v>
      </c>
    </row>
    <row r="1792" ht="22.5" customHeight="1">
      <c r="A1792" s="70" t="str">
        <f t="shared" si="1"/>
        <v>Excluded</v>
      </c>
      <c r="B1792" s="70">
        <f t="shared" si="2"/>
        <v>0</v>
      </c>
      <c r="C1792" s="70">
        <v>0.0</v>
      </c>
      <c r="D1792" s="70">
        <v>0.0</v>
      </c>
      <c r="E1792" s="70">
        <v>0.0</v>
      </c>
      <c r="F1792" s="70">
        <v>0.0</v>
      </c>
      <c r="G1792" s="70">
        <v>0.0</v>
      </c>
      <c r="H1792" s="70" t="s">
        <v>9883</v>
      </c>
      <c r="I1792" s="70">
        <v>968.0</v>
      </c>
      <c r="J1792" s="70" t="s">
        <v>9879</v>
      </c>
      <c r="K1792" s="70" t="s">
        <v>9880</v>
      </c>
      <c r="L1792" s="70" t="s">
        <v>9881</v>
      </c>
      <c r="N1792" s="70" t="s">
        <v>9882</v>
      </c>
      <c r="P1792" s="76">
        <v>44518.0</v>
      </c>
      <c r="U1792" s="70" t="s">
        <v>239</v>
      </c>
      <c r="W1792" s="70" t="s">
        <v>9885</v>
      </c>
      <c r="X1792" s="70" t="s">
        <v>9886</v>
      </c>
      <c r="Z1792" s="75" t="s">
        <v>9887</v>
      </c>
      <c r="AA1792" s="70" t="s">
        <v>9888</v>
      </c>
      <c r="AE1792" s="70">
        <v>24.0</v>
      </c>
      <c r="AF1792" s="70" t="s">
        <v>239</v>
      </c>
      <c r="AW1792" s="70" t="s">
        <v>9889</v>
      </c>
      <c r="AZ1792" s="70">
        <v>693.0</v>
      </c>
    </row>
    <row r="1793" ht="22.5" customHeight="1">
      <c r="A1793" s="70" t="str">
        <f t="shared" si="1"/>
        <v>Excluded</v>
      </c>
      <c r="B1793" s="70">
        <f t="shared" si="2"/>
        <v>0</v>
      </c>
      <c r="C1793" s="70">
        <v>0.0</v>
      </c>
      <c r="D1793" s="70">
        <v>0.0</v>
      </c>
      <c r="E1793" s="70">
        <v>0.0</v>
      </c>
      <c r="F1793" s="70">
        <v>0.0</v>
      </c>
      <c r="G1793" s="70">
        <v>0.0</v>
      </c>
      <c r="H1793" s="70" t="s">
        <v>6114</v>
      </c>
      <c r="I1793" s="70">
        <v>578.0</v>
      </c>
      <c r="J1793" s="70" t="s">
        <v>6111</v>
      </c>
      <c r="K1793" s="70" t="s">
        <v>6112</v>
      </c>
      <c r="L1793" s="70" t="s">
        <v>6113</v>
      </c>
      <c r="P1793" s="76">
        <v>43069.0</v>
      </c>
      <c r="U1793" s="70" t="s">
        <v>239</v>
      </c>
      <c r="W1793" s="70" t="s">
        <v>6116</v>
      </c>
      <c r="X1793" s="70" t="s">
        <v>6117</v>
      </c>
      <c r="Z1793" s="75" t="s">
        <v>6118</v>
      </c>
      <c r="AA1793" s="70" t="s">
        <v>6119</v>
      </c>
      <c r="AC1793" s="70">
        <v>7.0</v>
      </c>
      <c r="AE1793" s="70">
        <v>60.0</v>
      </c>
      <c r="AF1793" s="70" t="s">
        <v>239</v>
      </c>
      <c r="AW1793" s="70" t="s">
        <v>6120</v>
      </c>
      <c r="AZ1793" s="70">
        <v>395.0</v>
      </c>
    </row>
    <row r="1794" ht="22.5" customHeight="1">
      <c r="A1794" s="70" t="str">
        <f t="shared" si="1"/>
        <v>Excluded</v>
      </c>
      <c r="B1794" s="70">
        <f t="shared" si="2"/>
        <v>0</v>
      </c>
      <c r="C1794" s="70">
        <v>0.0</v>
      </c>
      <c r="D1794" s="70">
        <v>0.0</v>
      </c>
      <c r="E1794" s="70">
        <v>0.0</v>
      </c>
      <c r="F1794" s="70">
        <v>0.0</v>
      </c>
      <c r="G1794" s="70">
        <v>0.0</v>
      </c>
      <c r="H1794" s="70" t="s">
        <v>8709</v>
      </c>
      <c r="I1794" s="70">
        <v>846.0</v>
      </c>
      <c r="J1794" s="70" t="s">
        <v>8706</v>
      </c>
      <c r="K1794" s="70" t="s">
        <v>8707</v>
      </c>
      <c r="L1794" s="70" t="s">
        <v>8708</v>
      </c>
      <c r="P1794" s="76">
        <v>43342.0</v>
      </c>
      <c r="U1794" s="70" t="s">
        <v>239</v>
      </c>
      <c r="W1794" s="70" t="s">
        <v>8711</v>
      </c>
      <c r="X1794" s="70" t="s">
        <v>8712</v>
      </c>
      <c r="Z1794" s="75" t="s">
        <v>8713</v>
      </c>
      <c r="AA1794" s="70" t="s">
        <v>8714</v>
      </c>
      <c r="AC1794" s="70">
        <v>1.0</v>
      </c>
      <c r="AE1794" s="70">
        <v>21.0</v>
      </c>
      <c r="AF1794" s="70" t="s">
        <v>239</v>
      </c>
      <c r="AW1794" s="70" t="s">
        <v>8715</v>
      </c>
      <c r="AX1794" s="70">
        <v>0.0</v>
      </c>
      <c r="AY1794" s="70" t="s">
        <v>24</v>
      </c>
      <c r="AZ1794" s="70">
        <v>2990.0</v>
      </c>
    </row>
    <row r="1795" ht="22.5" customHeight="1">
      <c r="A1795" s="70" t="str">
        <f t="shared" si="1"/>
        <v>Excluded</v>
      </c>
      <c r="B1795" s="70">
        <f t="shared" si="2"/>
        <v>0</v>
      </c>
      <c r="C1795" s="70">
        <v>0.0</v>
      </c>
      <c r="D1795" s="70">
        <v>0.0</v>
      </c>
      <c r="E1795" s="70">
        <v>0.0</v>
      </c>
      <c r="F1795" s="70">
        <v>0.0</v>
      </c>
      <c r="G1795" s="70">
        <v>0.0</v>
      </c>
      <c r="H1795" s="70" t="s">
        <v>14949</v>
      </c>
      <c r="I1795" s="70">
        <v>1558.0</v>
      </c>
      <c r="J1795" s="70" t="s">
        <v>30569</v>
      </c>
      <c r="K1795" s="70" t="s">
        <v>14946</v>
      </c>
      <c r="L1795" s="70" t="s">
        <v>14947</v>
      </c>
      <c r="N1795" s="70" t="s">
        <v>14948</v>
      </c>
      <c r="P1795" s="76">
        <v>45593.0</v>
      </c>
      <c r="U1795" s="70" t="s">
        <v>239</v>
      </c>
      <c r="W1795" s="70" t="s">
        <v>30570</v>
      </c>
      <c r="X1795" s="70" t="s">
        <v>14952</v>
      </c>
      <c r="Z1795" s="75" t="s">
        <v>14953</v>
      </c>
      <c r="AA1795" s="70" t="s">
        <v>14954</v>
      </c>
      <c r="AE1795" s="70">
        <v>28.0</v>
      </c>
      <c r="AF1795" s="70" t="s">
        <v>239</v>
      </c>
      <c r="AW1795" s="70" t="s">
        <v>14955</v>
      </c>
      <c r="AX1795" s="70">
        <v>0.0</v>
      </c>
      <c r="AY1795" s="70" t="s">
        <v>24</v>
      </c>
      <c r="AZ1795" s="70">
        <v>1845.0</v>
      </c>
    </row>
    <row r="1796" ht="22.5" customHeight="1">
      <c r="A1796" s="70" t="str">
        <f t="shared" si="1"/>
        <v>Excluded</v>
      </c>
      <c r="B1796" s="70">
        <f t="shared" si="2"/>
        <v>0</v>
      </c>
      <c r="C1796" s="70">
        <v>0.0</v>
      </c>
      <c r="D1796" s="70">
        <v>0.0</v>
      </c>
      <c r="E1796" s="70">
        <v>0.0</v>
      </c>
      <c r="F1796" s="70">
        <v>0.0</v>
      </c>
      <c r="G1796" s="70">
        <v>0.0</v>
      </c>
      <c r="H1796" s="70" t="s">
        <v>13626</v>
      </c>
      <c r="I1796" s="70">
        <v>1419.0</v>
      </c>
      <c r="J1796" s="70" t="s">
        <v>13623</v>
      </c>
      <c r="K1796" s="70" t="s">
        <v>13624</v>
      </c>
      <c r="L1796" s="70" t="s">
        <v>13625</v>
      </c>
      <c r="P1796" s="77">
        <v>45174.0</v>
      </c>
      <c r="U1796" s="70" t="s">
        <v>239</v>
      </c>
      <c r="W1796" s="70" t="s">
        <v>13628</v>
      </c>
      <c r="X1796" s="70" t="s">
        <v>13629</v>
      </c>
      <c r="Z1796" s="75" t="s">
        <v>13630</v>
      </c>
      <c r="AA1796" s="70" t="s">
        <v>13631</v>
      </c>
      <c r="AE1796" s="70">
        <v>44.0</v>
      </c>
      <c r="AF1796" s="70" t="s">
        <v>239</v>
      </c>
      <c r="AW1796" s="70" t="s">
        <v>13632</v>
      </c>
      <c r="AX1796" s="70">
        <v>0.0</v>
      </c>
      <c r="AY1796" s="70" t="s">
        <v>24</v>
      </c>
      <c r="AZ1796" s="70">
        <v>2114.0</v>
      </c>
    </row>
    <row r="1797" ht="22.5" customHeight="1">
      <c r="A1797" s="70" t="str">
        <f t="shared" si="1"/>
        <v>Excluded</v>
      </c>
      <c r="B1797" s="70">
        <f t="shared" si="2"/>
        <v>0</v>
      </c>
      <c r="C1797" s="70">
        <v>0.0</v>
      </c>
      <c r="D1797" s="70">
        <v>0.0</v>
      </c>
      <c r="E1797" s="70">
        <v>0.0</v>
      </c>
      <c r="F1797" s="70">
        <v>0.0</v>
      </c>
      <c r="G1797" s="70">
        <v>0.0</v>
      </c>
      <c r="H1797" s="70" t="s">
        <v>16374</v>
      </c>
      <c r="I1797" s="70">
        <v>1792.0</v>
      </c>
      <c r="K1797" s="70" t="s">
        <v>16372</v>
      </c>
      <c r="L1797" s="70" t="s">
        <v>16373</v>
      </c>
      <c r="P1797" s="76">
        <v>45547.0</v>
      </c>
      <c r="U1797" s="70" t="s">
        <v>239</v>
      </c>
      <c r="X1797" s="70" t="s">
        <v>16375</v>
      </c>
      <c r="Z1797" s="75" t="s">
        <v>16376</v>
      </c>
      <c r="AF1797" s="70" t="s">
        <v>239</v>
      </c>
      <c r="AZ1797" s="70">
        <v>1408.0</v>
      </c>
    </row>
    <row r="1798" ht="22.5" customHeight="1">
      <c r="A1798" s="70" t="str">
        <f t="shared" si="1"/>
        <v>Excluded</v>
      </c>
      <c r="B1798" s="70">
        <f t="shared" si="2"/>
        <v>0</v>
      </c>
      <c r="C1798" s="70">
        <v>0.0</v>
      </c>
      <c r="D1798" s="70">
        <v>0.0</v>
      </c>
      <c r="E1798" s="70">
        <v>0.0</v>
      </c>
      <c r="F1798" s="70">
        <v>0.0</v>
      </c>
      <c r="G1798" s="70">
        <v>0.0</v>
      </c>
      <c r="H1798" s="70" t="s">
        <v>10843</v>
      </c>
      <c r="I1798" s="70">
        <v>1103.0</v>
      </c>
      <c r="K1798" s="70" t="s">
        <v>268</v>
      </c>
      <c r="L1798" s="70" t="s">
        <v>10842</v>
      </c>
      <c r="P1798" s="77">
        <v>44992.0</v>
      </c>
      <c r="U1798" s="70" t="s">
        <v>239</v>
      </c>
      <c r="W1798" s="70" t="s">
        <v>10759</v>
      </c>
      <c r="X1798" s="70" t="s">
        <v>10844</v>
      </c>
      <c r="Z1798" s="75" t="s">
        <v>10845</v>
      </c>
      <c r="AF1798" s="70" t="s">
        <v>239</v>
      </c>
      <c r="AZ1798" s="70">
        <v>1267.0</v>
      </c>
    </row>
    <row r="1799" ht="22.5" customHeight="1">
      <c r="A1799" s="70" t="str">
        <f t="shared" si="1"/>
        <v>Excluded</v>
      </c>
      <c r="B1799" s="70">
        <f t="shared" si="2"/>
        <v>0</v>
      </c>
      <c r="C1799" s="70">
        <v>0.0</v>
      </c>
      <c r="D1799" s="70">
        <v>0.0</v>
      </c>
      <c r="E1799" s="70">
        <v>0.0</v>
      </c>
      <c r="F1799" s="70">
        <v>0.0</v>
      </c>
      <c r="G1799" s="70">
        <v>0.0</v>
      </c>
      <c r="H1799" s="70" t="s">
        <v>10991</v>
      </c>
      <c r="I1799" s="70">
        <v>1142.0</v>
      </c>
      <c r="K1799" s="70" t="s">
        <v>10990</v>
      </c>
      <c r="L1799" s="70" t="s">
        <v>10842</v>
      </c>
      <c r="P1799" s="77">
        <v>44992.0</v>
      </c>
      <c r="U1799" s="70" t="s">
        <v>239</v>
      </c>
      <c r="W1799" s="70" t="s">
        <v>10992</v>
      </c>
      <c r="X1799" s="70" t="s">
        <v>10844</v>
      </c>
      <c r="Z1799" s="75" t="s">
        <v>10993</v>
      </c>
      <c r="AF1799" s="70" t="s">
        <v>239</v>
      </c>
      <c r="AZ1799" s="70">
        <v>1480.0</v>
      </c>
    </row>
    <row r="1800" ht="22.5" customHeight="1">
      <c r="A1800" s="70" t="str">
        <f t="shared" si="1"/>
        <v>Excluded</v>
      </c>
      <c r="B1800" s="70">
        <f t="shared" si="2"/>
        <v>0</v>
      </c>
      <c r="C1800" s="70">
        <v>0.0</v>
      </c>
      <c r="D1800" s="70">
        <v>0.0</v>
      </c>
      <c r="E1800" s="70">
        <v>0.0</v>
      </c>
      <c r="F1800" s="70">
        <v>0.0</v>
      </c>
      <c r="G1800" s="70">
        <v>0.0</v>
      </c>
      <c r="H1800" s="70" t="s">
        <v>13646</v>
      </c>
      <c r="I1800" s="70">
        <v>1421.0</v>
      </c>
      <c r="J1800" s="70" t="s">
        <v>13643</v>
      </c>
      <c r="K1800" s="70" t="s">
        <v>13644</v>
      </c>
      <c r="L1800" s="70" t="s">
        <v>13645</v>
      </c>
      <c r="P1800" s="76">
        <v>45651.0</v>
      </c>
      <c r="U1800" s="70" t="s">
        <v>239</v>
      </c>
      <c r="W1800" s="70" t="s">
        <v>13648</v>
      </c>
      <c r="X1800" s="70" t="s">
        <v>13649</v>
      </c>
      <c r="Z1800" s="75" t="s">
        <v>13650</v>
      </c>
      <c r="AA1800" s="70" t="s">
        <v>13651</v>
      </c>
      <c r="AE1800" s="70">
        <v>13.0</v>
      </c>
      <c r="AF1800" s="70" t="s">
        <v>239</v>
      </c>
      <c r="AW1800" s="70" t="s">
        <v>13652</v>
      </c>
      <c r="AX1800" s="70">
        <v>0.0</v>
      </c>
      <c r="AY1800" s="70" t="s">
        <v>24</v>
      </c>
      <c r="AZ1800" s="70">
        <v>2202.0</v>
      </c>
    </row>
    <row r="1801" ht="22.5" customHeight="1">
      <c r="A1801" s="70" t="str">
        <f t="shared" si="1"/>
        <v>Excluded</v>
      </c>
      <c r="B1801" s="70">
        <f t="shared" si="2"/>
        <v>0</v>
      </c>
      <c r="C1801" s="70">
        <v>0.0</v>
      </c>
      <c r="D1801" s="70">
        <v>0.0</v>
      </c>
      <c r="E1801" s="70">
        <v>0.0</v>
      </c>
      <c r="F1801" s="70">
        <v>0.0</v>
      </c>
      <c r="G1801" s="70">
        <v>0.0</v>
      </c>
      <c r="H1801" s="70" t="s">
        <v>14270</v>
      </c>
      <c r="I1801" s="70">
        <v>1488.0</v>
      </c>
      <c r="J1801" s="70" t="s">
        <v>14267</v>
      </c>
      <c r="K1801" s="70" t="s">
        <v>14268</v>
      </c>
      <c r="L1801" s="70" t="s">
        <v>14269</v>
      </c>
      <c r="P1801" s="76">
        <v>45588.0</v>
      </c>
      <c r="U1801" s="70" t="s">
        <v>239</v>
      </c>
      <c r="W1801" s="70" t="s">
        <v>14272</v>
      </c>
      <c r="X1801" s="70" t="s">
        <v>14273</v>
      </c>
      <c r="Z1801" s="75" t="s">
        <v>14274</v>
      </c>
      <c r="AA1801" s="70" t="s">
        <v>14275</v>
      </c>
      <c r="AE1801" s="70">
        <v>36.0</v>
      </c>
      <c r="AF1801" s="70" t="s">
        <v>239</v>
      </c>
      <c r="AW1801" s="70" t="s">
        <v>14276</v>
      </c>
      <c r="AZ1801" s="70">
        <v>1220.0</v>
      </c>
    </row>
    <row r="1802" ht="22.5" customHeight="1">
      <c r="A1802" s="70" t="str">
        <f t="shared" si="1"/>
        <v>Excluded</v>
      </c>
      <c r="B1802" s="70">
        <f t="shared" si="2"/>
        <v>0</v>
      </c>
      <c r="C1802" s="70">
        <v>0.0</v>
      </c>
      <c r="D1802" s="70">
        <v>0.0</v>
      </c>
      <c r="E1802" s="70">
        <v>0.0</v>
      </c>
      <c r="F1802" s="70">
        <v>0.0</v>
      </c>
      <c r="G1802" s="70">
        <v>0.0</v>
      </c>
      <c r="H1802" s="70" t="s">
        <v>5332</v>
      </c>
      <c r="I1802" s="70">
        <v>499.0</v>
      </c>
      <c r="J1802" s="70" t="s">
        <v>5328</v>
      </c>
      <c r="K1802" s="70" t="s">
        <v>5329</v>
      </c>
      <c r="L1802" s="70" t="s">
        <v>5330</v>
      </c>
      <c r="N1802" s="70" t="s">
        <v>5331</v>
      </c>
      <c r="P1802" s="76">
        <v>43422.0</v>
      </c>
      <c r="U1802" s="70" t="s">
        <v>239</v>
      </c>
      <c r="W1802" s="70" t="s">
        <v>5334</v>
      </c>
      <c r="X1802" s="70" t="s">
        <v>5335</v>
      </c>
      <c r="Z1802" s="75" t="s">
        <v>5336</v>
      </c>
      <c r="AA1802" s="70" t="s">
        <v>5337</v>
      </c>
      <c r="AC1802" s="70">
        <v>14.0</v>
      </c>
      <c r="AE1802" s="70">
        <v>35.0</v>
      </c>
      <c r="AF1802" s="70" t="s">
        <v>239</v>
      </c>
      <c r="AW1802" s="70" t="s">
        <v>5338</v>
      </c>
      <c r="AZ1802" s="70">
        <v>993.0</v>
      </c>
    </row>
    <row r="1803" ht="22.5" customHeight="1">
      <c r="A1803" s="70" t="str">
        <f t="shared" si="1"/>
        <v>Excluded</v>
      </c>
      <c r="B1803" s="70">
        <f t="shared" si="2"/>
        <v>0</v>
      </c>
      <c r="C1803" s="70">
        <v>0.0</v>
      </c>
      <c r="D1803" s="70">
        <v>0.0</v>
      </c>
      <c r="E1803" s="70">
        <v>0.0</v>
      </c>
      <c r="F1803" s="70">
        <v>0.0</v>
      </c>
      <c r="G1803" s="70">
        <v>0.0</v>
      </c>
      <c r="H1803" s="70" t="s">
        <v>6024</v>
      </c>
      <c r="I1803" s="70">
        <v>569.0</v>
      </c>
      <c r="J1803" s="70" t="s">
        <v>6021</v>
      </c>
      <c r="K1803" s="70" t="s">
        <v>6022</v>
      </c>
      <c r="L1803" s="70" t="s">
        <v>6023</v>
      </c>
      <c r="P1803" s="76">
        <v>43874.0</v>
      </c>
      <c r="U1803" s="70" t="s">
        <v>239</v>
      </c>
      <c r="W1803" s="70" t="s">
        <v>6026</v>
      </c>
      <c r="X1803" s="70" t="s">
        <v>6027</v>
      </c>
      <c r="Z1803" s="75" t="s">
        <v>6028</v>
      </c>
      <c r="AA1803" s="70" t="s">
        <v>6029</v>
      </c>
      <c r="AC1803" s="70">
        <v>8.0</v>
      </c>
      <c r="AE1803" s="70">
        <v>8.0</v>
      </c>
      <c r="AF1803" s="70" t="s">
        <v>239</v>
      </c>
      <c r="AX1803" s="70">
        <v>0.0</v>
      </c>
      <c r="AY1803" s="70" t="s">
        <v>24</v>
      </c>
      <c r="AZ1803" s="70">
        <v>2383.0</v>
      </c>
    </row>
    <row r="1804" ht="22.5" customHeight="1">
      <c r="A1804" s="70" t="str">
        <f t="shared" si="1"/>
        <v>Excluded</v>
      </c>
      <c r="B1804" s="70">
        <f t="shared" si="2"/>
        <v>0</v>
      </c>
      <c r="C1804" s="70">
        <v>0.0</v>
      </c>
      <c r="D1804" s="70">
        <v>0.0</v>
      </c>
      <c r="E1804" s="70">
        <v>0.0</v>
      </c>
      <c r="F1804" s="70">
        <v>0.0</v>
      </c>
      <c r="G1804" s="70">
        <v>0.0</v>
      </c>
      <c r="H1804" s="70" t="s">
        <v>11992</v>
      </c>
      <c r="I1804" s="70">
        <v>1254.0</v>
      </c>
      <c r="J1804" s="70" t="s">
        <v>11988</v>
      </c>
      <c r="K1804" s="70" t="s">
        <v>11989</v>
      </c>
      <c r="L1804" s="70" t="s">
        <v>11990</v>
      </c>
      <c r="N1804" s="70" t="s">
        <v>11991</v>
      </c>
      <c r="P1804" s="76">
        <v>45191.0</v>
      </c>
      <c r="U1804" s="70" t="s">
        <v>239</v>
      </c>
      <c r="W1804" s="70" t="s">
        <v>11994</v>
      </c>
      <c r="X1804" s="70" t="s">
        <v>11995</v>
      </c>
      <c r="Z1804" s="75" t="s">
        <v>11996</v>
      </c>
      <c r="AA1804" s="70" t="s">
        <v>11997</v>
      </c>
      <c r="AC1804" s="70">
        <v>1.0</v>
      </c>
      <c r="AE1804" s="70">
        <v>20.0</v>
      </c>
      <c r="AF1804" s="70" t="s">
        <v>239</v>
      </c>
      <c r="AW1804" s="70" t="s">
        <v>11998</v>
      </c>
      <c r="AZ1804" s="70">
        <v>940.0</v>
      </c>
    </row>
    <row r="1805" ht="22.5" customHeight="1">
      <c r="A1805" s="70" t="str">
        <f t="shared" si="1"/>
        <v>Excluded</v>
      </c>
      <c r="B1805" s="70">
        <f t="shared" si="2"/>
        <v>0</v>
      </c>
      <c r="C1805" s="70">
        <v>0.0</v>
      </c>
      <c r="D1805" s="70">
        <v>0.0</v>
      </c>
      <c r="E1805" s="70">
        <v>0.0</v>
      </c>
      <c r="F1805" s="70">
        <v>0.0</v>
      </c>
      <c r="G1805" s="70">
        <v>0.0</v>
      </c>
      <c r="H1805" s="70" t="s">
        <v>10920</v>
      </c>
      <c r="I1805" s="70">
        <v>1124.0</v>
      </c>
      <c r="K1805" s="70" t="s">
        <v>10597</v>
      </c>
      <c r="L1805" s="70" t="s">
        <v>10918</v>
      </c>
      <c r="N1805" s="70" t="s">
        <v>10919</v>
      </c>
      <c r="P1805" s="77">
        <v>44776.0</v>
      </c>
      <c r="U1805" s="70" t="s">
        <v>239</v>
      </c>
      <c r="X1805" s="70" t="s">
        <v>10921</v>
      </c>
      <c r="Z1805" s="75" t="s">
        <v>10922</v>
      </c>
      <c r="AF1805" s="70" t="s">
        <v>239</v>
      </c>
      <c r="AZ1805" s="70">
        <v>1544.0</v>
      </c>
    </row>
    <row r="1806" ht="22.5" customHeight="1">
      <c r="A1806" s="70" t="str">
        <f t="shared" si="1"/>
        <v>Excluded</v>
      </c>
      <c r="B1806" s="70">
        <f t="shared" si="2"/>
        <v>0</v>
      </c>
      <c r="C1806" s="70">
        <v>0.0</v>
      </c>
      <c r="D1806" s="70">
        <v>0.0</v>
      </c>
      <c r="E1806" s="70">
        <v>0.0</v>
      </c>
      <c r="F1806" s="70">
        <v>0.0</v>
      </c>
      <c r="G1806" s="70">
        <v>0.0</v>
      </c>
      <c r="H1806" s="70" t="s">
        <v>15229</v>
      </c>
      <c r="I1806" s="70">
        <v>1588.0</v>
      </c>
      <c r="J1806" s="70" t="s">
        <v>15226</v>
      </c>
      <c r="K1806" s="70" t="s">
        <v>15227</v>
      </c>
      <c r="L1806" s="70" t="s">
        <v>15228</v>
      </c>
      <c r="N1806" s="70" t="s">
        <v>10919</v>
      </c>
      <c r="P1806" s="77">
        <v>45323.0</v>
      </c>
      <c r="U1806" s="70" t="s">
        <v>239</v>
      </c>
      <c r="W1806" s="70" t="s">
        <v>15231</v>
      </c>
      <c r="X1806" s="70" t="s">
        <v>15232</v>
      </c>
      <c r="Z1806" s="75" t="s">
        <v>15233</v>
      </c>
      <c r="AA1806" s="70" t="s">
        <v>15234</v>
      </c>
      <c r="AE1806" s="70">
        <v>7.0</v>
      </c>
      <c r="AF1806" s="70" t="s">
        <v>239</v>
      </c>
      <c r="AW1806" s="70" t="s">
        <v>15235</v>
      </c>
      <c r="AX1806" s="70">
        <v>0.0</v>
      </c>
      <c r="AY1806" s="70" t="s">
        <v>24</v>
      </c>
      <c r="AZ1806" s="70">
        <v>2592.0</v>
      </c>
    </row>
    <row r="1807" ht="22.5" customHeight="1">
      <c r="A1807" s="70" t="str">
        <f t="shared" si="1"/>
        <v>Excluded</v>
      </c>
      <c r="B1807" s="70">
        <f t="shared" si="2"/>
        <v>0</v>
      </c>
      <c r="C1807" s="70">
        <v>0.0</v>
      </c>
      <c r="D1807" s="70">
        <v>0.0</v>
      </c>
      <c r="E1807" s="70">
        <v>0.0</v>
      </c>
      <c r="F1807" s="70">
        <v>0.0</v>
      </c>
      <c r="G1807" s="70">
        <v>0.0</v>
      </c>
      <c r="H1807" s="70" t="s">
        <v>16162</v>
      </c>
      <c r="I1807" s="70">
        <v>1737.0</v>
      </c>
      <c r="K1807" s="70" t="s">
        <v>10597</v>
      </c>
      <c r="L1807" s="70" t="s">
        <v>15228</v>
      </c>
      <c r="N1807" s="70" t="s">
        <v>10919</v>
      </c>
      <c r="P1807" s="77">
        <v>45323.0</v>
      </c>
      <c r="U1807" s="70" t="s">
        <v>239</v>
      </c>
      <c r="X1807" s="70" t="s">
        <v>15232</v>
      </c>
      <c r="Z1807" s="75" t="s">
        <v>16163</v>
      </c>
      <c r="AF1807" s="70" t="s">
        <v>239</v>
      </c>
      <c r="AZ1807" s="70">
        <v>1579.0</v>
      </c>
    </row>
    <row r="1808" ht="22.5" customHeight="1">
      <c r="A1808" s="70" t="str">
        <f t="shared" si="1"/>
        <v>Excluded</v>
      </c>
      <c r="B1808" s="70">
        <f t="shared" si="2"/>
        <v>0</v>
      </c>
      <c r="C1808" s="70">
        <v>0.0</v>
      </c>
      <c r="D1808" s="70">
        <v>0.0</v>
      </c>
      <c r="E1808" s="70">
        <v>0.0</v>
      </c>
      <c r="F1808" s="70">
        <v>0.0</v>
      </c>
      <c r="G1808" s="70">
        <v>0.0</v>
      </c>
      <c r="H1808" s="70" t="s">
        <v>9348</v>
      </c>
      <c r="I1808" s="70">
        <v>912.0</v>
      </c>
      <c r="J1808" s="70" t="s">
        <v>9345</v>
      </c>
      <c r="K1808" s="70" t="s">
        <v>9346</v>
      </c>
      <c r="L1808" s="70" t="s">
        <v>9347</v>
      </c>
      <c r="P1808" s="77">
        <v>44987.0</v>
      </c>
      <c r="U1808" s="70" t="s">
        <v>239</v>
      </c>
      <c r="W1808" s="70" t="s">
        <v>9350</v>
      </c>
      <c r="X1808" s="70" t="s">
        <v>9351</v>
      </c>
      <c r="Z1808" s="75" t="s">
        <v>9352</v>
      </c>
      <c r="AA1808" s="70" t="s">
        <v>9353</v>
      </c>
      <c r="AE1808" s="70">
        <v>14.0</v>
      </c>
      <c r="AF1808" s="70" t="s">
        <v>239</v>
      </c>
      <c r="AW1808" s="70" t="s">
        <v>9354</v>
      </c>
      <c r="AZ1808" s="70">
        <v>835.0</v>
      </c>
    </row>
    <row r="1809" ht="22.5" customHeight="1">
      <c r="A1809" s="70" t="str">
        <f t="shared" si="1"/>
        <v>Excluded</v>
      </c>
      <c r="B1809" s="70">
        <f t="shared" si="2"/>
        <v>0</v>
      </c>
      <c r="C1809" s="70">
        <v>0.0</v>
      </c>
      <c r="D1809" s="70">
        <v>0.0</v>
      </c>
      <c r="E1809" s="70">
        <v>0.0</v>
      </c>
      <c r="F1809" s="70">
        <v>0.0</v>
      </c>
      <c r="G1809" s="70">
        <v>0.0</v>
      </c>
      <c r="H1809" s="70" t="s">
        <v>12715</v>
      </c>
      <c r="I1809" s="70">
        <v>1326.0</v>
      </c>
      <c r="J1809" s="70" t="s">
        <v>30571</v>
      </c>
      <c r="K1809" s="70" t="s">
        <v>12712</v>
      </c>
      <c r="L1809" s="70" t="s">
        <v>12713</v>
      </c>
      <c r="N1809" s="70" t="s">
        <v>12714</v>
      </c>
      <c r="P1809" s="77">
        <v>45602.0</v>
      </c>
      <c r="U1809" s="70" t="s">
        <v>239</v>
      </c>
      <c r="W1809" s="70" t="s">
        <v>12717</v>
      </c>
      <c r="X1809" s="70" t="s">
        <v>12718</v>
      </c>
      <c r="Y1809" s="70" t="s">
        <v>30572</v>
      </c>
      <c r="Z1809" s="75" t="s">
        <v>12720</v>
      </c>
      <c r="AA1809" s="70" t="s">
        <v>12721</v>
      </c>
      <c r="AE1809" s="70">
        <v>18.0</v>
      </c>
      <c r="AF1809" s="70" t="s">
        <v>239</v>
      </c>
      <c r="AW1809" s="70" t="s">
        <v>12722</v>
      </c>
      <c r="AX1809" s="70">
        <v>0.0</v>
      </c>
      <c r="AY1809" s="70" t="s">
        <v>24</v>
      </c>
      <c r="AZ1809" s="70">
        <v>2645.0</v>
      </c>
    </row>
    <row r="1810" ht="22.5" customHeight="1">
      <c r="A1810" s="70" t="str">
        <f t="shared" si="1"/>
        <v>Excluded</v>
      </c>
      <c r="B1810" s="70">
        <f t="shared" si="2"/>
        <v>0</v>
      </c>
      <c r="C1810" s="70">
        <v>0.0</v>
      </c>
      <c r="D1810" s="70">
        <v>0.0</v>
      </c>
      <c r="E1810" s="70">
        <v>0.0</v>
      </c>
      <c r="F1810" s="70">
        <v>0.0</v>
      </c>
      <c r="G1810" s="70">
        <v>0.0</v>
      </c>
      <c r="H1810" s="70" t="s">
        <v>7697</v>
      </c>
      <c r="I1810" s="70">
        <v>740.0</v>
      </c>
      <c r="J1810" s="70" t="s">
        <v>7693</v>
      </c>
      <c r="K1810" s="70" t="s">
        <v>7694</v>
      </c>
      <c r="L1810" s="70" t="s">
        <v>7695</v>
      </c>
      <c r="N1810" s="70" t="s">
        <v>7696</v>
      </c>
      <c r="P1810" s="77">
        <v>44931.0</v>
      </c>
      <c r="U1810" s="70" t="s">
        <v>239</v>
      </c>
      <c r="W1810" s="70" t="s">
        <v>7699</v>
      </c>
      <c r="X1810" s="70" t="s">
        <v>7700</v>
      </c>
      <c r="Z1810" s="75" t="s">
        <v>7701</v>
      </c>
      <c r="AA1810" s="70" t="s">
        <v>7702</v>
      </c>
      <c r="AC1810" s="70">
        <v>3.0</v>
      </c>
      <c r="AE1810" s="70">
        <v>18.0</v>
      </c>
      <c r="AF1810" s="70" t="s">
        <v>239</v>
      </c>
      <c r="AW1810" s="70" t="s">
        <v>7703</v>
      </c>
      <c r="AZ1810" s="70">
        <v>560.0</v>
      </c>
    </row>
    <row r="1811" ht="22.5" customHeight="1">
      <c r="A1811" s="70" t="str">
        <f t="shared" si="1"/>
        <v>Excluded</v>
      </c>
      <c r="B1811" s="70">
        <f t="shared" si="2"/>
        <v>0</v>
      </c>
      <c r="C1811" s="70">
        <v>0.0</v>
      </c>
      <c r="D1811" s="70">
        <v>0.0</v>
      </c>
      <c r="E1811" s="70">
        <v>0.0</v>
      </c>
      <c r="F1811" s="70">
        <v>0.0</v>
      </c>
      <c r="G1811" s="70">
        <v>0.0</v>
      </c>
      <c r="H1811" s="70" t="s">
        <v>10811</v>
      </c>
      <c r="I1811" s="70">
        <v>1095.0</v>
      </c>
      <c r="K1811" s="70" t="s">
        <v>10618</v>
      </c>
      <c r="L1811" s="70" t="s">
        <v>7967</v>
      </c>
      <c r="P1811" s="79">
        <v>43955.0</v>
      </c>
      <c r="U1811" s="70" t="s">
        <v>239</v>
      </c>
      <c r="W1811" s="70" t="s">
        <v>10602</v>
      </c>
      <c r="X1811" s="70" t="s">
        <v>7971</v>
      </c>
      <c r="Z1811" s="75" t="s">
        <v>10812</v>
      </c>
      <c r="AF1811" s="70" t="s">
        <v>239</v>
      </c>
      <c r="AZ1811" s="70">
        <v>1611.0</v>
      </c>
    </row>
    <row r="1812" ht="22.5" customHeight="1">
      <c r="A1812" s="70" t="str">
        <f t="shared" si="1"/>
        <v>Excluded</v>
      </c>
      <c r="B1812" s="70">
        <f t="shared" si="2"/>
        <v>0</v>
      </c>
      <c r="C1812" s="70">
        <v>0.0</v>
      </c>
      <c r="D1812" s="70">
        <v>0.0</v>
      </c>
      <c r="E1812" s="70">
        <v>0.0</v>
      </c>
      <c r="F1812" s="70">
        <v>0.0</v>
      </c>
      <c r="G1812" s="70">
        <v>0.0</v>
      </c>
      <c r="H1812" s="70" t="s">
        <v>7968</v>
      </c>
      <c r="I1812" s="70">
        <v>768.0</v>
      </c>
      <c r="J1812" s="70" t="s">
        <v>7965</v>
      </c>
      <c r="K1812" s="70" t="s">
        <v>7966</v>
      </c>
      <c r="L1812" s="70" t="s">
        <v>7967</v>
      </c>
      <c r="P1812" s="79">
        <v>43955.0</v>
      </c>
      <c r="U1812" s="70" t="s">
        <v>239</v>
      </c>
      <c r="W1812" s="70" t="s">
        <v>7970</v>
      </c>
      <c r="X1812" s="70" t="s">
        <v>7971</v>
      </c>
      <c r="Z1812" s="75" t="s">
        <v>7972</v>
      </c>
      <c r="AA1812" s="70" t="s">
        <v>7973</v>
      </c>
      <c r="AC1812" s="70">
        <v>2.0</v>
      </c>
      <c r="AE1812" s="70">
        <v>6.0</v>
      </c>
      <c r="AF1812" s="70" t="s">
        <v>239</v>
      </c>
      <c r="AW1812" s="70" t="s">
        <v>7974</v>
      </c>
      <c r="AZ1812" s="70">
        <v>448.0</v>
      </c>
    </row>
    <row r="1813" ht="22.5" customHeight="1">
      <c r="A1813" s="70" t="str">
        <f t="shared" si="1"/>
        <v>Excluded</v>
      </c>
      <c r="B1813" s="70">
        <f t="shared" si="2"/>
        <v>0</v>
      </c>
      <c r="C1813" s="70">
        <v>0.0</v>
      </c>
      <c r="D1813" s="70">
        <v>0.0</v>
      </c>
      <c r="E1813" s="70">
        <v>0.0</v>
      </c>
      <c r="F1813" s="70">
        <v>0.0</v>
      </c>
      <c r="G1813" s="70">
        <v>0.0</v>
      </c>
      <c r="H1813" s="70" t="s">
        <v>7022</v>
      </c>
      <c r="I1813" s="70">
        <v>670.0</v>
      </c>
      <c r="J1813" s="70" t="s">
        <v>7018</v>
      </c>
      <c r="K1813" s="70" t="s">
        <v>7019</v>
      </c>
      <c r="L1813" s="70" t="s">
        <v>7020</v>
      </c>
      <c r="N1813" s="70" t="s">
        <v>7021</v>
      </c>
      <c r="P1813" s="76">
        <v>44084.0</v>
      </c>
      <c r="U1813" s="70" t="s">
        <v>239</v>
      </c>
      <c r="W1813" s="70" t="s">
        <v>7024</v>
      </c>
      <c r="X1813" s="70" t="s">
        <v>7025</v>
      </c>
      <c r="Z1813" s="75" t="s">
        <v>7026</v>
      </c>
      <c r="AA1813" s="70" t="s">
        <v>7027</v>
      </c>
      <c r="AC1813" s="70">
        <v>4.0</v>
      </c>
      <c r="AE1813" s="70">
        <v>7.0</v>
      </c>
      <c r="AF1813" s="70" t="s">
        <v>239</v>
      </c>
      <c r="AW1813" s="70" t="s">
        <v>7028</v>
      </c>
      <c r="AX1813" s="70">
        <v>0.0</v>
      </c>
      <c r="AY1813" s="70" t="s">
        <v>24</v>
      </c>
      <c r="AZ1813" s="70">
        <v>2335.0</v>
      </c>
    </row>
    <row r="1814" ht="22.5" customHeight="1">
      <c r="A1814" s="70" t="str">
        <f t="shared" si="1"/>
        <v>Excluded</v>
      </c>
      <c r="B1814" s="70">
        <f t="shared" si="2"/>
        <v>0</v>
      </c>
      <c r="C1814" s="70">
        <v>0.0</v>
      </c>
      <c r="D1814" s="70">
        <v>0.0</v>
      </c>
      <c r="E1814" s="70">
        <v>0.0</v>
      </c>
      <c r="F1814" s="70">
        <v>0.0</v>
      </c>
      <c r="G1814" s="70">
        <v>0.0</v>
      </c>
      <c r="H1814" s="70" t="s">
        <v>5695</v>
      </c>
      <c r="I1814" s="70">
        <v>536.0</v>
      </c>
      <c r="J1814" s="70" t="s">
        <v>5692</v>
      </c>
      <c r="K1814" s="70" t="s">
        <v>5693</v>
      </c>
      <c r="L1814" s="70" t="s">
        <v>5694</v>
      </c>
      <c r="P1814" s="76">
        <v>42758.0</v>
      </c>
      <c r="U1814" s="70" t="s">
        <v>239</v>
      </c>
      <c r="W1814" s="70" t="s">
        <v>5697</v>
      </c>
      <c r="X1814" s="70" t="s">
        <v>5698</v>
      </c>
      <c r="Z1814" s="75" t="s">
        <v>5699</v>
      </c>
      <c r="AA1814" s="70" t="s">
        <v>5700</v>
      </c>
      <c r="AC1814" s="70">
        <v>9.0</v>
      </c>
      <c r="AE1814" s="70">
        <v>34.0</v>
      </c>
      <c r="AF1814" s="70" t="s">
        <v>239</v>
      </c>
      <c r="AW1814" s="70" t="s">
        <v>5701</v>
      </c>
      <c r="AX1814" s="70">
        <v>0.0</v>
      </c>
      <c r="AY1814" s="70" t="s">
        <v>24</v>
      </c>
      <c r="AZ1814" s="70">
        <v>2710.0</v>
      </c>
    </row>
    <row r="1815" ht="22.5" customHeight="1">
      <c r="A1815" s="70" t="str">
        <f t="shared" si="1"/>
        <v>Excluded</v>
      </c>
      <c r="B1815" s="70">
        <f t="shared" si="2"/>
        <v>0</v>
      </c>
      <c r="C1815" s="70">
        <v>0.0</v>
      </c>
      <c r="D1815" s="70">
        <v>0.0</v>
      </c>
      <c r="E1815" s="70">
        <v>0.0</v>
      </c>
      <c r="F1815" s="70">
        <v>0.0</v>
      </c>
      <c r="G1815" s="70">
        <v>0.0</v>
      </c>
      <c r="H1815" s="70" t="s">
        <v>7911</v>
      </c>
      <c r="I1815" s="70">
        <v>762.0</v>
      </c>
      <c r="J1815" s="70" t="s">
        <v>7909</v>
      </c>
      <c r="K1815" s="70" t="s">
        <v>7910</v>
      </c>
      <c r="L1815" s="70" t="s">
        <v>5694</v>
      </c>
      <c r="P1815" s="76">
        <v>42758.0</v>
      </c>
      <c r="U1815" s="70" t="s">
        <v>239</v>
      </c>
      <c r="W1815" s="70" t="s">
        <v>7913</v>
      </c>
      <c r="X1815" s="70" t="s">
        <v>5698</v>
      </c>
      <c r="Z1815" s="75" t="s">
        <v>7914</v>
      </c>
      <c r="AC1815" s="70">
        <v>2.0</v>
      </c>
      <c r="AE1815" s="70">
        <v>32.0</v>
      </c>
      <c r="AF1815" s="70" t="s">
        <v>239</v>
      </c>
      <c r="AW1815" s="70" t="s">
        <v>7915</v>
      </c>
      <c r="AX1815" s="70">
        <v>0.0</v>
      </c>
      <c r="AY1815" s="70" t="s">
        <v>24</v>
      </c>
      <c r="AZ1815" s="70">
        <v>2467.0</v>
      </c>
    </row>
    <row r="1816" ht="22.5" customHeight="1">
      <c r="A1816" s="70" t="str">
        <f t="shared" si="1"/>
        <v>Excluded</v>
      </c>
      <c r="B1816" s="70">
        <f t="shared" si="2"/>
        <v>0</v>
      </c>
      <c r="C1816" s="70">
        <v>0.0</v>
      </c>
      <c r="D1816" s="70">
        <v>0.0</v>
      </c>
      <c r="E1816" s="70">
        <v>0.0</v>
      </c>
      <c r="F1816" s="70">
        <v>0.0</v>
      </c>
      <c r="G1816" s="70">
        <v>0.0</v>
      </c>
      <c r="H1816" s="70" t="s">
        <v>11785</v>
      </c>
      <c r="I1816" s="70">
        <v>1233.0</v>
      </c>
      <c r="J1816" s="70" t="s">
        <v>11781</v>
      </c>
      <c r="K1816" s="70" t="s">
        <v>11782</v>
      </c>
      <c r="L1816" s="70" t="s">
        <v>11783</v>
      </c>
      <c r="N1816" s="70" t="s">
        <v>11784</v>
      </c>
      <c r="P1816" s="77">
        <v>45110.0</v>
      </c>
      <c r="U1816" s="70" t="s">
        <v>239</v>
      </c>
      <c r="W1816" s="70" t="s">
        <v>11787</v>
      </c>
      <c r="X1816" s="70" t="s">
        <v>11788</v>
      </c>
      <c r="Z1816" s="75" t="s">
        <v>11789</v>
      </c>
      <c r="AA1816" s="70" t="s">
        <v>11790</v>
      </c>
      <c r="AC1816" s="70">
        <v>1.0</v>
      </c>
      <c r="AE1816" s="70">
        <v>24.0</v>
      </c>
      <c r="AF1816" s="70" t="s">
        <v>239</v>
      </c>
      <c r="AW1816" s="70" t="s">
        <v>11791</v>
      </c>
      <c r="AX1816" s="70">
        <v>0.0</v>
      </c>
      <c r="AY1816" s="70" t="s">
        <v>24</v>
      </c>
      <c r="AZ1816" s="70">
        <v>1773.0</v>
      </c>
    </row>
    <row r="1817" ht="22.5" customHeight="1">
      <c r="A1817" s="70" t="str">
        <f t="shared" si="1"/>
        <v>Excluded</v>
      </c>
      <c r="B1817" s="70">
        <f t="shared" si="2"/>
        <v>0</v>
      </c>
      <c r="C1817" s="70">
        <v>0.0</v>
      </c>
      <c r="D1817" s="70">
        <v>0.0</v>
      </c>
      <c r="E1817" s="70">
        <v>0.0</v>
      </c>
      <c r="F1817" s="70">
        <v>0.0</v>
      </c>
      <c r="G1817" s="70">
        <v>0.0</v>
      </c>
      <c r="H1817" s="70" t="s">
        <v>10207</v>
      </c>
      <c r="I1817" s="70">
        <v>1002.0</v>
      </c>
      <c r="J1817" s="70" t="s">
        <v>10204</v>
      </c>
      <c r="K1817" s="70" t="s">
        <v>10205</v>
      </c>
      <c r="L1817" s="70" t="s">
        <v>10206</v>
      </c>
      <c r="N1817" s="70" t="s">
        <v>4802</v>
      </c>
      <c r="P1817" s="76">
        <v>44039.0</v>
      </c>
      <c r="U1817" s="70" t="s">
        <v>239</v>
      </c>
      <c r="W1817" s="70" t="s">
        <v>10209</v>
      </c>
      <c r="X1817" s="70" t="s">
        <v>10210</v>
      </c>
      <c r="Z1817" s="75" t="s">
        <v>10211</v>
      </c>
      <c r="AA1817" s="70" t="s">
        <v>10212</v>
      </c>
      <c r="AE1817" s="70">
        <v>14.0</v>
      </c>
      <c r="AF1817" s="70" t="s">
        <v>239</v>
      </c>
      <c r="AW1817" s="70" t="s">
        <v>10213</v>
      </c>
      <c r="AZ1817" s="70">
        <v>1087.0</v>
      </c>
    </row>
    <row r="1818" ht="22.5" customHeight="1">
      <c r="A1818" s="70" t="str">
        <f t="shared" si="1"/>
        <v>Excluded</v>
      </c>
      <c r="B1818" s="70">
        <f t="shared" si="2"/>
        <v>0</v>
      </c>
      <c r="C1818" s="70">
        <v>0.0</v>
      </c>
      <c r="D1818" s="70">
        <v>0.0</v>
      </c>
      <c r="E1818" s="70">
        <v>0.0</v>
      </c>
      <c r="F1818" s="70">
        <v>0.0</v>
      </c>
      <c r="G1818" s="70">
        <v>0.0</v>
      </c>
      <c r="H1818" s="70" t="s">
        <v>9377</v>
      </c>
      <c r="I1818" s="70">
        <v>915.0</v>
      </c>
      <c r="J1818" s="70" t="s">
        <v>9374</v>
      </c>
      <c r="K1818" s="70" t="s">
        <v>9375</v>
      </c>
      <c r="L1818" s="70" t="s">
        <v>9376</v>
      </c>
      <c r="N1818" s="70" t="s">
        <v>4802</v>
      </c>
      <c r="P1818" s="77">
        <v>44417.0</v>
      </c>
      <c r="U1818" s="70" t="s">
        <v>239</v>
      </c>
      <c r="W1818" s="70" t="s">
        <v>9379</v>
      </c>
      <c r="X1818" s="70" t="s">
        <v>9380</v>
      </c>
      <c r="Z1818" s="75" t="s">
        <v>9381</v>
      </c>
      <c r="AA1818" s="70" t="s">
        <v>9382</v>
      </c>
      <c r="AE1818" s="70">
        <v>36.0</v>
      </c>
      <c r="AF1818" s="70" t="s">
        <v>239</v>
      </c>
      <c r="AW1818" s="70" t="s">
        <v>9383</v>
      </c>
      <c r="AZ1818" s="70">
        <v>873.0</v>
      </c>
    </row>
    <row r="1819" ht="22.5" customHeight="1">
      <c r="A1819" s="70" t="str">
        <f t="shared" si="1"/>
        <v>Excluded</v>
      </c>
      <c r="B1819" s="70">
        <f t="shared" si="2"/>
        <v>0</v>
      </c>
      <c r="C1819" s="70">
        <v>0.0</v>
      </c>
      <c r="D1819" s="70">
        <v>0.0</v>
      </c>
      <c r="E1819" s="70">
        <v>0.0</v>
      </c>
      <c r="F1819" s="70">
        <v>0.0</v>
      </c>
      <c r="G1819" s="70">
        <v>0.0</v>
      </c>
      <c r="H1819" s="70" t="s">
        <v>4803</v>
      </c>
      <c r="I1819" s="70">
        <v>446.0</v>
      </c>
      <c r="J1819" s="70" t="s">
        <v>4799</v>
      </c>
      <c r="K1819" s="70" t="s">
        <v>4800</v>
      </c>
      <c r="L1819" s="70" t="s">
        <v>4801</v>
      </c>
      <c r="N1819" s="70" t="s">
        <v>4802</v>
      </c>
      <c r="P1819" s="76">
        <v>44761.0</v>
      </c>
      <c r="U1819" s="70" t="s">
        <v>239</v>
      </c>
      <c r="W1819" s="70" t="s">
        <v>4805</v>
      </c>
      <c r="X1819" s="70" t="s">
        <v>4806</v>
      </c>
      <c r="Z1819" s="75" t="s">
        <v>4807</v>
      </c>
      <c r="AA1819" s="70" t="s">
        <v>4808</v>
      </c>
      <c r="AC1819" s="70">
        <v>33.0</v>
      </c>
      <c r="AE1819" s="70">
        <v>20.0</v>
      </c>
      <c r="AF1819" s="70" t="s">
        <v>239</v>
      </c>
      <c r="AW1819" s="70" t="s">
        <v>4809</v>
      </c>
      <c r="AX1819" s="70">
        <v>0.0</v>
      </c>
      <c r="AY1819" s="70" t="s">
        <v>24</v>
      </c>
      <c r="AZ1819" s="70">
        <v>2933.0</v>
      </c>
    </row>
    <row r="1820" ht="22.5" customHeight="1">
      <c r="A1820" s="70" t="str">
        <f t="shared" si="1"/>
        <v>Excluded</v>
      </c>
      <c r="B1820" s="70">
        <f t="shared" si="2"/>
        <v>0</v>
      </c>
      <c r="C1820" s="70">
        <v>0.0</v>
      </c>
      <c r="D1820" s="70">
        <v>0.0</v>
      </c>
      <c r="E1820" s="70">
        <v>0.0</v>
      </c>
      <c r="F1820" s="70">
        <v>0.0</v>
      </c>
      <c r="G1820" s="70">
        <v>0.0</v>
      </c>
      <c r="H1820" s="70" t="s">
        <v>10783</v>
      </c>
      <c r="I1820" s="70">
        <v>1088.0</v>
      </c>
      <c r="K1820" s="70" t="s">
        <v>10597</v>
      </c>
      <c r="L1820" s="70" t="s">
        <v>4801</v>
      </c>
      <c r="N1820" s="70" t="s">
        <v>4802</v>
      </c>
      <c r="P1820" s="76">
        <v>44761.0</v>
      </c>
      <c r="U1820" s="70" t="s">
        <v>239</v>
      </c>
      <c r="W1820" s="70" t="s">
        <v>10602</v>
      </c>
      <c r="X1820" s="70" t="s">
        <v>4806</v>
      </c>
      <c r="Z1820" s="75" t="s">
        <v>10784</v>
      </c>
      <c r="AF1820" s="70" t="s">
        <v>239</v>
      </c>
      <c r="AZ1820" s="70">
        <v>1603.0</v>
      </c>
    </row>
    <row r="1821" ht="22.5" customHeight="1">
      <c r="A1821" s="70" t="str">
        <f t="shared" si="1"/>
        <v>Excluded</v>
      </c>
      <c r="B1821" s="70">
        <f t="shared" si="2"/>
        <v>0</v>
      </c>
      <c r="C1821" s="70">
        <v>0.0</v>
      </c>
      <c r="D1821" s="70">
        <v>0.0</v>
      </c>
      <c r="E1821" s="70">
        <v>0.0</v>
      </c>
      <c r="F1821" s="70">
        <v>0.0</v>
      </c>
      <c r="G1821" s="70">
        <v>0.0</v>
      </c>
      <c r="H1821" s="70" t="s">
        <v>7716</v>
      </c>
      <c r="I1821" s="70">
        <v>742.0</v>
      </c>
      <c r="J1821" s="70" t="s">
        <v>7714</v>
      </c>
      <c r="K1821" s="70" t="s">
        <v>7715</v>
      </c>
      <c r="L1821" s="70" t="s">
        <v>4801</v>
      </c>
      <c r="N1821" s="70" t="s">
        <v>4802</v>
      </c>
      <c r="P1821" s="76">
        <v>44761.0</v>
      </c>
      <c r="U1821" s="70" t="s">
        <v>239</v>
      </c>
      <c r="W1821" s="70" t="s">
        <v>7718</v>
      </c>
      <c r="X1821" s="70" t="s">
        <v>4806</v>
      </c>
      <c r="Z1821" s="75" t="s">
        <v>7719</v>
      </c>
      <c r="AA1821" s="70" t="s">
        <v>7720</v>
      </c>
      <c r="AC1821" s="70">
        <v>3.0</v>
      </c>
      <c r="AE1821" s="70">
        <v>21.0</v>
      </c>
      <c r="AF1821" s="70" t="s">
        <v>239</v>
      </c>
      <c r="AW1821" s="70" t="s">
        <v>7721</v>
      </c>
      <c r="AZ1821" s="70">
        <v>373.0</v>
      </c>
    </row>
    <row r="1822" ht="22.5" customHeight="1">
      <c r="A1822" s="70" t="str">
        <f t="shared" si="1"/>
        <v>Excluded</v>
      </c>
      <c r="B1822" s="70">
        <f t="shared" si="2"/>
        <v>0</v>
      </c>
      <c r="C1822" s="70">
        <v>0.0</v>
      </c>
      <c r="D1822" s="70">
        <v>0.0</v>
      </c>
      <c r="E1822" s="70">
        <v>0.0</v>
      </c>
      <c r="F1822" s="70">
        <v>0.0</v>
      </c>
      <c r="G1822" s="70">
        <v>0.0</v>
      </c>
      <c r="H1822" s="70" t="s">
        <v>15943</v>
      </c>
      <c r="I1822" s="70">
        <v>1679.0</v>
      </c>
      <c r="K1822" s="70" t="s">
        <v>10597</v>
      </c>
      <c r="L1822" s="70" t="s">
        <v>14225</v>
      </c>
      <c r="N1822" s="70" t="s">
        <v>4802</v>
      </c>
      <c r="P1822" s="76">
        <v>45128.0</v>
      </c>
      <c r="U1822" s="70" t="s">
        <v>239</v>
      </c>
      <c r="X1822" s="70" t="s">
        <v>14229</v>
      </c>
      <c r="Z1822" s="75" t="s">
        <v>15945</v>
      </c>
      <c r="AF1822" s="70" t="s">
        <v>239</v>
      </c>
      <c r="AZ1822" s="70">
        <v>1576.0</v>
      </c>
    </row>
    <row r="1823" ht="22.5" customHeight="1">
      <c r="A1823" s="70" t="str">
        <f t="shared" si="1"/>
        <v>Excluded</v>
      </c>
      <c r="B1823" s="70">
        <f t="shared" si="2"/>
        <v>0</v>
      </c>
      <c r="C1823" s="70">
        <v>0.0</v>
      </c>
      <c r="D1823" s="70">
        <v>0.0</v>
      </c>
      <c r="E1823" s="70">
        <v>0.0</v>
      </c>
      <c r="F1823" s="70">
        <v>0.0</v>
      </c>
      <c r="G1823" s="70">
        <v>0.0</v>
      </c>
      <c r="H1823" s="70" t="s">
        <v>14226</v>
      </c>
      <c r="I1823" s="70">
        <v>1483.0</v>
      </c>
      <c r="J1823" s="70" t="s">
        <v>30573</v>
      </c>
      <c r="K1823" s="70" t="s">
        <v>14224</v>
      </c>
      <c r="L1823" s="70" t="s">
        <v>14225</v>
      </c>
      <c r="N1823" s="70" t="s">
        <v>4802</v>
      </c>
      <c r="P1823" s="76">
        <v>45128.0</v>
      </c>
      <c r="U1823" s="70" t="s">
        <v>239</v>
      </c>
      <c r="W1823" s="70" t="s">
        <v>14228</v>
      </c>
      <c r="X1823" s="70" t="s">
        <v>14229</v>
      </c>
      <c r="Z1823" s="75" t="s">
        <v>14230</v>
      </c>
      <c r="AA1823" s="70" t="s">
        <v>14231</v>
      </c>
      <c r="AE1823" s="70">
        <v>15.0</v>
      </c>
      <c r="AF1823" s="70" t="s">
        <v>239</v>
      </c>
      <c r="AW1823" s="70" t="s">
        <v>14232</v>
      </c>
      <c r="AX1823" s="70">
        <v>0.0</v>
      </c>
      <c r="AY1823" s="70" t="s">
        <v>24</v>
      </c>
      <c r="AZ1823" s="70">
        <v>1771.0</v>
      </c>
    </row>
    <row r="1824" ht="22.5" customHeight="1">
      <c r="A1824" s="70" t="str">
        <f t="shared" si="1"/>
        <v>Excluded</v>
      </c>
      <c r="B1824" s="70">
        <f t="shared" si="2"/>
        <v>0</v>
      </c>
      <c r="C1824" s="70">
        <v>0.0</v>
      </c>
      <c r="D1824" s="70">
        <v>0.0</v>
      </c>
      <c r="E1824" s="70">
        <v>0.0</v>
      </c>
      <c r="F1824" s="70">
        <v>0.0</v>
      </c>
      <c r="G1824" s="70">
        <v>0.0</v>
      </c>
      <c r="H1824" s="70" t="s">
        <v>13223</v>
      </c>
      <c r="I1824" s="70">
        <v>1378.0</v>
      </c>
      <c r="J1824" s="70" t="s">
        <v>30574</v>
      </c>
      <c r="K1824" s="70" t="s">
        <v>13221</v>
      </c>
      <c r="L1824" s="70" t="s">
        <v>13222</v>
      </c>
      <c r="N1824" s="70" t="s">
        <v>4802</v>
      </c>
      <c r="P1824" s="76">
        <v>45490.0</v>
      </c>
      <c r="U1824" s="70" t="s">
        <v>239</v>
      </c>
      <c r="W1824" s="70" t="s">
        <v>13225</v>
      </c>
      <c r="X1824" s="70" t="s">
        <v>13226</v>
      </c>
      <c r="Z1824" s="75" t="s">
        <v>13227</v>
      </c>
      <c r="AA1824" s="70" t="s">
        <v>13228</v>
      </c>
      <c r="AE1824" s="70">
        <v>24.0</v>
      </c>
      <c r="AF1824" s="70" t="s">
        <v>239</v>
      </c>
      <c r="AW1824" s="70" t="s">
        <v>13229</v>
      </c>
      <c r="AX1824" s="70">
        <v>0.0</v>
      </c>
      <c r="AY1824" s="70" t="s">
        <v>24</v>
      </c>
      <c r="AZ1824" s="70">
        <v>2550.0</v>
      </c>
    </row>
    <row r="1825" ht="22.5" customHeight="1">
      <c r="A1825" s="70" t="str">
        <f t="shared" si="1"/>
        <v>Excluded</v>
      </c>
      <c r="B1825" s="70">
        <f t="shared" si="2"/>
        <v>0</v>
      </c>
      <c r="C1825" s="70">
        <v>0.0</v>
      </c>
      <c r="D1825" s="70">
        <v>0.0</v>
      </c>
      <c r="E1825" s="70">
        <v>0.0</v>
      </c>
      <c r="F1825" s="70">
        <v>0.0</v>
      </c>
      <c r="G1825" s="70">
        <v>0.0</v>
      </c>
      <c r="H1825" s="70" t="s">
        <v>15077</v>
      </c>
      <c r="I1825" s="70">
        <v>1572.0</v>
      </c>
      <c r="J1825" s="70" t="s">
        <v>15074</v>
      </c>
      <c r="K1825" s="70" t="s">
        <v>15075</v>
      </c>
      <c r="L1825" s="70" t="s">
        <v>15076</v>
      </c>
      <c r="P1825" s="77">
        <v>45538.0</v>
      </c>
      <c r="U1825" s="70" t="s">
        <v>239</v>
      </c>
      <c r="W1825" s="70" t="s">
        <v>15079</v>
      </c>
      <c r="X1825" s="70" t="s">
        <v>15080</v>
      </c>
      <c r="Z1825" s="75" t="s">
        <v>15081</v>
      </c>
      <c r="AA1825" s="70" t="s">
        <v>15082</v>
      </c>
      <c r="AE1825" s="70">
        <v>16.0</v>
      </c>
      <c r="AF1825" s="70" t="s">
        <v>239</v>
      </c>
      <c r="AW1825" s="70" t="s">
        <v>15083</v>
      </c>
      <c r="AX1825" s="70">
        <v>0.0</v>
      </c>
      <c r="AY1825" s="70" t="s">
        <v>24</v>
      </c>
      <c r="AZ1825" s="70">
        <v>2654.0</v>
      </c>
    </row>
    <row r="1826" ht="22.5" customHeight="1">
      <c r="A1826" s="70" t="str">
        <f t="shared" si="1"/>
        <v>Excluded</v>
      </c>
      <c r="B1826" s="70">
        <f t="shared" si="2"/>
        <v>0</v>
      </c>
      <c r="C1826" s="70">
        <v>0.0</v>
      </c>
      <c r="D1826" s="70">
        <v>0.0</v>
      </c>
      <c r="E1826" s="70">
        <v>0.0</v>
      </c>
      <c r="F1826" s="70">
        <v>0.0</v>
      </c>
      <c r="G1826" s="70">
        <v>0.0</v>
      </c>
      <c r="H1826" s="70" t="s">
        <v>12978</v>
      </c>
      <c r="I1826" s="70">
        <v>1353.0</v>
      </c>
      <c r="J1826" s="70" t="s">
        <v>12975</v>
      </c>
      <c r="K1826" s="70" t="s">
        <v>12976</v>
      </c>
      <c r="L1826" s="70" t="s">
        <v>12977</v>
      </c>
      <c r="P1826" s="76">
        <v>45456.0</v>
      </c>
      <c r="U1826" s="70" t="s">
        <v>239</v>
      </c>
      <c r="W1826" s="70" t="s">
        <v>30575</v>
      </c>
      <c r="X1826" s="70" t="s">
        <v>12981</v>
      </c>
      <c r="Y1826" s="70" t="s">
        <v>30576</v>
      </c>
      <c r="Z1826" s="75" t="s">
        <v>12983</v>
      </c>
      <c r="AA1826" s="70" t="s">
        <v>12984</v>
      </c>
      <c r="AE1826" s="70">
        <v>11.0</v>
      </c>
      <c r="AF1826" s="70" t="s">
        <v>239</v>
      </c>
      <c r="AW1826" s="70" t="s">
        <v>12985</v>
      </c>
      <c r="AZ1826" s="70">
        <v>771.0</v>
      </c>
    </row>
    <row r="1827" ht="22.5" customHeight="1">
      <c r="A1827" s="70" t="str">
        <f t="shared" si="1"/>
        <v>Excluded</v>
      </c>
      <c r="B1827" s="70">
        <f t="shared" si="2"/>
        <v>0</v>
      </c>
      <c r="C1827" s="70">
        <v>0.0</v>
      </c>
      <c r="D1827" s="70">
        <v>0.0</v>
      </c>
      <c r="E1827" s="70">
        <v>0.0</v>
      </c>
      <c r="F1827" s="70">
        <v>0.0</v>
      </c>
      <c r="G1827" s="70">
        <v>0.0</v>
      </c>
      <c r="H1827" s="70" t="s">
        <v>11981</v>
      </c>
      <c r="I1827" s="70">
        <v>1253.0</v>
      </c>
      <c r="J1827" s="70" t="s">
        <v>11978</v>
      </c>
      <c r="K1827" s="70" t="s">
        <v>11979</v>
      </c>
      <c r="L1827" s="70" t="s">
        <v>11980</v>
      </c>
      <c r="P1827" s="76">
        <v>45282.0</v>
      </c>
      <c r="U1827" s="70" t="s">
        <v>239</v>
      </c>
      <c r="W1827" s="70" t="s">
        <v>11983</v>
      </c>
      <c r="X1827" s="70" t="s">
        <v>11984</v>
      </c>
      <c r="Z1827" s="75" t="s">
        <v>11985</v>
      </c>
      <c r="AA1827" s="70" t="s">
        <v>11986</v>
      </c>
      <c r="AC1827" s="70">
        <v>1.0</v>
      </c>
      <c r="AE1827" s="70">
        <v>27.0</v>
      </c>
      <c r="AF1827" s="70" t="s">
        <v>239</v>
      </c>
      <c r="AW1827" s="70" t="s">
        <v>11987</v>
      </c>
      <c r="AX1827" s="70">
        <v>0.0</v>
      </c>
      <c r="AY1827" s="70" t="s">
        <v>24</v>
      </c>
      <c r="AZ1827" s="70">
        <v>1763.0</v>
      </c>
    </row>
    <row r="1828" ht="22.5" customHeight="1">
      <c r="A1828" s="70" t="str">
        <f t="shared" si="1"/>
        <v>Excluded</v>
      </c>
      <c r="B1828" s="70">
        <f t="shared" si="2"/>
        <v>0</v>
      </c>
      <c r="C1828" s="70">
        <v>0.0</v>
      </c>
      <c r="D1828" s="70">
        <v>0.0</v>
      </c>
      <c r="E1828" s="70">
        <v>0.0</v>
      </c>
      <c r="F1828" s="70">
        <v>0.0</v>
      </c>
      <c r="G1828" s="70">
        <v>0.0</v>
      </c>
      <c r="H1828" s="70" t="s">
        <v>5848</v>
      </c>
      <c r="I1828" s="70">
        <v>551.0</v>
      </c>
      <c r="J1828" s="70" t="s">
        <v>5845</v>
      </c>
      <c r="K1828" s="70" t="s">
        <v>5846</v>
      </c>
      <c r="L1828" s="70" t="s">
        <v>5847</v>
      </c>
      <c r="P1828" s="76">
        <v>44735.0</v>
      </c>
      <c r="U1828" s="70" t="s">
        <v>239</v>
      </c>
      <c r="W1828" s="70" t="s">
        <v>5850</v>
      </c>
      <c r="X1828" s="70" t="s">
        <v>5851</v>
      </c>
      <c r="Z1828" s="75" t="s">
        <v>5852</v>
      </c>
      <c r="AA1828" s="70" t="s">
        <v>5853</v>
      </c>
      <c r="AC1828" s="70">
        <v>9.0</v>
      </c>
      <c r="AE1828" s="70">
        <v>30.0</v>
      </c>
      <c r="AF1828" s="70" t="s">
        <v>239</v>
      </c>
      <c r="AW1828" s="70" t="s">
        <v>5854</v>
      </c>
      <c r="AZ1828" s="70">
        <v>915.0</v>
      </c>
    </row>
    <row r="1829" ht="22.5" customHeight="1">
      <c r="A1829" s="70" t="str">
        <f t="shared" si="1"/>
        <v>Excluded</v>
      </c>
      <c r="B1829" s="70">
        <f t="shared" si="2"/>
        <v>0</v>
      </c>
      <c r="C1829" s="70">
        <v>0.0</v>
      </c>
      <c r="D1829" s="70">
        <v>0.0</v>
      </c>
      <c r="E1829" s="70">
        <v>0.0</v>
      </c>
      <c r="F1829" s="70">
        <v>0.0</v>
      </c>
      <c r="G1829" s="70">
        <v>0.0</v>
      </c>
      <c r="H1829" s="70" t="s">
        <v>9274</v>
      </c>
      <c r="I1829" s="70">
        <v>904.0</v>
      </c>
      <c r="J1829" s="70" t="s">
        <v>9272</v>
      </c>
      <c r="K1829" s="70" t="s">
        <v>9273</v>
      </c>
      <c r="L1829" s="70" t="s">
        <v>7946</v>
      </c>
      <c r="P1829" s="77">
        <v>44537.0</v>
      </c>
      <c r="U1829" s="70" t="s">
        <v>239</v>
      </c>
      <c r="W1829" s="70" t="s">
        <v>9276</v>
      </c>
      <c r="X1829" s="70" t="s">
        <v>7950</v>
      </c>
      <c r="Z1829" s="75" t="s">
        <v>9277</v>
      </c>
      <c r="AA1829" s="70" t="s">
        <v>9278</v>
      </c>
      <c r="AC1829" s="70">
        <v>1.0</v>
      </c>
      <c r="AE1829" s="70">
        <v>18.0</v>
      </c>
      <c r="AF1829" s="70" t="s">
        <v>239</v>
      </c>
      <c r="AW1829" s="70" t="s">
        <v>9279</v>
      </c>
      <c r="AX1829" s="70">
        <v>0.0</v>
      </c>
      <c r="AY1829" s="70" t="s">
        <v>24</v>
      </c>
      <c r="AZ1829" s="70">
        <v>2000.0</v>
      </c>
    </row>
    <row r="1830" ht="22.5" customHeight="1">
      <c r="A1830" s="70" t="str">
        <f t="shared" si="1"/>
        <v>Excluded</v>
      </c>
      <c r="B1830" s="70">
        <f t="shared" si="2"/>
        <v>0</v>
      </c>
      <c r="C1830" s="70">
        <v>0.0</v>
      </c>
      <c r="D1830" s="70">
        <v>0.0</v>
      </c>
      <c r="E1830" s="70">
        <v>0.0</v>
      </c>
      <c r="F1830" s="70">
        <v>0.0</v>
      </c>
      <c r="G1830" s="70">
        <v>0.0</v>
      </c>
      <c r="H1830" s="70" t="s">
        <v>7947</v>
      </c>
      <c r="I1830" s="70">
        <v>766.0</v>
      </c>
      <c r="J1830" s="70" t="s">
        <v>7944</v>
      </c>
      <c r="K1830" s="70" t="s">
        <v>7945</v>
      </c>
      <c r="L1830" s="70" t="s">
        <v>7946</v>
      </c>
      <c r="P1830" s="77">
        <v>44537.0</v>
      </c>
      <c r="U1830" s="70" t="s">
        <v>239</v>
      </c>
      <c r="W1830" s="70" t="s">
        <v>30577</v>
      </c>
      <c r="X1830" s="70" t="s">
        <v>7950</v>
      </c>
      <c r="Z1830" s="75" t="s">
        <v>7951</v>
      </c>
      <c r="AA1830" s="70" t="s">
        <v>7952</v>
      </c>
      <c r="AC1830" s="70">
        <v>2.0</v>
      </c>
      <c r="AE1830" s="70">
        <v>27.0</v>
      </c>
      <c r="AF1830" s="70" t="s">
        <v>239</v>
      </c>
      <c r="AW1830" s="70" t="s">
        <v>7953</v>
      </c>
      <c r="AX1830" s="70">
        <v>0.0</v>
      </c>
      <c r="AY1830" s="70" t="s">
        <v>24</v>
      </c>
      <c r="AZ1830" s="70">
        <v>3006.0</v>
      </c>
    </row>
    <row r="1831" ht="22.5" customHeight="1">
      <c r="A1831" s="70" t="str">
        <f t="shared" si="1"/>
        <v>Excluded</v>
      </c>
      <c r="B1831" s="70">
        <f t="shared" si="2"/>
        <v>0</v>
      </c>
      <c r="C1831" s="70">
        <v>0.0</v>
      </c>
      <c r="D1831" s="70">
        <v>0.0</v>
      </c>
      <c r="E1831" s="70">
        <v>0.0</v>
      </c>
      <c r="F1831" s="70">
        <v>0.0</v>
      </c>
      <c r="G1831" s="70">
        <v>0.0</v>
      </c>
      <c r="H1831" s="70" t="s">
        <v>17210</v>
      </c>
      <c r="I1831" s="70">
        <v>1888.0</v>
      </c>
      <c r="J1831" s="70" t="s">
        <v>30578</v>
      </c>
      <c r="K1831" s="70" t="s">
        <v>17209</v>
      </c>
      <c r="L1831" s="70" t="s">
        <v>16566</v>
      </c>
      <c r="N1831" s="70" t="s">
        <v>16567</v>
      </c>
      <c r="P1831" s="77">
        <v>44230.0</v>
      </c>
      <c r="U1831" s="70" t="s">
        <v>239</v>
      </c>
      <c r="W1831" s="70" t="s">
        <v>17212</v>
      </c>
      <c r="Y1831" s="70" t="s">
        <v>17213</v>
      </c>
      <c r="Z1831" s="75" t="s">
        <v>17214</v>
      </c>
      <c r="AA1831" s="70" t="s">
        <v>17215</v>
      </c>
      <c r="AC1831" s="70">
        <v>66.0</v>
      </c>
      <c r="AE1831" s="70">
        <v>164.0</v>
      </c>
      <c r="AW1831" s="70" t="s">
        <v>17216</v>
      </c>
      <c r="AZ1831" s="70">
        <v>852.0</v>
      </c>
    </row>
    <row r="1832" ht="22.5" customHeight="1">
      <c r="A1832" s="70" t="str">
        <f t="shared" si="1"/>
        <v>Excluded</v>
      </c>
      <c r="B1832" s="70">
        <f t="shared" si="2"/>
        <v>0</v>
      </c>
      <c r="C1832" s="70">
        <v>0.0</v>
      </c>
      <c r="D1832" s="70">
        <v>0.0</v>
      </c>
      <c r="E1832" s="70">
        <v>0.0</v>
      </c>
      <c r="F1832" s="70">
        <v>0.0</v>
      </c>
      <c r="G1832" s="70">
        <v>0.0</v>
      </c>
      <c r="H1832" s="70" t="s">
        <v>16568</v>
      </c>
      <c r="I1832" s="70">
        <v>1817.0</v>
      </c>
      <c r="J1832" s="70" t="s">
        <v>16564</v>
      </c>
      <c r="K1832" s="70" t="s">
        <v>16565</v>
      </c>
      <c r="L1832" s="70" t="s">
        <v>16566</v>
      </c>
      <c r="N1832" s="70" t="s">
        <v>16567</v>
      </c>
      <c r="P1832" s="76">
        <v>44265.0</v>
      </c>
      <c r="U1832" s="70" t="s">
        <v>239</v>
      </c>
      <c r="W1832" s="70" t="s">
        <v>16570</v>
      </c>
      <c r="Y1832" s="70" t="s">
        <v>30579</v>
      </c>
      <c r="Z1832" s="75" t="s">
        <v>16572</v>
      </c>
      <c r="AA1832" s="70" t="s">
        <v>16573</v>
      </c>
      <c r="AC1832" s="70">
        <v>325.0</v>
      </c>
      <c r="AE1832" s="70">
        <v>258.0</v>
      </c>
      <c r="AW1832" s="70" t="s">
        <v>16574</v>
      </c>
      <c r="AX1832" s="70">
        <v>0.0</v>
      </c>
      <c r="AY1832" s="70" t="s">
        <v>24</v>
      </c>
      <c r="AZ1832" s="70">
        <v>2870.0</v>
      </c>
    </row>
    <row r="1833" ht="22.5" customHeight="1">
      <c r="A1833" s="70" t="str">
        <f t="shared" si="1"/>
        <v>Excluded</v>
      </c>
      <c r="B1833" s="70">
        <f t="shared" si="2"/>
        <v>0</v>
      </c>
      <c r="C1833" s="70">
        <v>0.0</v>
      </c>
      <c r="D1833" s="70">
        <v>0.0</v>
      </c>
      <c r="E1833" s="70">
        <v>0.0</v>
      </c>
      <c r="F1833" s="70">
        <v>0.0</v>
      </c>
      <c r="G1833" s="70">
        <v>0.0</v>
      </c>
      <c r="H1833" s="70" t="s">
        <v>17598</v>
      </c>
      <c r="I1833" s="70">
        <v>1932.0</v>
      </c>
      <c r="J1833" s="70" t="s">
        <v>17594</v>
      </c>
      <c r="K1833" s="70" t="s">
        <v>17595</v>
      </c>
      <c r="L1833" s="70" t="s">
        <v>17596</v>
      </c>
      <c r="N1833" s="70" t="s">
        <v>17597</v>
      </c>
      <c r="P1833" s="76">
        <v>43992.0</v>
      </c>
      <c r="U1833" s="70" t="s">
        <v>239</v>
      </c>
      <c r="W1833" s="70" t="s">
        <v>17600</v>
      </c>
      <c r="Z1833" s="75" t="s">
        <v>17601</v>
      </c>
      <c r="AA1833" s="70" t="s">
        <v>17602</v>
      </c>
      <c r="AB1833" s="70" t="s">
        <v>17603</v>
      </c>
      <c r="AC1833" s="70">
        <v>40.0</v>
      </c>
      <c r="AE1833" s="70">
        <v>27.0</v>
      </c>
      <c r="AF1833" s="70" t="s">
        <v>239</v>
      </c>
      <c r="AW1833" s="70" t="s">
        <v>17604</v>
      </c>
      <c r="AX1833" s="70">
        <v>0.0</v>
      </c>
      <c r="AY1833" s="70" t="s">
        <v>24</v>
      </c>
      <c r="AZ1833" s="70">
        <v>2609.0</v>
      </c>
    </row>
    <row r="1834" ht="22.5" customHeight="1">
      <c r="A1834" s="70" t="str">
        <f t="shared" si="1"/>
        <v>Excluded</v>
      </c>
      <c r="B1834" s="70">
        <f t="shared" si="2"/>
        <v>0</v>
      </c>
      <c r="C1834" s="70">
        <v>0.0</v>
      </c>
      <c r="D1834" s="70">
        <v>0.0</v>
      </c>
      <c r="E1834" s="70">
        <v>0.0</v>
      </c>
      <c r="F1834" s="70">
        <v>0.0</v>
      </c>
      <c r="G1834" s="70">
        <v>0.0</v>
      </c>
      <c r="H1834" s="70" t="s">
        <v>18253</v>
      </c>
      <c r="I1834" s="70">
        <v>2005.0</v>
      </c>
      <c r="J1834" s="70" t="s">
        <v>18251</v>
      </c>
      <c r="K1834" s="70" t="s">
        <v>18252</v>
      </c>
      <c r="L1834" s="70" t="s">
        <v>17596</v>
      </c>
      <c r="N1834" s="70" t="s">
        <v>17597</v>
      </c>
      <c r="P1834" s="76">
        <v>44432.0</v>
      </c>
      <c r="U1834" s="70" t="s">
        <v>239</v>
      </c>
      <c r="W1834" s="70" t="s">
        <v>18255</v>
      </c>
      <c r="Y1834" s="70" t="s">
        <v>30580</v>
      </c>
      <c r="Z1834" s="75" t="s">
        <v>18257</v>
      </c>
      <c r="AA1834" s="70" t="s">
        <v>18258</v>
      </c>
      <c r="AB1834" s="70" t="s">
        <v>18259</v>
      </c>
      <c r="AC1834" s="70">
        <v>24.0</v>
      </c>
      <c r="AE1834" s="70">
        <v>41.0</v>
      </c>
      <c r="AF1834" s="70" t="s">
        <v>239</v>
      </c>
      <c r="AW1834" s="70" t="s">
        <v>18260</v>
      </c>
      <c r="AZ1834" s="70">
        <v>557.0</v>
      </c>
    </row>
    <row r="1835" ht="22.5" customHeight="1">
      <c r="A1835" s="70" t="str">
        <f t="shared" si="1"/>
        <v>Excluded</v>
      </c>
      <c r="B1835" s="70">
        <f t="shared" si="2"/>
        <v>0</v>
      </c>
      <c r="C1835" s="70">
        <v>0.0</v>
      </c>
      <c r="D1835" s="70">
        <v>0.0</v>
      </c>
      <c r="E1835" s="70">
        <v>0.0</v>
      </c>
      <c r="F1835" s="70">
        <v>0.0</v>
      </c>
      <c r="G1835" s="70">
        <v>0.0</v>
      </c>
      <c r="H1835" s="70" t="s">
        <v>5965</v>
      </c>
      <c r="I1835" s="70">
        <v>563.0</v>
      </c>
      <c r="J1835" s="70" t="s">
        <v>5962</v>
      </c>
      <c r="K1835" s="70" t="s">
        <v>5963</v>
      </c>
      <c r="L1835" s="70" t="s">
        <v>5964</v>
      </c>
      <c r="P1835" s="77">
        <v>44075.0</v>
      </c>
      <c r="U1835" s="70" t="s">
        <v>239</v>
      </c>
      <c r="W1835" s="70" t="s">
        <v>5967</v>
      </c>
      <c r="X1835" s="70" t="s">
        <v>5968</v>
      </c>
      <c r="Z1835" s="75" t="s">
        <v>5969</v>
      </c>
      <c r="AA1835" s="70" t="s">
        <v>5970</v>
      </c>
      <c r="AC1835" s="70">
        <v>8.0</v>
      </c>
      <c r="AE1835" s="70">
        <v>19.0</v>
      </c>
      <c r="AF1835" s="70" t="s">
        <v>239</v>
      </c>
      <c r="AW1835" s="70" t="s">
        <v>5971</v>
      </c>
      <c r="AX1835" s="70">
        <v>0.0</v>
      </c>
      <c r="AY1835" s="70" t="s">
        <v>24</v>
      </c>
      <c r="AZ1835" s="70">
        <v>2966.0</v>
      </c>
    </row>
    <row r="1836" ht="22.5" customHeight="1">
      <c r="A1836" s="70" t="str">
        <f t="shared" si="1"/>
        <v>Excluded</v>
      </c>
      <c r="B1836" s="70">
        <f t="shared" si="2"/>
        <v>0</v>
      </c>
      <c r="C1836" s="70">
        <v>0.0</v>
      </c>
      <c r="D1836" s="70">
        <v>0.0</v>
      </c>
      <c r="E1836" s="70">
        <v>0.0</v>
      </c>
      <c r="F1836" s="70">
        <v>0.0</v>
      </c>
      <c r="G1836" s="70">
        <v>0.0</v>
      </c>
      <c r="H1836" s="70" t="s">
        <v>28743</v>
      </c>
      <c r="I1836" s="70">
        <v>3091.0</v>
      </c>
      <c r="J1836" s="70" t="s">
        <v>28741</v>
      </c>
      <c r="K1836" s="70" t="s">
        <v>28742</v>
      </c>
      <c r="W1836" s="70" t="s">
        <v>30581</v>
      </c>
      <c r="AA1836" s="70" t="s">
        <v>28745</v>
      </c>
      <c r="AI1836" s="70" t="s">
        <v>28746</v>
      </c>
      <c r="AJ1836" s="70" t="s">
        <v>28747</v>
      </c>
      <c r="AK1836" s="70">
        <v>2017.0</v>
      </c>
      <c r="AL1836" s="70" t="s">
        <v>28748</v>
      </c>
      <c r="AM1836" s="70">
        <v>8025927.0</v>
      </c>
      <c r="AQ1836" s="70">
        <v>12.0</v>
      </c>
      <c r="AR1836" s="75" t="s">
        <v>28749</v>
      </c>
      <c r="AS1836" s="70" t="s">
        <v>22525</v>
      </c>
      <c r="AU1836" s="70" t="s">
        <v>237</v>
      </c>
      <c r="AV1836" s="70" t="s">
        <v>28750</v>
      </c>
      <c r="AW1836" s="70" t="s">
        <v>28751</v>
      </c>
      <c r="AX1836" s="70">
        <v>0.0</v>
      </c>
      <c r="AY1836" s="70" t="s">
        <v>24</v>
      </c>
      <c r="AZ1836" s="70">
        <v>3007.0</v>
      </c>
    </row>
    <row r="1837" ht="22.5" customHeight="1">
      <c r="A1837" s="70" t="str">
        <f t="shared" si="1"/>
        <v>Excluded</v>
      </c>
      <c r="B1837" s="70">
        <f t="shared" si="2"/>
        <v>0</v>
      </c>
      <c r="C1837" s="70">
        <v>0.0</v>
      </c>
      <c r="D1837" s="70">
        <v>0.0</v>
      </c>
      <c r="E1837" s="70">
        <v>0.0</v>
      </c>
      <c r="F1837" s="70">
        <v>0.0</v>
      </c>
      <c r="G1837" s="70">
        <v>0.0</v>
      </c>
      <c r="H1837" s="70" t="s">
        <v>16906</v>
      </c>
      <c r="I1837" s="70">
        <v>1855.0</v>
      </c>
      <c r="J1837" s="70" t="s">
        <v>16904</v>
      </c>
      <c r="K1837" s="70" t="s">
        <v>16905</v>
      </c>
      <c r="L1837" s="70" t="s">
        <v>16538</v>
      </c>
      <c r="N1837" s="70" t="s">
        <v>16539</v>
      </c>
      <c r="P1837" s="77">
        <v>42895.0</v>
      </c>
      <c r="U1837" s="70" t="s">
        <v>239</v>
      </c>
      <c r="W1837" s="70" t="s">
        <v>16908</v>
      </c>
      <c r="Y1837" s="70" t="s">
        <v>30582</v>
      </c>
      <c r="Z1837" s="75" t="s">
        <v>16910</v>
      </c>
      <c r="AA1837" s="70" t="s">
        <v>16911</v>
      </c>
      <c r="AC1837" s="70">
        <v>98.0</v>
      </c>
      <c r="AE1837" s="70">
        <v>41.0</v>
      </c>
      <c r="AF1837" s="70" t="s">
        <v>239</v>
      </c>
      <c r="AW1837" s="70" t="s">
        <v>16912</v>
      </c>
      <c r="AX1837" s="70">
        <v>0.0</v>
      </c>
      <c r="AY1837" s="70" t="s">
        <v>24</v>
      </c>
      <c r="AZ1837" s="70">
        <v>2039.0</v>
      </c>
    </row>
    <row r="1838" ht="22.5" customHeight="1">
      <c r="A1838" s="70" t="str">
        <f t="shared" si="1"/>
        <v>Excluded</v>
      </c>
      <c r="B1838" s="70">
        <f t="shared" si="2"/>
        <v>0</v>
      </c>
      <c r="C1838" s="70">
        <v>0.0</v>
      </c>
      <c r="D1838" s="70">
        <v>0.0</v>
      </c>
      <c r="E1838" s="70">
        <v>0.0</v>
      </c>
      <c r="F1838" s="70">
        <v>0.0</v>
      </c>
      <c r="G1838" s="70">
        <v>0.0</v>
      </c>
      <c r="H1838" s="70" t="s">
        <v>17192</v>
      </c>
      <c r="I1838" s="70">
        <v>1886.0</v>
      </c>
      <c r="J1838" s="70" t="s">
        <v>17190</v>
      </c>
      <c r="K1838" s="70" t="s">
        <v>17191</v>
      </c>
      <c r="L1838" s="70" t="s">
        <v>16538</v>
      </c>
      <c r="N1838" s="70" t="s">
        <v>16539</v>
      </c>
      <c r="P1838" s="76">
        <v>42916.0</v>
      </c>
      <c r="U1838" s="70" t="s">
        <v>239</v>
      </c>
      <c r="W1838" s="70" t="s">
        <v>17194</v>
      </c>
      <c r="Y1838" s="70" t="s">
        <v>30583</v>
      </c>
      <c r="Z1838" s="75" t="s">
        <v>17196</v>
      </c>
      <c r="AA1838" s="70" t="s">
        <v>17197</v>
      </c>
      <c r="AC1838" s="70">
        <v>67.0</v>
      </c>
      <c r="AE1838" s="70">
        <v>36.0</v>
      </c>
      <c r="AF1838" s="70" t="s">
        <v>239</v>
      </c>
      <c r="AW1838" s="70" t="s">
        <v>17198</v>
      </c>
      <c r="AX1838" s="70">
        <v>0.0</v>
      </c>
      <c r="AY1838" s="70" t="s">
        <v>24</v>
      </c>
      <c r="AZ1838" s="70">
        <v>2606.0</v>
      </c>
    </row>
    <row r="1839" ht="22.5" customHeight="1">
      <c r="A1839" s="70" t="str">
        <f t="shared" si="1"/>
        <v>Excluded</v>
      </c>
      <c r="B1839" s="70">
        <f t="shared" si="2"/>
        <v>0</v>
      </c>
      <c r="C1839" s="70">
        <v>0.0</v>
      </c>
      <c r="D1839" s="70">
        <v>0.0</v>
      </c>
      <c r="E1839" s="70">
        <v>0.0</v>
      </c>
      <c r="F1839" s="70">
        <v>0.0</v>
      </c>
      <c r="G1839" s="70">
        <v>0.0</v>
      </c>
      <c r="H1839" s="70" t="s">
        <v>17310</v>
      </c>
      <c r="I1839" s="70">
        <v>1899.0</v>
      </c>
      <c r="J1839" s="70" t="s">
        <v>17308</v>
      </c>
      <c r="K1839" s="70" t="s">
        <v>17309</v>
      </c>
      <c r="L1839" s="70" t="s">
        <v>16538</v>
      </c>
      <c r="N1839" s="70" t="s">
        <v>16539</v>
      </c>
      <c r="P1839" s="76">
        <v>42999.0</v>
      </c>
      <c r="U1839" s="70" t="s">
        <v>239</v>
      </c>
      <c r="W1839" s="70" t="s">
        <v>17312</v>
      </c>
      <c r="Z1839" s="75" t="s">
        <v>17313</v>
      </c>
      <c r="AA1839" s="70" t="s">
        <v>17314</v>
      </c>
      <c r="AC1839" s="70">
        <v>59.0</v>
      </c>
      <c r="AE1839" s="70">
        <v>31.0</v>
      </c>
      <c r="AF1839" s="70" t="s">
        <v>239</v>
      </c>
      <c r="AW1839" s="70" t="s">
        <v>17315</v>
      </c>
      <c r="AZ1839" s="70">
        <v>321.0</v>
      </c>
    </row>
    <row r="1840" ht="22.5" customHeight="1">
      <c r="A1840" s="70" t="str">
        <f t="shared" si="1"/>
        <v>Excluded</v>
      </c>
      <c r="B1840" s="70">
        <f t="shared" si="2"/>
        <v>0</v>
      </c>
      <c r="C1840" s="70">
        <v>0.0</v>
      </c>
      <c r="D1840" s="70">
        <v>0.0</v>
      </c>
      <c r="E1840" s="70">
        <v>0.0</v>
      </c>
      <c r="F1840" s="70">
        <v>0.0</v>
      </c>
      <c r="G1840" s="70">
        <v>0.0</v>
      </c>
      <c r="H1840" s="70" t="s">
        <v>17156</v>
      </c>
      <c r="I1840" s="70">
        <v>1882.0</v>
      </c>
      <c r="J1840" s="70" t="s">
        <v>17154</v>
      </c>
      <c r="K1840" s="70" t="s">
        <v>17155</v>
      </c>
      <c r="L1840" s="70" t="s">
        <v>16538</v>
      </c>
      <c r="N1840" s="70" t="s">
        <v>16539</v>
      </c>
      <c r="P1840" s="76">
        <v>43055.0</v>
      </c>
      <c r="U1840" s="70" t="s">
        <v>239</v>
      </c>
      <c r="W1840" s="70" t="s">
        <v>17158</v>
      </c>
      <c r="Z1840" s="75" t="s">
        <v>17159</v>
      </c>
      <c r="AA1840" s="70" t="s">
        <v>17160</v>
      </c>
      <c r="AC1840" s="70">
        <v>69.0</v>
      </c>
      <c r="AE1840" s="70">
        <v>24.0</v>
      </c>
      <c r="AF1840" s="70" t="s">
        <v>239</v>
      </c>
      <c r="AW1840" s="70" t="s">
        <v>17161</v>
      </c>
      <c r="AX1840" s="70">
        <v>0.0</v>
      </c>
      <c r="AY1840" s="70" t="s">
        <v>24</v>
      </c>
      <c r="AZ1840" s="70">
        <v>2496.0</v>
      </c>
    </row>
    <row r="1841" ht="22.5" customHeight="1">
      <c r="A1841" s="70" t="str">
        <f t="shared" si="1"/>
        <v>Excluded</v>
      </c>
      <c r="B1841" s="70">
        <f t="shared" si="2"/>
        <v>0</v>
      </c>
      <c r="C1841" s="70">
        <v>0.0</v>
      </c>
      <c r="D1841" s="70">
        <v>0.0</v>
      </c>
      <c r="E1841" s="70">
        <v>0.0</v>
      </c>
      <c r="F1841" s="70">
        <v>0.0</v>
      </c>
      <c r="G1841" s="70">
        <v>0.0</v>
      </c>
      <c r="H1841" s="70" t="s">
        <v>17101</v>
      </c>
      <c r="I1841" s="70">
        <v>1876.0</v>
      </c>
      <c r="J1841" s="70" t="s">
        <v>17099</v>
      </c>
      <c r="K1841" s="70" t="s">
        <v>17100</v>
      </c>
      <c r="L1841" s="70" t="s">
        <v>16538</v>
      </c>
      <c r="N1841" s="70" t="s">
        <v>16539</v>
      </c>
      <c r="P1841" s="76">
        <v>43112.0</v>
      </c>
      <c r="U1841" s="70" t="s">
        <v>239</v>
      </c>
      <c r="W1841" s="70" t="s">
        <v>17103</v>
      </c>
      <c r="Y1841" s="70" t="s">
        <v>30584</v>
      </c>
      <c r="Z1841" s="75" t="s">
        <v>17105</v>
      </c>
      <c r="AA1841" s="70" t="s">
        <v>17106</v>
      </c>
      <c r="AC1841" s="70">
        <v>74.0</v>
      </c>
      <c r="AE1841" s="70">
        <v>25.0</v>
      </c>
      <c r="AF1841" s="70" t="s">
        <v>239</v>
      </c>
      <c r="AW1841" s="70" t="s">
        <v>17107</v>
      </c>
      <c r="AX1841" s="70">
        <v>0.0</v>
      </c>
      <c r="AY1841" s="70" t="s">
        <v>24</v>
      </c>
      <c r="AZ1841" s="70">
        <v>1727.0</v>
      </c>
    </row>
    <row r="1842" ht="22.5" customHeight="1">
      <c r="A1842" s="70" t="str">
        <f t="shared" si="1"/>
        <v>Excluded</v>
      </c>
      <c r="B1842" s="70">
        <f t="shared" si="2"/>
        <v>0</v>
      </c>
      <c r="C1842" s="70">
        <v>0.0</v>
      </c>
      <c r="D1842" s="70">
        <v>0.0</v>
      </c>
      <c r="E1842" s="70">
        <v>0.0</v>
      </c>
      <c r="F1842" s="70">
        <v>0.0</v>
      </c>
      <c r="G1842" s="70">
        <v>0.0</v>
      </c>
      <c r="H1842" s="70" t="s">
        <v>19393</v>
      </c>
      <c r="I1842" s="70">
        <v>2133.0</v>
      </c>
      <c r="J1842" s="70" t="s">
        <v>19391</v>
      </c>
      <c r="K1842" s="70" t="s">
        <v>19392</v>
      </c>
      <c r="L1842" s="70" t="s">
        <v>16538</v>
      </c>
      <c r="N1842" s="70" t="s">
        <v>16539</v>
      </c>
      <c r="P1842" s="76">
        <v>43179.0</v>
      </c>
      <c r="U1842" s="70" t="s">
        <v>239</v>
      </c>
      <c r="W1842" s="70" t="s">
        <v>19395</v>
      </c>
      <c r="Y1842" s="70" t="s">
        <v>30585</v>
      </c>
      <c r="Z1842" s="75" t="s">
        <v>19397</v>
      </c>
      <c r="AA1842" s="70" t="s">
        <v>19398</v>
      </c>
      <c r="AC1842" s="70">
        <v>11.0</v>
      </c>
      <c r="AE1842" s="70">
        <v>54.0</v>
      </c>
      <c r="AF1842" s="70" t="s">
        <v>239</v>
      </c>
      <c r="AW1842" s="70" t="s">
        <v>19399</v>
      </c>
      <c r="AZ1842" s="70">
        <v>953.0</v>
      </c>
    </row>
    <row r="1843" ht="22.5" customHeight="1">
      <c r="A1843" s="70" t="str">
        <f t="shared" si="1"/>
        <v>Excluded</v>
      </c>
      <c r="B1843" s="70">
        <f t="shared" si="2"/>
        <v>0</v>
      </c>
      <c r="C1843" s="70">
        <v>0.0</v>
      </c>
      <c r="D1843" s="70">
        <v>0.0</v>
      </c>
      <c r="E1843" s="70">
        <v>0.0</v>
      </c>
      <c r="F1843" s="70">
        <v>0.0</v>
      </c>
      <c r="G1843" s="70">
        <v>0.0</v>
      </c>
      <c r="H1843" s="70" t="s">
        <v>17607</v>
      </c>
      <c r="I1843" s="70">
        <v>1933.0</v>
      </c>
      <c r="J1843" s="70" t="s">
        <v>30586</v>
      </c>
      <c r="K1843" s="70" t="s">
        <v>17606</v>
      </c>
      <c r="L1843" s="70" t="s">
        <v>16538</v>
      </c>
      <c r="N1843" s="70" t="s">
        <v>16539</v>
      </c>
      <c r="P1843" s="76">
        <v>43294.0</v>
      </c>
      <c r="U1843" s="70" t="s">
        <v>239</v>
      </c>
      <c r="W1843" s="70" t="s">
        <v>17609</v>
      </c>
      <c r="Y1843" s="70" t="s">
        <v>30587</v>
      </c>
      <c r="Z1843" s="75" t="s">
        <v>17611</v>
      </c>
      <c r="AA1843" s="70" t="s">
        <v>17612</v>
      </c>
      <c r="AC1843" s="70">
        <v>39.0</v>
      </c>
      <c r="AE1843" s="70">
        <v>39.0</v>
      </c>
      <c r="AF1843" s="70" t="s">
        <v>239</v>
      </c>
      <c r="AW1843" s="70" t="s">
        <v>17613</v>
      </c>
      <c r="AZ1843" s="70">
        <v>649.0</v>
      </c>
    </row>
    <row r="1844" ht="22.5" customHeight="1">
      <c r="A1844" s="70" t="str">
        <f t="shared" si="1"/>
        <v>Excluded</v>
      </c>
      <c r="B1844" s="70">
        <f t="shared" si="2"/>
        <v>0</v>
      </c>
      <c r="C1844" s="70">
        <v>0.0</v>
      </c>
      <c r="D1844" s="70">
        <v>0.0</v>
      </c>
      <c r="E1844" s="70">
        <v>0.0</v>
      </c>
      <c r="F1844" s="70">
        <v>0.0</v>
      </c>
      <c r="G1844" s="70">
        <v>0.0</v>
      </c>
      <c r="H1844" s="70" t="s">
        <v>22502</v>
      </c>
      <c r="I1844" s="70">
        <v>2486.0</v>
      </c>
      <c r="K1844" s="70" t="s">
        <v>10618</v>
      </c>
      <c r="L1844" s="70" t="s">
        <v>16538</v>
      </c>
      <c r="N1844" s="70" t="s">
        <v>16539</v>
      </c>
      <c r="P1844" s="77">
        <v>43321.0</v>
      </c>
      <c r="U1844" s="70" t="s">
        <v>239</v>
      </c>
      <c r="W1844" s="70" t="s">
        <v>22503</v>
      </c>
      <c r="Z1844" s="75" t="s">
        <v>22504</v>
      </c>
      <c r="AF1844" s="70" t="s">
        <v>239</v>
      </c>
      <c r="AZ1844" s="70">
        <v>1511.0</v>
      </c>
    </row>
    <row r="1845" ht="22.5" customHeight="1">
      <c r="A1845" s="70" t="str">
        <f t="shared" si="1"/>
        <v>Excluded</v>
      </c>
      <c r="B1845" s="70">
        <f t="shared" si="2"/>
        <v>0</v>
      </c>
      <c r="C1845" s="70">
        <v>0.0</v>
      </c>
      <c r="D1845" s="70">
        <v>0.0</v>
      </c>
      <c r="E1845" s="70">
        <v>0.0</v>
      </c>
      <c r="F1845" s="70">
        <v>0.0</v>
      </c>
      <c r="G1845" s="70">
        <v>0.0</v>
      </c>
      <c r="H1845" s="70" t="s">
        <v>17752</v>
      </c>
      <c r="I1845" s="70">
        <v>1949.0</v>
      </c>
      <c r="J1845" s="70" t="s">
        <v>30588</v>
      </c>
      <c r="K1845" s="70" t="s">
        <v>17751</v>
      </c>
      <c r="L1845" s="70" t="s">
        <v>16538</v>
      </c>
      <c r="N1845" s="70" t="s">
        <v>16539</v>
      </c>
      <c r="P1845" s="77">
        <v>43315.0</v>
      </c>
      <c r="U1845" s="70" t="s">
        <v>239</v>
      </c>
      <c r="W1845" s="70" t="s">
        <v>17754</v>
      </c>
      <c r="Y1845" s="70" t="s">
        <v>30589</v>
      </c>
      <c r="Z1845" s="75" t="s">
        <v>17755</v>
      </c>
      <c r="AA1845" s="70" t="s">
        <v>17756</v>
      </c>
      <c r="AC1845" s="70">
        <v>34.0</v>
      </c>
      <c r="AE1845" s="70">
        <v>130.0</v>
      </c>
      <c r="AF1845" s="70" t="s">
        <v>239</v>
      </c>
      <c r="AW1845" s="70" t="s">
        <v>17757</v>
      </c>
      <c r="AX1845" s="70">
        <v>0.0</v>
      </c>
      <c r="AY1845" s="70" t="s">
        <v>24</v>
      </c>
      <c r="AZ1845" s="70">
        <v>2346.0</v>
      </c>
    </row>
    <row r="1846" ht="22.5" customHeight="1">
      <c r="A1846" s="70" t="str">
        <f t="shared" si="1"/>
        <v>Excluded</v>
      </c>
      <c r="B1846" s="70">
        <f t="shared" si="2"/>
        <v>0</v>
      </c>
      <c r="C1846" s="70">
        <v>0.0</v>
      </c>
      <c r="D1846" s="70">
        <v>0.0</v>
      </c>
      <c r="E1846" s="70">
        <v>0.0</v>
      </c>
      <c r="F1846" s="70">
        <v>0.0</v>
      </c>
      <c r="G1846" s="70">
        <v>0.0</v>
      </c>
      <c r="H1846" s="70" t="s">
        <v>16695</v>
      </c>
      <c r="I1846" s="70">
        <v>1831.0</v>
      </c>
      <c r="J1846" s="70" t="s">
        <v>16693</v>
      </c>
      <c r="K1846" s="70" t="s">
        <v>16694</v>
      </c>
      <c r="L1846" s="70" t="s">
        <v>16538</v>
      </c>
      <c r="N1846" s="70" t="s">
        <v>16539</v>
      </c>
      <c r="P1846" s="76">
        <v>43384.0</v>
      </c>
      <c r="U1846" s="70" t="s">
        <v>239</v>
      </c>
      <c r="W1846" s="70" t="s">
        <v>16697</v>
      </c>
      <c r="Z1846" s="75" t="s">
        <v>16698</v>
      </c>
      <c r="AA1846" s="70" t="s">
        <v>16699</v>
      </c>
      <c r="AC1846" s="70">
        <v>195.0</v>
      </c>
      <c r="AE1846" s="70">
        <v>181.0</v>
      </c>
      <c r="AF1846" s="70" t="s">
        <v>239</v>
      </c>
      <c r="AW1846" s="70" t="s">
        <v>16700</v>
      </c>
      <c r="AZ1846" s="70">
        <v>245.0</v>
      </c>
    </row>
    <row r="1847" ht="22.5" customHeight="1">
      <c r="A1847" s="70" t="str">
        <f t="shared" si="1"/>
        <v>Excluded</v>
      </c>
      <c r="B1847" s="70">
        <f t="shared" si="2"/>
        <v>0</v>
      </c>
      <c r="C1847" s="70">
        <v>0.0</v>
      </c>
      <c r="D1847" s="70">
        <v>0.0</v>
      </c>
      <c r="E1847" s="70">
        <v>0.0</v>
      </c>
      <c r="F1847" s="70">
        <v>0.0</v>
      </c>
      <c r="G1847" s="70">
        <v>0.0</v>
      </c>
      <c r="H1847" s="70" t="s">
        <v>18495</v>
      </c>
      <c r="I1847" s="70">
        <v>2032.0</v>
      </c>
      <c r="J1847" s="70" t="s">
        <v>18493</v>
      </c>
      <c r="K1847" s="70" t="s">
        <v>18494</v>
      </c>
      <c r="L1847" s="70" t="s">
        <v>16538</v>
      </c>
      <c r="N1847" s="70" t="s">
        <v>16539</v>
      </c>
      <c r="P1847" s="76">
        <v>43417.0</v>
      </c>
      <c r="U1847" s="70" t="s">
        <v>239</v>
      </c>
      <c r="W1847" s="70" t="s">
        <v>18497</v>
      </c>
      <c r="Y1847" s="70" t="s">
        <v>18498</v>
      </c>
      <c r="Z1847" s="75" t="s">
        <v>18499</v>
      </c>
      <c r="AA1847" s="70" t="s">
        <v>18500</v>
      </c>
      <c r="AC1847" s="70">
        <v>20.0</v>
      </c>
      <c r="AE1847" s="70">
        <v>77.0</v>
      </c>
      <c r="AF1847" s="70" t="s">
        <v>239</v>
      </c>
      <c r="AW1847" s="70" t="s">
        <v>18501</v>
      </c>
      <c r="AX1847" s="70">
        <v>0.0</v>
      </c>
      <c r="AY1847" s="70" t="s">
        <v>24</v>
      </c>
      <c r="AZ1847" s="70">
        <v>1869.0</v>
      </c>
    </row>
    <row r="1848" ht="22.5" customHeight="1">
      <c r="A1848" s="70" t="str">
        <f t="shared" si="1"/>
        <v>Excluded</v>
      </c>
      <c r="B1848" s="70">
        <f t="shared" si="2"/>
        <v>0</v>
      </c>
      <c r="C1848" s="70">
        <v>0.0</v>
      </c>
      <c r="D1848" s="70">
        <v>0.0</v>
      </c>
      <c r="E1848" s="70">
        <v>0.0</v>
      </c>
      <c r="F1848" s="70">
        <v>0.0</v>
      </c>
      <c r="G1848" s="70">
        <v>0.0</v>
      </c>
      <c r="H1848" s="70" t="s">
        <v>19007</v>
      </c>
      <c r="I1848" s="70">
        <v>2089.0</v>
      </c>
      <c r="J1848" s="70" t="s">
        <v>19005</v>
      </c>
      <c r="K1848" s="70" t="s">
        <v>19006</v>
      </c>
      <c r="L1848" s="70" t="s">
        <v>16538</v>
      </c>
      <c r="N1848" s="70" t="s">
        <v>16539</v>
      </c>
      <c r="P1848" s="76">
        <v>43445.0</v>
      </c>
      <c r="U1848" s="70" t="s">
        <v>239</v>
      </c>
      <c r="W1848" s="70" t="s">
        <v>19009</v>
      </c>
      <c r="Y1848" s="70" t="s">
        <v>30590</v>
      </c>
      <c r="Z1848" s="75" t="s">
        <v>19011</v>
      </c>
      <c r="AA1848" s="70" t="s">
        <v>19012</v>
      </c>
      <c r="AC1848" s="70">
        <v>14.0</v>
      </c>
      <c r="AE1848" s="70">
        <v>31.0</v>
      </c>
      <c r="AF1848" s="70" t="s">
        <v>239</v>
      </c>
      <c r="AW1848" s="70" t="s">
        <v>19013</v>
      </c>
      <c r="AZ1848" s="70">
        <v>686.0</v>
      </c>
    </row>
    <row r="1849" ht="22.5" customHeight="1">
      <c r="A1849" s="70" t="str">
        <f t="shared" si="1"/>
        <v>Excluded</v>
      </c>
      <c r="B1849" s="70">
        <f t="shared" si="2"/>
        <v>0</v>
      </c>
      <c r="C1849" s="70">
        <v>0.0</v>
      </c>
      <c r="D1849" s="70">
        <v>0.0</v>
      </c>
      <c r="E1849" s="70">
        <v>0.0</v>
      </c>
      <c r="F1849" s="70">
        <v>0.0</v>
      </c>
      <c r="G1849" s="70">
        <v>0.0</v>
      </c>
      <c r="H1849" s="70" t="s">
        <v>22512</v>
      </c>
      <c r="I1849" s="70">
        <v>2488.0</v>
      </c>
      <c r="K1849" s="70" t="s">
        <v>22511</v>
      </c>
      <c r="L1849" s="70" t="s">
        <v>16538</v>
      </c>
      <c r="N1849" s="70" t="s">
        <v>16539</v>
      </c>
      <c r="P1849" s="76">
        <v>43486.0</v>
      </c>
      <c r="U1849" s="70" t="s">
        <v>239</v>
      </c>
      <c r="W1849" s="70" t="s">
        <v>22513</v>
      </c>
      <c r="Z1849" s="75" t="s">
        <v>22514</v>
      </c>
      <c r="AF1849" s="70" t="s">
        <v>239</v>
      </c>
      <c r="AZ1849" s="70">
        <v>1443.0</v>
      </c>
    </row>
    <row r="1850" ht="22.5" customHeight="1">
      <c r="A1850" s="70" t="str">
        <f t="shared" si="1"/>
        <v>Excluded</v>
      </c>
      <c r="B1850" s="70">
        <f t="shared" si="2"/>
        <v>0</v>
      </c>
      <c r="C1850" s="70">
        <v>0.0</v>
      </c>
      <c r="D1850" s="70">
        <v>0.0</v>
      </c>
      <c r="E1850" s="70">
        <v>0.0</v>
      </c>
      <c r="F1850" s="70">
        <v>0.0</v>
      </c>
      <c r="G1850" s="70">
        <v>0.0</v>
      </c>
      <c r="H1850" s="70" t="s">
        <v>17939</v>
      </c>
      <c r="I1850" s="70">
        <v>1970.0</v>
      </c>
      <c r="J1850" s="70" t="s">
        <v>17937</v>
      </c>
      <c r="K1850" s="70" t="s">
        <v>17938</v>
      </c>
      <c r="L1850" s="70" t="s">
        <v>16538</v>
      </c>
      <c r="N1850" s="70" t="s">
        <v>16539</v>
      </c>
      <c r="P1850" s="77">
        <v>43647.0</v>
      </c>
      <c r="U1850" s="70" t="s">
        <v>239</v>
      </c>
      <c r="W1850" s="70" t="s">
        <v>17941</v>
      </c>
      <c r="Y1850" s="70" t="s">
        <v>30591</v>
      </c>
      <c r="Z1850" s="75" t="s">
        <v>17943</v>
      </c>
      <c r="AA1850" s="70" t="s">
        <v>17944</v>
      </c>
      <c r="AC1850" s="70">
        <v>31.0</v>
      </c>
      <c r="AE1850" s="70">
        <v>29.0</v>
      </c>
      <c r="AF1850" s="70" t="s">
        <v>239</v>
      </c>
      <c r="AW1850" s="70" t="s">
        <v>17945</v>
      </c>
      <c r="AX1850" s="70">
        <v>0.0</v>
      </c>
      <c r="AY1850" s="70" t="s">
        <v>24</v>
      </c>
      <c r="AZ1850" s="70">
        <v>2097.0</v>
      </c>
    </row>
    <row r="1851" ht="22.5" customHeight="1">
      <c r="A1851" s="70" t="str">
        <f t="shared" si="1"/>
        <v>Excluded</v>
      </c>
      <c r="B1851" s="70">
        <f t="shared" si="2"/>
        <v>0</v>
      </c>
      <c r="C1851" s="70">
        <v>0.0</v>
      </c>
      <c r="D1851" s="70">
        <v>0.0</v>
      </c>
      <c r="E1851" s="70">
        <v>0.0</v>
      </c>
      <c r="F1851" s="70">
        <v>0.0</v>
      </c>
      <c r="G1851" s="70">
        <v>0.0</v>
      </c>
      <c r="H1851" s="70" t="s">
        <v>16871</v>
      </c>
      <c r="I1851" s="70">
        <v>1851.0</v>
      </c>
      <c r="J1851" s="70" t="s">
        <v>16869</v>
      </c>
      <c r="K1851" s="70" t="s">
        <v>16870</v>
      </c>
      <c r="L1851" s="70" t="s">
        <v>16538</v>
      </c>
      <c r="N1851" s="70" t="s">
        <v>16539</v>
      </c>
      <c r="P1851" s="77">
        <v>43713.0</v>
      </c>
      <c r="U1851" s="70" t="s">
        <v>239</v>
      </c>
      <c r="W1851" s="70" t="s">
        <v>30592</v>
      </c>
      <c r="Y1851" s="70" t="s">
        <v>30593</v>
      </c>
      <c r="Z1851" s="75" t="s">
        <v>16875</v>
      </c>
      <c r="AA1851" s="70" t="s">
        <v>16876</v>
      </c>
      <c r="AC1851" s="70">
        <v>108.0</v>
      </c>
      <c r="AE1851" s="70">
        <v>39.0</v>
      </c>
      <c r="AF1851" s="70" t="s">
        <v>239</v>
      </c>
      <c r="AW1851" s="70" t="s">
        <v>16877</v>
      </c>
      <c r="AX1851" s="70">
        <v>0.0</v>
      </c>
      <c r="AY1851" s="70" t="s">
        <v>24</v>
      </c>
      <c r="AZ1851" s="70">
        <v>2066.0</v>
      </c>
    </row>
    <row r="1852" ht="22.5" customHeight="1">
      <c r="A1852" s="70" t="str">
        <f t="shared" si="1"/>
        <v>Excluded</v>
      </c>
      <c r="B1852" s="70">
        <f t="shared" si="2"/>
        <v>0</v>
      </c>
      <c r="C1852" s="70">
        <v>0.0</v>
      </c>
      <c r="D1852" s="70">
        <v>0.0</v>
      </c>
      <c r="E1852" s="70">
        <v>0.0</v>
      </c>
      <c r="F1852" s="70">
        <v>0.0</v>
      </c>
      <c r="G1852" s="70">
        <v>0.0</v>
      </c>
      <c r="H1852" s="70" t="s">
        <v>16759</v>
      </c>
      <c r="I1852" s="70">
        <v>1838.0</v>
      </c>
      <c r="J1852" s="70" t="s">
        <v>16757</v>
      </c>
      <c r="K1852" s="70" t="s">
        <v>16758</v>
      </c>
      <c r="L1852" s="70" t="s">
        <v>16538</v>
      </c>
      <c r="N1852" s="70" t="s">
        <v>16539</v>
      </c>
      <c r="P1852" s="76">
        <v>43734.0</v>
      </c>
      <c r="U1852" s="70" t="s">
        <v>239</v>
      </c>
      <c r="W1852" s="70" t="s">
        <v>16761</v>
      </c>
      <c r="Y1852" s="70" t="s">
        <v>30594</v>
      </c>
      <c r="Z1852" s="75" t="s">
        <v>16763</v>
      </c>
      <c r="AA1852" s="70" t="s">
        <v>16764</v>
      </c>
      <c r="AC1852" s="70">
        <v>161.0</v>
      </c>
      <c r="AE1852" s="70">
        <v>135.0</v>
      </c>
      <c r="AF1852" s="70" t="s">
        <v>239</v>
      </c>
      <c r="AW1852" s="70" t="s">
        <v>16765</v>
      </c>
      <c r="AZ1852" s="70">
        <v>911.0</v>
      </c>
    </row>
    <row r="1853" ht="22.5" customHeight="1">
      <c r="A1853" s="70" t="str">
        <f t="shared" si="1"/>
        <v>Excluded</v>
      </c>
      <c r="B1853" s="70">
        <f t="shared" si="2"/>
        <v>0</v>
      </c>
      <c r="C1853" s="70">
        <v>0.0</v>
      </c>
      <c r="D1853" s="70">
        <v>0.0</v>
      </c>
      <c r="E1853" s="70">
        <v>0.0</v>
      </c>
      <c r="F1853" s="70">
        <v>0.0</v>
      </c>
      <c r="G1853" s="70">
        <v>0.0</v>
      </c>
      <c r="H1853" s="70" t="s">
        <v>19245</v>
      </c>
      <c r="I1853" s="70">
        <v>2116.0</v>
      </c>
      <c r="J1853" s="70" t="s">
        <v>19243</v>
      </c>
      <c r="K1853" s="70" t="s">
        <v>19244</v>
      </c>
      <c r="L1853" s="70" t="s">
        <v>16538</v>
      </c>
      <c r="N1853" s="70" t="s">
        <v>16539</v>
      </c>
      <c r="P1853" s="77">
        <v>43741.0</v>
      </c>
      <c r="U1853" s="70" t="s">
        <v>239</v>
      </c>
      <c r="W1853" s="70" t="s">
        <v>19247</v>
      </c>
      <c r="Y1853" s="70" t="s">
        <v>19248</v>
      </c>
      <c r="Z1853" s="75" t="s">
        <v>19249</v>
      </c>
      <c r="AA1853" s="70" t="s">
        <v>19250</v>
      </c>
      <c r="AC1853" s="70">
        <v>12.0</v>
      </c>
      <c r="AE1853" s="70">
        <v>37.0</v>
      </c>
      <c r="AF1853" s="70" t="s">
        <v>239</v>
      </c>
      <c r="AW1853" s="70" t="s">
        <v>19251</v>
      </c>
      <c r="AX1853" s="70">
        <v>0.0</v>
      </c>
      <c r="AY1853" s="70" t="s">
        <v>24</v>
      </c>
      <c r="AZ1853" s="70">
        <v>2761.0</v>
      </c>
    </row>
    <row r="1854" ht="22.5" customHeight="1">
      <c r="A1854" s="70" t="str">
        <f t="shared" si="1"/>
        <v>Excluded</v>
      </c>
      <c r="B1854" s="70">
        <f t="shared" si="2"/>
        <v>0</v>
      </c>
      <c r="C1854" s="70">
        <v>0.0</v>
      </c>
      <c r="D1854" s="70">
        <v>0.0</v>
      </c>
      <c r="E1854" s="70">
        <v>0.0</v>
      </c>
      <c r="F1854" s="70">
        <v>0.0</v>
      </c>
      <c r="G1854" s="70">
        <v>0.0</v>
      </c>
      <c r="H1854" s="70" t="s">
        <v>18486</v>
      </c>
      <c r="I1854" s="70">
        <v>2031.0</v>
      </c>
      <c r="J1854" s="70" t="s">
        <v>18484</v>
      </c>
      <c r="K1854" s="70" t="s">
        <v>18485</v>
      </c>
      <c r="L1854" s="70" t="s">
        <v>16538</v>
      </c>
      <c r="N1854" s="70" t="s">
        <v>16539</v>
      </c>
      <c r="P1854" s="77">
        <v>43802.0</v>
      </c>
      <c r="U1854" s="70" t="s">
        <v>239</v>
      </c>
      <c r="W1854" s="70" t="s">
        <v>30595</v>
      </c>
      <c r="Y1854" s="70" t="s">
        <v>18489</v>
      </c>
      <c r="Z1854" s="75" t="s">
        <v>18490</v>
      </c>
      <c r="AA1854" s="70" t="s">
        <v>18491</v>
      </c>
      <c r="AC1854" s="70">
        <v>20.0</v>
      </c>
      <c r="AE1854" s="70">
        <v>42.0</v>
      </c>
      <c r="AF1854" s="70" t="s">
        <v>239</v>
      </c>
      <c r="AW1854" s="70" t="s">
        <v>18492</v>
      </c>
      <c r="AZ1854" s="70">
        <v>248.0</v>
      </c>
    </row>
    <row r="1855" ht="22.5" customHeight="1">
      <c r="A1855" s="70" t="str">
        <f t="shared" si="1"/>
        <v>Excluded</v>
      </c>
      <c r="B1855" s="70">
        <f t="shared" si="2"/>
        <v>0</v>
      </c>
      <c r="C1855" s="70">
        <v>0.0</v>
      </c>
      <c r="D1855" s="70">
        <v>0.0</v>
      </c>
      <c r="E1855" s="70">
        <v>0.0</v>
      </c>
      <c r="F1855" s="70">
        <v>0.0</v>
      </c>
      <c r="G1855" s="70">
        <v>0.0</v>
      </c>
      <c r="H1855" s="70" t="s">
        <v>28590</v>
      </c>
      <c r="I1855" s="70">
        <v>3076.0</v>
      </c>
      <c r="J1855" s="70" t="s">
        <v>28588</v>
      </c>
      <c r="K1855" s="70" t="s">
        <v>28589</v>
      </c>
      <c r="W1855" s="70" t="s">
        <v>30596</v>
      </c>
      <c r="AA1855" s="70" t="s">
        <v>28592</v>
      </c>
      <c r="AI1855" s="70" t="s">
        <v>28593</v>
      </c>
      <c r="AJ1855" s="70" t="s">
        <v>28594</v>
      </c>
      <c r="AK1855" s="70">
        <v>2020.0</v>
      </c>
      <c r="AL1855" s="70" t="s">
        <v>16538</v>
      </c>
      <c r="AM1855" s="70">
        <v>8988196.0</v>
      </c>
      <c r="AN1855" s="70">
        <v>3509.0</v>
      </c>
      <c r="AO1855" s="70">
        <v>3522.0</v>
      </c>
      <c r="AP1855" s="70">
        <v>13.0</v>
      </c>
      <c r="AQ1855" s="70">
        <v>56.0</v>
      </c>
      <c r="AR1855" s="75" t="s">
        <v>28595</v>
      </c>
      <c r="AS1855" s="70" t="s">
        <v>22525</v>
      </c>
      <c r="AU1855" s="70" t="s">
        <v>237</v>
      </c>
      <c r="AV1855" s="70" t="s">
        <v>28596</v>
      </c>
      <c r="AW1855" s="70" t="s">
        <v>28597</v>
      </c>
      <c r="AX1855" s="70">
        <v>0.0</v>
      </c>
      <c r="AY1855" s="70" t="s">
        <v>24</v>
      </c>
      <c r="AZ1855" s="70">
        <v>2276.0</v>
      </c>
    </row>
    <row r="1856" ht="22.5" customHeight="1">
      <c r="A1856" s="70" t="str">
        <f t="shared" si="1"/>
        <v>Excluded</v>
      </c>
      <c r="B1856" s="70">
        <f t="shared" si="2"/>
        <v>0</v>
      </c>
      <c r="C1856" s="70">
        <v>0.0</v>
      </c>
      <c r="D1856" s="70">
        <v>0.0</v>
      </c>
      <c r="E1856" s="70">
        <v>0.0</v>
      </c>
      <c r="F1856" s="70">
        <v>0.0</v>
      </c>
      <c r="G1856" s="70">
        <v>0.0</v>
      </c>
      <c r="H1856" s="70" t="s">
        <v>22470</v>
      </c>
      <c r="I1856" s="70">
        <v>2481.0</v>
      </c>
      <c r="J1856" s="70" t="s">
        <v>22468</v>
      </c>
      <c r="K1856" s="70" t="s">
        <v>22469</v>
      </c>
      <c r="L1856" s="70" t="s">
        <v>16538</v>
      </c>
      <c r="N1856" s="70" t="s">
        <v>16539</v>
      </c>
      <c r="P1856" s="78">
        <v>43964.0</v>
      </c>
      <c r="U1856" s="70" t="s">
        <v>239</v>
      </c>
      <c r="W1856" s="70" t="s">
        <v>22472</v>
      </c>
      <c r="Z1856" s="75" t="s">
        <v>22473</v>
      </c>
      <c r="AC1856" s="70">
        <v>2.0</v>
      </c>
      <c r="AE1856" s="70">
        <v>0.0</v>
      </c>
      <c r="AF1856" s="70" t="s">
        <v>239</v>
      </c>
      <c r="AW1856" s="70" t="s">
        <v>22474</v>
      </c>
      <c r="AX1856" s="70">
        <v>0.0</v>
      </c>
      <c r="AY1856" s="70" t="s">
        <v>24</v>
      </c>
      <c r="AZ1856" s="70">
        <v>2252.0</v>
      </c>
    </row>
    <row r="1857" ht="22.5" customHeight="1">
      <c r="A1857" s="70" t="str">
        <f t="shared" si="1"/>
        <v>Excluded</v>
      </c>
      <c r="B1857" s="70">
        <f t="shared" si="2"/>
        <v>0</v>
      </c>
      <c r="C1857" s="70">
        <v>0.0</v>
      </c>
      <c r="D1857" s="70">
        <v>0.0</v>
      </c>
      <c r="E1857" s="70">
        <v>0.0</v>
      </c>
      <c r="F1857" s="70">
        <v>0.0</v>
      </c>
      <c r="G1857" s="70">
        <v>0.0</v>
      </c>
      <c r="H1857" s="70" t="s">
        <v>16604</v>
      </c>
      <c r="I1857" s="70">
        <v>1821.0</v>
      </c>
      <c r="J1857" s="70" t="s">
        <v>16602</v>
      </c>
      <c r="K1857" s="70" t="s">
        <v>16603</v>
      </c>
      <c r="L1857" s="70" t="s">
        <v>16538</v>
      </c>
      <c r="N1857" s="70" t="s">
        <v>16539</v>
      </c>
      <c r="P1857" s="76">
        <v>43931.0</v>
      </c>
      <c r="U1857" s="70" t="s">
        <v>239</v>
      </c>
      <c r="W1857" s="70" t="s">
        <v>16606</v>
      </c>
      <c r="Y1857" s="70" t="s">
        <v>16607</v>
      </c>
      <c r="Z1857" s="75" t="s">
        <v>16608</v>
      </c>
      <c r="AA1857" s="70" t="s">
        <v>16609</v>
      </c>
      <c r="AC1857" s="70">
        <v>269.0</v>
      </c>
      <c r="AE1857" s="70">
        <v>241.0</v>
      </c>
      <c r="AF1857" s="70" t="s">
        <v>239</v>
      </c>
      <c r="AW1857" s="70" t="s">
        <v>16610</v>
      </c>
      <c r="AZ1857" s="70">
        <v>790.0</v>
      </c>
    </row>
    <row r="1858" ht="22.5" customHeight="1">
      <c r="A1858" s="70" t="str">
        <f t="shared" si="1"/>
        <v>Excluded</v>
      </c>
      <c r="B1858" s="70">
        <f t="shared" si="2"/>
        <v>0</v>
      </c>
      <c r="C1858" s="70">
        <v>0.0</v>
      </c>
      <c r="D1858" s="70">
        <v>0.0</v>
      </c>
      <c r="E1858" s="70">
        <v>0.0</v>
      </c>
      <c r="F1858" s="70">
        <v>0.0</v>
      </c>
      <c r="G1858" s="70">
        <v>0.0</v>
      </c>
      <c r="H1858" s="70" t="s">
        <v>18936</v>
      </c>
      <c r="I1858" s="70">
        <v>2081.0</v>
      </c>
      <c r="J1858" s="70" t="s">
        <v>18934</v>
      </c>
      <c r="K1858" s="70" t="s">
        <v>30597</v>
      </c>
      <c r="L1858" s="70" t="s">
        <v>16538</v>
      </c>
      <c r="N1858" s="70" t="s">
        <v>16539</v>
      </c>
      <c r="P1858" s="78">
        <v>43973.0</v>
      </c>
      <c r="U1858" s="70" t="s">
        <v>239</v>
      </c>
      <c r="W1858" s="70" t="s">
        <v>18938</v>
      </c>
      <c r="Y1858" s="70" t="s">
        <v>18939</v>
      </c>
      <c r="Z1858" s="75" t="s">
        <v>18940</v>
      </c>
      <c r="AA1858" s="70" t="s">
        <v>18941</v>
      </c>
      <c r="AC1858" s="70">
        <v>14.0</v>
      </c>
      <c r="AE1858" s="70">
        <v>101.0</v>
      </c>
      <c r="AF1858" s="70" t="s">
        <v>239</v>
      </c>
      <c r="AW1858" s="70" t="s">
        <v>18942</v>
      </c>
      <c r="AX1858" s="70">
        <v>0.0</v>
      </c>
      <c r="AY1858" s="70" t="s">
        <v>24</v>
      </c>
      <c r="AZ1858" s="70">
        <v>2537.0</v>
      </c>
    </row>
    <row r="1859" ht="22.5" customHeight="1">
      <c r="A1859" s="70" t="str">
        <f t="shared" si="1"/>
        <v>Excluded</v>
      </c>
      <c r="B1859" s="70">
        <f t="shared" si="2"/>
        <v>0</v>
      </c>
      <c r="C1859" s="70">
        <v>0.0</v>
      </c>
      <c r="D1859" s="70">
        <v>0.0</v>
      </c>
      <c r="E1859" s="70">
        <v>0.0</v>
      </c>
      <c r="F1859" s="70">
        <v>0.0</v>
      </c>
      <c r="G1859" s="70">
        <v>0.0</v>
      </c>
      <c r="H1859" s="70" t="s">
        <v>17849</v>
      </c>
      <c r="I1859" s="70">
        <v>1960.0</v>
      </c>
      <c r="J1859" s="70" t="s">
        <v>17847</v>
      </c>
      <c r="K1859" s="70" t="s">
        <v>17848</v>
      </c>
      <c r="L1859" s="70" t="s">
        <v>16538</v>
      </c>
      <c r="N1859" s="70" t="s">
        <v>16539</v>
      </c>
      <c r="P1859" s="76">
        <v>44004.0</v>
      </c>
      <c r="U1859" s="70" t="s">
        <v>239</v>
      </c>
      <c r="W1859" s="70" t="s">
        <v>17851</v>
      </c>
      <c r="Y1859" s="70" t="s">
        <v>17852</v>
      </c>
      <c r="Z1859" s="75" t="s">
        <v>17853</v>
      </c>
      <c r="AA1859" s="70" t="s">
        <v>17854</v>
      </c>
      <c r="AC1859" s="70">
        <v>32.0</v>
      </c>
      <c r="AE1859" s="70">
        <v>32.0</v>
      </c>
      <c r="AF1859" s="70" t="s">
        <v>239</v>
      </c>
      <c r="AW1859" s="70" t="s">
        <v>17855</v>
      </c>
      <c r="AZ1859" s="70">
        <v>176.0</v>
      </c>
    </row>
    <row r="1860" ht="22.5" customHeight="1">
      <c r="A1860" s="70" t="str">
        <f t="shared" si="1"/>
        <v>Excluded</v>
      </c>
      <c r="B1860" s="70">
        <f t="shared" si="2"/>
        <v>0</v>
      </c>
      <c r="C1860" s="70">
        <v>0.0</v>
      </c>
      <c r="D1860" s="70">
        <v>0.0</v>
      </c>
      <c r="E1860" s="70">
        <v>0.0</v>
      </c>
      <c r="F1860" s="70">
        <v>0.0</v>
      </c>
      <c r="G1860" s="70">
        <v>0.0</v>
      </c>
      <c r="H1860" s="70" t="s">
        <v>16540</v>
      </c>
      <c r="I1860" s="70">
        <v>1814.0</v>
      </c>
      <c r="J1860" s="70" t="s">
        <v>16536</v>
      </c>
      <c r="K1860" s="70" t="s">
        <v>16537</v>
      </c>
      <c r="L1860" s="70" t="s">
        <v>16538</v>
      </c>
      <c r="N1860" s="70" t="s">
        <v>16539</v>
      </c>
      <c r="P1860" s="76">
        <v>44005.0</v>
      </c>
      <c r="U1860" s="70" t="s">
        <v>239</v>
      </c>
      <c r="W1860" s="70" t="s">
        <v>16542</v>
      </c>
      <c r="Y1860" s="70" t="s">
        <v>30598</v>
      </c>
      <c r="Z1860" s="75" t="s">
        <v>16544</v>
      </c>
      <c r="AA1860" s="70" t="s">
        <v>16545</v>
      </c>
      <c r="AC1860" s="70">
        <v>369.0</v>
      </c>
      <c r="AE1860" s="70">
        <v>192.0</v>
      </c>
      <c r="AF1860" s="70" t="s">
        <v>239</v>
      </c>
      <c r="AW1860" s="70" t="s">
        <v>16546</v>
      </c>
      <c r="AX1860" s="70">
        <v>0.0</v>
      </c>
      <c r="AY1860" s="70" t="s">
        <v>24</v>
      </c>
      <c r="AZ1860" s="70">
        <v>1860.0</v>
      </c>
    </row>
    <row r="1861" ht="22.5" customHeight="1">
      <c r="A1861" s="70" t="str">
        <f t="shared" si="1"/>
        <v>Excluded</v>
      </c>
      <c r="B1861" s="70">
        <f t="shared" si="2"/>
        <v>0</v>
      </c>
      <c r="C1861" s="70">
        <v>0.0</v>
      </c>
      <c r="D1861" s="70">
        <v>0.0</v>
      </c>
      <c r="E1861" s="70">
        <v>0.0</v>
      </c>
      <c r="F1861" s="70">
        <v>0.0</v>
      </c>
      <c r="G1861" s="70">
        <v>0.0</v>
      </c>
      <c r="H1861" s="70" t="s">
        <v>17543</v>
      </c>
      <c r="I1861" s="70">
        <v>1926.0</v>
      </c>
      <c r="J1861" s="70" t="s">
        <v>17541</v>
      </c>
      <c r="K1861" s="70" t="s">
        <v>17542</v>
      </c>
      <c r="L1861" s="70" t="s">
        <v>16538</v>
      </c>
      <c r="N1861" s="70" t="s">
        <v>16539</v>
      </c>
      <c r="P1861" s="77">
        <v>44019.0</v>
      </c>
      <c r="U1861" s="70" t="s">
        <v>239</v>
      </c>
      <c r="W1861" s="70" t="s">
        <v>30599</v>
      </c>
      <c r="Y1861" s="70" t="s">
        <v>30600</v>
      </c>
      <c r="Z1861" s="75" t="s">
        <v>17547</v>
      </c>
      <c r="AA1861" s="70" t="s">
        <v>17548</v>
      </c>
      <c r="AC1861" s="70">
        <v>42.0</v>
      </c>
      <c r="AE1861" s="70">
        <v>33.0</v>
      </c>
      <c r="AF1861" s="70" t="s">
        <v>239</v>
      </c>
      <c r="AW1861" s="70" t="s">
        <v>17549</v>
      </c>
      <c r="AX1861" s="70">
        <v>0.0</v>
      </c>
      <c r="AY1861" s="70" t="s">
        <v>24</v>
      </c>
      <c r="AZ1861" s="70">
        <v>1706.0</v>
      </c>
    </row>
    <row r="1862" ht="22.5" customHeight="1">
      <c r="A1862" s="70" t="str">
        <f t="shared" si="1"/>
        <v>Excluded</v>
      </c>
      <c r="B1862" s="70">
        <f t="shared" si="2"/>
        <v>0</v>
      </c>
      <c r="C1862" s="70">
        <v>0.0</v>
      </c>
      <c r="D1862" s="70">
        <v>0.0</v>
      </c>
      <c r="E1862" s="70">
        <v>0.0</v>
      </c>
      <c r="F1862" s="70">
        <v>0.0</v>
      </c>
      <c r="G1862" s="70">
        <v>0.0</v>
      </c>
      <c r="H1862" s="70" t="s">
        <v>19449</v>
      </c>
      <c r="I1862" s="70">
        <v>2139.0</v>
      </c>
      <c r="J1862" s="70" t="s">
        <v>30601</v>
      </c>
      <c r="K1862" s="70" t="s">
        <v>19448</v>
      </c>
      <c r="L1862" s="70" t="s">
        <v>16538</v>
      </c>
      <c r="N1862" s="70" t="s">
        <v>16539</v>
      </c>
      <c r="P1862" s="76">
        <v>44028.0</v>
      </c>
      <c r="U1862" s="70" t="s">
        <v>239</v>
      </c>
      <c r="W1862" s="70" t="s">
        <v>19451</v>
      </c>
      <c r="Y1862" s="70" t="s">
        <v>19452</v>
      </c>
      <c r="Z1862" s="75" t="s">
        <v>19453</v>
      </c>
      <c r="AA1862" s="70" t="s">
        <v>19454</v>
      </c>
      <c r="AC1862" s="70">
        <v>10.0</v>
      </c>
      <c r="AE1862" s="70">
        <v>25.0</v>
      </c>
      <c r="AF1862" s="70" t="s">
        <v>239</v>
      </c>
      <c r="AW1862" s="70" t="s">
        <v>19455</v>
      </c>
      <c r="AX1862" s="70">
        <v>0.0</v>
      </c>
      <c r="AY1862" s="70" t="s">
        <v>24</v>
      </c>
      <c r="AZ1862" s="70">
        <v>2517.0</v>
      </c>
    </row>
    <row r="1863" ht="22.5" customHeight="1">
      <c r="A1863" s="70" t="str">
        <f t="shared" si="1"/>
        <v>Excluded</v>
      </c>
      <c r="B1863" s="70">
        <f t="shared" si="2"/>
        <v>0</v>
      </c>
      <c r="C1863" s="70">
        <v>0.0</v>
      </c>
      <c r="D1863" s="70">
        <v>0.0</v>
      </c>
      <c r="E1863" s="70">
        <v>0.0</v>
      </c>
      <c r="F1863" s="70">
        <v>0.0</v>
      </c>
      <c r="G1863" s="70">
        <v>0.0</v>
      </c>
      <c r="H1863" s="70" t="s">
        <v>16784</v>
      </c>
      <c r="I1863" s="70">
        <v>1841.0</v>
      </c>
      <c r="J1863" s="70" t="s">
        <v>16782</v>
      </c>
      <c r="K1863" s="70" t="s">
        <v>16783</v>
      </c>
      <c r="L1863" s="70" t="s">
        <v>16538</v>
      </c>
      <c r="N1863" s="70" t="s">
        <v>16539</v>
      </c>
      <c r="P1863" s="77">
        <v>44050.0</v>
      </c>
      <c r="U1863" s="70" t="s">
        <v>239</v>
      </c>
      <c r="W1863" s="70" t="s">
        <v>16786</v>
      </c>
      <c r="Y1863" s="70" t="s">
        <v>30602</v>
      </c>
      <c r="Z1863" s="75" t="s">
        <v>16788</v>
      </c>
      <c r="AA1863" s="70" t="s">
        <v>16789</v>
      </c>
      <c r="AC1863" s="70">
        <v>133.0</v>
      </c>
      <c r="AE1863" s="70">
        <v>124.0</v>
      </c>
      <c r="AF1863" s="70" t="s">
        <v>239</v>
      </c>
      <c r="AW1863" s="70" t="s">
        <v>16790</v>
      </c>
      <c r="AX1863" s="70">
        <v>0.0</v>
      </c>
      <c r="AY1863" s="70" t="s">
        <v>24</v>
      </c>
      <c r="AZ1863" s="70">
        <v>2605.0</v>
      </c>
    </row>
    <row r="1864" ht="22.5" customHeight="1">
      <c r="A1864" s="70" t="str">
        <f t="shared" si="1"/>
        <v>Excluded</v>
      </c>
      <c r="B1864" s="70">
        <f t="shared" si="2"/>
        <v>0</v>
      </c>
      <c r="C1864" s="70">
        <v>0.0</v>
      </c>
      <c r="D1864" s="70">
        <v>0.0</v>
      </c>
      <c r="E1864" s="70">
        <v>0.0</v>
      </c>
      <c r="F1864" s="70">
        <v>0.0</v>
      </c>
      <c r="G1864" s="70">
        <v>0.0</v>
      </c>
      <c r="H1864" s="70" t="s">
        <v>17274</v>
      </c>
      <c r="I1864" s="70">
        <v>1895.0</v>
      </c>
      <c r="J1864" s="70" t="s">
        <v>17272</v>
      </c>
      <c r="K1864" s="70" t="s">
        <v>17273</v>
      </c>
      <c r="L1864" s="70" t="s">
        <v>16538</v>
      </c>
      <c r="N1864" s="70" t="s">
        <v>16539</v>
      </c>
      <c r="P1864" s="77">
        <v>44050.0</v>
      </c>
      <c r="U1864" s="70" t="s">
        <v>239</v>
      </c>
      <c r="W1864" s="70" t="s">
        <v>17276</v>
      </c>
      <c r="Y1864" s="70" t="s">
        <v>17277</v>
      </c>
      <c r="Z1864" s="75" t="s">
        <v>17278</v>
      </c>
      <c r="AA1864" s="70" t="s">
        <v>17279</v>
      </c>
      <c r="AC1864" s="70">
        <v>60.0</v>
      </c>
      <c r="AE1864" s="70">
        <v>45.0</v>
      </c>
      <c r="AF1864" s="70" t="s">
        <v>239</v>
      </c>
      <c r="AW1864" s="70" t="s">
        <v>17280</v>
      </c>
      <c r="AX1864" s="70">
        <v>0.0</v>
      </c>
      <c r="AY1864" s="70" t="s">
        <v>24</v>
      </c>
      <c r="AZ1864" s="70">
        <v>1909.0</v>
      </c>
    </row>
    <row r="1865" ht="22.5" customHeight="1">
      <c r="A1865" s="70" t="str">
        <f t="shared" si="1"/>
        <v>Excluded</v>
      </c>
      <c r="B1865" s="70">
        <f t="shared" si="2"/>
        <v>0</v>
      </c>
      <c r="C1865" s="70">
        <v>0.0</v>
      </c>
      <c r="D1865" s="70">
        <v>0.0</v>
      </c>
      <c r="E1865" s="70">
        <v>0.0</v>
      </c>
      <c r="F1865" s="70">
        <v>0.0</v>
      </c>
      <c r="G1865" s="70">
        <v>0.0</v>
      </c>
      <c r="H1865" s="70" t="s">
        <v>19341</v>
      </c>
      <c r="I1865" s="70">
        <v>2127.0</v>
      </c>
      <c r="J1865" s="70" t="s">
        <v>19339</v>
      </c>
      <c r="K1865" s="70" t="s">
        <v>19340</v>
      </c>
      <c r="L1865" s="70" t="s">
        <v>16538</v>
      </c>
      <c r="N1865" s="70" t="s">
        <v>16539</v>
      </c>
      <c r="P1865" s="76">
        <v>44057.0</v>
      </c>
      <c r="U1865" s="70" t="s">
        <v>239</v>
      </c>
      <c r="W1865" s="70" t="s">
        <v>19343</v>
      </c>
      <c r="Z1865" s="75" t="s">
        <v>19344</v>
      </c>
      <c r="AA1865" s="70" t="s">
        <v>19345</v>
      </c>
      <c r="AC1865" s="70">
        <v>11.0</v>
      </c>
      <c r="AE1865" s="70">
        <v>36.0</v>
      </c>
      <c r="AF1865" s="70" t="s">
        <v>239</v>
      </c>
      <c r="AW1865" s="70" t="s">
        <v>19346</v>
      </c>
      <c r="AZ1865" s="70">
        <v>952.0</v>
      </c>
    </row>
    <row r="1866" ht="22.5" customHeight="1">
      <c r="A1866" s="70" t="str">
        <f t="shared" si="1"/>
        <v>Excluded</v>
      </c>
      <c r="B1866" s="70">
        <f t="shared" si="2"/>
        <v>0</v>
      </c>
      <c r="C1866" s="70">
        <v>0.0</v>
      </c>
      <c r="D1866" s="70">
        <v>0.0</v>
      </c>
      <c r="E1866" s="70">
        <v>0.0</v>
      </c>
      <c r="F1866" s="70">
        <v>0.0</v>
      </c>
      <c r="G1866" s="70">
        <v>0.0</v>
      </c>
      <c r="H1866" s="70" t="s">
        <v>18136</v>
      </c>
      <c r="I1866" s="70">
        <v>1992.0</v>
      </c>
      <c r="J1866" s="70" t="s">
        <v>18134</v>
      </c>
      <c r="K1866" s="70" t="s">
        <v>18135</v>
      </c>
      <c r="L1866" s="70" t="s">
        <v>16538</v>
      </c>
      <c r="N1866" s="70" t="s">
        <v>16539</v>
      </c>
      <c r="P1866" s="76">
        <v>44060.0</v>
      </c>
      <c r="U1866" s="70" t="s">
        <v>239</v>
      </c>
      <c r="W1866" s="70" t="s">
        <v>30603</v>
      </c>
      <c r="Y1866" s="70" t="s">
        <v>18139</v>
      </c>
      <c r="Z1866" s="75" t="s">
        <v>18140</v>
      </c>
      <c r="AA1866" s="70" t="s">
        <v>18141</v>
      </c>
      <c r="AC1866" s="70">
        <v>27.0</v>
      </c>
      <c r="AE1866" s="70">
        <v>66.0</v>
      </c>
      <c r="AF1866" s="70" t="s">
        <v>239</v>
      </c>
      <c r="AW1866" s="70" t="s">
        <v>18142</v>
      </c>
      <c r="AZ1866" s="70">
        <v>274.0</v>
      </c>
    </row>
    <row r="1867" ht="22.5" customHeight="1">
      <c r="A1867" s="70" t="str">
        <f t="shared" si="1"/>
        <v>Excluded</v>
      </c>
      <c r="B1867" s="70">
        <f t="shared" si="2"/>
        <v>0</v>
      </c>
      <c r="C1867" s="70">
        <v>0.0</v>
      </c>
      <c r="D1867" s="70">
        <v>0.0</v>
      </c>
      <c r="E1867" s="70">
        <v>0.0</v>
      </c>
      <c r="F1867" s="70">
        <v>0.0</v>
      </c>
      <c r="G1867" s="70">
        <v>0.0</v>
      </c>
      <c r="H1867" s="70" t="s">
        <v>18389</v>
      </c>
      <c r="I1867" s="70">
        <v>2020.0</v>
      </c>
      <c r="J1867" s="70" t="s">
        <v>16782</v>
      </c>
      <c r="K1867" s="70" t="s">
        <v>18388</v>
      </c>
      <c r="L1867" s="70" t="s">
        <v>16538</v>
      </c>
      <c r="N1867" s="70" t="s">
        <v>16539</v>
      </c>
      <c r="P1867" s="76">
        <v>44067.0</v>
      </c>
      <c r="U1867" s="70" t="s">
        <v>239</v>
      </c>
      <c r="W1867" s="70" t="s">
        <v>18390</v>
      </c>
      <c r="Y1867" s="70" t="s">
        <v>30602</v>
      </c>
      <c r="Z1867" s="75" t="s">
        <v>18391</v>
      </c>
      <c r="AA1867" s="70" t="s">
        <v>18392</v>
      </c>
      <c r="AC1867" s="70">
        <v>22.0</v>
      </c>
      <c r="AE1867" s="70">
        <v>105.0</v>
      </c>
      <c r="AF1867" s="70" t="s">
        <v>239</v>
      </c>
      <c r="AW1867" s="70" t="s">
        <v>18393</v>
      </c>
      <c r="AZ1867" s="70">
        <v>236.0</v>
      </c>
    </row>
    <row r="1868" ht="22.5" customHeight="1">
      <c r="A1868" s="70" t="str">
        <f t="shared" si="1"/>
        <v>Excluded</v>
      </c>
      <c r="B1868" s="70">
        <f t="shared" si="2"/>
        <v>0</v>
      </c>
      <c r="C1868" s="70">
        <v>0.0</v>
      </c>
      <c r="D1868" s="70">
        <v>0.0</v>
      </c>
      <c r="E1868" s="70">
        <v>0.0</v>
      </c>
      <c r="F1868" s="70">
        <v>0.0</v>
      </c>
      <c r="G1868" s="70">
        <v>0.0</v>
      </c>
      <c r="H1868" s="70" t="s">
        <v>27965</v>
      </c>
      <c r="I1868" s="70">
        <v>3015.0</v>
      </c>
      <c r="J1868" s="70" t="s">
        <v>27963</v>
      </c>
      <c r="K1868" s="70" t="s">
        <v>27964</v>
      </c>
      <c r="W1868" s="70" t="s">
        <v>30604</v>
      </c>
      <c r="AA1868" s="70" t="s">
        <v>27967</v>
      </c>
      <c r="AI1868" s="70" t="s">
        <v>27968</v>
      </c>
      <c r="AJ1868" s="70" t="s">
        <v>27969</v>
      </c>
      <c r="AK1868" s="70">
        <v>2021.0</v>
      </c>
      <c r="AL1868" s="70" t="s">
        <v>16538</v>
      </c>
      <c r="AM1868" s="70">
        <v>9197677.0</v>
      </c>
      <c r="AN1868" s="70">
        <v>3665.0</v>
      </c>
      <c r="AO1868" s="70">
        <v>3677.0</v>
      </c>
      <c r="AP1868" s="70">
        <v>12.0</v>
      </c>
      <c r="AQ1868" s="70">
        <v>19.0</v>
      </c>
      <c r="AR1868" s="75" t="s">
        <v>27970</v>
      </c>
      <c r="AS1868" s="70" t="s">
        <v>22525</v>
      </c>
      <c r="AU1868" s="70" t="s">
        <v>237</v>
      </c>
      <c r="AV1868" s="70" t="s">
        <v>27971</v>
      </c>
      <c r="AW1868" s="70" t="s">
        <v>27972</v>
      </c>
      <c r="AX1868" s="70">
        <v>0.0</v>
      </c>
      <c r="AY1868" s="70" t="s">
        <v>24</v>
      </c>
      <c r="AZ1868" s="70">
        <v>2758.0</v>
      </c>
    </row>
    <row r="1869" ht="22.5" customHeight="1">
      <c r="A1869" s="70" t="str">
        <f t="shared" si="1"/>
        <v>Excluded</v>
      </c>
      <c r="B1869" s="70">
        <f t="shared" si="2"/>
        <v>0</v>
      </c>
      <c r="C1869" s="70">
        <v>0.0</v>
      </c>
      <c r="D1869" s="70">
        <v>0.0</v>
      </c>
      <c r="E1869" s="70">
        <v>0.0</v>
      </c>
      <c r="F1869" s="70">
        <v>0.0</v>
      </c>
      <c r="G1869" s="70">
        <v>0.0</v>
      </c>
      <c r="H1869" s="70" t="s">
        <v>17344</v>
      </c>
      <c r="I1869" s="70">
        <v>1903.0</v>
      </c>
      <c r="J1869" s="70" t="s">
        <v>17342</v>
      </c>
      <c r="K1869" s="70" t="s">
        <v>17343</v>
      </c>
      <c r="L1869" s="70" t="s">
        <v>16538</v>
      </c>
      <c r="N1869" s="70" t="s">
        <v>16539</v>
      </c>
      <c r="P1869" s="76">
        <v>44154.0</v>
      </c>
      <c r="U1869" s="70" t="s">
        <v>239</v>
      </c>
      <c r="W1869" s="70" t="s">
        <v>30605</v>
      </c>
      <c r="Y1869" s="70" t="s">
        <v>30606</v>
      </c>
      <c r="Z1869" s="75" t="s">
        <v>17348</v>
      </c>
      <c r="AA1869" s="70" t="s">
        <v>17349</v>
      </c>
      <c r="AC1869" s="70">
        <v>55.0</v>
      </c>
      <c r="AE1869" s="70">
        <v>99.0</v>
      </c>
      <c r="AF1869" s="70" t="s">
        <v>239</v>
      </c>
      <c r="AW1869" s="70" t="s">
        <v>17350</v>
      </c>
      <c r="AZ1869" s="70">
        <v>1388.0</v>
      </c>
    </row>
    <row r="1870" ht="22.5" customHeight="1">
      <c r="A1870" s="70" t="str">
        <f t="shared" si="1"/>
        <v>Excluded</v>
      </c>
      <c r="B1870" s="70">
        <f t="shared" si="2"/>
        <v>0</v>
      </c>
      <c r="C1870" s="70">
        <v>0.0</v>
      </c>
      <c r="D1870" s="70">
        <v>0.0</v>
      </c>
      <c r="E1870" s="70">
        <v>0.0</v>
      </c>
      <c r="F1870" s="70">
        <v>0.0</v>
      </c>
      <c r="G1870" s="70">
        <v>0.0</v>
      </c>
      <c r="H1870" s="70" t="s">
        <v>18233</v>
      </c>
      <c r="I1870" s="70">
        <v>2003.0</v>
      </c>
      <c r="J1870" s="70" t="s">
        <v>18231</v>
      </c>
      <c r="K1870" s="70" t="s">
        <v>30607</v>
      </c>
      <c r="L1870" s="70" t="s">
        <v>16538</v>
      </c>
      <c r="N1870" s="70" t="s">
        <v>16539</v>
      </c>
      <c r="P1870" s="77">
        <v>44166.0</v>
      </c>
      <c r="U1870" s="70" t="s">
        <v>239</v>
      </c>
      <c r="W1870" s="70" t="s">
        <v>18235</v>
      </c>
      <c r="Y1870" s="70" t="s">
        <v>30608</v>
      </c>
      <c r="Z1870" s="75" t="s">
        <v>18237</v>
      </c>
      <c r="AA1870" s="70" t="s">
        <v>18238</v>
      </c>
      <c r="AC1870" s="70">
        <v>25.0</v>
      </c>
      <c r="AE1870" s="70">
        <v>27.0</v>
      </c>
      <c r="AF1870" s="70" t="s">
        <v>239</v>
      </c>
      <c r="AW1870" s="70" t="s">
        <v>18239</v>
      </c>
      <c r="AX1870" s="70">
        <v>0.0</v>
      </c>
      <c r="AY1870" s="70" t="s">
        <v>24</v>
      </c>
      <c r="AZ1870" s="70">
        <v>2542.0</v>
      </c>
    </row>
    <row r="1871" ht="22.5" customHeight="1">
      <c r="A1871" s="70" t="str">
        <f t="shared" si="1"/>
        <v>Excluded</v>
      </c>
      <c r="B1871" s="70">
        <f t="shared" si="2"/>
        <v>0</v>
      </c>
      <c r="C1871" s="70">
        <v>0.0</v>
      </c>
      <c r="D1871" s="70">
        <v>0.0</v>
      </c>
      <c r="E1871" s="70">
        <v>0.0</v>
      </c>
      <c r="F1871" s="70">
        <v>0.0</v>
      </c>
      <c r="G1871" s="70">
        <v>0.0</v>
      </c>
      <c r="H1871" s="70" t="s">
        <v>18998</v>
      </c>
      <c r="I1871" s="70">
        <v>2088.0</v>
      </c>
      <c r="J1871" s="70" t="s">
        <v>18996</v>
      </c>
      <c r="K1871" s="70" t="s">
        <v>18997</v>
      </c>
      <c r="L1871" s="70" t="s">
        <v>16538</v>
      </c>
      <c r="N1871" s="70" t="s">
        <v>16539</v>
      </c>
      <c r="P1871" s="76">
        <v>44187.0</v>
      </c>
      <c r="U1871" s="70" t="s">
        <v>239</v>
      </c>
      <c r="W1871" s="70" t="s">
        <v>19000</v>
      </c>
      <c r="Y1871" s="70" t="s">
        <v>19001</v>
      </c>
      <c r="Z1871" s="75" t="s">
        <v>19002</v>
      </c>
      <c r="AA1871" s="70" t="s">
        <v>19003</v>
      </c>
      <c r="AC1871" s="70">
        <v>14.0</v>
      </c>
      <c r="AE1871" s="70">
        <v>198.0</v>
      </c>
      <c r="AF1871" s="70" t="s">
        <v>239</v>
      </c>
      <c r="AW1871" s="70" t="s">
        <v>19004</v>
      </c>
      <c r="AX1871" s="70">
        <v>0.0</v>
      </c>
      <c r="AY1871" s="70" t="s">
        <v>24</v>
      </c>
      <c r="AZ1871" s="70">
        <v>2614.0</v>
      </c>
    </row>
    <row r="1872" ht="22.5" customHeight="1">
      <c r="A1872" s="70" t="str">
        <f t="shared" si="1"/>
        <v>Excluded</v>
      </c>
      <c r="B1872" s="70">
        <f t="shared" si="2"/>
        <v>0</v>
      </c>
      <c r="C1872" s="70">
        <v>0.0</v>
      </c>
      <c r="D1872" s="70">
        <v>0.0</v>
      </c>
      <c r="E1872" s="70">
        <v>0.0</v>
      </c>
      <c r="F1872" s="70">
        <v>0.0</v>
      </c>
      <c r="G1872" s="70">
        <v>0.0</v>
      </c>
      <c r="H1872" s="70" t="s">
        <v>17458</v>
      </c>
      <c r="I1872" s="70">
        <v>1916.0</v>
      </c>
      <c r="J1872" s="70" t="s">
        <v>17456</v>
      </c>
      <c r="K1872" s="70" t="s">
        <v>17457</v>
      </c>
      <c r="L1872" s="70" t="s">
        <v>16538</v>
      </c>
      <c r="N1872" s="70" t="s">
        <v>16539</v>
      </c>
      <c r="P1872" s="76">
        <v>44209.0</v>
      </c>
      <c r="U1872" s="70" t="s">
        <v>239</v>
      </c>
      <c r="W1872" s="70" t="s">
        <v>17460</v>
      </c>
      <c r="Y1872" s="70" t="s">
        <v>17461</v>
      </c>
      <c r="Z1872" s="75" t="s">
        <v>17462</v>
      </c>
      <c r="AA1872" s="70" t="s">
        <v>17463</v>
      </c>
      <c r="AC1872" s="70">
        <v>48.0</v>
      </c>
      <c r="AE1872" s="70">
        <v>196.0</v>
      </c>
      <c r="AF1872" s="70" t="s">
        <v>239</v>
      </c>
      <c r="AW1872" s="70" t="s">
        <v>17464</v>
      </c>
      <c r="AX1872" s="70">
        <v>0.0</v>
      </c>
      <c r="AY1872" s="70" t="s">
        <v>24</v>
      </c>
      <c r="AZ1872" s="70">
        <v>2535.0</v>
      </c>
    </row>
    <row r="1873" ht="22.5" customHeight="1">
      <c r="A1873" s="70" t="str">
        <f t="shared" si="1"/>
        <v>Excluded</v>
      </c>
      <c r="B1873" s="70">
        <f t="shared" si="2"/>
        <v>0</v>
      </c>
      <c r="C1873" s="70">
        <v>0.0</v>
      </c>
      <c r="D1873" s="70">
        <v>0.0</v>
      </c>
      <c r="E1873" s="70">
        <v>0.0</v>
      </c>
      <c r="F1873" s="70">
        <v>0.0</v>
      </c>
      <c r="G1873" s="70">
        <v>0.0</v>
      </c>
      <c r="H1873" s="70" t="s">
        <v>17219</v>
      </c>
      <c r="I1873" s="70">
        <v>1889.0</v>
      </c>
      <c r="J1873" s="70" t="s">
        <v>17217</v>
      </c>
      <c r="K1873" s="70" t="s">
        <v>17218</v>
      </c>
      <c r="L1873" s="70" t="s">
        <v>16538</v>
      </c>
      <c r="N1873" s="70" t="s">
        <v>16539</v>
      </c>
      <c r="P1873" s="76">
        <v>44215.0</v>
      </c>
      <c r="U1873" s="70" t="s">
        <v>239</v>
      </c>
      <c r="W1873" s="70" t="s">
        <v>17221</v>
      </c>
      <c r="Y1873" s="70" t="s">
        <v>30609</v>
      </c>
      <c r="Z1873" s="75" t="s">
        <v>17223</v>
      </c>
      <c r="AA1873" s="70" t="s">
        <v>17224</v>
      </c>
      <c r="AC1873" s="70">
        <v>66.0</v>
      </c>
      <c r="AE1873" s="70">
        <v>72.0</v>
      </c>
      <c r="AF1873" s="70" t="s">
        <v>239</v>
      </c>
      <c r="AW1873" s="70" t="s">
        <v>17225</v>
      </c>
      <c r="AX1873" s="70">
        <v>0.0</v>
      </c>
      <c r="AY1873" s="70" t="s">
        <v>24</v>
      </c>
      <c r="AZ1873" s="70">
        <v>1817.0</v>
      </c>
    </row>
    <row r="1874" ht="22.5" customHeight="1">
      <c r="A1874" s="70" t="str">
        <f t="shared" si="1"/>
        <v>Excluded</v>
      </c>
      <c r="B1874" s="70">
        <f t="shared" si="2"/>
        <v>0</v>
      </c>
      <c r="C1874" s="70">
        <v>0.0</v>
      </c>
      <c r="D1874" s="70">
        <v>0.0</v>
      </c>
      <c r="E1874" s="70">
        <v>0.0</v>
      </c>
      <c r="F1874" s="70">
        <v>0.0</v>
      </c>
      <c r="G1874" s="70">
        <v>0.0</v>
      </c>
      <c r="H1874" s="70" t="s">
        <v>19051</v>
      </c>
      <c r="I1874" s="70">
        <v>2094.0</v>
      </c>
      <c r="J1874" s="70" t="s">
        <v>19049</v>
      </c>
      <c r="K1874" s="70" t="s">
        <v>19050</v>
      </c>
      <c r="L1874" s="70" t="s">
        <v>16538</v>
      </c>
      <c r="N1874" s="70" t="s">
        <v>16539</v>
      </c>
      <c r="P1874" s="77">
        <v>44259.0</v>
      </c>
      <c r="U1874" s="70" t="s">
        <v>239</v>
      </c>
      <c r="W1874" s="70" t="s">
        <v>19053</v>
      </c>
      <c r="Y1874" s="70" t="s">
        <v>19054</v>
      </c>
      <c r="Z1874" s="75" t="s">
        <v>19055</v>
      </c>
      <c r="AA1874" s="70" t="s">
        <v>19056</v>
      </c>
      <c r="AC1874" s="70">
        <v>13.0</v>
      </c>
      <c r="AE1874" s="70">
        <v>34.0</v>
      </c>
      <c r="AF1874" s="70" t="s">
        <v>239</v>
      </c>
      <c r="AW1874" s="70" t="s">
        <v>19057</v>
      </c>
      <c r="AZ1874" s="70">
        <v>163.0</v>
      </c>
    </row>
    <row r="1875" ht="22.5" customHeight="1">
      <c r="A1875" s="70" t="str">
        <f t="shared" si="1"/>
        <v>Excluded</v>
      </c>
      <c r="B1875" s="70">
        <f t="shared" si="2"/>
        <v>0</v>
      </c>
      <c r="C1875" s="70">
        <v>0.0</v>
      </c>
      <c r="D1875" s="70">
        <v>0.0</v>
      </c>
      <c r="E1875" s="70">
        <v>0.0</v>
      </c>
      <c r="F1875" s="70">
        <v>0.0</v>
      </c>
      <c r="G1875" s="70">
        <v>0.0</v>
      </c>
      <c r="H1875" s="70" t="s">
        <v>16633</v>
      </c>
      <c r="I1875" s="70">
        <v>1824.0</v>
      </c>
      <c r="J1875" s="70" t="s">
        <v>16631</v>
      </c>
      <c r="K1875" s="70" t="s">
        <v>16632</v>
      </c>
      <c r="L1875" s="70" t="s">
        <v>16538</v>
      </c>
      <c r="N1875" s="70" t="s">
        <v>16539</v>
      </c>
      <c r="P1875" s="77">
        <v>44256.0</v>
      </c>
      <c r="U1875" s="70" t="s">
        <v>239</v>
      </c>
      <c r="W1875" s="70" t="s">
        <v>16635</v>
      </c>
      <c r="Z1875" s="75" t="s">
        <v>16636</v>
      </c>
      <c r="AA1875" s="70" t="s">
        <v>16637</v>
      </c>
      <c r="AC1875" s="70">
        <v>250.0</v>
      </c>
      <c r="AE1875" s="70">
        <v>165.0</v>
      </c>
      <c r="AF1875" s="70" t="s">
        <v>239</v>
      </c>
      <c r="AW1875" s="70" t="s">
        <v>16638</v>
      </c>
      <c r="AX1875" s="70">
        <v>0.0</v>
      </c>
      <c r="AY1875" s="70" t="s">
        <v>24</v>
      </c>
      <c r="AZ1875" s="70">
        <v>2554.0</v>
      </c>
    </row>
    <row r="1876" ht="22.5" customHeight="1">
      <c r="A1876" s="70" t="str">
        <f t="shared" si="1"/>
        <v>Excluded</v>
      </c>
      <c r="B1876" s="70">
        <f t="shared" si="2"/>
        <v>0</v>
      </c>
      <c r="C1876" s="70">
        <v>0.0</v>
      </c>
      <c r="D1876" s="70">
        <v>0.0</v>
      </c>
      <c r="E1876" s="70">
        <v>0.0</v>
      </c>
      <c r="F1876" s="70">
        <v>0.0</v>
      </c>
      <c r="G1876" s="70">
        <v>0.0</v>
      </c>
      <c r="H1876" s="70" t="s">
        <v>18118</v>
      </c>
      <c r="I1876" s="70">
        <v>1990.0</v>
      </c>
      <c r="J1876" s="70" t="s">
        <v>18116</v>
      </c>
      <c r="K1876" s="70" t="s">
        <v>30610</v>
      </c>
      <c r="L1876" s="70" t="s">
        <v>16538</v>
      </c>
      <c r="N1876" s="70" t="s">
        <v>16539</v>
      </c>
      <c r="P1876" s="77">
        <v>44264.0</v>
      </c>
      <c r="U1876" s="70" t="s">
        <v>239</v>
      </c>
      <c r="W1876" s="70" t="s">
        <v>30611</v>
      </c>
      <c r="Y1876" s="70" t="s">
        <v>30612</v>
      </c>
      <c r="Z1876" s="75" t="s">
        <v>18122</v>
      </c>
      <c r="AA1876" s="70" t="s">
        <v>30613</v>
      </c>
      <c r="AC1876" s="70">
        <v>27.0</v>
      </c>
      <c r="AE1876" s="70">
        <v>91.0</v>
      </c>
      <c r="AF1876" s="70" t="s">
        <v>239</v>
      </c>
      <c r="AW1876" s="70" t="s">
        <v>18124</v>
      </c>
      <c r="AX1876" s="70">
        <v>0.0</v>
      </c>
      <c r="AY1876" s="70" t="s">
        <v>24</v>
      </c>
      <c r="AZ1876" s="70">
        <v>1705.0</v>
      </c>
    </row>
    <row r="1877" ht="22.5" customHeight="1">
      <c r="A1877" s="70" t="str">
        <f t="shared" si="1"/>
        <v>Excluded</v>
      </c>
      <c r="B1877" s="70">
        <f t="shared" si="2"/>
        <v>0</v>
      </c>
      <c r="C1877" s="70">
        <v>0.0</v>
      </c>
      <c r="D1877" s="70">
        <v>0.0</v>
      </c>
      <c r="E1877" s="70">
        <v>0.0</v>
      </c>
      <c r="F1877" s="70">
        <v>0.0</v>
      </c>
      <c r="G1877" s="70">
        <v>0.0</v>
      </c>
      <c r="H1877" s="70" t="s">
        <v>16558</v>
      </c>
      <c r="I1877" s="70">
        <v>1816.0</v>
      </c>
      <c r="J1877" s="70" t="s">
        <v>16556</v>
      </c>
      <c r="K1877" s="70" t="s">
        <v>16557</v>
      </c>
      <c r="L1877" s="70" t="s">
        <v>16538</v>
      </c>
      <c r="N1877" s="70" t="s">
        <v>16539</v>
      </c>
      <c r="P1877" s="79">
        <v>44321.0</v>
      </c>
      <c r="U1877" s="70" t="s">
        <v>239</v>
      </c>
      <c r="W1877" s="70" t="s">
        <v>30614</v>
      </c>
      <c r="Z1877" s="75" t="s">
        <v>16561</v>
      </c>
      <c r="AA1877" s="70" t="s">
        <v>16562</v>
      </c>
      <c r="AC1877" s="70">
        <v>327.0</v>
      </c>
      <c r="AE1877" s="70">
        <v>48.0</v>
      </c>
      <c r="AF1877" s="70" t="s">
        <v>239</v>
      </c>
      <c r="AW1877" s="70" t="s">
        <v>16563</v>
      </c>
      <c r="AZ1877" s="70">
        <v>506.0</v>
      </c>
    </row>
    <row r="1878" ht="22.5" customHeight="1">
      <c r="A1878" s="70" t="str">
        <f t="shared" si="1"/>
        <v>Excluded</v>
      </c>
      <c r="B1878" s="70">
        <f t="shared" si="2"/>
        <v>0</v>
      </c>
      <c r="C1878" s="70">
        <v>0.0</v>
      </c>
      <c r="D1878" s="70">
        <v>0.0</v>
      </c>
      <c r="E1878" s="70">
        <v>0.0</v>
      </c>
      <c r="F1878" s="70">
        <v>0.0</v>
      </c>
      <c r="G1878" s="70">
        <v>0.0</v>
      </c>
      <c r="H1878" s="70" t="s">
        <v>17492</v>
      </c>
      <c r="I1878" s="70">
        <v>1920.0</v>
      </c>
      <c r="J1878" s="70" t="s">
        <v>17490</v>
      </c>
      <c r="K1878" s="70" t="s">
        <v>17491</v>
      </c>
      <c r="L1878" s="70" t="s">
        <v>16538</v>
      </c>
      <c r="N1878" s="70" t="s">
        <v>16539</v>
      </c>
      <c r="P1878" s="78">
        <v>44337.0</v>
      </c>
      <c r="U1878" s="70" t="s">
        <v>239</v>
      </c>
      <c r="W1878" s="70" t="s">
        <v>17494</v>
      </c>
      <c r="Z1878" s="75" t="s">
        <v>17495</v>
      </c>
      <c r="AA1878" s="70" t="s">
        <v>17496</v>
      </c>
      <c r="AC1878" s="70">
        <v>45.0</v>
      </c>
      <c r="AE1878" s="70">
        <v>142.0</v>
      </c>
      <c r="AF1878" s="70" t="s">
        <v>239</v>
      </c>
      <c r="AW1878" s="70" t="s">
        <v>17497</v>
      </c>
      <c r="AZ1878" s="70">
        <v>567.0</v>
      </c>
    </row>
    <row r="1879" ht="22.5" customHeight="1">
      <c r="A1879" s="70" t="str">
        <f t="shared" si="1"/>
        <v>Excluded</v>
      </c>
      <c r="B1879" s="70">
        <f t="shared" si="2"/>
        <v>0</v>
      </c>
      <c r="C1879" s="70">
        <v>0.0</v>
      </c>
      <c r="D1879" s="70">
        <v>0.0</v>
      </c>
      <c r="E1879" s="70">
        <v>0.0</v>
      </c>
      <c r="F1879" s="70">
        <v>0.0</v>
      </c>
      <c r="G1879" s="70">
        <v>0.0</v>
      </c>
      <c r="H1879" s="70" t="s">
        <v>17301</v>
      </c>
      <c r="I1879" s="70">
        <v>1898.0</v>
      </c>
      <c r="J1879" s="70" t="s">
        <v>17299</v>
      </c>
      <c r="K1879" s="70" t="s">
        <v>17300</v>
      </c>
      <c r="L1879" s="70" t="s">
        <v>16538</v>
      </c>
      <c r="N1879" s="70" t="s">
        <v>16539</v>
      </c>
      <c r="P1879" s="78">
        <v>44347.0</v>
      </c>
      <c r="U1879" s="70" t="s">
        <v>239</v>
      </c>
      <c r="W1879" s="70" t="s">
        <v>30615</v>
      </c>
      <c r="Y1879" s="70" t="s">
        <v>17304</v>
      </c>
      <c r="Z1879" s="75" t="s">
        <v>17305</v>
      </c>
      <c r="AA1879" s="70" t="s">
        <v>17306</v>
      </c>
      <c r="AC1879" s="70">
        <v>60.0</v>
      </c>
      <c r="AE1879" s="70">
        <v>51.0</v>
      </c>
      <c r="AF1879" s="70" t="s">
        <v>239</v>
      </c>
      <c r="AW1879" s="70" t="s">
        <v>17307</v>
      </c>
      <c r="AZ1879" s="70">
        <v>314.0</v>
      </c>
    </row>
    <row r="1880" ht="22.5" customHeight="1">
      <c r="A1880" s="70" t="str">
        <f t="shared" si="1"/>
        <v>Excluded</v>
      </c>
      <c r="B1880" s="70">
        <f t="shared" si="2"/>
        <v>0</v>
      </c>
      <c r="C1880" s="70">
        <v>0.0</v>
      </c>
      <c r="D1880" s="70">
        <v>0.0</v>
      </c>
      <c r="E1880" s="70">
        <v>0.0</v>
      </c>
      <c r="F1880" s="70">
        <v>0.0</v>
      </c>
      <c r="G1880" s="70">
        <v>0.0</v>
      </c>
      <c r="H1880" s="70" t="s">
        <v>27545</v>
      </c>
      <c r="I1880" s="70">
        <v>2974.0</v>
      </c>
      <c r="J1880" s="70" t="s">
        <v>27543</v>
      </c>
      <c r="K1880" s="70" t="s">
        <v>27544</v>
      </c>
      <c r="W1880" s="70" t="s">
        <v>30616</v>
      </c>
      <c r="AA1880" s="70" t="s">
        <v>27547</v>
      </c>
      <c r="AI1880" s="70" t="s">
        <v>27548</v>
      </c>
      <c r="AJ1880" s="70" t="s">
        <v>27549</v>
      </c>
      <c r="AK1880" s="70">
        <v>2021.0</v>
      </c>
      <c r="AL1880" s="70" t="s">
        <v>16538</v>
      </c>
      <c r="AM1880" s="70">
        <v>9451193.0</v>
      </c>
      <c r="AN1880" s="70">
        <v>13165.0</v>
      </c>
      <c r="AO1880" s="70">
        <v>13182.0</v>
      </c>
      <c r="AP1880" s="70">
        <v>17.0</v>
      </c>
      <c r="AQ1880" s="70">
        <v>12.0</v>
      </c>
      <c r="AR1880" s="75" t="s">
        <v>27550</v>
      </c>
      <c r="AS1880" s="70" t="s">
        <v>22525</v>
      </c>
      <c r="AU1880" s="70" t="s">
        <v>237</v>
      </c>
      <c r="AV1880" s="70" t="s">
        <v>27551</v>
      </c>
      <c r="AW1880" s="70" t="s">
        <v>27552</v>
      </c>
      <c r="AZ1880" s="70">
        <v>1217.0</v>
      </c>
    </row>
    <row r="1881" ht="22.5" customHeight="1">
      <c r="A1881" s="70" t="str">
        <f t="shared" si="1"/>
        <v>Excluded</v>
      </c>
      <c r="B1881" s="70">
        <f t="shared" si="2"/>
        <v>0</v>
      </c>
      <c r="C1881" s="70">
        <v>0.0</v>
      </c>
      <c r="D1881" s="70">
        <v>0.0</v>
      </c>
      <c r="E1881" s="70">
        <v>0.0</v>
      </c>
      <c r="F1881" s="70">
        <v>0.0</v>
      </c>
      <c r="G1881" s="70">
        <v>0.0</v>
      </c>
      <c r="H1881" s="70" t="s">
        <v>16712</v>
      </c>
      <c r="I1881" s="70">
        <v>1833.0</v>
      </c>
      <c r="J1881" s="70" t="s">
        <v>16710</v>
      </c>
      <c r="K1881" s="70" t="s">
        <v>16711</v>
      </c>
      <c r="L1881" s="70" t="s">
        <v>16538</v>
      </c>
      <c r="N1881" s="70" t="s">
        <v>16539</v>
      </c>
      <c r="P1881" s="76">
        <v>44361.0</v>
      </c>
      <c r="U1881" s="70" t="s">
        <v>239</v>
      </c>
      <c r="W1881" s="70" t="s">
        <v>16714</v>
      </c>
      <c r="Y1881" s="70" t="s">
        <v>30617</v>
      </c>
      <c r="Z1881" s="75" t="s">
        <v>16716</v>
      </c>
      <c r="AA1881" s="70" t="s">
        <v>16717</v>
      </c>
      <c r="AC1881" s="70">
        <v>178.0</v>
      </c>
      <c r="AE1881" s="70">
        <v>131.0</v>
      </c>
      <c r="AF1881" s="70" t="s">
        <v>239</v>
      </c>
      <c r="AW1881" s="70" t="s">
        <v>16718</v>
      </c>
      <c r="AZ1881" s="70">
        <v>920.0</v>
      </c>
    </row>
    <row r="1882" ht="22.5" customHeight="1">
      <c r="A1882" s="70" t="str">
        <f t="shared" si="1"/>
        <v>Excluded</v>
      </c>
      <c r="B1882" s="70">
        <f t="shared" si="2"/>
        <v>0</v>
      </c>
      <c r="C1882" s="70">
        <v>0.0</v>
      </c>
      <c r="D1882" s="70">
        <v>0.0</v>
      </c>
      <c r="E1882" s="70">
        <v>0.0</v>
      </c>
      <c r="F1882" s="70">
        <v>0.0</v>
      </c>
      <c r="G1882" s="70">
        <v>0.0</v>
      </c>
      <c r="H1882" s="70" t="s">
        <v>22493</v>
      </c>
      <c r="I1882" s="70">
        <v>2484.0</v>
      </c>
      <c r="J1882" s="70" t="s">
        <v>22491</v>
      </c>
      <c r="K1882" s="70" t="s">
        <v>22492</v>
      </c>
      <c r="L1882" s="70" t="s">
        <v>16538</v>
      </c>
      <c r="N1882" s="70" t="s">
        <v>16539</v>
      </c>
      <c r="P1882" s="77">
        <v>44413.0</v>
      </c>
      <c r="U1882" s="70" t="s">
        <v>239</v>
      </c>
      <c r="W1882" s="70" t="s">
        <v>22495</v>
      </c>
      <c r="Z1882" s="75" t="s">
        <v>22496</v>
      </c>
      <c r="AE1882" s="70">
        <v>0.0</v>
      </c>
      <c r="AF1882" s="70" t="s">
        <v>239</v>
      </c>
      <c r="AW1882" s="70" t="s">
        <v>22497</v>
      </c>
      <c r="AZ1882" s="70">
        <v>1312.0</v>
      </c>
    </row>
    <row r="1883" ht="22.5" customHeight="1">
      <c r="A1883" s="70" t="str">
        <f t="shared" si="1"/>
        <v>Excluded</v>
      </c>
      <c r="B1883" s="70">
        <f t="shared" si="2"/>
        <v>0</v>
      </c>
      <c r="C1883" s="70">
        <v>0.0</v>
      </c>
      <c r="D1883" s="70">
        <v>0.0</v>
      </c>
      <c r="E1883" s="70">
        <v>0.0</v>
      </c>
      <c r="F1883" s="70">
        <v>0.0</v>
      </c>
      <c r="G1883" s="70">
        <v>0.0</v>
      </c>
      <c r="H1883" s="70" t="s">
        <v>26253</v>
      </c>
      <c r="I1883" s="70">
        <v>2848.0</v>
      </c>
      <c r="J1883" s="70" t="s">
        <v>26251</v>
      </c>
      <c r="K1883" s="70" t="s">
        <v>26252</v>
      </c>
      <c r="W1883" s="70" t="s">
        <v>30618</v>
      </c>
      <c r="AA1883" s="70" t="s">
        <v>26255</v>
      </c>
      <c r="AI1883" s="70" t="s">
        <v>26256</v>
      </c>
      <c r="AJ1883" s="70" t="s">
        <v>26257</v>
      </c>
      <c r="AK1883" s="70">
        <v>2022.0</v>
      </c>
      <c r="AL1883" s="70" t="s">
        <v>16538</v>
      </c>
      <c r="AN1883" s="70">
        <v>9214.0</v>
      </c>
      <c r="AO1883" s="70">
        <v>9231.0</v>
      </c>
      <c r="AP1883" s="70">
        <v>17.0</v>
      </c>
      <c r="AQ1883" s="70">
        <v>151.0</v>
      </c>
      <c r="AR1883" s="75" t="s">
        <v>26258</v>
      </c>
      <c r="AS1883" s="70" t="s">
        <v>22525</v>
      </c>
      <c r="AU1883" s="70" t="s">
        <v>237</v>
      </c>
      <c r="AV1883" s="70" t="s">
        <v>26259</v>
      </c>
      <c r="AW1883" s="70" t="s">
        <v>26260</v>
      </c>
      <c r="AZ1883" s="70">
        <v>475.0</v>
      </c>
    </row>
    <row r="1884" ht="22.5" customHeight="1">
      <c r="A1884" s="70" t="str">
        <f t="shared" si="1"/>
        <v>Excluded</v>
      </c>
      <c r="B1884" s="70">
        <f t="shared" si="2"/>
        <v>0</v>
      </c>
      <c r="C1884" s="70">
        <v>0.0</v>
      </c>
      <c r="D1884" s="70">
        <v>0.0</v>
      </c>
      <c r="E1884" s="70">
        <v>0.0</v>
      </c>
      <c r="F1884" s="70">
        <v>0.0</v>
      </c>
      <c r="G1884" s="70">
        <v>0.0</v>
      </c>
      <c r="H1884" s="70" t="s">
        <v>19201</v>
      </c>
      <c r="I1884" s="70">
        <v>2111.0</v>
      </c>
      <c r="J1884" s="70" t="s">
        <v>19199</v>
      </c>
      <c r="K1884" s="70" t="s">
        <v>19200</v>
      </c>
      <c r="L1884" s="70" t="s">
        <v>16538</v>
      </c>
      <c r="N1884" s="70" t="s">
        <v>16539</v>
      </c>
      <c r="P1884" s="76">
        <v>44392.0</v>
      </c>
      <c r="U1884" s="70" t="s">
        <v>239</v>
      </c>
      <c r="W1884" s="70" t="s">
        <v>30619</v>
      </c>
      <c r="Y1884" s="70" t="s">
        <v>30620</v>
      </c>
      <c r="Z1884" s="75" t="s">
        <v>19205</v>
      </c>
      <c r="AA1884" s="70" t="s">
        <v>19206</v>
      </c>
      <c r="AC1884" s="70">
        <v>12.0</v>
      </c>
      <c r="AE1884" s="70">
        <v>76.0</v>
      </c>
      <c r="AF1884" s="70" t="s">
        <v>239</v>
      </c>
      <c r="AW1884" s="70" t="s">
        <v>19207</v>
      </c>
      <c r="AZ1884" s="70">
        <v>610.0</v>
      </c>
    </row>
    <row r="1885" ht="22.5" customHeight="1">
      <c r="A1885" s="70" t="str">
        <f t="shared" si="1"/>
        <v>Excluded</v>
      </c>
      <c r="B1885" s="70">
        <f t="shared" si="2"/>
        <v>0</v>
      </c>
      <c r="C1885" s="70">
        <v>0.0</v>
      </c>
      <c r="D1885" s="70">
        <v>0.0</v>
      </c>
      <c r="E1885" s="70">
        <v>0.0</v>
      </c>
      <c r="F1885" s="70">
        <v>0.0</v>
      </c>
      <c r="G1885" s="70">
        <v>0.0</v>
      </c>
      <c r="H1885" s="70" t="s">
        <v>18945</v>
      </c>
      <c r="I1885" s="70">
        <v>2082.0</v>
      </c>
      <c r="J1885" s="70" t="s">
        <v>18943</v>
      </c>
      <c r="K1885" s="70" t="s">
        <v>18944</v>
      </c>
      <c r="L1885" s="70" t="s">
        <v>16538</v>
      </c>
      <c r="N1885" s="70" t="s">
        <v>16539</v>
      </c>
      <c r="P1885" s="76">
        <v>44403.0</v>
      </c>
      <c r="U1885" s="70" t="s">
        <v>239</v>
      </c>
      <c r="W1885" s="70" t="s">
        <v>18947</v>
      </c>
      <c r="Y1885" s="70" t="s">
        <v>30621</v>
      </c>
      <c r="Z1885" s="75" t="s">
        <v>18949</v>
      </c>
      <c r="AA1885" s="70" t="s">
        <v>18950</v>
      </c>
      <c r="AC1885" s="70">
        <v>14.0</v>
      </c>
      <c r="AE1885" s="70">
        <v>52.0</v>
      </c>
      <c r="AF1885" s="70" t="s">
        <v>239</v>
      </c>
      <c r="AW1885" s="70" t="s">
        <v>18951</v>
      </c>
      <c r="AZ1885" s="70">
        <v>498.0</v>
      </c>
    </row>
    <row r="1886" ht="22.5" customHeight="1">
      <c r="A1886" s="70" t="str">
        <f t="shared" si="1"/>
        <v>Excluded</v>
      </c>
      <c r="B1886" s="70">
        <f t="shared" si="2"/>
        <v>0</v>
      </c>
      <c r="C1886" s="70">
        <v>0.0</v>
      </c>
      <c r="D1886" s="70">
        <v>0.0</v>
      </c>
      <c r="E1886" s="70">
        <v>0.0</v>
      </c>
      <c r="F1886" s="70">
        <v>0.0</v>
      </c>
      <c r="G1886" s="70">
        <v>0.0</v>
      </c>
      <c r="H1886" s="70" t="s">
        <v>17175</v>
      </c>
      <c r="I1886" s="70">
        <v>1884.0</v>
      </c>
      <c r="J1886" s="70" t="s">
        <v>17173</v>
      </c>
      <c r="K1886" s="70" t="s">
        <v>17174</v>
      </c>
      <c r="L1886" s="70" t="s">
        <v>16538</v>
      </c>
      <c r="N1886" s="70" t="s">
        <v>16539</v>
      </c>
      <c r="P1886" s="76">
        <v>44396.0</v>
      </c>
      <c r="U1886" s="70" t="s">
        <v>239</v>
      </c>
      <c r="W1886" s="70" t="s">
        <v>17177</v>
      </c>
      <c r="Y1886" s="70" t="s">
        <v>30622</v>
      </c>
      <c r="Z1886" s="75" t="s">
        <v>17179</v>
      </c>
      <c r="AA1886" s="70" t="s">
        <v>17180</v>
      </c>
      <c r="AC1886" s="70">
        <v>68.0</v>
      </c>
      <c r="AE1886" s="70">
        <v>172.0</v>
      </c>
      <c r="AF1886" s="70" t="s">
        <v>239</v>
      </c>
      <c r="AW1886" s="70" t="s">
        <v>17181</v>
      </c>
      <c r="AX1886" s="70">
        <v>0.0</v>
      </c>
      <c r="AY1886" s="70" t="s">
        <v>24</v>
      </c>
      <c r="AZ1886" s="70">
        <v>2549.0</v>
      </c>
    </row>
    <row r="1887" ht="22.5" customHeight="1">
      <c r="A1887" s="70" t="str">
        <f t="shared" si="1"/>
        <v>Excluded</v>
      </c>
      <c r="B1887" s="70">
        <f t="shared" si="2"/>
        <v>0</v>
      </c>
      <c r="C1887" s="70">
        <v>0.0</v>
      </c>
      <c r="D1887" s="70">
        <v>0.0</v>
      </c>
      <c r="E1887" s="70">
        <v>0.0</v>
      </c>
      <c r="F1887" s="70">
        <v>0.0</v>
      </c>
      <c r="G1887" s="70">
        <v>0.0</v>
      </c>
      <c r="H1887" s="70" t="s">
        <v>20651</v>
      </c>
      <c r="I1887" s="70">
        <v>2274.0</v>
      </c>
      <c r="J1887" s="70" t="s">
        <v>20649</v>
      </c>
      <c r="K1887" s="70" t="s">
        <v>20650</v>
      </c>
      <c r="L1887" s="70" t="s">
        <v>16538</v>
      </c>
      <c r="N1887" s="70" t="s">
        <v>16539</v>
      </c>
      <c r="P1887" s="76">
        <v>44453.0</v>
      </c>
      <c r="U1887" s="70" t="s">
        <v>239</v>
      </c>
      <c r="W1887" s="70" t="s">
        <v>20653</v>
      </c>
      <c r="Z1887" s="75" t="s">
        <v>20654</v>
      </c>
      <c r="AA1887" s="70" t="s">
        <v>20655</v>
      </c>
      <c r="AC1887" s="70">
        <v>3.0</v>
      </c>
      <c r="AE1887" s="70">
        <v>53.0</v>
      </c>
      <c r="AF1887" s="70" t="s">
        <v>239</v>
      </c>
      <c r="AW1887" s="70" t="s">
        <v>20656</v>
      </c>
      <c r="AX1887" s="70">
        <v>0.0</v>
      </c>
      <c r="AY1887" s="70" t="s">
        <v>24</v>
      </c>
      <c r="AZ1887" s="70">
        <v>1697.0</v>
      </c>
    </row>
    <row r="1888" ht="22.5" customHeight="1">
      <c r="A1888" s="70" t="str">
        <f t="shared" si="1"/>
        <v>Excluded</v>
      </c>
      <c r="B1888" s="70">
        <f t="shared" si="2"/>
        <v>0</v>
      </c>
      <c r="C1888" s="70">
        <v>0.0</v>
      </c>
      <c r="D1888" s="70">
        <v>0.0</v>
      </c>
      <c r="E1888" s="70">
        <v>0.0</v>
      </c>
      <c r="F1888" s="70">
        <v>0.0</v>
      </c>
      <c r="G1888" s="70">
        <v>0.0</v>
      </c>
      <c r="H1888" s="70" t="s">
        <v>19659</v>
      </c>
      <c r="I1888" s="70">
        <v>2163.0</v>
      </c>
      <c r="J1888" s="70" t="s">
        <v>19657</v>
      </c>
      <c r="K1888" s="70" t="s">
        <v>19658</v>
      </c>
      <c r="L1888" s="70" t="s">
        <v>16538</v>
      </c>
      <c r="N1888" s="70" t="s">
        <v>16539</v>
      </c>
      <c r="P1888" s="76">
        <v>44463.0</v>
      </c>
      <c r="U1888" s="70" t="s">
        <v>239</v>
      </c>
      <c r="W1888" s="70" t="s">
        <v>19661</v>
      </c>
      <c r="Y1888" s="70" t="s">
        <v>30623</v>
      </c>
      <c r="Z1888" s="75" t="s">
        <v>19663</v>
      </c>
      <c r="AA1888" s="70" t="s">
        <v>19664</v>
      </c>
      <c r="AC1888" s="70">
        <v>8.0</v>
      </c>
      <c r="AE1888" s="70">
        <v>61.0</v>
      </c>
      <c r="AF1888" s="70" t="s">
        <v>239</v>
      </c>
      <c r="AW1888" s="70" t="s">
        <v>19665</v>
      </c>
      <c r="AZ1888" s="70">
        <v>552.0</v>
      </c>
    </row>
    <row r="1889" ht="22.5" customHeight="1">
      <c r="A1889" s="70" t="str">
        <f t="shared" si="1"/>
        <v>Excluded</v>
      </c>
      <c r="B1889" s="70">
        <f t="shared" si="2"/>
        <v>0</v>
      </c>
      <c r="C1889" s="70">
        <v>0.0</v>
      </c>
      <c r="D1889" s="70">
        <v>0.0</v>
      </c>
      <c r="E1889" s="70">
        <v>0.0</v>
      </c>
      <c r="F1889" s="70">
        <v>0.0</v>
      </c>
      <c r="G1889" s="70">
        <v>0.0</v>
      </c>
      <c r="H1889" s="70" t="s">
        <v>18683</v>
      </c>
      <c r="I1889" s="70">
        <v>2053.0</v>
      </c>
      <c r="J1889" s="70" t="s">
        <v>18681</v>
      </c>
      <c r="K1889" s="70" t="s">
        <v>18682</v>
      </c>
      <c r="L1889" s="70" t="s">
        <v>16538</v>
      </c>
      <c r="N1889" s="70" t="s">
        <v>16539</v>
      </c>
      <c r="P1889" s="76">
        <v>44480.0</v>
      </c>
      <c r="U1889" s="70" t="s">
        <v>239</v>
      </c>
      <c r="W1889" s="70" t="s">
        <v>30624</v>
      </c>
      <c r="Y1889" s="70" t="s">
        <v>18686</v>
      </c>
      <c r="Z1889" s="75" t="s">
        <v>18687</v>
      </c>
      <c r="AA1889" s="70" t="s">
        <v>18688</v>
      </c>
      <c r="AC1889" s="70">
        <v>18.0</v>
      </c>
      <c r="AE1889" s="70">
        <v>34.0</v>
      </c>
      <c r="AF1889" s="70" t="s">
        <v>239</v>
      </c>
      <c r="AW1889" s="70" t="s">
        <v>18689</v>
      </c>
      <c r="AX1889" s="70">
        <v>0.0</v>
      </c>
      <c r="AY1889" s="70" t="s">
        <v>24</v>
      </c>
      <c r="AZ1889" s="70">
        <v>1730.0</v>
      </c>
    </row>
    <row r="1890" ht="22.5" customHeight="1">
      <c r="A1890" s="70" t="str">
        <f t="shared" si="1"/>
        <v>Excluded</v>
      </c>
      <c r="B1890" s="70">
        <f t="shared" si="2"/>
        <v>0</v>
      </c>
      <c r="C1890" s="70">
        <v>0.0</v>
      </c>
      <c r="D1890" s="70">
        <v>0.0</v>
      </c>
      <c r="E1890" s="70">
        <v>0.0</v>
      </c>
      <c r="F1890" s="70">
        <v>0.0</v>
      </c>
      <c r="G1890" s="70">
        <v>0.0</v>
      </c>
      <c r="H1890" s="70" t="s">
        <v>16800</v>
      </c>
      <c r="I1890" s="70">
        <v>1843.0</v>
      </c>
      <c r="J1890" s="70" t="s">
        <v>16798</v>
      </c>
      <c r="K1890" s="70" t="s">
        <v>16799</v>
      </c>
      <c r="L1890" s="70" t="s">
        <v>16538</v>
      </c>
      <c r="N1890" s="70" t="s">
        <v>16539</v>
      </c>
      <c r="P1890" s="76">
        <v>44482.0</v>
      </c>
      <c r="U1890" s="70" t="s">
        <v>239</v>
      </c>
      <c r="W1890" s="70" t="s">
        <v>16802</v>
      </c>
      <c r="Y1890" s="70" t="s">
        <v>16803</v>
      </c>
      <c r="Z1890" s="75" t="s">
        <v>16804</v>
      </c>
      <c r="AA1890" s="70" t="s">
        <v>16805</v>
      </c>
      <c r="AC1890" s="70">
        <v>130.0</v>
      </c>
      <c r="AE1890" s="70">
        <v>139.0</v>
      </c>
      <c r="AF1890" s="70" t="s">
        <v>239</v>
      </c>
      <c r="AW1890" s="70" t="s">
        <v>16806</v>
      </c>
      <c r="AZ1890" s="70">
        <v>1021.0</v>
      </c>
    </row>
    <row r="1891" ht="22.5" customHeight="1">
      <c r="A1891" s="70" t="str">
        <f t="shared" si="1"/>
        <v>Excluded</v>
      </c>
      <c r="B1891" s="70">
        <f t="shared" si="2"/>
        <v>0</v>
      </c>
      <c r="C1891" s="70">
        <v>0.0</v>
      </c>
      <c r="D1891" s="70">
        <v>0.0</v>
      </c>
      <c r="E1891" s="70">
        <v>0.0</v>
      </c>
      <c r="F1891" s="70">
        <v>0.0</v>
      </c>
      <c r="G1891" s="70">
        <v>0.0</v>
      </c>
      <c r="H1891" s="70" t="s">
        <v>18880</v>
      </c>
      <c r="I1891" s="70">
        <v>2075.0</v>
      </c>
      <c r="J1891" s="70" t="s">
        <v>18878</v>
      </c>
      <c r="K1891" s="70" t="s">
        <v>18879</v>
      </c>
      <c r="L1891" s="70" t="s">
        <v>16538</v>
      </c>
      <c r="N1891" s="70" t="s">
        <v>16539</v>
      </c>
      <c r="P1891" s="76">
        <v>44575.0</v>
      </c>
      <c r="U1891" s="70" t="s">
        <v>239</v>
      </c>
      <c r="W1891" s="70" t="s">
        <v>30625</v>
      </c>
      <c r="Y1891" s="70" t="s">
        <v>30626</v>
      </c>
      <c r="Z1891" s="75" t="s">
        <v>18884</v>
      </c>
      <c r="AA1891" s="70" t="s">
        <v>18885</v>
      </c>
      <c r="AC1891" s="70">
        <v>15.0</v>
      </c>
      <c r="AE1891" s="70">
        <v>61.0</v>
      </c>
      <c r="AF1891" s="70" t="s">
        <v>16423</v>
      </c>
      <c r="AW1891" s="70" t="s">
        <v>18886</v>
      </c>
      <c r="AZ1891" s="70">
        <v>1014.0</v>
      </c>
    </row>
    <row r="1892" ht="22.5" customHeight="1">
      <c r="A1892" s="70" t="str">
        <f t="shared" si="1"/>
        <v>Excluded</v>
      </c>
      <c r="B1892" s="70">
        <f t="shared" si="2"/>
        <v>0</v>
      </c>
      <c r="C1892" s="70">
        <v>0.0</v>
      </c>
      <c r="D1892" s="70">
        <v>0.0</v>
      </c>
      <c r="E1892" s="70">
        <v>0.0</v>
      </c>
      <c r="F1892" s="70">
        <v>0.0</v>
      </c>
      <c r="G1892" s="70">
        <v>0.0</v>
      </c>
      <c r="H1892" s="70" t="s">
        <v>17904</v>
      </c>
      <c r="I1892" s="70">
        <v>1966.0</v>
      </c>
      <c r="J1892" s="70" t="s">
        <v>17902</v>
      </c>
      <c r="K1892" s="70" t="s">
        <v>30627</v>
      </c>
      <c r="L1892" s="70" t="s">
        <v>16538</v>
      </c>
      <c r="N1892" s="70" t="s">
        <v>16539</v>
      </c>
      <c r="P1892" s="76">
        <v>44602.0</v>
      </c>
      <c r="U1892" s="70" t="s">
        <v>239</v>
      </c>
      <c r="W1892" s="70" t="s">
        <v>30628</v>
      </c>
      <c r="Y1892" s="70" t="s">
        <v>17907</v>
      </c>
      <c r="Z1892" s="75" t="s">
        <v>17908</v>
      </c>
      <c r="AA1892" s="70" t="s">
        <v>30629</v>
      </c>
      <c r="AC1892" s="70">
        <v>31.0</v>
      </c>
      <c r="AE1892" s="70">
        <v>49.0</v>
      </c>
      <c r="AF1892" s="70" t="s">
        <v>239</v>
      </c>
      <c r="AW1892" s="70" t="s">
        <v>17910</v>
      </c>
      <c r="AX1892" s="70">
        <v>0.0</v>
      </c>
      <c r="AY1892" s="70" t="s">
        <v>24</v>
      </c>
      <c r="AZ1892" s="70">
        <v>1724.0</v>
      </c>
    </row>
    <row r="1893" ht="22.5" customHeight="1">
      <c r="A1893" s="70" t="str">
        <f t="shared" si="1"/>
        <v>Excluded</v>
      </c>
      <c r="B1893" s="70">
        <f t="shared" si="2"/>
        <v>0</v>
      </c>
      <c r="C1893" s="70">
        <v>0.0</v>
      </c>
      <c r="D1893" s="70">
        <v>0.0</v>
      </c>
      <c r="E1893" s="70">
        <v>0.0</v>
      </c>
      <c r="F1893" s="70">
        <v>0.0</v>
      </c>
      <c r="G1893" s="70">
        <v>0.0</v>
      </c>
      <c r="H1893" s="70" t="s">
        <v>19719</v>
      </c>
      <c r="I1893" s="70">
        <v>2170.0</v>
      </c>
      <c r="J1893" s="70" t="s">
        <v>19717</v>
      </c>
      <c r="K1893" s="70" t="s">
        <v>19718</v>
      </c>
      <c r="L1893" s="70" t="s">
        <v>16538</v>
      </c>
      <c r="N1893" s="70" t="s">
        <v>16539</v>
      </c>
      <c r="P1893" s="76">
        <v>44615.0</v>
      </c>
      <c r="U1893" s="70" t="s">
        <v>239</v>
      </c>
      <c r="W1893" s="70" t="s">
        <v>19721</v>
      </c>
      <c r="Y1893" s="70" t="s">
        <v>30630</v>
      </c>
      <c r="Z1893" s="75" t="s">
        <v>19723</v>
      </c>
      <c r="AA1893" s="70" t="s">
        <v>19724</v>
      </c>
      <c r="AC1893" s="70">
        <v>8.0</v>
      </c>
      <c r="AE1893" s="70">
        <v>94.0</v>
      </c>
      <c r="AF1893" s="70" t="s">
        <v>239</v>
      </c>
      <c r="AW1893" s="70" t="s">
        <v>19725</v>
      </c>
      <c r="AZ1893" s="70">
        <v>821.0</v>
      </c>
    </row>
    <row r="1894" ht="22.5" customHeight="1">
      <c r="A1894" s="70" t="str">
        <f t="shared" si="1"/>
        <v>Excluded</v>
      </c>
      <c r="B1894" s="70">
        <f t="shared" si="2"/>
        <v>0</v>
      </c>
      <c r="C1894" s="70">
        <v>0.0</v>
      </c>
      <c r="D1894" s="70">
        <v>0.0</v>
      </c>
      <c r="E1894" s="70">
        <v>0.0</v>
      </c>
      <c r="F1894" s="70">
        <v>0.0</v>
      </c>
      <c r="G1894" s="70">
        <v>0.0</v>
      </c>
      <c r="H1894" s="70" t="s">
        <v>16768</v>
      </c>
      <c r="I1894" s="70">
        <v>1839.0</v>
      </c>
      <c r="J1894" s="70" t="s">
        <v>16766</v>
      </c>
      <c r="K1894" s="70" t="s">
        <v>16767</v>
      </c>
      <c r="L1894" s="70" t="s">
        <v>16538</v>
      </c>
      <c r="N1894" s="70" t="s">
        <v>16539</v>
      </c>
      <c r="P1894" s="77">
        <v>44622.0</v>
      </c>
      <c r="U1894" s="70" t="s">
        <v>239</v>
      </c>
      <c r="W1894" s="70" t="s">
        <v>30631</v>
      </c>
      <c r="Z1894" s="75" t="s">
        <v>16771</v>
      </c>
      <c r="AA1894" s="70" t="s">
        <v>16772</v>
      </c>
      <c r="AC1894" s="70">
        <v>140.0</v>
      </c>
      <c r="AE1894" s="70">
        <v>98.0</v>
      </c>
      <c r="AF1894" s="70" t="s">
        <v>239</v>
      </c>
      <c r="AW1894" s="70" t="s">
        <v>16773</v>
      </c>
      <c r="AZ1894" s="70">
        <v>848.0</v>
      </c>
    </row>
    <row r="1895" ht="22.5" customHeight="1">
      <c r="A1895" s="70" t="str">
        <f t="shared" si="1"/>
        <v>Excluded</v>
      </c>
      <c r="B1895" s="70">
        <f t="shared" si="2"/>
        <v>0</v>
      </c>
      <c r="C1895" s="70">
        <v>0.0</v>
      </c>
      <c r="D1895" s="70">
        <v>0.0</v>
      </c>
      <c r="E1895" s="70">
        <v>0.0</v>
      </c>
      <c r="F1895" s="70">
        <v>0.0</v>
      </c>
      <c r="G1895" s="70">
        <v>0.0</v>
      </c>
      <c r="H1895" s="70" t="s">
        <v>19086</v>
      </c>
      <c r="I1895" s="70">
        <v>2098.0</v>
      </c>
      <c r="J1895" s="70" t="s">
        <v>19084</v>
      </c>
      <c r="K1895" s="70" t="s">
        <v>19085</v>
      </c>
      <c r="L1895" s="70" t="s">
        <v>16538</v>
      </c>
      <c r="N1895" s="70" t="s">
        <v>16539</v>
      </c>
      <c r="P1895" s="78">
        <v>44701.0</v>
      </c>
      <c r="U1895" s="70" t="s">
        <v>239</v>
      </c>
      <c r="W1895" s="70" t="s">
        <v>19088</v>
      </c>
      <c r="Y1895" s="70" t="s">
        <v>19089</v>
      </c>
      <c r="Z1895" s="75" t="s">
        <v>19090</v>
      </c>
      <c r="AA1895" s="70" t="s">
        <v>19091</v>
      </c>
      <c r="AC1895" s="70">
        <v>13.0</v>
      </c>
      <c r="AE1895" s="70">
        <v>26.0</v>
      </c>
      <c r="AF1895" s="70" t="s">
        <v>239</v>
      </c>
      <c r="AW1895" s="70" t="s">
        <v>19092</v>
      </c>
      <c r="AX1895" s="70">
        <v>0.0</v>
      </c>
      <c r="AY1895" s="70" t="s">
        <v>24</v>
      </c>
      <c r="AZ1895" s="70">
        <v>1876.0</v>
      </c>
    </row>
    <row r="1896" ht="22.5" customHeight="1">
      <c r="A1896" s="70" t="str">
        <f t="shared" si="1"/>
        <v>Excluded</v>
      </c>
      <c r="B1896" s="70">
        <f t="shared" si="2"/>
        <v>0</v>
      </c>
      <c r="C1896" s="70">
        <v>0.0</v>
      </c>
      <c r="D1896" s="70">
        <v>0.0</v>
      </c>
      <c r="E1896" s="70">
        <v>0.0</v>
      </c>
      <c r="F1896" s="70">
        <v>0.0</v>
      </c>
      <c r="G1896" s="70">
        <v>0.0</v>
      </c>
      <c r="H1896" s="70" t="s">
        <v>16862</v>
      </c>
      <c r="I1896" s="70">
        <v>1850.0</v>
      </c>
      <c r="J1896" s="70" t="s">
        <v>16860</v>
      </c>
      <c r="K1896" s="70" t="s">
        <v>16861</v>
      </c>
      <c r="L1896" s="70" t="s">
        <v>16538</v>
      </c>
      <c r="N1896" s="70" t="s">
        <v>16539</v>
      </c>
      <c r="P1896" s="76">
        <v>44795.0</v>
      </c>
      <c r="U1896" s="70" t="s">
        <v>239</v>
      </c>
      <c r="W1896" s="70" t="s">
        <v>16864</v>
      </c>
      <c r="Y1896" s="70" t="s">
        <v>30632</v>
      </c>
      <c r="Z1896" s="75" t="s">
        <v>16866</v>
      </c>
      <c r="AA1896" s="70" t="s">
        <v>16867</v>
      </c>
      <c r="AC1896" s="70">
        <v>109.0</v>
      </c>
      <c r="AE1896" s="70">
        <v>99.0</v>
      </c>
      <c r="AF1896" s="70" t="s">
        <v>239</v>
      </c>
      <c r="AW1896" s="70" t="s">
        <v>16868</v>
      </c>
      <c r="AX1896" s="70">
        <v>0.0</v>
      </c>
      <c r="AY1896" s="70" t="s">
        <v>24</v>
      </c>
      <c r="AZ1896" s="70">
        <v>3062.0</v>
      </c>
    </row>
    <row r="1897" ht="22.5" customHeight="1">
      <c r="A1897" s="70" t="str">
        <f t="shared" si="1"/>
        <v>Excluded</v>
      </c>
      <c r="B1897" s="70">
        <f t="shared" si="2"/>
        <v>0</v>
      </c>
      <c r="C1897" s="70">
        <v>0.0</v>
      </c>
      <c r="D1897" s="70">
        <v>0.0</v>
      </c>
      <c r="E1897" s="70">
        <v>0.0</v>
      </c>
      <c r="F1897" s="70">
        <v>0.0</v>
      </c>
      <c r="G1897" s="70">
        <v>0.0</v>
      </c>
      <c r="H1897" s="70" t="s">
        <v>18281</v>
      </c>
      <c r="I1897" s="70">
        <v>2008.0</v>
      </c>
      <c r="J1897" s="70" t="s">
        <v>18279</v>
      </c>
      <c r="K1897" s="70" t="s">
        <v>18280</v>
      </c>
      <c r="L1897" s="70" t="s">
        <v>16538</v>
      </c>
      <c r="N1897" s="70" t="s">
        <v>16539</v>
      </c>
      <c r="P1897" s="76">
        <v>44880.0</v>
      </c>
      <c r="U1897" s="70" t="s">
        <v>239</v>
      </c>
      <c r="W1897" s="70" t="s">
        <v>30633</v>
      </c>
      <c r="Y1897" s="70" t="s">
        <v>30634</v>
      </c>
      <c r="Z1897" s="75" t="s">
        <v>18285</v>
      </c>
      <c r="AA1897" s="70" t="s">
        <v>18286</v>
      </c>
      <c r="AC1897" s="70">
        <v>24.0</v>
      </c>
      <c r="AE1897" s="70">
        <v>82.0</v>
      </c>
      <c r="AF1897" s="70" t="s">
        <v>16423</v>
      </c>
      <c r="AW1897" s="70" t="s">
        <v>18287</v>
      </c>
      <c r="AX1897" s="70">
        <v>0.0</v>
      </c>
      <c r="AY1897" s="70" t="s">
        <v>24</v>
      </c>
      <c r="AZ1897" s="70">
        <v>2446.0</v>
      </c>
    </row>
    <row r="1898" ht="22.5" customHeight="1">
      <c r="A1898" s="70" t="str">
        <f t="shared" si="1"/>
        <v>Excluded</v>
      </c>
      <c r="B1898" s="70">
        <f t="shared" si="2"/>
        <v>0</v>
      </c>
      <c r="C1898" s="70">
        <v>0.0</v>
      </c>
      <c r="D1898" s="70">
        <v>0.0</v>
      </c>
      <c r="E1898" s="70">
        <v>0.0</v>
      </c>
      <c r="F1898" s="70">
        <v>0.0</v>
      </c>
      <c r="G1898" s="70">
        <v>0.0</v>
      </c>
      <c r="H1898" s="70" t="s">
        <v>17318</v>
      </c>
      <c r="I1898" s="70">
        <v>1900.0</v>
      </c>
      <c r="J1898" s="70" t="s">
        <v>17316</v>
      </c>
      <c r="K1898" s="70" t="s">
        <v>17317</v>
      </c>
      <c r="L1898" s="70" t="s">
        <v>16538</v>
      </c>
      <c r="N1898" s="70" t="s">
        <v>16539</v>
      </c>
      <c r="P1898" s="76">
        <v>44908.0</v>
      </c>
      <c r="U1898" s="70" t="s">
        <v>239</v>
      </c>
      <c r="W1898" s="70" t="s">
        <v>30635</v>
      </c>
      <c r="Y1898" s="70" t="s">
        <v>17321</v>
      </c>
      <c r="Z1898" s="75" t="s">
        <v>17322</v>
      </c>
      <c r="AA1898" s="70" t="s">
        <v>17323</v>
      </c>
      <c r="AC1898" s="70">
        <v>59.0</v>
      </c>
      <c r="AE1898" s="70">
        <v>250.0</v>
      </c>
      <c r="AF1898" s="70" t="s">
        <v>239</v>
      </c>
      <c r="AW1898" s="70" t="s">
        <v>17324</v>
      </c>
      <c r="AX1898" s="70">
        <v>0.0</v>
      </c>
      <c r="AY1898" s="70" t="s">
        <v>24</v>
      </c>
      <c r="AZ1898" s="70">
        <v>2281.0</v>
      </c>
    </row>
    <row r="1899" ht="22.5" customHeight="1">
      <c r="A1899" s="70" t="str">
        <f t="shared" si="1"/>
        <v>Excluded</v>
      </c>
      <c r="B1899" s="70">
        <f t="shared" si="2"/>
        <v>0</v>
      </c>
      <c r="C1899" s="70">
        <v>0.0</v>
      </c>
      <c r="D1899" s="70">
        <v>0.0</v>
      </c>
      <c r="E1899" s="70">
        <v>0.0</v>
      </c>
      <c r="F1899" s="70">
        <v>0.0</v>
      </c>
      <c r="G1899" s="70">
        <v>0.0</v>
      </c>
      <c r="H1899" s="70" t="s">
        <v>22439</v>
      </c>
      <c r="I1899" s="70">
        <v>2476.0</v>
      </c>
      <c r="J1899" s="70" t="s">
        <v>22437</v>
      </c>
      <c r="K1899" s="70" t="s">
        <v>22438</v>
      </c>
      <c r="L1899" s="70" t="s">
        <v>16538</v>
      </c>
      <c r="N1899" s="70" t="s">
        <v>16539</v>
      </c>
      <c r="P1899" s="76">
        <v>44977.0</v>
      </c>
      <c r="U1899" s="70" t="s">
        <v>239</v>
      </c>
      <c r="W1899" s="70" t="s">
        <v>30636</v>
      </c>
      <c r="Z1899" s="75" t="s">
        <v>22442</v>
      </c>
      <c r="AC1899" s="70">
        <v>3.0</v>
      </c>
      <c r="AE1899" s="70">
        <v>0.0</v>
      </c>
      <c r="AF1899" s="70" t="s">
        <v>239</v>
      </c>
      <c r="AW1899" s="70" t="s">
        <v>22443</v>
      </c>
      <c r="AZ1899" s="70">
        <v>1224.0</v>
      </c>
    </row>
    <row r="1900" ht="22.5" customHeight="1">
      <c r="A1900" s="70" t="str">
        <f t="shared" si="1"/>
        <v>Excluded</v>
      </c>
      <c r="B1900" s="70">
        <f t="shared" si="2"/>
        <v>0</v>
      </c>
      <c r="C1900" s="70">
        <v>0.0</v>
      </c>
      <c r="D1900" s="70">
        <v>0.0</v>
      </c>
      <c r="E1900" s="70">
        <v>0.0</v>
      </c>
      <c r="F1900" s="70">
        <v>0.0</v>
      </c>
      <c r="G1900" s="70">
        <v>0.0</v>
      </c>
      <c r="H1900" s="70" t="s">
        <v>17974</v>
      </c>
      <c r="I1900" s="70">
        <v>1974.0</v>
      </c>
      <c r="J1900" s="70" t="s">
        <v>17972</v>
      </c>
      <c r="K1900" s="70" t="s">
        <v>17973</v>
      </c>
      <c r="L1900" s="70" t="s">
        <v>16538</v>
      </c>
      <c r="N1900" s="70" t="s">
        <v>16539</v>
      </c>
      <c r="P1900" s="77">
        <v>44935.0</v>
      </c>
      <c r="U1900" s="70" t="s">
        <v>239</v>
      </c>
      <c r="W1900" s="70" t="s">
        <v>17976</v>
      </c>
      <c r="Z1900" s="75" t="s">
        <v>17977</v>
      </c>
      <c r="AA1900" s="70" t="s">
        <v>17978</v>
      </c>
      <c r="AC1900" s="70">
        <v>29.0</v>
      </c>
      <c r="AE1900" s="70">
        <v>24.0</v>
      </c>
      <c r="AF1900" s="70" t="s">
        <v>239</v>
      </c>
      <c r="AW1900" s="70" t="s">
        <v>17979</v>
      </c>
      <c r="AX1900" s="70">
        <v>0.0</v>
      </c>
      <c r="AY1900" s="70" t="s">
        <v>24</v>
      </c>
      <c r="AZ1900" s="70">
        <v>2369.0</v>
      </c>
    </row>
    <row r="1901" ht="22.5" customHeight="1">
      <c r="A1901" s="70" t="str">
        <f t="shared" si="1"/>
        <v>Excluded</v>
      </c>
      <c r="B1901" s="70">
        <f t="shared" si="2"/>
        <v>0</v>
      </c>
      <c r="C1901" s="70">
        <v>0.0</v>
      </c>
      <c r="D1901" s="70">
        <v>0.0</v>
      </c>
      <c r="E1901" s="70">
        <v>0.0</v>
      </c>
      <c r="F1901" s="70">
        <v>0.0</v>
      </c>
      <c r="G1901" s="70">
        <v>0.0</v>
      </c>
      <c r="H1901" s="70" t="s">
        <v>19553</v>
      </c>
      <c r="I1901" s="70">
        <v>2151.0</v>
      </c>
      <c r="J1901" s="70" t="s">
        <v>19551</v>
      </c>
      <c r="K1901" s="70" t="s">
        <v>19552</v>
      </c>
      <c r="L1901" s="70" t="s">
        <v>16538</v>
      </c>
      <c r="N1901" s="70" t="s">
        <v>16539</v>
      </c>
      <c r="P1901" s="76">
        <v>44937.0</v>
      </c>
      <c r="U1901" s="70" t="s">
        <v>239</v>
      </c>
      <c r="W1901" s="70" t="s">
        <v>19555</v>
      </c>
      <c r="Y1901" s="70" t="s">
        <v>30637</v>
      </c>
      <c r="Z1901" s="75" t="s">
        <v>19557</v>
      </c>
      <c r="AA1901" s="70" t="s">
        <v>19558</v>
      </c>
      <c r="AC1901" s="70">
        <v>9.0</v>
      </c>
      <c r="AE1901" s="70">
        <v>50.0</v>
      </c>
      <c r="AF1901" s="70" t="s">
        <v>239</v>
      </c>
      <c r="AW1901" s="70" t="s">
        <v>19559</v>
      </c>
      <c r="AX1901" s="70">
        <v>0.0</v>
      </c>
      <c r="AY1901" s="70" t="s">
        <v>24</v>
      </c>
      <c r="AZ1901" s="70">
        <v>2067.0</v>
      </c>
    </row>
    <row r="1902" ht="22.5" customHeight="1">
      <c r="A1902" s="70" t="str">
        <f t="shared" si="1"/>
        <v>Excluded</v>
      </c>
      <c r="B1902" s="70">
        <f t="shared" si="2"/>
        <v>0</v>
      </c>
      <c r="C1902" s="70">
        <v>0.0</v>
      </c>
      <c r="D1902" s="70">
        <v>0.0</v>
      </c>
      <c r="E1902" s="70">
        <v>0.0</v>
      </c>
      <c r="F1902" s="70">
        <v>0.0</v>
      </c>
      <c r="G1902" s="70">
        <v>0.0</v>
      </c>
      <c r="H1902" s="70" t="s">
        <v>19891</v>
      </c>
      <c r="I1902" s="70">
        <v>2189.0</v>
      </c>
      <c r="J1902" s="70" t="s">
        <v>19889</v>
      </c>
      <c r="K1902" s="70" t="s">
        <v>19890</v>
      </c>
      <c r="L1902" s="70" t="s">
        <v>16538</v>
      </c>
      <c r="N1902" s="70" t="s">
        <v>16539</v>
      </c>
      <c r="P1902" s="76">
        <v>44971.0</v>
      </c>
      <c r="U1902" s="70" t="s">
        <v>239</v>
      </c>
      <c r="W1902" s="70" t="s">
        <v>19893</v>
      </c>
      <c r="Y1902" s="70" t="s">
        <v>19894</v>
      </c>
      <c r="Z1902" s="75" t="s">
        <v>19895</v>
      </c>
      <c r="AA1902" s="70" t="s">
        <v>19896</v>
      </c>
      <c r="AC1902" s="70">
        <v>7.0</v>
      </c>
      <c r="AE1902" s="70">
        <v>45.0</v>
      </c>
      <c r="AF1902" s="70" t="s">
        <v>239</v>
      </c>
      <c r="AW1902" s="70" t="s">
        <v>19897</v>
      </c>
      <c r="AX1902" s="70">
        <v>0.0</v>
      </c>
      <c r="AY1902" s="70" t="s">
        <v>24</v>
      </c>
      <c r="AZ1902" s="70">
        <v>2828.0</v>
      </c>
    </row>
    <row r="1903" ht="22.5" customHeight="1">
      <c r="A1903" s="70" t="str">
        <f t="shared" si="1"/>
        <v>Excluded</v>
      </c>
      <c r="B1903" s="70">
        <f t="shared" si="2"/>
        <v>0</v>
      </c>
      <c r="C1903" s="70">
        <v>0.0</v>
      </c>
      <c r="D1903" s="70">
        <v>0.0</v>
      </c>
      <c r="E1903" s="70">
        <v>0.0</v>
      </c>
      <c r="F1903" s="70">
        <v>0.0</v>
      </c>
      <c r="G1903" s="70">
        <v>0.0</v>
      </c>
      <c r="H1903" s="70" t="s">
        <v>17822</v>
      </c>
      <c r="I1903" s="70">
        <v>1957.0</v>
      </c>
      <c r="J1903" s="70" t="s">
        <v>17820</v>
      </c>
      <c r="K1903" s="70" t="s">
        <v>17821</v>
      </c>
      <c r="L1903" s="70" t="s">
        <v>16538</v>
      </c>
      <c r="N1903" s="70" t="s">
        <v>16539</v>
      </c>
      <c r="P1903" s="76">
        <v>44973.0</v>
      </c>
      <c r="U1903" s="70" t="s">
        <v>239</v>
      </c>
      <c r="W1903" s="70" t="s">
        <v>17824</v>
      </c>
      <c r="Y1903" s="70" t="s">
        <v>17825</v>
      </c>
      <c r="Z1903" s="75" t="s">
        <v>17826</v>
      </c>
      <c r="AA1903" s="70" t="s">
        <v>17827</v>
      </c>
      <c r="AC1903" s="70">
        <v>32.0</v>
      </c>
      <c r="AE1903" s="70">
        <v>204.0</v>
      </c>
      <c r="AF1903" s="70" t="s">
        <v>239</v>
      </c>
      <c r="AW1903" s="70" t="s">
        <v>17828</v>
      </c>
      <c r="AX1903" s="70">
        <v>0.0</v>
      </c>
      <c r="AY1903" s="70" t="s">
        <v>24</v>
      </c>
      <c r="AZ1903" s="70">
        <v>2314.0</v>
      </c>
    </row>
    <row r="1904" ht="22.5" customHeight="1">
      <c r="A1904" s="70" t="str">
        <f t="shared" si="1"/>
        <v>Excluded</v>
      </c>
      <c r="B1904" s="70">
        <f t="shared" si="2"/>
        <v>0</v>
      </c>
      <c r="C1904" s="70">
        <v>0.0</v>
      </c>
      <c r="D1904" s="70">
        <v>0.0</v>
      </c>
      <c r="E1904" s="70">
        <v>0.0</v>
      </c>
      <c r="F1904" s="70">
        <v>0.0</v>
      </c>
      <c r="G1904" s="70">
        <v>0.0</v>
      </c>
      <c r="H1904" s="70" t="s">
        <v>17869</v>
      </c>
      <c r="I1904" s="70">
        <v>1962.0</v>
      </c>
      <c r="J1904" s="70" t="s">
        <v>17867</v>
      </c>
      <c r="K1904" s="70" t="s">
        <v>17868</v>
      </c>
      <c r="L1904" s="70" t="s">
        <v>16538</v>
      </c>
      <c r="N1904" s="70" t="s">
        <v>16539</v>
      </c>
      <c r="P1904" s="76">
        <v>45012.0</v>
      </c>
      <c r="U1904" s="70" t="s">
        <v>239</v>
      </c>
      <c r="W1904" s="70" t="s">
        <v>30638</v>
      </c>
      <c r="Y1904" s="70" t="s">
        <v>17872</v>
      </c>
      <c r="Z1904" s="75" t="s">
        <v>17873</v>
      </c>
      <c r="AA1904" s="70" t="s">
        <v>17874</v>
      </c>
      <c r="AC1904" s="70">
        <v>31.0</v>
      </c>
      <c r="AE1904" s="70">
        <v>44.0</v>
      </c>
      <c r="AF1904" s="70" t="s">
        <v>239</v>
      </c>
      <c r="AW1904" s="70" t="s">
        <v>17875</v>
      </c>
      <c r="AZ1904" s="70">
        <v>1167.0</v>
      </c>
    </row>
    <row r="1905" ht="22.5" customHeight="1">
      <c r="A1905" s="70" t="str">
        <f t="shared" si="1"/>
        <v>Excluded</v>
      </c>
      <c r="B1905" s="70">
        <f t="shared" si="2"/>
        <v>0</v>
      </c>
      <c r="C1905" s="70">
        <v>0.0</v>
      </c>
      <c r="D1905" s="70">
        <v>0.0</v>
      </c>
      <c r="E1905" s="70">
        <v>0.0</v>
      </c>
      <c r="F1905" s="70">
        <v>0.0</v>
      </c>
      <c r="G1905" s="70">
        <v>0.0</v>
      </c>
      <c r="H1905" s="70" t="s">
        <v>18056</v>
      </c>
      <c r="I1905" s="70">
        <v>1983.0</v>
      </c>
      <c r="J1905" s="70" t="s">
        <v>30639</v>
      </c>
      <c r="K1905" s="70" t="s">
        <v>18055</v>
      </c>
      <c r="L1905" s="70" t="s">
        <v>16538</v>
      </c>
      <c r="N1905" s="70" t="s">
        <v>16539</v>
      </c>
      <c r="P1905" s="76">
        <v>45013.0</v>
      </c>
      <c r="U1905" s="70" t="s">
        <v>239</v>
      </c>
      <c r="W1905" s="70" t="s">
        <v>18058</v>
      </c>
      <c r="Y1905" s="70" t="s">
        <v>30640</v>
      </c>
      <c r="Z1905" s="75" t="s">
        <v>18060</v>
      </c>
      <c r="AA1905" s="70" t="s">
        <v>18061</v>
      </c>
      <c r="AC1905" s="70">
        <v>28.0</v>
      </c>
      <c r="AE1905" s="70">
        <v>49.0</v>
      </c>
      <c r="AF1905" s="70" t="s">
        <v>239</v>
      </c>
      <c r="AW1905" s="70" t="s">
        <v>18062</v>
      </c>
      <c r="AZ1905" s="70">
        <v>959.0</v>
      </c>
    </row>
    <row r="1906" ht="22.5" customHeight="1">
      <c r="A1906" s="70" t="str">
        <f t="shared" si="1"/>
        <v>Excluded</v>
      </c>
      <c r="B1906" s="70">
        <f t="shared" si="2"/>
        <v>0</v>
      </c>
      <c r="C1906" s="70">
        <v>0.0</v>
      </c>
      <c r="D1906" s="70">
        <v>0.0</v>
      </c>
      <c r="E1906" s="70">
        <v>0.0</v>
      </c>
      <c r="F1906" s="70">
        <v>0.0</v>
      </c>
      <c r="G1906" s="70">
        <v>0.0</v>
      </c>
      <c r="H1906" s="70" t="s">
        <v>20624</v>
      </c>
      <c r="I1906" s="70">
        <v>2271.0</v>
      </c>
      <c r="J1906" s="70" t="s">
        <v>20622</v>
      </c>
      <c r="K1906" s="70" t="s">
        <v>20623</v>
      </c>
      <c r="L1906" s="70" t="s">
        <v>16538</v>
      </c>
      <c r="N1906" s="70" t="s">
        <v>16539</v>
      </c>
      <c r="P1906" s="77">
        <v>45082.0</v>
      </c>
      <c r="U1906" s="70" t="s">
        <v>239</v>
      </c>
      <c r="W1906" s="70" t="s">
        <v>20626</v>
      </c>
      <c r="Y1906" s="70" t="s">
        <v>30641</v>
      </c>
      <c r="Z1906" s="75" t="s">
        <v>20628</v>
      </c>
      <c r="AA1906" s="70" t="s">
        <v>20629</v>
      </c>
      <c r="AC1906" s="70">
        <v>3.0</v>
      </c>
      <c r="AE1906" s="70">
        <v>27.0</v>
      </c>
      <c r="AF1906" s="70" t="s">
        <v>239</v>
      </c>
      <c r="AW1906" s="70" t="s">
        <v>20630</v>
      </c>
      <c r="AX1906" s="70">
        <v>0.0</v>
      </c>
      <c r="AY1906" s="70" t="s">
        <v>24</v>
      </c>
      <c r="AZ1906" s="70">
        <v>2236.0</v>
      </c>
    </row>
    <row r="1907" ht="22.5" customHeight="1">
      <c r="A1907" s="70" t="str">
        <f t="shared" si="1"/>
        <v>Excluded</v>
      </c>
      <c r="B1907" s="70">
        <f t="shared" si="2"/>
        <v>0</v>
      </c>
      <c r="C1907" s="70">
        <v>0.0</v>
      </c>
      <c r="D1907" s="70">
        <v>0.0</v>
      </c>
      <c r="E1907" s="70">
        <v>0.0</v>
      </c>
      <c r="F1907" s="70">
        <v>0.0</v>
      </c>
      <c r="G1907" s="70">
        <v>0.0</v>
      </c>
      <c r="H1907" s="70" t="s">
        <v>20131</v>
      </c>
      <c r="I1907" s="70">
        <v>2216.0</v>
      </c>
      <c r="J1907" s="70" t="s">
        <v>30642</v>
      </c>
      <c r="K1907" s="70" t="s">
        <v>30643</v>
      </c>
      <c r="L1907" s="70" t="s">
        <v>16538</v>
      </c>
      <c r="N1907" s="70" t="s">
        <v>16539</v>
      </c>
      <c r="P1907" s="76">
        <v>45093.0</v>
      </c>
      <c r="U1907" s="70" t="s">
        <v>239</v>
      </c>
      <c r="W1907" s="70" t="s">
        <v>20133</v>
      </c>
      <c r="Y1907" s="70" t="s">
        <v>30644</v>
      </c>
      <c r="Z1907" s="75" t="s">
        <v>20135</v>
      </c>
      <c r="AA1907" s="70" t="s">
        <v>20136</v>
      </c>
      <c r="AC1907" s="70">
        <v>5.0</v>
      </c>
      <c r="AE1907" s="70">
        <v>26.0</v>
      </c>
      <c r="AF1907" s="70" t="s">
        <v>16423</v>
      </c>
      <c r="AW1907" s="70" t="s">
        <v>20137</v>
      </c>
      <c r="AZ1907" s="70">
        <v>504.0</v>
      </c>
    </row>
    <row r="1908" ht="22.5" customHeight="1">
      <c r="A1908" s="70" t="str">
        <f t="shared" si="1"/>
        <v>Excluded</v>
      </c>
      <c r="B1908" s="70">
        <f t="shared" si="2"/>
        <v>0</v>
      </c>
      <c r="C1908" s="70">
        <v>0.0</v>
      </c>
      <c r="D1908" s="70">
        <v>0.0</v>
      </c>
      <c r="E1908" s="70">
        <v>0.0</v>
      </c>
      <c r="F1908" s="70">
        <v>0.0</v>
      </c>
      <c r="G1908" s="70">
        <v>0.0</v>
      </c>
      <c r="H1908" s="70" t="s">
        <v>20301</v>
      </c>
      <c r="I1908" s="70">
        <v>2235.0</v>
      </c>
      <c r="J1908" s="70" t="s">
        <v>20299</v>
      </c>
      <c r="K1908" s="70" t="s">
        <v>20300</v>
      </c>
      <c r="L1908" s="70" t="s">
        <v>16538</v>
      </c>
      <c r="N1908" s="70" t="s">
        <v>16539</v>
      </c>
      <c r="P1908" s="77">
        <v>45111.0</v>
      </c>
      <c r="U1908" s="70" t="s">
        <v>239</v>
      </c>
      <c r="W1908" s="70" t="s">
        <v>30645</v>
      </c>
      <c r="Y1908" s="70" t="s">
        <v>30646</v>
      </c>
      <c r="Z1908" s="75" t="s">
        <v>20305</v>
      </c>
      <c r="AA1908" s="70" t="s">
        <v>20306</v>
      </c>
      <c r="AC1908" s="70">
        <v>5.0</v>
      </c>
      <c r="AE1908" s="70">
        <v>21.0</v>
      </c>
      <c r="AF1908" s="70" t="s">
        <v>239</v>
      </c>
      <c r="AW1908" s="70" t="s">
        <v>20307</v>
      </c>
      <c r="AX1908" s="70">
        <v>0.0</v>
      </c>
      <c r="AY1908" s="70" t="s">
        <v>24</v>
      </c>
      <c r="AZ1908" s="70">
        <v>1650.0</v>
      </c>
    </row>
    <row r="1909" ht="22.5" customHeight="1">
      <c r="A1909" s="70" t="str">
        <f t="shared" si="1"/>
        <v>Excluded</v>
      </c>
      <c r="B1909" s="70">
        <f t="shared" si="2"/>
        <v>0</v>
      </c>
      <c r="C1909" s="70">
        <v>0.0</v>
      </c>
      <c r="D1909" s="70">
        <v>0.0</v>
      </c>
      <c r="E1909" s="70">
        <v>0.0</v>
      </c>
      <c r="F1909" s="70">
        <v>0.0</v>
      </c>
      <c r="G1909" s="70">
        <v>0.0</v>
      </c>
      <c r="H1909" s="70" t="s">
        <v>19667</v>
      </c>
      <c r="I1909" s="70">
        <v>2164.0</v>
      </c>
      <c r="J1909" s="70" t="s">
        <v>17012</v>
      </c>
      <c r="K1909" s="70" t="s">
        <v>19666</v>
      </c>
      <c r="L1909" s="70" t="s">
        <v>16538</v>
      </c>
      <c r="N1909" s="70" t="s">
        <v>16539</v>
      </c>
      <c r="P1909" s="77">
        <v>45112.0</v>
      </c>
      <c r="U1909" s="70" t="s">
        <v>239</v>
      </c>
      <c r="W1909" s="70" t="s">
        <v>19669</v>
      </c>
      <c r="Z1909" s="75" t="s">
        <v>19670</v>
      </c>
      <c r="AA1909" s="70" t="s">
        <v>19671</v>
      </c>
      <c r="AC1909" s="70">
        <v>8.0</v>
      </c>
      <c r="AE1909" s="70">
        <v>50.0</v>
      </c>
      <c r="AF1909" s="70" t="s">
        <v>239</v>
      </c>
      <c r="AW1909" s="70" t="s">
        <v>19672</v>
      </c>
      <c r="AX1909" s="70">
        <v>0.0</v>
      </c>
      <c r="AY1909" s="70" t="s">
        <v>24</v>
      </c>
      <c r="AZ1909" s="70">
        <v>1873.0</v>
      </c>
    </row>
    <row r="1910" ht="22.5" customHeight="1">
      <c r="A1910" s="70" t="str">
        <f t="shared" si="1"/>
        <v>Excluded</v>
      </c>
      <c r="B1910" s="70">
        <f t="shared" si="2"/>
        <v>0</v>
      </c>
      <c r="C1910" s="70">
        <v>0.0</v>
      </c>
      <c r="D1910" s="70">
        <v>0.0</v>
      </c>
      <c r="E1910" s="70">
        <v>0.0</v>
      </c>
      <c r="F1910" s="70">
        <v>0.0</v>
      </c>
      <c r="G1910" s="70">
        <v>0.0</v>
      </c>
      <c r="H1910" s="70" t="s">
        <v>23961</v>
      </c>
      <c r="I1910" s="70">
        <v>2626.0</v>
      </c>
      <c r="J1910" s="70" t="s">
        <v>23959</v>
      </c>
      <c r="K1910" s="70" t="s">
        <v>23960</v>
      </c>
      <c r="W1910" s="70" t="s">
        <v>30647</v>
      </c>
      <c r="AA1910" s="70" t="s">
        <v>23963</v>
      </c>
      <c r="AI1910" s="70" t="s">
        <v>23964</v>
      </c>
      <c r="AJ1910" s="70" t="s">
        <v>23965</v>
      </c>
      <c r="AK1910" s="70">
        <v>2024.0</v>
      </c>
      <c r="AL1910" s="70" t="s">
        <v>16538</v>
      </c>
      <c r="AN1910" s="70">
        <v>2364.0</v>
      </c>
      <c r="AO1910" s="70">
        <v>2381.0</v>
      </c>
      <c r="AP1910" s="70">
        <v>17.0</v>
      </c>
      <c r="AQ1910" s="70">
        <v>3.0</v>
      </c>
      <c r="AR1910" s="75" t="s">
        <v>23966</v>
      </c>
      <c r="AS1910" s="70" t="s">
        <v>22525</v>
      </c>
      <c r="AU1910" s="70" t="s">
        <v>237</v>
      </c>
      <c r="AV1910" s="70" t="s">
        <v>23967</v>
      </c>
      <c r="AW1910" s="70" t="s">
        <v>23968</v>
      </c>
      <c r="AZ1910" s="70">
        <v>261.0</v>
      </c>
    </row>
    <row r="1911" ht="22.5" customHeight="1">
      <c r="A1911" s="70" t="str">
        <f t="shared" si="1"/>
        <v>Excluded</v>
      </c>
      <c r="B1911" s="70">
        <f t="shared" si="2"/>
        <v>0</v>
      </c>
      <c r="C1911" s="70">
        <v>0.0</v>
      </c>
      <c r="D1911" s="70">
        <v>0.0</v>
      </c>
      <c r="E1911" s="70">
        <v>0.0</v>
      </c>
      <c r="F1911" s="70">
        <v>0.0</v>
      </c>
      <c r="G1911" s="70">
        <v>0.0</v>
      </c>
      <c r="H1911" s="70" t="s">
        <v>18290</v>
      </c>
      <c r="I1911" s="70">
        <v>2009.0</v>
      </c>
      <c r="J1911" s="70" t="s">
        <v>18288</v>
      </c>
      <c r="K1911" s="70" t="s">
        <v>18289</v>
      </c>
      <c r="L1911" s="70" t="s">
        <v>16538</v>
      </c>
      <c r="N1911" s="70" t="s">
        <v>16539</v>
      </c>
      <c r="P1911" s="77">
        <v>45142.0</v>
      </c>
      <c r="U1911" s="70" t="s">
        <v>239</v>
      </c>
      <c r="W1911" s="70" t="s">
        <v>18292</v>
      </c>
      <c r="Y1911" s="70" t="s">
        <v>30648</v>
      </c>
      <c r="Z1911" s="75" t="s">
        <v>18294</v>
      </c>
      <c r="AA1911" s="70" t="s">
        <v>18295</v>
      </c>
      <c r="AC1911" s="70">
        <v>24.0</v>
      </c>
      <c r="AE1911" s="70">
        <v>153.0</v>
      </c>
      <c r="AF1911" s="70" t="s">
        <v>239</v>
      </c>
      <c r="AW1911" s="70" t="s">
        <v>18296</v>
      </c>
      <c r="AZ1911" s="70">
        <v>768.0</v>
      </c>
    </row>
    <row r="1912" ht="22.5" customHeight="1">
      <c r="A1912" s="70" t="str">
        <f t="shared" si="1"/>
        <v>Excluded</v>
      </c>
      <c r="B1912" s="70">
        <f t="shared" si="2"/>
        <v>0</v>
      </c>
      <c r="C1912" s="70">
        <v>0.0</v>
      </c>
      <c r="D1912" s="70">
        <v>0.0</v>
      </c>
      <c r="E1912" s="70">
        <v>0.0</v>
      </c>
      <c r="F1912" s="70">
        <v>0.0</v>
      </c>
      <c r="G1912" s="70">
        <v>0.0</v>
      </c>
      <c r="H1912" s="70" t="s">
        <v>21726</v>
      </c>
      <c r="I1912" s="70">
        <v>2395.0</v>
      </c>
      <c r="J1912" s="70" t="s">
        <v>21724</v>
      </c>
      <c r="K1912" s="70" t="s">
        <v>21725</v>
      </c>
      <c r="L1912" s="70" t="s">
        <v>16538</v>
      </c>
      <c r="N1912" s="70" t="s">
        <v>16539</v>
      </c>
      <c r="P1912" s="76">
        <v>45152.0</v>
      </c>
      <c r="U1912" s="70" t="s">
        <v>239</v>
      </c>
      <c r="W1912" s="70" t="s">
        <v>30649</v>
      </c>
      <c r="Y1912" s="70" t="s">
        <v>30650</v>
      </c>
      <c r="Z1912" s="75" t="s">
        <v>21730</v>
      </c>
      <c r="AA1912" s="70" t="s">
        <v>21731</v>
      </c>
      <c r="AE1912" s="70">
        <v>30.0</v>
      </c>
      <c r="AF1912" s="70" t="s">
        <v>239</v>
      </c>
      <c r="AW1912" s="70" t="s">
        <v>21732</v>
      </c>
      <c r="AX1912" s="70">
        <v>0.0</v>
      </c>
      <c r="AY1912" s="70" t="s">
        <v>24</v>
      </c>
      <c r="AZ1912" s="70">
        <v>1674.0</v>
      </c>
    </row>
    <row r="1913" ht="22.5" customHeight="1">
      <c r="A1913" s="70" t="str">
        <f t="shared" si="1"/>
        <v>Excluded</v>
      </c>
      <c r="B1913" s="70">
        <f t="shared" si="2"/>
        <v>0</v>
      </c>
      <c r="C1913" s="70">
        <v>0.0</v>
      </c>
      <c r="D1913" s="70">
        <v>0.0</v>
      </c>
      <c r="E1913" s="70">
        <v>0.0</v>
      </c>
      <c r="F1913" s="70">
        <v>0.0</v>
      </c>
      <c r="G1913" s="70">
        <v>0.0</v>
      </c>
      <c r="H1913" s="70" t="s">
        <v>18737</v>
      </c>
      <c r="I1913" s="70">
        <v>2059.0</v>
      </c>
      <c r="J1913" s="70" t="s">
        <v>18735</v>
      </c>
      <c r="K1913" s="70" t="s">
        <v>18736</v>
      </c>
      <c r="L1913" s="70" t="s">
        <v>16538</v>
      </c>
      <c r="N1913" s="70" t="s">
        <v>16539</v>
      </c>
      <c r="P1913" s="76">
        <v>45149.0</v>
      </c>
      <c r="U1913" s="70" t="s">
        <v>239</v>
      </c>
      <c r="W1913" s="70" t="s">
        <v>30651</v>
      </c>
      <c r="Y1913" s="70" t="s">
        <v>18740</v>
      </c>
      <c r="Z1913" s="75" t="s">
        <v>18741</v>
      </c>
      <c r="AA1913" s="70" t="s">
        <v>18742</v>
      </c>
      <c r="AC1913" s="70">
        <v>17.0</v>
      </c>
      <c r="AE1913" s="70">
        <v>165.0</v>
      </c>
      <c r="AF1913" s="70" t="s">
        <v>239</v>
      </c>
      <c r="AW1913" s="70" t="s">
        <v>18743</v>
      </c>
      <c r="AX1913" s="70">
        <v>0.0</v>
      </c>
      <c r="AY1913" s="70" t="s">
        <v>24</v>
      </c>
      <c r="AZ1913" s="70">
        <v>2277.0</v>
      </c>
    </row>
    <row r="1914" ht="22.5" customHeight="1">
      <c r="A1914" s="70" t="str">
        <f t="shared" si="1"/>
        <v>Excluded</v>
      </c>
      <c r="B1914" s="70">
        <f t="shared" si="2"/>
        <v>0</v>
      </c>
      <c r="C1914" s="70">
        <v>0.0</v>
      </c>
      <c r="D1914" s="70">
        <v>0.0</v>
      </c>
      <c r="E1914" s="70">
        <v>0.0</v>
      </c>
      <c r="F1914" s="70">
        <v>0.0</v>
      </c>
      <c r="G1914" s="70">
        <v>0.0</v>
      </c>
      <c r="H1914" s="70" t="s">
        <v>17664</v>
      </c>
      <c r="I1914" s="70">
        <v>1939.0</v>
      </c>
      <c r="J1914" s="70" t="s">
        <v>17662</v>
      </c>
      <c r="K1914" s="70" t="s">
        <v>17663</v>
      </c>
      <c r="L1914" s="70" t="s">
        <v>16538</v>
      </c>
      <c r="N1914" s="70" t="s">
        <v>16539</v>
      </c>
      <c r="P1914" s="76">
        <v>45152.0</v>
      </c>
      <c r="U1914" s="70" t="s">
        <v>239</v>
      </c>
      <c r="W1914" s="70" t="s">
        <v>17666</v>
      </c>
      <c r="Y1914" s="70" t="s">
        <v>30652</v>
      </c>
      <c r="Z1914" s="75" t="s">
        <v>17668</v>
      </c>
      <c r="AA1914" s="70" t="s">
        <v>17669</v>
      </c>
      <c r="AC1914" s="70">
        <v>36.0</v>
      </c>
      <c r="AE1914" s="70">
        <v>111.0</v>
      </c>
      <c r="AF1914" s="70" t="s">
        <v>239</v>
      </c>
      <c r="AW1914" s="70" t="s">
        <v>17670</v>
      </c>
      <c r="AZ1914" s="70">
        <v>494.0</v>
      </c>
    </row>
    <row r="1915" ht="22.5" customHeight="1">
      <c r="A1915" s="70" t="str">
        <f t="shared" si="1"/>
        <v>Excluded</v>
      </c>
      <c r="B1915" s="70">
        <f t="shared" si="2"/>
        <v>0</v>
      </c>
      <c r="C1915" s="70">
        <v>0.0</v>
      </c>
      <c r="D1915" s="70">
        <v>0.0</v>
      </c>
      <c r="E1915" s="70">
        <v>0.0</v>
      </c>
      <c r="F1915" s="70">
        <v>0.0</v>
      </c>
      <c r="G1915" s="70">
        <v>0.0</v>
      </c>
      <c r="H1915" s="70" t="s">
        <v>24468</v>
      </c>
      <c r="I1915" s="70">
        <v>2675.0</v>
      </c>
      <c r="J1915" s="70" t="s">
        <v>24466</v>
      </c>
      <c r="K1915" s="70" t="s">
        <v>24467</v>
      </c>
      <c r="W1915" s="70" t="s">
        <v>30653</v>
      </c>
      <c r="AA1915" s="70" t="s">
        <v>24470</v>
      </c>
      <c r="AI1915" s="70" t="s">
        <v>24471</v>
      </c>
      <c r="AJ1915" s="70" t="s">
        <v>24472</v>
      </c>
      <c r="AK1915" s="70">
        <v>2023.0</v>
      </c>
      <c r="AL1915" s="70" t="s">
        <v>16538</v>
      </c>
      <c r="AN1915" s="70">
        <v>21959.0</v>
      </c>
      <c r="AO1915" s="70">
        <v>21981.0</v>
      </c>
      <c r="AP1915" s="70">
        <v>22.0</v>
      </c>
      <c r="AQ1915" s="70">
        <v>11.0</v>
      </c>
      <c r="AR1915" s="75" t="s">
        <v>24473</v>
      </c>
      <c r="AS1915" s="70" t="s">
        <v>22525</v>
      </c>
      <c r="AU1915" s="70" t="s">
        <v>237</v>
      </c>
      <c r="AV1915" s="70" t="s">
        <v>24474</v>
      </c>
      <c r="AW1915" s="70" t="s">
        <v>24475</v>
      </c>
      <c r="AZ1915" s="70">
        <v>349.0</v>
      </c>
    </row>
    <row r="1916" ht="22.5" customHeight="1">
      <c r="A1916" s="70" t="str">
        <f t="shared" si="1"/>
        <v>Excluded</v>
      </c>
      <c r="B1916" s="70">
        <f t="shared" si="2"/>
        <v>0</v>
      </c>
      <c r="C1916" s="70">
        <v>0.0</v>
      </c>
      <c r="D1916" s="70">
        <v>0.0</v>
      </c>
      <c r="E1916" s="70">
        <v>0.0</v>
      </c>
      <c r="F1916" s="70">
        <v>0.0</v>
      </c>
      <c r="G1916" s="70">
        <v>0.0</v>
      </c>
      <c r="H1916" s="70" t="s">
        <v>21389</v>
      </c>
      <c r="I1916" s="70">
        <v>2356.0</v>
      </c>
      <c r="J1916" s="70" t="s">
        <v>21387</v>
      </c>
      <c r="K1916" s="70" t="s">
        <v>21388</v>
      </c>
      <c r="L1916" s="70" t="s">
        <v>16538</v>
      </c>
      <c r="N1916" s="70" t="s">
        <v>16539</v>
      </c>
      <c r="P1916" s="76">
        <v>45189.0</v>
      </c>
      <c r="U1916" s="70" t="s">
        <v>239</v>
      </c>
      <c r="W1916" s="70" t="s">
        <v>21391</v>
      </c>
      <c r="Y1916" s="70" t="s">
        <v>30654</v>
      </c>
      <c r="Z1916" s="75" t="s">
        <v>21393</v>
      </c>
      <c r="AA1916" s="70" t="s">
        <v>21394</v>
      </c>
      <c r="AC1916" s="70">
        <v>1.0</v>
      </c>
      <c r="AE1916" s="70">
        <v>35.0</v>
      </c>
      <c r="AF1916" s="70" t="s">
        <v>239</v>
      </c>
      <c r="AW1916" s="70" t="s">
        <v>21395</v>
      </c>
      <c r="AX1916" s="70">
        <v>0.0</v>
      </c>
      <c r="AY1916" s="70" t="s">
        <v>24</v>
      </c>
      <c r="AZ1916" s="70">
        <v>2695.0</v>
      </c>
    </row>
    <row r="1917" ht="22.5" customHeight="1">
      <c r="A1917" s="70" t="str">
        <f t="shared" si="1"/>
        <v>Excluded</v>
      </c>
      <c r="B1917" s="70">
        <f t="shared" si="2"/>
        <v>0</v>
      </c>
      <c r="C1917" s="70">
        <v>0.0</v>
      </c>
      <c r="D1917" s="70">
        <v>0.0</v>
      </c>
      <c r="E1917" s="70">
        <v>0.0</v>
      </c>
      <c r="F1917" s="70">
        <v>0.0</v>
      </c>
      <c r="G1917" s="70">
        <v>0.0</v>
      </c>
      <c r="H1917" s="70" t="s">
        <v>21003</v>
      </c>
      <c r="I1917" s="70">
        <v>2313.0</v>
      </c>
      <c r="J1917" s="70" t="s">
        <v>21001</v>
      </c>
      <c r="K1917" s="70" t="s">
        <v>21002</v>
      </c>
      <c r="L1917" s="70" t="s">
        <v>16538</v>
      </c>
      <c r="N1917" s="70" t="s">
        <v>16539</v>
      </c>
      <c r="P1917" s="76">
        <v>45222.0</v>
      </c>
      <c r="U1917" s="70" t="s">
        <v>239</v>
      </c>
      <c r="W1917" s="70" t="s">
        <v>21005</v>
      </c>
      <c r="Z1917" s="75" t="s">
        <v>21006</v>
      </c>
      <c r="AA1917" s="70" t="s">
        <v>21007</v>
      </c>
      <c r="AC1917" s="70">
        <v>2.0</v>
      </c>
      <c r="AE1917" s="70">
        <v>31.0</v>
      </c>
      <c r="AF1917" s="70" t="s">
        <v>239</v>
      </c>
      <c r="AW1917" s="70" t="s">
        <v>21008</v>
      </c>
      <c r="AZ1917" s="70">
        <v>971.0</v>
      </c>
    </row>
    <row r="1918" ht="22.5" customHeight="1">
      <c r="A1918" s="70" t="str">
        <f t="shared" si="1"/>
        <v>Excluded</v>
      </c>
      <c r="B1918" s="70">
        <f t="shared" si="2"/>
        <v>0</v>
      </c>
      <c r="C1918" s="70">
        <v>0.0</v>
      </c>
      <c r="D1918" s="70">
        <v>0.0</v>
      </c>
      <c r="E1918" s="70">
        <v>0.0</v>
      </c>
      <c r="F1918" s="70">
        <v>0.0</v>
      </c>
      <c r="G1918" s="70">
        <v>0.0</v>
      </c>
      <c r="H1918" s="70" t="s">
        <v>22096</v>
      </c>
      <c r="I1918" s="70">
        <v>2437.0</v>
      </c>
      <c r="J1918" s="70" t="s">
        <v>22094</v>
      </c>
      <c r="K1918" s="70" t="s">
        <v>22095</v>
      </c>
      <c r="L1918" s="70" t="s">
        <v>16538</v>
      </c>
      <c r="N1918" s="70" t="s">
        <v>16539</v>
      </c>
      <c r="P1918" s="77">
        <v>45267.0</v>
      </c>
      <c r="U1918" s="70" t="s">
        <v>239</v>
      </c>
      <c r="W1918" s="70" t="s">
        <v>22098</v>
      </c>
      <c r="Z1918" s="75" t="s">
        <v>22099</v>
      </c>
      <c r="AA1918" s="70" t="s">
        <v>22100</v>
      </c>
      <c r="AE1918" s="70">
        <v>47.0</v>
      </c>
      <c r="AF1918" s="70" t="s">
        <v>239</v>
      </c>
      <c r="AW1918" s="70" t="s">
        <v>22101</v>
      </c>
      <c r="AX1918" s="70">
        <v>0.0</v>
      </c>
      <c r="AY1918" s="70" t="s">
        <v>24</v>
      </c>
      <c r="AZ1918" s="70">
        <v>2504.0</v>
      </c>
    </row>
    <row r="1919" ht="22.5" customHeight="1">
      <c r="A1919" s="70" t="str">
        <f t="shared" si="1"/>
        <v>Excluded</v>
      </c>
      <c r="B1919" s="70">
        <f t="shared" si="2"/>
        <v>0</v>
      </c>
      <c r="C1919" s="70">
        <v>0.0</v>
      </c>
      <c r="D1919" s="70">
        <v>0.0</v>
      </c>
      <c r="E1919" s="70">
        <v>0.0</v>
      </c>
      <c r="F1919" s="70">
        <v>0.0</v>
      </c>
      <c r="G1919" s="70">
        <v>0.0</v>
      </c>
      <c r="H1919" s="70" t="s">
        <v>19467</v>
      </c>
      <c r="I1919" s="70">
        <v>2141.0</v>
      </c>
      <c r="J1919" s="70" t="s">
        <v>30655</v>
      </c>
      <c r="K1919" s="70" t="s">
        <v>19466</v>
      </c>
      <c r="L1919" s="70" t="s">
        <v>16538</v>
      </c>
      <c r="N1919" s="70" t="s">
        <v>16539</v>
      </c>
      <c r="P1919" s="76">
        <v>45275.0</v>
      </c>
      <c r="U1919" s="70" t="s">
        <v>239</v>
      </c>
      <c r="W1919" s="70" t="s">
        <v>19469</v>
      </c>
      <c r="Y1919" s="70" t="s">
        <v>30656</v>
      </c>
      <c r="Z1919" s="75" t="s">
        <v>19471</v>
      </c>
      <c r="AA1919" s="70" t="s">
        <v>19472</v>
      </c>
      <c r="AC1919" s="70">
        <v>10.0</v>
      </c>
      <c r="AE1919" s="70">
        <v>66.0</v>
      </c>
      <c r="AF1919" s="70" t="s">
        <v>239</v>
      </c>
      <c r="AW1919" s="70" t="s">
        <v>19473</v>
      </c>
      <c r="AZ1919" s="70">
        <v>951.0</v>
      </c>
    </row>
    <row r="1920" ht="22.5" customHeight="1">
      <c r="A1920" s="70" t="str">
        <f t="shared" si="1"/>
        <v>Excluded</v>
      </c>
      <c r="B1920" s="70">
        <f t="shared" si="2"/>
        <v>0</v>
      </c>
      <c r="C1920" s="70">
        <v>0.0</v>
      </c>
      <c r="D1920" s="70">
        <v>0.0</v>
      </c>
      <c r="E1920" s="70">
        <v>0.0</v>
      </c>
      <c r="F1920" s="70">
        <v>0.0</v>
      </c>
      <c r="G1920" s="70">
        <v>0.0</v>
      </c>
      <c r="H1920" s="70" t="s">
        <v>23674</v>
      </c>
      <c r="I1920" s="70">
        <v>2598.0</v>
      </c>
      <c r="J1920" s="70" t="s">
        <v>23672</v>
      </c>
      <c r="K1920" s="70" t="s">
        <v>23673</v>
      </c>
      <c r="W1920" s="70" t="s">
        <v>30657</v>
      </c>
      <c r="AA1920" s="70" t="s">
        <v>23676</v>
      </c>
      <c r="AI1920" s="70" t="s">
        <v>23677</v>
      </c>
      <c r="AJ1920" s="70" t="s">
        <v>23678</v>
      </c>
      <c r="AK1920" s="70">
        <v>2024.0</v>
      </c>
      <c r="AL1920" s="70" t="s">
        <v>16538</v>
      </c>
      <c r="AN1920" s="70">
        <v>16033.0</v>
      </c>
      <c r="AO1920" s="70">
        <v>16047.0</v>
      </c>
      <c r="AP1920" s="70">
        <v>14.0</v>
      </c>
      <c r="AQ1920" s="70">
        <v>9.0</v>
      </c>
      <c r="AR1920" s="75" t="s">
        <v>23679</v>
      </c>
      <c r="AS1920" s="70" t="s">
        <v>22525</v>
      </c>
      <c r="AU1920" s="70" t="s">
        <v>237</v>
      </c>
      <c r="AV1920" s="70" t="s">
        <v>23680</v>
      </c>
      <c r="AW1920" s="70" t="s">
        <v>23681</v>
      </c>
      <c r="AX1920" s="70">
        <v>0.0</v>
      </c>
      <c r="AY1920" s="70" t="s">
        <v>24</v>
      </c>
      <c r="AZ1920" s="70">
        <v>2325.0</v>
      </c>
    </row>
    <row r="1921" ht="22.5" customHeight="1">
      <c r="A1921" s="70" t="str">
        <f t="shared" si="1"/>
        <v>Excluded</v>
      </c>
      <c r="B1921" s="70">
        <f t="shared" si="2"/>
        <v>0</v>
      </c>
      <c r="C1921" s="70">
        <v>0.0</v>
      </c>
      <c r="D1921" s="70">
        <v>0.0</v>
      </c>
      <c r="E1921" s="70">
        <v>0.0</v>
      </c>
      <c r="F1921" s="70">
        <v>0.0</v>
      </c>
      <c r="G1921" s="70">
        <v>0.0</v>
      </c>
      <c r="H1921" s="70" t="s">
        <v>20105</v>
      </c>
      <c r="I1921" s="70">
        <v>2213.0</v>
      </c>
      <c r="J1921" s="70" t="s">
        <v>20103</v>
      </c>
      <c r="K1921" s="70" t="s">
        <v>20104</v>
      </c>
      <c r="L1921" s="70" t="s">
        <v>16538</v>
      </c>
      <c r="N1921" s="70" t="s">
        <v>16539</v>
      </c>
      <c r="P1921" s="76">
        <v>45306.0</v>
      </c>
      <c r="U1921" s="70" t="s">
        <v>239</v>
      </c>
      <c r="W1921" s="70" t="s">
        <v>20107</v>
      </c>
      <c r="Y1921" s="70" t="s">
        <v>30658</v>
      </c>
      <c r="Z1921" s="75" t="s">
        <v>20109</v>
      </c>
      <c r="AA1921" s="70" t="s">
        <v>20110</v>
      </c>
      <c r="AC1921" s="70">
        <v>5.0</v>
      </c>
      <c r="AE1921" s="70">
        <v>124.0</v>
      </c>
      <c r="AF1921" s="70" t="s">
        <v>239</v>
      </c>
      <c r="AW1921" s="70" t="s">
        <v>20111</v>
      </c>
      <c r="AZ1921" s="70">
        <v>665.0</v>
      </c>
    </row>
    <row r="1922" ht="22.5" customHeight="1">
      <c r="A1922" s="70" t="str">
        <f t="shared" si="1"/>
        <v>Excluded</v>
      </c>
      <c r="B1922" s="70">
        <f t="shared" si="2"/>
        <v>0</v>
      </c>
      <c r="C1922" s="70">
        <v>0.0</v>
      </c>
      <c r="D1922" s="70">
        <v>0.0</v>
      </c>
      <c r="E1922" s="70">
        <v>0.0</v>
      </c>
      <c r="F1922" s="70">
        <v>0.0</v>
      </c>
      <c r="G1922" s="70">
        <v>0.0</v>
      </c>
      <c r="H1922" s="70" t="s">
        <v>21489</v>
      </c>
      <c r="I1922" s="70">
        <v>2368.0</v>
      </c>
      <c r="J1922" s="70" t="s">
        <v>21487</v>
      </c>
      <c r="K1922" s="70" t="s">
        <v>21488</v>
      </c>
      <c r="L1922" s="70" t="s">
        <v>16538</v>
      </c>
      <c r="N1922" s="70" t="s">
        <v>16539</v>
      </c>
      <c r="P1922" s="76">
        <v>45308.0</v>
      </c>
      <c r="U1922" s="70" t="s">
        <v>239</v>
      </c>
      <c r="W1922" s="70" t="s">
        <v>21491</v>
      </c>
      <c r="Z1922" s="75" t="s">
        <v>21492</v>
      </c>
      <c r="AA1922" s="70" t="s">
        <v>21493</v>
      </c>
      <c r="AC1922" s="70">
        <v>1.0</v>
      </c>
      <c r="AE1922" s="70">
        <v>84.0</v>
      </c>
      <c r="AF1922" s="70" t="s">
        <v>239</v>
      </c>
      <c r="AW1922" s="70" t="s">
        <v>21494</v>
      </c>
      <c r="AZ1922" s="70">
        <v>175.0</v>
      </c>
    </row>
    <row r="1923" ht="22.5" customHeight="1">
      <c r="A1923" s="70" t="str">
        <f t="shared" si="1"/>
        <v>Excluded</v>
      </c>
      <c r="B1923" s="70">
        <f t="shared" si="2"/>
        <v>0</v>
      </c>
      <c r="C1923" s="70">
        <v>0.0</v>
      </c>
      <c r="D1923" s="70">
        <v>0.0</v>
      </c>
      <c r="E1923" s="70">
        <v>0.0</v>
      </c>
      <c r="F1923" s="70">
        <v>0.0</v>
      </c>
      <c r="G1923" s="70">
        <v>0.0</v>
      </c>
      <c r="H1923" s="70" t="s">
        <v>20346</v>
      </c>
      <c r="I1923" s="70">
        <v>2240.0</v>
      </c>
      <c r="J1923" s="70" t="s">
        <v>20344</v>
      </c>
      <c r="K1923" s="70" t="s">
        <v>20345</v>
      </c>
      <c r="L1923" s="70" t="s">
        <v>16538</v>
      </c>
      <c r="N1923" s="70" t="s">
        <v>16539</v>
      </c>
      <c r="P1923" s="76">
        <v>45316.0</v>
      </c>
      <c r="U1923" s="70" t="s">
        <v>239</v>
      </c>
      <c r="W1923" s="70" t="s">
        <v>30659</v>
      </c>
      <c r="Y1923" s="70" t="s">
        <v>20349</v>
      </c>
      <c r="Z1923" s="75" t="s">
        <v>20350</v>
      </c>
      <c r="AA1923" s="70" t="s">
        <v>20351</v>
      </c>
      <c r="AC1923" s="70">
        <v>4.0</v>
      </c>
      <c r="AE1923" s="70">
        <v>47.0</v>
      </c>
      <c r="AF1923" s="70" t="s">
        <v>239</v>
      </c>
      <c r="AW1923" s="70" t="s">
        <v>20352</v>
      </c>
      <c r="AZ1923" s="70">
        <v>718.0</v>
      </c>
    </row>
    <row r="1924" ht="22.5" customHeight="1">
      <c r="A1924" s="70" t="str">
        <f t="shared" si="1"/>
        <v>Excluded</v>
      </c>
      <c r="B1924" s="70">
        <f t="shared" si="2"/>
        <v>0</v>
      </c>
      <c r="C1924" s="70">
        <v>0.0</v>
      </c>
      <c r="D1924" s="70">
        <v>0.0</v>
      </c>
      <c r="E1924" s="70">
        <v>0.0</v>
      </c>
      <c r="F1924" s="70">
        <v>0.0</v>
      </c>
      <c r="G1924" s="70">
        <v>0.0</v>
      </c>
      <c r="H1924" s="70" t="s">
        <v>24034</v>
      </c>
      <c r="I1924" s="70">
        <v>2633.0</v>
      </c>
      <c r="J1924" s="70" t="s">
        <v>24032</v>
      </c>
      <c r="K1924" s="70" t="s">
        <v>24033</v>
      </c>
      <c r="W1924" s="70" t="s">
        <v>30660</v>
      </c>
      <c r="AA1924" s="70" t="s">
        <v>24036</v>
      </c>
      <c r="AI1924" s="70" t="s">
        <v>24037</v>
      </c>
      <c r="AJ1924" s="70" t="s">
        <v>24038</v>
      </c>
      <c r="AK1924" s="70">
        <v>2024.0</v>
      </c>
      <c r="AL1924" s="70" t="s">
        <v>16538</v>
      </c>
      <c r="AN1924" s="70">
        <v>18035.0</v>
      </c>
      <c r="AO1924" s="70">
        <v>18046.0</v>
      </c>
      <c r="AP1924" s="70">
        <v>11.0</v>
      </c>
      <c r="AQ1924" s="70">
        <v>10.0</v>
      </c>
      <c r="AR1924" s="75" t="s">
        <v>24039</v>
      </c>
      <c r="AS1924" s="70" t="s">
        <v>22525</v>
      </c>
      <c r="AU1924" s="70" t="s">
        <v>237</v>
      </c>
      <c r="AV1924" s="70" t="s">
        <v>24040</v>
      </c>
      <c r="AW1924" s="70" t="s">
        <v>24041</v>
      </c>
      <c r="AZ1924" s="70">
        <v>1057.0</v>
      </c>
    </row>
    <row r="1925" ht="22.5" customHeight="1">
      <c r="A1925" s="70" t="str">
        <f t="shared" si="1"/>
        <v>Excluded</v>
      </c>
      <c r="B1925" s="70">
        <f t="shared" si="2"/>
        <v>0</v>
      </c>
      <c r="C1925" s="70">
        <v>0.0</v>
      </c>
      <c r="D1925" s="70">
        <v>0.0</v>
      </c>
      <c r="E1925" s="70">
        <v>0.0</v>
      </c>
      <c r="F1925" s="70">
        <v>0.0</v>
      </c>
      <c r="G1925" s="70">
        <v>0.0</v>
      </c>
      <c r="H1925" s="70" t="s">
        <v>19140</v>
      </c>
      <c r="I1925" s="70">
        <v>2104.0</v>
      </c>
      <c r="J1925" s="70" t="s">
        <v>19138</v>
      </c>
      <c r="K1925" s="70" t="s">
        <v>19139</v>
      </c>
      <c r="L1925" s="70" t="s">
        <v>16538</v>
      </c>
      <c r="N1925" s="70" t="s">
        <v>16539</v>
      </c>
      <c r="P1925" s="76">
        <v>45342.0</v>
      </c>
      <c r="U1925" s="70" t="s">
        <v>239</v>
      </c>
      <c r="W1925" s="70" t="s">
        <v>19142</v>
      </c>
      <c r="Y1925" s="70" t="s">
        <v>19143</v>
      </c>
      <c r="Z1925" s="75" t="s">
        <v>19144</v>
      </c>
      <c r="AA1925" s="70" t="s">
        <v>19145</v>
      </c>
      <c r="AC1925" s="70">
        <v>13.0</v>
      </c>
      <c r="AE1925" s="70">
        <v>219.0</v>
      </c>
      <c r="AF1925" s="70" t="s">
        <v>239</v>
      </c>
      <c r="AW1925" s="70" t="s">
        <v>19146</v>
      </c>
      <c r="AZ1925" s="70">
        <v>1389.0</v>
      </c>
    </row>
    <row r="1926" ht="22.5" customHeight="1">
      <c r="A1926" s="70" t="str">
        <f t="shared" si="1"/>
        <v>Excluded</v>
      </c>
      <c r="B1926" s="70">
        <f t="shared" si="2"/>
        <v>0</v>
      </c>
      <c r="C1926" s="70">
        <v>0.0</v>
      </c>
      <c r="D1926" s="70">
        <v>0.0</v>
      </c>
      <c r="E1926" s="70">
        <v>0.0</v>
      </c>
      <c r="F1926" s="70">
        <v>0.0</v>
      </c>
      <c r="G1926" s="70">
        <v>0.0</v>
      </c>
      <c r="H1926" s="70" t="s">
        <v>20008</v>
      </c>
      <c r="I1926" s="70">
        <v>2202.0</v>
      </c>
      <c r="J1926" s="70" t="s">
        <v>20006</v>
      </c>
      <c r="K1926" s="70" t="s">
        <v>20007</v>
      </c>
      <c r="L1926" s="70" t="s">
        <v>16538</v>
      </c>
      <c r="N1926" s="70" t="s">
        <v>16539</v>
      </c>
      <c r="P1926" s="77">
        <v>45390.0</v>
      </c>
      <c r="U1926" s="70" t="s">
        <v>239</v>
      </c>
      <c r="W1926" s="70" t="s">
        <v>30661</v>
      </c>
      <c r="Y1926" s="70" t="s">
        <v>30662</v>
      </c>
      <c r="Z1926" s="75" t="s">
        <v>20012</v>
      </c>
      <c r="AA1926" s="70" t="s">
        <v>20013</v>
      </c>
      <c r="AC1926" s="70">
        <v>6.0</v>
      </c>
      <c r="AE1926" s="70">
        <v>41.0</v>
      </c>
      <c r="AF1926" s="70" t="s">
        <v>239</v>
      </c>
      <c r="AW1926" s="70" t="s">
        <v>20014</v>
      </c>
      <c r="AX1926" s="70">
        <v>0.0</v>
      </c>
      <c r="AY1926" s="70" t="s">
        <v>24</v>
      </c>
      <c r="AZ1926" s="70">
        <v>1796.0</v>
      </c>
    </row>
    <row r="1927" ht="22.5" customHeight="1">
      <c r="A1927" s="70" t="str">
        <f t="shared" si="1"/>
        <v>Excluded</v>
      </c>
      <c r="B1927" s="70">
        <f t="shared" si="2"/>
        <v>0</v>
      </c>
      <c r="C1927" s="70">
        <v>0.0</v>
      </c>
      <c r="D1927" s="70">
        <v>0.0</v>
      </c>
      <c r="E1927" s="70">
        <v>0.0</v>
      </c>
      <c r="F1927" s="70">
        <v>0.0</v>
      </c>
      <c r="G1927" s="70">
        <v>0.0</v>
      </c>
      <c r="H1927" s="70" t="s">
        <v>19570</v>
      </c>
      <c r="I1927" s="70">
        <v>2153.0</v>
      </c>
      <c r="J1927" s="70" t="s">
        <v>19568</v>
      </c>
      <c r="K1927" s="70" t="s">
        <v>19569</v>
      </c>
      <c r="L1927" s="70" t="s">
        <v>16538</v>
      </c>
      <c r="N1927" s="70" t="s">
        <v>16539</v>
      </c>
      <c r="P1927" s="78">
        <v>45427.0</v>
      </c>
      <c r="U1927" s="70" t="s">
        <v>239</v>
      </c>
      <c r="W1927" s="70" t="s">
        <v>19572</v>
      </c>
      <c r="Y1927" s="70" t="s">
        <v>30663</v>
      </c>
      <c r="Z1927" s="75" t="s">
        <v>19574</v>
      </c>
      <c r="AA1927" s="70" t="s">
        <v>19575</v>
      </c>
      <c r="AC1927" s="70">
        <v>9.0</v>
      </c>
      <c r="AE1927" s="70">
        <v>147.0</v>
      </c>
      <c r="AF1927" s="70" t="s">
        <v>239</v>
      </c>
      <c r="AW1927" s="70" t="s">
        <v>19576</v>
      </c>
      <c r="AZ1927" s="70">
        <v>1107.0</v>
      </c>
    </row>
    <row r="1928" ht="22.5" customHeight="1">
      <c r="A1928" s="70" t="str">
        <f t="shared" si="1"/>
        <v>Excluded</v>
      </c>
      <c r="B1928" s="70">
        <f t="shared" si="2"/>
        <v>0</v>
      </c>
      <c r="C1928" s="70">
        <v>0.0</v>
      </c>
      <c r="D1928" s="70">
        <v>0.0</v>
      </c>
      <c r="E1928" s="70">
        <v>0.0</v>
      </c>
      <c r="F1928" s="70">
        <v>0.0</v>
      </c>
      <c r="G1928" s="70">
        <v>0.0</v>
      </c>
      <c r="H1928" s="70" t="s">
        <v>21147</v>
      </c>
      <c r="I1928" s="70">
        <v>2329.0</v>
      </c>
      <c r="J1928" s="70" t="s">
        <v>21145</v>
      </c>
      <c r="K1928" s="70" t="s">
        <v>21146</v>
      </c>
      <c r="L1928" s="70" t="s">
        <v>16538</v>
      </c>
      <c r="N1928" s="70" t="s">
        <v>16539</v>
      </c>
      <c r="P1928" s="79">
        <v>45419.0</v>
      </c>
      <c r="U1928" s="70" t="s">
        <v>239</v>
      </c>
      <c r="W1928" s="70" t="s">
        <v>21149</v>
      </c>
      <c r="Y1928" s="70" t="s">
        <v>30664</v>
      </c>
      <c r="Z1928" s="75" t="s">
        <v>21151</v>
      </c>
      <c r="AA1928" s="70" t="s">
        <v>21152</v>
      </c>
      <c r="AC1928" s="70">
        <v>2.0</v>
      </c>
      <c r="AE1928" s="70">
        <v>37.0</v>
      </c>
      <c r="AF1928" s="70" t="s">
        <v>239</v>
      </c>
      <c r="AW1928" s="70" t="s">
        <v>21153</v>
      </c>
      <c r="AZ1928" s="70">
        <v>756.0</v>
      </c>
    </row>
    <row r="1929" ht="22.5" customHeight="1">
      <c r="A1929" s="70" t="str">
        <f t="shared" si="1"/>
        <v>Excluded</v>
      </c>
      <c r="B1929" s="70">
        <f t="shared" si="2"/>
        <v>0</v>
      </c>
      <c r="C1929" s="70">
        <v>0.0</v>
      </c>
      <c r="D1929" s="70">
        <v>0.0</v>
      </c>
      <c r="E1929" s="70">
        <v>0.0</v>
      </c>
      <c r="F1929" s="70">
        <v>0.0</v>
      </c>
      <c r="G1929" s="70">
        <v>0.0</v>
      </c>
      <c r="H1929" s="70" t="s">
        <v>22157</v>
      </c>
      <c r="I1929" s="70">
        <v>2444.0</v>
      </c>
      <c r="J1929" s="70" t="s">
        <v>22155</v>
      </c>
      <c r="K1929" s="70" t="s">
        <v>22156</v>
      </c>
      <c r="L1929" s="70" t="s">
        <v>16538</v>
      </c>
      <c r="N1929" s="70" t="s">
        <v>16539</v>
      </c>
      <c r="P1929" s="79">
        <v>45420.0</v>
      </c>
      <c r="U1929" s="70" t="s">
        <v>239</v>
      </c>
      <c r="W1929" s="70" t="s">
        <v>22159</v>
      </c>
      <c r="Y1929" s="70" t="s">
        <v>30665</v>
      </c>
      <c r="Z1929" s="75" t="s">
        <v>22161</v>
      </c>
      <c r="AA1929" s="70" t="s">
        <v>22162</v>
      </c>
      <c r="AE1929" s="70">
        <v>50.0</v>
      </c>
      <c r="AF1929" s="70" t="s">
        <v>239</v>
      </c>
      <c r="AW1929" s="70" t="s">
        <v>22163</v>
      </c>
      <c r="AZ1929" s="70">
        <v>282.0</v>
      </c>
    </row>
    <row r="1930" ht="22.5" customHeight="1">
      <c r="A1930" s="70" t="str">
        <f t="shared" si="1"/>
        <v>Excluded</v>
      </c>
      <c r="B1930" s="70">
        <f t="shared" si="2"/>
        <v>0</v>
      </c>
      <c r="C1930" s="70">
        <v>0.0</v>
      </c>
      <c r="D1930" s="70">
        <v>0.0</v>
      </c>
      <c r="E1930" s="70">
        <v>0.0</v>
      </c>
      <c r="F1930" s="70">
        <v>0.0</v>
      </c>
      <c r="G1930" s="70">
        <v>0.0</v>
      </c>
      <c r="H1930" s="70" t="s">
        <v>24810</v>
      </c>
      <c r="I1930" s="70">
        <v>2708.0</v>
      </c>
      <c r="J1930" s="70" t="s">
        <v>24808</v>
      </c>
      <c r="K1930" s="70" t="s">
        <v>24809</v>
      </c>
      <c r="W1930" s="70" t="s">
        <v>30666</v>
      </c>
      <c r="AA1930" s="70" t="s">
        <v>24812</v>
      </c>
      <c r="AI1930" s="70" t="s">
        <v>24813</v>
      </c>
      <c r="AJ1930" s="70" t="s">
        <v>24814</v>
      </c>
      <c r="AK1930" s="70">
        <v>2024.0</v>
      </c>
      <c r="AL1930" s="70" t="s">
        <v>16538</v>
      </c>
      <c r="AN1930" s="70">
        <v>29689.0</v>
      </c>
      <c r="AO1930" s="70">
        <v>29708.0</v>
      </c>
      <c r="AP1930" s="70">
        <v>19.0</v>
      </c>
      <c r="AQ1930" s="70">
        <v>0.0</v>
      </c>
      <c r="AR1930" s="75" t="s">
        <v>24815</v>
      </c>
      <c r="AS1930" s="70" t="s">
        <v>22525</v>
      </c>
      <c r="AU1930" s="70" t="s">
        <v>237</v>
      </c>
      <c r="AV1930" s="70" t="s">
        <v>24816</v>
      </c>
      <c r="AW1930" s="70" t="s">
        <v>24817</v>
      </c>
      <c r="AX1930" s="70">
        <v>0.0</v>
      </c>
      <c r="AY1930" s="70" t="s">
        <v>24</v>
      </c>
      <c r="AZ1930" s="70">
        <v>2400.0</v>
      </c>
    </row>
    <row r="1931" ht="22.5" customHeight="1">
      <c r="A1931" s="70" t="str">
        <f t="shared" si="1"/>
        <v>Excluded</v>
      </c>
      <c r="B1931" s="70">
        <f t="shared" si="2"/>
        <v>0</v>
      </c>
      <c r="C1931" s="70">
        <v>0.0</v>
      </c>
      <c r="D1931" s="70">
        <v>0.0</v>
      </c>
      <c r="E1931" s="70">
        <v>0.0</v>
      </c>
      <c r="F1931" s="70">
        <v>0.0</v>
      </c>
      <c r="G1931" s="70">
        <v>0.0</v>
      </c>
      <c r="H1931" s="70" t="s">
        <v>22078</v>
      </c>
      <c r="I1931" s="70">
        <v>2435.0</v>
      </c>
      <c r="J1931" s="70" t="s">
        <v>22076</v>
      </c>
      <c r="K1931" s="70" t="s">
        <v>22077</v>
      </c>
      <c r="L1931" s="70" t="s">
        <v>16538</v>
      </c>
      <c r="N1931" s="70" t="s">
        <v>16539</v>
      </c>
      <c r="P1931" s="76">
        <v>45495.0</v>
      </c>
      <c r="U1931" s="70" t="s">
        <v>239</v>
      </c>
      <c r="W1931" s="70" t="s">
        <v>22080</v>
      </c>
      <c r="Y1931" s="70" t="s">
        <v>30667</v>
      </c>
      <c r="Z1931" s="75" t="s">
        <v>22082</v>
      </c>
      <c r="AA1931" s="70" t="s">
        <v>22083</v>
      </c>
      <c r="AE1931" s="70">
        <v>32.0</v>
      </c>
      <c r="AF1931" s="70" t="s">
        <v>239</v>
      </c>
      <c r="AW1931" s="70" t="s">
        <v>22084</v>
      </c>
      <c r="AZ1931" s="70">
        <v>1095.0</v>
      </c>
    </row>
    <row r="1932" ht="22.5" customHeight="1">
      <c r="A1932" s="70" t="str">
        <f t="shared" si="1"/>
        <v>Excluded</v>
      </c>
      <c r="B1932" s="70">
        <f t="shared" si="2"/>
        <v>0</v>
      </c>
      <c r="C1932" s="70">
        <v>0.0</v>
      </c>
      <c r="D1932" s="70">
        <v>0.0</v>
      </c>
      <c r="E1932" s="70">
        <v>0.0</v>
      </c>
      <c r="F1932" s="70">
        <v>0.0</v>
      </c>
      <c r="G1932" s="70">
        <v>0.0</v>
      </c>
      <c r="H1932" s="70" t="s">
        <v>21647</v>
      </c>
      <c r="I1932" s="70">
        <v>2386.0</v>
      </c>
      <c r="J1932" s="70" t="s">
        <v>21645</v>
      </c>
      <c r="K1932" s="70" t="s">
        <v>21646</v>
      </c>
      <c r="L1932" s="70" t="s">
        <v>16538</v>
      </c>
      <c r="N1932" s="70" t="s">
        <v>16539</v>
      </c>
      <c r="P1932" s="76">
        <v>45502.0</v>
      </c>
      <c r="U1932" s="70" t="s">
        <v>239</v>
      </c>
      <c r="W1932" s="70" t="s">
        <v>21649</v>
      </c>
      <c r="Y1932" s="70" t="s">
        <v>30668</v>
      </c>
      <c r="Z1932" s="75" t="s">
        <v>21651</v>
      </c>
      <c r="AA1932" s="70" t="s">
        <v>21652</v>
      </c>
      <c r="AE1932" s="70">
        <v>39.0</v>
      </c>
      <c r="AF1932" s="70" t="s">
        <v>239</v>
      </c>
      <c r="AW1932" s="70" t="s">
        <v>21653</v>
      </c>
      <c r="AX1932" s="70">
        <v>0.0</v>
      </c>
      <c r="AY1932" s="70" t="s">
        <v>24</v>
      </c>
      <c r="AZ1932" s="70">
        <v>2712.0</v>
      </c>
    </row>
    <row r="1933" ht="22.5" customHeight="1">
      <c r="A1933" s="70" t="str">
        <f t="shared" si="1"/>
        <v>Excluded</v>
      </c>
      <c r="B1933" s="70">
        <f t="shared" si="2"/>
        <v>0</v>
      </c>
      <c r="C1933" s="70">
        <v>0.0</v>
      </c>
      <c r="D1933" s="70">
        <v>0.0</v>
      </c>
      <c r="E1933" s="70">
        <v>0.0</v>
      </c>
      <c r="F1933" s="70">
        <v>0.0</v>
      </c>
      <c r="G1933" s="70">
        <v>0.0</v>
      </c>
      <c r="H1933" s="70" t="s">
        <v>21398</v>
      </c>
      <c r="I1933" s="70">
        <v>2357.0</v>
      </c>
      <c r="J1933" s="70" t="s">
        <v>30669</v>
      </c>
      <c r="K1933" s="70" t="s">
        <v>21397</v>
      </c>
      <c r="L1933" s="70" t="s">
        <v>16538</v>
      </c>
      <c r="N1933" s="70" t="s">
        <v>16539</v>
      </c>
      <c r="P1933" s="76">
        <v>45616.0</v>
      </c>
      <c r="U1933" s="70" t="s">
        <v>239</v>
      </c>
      <c r="W1933" s="70" t="s">
        <v>21400</v>
      </c>
      <c r="Y1933" s="70" t="s">
        <v>30670</v>
      </c>
      <c r="Z1933" s="75" t="s">
        <v>21402</v>
      </c>
      <c r="AA1933" s="70" t="s">
        <v>21403</v>
      </c>
      <c r="AC1933" s="70">
        <v>1.0</v>
      </c>
      <c r="AE1933" s="70">
        <v>103.0</v>
      </c>
      <c r="AF1933" s="70" t="s">
        <v>239</v>
      </c>
      <c r="AW1933" s="70" t="s">
        <v>21404</v>
      </c>
      <c r="AX1933" s="70">
        <v>0.0</v>
      </c>
      <c r="AY1933" s="70" t="s">
        <v>24</v>
      </c>
      <c r="AZ1933" s="70">
        <v>2759.0</v>
      </c>
    </row>
    <row r="1934" ht="22.5" customHeight="1">
      <c r="A1934" s="70" t="str">
        <f t="shared" si="1"/>
        <v>Excluded</v>
      </c>
      <c r="B1934" s="70">
        <f t="shared" si="2"/>
        <v>0</v>
      </c>
      <c r="C1934" s="70">
        <v>0.0</v>
      </c>
      <c r="D1934" s="70">
        <v>0.0</v>
      </c>
      <c r="E1934" s="70">
        <v>0.0</v>
      </c>
      <c r="F1934" s="70">
        <v>0.0</v>
      </c>
      <c r="G1934" s="70">
        <v>0.0</v>
      </c>
      <c r="H1934" s="70" t="s">
        <v>24800</v>
      </c>
      <c r="I1934" s="70">
        <v>2707.0</v>
      </c>
      <c r="J1934" s="70" t="s">
        <v>24798</v>
      </c>
      <c r="K1934" s="70" t="s">
        <v>24799</v>
      </c>
      <c r="W1934" s="70" t="s">
        <v>30671</v>
      </c>
      <c r="AA1934" s="70" t="s">
        <v>24802</v>
      </c>
      <c r="AI1934" s="70" t="s">
        <v>24803</v>
      </c>
      <c r="AJ1934" s="70" t="s">
        <v>24804</v>
      </c>
      <c r="AK1934" s="70">
        <v>2024.0</v>
      </c>
      <c r="AL1934" s="70" t="s">
        <v>16538</v>
      </c>
      <c r="AN1934" s="70">
        <v>34296.0</v>
      </c>
      <c r="AO1934" s="70">
        <v>34311.0</v>
      </c>
      <c r="AP1934" s="70">
        <v>15.0</v>
      </c>
      <c r="AQ1934" s="70">
        <v>1.0</v>
      </c>
      <c r="AR1934" s="75" t="s">
        <v>24805</v>
      </c>
      <c r="AS1934" s="70" t="s">
        <v>22525</v>
      </c>
      <c r="AU1934" s="70" t="s">
        <v>237</v>
      </c>
      <c r="AV1934" s="70" t="s">
        <v>24806</v>
      </c>
      <c r="AW1934" s="70" t="s">
        <v>24807</v>
      </c>
      <c r="AZ1934" s="70">
        <v>577.0</v>
      </c>
    </row>
    <row r="1935" ht="22.5" customHeight="1">
      <c r="A1935" s="70" t="str">
        <f t="shared" si="1"/>
        <v>Excluded</v>
      </c>
      <c r="B1935" s="70">
        <f t="shared" si="2"/>
        <v>0</v>
      </c>
      <c r="C1935" s="70">
        <v>0.0</v>
      </c>
      <c r="D1935" s="70">
        <v>0.0</v>
      </c>
      <c r="E1935" s="70">
        <v>0.0</v>
      </c>
      <c r="F1935" s="70">
        <v>0.0</v>
      </c>
      <c r="G1935" s="70">
        <v>0.0</v>
      </c>
      <c r="H1935" s="70" t="s">
        <v>21112</v>
      </c>
      <c r="I1935" s="70">
        <v>2325.0</v>
      </c>
      <c r="J1935" s="70" t="s">
        <v>21110</v>
      </c>
      <c r="K1935" s="70" t="s">
        <v>21111</v>
      </c>
      <c r="L1935" s="70" t="s">
        <v>16538</v>
      </c>
      <c r="N1935" s="70" t="s">
        <v>16539</v>
      </c>
      <c r="P1935" s="76">
        <v>45545.0</v>
      </c>
      <c r="U1935" s="70" t="s">
        <v>239</v>
      </c>
      <c r="W1935" s="70" t="s">
        <v>30672</v>
      </c>
      <c r="Y1935" s="70" t="s">
        <v>30673</v>
      </c>
      <c r="Z1935" s="75" t="s">
        <v>21116</v>
      </c>
      <c r="AA1935" s="70" t="s">
        <v>21117</v>
      </c>
      <c r="AC1935" s="70">
        <v>2.0</v>
      </c>
      <c r="AE1935" s="70">
        <v>33.0</v>
      </c>
      <c r="AF1935" s="70" t="s">
        <v>239</v>
      </c>
      <c r="AW1935" s="70" t="s">
        <v>21118</v>
      </c>
      <c r="AZ1935" s="70">
        <v>533.0</v>
      </c>
    </row>
    <row r="1936" ht="22.5" customHeight="1">
      <c r="A1936" s="70" t="str">
        <f t="shared" si="1"/>
        <v>Excluded</v>
      </c>
      <c r="B1936" s="70">
        <f t="shared" si="2"/>
        <v>0</v>
      </c>
      <c r="C1936" s="70">
        <v>0.0</v>
      </c>
      <c r="D1936" s="70">
        <v>0.0</v>
      </c>
      <c r="E1936" s="70">
        <v>0.0</v>
      </c>
      <c r="F1936" s="70">
        <v>0.0</v>
      </c>
      <c r="G1936" s="70">
        <v>0.0</v>
      </c>
      <c r="H1936" s="70" t="s">
        <v>22069</v>
      </c>
      <c r="I1936" s="70">
        <v>2434.0</v>
      </c>
      <c r="J1936" s="70" t="s">
        <v>22067</v>
      </c>
      <c r="K1936" s="70" t="s">
        <v>22068</v>
      </c>
      <c r="L1936" s="70" t="s">
        <v>16538</v>
      </c>
      <c r="N1936" s="70" t="s">
        <v>16539</v>
      </c>
      <c r="P1936" s="77">
        <v>45574.0</v>
      </c>
      <c r="U1936" s="70" t="s">
        <v>239</v>
      </c>
      <c r="W1936" s="70" t="s">
        <v>22071</v>
      </c>
      <c r="Y1936" s="70" t="s">
        <v>22072</v>
      </c>
      <c r="Z1936" s="75" t="s">
        <v>22073</v>
      </c>
      <c r="AA1936" s="70" t="s">
        <v>22074</v>
      </c>
      <c r="AE1936" s="70">
        <v>60.0</v>
      </c>
      <c r="AF1936" s="70" t="s">
        <v>239</v>
      </c>
      <c r="AW1936" s="70" t="s">
        <v>22075</v>
      </c>
      <c r="AZ1936" s="70">
        <v>153.0</v>
      </c>
    </row>
    <row r="1937" ht="22.5" customHeight="1">
      <c r="A1937" s="70" t="str">
        <f t="shared" si="1"/>
        <v>Excluded</v>
      </c>
      <c r="B1937" s="70">
        <f t="shared" si="2"/>
        <v>0</v>
      </c>
      <c r="C1937" s="70">
        <v>0.0</v>
      </c>
      <c r="D1937" s="70">
        <v>0.0</v>
      </c>
      <c r="E1937" s="70">
        <v>0.0</v>
      </c>
      <c r="F1937" s="70">
        <v>0.0</v>
      </c>
      <c r="G1937" s="70">
        <v>0.0</v>
      </c>
      <c r="H1937" s="70" t="s">
        <v>22166</v>
      </c>
      <c r="I1937" s="70">
        <v>2445.0</v>
      </c>
      <c r="J1937" s="70" t="s">
        <v>22164</v>
      </c>
      <c r="K1937" s="70" t="s">
        <v>22165</v>
      </c>
      <c r="L1937" s="70" t="s">
        <v>16538</v>
      </c>
      <c r="N1937" s="70" t="s">
        <v>16539</v>
      </c>
      <c r="P1937" s="76">
        <v>45589.0</v>
      </c>
      <c r="U1937" s="70" t="s">
        <v>239</v>
      </c>
      <c r="W1937" s="70" t="s">
        <v>30674</v>
      </c>
      <c r="Y1937" s="70" t="s">
        <v>22169</v>
      </c>
      <c r="Z1937" s="75" t="s">
        <v>22170</v>
      </c>
      <c r="AA1937" s="70" t="s">
        <v>22171</v>
      </c>
      <c r="AE1937" s="70">
        <v>41.0</v>
      </c>
      <c r="AF1937" s="70" t="s">
        <v>239</v>
      </c>
      <c r="AW1937" s="70" t="s">
        <v>22172</v>
      </c>
      <c r="AZ1937" s="70">
        <v>490.0</v>
      </c>
    </row>
    <row r="1938" ht="22.5" customHeight="1">
      <c r="A1938" s="70" t="str">
        <f t="shared" si="1"/>
        <v>Excluded</v>
      </c>
      <c r="B1938" s="70">
        <f t="shared" si="2"/>
        <v>0</v>
      </c>
      <c r="C1938" s="70">
        <v>0.0</v>
      </c>
      <c r="D1938" s="70">
        <v>0.0</v>
      </c>
      <c r="E1938" s="70">
        <v>0.0</v>
      </c>
      <c r="F1938" s="70">
        <v>0.0</v>
      </c>
      <c r="G1938" s="70">
        <v>0.0</v>
      </c>
      <c r="H1938" s="70" t="s">
        <v>22272</v>
      </c>
      <c r="I1938" s="70">
        <v>2457.0</v>
      </c>
      <c r="J1938" s="70" t="s">
        <v>22270</v>
      </c>
      <c r="K1938" s="70" t="s">
        <v>22271</v>
      </c>
      <c r="L1938" s="70" t="s">
        <v>16538</v>
      </c>
      <c r="N1938" s="70" t="s">
        <v>16539</v>
      </c>
      <c r="P1938" s="77">
        <v>45601.0</v>
      </c>
      <c r="U1938" s="70" t="s">
        <v>239</v>
      </c>
      <c r="W1938" s="70" t="s">
        <v>22274</v>
      </c>
      <c r="Y1938" s="70" t="s">
        <v>30675</v>
      </c>
      <c r="Z1938" s="75" t="s">
        <v>22276</v>
      </c>
      <c r="AA1938" s="70" t="s">
        <v>22277</v>
      </c>
      <c r="AE1938" s="70">
        <v>109.0</v>
      </c>
      <c r="AF1938" s="70" t="s">
        <v>239</v>
      </c>
      <c r="AW1938" s="70" t="s">
        <v>22278</v>
      </c>
      <c r="AX1938" s="70">
        <v>0.0</v>
      </c>
      <c r="AY1938" s="70" t="s">
        <v>24</v>
      </c>
      <c r="AZ1938" s="70">
        <v>1914.0</v>
      </c>
    </row>
    <row r="1939" ht="22.5" customHeight="1">
      <c r="A1939" s="70" t="str">
        <f t="shared" si="1"/>
        <v>Excluded</v>
      </c>
      <c r="B1939" s="70">
        <f t="shared" si="2"/>
        <v>0</v>
      </c>
      <c r="C1939" s="70">
        <v>0.0</v>
      </c>
      <c r="D1939" s="70">
        <v>0.0</v>
      </c>
      <c r="E1939" s="70">
        <v>0.0</v>
      </c>
      <c r="F1939" s="70">
        <v>0.0</v>
      </c>
      <c r="G1939" s="70">
        <v>0.0</v>
      </c>
      <c r="H1939" s="70" t="s">
        <v>23818</v>
      </c>
      <c r="I1939" s="70">
        <v>2612.0</v>
      </c>
      <c r="J1939" s="70" t="s">
        <v>23816</v>
      </c>
      <c r="K1939" s="70" t="s">
        <v>23817</v>
      </c>
      <c r="W1939" s="70" t="s">
        <v>30676</v>
      </c>
      <c r="AA1939" s="70" t="s">
        <v>23820</v>
      </c>
      <c r="AI1939" s="70" t="s">
        <v>23821</v>
      </c>
      <c r="AJ1939" s="70" t="s">
        <v>23822</v>
      </c>
      <c r="AK1939" s="70">
        <v>2024.0</v>
      </c>
      <c r="AL1939" s="70" t="s">
        <v>16538</v>
      </c>
      <c r="AQ1939" s="70">
        <v>0.0</v>
      </c>
      <c r="AR1939" s="75" t="s">
        <v>23823</v>
      </c>
      <c r="AS1939" s="70" t="s">
        <v>22588</v>
      </c>
      <c r="AU1939" s="70" t="s">
        <v>237</v>
      </c>
      <c r="AV1939" s="70" t="s">
        <v>23824</v>
      </c>
      <c r="AW1939" s="70" t="s">
        <v>23825</v>
      </c>
      <c r="AX1939" s="70">
        <v>0.0</v>
      </c>
      <c r="AY1939" s="70" t="s">
        <v>24</v>
      </c>
      <c r="AZ1939" s="70">
        <v>2071.0</v>
      </c>
    </row>
    <row r="1940" ht="22.5" customHeight="1">
      <c r="A1940" s="70" t="str">
        <f t="shared" si="1"/>
        <v>Excluded</v>
      </c>
      <c r="B1940" s="70">
        <f t="shared" si="2"/>
        <v>0</v>
      </c>
      <c r="C1940" s="70">
        <v>0.0</v>
      </c>
      <c r="D1940" s="70">
        <v>0.0</v>
      </c>
      <c r="E1940" s="70">
        <v>0.0</v>
      </c>
      <c r="F1940" s="70">
        <v>0.0</v>
      </c>
      <c r="G1940" s="70">
        <v>0.0</v>
      </c>
      <c r="H1940" s="70" t="s">
        <v>24323</v>
      </c>
      <c r="I1940" s="70">
        <v>2661.0</v>
      </c>
      <c r="J1940" s="70" t="s">
        <v>24321</v>
      </c>
      <c r="K1940" s="70" t="s">
        <v>24322</v>
      </c>
      <c r="W1940" s="70" t="s">
        <v>30677</v>
      </c>
      <c r="AA1940" s="70" t="s">
        <v>24325</v>
      </c>
      <c r="AI1940" s="70" t="s">
        <v>24326</v>
      </c>
      <c r="AJ1940" s="70" t="s">
        <v>24327</v>
      </c>
      <c r="AK1940" s="70">
        <v>2024.0</v>
      </c>
      <c r="AL1940" s="70" t="s">
        <v>16538</v>
      </c>
      <c r="AQ1940" s="70">
        <v>0.0</v>
      </c>
      <c r="AR1940" s="75" t="s">
        <v>24328</v>
      </c>
      <c r="AS1940" s="70" t="s">
        <v>22588</v>
      </c>
      <c r="AU1940" s="70" t="s">
        <v>237</v>
      </c>
      <c r="AV1940" s="70" t="s">
        <v>24329</v>
      </c>
      <c r="AW1940" s="70" t="s">
        <v>24330</v>
      </c>
      <c r="AZ1940" s="70">
        <v>286.0</v>
      </c>
    </row>
    <row r="1941" ht="22.5" customHeight="1">
      <c r="A1941" s="70" t="str">
        <f t="shared" si="1"/>
        <v>Excluded</v>
      </c>
      <c r="B1941" s="70">
        <f t="shared" si="2"/>
        <v>0</v>
      </c>
      <c r="C1941" s="70">
        <v>0.0</v>
      </c>
      <c r="D1941" s="70">
        <v>0.0</v>
      </c>
      <c r="E1941" s="70">
        <v>0.0</v>
      </c>
      <c r="F1941" s="70">
        <v>0.0</v>
      </c>
      <c r="G1941" s="70">
        <v>0.0</v>
      </c>
      <c r="H1941" s="70" t="s">
        <v>16837</v>
      </c>
      <c r="I1941" s="70">
        <v>1847.0</v>
      </c>
      <c r="J1941" s="70" t="s">
        <v>30678</v>
      </c>
      <c r="K1941" s="70" t="s">
        <v>16834</v>
      </c>
      <c r="L1941" s="70" t="s">
        <v>16835</v>
      </c>
      <c r="N1941" s="70" t="s">
        <v>16836</v>
      </c>
      <c r="P1941" s="76">
        <v>44393.0</v>
      </c>
      <c r="U1941" s="70" t="s">
        <v>239</v>
      </c>
      <c r="W1941" s="70" t="s">
        <v>16839</v>
      </c>
      <c r="Z1941" s="75" t="s">
        <v>16840</v>
      </c>
      <c r="AA1941" s="70" t="s">
        <v>16841</v>
      </c>
      <c r="AC1941" s="70">
        <v>125.0</v>
      </c>
      <c r="AE1941" s="70">
        <v>53.0</v>
      </c>
      <c r="AF1941" s="70" t="s">
        <v>16727</v>
      </c>
      <c r="AW1941" s="70" t="s">
        <v>16842</v>
      </c>
      <c r="AZ1941" s="70">
        <v>1030.0</v>
      </c>
    </row>
    <row r="1942" ht="22.5" customHeight="1">
      <c r="A1942" s="70" t="str">
        <f t="shared" si="1"/>
        <v>Excluded</v>
      </c>
      <c r="B1942" s="70">
        <f t="shared" si="2"/>
        <v>0</v>
      </c>
      <c r="C1942" s="70">
        <v>0.0</v>
      </c>
      <c r="D1942" s="70">
        <v>0.0</v>
      </c>
      <c r="E1942" s="70">
        <v>0.0</v>
      </c>
      <c r="F1942" s="70">
        <v>0.0</v>
      </c>
      <c r="G1942" s="70">
        <v>0.0</v>
      </c>
      <c r="H1942" s="70" t="s">
        <v>17266</v>
      </c>
      <c r="I1942" s="70">
        <v>1894.0</v>
      </c>
      <c r="J1942" s="70" t="s">
        <v>30679</v>
      </c>
      <c r="K1942" s="70" t="s">
        <v>17265</v>
      </c>
      <c r="L1942" s="70" t="s">
        <v>16835</v>
      </c>
      <c r="N1942" s="70" t="s">
        <v>16836</v>
      </c>
      <c r="P1942" s="77">
        <v>44837.0</v>
      </c>
      <c r="U1942" s="70" t="s">
        <v>239</v>
      </c>
      <c r="W1942" s="70" t="s">
        <v>17268</v>
      </c>
      <c r="Z1942" s="75" t="s">
        <v>17269</v>
      </c>
      <c r="AA1942" s="70" t="s">
        <v>17270</v>
      </c>
      <c r="AC1942" s="70">
        <v>61.0</v>
      </c>
      <c r="AE1942" s="70">
        <v>62.0</v>
      </c>
      <c r="AF1942" s="70" t="s">
        <v>16727</v>
      </c>
      <c r="AW1942" s="70" t="s">
        <v>17271</v>
      </c>
      <c r="AZ1942" s="70">
        <v>773.0</v>
      </c>
    </row>
    <row r="1943" ht="22.5" customHeight="1">
      <c r="A1943" s="70" t="str">
        <f t="shared" si="1"/>
        <v>Excluded</v>
      </c>
      <c r="B1943" s="70">
        <f t="shared" si="2"/>
        <v>0</v>
      </c>
      <c r="C1943" s="70">
        <v>0.0</v>
      </c>
      <c r="D1943" s="70">
        <v>0.0</v>
      </c>
      <c r="E1943" s="70">
        <v>0.0</v>
      </c>
      <c r="F1943" s="70">
        <v>0.0</v>
      </c>
      <c r="G1943" s="70">
        <v>0.0</v>
      </c>
      <c r="H1943" s="70" t="s">
        <v>16686</v>
      </c>
      <c r="I1943" s="70">
        <v>1830.0</v>
      </c>
      <c r="J1943" s="70" t="s">
        <v>16684</v>
      </c>
      <c r="K1943" s="70" t="s">
        <v>16685</v>
      </c>
      <c r="L1943" s="70" t="s">
        <v>16415</v>
      </c>
      <c r="N1943" s="70" t="s">
        <v>16416</v>
      </c>
      <c r="P1943" s="76">
        <v>43642.0</v>
      </c>
      <c r="U1943" s="70" t="s">
        <v>239</v>
      </c>
      <c r="W1943" s="70" t="s">
        <v>16688</v>
      </c>
      <c r="Y1943" s="70" t="s">
        <v>30680</v>
      </c>
      <c r="Z1943" s="75" t="s">
        <v>16690</v>
      </c>
      <c r="AA1943" s="70" t="s">
        <v>16691</v>
      </c>
      <c r="AC1943" s="70">
        <v>210.0</v>
      </c>
      <c r="AE1943" s="70">
        <v>84.0</v>
      </c>
      <c r="AF1943" s="70" t="s">
        <v>239</v>
      </c>
      <c r="AW1943" s="70" t="s">
        <v>16692</v>
      </c>
      <c r="AX1943" s="70">
        <v>0.0</v>
      </c>
      <c r="AY1943" s="70" t="s">
        <v>24</v>
      </c>
      <c r="AZ1943" s="70">
        <v>1997.0</v>
      </c>
    </row>
    <row r="1944" ht="22.5" customHeight="1">
      <c r="A1944" s="70" t="str">
        <f t="shared" si="1"/>
        <v>Excluded</v>
      </c>
      <c r="B1944" s="70">
        <f t="shared" si="2"/>
        <v>0</v>
      </c>
      <c r="C1944" s="70">
        <v>0.0</v>
      </c>
      <c r="D1944" s="70">
        <v>0.0</v>
      </c>
      <c r="E1944" s="70">
        <v>0.0</v>
      </c>
      <c r="F1944" s="70">
        <v>0.0</v>
      </c>
      <c r="G1944" s="70">
        <v>0.0</v>
      </c>
      <c r="H1944" s="70" t="s">
        <v>16577</v>
      </c>
      <c r="I1944" s="70">
        <v>1818.0</v>
      </c>
      <c r="J1944" s="70" t="s">
        <v>16575</v>
      </c>
      <c r="K1944" s="70" t="s">
        <v>16576</v>
      </c>
      <c r="L1944" s="70" t="s">
        <v>16415</v>
      </c>
      <c r="N1944" s="70" t="s">
        <v>16416</v>
      </c>
      <c r="P1944" s="77">
        <v>43655.0</v>
      </c>
      <c r="U1944" s="70" t="s">
        <v>239</v>
      </c>
      <c r="W1944" s="70" t="s">
        <v>30681</v>
      </c>
      <c r="Y1944" s="70" t="s">
        <v>16580</v>
      </c>
      <c r="Z1944" s="75" t="s">
        <v>16581</v>
      </c>
      <c r="AA1944" s="70" t="s">
        <v>16582</v>
      </c>
      <c r="AC1944" s="70">
        <v>321.0</v>
      </c>
      <c r="AE1944" s="70">
        <v>236.0</v>
      </c>
      <c r="AF1944" s="70" t="s">
        <v>239</v>
      </c>
      <c r="AW1944" s="70" t="s">
        <v>16583</v>
      </c>
      <c r="AX1944" s="70">
        <v>0.0</v>
      </c>
      <c r="AY1944" s="70" t="s">
        <v>24</v>
      </c>
      <c r="AZ1944" s="70">
        <v>1922.0</v>
      </c>
    </row>
    <row r="1945" ht="22.5" customHeight="1">
      <c r="A1945" s="70" t="str">
        <f t="shared" si="1"/>
        <v>Excluded</v>
      </c>
      <c r="B1945" s="70">
        <f t="shared" si="2"/>
        <v>0</v>
      </c>
      <c r="C1945" s="70">
        <v>0.0</v>
      </c>
      <c r="D1945" s="70">
        <v>0.0</v>
      </c>
      <c r="E1945" s="70">
        <v>0.0</v>
      </c>
      <c r="F1945" s="70">
        <v>0.0</v>
      </c>
      <c r="G1945" s="70">
        <v>0.0</v>
      </c>
      <c r="H1945" s="70" t="s">
        <v>19930</v>
      </c>
      <c r="I1945" s="70">
        <v>2193.0</v>
      </c>
      <c r="J1945" s="70" t="s">
        <v>19928</v>
      </c>
      <c r="K1945" s="70" t="s">
        <v>19929</v>
      </c>
      <c r="L1945" s="70" t="s">
        <v>16415</v>
      </c>
      <c r="N1945" s="70" t="s">
        <v>16416</v>
      </c>
      <c r="P1945" s="76">
        <v>43668.0</v>
      </c>
      <c r="U1945" s="70" t="s">
        <v>239</v>
      </c>
      <c r="W1945" s="70" t="s">
        <v>19932</v>
      </c>
      <c r="Y1945" s="70" t="s">
        <v>30682</v>
      </c>
      <c r="Z1945" s="75" t="s">
        <v>19934</v>
      </c>
      <c r="AA1945" s="70" t="s">
        <v>19935</v>
      </c>
      <c r="AC1945" s="70">
        <v>7.0</v>
      </c>
      <c r="AE1945" s="70">
        <v>35.0</v>
      </c>
      <c r="AF1945" s="70" t="s">
        <v>239</v>
      </c>
      <c r="AW1945" s="70" t="s">
        <v>19936</v>
      </c>
      <c r="AZ1945" s="70">
        <v>712.0</v>
      </c>
    </row>
    <row r="1946" ht="22.5" customHeight="1">
      <c r="A1946" s="70" t="str">
        <f t="shared" si="1"/>
        <v>Excluded</v>
      </c>
      <c r="B1946" s="70">
        <f t="shared" si="2"/>
        <v>0</v>
      </c>
      <c r="C1946" s="70">
        <v>0.0</v>
      </c>
      <c r="D1946" s="70">
        <v>0.0</v>
      </c>
      <c r="E1946" s="70">
        <v>0.0</v>
      </c>
      <c r="F1946" s="70">
        <v>0.0</v>
      </c>
      <c r="G1946" s="70">
        <v>0.0</v>
      </c>
      <c r="H1946" s="70" t="s">
        <v>19420</v>
      </c>
      <c r="I1946" s="70">
        <v>2136.0</v>
      </c>
      <c r="J1946" s="70" t="s">
        <v>19418</v>
      </c>
      <c r="K1946" s="70" t="s">
        <v>19419</v>
      </c>
      <c r="L1946" s="70" t="s">
        <v>16415</v>
      </c>
      <c r="N1946" s="70" t="s">
        <v>16416</v>
      </c>
      <c r="P1946" s="76">
        <v>43914.0</v>
      </c>
      <c r="U1946" s="70" t="s">
        <v>239</v>
      </c>
      <c r="W1946" s="70" t="s">
        <v>30683</v>
      </c>
      <c r="Y1946" s="70" t="s">
        <v>19423</v>
      </c>
      <c r="Z1946" s="75" t="s">
        <v>19424</v>
      </c>
      <c r="AA1946" s="70" t="s">
        <v>19425</v>
      </c>
      <c r="AC1946" s="70">
        <v>11.0</v>
      </c>
      <c r="AE1946" s="70">
        <v>106.0</v>
      </c>
      <c r="AF1946" s="70" t="s">
        <v>239</v>
      </c>
      <c r="AW1946" s="70" t="s">
        <v>19426</v>
      </c>
      <c r="AX1946" s="70">
        <v>0.0</v>
      </c>
      <c r="AY1946" s="70" t="s">
        <v>24</v>
      </c>
      <c r="AZ1946" s="70">
        <v>2905.0</v>
      </c>
    </row>
    <row r="1947" ht="22.5" customHeight="1">
      <c r="A1947" s="70" t="str">
        <f t="shared" si="1"/>
        <v>Excluded</v>
      </c>
      <c r="B1947" s="70">
        <f t="shared" si="2"/>
        <v>0</v>
      </c>
      <c r="C1947" s="70">
        <v>0.0</v>
      </c>
      <c r="D1947" s="70">
        <v>0.0</v>
      </c>
      <c r="E1947" s="70">
        <v>0.0</v>
      </c>
      <c r="F1947" s="70">
        <v>0.0</v>
      </c>
      <c r="G1947" s="70">
        <v>0.0</v>
      </c>
      <c r="H1947" s="70" t="s">
        <v>16521</v>
      </c>
      <c r="I1947" s="70">
        <v>1812.0</v>
      </c>
      <c r="J1947" s="70" t="s">
        <v>16519</v>
      </c>
      <c r="K1947" s="70" t="s">
        <v>16520</v>
      </c>
      <c r="L1947" s="70" t="s">
        <v>16415</v>
      </c>
      <c r="N1947" s="70" t="s">
        <v>16416</v>
      </c>
      <c r="P1947" s="76">
        <v>44000.0</v>
      </c>
      <c r="U1947" s="70" t="s">
        <v>239</v>
      </c>
      <c r="W1947" s="70" t="s">
        <v>30684</v>
      </c>
      <c r="Z1947" s="75" t="s">
        <v>16524</v>
      </c>
      <c r="AA1947" s="70" t="s">
        <v>16525</v>
      </c>
      <c r="AC1947" s="70">
        <v>413.0</v>
      </c>
      <c r="AE1947" s="70">
        <v>293.0</v>
      </c>
      <c r="AF1947" s="70" t="s">
        <v>239</v>
      </c>
      <c r="AW1947" s="70" t="s">
        <v>16526</v>
      </c>
      <c r="AZ1947" s="70">
        <v>945.0</v>
      </c>
    </row>
    <row r="1948" ht="22.5" customHeight="1">
      <c r="A1948" s="70" t="str">
        <f t="shared" si="1"/>
        <v>Excluded</v>
      </c>
      <c r="B1948" s="70">
        <f t="shared" si="2"/>
        <v>0</v>
      </c>
      <c r="C1948" s="70">
        <v>0.0</v>
      </c>
      <c r="D1948" s="70">
        <v>0.0</v>
      </c>
      <c r="E1948" s="70">
        <v>0.0</v>
      </c>
      <c r="F1948" s="70">
        <v>0.0</v>
      </c>
      <c r="G1948" s="70">
        <v>0.0</v>
      </c>
      <c r="H1948" s="70" t="s">
        <v>16417</v>
      </c>
      <c r="I1948" s="70">
        <v>1801.0</v>
      </c>
      <c r="J1948" s="70" t="s">
        <v>30685</v>
      </c>
      <c r="K1948" s="70" t="s">
        <v>16414</v>
      </c>
      <c r="L1948" s="70" t="s">
        <v>16415</v>
      </c>
      <c r="N1948" s="70" t="s">
        <v>16416</v>
      </c>
      <c r="P1948" s="76">
        <v>44285.0</v>
      </c>
      <c r="U1948" s="70" t="s">
        <v>239</v>
      </c>
      <c r="W1948" s="70" t="s">
        <v>30686</v>
      </c>
      <c r="Y1948" s="70" t="s">
        <v>30687</v>
      </c>
      <c r="Z1948" s="75" t="s">
        <v>16421</v>
      </c>
      <c r="AA1948" s="70" t="s">
        <v>16422</v>
      </c>
      <c r="AC1948" s="70">
        <v>840.0</v>
      </c>
      <c r="AE1948" s="70">
        <v>194.0</v>
      </c>
      <c r="AF1948" s="70" t="s">
        <v>16423</v>
      </c>
      <c r="AW1948" s="70" t="s">
        <v>16424</v>
      </c>
      <c r="AZ1948" s="70">
        <v>1076.0</v>
      </c>
    </row>
    <row r="1949" ht="22.5" customHeight="1">
      <c r="A1949" s="70" t="str">
        <f t="shared" si="1"/>
        <v>Excluded</v>
      </c>
      <c r="B1949" s="70">
        <f t="shared" si="2"/>
        <v>0</v>
      </c>
      <c r="C1949" s="70">
        <v>0.0</v>
      </c>
      <c r="D1949" s="70">
        <v>0.0</v>
      </c>
      <c r="E1949" s="70">
        <v>0.0</v>
      </c>
      <c r="F1949" s="70">
        <v>0.0</v>
      </c>
      <c r="G1949" s="70">
        <v>0.0</v>
      </c>
      <c r="H1949" s="70" t="s">
        <v>21920</v>
      </c>
      <c r="I1949" s="70">
        <v>2417.0</v>
      </c>
      <c r="J1949" s="70" t="s">
        <v>30688</v>
      </c>
      <c r="K1949" s="70" t="s">
        <v>21919</v>
      </c>
      <c r="L1949" s="70" t="s">
        <v>16415</v>
      </c>
      <c r="N1949" s="70" t="s">
        <v>16416</v>
      </c>
      <c r="P1949" s="76">
        <v>45251.0</v>
      </c>
      <c r="U1949" s="70" t="s">
        <v>239</v>
      </c>
      <c r="W1949" s="70" t="s">
        <v>21922</v>
      </c>
      <c r="Y1949" s="70" t="s">
        <v>30689</v>
      </c>
      <c r="Z1949" s="75" t="s">
        <v>21924</v>
      </c>
      <c r="AA1949" s="70" t="s">
        <v>21925</v>
      </c>
      <c r="AE1949" s="70">
        <v>162.0</v>
      </c>
      <c r="AF1949" s="70" t="s">
        <v>239</v>
      </c>
      <c r="AW1949" s="70" t="s">
        <v>21926</v>
      </c>
      <c r="AZ1949" s="70">
        <v>617.0</v>
      </c>
    </row>
    <row r="1950" ht="22.5" customHeight="1">
      <c r="A1950" s="70" t="str">
        <f t="shared" si="1"/>
        <v>Excluded</v>
      </c>
      <c r="B1950" s="70">
        <f t="shared" si="2"/>
        <v>0</v>
      </c>
      <c r="C1950" s="70">
        <v>0.0</v>
      </c>
      <c r="D1950" s="70">
        <v>0.0</v>
      </c>
      <c r="E1950" s="70">
        <v>0.0</v>
      </c>
      <c r="F1950" s="70">
        <v>0.0</v>
      </c>
      <c r="G1950" s="70">
        <v>0.0</v>
      </c>
      <c r="H1950" s="70" t="s">
        <v>19642</v>
      </c>
      <c r="I1950" s="70">
        <v>2161.0</v>
      </c>
      <c r="J1950" s="70" t="s">
        <v>19640</v>
      </c>
      <c r="K1950" s="70" t="s">
        <v>19641</v>
      </c>
      <c r="L1950" s="70" t="s">
        <v>16415</v>
      </c>
      <c r="N1950" s="70" t="s">
        <v>16416</v>
      </c>
      <c r="P1950" s="76">
        <v>45334.0</v>
      </c>
      <c r="U1950" s="70" t="s">
        <v>239</v>
      </c>
      <c r="W1950" s="70" t="s">
        <v>19644</v>
      </c>
      <c r="Y1950" s="70" t="s">
        <v>19645</v>
      </c>
      <c r="Z1950" s="75" t="s">
        <v>19646</v>
      </c>
      <c r="AA1950" s="70" t="s">
        <v>19647</v>
      </c>
      <c r="AC1950" s="70">
        <v>9.0</v>
      </c>
      <c r="AE1950" s="70">
        <v>299.0</v>
      </c>
      <c r="AF1950" s="70" t="s">
        <v>239</v>
      </c>
      <c r="AW1950" s="70" t="s">
        <v>19648</v>
      </c>
      <c r="AX1950" s="70">
        <v>0.0</v>
      </c>
      <c r="AY1950" s="70" t="s">
        <v>24</v>
      </c>
      <c r="AZ1950" s="70">
        <v>2928.0</v>
      </c>
    </row>
    <row r="1951" ht="22.5" customHeight="1">
      <c r="A1951" s="70" t="str">
        <f t="shared" si="1"/>
        <v>Excluded</v>
      </c>
      <c r="B1951" s="70">
        <f t="shared" si="2"/>
        <v>0</v>
      </c>
      <c r="C1951" s="70">
        <v>0.0</v>
      </c>
      <c r="D1951" s="70">
        <v>0.0</v>
      </c>
      <c r="E1951" s="70">
        <v>0.0</v>
      </c>
      <c r="F1951" s="70">
        <v>0.0</v>
      </c>
      <c r="G1951" s="70">
        <v>0.0</v>
      </c>
      <c r="H1951" s="70" t="s">
        <v>18207</v>
      </c>
      <c r="I1951" s="70">
        <v>2000.0</v>
      </c>
      <c r="J1951" s="70" t="s">
        <v>18205</v>
      </c>
      <c r="K1951" s="70" t="s">
        <v>18206</v>
      </c>
      <c r="L1951" s="70" t="s">
        <v>16923</v>
      </c>
      <c r="N1951" s="70" t="s">
        <v>16924</v>
      </c>
      <c r="P1951" s="76">
        <v>43488.0</v>
      </c>
      <c r="U1951" s="70" t="s">
        <v>239</v>
      </c>
      <c r="W1951" s="70" t="s">
        <v>30690</v>
      </c>
      <c r="Y1951" s="70" t="s">
        <v>18210</v>
      </c>
      <c r="Z1951" s="75" t="s">
        <v>18211</v>
      </c>
      <c r="AA1951" s="70" t="s">
        <v>18212</v>
      </c>
      <c r="AC1951" s="70">
        <v>25.0</v>
      </c>
      <c r="AE1951" s="70">
        <v>55.0</v>
      </c>
      <c r="AF1951" s="70" t="s">
        <v>239</v>
      </c>
      <c r="AW1951" s="70" t="s">
        <v>18213</v>
      </c>
      <c r="AX1951" s="70">
        <v>0.0</v>
      </c>
      <c r="AY1951" s="70" t="s">
        <v>24</v>
      </c>
      <c r="AZ1951" s="70">
        <v>1993.0</v>
      </c>
    </row>
    <row r="1952" ht="22.5" customHeight="1">
      <c r="A1952" s="70" t="str">
        <f t="shared" si="1"/>
        <v>Excluded</v>
      </c>
      <c r="B1952" s="70">
        <f t="shared" si="2"/>
        <v>0</v>
      </c>
      <c r="C1952" s="70">
        <v>0.0</v>
      </c>
      <c r="D1952" s="70">
        <v>0.0</v>
      </c>
      <c r="E1952" s="70">
        <v>0.0</v>
      </c>
      <c r="F1952" s="70">
        <v>0.0</v>
      </c>
      <c r="G1952" s="70">
        <v>0.0</v>
      </c>
      <c r="H1952" s="70" t="s">
        <v>17248</v>
      </c>
      <c r="I1952" s="70">
        <v>1892.0</v>
      </c>
      <c r="J1952" s="70" t="s">
        <v>17246</v>
      </c>
      <c r="K1952" s="70" t="s">
        <v>17247</v>
      </c>
      <c r="L1952" s="70" t="s">
        <v>16923</v>
      </c>
      <c r="N1952" s="70" t="s">
        <v>16924</v>
      </c>
      <c r="P1952" s="76">
        <v>43496.0</v>
      </c>
      <c r="U1952" s="70" t="s">
        <v>239</v>
      </c>
      <c r="W1952" s="70" t="s">
        <v>17250</v>
      </c>
      <c r="Y1952" s="70" t="s">
        <v>30691</v>
      </c>
      <c r="Z1952" s="75" t="s">
        <v>17252</v>
      </c>
      <c r="AA1952" s="70" t="s">
        <v>17253</v>
      </c>
      <c r="AC1952" s="70">
        <v>63.0</v>
      </c>
      <c r="AE1952" s="70">
        <v>88.0</v>
      </c>
      <c r="AF1952" s="70" t="s">
        <v>239</v>
      </c>
      <c r="AW1952" s="70" t="s">
        <v>17254</v>
      </c>
      <c r="AX1952" s="70">
        <v>0.0</v>
      </c>
      <c r="AY1952" s="70" t="s">
        <v>24</v>
      </c>
      <c r="AZ1952" s="70">
        <v>2493.0</v>
      </c>
    </row>
    <row r="1953" ht="22.5" customHeight="1">
      <c r="A1953" s="70" t="str">
        <f t="shared" si="1"/>
        <v>Excluded</v>
      </c>
      <c r="B1953" s="70">
        <f t="shared" si="2"/>
        <v>0</v>
      </c>
      <c r="C1953" s="70">
        <v>0.0</v>
      </c>
      <c r="D1953" s="70">
        <v>0.0</v>
      </c>
      <c r="E1953" s="70">
        <v>0.0</v>
      </c>
      <c r="F1953" s="70">
        <v>0.0</v>
      </c>
      <c r="G1953" s="70">
        <v>0.0</v>
      </c>
      <c r="H1953" s="70" t="s">
        <v>16925</v>
      </c>
      <c r="I1953" s="70">
        <v>1857.0</v>
      </c>
      <c r="J1953" s="70" t="s">
        <v>16921</v>
      </c>
      <c r="K1953" s="70" t="s">
        <v>16922</v>
      </c>
      <c r="L1953" s="70" t="s">
        <v>16923</v>
      </c>
      <c r="N1953" s="70" t="s">
        <v>16924</v>
      </c>
      <c r="P1953" s="77">
        <v>43651.0</v>
      </c>
      <c r="U1953" s="70" t="s">
        <v>239</v>
      </c>
      <c r="W1953" s="70" t="s">
        <v>16927</v>
      </c>
      <c r="Y1953" s="70" t="s">
        <v>16928</v>
      </c>
      <c r="Z1953" s="75" t="s">
        <v>16929</v>
      </c>
      <c r="AA1953" s="70" t="s">
        <v>16930</v>
      </c>
      <c r="AC1953" s="70">
        <v>95.0</v>
      </c>
      <c r="AE1953" s="70">
        <v>38.0</v>
      </c>
      <c r="AF1953" s="70" t="s">
        <v>239</v>
      </c>
      <c r="AW1953" s="70" t="s">
        <v>16931</v>
      </c>
      <c r="AX1953" s="70">
        <v>0.0</v>
      </c>
      <c r="AY1953" s="70" t="s">
        <v>24</v>
      </c>
      <c r="AZ1953" s="70">
        <v>2601.0</v>
      </c>
    </row>
    <row r="1954" ht="22.5" customHeight="1">
      <c r="A1954" s="70" t="str">
        <f t="shared" si="1"/>
        <v>Excluded</v>
      </c>
      <c r="B1954" s="70">
        <f t="shared" si="2"/>
        <v>0</v>
      </c>
      <c r="C1954" s="70">
        <v>0.0</v>
      </c>
      <c r="D1954" s="70">
        <v>0.0</v>
      </c>
      <c r="E1954" s="70">
        <v>0.0</v>
      </c>
      <c r="F1954" s="70">
        <v>0.0</v>
      </c>
      <c r="G1954" s="70">
        <v>0.0</v>
      </c>
      <c r="H1954" s="70" t="s">
        <v>22477</v>
      </c>
      <c r="I1954" s="70">
        <v>2482.0</v>
      </c>
      <c r="J1954" s="70" t="s">
        <v>22475</v>
      </c>
      <c r="K1954" s="70" t="s">
        <v>22476</v>
      </c>
      <c r="L1954" s="70" t="s">
        <v>16923</v>
      </c>
      <c r="N1954" s="70" t="s">
        <v>16924</v>
      </c>
      <c r="P1954" s="78">
        <v>43972.0</v>
      </c>
      <c r="U1954" s="70" t="s">
        <v>239</v>
      </c>
      <c r="W1954" s="70" t="s">
        <v>22479</v>
      </c>
      <c r="Z1954" s="75" t="s">
        <v>22480</v>
      </c>
      <c r="AE1954" s="70">
        <v>0.0</v>
      </c>
      <c r="AF1954" s="70" t="s">
        <v>239</v>
      </c>
      <c r="AW1954" s="70" t="s">
        <v>22481</v>
      </c>
      <c r="AZ1954" s="70">
        <v>1375.0</v>
      </c>
    </row>
    <row r="1955" ht="22.5" customHeight="1">
      <c r="A1955" s="70" t="str">
        <f t="shared" si="1"/>
        <v>Excluded</v>
      </c>
      <c r="B1955" s="70">
        <f t="shared" si="2"/>
        <v>0</v>
      </c>
      <c r="C1955" s="70">
        <v>0.0</v>
      </c>
      <c r="D1955" s="70">
        <v>0.0</v>
      </c>
      <c r="E1955" s="70">
        <v>0.0</v>
      </c>
      <c r="F1955" s="70">
        <v>0.0</v>
      </c>
      <c r="G1955" s="70">
        <v>0.0</v>
      </c>
      <c r="H1955" s="70" t="s">
        <v>17569</v>
      </c>
      <c r="I1955" s="70">
        <v>1929.0</v>
      </c>
      <c r="J1955" s="70" t="s">
        <v>17567</v>
      </c>
      <c r="K1955" s="70" t="s">
        <v>17568</v>
      </c>
      <c r="L1955" s="70" t="s">
        <v>16923</v>
      </c>
      <c r="N1955" s="70" t="s">
        <v>16924</v>
      </c>
      <c r="P1955" s="77">
        <v>43985.0</v>
      </c>
      <c r="U1955" s="70" t="s">
        <v>239</v>
      </c>
      <c r="W1955" s="70" t="s">
        <v>17571</v>
      </c>
      <c r="Y1955" s="70" t="s">
        <v>30692</v>
      </c>
      <c r="Z1955" s="75" t="s">
        <v>17573</v>
      </c>
      <c r="AA1955" s="70" t="s">
        <v>17574</v>
      </c>
      <c r="AC1955" s="70">
        <v>41.0</v>
      </c>
      <c r="AE1955" s="70">
        <v>36.0</v>
      </c>
      <c r="AF1955" s="70" t="s">
        <v>239</v>
      </c>
      <c r="AW1955" s="70" t="s">
        <v>17575</v>
      </c>
      <c r="AX1955" s="70">
        <v>0.0</v>
      </c>
      <c r="AY1955" s="70" t="s">
        <v>24</v>
      </c>
      <c r="AZ1955" s="70">
        <v>1971.0</v>
      </c>
    </row>
    <row r="1956" ht="22.5" customHeight="1">
      <c r="A1956" s="70" t="str">
        <f t="shared" si="1"/>
        <v>Excluded</v>
      </c>
      <c r="B1956" s="70">
        <f t="shared" si="2"/>
        <v>0</v>
      </c>
      <c r="C1956" s="70">
        <v>0.0</v>
      </c>
      <c r="D1956" s="70">
        <v>0.0</v>
      </c>
      <c r="E1956" s="70">
        <v>0.0</v>
      </c>
      <c r="F1956" s="70">
        <v>0.0</v>
      </c>
      <c r="G1956" s="70">
        <v>0.0</v>
      </c>
      <c r="H1956" s="70" t="s">
        <v>20069</v>
      </c>
      <c r="I1956" s="70">
        <v>2209.0</v>
      </c>
      <c r="J1956" s="70" t="s">
        <v>20067</v>
      </c>
      <c r="K1956" s="70" t="s">
        <v>20068</v>
      </c>
      <c r="L1956" s="70" t="s">
        <v>16923</v>
      </c>
      <c r="N1956" s="70" t="s">
        <v>16924</v>
      </c>
      <c r="P1956" s="76">
        <v>44844.0</v>
      </c>
      <c r="U1956" s="70" t="s">
        <v>239</v>
      </c>
      <c r="W1956" s="70" t="s">
        <v>30693</v>
      </c>
      <c r="Y1956" s="70" t="s">
        <v>20072</v>
      </c>
      <c r="Z1956" s="75" t="s">
        <v>20073</v>
      </c>
      <c r="AA1956" s="70" t="s">
        <v>20074</v>
      </c>
      <c r="AC1956" s="70">
        <v>6.0</v>
      </c>
      <c r="AE1956" s="70">
        <v>36.0</v>
      </c>
      <c r="AF1956" s="70" t="s">
        <v>239</v>
      </c>
      <c r="AW1956" s="70" t="s">
        <v>20075</v>
      </c>
      <c r="AX1956" s="70">
        <v>0.0</v>
      </c>
      <c r="AY1956" s="70" t="s">
        <v>24</v>
      </c>
      <c r="AZ1956" s="70">
        <v>2375.0</v>
      </c>
    </row>
    <row r="1957" ht="22.5" customHeight="1">
      <c r="A1957" s="70" t="str">
        <f t="shared" si="1"/>
        <v>Excluded</v>
      </c>
      <c r="B1957" s="70">
        <f t="shared" si="2"/>
        <v>0</v>
      </c>
      <c r="C1957" s="70">
        <v>0.0</v>
      </c>
      <c r="D1957" s="70">
        <v>0.0</v>
      </c>
      <c r="E1957" s="70">
        <v>0.0</v>
      </c>
      <c r="F1957" s="70">
        <v>0.0</v>
      </c>
      <c r="G1957" s="70">
        <v>0.0</v>
      </c>
      <c r="H1957" s="70" t="s">
        <v>19838</v>
      </c>
      <c r="I1957" s="70">
        <v>2183.0</v>
      </c>
      <c r="J1957" s="70" t="s">
        <v>30694</v>
      </c>
      <c r="K1957" s="70" t="s">
        <v>19837</v>
      </c>
      <c r="L1957" s="70" t="s">
        <v>16923</v>
      </c>
      <c r="N1957" s="70" t="s">
        <v>16924</v>
      </c>
      <c r="P1957" s="76">
        <v>45258.0</v>
      </c>
      <c r="U1957" s="70" t="s">
        <v>239</v>
      </c>
      <c r="W1957" s="70" t="s">
        <v>19840</v>
      </c>
      <c r="Z1957" s="75" t="s">
        <v>19841</v>
      </c>
      <c r="AA1957" s="70" t="s">
        <v>19842</v>
      </c>
      <c r="AC1957" s="70">
        <v>7.0</v>
      </c>
      <c r="AE1957" s="70">
        <v>47.0</v>
      </c>
      <c r="AF1957" s="70" t="s">
        <v>239</v>
      </c>
      <c r="AW1957" s="70" t="s">
        <v>19843</v>
      </c>
      <c r="AZ1957" s="70">
        <v>1276.0</v>
      </c>
    </row>
    <row r="1958" ht="22.5" customHeight="1">
      <c r="A1958" s="70" t="str">
        <f t="shared" si="1"/>
        <v>Excluded</v>
      </c>
      <c r="B1958" s="70">
        <f t="shared" si="2"/>
        <v>0</v>
      </c>
      <c r="C1958" s="70">
        <v>0.0</v>
      </c>
      <c r="D1958" s="70">
        <v>0.0</v>
      </c>
      <c r="E1958" s="70">
        <v>0.0</v>
      </c>
      <c r="F1958" s="70">
        <v>0.0</v>
      </c>
      <c r="G1958" s="70">
        <v>0.0</v>
      </c>
      <c r="H1958" s="70" t="s">
        <v>19615</v>
      </c>
      <c r="I1958" s="70">
        <v>2158.0</v>
      </c>
      <c r="J1958" s="70" t="s">
        <v>30695</v>
      </c>
      <c r="K1958" s="70" t="s">
        <v>19614</v>
      </c>
      <c r="L1958" s="70" t="s">
        <v>16923</v>
      </c>
      <c r="N1958" s="70" t="s">
        <v>16924</v>
      </c>
      <c r="P1958" s="76">
        <v>45258.0</v>
      </c>
      <c r="U1958" s="70" t="s">
        <v>239</v>
      </c>
      <c r="W1958" s="70" t="s">
        <v>19617</v>
      </c>
      <c r="Y1958" s="70" t="s">
        <v>30696</v>
      </c>
      <c r="Z1958" s="75" t="s">
        <v>19619</v>
      </c>
      <c r="AA1958" s="70" t="s">
        <v>19620</v>
      </c>
      <c r="AC1958" s="70">
        <v>9.0</v>
      </c>
      <c r="AE1958" s="70">
        <v>43.0</v>
      </c>
      <c r="AF1958" s="70" t="s">
        <v>16727</v>
      </c>
      <c r="AW1958" s="70" t="s">
        <v>19621</v>
      </c>
      <c r="AZ1958" s="70">
        <v>483.0</v>
      </c>
    </row>
    <row r="1959" ht="22.5" customHeight="1">
      <c r="A1959" s="70" t="str">
        <f t="shared" si="1"/>
        <v>Excluded</v>
      </c>
      <c r="B1959" s="70">
        <f t="shared" si="2"/>
        <v>0</v>
      </c>
      <c r="C1959" s="70">
        <v>0.0</v>
      </c>
      <c r="D1959" s="70">
        <v>0.0</v>
      </c>
      <c r="E1959" s="70">
        <v>0.0</v>
      </c>
      <c r="F1959" s="70">
        <v>0.0</v>
      </c>
      <c r="G1959" s="70">
        <v>0.0</v>
      </c>
      <c r="H1959" s="70" t="s">
        <v>17053</v>
      </c>
      <c r="I1959" s="70">
        <v>1871.0</v>
      </c>
      <c r="J1959" s="70" t="s">
        <v>17049</v>
      </c>
      <c r="K1959" s="70" t="s">
        <v>17050</v>
      </c>
      <c r="L1959" s="70" t="s">
        <v>17051</v>
      </c>
      <c r="N1959" s="70" t="s">
        <v>17052</v>
      </c>
      <c r="P1959" s="76">
        <v>43690.0</v>
      </c>
      <c r="U1959" s="70" t="s">
        <v>239</v>
      </c>
      <c r="W1959" s="70" t="s">
        <v>17055</v>
      </c>
      <c r="Z1959" s="75" t="s">
        <v>17056</v>
      </c>
      <c r="AA1959" s="70" t="s">
        <v>17057</v>
      </c>
      <c r="AC1959" s="70">
        <v>79.0</v>
      </c>
      <c r="AE1959" s="70">
        <v>141.0</v>
      </c>
      <c r="AF1959" s="70" t="s">
        <v>239</v>
      </c>
      <c r="AW1959" s="70" t="s">
        <v>17058</v>
      </c>
      <c r="AZ1959" s="70">
        <v>671.0</v>
      </c>
    </row>
    <row r="1960" ht="22.5" customHeight="1">
      <c r="A1960" s="70" t="str">
        <f t="shared" si="1"/>
        <v>Excluded</v>
      </c>
      <c r="B1960" s="70">
        <f t="shared" si="2"/>
        <v>0</v>
      </c>
      <c r="C1960" s="70">
        <v>0.0</v>
      </c>
      <c r="D1960" s="70">
        <v>0.0</v>
      </c>
      <c r="E1960" s="70">
        <v>0.0</v>
      </c>
      <c r="F1960" s="70">
        <v>0.0</v>
      </c>
      <c r="G1960" s="70">
        <v>0.0</v>
      </c>
      <c r="H1960" s="70" t="s">
        <v>17552</v>
      </c>
      <c r="I1960" s="70">
        <v>1927.0</v>
      </c>
      <c r="J1960" s="70" t="s">
        <v>17550</v>
      </c>
      <c r="K1960" s="70" t="s">
        <v>17551</v>
      </c>
      <c r="L1960" s="70" t="s">
        <v>17051</v>
      </c>
      <c r="N1960" s="70" t="s">
        <v>17052</v>
      </c>
      <c r="P1960" s="77">
        <v>43711.0</v>
      </c>
      <c r="U1960" s="70" t="s">
        <v>239</v>
      </c>
      <c r="W1960" s="70" t="s">
        <v>17554</v>
      </c>
      <c r="Z1960" s="75" t="s">
        <v>17555</v>
      </c>
      <c r="AA1960" s="70" t="s">
        <v>17556</v>
      </c>
      <c r="AC1960" s="70">
        <v>41.0</v>
      </c>
      <c r="AE1960" s="70">
        <v>52.0</v>
      </c>
      <c r="AF1960" s="70" t="s">
        <v>239</v>
      </c>
      <c r="AW1960" s="70" t="s">
        <v>17557</v>
      </c>
      <c r="AX1960" s="70">
        <v>0.0</v>
      </c>
      <c r="AY1960" s="70" t="s">
        <v>24</v>
      </c>
      <c r="AZ1960" s="70">
        <v>1838.0</v>
      </c>
    </row>
    <row r="1961" ht="22.5" customHeight="1">
      <c r="A1961" s="70" t="str">
        <f t="shared" si="1"/>
        <v>Excluded</v>
      </c>
      <c r="B1961" s="70">
        <f t="shared" si="2"/>
        <v>0</v>
      </c>
      <c r="C1961" s="70">
        <v>0.0</v>
      </c>
      <c r="D1961" s="70">
        <v>0.0</v>
      </c>
      <c r="E1961" s="70">
        <v>0.0</v>
      </c>
      <c r="F1961" s="70">
        <v>0.0</v>
      </c>
      <c r="G1961" s="70">
        <v>0.0</v>
      </c>
      <c r="H1961" s="70" t="s">
        <v>20830</v>
      </c>
      <c r="I1961" s="70">
        <v>2294.0</v>
      </c>
      <c r="J1961" s="70" t="s">
        <v>30697</v>
      </c>
      <c r="K1961" s="70" t="s">
        <v>20829</v>
      </c>
      <c r="L1961" s="70" t="s">
        <v>17051</v>
      </c>
      <c r="N1961" s="70" t="s">
        <v>17052</v>
      </c>
      <c r="P1961" s="76">
        <v>44119.0</v>
      </c>
      <c r="U1961" s="70" t="s">
        <v>239</v>
      </c>
      <c r="W1961" s="70" t="s">
        <v>20832</v>
      </c>
      <c r="Y1961" s="70" t="s">
        <v>30698</v>
      </c>
      <c r="Z1961" s="75" t="s">
        <v>20834</v>
      </c>
      <c r="AA1961" s="70" t="s">
        <v>20835</v>
      </c>
      <c r="AC1961" s="70">
        <v>3.0</v>
      </c>
      <c r="AE1961" s="70">
        <v>30.0</v>
      </c>
      <c r="AF1961" s="70" t="s">
        <v>239</v>
      </c>
      <c r="AW1961" s="70" t="s">
        <v>20836</v>
      </c>
      <c r="AX1961" s="70">
        <v>0.0</v>
      </c>
      <c r="AY1961" s="70" t="s">
        <v>24</v>
      </c>
      <c r="AZ1961" s="70">
        <v>2951.0</v>
      </c>
    </row>
    <row r="1962" ht="22.5" customHeight="1">
      <c r="A1962" s="70" t="str">
        <f t="shared" si="1"/>
        <v>Excluded</v>
      </c>
      <c r="B1962" s="70">
        <f t="shared" si="2"/>
        <v>0</v>
      </c>
      <c r="C1962" s="70">
        <v>0.0</v>
      </c>
      <c r="D1962" s="70">
        <v>0.0</v>
      </c>
      <c r="E1962" s="70">
        <v>0.0</v>
      </c>
      <c r="F1962" s="70">
        <v>0.0</v>
      </c>
      <c r="G1962" s="70">
        <v>0.0</v>
      </c>
      <c r="H1962" s="70" t="s">
        <v>19025</v>
      </c>
      <c r="I1962" s="70">
        <v>2091.0</v>
      </c>
      <c r="J1962" s="70" t="s">
        <v>19023</v>
      </c>
      <c r="K1962" s="70" t="s">
        <v>19024</v>
      </c>
      <c r="L1962" s="70" t="s">
        <v>17051</v>
      </c>
      <c r="N1962" s="70" t="s">
        <v>17052</v>
      </c>
      <c r="P1962" s="76">
        <v>44186.0</v>
      </c>
      <c r="U1962" s="70" t="s">
        <v>239</v>
      </c>
      <c r="W1962" s="70" t="s">
        <v>30699</v>
      </c>
      <c r="Z1962" s="75" t="s">
        <v>19028</v>
      </c>
      <c r="AA1962" s="70" t="s">
        <v>19029</v>
      </c>
      <c r="AC1962" s="70">
        <v>14.0</v>
      </c>
      <c r="AE1962" s="70">
        <v>20.0</v>
      </c>
      <c r="AF1962" s="70" t="s">
        <v>239</v>
      </c>
      <c r="AW1962" s="70" t="s">
        <v>19030</v>
      </c>
      <c r="AZ1962" s="70">
        <v>690.0</v>
      </c>
    </row>
    <row r="1963" ht="22.5" customHeight="1">
      <c r="A1963" s="70" t="str">
        <f t="shared" si="1"/>
        <v>Excluded</v>
      </c>
      <c r="B1963" s="70">
        <f t="shared" si="2"/>
        <v>0</v>
      </c>
      <c r="C1963" s="70">
        <v>0.0</v>
      </c>
      <c r="D1963" s="70">
        <v>0.0</v>
      </c>
      <c r="E1963" s="70">
        <v>0.0</v>
      </c>
      <c r="F1963" s="70">
        <v>0.0</v>
      </c>
      <c r="G1963" s="70">
        <v>0.0</v>
      </c>
      <c r="H1963" s="70" t="s">
        <v>19821</v>
      </c>
      <c r="I1963" s="70">
        <v>2181.0</v>
      </c>
      <c r="J1963" s="70" t="s">
        <v>30700</v>
      </c>
      <c r="K1963" s="70" t="s">
        <v>19820</v>
      </c>
      <c r="L1963" s="70" t="s">
        <v>17051</v>
      </c>
      <c r="N1963" s="70" t="s">
        <v>17052</v>
      </c>
      <c r="P1963" s="78">
        <v>45061.0</v>
      </c>
      <c r="U1963" s="70" t="s">
        <v>239</v>
      </c>
      <c r="W1963" s="70" t="s">
        <v>19823</v>
      </c>
      <c r="Y1963" s="70" t="s">
        <v>30701</v>
      </c>
      <c r="Z1963" s="75" t="s">
        <v>19825</v>
      </c>
      <c r="AA1963" s="70" t="s">
        <v>19826</v>
      </c>
      <c r="AC1963" s="70">
        <v>7.0</v>
      </c>
      <c r="AE1963" s="70">
        <v>28.0</v>
      </c>
      <c r="AF1963" s="70" t="s">
        <v>239</v>
      </c>
      <c r="AW1963" s="70" t="s">
        <v>19827</v>
      </c>
      <c r="AZ1963" s="70">
        <v>251.0</v>
      </c>
    </row>
    <row r="1964" ht="22.5" customHeight="1">
      <c r="A1964" s="70" t="str">
        <f t="shared" si="1"/>
        <v>Excluded</v>
      </c>
      <c r="B1964" s="70">
        <f t="shared" si="2"/>
        <v>0</v>
      </c>
      <c r="C1964" s="70">
        <v>0.0</v>
      </c>
      <c r="D1964" s="70">
        <v>0.0</v>
      </c>
      <c r="E1964" s="70">
        <v>0.0</v>
      </c>
      <c r="F1964" s="70">
        <v>0.0</v>
      </c>
      <c r="G1964" s="70">
        <v>0.0</v>
      </c>
      <c r="H1964" s="70" t="s">
        <v>25574</v>
      </c>
      <c r="I1964" s="70">
        <v>2782.0</v>
      </c>
      <c r="J1964" s="70" t="s">
        <v>25572</v>
      </c>
      <c r="K1964" s="70" t="s">
        <v>25573</v>
      </c>
      <c r="W1964" s="70" t="s">
        <v>30702</v>
      </c>
      <c r="AA1964" s="70" t="s">
        <v>25576</v>
      </c>
      <c r="AI1964" s="70" t="s">
        <v>25577</v>
      </c>
      <c r="AJ1964" s="70" t="s">
        <v>25578</v>
      </c>
      <c r="AK1964" s="70">
        <v>2023.0</v>
      </c>
      <c r="AL1964" s="70" t="s">
        <v>17051</v>
      </c>
      <c r="AN1964" s="70">
        <v>17611.0</v>
      </c>
      <c r="AO1964" s="70">
        <v>17618.0</v>
      </c>
      <c r="AP1964" s="70">
        <v>7.0</v>
      </c>
      <c r="AQ1964" s="70">
        <v>4.0</v>
      </c>
      <c r="AR1964" s="75" t="s">
        <v>25579</v>
      </c>
      <c r="AS1964" s="70" t="s">
        <v>22525</v>
      </c>
      <c r="AU1964" s="70" t="s">
        <v>237</v>
      </c>
      <c r="AV1964" s="70" t="s">
        <v>25580</v>
      </c>
      <c r="AW1964" s="70" t="s">
        <v>25581</v>
      </c>
      <c r="AZ1964" s="70">
        <v>323.0</v>
      </c>
    </row>
    <row r="1965" ht="22.5" customHeight="1">
      <c r="A1965" s="70" t="str">
        <f t="shared" si="1"/>
        <v>Excluded</v>
      </c>
      <c r="B1965" s="70">
        <f t="shared" si="2"/>
        <v>0</v>
      </c>
      <c r="C1965" s="70">
        <v>0.0</v>
      </c>
      <c r="D1965" s="70">
        <v>0.0</v>
      </c>
      <c r="E1965" s="70">
        <v>0.0</v>
      </c>
      <c r="F1965" s="70">
        <v>0.0</v>
      </c>
      <c r="G1965" s="70">
        <v>0.0</v>
      </c>
      <c r="H1965" s="70" t="s">
        <v>21532</v>
      </c>
      <c r="I1965" s="70">
        <v>2373.0</v>
      </c>
      <c r="J1965" s="70" t="s">
        <v>21530</v>
      </c>
      <c r="K1965" s="70" t="s">
        <v>21531</v>
      </c>
      <c r="L1965" s="70" t="s">
        <v>17051</v>
      </c>
      <c r="N1965" s="70" t="s">
        <v>17052</v>
      </c>
      <c r="P1965" s="76">
        <v>45182.0</v>
      </c>
      <c r="U1965" s="70" t="s">
        <v>239</v>
      </c>
      <c r="W1965" s="70" t="s">
        <v>30703</v>
      </c>
      <c r="Y1965" s="70" t="s">
        <v>21535</v>
      </c>
      <c r="Z1965" s="75" t="s">
        <v>21536</v>
      </c>
      <c r="AA1965" s="70" t="s">
        <v>21537</v>
      </c>
      <c r="AC1965" s="70">
        <v>1.0</v>
      </c>
      <c r="AE1965" s="70">
        <v>45.0</v>
      </c>
      <c r="AF1965" s="70" t="s">
        <v>16423</v>
      </c>
      <c r="AW1965" s="70" t="s">
        <v>21538</v>
      </c>
      <c r="AX1965" s="70">
        <v>0.0</v>
      </c>
      <c r="AY1965" s="70" t="s">
        <v>24</v>
      </c>
      <c r="AZ1965" s="70">
        <v>2452.0</v>
      </c>
    </row>
    <row r="1966" ht="22.5" customHeight="1">
      <c r="A1966" s="70" t="str">
        <f t="shared" si="1"/>
        <v>Excluded</v>
      </c>
      <c r="B1966" s="70">
        <f t="shared" si="2"/>
        <v>0</v>
      </c>
      <c r="C1966" s="70">
        <v>0.0</v>
      </c>
      <c r="D1966" s="70">
        <v>0.0</v>
      </c>
      <c r="E1966" s="70">
        <v>0.0</v>
      </c>
      <c r="F1966" s="70">
        <v>0.0</v>
      </c>
      <c r="G1966" s="70">
        <v>0.0</v>
      </c>
      <c r="H1966" s="70" t="s">
        <v>20723</v>
      </c>
      <c r="I1966" s="70">
        <v>2282.0</v>
      </c>
      <c r="J1966" s="70" t="s">
        <v>20721</v>
      </c>
      <c r="K1966" s="70" t="s">
        <v>20722</v>
      </c>
      <c r="L1966" s="70" t="s">
        <v>17051</v>
      </c>
      <c r="N1966" s="70" t="s">
        <v>17052</v>
      </c>
      <c r="P1966" s="77">
        <v>45386.0</v>
      </c>
      <c r="U1966" s="70" t="s">
        <v>239</v>
      </c>
      <c r="W1966" s="70" t="s">
        <v>20725</v>
      </c>
      <c r="Y1966" s="70" t="s">
        <v>30704</v>
      </c>
      <c r="Z1966" s="75" t="s">
        <v>20727</v>
      </c>
      <c r="AA1966" s="70" t="s">
        <v>20728</v>
      </c>
      <c r="AC1966" s="70">
        <v>3.0</v>
      </c>
      <c r="AE1966" s="70">
        <v>146.0</v>
      </c>
      <c r="AF1966" s="70" t="s">
        <v>239</v>
      </c>
      <c r="AW1966" s="70" t="s">
        <v>20729</v>
      </c>
      <c r="AX1966" s="70">
        <v>0.0</v>
      </c>
      <c r="AY1966" s="70" t="s">
        <v>24</v>
      </c>
      <c r="AZ1966" s="70">
        <v>2673.0</v>
      </c>
    </row>
    <row r="1967" ht="22.5" customHeight="1">
      <c r="A1967" s="70" t="str">
        <f t="shared" si="1"/>
        <v>Excluded</v>
      </c>
      <c r="B1967" s="70">
        <f t="shared" si="2"/>
        <v>0</v>
      </c>
      <c r="C1967" s="70">
        <v>0.0</v>
      </c>
      <c r="D1967" s="70">
        <v>0.0</v>
      </c>
      <c r="E1967" s="70">
        <v>0.0</v>
      </c>
      <c r="F1967" s="70">
        <v>0.0</v>
      </c>
      <c r="G1967" s="70">
        <v>0.0</v>
      </c>
      <c r="H1967" s="70" t="s">
        <v>29250</v>
      </c>
      <c r="I1967" s="70">
        <v>3141.0</v>
      </c>
      <c r="J1967" s="70" t="s">
        <v>29248</v>
      </c>
      <c r="K1967" s="70" t="s">
        <v>29249</v>
      </c>
      <c r="W1967" s="70" t="s">
        <v>30705</v>
      </c>
      <c r="AA1967" s="70" t="s">
        <v>29252</v>
      </c>
      <c r="AI1967" s="70" t="s">
        <v>29253</v>
      </c>
      <c r="AJ1967" s="70" t="s">
        <v>29254</v>
      </c>
      <c r="AK1967" s="70">
        <v>2018.0</v>
      </c>
      <c r="AL1967" s="70" t="s">
        <v>20272</v>
      </c>
      <c r="AM1967" s="70">
        <v>7997730.0</v>
      </c>
      <c r="AN1967" s="70">
        <v>2832.0</v>
      </c>
      <c r="AO1967" s="70">
        <v>2841.0</v>
      </c>
      <c r="AP1967" s="70">
        <v>9.0</v>
      </c>
      <c r="AQ1967" s="70">
        <v>31.0</v>
      </c>
      <c r="AR1967" s="75" t="s">
        <v>29255</v>
      </c>
      <c r="AS1967" s="70" t="s">
        <v>22525</v>
      </c>
      <c r="AT1967" s="70" t="s">
        <v>22816</v>
      </c>
      <c r="AU1967" s="70" t="s">
        <v>237</v>
      </c>
      <c r="AV1967" s="70" t="s">
        <v>29256</v>
      </c>
      <c r="AW1967" s="70" t="s">
        <v>29257</v>
      </c>
      <c r="AX1967" s="70">
        <v>0.0</v>
      </c>
      <c r="AY1967" s="70" t="s">
        <v>24</v>
      </c>
      <c r="AZ1967" s="70">
        <v>2089.0</v>
      </c>
    </row>
    <row r="1968" ht="22.5" customHeight="1">
      <c r="A1968" s="70" t="str">
        <f t="shared" si="1"/>
        <v>Excluded</v>
      </c>
      <c r="B1968" s="70">
        <f t="shared" si="2"/>
        <v>0</v>
      </c>
      <c r="C1968" s="70">
        <v>0.0</v>
      </c>
      <c r="D1968" s="70">
        <v>0.0</v>
      </c>
      <c r="E1968" s="70">
        <v>0.0</v>
      </c>
      <c r="F1968" s="70">
        <v>0.0</v>
      </c>
      <c r="G1968" s="70">
        <v>0.0</v>
      </c>
      <c r="H1968" s="70" t="s">
        <v>20399</v>
      </c>
      <c r="I1968" s="70">
        <v>2246.0</v>
      </c>
      <c r="J1968" s="70" t="s">
        <v>20397</v>
      </c>
      <c r="K1968" s="70" t="s">
        <v>20398</v>
      </c>
      <c r="L1968" s="70" t="s">
        <v>20272</v>
      </c>
      <c r="N1968" s="70" t="s">
        <v>20273</v>
      </c>
      <c r="P1968" s="76">
        <v>44494.0</v>
      </c>
      <c r="U1968" s="70" t="s">
        <v>239</v>
      </c>
      <c r="W1968" s="70" t="s">
        <v>30706</v>
      </c>
      <c r="Y1968" s="70" t="s">
        <v>30707</v>
      </c>
      <c r="Z1968" s="75" t="s">
        <v>20403</v>
      </c>
      <c r="AA1968" s="70" t="s">
        <v>20404</v>
      </c>
      <c r="AC1968" s="70">
        <v>4.0</v>
      </c>
      <c r="AE1968" s="70">
        <v>36.0</v>
      </c>
      <c r="AF1968" s="70" t="s">
        <v>239</v>
      </c>
      <c r="AW1968" s="70" t="s">
        <v>20405</v>
      </c>
      <c r="AZ1968" s="70">
        <v>296.0</v>
      </c>
    </row>
    <row r="1969" ht="22.5" customHeight="1">
      <c r="A1969" s="70" t="str">
        <f t="shared" si="1"/>
        <v>Excluded</v>
      </c>
      <c r="B1969" s="70">
        <f t="shared" si="2"/>
        <v>0</v>
      </c>
      <c r="C1969" s="70">
        <v>0.0</v>
      </c>
      <c r="D1969" s="70">
        <v>0.0</v>
      </c>
      <c r="E1969" s="70">
        <v>0.0</v>
      </c>
      <c r="F1969" s="70">
        <v>0.0</v>
      </c>
      <c r="G1969" s="70">
        <v>0.0</v>
      </c>
      <c r="H1969" s="70" t="s">
        <v>25877</v>
      </c>
      <c r="I1969" s="70">
        <v>2811.0</v>
      </c>
      <c r="J1969" s="70" t="s">
        <v>25875</v>
      </c>
      <c r="K1969" s="70" t="s">
        <v>25876</v>
      </c>
      <c r="W1969" s="70" t="s">
        <v>30708</v>
      </c>
      <c r="AA1969" s="70" t="s">
        <v>25879</v>
      </c>
      <c r="AI1969" s="70" t="s">
        <v>25880</v>
      </c>
      <c r="AJ1969" s="70" t="s">
        <v>25881</v>
      </c>
      <c r="AK1969" s="70">
        <v>2023.0</v>
      </c>
      <c r="AL1969" s="70" t="s">
        <v>20272</v>
      </c>
      <c r="AN1969" s="70">
        <v>2616.0</v>
      </c>
      <c r="AO1969" s="70">
        <v>2627.0</v>
      </c>
      <c r="AP1969" s="70">
        <v>11.0</v>
      </c>
      <c r="AQ1969" s="70">
        <v>10.0</v>
      </c>
      <c r="AR1969" s="75" t="s">
        <v>25882</v>
      </c>
      <c r="AS1969" s="70" t="s">
        <v>22525</v>
      </c>
      <c r="AU1969" s="70" t="s">
        <v>237</v>
      </c>
      <c r="AV1969" s="70" t="s">
        <v>25883</v>
      </c>
      <c r="AW1969" s="70" t="s">
        <v>25884</v>
      </c>
      <c r="AZ1969" s="70">
        <v>645.0</v>
      </c>
    </row>
    <row r="1970" ht="22.5" customHeight="1">
      <c r="A1970" s="70" t="str">
        <f t="shared" si="1"/>
        <v>Excluded</v>
      </c>
      <c r="B1970" s="70">
        <f t="shared" si="2"/>
        <v>0</v>
      </c>
      <c r="C1970" s="70">
        <v>0.0</v>
      </c>
      <c r="D1970" s="70">
        <v>0.0</v>
      </c>
      <c r="E1970" s="70">
        <v>0.0</v>
      </c>
      <c r="F1970" s="70">
        <v>0.0</v>
      </c>
      <c r="G1970" s="70">
        <v>0.0</v>
      </c>
      <c r="H1970" s="70" t="s">
        <v>21621</v>
      </c>
      <c r="I1970" s="70">
        <v>2383.0</v>
      </c>
      <c r="J1970" s="70" t="s">
        <v>21619</v>
      </c>
      <c r="K1970" s="70" t="s">
        <v>21620</v>
      </c>
      <c r="L1970" s="70" t="s">
        <v>20272</v>
      </c>
      <c r="N1970" s="70" t="s">
        <v>20273</v>
      </c>
      <c r="P1970" s="76">
        <v>45217.0</v>
      </c>
      <c r="U1970" s="70" t="s">
        <v>239</v>
      </c>
      <c r="W1970" s="70" t="s">
        <v>21623</v>
      </c>
      <c r="Z1970" s="75" t="s">
        <v>21624</v>
      </c>
      <c r="AA1970" s="70" t="s">
        <v>21625</v>
      </c>
      <c r="AE1970" s="70">
        <v>31.0</v>
      </c>
      <c r="AF1970" s="70" t="s">
        <v>239</v>
      </c>
      <c r="AW1970" s="70" t="s">
        <v>21626</v>
      </c>
      <c r="AZ1970" s="70">
        <v>815.0</v>
      </c>
    </row>
    <row r="1971" ht="22.5" customHeight="1">
      <c r="A1971" s="70" t="str">
        <f t="shared" si="1"/>
        <v>Excluded</v>
      </c>
      <c r="B1971" s="70">
        <f t="shared" si="2"/>
        <v>0</v>
      </c>
      <c r="C1971" s="70">
        <v>0.0</v>
      </c>
      <c r="D1971" s="70">
        <v>0.0</v>
      </c>
      <c r="E1971" s="70">
        <v>0.0</v>
      </c>
      <c r="F1971" s="70">
        <v>0.0</v>
      </c>
      <c r="G1971" s="70">
        <v>0.0</v>
      </c>
      <c r="H1971" s="70" t="s">
        <v>20274</v>
      </c>
      <c r="I1971" s="70">
        <v>2232.0</v>
      </c>
      <c r="J1971" s="70" t="s">
        <v>20270</v>
      </c>
      <c r="K1971" s="70" t="s">
        <v>30709</v>
      </c>
      <c r="L1971" s="70" t="s">
        <v>20272</v>
      </c>
      <c r="N1971" s="70" t="s">
        <v>20273</v>
      </c>
      <c r="P1971" s="76">
        <v>45219.0</v>
      </c>
      <c r="U1971" s="70" t="s">
        <v>239</v>
      </c>
      <c r="W1971" s="70" t="s">
        <v>30710</v>
      </c>
      <c r="Y1971" s="70" t="s">
        <v>20277</v>
      </c>
      <c r="Z1971" s="75" t="s">
        <v>20278</v>
      </c>
      <c r="AA1971" s="70" t="s">
        <v>30711</v>
      </c>
      <c r="AC1971" s="70">
        <v>5.0</v>
      </c>
      <c r="AE1971" s="70">
        <v>33.0</v>
      </c>
      <c r="AF1971" s="70" t="s">
        <v>239</v>
      </c>
      <c r="AW1971" s="70" t="s">
        <v>20280</v>
      </c>
      <c r="AZ1971" s="70">
        <v>1041.0</v>
      </c>
    </row>
    <row r="1972" ht="22.5" customHeight="1">
      <c r="A1972" s="70" t="str">
        <f t="shared" si="1"/>
        <v>Excluded</v>
      </c>
      <c r="B1972" s="70">
        <f t="shared" si="2"/>
        <v>0</v>
      </c>
      <c r="C1972" s="70">
        <v>0.0</v>
      </c>
      <c r="D1972" s="70">
        <v>0.0</v>
      </c>
      <c r="E1972" s="70">
        <v>0.0</v>
      </c>
      <c r="F1972" s="70">
        <v>0.0</v>
      </c>
      <c r="G1972" s="70">
        <v>0.0</v>
      </c>
      <c r="H1972" s="70" t="s">
        <v>21911</v>
      </c>
      <c r="I1972" s="70">
        <v>2416.0</v>
      </c>
      <c r="J1972" s="70" t="s">
        <v>21909</v>
      </c>
      <c r="K1972" s="70" t="s">
        <v>21910</v>
      </c>
      <c r="L1972" s="70" t="s">
        <v>20272</v>
      </c>
      <c r="N1972" s="70" t="s">
        <v>20273</v>
      </c>
      <c r="P1972" s="79">
        <v>45415.0</v>
      </c>
      <c r="U1972" s="70" t="s">
        <v>239</v>
      </c>
      <c r="W1972" s="70" t="s">
        <v>21913</v>
      </c>
      <c r="Y1972" s="70" t="s">
        <v>21914</v>
      </c>
      <c r="Z1972" s="75" t="s">
        <v>21915</v>
      </c>
      <c r="AA1972" s="70" t="s">
        <v>21916</v>
      </c>
      <c r="AE1972" s="70">
        <v>51.0</v>
      </c>
      <c r="AF1972" s="70" t="s">
        <v>16727</v>
      </c>
      <c r="AW1972" s="70" t="s">
        <v>21917</v>
      </c>
      <c r="AX1972" s="70">
        <v>0.0</v>
      </c>
      <c r="AY1972" s="70" t="s">
        <v>24</v>
      </c>
      <c r="AZ1972" s="70">
        <v>2547.0</v>
      </c>
    </row>
    <row r="1973" ht="22.5" customHeight="1">
      <c r="A1973" s="70" t="str">
        <f t="shared" si="1"/>
        <v>Excluded</v>
      </c>
      <c r="B1973" s="70">
        <f t="shared" si="2"/>
        <v>0</v>
      </c>
      <c r="C1973" s="70">
        <v>0.0</v>
      </c>
      <c r="D1973" s="70">
        <v>0.0</v>
      </c>
      <c r="E1973" s="70">
        <v>0.0</v>
      </c>
      <c r="F1973" s="70">
        <v>0.0</v>
      </c>
      <c r="G1973" s="70">
        <v>0.0</v>
      </c>
      <c r="H1973" s="70" t="s">
        <v>12332</v>
      </c>
      <c r="I1973" s="70">
        <v>1288.0</v>
      </c>
      <c r="J1973" s="70" t="s">
        <v>12329</v>
      </c>
      <c r="K1973" s="70" t="s">
        <v>12330</v>
      </c>
      <c r="L1973" s="70" t="s">
        <v>12331</v>
      </c>
      <c r="P1973" s="76">
        <v>45245.0</v>
      </c>
      <c r="U1973" s="70" t="s">
        <v>239</v>
      </c>
      <c r="W1973" s="70" t="s">
        <v>12334</v>
      </c>
      <c r="X1973" s="70" t="s">
        <v>12335</v>
      </c>
      <c r="Z1973" s="75" t="s">
        <v>12336</v>
      </c>
      <c r="AA1973" s="70" t="s">
        <v>12337</v>
      </c>
      <c r="AC1973" s="70">
        <v>1.0</v>
      </c>
      <c r="AE1973" s="70">
        <v>26.0</v>
      </c>
      <c r="AF1973" s="70" t="s">
        <v>239</v>
      </c>
      <c r="AW1973" s="70" t="s">
        <v>12338</v>
      </c>
      <c r="AX1973" s="70">
        <v>0.0</v>
      </c>
      <c r="AY1973" s="70" t="s">
        <v>24</v>
      </c>
      <c r="AZ1973" s="70">
        <v>2218.0</v>
      </c>
    </row>
    <row r="1974" ht="22.5" customHeight="1">
      <c r="A1974" s="70" t="str">
        <f t="shared" si="1"/>
        <v>Excluded</v>
      </c>
      <c r="B1974" s="70">
        <f t="shared" si="2"/>
        <v>0</v>
      </c>
      <c r="C1974" s="70">
        <v>0.0</v>
      </c>
      <c r="D1974" s="70">
        <v>0.0</v>
      </c>
      <c r="E1974" s="70">
        <v>0.0</v>
      </c>
      <c r="F1974" s="70">
        <v>0.0</v>
      </c>
      <c r="G1974" s="70">
        <v>0.0</v>
      </c>
      <c r="H1974" s="70" t="s">
        <v>5295</v>
      </c>
      <c r="I1974" s="70">
        <v>495.0</v>
      </c>
      <c r="J1974" s="70" t="s">
        <v>5291</v>
      </c>
      <c r="K1974" s="70" t="s">
        <v>5292</v>
      </c>
      <c r="L1974" s="70" t="s">
        <v>5293</v>
      </c>
      <c r="N1974" s="70" t="s">
        <v>5294</v>
      </c>
      <c r="P1974" s="76">
        <v>43734.0</v>
      </c>
      <c r="U1974" s="70" t="s">
        <v>239</v>
      </c>
      <c r="W1974" s="70" t="s">
        <v>5297</v>
      </c>
      <c r="X1974" s="70" t="s">
        <v>5298</v>
      </c>
      <c r="Z1974" s="75" t="s">
        <v>5299</v>
      </c>
      <c r="AA1974" s="70" t="s">
        <v>5300</v>
      </c>
      <c r="AC1974" s="70">
        <v>14.0</v>
      </c>
      <c r="AE1974" s="70">
        <v>20.0</v>
      </c>
      <c r="AF1974" s="70" t="s">
        <v>239</v>
      </c>
      <c r="AW1974" s="70" t="s">
        <v>5301</v>
      </c>
      <c r="AX1974" s="70">
        <v>0.0</v>
      </c>
      <c r="AY1974" s="70" t="s">
        <v>24</v>
      </c>
      <c r="AZ1974" s="70">
        <v>2027.0</v>
      </c>
    </row>
    <row r="1975" ht="22.5" customHeight="1">
      <c r="A1975" s="70" t="str">
        <f t="shared" si="1"/>
        <v>Excluded</v>
      </c>
      <c r="B1975" s="70">
        <f t="shared" si="2"/>
        <v>0</v>
      </c>
      <c r="C1975" s="70">
        <v>0.0</v>
      </c>
      <c r="D1975" s="70">
        <v>0.0</v>
      </c>
      <c r="E1975" s="70">
        <v>0.0</v>
      </c>
      <c r="F1975" s="70">
        <v>0.0</v>
      </c>
      <c r="G1975" s="70">
        <v>0.0</v>
      </c>
      <c r="H1975" s="70" t="s">
        <v>7100</v>
      </c>
      <c r="I1975" s="70">
        <v>678.0</v>
      </c>
      <c r="J1975" s="70" t="s">
        <v>7096</v>
      </c>
      <c r="K1975" s="70" t="s">
        <v>7097</v>
      </c>
      <c r="L1975" s="70" t="s">
        <v>7098</v>
      </c>
      <c r="N1975" s="70" t="s">
        <v>7099</v>
      </c>
      <c r="P1975" s="77">
        <v>44203.0</v>
      </c>
      <c r="U1975" s="70" t="s">
        <v>239</v>
      </c>
      <c r="W1975" s="70" t="s">
        <v>7102</v>
      </c>
      <c r="X1975" s="70" t="s">
        <v>7103</v>
      </c>
      <c r="Y1975" s="70" t="s">
        <v>7104</v>
      </c>
      <c r="Z1975" s="75" t="s">
        <v>7105</v>
      </c>
      <c r="AA1975" s="70" t="s">
        <v>7106</v>
      </c>
      <c r="AC1975" s="70">
        <v>4.0</v>
      </c>
      <c r="AE1975" s="70">
        <v>27.0</v>
      </c>
      <c r="AF1975" s="70" t="s">
        <v>239</v>
      </c>
      <c r="AW1975" s="70" t="s">
        <v>7107</v>
      </c>
      <c r="AZ1975" s="70">
        <v>978.0</v>
      </c>
    </row>
    <row r="1976" ht="22.5" customHeight="1">
      <c r="A1976" s="70" t="str">
        <f t="shared" si="1"/>
        <v>Excluded</v>
      </c>
      <c r="B1976" s="70">
        <f t="shared" si="2"/>
        <v>0</v>
      </c>
      <c r="C1976" s="70">
        <v>0.0</v>
      </c>
      <c r="D1976" s="70">
        <v>0.0</v>
      </c>
      <c r="E1976" s="70">
        <v>0.0</v>
      </c>
      <c r="F1976" s="70">
        <v>0.0</v>
      </c>
      <c r="G1976" s="70">
        <v>0.0</v>
      </c>
      <c r="H1976" s="70" t="s">
        <v>12353</v>
      </c>
      <c r="I1976" s="70">
        <v>1290.0</v>
      </c>
      <c r="J1976" s="70" t="s">
        <v>12349</v>
      </c>
      <c r="K1976" s="70" t="s">
        <v>12350</v>
      </c>
      <c r="L1976" s="70" t="s">
        <v>12351</v>
      </c>
      <c r="N1976" s="70" t="s">
        <v>12352</v>
      </c>
      <c r="P1976" s="76">
        <v>45285.0</v>
      </c>
      <c r="U1976" s="70" t="s">
        <v>239</v>
      </c>
      <c r="W1976" s="70" t="s">
        <v>12355</v>
      </c>
      <c r="X1976" s="70" t="s">
        <v>12356</v>
      </c>
      <c r="Z1976" s="75" t="s">
        <v>12357</v>
      </c>
      <c r="AA1976" s="70" t="s">
        <v>12358</v>
      </c>
      <c r="AC1976" s="70">
        <v>1.0</v>
      </c>
      <c r="AE1976" s="70">
        <v>25.0</v>
      </c>
      <c r="AF1976" s="70" t="s">
        <v>239</v>
      </c>
      <c r="AW1976" s="70" t="s">
        <v>12359</v>
      </c>
      <c r="AZ1976" s="70">
        <v>1191.0</v>
      </c>
    </row>
    <row r="1977" ht="22.5" customHeight="1">
      <c r="A1977" s="70" t="str">
        <f t="shared" si="1"/>
        <v>Excluded</v>
      </c>
      <c r="B1977" s="70">
        <f t="shared" si="2"/>
        <v>0</v>
      </c>
      <c r="C1977" s="70">
        <v>0.0</v>
      </c>
      <c r="D1977" s="70">
        <v>0.0</v>
      </c>
      <c r="E1977" s="70">
        <v>0.0</v>
      </c>
      <c r="F1977" s="70">
        <v>0.0</v>
      </c>
      <c r="G1977" s="70">
        <v>0.0</v>
      </c>
      <c r="H1977" s="70" t="s">
        <v>25638</v>
      </c>
      <c r="I1977" s="70">
        <v>2788.0</v>
      </c>
      <c r="J1977" s="70" t="s">
        <v>25636</v>
      </c>
      <c r="K1977" s="70" t="s">
        <v>25637</v>
      </c>
      <c r="W1977" s="70" t="s">
        <v>30712</v>
      </c>
      <c r="AA1977" s="70" t="s">
        <v>25640</v>
      </c>
      <c r="AI1977" s="70" t="s">
        <v>25641</v>
      </c>
      <c r="AJ1977" s="70" t="s">
        <v>25642</v>
      </c>
      <c r="AK1977" s="70">
        <v>2023.0</v>
      </c>
      <c r="AL1977" s="70" t="s">
        <v>25643</v>
      </c>
      <c r="AQ1977" s="70">
        <v>0.0</v>
      </c>
      <c r="AR1977" s="75" t="s">
        <v>25644</v>
      </c>
      <c r="AS1977" s="70" t="s">
        <v>22525</v>
      </c>
      <c r="AU1977" s="70" t="s">
        <v>237</v>
      </c>
      <c r="AV1977" s="70" t="s">
        <v>25645</v>
      </c>
      <c r="AW1977" s="70" t="s">
        <v>25646</v>
      </c>
      <c r="AX1977" s="70">
        <v>0.0</v>
      </c>
      <c r="AY1977" s="70" t="s">
        <v>24</v>
      </c>
      <c r="AZ1977" s="70">
        <v>2613.0</v>
      </c>
    </row>
    <row r="1978" ht="22.5" customHeight="1">
      <c r="A1978" s="70" t="str">
        <f t="shared" si="1"/>
        <v>Excluded</v>
      </c>
      <c r="B1978" s="70">
        <f t="shared" si="2"/>
        <v>0</v>
      </c>
      <c r="C1978" s="70">
        <v>0.0</v>
      </c>
      <c r="D1978" s="70">
        <v>0.0</v>
      </c>
      <c r="E1978" s="70">
        <v>0.0</v>
      </c>
      <c r="F1978" s="70">
        <v>0.0</v>
      </c>
      <c r="G1978" s="70">
        <v>0.0</v>
      </c>
      <c r="H1978" s="70" t="s">
        <v>20561</v>
      </c>
      <c r="I1978" s="70">
        <v>2264.0</v>
      </c>
      <c r="J1978" s="70" t="s">
        <v>20557</v>
      </c>
      <c r="K1978" s="70" t="s">
        <v>20558</v>
      </c>
      <c r="L1978" s="70" t="s">
        <v>20559</v>
      </c>
      <c r="N1978" s="70" t="s">
        <v>20560</v>
      </c>
      <c r="P1978" s="76">
        <v>44511.0</v>
      </c>
      <c r="U1978" s="70" t="s">
        <v>239</v>
      </c>
      <c r="W1978" s="70" t="s">
        <v>20563</v>
      </c>
      <c r="Y1978" s="70" t="s">
        <v>30713</v>
      </c>
      <c r="Z1978" s="75" t="s">
        <v>20565</v>
      </c>
      <c r="AA1978" s="70" t="s">
        <v>20566</v>
      </c>
      <c r="AC1978" s="70">
        <v>3.0</v>
      </c>
      <c r="AE1978" s="70">
        <v>24.0</v>
      </c>
      <c r="AF1978" s="70" t="s">
        <v>239</v>
      </c>
      <c r="AW1978" s="70" t="s">
        <v>20567</v>
      </c>
      <c r="AX1978" s="70">
        <v>0.0</v>
      </c>
      <c r="AY1978" s="70" t="s">
        <v>24</v>
      </c>
      <c r="AZ1978" s="70">
        <v>1988.0</v>
      </c>
    </row>
    <row r="1979" ht="22.5" customHeight="1">
      <c r="A1979" s="70" t="str">
        <f t="shared" si="1"/>
        <v>Excluded</v>
      </c>
      <c r="B1979" s="70">
        <f t="shared" si="2"/>
        <v>0</v>
      </c>
      <c r="C1979" s="70">
        <v>0.0</v>
      </c>
      <c r="D1979" s="70">
        <v>0.0</v>
      </c>
      <c r="E1979" s="70">
        <v>0.0</v>
      </c>
      <c r="F1979" s="70">
        <v>0.0</v>
      </c>
      <c r="G1979" s="70">
        <v>0.0</v>
      </c>
      <c r="H1979" s="70" t="s">
        <v>11038</v>
      </c>
      <c r="I1979" s="70">
        <v>1157.0</v>
      </c>
      <c r="K1979" s="70" t="s">
        <v>11037</v>
      </c>
      <c r="L1979" s="70" t="s">
        <v>5945</v>
      </c>
      <c r="N1979" s="70" t="s">
        <v>5946</v>
      </c>
      <c r="P1979" s="76">
        <v>44799.0</v>
      </c>
      <c r="U1979" s="70" t="s">
        <v>239</v>
      </c>
      <c r="X1979" s="70" t="s">
        <v>5950</v>
      </c>
      <c r="Z1979" s="75" t="s">
        <v>11039</v>
      </c>
      <c r="AF1979" s="70" t="s">
        <v>239</v>
      </c>
      <c r="AZ1979" s="70">
        <v>1494.0</v>
      </c>
    </row>
    <row r="1980" ht="22.5" customHeight="1">
      <c r="A1980" s="70" t="str">
        <f t="shared" si="1"/>
        <v>Excluded</v>
      </c>
      <c r="B1980" s="70">
        <f t="shared" si="2"/>
        <v>0</v>
      </c>
      <c r="C1980" s="70">
        <v>0.0</v>
      </c>
      <c r="D1980" s="70">
        <v>0.0</v>
      </c>
      <c r="E1980" s="70">
        <v>0.0</v>
      </c>
      <c r="F1980" s="70">
        <v>0.0</v>
      </c>
      <c r="G1980" s="70">
        <v>0.0</v>
      </c>
      <c r="H1980" s="70" t="s">
        <v>5947</v>
      </c>
      <c r="I1980" s="70">
        <v>561.0</v>
      </c>
      <c r="J1980" s="70" t="s">
        <v>5943</v>
      </c>
      <c r="K1980" s="70" t="s">
        <v>5944</v>
      </c>
      <c r="L1980" s="70" t="s">
        <v>5945</v>
      </c>
      <c r="N1980" s="70" t="s">
        <v>5946</v>
      </c>
      <c r="P1980" s="76">
        <v>44799.0</v>
      </c>
      <c r="U1980" s="70" t="s">
        <v>239</v>
      </c>
      <c r="W1980" s="70" t="s">
        <v>30714</v>
      </c>
      <c r="X1980" s="70" t="s">
        <v>5950</v>
      </c>
      <c r="Z1980" s="75" t="s">
        <v>5951</v>
      </c>
      <c r="AC1980" s="70">
        <v>8.0</v>
      </c>
      <c r="AE1980" s="70">
        <v>10.0</v>
      </c>
      <c r="AF1980" s="70" t="s">
        <v>239</v>
      </c>
      <c r="AW1980" s="70" t="s">
        <v>5952</v>
      </c>
      <c r="AX1980" s="70">
        <v>0.0</v>
      </c>
      <c r="AY1980" s="70" t="s">
        <v>24</v>
      </c>
      <c r="AZ1980" s="70">
        <v>1894.0</v>
      </c>
    </row>
    <row r="1981" ht="22.5" customHeight="1">
      <c r="A1981" s="70" t="str">
        <f t="shared" si="1"/>
        <v>Excluded</v>
      </c>
      <c r="B1981" s="70">
        <f t="shared" si="2"/>
        <v>0</v>
      </c>
      <c r="C1981" s="70">
        <v>0.0</v>
      </c>
      <c r="D1981" s="70">
        <v>0.0</v>
      </c>
      <c r="E1981" s="70">
        <v>0.0</v>
      </c>
      <c r="F1981" s="70">
        <v>0.0</v>
      </c>
      <c r="G1981" s="70">
        <v>0.0</v>
      </c>
      <c r="H1981" s="70" t="s">
        <v>5956</v>
      </c>
      <c r="I1981" s="70">
        <v>562.0</v>
      </c>
      <c r="J1981" s="70" t="s">
        <v>5953</v>
      </c>
      <c r="K1981" s="70" t="s">
        <v>5954</v>
      </c>
      <c r="L1981" s="70" t="s">
        <v>5955</v>
      </c>
      <c r="P1981" s="76">
        <v>42366.0</v>
      </c>
      <c r="U1981" s="70" t="s">
        <v>239</v>
      </c>
      <c r="W1981" s="70" t="s">
        <v>5958</v>
      </c>
      <c r="X1981" s="70" t="s">
        <v>5959</v>
      </c>
      <c r="Z1981" s="75" t="s">
        <v>5960</v>
      </c>
      <c r="AC1981" s="70">
        <v>8.0</v>
      </c>
      <c r="AE1981" s="70">
        <v>21.0</v>
      </c>
      <c r="AF1981" s="70" t="s">
        <v>239</v>
      </c>
      <c r="AW1981" s="70" t="s">
        <v>5961</v>
      </c>
      <c r="AZ1981" s="70">
        <v>486.0</v>
      </c>
    </row>
    <row r="1982" ht="22.5" customHeight="1">
      <c r="A1982" s="70" t="str">
        <f t="shared" si="1"/>
        <v>Excluded</v>
      </c>
      <c r="B1982" s="70">
        <f t="shared" si="2"/>
        <v>0</v>
      </c>
      <c r="C1982" s="70">
        <v>0.0</v>
      </c>
      <c r="D1982" s="70">
        <v>0.0</v>
      </c>
      <c r="E1982" s="70">
        <v>0.0</v>
      </c>
      <c r="F1982" s="70">
        <v>0.0</v>
      </c>
      <c r="G1982" s="70">
        <v>0.0</v>
      </c>
      <c r="H1982" s="70" t="s">
        <v>21552</v>
      </c>
      <c r="I1982" s="70">
        <v>2375.0</v>
      </c>
      <c r="J1982" s="70" t="s">
        <v>21548</v>
      </c>
      <c r="K1982" s="70" t="s">
        <v>21549</v>
      </c>
      <c r="L1982" s="70" t="s">
        <v>21550</v>
      </c>
      <c r="N1982" s="70" t="s">
        <v>21551</v>
      </c>
      <c r="P1982" s="76">
        <v>45496.0</v>
      </c>
      <c r="U1982" s="70" t="s">
        <v>239</v>
      </c>
      <c r="W1982" s="70" t="s">
        <v>21554</v>
      </c>
      <c r="Y1982" s="70" t="s">
        <v>30715</v>
      </c>
      <c r="Z1982" s="75" t="s">
        <v>21556</v>
      </c>
      <c r="AA1982" s="70" t="s">
        <v>21557</v>
      </c>
      <c r="AC1982" s="70">
        <v>1.0</v>
      </c>
      <c r="AE1982" s="70">
        <v>14.0</v>
      </c>
      <c r="AF1982" s="70" t="s">
        <v>239</v>
      </c>
      <c r="AW1982" s="70" t="s">
        <v>21558</v>
      </c>
      <c r="AZ1982" s="70">
        <v>954.0</v>
      </c>
    </row>
    <row r="1983" ht="22.5" customHeight="1">
      <c r="A1983" s="70" t="str">
        <f t="shared" si="1"/>
        <v>Excluded</v>
      </c>
      <c r="B1983" s="70">
        <f t="shared" si="2"/>
        <v>0</v>
      </c>
      <c r="C1983" s="70">
        <v>0.0</v>
      </c>
      <c r="D1983" s="70">
        <v>0.0</v>
      </c>
      <c r="E1983" s="70">
        <v>0.0</v>
      </c>
      <c r="F1983" s="70">
        <v>0.0</v>
      </c>
      <c r="G1983" s="70">
        <v>0.0</v>
      </c>
      <c r="H1983" s="70" t="s">
        <v>21057</v>
      </c>
      <c r="I1983" s="70">
        <v>2319.0</v>
      </c>
      <c r="J1983" s="70" t="s">
        <v>21053</v>
      </c>
      <c r="K1983" s="70" t="s">
        <v>21054</v>
      </c>
      <c r="L1983" s="70" t="s">
        <v>21055</v>
      </c>
      <c r="N1983" s="70" t="s">
        <v>21056</v>
      </c>
      <c r="P1983" s="76">
        <v>45014.0</v>
      </c>
      <c r="U1983" s="70" t="s">
        <v>239</v>
      </c>
      <c r="W1983" s="70" t="s">
        <v>21059</v>
      </c>
      <c r="Y1983" s="70" t="s">
        <v>30716</v>
      </c>
      <c r="Z1983" s="75" t="s">
        <v>21061</v>
      </c>
      <c r="AA1983" s="70" t="s">
        <v>21062</v>
      </c>
      <c r="AC1983" s="70">
        <v>2.0</v>
      </c>
      <c r="AE1983" s="70">
        <v>15.0</v>
      </c>
      <c r="AF1983" s="70" t="s">
        <v>16423</v>
      </c>
      <c r="AW1983" s="70" t="s">
        <v>21063</v>
      </c>
      <c r="AZ1983" s="70">
        <v>419.0</v>
      </c>
    </row>
    <row r="1984" ht="22.5" customHeight="1">
      <c r="A1984" s="70" t="str">
        <f t="shared" si="1"/>
        <v>Excluded</v>
      </c>
      <c r="B1984" s="70">
        <f t="shared" si="2"/>
        <v>0</v>
      </c>
      <c r="C1984" s="70">
        <v>0.0</v>
      </c>
      <c r="D1984" s="70">
        <v>0.0</v>
      </c>
      <c r="E1984" s="70">
        <v>0.0</v>
      </c>
      <c r="F1984" s="70">
        <v>0.0</v>
      </c>
      <c r="G1984" s="70">
        <v>0.0</v>
      </c>
      <c r="H1984" s="70" t="s">
        <v>25732</v>
      </c>
      <c r="I1984" s="70">
        <v>2797.0</v>
      </c>
      <c r="J1984" s="70" t="s">
        <v>25730</v>
      </c>
      <c r="K1984" s="70" t="s">
        <v>25731</v>
      </c>
      <c r="W1984" s="70" t="s">
        <v>30717</v>
      </c>
      <c r="AA1984" s="70" t="s">
        <v>25734</v>
      </c>
      <c r="AI1984" s="70" t="s">
        <v>25735</v>
      </c>
      <c r="AJ1984" s="70" t="s">
        <v>25736</v>
      </c>
      <c r="AK1984" s="70">
        <v>2023.0</v>
      </c>
      <c r="AL1984" s="70" t="s">
        <v>25737</v>
      </c>
      <c r="AM1984" s="70">
        <v>5502304.0</v>
      </c>
      <c r="AQ1984" s="70">
        <v>2.0</v>
      </c>
      <c r="AR1984" s="75" t="s">
        <v>25738</v>
      </c>
      <c r="AS1984" s="70" t="s">
        <v>22525</v>
      </c>
      <c r="AT1984" s="70" t="s">
        <v>22816</v>
      </c>
      <c r="AU1984" s="70" t="s">
        <v>237</v>
      </c>
      <c r="AV1984" s="70" t="s">
        <v>25739</v>
      </c>
      <c r="AW1984" s="70" t="s">
        <v>25740</v>
      </c>
      <c r="AX1984" s="70">
        <v>0.0</v>
      </c>
      <c r="AY1984" s="70" t="s">
        <v>24</v>
      </c>
      <c r="AZ1984" s="70">
        <v>2670.0</v>
      </c>
    </row>
    <row r="1985" ht="22.5" customHeight="1">
      <c r="A1985" s="70" t="str">
        <f t="shared" si="1"/>
        <v>Excluded</v>
      </c>
      <c r="B1985" s="70">
        <f t="shared" si="2"/>
        <v>0</v>
      </c>
      <c r="C1985" s="70">
        <v>0.0</v>
      </c>
      <c r="D1985" s="70">
        <v>0.0</v>
      </c>
      <c r="E1985" s="70">
        <v>0.0</v>
      </c>
      <c r="F1985" s="70">
        <v>0.0</v>
      </c>
      <c r="G1985" s="70">
        <v>0.0</v>
      </c>
      <c r="H1985" s="70" t="s">
        <v>13494</v>
      </c>
      <c r="I1985" s="70">
        <v>1405.0</v>
      </c>
      <c r="J1985" s="70" t="s">
        <v>13490</v>
      </c>
      <c r="K1985" s="70" t="s">
        <v>13491</v>
      </c>
      <c r="L1985" s="70" t="s">
        <v>13492</v>
      </c>
      <c r="N1985" s="70" t="s">
        <v>13493</v>
      </c>
      <c r="P1985" s="76">
        <v>45657.0</v>
      </c>
      <c r="U1985" s="70" t="s">
        <v>239</v>
      </c>
      <c r="W1985" s="70" t="s">
        <v>13496</v>
      </c>
      <c r="X1985" s="70" t="s">
        <v>13497</v>
      </c>
      <c r="Z1985" s="75" t="s">
        <v>13498</v>
      </c>
      <c r="AA1985" s="70" t="s">
        <v>13499</v>
      </c>
      <c r="AE1985" s="70">
        <v>6.0</v>
      </c>
      <c r="AF1985" s="70" t="s">
        <v>239</v>
      </c>
      <c r="AW1985" s="70" t="s">
        <v>13500</v>
      </c>
      <c r="AZ1985" s="70">
        <v>967.0</v>
      </c>
    </row>
    <row r="1986" ht="22.5" customHeight="1">
      <c r="A1986" s="70" t="str">
        <f t="shared" si="1"/>
        <v>Excluded</v>
      </c>
      <c r="B1986" s="70">
        <f t="shared" si="2"/>
        <v>0</v>
      </c>
      <c r="C1986" s="70">
        <v>0.0</v>
      </c>
      <c r="D1986" s="70">
        <v>0.0</v>
      </c>
      <c r="E1986" s="70">
        <v>0.0</v>
      </c>
      <c r="F1986" s="70">
        <v>0.0</v>
      </c>
      <c r="G1986" s="70">
        <v>0.0</v>
      </c>
      <c r="H1986" s="70" t="s">
        <v>5644</v>
      </c>
      <c r="I1986" s="70">
        <v>531.0</v>
      </c>
      <c r="J1986" s="70" t="s">
        <v>5640</v>
      </c>
      <c r="K1986" s="70" t="s">
        <v>5641</v>
      </c>
      <c r="L1986" s="70" t="s">
        <v>5642</v>
      </c>
      <c r="N1986" s="70" t="s">
        <v>5643</v>
      </c>
      <c r="P1986" s="76">
        <v>44543.0</v>
      </c>
      <c r="U1986" s="70" t="s">
        <v>239</v>
      </c>
      <c r="W1986" s="70" t="s">
        <v>5646</v>
      </c>
      <c r="X1986" s="70" t="s">
        <v>5647</v>
      </c>
      <c r="Y1986" s="70" t="s">
        <v>30339</v>
      </c>
      <c r="Z1986" s="75" t="s">
        <v>5649</v>
      </c>
      <c r="AA1986" s="70" t="s">
        <v>5650</v>
      </c>
      <c r="AC1986" s="70">
        <v>10.0</v>
      </c>
      <c r="AE1986" s="70">
        <v>35.0</v>
      </c>
      <c r="AF1986" s="70" t="s">
        <v>239</v>
      </c>
      <c r="AW1986" s="70" t="s">
        <v>5651</v>
      </c>
      <c r="AZ1986" s="70">
        <v>597.0</v>
      </c>
    </row>
    <row r="1987" ht="22.5" customHeight="1">
      <c r="A1987" s="70" t="str">
        <f t="shared" si="1"/>
        <v>Excluded</v>
      </c>
      <c r="B1987" s="70">
        <f t="shared" si="2"/>
        <v>0</v>
      </c>
      <c r="C1987" s="70">
        <v>0.0</v>
      </c>
      <c r="D1987" s="70">
        <v>0.0</v>
      </c>
      <c r="E1987" s="70">
        <v>0.0</v>
      </c>
      <c r="F1987" s="70">
        <v>0.0</v>
      </c>
      <c r="G1987" s="70">
        <v>0.0</v>
      </c>
      <c r="H1987" s="70" t="s">
        <v>10445</v>
      </c>
      <c r="I1987" s="70">
        <v>1027.0</v>
      </c>
      <c r="J1987" s="70" t="s">
        <v>10442</v>
      </c>
      <c r="K1987" s="70" t="s">
        <v>10443</v>
      </c>
      <c r="L1987" s="70" t="s">
        <v>10444</v>
      </c>
      <c r="N1987" s="70" t="s">
        <v>5643</v>
      </c>
      <c r="P1987" s="76">
        <v>44914.0</v>
      </c>
      <c r="U1987" s="70" t="s">
        <v>239</v>
      </c>
      <c r="W1987" s="70" t="s">
        <v>10447</v>
      </c>
      <c r="X1987" s="70" t="s">
        <v>10448</v>
      </c>
      <c r="Y1987" s="70" t="s">
        <v>10449</v>
      </c>
      <c r="Z1987" s="75" t="s">
        <v>10450</v>
      </c>
      <c r="AA1987" s="70" t="s">
        <v>10451</v>
      </c>
      <c r="AE1987" s="70">
        <v>36.0</v>
      </c>
      <c r="AF1987" s="70" t="s">
        <v>239</v>
      </c>
      <c r="AW1987" s="70" t="s">
        <v>10452</v>
      </c>
      <c r="AZ1987" s="70">
        <v>487.0</v>
      </c>
    </row>
    <row r="1988" ht="22.5" customHeight="1">
      <c r="A1988" s="70" t="str">
        <f t="shared" si="1"/>
        <v>Excluded</v>
      </c>
      <c r="B1988" s="70">
        <f t="shared" si="2"/>
        <v>0</v>
      </c>
      <c r="C1988" s="70">
        <v>0.0</v>
      </c>
      <c r="D1988" s="70">
        <v>0.0</v>
      </c>
      <c r="E1988" s="70">
        <v>0.0</v>
      </c>
      <c r="F1988" s="70">
        <v>0.0</v>
      </c>
      <c r="G1988" s="70">
        <v>0.0</v>
      </c>
      <c r="H1988" s="70" t="s">
        <v>11315</v>
      </c>
      <c r="I1988" s="70">
        <v>1186.0</v>
      </c>
      <c r="J1988" s="70" t="s">
        <v>30718</v>
      </c>
      <c r="K1988" s="70" t="s">
        <v>11313</v>
      </c>
      <c r="L1988" s="70" t="s">
        <v>11314</v>
      </c>
      <c r="N1988" s="70" t="s">
        <v>5643</v>
      </c>
      <c r="P1988" s="77">
        <v>45231.0</v>
      </c>
      <c r="U1988" s="70" t="s">
        <v>239</v>
      </c>
      <c r="W1988" s="70" t="s">
        <v>11317</v>
      </c>
      <c r="X1988" s="70" t="s">
        <v>11318</v>
      </c>
      <c r="Y1988" s="70" t="s">
        <v>30719</v>
      </c>
      <c r="Z1988" s="75" t="s">
        <v>11320</v>
      </c>
      <c r="AA1988" s="70" t="s">
        <v>11321</v>
      </c>
      <c r="AC1988" s="70">
        <v>4.0</v>
      </c>
      <c r="AE1988" s="70">
        <v>16.0</v>
      </c>
      <c r="AF1988" s="70" t="s">
        <v>239</v>
      </c>
      <c r="AW1988" s="70" t="s">
        <v>11322</v>
      </c>
      <c r="AX1988" s="70">
        <v>0.0</v>
      </c>
      <c r="AY1988" s="70" t="s">
        <v>24</v>
      </c>
      <c r="AZ1988" s="70">
        <v>1647.0</v>
      </c>
    </row>
    <row r="1989" ht="22.5" customHeight="1">
      <c r="A1989" s="70" t="str">
        <f t="shared" si="1"/>
        <v>Excluded</v>
      </c>
      <c r="B1989" s="70">
        <f t="shared" si="2"/>
        <v>0</v>
      </c>
      <c r="C1989" s="70">
        <v>0.0</v>
      </c>
      <c r="D1989" s="70">
        <v>0.0</v>
      </c>
      <c r="E1989" s="70">
        <v>0.0</v>
      </c>
      <c r="F1989" s="70">
        <v>0.0</v>
      </c>
      <c r="G1989" s="70">
        <v>0.0</v>
      </c>
      <c r="H1989" s="70" t="s">
        <v>12795</v>
      </c>
      <c r="I1989" s="70">
        <v>1334.0</v>
      </c>
      <c r="J1989" s="70" t="s">
        <v>12791</v>
      </c>
      <c r="K1989" s="70" t="s">
        <v>12792</v>
      </c>
      <c r="L1989" s="70" t="s">
        <v>12793</v>
      </c>
      <c r="N1989" s="70" t="s">
        <v>12794</v>
      </c>
      <c r="P1989" s="76">
        <v>45308.0</v>
      </c>
      <c r="U1989" s="70" t="s">
        <v>239</v>
      </c>
      <c r="W1989" s="70" t="s">
        <v>12797</v>
      </c>
      <c r="X1989" s="70" t="s">
        <v>12798</v>
      </c>
      <c r="Y1989" s="70" t="s">
        <v>30720</v>
      </c>
      <c r="Z1989" s="75" t="s">
        <v>12799</v>
      </c>
      <c r="AA1989" s="70" t="s">
        <v>12800</v>
      </c>
      <c r="AE1989" s="70">
        <v>19.0</v>
      </c>
      <c r="AF1989" s="70" t="s">
        <v>239</v>
      </c>
      <c r="AW1989" s="70" t="s">
        <v>12801</v>
      </c>
      <c r="AX1989" s="70">
        <v>0.0</v>
      </c>
      <c r="AY1989" s="70" t="s">
        <v>24</v>
      </c>
      <c r="AZ1989" s="70">
        <v>3092.0</v>
      </c>
    </row>
    <row r="1990" ht="22.5" customHeight="1">
      <c r="A1990" s="70" t="str">
        <f t="shared" si="1"/>
        <v>Excluded</v>
      </c>
      <c r="B1990" s="70">
        <f t="shared" si="2"/>
        <v>0</v>
      </c>
      <c r="C1990" s="70">
        <v>0.0</v>
      </c>
      <c r="D1990" s="70">
        <v>0.0</v>
      </c>
      <c r="E1990" s="70">
        <v>0.0</v>
      </c>
      <c r="F1990" s="70">
        <v>0.0</v>
      </c>
      <c r="G1990" s="70">
        <v>0.0</v>
      </c>
      <c r="H1990" s="70" t="s">
        <v>6628</v>
      </c>
      <c r="I1990" s="70">
        <v>630.0</v>
      </c>
      <c r="J1990" s="70" t="s">
        <v>6624</v>
      </c>
      <c r="K1990" s="70" t="s">
        <v>6625</v>
      </c>
      <c r="L1990" s="70" t="s">
        <v>6626</v>
      </c>
      <c r="N1990" s="70" t="s">
        <v>6627</v>
      </c>
      <c r="P1990" s="77">
        <v>44050.0</v>
      </c>
      <c r="U1990" s="70" t="s">
        <v>239</v>
      </c>
      <c r="W1990" s="70" t="s">
        <v>30721</v>
      </c>
      <c r="X1990" s="70" t="s">
        <v>6631</v>
      </c>
      <c r="Z1990" s="75" t="s">
        <v>6632</v>
      </c>
      <c r="AA1990" s="70" t="s">
        <v>6633</v>
      </c>
      <c r="AC1990" s="70">
        <v>6.0</v>
      </c>
      <c r="AE1990" s="70">
        <v>21.0</v>
      </c>
      <c r="AF1990" s="70" t="s">
        <v>239</v>
      </c>
      <c r="AW1990" s="70" t="s">
        <v>6634</v>
      </c>
      <c r="AX1990" s="70">
        <v>0.0</v>
      </c>
      <c r="AY1990" s="70" t="s">
        <v>24</v>
      </c>
      <c r="AZ1990" s="70">
        <v>3128.0</v>
      </c>
    </row>
    <row r="1991" ht="22.5" customHeight="1">
      <c r="A1991" s="70" t="str">
        <f t="shared" si="1"/>
        <v>Excluded</v>
      </c>
      <c r="B1991" s="70">
        <f t="shared" si="2"/>
        <v>0</v>
      </c>
      <c r="C1991" s="70">
        <v>0.0</v>
      </c>
      <c r="D1991" s="70">
        <v>0.0</v>
      </c>
      <c r="E1991" s="70">
        <v>0.0</v>
      </c>
      <c r="F1991" s="70">
        <v>0.0</v>
      </c>
      <c r="G1991" s="70">
        <v>0.0</v>
      </c>
      <c r="H1991" s="70" t="s">
        <v>13008</v>
      </c>
      <c r="I1991" s="70">
        <v>1356.0</v>
      </c>
      <c r="J1991" s="70" t="s">
        <v>13005</v>
      </c>
      <c r="K1991" s="70" t="s">
        <v>13006</v>
      </c>
      <c r="L1991" s="70" t="s">
        <v>13007</v>
      </c>
      <c r="N1991" s="70" t="s">
        <v>6627</v>
      </c>
      <c r="P1991" s="76">
        <v>45160.0</v>
      </c>
      <c r="U1991" s="70" t="s">
        <v>239</v>
      </c>
      <c r="W1991" s="70" t="s">
        <v>13010</v>
      </c>
      <c r="X1991" s="70" t="s">
        <v>13011</v>
      </c>
      <c r="Y1991" s="70" t="s">
        <v>30227</v>
      </c>
      <c r="Z1991" s="75" t="s">
        <v>13012</v>
      </c>
      <c r="AA1991" s="70" t="s">
        <v>13013</v>
      </c>
      <c r="AE1991" s="70">
        <v>20.0</v>
      </c>
      <c r="AF1991" s="70" t="s">
        <v>239</v>
      </c>
      <c r="AW1991" s="70" t="s">
        <v>13014</v>
      </c>
      <c r="AX1991" s="70">
        <v>0.0</v>
      </c>
      <c r="AY1991" s="70" t="s">
        <v>24</v>
      </c>
      <c r="AZ1991" s="70">
        <v>3013.0</v>
      </c>
    </row>
    <row r="1992" ht="22.5" customHeight="1">
      <c r="A1992" s="70" t="str">
        <f t="shared" si="1"/>
        <v>Excluded</v>
      </c>
      <c r="B1992" s="70">
        <f t="shared" si="2"/>
        <v>0</v>
      </c>
      <c r="C1992" s="70">
        <v>0.0</v>
      </c>
      <c r="D1992" s="70">
        <v>0.0</v>
      </c>
      <c r="E1992" s="70">
        <v>0.0</v>
      </c>
      <c r="F1992" s="70">
        <v>0.0</v>
      </c>
      <c r="G1992" s="70">
        <v>0.0</v>
      </c>
      <c r="H1992" s="70" t="s">
        <v>13890</v>
      </c>
      <c r="I1992" s="70">
        <v>1446.0</v>
      </c>
      <c r="J1992" s="70" t="s">
        <v>13888</v>
      </c>
      <c r="K1992" s="70" t="s">
        <v>13889</v>
      </c>
      <c r="L1992" s="70" t="s">
        <v>13007</v>
      </c>
      <c r="N1992" s="70" t="s">
        <v>6627</v>
      </c>
      <c r="P1992" s="76">
        <v>45160.0</v>
      </c>
      <c r="U1992" s="70" t="s">
        <v>239</v>
      </c>
      <c r="W1992" s="70" t="s">
        <v>13892</v>
      </c>
      <c r="X1992" s="70" t="s">
        <v>13011</v>
      </c>
      <c r="Z1992" s="75" t="s">
        <v>13893</v>
      </c>
      <c r="AA1992" s="70" t="s">
        <v>13894</v>
      </c>
      <c r="AE1992" s="70">
        <v>37.0</v>
      </c>
      <c r="AF1992" s="70" t="s">
        <v>239</v>
      </c>
      <c r="AW1992" s="70" t="s">
        <v>13895</v>
      </c>
      <c r="AX1992" s="70">
        <v>0.0</v>
      </c>
      <c r="AY1992" s="70" t="s">
        <v>24</v>
      </c>
      <c r="AZ1992" s="70">
        <v>2470.0</v>
      </c>
    </row>
    <row r="1993" ht="22.5" customHeight="1">
      <c r="A1993" s="70" t="str">
        <f t="shared" si="1"/>
        <v>Excluded</v>
      </c>
      <c r="B1993" s="70">
        <f t="shared" si="2"/>
        <v>0</v>
      </c>
      <c r="C1993" s="70">
        <v>0.0</v>
      </c>
      <c r="D1993" s="70">
        <v>0.0</v>
      </c>
      <c r="E1993" s="70">
        <v>0.0</v>
      </c>
      <c r="F1993" s="70">
        <v>0.0</v>
      </c>
      <c r="G1993" s="70">
        <v>0.0</v>
      </c>
      <c r="H1993" s="70" t="s">
        <v>7596</v>
      </c>
      <c r="I1993" s="70">
        <v>730.0</v>
      </c>
      <c r="J1993" s="70" t="s">
        <v>7592</v>
      </c>
      <c r="K1993" s="70" t="s">
        <v>7593</v>
      </c>
      <c r="L1993" s="70" t="s">
        <v>7594</v>
      </c>
      <c r="N1993" s="70" t="s">
        <v>7595</v>
      </c>
      <c r="P1993" s="77">
        <v>44385.0</v>
      </c>
      <c r="U1993" s="70" t="s">
        <v>239</v>
      </c>
      <c r="W1993" s="70" t="s">
        <v>7598</v>
      </c>
      <c r="X1993" s="70" t="s">
        <v>7599</v>
      </c>
      <c r="Y1993" s="70" t="s">
        <v>29920</v>
      </c>
      <c r="Z1993" s="75" t="s">
        <v>7600</v>
      </c>
      <c r="AA1993" s="70" t="s">
        <v>7601</v>
      </c>
      <c r="AC1993" s="70">
        <v>3.0</v>
      </c>
      <c r="AE1993" s="70">
        <v>14.0</v>
      </c>
      <c r="AF1993" s="70" t="s">
        <v>239</v>
      </c>
      <c r="AW1993" s="70" t="s">
        <v>7602</v>
      </c>
      <c r="AZ1993" s="70">
        <v>212.0</v>
      </c>
    </row>
    <row r="1994" ht="22.5" customHeight="1">
      <c r="A1994" s="70" t="str">
        <f t="shared" si="1"/>
        <v>Excluded</v>
      </c>
      <c r="B1994" s="70">
        <f t="shared" si="2"/>
        <v>0</v>
      </c>
      <c r="C1994" s="70">
        <v>0.0</v>
      </c>
      <c r="D1994" s="70">
        <v>0.0</v>
      </c>
      <c r="E1994" s="70">
        <v>0.0</v>
      </c>
      <c r="F1994" s="70">
        <v>0.0</v>
      </c>
      <c r="G1994" s="70">
        <v>0.0</v>
      </c>
      <c r="H1994" s="70" t="s">
        <v>10253</v>
      </c>
      <c r="I1994" s="70">
        <v>1007.0</v>
      </c>
      <c r="J1994" s="70" t="s">
        <v>10250</v>
      </c>
      <c r="K1994" s="70" t="s">
        <v>10251</v>
      </c>
      <c r="L1994" s="70" t="s">
        <v>10252</v>
      </c>
      <c r="N1994" s="70" t="s">
        <v>7812</v>
      </c>
      <c r="P1994" s="76">
        <v>43661.0</v>
      </c>
      <c r="U1994" s="70" t="s">
        <v>239</v>
      </c>
      <c r="W1994" s="70" t="s">
        <v>10255</v>
      </c>
      <c r="X1994" s="70" t="s">
        <v>10256</v>
      </c>
      <c r="Z1994" s="75" t="s">
        <v>10257</v>
      </c>
      <c r="AA1994" s="70" t="s">
        <v>10258</v>
      </c>
      <c r="AE1994" s="70">
        <v>16.0</v>
      </c>
      <c r="AF1994" s="70" t="s">
        <v>239</v>
      </c>
      <c r="AW1994" s="70" t="s">
        <v>10259</v>
      </c>
      <c r="AZ1994" s="70">
        <v>231.0</v>
      </c>
    </row>
    <row r="1995" ht="22.5" customHeight="1">
      <c r="A1995" s="70" t="str">
        <f t="shared" si="1"/>
        <v>Excluded</v>
      </c>
      <c r="B1995" s="70">
        <f t="shared" si="2"/>
        <v>0</v>
      </c>
      <c r="C1995" s="70">
        <v>0.0</v>
      </c>
      <c r="D1995" s="70">
        <v>0.0</v>
      </c>
      <c r="E1995" s="70">
        <v>0.0</v>
      </c>
      <c r="F1995" s="70">
        <v>0.0</v>
      </c>
      <c r="G1995" s="70">
        <v>0.0</v>
      </c>
      <c r="H1995" s="70" t="s">
        <v>8053</v>
      </c>
      <c r="I1995" s="70">
        <v>777.0</v>
      </c>
      <c r="J1995" s="70" t="s">
        <v>30722</v>
      </c>
      <c r="K1995" s="70" t="s">
        <v>8051</v>
      </c>
      <c r="L1995" s="70" t="s">
        <v>8052</v>
      </c>
      <c r="N1995" s="70" t="s">
        <v>7812</v>
      </c>
      <c r="P1995" s="77">
        <v>44019.0</v>
      </c>
      <c r="U1995" s="70" t="s">
        <v>239</v>
      </c>
      <c r="W1995" s="70" t="s">
        <v>8055</v>
      </c>
      <c r="X1995" s="70" t="s">
        <v>8056</v>
      </c>
      <c r="Z1995" s="75" t="s">
        <v>8057</v>
      </c>
      <c r="AC1995" s="70">
        <v>2.0</v>
      </c>
      <c r="AE1995" s="70">
        <v>5.0</v>
      </c>
      <c r="AF1995" s="70" t="s">
        <v>239</v>
      </c>
      <c r="AW1995" s="70" t="s">
        <v>8058</v>
      </c>
      <c r="AX1995" s="70">
        <v>0.0</v>
      </c>
      <c r="AY1995" s="70" t="s">
        <v>24</v>
      </c>
      <c r="AZ1995" s="70">
        <v>3057.0</v>
      </c>
    </row>
    <row r="1996" ht="22.5" customHeight="1">
      <c r="A1996" s="70" t="str">
        <f t="shared" si="1"/>
        <v>Excluded</v>
      </c>
      <c r="B1996" s="70">
        <f t="shared" si="2"/>
        <v>0</v>
      </c>
      <c r="C1996" s="70">
        <v>0.0</v>
      </c>
      <c r="D1996" s="70">
        <v>0.0</v>
      </c>
      <c r="E1996" s="70">
        <v>0.0</v>
      </c>
      <c r="F1996" s="70">
        <v>0.0</v>
      </c>
      <c r="G1996" s="70">
        <v>0.0</v>
      </c>
      <c r="H1996" s="70" t="s">
        <v>7813</v>
      </c>
      <c r="I1996" s="70">
        <v>752.0</v>
      </c>
      <c r="J1996" s="70" t="s">
        <v>7809</v>
      </c>
      <c r="K1996" s="70" t="s">
        <v>7810</v>
      </c>
      <c r="L1996" s="70" t="s">
        <v>7811</v>
      </c>
      <c r="N1996" s="70" t="s">
        <v>7812</v>
      </c>
      <c r="P1996" s="77">
        <v>44378.0</v>
      </c>
      <c r="U1996" s="70" t="s">
        <v>239</v>
      </c>
      <c r="W1996" s="70" t="s">
        <v>7815</v>
      </c>
      <c r="X1996" s="70" t="s">
        <v>7816</v>
      </c>
      <c r="Z1996" s="75" t="s">
        <v>7817</v>
      </c>
      <c r="AA1996" s="70" t="s">
        <v>7818</v>
      </c>
      <c r="AC1996" s="70">
        <v>2.0</v>
      </c>
      <c r="AE1996" s="70">
        <v>16.0</v>
      </c>
      <c r="AF1996" s="70" t="s">
        <v>239</v>
      </c>
      <c r="AW1996" s="70" t="s">
        <v>7819</v>
      </c>
      <c r="AX1996" s="70">
        <v>0.0</v>
      </c>
      <c r="AY1996" s="70" t="s">
        <v>24</v>
      </c>
      <c r="AZ1996" s="70">
        <v>2320.0</v>
      </c>
    </row>
    <row r="1997" ht="22.5" customHeight="1">
      <c r="A1997" s="70" t="str">
        <f t="shared" si="1"/>
        <v>Excluded</v>
      </c>
      <c r="B1997" s="70">
        <f t="shared" si="2"/>
        <v>0</v>
      </c>
      <c r="C1997" s="70">
        <v>0.0</v>
      </c>
      <c r="D1997" s="70">
        <v>0.0</v>
      </c>
      <c r="E1997" s="70">
        <v>0.0</v>
      </c>
      <c r="F1997" s="70">
        <v>0.0</v>
      </c>
      <c r="G1997" s="70">
        <v>0.0</v>
      </c>
      <c r="H1997" s="70" t="s">
        <v>8228</v>
      </c>
      <c r="I1997" s="70">
        <v>796.0</v>
      </c>
      <c r="J1997" s="70" t="s">
        <v>8225</v>
      </c>
      <c r="K1997" s="70" t="s">
        <v>8226</v>
      </c>
      <c r="L1997" s="70" t="s">
        <v>8227</v>
      </c>
      <c r="N1997" s="70" t="s">
        <v>7812</v>
      </c>
      <c r="P1997" s="76">
        <v>44733.0</v>
      </c>
      <c r="U1997" s="70" t="s">
        <v>239</v>
      </c>
      <c r="W1997" s="70" t="s">
        <v>8230</v>
      </c>
      <c r="X1997" s="70" t="s">
        <v>8231</v>
      </c>
      <c r="Y1997" s="70" t="s">
        <v>30723</v>
      </c>
      <c r="Z1997" s="75" t="s">
        <v>8233</v>
      </c>
      <c r="AA1997" s="70" t="s">
        <v>8234</v>
      </c>
      <c r="AC1997" s="70">
        <v>2.0</v>
      </c>
      <c r="AE1997" s="70">
        <v>24.0</v>
      </c>
      <c r="AF1997" s="70" t="s">
        <v>239</v>
      </c>
      <c r="AW1997" s="70" t="s">
        <v>8235</v>
      </c>
      <c r="AX1997" s="70">
        <v>0.0</v>
      </c>
      <c r="AY1997" s="70" t="s">
        <v>24</v>
      </c>
      <c r="AZ1997" s="70">
        <v>2560.0</v>
      </c>
    </row>
    <row r="1998" ht="22.5" customHeight="1">
      <c r="A1998" s="70" t="str">
        <f t="shared" si="1"/>
        <v>Excluded</v>
      </c>
      <c r="B1998" s="70">
        <f t="shared" si="2"/>
        <v>0</v>
      </c>
      <c r="C1998" s="70">
        <v>0.0</v>
      </c>
      <c r="D1998" s="70">
        <v>0.0</v>
      </c>
      <c r="E1998" s="70">
        <v>0.0</v>
      </c>
      <c r="F1998" s="70">
        <v>0.0</v>
      </c>
      <c r="G1998" s="70">
        <v>0.0</v>
      </c>
      <c r="H1998" s="70" t="s">
        <v>15951</v>
      </c>
      <c r="I1998" s="70">
        <v>1681.0</v>
      </c>
      <c r="K1998" s="70" t="s">
        <v>15949</v>
      </c>
      <c r="L1998" s="70" t="s">
        <v>15950</v>
      </c>
      <c r="N1998" s="70" t="s">
        <v>7812</v>
      </c>
      <c r="P1998" s="77">
        <v>45476.0</v>
      </c>
      <c r="U1998" s="70" t="s">
        <v>239</v>
      </c>
      <c r="X1998" s="70" t="s">
        <v>15953</v>
      </c>
      <c r="Z1998" s="75" t="s">
        <v>15954</v>
      </c>
      <c r="AF1998" s="70" t="s">
        <v>239</v>
      </c>
      <c r="AZ1998" s="70">
        <v>1414.0</v>
      </c>
    </row>
    <row r="1999" ht="22.5" customHeight="1">
      <c r="A1999" s="70" t="str">
        <f t="shared" si="1"/>
        <v>Excluded</v>
      </c>
      <c r="B1999" s="70">
        <f t="shared" si="2"/>
        <v>0</v>
      </c>
      <c r="C1999" s="70">
        <v>0.0</v>
      </c>
      <c r="D1999" s="70">
        <v>0.0</v>
      </c>
      <c r="E1999" s="70">
        <v>0.0</v>
      </c>
      <c r="F1999" s="70">
        <v>0.0</v>
      </c>
      <c r="G1999" s="70">
        <v>0.0</v>
      </c>
      <c r="H1999" s="70" t="s">
        <v>9367</v>
      </c>
      <c r="I1999" s="70">
        <v>914.0</v>
      </c>
      <c r="J1999" s="70" t="s">
        <v>9363</v>
      </c>
      <c r="K1999" s="70" t="s">
        <v>9364</v>
      </c>
      <c r="L1999" s="70" t="s">
        <v>9365</v>
      </c>
      <c r="N1999" s="70" t="s">
        <v>9366</v>
      </c>
      <c r="P1999" s="77">
        <v>44776.0</v>
      </c>
      <c r="U1999" s="70" t="s">
        <v>239</v>
      </c>
      <c r="W1999" s="70" t="s">
        <v>9369</v>
      </c>
      <c r="X1999" s="70" t="s">
        <v>9370</v>
      </c>
      <c r="Z1999" s="75" t="s">
        <v>9371</v>
      </c>
      <c r="AA1999" s="70" t="s">
        <v>9372</v>
      </c>
      <c r="AE1999" s="70">
        <v>10.0</v>
      </c>
      <c r="AF1999" s="70" t="s">
        <v>239</v>
      </c>
      <c r="AW1999" s="70" t="s">
        <v>9373</v>
      </c>
      <c r="AX1999" s="70">
        <v>0.0</v>
      </c>
      <c r="AY1999" s="70" t="s">
        <v>24</v>
      </c>
      <c r="AZ1999" s="70">
        <v>3077.0</v>
      </c>
    </row>
    <row r="2000" ht="22.5" customHeight="1">
      <c r="A2000" s="70" t="str">
        <f t="shared" si="1"/>
        <v>Excluded</v>
      </c>
      <c r="B2000" s="70">
        <f t="shared" si="2"/>
        <v>0</v>
      </c>
      <c r="C2000" s="70">
        <v>0.0</v>
      </c>
      <c r="D2000" s="70">
        <v>0.0</v>
      </c>
      <c r="E2000" s="70">
        <v>0.0</v>
      </c>
      <c r="F2000" s="70">
        <v>0.0</v>
      </c>
      <c r="G2000" s="70">
        <v>0.0</v>
      </c>
      <c r="H2000" s="70" t="s">
        <v>14567</v>
      </c>
      <c r="I2000" s="70">
        <v>1519.0</v>
      </c>
      <c r="J2000" s="70" t="s">
        <v>14563</v>
      </c>
      <c r="K2000" s="70" t="s">
        <v>14564</v>
      </c>
      <c r="L2000" s="70" t="s">
        <v>14565</v>
      </c>
      <c r="N2000" s="70" t="s">
        <v>14566</v>
      </c>
      <c r="P2000" s="77">
        <v>45513.0</v>
      </c>
      <c r="U2000" s="70" t="s">
        <v>239</v>
      </c>
      <c r="W2000" s="70" t="s">
        <v>14569</v>
      </c>
      <c r="X2000" s="70" t="s">
        <v>14570</v>
      </c>
      <c r="Z2000" s="75" t="s">
        <v>14571</v>
      </c>
      <c r="AA2000" s="70" t="s">
        <v>14572</v>
      </c>
      <c r="AE2000" s="70">
        <v>10.0</v>
      </c>
      <c r="AF2000" s="70" t="s">
        <v>239</v>
      </c>
      <c r="AW2000" s="70" t="s">
        <v>14573</v>
      </c>
      <c r="AZ2000" s="70">
        <v>874.0</v>
      </c>
    </row>
    <row r="2001" ht="22.5" customHeight="1">
      <c r="A2001" s="70" t="str">
        <f t="shared" si="1"/>
        <v>Excluded</v>
      </c>
      <c r="B2001" s="70">
        <f t="shared" si="2"/>
        <v>0</v>
      </c>
      <c r="C2001" s="70">
        <v>0.0</v>
      </c>
      <c r="D2001" s="70">
        <v>0.0</v>
      </c>
      <c r="E2001" s="70">
        <v>0.0</v>
      </c>
      <c r="F2001" s="70">
        <v>0.0</v>
      </c>
      <c r="G2001" s="70">
        <v>0.0</v>
      </c>
      <c r="H2001" s="70" t="s">
        <v>7793</v>
      </c>
      <c r="I2001" s="70">
        <v>750.0</v>
      </c>
      <c r="J2001" s="70" t="s">
        <v>7790</v>
      </c>
      <c r="K2001" s="70" t="s">
        <v>7791</v>
      </c>
      <c r="L2001" s="70" t="s">
        <v>7792</v>
      </c>
      <c r="P2001" s="76">
        <v>43342.0</v>
      </c>
      <c r="U2001" s="70" t="s">
        <v>239</v>
      </c>
      <c r="W2001" s="70" t="s">
        <v>30724</v>
      </c>
      <c r="X2001" s="70" t="s">
        <v>7796</v>
      </c>
      <c r="Z2001" s="75" t="s">
        <v>7797</v>
      </c>
      <c r="AC2001" s="70">
        <v>3.0</v>
      </c>
      <c r="AE2001" s="70">
        <v>28.0</v>
      </c>
      <c r="AF2001" s="70" t="s">
        <v>239</v>
      </c>
      <c r="AW2001" s="70" t="s">
        <v>7798</v>
      </c>
      <c r="AX2001" s="70">
        <v>0.0</v>
      </c>
      <c r="AY2001" s="70" t="s">
        <v>24</v>
      </c>
      <c r="AZ2001" s="70">
        <v>2178.0</v>
      </c>
    </row>
    <row r="2002" ht="22.5" customHeight="1">
      <c r="A2002" s="70" t="str">
        <f t="shared" si="1"/>
        <v>Excluded</v>
      </c>
      <c r="B2002" s="70">
        <f t="shared" si="2"/>
        <v>0</v>
      </c>
      <c r="C2002" s="70">
        <v>0.0</v>
      </c>
      <c r="D2002" s="70">
        <v>0.0</v>
      </c>
      <c r="E2002" s="70">
        <v>0.0</v>
      </c>
      <c r="F2002" s="70">
        <v>0.0</v>
      </c>
      <c r="G2002" s="70">
        <v>0.0</v>
      </c>
      <c r="H2002" s="70" t="s">
        <v>10563</v>
      </c>
      <c r="I2002" s="70">
        <v>1039.0</v>
      </c>
      <c r="K2002" s="70" t="s">
        <v>10561</v>
      </c>
      <c r="L2002" s="70" t="s">
        <v>10562</v>
      </c>
      <c r="P2002" s="76">
        <v>44769.0</v>
      </c>
      <c r="U2002" s="70" t="s">
        <v>239</v>
      </c>
      <c r="W2002" s="70" t="s">
        <v>10566</v>
      </c>
      <c r="X2002" s="70" t="s">
        <v>10567</v>
      </c>
      <c r="Z2002" s="75" t="s">
        <v>10568</v>
      </c>
      <c r="AF2002" s="70" t="s">
        <v>239</v>
      </c>
      <c r="AZ2002" s="70">
        <v>1502.0</v>
      </c>
    </row>
    <row r="2003" ht="22.5" customHeight="1">
      <c r="A2003" s="70" t="str">
        <f t="shared" si="1"/>
        <v>Excluded</v>
      </c>
      <c r="B2003" s="70">
        <f t="shared" si="2"/>
        <v>0</v>
      </c>
      <c r="C2003" s="70">
        <v>0.0</v>
      </c>
      <c r="D2003" s="70">
        <v>0.0</v>
      </c>
      <c r="E2003" s="70">
        <v>0.0</v>
      </c>
      <c r="F2003" s="70">
        <v>0.0</v>
      </c>
      <c r="G2003" s="70">
        <v>0.0</v>
      </c>
      <c r="H2003" s="70" t="s">
        <v>28248</v>
      </c>
      <c r="I2003" s="70">
        <v>3043.0</v>
      </c>
      <c r="J2003" s="70" t="s">
        <v>28246</v>
      </c>
      <c r="K2003" s="70" t="s">
        <v>28247</v>
      </c>
      <c r="W2003" s="70" t="s">
        <v>30725</v>
      </c>
      <c r="AA2003" s="70" t="s">
        <v>28250</v>
      </c>
      <c r="AI2003" s="70" t="s">
        <v>28251</v>
      </c>
      <c r="AJ2003" s="70" t="s">
        <v>28252</v>
      </c>
      <c r="AK2003" s="70">
        <v>2020.0</v>
      </c>
      <c r="AL2003" s="70" t="s">
        <v>28253</v>
      </c>
      <c r="AM2003" s="70">
        <v>9251862.0</v>
      </c>
      <c r="AN2003" s="70">
        <v>146.0</v>
      </c>
      <c r="AO2003" s="70">
        <v>159.0</v>
      </c>
      <c r="AP2003" s="70">
        <v>13.0</v>
      </c>
      <c r="AQ2003" s="70">
        <v>32.0</v>
      </c>
      <c r="AR2003" s="75" t="s">
        <v>28254</v>
      </c>
      <c r="AS2003" s="70" t="s">
        <v>22525</v>
      </c>
      <c r="AU2003" s="70" t="s">
        <v>237</v>
      </c>
      <c r="AV2003" s="70" t="s">
        <v>28255</v>
      </c>
      <c r="AW2003" s="70" t="s">
        <v>28256</v>
      </c>
      <c r="AX2003" s="70">
        <v>0.0</v>
      </c>
      <c r="AY2003" s="70" t="s">
        <v>24</v>
      </c>
      <c r="AZ2003" s="70">
        <v>3143.0</v>
      </c>
    </row>
    <row r="2004" ht="22.5" customHeight="1">
      <c r="A2004" s="70" t="str">
        <f t="shared" si="1"/>
        <v>Excluded</v>
      </c>
      <c r="B2004" s="70">
        <f t="shared" si="2"/>
        <v>0</v>
      </c>
      <c r="C2004" s="70">
        <v>0.0</v>
      </c>
      <c r="D2004" s="70">
        <v>0.0</v>
      </c>
      <c r="E2004" s="70">
        <v>0.0</v>
      </c>
      <c r="F2004" s="70">
        <v>0.0</v>
      </c>
      <c r="G2004" s="70">
        <v>0.0</v>
      </c>
      <c r="H2004" s="70" t="s">
        <v>4691</v>
      </c>
      <c r="I2004" s="70">
        <v>435.0</v>
      </c>
      <c r="J2004" s="70" t="s">
        <v>4688</v>
      </c>
      <c r="K2004" s="70" t="s">
        <v>4689</v>
      </c>
      <c r="L2004" s="70" t="s">
        <v>4690</v>
      </c>
      <c r="P2004" s="76">
        <v>44146.0</v>
      </c>
      <c r="U2004" s="70" t="s">
        <v>239</v>
      </c>
      <c r="W2004" s="70" t="s">
        <v>30726</v>
      </c>
      <c r="X2004" s="70" t="s">
        <v>4694</v>
      </c>
      <c r="Y2004" s="70" t="s">
        <v>30727</v>
      </c>
      <c r="Z2004" s="75" t="s">
        <v>4696</v>
      </c>
      <c r="AA2004" s="70" t="s">
        <v>4697</v>
      </c>
      <c r="AC2004" s="70">
        <v>49.0</v>
      </c>
      <c r="AE2004" s="70">
        <v>124.0</v>
      </c>
      <c r="AF2004" s="70" t="s">
        <v>239</v>
      </c>
      <c r="AW2004" s="70" t="s">
        <v>4698</v>
      </c>
      <c r="AZ2004" s="70">
        <v>676.0</v>
      </c>
    </row>
    <row r="2005" ht="22.5" customHeight="1">
      <c r="A2005" s="70" t="str">
        <f t="shared" si="1"/>
        <v>Excluded</v>
      </c>
      <c r="B2005" s="70">
        <f t="shared" si="2"/>
        <v>0</v>
      </c>
      <c r="C2005" s="70">
        <v>0.0</v>
      </c>
      <c r="D2005" s="70">
        <v>0.0</v>
      </c>
      <c r="E2005" s="70">
        <v>0.0</v>
      </c>
      <c r="F2005" s="70">
        <v>0.0</v>
      </c>
      <c r="G2005" s="70">
        <v>0.0</v>
      </c>
      <c r="H2005" s="70" t="s">
        <v>13203</v>
      </c>
      <c r="I2005" s="70">
        <v>1376.0</v>
      </c>
      <c r="J2005" s="70" t="s">
        <v>13199</v>
      </c>
      <c r="K2005" s="70" t="s">
        <v>13200</v>
      </c>
      <c r="L2005" s="70" t="s">
        <v>13201</v>
      </c>
      <c r="N2005" s="70" t="s">
        <v>13202</v>
      </c>
      <c r="P2005" s="77">
        <v>45629.0</v>
      </c>
      <c r="U2005" s="70" t="s">
        <v>239</v>
      </c>
      <c r="W2005" s="70" t="s">
        <v>13205</v>
      </c>
      <c r="X2005" s="70" t="s">
        <v>13206</v>
      </c>
      <c r="Z2005" s="75" t="s">
        <v>13207</v>
      </c>
      <c r="AA2005" s="70" t="s">
        <v>13208</v>
      </c>
      <c r="AE2005" s="70">
        <v>50.0</v>
      </c>
      <c r="AF2005" s="70" t="s">
        <v>239</v>
      </c>
      <c r="AW2005" s="70" t="s">
        <v>13209</v>
      </c>
      <c r="AX2005" s="70">
        <v>0.0</v>
      </c>
      <c r="AY2005" s="70" t="s">
        <v>24</v>
      </c>
      <c r="AZ2005" s="70">
        <v>2819.0</v>
      </c>
    </row>
    <row r="2006" ht="22.5" customHeight="1">
      <c r="A2006" s="70" t="str">
        <f t="shared" si="1"/>
        <v>Excluded</v>
      </c>
      <c r="B2006" s="70">
        <f t="shared" si="2"/>
        <v>0</v>
      </c>
      <c r="C2006" s="70">
        <v>0.0</v>
      </c>
      <c r="D2006" s="70">
        <v>0.0</v>
      </c>
      <c r="E2006" s="70">
        <v>0.0</v>
      </c>
      <c r="F2006" s="70">
        <v>0.0</v>
      </c>
      <c r="G2006" s="70">
        <v>0.0</v>
      </c>
      <c r="H2006" s="70" t="s">
        <v>5753</v>
      </c>
      <c r="I2006" s="70">
        <v>542.0</v>
      </c>
      <c r="J2006" s="70" t="s">
        <v>5749</v>
      </c>
      <c r="K2006" s="70" t="s">
        <v>5750</v>
      </c>
      <c r="L2006" s="70" t="s">
        <v>5751</v>
      </c>
      <c r="N2006" s="70" t="s">
        <v>5752</v>
      </c>
      <c r="P2006" s="76">
        <v>43080.0</v>
      </c>
      <c r="U2006" s="70" t="s">
        <v>239</v>
      </c>
      <c r="W2006" s="70" t="s">
        <v>5755</v>
      </c>
      <c r="X2006" s="70" t="s">
        <v>5756</v>
      </c>
      <c r="Z2006" s="75" t="s">
        <v>5757</v>
      </c>
      <c r="AC2006" s="70">
        <v>9.0</v>
      </c>
      <c r="AE2006" s="70">
        <v>20.0</v>
      </c>
      <c r="AF2006" s="70" t="s">
        <v>239</v>
      </c>
      <c r="AW2006" s="70" t="s">
        <v>5758</v>
      </c>
      <c r="AX2006" s="70">
        <v>0.0</v>
      </c>
      <c r="AY2006" s="70" t="s">
        <v>24</v>
      </c>
      <c r="AZ2006" s="70">
        <v>2687.0</v>
      </c>
    </row>
    <row r="2007" ht="22.5" customHeight="1">
      <c r="A2007" s="70" t="str">
        <f t="shared" si="1"/>
        <v>Excluded</v>
      </c>
      <c r="B2007" s="70">
        <f t="shared" si="2"/>
        <v>0</v>
      </c>
      <c r="C2007" s="70">
        <v>0.0</v>
      </c>
      <c r="D2007" s="70">
        <v>0.0</v>
      </c>
      <c r="E2007" s="70">
        <v>0.0</v>
      </c>
      <c r="F2007" s="70">
        <v>0.0</v>
      </c>
      <c r="G2007" s="70">
        <v>0.0</v>
      </c>
      <c r="H2007" s="70" t="s">
        <v>11533</v>
      </c>
      <c r="I2007" s="70">
        <v>1208.0</v>
      </c>
      <c r="J2007" s="70" t="s">
        <v>11530</v>
      </c>
      <c r="K2007" s="70" t="s">
        <v>11531</v>
      </c>
      <c r="L2007" s="70" t="s">
        <v>11532</v>
      </c>
      <c r="N2007" s="70" t="s">
        <v>5752</v>
      </c>
      <c r="P2007" s="76">
        <v>45285.0</v>
      </c>
      <c r="U2007" s="70" t="s">
        <v>239</v>
      </c>
      <c r="W2007" s="70" t="s">
        <v>30728</v>
      </c>
      <c r="X2007" s="70" t="s">
        <v>11536</v>
      </c>
      <c r="Y2007" s="70" t="s">
        <v>30729</v>
      </c>
      <c r="Z2007" s="75" t="s">
        <v>11538</v>
      </c>
      <c r="AA2007" s="70" t="s">
        <v>11539</v>
      </c>
      <c r="AC2007" s="70">
        <v>3.0</v>
      </c>
      <c r="AE2007" s="70">
        <v>24.0</v>
      </c>
      <c r="AF2007" s="70" t="s">
        <v>239</v>
      </c>
      <c r="AW2007" s="70" t="s">
        <v>11540</v>
      </c>
      <c r="AX2007" s="70">
        <v>0.0</v>
      </c>
      <c r="AY2007" s="70" t="s">
        <v>24</v>
      </c>
      <c r="AZ2007" s="70">
        <v>2242.0</v>
      </c>
    </row>
    <row r="2008" ht="22.5" customHeight="1">
      <c r="A2008" s="70" t="str">
        <f t="shared" si="1"/>
        <v>Excluded</v>
      </c>
      <c r="B2008" s="70">
        <f t="shared" si="2"/>
        <v>0</v>
      </c>
      <c r="C2008" s="70">
        <v>0.0</v>
      </c>
      <c r="D2008" s="70">
        <v>0.0</v>
      </c>
      <c r="E2008" s="70">
        <v>0.0</v>
      </c>
      <c r="F2008" s="70">
        <v>0.0</v>
      </c>
      <c r="G2008" s="70">
        <v>0.0</v>
      </c>
      <c r="H2008" s="70" t="s">
        <v>12824</v>
      </c>
      <c r="I2008" s="70">
        <v>1337.0</v>
      </c>
      <c r="J2008" s="70" t="s">
        <v>12821</v>
      </c>
      <c r="K2008" s="70" t="s">
        <v>12822</v>
      </c>
      <c r="L2008" s="70" t="s">
        <v>12823</v>
      </c>
      <c r="N2008" s="70" t="s">
        <v>5752</v>
      </c>
      <c r="P2008" s="77">
        <v>45632.0</v>
      </c>
      <c r="U2008" s="70" t="s">
        <v>239</v>
      </c>
      <c r="W2008" s="70" t="s">
        <v>30730</v>
      </c>
      <c r="X2008" s="70" t="s">
        <v>12827</v>
      </c>
      <c r="Z2008" s="75" t="s">
        <v>12828</v>
      </c>
      <c r="AA2008" s="70" t="s">
        <v>12829</v>
      </c>
      <c r="AE2008" s="70">
        <v>20.0</v>
      </c>
      <c r="AF2008" s="70" t="s">
        <v>239</v>
      </c>
      <c r="AW2008" s="70" t="s">
        <v>12830</v>
      </c>
      <c r="AZ2008" s="70">
        <v>1141.0</v>
      </c>
    </row>
    <row r="2009" ht="22.5" customHeight="1">
      <c r="A2009" s="70" t="str">
        <f t="shared" si="1"/>
        <v>Excluded</v>
      </c>
      <c r="B2009" s="70">
        <f t="shared" si="2"/>
        <v>0</v>
      </c>
      <c r="C2009" s="70">
        <v>0.0</v>
      </c>
      <c r="D2009" s="70">
        <v>0.0</v>
      </c>
      <c r="E2009" s="70">
        <v>0.0</v>
      </c>
      <c r="F2009" s="70">
        <v>0.0</v>
      </c>
      <c r="G2009" s="70">
        <v>0.0</v>
      </c>
      <c r="H2009" s="70" t="s">
        <v>4682</v>
      </c>
      <c r="I2009" s="70">
        <v>434.0</v>
      </c>
      <c r="J2009" s="70" t="s">
        <v>30731</v>
      </c>
      <c r="K2009" s="70" t="s">
        <v>4680</v>
      </c>
      <c r="L2009" s="70" t="s">
        <v>4681</v>
      </c>
      <c r="P2009" s="76">
        <v>42579.0</v>
      </c>
      <c r="U2009" s="70" t="s">
        <v>239</v>
      </c>
      <c r="W2009" s="70" t="s">
        <v>4684</v>
      </c>
      <c r="X2009" s="70" t="s">
        <v>4685</v>
      </c>
      <c r="Z2009" s="75" t="s">
        <v>4686</v>
      </c>
      <c r="AC2009" s="70">
        <v>50.0</v>
      </c>
      <c r="AE2009" s="70">
        <v>18.0</v>
      </c>
      <c r="AW2009" s="70" t="s">
        <v>4687</v>
      </c>
      <c r="AX2009" s="70">
        <v>0.0</v>
      </c>
      <c r="AY2009" s="70" t="s">
        <v>24</v>
      </c>
      <c r="AZ2009" s="70">
        <v>2042.0</v>
      </c>
    </row>
    <row r="2010" ht="22.5" customHeight="1">
      <c r="A2010" s="70" t="str">
        <f t="shared" si="1"/>
        <v>Excluded</v>
      </c>
      <c r="B2010" s="70">
        <f t="shared" si="2"/>
        <v>0</v>
      </c>
      <c r="C2010" s="70">
        <v>0.0</v>
      </c>
      <c r="D2010" s="70">
        <v>0.0</v>
      </c>
      <c r="E2010" s="70">
        <v>0.0</v>
      </c>
      <c r="F2010" s="70">
        <v>0.0</v>
      </c>
      <c r="G2010" s="70">
        <v>0.0</v>
      </c>
      <c r="H2010" s="70" t="s">
        <v>16071</v>
      </c>
      <c r="I2010" s="70">
        <v>1714.0</v>
      </c>
      <c r="K2010" s="70" t="s">
        <v>16069</v>
      </c>
      <c r="L2010" s="70" t="s">
        <v>16070</v>
      </c>
      <c r="N2010" s="70" t="s">
        <v>6555</v>
      </c>
      <c r="P2010" s="76">
        <v>45471.0</v>
      </c>
      <c r="U2010" s="70" t="s">
        <v>239</v>
      </c>
      <c r="X2010" s="70" t="s">
        <v>16074</v>
      </c>
      <c r="Z2010" s="75" t="s">
        <v>16075</v>
      </c>
      <c r="AF2010" s="70" t="s">
        <v>239</v>
      </c>
      <c r="AZ2010" s="70">
        <v>1413.0</v>
      </c>
    </row>
    <row r="2011" ht="22.5" customHeight="1">
      <c r="A2011" s="70" t="str">
        <f t="shared" si="1"/>
        <v>Excluded</v>
      </c>
      <c r="B2011" s="70">
        <f t="shared" si="2"/>
        <v>0</v>
      </c>
      <c r="C2011" s="70">
        <v>0.0</v>
      </c>
      <c r="D2011" s="70">
        <v>0.0</v>
      </c>
      <c r="E2011" s="70">
        <v>0.0</v>
      </c>
      <c r="F2011" s="70">
        <v>0.0</v>
      </c>
      <c r="G2011" s="70">
        <v>0.0</v>
      </c>
      <c r="H2011" s="70" t="s">
        <v>25858</v>
      </c>
      <c r="I2011" s="70">
        <v>2809.0</v>
      </c>
      <c r="J2011" s="70" t="s">
        <v>25856</v>
      </c>
      <c r="K2011" s="70" t="s">
        <v>25857</v>
      </c>
      <c r="W2011" s="70" t="s">
        <v>30732</v>
      </c>
      <c r="AI2011" s="70" t="s">
        <v>25860</v>
      </c>
      <c r="AJ2011" s="70" t="s">
        <v>25861</v>
      </c>
      <c r="AK2011" s="70">
        <v>2023.0</v>
      </c>
      <c r="AL2011" s="70" t="s">
        <v>25862</v>
      </c>
      <c r="AN2011" s="70">
        <v>115.0</v>
      </c>
      <c r="AO2011" s="70">
        <v>127.0</v>
      </c>
      <c r="AP2011" s="70">
        <v>12.0</v>
      </c>
      <c r="AQ2011" s="70">
        <v>2.0</v>
      </c>
      <c r="AR2011" s="75" t="s">
        <v>25863</v>
      </c>
      <c r="AS2011" s="70" t="s">
        <v>22525</v>
      </c>
      <c r="AU2011" s="70" t="s">
        <v>237</v>
      </c>
      <c r="AV2011" s="70" t="s">
        <v>25864</v>
      </c>
      <c r="AW2011" s="70" t="s">
        <v>25865</v>
      </c>
      <c r="AZ2011" s="70">
        <v>433.0</v>
      </c>
    </row>
    <row r="2012" ht="22.5" customHeight="1">
      <c r="A2012" s="70" t="str">
        <f t="shared" si="1"/>
        <v>Excluded</v>
      </c>
      <c r="B2012" s="70">
        <f t="shared" si="2"/>
        <v>0</v>
      </c>
      <c r="C2012" s="70">
        <v>0.0</v>
      </c>
      <c r="D2012" s="70">
        <v>0.0</v>
      </c>
      <c r="E2012" s="70">
        <v>0.0</v>
      </c>
      <c r="F2012" s="70">
        <v>0.0</v>
      </c>
      <c r="G2012" s="70">
        <v>0.0</v>
      </c>
      <c r="H2012" s="70" t="s">
        <v>16158</v>
      </c>
      <c r="I2012" s="70">
        <v>1736.0</v>
      </c>
      <c r="K2012" s="70" t="s">
        <v>16156</v>
      </c>
      <c r="L2012" s="70" t="s">
        <v>16157</v>
      </c>
      <c r="P2012" s="77">
        <v>45602.0</v>
      </c>
      <c r="U2012" s="70" t="s">
        <v>239</v>
      </c>
      <c r="X2012" s="70" t="s">
        <v>16160</v>
      </c>
      <c r="Z2012" s="75" t="s">
        <v>16161</v>
      </c>
      <c r="AF2012" s="70" t="s">
        <v>239</v>
      </c>
      <c r="AZ2012" s="70">
        <v>1476.0</v>
      </c>
    </row>
    <row r="2013" ht="22.5" customHeight="1">
      <c r="A2013" s="70" t="str">
        <f t="shared" si="1"/>
        <v>Excluded</v>
      </c>
      <c r="B2013" s="70">
        <f t="shared" si="2"/>
        <v>0</v>
      </c>
      <c r="C2013" s="70">
        <v>0.0</v>
      </c>
      <c r="D2013" s="70">
        <v>0.0</v>
      </c>
      <c r="E2013" s="70">
        <v>0.0</v>
      </c>
      <c r="F2013" s="70">
        <v>0.0</v>
      </c>
      <c r="G2013" s="70">
        <v>0.0</v>
      </c>
      <c r="H2013" s="70" t="s">
        <v>14998</v>
      </c>
      <c r="I2013" s="70">
        <v>1563.0</v>
      </c>
      <c r="J2013" s="70" t="s">
        <v>14994</v>
      </c>
      <c r="K2013" s="70" t="s">
        <v>14995</v>
      </c>
      <c r="L2013" s="70" t="s">
        <v>14996</v>
      </c>
      <c r="N2013" s="70" t="s">
        <v>14997</v>
      </c>
      <c r="P2013" s="76">
        <v>45554.0</v>
      </c>
      <c r="U2013" s="70" t="s">
        <v>239</v>
      </c>
      <c r="W2013" s="70" t="s">
        <v>15000</v>
      </c>
      <c r="X2013" s="70" t="s">
        <v>15001</v>
      </c>
      <c r="Y2013" s="70" t="s">
        <v>29380</v>
      </c>
      <c r="Z2013" s="75" t="s">
        <v>15002</v>
      </c>
      <c r="AA2013" s="70" t="s">
        <v>15003</v>
      </c>
      <c r="AE2013" s="70">
        <v>17.0</v>
      </c>
      <c r="AF2013" s="70" t="s">
        <v>239</v>
      </c>
      <c r="AW2013" s="70" t="s">
        <v>15004</v>
      </c>
      <c r="AZ2013" s="70">
        <v>1376.0</v>
      </c>
    </row>
    <row r="2014" ht="22.5" customHeight="1">
      <c r="A2014" s="70" t="str">
        <f t="shared" si="1"/>
        <v>Excluded</v>
      </c>
      <c r="B2014" s="70">
        <f t="shared" si="2"/>
        <v>0</v>
      </c>
      <c r="C2014" s="70">
        <v>0.0</v>
      </c>
      <c r="D2014" s="70">
        <v>0.0</v>
      </c>
      <c r="E2014" s="70">
        <v>0.0</v>
      </c>
      <c r="F2014" s="70">
        <v>0.0</v>
      </c>
      <c r="G2014" s="70">
        <v>0.0</v>
      </c>
      <c r="H2014" s="70" t="s">
        <v>7448</v>
      </c>
      <c r="I2014" s="70">
        <v>715.0</v>
      </c>
      <c r="J2014" s="70" t="s">
        <v>7445</v>
      </c>
      <c r="K2014" s="70" t="s">
        <v>7446</v>
      </c>
      <c r="L2014" s="70" t="s">
        <v>7447</v>
      </c>
      <c r="P2014" s="76">
        <v>44770.0</v>
      </c>
      <c r="U2014" s="70" t="s">
        <v>239</v>
      </c>
      <c r="W2014" s="70" t="s">
        <v>7450</v>
      </c>
      <c r="X2014" s="70" t="s">
        <v>7451</v>
      </c>
      <c r="Z2014" s="75" t="s">
        <v>7452</v>
      </c>
      <c r="AA2014" s="70" t="s">
        <v>7453</v>
      </c>
      <c r="AC2014" s="70">
        <v>3.0</v>
      </c>
      <c r="AE2014" s="70">
        <v>11.0</v>
      </c>
      <c r="AF2014" s="70" t="s">
        <v>239</v>
      </c>
      <c r="AW2014" s="70" t="s">
        <v>7454</v>
      </c>
      <c r="AX2014" s="70">
        <v>0.0</v>
      </c>
      <c r="AY2014" s="70" t="s">
        <v>24</v>
      </c>
      <c r="AZ2014" s="70">
        <v>1826.0</v>
      </c>
    </row>
    <row r="2015" ht="22.5" customHeight="1">
      <c r="A2015" s="70" t="str">
        <f t="shared" si="1"/>
        <v>Excluded</v>
      </c>
      <c r="B2015" s="70">
        <f t="shared" si="2"/>
        <v>0</v>
      </c>
      <c r="C2015" s="70">
        <v>0.0</v>
      </c>
      <c r="D2015" s="70">
        <v>0.0</v>
      </c>
      <c r="E2015" s="70">
        <v>0.0</v>
      </c>
      <c r="F2015" s="70">
        <v>0.0</v>
      </c>
      <c r="G2015" s="70">
        <v>0.0</v>
      </c>
      <c r="H2015" s="70" t="s">
        <v>16066</v>
      </c>
      <c r="I2015" s="70">
        <v>1713.0</v>
      </c>
      <c r="K2015" s="70" t="s">
        <v>10597</v>
      </c>
      <c r="L2015" s="70" t="s">
        <v>16065</v>
      </c>
      <c r="P2015" s="76">
        <v>45282.0</v>
      </c>
      <c r="U2015" s="70" t="s">
        <v>239</v>
      </c>
      <c r="X2015" s="70" t="s">
        <v>16067</v>
      </c>
      <c r="Z2015" s="75" t="s">
        <v>16068</v>
      </c>
      <c r="AF2015" s="70" t="s">
        <v>239</v>
      </c>
      <c r="AZ2015" s="70">
        <v>1562.0</v>
      </c>
    </row>
    <row r="2016" ht="22.5" customHeight="1">
      <c r="A2016" s="70" t="str">
        <f t="shared" si="1"/>
        <v>Excluded</v>
      </c>
      <c r="B2016" s="70">
        <f t="shared" si="2"/>
        <v>0</v>
      </c>
      <c r="C2016" s="70">
        <v>0.0</v>
      </c>
      <c r="D2016" s="70">
        <v>0.0</v>
      </c>
      <c r="E2016" s="70">
        <v>0.0</v>
      </c>
      <c r="F2016" s="70">
        <v>0.0</v>
      </c>
      <c r="G2016" s="70">
        <v>0.0</v>
      </c>
      <c r="H2016" s="70" t="s">
        <v>11915</v>
      </c>
      <c r="I2016" s="70">
        <v>1246.0</v>
      </c>
      <c r="J2016" s="70" t="s">
        <v>11912</v>
      </c>
      <c r="K2016" s="70" t="s">
        <v>11913</v>
      </c>
      <c r="L2016" s="70" t="s">
        <v>11914</v>
      </c>
      <c r="P2016" s="76">
        <v>45152.0</v>
      </c>
      <c r="U2016" s="70" t="s">
        <v>239</v>
      </c>
      <c r="W2016" s="70" t="s">
        <v>11917</v>
      </c>
      <c r="X2016" s="70" t="s">
        <v>11918</v>
      </c>
      <c r="Z2016" s="75" t="s">
        <v>11919</v>
      </c>
      <c r="AA2016" s="70" t="s">
        <v>11920</v>
      </c>
      <c r="AC2016" s="70">
        <v>1.0</v>
      </c>
      <c r="AE2016" s="70">
        <v>54.0</v>
      </c>
      <c r="AF2016" s="70" t="s">
        <v>239</v>
      </c>
      <c r="AW2016" s="70" t="s">
        <v>11921</v>
      </c>
      <c r="AZ2016" s="70">
        <v>328.0</v>
      </c>
    </row>
    <row r="2017" ht="22.5" customHeight="1">
      <c r="A2017" s="70" t="str">
        <f t="shared" si="1"/>
        <v>Excluded</v>
      </c>
      <c r="B2017" s="70">
        <f t="shared" si="2"/>
        <v>0</v>
      </c>
      <c r="C2017" s="70">
        <v>0.0</v>
      </c>
      <c r="D2017" s="70">
        <v>0.0</v>
      </c>
      <c r="E2017" s="70">
        <v>0.0</v>
      </c>
      <c r="F2017" s="70">
        <v>0.0</v>
      </c>
      <c r="G2017" s="70">
        <v>0.0</v>
      </c>
      <c r="H2017" s="70" t="s">
        <v>14651</v>
      </c>
      <c r="I2017" s="70">
        <v>1528.0</v>
      </c>
      <c r="J2017" s="70" t="s">
        <v>14648</v>
      </c>
      <c r="K2017" s="70" t="s">
        <v>14649</v>
      </c>
      <c r="L2017" s="70" t="s">
        <v>14650</v>
      </c>
      <c r="P2017" s="77">
        <v>45569.0</v>
      </c>
      <c r="U2017" s="70" t="s">
        <v>239</v>
      </c>
      <c r="W2017" s="70" t="s">
        <v>30733</v>
      </c>
      <c r="X2017" s="70" t="s">
        <v>14654</v>
      </c>
      <c r="Z2017" s="75" t="s">
        <v>14655</v>
      </c>
      <c r="AA2017" s="70" t="s">
        <v>14656</v>
      </c>
      <c r="AE2017" s="70">
        <v>18.0</v>
      </c>
      <c r="AF2017" s="70" t="s">
        <v>239</v>
      </c>
      <c r="AW2017" s="70" t="s">
        <v>14657</v>
      </c>
      <c r="AZ2017" s="70">
        <v>857.0</v>
      </c>
    </row>
    <row r="2018" ht="22.5" customHeight="1">
      <c r="A2018" s="70" t="str">
        <f t="shared" si="1"/>
        <v>Excluded</v>
      </c>
      <c r="B2018" s="70">
        <f t="shared" si="2"/>
        <v>0</v>
      </c>
      <c r="C2018" s="70">
        <v>0.0</v>
      </c>
      <c r="D2018" s="70">
        <v>0.0</v>
      </c>
      <c r="E2018" s="70">
        <v>0.0</v>
      </c>
      <c r="F2018" s="70">
        <v>0.0</v>
      </c>
      <c r="G2018" s="70">
        <v>0.0</v>
      </c>
      <c r="H2018" s="70" t="s">
        <v>8354</v>
      </c>
      <c r="I2018" s="70">
        <v>809.0</v>
      </c>
      <c r="J2018" s="70" t="s">
        <v>8351</v>
      </c>
      <c r="K2018" s="70" t="s">
        <v>8352</v>
      </c>
      <c r="L2018" s="70" t="s">
        <v>8353</v>
      </c>
      <c r="P2018" s="77">
        <v>44293.0</v>
      </c>
      <c r="U2018" s="70" t="s">
        <v>239</v>
      </c>
      <c r="W2018" s="70" t="s">
        <v>30734</v>
      </c>
      <c r="X2018" s="70" t="s">
        <v>8357</v>
      </c>
      <c r="Z2018" s="75" t="s">
        <v>8358</v>
      </c>
      <c r="AC2018" s="70">
        <v>2.0</v>
      </c>
      <c r="AE2018" s="70">
        <v>16.0</v>
      </c>
      <c r="AF2018" s="70" t="s">
        <v>239</v>
      </c>
      <c r="AW2018" s="70" t="s">
        <v>8359</v>
      </c>
      <c r="AZ2018" s="70">
        <v>479.0</v>
      </c>
    </row>
    <row r="2019" ht="22.5" customHeight="1">
      <c r="A2019" s="70" t="str">
        <f t="shared" si="1"/>
        <v>Excluded</v>
      </c>
      <c r="B2019" s="70">
        <f t="shared" si="2"/>
        <v>0</v>
      </c>
      <c r="C2019" s="70">
        <v>0.0</v>
      </c>
      <c r="D2019" s="70">
        <v>0.0</v>
      </c>
      <c r="E2019" s="70">
        <v>0.0</v>
      </c>
      <c r="F2019" s="70">
        <v>0.0</v>
      </c>
      <c r="G2019" s="70">
        <v>0.0</v>
      </c>
      <c r="H2019" s="70" t="s">
        <v>6953</v>
      </c>
      <c r="I2019" s="70">
        <v>663.0</v>
      </c>
      <c r="J2019" s="70" t="s">
        <v>6949</v>
      </c>
      <c r="K2019" s="70" t="s">
        <v>6950</v>
      </c>
      <c r="L2019" s="70" t="s">
        <v>6951</v>
      </c>
      <c r="N2019" s="70" t="s">
        <v>6952</v>
      </c>
      <c r="P2019" s="76">
        <v>44375.0</v>
      </c>
      <c r="U2019" s="70" t="s">
        <v>239</v>
      </c>
      <c r="W2019" s="70" t="s">
        <v>6955</v>
      </c>
      <c r="X2019" s="70" t="s">
        <v>6956</v>
      </c>
      <c r="Z2019" s="75" t="s">
        <v>6957</v>
      </c>
      <c r="AA2019" s="70" t="s">
        <v>6958</v>
      </c>
      <c r="AC2019" s="70">
        <v>5.0</v>
      </c>
      <c r="AE2019" s="70">
        <v>45.0</v>
      </c>
      <c r="AF2019" s="70" t="s">
        <v>239</v>
      </c>
      <c r="AW2019" s="70" t="s">
        <v>6959</v>
      </c>
      <c r="AZ2019" s="70">
        <v>484.0</v>
      </c>
    </row>
    <row r="2020" ht="22.5" customHeight="1">
      <c r="A2020" s="70" t="str">
        <f t="shared" si="1"/>
        <v>Excluded</v>
      </c>
      <c r="B2020" s="70">
        <f t="shared" si="2"/>
        <v>0</v>
      </c>
      <c r="C2020" s="70">
        <v>0.0</v>
      </c>
      <c r="D2020" s="70">
        <v>0.0</v>
      </c>
      <c r="E2020" s="70">
        <v>0.0</v>
      </c>
      <c r="F2020" s="70">
        <v>0.0</v>
      </c>
      <c r="G2020" s="70">
        <v>0.0</v>
      </c>
      <c r="H2020" s="70" t="s">
        <v>5838</v>
      </c>
      <c r="I2020" s="70">
        <v>550.0</v>
      </c>
      <c r="J2020" s="70" t="s">
        <v>30735</v>
      </c>
      <c r="K2020" s="70" t="s">
        <v>30736</v>
      </c>
      <c r="L2020" s="70" t="s">
        <v>5837</v>
      </c>
      <c r="P2020" s="76">
        <v>43766.0</v>
      </c>
      <c r="U2020" s="70" t="s">
        <v>239</v>
      </c>
      <c r="W2020" s="70" t="s">
        <v>30737</v>
      </c>
      <c r="X2020" s="70" t="s">
        <v>5841</v>
      </c>
      <c r="Z2020" s="75" t="s">
        <v>5842</v>
      </c>
      <c r="AA2020" s="70" t="s">
        <v>5843</v>
      </c>
      <c r="AC2020" s="70">
        <v>9.0</v>
      </c>
      <c r="AE2020" s="70">
        <v>18.0</v>
      </c>
      <c r="AF2020" s="70" t="s">
        <v>239</v>
      </c>
      <c r="AW2020" s="70" t="s">
        <v>5844</v>
      </c>
      <c r="AZ2020" s="70">
        <v>1044.0</v>
      </c>
    </row>
    <row r="2021" ht="22.5" customHeight="1">
      <c r="A2021" s="70" t="str">
        <f t="shared" si="1"/>
        <v>Excluded</v>
      </c>
      <c r="B2021" s="70">
        <f t="shared" si="2"/>
        <v>0</v>
      </c>
      <c r="C2021" s="70">
        <v>0.0</v>
      </c>
      <c r="D2021" s="70">
        <v>0.0</v>
      </c>
      <c r="E2021" s="70">
        <v>0.0</v>
      </c>
      <c r="F2021" s="70">
        <v>0.0</v>
      </c>
      <c r="G2021" s="70">
        <v>0.0</v>
      </c>
      <c r="H2021" s="70" t="s">
        <v>6220</v>
      </c>
      <c r="I2021" s="70">
        <v>589.0</v>
      </c>
      <c r="J2021" s="70" t="s">
        <v>6218</v>
      </c>
      <c r="K2021" s="70" t="s">
        <v>6219</v>
      </c>
      <c r="L2021" s="70" t="s">
        <v>6052</v>
      </c>
      <c r="P2021" s="76">
        <v>44553.0</v>
      </c>
      <c r="U2021" s="70" t="s">
        <v>239</v>
      </c>
      <c r="W2021" s="70" t="s">
        <v>6222</v>
      </c>
      <c r="X2021" s="70" t="s">
        <v>6056</v>
      </c>
      <c r="Y2021" s="70" t="s">
        <v>30387</v>
      </c>
      <c r="Z2021" s="75" t="s">
        <v>6224</v>
      </c>
      <c r="AA2021" s="70" t="s">
        <v>6225</v>
      </c>
      <c r="AC2021" s="70">
        <v>7.0</v>
      </c>
      <c r="AE2021" s="70">
        <v>31.0</v>
      </c>
      <c r="AF2021" s="70" t="s">
        <v>239</v>
      </c>
      <c r="AW2021" s="70" t="s">
        <v>6226</v>
      </c>
      <c r="AX2021" s="70">
        <v>0.0</v>
      </c>
      <c r="AY2021" s="70" t="s">
        <v>24</v>
      </c>
      <c r="AZ2021" s="70">
        <v>2557.0</v>
      </c>
    </row>
    <row r="2022" ht="22.5" customHeight="1">
      <c r="A2022" s="70" t="str">
        <f t="shared" si="1"/>
        <v>Excluded</v>
      </c>
      <c r="B2022" s="70">
        <f t="shared" si="2"/>
        <v>0</v>
      </c>
      <c r="C2022" s="70">
        <v>0.0</v>
      </c>
      <c r="D2022" s="70">
        <v>0.0</v>
      </c>
      <c r="E2022" s="70">
        <v>0.0</v>
      </c>
      <c r="F2022" s="70">
        <v>0.0</v>
      </c>
      <c r="G2022" s="70">
        <v>0.0</v>
      </c>
      <c r="H2022" s="70" t="s">
        <v>6053</v>
      </c>
      <c r="I2022" s="70">
        <v>572.0</v>
      </c>
      <c r="J2022" s="70" t="s">
        <v>30738</v>
      </c>
      <c r="K2022" s="70" t="s">
        <v>6051</v>
      </c>
      <c r="L2022" s="70" t="s">
        <v>6052</v>
      </c>
      <c r="P2022" s="76">
        <v>44553.0</v>
      </c>
      <c r="U2022" s="70" t="s">
        <v>239</v>
      </c>
      <c r="W2022" s="70" t="s">
        <v>30739</v>
      </c>
      <c r="X2022" s="70" t="s">
        <v>6056</v>
      </c>
      <c r="Z2022" s="75" t="s">
        <v>6057</v>
      </c>
      <c r="AA2022" s="70" t="s">
        <v>6058</v>
      </c>
      <c r="AC2022" s="70">
        <v>8.0</v>
      </c>
      <c r="AE2022" s="70">
        <v>8.0</v>
      </c>
      <c r="AF2022" s="70" t="s">
        <v>239</v>
      </c>
      <c r="AW2022" s="70" t="s">
        <v>6059</v>
      </c>
      <c r="AZ2022" s="70">
        <v>526.0</v>
      </c>
    </row>
    <row r="2023" ht="22.5" customHeight="1">
      <c r="A2023" s="70" t="str">
        <f t="shared" si="1"/>
        <v>Excluded</v>
      </c>
      <c r="B2023" s="70">
        <f t="shared" si="2"/>
        <v>0</v>
      </c>
      <c r="C2023" s="70">
        <v>0.0</v>
      </c>
      <c r="D2023" s="70">
        <v>0.0</v>
      </c>
      <c r="E2023" s="70">
        <v>0.0</v>
      </c>
      <c r="F2023" s="70">
        <v>0.0</v>
      </c>
      <c r="G2023" s="70">
        <v>0.0</v>
      </c>
      <c r="H2023" s="70" t="s">
        <v>13392</v>
      </c>
      <c r="I2023" s="70">
        <v>1395.0</v>
      </c>
      <c r="J2023" s="70" t="s">
        <v>30740</v>
      </c>
      <c r="K2023" s="70" t="s">
        <v>13390</v>
      </c>
      <c r="L2023" s="70" t="s">
        <v>13391</v>
      </c>
      <c r="P2023" s="76">
        <v>45516.0</v>
      </c>
      <c r="U2023" s="70" t="s">
        <v>239</v>
      </c>
      <c r="W2023" s="70" t="s">
        <v>13394</v>
      </c>
      <c r="X2023" s="70" t="s">
        <v>13395</v>
      </c>
      <c r="Z2023" s="75" t="s">
        <v>13396</v>
      </c>
      <c r="AA2023" s="70" t="s">
        <v>13397</v>
      </c>
      <c r="AE2023" s="70">
        <v>22.0</v>
      </c>
      <c r="AF2023" s="70" t="s">
        <v>239</v>
      </c>
      <c r="AW2023" s="70" t="s">
        <v>13398</v>
      </c>
      <c r="AX2023" s="70">
        <v>0.0</v>
      </c>
      <c r="AY2023" s="70" t="s">
        <v>24</v>
      </c>
      <c r="AZ2023" s="70">
        <v>2992.0</v>
      </c>
    </row>
    <row r="2024" ht="22.5" customHeight="1">
      <c r="A2024" s="70" t="str">
        <f t="shared" si="1"/>
        <v>Excluded</v>
      </c>
      <c r="B2024" s="70">
        <f t="shared" si="2"/>
        <v>0</v>
      </c>
      <c r="C2024" s="70">
        <v>0.0</v>
      </c>
      <c r="D2024" s="70">
        <v>0.0</v>
      </c>
      <c r="E2024" s="70">
        <v>0.0</v>
      </c>
      <c r="F2024" s="70">
        <v>0.0</v>
      </c>
      <c r="G2024" s="70">
        <v>0.0</v>
      </c>
      <c r="H2024" s="70" t="s">
        <v>12392</v>
      </c>
      <c r="I2024" s="70">
        <v>1294.0</v>
      </c>
      <c r="J2024" s="70" t="s">
        <v>12389</v>
      </c>
      <c r="K2024" s="70" t="s">
        <v>12390</v>
      </c>
      <c r="L2024" s="70" t="s">
        <v>12391</v>
      </c>
      <c r="P2024" s="77">
        <v>45205.0</v>
      </c>
      <c r="U2024" s="70" t="s">
        <v>239</v>
      </c>
      <c r="W2024" s="70" t="s">
        <v>12394</v>
      </c>
      <c r="X2024" s="70" t="s">
        <v>12395</v>
      </c>
      <c r="Y2024" s="70" t="s">
        <v>30741</v>
      </c>
      <c r="Z2024" s="75" t="s">
        <v>12397</v>
      </c>
      <c r="AA2024" s="70" t="s">
        <v>12398</v>
      </c>
      <c r="AC2024" s="70">
        <v>1.0</v>
      </c>
      <c r="AE2024" s="70">
        <v>19.0</v>
      </c>
      <c r="AF2024" s="70" t="s">
        <v>239</v>
      </c>
      <c r="AW2024" s="70" t="s">
        <v>12399</v>
      </c>
      <c r="AX2024" s="70">
        <v>0.0</v>
      </c>
      <c r="AY2024" s="70" t="s">
        <v>24</v>
      </c>
      <c r="AZ2024" s="70">
        <v>2437.0</v>
      </c>
    </row>
    <row r="2025" ht="22.5" customHeight="1">
      <c r="A2025" s="70" t="str">
        <f t="shared" si="1"/>
        <v>Excluded</v>
      </c>
      <c r="B2025" s="70">
        <f t="shared" si="2"/>
        <v>0</v>
      </c>
      <c r="C2025" s="70">
        <v>0.0</v>
      </c>
      <c r="D2025" s="70">
        <v>0.0</v>
      </c>
      <c r="E2025" s="70">
        <v>0.0</v>
      </c>
      <c r="F2025" s="70">
        <v>0.0</v>
      </c>
      <c r="G2025" s="70">
        <v>0.0</v>
      </c>
      <c r="H2025" s="70" t="s">
        <v>9862</v>
      </c>
      <c r="I2025" s="70">
        <v>966.0</v>
      </c>
      <c r="J2025" s="70" t="s">
        <v>9859</v>
      </c>
      <c r="K2025" s="70" t="s">
        <v>9860</v>
      </c>
      <c r="L2025" s="70" t="s">
        <v>9861</v>
      </c>
      <c r="P2025" s="77">
        <v>44173.0</v>
      </c>
      <c r="U2025" s="70" t="s">
        <v>239</v>
      </c>
      <c r="W2025" s="70" t="s">
        <v>9864</v>
      </c>
      <c r="X2025" s="70" t="s">
        <v>9865</v>
      </c>
      <c r="Z2025" s="75" t="s">
        <v>9866</v>
      </c>
      <c r="AA2025" s="70" t="s">
        <v>9867</v>
      </c>
      <c r="AE2025" s="70">
        <v>17.0</v>
      </c>
      <c r="AF2025" s="70" t="s">
        <v>239</v>
      </c>
      <c r="AW2025" s="70" t="s">
        <v>9868</v>
      </c>
      <c r="AX2025" s="70">
        <v>0.0</v>
      </c>
      <c r="AY2025" s="70" t="s">
        <v>24</v>
      </c>
      <c r="AZ2025" s="70">
        <v>2602.0</v>
      </c>
    </row>
    <row r="2026" ht="22.5" customHeight="1">
      <c r="A2026" s="70" t="str">
        <f t="shared" si="1"/>
        <v>Excluded</v>
      </c>
      <c r="B2026" s="70">
        <f t="shared" si="2"/>
        <v>0</v>
      </c>
      <c r="C2026" s="70">
        <v>0.0</v>
      </c>
      <c r="D2026" s="70">
        <v>0.0</v>
      </c>
      <c r="E2026" s="70">
        <v>0.0</v>
      </c>
      <c r="F2026" s="70">
        <v>0.0</v>
      </c>
      <c r="G2026" s="70">
        <v>0.0</v>
      </c>
      <c r="H2026" s="70" t="s">
        <v>5567</v>
      </c>
      <c r="I2026" s="70">
        <v>523.0</v>
      </c>
      <c r="J2026" s="70" t="s">
        <v>5368</v>
      </c>
      <c r="K2026" s="70" t="s">
        <v>5565</v>
      </c>
      <c r="L2026" s="70" t="s">
        <v>5566</v>
      </c>
      <c r="P2026" s="76">
        <v>44764.0</v>
      </c>
      <c r="U2026" s="70" t="s">
        <v>239</v>
      </c>
      <c r="W2026" s="70" t="s">
        <v>5568</v>
      </c>
      <c r="X2026" s="70" t="s">
        <v>5569</v>
      </c>
      <c r="Y2026" s="70" t="s">
        <v>30742</v>
      </c>
      <c r="Z2026" s="75" t="s">
        <v>5571</v>
      </c>
      <c r="AA2026" s="70" t="s">
        <v>5572</v>
      </c>
      <c r="AC2026" s="70">
        <v>11.0</v>
      </c>
      <c r="AE2026" s="70">
        <v>14.0</v>
      </c>
      <c r="AF2026" s="70" t="s">
        <v>239</v>
      </c>
      <c r="AW2026" s="70" t="s">
        <v>5573</v>
      </c>
      <c r="AX2026" s="70">
        <v>0.0</v>
      </c>
      <c r="AY2026" s="70" t="s">
        <v>24</v>
      </c>
      <c r="AZ2026" s="70">
        <v>2744.0</v>
      </c>
    </row>
    <row r="2027" ht="22.5" customHeight="1">
      <c r="A2027" s="70" t="str">
        <f t="shared" si="1"/>
        <v>Excluded</v>
      </c>
      <c r="B2027" s="70">
        <f t="shared" si="2"/>
        <v>0</v>
      </c>
      <c r="C2027" s="70">
        <v>0.0</v>
      </c>
      <c r="D2027" s="70">
        <v>0.0</v>
      </c>
      <c r="E2027" s="70">
        <v>0.0</v>
      </c>
      <c r="F2027" s="70">
        <v>0.0</v>
      </c>
      <c r="G2027" s="70">
        <v>0.0</v>
      </c>
      <c r="H2027" s="70" t="s">
        <v>14754</v>
      </c>
      <c r="I2027" s="70">
        <v>1538.0</v>
      </c>
      <c r="J2027" s="70" t="s">
        <v>14750</v>
      </c>
      <c r="K2027" s="70" t="s">
        <v>14751</v>
      </c>
      <c r="L2027" s="70" t="s">
        <v>14752</v>
      </c>
      <c r="N2027" s="70" t="s">
        <v>14753</v>
      </c>
      <c r="P2027" s="77">
        <v>45482.0</v>
      </c>
      <c r="U2027" s="70" t="s">
        <v>239</v>
      </c>
      <c r="W2027" s="70" t="s">
        <v>14756</v>
      </c>
      <c r="X2027" s="70" t="s">
        <v>14757</v>
      </c>
      <c r="Z2027" s="75" t="s">
        <v>14758</v>
      </c>
      <c r="AA2027" s="70" t="s">
        <v>14759</v>
      </c>
      <c r="AE2027" s="70">
        <v>22.0</v>
      </c>
      <c r="AF2027" s="70" t="s">
        <v>239</v>
      </c>
      <c r="AW2027" s="70" t="s">
        <v>14760</v>
      </c>
      <c r="AX2027" s="70">
        <v>0.0</v>
      </c>
      <c r="AY2027" s="70" t="s">
        <v>24</v>
      </c>
      <c r="AZ2027" s="70">
        <v>1829.0</v>
      </c>
    </row>
    <row r="2028" ht="22.5" customHeight="1">
      <c r="A2028" s="70" t="str">
        <f t="shared" si="1"/>
        <v>Excluded</v>
      </c>
      <c r="B2028" s="70">
        <f t="shared" si="2"/>
        <v>0</v>
      </c>
      <c r="C2028" s="70">
        <v>0.0</v>
      </c>
      <c r="D2028" s="70">
        <v>0.0</v>
      </c>
      <c r="E2028" s="70">
        <v>0.0</v>
      </c>
      <c r="F2028" s="70">
        <v>0.0</v>
      </c>
      <c r="G2028" s="70">
        <v>0.0</v>
      </c>
      <c r="H2028" s="70" t="s">
        <v>12129</v>
      </c>
      <c r="I2028" s="70">
        <v>1268.0</v>
      </c>
      <c r="J2028" s="70" t="s">
        <v>12126</v>
      </c>
      <c r="K2028" s="70" t="s">
        <v>12127</v>
      </c>
      <c r="L2028" s="70" t="s">
        <v>12128</v>
      </c>
      <c r="P2028" s="77">
        <v>45510.0</v>
      </c>
      <c r="U2028" s="70" t="s">
        <v>239</v>
      </c>
      <c r="W2028" s="70" t="s">
        <v>12131</v>
      </c>
      <c r="X2028" s="70" t="s">
        <v>12132</v>
      </c>
      <c r="Z2028" s="75" t="s">
        <v>12133</v>
      </c>
      <c r="AA2028" s="70" t="s">
        <v>12134</v>
      </c>
      <c r="AC2028" s="70">
        <v>1.0</v>
      </c>
      <c r="AE2028" s="70">
        <v>31.0</v>
      </c>
      <c r="AF2028" s="70" t="s">
        <v>239</v>
      </c>
      <c r="AW2028" s="70" t="s">
        <v>12135</v>
      </c>
      <c r="AX2028" s="70">
        <v>0.0</v>
      </c>
      <c r="AY2028" s="70" t="s">
        <v>24</v>
      </c>
      <c r="AZ2028" s="70">
        <v>1986.0</v>
      </c>
    </row>
    <row r="2029" ht="22.5" customHeight="1">
      <c r="A2029" s="70" t="str">
        <f t="shared" si="1"/>
        <v>Excluded</v>
      </c>
      <c r="B2029" s="70">
        <f t="shared" si="2"/>
        <v>0</v>
      </c>
      <c r="C2029" s="70">
        <v>0.0</v>
      </c>
      <c r="D2029" s="70">
        <v>0.0</v>
      </c>
      <c r="E2029" s="70">
        <v>0.0</v>
      </c>
      <c r="F2029" s="70">
        <v>0.0</v>
      </c>
      <c r="G2029" s="70">
        <v>0.0</v>
      </c>
      <c r="H2029" s="70" t="s">
        <v>10076</v>
      </c>
      <c r="I2029" s="70">
        <v>988.0</v>
      </c>
      <c r="J2029" s="70" t="s">
        <v>10073</v>
      </c>
      <c r="K2029" s="70" t="s">
        <v>10074</v>
      </c>
      <c r="L2029" s="70" t="s">
        <v>10075</v>
      </c>
      <c r="P2029" s="76">
        <v>44179.0</v>
      </c>
      <c r="U2029" s="70" t="s">
        <v>239</v>
      </c>
      <c r="W2029" s="70" t="s">
        <v>10078</v>
      </c>
      <c r="X2029" s="70" t="s">
        <v>10079</v>
      </c>
      <c r="Z2029" s="75" t="s">
        <v>10080</v>
      </c>
      <c r="AA2029" s="70" t="s">
        <v>10081</v>
      </c>
      <c r="AE2029" s="70">
        <v>9.0</v>
      </c>
      <c r="AF2029" s="70" t="s">
        <v>7683</v>
      </c>
      <c r="AW2029" s="70" t="s">
        <v>10082</v>
      </c>
      <c r="AZ2029" s="70">
        <v>908.0</v>
      </c>
    </row>
    <row r="2030" ht="22.5" customHeight="1">
      <c r="A2030" s="70" t="str">
        <f t="shared" si="1"/>
        <v>Excluded</v>
      </c>
      <c r="B2030" s="70">
        <f t="shared" si="2"/>
        <v>0</v>
      </c>
      <c r="C2030" s="70">
        <v>0.0</v>
      </c>
      <c r="D2030" s="70">
        <v>0.0</v>
      </c>
      <c r="E2030" s="70">
        <v>0.0</v>
      </c>
      <c r="F2030" s="70">
        <v>0.0</v>
      </c>
      <c r="G2030" s="70">
        <v>0.0</v>
      </c>
      <c r="H2030" s="70" t="s">
        <v>15320</v>
      </c>
      <c r="I2030" s="70">
        <v>1598.0</v>
      </c>
      <c r="J2030" s="70" t="s">
        <v>15316</v>
      </c>
      <c r="K2030" s="70" t="s">
        <v>15317</v>
      </c>
      <c r="L2030" s="70" t="s">
        <v>15318</v>
      </c>
      <c r="N2030" s="70" t="s">
        <v>15319</v>
      </c>
      <c r="P2030" s="76">
        <v>45622.0</v>
      </c>
      <c r="U2030" s="70" t="s">
        <v>239</v>
      </c>
      <c r="W2030" s="70" t="s">
        <v>15323</v>
      </c>
      <c r="X2030" s="70" t="s">
        <v>15324</v>
      </c>
      <c r="Z2030" s="75" t="s">
        <v>15325</v>
      </c>
      <c r="AA2030" s="70" t="s">
        <v>15326</v>
      </c>
      <c r="AE2030" s="70">
        <v>30.0</v>
      </c>
      <c r="AF2030" s="70" t="s">
        <v>239</v>
      </c>
      <c r="AW2030" s="70" t="s">
        <v>15327</v>
      </c>
      <c r="AZ2030" s="70">
        <v>1241.0</v>
      </c>
    </row>
    <row r="2031" ht="22.5" customHeight="1">
      <c r="A2031" s="70" t="str">
        <f t="shared" si="1"/>
        <v>Excluded</v>
      </c>
      <c r="B2031" s="70">
        <f t="shared" si="2"/>
        <v>0</v>
      </c>
      <c r="C2031" s="70">
        <v>0.0</v>
      </c>
      <c r="D2031" s="70">
        <v>0.0</v>
      </c>
      <c r="E2031" s="70">
        <v>0.0</v>
      </c>
      <c r="F2031" s="70">
        <v>0.0</v>
      </c>
      <c r="G2031" s="70">
        <v>0.0</v>
      </c>
      <c r="H2031" s="70" t="s">
        <v>8305</v>
      </c>
      <c r="I2031" s="70">
        <v>804.0</v>
      </c>
      <c r="J2031" s="70" t="s">
        <v>8301</v>
      </c>
      <c r="K2031" s="70" t="s">
        <v>8302</v>
      </c>
      <c r="L2031" s="70" t="s">
        <v>8303</v>
      </c>
      <c r="N2031" s="70" t="s">
        <v>8304</v>
      </c>
      <c r="P2031" s="78">
        <v>43598.0</v>
      </c>
      <c r="U2031" s="70" t="s">
        <v>239</v>
      </c>
      <c r="W2031" s="70" t="s">
        <v>8307</v>
      </c>
      <c r="X2031" s="70" t="s">
        <v>8308</v>
      </c>
      <c r="Z2031" s="75" t="s">
        <v>8309</v>
      </c>
      <c r="AA2031" s="70" t="s">
        <v>8310</v>
      </c>
      <c r="AC2031" s="70">
        <v>2.0</v>
      </c>
      <c r="AE2031" s="70">
        <v>34.0</v>
      </c>
      <c r="AF2031" s="70" t="s">
        <v>239</v>
      </c>
      <c r="AW2031" s="70" t="s">
        <v>8311</v>
      </c>
      <c r="AX2031" s="70">
        <v>0.0</v>
      </c>
      <c r="AY2031" s="70" t="s">
        <v>24</v>
      </c>
      <c r="AZ2031" s="70">
        <v>3144.0</v>
      </c>
    </row>
    <row r="2032" ht="22.5" customHeight="1">
      <c r="A2032" s="70" t="str">
        <f t="shared" si="1"/>
        <v>Excluded</v>
      </c>
      <c r="B2032" s="70">
        <f t="shared" si="2"/>
        <v>0</v>
      </c>
      <c r="C2032" s="70">
        <v>0.0</v>
      </c>
      <c r="D2032" s="70">
        <v>0.0</v>
      </c>
      <c r="E2032" s="70">
        <v>0.0</v>
      </c>
      <c r="F2032" s="70">
        <v>0.0</v>
      </c>
      <c r="G2032" s="70">
        <v>0.0</v>
      </c>
      <c r="H2032" s="70" t="s">
        <v>11172</v>
      </c>
      <c r="I2032" s="70">
        <v>1172.0</v>
      </c>
      <c r="J2032" s="70" t="s">
        <v>11169</v>
      </c>
      <c r="K2032" s="70" t="s">
        <v>11170</v>
      </c>
      <c r="L2032" s="70" t="s">
        <v>11171</v>
      </c>
      <c r="N2032" s="70" t="s">
        <v>8304</v>
      </c>
      <c r="P2032" s="76">
        <v>45168.0</v>
      </c>
      <c r="U2032" s="70" t="s">
        <v>239</v>
      </c>
      <c r="W2032" s="70" t="s">
        <v>11174</v>
      </c>
      <c r="X2032" s="70" t="s">
        <v>11175</v>
      </c>
      <c r="Z2032" s="75" t="s">
        <v>11176</v>
      </c>
      <c r="AA2032" s="70" t="s">
        <v>11177</v>
      </c>
      <c r="AC2032" s="70">
        <v>5.0</v>
      </c>
      <c r="AE2032" s="70">
        <v>37.0</v>
      </c>
      <c r="AF2032" s="70" t="s">
        <v>239</v>
      </c>
      <c r="AW2032" s="70" t="s">
        <v>11178</v>
      </c>
      <c r="AZ2032" s="70">
        <v>1101.0</v>
      </c>
    </row>
    <row r="2033" ht="22.5" customHeight="1">
      <c r="A2033" s="70" t="str">
        <f t="shared" si="1"/>
        <v>Excluded</v>
      </c>
      <c r="B2033" s="70">
        <f t="shared" si="2"/>
        <v>0</v>
      </c>
      <c r="C2033" s="70">
        <v>0.0</v>
      </c>
      <c r="D2033" s="70">
        <v>0.0</v>
      </c>
      <c r="E2033" s="70">
        <v>0.0</v>
      </c>
      <c r="F2033" s="70">
        <v>0.0</v>
      </c>
      <c r="G2033" s="70">
        <v>0.0</v>
      </c>
      <c r="H2033" s="70" t="s">
        <v>25937</v>
      </c>
      <c r="I2033" s="70">
        <v>2817.0</v>
      </c>
      <c r="J2033" s="70" t="s">
        <v>25935</v>
      </c>
      <c r="K2033" s="70" t="s">
        <v>25936</v>
      </c>
      <c r="W2033" s="70" t="s">
        <v>30743</v>
      </c>
      <c r="AA2033" s="70" t="s">
        <v>25939</v>
      </c>
      <c r="AI2033" s="70" t="s">
        <v>25940</v>
      </c>
      <c r="AJ2033" s="70" t="s">
        <v>25941</v>
      </c>
      <c r="AK2033" s="70">
        <v>2023.0</v>
      </c>
      <c r="AL2033" s="70" t="s">
        <v>25942</v>
      </c>
      <c r="AN2033" s="70">
        <v>198.0</v>
      </c>
      <c r="AO2033" s="70">
        <v>203.0</v>
      </c>
      <c r="AP2033" s="70">
        <v>5.0</v>
      </c>
      <c r="AQ2033" s="70">
        <v>0.0</v>
      </c>
      <c r="AR2033" s="75" t="s">
        <v>25943</v>
      </c>
      <c r="AS2033" s="70" t="s">
        <v>22525</v>
      </c>
      <c r="AU2033" s="70" t="s">
        <v>237</v>
      </c>
      <c r="AV2033" s="70" t="s">
        <v>25944</v>
      </c>
      <c r="AW2033" s="70" t="s">
        <v>25945</v>
      </c>
      <c r="AZ2033" s="70">
        <v>275.0</v>
      </c>
    </row>
    <row r="2034" ht="22.5" customHeight="1">
      <c r="A2034" s="70" t="str">
        <f t="shared" si="1"/>
        <v>Excluded</v>
      </c>
      <c r="B2034" s="70">
        <f t="shared" si="2"/>
        <v>0</v>
      </c>
      <c r="C2034" s="70">
        <v>0.0</v>
      </c>
      <c r="D2034" s="70">
        <v>0.0</v>
      </c>
      <c r="E2034" s="70">
        <v>0.0</v>
      </c>
      <c r="F2034" s="70">
        <v>0.0</v>
      </c>
      <c r="G2034" s="70">
        <v>0.0</v>
      </c>
      <c r="H2034" s="70" t="s">
        <v>6821</v>
      </c>
      <c r="I2034" s="70">
        <v>650.0</v>
      </c>
      <c r="J2034" s="70" t="s">
        <v>6818</v>
      </c>
      <c r="K2034" s="70" t="s">
        <v>6819</v>
      </c>
      <c r="L2034" s="70" t="s">
        <v>6820</v>
      </c>
      <c r="P2034" s="76">
        <v>44522.0</v>
      </c>
      <c r="U2034" s="70" t="s">
        <v>239</v>
      </c>
      <c r="W2034" s="70" t="s">
        <v>30744</v>
      </c>
      <c r="X2034" s="70" t="s">
        <v>6823</v>
      </c>
      <c r="Y2034" s="70" t="s">
        <v>29920</v>
      </c>
      <c r="Z2034" s="75" t="s">
        <v>6824</v>
      </c>
      <c r="AA2034" s="70" t="s">
        <v>6825</v>
      </c>
      <c r="AC2034" s="70">
        <v>5.0</v>
      </c>
      <c r="AE2034" s="70">
        <v>17.0</v>
      </c>
      <c r="AF2034" s="70" t="s">
        <v>239</v>
      </c>
      <c r="AW2034" s="70" t="s">
        <v>6826</v>
      </c>
      <c r="AX2034" s="70">
        <v>0.0</v>
      </c>
      <c r="AY2034" s="70" t="s">
        <v>24</v>
      </c>
      <c r="AZ2034" s="70">
        <v>2305.0</v>
      </c>
    </row>
    <row r="2035" ht="22.5" customHeight="1">
      <c r="A2035" s="70" t="str">
        <f t="shared" si="1"/>
        <v>Excluded</v>
      </c>
      <c r="B2035" s="70">
        <f t="shared" si="2"/>
        <v>0</v>
      </c>
      <c r="C2035" s="70">
        <v>0.0</v>
      </c>
      <c r="D2035" s="70">
        <v>0.0</v>
      </c>
      <c r="E2035" s="70">
        <v>0.0</v>
      </c>
      <c r="F2035" s="70">
        <v>0.0</v>
      </c>
      <c r="G2035" s="70">
        <v>0.0</v>
      </c>
      <c r="H2035" s="70" t="s">
        <v>29219</v>
      </c>
      <c r="I2035" s="70">
        <v>3138.0</v>
      </c>
      <c r="J2035" s="70" t="s">
        <v>29217</v>
      </c>
      <c r="K2035" s="70" t="s">
        <v>29218</v>
      </c>
      <c r="W2035" s="70" t="s">
        <v>30745</v>
      </c>
      <c r="AA2035" s="70" t="s">
        <v>29221</v>
      </c>
      <c r="AI2035" s="70" t="s">
        <v>29222</v>
      </c>
      <c r="AJ2035" s="70" t="s">
        <v>29223</v>
      </c>
      <c r="AK2035" s="70">
        <v>2018.0</v>
      </c>
      <c r="AL2035" s="70" t="s">
        <v>29224</v>
      </c>
      <c r="AM2035" s="70">
        <v>8548274.0</v>
      </c>
      <c r="AQ2035" s="70">
        <v>1.0</v>
      </c>
      <c r="AR2035" s="75" t="s">
        <v>29225</v>
      </c>
      <c r="AS2035" s="70" t="s">
        <v>22525</v>
      </c>
      <c r="AU2035" s="70" t="s">
        <v>237</v>
      </c>
      <c r="AV2035" s="70" t="s">
        <v>29226</v>
      </c>
      <c r="AW2035" s="70" t="s">
        <v>29227</v>
      </c>
      <c r="AZ2035" s="70">
        <v>960.0</v>
      </c>
    </row>
    <row r="2036" ht="22.5" customHeight="1">
      <c r="A2036" s="70" t="str">
        <f t="shared" si="1"/>
        <v>Excluded</v>
      </c>
      <c r="B2036" s="70">
        <f t="shared" si="2"/>
        <v>0</v>
      </c>
      <c r="C2036" s="70">
        <v>0.0</v>
      </c>
      <c r="D2036" s="70">
        <v>0.0</v>
      </c>
      <c r="E2036" s="70">
        <v>0.0</v>
      </c>
      <c r="F2036" s="70">
        <v>0.0</v>
      </c>
      <c r="G2036" s="70">
        <v>0.0</v>
      </c>
      <c r="H2036" s="70" t="s">
        <v>7841</v>
      </c>
      <c r="I2036" s="70">
        <v>755.0</v>
      </c>
      <c r="J2036" s="70" t="s">
        <v>7838</v>
      </c>
      <c r="K2036" s="70" t="s">
        <v>7839</v>
      </c>
      <c r="L2036" s="70" t="s">
        <v>7840</v>
      </c>
      <c r="N2036" s="70" t="s">
        <v>7042</v>
      </c>
      <c r="P2036" s="76">
        <v>44592.0</v>
      </c>
      <c r="U2036" s="70" t="s">
        <v>239</v>
      </c>
      <c r="W2036" s="70" t="s">
        <v>30746</v>
      </c>
      <c r="X2036" s="70" t="s">
        <v>7844</v>
      </c>
      <c r="Z2036" s="75" t="s">
        <v>7845</v>
      </c>
      <c r="AA2036" s="70" t="s">
        <v>7846</v>
      </c>
      <c r="AC2036" s="70">
        <v>2.0</v>
      </c>
      <c r="AE2036" s="70">
        <v>18.0</v>
      </c>
      <c r="AF2036" s="70" t="s">
        <v>239</v>
      </c>
      <c r="AW2036" s="70" t="s">
        <v>7847</v>
      </c>
      <c r="AZ2036" s="70">
        <v>1115.0</v>
      </c>
    </row>
    <row r="2037" ht="22.5" customHeight="1">
      <c r="A2037" s="70" t="str">
        <f t="shared" si="1"/>
        <v>Excluded</v>
      </c>
      <c r="B2037" s="70">
        <f t="shared" si="2"/>
        <v>0</v>
      </c>
      <c r="C2037" s="70">
        <v>0.0</v>
      </c>
      <c r="D2037" s="70">
        <v>0.0</v>
      </c>
      <c r="E2037" s="70">
        <v>0.0</v>
      </c>
      <c r="F2037" s="70">
        <v>0.0</v>
      </c>
      <c r="G2037" s="70">
        <v>0.0</v>
      </c>
      <c r="H2037" s="70" t="s">
        <v>10113</v>
      </c>
      <c r="I2037" s="70">
        <v>992.0</v>
      </c>
      <c r="J2037" s="70" t="s">
        <v>10111</v>
      </c>
      <c r="K2037" s="70" t="s">
        <v>10112</v>
      </c>
      <c r="L2037" s="70" t="s">
        <v>7041</v>
      </c>
      <c r="N2037" s="70" t="s">
        <v>7042</v>
      </c>
      <c r="P2037" s="76">
        <v>44942.0</v>
      </c>
      <c r="U2037" s="70" t="s">
        <v>239</v>
      </c>
      <c r="W2037" s="70" t="s">
        <v>30747</v>
      </c>
      <c r="X2037" s="70" t="s">
        <v>7046</v>
      </c>
      <c r="Z2037" s="75" t="s">
        <v>10116</v>
      </c>
      <c r="AA2037" s="70" t="s">
        <v>10117</v>
      </c>
      <c r="AE2037" s="70">
        <v>37.0</v>
      </c>
      <c r="AF2037" s="70" t="s">
        <v>239</v>
      </c>
      <c r="AW2037" s="70" t="s">
        <v>10118</v>
      </c>
      <c r="AZ2037" s="70">
        <v>880.0</v>
      </c>
    </row>
    <row r="2038" ht="22.5" customHeight="1">
      <c r="A2038" s="70" t="str">
        <f t="shared" si="1"/>
        <v>Excluded</v>
      </c>
      <c r="B2038" s="70">
        <f t="shared" si="2"/>
        <v>0</v>
      </c>
      <c r="C2038" s="70">
        <v>0.0</v>
      </c>
      <c r="D2038" s="70">
        <v>0.0</v>
      </c>
      <c r="E2038" s="70">
        <v>0.0</v>
      </c>
      <c r="F2038" s="70">
        <v>0.0</v>
      </c>
      <c r="G2038" s="70">
        <v>0.0</v>
      </c>
      <c r="H2038" s="70" t="s">
        <v>7043</v>
      </c>
      <c r="I2038" s="70">
        <v>672.0</v>
      </c>
      <c r="J2038" s="70" t="s">
        <v>7039</v>
      </c>
      <c r="K2038" s="70" t="s">
        <v>7040</v>
      </c>
      <c r="L2038" s="70" t="s">
        <v>7041</v>
      </c>
      <c r="N2038" s="70" t="s">
        <v>7042</v>
      </c>
      <c r="P2038" s="76">
        <v>44942.0</v>
      </c>
      <c r="U2038" s="70" t="s">
        <v>239</v>
      </c>
      <c r="W2038" s="70" t="s">
        <v>7045</v>
      </c>
      <c r="X2038" s="70" t="s">
        <v>7046</v>
      </c>
      <c r="Z2038" s="75" t="s">
        <v>7047</v>
      </c>
      <c r="AA2038" s="70" t="s">
        <v>7048</v>
      </c>
      <c r="AC2038" s="70">
        <v>4.0</v>
      </c>
      <c r="AE2038" s="70">
        <v>24.0</v>
      </c>
      <c r="AF2038" s="70" t="s">
        <v>239</v>
      </c>
      <c r="AW2038" s="70" t="s">
        <v>7049</v>
      </c>
      <c r="AX2038" s="70">
        <v>0.0</v>
      </c>
      <c r="AY2038" s="70" t="s">
        <v>24</v>
      </c>
      <c r="AZ2038" s="70">
        <v>3038.0</v>
      </c>
    </row>
    <row r="2039" ht="22.5" customHeight="1">
      <c r="A2039" s="70" t="str">
        <f t="shared" si="1"/>
        <v>Excluded</v>
      </c>
      <c r="B2039" s="70">
        <f t="shared" si="2"/>
        <v>0</v>
      </c>
      <c r="C2039" s="70">
        <v>0.0</v>
      </c>
      <c r="D2039" s="70">
        <v>0.0</v>
      </c>
      <c r="E2039" s="70">
        <v>0.0</v>
      </c>
      <c r="F2039" s="70">
        <v>0.0</v>
      </c>
      <c r="G2039" s="70">
        <v>0.0</v>
      </c>
      <c r="H2039" s="70" t="s">
        <v>8403</v>
      </c>
      <c r="I2039" s="70">
        <v>814.0</v>
      </c>
      <c r="J2039" s="70" t="s">
        <v>8401</v>
      </c>
      <c r="K2039" s="70" t="s">
        <v>8402</v>
      </c>
      <c r="L2039" s="70" t="s">
        <v>7041</v>
      </c>
      <c r="N2039" s="70" t="s">
        <v>7042</v>
      </c>
      <c r="P2039" s="76">
        <v>44942.0</v>
      </c>
      <c r="U2039" s="70" t="s">
        <v>239</v>
      </c>
      <c r="W2039" s="70" t="s">
        <v>8405</v>
      </c>
      <c r="X2039" s="70" t="s">
        <v>7046</v>
      </c>
      <c r="Y2039" s="70" t="s">
        <v>30748</v>
      </c>
      <c r="Z2039" s="75" t="s">
        <v>8407</v>
      </c>
      <c r="AA2039" s="70" t="s">
        <v>8408</v>
      </c>
      <c r="AC2039" s="70">
        <v>2.0</v>
      </c>
      <c r="AE2039" s="70">
        <v>23.0</v>
      </c>
      <c r="AF2039" s="70" t="s">
        <v>239</v>
      </c>
      <c r="AW2039" s="70" t="s">
        <v>8409</v>
      </c>
      <c r="AX2039" s="70">
        <v>0.0</v>
      </c>
      <c r="AY2039" s="70" t="s">
        <v>24</v>
      </c>
      <c r="AZ2039" s="70">
        <v>2199.0</v>
      </c>
    </row>
    <row r="2040" ht="22.5" customHeight="1">
      <c r="A2040" s="70" t="str">
        <f t="shared" si="1"/>
        <v>Excluded</v>
      </c>
      <c r="B2040" s="70">
        <f t="shared" si="2"/>
        <v>0</v>
      </c>
      <c r="C2040" s="70">
        <v>0.0</v>
      </c>
      <c r="D2040" s="70">
        <v>0.0</v>
      </c>
      <c r="E2040" s="70">
        <v>0.0</v>
      </c>
      <c r="F2040" s="70">
        <v>0.0</v>
      </c>
      <c r="G2040" s="70">
        <v>0.0</v>
      </c>
      <c r="H2040" s="70" t="s">
        <v>10735</v>
      </c>
      <c r="I2040" s="70">
        <v>1075.0</v>
      </c>
      <c r="K2040" s="70" t="s">
        <v>10734</v>
      </c>
      <c r="L2040" s="70" t="s">
        <v>9969</v>
      </c>
      <c r="P2040" s="77">
        <v>43468.0</v>
      </c>
      <c r="U2040" s="70" t="s">
        <v>239</v>
      </c>
      <c r="W2040" s="70" t="s">
        <v>10736</v>
      </c>
      <c r="X2040" s="70" t="s">
        <v>9973</v>
      </c>
      <c r="Z2040" s="75" t="s">
        <v>10737</v>
      </c>
      <c r="AF2040" s="70" t="s">
        <v>239</v>
      </c>
      <c r="AZ2040" s="70">
        <v>1399.0</v>
      </c>
    </row>
    <row r="2041" ht="22.5" customHeight="1">
      <c r="A2041" s="70" t="str">
        <f t="shared" si="1"/>
        <v>Excluded</v>
      </c>
      <c r="B2041" s="70">
        <f t="shared" si="2"/>
        <v>0</v>
      </c>
      <c r="C2041" s="70">
        <v>0.0</v>
      </c>
      <c r="D2041" s="70">
        <v>0.0</v>
      </c>
      <c r="E2041" s="70">
        <v>0.0</v>
      </c>
      <c r="F2041" s="70">
        <v>0.0</v>
      </c>
      <c r="G2041" s="70">
        <v>0.0</v>
      </c>
      <c r="H2041" s="70" t="s">
        <v>4611</v>
      </c>
      <c r="I2041" s="70">
        <v>427.0</v>
      </c>
      <c r="J2041" s="70" t="s">
        <v>4608</v>
      </c>
      <c r="K2041" s="70" t="s">
        <v>4609</v>
      </c>
      <c r="L2041" s="70" t="s">
        <v>4610</v>
      </c>
      <c r="P2041" s="76">
        <v>43699.0</v>
      </c>
      <c r="U2041" s="70" t="s">
        <v>239</v>
      </c>
      <c r="W2041" s="70" t="s">
        <v>4613</v>
      </c>
      <c r="X2041" s="70" t="s">
        <v>4614</v>
      </c>
      <c r="Z2041" s="75" t="s">
        <v>4615</v>
      </c>
      <c r="AA2041" s="70" t="s">
        <v>4616</v>
      </c>
      <c r="AC2041" s="70">
        <v>95.0</v>
      </c>
      <c r="AE2041" s="70">
        <v>22.0</v>
      </c>
      <c r="AF2041" s="70" t="s">
        <v>239</v>
      </c>
      <c r="AW2041" s="70" t="s">
        <v>4617</v>
      </c>
      <c r="AX2041" s="70">
        <v>0.0</v>
      </c>
      <c r="AY2041" s="70" t="s">
        <v>24</v>
      </c>
      <c r="AZ2041" s="70">
        <v>1801.0</v>
      </c>
    </row>
    <row r="2042" ht="22.5" customHeight="1">
      <c r="A2042" s="70" t="str">
        <f t="shared" si="1"/>
        <v>Excluded</v>
      </c>
      <c r="B2042" s="70">
        <f t="shared" si="2"/>
        <v>0</v>
      </c>
      <c r="C2042" s="70">
        <v>0.0</v>
      </c>
      <c r="D2042" s="70">
        <v>0.0</v>
      </c>
      <c r="E2042" s="70">
        <v>0.0</v>
      </c>
      <c r="F2042" s="70">
        <v>0.0</v>
      </c>
      <c r="G2042" s="70">
        <v>0.0</v>
      </c>
      <c r="H2042" s="70" t="s">
        <v>5705</v>
      </c>
      <c r="I2042" s="70">
        <v>537.0</v>
      </c>
      <c r="J2042" s="70" t="s">
        <v>5702</v>
      </c>
      <c r="K2042" s="70" t="s">
        <v>5703</v>
      </c>
      <c r="L2042" s="70" t="s">
        <v>5704</v>
      </c>
      <c r="P2042" s="78">
        <v>43615.0</v>
      </c>
      <c r="U2042" s="70" t="s">
        <v>239</v>
      </c>
      <c r="W2042" s="70" t="s">
        <v>5707</v>
      </c>
      <c r="X2042" s="70" t="s">
        <v>5708</v>
      </c>
      <c r="Z2042" s="75" t="s">
        <v>5709</v>
      </c>
      <c r="AA2042" s="70" t="s">
        <v>5710</v>
      </c>
      <c r="AC2042" s="70">
        <v>9.0</v>
      </c>
      <c r="AD2042" s="70">
        <v>2.0</v>
      </c>
      <c r="AE2042" s="70">
        <v>17.0</v>
      </c>
      <c r="AF2042" s="70" t="s">
        <v>239</v>
      </c>
      <c r="AW2042" s="70" t="s">
        <v>5711</v>
      </c>
      <c r="AZ2042" s="70">
        <v>1046.0</v>
      </c>
    </row>
    <row r="2043" ht="22.5" customHeight="1">
      <c r="A2043" s="70" t="str">
        <f t="shared" si="1"/>
        <v>Excluded</v>
      </c>
      <c r="B2043" s="70">
        <f t="shared" si="2"/>
        <v>0</v>
      </c>
      <c r="C2043" s="70">
        <v>0.0</v>
      </c>
      <c r="D2043" s="70">
        <v>0.0</v>
      </c>
      <c r="E2043" s="70">
        <v>0.0</v>
      </c>
      <c r="F2043" s="70">
        <v>0.0</v>
      </c>
      <c r="G2043" s="70">
        <v>0.0</v>
      </c>
      <c r="H2043" s="70" t="s">
        <v>7918</v>
      </c>
      <c r="I2043" s="70">
        <v>763.0</v>
      </c>
      <c r="J2043" s="70" t="s">
        <v>7916</v>
      </c>
      <c r="K2043" s="70" t="s">
        <v>7917</v>
      </c>
      <c r="L2043" s="70" t="s">
        <v>5704</v>
      </c>
      <c r="P2043" s="78">
        <v>43615.0</v>
      </c>
      <c r="U2043" s="70" t="s">
        <v>239</v>
      </c>
      <c r="W2043" s="70" t="s">
        <v>7920</v>
      </c>
      <c r="X2043" s="70" t="s">
        <v>5708</v>
      </c>
      <c r="Z2043" s="75" t="s">
        <v>7921</v>
      </c>
      <c r="AA2043" s="70" t="s">
        <v>7922</v>
      </c>
      <c r="AC2043" s="70">
        <v>2.0</v>
      </c>
      <c r="AE2043" s="70">
        <v>36.0</v>
      </c>
      <c r="AF2043" s="70" t="s">
        <v>239</v>
      </c>
      <c r="AW2043" s="70" t="s">
        <v>7923</v>
      </c>
      <c r="AZ2043" s="70">
        <v>1189.0</v>
      </c>
    </row>
    <row r="2044" ht="22.5" customHeight="1">
      <c r="A2044" s="70" t="str">
        <f t="shared" si="1"/>
        <v>Excluded</v>
      </c>
      <c r="B2044" s="70">
        <f t="shared" si="2"/>
        <v>0</v>
      </c>
      <c r="C2044" s="70">
        <v>0.0</v>
      </c>
      <c r="D2044" s="70">
        <v>0.0</v>
      </c>
      <c r="E2044" s="70">
        <v>0.0</v>
      </c>
      <c r="F2044" s="70">
        <v>0.0</v>
      </c>
      <c r="G2044" s="70">
        <v>0.0</v>
      </c>
      <c r="H2044" s="70" t="s">
        <v>14899</v>
      </c>
      <c r="I2044" s="70">
        <v>1553.0</v>
      </c>
      <c r="J2044" s="70" t="s">
        <v>14896</v>
      </c>
      <c r="K2044" s="70" t="s">
        <v>14897</v>
      </c>
      <c r="L2044" s="70" t="s">
        <v>14898</v>
      </c>
      <c r="N2044" s="70" t="s">
        <v>14493</v>
      </c>
      <c r="P2044" s="77">
        <v>45264.0</v>
      </c>
      <c r="U2044" s="70" t="s">
        <v>239</v>
      </c>
      <c r="W2044" s="70" t="s">
        <v>14901</v>
      </c>
      <c r="X2044" s="70" t="s">
        <v>14902</v>
      </c>
      <c r="Z2044" s="75" t="s">
        <v>14903</v>
      </c>
      <c r="AA2044" s="70" t="s">
        <v>14904</v>
      </c>
      <c r="AE2044" s="70">
        <v>12.0</v>
      </c>
      <c r="AF2044" s="70" t="s">
        <v>239</v>
      </c>
      <c r="AW2044" s="70" t="s">
        <v>14905</v>
      </c>
      <c r="AX2044" s="70">
        <v>0.0</v>
      </c>
      <c r="AY2044" s="70" t="s">
        <v>24</v>
      </c>
      <c r="AZ2044" s="70">
        <v>2973.0</v>
      </c>
    </row>
    <row r="2045" ht="22.5" customHeight="1">
      <c r="A2045" s="70" t="str">
        <f t="shared" si="1"/>
        <v>Excluded</v>
      </c>
      <c r="B2045" s="70">
        <f t="shared" si="2"/>
        <v>0</v>
      </c>
      <c r="C2045" s="70">
        <v>0.0</v>
      </c>
      <c r="D2045" s="70">
        <v>0.0</v>
      </c>
      <c r="E2045" s="70">
        <v>0.0</v>
      </c>
      <c r="F2045" s="70">
        <v>0.0</v>
      </c>
      <c r="G2045" s="70">
        <v>0.0</v>
      </c>
      <c r="H2045" s="70" t="s">
        <v>14494</v>
      </c>
      <c r="I2045" s="70">
        <v>1512.0</v>
      </c>
      <c r="J2045" s="70" t="s">
        <v>30749</v>
      </c>
      <c r="K2045" s="70" t="s">
        <v>14491</v>
      </c>
      <c r="L2045" s="70" t="s">
        <v>14492</v>
      </c>
      <c r="N2045" s="70" t="s">
        <v>14493</v>
      </c>
      <c r="P2045" s="76">
        <v>45653.0</v>
      </c>
      <c r="U2045" s="70" t="s">
        <v>239</v>
      </c>
      <c r="W2045" s="70" t="s">
        <v>14496</v>
      </c>
      <c r="X2045" s="70" t="s">
        <v>14497</v>
      </c>
      <c r="Z2045" s="75" t="s">
        <v>14498</v>
      </c>
      <c r="AA2045" s="70" t="s">
        <v>14499</v>
      </c>
      <c r="AE2045" s="70">
        <v>17.0</v>
      </c>
      <c r="AF2045" s="70" t="s">
        <v>239</v>
      </c>
      <c r="AW2045" s="70" t="s">
        <v>14500</v>
      </c>
      <c r="AZ2045" s="70">
        <v>792.0</v>
      </c>
    </row>
    <row r="2046" ht="22.5" customHeight="1">
      <c r="A2046" s="70" t="str">
        <f t="shared" si="1"/>
        <v>Excluded</v>
      </c>
      <c r="B2046" s="70">
        <f t="shared" si="2"/>
        <v>0</v>
      </c>
      <c r="C2046" s="70">
        <v>0.0</v>
      </c>
      <c r="D2046" s="70">
        <v>0.0</v>
      </c>
      <c r="E2046" s="70">
        <v>0.0</v>
      </c>
      <c r="F2046" s="70">
        <v>0.0</v>
      </c>
      <c r="G2046" s="70">
        <v>0.0</v>
      </c>
      <c r="H2046" s="70" t="s">
        <v>10457</v>
      </c>
      <c r="I2046" s="70">
        <v>1028.0</v>
      </c>
      <c r="J2046" s="70" t="s">
        <v>10453</v>
      </c>
      <c r="K2046" s="70" t="s">
        <v>10454</v>
      </c>
      <c r="L2046" s="70" t="s">
        <v>10455</v>
      </c>
      <c r="N2046" s="70" t="s">
        <v>10456</v>
      </c>
      <c r="P2046" s="77">
        <v>43139.0</v>
      </c>
      <c r="U2046" s="70" t="s">
        <v>239</v>
      </c>
      <c r="W2046" s="70" t="s">
        <v>10459</v>
      </c>
      <c r="X2046" s="70" t="s">
        <v>10460</v>
      </c>
      <c r="Z2046" s="75" t="s">
        <v>10461</v>
      </c>
      <c r="AA2046" s="70" t="s">
        <v>10462</v>
      </c>
      <c r="AE2046" s="70">
        <v>25.0</v>
      </c>
      <c r="AF2046" s="70" t="s">
        <v>239</v>
      </c>
      <c r="AW2046" s="70" t="s">
        <v>10463</v>
      </c>
      <c r="AX2046" s="70">
        <v>0.0</v>
      </c>
      <c r="AY2046" s="70" t="s">
        <v>24</v>
      </c>
      <c r="AZ2046" s="70">
        <v>2401.0</v>
      </c>
    </row>
    <row r="2047" ht="22.5" customHeight="1">
      <c r="A2047" s="70" t="str">
        <f t="shared" si="1"/>
        <v>Excluded</v>
      </c>
      <c r="B2047" s="70">
        <f t="shared" si="2"/>
        <v>0</v>
      </c>
      <c r="C2047" s="70">
        <v>0.0</v>
      </c>
      <c r="D2047" s="70">
        <v>0.0</v>
      </c>
      <c r="E2047" s="70">
        <v>0.0</v>
      </c>
      <c r="F2047" s="70">
        <v>0.0</v>
      </c>
      <c r="G2047" s="70">
        <v>0.0</v>
      </c>
      <c r="H2047" s="70" t="s">
        <v>8683</v>
      </c>
      <c r="I2047" s="70">
        <v>843.0</v>
      </c>
      <c r="J2047" s="70" t="s">
        <v>6091</v>
      </c>
      <c r="K2047" s="70" t="s">
        <v>8681</v>
      </c>
      <c r="L2047" s="70" t="s">
        <v>8682</v>
      </c>
      <c r="N2047" s="70" t="s">
        <v>5264</v>
      </c>
      <c r="P2047" s="77">
        <v>43290.0</v>
      </c>
      <c r="U2047" s="70" t="s">
        <v>239</v>
      </c>
      <c r="W2047" s="70" t="s">
        <v>8684</v>
      </c>
      <c r="X2047" s="70" t="s">
        <v>8685</v>
      </c>
      <c r="Z2047" s="75" t="s">
        <v>8686</v>
      </c>
      <c r="AA2047" s="70" t="s">
        <v>8687</v>
      </c>
      <c r="AC2047" s="70">
        <v>1.0</v>
      </c>
      <c r="AE2047" s="70">
        <v>19.0</v>
      </c>
      <c r="AF2047" s="70" t="s">
        <v>239</v>
      </c>
      <c r="AW2047" s="70" t="s">
        <v>8688</v>
      </c>
      <c r="AZ2047" s="70">
        <v>841.0</v>
      </c>
    </row>
    <row r="2048" ht="22.5" customHeight="1">
      <c r="A2048" s="70" t="str">
        <f t="shared" si="1"/>
        <v>Excluded</v>
      </c>
      <c r="B2048" s="70">
        <f t="shared" si="2"/>
        <v>0</v>
      </c>
      <c r="C2048" s="70">
        <v>0.0</v>
      </c>
      <c r="D2048" s="70">
        <v>0.0</v>
      </c>
      <c r="E2048" s="70">
        <v>0.0</v>
      </c>
      <c r="F2048" s="70">
        <v>0.0</v>
      </c>
      <c r="G2048" s="70">
        <v>0.0</v>
      </c>
      <c r="H2048" s="70" t="s">
        <v>5265</v>
      </c>
      <c r="I2048" s="70">
        <v>492.0</v>
      </c>
      <c r="J2048" s="70" t="s">
        <v>5261</v>
      </c>
      <c r="K2048" s="70" t="s">
        <v>5262</v>
      </c>
      <c r="L2048" s="70" t="s">
        <v>5263</v>
      </c>
      <c r="N2048" s="70" t="s">
        <v>5264</v>
      </c>
      <c r="P2048" s="77">
        <v>43990.0</v>
      </c>
      <c r="U2048" s="70" t="s">
        <v>239</v>
      </c>
      <c r="W2048" s="70" t="s">
        <v>5267</v>
      </c>
      <c r="X2048" s="70" t="s">
        <v>5268</v>
      </c>
      <c r="Z2048" s="75" t="s">
        <v>5269</v>
      </c>
      <c r="AC2048" s="70">
        <v>15.0</v>
      </c>
      <c r="AE2048" s="70">
        <v>28.0</v>
      </c>
      <c r="AF2048" s="70" t="s">
        <v>239</v>
      </c>
      <c r="AW2048" s="70" t="s">
        <v>5270</v>
      </c>
      <c r="AZ2048" s="70">
        <v>1271.0</v>
      </c>
    </row>
    <row r="2049" ht="22.5" customHeight="1">
      <c r="A2049" s="70" t="str">
        <f t="shared" si="1"/>
        <v>Excluded</v>
      </c>
      <c r="B2049" s="70">
        <f t="shared" si="2"/>
        <v>0</v>
      </c>
      <c r="C2049" s="70">
        <v>0.0</v>
      </c>
      <c r="D2049" s="70">
        <v>0.0</v>
      </c>
      <c r="E2049" s="70">
        <v>0.0</v>
      </c>
      <c r="F2049" s="70">
        <v>0.0</v>
      </c>
      <c r="G2049" s="70">
        <v>0.0</v>
      </c>
      <c r="H2049" s="70" t="s">
        <v>9470</v>
      </c>
      <c r="I2049" s="70">
        <v>925.0</v>
      </c>
      <c r="J2049" s="70" t="s">
        <v>9468</v>
      </c>
      <c r="K2049" s="70" t="s">
        <v>9469</v>
      </c>
      <c r="L2049" s="70" t="s">
        <v>6199</v>
      </c>
      <c r="N2049" s="70" t="s">
        <v>5264</v>
      </c>
      <c r="P2049" s="77">
        <v>44721.0</v>
      </c>
      <c r="U2049" s="70" t="s">
        <v>239</v>
      </c>
      <c r="W2049" s="70" t="s">
        <v>9472</v>
      </c>
      <c r="X2049" s="70" t="s">
        <v>6203</v>
      </c>
      <c r="Z2049" s="75" t="s">
        <v>9473</v>
      </c>
      <c r="AA2049" s="70" t="s">
        <v>9474</v>
      </c>
      <c r="AE2049" s="70">
        <v>54.0</v>
      </c>
      <c r="AF2049" s="70" t="s">
        <v>239</v>
      </c>
      <c r="AW2049" s="70" t="s">
        <v>9475</v>
      </c>
      <c r="AX2049" s="70">
        <v>0.0</v>
      </c>
      <c r="AY2049" s="70" t="s">
        <v>24</v>
      </c>
      <c r="AZ2049" s="70">
        <v>2760.0</v>
      </c>
    </row>
    <row r="2050" ht="22.5" customHeight="1">
      <c r="A2050" s="70" t="str">
        <f t="shared" si="1"/>
        <v>Excluded</v>
      </c>
      <c r="B2050" s="70">
        <f t="shared" si="2"/>
        <v>0</v>
      </c>
      <c r="C2050" s="70">
        <v>0.0</v>
      </c>
      <c r="D2050" s="70">
        <v>0.0</v>
      </c>
      <c r="E2050" s="70">
        <v>0.0</v>
      </c>
      <c r="F2050" s="70">
        <v>0.0</v>
      </c>
      <c r="G2050" s="70">
        <v>0.0</v>
      </c>
      <c r="H2050" s="70" t="s">
        <v>9989</v>
      </c>
      <c r="I2050" s="70">
        <v>979.0</v>
      </c>
      <c r="J2050" s="70" t="s">
        <v>30750</v>
      </c>
      <c r="K2050" s="70" t="s">
        <v>9988</v>
      </c>
      <c r="L2050" s="70" t="s">
        <v>6199</v>
      </c>
      <c r="N2050" s="70" t="s">
        <v>5264</v>
      </c>
      <c r="P2050" s="77">
        <v>44721.0</v>
      </c>
      <c r="U2050" s="70" t="s">
        <v>239</v>
      </c>
      <c r="W2050" s="70" t="s">
        <v>30751</v>
      </c>
      <c r="X2050" s="70" t="s">
        <v>6203</v>
      </c>
      <c r="Y2050" s="70" t="s">
        <v>30720</v>
      </c>
      <c r="Z2050" s="75" t="s">
        <v>9992</v>
      </c>
      <c r="AA2050" s="70" t="s">
        <v>9993</v>
      </c>
      <c r="AE2050" s="70">
        <v>35.0</v>
      </c>
      <c r="AF2050" s="70" t="s">
        <v>239</v>
      </c>
      <c r="AW2050" s="70" t="s">
        <v>9994</v>
      </c>
      <c r="AX2050" s="70">
        <v>0.0</v>
      </c>
      <c r="AY2050" s="70" t="s">
        <v>24</v>
      </c>
      <c r="AZ2050" s="70">
        <v>1781.0</v>
      </c>
    </row>
    <row r="2051" ht="22.5" customHeight="1">
      <c r="A2051" s="70" t="str">
        <f t="shared" si="1"/>
        <v>Excluded</v>
      </c>
      <c r="B2051" s="70">
        <f t="shared" si="2"/>
        <v>0</v>
      </c>
      <c r="C2051" s="70">
        <v>0.0</v>
      </c>
      <c r="D2051" s="70">
        <v>0.0</v>
      </c>
      <c r="E2051" s="70">
        <v>0.0</v>
      </c>
      <c r="F2051" s="70">
        <v>0.0</v>
      </c>
      <c r="G2051" s="70">
        <v>0.0</v>
      </c>
      <c r="H2051" s="70" t="s">
        <v>10902</v>
      </c>
      <c r="I2051" s="70">
        <v>1119.0</v>
      </c>
      <c r="K2051" s="70" t="s">
        <v>10734</v>
      </c>
      <c r="L2051" s="70" t="s">
        <v>6199</v>
      </c>
      <c r="N2051" s="70" t="s">
        <v>5264</v>
      </c>
      <c r="P2051" s="77">
        <v>44721.0</v>
      </c>
      <c r="U2051" s="70" t="s">
        <v>239</v>
      </c>
      <c r="X2051" s="70" t="s">
        <v>6203</v>
      </c>
      <c r="Z2051" s="75" t="s">
        <v>10904</v>
      </c>
      <c r="AF2051" s="70" t="s">
        <v>239</v>
      </c>
      <c r="AZ2051" s="70">
        <v>1366.0</v>
      </c>
    </row>
    <row r="2052" ht="22.5" customHeight="1">
      <c r="A2052" s="70" t="str">
        <f t="shared" si="1"/>
        <v>Excluded</v>
      </c>
      <c r="B2052" s="70">
        <f t="shared" si="2"/>
        <v>0</v>
      </c>
      <c r="C2052" s="70">
        <v>0.0</v>
      </c>
      <c r="D2052" s="70">
        <v>0.0</v>
      </c>
      <c r="E2052" s="70">
        <v>0.0</v>
      </c>
      <c r="F2052" s="70">
        <v>0.0</v>
      </c>
      <c r="G2052" s="70">
        <v>0.0</v>
      </c>
      <c r="H2052" s="70" t="s">
        <v>6200</v>
      </c>
      <c r="I2052" s="70">
        <v>587.0</v>
      </c>
      <c r="J2052" s="70" t="s">
        <v>30752</v>
      </c>
      <c r="K2052" s="70" t="s">
        <v>6198</v>
      </c>
      <c r="L2052" s="70" t="s">
        <v>6199</v>
      </c>
      <c r="N2052" s="70" t="s">
        <v>5264</v>
      </c>
      <c r="P2052" s="77">
        <v>44721.0</v>
      </c>
      <c r="U2052" s="70" t="s">
        <v>239</v>
      </c>
      <c r="W2052" s="70" t="s">
        <v>30753</v>
      </c>
      <c r="X2052" s="70" t="s">
        <v>6203</v>
      </c>
      <c r="Y2052" s="70" t="s">
        <v>30720</v>
      </c>
      <c r="Z2052" s="75" t="s">
        <v>6205</v>
      </c>
      <c r="AA2052" s="70" t="s">
        <v>6206</v>
      </c>
      <c r="AC2052" s="70">
        <v>7.0</v>
      </c>
      <c r="AE2052" s="70">
        <v>19.0</v>
      </c>
      <c r="AF2052" s="70" t="s">
        <v>239</v>
      </c>
      <c r="AW2052" s="70" t="s">
        <v>6207</v>
      </c>
      <c r="AZ2052" s="70">
        <v>1123.0</v>
      </c>
    </row>
    <row r="2053" ht="22.5" customHeight="1">
      <c r="A2053" s="70" t="str">
        <f t="shared" si="1"/>
        <v>Excluded</v>
      </c>
      <c r="B2053" s="70">
        <f t="shared" si="2"/>
        <v>0</v>
      </c>
      <c r="C2053" s="70">
        <v>0.0</v>
      </c>
      <c r="D2053" s="70">
        <v>0.0</v>
      </c>
      <c r="E2053" s="70">
        <v>0.0</v>
      </c>
      <c r="F2053" s="70">
        <v>0.0</v>
      </c>
      <c r="G2053" s="70">
        <v>0.0</v>
      </c>
      <c r="H2053" s="70" t="s">
        <v>27167</v>
      </c>
      <c r="I2053" s="70">
        <v>2937.0</v>
      </c>
      <c r="J2053" s="70" t="s">
        <v>27165</v>
      </c>
      <c r="K2053" s="70" t="s">
        <v>27166</v>
      </c>
      <c r="W2053" s="70" t="s">
        <v>30754</v>
      </c>
      <c r="AA2053" s="70" t="s">
        <v>27169</v>
      </c>
      <c r="AI2053" s="70" t="s">
        <v>27170</v>
      </c>
      <c r="AJ2053" s="70">
        <v>7.406127415E9</v>
      </c>
      <c r="AK2053" s="70">
        <v>2022.0</v>
      </c>
      <c r="AL2053" s="70" t="s">
        <v>27171</v>
      </c>
      <c r="AQ2053" s="70">
        <v>2.0</v>
      </c>
      <c r="AR2053" s="75" t="s">
        <v>27172</v>
      </c>
      <c r="AS2053" s="70" t="s">
        <v>22525</v>
      </c>
      <c r="AU2053" s="70" t="s">
        <v>237</v>
      </c>
      <c r="AV2053" s="70" t="s">
        <v>27173</v>
      </c>
      <c r="AW2053" s="70" t="s">
        <v>27174</v>
      </c>
      <c r="AZ2053" s="70">
        <v>372.0</v>
      </c>
    </row>
    <row r="2054" ht="22.5" customHeight="1">
      <c r="A2054" s="70" t="str">
        <f t="shared" si="1"/>
        <v>Excluded</v>
      </c>
      <c r="B2054" s="70">
        <f t="shared" si="2"/>
        <v>0</v>
      </c>
      <c r="C2054" s="70">
        <v>0.0</v>
      </c>
      <c r="D2054" s="70">
        <v>0.0</v>
      </c>
      <c r="E2054" s="70">
        <v>0.0</v>
      </c>
      <c r="F2054" s="70">
        <v>0.0</v>
      </c>
      <c r="G2054" s="70">
        <v>0.0</v>
      </c>
      <c r="H2054" s="70" t="s">
        <v>8200</v>
      </c>
      <c r="I2054" s="70">
        <v>793.0</v>
      </c>
      <c r="J2054" s="70" t="s">
        <v>8198</v>
      </c>
      <c r="K2054" s="70" t="s">
        <v>8199</v>
      </c>
      <c r="L2054" s="70" t="s">
        <v>6199</v>
      </c>
      <c r="N2054" s="70" t="s">
        <v>5264</v>
      </c>
      <c r="P2054" s="77">
        <v>44721.0</v>
      </c>
      <c r="U2054" s="70" t="s">
        <v>239</v>
      </c>
      <c r="W2054" s="70" t="s">
        <v>8202</v>
      </c>
      <c r="X2054" s="70" t="s">
        <v>6203</v>
      </c>
      <c r="Z2054" s="75" t="s">
        <v>8203</v>
      </c>
      <c r="AA2054" s="70" t="s">
        <v>8204</v>
      </c>
      <c r="AC2054" s="70">
        <v>2.0</v>
      </c>
      <c r="AE2054" s="70">
        <v>29.0</v>
      </c>
      <c r="AF2054" s="70" t="s">
        <v>239</v>
      </c>
      <c r="AW2054" s="70" t="s">
        <v>8205</v>
      </c>
      <c r="AZ2054" s="70">
        <v>1018.0</v>
      </c>
    </row>
    <row r="2055" ht="22.5" customHeight="1">
      <c r="A2055" s="70" t="str">
        <f t="shared" si="1"/>
        <v>Excluded</v>
      </c>
      <c r="B2055" s="70">
        <f t="shared" si="2"/>
        <v>0</v>
      </c>
      <c r="C2055" s="70">
        <v>0.0</v>
      </c>
      <c r="D2055" s="70">
        <v>0.0</v>
      </c>
      <c r="E2055" s="70">
        <v>0.0</v>
      </c>
      <c r="F2055" s="70">
        <v>0.0</v>
      </c>
      <c r="G2055" s="70">
        <v>0.0</v>
      </c>
      <c r="H2055" s="70" t="s">
        <v>11552</v>
      </c>
      <c r="I2055" s="70">
        <v>1210.0</v>
      </c>
      <c r="J2055" s="70" t="s">
        <v>11549</v>
      </c>
      <c r="K2055" s="70" t="s">
        <v>11550</v>
      </c>
      <c r="L2055" s="70" t="s">
        <v>11551</v>
      </c>
      <c r="N2055" s="70" t="s">
        <v>5264</v>
      </c>
      <c r="P2055" s="76">
        <v>45098.0</v>
      </c>
      <c r="U2055" s="70" t="s">
        <v>239</v>
      </c>
      <c r="W2055" s="70" t="s">
        <v>11554</v>
      </c>
      <c r="X2055" s="70" t="s">
        <v>11555</v>
      </c>
      <c r="Z2055" s="75" t="s">
        <v>11556</v>
      </c>
      <c r="AA2055" s="70" t="s">
        <v>11557</v>
      </c>
      <c r="AC2055" s="70">
        <v>2.0</v>
      </c>
      <c r="AE2055" s="70">
        <v>41.0</v>
      </c>
      <c r="AF2055" s="70" t="s">
        <v>239</v>
      </c>
      <c r="AW2055" s="70" t="s">
        <v>11558</v>
      </c>
      <c r="AX2055" s="70">
        <v>0.0</v>
      </c>
      <c r="AY2055" s="70" t="s">
        <v>24</v>
      </c>
      <c r="AZ2055" s="70">
        <v>2290.0</v>
      </c>
    </row>
    <row r="2056" ht="22.5" customHeight="1">
      <c r="A2056" s="70" t="str">
        <f t="shared" si="1"/>
        <v>Excluded</v>
      </c>
      <c r="B2056" s="70">
        <f t="shared" si="2"/>
        <v>0</v>
      </c>
      <c r="C2056" s="70">
        <v>0.0</v>
      </c>
      <c r="D2056" s="70">
        <v>0.0</v>
      </c>
      <c r="E2056" s="70">
        <v>0.0</v>
      </c>
      <c r="F2056" s="70">
        <v>0.0</v>
      </c>
      <c r="G2056" s="70">
        <v>0.0</v>
      </c>
      <c r="H2056" s="70" t="s">
        <v>16251</v>
      </c>
      <c r="I2056" s="70">
        <v>1759.0</v>
      </c>
      <c r="K2056" s="70" t="s">
        <v>16250</v>
      </c>
      <c r="L2056" s="70" t="s">
        <v>11551</v>
      </c>
      <c r="N2056" s="70" t="s">
        <v>5264</v>
      </c>
      <c r="P2056" s="76">
        <v>45098.0</v>
      </c>
      <c r="U2056" s="70" t="s">
        <v>239</v>
      </c>
      <c r="X2056" s="70" t="s">
        <v>11555</v>
      </c>
      <c r="Z2056" s="75" t="s">
        <v>16253</v>
      </c>
      <c r="AF2056" s="70" t="s">
        <v>239</v>
      </c>
      <c r="AZ2056" s="70">
        <v>1489.0</v>
      </c>
    </row>
    <row r="2057" ht="22.5" customHeight="1">
      <c r="A2057" s="70" t="str">
        <f t="shared" si="1"/>
        <v>Excluded</v>
      </c>
      <c r="B2057" s="70">
        <f t="shared" si="2"/>
        <v>0</v>
      </c>
      <c r="C2057" s="70">
        <v>0.0</v>
      </c>
      <c r="D2057" s="70">
        <v>0.0</v>
      </c>
      <c r="E2057" s="70">
        <v>0.0</v>
      </c>
      <c r="F2057" s="70">
        <v>0.0</v>
      </c>
      <c r="G2057" s="70">
        <v>0.0</v>
      </c>
      <c r="H2057" s="70" t="s">
        <v>14068</v>
      </c>
      <c r="I2057" s="70">
        <v>1465.0</v>
      </c>
      <c r="J2057" s="70" t="s">
        <v>30755</v>
      </c>
      <c r="K2057" s="70" t="s">
        <v>14067</v>
      </c>
      <c r="L2057" s="70" t="s">
        <v>11551</v>
      </c>
      <c r="N2057" s="70" t="s">
        <v>5264</v>
      </c>
      <c r="P2057" s="76">
        <v>45098.0</v>
      </c>
      <c r="U2057" s="70" t="s">
        <v>239</v>
      </c>
      <c r="W2057" s="70" t="s">
        <v>14070</v>
      </c>
      <c r="X2057" s="70" t="s">
        <v>11555</v>
      </c>
      <c r="Z2057" s="75" t="s">
        <v>14071</v>
      </c>
      <c r="AE2057" s="70">
        <v>13.0</v>
      </c>
      <c r="AF2057" s="70" t="s">
        <v>239</v>
      </c>
      <c r="AW2057" s="70" t="s">
        <v>14072</v>
      </c>
      <c r="AX2057" s="70">
        <v>0.0</v>
      </c>
      <c r="AY2057" s="70" t="s">
        <v>24</v>
      </c>
      <c r="AZ2057" s="70">
        <v>2079.0</v>
      </c>
    </row>
    <row r="2058" ht="22.5" customHeight="1">
      <c r="A2058" s="70" t="str">
        <f t="shared" si="1"/>
        <v>Excluded</v>
      </c>
      <c r="B2058" s="70">
        <f t="shared" si="2"/>
        <v>0</v>
      </c>
      <c r="C2058" s="70">
        <v>0.0</v>
      </c>
      <c r="D2058" s="70">
        <v>0.0</v>
      </c>
      <c r="E2058" s="70">
        <v>0.0</v>
      </c>
      <c r="F2058" s="70">
        <v>0.0</v>
      </c>
      <c r="G2058" s="70">
        <v>0.0</v>
      </c>
      <c r="H2058" s="70" t="s">
        <v>13519</v>
      </c>
      <c r="I2058" s="70">
        <v>1408.0</v>
      </c>
      <c r="J2058" s="70" t="s">
        <v>13517</v>
      </c>
      <c r="K2058" s="70" t="s">
        <v>13518</v>
      </c>
      <c r="L2058" s="70" t="s">
        <v>11419</v>
      </c>
      <c r="N2058" s="70" t="s">
        <v>5264</v>
      </c>
      <c r="P2058" s="77">
        <v>45475.0</v>
      </c>
      <c r="U2058" s="70" t="s">
        <v>239</v>
      </c>
      <c r="W2058" s="70" t="s">
        <v>30756</v>
      </c>
      <c r="X2058" s="70" t="s">
        <v>11423</v>
      </c>
      <c r="Z2058" s="75" t="s">
        <v>13522</v>
      </c>
      <c r="AA2058" s="70" t="s">
        <v>13523</v>
      </c>
      <c r="AE2058" s="70">
        <v>39.0</v>
      </c>
      <c r="AF2058" s="70" t="s">
        <v>239</v>
      </c>
      <c r="AW2058" s="70" t="s">
        <v>13524</v>
      </c>
      <c r="AZ2058" s="70">
        <v>299.0</v>
      </c>
    </row>
    <row r="2059" ht="22.5" customHeight="1">
      <c r="A2059" s="70" t="str">
        <f t="shared" si="1"/>
        <v>Excluded</v>
      </c>
      <c r="B2059" s="70">
        <f t="shared" si="2"/>
        <v>0</v>
      </c>
      <c r="C2059" s="70">
        <v>0.0</v>
      </c>
      <c r="D2059" s="70">
        <v>0.0</v>
      </c>
      <c r="E2059" s="70">
        <v>0.0</v>
      </c>
      <c r="F2059" s="70">
        <v>0.0</v>
      </c>
      <c r="G2059" s="70">
        <v>0.0</v>
      </c>
      <c r="H2059" s="70" t="s">
        <v>11420</v>
      </c>
      <c r="I2059" s="70">
        <v>1197.0</v>
      </c>
      <c r="J2059" s="70" t="s">
        <v>11417</v>
      </c>
      <c r="K2059" s="70" t="s">
        <v>11418</v>
      </c>
      <c r="L2059" s="70" t="s">
        <v>11419</v>
      </c>
      <c r="N2059" s="70" t="s">
        <v>5264</v>
      </c>
      <c r="P2059" s="77">
        <v>45475.0</v>
      </c>
      <c r="U2059" s="70" t="s">
        <v>239</v>
      </c>
      <c r="W2059" s="70" t="s">
        <v>30757</v>
      </c>
      <c r="X2059" s="70" t="s">
        <v>11423</v>
      </c>
      <c r="Z2059" s="75" t="s">
        <v>11424</v>
      </c>
      <c r="AA2059" s="70" t="s">
        <v>11425</v>
      </c>
      <c r="AC2059" s="70">
        <v>3.0</v>
      </c>
      <c r="AE2059" s="70">
        <v>10.0</v>
      </c>
      <c r="AF2059" s="70" t="s">
        <v>239</v>
      </c>
      <c r="AW2059" s="70" t="s">
        <v>11426</v>
      </c>
      <c r="AX2059" s="70">
        <v>0.0</v>
      </c>
      <c r="AY2059" s="70" t="s">
        <v>24</v>
      </c>
      <c r="AZ2059" s="70">
        <v>1670.0</v>
      </c>
    </row>
    <row r="2060" ht="22.5" customHeight="1">
      <c r="A2060" s="70" t="str">
        <f t="shared" si="1"/>
        <v>Excluded</v>
      </c>
      <c r="B2060" s="70">
        <f t="shared" si="2"/>
        <v>0</v>
      </c>
      <c r="C2060" s="70">
        <v>0.0</v>
      </c>
      <c r="D2060" s="70">
        <v>0.0</v>
      </c>
      <c r="E2060" s="70">
        <v>0.0</v>
      </c>
      <c r="F2060" s="70">
        <v>0.0</v>
      </c>
      <c r="G2060" s="70">
        <v>0.0</v>
      </c>
      <c r="H2060" s="70" t="s">
        <v>13345</v>
      </c>
      <c r="I2060" s="70">
        <v>1390.0</v>
      </c>
      <c r="J2060" s="70" t="s">
        <v>13343</v>
      </c>
      <c r="K2060" s="70" t="s">
        <v>13344</v>
      </c>
      <c r="L2060" s="70" t="s">
        <v>11419</v>
      </c>
      <c r="N2060" s="70" t="s">
        <v>5264</v>
      </c>
      <c r="P2060" s="77">
        <v>45475.0</v>
      </c>
      <c r="U2060" s="70" t="s">
        <v>239</v>
      </c>
      <c r="W2060" s="70" t="s">
        <v>13347</v>
      </c>
      <c r="X2060" s="70" t="s">
        <v>11423</v>
      </c>
      <c r="Y2060" s="70" t="s">
        <v>29920</v>
      </c>
      <c r="Z2060" s="75" t="s">
        <v>13348</v>
      </c>
      <c r="AA2060" s="70" t="s">
        <v>13349</v>
      </c>
      <c r="AE2060" s="70">
        <v>26.0</v>
      </c>
      <c r="AF2060" s="70" t="s">
        <v>239</v>
      </c>
      <c r="AW2060" s="70" t="s">
        <v>13350</v>
      </c>
      <c r="AX2060" s="70">
        <v>0.0</v>
      </c>
      <c r="AY2060" s="70" t="s">
        <v>24</v>
      </c>
      <c r="AZ2060" s="70">
        <v>2752.0</v>
      </c>
    </row>
    <row r="2061" ht="22.5" customHeight="1">
      <c r="A2061" s="70" t="str">
        <f t="shared" si="1"/>
        <v>Excluded</v>
      </c>
      <c r="B2061" s="70">
        <f t="shared" si="2"/>
        <v>0</v>
      </c>
      <c r="C2061" s="70">
        <v>0.0</v>
      </c>
      <c r="D2061" s="70">
        <v>0.0</v>
      </c>
      <c r="E2061" s="70">
        <v>0.0</v>
      </c>
      <c r="F2061" s="70">
        <v>0.0</v>
      </c>
      <c r="G2061" s="70">
        <v>0.0</v>
      </c>
      <c r="H2061" s="70" t="s">
        <v>15050</v>
      </c>
      <c r="I2061" s="70">
        <v>1569.0</v>
      </c>
      <c r="J2061" s="70" t="s">
        <v>15048</v>
      </c>
      <c r="K2061" s="70" t="s">
        <v>15049</v>
      </c>
      <c r="L2061" s="70" t="s">
        <v>11419</v>
      </c>
      <c r="N2061" s="70" t="s">
        <v>5264</v>
      </c>
      <c r="P2061" s="77">
        <v>45475.0</v>
      </c>
      <c r="U2061" s="70" t="s">
        <v>239</v>
      </c>
      <c r="W2061" s="70" t="s">
        <v>15052</v>
      </c>
      <c r="X2061" s="70" t="s">
        <v>11423</v>
      </c>
      <c r="Z2061" s="75" t="s">
        <v>15053</v>
      </c>
      <c r="AA2061" s="70" t="s">
        <v>15054</v>
      </c>
      <c r="AE2061" s="70">
        <v>27.0</v>
      </c>
      <c r="AF2061" s="70" t="s">
        <v>239</v>
      </c>
      <c r="AW2061" s="70" t="s">
        <v>15055</v>
      </c>
      <c r="AX2061" s="70">
        <v>0.0</v>
      </c>
      <c r="AY2061" s="70" t="s">
        <v>24</v>
      </c>
      <c r="AZ2061" s="70">
        <v>3001.0</v>
      </c>
    </row>
    <row r="2062" ht="22.5" customHeight="1">
      <c r="A2062" s="70" t="str">
        <f t="shared" si="1"/>
        <v>Excluded</v>
      </c>
      <c r="B2062" s="70">
        <f t="shared" si="2"/>
        <v>0</v>
      </c>
      <c r="C2062" s="70">
        <v>0.0</v>
      </c>
      <c r="D2062" s="70">
        <v>0.0</v>
      </c>
      <c r="E2062" s="70">
        <v>0.0</v>
      </c>
      <c r="F2062" s="70">
        <v>0.0</v>
      </c>
      <c r="G2062" s="70">
        <v>0.0</v>
      </c>
      <c r="H2062" s="70" t="s">
        <v>16326</v>
      </c>
      <c r="I2062" s="70">
        <v>1779.0</v>
      </c>
      <c r="K2062" s="70" t="s">
        <v>16325</v>
      </c>
      <c r="L2062" s="70" t="s">
        <v>11419</v>
      </c>
      <c r="N2062" s="70" t="s">
        <v>5264</v>
      </c>
      <c r="P2062" s="77">
        <v>45475.0</v>
      </c>
      <c r="U2062" s="70" t="s">
        <v>239</v>
      </c>
      <c r="X2062" s="70" t="s">
        <v>11423</v>
      </c>
      <c r="Z2062" s="75" t="s">
        <v>16328</v>
      </c>
      <c r="AF2062" s="70" t="s">
        <v>239</v>
      </c>
      <c r="AZ2062" s="70">
        <v>1473.0</v>
      </c>
    </row>
    <row r="2063" ht="22.5" customHeight="1">
      <c r="A2063" s="70" t="str">
        <f t="shared" si="1"/>
        <v>Excluded</v>
      </c>
      <c r="B2063" s="70">
        <f t="shared" si="2"/>
        <v>0</v>
      </c>
      <c r="C2063" s="70">
        <v>0.0</v>
      </c>
      <c r="D2063" s="70">
        <v>0.0</v>
      </c>
      <c r="E2063" s="70">
        <v>0.0</v>
      </c>
      <c r="F2063" s="70">
        <v>0.0</v>
      </c>
      <c r="G2063" s="70">
        <v>0.0</v>
      </c>
      <c r="H2063" s="70" t="s">
        <v>4713</v>
      </c>
      <c r="I2063" s="70">
        <v>437.0</v>
      </c>
      <c r="J2063" s="70" t="s">
        <v>4710</v>
      </c>
      <c r="K2063" s="70" t="s">
        <v>4711</v>
      </c>
      <c r="L2063" s="70" t="s">
        <v>4712</v>
      </c>
      <c r="P2063" s="76">
        <v>43373.0</v>
      </c>
      <c r="U2063" s="70" t="s">
        <v>239</v>
      </c>
      <c r="W2063" s="70" t="s">
        <v>4715</v>
      </c>
      <c r="X2063" s="70" t="s">
        <v>4716</v>
      </c>
      <c r="Z2063" s="75" t="s">
        <v>4717</v>
      </c>
      <c r="AA2063" s="70" t="s">
        <v>4718</v>
      </c>
      <c r="AC2063" s="70">
        <v>44.0</v>
      </c>
      <c r="AE2063" s="70">
        <v>19.0</v>
      </c>
      <c r="AF2063" s="70" t="s">
        <v>239</v>
      </c>
      <c r="AW2063" s="70" t="s">
        <v>4719</v>
      </c>
      <c r="AZ2063" s="70">
        <v>847.0</v>
      </c>
    </row>
    <row r="2064" ht="22.5" customHeight="1">
      <c r="A2064" s="70" t="str">
        <f t="shared" si="1"/>
        <v>Excluded</v>
      </c>
      <c r="B2064" s="70">
        <f t="shared" si="2"/>
        <v>0</v>
      </c>
      <c r="C2064" s="70">
        <v>0.0</v>
      </c>
      <c r="D2064" s="70">
        <v>0.0</v>
      </c>
      <c r="E2064" s="70">
        <v>0.0</v>
      </c>
      <c r="F2064" s="70">
        <v>0.0</v>
      </c>
      <c r="G2064" s="70">
        <v>0.0</v>
      </c>
      <c r="H2064" s="70" t="s">
        <v>12755</v>
      </c>
      <c r="I2064" s="70">
        <v>1330.0</v>
      </c>
      <c r="J2064" s="70" t="s">
        <v>12752</v>
      </c>
      <c r="K2064" s="70" t="s">
        <v>12753</v>
      </c>
      <c r="L2064" s="70" t="s">
        <v>12754</v>
      </c>
      <c r="P2064" s="76">
        <v>45707.0</v>
      </c>
      <c r="U2064" s="70" t="s">
        <v>239</v>
      </c>
      <c r="W2064" s="70" t="s">
        <v>12757</v>
      </c>
      <c r="X2064" s="70" t="s">
        <v>12758</v>
      </c>
      <c r="Z2064" s="75" t="s">
        <v>12759</v>
      </c>
      <c r="AA2064" s="70" t="s">
        <v>12760</v>
      </c>
      <c r="AE2064" s="70">
        <v>17.0</v>
      </c>
      <c r="AF2064" s="70" t="s">
        <v>239</v>
      </c>
      <c r="AW2064" s="70" t="s">
        <v>12761</v>
      </c>
      <c r="AZ2064" s="70">
        <v>629.0</v>
      </c>
    </row>
    <row r="2065" ht="22.5" customHeight="1">
      <c r="A2065" s="70" t="str">
        <f t="shared" si="1"/>
        <v>Excluded</v>
      </c>
      <c r="B2065" s="70">
        <f t="shared" si="2"/>
        <v>0</v>
      </c>
      <c r="C2065" s="70">
        <v>0.0</v>
      </c>
      <c r="D2065" s="70">
        <v>0.0</v>
      </c>
      <c r="E2065" s="70">
        <v>0.0</v>
      </c>
      <c r="F2065" s="70">
        <v>0.0</v>
      </c>
      <c r="G2065" s="70">
        <v>0.0</v>
      </c>
      <c r="H2065" s="70" t="s">
        <v>23622</v>
      </c>
      <c r="I2065" s="70">
        <v>2593.0</v>
      </c>
      <c r="J2065" s="70" t="s">
        <v>23620</v>
      </c>
      <c r="K2065" s="70" t="s">
        <v>23621</v>
      </c>
      <c r="W2065" s="70" t="s">
        <v>30758</v>
      </c>
      <c r="AA2065" s="70" t="s">
        <v>23624</v>
      </c>
      <c r="AI2065" s="70" t="s">
        <v>23625</v>
      </c>
      <c r="AJ2065" s="70" t="s">
        <v>23626</v>
      </c>
      <c r="AK2065" s="70">
        <v>2024.0</v>
      </c>
      <c r="AL2065" s="70" t="s">
        <v>23627</v>
      </c>
      <c r="AN2065" s="70">
        <v>115.0</v>
      </c>
      <c r="AO2065" s="70">
        <v>121.0</v>
      </c>
      <c r="AP2065" s="70">
        <v>6.0</v>
      </c>
      <c r="AQ2065" s="70">
        <v>0.0</v>
      </c>
      <c r="AR2065" s="75" t="s">
        <v>23628</v>
      </c>
      <c r="AS2065" s="70" t="s">
        <v>22525</v>
      </c>
      <c r="AU2065" s="70" t="s">
        <v>237</v>
      </c>
      <c r="AV2065" s="70" t="s">
        <v>23629</v>
      </c>
      <c r="AW2065" s="70" t="s">
        <v>23630</v>
      </c>
      <c r="AX2065" s="70">
        <v>0.0</v>
      </c>
      <c r="AY2065" s="70" t="s">
        <v>24</v>
      </c>
      <c r="AZ2065" s="70">
        <v>3103.0</v>
      </c>
    </row>
    <row r="2066" ht="22.5" customHeight="1">
      <c r="A2066" s="70" t="str">
        <f t="shared" si="1"/>
        <v>Excluded</v>
      </c>
      <c r="B2066" s="70">
        <f t="shared" si="2"/>
        <v>0</v>
      </c>
      <c r="C2066" s="70">
        <v>0.0</v>
      </c>
      <c r="D2066" s="70">
        <v>0.0</v>
      </c>
      <c r="E2066" s="70">
        <v>0.0</v>
      </c>
      <c r="F2066" s="70">
        <v>0.0</v>
      </c>
      <c r="G2066" s="70">
        <v>0.0</v>
      </c>
      <c r="H2066" s="70" t="s">
        <v>10709</v>
      </c>
      <c r="I2066" s="70">
        <v>1070.0</v>
      </c>
      <c r="K2066" s="70" t="s">
        <v>10597</v>
      </c>
      <c r="L2066" s="70" t="s">
        <v>10708</v>
      </c>
      <c r="P2066" s="76">
        <v>44925.0</v>
      </c>
      <c r="U2066" s="70" t="s">
        <v>239</v>
      </c>
      <c r="W2066" s="70" t="s">
        <v>10710</v>
      </c>
      <c r="X2066" s="70" t="s">
        <v>10711</v>
      </c>
      <c r="Z2066" s="75" t="s">
        <v>10712</v>
      </c>
      <c r="AF2066" s="70" t="s">
        <v>239</v>
      </c>
      <c r="AZ2066" s="70">
        <v>1522.0</v>
      </c>
    </row>
    <row r="2067" ht="22.5" customHeight="1">
      <c r="A2067" s="70" t="str">
        <f t="shared" si="1"/>
        <v>Excluded</v>
      </c>
      <c r="B2067" s="70">
        <f t="shared" si="2"/>
        <v>0</v>
      </c>
      <c r="C2067" s="70">
        <v>0.0</v>
      </c>
      <c r="D2067" s="70">
        <v>0.0</v>
      </c>
      <c r="E2067" s="70">
        <v>0.0</v>
      </c>
      <c r="F2067" s="70">
        <v>0.0</v>
      </c>
      <c r="G2067" s="70">
        <v>0.0</v>
      </c>
      <c r="H2067" s="70" t="s">
        <v>9728</v>
      </c>
      <c r="I2067" s="70">
        <v>952.0</v>
      </c>
      <c r="J2067" s="70" t="s">
        <v>9725</v>
      </c>
      <c r="K2067" s="70" t="s">
        <v>9726</v>
      </c>
      <c r="L2067" s="70" t="s">
        <v>9727</v>
      </c>
      <c r="P2067" s="76">
        <v>44631.0</v>
      </c>
      <c r="U2067" s="70" t="s">
        <v>239</v>
      </c>
      <c r="W2067" s="70" t="s">
        <v>30759</v>
      </c>
      <c r="X2067" s="70" t="s">
        <v>9731</v>
      </c>
      <c r="Z2067" s="75" t="s">
        <v>9732</v>
      </c>
      <c r="AA2067" s="70" t="s">
        <v>9733</v>
      </c>
      <c r="AE2067" s="70">
        <v>14.0</v>
      </c>
      <c r="AF2067" s="70" t="s">
        <v>239</v>
      </c>
      <c r="AW2067" s="70" t="s">
        <v>9734</v>
      </c>
      <c r="AZ2067" s="70">
        <v>1358.0</v>
      </c>
    </row>
    <row r="2068" ht="22.5" customHeight="1">
      <c r="A2068" s="70" t="str">
        <f t="shared" si="1"/>
        <v>Excluded</v>
      </c>
      <c r="B2068" s="70">
        <f t="shared" si="2"/>
        <v>0</v>
      </c>
      <c r="C2068" s="70">
        <v>0.0</v>
      </c>
      <c r="D2068" s="70">
        <v>0.0</v>
      </c>
      <c r="E2068" s="70">
        <v>0.0</v>
      </c>
      <c r="F2068" s="70">
        <v>0.0</v>
      </c>
      <c r="G2068" s="70">
        <v>0.0</v>
      </c>
      <c r="H2068" s="70" t="s">
        <v>10543</v>
      </c>
      <c r="I2068" s="70">
        <v>1037.0</v>
      </c>
      <c r="J2068" s="70" t="s">
        <v>10540</v>
      </c>
      <c r="K2068" s="70" t="s">
        <v>10541</v>
      </c>
      <c r="L2068" s="70" t="s">
        <v>10542</v>
      </c>
      <c r="P2068" s="76">
        <v>45013.0</v>
      </c>
      <c r="U2068" s="70" t="s">
        <v>239</v>
      </c>
      <c r="W2068" s="70" t="s">
        <v>10545</v>
      </c>
      <c r="X2068" s="70" t="s">
        <v>10546</v>
      </c>
      <c r="Z2068" s="75" t="s">
        <v>10547</v>
      </c>
      <c r="AA2068" s="70" t="s">
        <v>10548</v>
      </c>
      <c r="AE2068" s="70">
        <v>10.0</v>
      </c>
      <c r="AF2068" s="70" t="s">
        <v>239</v>
      </c>
      <c r="AW2068" s="70" t="s">
        <v>10549</v>
      </c>
      <c r="AX2068" s="70">
        <v>0.0</v>
      </c>
      <c r="AY2068" s="70" t="s">
        <v>24</v>
      </c>
      <c r="AZ2068" s="70">
        <v>2937.0</v>
      </c>
    </row>
    <row r="2069" ht="22.5" customHeight="1">
      <c r="A2069" s="70" t="str">
        <f t="shared" si="1"/>
        <v>Excluded</v>
      </c>
      <c r="B2069" s="70">
        <f t="shared" si="2"/>
        <v>0</v>
      </c>
      <c r="C2069" s="70">
        <v>0.0</v>
      </c>
      <c r="D2069" s="70">
        <v>0.0</v>
      </c>
      <c r="E2069" s="70">
        <v>0.0</v>
      </c>
      <c r="F2069" s="70">
        <v>0.0</v>
      </c>
      <c r="G2069" s="70">
        <v>0.0</v>
      </c>
      <c r="H2069" s="70" t="s">
        <v>5905</v>
      </c>
      <c r="I2069" s="70">
        <v>557.0</v>
      </c>
      <c r="J2069" s="70" t="s">
        <v>5903</v>
      </c>
      <c r="K2069" s="70" t="s">
        <v>5904</v>
      </c>
      <c r="L2069" s="70" t="s">
        <v>5684</v>
      </c>
      <c r="P2069" s="76">
        <v>44055.0</v>
      </c>
      <c r="U2069" s="70" t="s">
        <v>239</v>
      </c>
      <c r="W2069" s="70" t="s">
        <v>5907</v>
      </c>
      <c r="X2069" s="70" t="s">
        <v>5688</v>
      </c>
      <c r="Z2069" s="75" t="s">
        <v>5908</v>
      </c>
      <c r="AA2069" s="70" t="s">
        <v>5909</v>
      </c>
      <c r="AC2069" s="70">
        <v>8.0</v>
      </c>
      <c r="AE2069" s="70">
        <v>26.0</v>
      </c>
      <c r="AF2069" s="70" t="s">
        <v>239</v>
      </c>
      <c r="AW2069" s="70" t="s">
        <v>5910</v>
      </c>
      <c r="AX2069" s="70">
        <v>0.0</v>
      </c>
      <c r="AY2069" s="70" t="s">
        <v>24</v>
      </c>
      <c r="AZ2069" s="70">
        <v>2180.0</v>
      </c>
    </row>
    <row r="2070" ht="22.5" customHeight="1">
      <c r="A2070" s="70" t="str">
        <f t="shared" si="1"/>
        <v>Excluded</v>
      </c>
      <c r="B2070" s="70">
        <f t="shared" si="2"/>
        <v>0</v>
      </c>
      <c r="C2070" s="70">
        <v>0.0</v>
      </c>
      <c r="D2070" s="70">
        <v>0.0</v>
      </c>
      <c r="E2070" s="70">
        <v>0.0</v>
      </c>
      <c r="F2070" s="70">
        <v>0.0</v>
      </c>
      <c r="G2070" s="70">
        <v>0.0</v>
      </c>
      <c r="H2070" s="70" t="s">
        <v>5685</v>
      </c>
      <c r="I2070" s="70">
        <v>535.0</v>
      </c>
      <c r="J2070" s="70" t="s">
        <v>5682</v>
      </c>
      <c r="K2070" s="70" t="s">
        <v>5683</v>
      </c>
      <c r="L2070" s="70" t="s">
        <v>5684</v>
      </c>
      <c r="P2070" s="76">
        <v>44055.0</v>
      </c>
      <c r="U2070" s="70" t="s">
        <v>239</v>
      </c>
      <c r="W2070" s="70" t="s">
        <v>30760</v>
      </c>
      <c r="X2070" s="70" t="s">
        <v>5688</v>
      </c>
      <c r="Z2070" s="75" t="s">
        <v>5689</v>
      </c>
      <c r="AA2070" s="70" t="s">
        <v>5690</v>
      </c>
      <c r="AC2070" s="70">
        <v>10.0</v>
      </c>
      <c r="AE2070" s="70">
        <v>26.0</v>
      </c>
      <c r="AF2070" s="70" t="s">
        <v>239</v>
      </c>
      <c r="AW2070" s="70" t="s">
        <v>5691</v>
      </c>
      <c r="AZ2070" s="70">
        <v>622.0</v>
      </c>
    </row>
    <row r="2071" ht="22.5" customHeight="1">
      <c r="A2071" s="70" t="str">
        <f t="shared" si="1"/>
        <v>Excluded</v>
      </c>
      <c r="B2071" s="70">
        <f t="shared" si="2"/>
        <v>0</v>
      </c>
      <c r="C2071" s="70">
        <v>0.0</v>
      </c>
      <c r="D2071" s="70">
        <v>0.0</v>
      </c>
      <c r="E2071" s="70">
        <v>0.0</v>
      </c>
      <c r="F2071" s="70">
        <v>0.0</v>
      </c>
      <c r="G2071" s="70">
        <v>0.0</v>
      </c>
      <c r="H2071" s="70" t="s">
        <v>6873</v>
      </c>
      <c r="I2071" s="70">
        <v>655.0</v>
      </c>
      <c r="J2071" s="70" t="s">
        <v>6869</v>
      </c>
      <c r="K2071" s="70" t="s">
        <v>6870</v>
      </c>
      <c r="L2071" s="70" t="s">
        <v>6871</v>
      </c>
      <c r="N2071" s="70" t="s">
        <v>6872</v>
      </c>
      <c r="P2071" s="77">
        <v>44776.0</v>
      </c>
      <c r="U2071" s="70" t="s">
        <v>239</v>
      </c>
      <c r="W2071" s="70" t="s">
        <v>30761</v>
      </c>
      <c r="X2071" s="70" t="s">
        <v>6876</v>
      </c>
      <c r="Z2071" s="75" t="s">
        <v>6877</v>
      </c>
      <c r="AA2071" s="70" t="s">
        <v>6878</v>
      </c>
      <c r="AC2071" s="70">
        <v>5.0</v>
      </c>
      <c r="AE2071" s="70">
        <v>43.0</v>
      </c>
      <c r="AF2071" s="70" t="s">
        <v>239</v>
      </c>
      <c r="AW2071" s="70" t="s">
        <v>6879</v>
      </c>
      <c r="AX2071" s="70">
        <v>0.0</v>
      </c>
      <c r="AY2071" s="70" t="s">
        <v>24</v>
      </c>
      <c r="AZ2071" s="70">
        <v>2102.0</v>
      </c>
    </row>
    <row r="2072" ht="22.5" customHeight="1">
      <c r="A2072" s="70" t="str">
        <f t="shared" si="1"/>
        <v>Excluded</v>
      </c>
      <c r="B2072" s="70">
        <f t="shared" si="2"/>
        <v>0</v>
      </c>
      <c r="C2072" s="70">
        <v>0.0</v>
      </c>
      <c r="D2072" s="70">
        <v>0.0</v>
      </c>
      <c r="E2072" s="70">
        <v>0.0</v>
      </c>
      <c r="F2072" s="70">
        <v>0.0</v>
      </c>
      <c r="G2072" s="70">
        <v>0.0</v>
      </c>
      <c r="H2072" s="70" t="s">
        <v>10984</v>
      </c>
      <c r="I2072" s="70">
        <v>1140.0</v>
      </c>
      <c r="K2072" s="70" t="s">
        <v>10983</v>
      </c>
      <c r="L2072" s="70" t="s">
        <v>6871</v>
      </c>
      <c r="N2072" s="70" t="s">
        <v>6872</v>
      </c>
      <c r="P2072" s="77">
        <v>44776.0</v>
      </c>
      <c r="U2072" s="70" t="s">
        <v>239</v>
      </c>
      <c r="X2072" s="70" t="s">
        <v>6876</v>
      </c>
      <c r="Z2072" s="75" t="s">
        <v>10986</v>
      </c>
      <c r="AF2072" s="70" t="s">
        <v>239</v>
      </c>
      <c r="AZ2072" s="70">
        <v>1482.0</v>
      </c>
    </row>
    <row r="2073" ht="22.5" customHeight="1">
      <c r="A2073" s="70" t="str">
        <f t="shared" si="1"/>
        <v>Excluded</v>
      </c>
      <c r="B2073" s="70">
        <f t="shared" si="2"/>
        <v>0</v>
      </c>
      <c r="C2073" s="70">
        <v>0.0</v>
      </c>
      <c r="D2073" s="70">
        <v>0.0</v>
      </c>
      <c r="E2073" s="70">
        <v>0.0</v>
      </c>
      <c r="F2073" s="70">
        <v>0.0</v>
      </c>
      <c r="G2073" s="70">
        <v>0.0</v>
      </c>
      <c r="H2073" s="70" t="s">
        <v>10751</v>
      </c>
      <c r="I2073" s="70">
        <v>1079.0</v>
      </c>
      <c r="K2073" s="70" t="s">
        <v>10612</v>
      </c>
      <c r="L2073" s="70" t="s">
        <v>6871</v>
      </c>
      <c r="N2073" s="70" t="s">
        <v>6872</v>
      </c>
      <c r="P2073" s="77">
        <v>44776.0</v>
      </c>
      <c r="U2073" s="70" t="s">
        <v>239</v>
      </c>
      <c r="X2073" s="70" t="s">
        <v>6876</v>
      </c>
      <c r="Z2073" s="75" t="s">
        <v>10752</v>
      </c>
      <c r="AF2073" s="70" t="s">
        <v>239</v>
      </c>
      <c r="AZ2073" s="70">
        <v>1417.0</v>
      </c>
    </row>
    <row r="2074" ht="22.5" customHeight="1">
      <c r="A2074" s="70" t="str">
        <f t="shared" si="1"/>
        <v>Excluded</v>
      </c>
      <c r="B2074" s="70">
        <f t="shared" si="2"/>
        <v>0</v>
      </c>
      <c r="C2074" s="70">
        <v>0.0</v>
      </c>
      <c r="D2074" s="70">
        <v>0.0</v>
      </c>
      <c r="E2074" s="70">
        <v>0.0</v>
      </c>
      <c r="F2074" s="70">
        <v>0.0</v>
      </c>
      <c r="G2074" s="70">
        <v>0.0</v>
      </c>
      <c r="H2074" s="70" t="s">
        <v>8164</v>
      </c>
      <c r="I2074" s="70">
        <v>789.0</v>
      </c>
      <c r="J2074" s="70" t="s">
        <v>8162</v>
      </c>
      <c r="K2074" s="70" t="s">
        <v>8163</v>
      </c>
      <c r="L2074" s="70" t="s">
        <v>6871</v>
      </c>
      <c r="N2074" s="70" t="s">
        <v>6872</v>
      </c>
      <c r="P2074" s="77">
        <v>44776.0</v>
      </c>
      <c r="U2074" s="70" t="s">
        <v>239</v>
      </c>
      <c r="W2074" s="70" t="s">
        <v>8166</v>
      </c>
      <c r="X2074" s="70" t="s">
        <v>6876</v>
      </c>
      <c r="Z2074" s="75" t="s">
        <v>8167</v>
      </c>
      <c r="AA2074" s="70" t="s">
        <v>8168</v>
      </c>
      <c r="AC2074" s="70">
        <v>2.0</v>
      </c>
      <c r="AE2074" s="70">
        <v>22.0</v>
      </c>
      <c r="AF2074" s="70" t="s">
        <v>239</v>
      </c>
      <c r="AW2074" s="70" t="s">
        <v>8169</v>
      </c>
      <c r="AX2074" s="70">
        <v>0.0</v>
      </c>
      <c r="AY2074" s="70" t="s">
        <v>24</v>
      </c>
      <c r="AZ2074" s="70">
        <v>2633.0</v>
      </c>
    </row>
    <row r="2075" ht="22.5" customHeight="1">
      <c r="A2075" s="70" t="str">
        <f t="shared" si="1"/>
        <v>Excluded</v>
      </c>
      <c r="B2075" s="70">
        <f t="shared" si="2"/>
        <v>0</v>
      </c>
      <c r="C2075" s="70">
        <v>0.0</v>
      </c>
      <c r="D2075" s="70">
        <v>0.0</v>
      </c>
      <c r="E2075" s="70">
        <v>0.0</v>
      </c>
      <c r="F2075" s="70">
        <v>0.0</v>
      </c>
      <c r="G2075" s="70">
        <v>0.0</v>
      </c>
      <c r="H2075" s="70" t="s">
        <v>12031</v>
      </c>
      <c r="I2075" s="70">
        <v>1258.0</v>
      </c>
      <c r="J2075" s="70" t="s">
        <v>30762</v>
      </c>
      <c r="K2075" s="70" t="s">
        <v>12030</v>
      </c>
      <c r="L2075" s="70" t="s">
        <v>11232</v>
      </c>
      <c r="N2075" s="70" t="s">
        <v>6872</v>
      </c>
      <c r="P2075" s="76">
        <v>45120.0</v>
      </c>
      <c r="U2075" s="70" t="s">
        <v>239</v>
      </c>
      <c r="W2075" s="70" t="s">
        <v>30763</v>
      </c>
      <c r="X2075" s="70" t="s">
        <v>11236</v>
      </c>
      <c r="Z2075" s="75" t="s">
        <v>12034</v>
      </c>
      <c r="AA2075" s="70" t="s">
        <v>12035</v>
      </c>
      <c r="AC2075" s="70">
        <v>1.0</v>
      </c>
      <c r="AE2075" s="70">
        <v>18.0</v>
      </c>
      <c r="AF2075" s="70" t="s">
        <v>239</v>
      </c>
      <c r="AW2075" s="70" t="s">
        <v>12036</v>
      </c>
      <c r="AX2075" s="70">
        <v>0.0</v>
      </c>
      <c r="AY2075" s="70" t="s">
        <v>24</v>
      </c>
      <c r="AZ2075" s="70">
        <v>2443.0</v>
      </c>
    </row>
    <row r="2076" ht="22.5" customHeight="1">
      <c r="A2076" s="70" t="str">
        <f t="shared" si="1"/>
        <v>Excluded</v>
      </c>
      <c r="B2076" s="70">
        <f t="shared" si="2"/>
        <v>0</v>
      </c>
      <c r="C2076" s="70">
        <v>0.0</v>
      </c>
      <c r="D2076" s="70">
        <v>0.0</v>
      </c>
      <c r="E2076" s="70">
        <v>0.0</v>
      </c>
      <c r="F2076" s="70">
        <v>0.0</v>
      </c>
      <c r="G2076" s="70">
        <v>0.0</v>
      </c>
      <c r="H2076" s="70" t="s">
        <v>16305</v>
      </c>
      <c r="I2076" s="70">
        <v>1773.0</v>
      </c>
      <c r="K2076" s="70" t="s">
        <v>10597</v>
      </c>
      <c r="L2076" s="70" t="s">
        <v>11232</v>
      </c>
      <c r="N2076" s="70" t="s">
        <v>6872</v>
      </c>
      <c r="P2076" s="76">
        <v>45120.0</v>
      </c>
      <c r="U2076" s="70" t="s">
        <v>239</v>
      </c>
      <c r="X2076" s="70" t="s">
        <v>11236</v>
      </c>
      <c r="Z2076" s="75" t="s">
        <v>16308</v>
      </c>
      <c r="AF2076" s="70" t="s">
        <v>239</v>
      </c>
      <c r="AZ2076" s="70">
        <v>1545.0</v>
      </c>
    </row>
    <row r="2077" ht="22.5" customHeight="1">
      <c r="A2077" s="70" t="str">
        <f t="shared" si="1"/>
        <v>Excluded</v>
      </c>
      <c r="B2077" s="70">
        <f t="shared" si="2"/>
        <v>0</v>
      </c>
      <c r="C2077" s="70">
        <v>0.0</v>
      </c>
      <c r="D2077" s="70">
        <v>0.0</v>
      </c>
      <c r="E2077" s="70">
        <v>0.0</v>
      </c>
      <c r="F2077" s="70">
        <v>0.0</v>
      </c>
      <c r="G2077" s="70">
        <v>0.0</v>
      </c>
      <c r="H2077" s="70" t="s">
        <v>14290</v>
      </c>
      <c r="I2077" s="70">
        <v>1490.0</v>
      </c>
      <c r="J2077" s="70" t="s">
        <v>14287</v>
      </c>
      <c r="K2077" s="70" t="s">
        <v>14288</v>
      </c>
      <c r="L2077" s="70" t="s">
        <v>14289</v>
      </c>
      <c r="N2077" s="70" t="s">
        <v>6872</v>
      </c>
      <c r="P2077" s="76">
        <v>45483.0</v>
      </c>
      <c r="U2077" s="70" t="s">
        <v>239</v>
      </c>
      <c r="W2077" s="70" t="s">
        <v>14292</v>
      </c>
      <c r="X2077" s="70" t="s">
        <v>14293</v>
      </c>
      <c r="Z2077" s="75" t="s">
        <v>14294</v>
      </c>
      <c r="AA2077" s="70" t="s">
        <v>14295</v>
      </c>
      <c r="AE2077" s="70">
        <v>5.0</v>
      </c>
      <c r="AF2077" s="70" t="s">
        <v>239</v>
      </c>
      <c r="AW2077" s="70" t="s">
        <v>14296</v>
      </c>
      <c r="AX2077" s="70">
        <v>0.0</v>
      </c>
      <c r="AY2077" s="70" t="s">
        <v>24</v>
      </c>
      <c r="AZ2077" s="70">
        <v>1786.0</v>
      </c>
    </row>
    <row r="2078" ht="22.5" customHeight="1">
      <c r="A2078" s="70" t="str">
        <f t="shared" si="1"/>
        <v>Excluded</v>
      </c>
      <c r="B2078" s="70">
        <f t="shared" si="2"/>
        <v>0</v>
      </c>
      <c r="C2078" s="70">
        <v>0.0</v>
      </c>
      <c r="D2078" s="70">
        <v>0.0</v>
      </c>
      <c r="E2078" s="70">
        <v>0.0</v>
      </c>
      <c r="F2078" s="70">
        <v>0.0</v>
      </c>
      <c r="G2078" s="70">
        <v>0.0</v>
      </c>
      <c r="H2078" s="70" t="s">
        <v>6211</v>
      </c>
      <c r="I2078" s="70">
        <v>588.0</v>
      </c>
      <c r="J2078" s="70" t="s">
        <v>6208</v>
      </c>
      <c r="K2078" s="70" t="s">
        <v>6209</v>
      </c>
      <c r="L2078" s="70" t="s">
        <v>6210</v>
      </c>
      <c r="P2078" s="76">
        <v>42849.0</v>
      </c>
      <c r="U2078" s="70" t="s">
        <v>239</v>
      </c>
      <c r="W2078" s="70" t="s">
        <v>6213</v>
      </c>
      <c r="X2078" s="70" t="s">
        <v>6214</v>
      </c>
      <c r="Z2078" s="75" t="s">
        <v>6215</v>
      </c>
      <c r="AA2078" s="70" t="s">
        <v>6216</v>
      </c>
      <c r="AC2078" s="70">
        <v>7.0</v>
      </c>
      <c r="AE2078" s="70">
        <v>15.0</v>
      </c>
      <c r="AF2078" s="70" t="s">
        <v>239</v>
      </c>
      <c r="AW2078" s="70" t="s">
        <v>6217</v>
      </c>
      <c r="AX2078" s="70">
        <v>0.0</v>
      </c>
      <c r="AY2078" s="70" t="s">
        <v>24</v>
      </c>
      <c r="AZ2078" s="70">
        <v>2677.0</v>
      </c>
    </row>
    <row r="2079" ht="22.5" customHeight="1">
      <c r="A2079" s="70" t="str">
        <f t="shared" si="1"/>
        <v>Excluded</v>
      </c>
      <c r="B2079" s="70">
        <f t="shared" si="2"/>
        <v>0</v>
      </c>
      <c r="C2079" s="70">
        <v>0.0</v>
      </c>
      <c r="D2079" s="70">
        <v>0.0</v>
      </c>
      <c r="E2079" s="70">
        <v>0.0</v>
      </c>
      <c r="F2079" s="70">
        <v>0.0</v>
      </c>
      <c r="G2079" s="70">
        <v>0.0</v>
      </c>
      <c r="H2079" s="70" t="s">
        <v>7566</v>
      </c>
      <c r="I2079" s="70">
        <v>727.0</v>
      </c>
      <c r="J2079" s="70" t="s">
        <v>7564</v>
      </c>
      <c r="K2079" s="70" t="s">
        <v>7565</v>
      </c>
      <c r="L2079" s="70" t="s">
        <v>7052</v>
      </c>
      <c r="P2079" s="77">
        <v>43741.0</v>
      </c>
      <c r="U2079" s="70" t="s">
        <v>239</v>
      </c>
      <c r="W2079" s="70" t="s">
        <v>7568</v>
      </c>
      <c r="X2079" s="70" t="s">
        <v>7056</v>
      </c>
      <c r="Z2079" s="75" t="s">
        <v>7569</v>
      </c>
      <c r="AA2079" s="70" t="s">
        <v>7570</v>
      </c>
      <c r="AC2079" s="70">
        <v>3.0</v>
      </c>
      <c r="AE2079" s="70">
        <v>44.0</v>
      </c>
      <c r="AF2079" s="70" t="s">
        <v>239</v>
      </c>
      <c r="AW2079" s="70" t="s">
        <v>7571</v>
      </c>
      <c r="AX2079" s="70">
        <v>0.0</v>
      </c>
      <c r="AY2079" s="70" t="s">
        <v>24</v>
      </c>
      <c r="AZ2079" s="70">
        <v>2858.0</v>
      </c>
    </row>
    <row r="2080" ht="22.5" customHeight="1">
      <c r="A2080" s="70" t="str">
        <f t="shared" si="1"/>
        <v>Excluded</v>
      </c>
      <c r="B2080" s="70">
        <f t="shared" si="2"/>
        <v>0</v>
      </c>
      <c r="C2080" s="70">
        <v>0.0</v>
      </c>
      <c r="D2080" s="70">
        <v>0.0</v>
      </c>
      <c r="E2080" s="70">
        <v>0.0</v>
      </c>
      <c r="F2080" s="70">
        <v>0.0</v>
      </c>
      <c r="G2080" s="70">
        <v>0.0</v>
      </c>
      <c r="H2080" s="70" t="s">
        <v>7053</v>
      </c>
      <c r="I2080" s="70">
        <v>673.0</v>
      </c>
      <c r="J2080" s="70" t="s">
        <v>7050</v>
      </c>
      <c r="K2080" s="70" t="s">
        <v>7051</v>
      </c>
      <c r="L2080" s="70" t="s">
        <v>7052</v>
      </c>
      <c r="P2080" s="77">
        <v>43741.0</v>
      </c>
      <c r="U2080" s="70" t="s">
        <v>239</v>
      </c>
      <c r="W2080" s="70" t="s">
        <v>7055</v>
      </c>
      <c r="X2080" s="70" t="s">
        <v>7056</v>
      </c>
      <c r="Z2080" s="75" t="s">
        <v>7057</v>
      </c>
      <c r="AA2080" s="70" t="s">
        <v>7058</v>
      </c>
      <c r="AC2080" s="70">
        <v>4.0</v>
      </c>
      <c r="AE2080" s="70">
        <v>17.0</v>
      </c>
      <c r="AF2080" s="70" t="s">
        <v>239</v>
      </c>
      <c r="AW2080" s="70" t="s">
        <v>7059</v>
      </c>
      <c r="AZ2080" s="70">
        <v>1259.0</v>
      </c>
    </row>
    <row r="2081" ht="22.5" customHeight="1">
      <c r="A2081" s="70" t="str">
        <f t="shared" si="1"/>
        <v>Excluded</v>
      </c>
      <c r="B2081" s="70">
        <f t="shared" si="2"/>
        <v>0</v>
      </c>
      <c r="C2081" s="70">
        <v>0.0</v>
      </c>
      <c r="D2081" s="70">
        <v>0.0</v>
      </c>
      <c r="E2081" s="70">
        <v>0.0</v>
      </c>
      <c r="F2081" s="70">
        <v>0.0</v>
      </c>
      <c r="G2081" s="70">
        <v>0.0</v>
      </c>
      <c r="H2081" s="70" t="s">
        <v>5736</v>
      </c>
      <c r="I2081" s="70">
        <v>540.0</v>
      </c>
      <c r="J2081" s="70" t="s">
        <v>5733</v>
      </c>
      <c r="K2081" s="70" t="s">
        <v>5734</v>
      </c>
      <c r="L2081" s="70" t="s">
        <v>5735</v>
      </c>
      <c r="P2081" s="76">
        <v>43889.0</v>
      </c>
      <c r="U2081" s="70" t="s">
        <v>239</v>
      </c>
      <c r="W2081" s="70" t="s">
        <v>5738</v>
      </c>
      <c r="X2081" s="70" t="s">
        <v>5739</v>
      </c>
      <c r="Z2081" s="75" t="s">
        <v>5740</v>
      </c>
      <c r="AC2081" s="70">
        <v>9.0</v>
      </c>
      <c r="AE2081" s="70">
        <v>9.0</v>
      </c>
      <c r="AF2081" s="70" t="s">
        <v>239</v>
      </c>
      <c r="AW2081" s="70" t="s">
        <v>5741</v>
      </c>
      <c r="AZ2081" s="70">
        <v>907.0</v>
      </c>
    </row>
    <row r="2082" ht="22.5" customHeight="1">
      <c r="A2082" s="70" t="str">
        <f t="shared" si="1"/>
        <v>Excluded</v>
      </c>
      <c r="B2082" s="70">
        <f t="shared" si="2"/>
        <v>0</v>
      </c>
      <c r="C2082" s="70">
        <v>0.0</v>
      </c>
      <c r="D2082" s="70">
        <v>0.0</v>
      </c>
      <c r="E2082" s="70">
        <v>0.0</v>
      </c>
      <c r="F2082" s="70">
        <v>0.0</v>
      </c>
      <c r="G2082" s="70">
        <v>0.0</v>
      </c>
      <c r="H2082" s="70" t="s">
        <v>8124</v>
      </c>
      <c r="I2082" s="70">
        <v>785.0</v>
      </c>
      <c r="J2082" s="70" t="s">
        <v>8122</v>
      </c>
      <c r="K2082" s="70" t="s">
        <v>8123</v>
      </c>
      <c r="L2082" s="70" t="s">
        <v>7389</v>
      </c>
      <c r="P2082" s="76">
        <v>44146.0</v>
      </c>
      <c r="U2082" s="70" t="s">
        <v>239</v>
      </c>
      <c r="W2082" s="70" t="s">
        <v>8126</v>
      </c>
      <c r="X2082" s="70" t="s">
        <v>7393</v>
      </c>
      <c r="Z2082" s="75" t="s">
        <v>8127</v>
      </c>
      <c r="AA2082" s="70" t="s">
        <v>8128</v>
      </c>
      <c r="AC2082" s="70">
        <v>2.0</v>
      </c>
      <c r="AE2082" s="70">
        <v>28.0</v>
      </c>
      <c r="AF2082" s="70" t="s">
        <v>239</v>
      </c>
      <c r="AW2082" s="70" t="s">
        <v>8129</v>
      </c>
      <c r="AX2082" s="70">
        <v>0.0</v>
      </c>
      <c r="AY2082" s="70" t="s">
        <v>24</v>
      </c>
      <c r="AZ2082" s="70">
        <v>1995.0</v>
      </c>
    </row>
    <row r="2083" ht="22.5" customHeight="1">
      <c r="A2083" s="70" t="str">
        <f t="shared" si="1"/>
        <v>Excluded</v>
      </c>
      <c r="B2083" s="70">
        <f t="shared" si="2"/>
        <v>0</v>
      </c>
      <c r="C2083" s="70">
        <v>0.0</v>
      </c>
      <c r="D2083" s="70">
        <v>0.0</v>
      </c>
      <c r="E2083" s="70">
        <v>0.0</v>
      </c>
      <c r="F2083" s="70">
        <v>0.0</v>
      </c>
      <c r="G2083" s="70">
        <v>0.0</v>
      </c>
      <c r="H2083" s="70" t="s">
        <v>9254</v>
      </c>
      <c r="I2083" s="70">
        <v>902.0</v>
      </c>
      <c r="J2083" s="70" t="s">
        <v>9251</v>
      </c>
      <c r="K2083" s="70" t="s">
        <v>9252</v>
      </c>
      <c r="L2083" s="70" t="s">
        <v>9253</v>
      </c>
      <c r="P2083" s="77">
        <v>44621.0</v>
      </c>
      <c r="U2083" s="70" t="s">
        <v>239</v>
      </c>
      <c r="W2083" s="70" t="s">
        <v>9256</v>
      </c>
      <c r="X2083" s="70" t="s">
        <v>9257</v>
      </c>
      <c r="Z2083" s="75" t="s">
        <v>9258</v>
      </c>
      <c r="AA2083" s="70" t="s">
        <v>9259</v>
      </c>
      <c r="AC2083" s="70">
        <v>1.0</v>
      </c>
      <c r="AE2083" s="70">
        <v>30.0</v>
      </c>
      <c r="AF2083" s="70" t="s">
        <v>239</v>
      </c>
      <c r="AW2083" s="70" t="s">
        <v>9260</v>
      </c>
      <c r="AX2083" s="70">
        <v>0.0</v>
      </c>
      <c r="AY2083" s="70" t="s">
        <v>24</v>
      </c>
      <c r="AZ2083" s="70">
        <v>1868.0</v>
      </c>
    </row>
    <row r="2084" ht="22.5" customHeight="1">
      <c r="A2084" s="70" t="str">
        <f t="shared" si="1"/>
        <v>Excluded</v>
      </c>
      <c r="B2084" s="70">
        <f t="shared" si="2"/>
        <v>0</v>
      </c>
      <c r="C2084" s="70">
        <v>0.0</v>
      </c>
      <c r="D2084" s="70">
        <v>0.0</v>
      </c>
      <c r="E2084" s="70">
        <v>0.0</v>
      </c>
      <c r="F2084" s="70">
        <v>0.0</v>
      </c>
      <c r="G2084" s="70">
        <v>0.0</v>
      </c>
      <c r="H2084" s="70" t="s">
        <v>28027</v>
      </c>
      <c r="I2084" s="70">
        <v>3021.0</v>
      </c>
      <c r="J2084" s="70" t="s">
        <v>28025</v>
      </c>
      <c r="K2084" s="70" t="s">
        <v>28026</v>
      </c>
      <c r="W2084" s="70" t="s">
        <v>30764</v>
      </c>
      <c r="AA2084" s="70" t="s">
        <v>28029</v>
      </c>
      <c r="AI2084" s="70" t="s">
        <v>28030</v>
      </c>
      <c r="AJ2084" s="70" t="s">
        <v>28031</v>
      </c>
      <c r="AK2084" s="70">
        <v>2021.0</v>
      </c>
      <c r="AL2084" s="70" t="s">
        <v>28032</v>
      </c>
      <c r="AN2084" s="70">
        <v>296.0</v>
      </c>
      <c r="AO2084" s="70">
        <v>301.0</v>
      </c>
      <c r="AP2084" s="70">
        <v>5.0</v>
      </c>
      <c r="AQ2084" s="70">
        <v>0.0</v>
      </c>
      <c r="AR2084" s="75" t="s">
        <v>28033</v>
      </c>
      <c r="AS2084" s="70" t="s">
        <v>22525</v>
      </c>
      <c r="AU2084" s="70" t="s">
        <v>237</v>
      </c>
      <c r="AV2084" s="70" t="s">
        <v>28034</v>
      </c>
      <c r="AW2084" s="70" t="s">
        <v>28035</v>
      </c>
      <c r="AZ2084" s="70">
        <v>474.0</v>
      </c>
    </row>
    <row r="2085" ht="22.5" customHeight="1">
      <c r="A2085" s="70" t="str">
        <f t="shared" si="1"/>
        <v>Excluded</v>
      </c>
      <c r="B2085" s="70">
        <f t="shared" si="2"/>
        <v>0</v>
      </c>
      <c r="C2085" s="70">
        <v>0.0</v>
      </c>
      <c r="D2085" s="70">
        <v>0.0</v>
      </c>
      <c r="E2085" s="70">
        <v>0.0</v>
      </c>
      <c r="F2085" s="70">
        <v>0.0</v>
      </c>
      <c r="G2085" s="70">
        <v>0.0</v>
      </c>
      <c r="H2085" s="70" t="s">
        <v>16495</v>
      </c>
      <c r="I2085" s="70">
        <v>1809.0</v>
      </c>
      <c r="J2085" s="70" t="s">
        <v>16491</v>
      </c>
      <c r="K2085" s="70" t="s">
        <v>16492</v>
      </c>
      <c r="L2085" s="70" t="s">
        <v>16493</v>
      </c>
      <c r="N2085" s="70" t="s">
        <v>16494</v>
      </c>
      <c r="P2085" s="77">
        <v>44293.0</v>
      </c>
      <c r="U2085" s="70" t="s">
        <v>239</v>
      </c>
      <c r="W2085" s="70" t="s">
        <v>16497</v>
      </c>
      <c r="Y2085" s="70" t="s">
        <v>16498</v>
      </c>
      <c r="Z2085" s="75" t="s">
        <v>16499</v>
      </c>
      <c r="AA2085" s="70" t="s">
        <v>16500</v>
      </c>
      <c r="AC2085" s="70">
        <v>437.0</v>
      </c>
      <c r="AE2085" s="70">
        <v>378.0</v>
      </c>
      <c r="AF2085" s="70" t="s">
        <v>16423</v>
      </c>
      <c r="AW2085" s="70" t="s">
        <v>16501</v>
      </c>
      <c r="AZ2085" s="70">
        <v>1344.0</v>
      </c>
    </row>
    <row r="2086" ht="22.5" customHeight="1">
      <c r="A2086" s="70" t="str">
        <f t="shared" si="1"/>
        <v>Excluded</v>
      </c>
      <c r="B2086" s="70">
        <f t="shared" si="2"/>
        <v>0</v>
      </c>
      <c r="C2086" s="70">
        <v>0.0</v>
      </c>
      <c r="D2086" s="70">
        <v>0.0</v>
      </c>
      <c r="E2086" s="70">
        <v>0.0</v>
      </c>
      <c r="F2086" s="70">
        <v>0.0</v>
      </c>
      <c r="G2086" s="70">
        <v>0.0</v>
      </c>
      <c r="H2086" s="70" t="s">
        <v>16668</v>
      </c>
      <c r="I2086" s="70">
        <v>1828.0</v>
      </c>
      <c r="J2086" s="70" t="s">
        <v>30765</v>
      </c>
      <c r="K2086" s="70" t="s">
        <v>16667</v>
      </c>
      <c r="L2086" s="70" t="s">
        <v>16493</v>
      </c>
      <c r="N2086" s="70" t="s">
        <v>16494</v>
      </c>
      <c r="P2086" s="78">
        <v>44326.0</v>
      </c>
      <c r="U2086" s="70" t="s">
        <v>239</v>
      </c>
      <c r="W2086" s="70" t="s">
        <v>16670</v>
      </c>
      <c r="Y2086" s="70" t="s">
        <v>30766</v>
      </c>
      <c r="Z2086" s="75" t="s">
        <v>16672</v>
      </c>
      <c r="AA2086" s="70" t="s">
        <v>16673</v>
      </c>
      <c r="AC2086" s="70">
        <v>212.0</v>
      </c>
      <c r="AE2086" s="70">
        <v>176.0</v>
      </c>
      <c r="AF2086" s="70" t="s">
        <v>16423</v>
      </c>
      <c r="AW2086" s="70" t="s">
        <v>16674</v>
      </c>
      <c r="AZ2086" s="70">
        <v>1401.0</v>
      </c>
    </row>
    <row r="2087" ht="22.5" customHeight="1">
      <c r="A2087" s="70" t="str">
        <f t="shared" si="1"/>
        <v>Excluded</v>
      </c>
      <c r="B2087" s="70">
        <f t="shared" si="2"/>
        <v>0</v>
      </c>
      <c r="C2087" s="70">
        <v>0.0</v>
      </c>
      <c r="D2087" s="70">
        <v>0.0</v>
      </c>
      <c r="E2087" s="70">
        <v>0.0</v>
      </c>
      <c r="F2087" s="70">
        <v>0.0</v>
      </c>
      <c r="G2087" s="70">
        <v>0.0</v>
      </c>
      <c r="H2087" s="70" t="s">
        <v>20524</v>
      </c>
      <c r="I2087" s="70">
        <v>2260.0</v>
      </c>
      <c r="J2087" s="70" t="s">
        <v>20522</v>
      </c>
      <c r="K2087" s="70" t="s">
        <v>20523</v>
      </c>
      <c r="L2087" s="70" t="s">
        <v>16493</v>
      </c>
      <c r="N2087" s="70" t="s">
        <v>16494</v>
      </c>
      <c r="P2087" s="77">
        <v>44470.0</v>
      </c>
      <c r="U2087" s="70" t="s">
        <v>239</v>
      </c>
      <c r="W2087" s="70" t="s">
        <v>30767</v>
      </c>
      <c r="Y2087" s="70" t="s">
        <v>30768</v>
      </c>
      <c r="Z2087" s="75" t="s">
        <v>20528</v>
      </c>
      <c r="AA2087" s="70" t="s">
        <v>20529</v>
      </c>
      <c r="AC2087" s="70">
        <v>4.0</v>
      </c>
      <c r="AE2087" s="70">
        <v>163.0</v>
      </c>
      <c r="AF2087" s="70" t="s">
        <v>16423</v>
      </c>
      <c r="AW2087" s="70" t="s">
        <v>20530</v>
      </c>
      <c r="AZ2087" s="70">
        <v>189.0</v>
      </c>
    </row>
    <row r="2088" ht="22.5" customHeight="1">
      <c r="A2088" s="70" t="str">
        <f t="shared" si="1"/>
        <v>Excluded</v>
      </c>
      <c r="B2088" s="70">
        <f t="shared" si="2"/>
        <v>0</v>
      </c>
      <c r="C2088" s="70">
        <v>0.0</v>
      </c>
      <c r="D2088" s="70">
        <v>0.0</v>
      </c>
      <c r="E2088" s="70">
        <v>0.0</v>
      </c>
      <c r="F2088" s="70">
        <v>0.0</v>
      </c>
      <c r="G2088" s="70">
        <v>0.0</v>
      </c>
      <c r="H2088" s="70" t="s">
        <v>17022</v>
      </c>
      <c r="I2088" s="70">
        <v>1868.0</v>
      </c>
      <c r="J2088" s="70" t="s">
        <v>30769</v>
      </c>
      <c r="K2088" s="70" t="s">
        <v>17021</v>
      </c>
      <c r="L2088" s="70" t="s">
        <v>16493</v>
      </c>
      <c r="N2088" s="70" t="s">
        <v>16494</v>
      </c>
      <c r="P2088" s="76">
        <v>44575.0</v>
      </c>
      <c r="U2088" s="70" t="s">
        <v>239</v>
      </c>
      <c r="W2088" s="70" t="s">
        <v>17024</v>
      </c>
      <c r="Y2088" s="70" t="s">
        <v>17025</v>
      </c>
      <c r="Z2088" s="75" t="s">
        <v>17026</v>
      </c>
      <c r="AA2088" s="70" t="s">
        <v>17027</v>
      </c>
      <c r="AC2088" s="70">
        <v>83.0</v>
      </c>
      <c r="AE2088" s="70">
        <v>153.0</v>
      </c>
      <c r="AF2088" s="70" t="s">
        <v>16423</v>
      </c>
      <c r="AW2088" s="70" t="s">
        <v>17028</v>
      </c>
      <c r="AZ2088" s="70">
        <v>1427.0</v>
      </c>
    </row>
    <row r="2089" ht="22.5" customHeight="1">
      <c r="A2089" s="70" t="str">
        <f t="shared" si="1"/>
        <v>Excluded</v>
      </c>
      <c r="B2089" s="70">
        <f t="shared" si="2"/>
        <v>0</v>
      </c>
      <c r="C2089" s="70">
        <v>0.0</v>
      </c>
      <c r="D2089" s="70">
        <v>0.0</v>
      </c>
      <c r="E2089" s="70">
        <v>0.0</v>
      </c>
      <c r="F2089" s="70">
        <v>0.0</v>
      </c>
      <c r="G2089" s="70">
        <v>0.0</v>
      </c>
      <c r="H2089" s="70" t="s">
        <v>19912</v>
      </c>
      <c r="I2089" s="70">
        <v>2191.0</v>
      </c>
      <c r="J2089" s="70" t="s">
        <v>19910</v>
      </c>
      <c r="K2089" s="70" t="s">
        <v>19911</v>
      </c>
      <c r="L2089" s="70" t="s">
        <v>16493</v>
      </c>
      <c r="N2089" s="70" t="s">
        <v>16494</v>
      </c>
      <c r="P2089" s="76">
        <v>44602.0</v>
      </c>
      <c r="U2089" s="70" t="s">
        <v>239</v>
      </c>
      <c r="W2089" s="70" t="s">
        <v>19914</v>
      </c>
      <c r="Y2089" s="70" t="s">
        <v>30770</v>
      </c>
      <c r="Z2089" s="75" t="s">
        <v>19916</v>
      </c>
      <c r="AA2089" s="70" t="s">
        <v>19917</v>
      </c>
      <c r="AC2089" s="70">
        <v>7.0</v>
      </c>
      <c r="AE2089" s="70">
        <v>54.0</v>
      </c>
      <c r="AF2089" s="70" t="s">
        <v>16423</v>
      </c>
      <c r="AW2089" s="70" t="s">
        <v>19918</v>
      </c>
      <c r="AX2089" s="70">
        <v>0.0</v>
      </c>
      <c r="AY2089" s="70" t="s">
        <v>24</v>
      </c>
      <c r="AZ2089" s="70">
        <v>2555.0</v>
      </c>
    </row>
    <row r="2090" ht="22.5" customHeight="1">
      <c r="A2090" s="70" t="str">
        <f t="shared" si="1"/>
        <v>Excluded</v>
      </c>
      <c r="B2090" s="70">
        <f t="shared" si="2"/>
        <v>0</v>
      </c>
      <c r="C2090" s="70">
        <v>0.0</v>
      </c>
      <c r="D2090" s="70">
        <v>0.0</v>
      </c>
      <c r="E2090" s="70">
        <v>0.0</v>
      </c>
      <c r="F2090" s="70">
        <v>0.0</v>
      </c>
      <c r="G2090" s="70">
        <v>0.0</v>
      </c>
      <c r="H2090" s="70" t="s">
        <v>17201</v>
      </c>
      <c r="I2090" s="70">
        <v>1887.0</v>
      </c>
      <c r="J2090" s="70" t="s">
        <v>17199</v>
      </c>
      <c r="K2090" s="70" t="s">
        <v>17200</v>
      </c>
      <c r="L2090" s="70" t="s">
        <v>16493</v>
      </c>
      <c r="N2090" s="70" t="s">
        <v>16494</v>
      </c>
      <c r="P2090" s="76">
        <v>44783.0</v>
      </c>
      <c r="U2090" s="70" t="s">
        <v>239</v>
      </c>
      <c r="W2090" s="70" t="s">
        <v>17203</v>
      </c>
      <c r="Y2090" s="70" t="s">
        <v>30771</v>
      </c>
      <c r="Z2090" s="75" t="s">
        <v>17205</v>
      </c>
      <c r="AA2090" s="70" t="s">
        <v>17206</v>
      </c>
      <c r="AC2090" s="70">
        <v>66.0</v>
      </c>
      <c r="AE2090" s="70">
        <v>135.0</v>
      </c>
      <c r="AF2090" s="70" t="s">
        <v>16423</v>
      </c>
      <c r="AW2090" s="70" t="s">
        <v>17207</v>
      </c>
      <c r="AZ2090" s="70">
        <v>980.0</v>
      </c>
    </row>
    <row r="2091" ht="22.5" customHeight="1">
      <c r="A2091" s="70" t="str">
        <f t="shared" si="1"/>
        <v>Excluded</v>
      </c>
      <c r="B2091" s="70">
        <f t="shared" si="2"/>
        <v>0</v>
      </c>
      <c r="C2091" s="70">
        <v>0.0</v>
      </c>
      <c r="D2091" s="70">
        <v>0.0</v>
      </c>
      <c r="E2091" s="70">
        <v>0.0</v>
      </c>
      <c r="F2091" s="70">
        <v>0.0</v>
      </c>
      <c r="G2091" s="70">
        <v>0.0</v>
      </c>
      <c r="H2091" s="70" t="s">
        <v>19349</v>
      </c>
      <c r="I2091" s="70">
        <v>2128.0</v>
      </c>
      <c r="J2091" s="70" t="s">
        <v>19347</v>
      </c>
      <c r="K2091" s="70" t="s">
        <v>19348</v>
      </c>
      <c r="L2091" s="70" t="s">
        <v>16493</v>
      </c>
      <c r="N2091" s="70" t="s">
        <v>16494</v>
      </c>
      <c r="P2091" s="76">
        <v>44970.0</v>
      </c>
      <c r="U2091" s="70" t="s">
        <v>239</v>
      </c>
      <c r="W2091" s="70" t="s">
        <v>19351</v>
      </c>
      <c r="Y2091" s="70" t="s">
        <v>30772</v>
      </c>
      <c r="Z2091" s="75" t="s">
        <v>19353</v>
      </c>
      <c r="AA2091" s="70" t="s">
        <v>19354</v>
      </c>
      <c r="AC2091" s="70">
        <v>11.0</v>
      </c>
      <c r="AE2091" s="70">
        <v>84.0</v>
      </c>
      <c r="AF2091" s="70" t="s">
        <v>16727</v>
      </c>
      <c r="AW2091" s="70" t="s">
        <v>19355</v>
      </c>
      <c r="AZ2091" s="70">
        <v>1148.0</v>
      </c>
    </row>
    <row r="2092" ht="22.5" customHeight="1">
      <c r="A2092" s="70" t="str">
        <f t="shared" si="1"/>
        <v>Excluded</v>
      </c>
      <c r="B2092" s="70">
        <f t="shared" si="2"/>
        <v>0</v>
      </c>
      <c r="C2092" s="70">
        <v>0.0</v>
      </c>
      <c r="D2092" s="70">
        <v>0.0</v>
      </c>
      <c r="E2092" s="70">
        <v>0.0</v>
      </c>
      <c r="F2092" s="70">
        <v>0.0</v>
      </c>
      <c r="G2092" s="70">
        <v>0.0</v>
      </c>
      <c r="H2092" s="70" t="s">
        <v>17831</v>
      </c>
      <c r="I2092" s="70">
        <v>1958.0</v>
      </c>
      <c r="J2092" s="70" t="s">
        <v>17829</v>
      </c>
      <c r="K2092" s="70" t="s">
        <v>30773</v>
      </c>
      <c r="L2092" s="70" t="s">
        <v>16493</v>
      </c>
      <c r="N2092" s="70" t="s">
        <v>16494</v>
      </c>
      <c r="P2092" s="76">
        <v>45005.0</v>
      </c>
      <c r="U2092" s="70" t="s">
        <v>239</v>
      </c>
      <c r="W2092" s="70" t="s">
        <v>17833</v>
      </c>
      <c r="Y2092" s="70" t="s">
        <v>30774</v>
      </c>
      <c r="Z2092" s="75" t="s">
        <v>17835</v>
      </c>
      <c r="AA2092" s="70" t="s">
        <v>17836</v>
      </c>
      <c r="AC2092" s="70">
        <v>32.0</v>
      </c>
      <c r="AE2092" s="70">
        <v>196.0</v>
      </c>
      <c r="AF2092" s="70" t="s">
        <v>16423</v>
      </c>
      <c r="AW2092" s="70" t="s">
        <v>17837</v>
      </c>
      <c r="AX2092" s="70">
        <v>0.0</v>
      </c>
      <c r="AY2092" s="70" t="s">
        <v>24</v>
      </c>
      <c r="AZ2092" s="70">
        <v>1656.0</v>
      </c>
    </row>
    <row r="2093" ht="22.5" customHeight="1">
      <c r="A2093" s="70" t="str">
        <f t="shared" si="1"/>
        <v>Excluded</v>
      </c>
      <c r="B2093" s="70">
        <f t="shared" si="2"/>
        <v>0</v>
      </c>
      <c r="C2093" s="70">
        <v>0.0</v>
      </c>
      <c r="D2093" s="70">
        <v>0.0</v>
      </c>
      <c r="E2093" s="70">
        <v>0.0</v>
      </c>
      <c r="F2093" s="70">
        <v>0.0</v>
      </c>
      <c r="G2093" s="70">
        <v>0.0</v>
      </c>
      <c r="H2093" s="70" t="s">
        <v>18074</v>
      </c>
      <c r="I2093" s="70">
        <v>1985.0</v>
      </c>
      <c r="J2093" s="70" t="s">
        <v>30775</v>
      </c>
      <c r="K2093" s="70" t="s">
        <v>18073</v>
      </c>
      <c r="L2093" s="70" t="s">
        <v>16493</v>
      </c>
      <c r="N2093" s="70" t="s">
        <v>16494</v>
      </c>
      <c r="P2093" s="76">
        <v>45118.0</v>
      </c>
      <c r="U2093" s="70" t="s">
        <v>239</v>
      </c>
      <c r="W2093" s="70" t="s">
        <v>30776</v>
      </c>
      <c r="Y2093" s="70" t="s">
        <v>30777</v>
      </c>
      <c r="Z2093" s="75" t="s">
        <v>18078</v>
      </c>
      <c r="AA2093" s="70" t="s">
        <v>18079</v>
      </c>
      <c r="AC2093" s="70">
        <v>28.0</v>
      </c>
      <c r="AE2093" s="70">
        <v>145.0</v>
      </c>
      <c r="AF2093" s="70" t="s">
        <v>16423</v>
      </c>
      <c r="AW2093" s="70" t="s">
        <v>18080</v>
      </c>
      <c r="AZ2093" s="70">
        <v>984.0</v>
      </c>
    </row>
    <row r="2094" ht="22.5" customHeight="1">
      <c r="A2094" s="70" t="str">
        <f t="shared" si="1"/>
        <v>Excluded</v>
      </c>
      <c r="B2094" s="70">
        <f t="shared" si="2"/>
        <v>0</v>
      </c>
      <c r="C2094" s="70">
        <v>0.0</v>
      </c>
      <c r="D2094" s="70">
        <v>0.0</v>
      </c>
      <c r="E2094" s="70">
        <v>0.0</v>
      </c>
      <c r="F2094" s="70">
        <v>0.0</v>
      </c>
      <c r="G2094" s="70">
        <v>0.0</v>
      </c>
      <c r="H2094" s="70" t="s">
        <v>20417</v>
      </c>
      <c r="I2094" s="70">
        <v>2248.0</v>
      </c>
      <c r="J2094" s="70" t="s">
        <v>20415</v>
      </c>
      <c r="K2094" s="70" t="s">
        <v>20416</v>
      </c>
      <c r="L2094" s="70" t="s">
        <v>16493</v>
      </c>
      <c r="N2094" s="70" t="s">
        <v>16494</v>
      </c>
      <c r="P2094" s="77">
        <v>45231.0</v>
      </c>
      <c r="U2094" s="70" t="s">
        <v>239</v>
      </c>
      <c r="W2094" s="70" t="s">
        <v>20419</v>
      </c>
      <c r="Y2094" s="70" t="s">
        <v>30778</v>
      </c>
      <c r="Z2094" s="75" t="s">
        <v>20421</v>
      </c>
      <c r="AA2094" s="70" t="s">
        <v>20422</v>
      </c>
      <c r="AC2094" s="70">
        <v>4.0</v>
      </c>
      <c r="AE2094" s="70">
        <v>61.0</v>
      </c>
      <c r="AF2094" s="70" t="s">
        <v>16727</v>
      </c>
      <c r="AW2094" s="70" t="s">
        <v>20423</v>
      </c>
      <c r="AZ2094" s="70">
        <v>463.0</v>
      </c>
    </row>
    <row r="2095" ht="22.5" customHeight="1">
      <c r="A2095" s="70" t="str">
        <f t="shared" si="1"/>
        <v>Excluded</v>
      </c>
      <c r="B2095" s="70">
        <f t="shared" si="2"/>
        <v>0</v>
      </c>
      <c r="C2095" s="70">
        <v>0.0</v>
      </c>
      <c r="D2095" s="70">
        <v>0.0</v>
      </c>
      <c r="E2095" s="70">
        <v>0.0</v>
      </c>
      <c r="F2095" s="70">
        <v>0.0</v>
      </c>
      <c r="G2095" s="70">
        <v>0.0</v>
      </c>
      <c r="H2095" s="70" t="s">
        <v>17804</v>
      </c>
      <c r="I2095" s="70">
        <v>1955.0</v>
      </c>
      <c r="J2095" s="70" t="s">
        <v>17802</v>
      </c>
      <c r="K2095" s="70" t="s">
        <v>17803</v>
      </c>
      <c r="L2095" s="70" t="s">
        <v>16493</v>
      </c>
      <c r="N2095" s="70" t="s">
        <v>16494</v>
      </c>
      <c r="P2095" s="76">
        <v>45320.0</v>
      </c>
      <c r="U2095" s="70" t="s">
        <v>239</v>
      </c>
      <c r="W2095" s="70" t="s">
        <v>17806</v>
      </c>
      <c r="Y2095" s="70" t="s">
        <v>17807</v>
      </c>
      <c r="Z2095" s="75" t="s">
        <v>17808</v>
      </c>
      <c r="AA2095" s="70" t="s">
        <v>17809</v>
      </c>
      <c r="AC2095" s="70">
        <v>33.0</v>
      </c>
      <c r="AE2095" s="70">
        <v>307.0</v>
      </c>
      <c r="AF2095" s="70" t="s">
        <v>16727</v>
      </c>
      <c r="AW2095" s="70" t="s">
        <v>17810</v>
      </c>
      <c r="AZ2095" s="70">
        <v>1169.0</v>
      </c>
    </row>
    <row r="2096" ht="22.5" customHeight="1">
      <c r="A2096" s="70" t="str">
        <f t="shared" si="1"/>
        <v>Excluded</v>
      </c>
      <c r="B2096" s="70">
        <f t="shared" si="2"/>
        <v>0</v>
      </c>
      <c r="C2096" s="70">
        <v>0.0</v>
      </c>
      <c r="D2096" s="70">
        <v>0.0</v>
      </c>
      <c r="E2096" s="70">
        <v>0.0</v>
      </c>
      <c r="F2096" s="70">
        <v>0.0</v>
      </c>
      <c r="G2096" s="70">
        <v>0.0</v>
      </c>
      <c r="H2096" s="70" t="s">
        <v>21221</v>
      </c>
      <c r="I2096" s="70">
        <v>2337.0</v>
      </c>
      <c r="J2096" s="70" t="s">
        <v>21219</v>
      </c>
      <c r="K2096" s="70" t="s">
        <v>21220</v>
      </c>
      <c r="L2096" s="70" t="s">
        <v>16493</v>
      </c>
      <c r="N2096" s="70" t="s">
        <v>16494</v>
      </c>
      <c r="P2096" s="77">
        <v>45386.0</v>
      </c>
      <c r="U2096" s="70" t="s">
        <v>239</v>
      </c>
      <c r="W2096" s="70" t="s">
        <v>21223</v>
      </c>
      <c r="Z2096" s="75" t="s">
        <v>21224</v>
      </c>
      <c r="AA2096" s="70" t="s">
        <v>21225</v>
      </c>
      <c r="AC2096" s="70">
        <v>1.0</v>
      </c>
      <c r="AE2096" s="70">
        <v>39.0</v>
      </c>
      <c r="AF2096" s="70" t="s">
        <v>16727</v>
      </c>
      <c r="AW2096" s="70" t="s">
        <v>21226</v>
      </c>
      <c r="AZ2096" s="70">
        <v>1263.0</v>
      </c>
    </row>
    <row r="2097" ht="22.5" customHeight="1">
      <c r="A2097" s="70" t="str">
        <f t="shared" si="1"/>
        <v>Excluded</v>
      </c>
      <c r="B2097" s="70">
        <f t="shared" si="2"/>
        <v>0</v>
      </c>
      <c r="C2097" s="70">
        <v>0.0</v>
      </c>
      <c r="D2097" s="70">
        <v>0.0</v>
      </c>
      <c r="E2097" s="70">
        <v>0.0</v>
      </c>
      <c r="F2097" s="70">
        <v>0.0</v>
      </c>
      <c r="G2097" s="70">
        <v>0.0</v>
      </c>
      <c r="H2097" s="70" t="s">
        <v>18701</v>
      </c>
      <c r="I2097" s="70">
        <v>2055.0</v>
      </c>
      <c r="J2097" s="70" t="s">
        <v>30779</v>
      </c>
      <c r="K2097" s="70" t="s">
        <v>18700</v>
      </c>
      <c r="L2097" s="70" t="s">
        <v>16493</v>
      </c>
      <c r="N2097" s="70" t="s">
        <v>16494</v>
      </c>
      <c r="P2097" s="76">
        <v>45398.0</v>
      </c>
      <c r="U2097" s="70" t="s">
        <v>239</v>
      </c>
      <c r="W2097" s="70" t="s">
        <v>30780</v>
      </c>
      <c r="Y2097" s="70" t="s">
        <v>30781</v>
      </c>
      <c r="Z2097" s="75" t="s">
        <v>18705</v>
      </c>
      <c r="AA2097" s="70" t="s">
        <v>18706</v>
      </c>
      <c r="AC2097" s="70">
        <v>18.0</v>
      </c>
      <c r="AE2097" s="70">
        <v>303.0</v>
      </c>
      <c r="AF2097" s="70" t="s">
        <v>16727</v>
      </c>
      <c r="AW2097" s="70" t="s">
        <v>18707</v>
      </c>
      <c r="AZ2097" s="70">
        <v>1048.0</v>
      </c>
    </row>
    <row r="2098" ht="22.5" customHeight="1">
      <c r="A2098" s="70" t="str">
        <f t="shared" si="1"/>
        <v>Excluded</v>
      </c>
      <c r="B2098" s="70">
        <f t="shared" si="2"/>
        <v>0</v>
      </c>
      <c r="C2098" s="70">
        <v>0.0</v>
      </c>
      <c r="D2098" s="70">
        <v>0.0</v>
      </c>
      <c r="E2098" s="70">
        <v>0.0</v>
      </c>
      <c r="F2098" s="70">
        <v>0.0</v>
      </c>
      <c r="G2098" s="70">
        <v>0.0</v>
      </c>
      <c r="H2098" s="70" t="s">
        <v>19745</v>
      </c>
      <c r="I2098" s="70">
        <v>2173.0</v>
      </c>
      <c r="J2098" s="70" t="s">
        <v>30782</v>
      </c>
      <c r="K2098" s="70" t="s">
        <v>19744</v>
      </c>
      <c r="L2098" s="70" t="s">
        <v>16493</v>
      </c>
      <c r="N2098" s="70" t="s">
        <v>16494</v>
      </c>
      <c r="P2098" s="79">
        <v>45420.0</v>
      </c>
      <c r="U2098" s="70" t="s">
        <v>239</v>
      </c>
      <c r="W2098" s="70" t="s">
        <v>19747</v>
      </c>
      <c r="Y2098" s="70" t="s">
        <v>30783</v>
      </c>
      <c r="Z2098" s="75" t="s">
        <v>19749</v>
      </c>
      <c r="AA2098" s="70" t="s">
        <v>19750</v>
      </c>
      <c r="AC2098" s="70">
        <v>8.0</v>
      </c>
      <c r="AE2098" s="70">
        <v>103.0</v>
      </c>
      <c r="AF2098" s="70" t="s">
        <v>16727</v>
      </c>
      <c r="AW2098" s="70" t="s">
        <v>19751</v>
      </c>
      <c r="AZ2098" s="70">
        <v>682.0</v>
      </c>
    </row>
    <row r="2099" ht="22.5" customHeight="1">
      <c r="A2099" s="70" t="str">
        <f t="shared" si="1"/>
        <v>Excluded</v>
      </c>
      <c r="B2099" s="70">
        <f t="shared" si="2"/>
        <v>0</v>
      </c>
      <c r="C2099" s="70">
        <v>0.0</v>
      </c>
      <c r="D2099" s="70">
        <v>0.0</v>
      </c>
      <c r="E2099" s="70">
        <v>0.0</v>
      </c>
      <c r="F2099" s="70">
        <v>0.0</v>
      </c>
      <c r="G2099" s="70">
        <v>0.0</v>
      </c>
      <c r="H2099" s="70" t="s">
        <v>21472</v>
      </c>
      <c r="I2099" s="70">
        <v>2366.0</v>
      </c>
      <c r="J2099" s="70" t="s">
        <v>21470</v>
      </c>
      <c r="K2099" s="70" t="s">
        <v>21471</v>
      </c>
      <c r="L2099" s="70" t="s">
        <v>16493</v>
      </c>
      <c r="N2099" s="70" t="s">
        <v>16494</v>
      </c>
      <c r="P2099" s="79">
        <v>45421.0</v>
      </c>
      <c r="U2099" s="70" t="s">
        <v>239</v>
      </c>
      <c r="W2099" s="70" t="s">
        <v>21474</v>
      </c>
      <c r="Y2099" s="70" t="s">
        <v>30784</v>
      </c>
      <c r="Z2099" s="75" t="s">
        <v>21476</v>
      </c>
      <c r="AA2099" s="70" t="s">
        <v>21477</v>
      </c>
      <c r="AC2099" s="70">
        <v>1.0</v>
      </c>
      <c r="AE2099" s="70">
        <v>63.0</v>
      </c>
      <c r="AF2099" s="70" t="s">
        <v>16727</v>
      </c>
      <c r="AW2099" s="70" t="s">
        <v>21478</v>
      </c>
      <c r="AX2099" s="70">
        <v>0.0</v>
      </c>
      <c r="AY2099" s="70" t="s">
        <v>24</v>
      </c>
      <c r="AZ2099" s="70">
        <v>2852.0</v>
      </c>
    </row>
    <row r="2100" ht="22.5" customHeight="1">
      <c r="A2100" s="70" t="str">
        <f t="shared" si="1"/>
        <v>Excluded</v>
      </c>
      <c r="B2100" s="70">
        <f t="shared" si="2"/>
        <v>0</v>
      </c>
      <c r="C2100" s="70">
        <v>0.0</v>
      </c>
      <c r="D2100" s="70">
        <v>0.0</v>
      </c>
      <c r="E2100" s="70">
        <v>0.0</v>
      </c>
      <c r="F2100" s="70">
        <v>0.0</v>
      </c>
      <c r="G2100" s="70">
        <v>0.0</v>
      </c>
      <c r="H2100" s="70" t="s">
        <v>20942</v>
      </c>
      <c r="I2100" s="70">
        <v>2306.0</v>
      </c>
      <c r="J2100" s="70" t="s">
        <v>30785</v>
      </c>
      <c r="K2100" s="70" t="s">
        <v>20941</v>
      </c>
      <c r="L2100" s="70" t="s">
        <v>16493</v>
      </c>
      <c r="N2100" s="70" t="s">
        <v>16494</v>
      </c>
      <c r="P2100" s="76">
        <v>45455.0</v>
      </c>
      <c r="U2100" s="70" t="s">
        <v>239</v>
      </c>
      <c r="W2100" s="70" t="s">
        <v>20944</v>
      </c>
      <c r="Y2100" s="70" t="s">
        <v>30786</v>
      </c>
      <c r="Z2100" s="75" t="s">
        <v>20946</v>
      </c>
      <c r="AA2100" s="70" t="s">
        <v>20947</v>
      </c>
      <c r="AC2100" s="70">
        <v>2.0</v>
      </c>
      <c r="AE2100" s="70">
        <v>63.0</v>
      </c>
      <c r="AF2100" s="70" t="s">
        <v>16423</v>
      </c>
      <c r="AW2100" s="70" t="s">
        <v>20948</v>
      </c>
      <c r="AZ2100" s="70">
        <v>783.0</v>
      </c>
    </row>
    <row r="2101" ht="22.5" customHeight="1">
      <c r="A2101" s="70" t="str">
        <f t="shared" si="1"/>
        <v>Excluded</v>
      </c>
      <c r="B2101" s="70">
        <f t="shared" si="2"/>
        <v>0</v>
      </c>
      <c r="C2101" s="70">
        <v>0.0</v>
      </c>
      <c r="D2101" s="70">
        <v>0.0</v>
      </c>
      <c r="E2101" s="70">
        <v>0.0</v>
      </c>
      <c r="F2101" s="70">
        <v>0.0</v>
      </c>
      <c r="G2101" s="70">
        <v>0.0</v>
      </c>
      <c r="H2101" s="70" t="s">
        <v>22175</v>
      </c>
      <c r="I2101" s="70">
        <v>2446.0</v>
      </c>
      <c r="J2101" s="70" t="s">
        <v>22173</v>
      </c>
      <c r="K2101" s="70" t="s">
        <v>22174</v>
      </c>
      <c r="L2101" s="70" t="s">
        <v>16493</v>
      </c>
      <c r="N2101" s="70" t="s">
        <v>16494</v>
      </c>
      <c r="P2101" s="76">
        <v>45483.0</v>
      </c>
      <c r="U2101" s="70" t="s">
        <v>239</v>
      </c>
      <c r="W2101" s="70" t="s">
        <v>30787</v>
      </c>
      <c r="Z2101" s="75" t="s">
        <v>22178</v>
      </c>
      <c r="AA2101" s="70" t="s">
        <v>22179</v>
      </c>
      <c r="AE2101" s="70">
        <v>47.0</v>
      </c>
      <c r="AF2101" s="70" t="s">
        <v>16423</v>
      </c>
      <c r="AW2101" s="70" t="s">
        <v>22180</v>
      </c>
      <c r="AZ2101" s="70">
        <v>705.0</v>
      </c>
    </row>
    <row r="2102" ht="22.5" customHeight="1">
      <c r="A2102" s="70" t="str">
        <f t="shared" si="1"/>
        <v>Excluded</v>
      </c>
      <c r="B2102" s="70">
        <f t="shared" si="2"/>
        <v>0</v>
      </c>
      <c r="C2102" s="70">
        <v>0.0</v>
      </c>
      <c r="D2102" s="70">
        <v>0.0</v>
      </c>
      <c r="E2102" s="70">
        <v>0.0</v>
      </c>
      <c r="F2102" s="70">
        <v>0.0</v>
      </c>
      <c r="G2102" s="70">
        <v>0.0</v>
      </c>
      <c r="H2102" s="70" t="s">
        <v>21275</v>
      </c>
      <c r="I2102" s="70">
        <v>2343.0</v>
      </c>
      <c r="J2102" s="70" t="s">
        <v>21273</v>
      </c>
      <c r="K2102" s="70" t="s">
        <v>21274</v>
      </c>
      <c r="L2102" s="70" t="s">
        <v>16493</v>
      </c>
      <c r="N2102" s="70" t="s">
        <v>16494</v>
      </c>
      <c r="P2102" s="76">
        <v>45483.0</v>
      </c>
      <c r="U2102" s="70" t="s">
        <v>239</v>
      </c>
      <c r="W2102" s="70" t="s">
        <v>30788</v>
      </c>
      <c r="Y2102" s="70" t="s">
        <v>30789</v>
      </c>
      <c r="Z2102" s="75" t="s">
        <v>21279</v>
      </c>
      <c r="AA2102" s="70" t="s">
        <v>21280</v>
      </c>
      <c r="AC2102" s="70">
        <v>1.0</v>
      </c>
      <c r="AE2102" s="70">
        <v>431.0</v>
      </c>
      <c r="AF2102" s="70" t="s">
        <v>16423</v>
      </c>
      <c r="AW2102" s="70" t="s">
        <v>21281</v>
      </c>
      <c r="AX2102" s="70">
        <v>0.0</v>
      </c>
      <c r="AY2102" s="70" t="s">
        <v>24</v>
      </c>
      <c r="AZ2102" s="70">
        <v>3117.0</v>
      </c>
    </row>
    <row r="2103" ht="22.5" customHeight="1">
      <c r="A2103" s="70" t="str">
        <f t="shared" si="1"/>
        <v>Excluded</v>
      </c>
      <c r="B2103" s="70">
        <f t="shared" si="2"/>
        <v>0</v>
      </c>
      <c r="C2103" s="70">
        <v>0.0</v>
      </c>
      <c r="D2103" s="70">
        <v>0.0</v>
      </c>
      <c r="E2103" s="70">
        <v>0.0</v>
      </c>
      <c r="F2103" s="70">
        <v>0.0</v>
      </c>
      <c r="G2103" s="70">
        <v>0.0</v>
      </c>
      <c r="H2103" s="70" t="s">
        <v>21174</v>
      </c>
      <c r="I2103" s="70">
        <v>2332.0</v>
      </c>
      <c r="J2103" s="70" t="s">
        <v>30790</v>
      </c>
      <c r="K2103" s="70" t="s">
        <v>21173</v>
      </c>
      <c r="L2103" s="70" t="s">
        <v>16493</v>
      </c>
      <c r="N2103" s="70" t="s">
        <v>16494</v>
      </c>
      <c r="P2103" s="76">
        <v>45491.0</v>
      </c>
      <c r="U2103" s="70" t="s">
        <v>239</v>
      </c>
      <c r="W2103" s="70" t="s">
        <v>21176</v>
      </c>
      <c r="Y2103" s="70" t="s">
        <v>30791</v>
      </c>
      <c r="Z2103" s="75" t="s">
        <v>21178</v>
      </c>
      <c r="AA2103" s="70" t="s">
        <v>21179</v>
      </c>
      <c r="AC2103" s="70">
        <v>2.0</v>
      </c>
      <c r="AE2103" s="70">
        <v>117.0</v>
      </c>
      <c r="AF2103" s="70" t="s">
        <v>16727</v>
      </c>
      <c r="AW2103" s="70" t="s">
        <v>21180</v>
      </c>
      <c r="AZ2103" s="70">
        <v>937.0</v>
      </c>
    </row>
    <row r="2104" ht="22.5" customHeight="1">
      <c r="A2104" s="70" t="str">
        <f t="shared" si="1"/>
        <v>Excluded</v>
      </c>
      <c r="B2104" s="70">
        <f t="shared" si="2"/>
        <v>0</v>
      </c>
      <c r="C2104" s="70">
        <v>0.0</v>
      </c>
      <c r="D2104" s="70">
        <v>0.0</v>
      </c>
      <c r="E2104" s="70">
        <v>0.0</v>
      </c>
      <c r="F2104" s="70">
        <v>0.0</v>
      </c>
      <c r="G2104" s="70">
        <v>0.0</v>
      </c>
      <c r="H2104" s="70" t="s">
        <v>22417</v>
      </c>
      <c r="I2104" s="70">
        <v>2473.0</v>
      </c>
      <c r="J2104" s="70" t="s">
        <v>22415</v>
      </c>
      <c r="K2104" s="70" t="s">
        <v>22416</v>
      </c>
      <c r="L2104" s="70" t="s">
        <v>16493</v>
      </c>
      <c r="N2104" s="70" t="s">
        <v>16494</v>
      </c>
      <c r="P2104" s="76">
        <v>45644.0</v>
      </c>
      <c r="U2104" s="70" t="s">
        <v>239</v>
      </c>
      <c r="W2104" s="70" t="s">
        <v>22419</v>
      </c>
      <c r="Y2104" s="70" t="s">
        <v>30792</v>
      </c>
      <c r="Z2104" s="75" t="s">
        <v>22421</v>
      </c>
      <c r="AA2104" s="70" t="s">
        <v>22422</v>
      </c>
      <c r="AE2104" s="70">
        <v>172.0</v>
      </c>
      <c r="AF2104" s="70" t="s">
        <v>16423</v>
      </c>
      <c r="AW2104" s="70" t="s">
        <v>22423</v>
      </c>
      <c r="AZ2104" s="70">
        <v>1355.0</v>
      </c>
    </row>
    <row r="2105" ht="22.5" customHeight="1">
      <c r="A2105" s="70" t="str">
        <f t="shared" si="1"/>
        <v>Excluded</v>
      </c>
      <c r="B2105" s="70">
        <f t="shared" si="2"/>
        <v>0</v>
      </c>
      <c r="C2105" s="70">
        <v>0.0</v>
      </c>
      <c r="D2105" s="70">
        <v>0.0</v>
      </c>
      <c r="E2105" s="70">
        <v>0.0</v>
      </c>
      <c r="F2105" s="70">
        <v>0.0</v>
      </c>
      <c r="G2105" s="70">
        <v>0.0</v>
      </c>
      <c r="H2105" s="70" t="s">
        <v>22637</v>
      </c>
      <c r="I2105" s="70">
        <v>2500.0</v>
      </c>
      <c r="J2105" s="70" t="s">
        <v>22635</v>
      </c>
      <c r="K2105" s="70" t="s">
        <v>22636</v>
      </c>
      <c r="W2105" s="70" t="s">
        <v>30793</v>
      </c>
      <c r="AA2105" s="70" t="s">
        <v>22639</v>
      </c>
      <c r="AI2105" s="70" t="s">
        <v>22640</v>
      </c>
      <c r="AJ2105" s="70" t="s">
        <v>22641</v>
      </c>
      <c r="AK2105" s="70">
        <v>2025.0</v>
      </c>
      <c r="AL2105" s="70" t="s">
        <v>16493</v>
      </c>
      <c r="AN2105" s="70">
        <v>399.0</v>
      </c>
      <c r="AO2105" s="70">
        <v>432.0</v>
      </c>
      <c r="AP2105" s="70">
        <v>33.0</v>
      </c>
      <c r="AQ2105" s="70">
        <v>1.0</v>
      </c>
      <c r="AR2105" s="75" t="s">
        <v>22642</v>
      </c>
      <c r="AS2105" s="70" t="s">
        <v>22525</v>
      </c>
      <c r="AT2105" s="70" t="s">
        <v>22643</v>
      </c>
      <c r="AU2105" s="70" t="s">
        <v>237</v>
      </c>
      <c r="AV2105" s="70" t="s">
        <v>22644</v>
      </c>
      <c r="AW2105" s="70" t="s">
        <v>22645</v>
      </c>
      <c r="AZ2105" s="70">
        <v>355.0</v>
      </c>
    </row>
    <row r="2106" ht="22.5" customHeight="1">
      <c r="A2106" s="70" t="str">
        <f t="shared" si="1"/>
        <v>Excluded</v>
      </c>
      <c r="B2106" s="70">
        <f t="shared" si="2"/>
        <v>0</v>
      </c>
      <c r="C2106" s="70">
        <v>0.0</v>
      </c>
      <c r="D2106" s="70">
        <v>0.0</v>
      </c>
      <c r="E2106" s="70">
        <v>0.0</v>
      </c>
      <c r="F2106" s="70">
        <v>0.0</v>
      </c>
      <c r="G2106" s="70">
        <v>0.0</v>
      </c>
      <c r="H2106" s="70" t="s">
        <v>21407</v>
      </c>
      <c r="I2106" s="70">
        <v>2358.0</v>
      </c>
      <c r="J2106" s="70" t="s">
        <v>21405</v>
      </c>
      <c r="K2106" s="70" t="s">
        <v>21406</v>
      </c>
      <c r="L2106" s="70" t="s">
        <v>16493</v>
      </c>
      <c r="N2106" s="70" t="s">
        <v>16494</v>
      </c>
      <c r="P2106" s="77">
        <v>45663.0</v>
      </c>
      <c r="U2106" s="70" t="s">
        <v>239</v>
      </c>
      <c r="W2106" s="70" t="s">
        <v>30794</v>
      </c>
      <c r="Z2106" s="75" t="s">
        <v>21410</v>
      </c>
      <c r="AA2106" s="70" t="s">
        <v>21411</v>
      </c>
      <c r="AC2106" s="70">
        <v>1.0</v>
      </c>
      <c r="AE2106" s="70">
        <v>180.0</v>
      </c>
      <c r="AF2106" s="70" t="s">
        <v>16423</v>
      </c>
      <c r="AW2106" s="70" t="s">
        <v>21412</v>
      </c>
      <c r="AZ2106" s="70">
        <v>1197.0</v>
      </c>
    </row>
    <row r="2107" ht="22.5" customHeight="1">
      <c r="A2107" s="70" t="str">
        <f t="shared" si="1"/>
        <v>Excluded</v>
      </c>
      <c r="B2107" s="70">
        <f t="shared" si="2"/>
        <v>0</v>
      </c>
      <c r="C2107" s="70">
        <v>0.0</v>
      </c>
      <c r="D2107" s="70">
        <v>0.0</v>
      </c>
      <c r="E2107" s="70">
        <v>0.0</v>
      </c>
      <c r="F2107" s="70">
        <v>0.0</v>
      </c>
      <c r="G2107" s="70">
        <v>0.0</v>
      </c>
      <c r="H2107" s="70" t="s">
        <v>22374</v>
      </c>
      <c r="I2107" s="70">
        <v>2468.0</v>
      </c>
      <c r="J2107" s="70" t="s">
        <v>22372</v>
      </c>
      <c r="K2107" s="70" t="s">
        <v>22373</v>
      </c>
      <c r="L2107" s="70" t="s">
        <v>16493</v>
      </c>
      <c r="N2107" s="70" t="s">
        <v>16494</v>
      </c>
      <c r="P2107" s="76">
        <v>45671.0</v>
      </c>
      <c r="U2107" s="70" t="s">
        <v>239</v>
      </c>
      <c r="W2107" s="70" t="s">
        <v>22376</v>
      </c>
      <c r="Y2107" s="70" t="s">
        <v>30795</v>
      </c>
      <c r="Z2107" s="75" t="s">
        <v>22378</v>
      </c>
      <c r="AA2107" s="70" t="s">
        <v>22379</v>
      </c>
      <c r="AE2107" s="70">
        <v>87.0</v>
      </c>
      <c r="AF2107" s="70" t="s">
        <v>16423</v>
      </c>
      <c r="AW2107" s="70" t="s">
        <v>22380</v>
      </c>
      <c r="AZ2107" s="70">
        <v>568.0</v>
      </c>
    </row>
    <row r="2108" ht="22.5" customHeight="1">
      <c r="A2108" s="70" t="str">
        <f t="shared" si="1"/>
        <v>Excluded</v>
      </c>
      <c r="B2108" s="70">
        <f t="shared" si="2"/>
        <v>0</v>
      </c>
      <c r="C2108" s="70">
        <v>0.0</v>
      </c>
      <c r="D2108" s="70">
        <v>0.0</v>
      </c>
      <c r="E2108" s="70">
        <v>0.0</v>
      </c>
      <c r="F2108" s="70">
        <v>0.0</v>
      </c>
      <c r="G2108" s="70">
        <v>0.0</v>
      </c>
      <c r="H2108" s="70" t="s">
        <v>21885</v>
      </c>
      <c r="I2108" s="70">
        <v>2413.0</v>
      </c>
      <c r="J2108" s="70" t="s">
        <v>21883</v>
      </c>
      <c r="K2108" s="70" t="s">
        <v>21884</v>
      </c>
      <c r="L2108" s="70" t="s">
        <v>16493</v>
      </c>
      <c r="N2108" s="70" t="s">
        <v>16494</v>
      </c>
      <c r="P2108" s="76">
        <v>45684.0</v>
      </c>
      <c r="U2108" s="70" t="s">
        <v>239</v>
      </c>
      <c r="W2108" s="70" t="s">
        <v>30796</v>
      </c>
      <c r="Y2108" s="70" t="s">
        <v>21888</v>
      </c>
      <c r="Z2108" s="75" t="s">
        <v>21889</v>
      </c>
      <c r="AA2108" s="70" t="s">
        <v>21890</v>
      </c>
      <c r="AE2108" s="70">
        <v>237.0</v>
      </c>
      <c r="AF2108" s="70" t="s">
        <v>16423</v>
      </c>
      <c r="AW2108" s="70" t="s">
        <v>21891</v>
      </c>
      <c r="AZ2108" s="70">
        <v>890.0</v>
      </c>
    </row>
    <row r="2109" ht="22.5" customHeight="1">
      <c r="A2109" s="70" t="str">
        <f t="shared" si="1"/>
        <v>Excluded</v>
      </c>
      <c r="B2109" s="70">
        <f t="shared" si="2"/>
        <v>0</v>
      </c>
      <c r="C2109" s="70">
        <v>0.0</v>
      </c>
      <c r="D2109" s="70">
        <v>0.0</v>
      </c>
      <c r="E2109" s="70">
        <v>0.0</v>
      </c>
      <c r="F2109" s="70">
        <v>0.0</v>
      </c>
      <c r="G2109" s="70">
        <v>0.0</v>
      </c>
      <c r="H2109" s="70" t="s">
        <v>18863</v>
      </c>
      <c r="I2109" s="70">
        <v>2073.0</v>
      </c>
      <c r="J2109" s="70" t="s">
        <v>18859</v>
      </c>
      <c r="K2109" s="70" t="s">
        <v>18860</v>
      </c>
      <c r="L2109" s="70" t="s">
        <v>18861</v>
      </c>
      <c r="N2109" s="70" t="s">
        <v>18862</v>
      </c>
      <c r="P2109" s="77">
        <v>44348.0</v>
      </c>
      <c r="U2109" s="70" t="s">
        <v>239</v>
      </c>
      <c r="W2109" s="70" t="s">
        <v>18865</v>
      </c>
      <c r="Y2109" s="70" t="s">
        <v>30797</v>
      </c>
      <c r="Z2109" s="75" t="s">
        <v>18867</v>
      </c>
      <c r="AA2109" s="70" t="s">
        <v>18868</v>
      </c>
      <c r="AC2109" s="70">
        <v>15.0</v>
      </c>
      <c r="AE2109" s="70">
        <v>72.0</v>
      </c>
      <c r="AF2109" s="70" t="s">
        <v>16423</v>
      </c>
      <c r="AW2109" s="70" t="s">
        <v>18869</v>
      </c>
      <c r="AX2109" s="70">
        <v>0.0</v>
      </c>
      <c r="AY2109" s="70" t="s">
        <v>24</v>
      </c>
      <c r="AZ2109" s="70">
        <v>2711.0</v>
      </c>
    </row>
    <row r="2110" ht="22.5" customHeight="1">
      <c r="A2110" s="70" t="str">
        <f t="shared" si="1"/>
        <v>Excluded</v>
      </c>
      <c r="B2110" s="70">
        <f t="shared" si="2"/>
        <v>0</v>
      </c>
      <c r="C2110" s="70">
        <v>0.0</v>
      </c>
      <c r="D2110" s="70">
        <v>0.0</v>
      </c>
      <c r="E2110" s="70">
        <v>0.0</v>
      </c>
      <c r="F2110" s="70">
        <v>0.0</v>
      </c>
      <c r="G2110" s="70">
        <v>0.0</v>
      </c>
      <c r="H2110" s="70" t="s">
        <v>18506</v>
      </c>
      <c r="I2110" s="70">
        <v>2033.0</v>
      </c>
      <c r="J2110" s="70" t="s">
        <v>18502</v>
      </c>
      <c r="K2110" s="70" t="s">
        <v>18503</v>
      </c>
      <c r="L2110" s="70" t="s">
        <v>18504</v>
      </c>
      <c r="N2110" s="70" t="s">
        <v>18505</v>
      </c>
      <c r="P2110" s="77">
        <v>44228.0</v>
      </c>
      <c r="U2110" s="70" t="s">
        <v>239</v>
      </c>
      <c r="W2110" s="70" t="s">
        <v>18508</v>
      </c>
      <c r="Y2110" s="70" t="s">
        <v>18509</v>
      </c>
      <c r="Z2110" s="75" t="s">
        <v>18510</v>
      </c>
      <c r="AA2110" s="70" t="s">
        <v>18511</v>
      </c>
      <c r="AC2110" s="70">
        <v>20.0</v>
      </c>
      <c r="AE2110" s="70">
        <v>57.0</v>
      </c>
      <c r="AF2110" s="70" t="s">
        <v>16423</v>
      </c>
      <c r="AW2110" s="70" t="s">
        <v>18512</v>
      </c>
      <c r="AX2110" s="70">
        <v>0.0</v>
      </c>
      <c r="AY2110" s="70" t="s">
        <v>24</v>
      </c>
      <c r="AZ2110" s="70">
        <v>2048.0</v>
      </c>
    </row>
    <row r="2111" ht="22.5" customHeight="1">
      <c r="A2111" s="70" t="str">
        <f t="shared" si="1"/>
        <v>Excluded</v>
      </c>
      <c r="B2111" s="70">
        <f t="shared" si="2"/>
        <v>0</v>
      </c>
      <c r="C2111" s="70">
        <v>0.0</v>
      </c>
      <c r="D2111" s="70">
        <v>0.0</v>
      </c>
      <c r="E2111" s="70">
        <v>0.0</v>
      </c>
      <c r="F2111" s="70">
        <v>0.0</v>
      </c>
      <c r="G2111" s="70">
        <v>0.0</v>
      </c>
      <c r="H2111" s="70" t="s">
        <v>24829</v>
      </c>
      <c r="I2111" s="70">
        <v>2710.0</v>
      </c>
      <c r="J2111" s="70" t="s">
        <v>24827</v>
      </c>
      <c r="K2111" s="70" t="s">
        <v>24828</v>
      </c>
      <c r="W2111" s="70" t="s">
        <v>30798</v>
      </c>
      <c r="AA2111" s="70" t="s">
        <v>24831</v>
      </c>
      <c r="AI2111" s="70" t="s">
        <v>24832</v>
      </c>
      <c r="AJ2111" s="70" t="s">
        <v>24833</v>
      </c>
      <c r="AK2111" s="70">
        <v>2024.0</v>
      </c>
      <c r="AL2111" s="70" t="s">
        <v>18504</v>
      </c>
      <c r="AN2111" s="70">
        <v>861.0</v>
      </c>
      <c r="AO2111" s="70">
        <v>885.0</v>
      </c>
      <c r="AP2111" s="70">
        <v>24.0</v>
      </c>
      <c r="AQ2111" s="70">
        <v>1.0</v>
      </c>
      <c r="AR2111" s="75" t="s">
        <v>24834</v>
      </c>
      <c r="AS2111" s="70" t="s">
        <v>22525</v>
      </c>
      <c r="AU2111" s="70" t="s">
        <v>237</v>
      </c>
      <c r="AV2111" s="70" t="s">
        <v>24835</v>
      </c>
      <c r="AW2111" s="70" t="s">
        <v>24836</v>
      </c>
      <c r="AZ2111" s="70">
        <v>1002.0</v>
      </c>
    </row>
    <row r="2112" ht="22.5" customHeight="1">
      <c r="A2112" s="70" t="str">
        <f t="shared" si="1"/>
        <v>Excluded</v>
      </c>
      <c r="B2112" s="70">
        <f t="shared" si="2"/>
        <v>0</v>
      </c>
      <c r="C2112" s="70">
        <v>0.0</v>
      </c>
      <c r="D2112" s="70">
        <v>0.0</v>
      </c>
      <c r="E2112" s="70">
        <v>0.0</v>
      </c>
      <c r="F2112" s="70">
        <v>0.0</v>
      </c>
      <c r="G2112" s="70">
        <v>0.0</v>
      </c>
      <c r="H2112" s="70" t="s">
        <v>21463</v>
      </c>
      <c r="I2112" s="70">
        <v>2365.0</v>
      </c>
      <c r="J2112" s="70" t="s">
        <v>21461</v>
      </c>
      <c r="K2112" s="70" t="s">
        <v>21462</v>
      </c>
      <c r="L2112" s="70" t="s">
        <v>18504</v>
      </c>
      <c r="N2112" s="70" t="s">
        <v>18505</v>
      </c>
      <c r="P2112" s="76">
        <v>45645.0</v>
      </c>
      <c r="U2112" s="70" t="s">
        <v>239</v>
      </c>
      <c r="W2112" s="70" t="s">
        <v>30799</v>
      </c>
      <c r="Y2112" s="70" t="s">
        <v>21466</v>
      </c>
      <c r="Z2112" s="75" t="s">
        <v>21467</v>
      </c>
      <c r="AA2112" s="70" t="s">
        <v>21468</v>
      </c>
      <c r="AC2112" s="70">
        <v>1.0</v>
      </c>
      <c r="AE2112" s="70">
        <v>45.0</v>
      </c>
      <c r="AF2112" s="70" t="s">
        <v>16423</v>
      </c>
      <c r="AW2112" s="70" t="s">
        <v>21469</v>
      </c>
      <c r="AZ2112" s="70">
        <v>711.0</v>
      </c>
    </row>
    <row r="2113" ht="22.5" customHeight="1">
      <c r="A2113" s="70" t="str">
        <f t="shared" si="1"/>
        <v>Excluded</v>
      </c>
      <c r="B2113" s="70">
        <f t="shared" si="2"/>
        <v>0</v>
      </c>
      <c r="C2113" s="70">
        <v>0.0</v>
      </c>
      <c r="D2113" s="70">
        <v>0.0</v>
      </c>
      <c r="E2113" s="70">
        <v>0.0</v>
      </c>
      <c r="F2113" s="70">
        <v>0.0</v>
      </c>
      <c r="G2113" s="70">
        <v>0.0</v>
      </c>
      <c r="H2113" s="70" t="s">
        <v>22113</v>
      </c>
      <c r="I2113" s="70">
        <v>2439.0</v>
      </c>
      <c r="J2113" s="70" t="s">
        <v>22111</v>
      </c>
      <c r="K2113" s="70" t="s">
        <v>22112</v>
      </c>
      <c r="L2113" s="70" t="s">
        <v>18504</v>
      </c>
      <c r="N2113" s="70" t="s">
        <v>18505</v>
      </c>
      <c r="P2113" s="76">
        <v>45679.0</v>
      </c>
      <c r="U2113" s="70" t="s">
        <v>239</v>
      </c>
      <c r="W2113" s="70" t="s">
        <v>30800</v>
      </c>
      <c r="Y2113" s="70" t="s">
        <v>30801</v>
      </c>
      <c r="Z2113" s="75" t="s">
        <v>22117</v>
      </c>
      <c r="AA2113" s="70" t="s">
        <v>22118</v>
      </c>
      <c r="AE2113" s="70">
        <v>46.0</v>
      </c>
      <c r="AF2113" s="70" t="s">
        <v>16423</v>
      </c>
      <c r="AW2113" s="70" t="s">
        <v>22119</v>
      </c>
      <c r="AX2113" s="70">
        <v>0.0</v>
      </c>
      <c r="AY2113" s="70" t="s">
        <v>24</v>
      </c>
      <c r="AZ2113" s="70">
        <v>2847.0</v>
      </c>
    </row>
    <row r="2114" ht="22.5" customHeight="1">
      <c r="A2114" s="70" t="str">
        <f t="shared" si="1"/>
        <v>Excluded</v>
      </c>
      <c r="B2114" s="70">
        <f t="shared" si="2"/>
        <v>0</v>
      </c>
      <c r="C2114" s="70">
        <v>0.0</v>
      </c>
      <c r="D2114" s="70">
        <v>0.0</v>
      </c>
      <c r="E2114" s="70">
        <v>0.0</v>
      </c>
      <c r="F2114" s="70">
        <v>0.0</v>
      </c>
      <c r="G2114" s="70">
        <v>0.0</v>
      </c>
      <c r="H2114" s="70" t="s">
        <v>20580</v>
      </c>
      <c r="I2114" s="70">
        <v>2266.0</v>
      </c>
      <c r="J2114" s="70" t="s">
        <v>20576</v>
      </c>
      <c r="K2114" s="70" t="s">
        <v>20577</v>
      </c>
      <c r="L2114" s="70" t="s">
        <v>20578</v>
      </c>
      <c r="N2114" s="70" t="s">
        <v>20579</v>
      </c>
      <c r="P2114" s="77">
        <v>45239.0</v>
      </c>
      <c r="U2114" s="70" t="s">
        <v>239</v>
      </c>
      <c r="W2114" s="70" t="s">
        <v>20582</v>
      </c>
      <c r="Y2114" s="70" t="s">
        <v>30802</v>
      </c>
      <c r="Z2114" s="75" t="s">
        <v>20584</v>
      </c>
      <c r="AA2114" s="70" t="s">
        <v>20585</v>
      </c>
      <c r="AC2114" s="70">
        <v>3.0</v>
      </c>
      <c r="AE2114" s="70">
        <v>97.0</v>
      </c>
      <c r="AF2114" s="70" t="s">
        <v>16727</v>
      </c>
      <c r="AW2114" s="70" t="s">
        <v>20586</v>
      </c>
      <c r="AZ2114" s="70">
        <v>1100.0</v>
      </c>
    </row>
    <row r="2115" ht="22.5" customHeight="1">
      <c r="A2115" s="70" t="str">
        <f t="shared" si="1"/>
        <v>Excluded</v>
      </c>
      <c r="B2115" s="70">
        <f t="shared" si="2"/>
        <v>0</v>
      </c>
      <c r="C2115" s="70">
        <v>0.0</v>
      </c>
      <c r="D2115" s="70">
        <v>0.0</v>
      </c>
      <c r="E2115" s="70">
        <v>0.0</v>
      </c>
      <c r="F2115" s="70">
        <v>0.0</v>
      </c>
      <c r="G2115" s="70">
        <v>0.0</v>
      </c>
      <c r="H2115" s="70" t="s">
        <v>21481</v>
      </c>
      <c r="I2115" s="70">
        <v>2367.0</v>
      </c>
      <c r="J2115" s="70" t="s">
        <v>21479</v>
      </c>
      <c r="K2115" s="70" t="s">
        <v>21480</v>
      </c>
      <c r="L2115" s="70" t="s">
        <v>20578</v>
      </c>
      <c r="N2115" s="70" t="s">
        <v>20579</v>
      </c>
      <c r="P2115" s="76">
        <v>45454.0</v>
      </c>
      <c r="U2115" s="70" t="s">
        <v>239</v>
      </c>
      <c r="W2115" s="70" t="s">
        <v>21483</v>
      </c>
      <c r="Z2115" s="75" t="s">
        <v>21484</v>
      </c>
      <c r="AA2115" s="70" t="s">
        <v>21485</v>
      </c>
      <c r="AC2115" s="70">
        <v>1.0</v>
      </c>
      <c r="AE2115" s="70">
        <v>30.0</v>
      </c>
      <c r="AF2115" s="70" t="s">
        <v>16423</v>
      </c>
      <c r="AW2115" s="70" t="s">
        <v>21486</v>
      </c>
      <c r="AZ2115" s="70">
        <v>1352.0</v>
      </c>
    </row>
    <row r="2116" ht="22.5" customHeight="1">
      <c r="A2116" s="70" t="str">
        <f t="shared" si="1"/>
        <v>Excluded</v>
      </c>
      <c r="B2116" s="70">
        <f t="shared" si="2"/>
        <v>0</v>
      </c>
      <c r="C2116" s="70">
        <v>0.0</v>
      </c>
      <c r="D2116" s="70">
        <v>0.0</v>
      </c>
      <c r="E2116" s="70">
        <v>0.0</v>
      </c>
      <c r="F2116" s="70">
        <v>0.0</v>
      </c>
      <c r="G2116" s="70">
        <v>0.0</v>
      </c>
      <c r="H2116" s="70" t="s">
        <v>21788</v>
      </c>
      <c r="I2116" s="70">
        <v>2402.0</v>
      </c>
      <c r="J2116" s="70" t="s">
        <v>21784</v>
      </c>
      <c r="K2116" s="70" t="s">
        <v>21785</v>
      </c>
      <c r="L2116" s="70" t="s">
        <v>21786</v>
      </c>
      <c r="N2116" s="70" t="s">
        <v>21787</v>
      </c>
      <c r="P2116" s="76">
        <v>45656.0</v>
      </c>
      <c r="U2116" s="70" t="s">
        <v>239</v>
      </c>
      <c r="W2116" s="70" t="s">
        <v>21790</v>
      </c>
      <c r="Z2116" s="75" t="s">
        <v>21791</v>
      </c>
      <c r="AA2116" s="70" t="s">
        <v>21792</v>
      </c>
      <c r="AE2116" s="70">
        <v>118.0</v>
      </c>
      <c r="AF2116" s="70" t="s">
        <v>16423</v>
      </c>
      <c r="AW2116" s="70" t="s">
        <v>21793</v>
      </c>
      <c r="AZ2116" s="70">
        <v>1216.0</v>
      </c>
    </row>
    <row r="2117" ht="22.5" customHeight="1">
      <c r="A2117" s="70" t="str">
        <f t="shared" si="1"/>
        <v>Excluded</v>
      </c>
      <c r="B2117" s="70">
        <f t="shared" si="2"/>
        <v>0</v>
      </c>
      <c r="C2117" s="70">
        <v>0.0</v>
      </c>
      <c r="D2117" s="70">
        <v>0.0</v>
      </c>
      <c r="E2117" s="70">
        <v>0.0</v>
      </c>
      <c r="F2117" s="70">
        <v>0.0</v>
      </c>
      <c r="G2117" s="70">
        <v>0.0</v>
      </c>
      <c r="H2117" s="70" t="s">
        <v>28912</v>
      </c>
      <c r="I2117" s="70">
        <v>3107.0</v>
      </c>
      <c r="J2117" s="70" t="s">
        <v>28910</v>
      </c>
      <c r="K2117" s="70" t="s">
        <v>28911</v>
      </c>
      <c r="W2117" s="70" t="s">
        <v>30803</v>
      </c>
      <c r="AA2117" s="70" t="s">
        <v>28915</v>
      </c>
      <c r="AI2117" s="70" t="s">
        <v>28916</v>
      </c>
      <c r="AJ2117" s="70" t="s">
        <v>28917</v>
      </c>
      <c r="AK2117" s="70">
        <v>2018.0</v>
      </c>
      <c r="AL2117" s="70" t="s">
        <v>25589</v>
      </c>
      <c r="AM2117" s="70">
        <v>8644997.0</v>
      </c>
      <c r="AN2117" s="70">
        <v>1046.0</v>
      </c>
      <c r="AO2117" s="70">
        <v>1051.0</v>
      </c>
      <c r="AP2117" s="70">
        <v>5.0</v>
      </c>
      <c r="AQ2117" s="70">
        <v>3.0</v>
      </c>
      <c r="AR2117" s="75" t="s">
        <v>28918</v>
      </c>
      <c r="AS2117" s="70" t="s">
        <v>22525</v>
      </c>
      <c r="AU2117" s="70" t="s">
        <v>237</v>
      </c>
      <c r="AV2117" s="70" t="s">
        <v>28919</v>
      </c>
      <c r="AW2117" s="70" t="s">
        <v>28920</v>
      </c>
      <c r="AZ2117" s="70">
        <v>1139.0</v>
      </c>
    </row>
    <row r="2118" ht="22.5" customHeight="1">
      <c r="A2118" s="70" t="str">
        <f t="shared" si="1"/>
        <v>Excluded</v>
      </c>
      <c r="B2118" s="70">
        <f t="shared" si="2"/>
        <v>0</v>
      </c>
      <c r="C2118" s="70">
        <v>0.0</v>
      </c>
      <c r="D2118" s="70">
        <v>0.0</v>
      </c>
      <c r="E2118" s="70">
        <v>0.0</v>
      </c>
      <c r="F2118" s="70">
        <v>0.0</v>
      </c>
      <c r="G2118" s="70">
        <v>0.0</v>
      </c>
      <c r="H2118" s="70" t="s">
        <v>10899</v>
      </c>
      <c r="I2118" s="70">
        <v>1118.0</v>
      </c>
      <c r="K2118" s="70" t="s">
        <v>10618</v>
      </c>
      <c r="L2118" s="70" t="s">
        <v>10897</v>
      </c>
      <c r="N2118" s="70" t="s">
        <v>10898</v>
      </c>
      <c r="P2118" s="76">
        <v>43902.0</v>
      </c>
      <c r="U2118" s="70" t="s">
        <v>239</v>
      </c>
      <c r="W2118" s="70" t="s">
        <v>10602</v>
      </c>
      <c r="X2118" s="70" t="s">
        <v>10900</v>
      </c>
      <c r="Z2118" s="75" t="s">
        <v>10901</v>
      </c>
      <c r="AF2118" s="70" t="s">
        <v>239</v>
      </c>
      <c r="AZ2118" s="70">
        <v>1624.0</v>
      </c>
    </row>
    <row r="2119" ht="22.5" customHeight="1">
      <c r="A2119" s="70" t="str">
        <f t="shared" si="1"/>
        <v>Excluded</v>
      </c>
      <c r="B2119" s="70">
        <f t="shared" si="2"/>
        <v>0</v>
      </c>
      <c r="C2119" s="70">
        <v>0.0</v>
      </c>
      <c r="D2119" s="70">
        <v>0.0</v>
      </c>
      <c r="E2119" s="70">
        <v>0.0</v>
      </c>
      <c r="F2119" s="70">
        <v>0.0</v>
      </c>
      <c r="G2119" s="70">
        <v>0.0</v>
      </c>
      <c r="H2119" s="70" t="s">
        <v>5808</v>
      </c>
      <c r="I2119" s="70">
        <v>547.0</v>
      </c>
      <c r="J2119" s="70" t="s">
        <v>5804</v>
      </c>
      <c r="K2119" s="70" t="s">
        <v>5805</v>
      </c>
      <c r="L2119" s="70" t="s">
        <v>5806</v>
      </c>
      <c r="N2119" s="70" t="s">
        <v>5807</v>
      </c>
      <c r="P2119" s="76">
        <v>44211.0</v>
      </c>
      <c r="U2119" s="70" t="s">
        <v>239</v>
      </c>
      <c r="W2119" s="70" t="s">
        <v>5810</v>
      </c>
      <c r="X2119" s="70" t="s">
        <v>5811</v>
      </c>
      <c r="Z2119" s="75" t="s">
        <v>5812</v>
      </c>
      <c r="AA2119" s="70" t="s">
        <v>5813</v>
      </c>
      <c r="AC2119" s="70">
        <v>9.0</v>
      </c>
      <c r="AE2119" s="70">
        <v>26.0</v>
      </c>
      <c r="AF2119" s="70" t="s">
        <v>239</v>
      </c>
      <c r="AW2119" s="70" t="s">
        <v>5814</v>
      </c>
      <c r="AX2119" s="70">
        <v>0.0</v>
      </c>
      <c r="AY2119" s="70" t="s">
        <v>24</v>
      </c>
      <c r="AZ2119" s="70">
        <v>2931.0</v>
      </c>
    </row>
    <row r="2120" ht="22.5" customHeight="1">
      <c r="A2120" s="70" t="str">
        <f t="shared" si="1"/>
        <v>Excluded</v>
      </c>
      <c r="B2120" s="70">
        <f t="shared" si="2"/>
        <v>0</v>
      </c>
      <c r="C2120" s="70">
        <v>0.0</v>
      </c>
      <c r="D2120" s="70">
        <v>0.0</v>
      </c>
      <c r="E2120" s="70">
        <v>0.0</v>
      </c>
      <c r="F2120" s="70">
        <v>0.0</v>
      </c>
      <c r="G2120" s="70">
        <v>0.0</v>
      </c>
      <c r="H2120" s="70" t="s">
        <v>7902</v>
      </c>
      <c r="I2120" s="70">
        <v>761.0</v>
      </c>
      <c r="J2120" s="70" t="s">
        <v>7898</v>
      </c>
      <c r="K2120" s="70" t="s">
        <v>7899</v>
      </c>
      <c r="L2120" s="70" t="s">
        <v>7900</v>
      </c>
      <c r="N2120" s="70" t="s">
        <v>7901</v>
      </c>
      <c r="P2120" s="77">
        <v>43258.0</v>
      </c>
      <c r="U2120" s="70" t="s">
        <v>239</v>
      </c>
      <c r="W2120" s="70" t="s">
        <v>7904</v>
      </c>
      <c r="X2120" s="70" t="s">
        <v>7905</v>
      </c>
      <c r="Z2120" s="75" t="s">
        <v>7906</v>
      </c>
      <c r="AA2120" s="70" t="s">
        <v>7907</v>
      </c>
      <c r="AC2120" s="70">
        <v>2.0</v>
      </c>
      <c r="AE2120" s="70">
        <v>16.0</v>
      </c>
      <c r="AF2120" s="70" t="s">
        <v>239</v>
      </c>
      <c r="AW2120" s="70" t="s">
        <v>7908</v>
      </c>
      <c r="AX2120" s="70">
        <v>0.0</v>
      </c>
      <c r="AY2120" s="70" t="s">
        <v>24</v>
      </c>
      <c r="AZ2120" s="70">
        <v>2885.0</v>
      </c>
    </row>
    <row r="2121" ht="22.5" customHeight="1">
      <c r="A2121" s="70" t="str">
        <f t="shared" si="1"/>
        <v>Excluded</v>
      </c>
      <c r="B2121" s="70">
        <f t="shared" si="2"/>
        <v>0</v>
      </c>
      <c r="C2121" s="70">
        <v>0.0</v>
      </c>
      <c r="D2121" s="70">
        <v>0.0</v>
      </c>
      <c r="E2121" s="70">
        <v>0.0</v>
      </c>
      <c r="F2121" s="70">
        <v>0.0</v>
      </c>
      <c r="G2121" s="70">
        <v>0.0</v>
      </c>
      <c r="H2121" s="70" t="s">
        <v>13253</v>
      </c>
      <c r="I2121" s="70">
        <v>1381.0</v>
      </c>
      <c r="J2121" s="70" t="s">
        <v>13250</v>
      </c>
      <c r="K2121" s="70" t="s">
        <v>13251</v>
      </c>
      <c r="L2121" s="70" t="s">
        <v>13252</v>
      </c>
      <c r="N2121" s="70" t="s">
        <v>7901</v>
      </c>
      <c r="P2121" s="76">
        <v>45397.0</v>
      </c>
      <c r="U2121" s="70" t="s">
        <v>239</v>
      </c>
      <c r="W2121" s="70" t="s">
        <v>13255</v>
      </c>
      <c r="X2121" s="70" t="s">
        <v>13256</v>
      </c>
      <c r="Y2121" s="70" t="s">
        <v>30804</v>
      </c>
      <c r="Z2121" s="75" t="s">
        <v>13258</v>
      </c>
      <c r="AA2121" s="70" t="s">
        <v>13259</v>
      </c>
      <c r="AE2121" s="70">
        <v>26.0</v>
      </c>
      <c r="AF2121" s="70" t="s">
        <v>239</v>
      </c>
      <c r="AW2121" s="70" t="s">
        <v>13260</v>
      </c>
      <c r="AX2121" s="70">
        <v>0.0</v>
      </c>
      <c r="AY2121" s="70" t="s">
        <v>24</v>
      </c>
      <c r="AZ2121" s="70">
        <v>3020.0</v>
      </c>
    </row>
    <row r="2122" ht="22.5" customHeight="1">
      <c r="A2122" s="70" t="str">
        <f t="shared" si="1"/>
        <v>Excluded</v>
      </c>
      <c r="B2122" s="70">
        <f t="shared" si="2"/>
        <v>0</v>
      </c>
      <c r="C2122" s="70">
        <v>0.0</v>
      </c>
      <c r="D2122" s="70">
        <v>0.0</v>
      </c>
      <c r="E2122" s="70">
        <v>0.0</v>
      </c>
      <c r="F2122" s="70">
        <v>0.0</v>
      </c>
      <c r="G2122" s="70">
        <v>0.0</v>
      </c>
      <c r="H2122" s="70" t="s">
        <v>6409</v>
      </c>
      <c r="I2122" s="70">
        <v>608.0</v>
      </c>
      <c r="J2122" s="70" t="s">
        <v>6406</v>
      </c>
      <c r="K2122" s="70" t="s">
        <v>6407</v>
      </c>
      <c r="L2122" s="70" t="s">
        <v>6408</v>
      </c>
      <c r="P2122" s="76">
        <v>43934.0</v>
      </c>
      <c r="U2122" s="70" t="s">
        <v>239</v>
      </c>
      <c r="W2122" s="70" t="s">
        <v>6411</v>
      </c>
      <c r="X2122" s="70" t="s">
        <v>6412</v>
      </c>
      <c r="Z2122" s="75" t="s">
        <v>6413</v>
      </c>
      <c r="AA2122" s="70" t="s">
        <v>6414</v>
      </c>
      <c r="AC2122" s="70">
        <v>6.0</v>
      </c>
      <c r="AE2122" s="70">
        <v>43.0</v>
      </c>
      <c r="AF2122" s="70" t="s">
        <v>239</v>
      </c>
      <c r="AW2122" s="70" t="s">
        <v>6415</v>
      </c>
      <c r="AX2122" s="70">
        <v>0.0</v>
      </c>
      <c r="AY2122" s="70" t="s">
        <v>24</v>
      </c>
      <c r="AZ2122" s="70">
        <v>2873.0</v>
      </c>
    </row>
    <row r="2123" ht="22.5" customHeight="1">
      <c r="A2123" s="70" t="str">
        <f t="shared" si="1"/>
        <v>Excluded</v>
      </c>
      <c r="B2123" s="70">
        <f t="shared" si="2"/>
        <v>0</v>
      </c>
      <c r="C2123" s="70">
        <v>0.0</v>
      </c>
      <c r="D2123" s="70">
        <v>0.0</v>
      </c>
      <c r="E2123" s="70">
        <v>0.0</v>
      </c>
      <c r="F2123" s="70">
        <v>0.0</v>
      </c>
      <c r="G2123" s="70">
        <v>0.0</v>
      </c>
      <c r="H2123" s="70" t="s">
        <v>13962</v>
      </c>
      <c r="I2123" s="70">
        <v>1454.0</v>
      </c>
      <c r="J2123" s="70" t="s">
        <v>13959</v>
      </c>
      <c r="K2123" s="70" t="s">
        <v>13960</v>
      </c>
      <c r="L2123" s="70" t="s">
        <v>13961</v>
      </c>
      <c r="N2123" s="70" t="s">
        <v>9264</v>
      </c>
      <c r="P2123" s="76">
        <v>45160.0</v>
      </c>
      <c r="U2123" s="70" t="s">
        <v>239</v>
      </c>
      <c r="W2123" s="70" t="s">
        <v>13964</v>
      </c>
      <c r="X2123" s="70" t="s">
        <v>13965</v>
      </c>
      <c r="Y2123" s="70" t="s">
        <v>30228</v>
      </c>
      <c r="Z2123" s="75" t="s">
        <v>13966</v>
      </c>
      <c r="AA2123" s="70" t="s">
        <v>13967</v>
      </c>
      <c r="AE2123" s="70">
        <v>9.0</v>
      </c>
      <c r="AF2123" s="70" t="s">
        <v>239</v>
      </c>
      <c r="AW2123" s="70" t="s">
        <v>13968</v>
      </c>
      <c r="AZ2123" s="70">
        <v>154.0</v>
      </c>
    </row>
    <row r="2124" ht="22.5" customHeight="1">
      <c r="A2124" s="70" t="str">
        <f t="shared" si="1"/>
        <v>Excluded</v>
      </c>
      <c r="B2124" s="70">
        <f t="shared" si="2"/>
        <v>0</v>
      </c>
      <c r="C2124" s="70">
        <v>0.0</v>
      </c>
      <c r="D2124" s="70">
        <v>0.0</v>
      </c>
      <c r="E2124" s="70">
        <v>0.0</v>
      </c>
      <c r="F2124" s="70">
        <v>0.0</v>
      </c>
      <c r="G2124" s="70">
        <v>0.0</v>
      </c>
      <c r="H2124" s="70" t="s">
        <v>7286</v>
      </c>
      <c r="I2124" s="70">
        <v>698.0</v>
      </c>
      <c r="J2124" s="70" t="s">
        <v>30805</v>
      </c>
      <c r="K2124" s="70" t="s">
        <v>7284</v>
      </c>
      <c r="L2124" s="70" t="s">
        <v>7285</v>
      </c>
      <c r="P2124" s="76">
        <v>43080.0</v>
      </c>
      <c r="U2124" s="70" t="s">
        <v>239</v>
      </c>
      <c r="W2124" s="70" t="s">
        <v>7288</v>
      </c>
      <c r="X2124" s="70" t="s">
        <v>7289</v>
      </c>
      <c r="Z2124" s="75" t="s">
        <v>7290</v>
      </c>
      <c r="AA2124" s="70" t="s">
        <v>7291</v>
      </c>
      <c r="AC2124" s="70">
        <v>4.0</v>
      </c>
      <c r="AE2124" s="70">
        <v>20.0</v>
      </c>
      <c r="AF2124" s="70" t="s">
        <v>239</v>
      </c>
      <c r="AW2124" s="70" t="s">
        <v>7292</v>
      </c>
      <c r="AZ2124" s="70">
        <v>1246.0</v>
      </c>
    </row>
    <row r="2125" ht="22.5" customHeight="1">
      <c r="A2125" s="70" t="str">
        <f t="shared" si="1"/>
        <v>Excluded</v>
      </c>
      <c r="B2125" s="70">
        <f t="shared" si="2"/>
        <v>0</v>
      </c>
      <c r="C2125" s="70">
        <v>0.0</v>
      </c>
      <c r="D2125" s="70">
        <v>0.0</v>
      </c>
      <c r="E2125" s="70">
        <v>0.0</v>
      </c>
      <c r="F2125" s="70">
        <v>0.0</v>
      </c>
      <c r="G2125" s="70">
        <v>0.0</v>
      </c>
      <c r="H2125" s="70" t="s">
        <v>13125</v>
      </c>
      <c r="I2125" s="70">
        <v>1368.0</v>
      </c>
      <c r="J2125" s="70" t="s">
        <v>13122</v>
      </c>
      <c r="K2125" s="70" t="s">
        <v>13123</v>
      </c>
      <c r="L2125" s="70" t="s">
        <v>13124</v>
      </c>
      <c r="P2125" s="76">
        <v>45674.0</v>
      </c>
      <c r="U2125" s="70" t="s">
        <v>239</v>
      </c>
      <c r="W2125" s="70" t="s">
        <v>30806</v>
      </c>
      <c r="X2125" s="70" t="s">
        <v>13128</v>
      </c>
      <c r="Z2125" s="75" t="s">
        <v>13129</v>
      </c>
      <c r="AA2125" s="70" t="s">
        <v>13130</v>
      </c>
      <c r="AE2125" s="70">
        <v>18.0</v>
      </c>
      <c r="AF2125" s="70" t="s">
        <v>239</v>
      </c>
      <c r="AW2125" s="70" t="s">
        <v>13131</v>
      </c>
      <c r="AZ2125" s="70">
        <v>460.0</v>
      </c>
    </row>
    <row r="2126" ht="22.5" customHeight="1">
      <c r="A2126" s="70" t="str">
        <f t="shared" si="1"/>
        <v>Excluded</v>
      </c>
      <c r="B2126" s="70">
        <f t="shared" si="2"/>
        <v>0</v>
      </c>
      <c r="C2126" s="70">
        <v>0.0</v>
      </c>
      <c r="D2126" s="70">
        <v>0.0</v>
      </c>
      <c r="E2126" s="70">
        <v>0.0</v>
      </c>
      <c r="F2126" s="70">
        <v>0.0</v>
      </c>
      <c r="G2126" s="70">
        <v>0.0</v>
      </c>
      <c r="H2126" s="70" t="s">
        <v>15330</v>
      </c>
      <c r="I2126" s="70">
        <v>1599.0</v>
      </c>
      <c r="J2126" s="70" t="s">
        <v>15328</v>
      </c>
      <c r="K2126" s="70" t="s">
        <v>15329</v>
      </c>
      <c r="L2126" s="70" t="s">
        <v>12439</v>
      </c>
      <c r="P2126" s="76">
        <v>45364.0</v>
      </c>
      <c r="U2126" s="70" t="s">
        <v>239</v>
      </c>
      <c r="W2126" s="70" t="s">
        <v>15332</v>
      </c>
      <c r="X2126" s="70" t="s">
        <v>12443</v>
      </c>
      <c r="Z2126" s="75" t="s">
        <v>15333</v>
      </c>
      <c r="AA2126" s="70" t="s">
        <v>15334</v>
      </c>
      <c r="AE2126" s="70">
        <v>26.0</v>
      </c>
      <c r="AF2126" s="70" t="s">
        <v>239</v>
      </c>
      <c r="AW2126" s="70" t="s">
        <v>15335</v>
      </c>
      <c r="AZ2126" s="70">
        <v>700.0</v>
      </c>
    </row>
    <row r="2127" ht="22.5" customHeight="1">
      <c r="A2127" s="70" t="str">
        <f t="shared" si="1"/>
        <v>Excluded</v>
      </c>
      <c r="B2127" s="70">
        <f t="shared" si="2"/>
        <v>0</v>
      </c>
      <c r="C2127" s="70">
        <v>0.0</v>
      </c>
      <c r="D2127" s="70">
        <v>0.0</v>
      </c>
      <c r="E2127" s="70">
        <v>0.0</v>
      </c>
      <c r="F2127" s="70">
        <v>0.0</v>
      </c>
      <c r="G2127" s="70">
        <v>0.0</v>
      </c>
      <c r="H2127" s="70" t="s">
        <v>12440</v>
      </c>
      <c r="I2127" s="70">
        <v>1299.0</v>
      </c>
      <c r="J2127" s="70" t="s">
        <v>12437</v>
      </c>
      <c r="K2127" s="70" t="s">
        <v>12438</v>
      </c>
      <c r="L2127" s="70" t="s">
        <v>12439</v>
      </c>
      <c r="P2127" s="76">
        <v>45364.0</v>
      </c>
      <c r="U2127" s="70" t="s">
        <v>239</v>
      </c>
      <c r="W2127" s="70" t="s">
        <v>12442</v>
      </c>
      <c r="X2127" s="70" t="s">
        <v>12443</v>
      </c>
      <c r="Z2127" s="75" t="s">
        <v>12444</v>
      </c>
      <c r="AA2127" s="70" t="s">
        <v>12445</v>
      </c>
      <c r="AC2127" s="70">
        <v>1.0</v>
      </c>
      <c r="AE2127" s="70">
        <v>16.0</v>
      </c>
      <c r="AF2127" s="70" t="s">
        <v>239</v>
      </c>
      <c r="AW2127" s="70" t="s">
        <v>12446</v>
      </c>
      <c r="AX2127" s="70">
        <v>0.0</v>
      </c>
      <c r="AY2127" s="70" t="s">
        <v>24</v>
      </c>
      <c r="AZ2127" s="70">
        <v>2394.0</v>
      </c>
    </row>
    <row r="2128" ht="22.5" customHeight="1">
      <c r="A2128" s="70" t="str">
        <f t="shared" si="1"/>
        <v>Excluded</v>
      </c>
      <c r="B2128" s="70">
        <f t="shared" si="2"/>
        <v>0</v>
      </c>
      <c r="C2128" s="70">
        <v>0.0</v>
      </c>
      <c r="D2128" s="70">
        <v>0.0</v>
      </c>
      <c r="E2128" s="70">
        <v>0.0</v>
      </c>
      <c r="F2128" s="70">
        <v>0.0</v>
      </c>
      <c r="G2128" s="70">
        <v>0.0</v>
      </c>
      <c r="H2128" s="70" t="s">
        <v>7210</v>
      </c>
      <c r="I2128" s="70">
        <v>690.0</v>
      </c>
      <c r="J2128" s="70" t="s">
        <v>7207</v>
      </c>
      <c r="K2128" s="70" t="s">
        <v>7208</v>
      </c>
      <c r="L2128" s="70" t="s">
        <v>7209</v>
      </c>
      <c r="P2128" s="77">
        <v>43380.0</v>
      </c>
      <c r="U2128" s="70" t="s">
        <v>239</v>
      </c>
      <c r="W2128" s="70" t="s">
        <v>30807</v>
      </c>
      <c r="X2128" s="70" t="s">
        <v>7213</v>
      </c>
      <c r="Z2128" s="75" t="s">
        <v>7214</v>
      </c>
      <c r="AA2128" s="70" t="s">
        <v>7215</v>
      </c>
      <c r="AC2128" s="70">
        <v>4.0</v>
      </c>
      <c r="AE2128" s="70">
        <v>10.0</v>
      </c>
      <c r="AF2128" s="70" t="s">
        <v>239</v>
      </c>
      <c r="AZ2128" s="70">
        <v>279.0</v>
      </c>
    </row>
    <row r="2129" ht="22.5" customHeight="1">
      <c r="A2129" s="70" t="str">
        <f t="shared" si="1"/>
        <v>Excluded</v>
      </c>
      <c r="B2129" s="70">
        <f t="shared" si="2"/>
        <v>0</v>
      </c>
      <c r="C2129" s="70">
        <v>0.0</v>
      </c>
      <c r="D2129" s="70">
        <v>0.0</v>
      </c>
      <c r="E2129" s="70">
        <v>0.0</v>
      </c>
      <c r="F2129" s="70">
        <v>0.0</v>
      </c>
      <c r="G2129" s="70">
        <v>0.0</v>
      </c>
      <c r="H2129" s="70" t="s">
        <v>7860</v>
      </c>
      <c r="I2129" s="70">
        <v>757.0</v>
      </c>
      <c r="J2129" s="70" t="s">
        <v>7858</v>
      </c>
      <c r="K2129" s="70" t="s">
        <v>7859</v>
      </c>
      <c r="L2129" s="70" t="s">
        <v>7209</v>
      </c>
      <c r="P2129" s="77">
        <v>43380.0</v>
      </c>
      <c r="U2129" s="70" t="s">
        <v>239</v>
      </c>
      <c r="W2129" s="70" t="s">
        <v>7862</v>
      </c>
      <c r="X2129" s="70" t="s">
        <v>7213</v>
      </c>
      <c r="Z2129" s="75" t="s">
        <v>7863</v>
      </c>
      <c r="AA2129" s="70" t="s">
        <v>7864</v>
      </c>
      <c r="AC2129" s="70">
        <v>2.0</v>
      </c>
      <c r="AE2129" s="70">
        <v>27.0</v>
      </c>
      <c r="AF2129" s="70" t="s">
        <v>239</v>
      </c>
      <c r="AW2129" s="70" t="s">
        <v>7865</v>
      </c>
      <c r="AX2129" s="70">
        <v>0.0</v>
      </c>
      <c r="AY2129" s="70" t="s">
        <v>24</v>
      </c>
      <c r="AZ2129" s="70">
        <v>2879.0</v>
      </c>
    </row>
    <row r="2130" ht="22.5" customHeight="1">
      <c r="A2130" s="70" t="str">
        <f t="shared" si="1"/>
        <v>Excluded</v>
      </c>
      <c r="B2130" s="70">
        <f t="shared" si="2"/>
        <v>0</v>
      </c>
      <c r="C2130" s="70">
        <v>0.0</v>
      </c>
      <c r="D2130" s="70">
        <v>0.0</v>
      </c>
      <c r="E2130" s="70">
        <v>0.0</v>
      </c>
      <c r="F2130" s="70">
        <v>0.0</v>
      </c>
      <c r="G2130" s="70">
        <v>0.0</v>
      </c>
      <c r="H2130" s="70" t="s">
        <v>10807</v>
      </c>
      <c r="I2130" s="70">
        <v>1094.0</v>
      </c>
      <c r="K2130" s="70" t="s">
        <v>10805</v>
      </c>
      <c r="L2130" s="70" t="s">
        <v>10806</v>
      </c>
      <c r="P2130" s="77">
        <v>44379.0</v>
      </c>
      <c r="U2130" s="70" t="s">
        <v>239</v>
      </c>
      <c r="W2130" s="70" t="s">
        <v>10602</v>
      </c>
      <c r="X2130" s="70" t="s">
        <v>10809</v>
      </c>
      <c r="Z2130" s="75" t="s">
        <v>10810</v>
      </c>
      <c r="AF2130" s="70" t="s">
        <v>239</v>
      </c>
      <c r="AZ2130" s="70">
        <v>1530.0</v>
      </c>
    </row>
    <row r="2131" ht="22.5" customHeight="1">
      <c r="A2131" s="70" t="str">
        <f t="shared" si="1"/>
        <v>Excluded</v>
      </c>
      <c r="B2131" s="70">
        <f t="shared" si="2"/>
        <v>0</v>
      </c>
      <c r="C2131" s="70">
        <v>0.0</v>
      </c>
      <c r="D2131" s="70">
        <v>0.0</v>
      </c>
      <c r="E2131" s="70">
        <v>0.0</v>
      </c>
      <c r="F2131" s="70">
        <v>0.0</v>
      </c>
      <c r="G2131" s="70">
        <v>0.0</v>
      </c>
      <c r="H2131" s="70" t="s">
        <v>15188</v>
      </c>
      <c r="I2131" s="70">
        <v>1584.0</v>
      </c>
      <c r="J2131" s="70" t="s">
        <v>30808</v>
      </c>
      <c r="K2131" s="70" t="s">
        <v>15186</v>
      </c>
      <c r="L2131" s="70" t="s">
        <v>15187</v>
      </c>
      <c r="P2131" s="76">
        <v>45645.0</v>
      </c>
      <c r="U2131" s="70" t="s">
        <v>239</v>
      </c>
      <c r="W2131" s="70" t="s">
        <v>15190</v>
      </c>
      <c r="X2131" s="70" t="s">
        <v>15191</v>
      </c>
      <c r="Y2131" s="70" t="s">
        <v>30809</v>
      </c>
      <c r="Z2131" s="75" t="s">
        <v>15193</v>
      </c>
      <c r="AA2131" s="70" t="s">
        <v>15194</v>
      </c>
      <c r="AE2131" s="70">
        <v>25.0</v>
      </c>
      <c r="AF2131" s="70" t="s">
        <v>239</v>
      </c>
      <c r="AW2131" s="70" t="s">
        <v>15195</v>
      </c>
      <c r="AZ2131" s="70">
        <v>1053.0</v>
      </c>
    </row>
    <row r="2132" ht="22.5" customHeight="1">
      <c r="A2132" s="70" t="str">
        <f t="shared" si="1"/>
        <v>Excluded</v>
      </c>
      <c r="B2132" s="70">
        <f t="shared" si="2"/>
        <v>0</v>
      </c>
      <c r="C2132" s="70">
        <v>0.0</v>
      </c>
      <c r="D2132" s="70">
        <v>0.0</v>
      </c>
      <c r="E2132" s="70">
        <v>0.0</v>
      </c>
      <c r="F2132" s="70">
        <v>0.0</v>
      </c>
      <c r="G2132" s="70">
        <v>0.0</v>
      </c>
      <c r="H2132" s="70" t="s">
        <v>7880</v>
      </c>
      <c r="I2132" s="70">
        <v>759.0</v>
      </c>
      <c r="J2132" s="70" t="s">
        <v>30810</v>
      </c>
      <c r="K2132" s="70" t="s">
        <v>7878</v>
      </c>
      <c r="L2132" s="70" t="s">
        <v>7879</v>
      </c>
      <c r="N2132" s="70" t="s">
        <v>6357</v>
      </c>
      <c r="P2132" s="76">
        <v>42726.0</v>
      </c>
      <c r="U2132" s="70" t="s">
        <v>239</v>
      </c>
      <c r="W2132" s="70" t="s">
        <v>7882</v>
      </c>
      <c r="X2132" s="70" t="s">
        <v>7883</v>
      </c>
      <c r="Z2132" s="75" t="s">
        <v>7884</v>
      </c>
      <c r="AA2132" s="70" t="s">
        <v>7885</v>
      </c>
      <c r="AC2132" s="70">
        <v>2.0</v>
      </c>
      <c r="AE2132" s="70">
        <v>23.0</v>
      </c>
      <c r="AF2132" s="70" t="s">
        <v>239</v>
      </c>
      <c r="AW2132" s="70" t="s">
        <v>7886</v>
      </c>
      <c r="AZ2132" s="70">
        <v>1294.0</v>
      </c>
    </row>
    <row r="2133" ht="22.5" customHeight="1">
      <c r="A2133" s="70" t="str">
        <f t="shared" si="1"/>
        <v>Excluded</v>
      </c>
      <c r="B2133" s="70">
        <f t="shared" si="2"/>
        <v>0</v>
      </c>
      <c r="C2133" s="70">
        <v>0.0</v>
      </c>
      <c r="D2133" s="70">
        <v>0.0</v>
      </c>
      <c r="E2133" s="70">
        <v>0.0</v>
      </c>
      <c r="F2133" s="70">
        <v>0.0</v>
      </c>
      <c r="G2133" s="70">
        <v>0.0</v>
      </c>
      <c r="H2133" s="70" t="s">
        <v>6358</v>
      </c>
      <c r="I2133" s="70">
        <v>603.0</v>
      </c>
      <c r="J2133" s="70" t="s">
        <v>30811</v>
      </c>
      <c r="K2133" s="70" t="s">
        <v>6355</v>
      </c>
      <c r="L2133" s="70" t="s">
        <v>6356</v>
      </c>
      <c r="N2133" s="70" t="s">
        <v>6357</v>
      </c>
      <c r="P2133" s="76">
        <v>43146.0</v>
      </c>
      <c r="U2133" s="70" t="s">
        <v>239</v>
      </c>
      <c r="W2133" s="70" t="s">
        <v>6360</v>
      </c>
      <c r="X2133" s="70" t="s">
        <v>6361</v>
      </c>
      <c r="Z2133" s="75" t="s">
        <v>6362</v>
      </c>
      <c r="AA2133" s="70" t="s">
        <v>6363</v>
      </c>
      <c r="AC2133" s="70">
        <v>7.0</v>
      </c>
      <c r="AE2133" s="70">
        <v>38.0</v>
      </c>
      <c r="AF2133" s="70" t="s">
        <v>239</v>
      </c>
      <c r="AW2133" s="70" t="s">
        <v>6364</v>
      </c>
      <c r="AZ2133" s="70">
        <v>1341.0</v>
      </c>
    </row>
    <row r="2134" ht="22.5" customHeight="1">
      <c r="A2134" s="70" t="str">
        <f t="shared" si="1"/>
        <v>Excluded</v>
      </c>
      <c r="B2134" s="70">
        <f t="shared" si="2"/>
        <v>0</v>
      </c>
      <c r="C2134" s="70">
        <v>0.0</v>
      </c>
      <c r="D2134" s="70">
        <v>0.0</v>
      </c>
      <c r="E2134" s="70">
        <v>0.0</v>
      </c>
      <c r="F2134" s="70">
        <v>0.0</v>
      </c>
      <c r="G2134" s="70">
        <v>0.0</v>
      </c>
      <c r="H2134" s="70" t="s">
        <v>6737</v>
      </c>
      <c r="I2134" s="70">
        <v>641.0</v>
      </c>
      <c r="J2134" s="70" t="s">
        <v>6734</v>
      </c>
      <c r="K2134" s="70" t="s">
        <v>6735</v>
      </c>
      <c r="L2134" s="70" t="s">
        <v>6736</v>
      </c>
      <c r="N2134" s="70" t="s">
        <v>6357</v>
      </c>
      <c r="P2134" s="77">
        <v>44112.0</v>
      </c>
      <c r="U2134" s="70" t="s">
        <v>239</v>
      </c>
      <c r="W2134" s="70" t="s">
        <v>6739</v>
      </c>
      <c r="X2134" s="70" t="s">
        <v>6740</v>
      </c>
      <c r="Z2134" s="75" t="s">
        <v>6741</v>
      </c>
      <c r="AC2134" s="70">
        <v>5.0</v>
      </c>
      <c r="AE2134" s="70">
        <v>17.0</v>
      </c>
      <c r="AF2134" s="70" t="s">
        <v>239</v>
      </c>
      <c r="AW2134" s="70" t="s">
        <v>6742</v>
      </c>
      <c r="AX2134" s="70">
        <v>0.0</v>
      </c>
      <c r="AY2134" s="70" t="s">
        <v>24</v>
      </c>
      <c r="AZ2134" s="70">
        <v>3120.0</v>
      </c>
    </row>
    <row r="2135" ht="22.5" customHeight="1">
      <c r="A2135" s="70" t="str">
        <f t="shared" si="1"/>
        <v>Excluded</v>
      </c>
      <c r="B2135" s="70">
        <f t="shared" si="2"/>
        <v>0</v>
      </c>
      <c r="C2135" s="70">
        <v>0.0</v>
      </c>
      <c r="D2135" s="70">
        <v>0.0</v>
      </c>
      <c r="E2135" s="70">
        <v>0.0</v>
      </c>
      <c r="F2135" s="70">
        <v>0.0</v>
      </c>
      <c r="G2135" s="70">
        <v>0.0</v>
      </c>
      <c r="H2135" s="70" t="s">
        <v>10949</v>
      </c>
      <c r="I2135" s="70">
        <v>1131.0</v>
      </c>
      <c r="K2135" s="70" t="s">
        <v>10734</v>
      </c>
      <c r="L2135" s="70" t="s">
        <v>10948</v>
      </c>
      <c r="N2135" s="70" t="s">
        <v>6357</v>
      </c>
      <c r="P2135" s="76">
        <v>44915.0</v>
      </c>
      <c r="U2135" s="70" t="s">
        <v>239</v>
      </c>
      <c r="W2135" s="70" t="s">
        <v>10670</v>
      </c>
      <c r="X2135" s="70" t="s">
        <v>10950</v>
      </c>
      <c r="Z2135" s="75" t="s">
        <v>10951</v>
      </c>
      <c r="AF2135" s="70" t="s">
        <v>239</v>
      </c>
      <c r="AZ2135" s="70">
        <v>1379.0</v>
      </c>
    </row>
    <row r="2136" ht="22.5" customHeight="1">
      <c r="A2136" s="70" t="str">
        <f t="shared" si="1"/>
        <v>Excluded</v>
      </c>
      <c r="B2136" s="70">
        <f t="shared" si="2"/>
        <v>0</v>
      </c>
      <c r="C2136" s="70">
        <v>0.0</v>
      </c>
      <c r="D2136" s="70">
        <v>0.0</v>
      </c>
      <c r="E2136" s="70">
        <v>0.0</v>
      </c>
      <c r="F2136" s="70">
        <v>0.0</v>
      </c>
      <c r="G2136" s="70">
        <v>0.0</v>
      </c>
      <c r="H2136" s="70" t="s">
        <v>16153</v>
      </c>
      <c r="I2136" s="70">
        <v>1735.0</v>
      </c>
      <c r="K2136" s="70" t="s">
        <v>16151</v>
      </c>
      <c r="L2136" s="70" t="s">
        <v>16152</v>
      </c>
      <c r="N2136" s="70" t="s">
        <v>6357</v>
      </c>
      <c r="P2136" s="77">
        <v>45658.0</v>
      </c>
      <c r="U2136" s="70" t="s">
        <v>239</v>
      </c>
      <c r="X2136" s="70" t="s">
        <v>16154</v>
      </c>
      <c r="Z2136" s="75" t="s">
        <v>16155</v>
      </c>
      <c r="AF2136" s="70" t="s">
        <v>239</v>
      </c>
      <c r="AZ2136" s="70">
        <v>1407.0</v>
      </c>
    </row>
    <row r="2137" ht="22.5" customHeight="1">
      <c r="A2137" s="70" t="str">
        <f t="shared" si="1"/>
        <v>Excluded</v>
      </c>
      <c r="B2137" s="70">
        <f t="shared" si="2"/>
        <v>0</v>
      </c>
      <c r="C2137" s="70">
        <v>0.0</v>
      </c>
      <c r="D2137" s="70">
        <v>0.0</v>
      </c>
      <c r="E2137" s="70">
        <v>0.0</v>
      </c>
      <c r="F2137" s="70">
        <v>0.0</v>
      </c>
      <c r="G2137" s="70">
        <v>0.0</v>
      </c>
      <c r="H2137" s="70" t="s">
        <v>14334</v>
      </c>
      <c r="I2137" s="70">
        <v>1495.0</v>
      </c>
      <c r="J2137" s="70" t="s">
        <v>14331</v>
      </c>
      <c r="K2137" s="70" t="s">
        <v>14332</v>
      </c>
      <c r="L2137" s="70" t="s">
        <v>14333</v>
      </c>
      <c r="P2137" s="76">
        <v>45195.0</v>
      </c>
      <c r="U2137" s="70" t="s">
        <v>239</v>
      </c>
      <c r="W2137" s="70" t="s">
        <v>14336</v>
      </c>
      <c r="X2137" s="70" t="s">
        <v>14337</v>
      </c>
      <c r="Z2137" s="75" t="s">
        <v>14338</v>
      </c>
      <c r="AA2137" s="70" t="s">
        <v>14339</v>
      </c>
      <c r="AE2137" s="70">
        <v>7.0</v>
      </c>
      <c r="AF2137" s="70" t="s">
        <v>239</v>
      </c>
      <c r="AW2137" s="70" t="s">
        <v>14340</v>
      </c>
      <c r="AZ2137" s="70">
        <v>1120.0</v>
      </c>
    </row>
    <row r="2138" ht="22.5" customHeight="1">
      <c r="A2138" s="70" t="str">
        <f t="shared" si="1"/>
        <v>Excluded</v>
      </c>
      <c r="B2138" s="70">
        <f t="shared" si="2"/>
        <v>0</v>
      </c>
      <c r="C2138" s="70">
        <v>0.0</v>
      </c>
      <c r="D2138" s="70">
        <v>0.0</v>
      </c>
      <c r="E2138" s="70">
        <v>0.0</v>
      </c>
      <c r="F2138" s="70">
        <v>0.0</v>
      </c>
      <c r="G2138" s="70">
        <v>0.0</v>
      </c>
      <c r="H2138" s="70" t="s">
        <v>15338</v>
      </c>
      <c r="I2138" s="70">
        <v>1600.0</v>
      </c>
      <c r="J2138" s="70" t="s">
        <v>15336</v>
      </c>
      <c r="K2138" s="70" t="s">
        <v>15337</v>
      </c>
      <c r="L2138" s="70" t="s">
        <v>14333</v>
      </c>
      <c r="P2138" s="76">
        <v>45195.0</v>
      </c>
      <c r="U2138" s="70" t="s">
        <v>239</v>
      </c>
      <c r="W2138" s="70" t="s">
        <v>15340</v>
      </c>
      <c r="X2138" s="70" t="s">
        <v>14337</v>
      </c>
      <c r="Z2138" s="75" t="s">
        <v>15341</v>
      </c>
      <c r="AA2138" s="70" t="s">
        <v>15342</v>
      </c>
      <c r="AE2138" s="70">
        <v>9.0</v>
      </c>
      <c r="AF2138" s="70" t="s">
        <v>239</v>
      </c>
      <c r="AW2138" s="70" t="s">
        <v>15343</v>
      </c>
      <c r="AX2138" s="70">
        <v>0.0</v>
      </c>
      <c r="AY2138" s="70" t="s">
        <v>24</v>
      </c>
      <c r="AZ2138" s="70">
        <v>1658.0</v>
      </c>
    </row>
    <row r="2139" ht="22.5" customHeight="1">
      <c r="A2139" s="70" t="str">
        <f t="shared" si="1"/>
        <v>Excluded</v>
      </c>
      <c r="B2139" s="70">
        <f t="shared" si="2"/>
        <v>0</v>
      </c>
      <c r="C2139" s="70">
        <v>0.0</v>
      </c>
      <c r="D2139" s="70">
        <v>0.0</v>
      </c>
      <c r="E2139" s="70">
        <v>0.0</v>
      </c>
      <c r="F2139" s="70">
        <v>0.0</v>
      </c>
      <c r="G2139" s="70">
        <v>0.0</v>
      </c>
      <c r="H2139" s="70" t="s">
        <v>16026</v>
      </c>
      <c r="I2139" s="70">
        <v>1700.0</v>
      </c>
      <c r="K2139" s="70" t="s">
        <v>10597</v>
      </c>
      <c r="L2139" s="70" t="s">
        <v>14333</v>
      </c>
      <c r="P2139" s="76">
        <v>45195.0</v>
      </c>
      <c r="U2139" s="70" t="s">
        <v>239</v>
      </c>
      <c r="X2139" s="70" t="s">
        <v>14337</v>
      </c>
      <c r="Z2139" s="75" t="s">
        <v>16028</v>
      </c>
      <c r="AF2139" s="70" t="s">
        <v>239</v>
      </c>
      <c r="AZ2139" s="70">
        <v>1565.0</v>
      </c>
    </row>
    <row r="2140" ht="22.5" customHeight="1">
      <c r="A2140" s="70" t="str">
        <f t="shared" si="1"/>
        <v>Excluded</v>
      </c>
      <c r="B2140" s="70">
        <f t="shared" si="2"/>
        <v>0</v>
      </c>
      <c r="C2140" s="70">
        <v>0.0</v>
      </c>
      <c r="D2140" s="70">
        <v>0.0</v>
      </c>
      <c r="E2140" s="70">
        <v>0.0</v>
      </c>
      <c r="F2140" s="70">
        <v>0.0</v>
      </c>
      <c r="G2140" s="70">
        <v>0.0</v>
      </c>
      <c r="H2140" s="70" t="s">
        <v>14743</v>
      </c>
      <c r="I2140" s="70">
        <v>1537.0</v>
      </c>
      <c r="J2140" s="70" t="s">
        <v>14740</v>
      </c>
      <c r="K2140" s="70" t="s">
        <v>14741</v>
      </c>
      <c r="L2140" s="70" t="s">
        <v>14742</v>
      </c>
      <c r="P2140" s="77">
        <v>45086.0</v>
      </c>
      <c r="U2140" s="70" t="s">
        <v>239</v>
      </c>
      <c r="W2140" s="70" t="s">
        <v>14745</v>
      </c>
      <c r="X2140" s="70" t="s">
        <v>14746</v>
      </c>
      <c r="Z2140" s="75" t="s">
        <v>14747</v>
      </c>
      <c r="AA2140" s="70" t="s">
        <v>14748</v>
      </c>
      <c r="AE2140" s="70">
        <v>21.0</v>
      </c>
      <c r="AF2140" s="70" t="s">
        <v>239</v>
      </c>
      <c r="AW2140" s="70" t="s">
        <v>14749</v>
      </c>
      <c r="AX2140" s="70">
        <v>0.0</v>
      </c>
      <c r="AY2140" s="70" t="s">
        <v>24</v>
      </c>
      <c r="AZ2140" s="70">
        <v>2416.0</v>
      </c>
    </row>
    <row r="2141" ht="22.5" customHeight="1">
      <c r="A2141" s="70" t="str">
        <f t="shared" si="1"/>
        <v>Excluded</v>
      </c>
      <c r="B2141" s="70">
        <f t="shared" si="2"/>
        <v>0</v>
      </c>
      <c r="C2141" s="70">
        <v>0.0</v>
      </c>
      <c r="D2141" s="70">
        <v>0.0</v>
      </c>
      <c r="E2141" s="70">
        <v>0.0</v>
      </c>
      <c r="F2141" s="70">
        <v>0.0</v>
      </c>
      <c r="G2141" s="70">
        <v>0.0</v>
      </c>
      <c r="H2141" s="70" t="s">
        <v>8115</v>
      </c>
      <c r="I2141" s="70">
        <v>784.0</v>
      </c>
      <c r="J2141" s="70" t="s">
        <v>8112</v>
      </c>
      <c r="K2141" s="70" t="s">
        <v>8113</v>
      </c>
      <c r="L2141" s="70" t="s">
        <v>8114</v>
      </c>
      <c r="P2141" s="79">
        <v>44687.0</v>
      </c>
      <c r="U2141" s="70" t="s">
        <v>239</v>
      </c>
      <c r="W2141" s="70" t="s">
        <v>8117</v>
      </c>
      <c r="X2141" s="70" t="s">
        <v>8118</v>
      </c>
      <c r="Z2141" s="75" t="s">
        <v>8119</v>
      </c>
      <c r="AA2141" s="70" t="s">
        <v>8120</v>
      </c>
      <c r="AC2141" s="70">
        <v>2.0</v>
      </c>
      <c r="AE2141" s="70">
        <v>15.0</v>
      </c>
      <c r="AF2141" s="70" t="s">
        <v>239</v>
      </c>
      <c r="AW2141" s="70" t="s">
        <v>8121</v>
      </c>
      <c r="AX2141" s="70">
        <v>0.0</v>
      </c>
      <c r="AY2141" s="70" t="s">
        <v>24</v>
      </c>
      <c r="AZ2141" s="70">
        <v>2424.0</v>
      </c>
    </row>
    <row r="2142" ht="22.5" customHeight="1">
      <c r="A2142" s="70" t="str">
        <f t="shared" si="1"/>
        <v>Excluded</v>
      </c>
      <c r="B2142" s="70">
        <f t="shared" si="2"/>
        <v>0</v>
      </c>
      <c r="C2142" s="70">
        <v>0.0</v>
      </c>
      <c r="D2142" s="70">
        <v>0.0</v>
      </c>
      <c r="E2142" s="70">
        <v>0.0</v>
      </c>
      <c r="F2142" s="70">
        <v>0.0</v>
      </c>
      <c r="G2142" s="70">
        <v>0.0</v>
      </c>
      <c r="H2142" s="70" t="s">
        <v>16010</v>
      </c>
      <c r="I2142" s="70">
        <v>1696.0</v>
      </c>
      <c r="K2142" s="70" t="s">
        <v>10612</v>
      </c>
      <c r="L2142" s="70" t="s">
        <v>16008</v>
      </c>
      <c r="N2142" s="70" t="s">
        <v>16009</v>
      </c>
      <c r="P2142" s="76">
        <v>45098.0</v>
      </c>
      <c r="U2142" s="70" t="s">
        <v>239</v>
      </c>
      <c r="X2142" s="70" t="s">
        <v>16011</v>
      </c>
      <c r="Z2142" s="75" t="s">
        <v>16012</v>
      </c>
      <c r="AF2142" s="70" t="s">
        <v>239</v>
      </c>
      <c r="AZ2142" s="70">
        <v>1418.0</v>
      </c>
    </row>
    <row r="2143" ht="22.5" customHeight="1">
      <c r="A2143" s="70" t="str">
        <f t="shared" si="1"/>
        <v>Excluded</v>
      </c>
      <c r="B2143" s="70">
        <f t="shared" si="2"/>
        <v>0</v>
      </c>
      <c r="C2143" s="70">
        <v>0.0</v>
      </c>
      <c r="D2143" s="70">
        <v>0.0</v>
      </c>
      <c r="E2143" s="70">
        <v>0.0</v>
      </c>
      <c r="F2143" s="70">
        <v>0.0</v>
      </c>
      <c r="G2143" s="70">
        <v>0.0</v>
      </c>
      <c r="H2143" s="70" t="s">
        <v>16387</v>
      </c>
      <c r="I2143" s="70">
        <v>1797.0</v>
      </c>
      <c r="K2143" s="70" t="s">
        <v>10597</v>
      </c>
      <c r="L2143" s="70" t="s">
        <v>16386</v>
      </c>
      <c r="P2143" s="77">
        <v>45266.0</v>
      </c>
      <c r="U2143" s="70" t="s">
        <v>239</v>
      </c>
      <c r="X2143" s="70" t="s">
        <v>16388</v>
      </c>
      <c r="Z2143" s="75" t="s">
        <v>16389</v>
      </c>
      <c r="AF2143" s="70" t="s">
        <v>239</v>
      </c>
      <c r="AZ2143" s="70">
        <v>1578.0</v>
      </c>
    </row>
    <row r="2144" ht="22.5" customHeight="1">
      <c r="A2144" s="70" t="str">
        <f t="shared" si="1"/>
        <v>Excluded</v>
      </c>
      <c r="B2144" s="70">
        <f t="shared" si="2"/>
        <v>0</v>
      </c>
      <c r="C2144" s="70">
        <v>0.0</v>
      </c>
      <c r="D2144" s="70">
        <v>0.0</v>
      </c>
      <c r="E2144" s="70">
        <v>0.0</v>
      </c>
      <c r="F2144" s="70">
        <v>0.0</v>
      </c>
      <c r="G2144" s="70">
        <v>0.0</v>
      </c>
      <c r="H2144" s="70" t="s">
        <v>10533</v>
      </c>
      <c r="I2144" s="70">
        <v>1036.0</v>
      </c>
      <c r="J2144" s="70" t="s">
        <v>30812</v>
      </c>
      <c r="K2144" s="70" t="s">
        <v>10531</v>
      </c>
      <c r="L2144" s="70" t="s">
        <v>10532</v>
      </c>
      <c r="P2144" s="76">
        <v>44406.0</v>
      </c>
      <c r="U2144" s="70" t="s">
        <v>239</v>
      </c>
      <c r="W2144" s="70" t="s">
        <v>30813</v>
      </c>
      <c r="X2144" s="70" t="s">
        <v>10536</v>
      </c>
      <c r="Z2144" s="75" t="s">
        <v>10537</v>
      </c>
      <c r="AA2144" s="70" t="s">
        <v>10538</v>
      </c>
      <c r="AE2144" s="70">
        <v>22.0</v>
      </c>
      <c r="AF2144" s="70" t="s">
        <v>239</v>
      </c>
      <c r="AW2144" s="70" t="s">
        <v>10539</v>
      </c>
      <c r="AX2144" s="70">
        <v>0.0</v>
      </c>
      <c r="AY2144" s="70" t="s">
        <v>24</v>
      </c>
      <c r="AZ2144" s="70">
        <v>2293.0</v>
      </c>
    </row>
    <row r="2145" ht="22.5" customHeight="1">
      <c r="A2145" s="70" t="str">
        <f t="shared" si="1"/>
        <v>Excluded</v>
      </c>
      <c r="B2145" s="70">
        <f t="shared" si="2"/>
        <v>0</v>
      </c>
      <c r="C2145" s="70">
        <v>0.0</v>
      </c>
      <c r="D2145" s="70">
        <v>0.0</v>
      </c>
      <c r="E2145" s="70">
        <v>0.0</v>
      </c>
      <c r="F2145" s="70">
        <v>0.0</v>
      </c>
      <c r="G2145" s="70">
        <v>0.0</v>
      </c>
      <c r="H2145" s="70" t="s">
        <v>11764</v>
      </c>
      <c r="I2145" s="70">
        <v>1231.0</v>
      </c>
      <c r="J2145" s="70" t="s">
        <v>30814</v>
      </c>
      <c r="K2145" s="70" t="s">
        <v>11762</v>
      </c>
      <c r="L2145" s="70" t="s">
        <v>11763</v>
      </c>
      <c r="P2145" s="76">
        <v>45260.0</v>
      </c>
      <c r="U2145" s="70" t="s">
        <v>239</v>
      </c>
      <c r="W2145" s="70" t="s">
        <v>11766</v>
      </c>
      <c r="X2145" s="70" t="s">
        <v>11767</v>
      </c>
      <c r="Y2145" s="70" t="s">
        <v>11768</v>
      </c>
      <c r="Z2145" s="75" t="s">
        <v>11769</v>
      </c>
      <c r="AA2145" s="70" t="s">
        <v>11770</v>
      </c>
      <c r="AC2145" s="70">
        <v>2.0</v>
      </c>
      <c r="AE2145" s="70">
        <v>21.0</v>
      </c>
      <c r="AF2145" s="70" t="s">
        <v>239</v>
      </c>
      <c r="AW2145" s="70" t="s">
        <v>11771</v>
      </c>
      <c r="AZ2145" s="70">
        <v>948.0</v>
      </c>
    </row>
    <row r="2146" ht="22.5" customHeight="1">
      <c r="A2146" s="70" t="str">
        <f t="shared" si="1"/>
        <v>Excluded</v>
      </c>
      <c r="B2146" s="70">
        <f t="shared" si="2"/>
        <v>0</v>
      </c>
      <c r="C2146" s="70">
        <v>0.0</v>
      </c>
      <c r="D2146" s="70">
        <v>0.0</v>
      </c>
      <c r="E2146" s="70">
        <v>0.0</v>
      </c>
      <c r="F2146" s="70">
        <v>0.0</v>
      </c>
      <c r="G2146" s="70">
        <v>0.0</v>
      </c>
      <c r="H2146" s="70" t="s">
        <v>14938</v>
      </c>
      <c r="I2146" s="70">
        <v>1557.0</v>
      </c>
      <c r="J2146" s="70" t="s">
        <v>14935</v>
      </c>
      <c r="K2146" s="70" t="s">
        <v>14936</v>
      </c>
      <c r="L2146" s="70" t="s">
        <v>14937</v>
      </c>
      <c r="P2146" s="77">
        <v>45628.0</v>
      </c>
      <c r="U2146" s="70" t="s">
        <v>239</v>
      </c>
      <c r="W2146" s="70" t="s">
        <v>14940</v>
      </c>
      <c r="X2146" s="70" t="s">
        <v>14941</v>
      </c>
      <c r="Z2146" s="75" t="s">
        <v>14942</v>
      </c>
      <c r="AA2146" s="70" t="s">
        <v>14943</v>
      </c>
      <c r="AE2146" s="70">
        <v>18.0</v>
      </c>
      <c r="AF2146" s="70" t="s">
        <v>239</v>
      </c>
      <c r="AW2146" s="70" t="s">
        <v>14944</v>
      </c>
      <c r="AZ2146" s="70">
        <v>804.0</v>
      </c>
    </row>
    <row r="2147" ht="22.5" customHeight="1">
      <c r="A2147" s="70" t="str">
        <f t="shared" si="1"/>
        <v>Excluded</v>
      </c>
      <c r="B2147" s="70">
        <f t="shared" si="2"/>
        <v>0</v>
      </c>
      <c r="C2147" s="70">
        <v>0.0</v>
      </c>
      <c r="D2147" s="70">
        <v>0.0</v>
      </c>
      <c r="E2147" s="70">
        <v>0.0</v>
      </c>
      <c r="F2147" s="70">
        <v>0.0</v>
      </c>
      <c r="G2147" s="70">
        <v>0.0</v>
      </c>
      <c r="H2147" s="70" t="s">
        <v>9831</v>
      </c>
      <c r="I2147" s="70">
        <v>963.0</v>
      </c>
      <c r="J2147" s="70" t="s">
        <v>9827</v>
      </c>
      <c r="K2147" s="70" t="s">
        <v>9828</v>
      </c>
      <c r="L2147" s="70" t="s">
        <v>9829</v>
      </c>
      <c r="N2147" s="70" t="s">
        <v>9830</v>
      </c>
      <c r="P2147" s="77">
        <v>44652.0</v>
      </c>
      <c r="U2147" s="70" t="s">
        <v>239</v>
      </c>
      <c r="W2147" s="70" t="s">
        <v>9833</v>
      </c>
      <c r="X2147" s="70" t="s">
        <v>9834</v>
      </c>
      <c r="Z2147" s="75" t="s">
        <v>9835</v>
      </c>
      <c r="AA2147" s="70" t="s">
        <v>9836</v>
      </c>
      <c r="AE2147" s="70">
        <v>10.0</v>
      </c>
      <c r="AF2147" s="70" t="s">
        <v>239</v>
      </c>
      <c r="AW2147" s="70" t="s">
        <v>9837</v>
      </c>
      <c r="AX2147" s="70">
        <v>0.0</v>
      </c>
      <c r="AY2147" s="70" t="s">
        <v>24</v>
      </c>
      <c r="AZ2147" s="70">
        <v>2948.0</v>
      </c>
    </row>
    <row r="2148" ht="22.5" customHeight="1">
      <c r="A2148" s="70" t="str">
        <f t="shared" si="1"/>
        <v>Excluded</v>
      </c>
      <c r="B2148" s="70">
        <f t="shared" si="2"/>
        <v>0</v>
      </c>
      <c r="C2148" s="70">
        <v>0.0</v>
      </c>
      <c r="D2148" s="70">
        <v>0.0</v>
      </c>
      <c r="E2148" s="70">
        <v>0.0</v>
      </c>
      <c r="F2148" s="70">
        <v>0.0</v>
      </c>
      <c r="G2148" s="70">
        <v>0.0</v>
      </c>
      <c r="H2148" s="70" t="s">
        <v>6991</v>
      </c>
      <c r="I2148" s="70">
        <v>667.0</v>
      </c>
      <c r="J2148" s="70" t="s">
        <v>30815</v>
      </c>
      <c r="K2148" s="70" t="s">
        <v>6989</v>
      </c>
      <c r="L2148" s="70" t="s">
        <v>6990</v>
      </c>
      <c r="P2148" s="76">
        <v>42656.0</v>
      </c>
      <c r="U2148" s="70" t="s">
        <v>239</v>
      </c>
      <c r="W2148" s="70" t="s">
        <v>6993</v>
      </c>
      <c r="X2148" s="70" t="s">
        <v>6994</v>
      </c>
      <c r="Z2148" s="75" t="s">
        <v>6995</v>
      </c>
      <c r="AA2148" s="70" t="s">
        <v>6996</v>
      </c>
      <c r="AC2148" s="70">
        <v>4.0</v>
      </c>
      <c r="AE2148" s="70">
        <v>30.0</v>
      </c>
      <c r="AF2148" s="70" t="s">
        <v>239</v>
      </c>
      <c r="AW2148" s="70" t="s">
        <v>6997</v>
      </c>
      <c r="AX2148" s="70">
        <v>0.0</v>
      </c>
      <c r="AY2148" s="70" t="s">
        <v>24</v>
      </c>
      <c r="AZ2148" s="70">
        <v>3040.0</v>
      </c>
    </row>
    <row r="2149" ht="22.5" customHeight="1">
      <c r="A2149" s="70" t="str">
        <f t="shared" si="1"/>
        <v>Excluded</v>
      </c>
      <c r="B2149" s="70">
        <f t="shared" si="2"/>
        <v>0</v>
      </c>
      <c r="C2149" s="70">
        <v>0.0</v>
      </c>
      <c r="D2149" s="70">
        <v>0.0</v>
      </c>
      <c r="E2149" s="70">
        <v>0.0</v>
      </c>
      <c r="F2149" s="70">
        <v>0.0</v>
      </c>
      <c r="G2149" s="70">
        <v>0.0</v>
      </c>
      <c r="H2149" s="70" t="s">
        <v>11061</v>
      </c>
      <c r="I2149" s="70">
        <v>1161.0</v>
      </c>
      <c r="J2149" s="70" t="s">
        <v>11058</v>
      </c>
      <c r="K2149" s="70" t="s">
        <v>11059</v>
      </c>
      <c r="L2149" s="70" t="s">
        <v>11060</v>
      </c>
      <c r="P2149" s="77">
        <v>45170.0</v>
      </c>
      <c r="U2149" s="70" t="s">
        <v>239</v>
      </c>
      <c r="W2149" s="70" t="s">
        <v>11063</v>
      </c>
      <c r="X2149" s="70" t="s">
        <v>11064</v>
      </c>
      <c r="Y2149" s="70" t="s">
        <v>30816</v>
      </c>
      <c r="Z2149" s="75" t="s">
        <v>11066</v>
      </c>
      <c r="AA2149" s="70" t="s">
        <v>11067</v>
      </c>
      <c r="AC2149" s="70">
        <v>10.0</v>
      </c>
      <c r="AE2149" s="70">
        <v>71.0</v>
      </c>
      <c r="AF2149" s="70" t="s">
        <v>239</v>
      </c>
      <c r="AW2149" s="70" t="s">
        <v>11068</v>
      </c>
      <c r="AZ2149" s="70">
        <v>933.0</v>
      </c>
    </row>
    <row r="2150" ht="22.5" customHeight="1">
      <c r="A2150" s="70" t="str">
        <f t="shared" si="1"/>
        <v>Excluded</v>
      </c>
      <c r="B2150" s="70">
        <f t="shared" si="2"/>
        <v>0</v>
      </c>
      <c r="C2150" s="70">
        <v>0.0</v>
      </c>
      <c r="D2150" s="70">
        <v>0.0</v>
      </c>
      <c r="E2150" s="70">
        <v>0.0</v>
      </c>
      <c r="F2150" s="70">
        <v>0.0</v>
      </c>
      <c r="G2150" s="70">
        <v>0.0</v>
      </c>
      <c r="H2150" s="70" t="s">
        <v>9682</v>
      </c>
      <c r="I2150" s="70">
        <v>947.0</v>
      </c>
      <c r="J2150" s="70" t="s">
        <v>9678</v>
      </c>
      <c r="K2150" s="70" t="s">
        <v>9679</v>
      </c>
      <c r="L2150" s="70" t="s">
        <v>9680</v>
      </c>
      <c r="N2150" s="70" t="s">
        <v>9681</v>
      </c>
      <c r="P2150" s="77">
        <v>44868.0</v>
      </c>
      <c r="U2150" s="70" t="s">
        <v>239</v>
      </c>
      <c r="W2150" s="70" t="s">
        <v>9684</v>
      </c>
      <c r="X2150" s="70" t="s">
        <v>9685</v>
      </c>
      <c r="Z2150" s="75" t="s">
        <v>9686</v>
      </c>
      <c r="AA2150" s="70" t="s">
        <v>9687</v>
      </c>
      <c r="AE2150" s="70">
        <v>18.0</v>
      </c>
      <c r="AF2150" s="70" t="s">
        <v>239</v>
      </c>
      <c r="AW2150" s="70" t="s">
        <v>9688</v>
      </c>
      <c r="AZ2150" s="70">
        <v>626.0</v>
      </c>
    </row>
    <row r="2151" ht="22.5" customHeight="1">
      <c r="A2151" s="70" t="str">
        <f t="shared" si="1"/>
        <v>Excluded</v>
      </c>
      <c r="B2151" s="70">
        <f t="shared" si="2"/>
        <v>0</v>
      </c>
      <c r="C2151" s="70">
        <v>0.0</v>
      </c>
      <c r="D2151" s="70">
        <v>0.0</v>
      </c>
      <c r="E2151" s="70">
        <v>0.0</v>
      </c>
      <c r="F2151" s="70">
        <v>0.0</v>
      </c>
      <c r="G2151" s="70">
        <v>0.0</v>
      </c>
      <c r="H2151" s="70" t="s">
        <v>5529</v>
      </c>
      <c r="I2151" s="70">
        <v>519.0</v>
      </c>
      <c r="J2151" s="70" t="s">
        <v>5525</v>
      </c>
      <c r="K2151" s="70" t="s">
        <v>5526</v>
      </c>
      <c r="L2151" s="70" t="s">
        <v>5527</v>
      </c>
      <c r="N2151" s="70" t="s">
        <v>5528</v>
      </c>
      <c r="P2151" s="77">
        <v>43290.0</v>
      </c>
      <c r="U2151" s="70" t="s">
        <v>239</v>
      </c>
      <c r="W2151" s="70" t="s">
        <v>30817</v>
      </c>
      <c r="X2151" s="70" t="s">
        <v>5532</v>
      </c>
      <c r="Z2151" s="75" t="s">
        <v>5533</v>
      </c>
      <c r="AA2151" s="70" t="s">
        <v>5534</v>
      </c>
      <c r="AC2151" s="70">
        <v>11.0</v>
      </c>
      <c r="AF2151" s="70" t="s">
        <v>239</v>
      </c>
      <c r="AW2151" s="70" t="s">
        <v>5535</v>
      </c>
      <c r="AZ2151" s="70">
        <v>1199.0</v>
      </c>
    </row>
    <row r="2152" ht="22.5" customHeight="1">
      <c r="A2152" s="70" t="str">
        <f t="shared" si="1"/>
        <v>Excluded</v>
      </c>
      <c r="B2152" s="70">
        <f t="shared" si="2"/>
        <v>0</v>
      </c>
      <c r="C2152" s="70">
        <v>0.0</v>
      </c>
      <c r="D2152" s="70">
        <v>0.0</v>
      </c>
      <c r="E2152" s="70">
        <v>0.0</v>
      </c>
      <c r="F2152" s="70">
        <v>0.0</v>
      </c>
      <c r="G2152" s="70">
        <v>0.0</v>
      </c>
      <c r="H2152" s="70" t="s">
        <v>5413</v>
      </c>
      <c r="I2152" s="70">
        <v>507.0</v>
      </c>
      <c r="J2152" s="70" t="s">
        <v>5410</v>
      </c>
      <c r="K2152" s="70" t="s">
        <v>5411</v>
      </c>
      <c r="L2152" s="70" t="s">
        <v>5412</v>
      </c>
      <c r="P2152" s="77">
        <v>43136.0</v>
      </c>
      <c r="U2152" s="70" t="s">
        <v>239</v>
      </c>
      <c r="W2152" s="70" t="s">
        <v>5415</v>
      </c>
      <c r="X2152" s="70" t="s">
        <v>5416</v>
      </c>
      <c r="Z2152" s="75" t="s">
        <v>5417</v>
      </c>
      <c r="AC2152" s="70">
        <v>12.0</v>
      </c>
      <c r="AE2152" s="70">
        <v>28.0</v>
      </c>
      <c r="AF2152" s="70" t="s">
        <v>239</v>
      </c>
      <c r="AW2152" s="70" t="s">
        <v>5418</v>
      </c>
      <c r="AZ2152" s="70">
        <v>916.0</v>
      </c>
    </row>
    <row r="2153" ht="22.5" customHeight="1">
      <c r="A2153" s="70" t="str">
        <f t="shared" si="1"/>
        <v>Excluded</v>
      </c>
      <c r="B2153" s="70">
        <f t="shared" si="2"/>
        <v>0</v>
      </c>
      <c r="C2153" s="70">
        <v>0.0</v>
      </c>
      <c r="D2153" s="70">
        <v>0.0</v>
      </c>
      <c r="E2153" s="70">
        <v>0.0</v>
      </c>
      <c r="F2153" s="70">
        <v>0.0</v>
      </c>
      <c r="G2153" s="70">
        <v>0.0</v>
      </c>
      <c r="H2153" s="70" t="s">
        <v>13182</v>
      </c>
      <c r="I2153" s="70">
        <v>1374.0</v>
      </c>
      <c r="J2153" s="70" t="s">
        <v>13178</v>
      </c>
      <c r="K2153" s="70" t="s">
        <v>13179</v>
      </c>
      <c r="L2153" s="70" t="s">
        <v>13180</v>
      </c>
      <c r="N2153" s="70" t="s">
        <v>13181</v>
      </c>
      <c r="P2153" s="76">
        <v>45525.0</v>
      </c>
      <c r="U2153" s="70" t="s">
        <v>239</v>
      </c>
      <c r="W2153" s="70" t="s">
        <v>13184</v>
      </c>
      <c r="X2153" s="70" t="s">
        <v>13185</v>
      </c>
      <c r="Z2153" s="75" t="s">
        <v>13186</v>
      </c>
      <c r="AA2153" s="70" t="s">
        <v>13187</v>
      </c>
      <c r="AE2153" s="70">
        <v>36.0</v>
      </c>
      <c r="AF2153" s="70" t="s">
        <v>239</v>
      </c>
      <c r="AW2153" s="70" t="s">
        <v>13188</v>
      </c>
      <c r="AX2153" s="70">
        <v>1.0</v>
      </c>
      <c r="AZ2153" s="70">
        <v>1636.0</v>
      </c>
    </row>
    <row r="2154" ht="22.5" customHeight="1">
      <c r="A2154" s="70" t="str">
        <f t="shared" si="1"/>
        <v>Excluded</v>
      </c>
      <c r="B2154" s="70">
        <f t="shared" si="2"/>
        <v>0</v>
      </c>
      <c r="C2154" s="70">
        <v>0.0</v>
      </c>
      <c r="D2154" s="70">
        <v>0.0</v>
      </c>
      <c r="E2154" s="70">
        <v>0.0</v>
      </c>
      <c r="F2154" s="70">
        <v>0.0</v>
      </c>
      <c r="G2154" s="70">
        <v>0.0</v>
      </c>
      <c r="H2154" s="70" t="s">
        <v>13326</v>
      </c>
      <c r="I2154" s="70">
        <v>1388.0</v>
      </c>
      <c r="J2154" s="70" t="s">
        <v>13323</v>
      </c>
      <c r="K2154" s="70" t="s">
        <v>13324</v>
      </c>
      <c r="L2154" s="70" t="s">
        <v>13325</v>
      </c>
      <c r="P2154" s="77">
        <v>45294.0</v>
      </c>
      <c r="U2154" s="70" t="s">
        <v>239</v>
      </c>
      <c r="W2154" s="70" t="s">
        <v>13328</v>
      </c>
      <c r="X2154" s="70" t="s">
        <v>13329</v>
      </c>
      <c r="Z2154" s="75" t="s">
        <v>13330</v>
      </c>
      <c r="AA2154" s="70" t="s">
        <v>13331</v>
      </c>
      <c r="AE2154" s="70">
        <v>14.0</v>
      </c>
      <c r="AF2154" s="70" t="s">
        <v>239</v>
      </c>
      <c r="AW2154" s="70" t="s">
        <v>13332</v>
      </c>
      <c r="AX2154" s="70">
        <v>0.0</v>
      </c>
      <c r="AY2154" s="70" t="s">
        <v>24</v>
      </c>
      <c r="AZ2154" s="70">
        <v>2302.0</v>
      </c>
    </row>
    <row r="2155" ht="22.5" customHeight="1">
      <c r="A2155" s="70" t="str">
        <f t="shared" si="1"/>
        <v>Excluded</v>
      </c>
      <c r="B2155" s="70">
        <f t="shared" si="2"/>
        <v>0</v>
      </c>
      <c r="C2155" s="70">
        <v>0.0</v>
      </c>
      <c r="D2155" s="70">
        <v>0.0</v>
      </c>
      <c r="E2155" s="70">
        <v>0.0</v>
      </c>
      <c r="F2155" s="70">
        <v>0.0</v>
      </c>
      <c r="G2155" s="70">
        <v>0.0</v>
      </c>
      <c r="H2155" s="70" t="s">
        <v>5887</v>
      </c>
      <c r="I2155" s="70">
        <v>555.0</v>
      </c>
      <c r="J2155" s="70" t="s">
        <v>5884</v>
      </c>
      <c r="K2155" s="70" t="s">
        <v>5885</v>
      </c>
      <c r="L2155" s="70" t="s">
        <v>5886</v>
      </c>
      <c r="P2155" s="77">
        <v>43041.0</v>
      </c>
      <c r="U2155" s="70" t="s">
        <v>239</v>
      </c>
      <c r="W2155" s="70" t="s">
        <v>5889</v>
      </c>
      <c r="X2155" s="70" t="s">
        <v>5890</v>
      </c>
      <c r="Z2155" s="75" t="s">
        <v>5891</v>
      </c>
      <c r="AA2155" s="70" t="s">
        <v>5892</v>
      </c>
      <c r="AC2155" s="70">
        <v>8.0</v>
      </c>
      <c r="AE2155" s="70">
        <v>23.0</v>
      </c>
      <c r="AF2155" s="70" t="s">
        <v>239</v>
      </c>
      <c r="AW2155" s="70" t="s">
        <v>5893</v>
      </c>
      <c r="AZ2155" s="70">
        <v>865.0</v>
      </c>
    </row>
    <row r="2156" ht="22.5" customHeight="1">
      <c r="A2156" s="70" t="str">
        <f t="shared" si="1"/>
        <v>Excluded</v>
      </c>
      <c r="B2156" s="70">
        <f t="shared" si="2"/>
        <v>0</v>
      </c>
      <c r="C2156" s="70">
        <v>0.0</v>
      </c>
      <c r="D2156" s="70">
        <v>0.0</v>
      </c>
      <c r="E2156" s="70">
        <v>0.0</v>
      </c>
      <c r="F2156" s="70">
        <v>0.0</v>
      </c>
      <c r="G2156" s="70">
        <v>0.0</v>
      </c>
      <c r="H2156" s="70" t="s">
        <v>14526</v>
      </c>
      <c r="I2156" s="70">
        <v>1515.0</v>
      </c>
      <c r="J2156" s="70" t="s">
        <v>14522</v>
      </c>
      <c r="K2156" s="70" t="s">
        <v>14523</v>
      </c>
      <c r="L2156" s="70" t="s">
        <v>14524</v>
      </c>
      <c r="N2156" s="70" t="s">
        <v>14525</v>
      </c>
      <c r="P2156" s="77">
        <v>45664.0</v>
      </c>
      <c r="U2156" s="70" t="s">
        <v>239</v>
      </c>
      <c r="W2156" s="70" t="s">
        <v>30818</v>
      </c>
      <c r="X2156" s="70" t="s">
        <v>14529</v>
      </c>
      <c r="Z2156" s="75" t="s">
        <v>14530</v>
      </c>
      <c r="AA2156" s="70" t="s">
        <v>14531</v>
      </c>
      <c r="AE2156" s="70">
        <v>19.0</v>
      </c>
      <c r="AF2156" s="70" t="s">
        <v>239</v>
      </c>
      <c r="AW2156" s="70" t="s">
        <v>14532</v>
      </c>
      <c r="AX2156" s="70">
        <v>0.0</v>
      </c>
      <c r="AY2156" s="70" t="s">
        <v>24</v>
      </c>
      <c r="AZ2156" s="70">
        <v>2771.0</v>
      </c>
    </row>
    <row r="2157" ht="22.5" customHeight="1">
      <c r="A2157" s="70" t="str">
        <f t="shared" si="1"/>
        <v>Excluded</v>
      </c>
      <c r="B2157" s="70">
        <f t="shared" si="2"/>
        <v>0</v>
      </c>
      <c r="C2157" s="70">
        <v>0.0</v>
      </c>
      <c r="D2157" s="70">
        <v>0.0</v>
      </c>
      <c r="E2157" s="70">
        <v>0.0</v>
      </c>
      <c r="F2157" s="70">
        <v>0.0</v>
      </c>
      <c r="G2157" s="70">
        <v>0.0</v>
      </c>
      <c r="H2157" s="70" t="s">
        <v>6044</v>
      </c>
      <c r="I2157" s="70">
        <v>571.0</v>
      </c>
      <c r="J2157" s="70" t="s">
        <v>30819</v>
      </c>
      <c r="K2157" s="70" t="s">
        <v>6041</v>
      </c>
      <c r="L2157" s="70" t="s">
        <v>6042</v>
      </c>
      <c r="N2157" s="70" t="s">
        <v>6043</v>
      </c>
      <c r="P2157" s="77">
        <v>43412.0</v>
      </c>
      <c r="U2157" s="70" t="s">
        <v>239</v>
      </c>
      <c r="W2157" s="70" t="s">
        <v>6046</v>
      </c>
      <c r="X2157" s="70" t="s">
        <v>6047</v>
      </c>
      <c r="Z2157" s="75" t="s">
        <v>6048</v>
      </c>
      <c r="AC2157" s="70">
        <v>8.0</v>
      </c>
      <c r="AE2157" s="70">
        <v>24.0</v>
      </c>
      <c r="AF2157" s="70" t="s">
        <v>239</v>
      </c>
      <c r="AW2157" s="70" t="s">
        <v>6049</v>
      </c>
      <c r="AZ2157" s="70">
        <v>1274.0</v>
      </c>
    </row>
    <row r="2158" ht="22.5" customHeight="1">
      <c r="A2158" s="70" t="str">
        <f t="shared" si="1"/>
        <v>Excluded</v>
      </c>
      <c r="B2158" s="70">
        <f t="shared" si="2"/>
        <v>0</v>
      </c>
      <c r="C2158" s="70">
        <v>0.0</v>
      </c>
      <c r="D2158" s="70">
        <v>0.0</v>
      </c>
      <c r="E2158" s="70">
        <v>0.0</v>
      </c>
      <c r="F2158" s="70">
        <v>0.0</v>
      </c>
      <c r="G2158" s="70">
        <v>0.0</v>
      </c>
      <c r="H2158" s="70" t="s">
        <v>4823</v>
      </c>
      <c r="I2158" s="70">
        <v>448.0</v>
      </c>
      <c r="J2158" s="70" t="s">
        <v>4820</v>
      </c>
      <c r="K2158" s="70" t="s">
        <v>4821</v>
      </c>
      <c r="L2158" s="70" t="s">
        <v>4822</v>
      </c>
      <c r="P2158" s="76">
        <v>42688.0</v>
      </c>
      <c r="U2158" s="70" t="s">
        <v>239</v>
      </c>
      <c r="W2158" s="70" t="s">
        <v>4825</v>
      </c>
      <c r="X2158" s="70" t="s">
        <v>4826</v>
      </c>
      <c r="Z2158" s="75" t="s">
        <v>4827</v>
      </c>
      <c r="AA2158" s="70" t="s">
        <v>4828</v>
      </c>
      <c r="AC2158" s="70">
        <v>32.0</v>
      </c>
      <c r="AE2158" s="70">
        <v>21.0</v>
      </c>
      <c r="AF2158" s="70" t="s">
        <v>239</v>
      </c>
      <c r="AX2158" s="70">
        <v>0.0</v>
      </c>
      <c r="AY2158" s="70" t="s">
        <v>24</v>
      </c>
      <c r="AZ2158" s="70">
        <v>1840.0</v>
      </c>
    </row>
    <row r="2159" ht="22.5" customHeight="1">
      <c r="A2159" s="70" t="str">
        <f t="shared" si="1"/>
        <v>Excluded</v>
      </c>
      <c r="B2159" s="70">
        <f t="shared" si="2"/>
        <v>0</v>
      </c>
      <c r="C2159" s="70">
        <v>0.0</v>
      </c>
      <c r="D2159" s="70">
        <v>0.0</v>
      </c>
      <c r="E2159" s="70">
        <v>0.0</v>
      </c>
      <c r="F2159" s="70">
        <v>0.0</v>
      </c>
      <c r="G2159" s="70">
        <v>0.0</v>
      </c>
      <c r="H2159" s="70" t="s">
        <v>27295</v>
      </c>
      <c r="I2159" s="70">
        <v>2949.0</v>
      </c>
      <c r="J2159" s="70" t="s">
        <v>24241</v>
      </c>
      <c r="K2159" s="70" t="s">
        <v>27294</v>
      </c>
      <c r="W2159" s="70" t="s">
        <v>30820</v>
      </c>
      <c r="AI2159" s="70" t="s">
        <v>24246</v>
      </c>
      <c r="AJ2159" s="70" t="s">
        <v>24247</v>
      </c>
      <c r="AK2159" s="70">
        <v>2022.0</v>
      </c>
      <c r="AL2159" s="70" t="s">
        <v>27298</v>
      </c>
      <c r="AN2159" s="70">
        <v>277.0</v>
      </c>
      <c r="AO2159" s="70">
        <v>290.0</v>
      </c>
      <c r="AP2159" s="70">
        <v>13.0</v>
      </c>
      <c r="AQ2159" s="70">
        <v>23.0</v>
      </c>
      <c r="AR2159" s="75" t="s">
        <v>27299</v>
      </c>
      <c r="AS2159" s="70" t="s">
        <v>22525</v>
      </c>
      <c r="AT2159" s="70" t="s">
        <v>22816</v>
      </c>
      <c r="AU2159" s="70" t="s">
        <v>237</v>
      </c>
      <c r="AV2159" s="70" t="s">
        <v>27300</v>
      </c>
      <c r="AW2159" s="70" t="s">
        <v>27301</v>
      </c>
      <c r="AZ2159" s="70">
        <v>594.0</v>
      </c>
    </row>
    <row r="2160" ht="22.5" customHeight="1">
      <c r="A2160" s="70" t="str">
        <f t="shared" si="1"/>
        <v>Excluded</v>
      </c>
      <c r="B2160" s="70">
        <f t="shared" si="2"/>
        <v>0</v>
      </c>
      <c r="C2160" s="70">
        <v>0.0</v>
      </c>
      <c r="D2160" s="70">
        <v>0.0</v>
      </c>
      <c r="E2160" s="70">
        <v>0.0</v>
      </c>
      <c r="F2160" s="70">
        <v>0.0</v>
      </c>
      <c r="G2160" s="70">
        <v>0.0</v>
      </c>
      <c r="H2160" s="70" t="s">
        <v>8239</v>
      </c>
      <c r="I2160" s="70">
        <v>797.0</v>
      </c>
      <c r="J2160" s="70" t="s">
        <v>30821</v>
      </c>
      <c r="K2160" s="70" t="s">
        <v>8237</v>
      </c>
      <c r="L2160" s="70" t="s">
        <v>8238</v>
      </c>
      <c r="P2160" s="77">
        <v>43531.0</v>
      </c>
      <c r="U2160" s="70" t="s">
        <v>239</v>
      </c>
      <c r="W2160" s="70" t="s">
        <v>8241</v>
      </c>
      <c r="X2160" s="70" t="s">
        <v>8242</v>
      </c>
      <c r="Z2160" s="75" t="s">
        <v>8243</v>
      </c>
      <c r="AA2160" s="70" t="s">
        <v>8244</v>
      </c>
      <c r="AC2160" s="70">
        <v>2.0</v>
      </c>
      <c r="AE2160" s="70">
        <v>22.0</v>
      </c>
      <c r="AF2160" s="70" t="s">
        <v>239</v>
      </c>
      <c r="AW2160" s="70" t="s">
        <v>8245</v>
      </c>
      <c r="AZ2160" s="70">
        <v>216.0</v>
      </c>
    </row>
    <row r="2161" ht="22.5" customHeight="1">
      <c r="A2161" s="70" t="str">
        <f t="shared" si="1"/>
        <v>Excluded</v>
      </c>
      <c r="B2161" s="70">
        <f t="shared" si="2"/>
        <v>0</v>
      </c>
      <c r="C2161" s="70">
        <v>0.0</v>
      </c>
      <c r="D2161" s="70">
        <v>0.0</v>
      </c>
      <c r="E2161" s="70">
        <v>0.0</v>
      </c>
      <c r="F2161" s="70">
        <v>0.0</v>
      </c>
      <c r="G2161" s="70">
        <v>0.0</v>
      </c>
      <c r="H2161" s="70" t="s">
        <v>8145</v>
      </c>
      <c r="I2161" s="70">
        <v>787.0</v>
      </c>
      <c r="J2161" s="70" t="s">
        <v>8141</v>
      </c>
      <c r="K2161" s="70" t="s">
        <v>8142</v>
      </c>
      <c r="L2161" s="70" t="s">
        <v>8143</v>
      </c>
      <c r="N2161" s="70" t="s">
        <v>8144</v>
      </c>
      <c r="P2161" s="76">
        <v>42698.0</v>
      </c>
      <c r="U2161" s="70" t="s">
        <v>239</v>
      </c>
      <c r="W2161" s="70" t="s">
        <v>8147</v>
      </c>
      <c r="X2161" s="70" t="s">
        <v>8148</v>
      </c>
      <c r="Z2161" s="75" t="s">
        <v>8149</v>
      </c>
      <c r="AA2161" s="70" t="s">
        <v>8150</v>
      </c>
      <c r="AC2161" s="70">
        <v>2.0</v>
      </c>
      <c r="AE2161" s="70">
        <v>19.0</v>
      </c>
      <c r="AF2161" s="70" t="s">
        <v>239</v>
      </c>
      <c r="AZ2161" s="70">
        <v>293.0</v>
      </c>
    </row>
    <row r="2162" ht="22.5" customHeight="1">
      <c r="A2162" s="70" t="str">
        <f t="shared" si="1"/>
        <v>Excluded</v>
      </c>
      <c r="B2162" s="70">
        <f t="shared" si="2"/>
        <v>0</v>
      </c>
      <c r="C2162" s="70">
        <v>0.0</v>
      </c>
      <c r="D2162" s="70">
        <v>0.0</v>
      </c>
      <c r="E2162" s="70">
        <v>0.0</v>
      </c>
      <c r="F2162" s="70">
        <v>0.0</v>
      </c>
      <c r="G2162" s="70">
        <v>0.0</v>
      </c>
      <c r="H2162" s="70" t="s">
        <v>8691</v>
      </c>
      <c r="I2162" s="70">
        <v>844.0</v>
      </c>
      <c r="J2162" s="70" t="s">
        <v>8689</v>
      </c>
      <c r="K2162" s="70" t="s">
        <v>8690</v>
      </c>
      <c r="L2162" s="70" t="s">
        <v>7724</v>
      </c>
      <c r="P2162" s="76">
        <v>43822.0</v>
      </c>
      <c r="U2162" s="70" t="s">
        <v>239</v>
      </c>
      <c r="W2162" s="70" t="s">
        <v>30822</v>
      </c>
      <c r="X2162" s="70" t="s">
        <v>7728</v>
      </c>
      <c r="Z2162" s="75" t="s">
        <v>8694</v>
      </c>
      <c r="AC2162" s="70">
        <v>1.0</v>
      </c>
      <c r="AE2162" s="70">
        <v>16.0</v>
      </c>
      <c r="AF2162" s="70" t="s">
        <v>239</v>
      </c>
      <c r="AW2162" s="70" t="s">
        <v>8695</v>
      </c>
      <c r="AX2162" s="70">
        <v>0.0</v>
      </c>
      <c r="AY2162" s="70" t="s">
        <v>24</v>
      </c>
      <c r="AZ2162" s="70">
        <v>2191.0</v>
      </c>
    </row>
    <row r="2163" ht="22.5" customHeight="1">
      <c r="A2163" s="70" t="str">
        <f t="shared" si="1"/>
        <v>Excluded</v>
      </c>
      <c r="B2163" s="70">
        <f t="shared" si="2"/>
        <v>0</v>
      </c>
      <c r="C2163" s="70">
        <v>0.0</v>
      </c>
      <c r="D2163" s="70">
        <v>0.0</v>
      </c>
      <c r="E2163" s="70">
        <v>0.0</v>
      </c>
      <c r="F2163" s="70">
        <v>0.0</v>
      </c>
      <c r="G2163" s="70">
        <v>0.0</v>
      </c>
      <c r="H2163" s="70" t="s">
        <v>7725</v>
      </c>
      <c r="I2163" s="70">
        <v>743.0</v>
      </c>
      <c r="J2163" s="70" t="s">
        <v>7722</v>
      </c>
      <c r="K2163" s="70" t="s">
        <v>7723</v>
      </c>
      <c r="L2163" s="70" t="s">
        <v>7724</v>
      </c>
      <c r="P2163" s="76">
        <v>43822.0</v>
      </c>
      <c r="U2163" s="70" t="s">
        <v>239</v>
      </c>
      <c r="W2163" s="70" t="s">
        <v>7727</v>
      </c>
      <c r="X2163" s="70" t="s">
        <v>7728</v>
      </c>
      <c r="Z2163" s="75" t="s">
        <v>7729</v>
      </c>
      <c r="AA2163" s="70" t="s">
        <v>7730</v>
      </c>
      <c r="AC2163" s="70">
        <v>3.0</v>
      </c>
      <c r="AE2163" s="70">
        <v>24.0</v>
      </c>
      <c r="AF2163" s="70" t="s">
        <v>239</v>
      </c>
      <c r="AW2163" s="70" t="s">
        <v>7731</v>
      </c>
      <c r="AX2163" s="70">
        <v>0.0</v>
      </c>
      <c r="AY2163" s="70" t="s">
        <v>24</v>
      </c>
      <c r="AZ2163" s="70">
        <v>2451.0</v>
      </c>
    </row>
    <row r="2164" ht="22.5" customHeight="1">
      <c r="A2164" s="70" t="str">
        <f t="shared" si="1"/>
        <v>Excluded</v>
      </c>
      <c r="B2164" s="70">
        <f t="shared" si="2"/>
        <v>0</v>
      </c>
      <c r="C2164" s="70">
        <v>0.0</v>
      </c>
      <c r="D2164" s="70">
        <v>0.0</v>
      </c>
      <c r="E2164" s="70">
        <v>0.0</v>
      </c>
      <c r="F2164" s="70">
        <v>0.0</v>
      </c>
      <c r="G2164" s="70">
        <v>0.0</v>
      </c>
      <c r="H2164" s="70" t="s">
        <v>9998</v>
      </c>
      <c r="I2164" s="70">
        <v>980.0</v>
      </c>
      <c r="J2164" s="70" t="s">
        <v>9995</v>
      </c>
      <c r="K2164" s="70" t="s">
        <v>9996</v>
      </c>
      <c r="L2164" s="70" t="s">
        <v>9997</v>
      </c>
      <c r="P2164" s="76">
        <v>44421.0</v>
      </c>
      <c r="U2164" s="70" t="s">
        <v>239</v>
      </c>
      <c r="W2164" s="70" t="s">
        <v>10000</v>
      </c>
      <c r="X2164" s="70" t="s">
        <v>10001</v>
      </c>
      <c r="Z2164" s="75" t="s">
        <v>10002</v>
      </c>
      <c r="AA2164" s="70" t="s">
        <v>10003</v>
      </c>
      <c r="AE2164" s="70">
        <v>33.0</v>
      </c>
      <c r="AF2164" s="70" t="s">
        <v>239</v>
      </c>
      <c r="AW2164" s="70" t="s">
        <v>10004</v>
      </c>
      <c r="AX2164" s="70">
        <v>0.0</v>
      </c>
      <c r="AY2164" s="70" t="s">
        <v>24</v>
      </c>
      <c r="AZ2164" s="70">
        <v>3115.0</v>
      </c>
    </row>
    <row r="2165" ht="22.5" customHeight="1">
      <c r="A2165" s="70" t="str">
        <f t="shared" si="1"/>
        <v>Excluded</v>
      </c>
      <c r="B2165" s="70">
        <f t="shared" si="2"/>
        <v>0</v>
      </c>
      <c r="C2165" s="70">
        <v>0.0</v>
      </c>
      <c r="D2165" s="70">
        <v>0.0</v>
      </c>
      <c r="E2165" s="70">
        <v>0.0</v>
      </c>
      <c r="F2165" s="70">
        <v>0.0</v>
      </c>
      <c r="G2165" s="70">
        <v>0.0</v>
      </c>
      <c r="H2165" s="70" t="s">
        <v>8456</v>
      </c>
      <c r="I2165" s="70">
        <v>820.0</v>
      </c>
      <c r="J2165" s="70" t="s">
        <v>30823</v>
      </c>
      <c r="K2165" s="70" t="s">
        <v>8454</v>
      </c>
      <c r="L2165" s="70" t="s">
        <v>8455</v>
      </c>
      <c r="P2165" s="76">
        <v>44559.0</v>
      </c>
      <c r="U2165" s="70" t="s">
        <v>239</v>
      </c>
      <c r="W2165" s="70" t="s">
        <v>8458</v>
      </c>
      <c r="X2165" s="70" t="s">
        <v>8459</v>
      </c>
      <c r="Z2165" s="75" t="s">
        <v>8460</v>
      </c>
      <c r="AA2165" s="70" t="s">
        <v>8461</v>
      </c>
      <c r="AC2165" s="70">
        <v>1.0</v>
      </c>
      <c r="AE2165" s="70">
        <v>31.0</v>
      </c>
      <c r="AF2165" s="70" t="s">
        <v>239</v>
      </c>
      <c r="AW2165" s="70" t="s">
        <v>8462</v>
      </c>
      <c r="AZ2165" s="70">
        <v>409.0</v>
      </c>
    </row>
    <row r="2166" ht="22.5" customHeight="1">
      <c r="A2166" s="70" t="str">
        <f t="shared" si="1"/>
        <v>Excluded</v>
      </c>
      <c r="B2166" s="70">
        <f t="shared" si="2"/>
        <v>0</v>
      </c>
      <c r="C2166" s="70">
        <v>0.0</v>
      </c>
      <c r="D2166" s="70">
        <v>0.0</v>
      </c>
      <c r="E2166" s="70">
        <v>0.0</v>
      </c>
      <c r="F2166" s="70">
        <v>0.0</v>
      </c>
      <c r="G2166" s="70">
        <v>0.0</v>
      </c>
      <c r="H2166" s="70" t="s">
        <v>10637</v>
      </c>
      <c r="I2166" s="70">
        <v>1054.0</v>
      </c>
      <c r="K2166" s="70" t="s">
        <v>10597</v>
      </c>
      <c r="L2166" s="70" t="s">
        <v>7626</v>
      </c>
      <c r="N2166" s="70" t="s">
        <v>7627</v>
      </c>
      <c r="P2166" s="76">
        <v>44763.0</v>
      </c>
      <c r="U2166" s="70" t="s">
        <v>239</v>
      </c>
      <c r="W2166" s="70" t="s">
        <v>10602</v>
      </c>
      <c r="X2166" s="70" t="s">
        <v>7631</v>
      </c>
      <c r="Z2166" s="75" t="s">
        <v>10639</v>
      </c>
      <c r="AF2166" s="70" t="s">
        <v>239</v>
      </c>
      <c r="AZ2166" s="70">
        <v>1588.0</v>
      </c>
    </row>
    <row r="2167" ht="22.5" customHeight="1">
      <c r="A2167" s="70" t="str">
        <f t="shared" si="1"/>
        <v>Excluded</v>
      </c>
      <c r="B2167" s="70">
        <f t="shared" si="2"/>
        <v>0</v>
      </c>
      <c r="C2167" s="70">
        <v>0.0</v>
      </c>
      <c r="D2167" s="70">
        <v>0.0</v>
      </c>
      <c r="E2167" s="70">
        <v>0.0</v>
      </c>
      <c r="F2167" s="70">
        <v>0.0</v>
      </c>
      <c r="G2167" s="70">
        <v>0.0</v>
      </c>
      <c r="H2167" s="70" t="s">
        <v>7628</v>
      </c>
      <c r="I2167" s="70">
        <v>733.0</v>
      </c>
      <c r="J2167" s="70" t="s">
        <v>7624</v>
      </c>
      <c r="K2167" s="70" t="s">
        <v>7625</v>
      </c>
      <c r="L2167" s="70" t="s">
        <v>7626</v>
      </c>
      <c r="N2167" s="70" t="s">
        <v>7627</v>
      </c>
      <c r="P2167" s="76">
        <v>44763.0</v>
      </c>
      <c r="U2167" s="70" t="s">
        <v>239</v>
      </c>
      <c r="W2167" s="70" t="s">
        <v>7630</v>
      </c>
      <c r="X2167" s="70" t="s">
        <v>7631</v>
      </c>
      <c r="Z2167" s="75" t="s">
        <v>7632</v>
      </c>
      <c r="AA2167" s="70" t="s">
        <v>7633</v>
      </c>
      <c r="AC2167" s="70">
        <v>3.0</v>
      </c>
      <c r="AE2167" s="70">
        <v>10.0</v>
      </c>
      <c r="AF2167" s="70" t="s">
        <v>239</v>
      </c>
      <c r="AW2167" s="70" t="s">
        <v>7634</v>
      </c>
      <c r="AZ2167" s="70">
        <v>976.0</v>
      </c>
    </row>
    <row r="2168" ht="22.5" customHeight="1">
      <c r="A2168" s="70" t="str">
        <f t="shared" si="1"/>
        <v>Excluded</v>
      </c>
      <c r="B2168" s="70">
        <f t="shared" si="2"/>
        <v>0</v>
      </c>
      <c r="C2168" s="70">
        <v>0.0</v>
      </c>
      <c r="D2168" s="70">
        <v>0.0</v>
      </c>
      <c r="E2168" s="70">
        <v>0.0</v>
      </c>
      <c r="F2168" s="70">
        <v>0.0</v>
      </c>
      <c r="G2168" s="70">
        <v>0.0</v>
      </c>
      <c r="H2168" s="70" t="s">
        <v>24677</v>
      </c>
      <c r="I2168" s="70">
        <v>2695.0</v>
      </c>
      <c r="J2168" s="70" t="s">
        <v>24675</v>
      </c>
      <c r="K2168" s="70" t="s">
        <v>24676</v>
      </c>
      <c r="W2168" s="70" t="s">
        <v>30824</v>
      </c>
      <c r="AA2168" s="70" t="s">
        <v>24679</v>
      </c>
      <c r="AI2168" s="70" t="s">
        <v>24680</v>
      </c>
      <c r="AJ2168" s="70" t="s">
        <v>24681</v>
      </c>
      <c r="AK2168" s="70">
        <v>2024.0</v>
      </c>
      <c r="AL2168" s="70" t="s">
        <v>24682</v>
      </c>
      <c r="AN2168" s="70">
        <v>792.0</v>
      </c>
      <c r="AO2168" s="70">
        <v>803.0</v>
      </c>
      <c r="AP2168" s="70">
        <v>11.0</v>
      </c>
      <c r="AQ2168" s="70">
        <v>0.0</v>
      </c>
      <c r="AR2168" s="75" t="s">
        <v>24683</v>
      </c>
      <c r="AS2168" s="70" t="s">
        <v>22525</v>
      </c>
      <c r="AU2168" s="70" t="s">
        <v>237</v>
      </c>
      <c r="AV2168" s="70" t="s">
        <v>24684</v>
      </c>
      <c r="AW2168" s="70" t="s">
        <v>24685</v>
      </c>
      <c r="AZ2168" s="70">
        <v>1464.0</v>
      </c>
    </row>
    <row r="2169" ht="22.5" customHeight="1">
      <c r="A2169" s="70" t="str">
        <f t="shared" si="1"/>
        <v>Excluded</v>
      </c>
      <c r="B2169" s="70">
        <f t="shared" si="2"/>
        <v>0</v>
      </c>
      <c r="C2169" s="70">
        <v>0.0</v>
      </c>
      <c r="D2169" s="70">
        <v>0.0</v>
      </c>
      <c r="E2169" s="70">
        <v>0.0</v>
      </c>
      <c r="F2169" s="70">
        <v>0.0</v>
      </c>
      <c r="G2169" s="70">
        <v>0.0</v>
      </c>
      <c r="H2169" s="70" t="s">
        <v>5926</v>
      </c>
      <c r="I2169" s="70">
        <v>559.0</v>
      </c>
      <c r="J2169" s="70" t="s">
        <v>5922</v>
      </c>
      <c r="K2169" s="70" t="s">
        <v>5923</v>
      </c>
      <c r="L2169" s="70" t="s">
        <v>5924</v>
      </c>
      <c r="N2169" s="70" t="s">
        <v>5925</v>
      </c>
      <c r="P2169" s="76">
        <v>43482.0</v>
      </c>
      <c r="U2169" s="70" t="s">
        <v>239</v>
      </c>
      <c r="W2169" s="70" t="s">
        <v>5928</v>
      </c>
      <c r="X2169" s="70" t="s">
        <v>5929</v>
      </c>
      <c r="Z2169" s="75" t="s">
        <v>5930</v>
      </c>
      <c r="AA2169" s="70" t="s">
        <v>5931</v>
      </c>
      <c r="AC2169" s="70">
        <v>8.0</v>
      </c>
      <c r="AE2169" s="70">
        <v>25.0</v>
      </c>
      <c r="AF2169" s="70" t="s">
        <v>239</v>
      </c>
      <c r="AW2169" s="70" t="s">
        <v>5932</v>
      </c>
      <c r="AX2169" s="70">
        <v>0.0</v>
      </c>
      <c r="AY2169" s="70" t="s">
        <v>24</v>
      </c>
      <c r="AZ2169" s="70">
        <v>2360.0</v>
      </c>
    </row>
    <row r="2170" ht="22.5" customHeight="1">
      <c r="A2170" s="70" t="str">
        <f t="shared" si="1"/>
        <v>Excluded</v>
      </c>
      <c r="B2170" s="70">
        <f t="shared" si="2"/>
        <v>0</v>
      </c>
      <c r="C2170" s="70">
        <v>0.0</v>
      </c>
      <c r="D2170" s="70">
        <v>0.0</v>
      </c>
      <c r="E2170" s="70">
        <v>0.0</v>
      </c>
      <c r="F2170" s="70">
        <v>0.0</v>
      </c>
      <c r="G2170" s="70">
        <v>0.0</v>
      </c>
      <c r="H2170" s="70" t="s">
        <v>12188</v>
      </c>
      <c r="I2170" s="70">
        <v>1274.0</v>
      </c>
      <c r="J2170" s="70" t="s">
        <v>12184</v>
      </c>
      <c r="K2170" s="70" t="s">
        <v>12185</v>
      </c>
      <c r="L2170" s="70" t="s">
        <v>12186</v>
      </c>
      <c r="N2170" s="70" t="s">
        <v>12187</v>
      </c>
      <c r="P2170" s="77">
        <v>45238.0</v>
      </c>
      <c r="U2170" s="70" t="s">
        <v>239</v>
      </c>
      <c r="W2170" s="70" t="s">
        <v>12190</v>
      </c>
      <c r="X2170" s="70" t="s">
        <v>12191</v>
      </c>
      <c r="Y2170" s="70" t="s">
        <v>30825</v>
      </c>
      <c r="Z2170" s="75" t="s">
        <v>12193</v>
      </c>
      <c r="AA2170" s="70" t="s">
        <v>12194</v>
      </c>
      <c r="AC2170" s="70">
        <v>1.0</v>
      </c>
      <c r="AE2170" s="70">
        <v>26.0</v>
      </c>
      <c r="AF2170" s="70" t="s">
        <v>239</v>
      </c>
      <c r="AW2170" s="70" t="s">
        <v>12195</v>
      </c>
      <c r="AX2170" s="70">
        <v>0.0</v>
      </c>
      <c r="AY2170" s="70" t="s">
        <v>24</v>
      </c>
      <c r="AZ2170" s="70">
        <v>2970.0</v>
      </c>
    </row>
    <row r="2171" ht="22.5" customHeight="1">
      <c r="A2171" s="70" t="str">
        <f t="shared" si="1"/>
        <v>Excluded</v>
      </c>
      <c r="B2171" s="70">
        <f t="shared" si="2"/>
        <v>0</v>
      </c>
      <c r="C2171" s="70">
        <v>0.0</v>
      </c>
      <c r="D2171" s="70">
        <v>0.0</v>
      </c>
      <c r="E2171" s="70">
        <v>0.0</v>
      </c>
      <c r="F2171" s="70">
        <v>0.0</v>
      </c>
      <c r="G2171" s="70">
        <v>0.0</v>
      </c>
      <c r="H2171" s="70" t="s">
        <v>4942</v>
      </c>
      <c r="I2171" s="70">
        <v>460.0</v>
      </c>
      <c r="J2171" s="70" t="s">
        <v>4939</v>
      </c>
      <c r="K2171" s="70" t="s">
        <v>4940</v>
      </c>
      <c r="L2171" s="70" t="s">
        <v>4941</v>
      </c>
      <c r="P2171" s="76">
        <v>44249.0</v>
      </c>
      <c r="U2171" s="70" t="s">
        <v>239</v>
      </c>
      <c r="W2171" s="70" t="s">
        <v>4944</v>
      </c>
      <c r="X2171" s="70" t="s">
        <v>4945</v>
      </c>
      <c r="Z2171" s="75" t="s">
        <v>4946</v>
      </c>
      <c r="AA2171" s="70" t="s">
        <v>4947</v>
      </c>
      <c r="AC2171" s="70">
        <v>26.0</v>
      </c>
      <c r="AE2171" s="70">
        <v>79.0</v>
      </c>
      <c r="AF2171" s="70" t="s">
        <v>239</v>
      </c>
      <c r="AW2171" s="70" t="s">
        <v>4948</v>
      </c>
      <c r="AX2171" s="70">
        <v>0.0</v>
      </c>
      <c r="AY2171" s="70" t="s">
        <v>24</v>
      </c>
      <c r="AZ2171" s="70">
        <v>2370.0</v>
      </c>
    </row>
    <row r="2172" ht="22.5" customHeight="1">
      <c r="A2172" s="70" t="str">
        <f t="shared" si="1"/>
        <v>Excluded</v>
      </c>
      <c r="B2172" s="70">
        <f t="shared" si="2"/>
        <v>0</v>
      </c>
      <c r="C2172" s="70">
        <v>0.0</v>
      </c>
      <c r="D2172" s="70">
        <v>0.0</v>
      </c>
      <c r="E2172" s="70">
        <v>0.0</v>
      </c>
      <c r="F2172" s="70">
        <v>0.0</v>
      </c>
      <c r="G2172" s="70">
        <v>0.0</v>
      </c>
      <c r="H2172" s="70" t="s">
        <v>599</v>
      </c>
      <c r="I2172" s="70">
        <v>19.0</v>
      </c>
      <c r="J2172" s="70" t="s">
        <v>595</v>
      </c>
      <c r="K2172" s="70" t="s">
        <v>596</v>
      </c>
      <c r="L2172" s="70" t="s">
        <v>597</v>
      </c>
      <c r="M2172" s="70" t="s">
        <v>598</v>
      </c>
      <c r="O2172" s="75" t="s">
        <v>600</v>
      </c>
      <c r="P2172" s="70">
        <v>2024.0</v>
      </c>
      <c r="Q2172" s="70" t="s">
        <v>601</v>
      </c>
      <c r="U2172" s="70" t="s">
        <v>555</v>
      </c>
      <c r="V2172" s="70" t="s">
        <v>602</v>
      </c>
      <c r="W2172" s="70" t="s">
        <v>603</v>
      </c>
      <c r="AW2172" s="70" t="s">
        <v>604</v>
      </c>
      <c r="AX2172" s="70">
        <v>0.0</v>
      </c>
      <c r="AY2172" s="70" t="s">
        <v>24</v>
      </c>
      <c r="AZ2172" s="70">
        <v>2208.0</v>
      </c>
    </row>
    <row r="2173" ht="22.5" customHeight="1">
      <c r="A2173" s="70" t="str">
        <f t="shared" si="1"/>
        <v>Excluded</v>
      </c>
      <c r="B2173" s="70">
        <f t="shared" si="2"/>
        <v>0</v>
      </c>
      <c r="C2173" s="70">
        <v>0.0</v>
      </c>
      <c r="D2173" s="70">
        <v>0.0</v>
      </c>
      <c r="E2173" s="70">
        <v>0.0</v>
      </c>
      <c r="F2173" s="70">
        <v>0.0</v>
      </c>
      <c r="G2173" s="70">
        <v>0.0</v>
      </c>
      <c r="H2173" s="70" t="s">
        <v>5393</v>
      </c>
      <c r="I2173" s="70">
        <v>505.0</v>
      </c>
      <c r="J2173" s="70" t="s">
        <v>5389</v>
      </c>
      <c r="K2173" s="70" t="s">
        <v>5390</v>
      </c>
      <c r="L2173" s="70" t="s">
        <v>5391</v>
      </c>
      <c r="N2173" s="70" t="s">
        <v>5392</v>
      </c>
      <c r="P2173" s="76">
        <v>43706.0</v>
      </c>
      <c r="U2173" s="70" t="s">
        <v>239</v>
      </c>
      <c r="W2173" s="70" t="s">
        <v>5395</v>
      </c>
      <c r="X2173" s="70" t="s">
        <v>5396</v>
      </c>
      <c r="Z2173" s="75" t="s">
        <v>5397</v>
      </c>
      <c r="AA2173" s="70" t="s">
        <v>5398</v>
      </c>
      <c r="AC2173" s="70">
        <v>13.0</v>
      </c>
      <c r="AE2173" s="70">
        <v>20.0</v>
      </c>
      <c r="AF2173" s="70" t="s">
        <v>239</v>
      </c>
      <c r="AX2173" s="70">
        <v>0.0</v>
      </c>
      <c r="AY2173" s="70" t="s">
        <v>24</v>
      </c>
      <c r="AZ2173" s="70">
        <v>2661.0</v>
      </c>
    </row>
    <row r="2174" ht="22.5" customHeight="1">
      <c r="A2174" s="70" t="str">
        <f t="shared" si="1"/>
        <v>Excluded</v>
      </c>
      <c r="B2174" s="70">
        <f t="shared" si="2"/>
        <v>0</v>
      </c>
      <c r="C2174" s="70">
        <v>0.0</v>
      </c>
      <c r="D2174" s="70">
        <v>0.0</v>
      </c>
      <c r="E2174" s="70">
        <v>0.0</v>
      </c>
      <c r="F2174" s="70">
        <v>0.0</v>
      </c>
      <c r="G2174" s="70">
        <v>0.0</v>
      </c>
      <c r="H2174" s="70" t="s">
        <v>8036</v>
      </c>
      <c r="I2174" s="70">
        <v>775.0</v>
      </c>
      <c r="J2174" s="70" t="s">
        <v>8034</v>
      </c>
      <c r="K2174" s="70" t="s">
        <v>8035</v>
      </c>
      <c r="L2174" s="70" t="s">
        <v>6418</v>
      </c>
      <c r="N2174" s="70" t="s">
        <v>5392</v>
      </c>
      <c r="P2174" s="76">
        <v>44515.0</v>
      </c>
      <c r="U2174" s="70" t="s">
        <v>239</v>
      </c>
      <c r="W2174" s="70" t="s">
        <v>8038</v>
      </c>
      <c r="X2174" s="70" t="s">
        <v>6422</v>
      </c>
      <c r="Y2174" s="70" t="s">
        <v>30826</v>
      </c>
      <c r="Z2174" s="75" t="s">
        <v>8040</v>
      </c>
      <c r="AA2174" s="70" t="s">
        <v>8041</v>
      </c>
      <c r="AC2174" s="70">
        <v>2.0</v>
      </c>
      <c r="AE2174" s="70">
        <v>42.0</v>
      </c>
      <c r="AF2174" s="70" t="s">
        <v>239</v>
      </c>
      <c r="AW2174" s="70" t="s">
        <v>8042</v>
      </c>
      <c r="AZ2174" s="70">
        <v>774.0</v>
      </c>
    </row>
    <row r="2175" ht="22.5" customHeight="1">
      <c r="A2175" s="70" t="str">
        <f t="shared" si="1"/>
        <v>Excluded</v>
      </c>
      <c r="B2175" s="70">
        <f t="shared" si="2"/>
        <v>0</v>
      </c>
      <c r="C2175" s="70">
        <v>0.0</v>
      </c>
      <c r="D2175" s="70">
        <v>0.0</v>
      </c>
      <c r="E2175" s="70">
        <v>0.0</v>
      </c>
      <c r="F2175" s="70">
        <v>0.0</v>
      </c>
      <c r="G2175" s="70">
        <v>0.0</v>
      </c>
      <c r="H2175" s="70" t="s">
        <v>6419</v>
      </c>
      <c r="I2175" s="70">
        <v>609.0</v>
      </c>
      <c r="J2175" s="70" t="s">
        <v>6416</v>
      </c>
      <c r="K2175" s="70" t="s">
        <v>6417</v>
      </c>
      <c r="L2175" s="70" t="s">
        <v>6418</v>
      </c>
      <c r="N2175" s="70" t="s">
        <v>5392</v>
      </c>
      <c r="P2175" s="76">
        <v>44515.0</v>
      </c>
      <c r="U2175" s="70" t="s">
        <v>239</v>
      </c>
      <c r="W2175" s="70" t="s">
        <v>6421</v>
      </c>
      <c r="X2175" s="70" t="s">
        <v>6422</v>
      </c>
      <c r="Y2175" s="70" t="s">
        <v>30398</v>
      </c>
      <c r="Z2175" s="75" t="s">
        <v>6424</v>
      </c>
      <c r="AA2175" s="70" t="s">
        <v>6425</v>
      </c>
      <c r="AC2175" s="70">
        <v>6.0</v>
      </c>
      <c r="AE2175" s="70">
        <v>36.0</v>
      </c>
      <c r="AF2175" s="70" t="s">
        <v>239</v>
      </c>
      <c r="AW2175" s="70" t="s">
        <v>6426</v>
      </c>
      <c r="AX2175" s="70">
        <v>0.0</v>
      </c>
      <c r="AY2175" s="70" t="s">
        <v>24</v>
      </c>
      <c r="AZ2175" s="70">
        <v>1896.0</v>
      </c>
    </row>
    <row r="2176" ht="22.5" customHeight="1">
      <c r="A2176" s="70" t="str">
        <f t="shared" si="1"/>
        <v>Excluded</v>
      </c>
      <c r="B2176" s="70">
        <f t="shared" si="2"/>
        <v>0</v>
      </c>
      <c r="C2176" s="70">
        <v>0.0</v>
      </c>
      <c r="D2176" s="70">
        <v>0.0</v>
      </c>
      <c r="E2176" s="70">
        <v>0.0</v>
      </c>
      <c r="F2176" s="70">
        <v>0.0</v>
      </c>
      <c r="G2176" s="70">
        <v>0.0</v>
      </c>
      <c r="H2176" s="70" t="s">
        <v>9506</v>
      </c>
      <c r="I2176" s="70">
        <v>929.0</v>
      </c>
      <c r="J2176" s="70" t="s">
        <v>9503</v>
      </c>
      <c r="K2176" s="70" t="s">
        <v>9504</v>
      </c>
      <c r="L2176" s="70" t="s">
        <v>9505</v>
      </c>
      <c r="P2176" s="76">
        <v>44242.0</v>
      </c>
      <c r="U2176" s="70" t="s">
        <v>239</v>
      </c>
      <c r="W2176" s="70" t="s">
        <v>9508</v>
      </c>
      <c r="X2176" s="70" t="s">
        <v>9509</v>
      </c>
      <c r="Z2176" s="75" t="s">
        <v>9510</v>
      </c>
      <c r="AA2176" s="70" t="s">
        <v>9511</v>
      </c>
      <c r="AE2176" s="70">
        <v>18.0</v>
      </c>
      <c r="AF2176" s="70" t="s">
        <v>239</v>
      </c>
      <c r="AW2176" s="70" t="s">
        <v>9512</v>
      </c>
      <c r="AX2176" s="70">
        <v>0.0</v>
      </c>
      <c r="AY2176" s="70" t="s">
        <v>24</v>
      </c>
      <c r="AZ2176" s="70">
        <v>2464.0</v>
      </c>
    </row>
    <row r="2177" ht="22.5" customHeight="1">
      <c r="A2177" s="70" t="str">
        <f t="shared" si="1"/>
        <v>Excluded</v>
      </c>
      <c r="B2177" s="70">
        <f t="shared" si="2"/>
        <v>0</v>
      </c>
      <c r="C2177" s="70">
        <v>0.0</v>
      </c>
      <c r="D2177" s="70">
        <v>0.0</v>
      </c>
      <c r="E2177" s="70">
        <v>0.0</v>
      </c>
      <c r="F2177" s="70">
        <v>0.0</v>
      </c>
      <c r="G2177" s="70">
        <v>0.0</v>
      </c>
      <c r="H2177" s="70" t="s">
        <v>10583</v>
      </c>
      <c r="I2177" s="70">
        <v>1042.0</v>
      </c>
      <c r="K2177" s="70" t="s">
        <v>10580</v>
      </c>
      <c r="L2177" s="70" t="s">
        <v>10581</v>
      </c>
      <c r="N2177" s="70" t="s">
        <v>10582</v>
      </c>
      <c r="P2177" s="77">
        <v>44838.0</v>
      </c>
      <c r="U2177" s="70" t="s">
        <v>239</v>
      </c>
      <c r="W2177" s="70" t="s">
        <v>10585</v>
      </c>
      <c r="X2177" s="70" t="s">
        <v>10586</v>
      </c>
      <c r="Z2177" s="75" t="s">
        <v>10587</v>
      </c>
      <c r="AF2177" s="70" t="s">
        <v>239</v>
      </c>
      <c r="AZ2177" s="70">
        <v>1512.0</v>
      </c>
    </row>
    <row r="2178" ht="22.5" customHeight="1">
      <c r="A2178" s="70" t="str">
        <f t="shared" si="1"/>
        <v>Excluded</v>
      </c>
      <c r="B2178" s="70">
        <f t="shared" si="2"/>
        <v>0</v>
      </c>
      <c r="C2178" s="70">
        <v>0.0</v>
      </c>
      <c r="D2178" s="70">
        <v>0.0</v>
      </c>
      <c r="E2178" s="70">
        <v>0.0</v>
      </c>
      <c r="F2178" s="70">
        <v>0.0</v>
      </c>
      <c r="G2178" s="70">
        <v>0.0</v>
      </c>
      <c r="H2178" s="70" t="s">
        <v>16052</v>
      </c>
      <c r="I2178" s="70">
        <v>1708.0</v>
      </c>
      <c r="K2178" s="70" t="s">
        <v>16051</v>
      </c>
      <c r="L2178" s="70" t="s">
        <v>15846</v>
      </c>
      <c r="N2178" s="70" t="s">
        <v>10582</v>
      </c>
      <c r="P2178" s="76">
        <v>45454.0</v>
      </c>
      <c r="U2178" s="70" t="s">
        <v>239</v>
      </c>
      <c r="X2178" s="70" t="s">
        <v>15849</v>
      </c>
      <c r="Z2178" s="75" t="s">
        <v>16054</v>
      </c>
      <c r="AF2178" s="70" t="s">
        <v>239</v>
      </c>
      <c r="AZ2178" s="70">
        <v>1472.0</v>
      </c>
    </row>
    <row r="2179" ht="22.5" customHeight="1">
      <c r="A2179" s="70" t="str">
        <f t="shared" si="1"/>
        <v>Excluded</v>
      </c>
      <c r="B2179" s="70">
        <f t="shared" si="2"/>
        <v>0</v>
      </c>
      <c r="C2179" s="70">
        <v>0.0</v>
      </c>
      <c r="D2179" s="70">
        <v>0.0</v>
      </c>
      <c r="E2179" s="70">
        <v>0.0</v>
      </c>
      <c r="F2179" s="70">
        <v>0.0</v>
      </c>
      <c r="G2179" s="70">
        <v>0.0</v>
      </c>
      <c r="H2179" s="70" t="s">
        <v>15847</v>
      </c>
      <c r="I2179" s="70">
        <v>1657.0</v>
      </c>
      <c r="K2179" s="70" t="s">
        <v>15845</v>
      </c>
      <c r="L2179" s="70" t="s">
        <v>15846</v>
      </c>
      <c r="N2179" s="70" t="s">
        <v>10582</v>
      </c>
      <c r="P2179" s="76">
        <v>45454.0</v>
      </c>
      <c r="U2179" s="70" t="s">
        <v>239</v>
      </c>
      <c r="X2179" s="70" t="s">
        <v>15849</v>
      </c>
      <c r="Z2179" s="75" t="s">
        <v>15850</v>
      </c>
      <c r="AF2179" s="70" t="s">
        <v>239</v>
      </c>
      <c r="AZ2179" s="70">
        <v>1451.0</v>
      </c>
    </row>
    <row r="2180" ht="22.5" customHeight="1">
      <c r="A2180" s="70" t="str">
        <f t="shared" si="1"/>
        <v>Excluded</v>
      </c>
      <c r="B2180" s="70">
        <f t="shared" si="2"/>
        <v>0</v>
      </c>
      <c r="C2180" s="70">
        <v>0.0</v>
      </c>
      <c r="D2180" s="70">
        <v>0.0</v>
      </c>
      <c r="E2180" s="70">
        <v>0.0</v>
      </c>
      <c r="F2180" s="70">
        <v>0.0</v>
      </c>
      <c r="G2180" s="70">
        <v>0.0</v>
      </c>
      <c r="H2180" s="70" t="s">
        <v>5975</v>
      </c>
      <c r="I2180" s="70">
        <v>564.0</v>
      </c>
      <c r="J2180" s="70" t="s">
        <v>5972</v>
      </c>
      <c r="K2180" s="70" t="s">
        <v>5973</v>
      </c>
      <c r="L2180" s="70" t="s">
        <v>5974</v>
      </c>
      <c r="P2180" s="77">
        <v>44019.0</v>
      </c>
      <c r="U2180" s="70" t="s">
        <v>239</v>
      </c>
      <c r="W2180" s="70" t="s">
        <v>5977</v>
      </c>
      <c r="X2180" s="70" t="s">
        <v>5978</v>
      </c>
      <c r="Z2180" s="75" t="s">
        <v>5979</v>
      </c>
      <c r="AA2180" s="70" t="s">
        <v>5980</v>
      </c>
      <c r="AC2180" s="70">
        <v>8.0</v>
      </c>
      <c r="AE2180" s="70">
        <v>18.0</v>
      </c>
      <c r="AF2180" s="70" t="s">
        <v>239</v>
      </c>
      <c r="AW2180" s="70" t="s">
        <v>5981</v>
      </c>
      <c r="AZ2180" s="70">
        <v>1503.0</v>
      </c>
    </row>
    <row r="2181" ht="22.5" customHeight="1">
      <c r="A2181" s="70" t="str">
        <f t="shared" si="1"/>
        <v>Excluded</v>
      </c>
      <c r="B2181" s="70">
        <f t="shared" si="2"/>
        <v>0</v>
      </c>
      <c r="C2181" s="70">
        <v>0.0</v>
      </c>
      <c r="D2181" s="70">
        <v>0.0</v>
      </c>
      <c r="E2181" s="70">
        <v>0.0</v>
      </c>
      <c r="F2181" s="70">
        <v>0.0</v>
      </c>
      <c r="G2181" s="70">
        <v>0.0</v>
      </c>
      <c r="H2181" s="70" t="s">
        <v>16362</v>
      </c>
      <c r="I2181" s="70">
        <v>1789.0</v>
      </c>
      <c r="K2181" s="70" t="s">
        <v>10597</v>
      </c>
      <c r="L2181" s="70" t="s">
        <v>16361</v>
      </c>
      <c r="P2181" s="77">
        <v>45665.0</v>
      </c>
      <c r="U2181" s="70" t="s">
        <v>239</v>
      </c>
      <c r="X2181" s="70" t="s">
        <v>1753</v>
      </c>
      <c r="Z2181" s="75" t="s">
        <v>16363</v>
      </c>
      <c r="AF2181" s="70" t="s">
        <v>239</v>
      </c>
      <c r="AZ2181" s="70">
        <v>1560.0</v>
      </c>
    </row>
    <row r="2182" ht="22.5" customHeight="1">
      <c r="A2182" s="70" t="str">
        <f t="shared" si="1"/>
        <v>Excluded</v>
      </c>
      <c r="B2182" s="70">
        <f t="shared" si="2"/>
        <v>0</v>
      </c>
      <c r="C2182" s="70">
        <v>0.0</v>
      </c>
      <c r="D2182" s="70">
        <v>0.0</v>
      </c>
      <c r="E2182" s="70">
        <v>0.0</v>
      </c>
      <c r="F2182" s="70">
        <v>0.0</v>
      </c>
      <c r="G2182" s="70">
        <v>0.0</v>
      </c>
      <c r="H2182" s="70" t="s">
        <v>3175</v>
      </c>
      <c r="I2182" s="70">
        <v>260.0</v>
      </c>
      <c r="J2182" s="70" t="s">
        <v>30827</v>
      </c>
      <c r="K2182" s="70" t="s">
        <v>3174</v>
      </c>
      <c r="L2182" s="70" t="s">
        <v>1752</v>
      </c>
      <c r="M2182" s="70" t="s">
        <v>1753</v>
      </c>
      <c r="O2182" s="75" t="s">
        <v>3176</v>
      </c>
      <c r="P2182" s="70">
        <v>2025.0</v>
      </c>
      <c r="Q2182" s="70" t="s">
        <v>1757</v>
      </c>
      <c r="U2182" s="70" t="s">
        <v>555</v>
      </c>
      <c r="V2182" s="70" t="s">
        <v>602</v>
      </c>
      <c r="W2182" s="70" t="s">
        <v>3178</v>
      </c>
      <c r="AW2182" s="70" t="s">
        <v>3179</v>
      </c>
      <c r="AZ2182" s="70">
        <v>499.0</v>
      </c>
    </row>
    <row r="2183" ht="22.5" customHeight="1">
      <c r="A2183" s="70" t="str">
        <f t="shared" si="1"/>
        <v>Excluded</v>
      </c>
      <c r="B2183" s="70">
        <f t="shared" si="2"/>
        <v>0</v>
      </c>
      <c r="C2183" s="70">
        <v>0.0</v>
      </c>
      <c r="D2183" s="70">
        <v>0.0</v>
      </c>
      <c r="E2183" s="70">
        <v>0.0</v>
      </c>
      <c r="F2183" s="70">
        <v>0.0</v>
      </c>
      <c r="G2183" s="70">
        <v>0.0</v>
      </c>
      <c r="H2183" s="70" t="s">
        <v>1754</v>
      </c>
      <c r="I2183" s="70">
        <v>126.0</v>
      </c>
      <c r="J2183" s="70" t="s">
        <v>1750</v>
      </c>
      <c r="K2183" s="70" t="s">
        <v>1751</v>
      </c>
      <c r="L2183" s="70" t="s">
        <v>1752</v>
      </c>
      <c r="M2183" s="70" t="s">
        <v>1753</v>
      </c>
      <c r="O2183" s="75" t="s">
        <v>1755</v>
      </c>
      <c r="P2183" s="70">
        <v>2025.0</v>
      </c>
      <c r="Q2183" s="70" t="s">
        <v>1757</v>
      </c>
      <c r="U2183" s="70" t="s">
        <v>555</v>
      </c>
      <c r="V2183" s="70" t="s">
        <v>602</v>
      </c>
      <c r="W2183" s="70" t="s">
        <v>1758</v>
      </c>
      <c r="AW2183" s="70" t="s">
        <v>1759</v>
      </c>
      <c r="AX2183" s="70">
        <v>1.0</v>
      </c>
      <c r="AZ2183" s="70">
        <v>1634.0</v>
      </c>
    </row>
    <row r="2184" ht="22.5" customHeight="1">
      <c r="A2184" s="70" t="str">
        <f t="shared" si="1"/>
        <v>Excluded</v>
      </c>
      <c r="B2184" s="70">
        <f t="shared" si="2"/>
        <v>0</v>
      </c>
      <c r="C2184" s="70">
        <v>0.0</v>
      </c>
      <c r="D2184" s="70">
        <v>0.0</v>
      </c>
      <c r="E2184" s="70">
        <v>0.0</v>
      </c>
      <c r="F2184" s="70">
        <v>0.0</v>
      </c>
      <c r="G2184" s="70">
        <v>0.0</v>
      </c>
      <c r="H2184" s="70" t="s">
        <v>8259</v>
      </c>
      <c r="I2184" s="70">
        <v>799.0</v>
      </c>
      <c r="J2184" s="70" t="s">
        <v>8256</v>
      </c>
      <c r="K2184" s="70" t="s">
        <v>8257</v>
      </c>
      <c r="L2184" s="70" t="s">
        <v>8258</v>
      </c>
      <c r="P2184" s="76">
        <v>44032.0</v>
      </c>
      <c r="U2184" s="70" t="s">
        <v>239</v>
      </c>
      <c r="W2184" s="70" t="s">
        <v>8261</v>
      </c>
      <c r="X2184" s="70" t="s">
        <v>8262</v>
      </c>
      <c r="Z2184" s="75" t="s">
        <v>8263</v>
      </c>
      <c r="AA2184" s="70" t="s">
        <v>8264</v>
      </c>
      <c r="AC2184" s="70">
        <v>2.0</v>
      </c>
      <c r="AE2184" s="70">
        <v>16.0</v>
      </c>
      <c r="AF2184" s="70" t="s">
        <v>239</v>
      </c>
      <c r="AW2184" s="70" t="s">
        <v>8265</v>
      </c>
      <c r="AZ2184" s="70">
        <v>284.0</v>
      </c>
    </row>
    <row r="2185" ht="22.5" customHeight="1">
      <c r="A2185" s="70" t="str">
        <f t="shared" si="1"/>
        <v>Excluded</v>
      </c>
      <c r="B2185" s="70">
        <f t="shared" si="2"/>
        <v>0</v>
      </c>
      <c r="C2185" s="70">
        <v>0.0</v>
      </c>
      <c r="D2185" s="70">
        <v>0.0</v>
      </c>
      <c r="E2185" s="70">
        <v>0.0</v>
      </c>
      <c r="F2185" s="70">
        <v>0.0</v>
      </c>
      <c r="G2185" s="70">
        <v>0.0</v>
      </c>
      <c r="H2185" s="70" t="s">
        <v>10863</v>
      </c>
      <c r="I2185" s="70">
        <v>1108.0</v>
      </c>
      <c r="K2185" s="70" t="s">
        <v>10618</v>
      </c>
      <c r="L2185" s="70" t="s">
        <v>10862</v>
      </c>
      <c r="P2185" s="76">
        <v>43790.0</v>
      </c>
      <c r="U2185" s="70" t="s">
        <v>239</v>
      </c>
      <c r="W2185" s="70" t="s">
        <v>10602</v>
      </c>
      <c r="X2185" s="70" t="s">
        <v>10864</v>
      </c>
      <c r="Z2185" s="75" t="s">
        <v>10865</v>
      </c>
      <c r="AF2185" s="70" t="s">
        <v>239</v>
      </c>
      <c r="AZ2185" s="70">
        <v>1623.0</v>
      </c>
    </row>
    <row r="2186" ht="22.5" customHeight="1">
      <c r="A2186" s="70" t="str">
        <f t="shared" si="1"/>
        <v>Excluded</v>
      </c>
      <c r="B2186" s="70">
        <f t="shared" si="2"/>
        <v>0</v>
      </c>
      <c r="C2186" s="70">
        <v>0.0</v>
      </c>
      <c r="D2186" s="70">
        <v>0.0</v>
      </c>
      <c r="E2186" s="70">
        <v>0.0</v>
      </c>
      <c r="F2186" s="70">
        <v>0.0</v>
      </c>
      <c r="G2186" s="70">
        <v>0.0</v>
      </c>
      <c r="H2186" s="70" t="s">
        <v>16334</v>
      </c>
      <c r="I2186" s="70">
        <v>1782.0</v>
      </c>
      <c r="K2186" s="70" t="s">
        <v>10597</v>
      </c>
      <c r="L2186" s="70" t="s">
        <v>12117</v>
      </c>
      <c r="N2186" s="70" t="s">
        <v>12118</v>
      </c>
      <c r="P2186" s="77">
        <v>45292.0</v>
      </c>
      <c r="U2186" s="70" t="s">
        <v>239</v>
      </c>
      <c r="X2186" s="70" t="s">
        <v>12122</v>
      </c>
      <c r="Z2186" s="75" t="s">
        <v>16335</v>
      </c>
      <c r="AF2186" s="70" t="s">
        <v>239</v>
      </c>
      <c r="AZ2186" s="70">
        <v>1569.0</v>
      </c>
    </row>
    <row r="2187" ht="22.5" customHeight="1">
      <c r="A2187" s="70" t="str">
        <f t="shared" si="1"/>
        <v>Excluded</v>
      </c>
      <c r="B2187" s="70">
        <f t="shared" si="2"/>
        <v>0</v>
      </c>
      <c r="C2187" s="70">
        <v>0.0</v>
      </c>
      <c r="D2187" s="70">
        <v>0.0</v>
      </c>
      <c r="E2187" s="70">
        <v>0.0</v>
      </c>
      <c r="F2187" s="70">
        <v>0.0</v>
      </c>
      <c r="G2187" s="70">
        <v>0.0</v>
      </c>
      <c r="H2187" s="70" t="s">
        <v>25429</v>
      </c>
      <c r="I2187" s="70">
        <v>2768.0</v>
      </c>
      <c r="J2187" s="70" t="s">
        <v>25427</v>
      </c>
      <c r="K2187" s="70" t="s">
        <v>25428</v>
      </c>
      <c r="W2187" s="70" t="s">
        <v>30828</v>
      </c>
      <c r="AA2187" s="70" t="s">
        <v>25431</v>
      </c>
      <c r="AI2187" s="70" t="s">
        <v>25432</v>
      </c>
      <c r="AJ2187" s="70" t="s">
        <v>25433</v>
      </c>
      <c r="AK2187" s="70">
        <v>2023.0</v>
      </c>
      <c r="AL2187" s="70" t="s">
        <v>25434</v>
      </c>
      <c r="AN2187" s="70">
        <v>293.0</v>
      </c>
      <c r="AO2187" s="70">
        <v>300.0</v>
      </c>
      <c r="AP2187" s="70">
        <v>7.0</v>
      </c>
      <c r="AQ2187" s="70">
        <v>3.0</v>
      </c>
      <c r="AR2187" s="75" t="s">
        <v>25435</v>
      </c>
      <c r="AS2187" s="70" t="s">
        <v>22525</v>
      </c>
      <c r="AU2187" s="70" t="s">
        <v>237</v>
      </c>
      <c r="AV2187" s="70" t="s">
        <v>25436</v>
      </c>
      <c r="AW2187" s="70" t="s">
        <v>25437</v>
      </c>
      <c r="AX2187" s="70">
        <v>0.0</v>
      </c>
      <c r="AY2187" s="70" t="s">
        <v>24</v>
      </c>
      <c r="AZ2187" s="70">
        <v>2189.0</v>
      </c>
    </row>
    <row r="2188" ht="22.5" customHeight="1">
      <c r="A2188" s="70" t="str">
        <f t="shared" si="1"/>
        <v>Excluded</v>
      </c>
      <c r="B2188" s="70">
        <f t="shared" si="2"/>
        <v>0</v>
      </c>
      <c r="C2188" s="70">
        <v>0.0</v>
      </c>
      <c r="D2188" s="70">
        <v>0.0</v>
      </c>
      <c r="E2188" s="70">
        <v>0.0</v>
      </c>
      <c r="F2188" s="70">
        <v>0.0</v>
      </c>
      <c r="G2188" s="70">
        <v>0.0</v>
      </c>
      <c r="H2188" s="70" t="s">
        <v>12119</v>
      </c>
      <c r="I2188" s="70">
        <v>1267.0</v>
      </c>
      <c r="J2188" s="70" t="s">
        <v>30829</v>
      </c>
      <c r="K2188" s="70" t="s">
        <v>12116</v>
      </c>
      <c r="L2188" s="70" t="s">
        <v>12117</v>
      </c>
      <c r="N2188" s="70" t="s">
        <v>12118</v>
      </c>
      <c r="P2188" s="77">
        <v>45292.0</v>
      </c>
      <c r="U2188" s="70" t="s">
        <v>239</v>
      </c>
      <c r="W2188" s="70" t="s">
        <v>12121</v>
      </c>
      <c r="X2188" s="70" t="s">
        <v>12122</v>
      </c>
      <c r="Z2188" s="75" t="s">
        <v>12123</v>
      </c>
      <c r="AA2188" s="70" t="s">
        <v>12124</v>
      </c>
      <c r="AC2188" s="70">
        <v>1.0</v>
      </c>
      <c r="AE2188" s="70">
        <v>38.0</v>
      </c>
      <c r="AF2188" s="70" t="s">
        <v>239</v>
      </c>
      <c r="AW2188" s="70" t="s">
        <v>12125</v>
      </c>
      <c r="AZ2188" s="70">
        <v>177.0</v>
      </c>
    </row>
    <row r="2189" ht="22.5" customHeight="1">
      <c r="A2189" s="70" t="str">
        <f t="shared" si="1"/>
        <v>Excluded</v>
      </c>
      <c r="B2189" s="70">
        <f t="shared" si="2"/>
        <v>0</v>
      </c>
      <c r="C2189" s="70">
        <v>0.0</v>
      </c>
      <c r="D2189" s="70">
        <v>0.0</v>
      </c>
      <c r="E2189" s="70">
        <v>0.0</v>
      </c>
      <c r="F2189" s="70">
        <v>0.0</v>
      </c>
      <c r="G2189" s="70">
        <v>0.0</v>
      </c>
      <c r="H2189" s="70" t="s">
        <v>15255</v>
      </c>
      <c r="I2189" s="70">
        <v>1591.0</v>
      </c>
      <c r="J2189" s="70" t="s">
        <v>15253</v>
      </c>
      <c r="K2189" s="70" t="s">
        <v>15254</v>
      </c>
      <c r="L2189" s="70" t="s">
        <v>14639</v>
      </c>
      <c r="N2189" s="70" t="s">
        <v>12118</v>
      </c>
      <c r="P2189" s="76">
        <v>45653.0</v>
      </c>
      <c r="U2189" s="70" t="s">
        <v>239</v>
      </c>
      <c r="W2189" s="70" t="s">
        <v>15257</v>
      </c>
      <c r="X2189" s="70" t="s">
        <v>14643</v>
      </c>
      <c r="Z2189" s="75" t="s">
        <v>15258</v>
      </c>
      <c r="AA2189" s="70" t="s">
        <v>15259</v>
      </c>
      <c r="AE2189" s="70">
        <v>66.0</v>
      </c>
      <c r="AF2189" s="70" t="s">
        <v>239</v>
      </c>
      <c r="AW2189" s="70" t="s">
        <v>15260</v>
      </c>
      <c r="AZ2189" s="70">
        <v>1211.0</v>
      </c>
    </row>
    <row r="2190" ht="22.5" customHeight="1">
      <c r="A2190" s="70" t="str">
        <f t="shared" si="1"/>
        <v>Excluded</v>
      </c>
      <c r="B2190" s="70">
        <f t="shared" si="2"/>
        <v>0</v>
      </c>
      <c r="C2190" s="70">
        <v>0.0</v>
      </c>
      <c r="D2190" s="70">
        <v>0.0</v>
      </c>
      <c r="E2190" s="70">
        <v>0.0</v>
      </c>
      <c r="F2190" s="70">
        <v>0.0</v>
      </c>
      <c r="G2190" s="70">
        <v>0.0</v>
      </c>
      <c r="H2190" s="70" t="s">
        <v>14640</v>
      </c>
      <c r="I2190" s="70">
        <v>1527.0</v>
      </c>
      <c r="J2190" s="70" t="s">
        <v>14637</v>
      </c>
      <c r="K2190" s="70" t="s">
        <v>14638</v>
      </c>
      <c r="L2190" s="70" t="s">
        <v>14639</v>
      </c>
      <c r="N2190" s="70" t="s">
        <v>12118</v>
      </c>
      <c r="P2190" s="76">
        <v>45653.0</v>
      </c>
      <c r="U2190" s="70" t="s">
        <v>239</v>
      </c>
      <c r="W2190" s="70" t="s">
        <v>14642</v>
      </c>
      <c r="X2190" s="70" t="s">
        <v>14643</v>
      </c>
      <c r="Y2190" s="70" t="s">
        <v>30830</v>
      </c>
      <c r="Z2190" s="75" t="s">
        <v>14645</v>
      </c>
      <c r="AA2190" s="70" t="s">
        <v>14646</v>
      </c>
      <c r="AE2190" s="70">
        <v>45.0</v>
      </c>
      <c r="AF2190" s="70" t="s">
        <v>239</v>
      </c>
      <c r="AW2190" s="70" t="s">
        <v>14647</v>
      </c>
      <c r="AX2190" s="70">
        <v>0.0</v>
      </c>
      <c r="AY2190" s="70" t="s">
        <v>24</v>
      </c>
      <c r="AZ2190" s="70">
        <v>3086.0</v>
      </c>
    </row>
    <row r="2191" ht="22.5" customHeight="1">
      <c r="A2191" s="70" t="str">
        <f t="shared" si="1"/>
        <v>Excluded</v>
      </c>
      <c r="B2191" s="70">
        <f t="shared" si="2"/>
        <v>0</v>
      </c>
      <c r="C2191" s="70">
        <v>0.0</v>
      </c>
      <c r="D2191" s="70">
        <v>0.0</v>
      </c>
      <c r="E2191" s="70">
        <v>0.0</v>
      </c>
      <c r="F2191" s="70">
        <v>0.0</v>
      </c>
      <c r="G2191" s="70">
        <v>0.0</v>
      </c>
      <c r="H2191" s="70" t="s">
        <v>23766</v>
      </c>
      <c r="I2191" s="70">
        <v>2607.0</v>
      </c>
      <c r="J2191" s="70" t="s">
        <v>23764</v>
      </c>
      <c r="K2191" s="70" t="s">
        <v>23765</v>
      </c>
      <c r="W2191" s="70" t="s">
        <v>30831</v>
      </c>
      <c r="AA2191" s="70" t="s">
        <v>23768</v>
      </c>
      <c r="AI2191" s="70" t="s">
        <v>23769</v>
      </c>
      <c r="AJ2191" s="70" t="s">
        <v>23770</v>
      </c>
      <c r="AK2191" s="70">
        <v>2024.0</v>
      </c>
      <c r="AL2191" s="70" t="s">
        <v>23771</v>
      </c>
      <c r="AN2191" s="70">
        <v>499.0</v>
      </c>
      <c r="AO2191" s="70">
        <v>506.0</v>
      </c>
      <c r="AP2191" s="70">
        <v>7.0</v>
      </c>
      <c r="AQ2191" s="70">
        <v>0.0</v>
      </c>
      <c r="AR2191" s="75" t="s">
        <v>23772</v>
      </c>
      <c r="AS2191" s="70" t="s">
        <v>22525</v>
      </c>
      <c r="AT2191" s="70" t="s">
        <v>22816</v>
      </c>
      <c r="AU2191" s="70" t="s">
        <v>237</v>
      </c>
      <c r="AV2191" s="70" t="s">
        <v>23773</v>
      </c>
      <c r="AW2191" s="70" t="s">
        <v>23774</v>
      </c>
      <c r="AX2191" s="70">
        <v>0.0</v>
      </c>
      <c r="AY2191" s="70" t="s">
        <v>24</v>
      </c>
      <c r="AZ2191" s="70">
        <v>2255.0</v>
      </c>
    </row>
    <row r="2192" ht="22.5" customHeight="1">
      <c r="A2192" s="70" t="str">
        <f t="shared" si="1"/>
        <v>Excluded</v>
      </c>
      <c r="B2192" s="70">
        <f t="shared" si="2"/>
        <v>0</v>
      </c>
      <c r="C2192" s="70">
        <v>0.0</v>
      </c>
      <c r="D2192" s="70">
        <v>0.0</v>
      </c>
      <c r="E2192" s="70">
        <v>0.0</v>
      </c>
      <c r="F2192" s="70">
        <v>0.0</v>
      </c>
      <c r="G2192" s="70">
        <v>0.0</v>
      </c>
      <c r="H2192" s="70" t="s">
        <v>5223</v>
      </c>
      <c r="I2192" s="70">
        <v>488.0</v>
      </c>
      <c r="J2192" s="70" t="s">
        <v>5219</v>
      </c>
      <c r="K2192" s="70" t="s">
        <v>5220</v>
      </c>
      <c r="L2192" s="70" t="s">
        <v>5221</v>
      </c>
      <c r="N2192" s="70" t="s">
        <v>5222</v>
      </c>
      <c r="P2192" s="76">
        <v>44376.0</v>
      </c>
      <c r="U2192" s="70" t="s">
        <v>239</v>
      </c>
      <c r="W2192" s="70" t="s">
        <v>5225</v>
      </c>
      <c r="X2192" s="70" t="s">
        <v>5226</v>
      </c>
      <c r="Z2192" s="75" t="s">
        <v>5227</v>
      </c>
      <c r="AA2192" s="70" t="s">
        <v>5228</v>
      </c>
      <c r="AC2192" s="70">
        <v>16.0</v>
      </c>
      <c r="AE2192" s="70">
        <v>64.0</v>
      </c>
      <c r="AF2192" s="70" t="s">
        <v>239</v>
      </c>
      <c r="AW2192" s="70" t="s">
        <v>5229</v>
      </c>
      <c r="AZ2192" s="70">
        <v>1040.0</v>
      </c>
    </row>
    <row r="2193" ht="22.5" customHeight="1">
      <c r="A2193" s="70" t="str">
        <f t="shared" si="1"/>
        <v>Excluded</v>
      </c>
      <c r="B2193" s="70">
        <f t="shared" si="2"/>
        <v>0</v>
      </c>
      <c r="C2193" s="70">
        <v>0.0</v>
      </c>
      <c r="D2193" s="70">
        <v>0.0</v>
      </c>
      <c r="E2193" s="70">
        <v>0.0</v>
      </c>
      <c r="F2193" s="70">
        <v>0.0</v>
      </c>
      <c r="G2193" s="70">
        <v>0.0</v>
      </c>
      <c r="H2193" s="70" t="s">
        <v>13437</v>
      </c>
      <c r="I2193" s="70">
        <v>1400.0</v>
      </c>
      <c r="J2193" s="70" t="s">
        <v>30832</v>
      </c>
      <c r="K2193" s="70" t="s">
        <v>13435</v>
      </c>
      <c r="L2193" s="70" t="s">
        <v>13436</v>
      </c>
      <c r="N2193" s="70" t="s">
        <v>5222</v>
      </c>
      <c r="P2193" s="76">
        <v>45118.0</v>
      </c>
      <c r="U2193" s="70" t="s">
        <v>239</v>
      </c>
      <c r="W2193" s="70" t="s">
        <v>13439</v>
      </c>
      <c r="X2193" s="70" t="s">
        <v>13440</v>
      </c>
      <c r="Y2193" s="70" t="s">
        <v>30256</v>
      </c>
      <c r="Z2193" s="75" t="s">
        <v>13442</v>
      </c>
      <c r="AA2193" s="70" t="s">
        <v>13443</v>
      </c>
      <c r="AE2193" s="70">
        <v>43.0</v>
      </c>
      <c r="AF2193" s="70" t="s">
        <v>239</v>
      </c>
      <c r="AW2193" s="70" t="s">
        <v>13444</v>
      </c>
      <c r="AX2193" s="70">
        <v>0.0</v>
      </c>
      <c r="AY2193" s="70" t="s">
        <v>24</v>
      </c>
      <c r="AZ2193" s="70">
        <v>3141.0</v>
      </c>
    </row>
    <row r="2194" ht="22.5" customHeight="1">
      <c r="A2194" s="70" t="str">
        <f t="shared" si="1"/>
        <v>Excluded</v>
      </c>
      <c r="B2194" s="70">
        <f t="shared" si="2"/>
        <v>0</v>
      </c>
      <c r="C2194" s="70">
        <v>0.0</v>
      </c>
      <c r="D2194" s="70">
        <v>0.0</v>
      </c>
      <c r="E2194" s="70">
        <v>0.0</v>
      </c>
      <c r="F2194" s="70">
        <v>0.0</v>
      </c>
      <c r="G2194" s="70">
        <v>0.0</v>
      </c>
      <c r="H2194" s="70" t="s">
        <v>13264</v>
      </c>
      <c r="I2194" s="70">
        <v>1382.0</v>
      </c>
      <c r="J2194" s="70" t="s">
        <v>13261</v>
      </c>
      <c r="K2194" s="70" t="s">
        <v>13262</v>
      </c>
      <c r="L2194" s="70" t="s">
        <v>13263</v>
      </c>
      <c r="P2194" s="78">
        <v>45068.0</v>
      </c>
      <c r="U2194" s="70" t="s">
        <v>239</v>
      </c>
      <c r="W2194" s="70" t="s">
        <v>13266</v>
      </c>
      <c r="X2194" s="70" t="s">
        <v>13267</v>
      </c>
      <c r="Z2194" s="75" t="s">
        <v>13268</v>
      </c>
      <c r="AA2194" s="70" t="s">
        <v>13269</v>
      </c>
      <c r="AE2194" s="70">
        <v>41.0</v>
      </c>
      <c r="AF2194" s="70" t="s">
        <v>239</v>
      </c>
      <c r="AW2194" s="70" t="s">
        <v>13270</v>
      </c>
      <c r="AZ2194" s="70">
        <v>462.0</v>
      </c>
    </row>
    <row r="2195" ht="22.5" customHeight="1">
      <c r="A2195" s="70" t="str">
        <f t="shared" si="1"/>
        <v>Excluded</v>
      </c>
      <c r="B2195" s="70">
        <f t="shared" si="2"/>
        <v>0</v>
      </c>
      <c r="C2195" s="70">
        <v>0.0</v>
      </c>
      <c r="D2195" s="70">
        <v>0.0</v>
      </c>
      <c r="E2195" s="70">
        <v>0.0</v>
      </c>
      <c r="F2195" s="70">
        <v>0.0</v>
      </c>
      <c r="G2195" s="70">
        <v>0.0</v>
      </c>
      <c r="H2195" s="70" t="s">
        <v>7638</v>
      </c>
      <c r="I2195" s="70">
        <v>734.0</v>
      </c>
      <c r="J2195" s="70" t="s">
        <v>7635</v>
      </c>
      <c r="K2195" s="70" t="s">
        <v>7636</v>
      </c>
      <c r="L2195" s="70" t="s">
        <v>7637</v>
      </c>
      <c r="P2195" s="77">
        <v>43443.0</v>
      </c>
      <c r="U2195" s="70" t="s">
        <v>239</v>
      </c>
      <c r="W2195" s="70" t="s">
        <v>7640</v>
      </c>
      <c r="X2195" s="70" t="s">
        <v>7641</v>
      </c>
      <c r="Z2195" s="75" t="s">
        <v>7642</v>
      </c>
      <c r="AA2195" s="70" t="s">
        <v>7643</v>
      </c>
      <c r="AC2195" s="70">
        <v>3.0</v>
      </c>
      <c r="AE2195" s="70">
        <v>8.0</v>
      </c>
      <c r="AF2195" s="70" t="s">
        <v>239</v>
      </c>
      <c r="AW2195" s="70" t="s">
        <v>7644</v>
      </c>
      <c r="AX2195" s="70">
        <v>0.0</v>
      </c>
      <c r="AY2195" s="70" t="s">
        <v>24</v>
      </c>
      <c r="AZ2195" s="70">
        <v>3091.0</v>
      </c>
    </row>
    <row r="2196" ht="22.5" customHeight="1">
      <c r="A2196" s="70" t="str">
        <f t="shared" si="1"/>
        <v>Excluded</v>
      </c>
      <c r="B2196" s="70">
        <f t="shared" si="2"/>
        <v>0</v>
      </c>
      <c r="C2196" s="70">
        <v>0.0</v>
      </c>
      <c r="D2196" s="70">
        <v>0.0</v>
      </c>
      <c r="E2196" s="70">
        <v>0.0</v>
      </c>
      <c r="F2196" s="70">
        <v>0.0</v>
      </c>
      <c r="G2196" s="70">
        <v>0.0</v>
      </c>
      <c r="H2196" s="70" t="s">
        <v>4723</v>
      </c>
      <c r="I2196" s="70">
        <v>438.0</v>
      </c>
      <c r="J2196" s="70" t="s">
        <v>4720</v>
      </c>
      <c r="K2196" s="70" t="s">
        <v>4721</v>
      </c>
      <c r="L2196" s="70" t="s">
        <v>4722</v>
      </c>
      <c r="P2196" s="76">
        <v>44249.0</v>
      </c>
      <c r="U2196" s="70" t="s">
        <v>239</v>
      </c>
      <c r="W2196" s="70" t="s">
        <v>30833</v>
      </c>
      <c r="X2196" s="70" t="s">
        <v>4726</v>
      </c>
      <c r="Z2196" s="75" t="s">
        <v>4727</v>
      </c>
      <c r="AA2196" s="70" t="s">
        <v>4728</v>
      </c>
      <c r="AC2196" s="70">
        <v>43.0</v>
      </c>
      <c r="AE2196" s="70">
        <v>43.0</v>
      </c>
      <c r="AF2196" s="70" t="s">
        <v>239</v>
      </c>
      <c r="AW2196" s="70" t="s">
        <v>4729</v>
      </c>
      <c r="AX2196" s="70">
        <v>0.0</v>
      </c>
      <c r="AY2196" s="70" t="s">
        <v>24</v>
      </c>
      <c r="AZ2196" s="70">
        <v>2954.0</v>
      </c>
    </row>
    <row r="2197" ht="22.5" customHeight="1">
      <c r="A2197" s="70" t="str">
        <f t="shared" si="1"/>
        <v>Excluded</v>
      </c>
      <c r="B2197" s="70">
        <f t="shared" si="2"/>
        <v>0</v>
      </c>
      <c r="C2197" s="70">
        <v>0.0</v>
      </c>
      <c r="D2197" s="70">
        <v>0.0</v>
      </c>
      <c r="E2197" s="70">
        <v>0.0</v>
      </c>
      <c r="F2197" s="70">
        <v>0.0</v>
      </c>
      <c r="G2197" s="70">
        <v>0.0</v>
      </c>
      <c r="H2197" s="70" t="s">
        <v>7247</v>
      </c>
      <c r="I2197" s="70">
        <v>694.0</v>
      </c>
      <c r="J2197" s="70" t="s">
        <v>7244</v>
      </c>
      <c r="K2197" s="70" t="s">
        <v>7245</v>
      </c>
      <c r="L2197" s="70" t="s">
        <v>7246</v>
      </c>
      <c r="P2197" s="77">
        <v>44928.0</v>
      </c>
      <c r="U2197" s="70" t="s">
        <v>239</v>
      </c>
      <c r="W2197" s="70" t="s">
        <v>7249</v>
      </c>
      <c r="X2197" s="70" t="s">
        <v>7250</v>
      </c>
      <c r="Z2197" s="75" t="s">
        <v>7251</v>
      </c>
      <c r="AA2197" s="70" t="s">
        <v>7252</v>
      </c>
      <c r="AC2197" s="70">
        <v>4.0</v>
      </c>
      <c r="AE2197" s="70">
        <v>19.0</v>
      </c>
      <c r="AF2197" s="70" t="s">
        <v>239</v>
      </c>
      <c r="AW2197" s="70" t="s">
        <v>7253</v>
      </c>
      <c r="AX2197" s="70">
        <v>0.0</v>
      </c>
      <c r="AY2197" s="70" t="s">
        <v>24</v>
      </c>
      <c r="AZ2197" s="70">
        <v>2709.0</v>
      </c>
    </row>
    <row r="2198" ht="22.5" customHeight="1">
      <c r="A2198" s="70" t="str">
        <f t="shared" si="1"/>
        <v>Excluded</v>
      </c>
      <c r="B2198" s="70">
        <f t="shared" si="2"/>
        <v>0</v>
      </c>
      <c r="C2198" s="70">
        <v>0.0</v>
      </c>
      <c r="D2198" s="70">
        <v>0.0</v>
      </c>
      <c r="E2198" s="70">
        <v>0.0</v>
      </c>
      <c r="F2198" s="70">
        <v>0.0</v>
      </c>
      <c r="G2198" s="70">
        <v>0.0</v>
      </c>
      <c r="H2198" s="70" t="s">
        <v>12553</v>
      </c>
      <c r="I2198" s="70">
        <v>1310.0</v>
      </c>
      <c r="J2198" s="70" t="s">
        <v>12549</v>
      </c>
      <c r="K2198" s="70" t="s">
        <v>12550</v>
      </c>
      <c r="L2198" s="70" t="s">
        <v>12551</v>
      </c>
      <c r="N2198" s="70" t="s">
        <v>12552</v>
      </c>
      <c r="P2198" s="77">
        <v>45658.0</v>
      </c>
      <c r="U2198" s="70" t="s">
        <v>239</v>
      </c>
      <c r="W2198" s="70" t="s">
        <v>30834</v>
      </c>
      <c r="X2198" s="70" t="s">
        <v>12556</v>
      </c>
      <c r="Z2198" s="75" t="s">
        <v>12557</v>
      </c>
      <c r="AA2198" s="70" t="s">
        <v>12558</v>
      </c>
      <c r="AE2198" s="70">
        <v>51.0</v>
      </c>
      <c r="AF2198" s="70" t="s">
        <v>239</v>
      </c>
      <c r="AW2198" s="70" t="s">
        <v>12559</v>
      </c>
      <c r="AZ2198" s="70">
        <v>544.0</v>
      </c>
    </row>
    <row r="2199" ht="22.5" customHeight="1">
      <c r="A2199" s="70" t="str">
        <f t="shared" si="1"/>
        <v>Excluded</v>
      </c>
      <c r="B2199" s="70">
        <f t="shared" si="2"/>
        <v>0</v>
      </c>
      <c r="C2199" s="70">
        <v>0.0</v>
      </c>
      <c r="D2199" s="70">
        <v>0.0</v>
      </c>
      <c r="E2199" s="70">
        <v>0.0</v>
      </c>
      <c r="F2199" s="70">
        <v>0.0</v>
      </c>
      <c r="G2199" s="70">
        <v>0.0</v>
      </c>
      <c r="H2199" s="70" t="s">
        <v>9436</v>
      </c>
      <c r="I2199" s="70">
        <v>921.0</v>
      </c>
      <c r="J2199" s="70" t="s">
        <v>9433</v>
      </c>
      <c r="K2199" s="70" t="s">
        <v>9434</v>
      </c>
      <c r="L2199" s="70" t="s">
        <v>9435</v>
      </c>
      <c r="P2199" s="76">
        <v>44487.0</v>
      </c>
      <c r="U2199" s="70" t="s">
        <v>239</v>
      </c>
      <c r="W2199" s="70" t="s">
        <v>9438</v>
      </c>
      <c r="X2199" s="70" t="s">
        <v>9439</v>
      </c>
      <c r="Y2199" s="70" t="s">
        <v>30835</v>
      </c>
      <c r="Z2199" s="75" t="s">
        <v>9441</v>
      </c>
      <c r="AA2199" s="70" t="s">
        <v>9442</v>
      </c>
      <c r="AE2199" s="70">
        <v>13.0</v>
      </c>
      <c r="AF2199" s="70" t="s">
        <v>8095</v>
      </c>
      <c r="AW2199" s="70" t="s">
        <v>9443</v>
      </c>
      <c r="AZ2199" s="70">
        <v>822.0</v>
      </c>
    </row>
    <row r="2200" ht="22.5" customHeight="1">
      <c r="A2200" s="70" t="str">
        <f t="shared" si="1"/>
        <v>Excluded</v>
      </c>
      <c r="B2200" s="70">
        <f t="shared" si="2"/>
        <v>0</v>
      </c>
      <c r="C2200" s="70">
        <v>0.0</v>
      </c>
      <c r="D2200" s="70">
        <v>0.0</v>
      </c>
      <c r="E2200" s="70">
        <v>0.0</v>
      </c>
      <c r="F2200" s="70">
        <v>0.0</v>
      </c>
      <c r="G2200" s="70">
        <v>0.0</v>
      </c>
      <c r="H2200" s="70" t="s">
        <v>2854</v>
      </c>
      <c r="I2200" s="70">
        <v>230.0</v>
      </c>
      <c r="J2200" s="70" t="s">
        <v>2851</v>
      </c>
      <c r="K2200" s="70" t="s">
        <v>2852</v>
      </c>
      <c r="L2200" s="70" t="s">
        <v>2853</v>
      </c>
      <c r="O2200" s="75" t="s">
        <v>2855</v>
      </c>
      <c r="P2200" s="70">
        <v>2019.0</v>
      </c>
      <c r="Q2200" s="70" t="s">
        <v>2856</v>
      </c>
      <c r="U2200" s="70" t="s">
        <v>555</v>
      </c>
      <c r="V2200" s="70" t="s">
        <v>2625</v>
      </c>
      <c r="W2200" s="70" t="s">
        <v>2857</v>
      </c>
      <c r="AW2200" s="70" t="s">
        <v>2858</v>
      </c>
      <c r="AX2200" s="70">
        <v>0.0</v>
      </c>
      <c r="AY2200" s="70" t="s">
        <v>24</v>
      </c>
      <c r="AZ2200" s="70">
        <v>3106.0</v>
      </c>
    </row>
    <row r="2201" ht="22.5" customHeight="1">
      <c r="A2201" s="70" t="str">
        <f t="shared" si="1"/>
        <v>Excluded</v>
      </c>
      <c r="B2201" s="70">
        <f t="shared" si="2"/>
        <v>0</v>
      </c>
      <c r="C2201" s="70">
        <v>0.0</v>
      </c>
      <c r="D2201" s="70">
        <v>0.0</v>
      </c>
      <c r="E2201" s="70">
        <v>0.0</v>
      </c>
      <c r="F2201" s="70">
        <v>0.0</v>
      </c>
      <c r="G2201" s="70">
        <v>0.0</v>
      </c>
      <c r="H2201" s="70" t="s">
        <v>9358</v>
      </c>
      <c r="I2201" s="70">
        <v>913.0</v>
      </c>
      <c r="K2201" s="70" t="s">
        <v>9355</v>
      </c>
      <c r="L2201" s="70" t="s">
        <v>9356</v>
      </c>
      <c r="N2201" s="70" t="s">
        <v>9357</v>
      </c>
      <c r="P2201" s="76">
        <v>43398.0</v>
      </c>
      <c r="U2201" s="70" t="s">
        <v>239</v>
      </c>
      <c r="W2201" s="70" t="s">
        <v>9359</v>
      </c>
      <c r="X2201" s="70" t="s">
        <v>9360</v>
      </c>
      <c r="Z2201" s="75" t="s">
        <v>9361</v>
      </c>
      <c r="AF2201" s="70" t="s">
        <v>239</v>
      </c>
      <c r="AW2201" s="70" t="s">
        <v>9362</v>
      </c>
      <c r="AZ2201" s="70">
        <v>1447.0</v>
      </c>
    </row>
    <row r="2202" ht="22.5" customHeight="1">
      <c r="A2202" s="70" t="str">
        <f t="shared" si="1"/>
        <v>Excluded</v>
      </c>
      <c r="B2202" s="70">
        <f t="shared" si="2"/>
        <v>0</v>
      </c>
      <c r="C2202" s="70">
        <v>0.0</v>
      </c>
      <c r="D2202" s="70">
        <v>0.0</v>
      </c>
      <c r="E2202" s="70">
        <v>0.0</v>
      </c>
      <c r="F2202" s="70">
        <v>0.0</v>
      </c>
      <c r="G2202" s="70">
        <v>0.0</v>
      </c>
      <c r="H2202" s="70" t="s">
        <v>12904</v>
      </c>
      <c r="I2202" s="70">
        <v>1345.0</v>
      </c>
      <c r="J2202" s="70" t="s">
        <v>12900</v>
      </c>
      <c r="K2202" s="70" t="s">
        <v>12901</v>
      </c>
      <c r="L2202" s="70" t="s">
        <v>12902</v>
      </c>
      <c r="N2202" s="70" t="s">
        <v>12903</v>
      </c>
      <c r="P2202" s="77">
        <v>45569.0</v>
      </c>
      <c r="U2202" s="70" t="s">
        <v>239</v>
      </c>
      <c r="W2202" s="70" t="s">
        <v>12906</v>
      </c>
      <c r="X2202" s="70" t="s">
        <v>12907</v>
      </c>
      <c r="Z2202" s="75" t="s">
        <v>12908</v>
      </c>
      <c r="AA2202" s="70" t="s">
        <v>12909</v>
      </c>
      <c r="AE2202" s="70">
        <v>20.0</v>
      </c>
      <c r="AF2202" s="70" t="s">
        <v>239</v>
      </c>
      <c r="AW2202" s="70" t="s">
        <v>12910</v>
      </c>
      <c r="AZ2202" s="70">
        <v>725.0</v>
      </c>
    </row>
    <row r="2203" ht="22.5" customHeight="1">
      <c r="A2203" s="70" t="str">
        <f t="shared" si="1"/>
        <v>Excluded</v>
      </c>
      <c r="B2203" s="70">
        <f t="shared" si="2"/>
        <v>0</v>
      </c>
      <c r="C2203" s="70">
        <v>0.0</v>
      </c>
      <c r="D2203" s="70">
        <v>0.0</v>
      </c>
      <c r="E2203" s="70">
        <v>0.0</v>
      </c>
      <c r="F2203" s="70">
        <v>0.0</v>
      </c>
      <c r="G2203" s="70">
        <v>0.0</v>
      </c>
      <c r="H2203" s="70" t="s">
        <v>14629</v>
      </c>
      <c r="I2203" s="70">
        <v>1526.0</v>
      </c>
      <c r="J2203" s="70" t="s">
        <v>14626</v>
      </c>
      <c r="K2203" s="70" t="s">
        <v>14627</v>
      </c>
      <c r="L2203" s="70" t="s">
        <v>14628</v>
      </c>
      <c r="P2203" s="76">
        <v>45730.0</v>
      </c>
      <c r="U2203" s="70" t="s">
        <v>239</v>
      </c>
      <c r="W2203" s="70" t="s">
        <v>30836</v>
      </c>
      <c r="X2203" s="70" t="s">
        <v>14632</v>
      </c>
      <c r="Y2203" s="70" t="s">
        <v>30837</v>
      </c>
      <c r="Z2203" s="75" t="s">
        <v>14634</v>
      </c>
      <c r="AA2203" s="70" t="s">
        <v>14635</v>
      </c>
      <c r="AE2203" s="70">
        <v>15.0</v>
      </c>
      <c r="AF2203" s="70" t="s">
        <v>239</v>
      </c>
      <c r="AW2203" s="70" t="s">
        <v>14636</v>
      </c>
      <c r="AX2203" s="70">
        <v>0.0</v>
      </c>
      <c r="AY2203" s="70" t="s">
        <v>24</v>
      </c>
      <c r="AZ2203" s="70">
        <v>1683.0</v>
      </c>
    </row>
    <row r="2204" ht="22.5" customHeight="1">
      <c r="A2204" s="70" t="str">
        <f t="shared" si="1"/>
        <v>Excluded</v>
      </c>
      <c r="B2204" s="70">
        <f t="shared" si="2"/>
        <v>0</v>
      </c>
      <c r="C2204" s="70">
        <v>0.0</v>
      </c>
      <c r="D2204" s="70">
        <v>0.0</v>
      </c>
      <c r="E2204" s="70">
        <v>0.0</v>
      </c>
      <c r="F2204" s="70">
        <v>0.0</v>
      </c>
      <c r="G2204" s="70">
        <v>0.0</v>
      </c>
      <c r="H2204" s="70" t="s">
        <v>15209</v>
      </c>
      <c r="I2204" s="70">
        <v>1586.0</v>
      </c>
      <c r="J2204" s="70" t="s">
        <v>15206</v>
      </c>
      <c r="K2204" s="70" t="s">
        <v>15207</v>
      </c>
      <c r="L2204" s="70" t="s">
        <v>15208</v>
      </c>
      <c r="P2204" s="77">
        <v>45666.0</v>
      </c>
      <c r="U2204" s="70" t="s">
        <v>239</v>
      </c>
      <c r="W2204" s="70" t="s">
        <v>30838</v>
      </c>
      <c r="X2204" s="70" t="s">
        <v>15212</v>
      </c>
      <c r="Z2204" s="75" t="s">
        <v>15213</v>
      </c>
      <c r="AA2204" s="70" t="s">
        <v>15214</v>
      </c>
      <c r="AE2204" s="70">
        <v>23.0</v>
      </c>
      <c r="AF2204" s="70" t="s">
        <v>239</v>
      </c>
      <c r="AW2204" s="70" t="s">
        <v>15215</v>
      </c>
      <c r="AX2204" s="70">
        <v>0.0</v>
      </c>
      <c r="AY2204" s="70" t="s">
        <v>24</v>
      </c>
      <c r="AZ2204" s="70">
        <v>2117.0</v>
      </c>
    </row>
    <row r="2205" ht="22.5" customHeight="1">
      <c r="A2205" s="70" t="str">
        <f t="shared" si="1"/>
        <v>Excluded</v>
      </c>
      <c r="B2205" s="70">
        <f t="shared" si="2"/>
        <v>0</v>
      </c>
      <c r="C2205" s="70">
        <v>0.0</v>
      </c>
      <c r="D2205" s="70">
        <v>0.0</v>
      </c>
      <c r="E2205" s="70">
        <v>0.0</v>
      </c>
      <c r="F2205" s="70">
        <v>0.0</v>
      </c>
      <c r="G2205" s="70">
        <v>0.0</v>
      </c>
      <c r="H2205" s="70" t="s">
        <v>5135</v>
      </c>
      <c r="I2205" s="70">
        <v>479.0</v>
      </c>
      <c r="J2205" s="70" t="s">
        <v>5132</v>
      </c>
      <c r="K2205" s="70" t="s">
        <v>5133</v>
      </c>
      <c r="L2205" s="70" t="s">
        <v>5134</v>
      </c>
      <c r="P2205" s="76">
        <v>43846.0</v>
      </c>
      <c r="U2205" s="70" t="s">
        <v>239</v>
      </c>
      <c r="W2205" s="70" t="s">
        <v>5137</v>
      </c>
      <c r="X2205" s="70" t="s">
        <v>5138</v>
      </c>
      <c r="Z2205" s="75" t="s">
        <v>5139</v>
      </c>
      <c r="AA2205" s="70" t="s">
        <v>5140</v>
      </c>
      <c r="AC2205" s="70">
        <v>18.0</v>
      </c>
      <c r="AD2205" s="70">
        <v>1.0</v>
      </c>
      <c r="AE2205" s="70">
        <v>39.0</v>
      </c>
      <c r="AF2205" s="70" t="s">
        <v>239</v>
      </c>
      <c r="AZ2205" s="70">
        <v>535.0</v>
      </c>
    </row>
    <row r="2206" ht="22.5" customHeight="1">
      <c r="A2206" s="70" t="str">
        <f t="shared" si="1"/>
        <v>Excluded</v>
      </c>
      <c r="B2206" s="70">
        <f t="shared" si="2"/>
        <v>0</v>
      </c>
      <c r="C2206" s="70">
        <v>0.0</v>
      </c>
      <c r="D2206" s="70">
        <v>0.0</v>
      </c>
      <c r="E2206" s="70">
        <v>0.0</v>
      </c>
      <c r="F2206" s="70">
        <v>0.0</v>
      </c>
      <c r="G2206" s="70">
        <v>0.0</v>
      </c>
      <c r="H2206" s="70" t="s">
        <v>6085</v>
      </c>
      <c r="I2206" s="70">
        <v>575.0</v>
      </c>
      <c r="J2206" s="70" t="s">
        <v>6081</v>
      </c>
      <c r="K2206" s="70" t="s">
        <v>6082</v>
      </c>
      <c r="L2206" s="70" t="s">
        <v>6083</v>
      </c>
      <c r="N2206" s="70" t="s">
        <v>6084</v>
      </c>
      <c r="P2206" s="76">
        <v>43584.0</v>
      </c>
      <c r="U2206" s="70" t="s">
        <v>239</v>
      </c>
      <c r="W2206" s="70" t="s">
        <v>6087</v>
      </c>
      <c r="X2206" s="70" t="s">
        <v>6088</v>
      </c>
      <c r="Z2206" s="75" t="s">
        <v>6089</v>
      </c>
      <c r="AC2206" s="70">
        <v>7.0</v>
      </c>
      <c r="AE2206" s="70">
        <v>21.0</v>
      </c>
      <c r="AF2206" s="70" t="s">
        <v>239</v>
      </c>
      <c r="AW2206" s="70" t="s">
        <v>6090</v>
      </c>
      <c r="AZ2206" s="70">
        <v>518.0</v>
      </c>
    </row>
    <row r="2207" ht="22.5" customHeight="1">
      <c r="A2207" s="70" t="str">
        <f t="shared" si="1"/>
        <v>Excluded</v>
      </c>
      <c r="B2207" s="70">
        <f t="shared" si="2"/>
        <v>0</v>
      </c>
      <c r="C2207" s="70">
        <v>0.0</v>
      </c>
      <c r="D2207" s="70">
        <v>0.0</v>
      </c>
      <c r="E2207" s="70">
        <v>0.0</v>
      </c>
      <c r="F2207" s="70">
        <v>0.0</v>
      </c>
      <c r="G2207" s="70">
        <v>0.0</v>
      </c>
      <c r="H2207" s="70" t="s">
        <v>14438</v>
      </c>
      <c r="I2207" s="70">
        <v>1506.0</v>
      </c>
      <c r="J2207" s="70" t="s">
        <v>14434</v>
      </c>
      <c r="K2207" s="70" t="s">
        <v>14435</v>
      </c>
      <c r="L2207" s="70" t="s">
        <v>14436</v>
      </c>
      <c r="N2207" s="70" t="s">
        <v>14437</v>
      </c>
      <c r="P2207" s="76">
        <v>45656.0</v>
      </c>
      <c r="U2207" s="70" t="s">
        <v>239</v>
      </c>
      <c r="W2207" s="70" t="s">
        <v>14440</v>
      </c>
      <c r="X2207" s="70" t="s">
        <v>14441</v>
      </c>
      <c r="Z2207" s="75" t="s">
        <v>14442</v>
      </c>
      <c r="AA2207" s="70" t="s">
        <v>14443</v>
      </c>
      <c r="AE2207" s="70">
        <v>9.0</v>
      </c>
      <c r="AF2207" s="70" t="s">
        <v>239</v>
      </c>
      <c r="AW2207" s="70" t="s">
        <v>14444</v>
      </c>
      <c r="AX2207" s="70">
        <v>0.0</v>
      </c>
      <c r="AY2207" s="70" t="s">
        <v>24</v>
      </c>
      <c r="AZ2207" s="70">
        <v>2829.0</v>
      </c>
    </row>
    <row r="2208" ht="22.5" customHeight="1">
      <c r="A2208" s="70" t="str">
        <f t="shared" si="1"/>
        <v>Excluded</v>
      </c>
      <c r="B2208" s="70">
        <f t="shared" si="2"/>
        <v>0</v>
      </c>
      <c r="C2208" s="70">
        <v>0.0</v>
      </c>
      <c r="D2208" s="70">
        <v>0.0</v>
      </c>
      <c r="E2208" s="70">
        <v>0.0</v>
      </c>
      <c r="F2208" s="70">
        <v>0.0</v>
      </c>
      <c r="G2208" s="70">
        <v>0.0</v>
      </c>
      <c r="H2208" s="70" t="s">
        <v>16198</v>
      </c>
      <c r="I2208" s="70">
        <v>1745.0</v>
      </c>
      <c r="K2208" s="70" t="s">
        <v>351</v>
      </c>
      <c r="L2208" s="70" t="s">
        <v>16197</v>
      </c>
      <c r="P2208" s="76">
        <v>45378.0</v>
      </c>
      <c r="U2208" s="70" t="s">
        <v>239</v>
      </c>
      <c r="X2208" s="70" t="s">
        <v>16199</v>
      </c>
      <c r="Z2208" s="75" t="s">
        <v>16200</v>
      </c>
      <c r="AF2208" s="70" t="s">
        <v>239</v>
      </c>
      <c r="AZ2208" s="70">
        <v>1222.0</v>
      </c>
    </row>
    <row r="2209" ht="22.5" customHeight="1">
      <c r="A2209" s="70" t="str">
        <f t="shared" si="1"/>
        <v>Excluded</v>
      </c>
      <c r="B2209" s="70">
        <f t="shared" si="2"/>
        <v>0</v>
      </c>
      <c r="C2209" s="70">
        <v>0.0</v>
      </c>
      <c r="D2209" s="70">
        <v>0.0</v>
      </c>
      <c r="E2209" s="70">
        <v>0.0</v>
      </c>
      <c r="F2209" s="70">
        <v>0.0</v>
      </c>
      <c r="G2209" s="70">
        <v>0.0</v>
      </c>
      <c r="H2209" s="70" t="s">
        <v>16318</v>
      </c>
      <c r="I2209" s="70">
        <v>1777.0</v>
      </c>
      <c r="K2209" s="70" t="s">
        <v>16317</v>
      </c>
      <c r="L2209" s="70" t="s">
        <v>16197</v>
      </c>
      <c r="P2209" s="76">
        <v>45378.0</v>
      </c>
      <c r="U2209" s="70" t="s">
        <v>239</v>
      </c>
      <c r="X2209" s="70" t="s">
        <v>16199</v>
      </c>
      <c r="Z2209" s="75" t="s">
        <v>16319</v>
      </c>
      <c r="AF2209" s="70" t="s">
        <v>239</v>
      </c>
      <c r="AZ2209" s="70">
        <v>1377.0</v>
      </c>
    </row>
    <row r="2210" ht="22.5" customHeight="1">
      <c r="A2210" s="70" t="str">
        <f t="shared" si="1"/>
        <v>Excluded</v>
      </c>
      <c r="B2210" s="70">
        <f t="shared" si="2"/>
        <v>0</v>
      </c>
      <c r="C2210" s="70">
        <v>0.0</v>
      </c>
      <c r="D2210" s="70">
        <v>0.0</v>
      </c>
      <c r="E2210" s="70">
        <v>0.0</v>
      </c>
      <c r="F2210" s="70">
        <v>0.0</v>
      </c>
      <c r="G2210" s="70">
        <v>0.0</v>
      </c>
      <c r="H2210" s="70" t="s">
        <v>8965</v>
      </c>
      <c r="I2210" s="70">
        <v>872.0</v>
      </c>
      <c r="J2210" s="70" t="s">
        <v>30839</v>
      </c>
      <c r="K2210" s="70" t="s">
        <v>8962</v>
      </c>
      <c r="L2210" s="70" t="s">
        <v>8963</v>
      </c>
      <c r="N2210" s="70" t="s">
        <v>8964</v>
      </c>
      <c r="P2210" s="76">
        <v>44970.0</v>
      </c>
      <c r="U2210" s="70" t="s">
        <v>239</v>
      </c>
      <c r="W2210" s="70" t="s">
        <v>8967</v>
      </c>
      <c r="X2210" s="70" t="s">
        <v>8968</v>
      </c>
      <c r="Z2210" s="75" t="s">
        <v>8969</v>
      </c>
      <c r="AA2210" s="70" t="s">
        <v>8970</v>
      </c>
      <c r="AC2210" s="70">
        <v>1.0</v>
      </c>
      <c r="AE2210" s="70">
        <v>9.0</v>
      </c>
      <c r="AF2210" s="70" t="s">
        <v>239</v>
      </c>
      <c r="AW2210" s="70" t="s">
        <v>8971</v>
      </c>
      <c r="AX2210" s="70">
        <v>0.0</v>
      </c>
      <c r="AY2210" s="70" t="s">
        <v>24</v>
      </c>
      <c r="AZ2210" s="70">
        <v>2804.0</v>
      </c>
    </row>
    <row r="2211" ht="22.5" customHeight="1">
      <c r="A2211" s="70" t="str">
        <f t="shared" si="1"/>
        <v>Excluded</v>
      </c>
      <c r="B2211" s="70">
        <f t="shared" si="2"/>
        <v>0</v>
      </c>
      <c r="C2211" s="70">
        <v>0.0</v>
      </c>
      <c r="D2211" s="70">
        <v>0.0</v>
      </c>
      <c r="E2211" s="70">
        <v>0.0</v>
      </c>
      <c r="F2211" s="70">
        <v>0.0</v>
      </c>
      <c r="G2211" s="70">
        <v>0.0</v>
      </c>
      <c r="H2211" s="70" t="s">
        <v>15600</v>
      </c>
      <c r="I2211" s="70">
        <v>1628.0</v>
      </c>
      <c r="J2211" s="70" t="s">
        <v>30840</v>
      </c>
      <c r="K2211" s="70" t="s">
        <v>15598</v>
      </c>
      <c r="L2211" s="70" t="s">
        <v>15599</v>
      </c>
      <c r="N2211" s="70" t="s">
        <v>8964</v>
      </c>
      <c r="P2211" s="77">
        <v>45329.0</v>
      </c>
      <c r="U2211" s="70" t="s">
        <v>239</v>
      </c>
      <c r="W2211" s="70" t="s">
        <v>15602</v>
      </c>
      <c r="X2211" s="70" t="s">
        <v>15603</v>
      </c>
      <c r="Z2211" s="75" t="s">
        <v>15604</v>
      </c>
      <c r="AA2211" s="70" t="s">
        <v>15605</v>
      </c>
      <c r="AE2211" s="70">
        <v>15.0</v>
      </c>
      <c r="AF2211" s="70" t="s">
        <v>239</v>
      </c>
      <c r="AW2211" s="70" t="s">
        <v>15606</v>
      </c>
      <c r="AZ2211" s="70">
        <v>1181.0</v>
      </c>
    </row>
    <row r="2212" ht="22.5" customHeight="1">
      <c r="A2212" s="70" t="str">
        <f t="shared" si="1"/>
        <v>Excluded</v>
      </c>
      <c r="B2212" s="70">
        <f t="shared" si="2"/>
        <v>0</v>
      </c>
      <c r="C2212" s="70">
        <v>0.0</v>
      </c>
      <c r="D2212" s="70">
        <v>0.0</v>
      </c>
      <c r="E2212" s="70">
        <v>0.0</v>
      </c>
      <c r="F2212" s="70">
        <v>0.0</v>
      </c>
      <c r="G2212" s="70">
        <v>0.0</v>
      </c>
      <c r="H2212" s="70" t="s">
        <v>10765</v>
      </c>
      <c r="I2212" s="70">
        <v>1083.0</v>
      </c>
      <c r="K2212" s="70" t="s">
        <v>10618</v>
      </c>
      <c r="L2212" s="70" t="s">
        <v>10764</v>
      </c>
      <c r="P2212" s="76">
        <v>43937.0</v>
      </c>
      <c r="U2212" s="70" t="s">
        <v>239</v>
      </c>
      <c r="W2212" s="70" t="s">
        <v>10602</v>
      </c>
      <c r="X2212" s="70" t="s">
        <v>10766</v>
      </c>
      <c r="Z2212" s="75" t="s">
        <v>10767</v>
      </c>
      <c r="AF2212" s="70" t="s">
        <v>239</v>
      </c>
      <c r="AZ2212" s="70">
        <v>1601.0</v>
      </c>
    </row>
    <row r="2213" ht="22.5" customHeight="1">
      <c r="A2213" s="70" t="str">
        <f t="shared" si="1"/>
        <v>Excluded</v>
      </c>
      <c r="B2213" s="70">
        <f t="shared" si="2"/>
        <v>0</v>
      </c>
      <c r="C2213" s="70">
        <v>0.0</v>
      </c>
      <c r="D2213" s="70">
        <v>0.0</v>
      </c>
      <c r="E2213" s="70">
        <v>0.0</v>
      </c>
      <c r="F2213" s="70">
        <v>0.0</v>
      </c>
      <c r="G2213" s="70">
        <v>0.0</v>
      </c>
      <c r="H2213" s="70" t="s">
        <v>10698</v>
      </c>
      <c r="I2213" s="70">
        <v>1067.0</v>
      </c>
      <c r="K2213" s="70" t="s">
        <v>10597</v>
      </c>
      <c r="L2213" s="70" t="s">
        <v>10696</v>
      </c>
      <c r="N2213" s="70" t="s">
        <v>10697</v>
      </c>
      <c r="P2213" s="76">
        <v>43699.0</v>
      </c>
      <c r="U2213" s="70" t="s">
        <v>239</v>
      </c>
      <c r="W2213" s="70" t="s">
        <v>10602</v>
      </c>
      <c r="X2213" s="70" t="s">
        <v>10699</v>
      </c>
      <c r="Z2213" s="75" t="s">
        <v>10700</v>
      </c>
      <c r="AF2213" s="70" t="s">
        <v>239</v>
      </c>
      <c r="AZ2213" s="70">
        <v>1613.0</v>
      </c>
    </row>
    <row r="2214" ht="22.5" customHeight="1">
      <c r="A2214" s="70" t="str">
        <f t="shared" si="1"/>
        <v>Excluded</v>
      </c>
      <c r="B2214" s="70">
        <f t="shared" si="2"/>
        <v>0</v>
      </c>
      <c r="C2214" s="70">
        <v>0.0</v>
      </c>
      <c r="D2214" s="70">
        <v>0.0</v>
      </c>
      <c r="E2214" s="70">
        <v>0.0</v>
      </c>
      <c r="F2214" s="70">
        <v>0.0</v>
      </c>
      <c r="G2214" s="70">
        <v>0.0</v>
      </c>
      <c r="H2214" s="70" t="s">
        <v>14174</v>
      </c>
      <c r="I2214" s="70">
        <v>1477.0</v>
      </c>
      <c r="J2214" s="70" t="s">
        <v>14171</v>
      </c>
      <c r="K2214" s="70" t="s">
        <v>14172</v>
      </c>
      <c r="L2214" s="70" t="s">
        <v>14173</v>
      </c>
      <c r="P2214" s="76">
        <v>45308.0</v>
      </c>
      <c r="U2214" s="70" t="s">
        <v>239</v>
      </c>
      <c r="W2214" s="70" t="s">
        <v>14176</v>
      </c>
      <c r="X2214" s="70" t="s">
        <v>14177</v>
      </c>
      <c r="Z2214" s="75" t="s">
        <v>14178</v>
      </c>
      <c r="AA2214" s="70" t="s">
        <v>14179</v>
      </c>
      <c r="AE2214" s="70">
        <v>20.0</v>
      </c>
      <c r="AF2214" s="70" t="s">
        <v>239</v>
      </c>
      <c r="AW2214" s="70" t="s">
        <v>14180</v>
      </c>
      <c r="AZ2214" s="70">
        <v>1017.0</v>
      </c>
    </row>
    <row r="2215" ht="22.5" customHeight="1">
      <c r="A2215" s="70" t="str">
        <f t="shared" si="1"/>
        <v>Excluded</v>
      </c>
      <c r="B2215" s="70">
        <f t="shared" si="2"/>
        <v>0</v>
      </c>
      <c r="C2215" s="70">
        <v>0.0</v>
      </c>
      <c r="D2215" s="70">
        <v>0.0</v>
      </c>
      <c r="E2215" s="70">
        <v>0.0</v>
      </c>
      <c r="F2215" s="70">
        <v>0.0</v>
      </c>
      <c r="G2215" s="70">
        <v>0.0</v>
      </c>
      <c r="H2215" s="70" t="s">
        <v>13983</v>
      </c>
      <c r="I2215" s="70">
        <v>1456.0</v>
      </c>
      <c r="J2215" s="70" t="s">
        <v>13980</v>
      </c>
      <c r="K2215" s="70" t="s">
        <v>13981</v>
      </c>
      <c r="L2215" s="70" t="s">
        <v>13982</v>
      </c>
      <c r="P2215" s="77">
        <v>45692.0</v>
      </c>
      <c r="U2215" s="70" t="s">
        <v>239</v>
      </c>
      <c r="W2215" s="70" t="s">
        <v>13985</v>
      </c>
      <c r="X2215" s="70" t="s">
        <v>13986</v>
      </c>
      <c r="Z2215" s="75" t="s">
        <v>13987</v>
      </c>
      <c r="AA2215" s="70" t="s">
        <v>13988</v>
      </c>
      <c r="AE2215" s="70">
        <v>23.0</v>
      </c>
      <c r="AF2215" s="70" t="s">
        <v>239</v>
      </c>
      <c r="AW2215" s="70" t="s">
        <v>13989</v>
      </c>
      <c r="AZ2215" s="70">
        <v>1235.0</v>
      </c>
    </row>
    <row r="2216" ht="22.5" customHeight="1">
      <c r="A2216" s="70" t="str">
        <f t="shared" si="1"/>
        <v>Excluded</v>
      </c>
      <c r="B2216" s="70">
        <f t="shared" si="2"/>
        <v>0</v>
      </c>
      <c r="C2216" s="70">
        <v>0.0</v>
      </c>
      <c r="D2216" s="70">
        <v>0.0</v>
      </c>
      <c r="E2216" s="70">
        <v>0.0</v>
      </c>
      <c r="F2216" s="70">
        <v>0.0</v>
      </c>
      <c r="G2216" s="70">
        <v>0.0</v>
      </c>
      <c r="H2216" s="70" t="s">
        <v>9872</v>
      </c>
      <c r="I2216" s="70">
        <v>967.0</v>
      </c>
      <c r="J2216" s="70" t="s">
        <v>9869</v>
      </c>
      <c r="K2216" s="70" t="s">
        <v>9870</v>
      </c>
      <c r="L2216" s="70" t="s">
        <v>9871</v>
      </c>
      <c r="P2216" s="76">
        <v>44918.0</v>
      </c>
      <c r="U2216" s="70" t="s">
        <v>239</v>
      </c>
      <c r="W2216" s="70" t="s">
        <v>30841</v>
      </c>
      <c r="X2216" s="70" t="s">
        <v>9875</v>
      </c>
      <c r="Z2216" s="75" t="s">
        <v>9876</v>
      </c>
      <c r="AA2216" s="70" t="s">
        <v>9877</v>
      </c>
      <c r="AE2216" s="70">
        <v>24.0</v>
      </c>
      <c r="AF2216" s="70" t="s">
        <v>239</v>
      </c>
      <c r="AW2216" s="70" t="s">
        <v>9878</v>
      </c>
      <c r="AX2216" s="70">
        <v>0.0</v>
      </c>
      <c r="AY2216" s="70" t="s">
        <v>24</v>
      </c>
      <c r="AZ2216" s="70">
        <v>2382.0</v>
      </c>
    </row>
    <row r="2217" ht="22.5" customHeight="1">
      <c r="A2217" s="70" t="str">
        <f t="shared" si="1"/>
        <v>Excluded</v>
      </c>
      <c r="B2217" s="70">
        <f t="shared" si="2"/>
        <v>0</v>
      </c>
      <c r="C2217" s="70">
        <v>0.0</v>
      </c>
      <c r="D2217" s="70">
        <v>0.0</v>
      </c>
      <c r="E2217" s="70">
        <v>0.0</v>
      </c>
      <c r="F2217" s="70">
        <v>0.0</v>
      </c>
      <c r="G2217" s="70">
        <v>0.0</v>
      </c>
      <c r="H2217" s="70" t="s">
        <v>10243</v>
      </c>
      <c r="I2217" s="70">
        <v>1006.0</v>
      </c>
      <c r="J2217" s="70" t="s">
        <v>10239</v>
      </c>
      <c r="K2217" s="70" t="s">
        <v>10240</v>
      </c>
      <c r="L2217" s="70" t="s">
        <v>10241</v>
      </c>
      <c r="N2217" s="70" t="s">
        <v>10242</v>
      </c>
      <c r="P2217" s="76">
        <v>44981.0</v>
      </c>
      <c r="U2217" s="70" t="s">
        <v>239</v>
      </c>
      <c r="W2217" s="70" t="s">
        <v>10245</v>
      </c>
      <c r="X2217" s="70" t="s">
        <v>10246</v>
      </c>
      <c r="Z2217" s="75" t="s">
        <v>10247</v>
      </c>
      <c r="AA2217" s="70" t="s">
        <v>10248</v>
      </c>
      <c r="AE2217" s="70">
        <v>40.0</v>
      </c>
      <c r="AF2217" s="70" t="s">
        <v>239</v>
      </c>
      <c r="AW2217" s="70" t="s">
        <v>10249</v>
      </c>
      <c r="AZ2217" s="70">
        <v>394.0</v>
      </c>
    </row>
    <row r="2218" ht="22.5" customHeight="1">
      <c r="A2218" s="70" t="str">
        <f t="shared" si="1"/>
        <v>Excluded</v>
      </c>
      <c r="B2218" s="70">
        <f t="shared" si="2"/>
        <v>0</v>
      </c>
      <c r="C2218" s="70">
        <v>0.0</v>
      </c>
      <c r="D2218" s="70">
        <v>0.0</v>
      </c>
      <c r="E2218" s="70">
        <v>0.0</v>
      </c>
      <c r="F2218" s="70">
        <v>0.0</v>
      </c>
      <c r="G2218" s="70">
        <v>0.0</v>
      </c>
      <c r="H2218" s="70" t="s">
        <v>10924</v>
      </c>
      <c r="I2218" s="70">
        <v>1125.0</v>
      </c>
      <c r="K2218" s="70" t="s">
        <v>10618</v>
      </c>
      <c r="L2218" s="70" t="s">
        <v>10923</v>
      </c>
      <c r="P2218" s="76">
        <v>43311.0</v>
      </c>
      <c r="U2218" s="70" t="s">
        <v>239</v>
      </c>
      <c r="W2218" s="70" t="s">
        <v>10602</v>
      </c>
      <c r="X2218" s="70" t="s">
        <v>10925</v>
      </c>
      <c r="Z2218" s="75" t="s">
        <v>10926</v>
      </c>
      <c r="AF2218" s="70" t="s">
        <v>239</v>
      </c>
      <c r="AZ2218" s="70">
        <v>1620.0</v>
      </c>
    </row>
    <row r="2219" ht="22.5" customHeight="1">
      <c r="A2219" s="70" t="str">
        <f t="shared" si="1"/>
        <v>Excluded</v>
      </c>
      <c r="B2219" s="70">
        <f t="shared" si="2"/>
        <v>0</v>
      </c>
      <c r="C2219" s="70">
        <v>0.0</v>
      </c>
      <c r="D2219" s="70">
        <v>0.0</v>
      </c>
      <c r="E2219" s="70">
        <v>0.0</v>
      </c>
      <c r="F2219" s="70">
        <v>0.0</v>
      </c>
      <c r="G2219" s="70">
        <v>0.0</v>
      </c>
      <c r="H2219" s="70" t="s">
        <v>28630</v>
      </c>
      <c r="I2219" s="70">
        <v>3080.0</v>
      </c>
      <c r="J2219" s="70" t="s">
        <v>28628</v>
      </c>
      <c r="K2219" s="70" t="s">
        <v>28629</v>
      </c>
      <c r="W2219" s="70" t="s">
        <v>30842</v>
      </c>
      <c r="AA2219" s="70" t="s">
        <v>28632</v>
      </c>
      <c r="AI2219" s="70" t="s">
        <v>28633</v>
      </c>
      <c r="AJ2219" s="70" t="s">
        <v>28634</v>
      </c>
      <c r="AK2219" s="70">
        <v>2019.0</v>
      </c>
      <c r="AL2219" s="70" t="s">
        <v>28635</v>
      </c>
      <c r="AM2219" s="70">
        <v>8784011.0</v>
      </c>
      <c r="AN2219" s="70">
        <v>167.0</v>
      </c>
      <c r="AO2219" s="70">
        <v>172.0</v>
      </c>
      <c r="AP2219" s="70">
        <v>5.0</v>
      </c>
      <c r="AQ2219" s="70">
        <v>22.0</v>
      </c>
      <c r="AR2219" s="75" t="s">
        <v>28636</v>
      </c>
      <c r="AS2219" s="70" t="s">
        <v>22525</v>
      </c>
      <c r="AT2219" s="70" t="s">
        <v>22816</v>
      </c>
      <c r="AU2219" s="70" t="s">
        <v>237</v>
      </c>
      <c r="AV2219" s="70" t="s">
        <v>28637</v>
      </c>
      <c r="AW2219" s="70" t="s">
        <v>28638</v>
      </c>
      <c r="AX2219" s="70">
        <v>0.0</v>
      </c>
      <c r="AY2219" s="70" t="s">
        <v>24</v>
      </c>
      <c r="AZ2219" s="70">
        <v>2814.0</v>
      </c>
    </row>
    <row r="2220" ht="22.5" customHeight="1">
      <c r="A2220" s="70" t="str">
        <f t="shared" si="1"/>
        <v>Excluded</v>
      </c>
      <c r="B2220" s="70">
        <f t="shared" si="2"/>
        <v>0</v>
      </c>
      <c r="C2220" s="70">
        <v>0.0</v>
      </c>
      <c r="D2220" s="70">
        <v>0.0</v>
      </c>
      <c r="E2220" s="70">
        <v>0.0</v>
      </c>
      <c r="F2220" s="70">
        <v>0.0</v>
      </c>
      <c r="G2220" s="70">
        <v>0.0</v>
      </c>
      <c r="H2220" s="70" t="s">
        <v>10883</v>
      </c>
      <c r="I2220" s="70">
        <v>1114.0</v>
      </c>
      <c r="K2220" s="70" t="s">
        <v>10597</v>
      </c>
      <c r="L2220" s="70" t="s">
        <v>10881</v>
      </c>
      <c r="N2220" s="70" t="s">
        <v>10882</v>
      </c>
      <c r="P2220" s="76">
        <v>44756.0</v>
      </c>
      <c r="U2220" s="70" t="s">
        <v>239</v>
      </c>
      <c r="W2220" s="70" t="s">
        <v>10602</v>
      </c>
      <c r="X2220" s="70" t="s">
        <v>10884</v>
      </c>
      <c r="Z2220" s="75" t="s">
        <v>10885</v>
      </c>
      <c r="AF2220" s="70" t="s">
        <v>239</v>
      </c>
      <c r="AZ2220" s="70">
        <v>1591.0</v>
      </c>
    </row>
    <row r="2221" ht="22.5" customHeight="1">
      <c r="A2221" s="70" t="str">
        <f t="shared" si="1"/>
        <v>Excluded</v>
      </c>
      <c r="B2221" s="70">
        <f t="shared" si="2"/>
        <v>0</v>
      </c>
      <c r="C2221" s="70">
        <v>0.0</v>
      </c>
      <c r="D2221" s="70">
        <v>0.0</v>
      </c>
      <c r="E2221" s="70">
        <v>0.0</v>
      </c>
      <c r="F2221" s="70">
        <v>0.0</v>
      </c>
      <c r="G2221" s="70">
        <v>0.0</v>
      </c>
      <c r="H2221" s="70" t="s">
        <v>12301</v>
      </c>
      <c r="I2221" s="70">
        <v>1285.0</v>
      </c>
      <c r="J2221" s="70" t="s">
        <v>12298</v>
      </c>
      <c r="K2221" s="70" t="s">
        <v>12299</v>
      </c>
      <c r="L2221" s="70" t="s">
        <v>12300</v>
      </c>
      <c r="N2221" s="70" t="s">
        <v>10882</v>
      </c>
      <c r="P2221" s="77">
        <v>45145.0</v>
      </c>
      <c r="U2221" s="70" t="s">
        <v>239</v>
      </c>
      <c r="W2221" s="70" t="s">
        <v>12303</v>
      </c>
      <c r="X2221" s="70" t="s">
        <v>12304</v>
      </c>
      <c r="Y2221" s="70" t="s">
        <v>30843</v>
      </c>
      <c r="Z2221" s="75" t="s">
        <v>12306</v>
      </c>
      <c r="AA2221" s="70" t="s">
        <v>12307</v>
      </c>
      <c r="AC2221" s="70">
        <v>1.0</v>
      </c>
      <c r="AE2221" s="70">
        <v>20.0</v>
      </c>
      <c r="AF2221" s="70" t="s">
        <v>239</v>
      </c>
      <c r="AW2221" s="70" t="s">
        <v>12308</v>
      </c>
      <c r="AZ2221" s="70">
        <v>1050.0</v>
      </c>
    </row>
    <row r="2222" ht="22.5" customHeight="1">
      <c r="A2222" s="70" t="str">
        <f t="shared" si="1"/>
        <v>Excluded</v>
      </c>
      <c r="B2222" s="70">
        <f t="shared" si="2"/>
        <v>0</v>
      </c>
      <c r="C2222" s="70">
        <v>0.0</v>
      </c>
      <c r="D2222" s="70">
        <v>0.0</v>
      </c>
      <c r="E2222" s="70">
        <v>0.0</v>
      </c>
      <c r="F2222" s="70">
        <v>0.0</v>
      </c>
      <c r="G2222" s="70">
        <v>0.0</v>
      </c>
      <c r="H2222" s="70" t="s">
        <v>12913</v>
      </c>
      <c r="I2222" s="70">
        <v>1346.0</v>
      </c>
      <c r="J2222" s="70" t="s">
        <v>12911</v>
      </c>
      <c r="K2222" s="70" t="s">
        <v>12912</v>
      </c>
      <c r="L2222" s="70" t="s">
        <v>12300</v>
      </c>
      <c r="N2222" s="70" t="s">
        <v>10882</v>
      </c>
      <c r="P2222" s="77">
        <v>45145.0</v>
      </c>
      <c r="U2222" s="70" t="s">
        <v>239</v>
      </c>
      <c r="W2222" s="70" t="s">
        <v>30844</v>
      </c>
      <c r="X2222" s="70" t="s">
        <v>12304</v>
      </c>
      <c r="Z2222" s="75" t="s">
        <v>12916</v>
      </c>
      <c r="AE2222" s="70">
        <v>18.0</v>
      </c>
      <c r="AF2222" s="70" t="s">
        <v>239</v>
      </c>
      <c r="AW2222" s="70" t="s">
        <v>12917</v>
      </c>
      <c r="AX2222" s="70">
        <v>0.0</v>
      </c>
      <c r="AY2222" s="70" t="s">
        <v>24</v>
      </c>
      <c r="AZ2222" s="70">
        <v>1741.0</v>
      </c>
    </row>
    <row r="2223" ht="22.5" customHeight="1">
      <c r="A2223" s="70" t="str">
        <f t="shared" si="1"/>
        <v>Excluded</v>
      </c>
      <c r="B2223" s="70">
        <f t="shared" si="2"/>
        <v>0</v>
      </c>
      <c r="C2223" s="70">
        <v>0.0</v>
      </c>
      <c r="D2223" s="70">
        <v>0.0</v>
      </c>
      <c r="E2223" s="70">
        <v>0.0</v>
      </c>
      <c r="F2223" s="70">
        <v>0.0</v>
      </c>
      <c r="G2223" s="70">
        <v>0.0</v>
      </c>
      <c r="H2223" s="70" t="s">
        <v>12775</v>
      </c>
      <c r="I2223" s="70">
        <v>1332.0</v>
      </c>
      <c r="J2223" s="70" t="s">
        <v>12772</v>
      </c>
      <c r="K2223" s="70" t="s">
        <v>12773</v>
      </c>
      <c r="L2223" s="70" t="s">
        <v>12774</v>
      </c>
      <c r="N2223" s="70" t="s">
        <v>10882</v>
      </c>
      <c r="P2223" s="76">
        <v>45497.0</v>
      </c>
      <c r="U2223" s="70" t="s">
        <v>239</v>
      </c>
      <c r="W2223" s="70" t="s">
        <v>12777</v>
      </c>
      <c r="X2223" s="70" t="s">
        <v>12778</v>
      </c>
      <c r="Z2223" s="75" t="s">
        <v>12779</v>
      </c>
      <c r="AA2223" s="70" t="s">
        <v>12780</v>
      </c>
      <c r="AE2223" s="70">
        <v>40.0</v>
      </c>
      <c r="AF2223" s="70" t="s">
        <v>239</v>
      </c>
      <c r="AW2223" s="70" t="s">
        <v>12781</v>
      </c>
      <c r="AZ2223" s="70">
        <v>927.0</v>
      </c>
    </row>
    <row r="2224" ht="22.5" customHeight="1">
      <c r="A2224" s="70" t="str">
        <f t="shared" si="1"/>
        <v>Excluded</v>
      </c>
      <c r="B2224" s="70">
        <f t="shared" si="2"/>
        <v>0</v>
      </c>
      <c r="C2224" s="70">
        <v>0.0</v>
      </c>
      <c r="D2224" s="70">
        <v>0.0</v>
      </c>
      <c r="E2224" s="70">
        <v>0.0</v>
      </c>
      <c r="F2224" s="70">
        <v>0.0</v>
      </c>
      <c r="G2224" s="70">
        <v>0.0</v>
      </c>
      <c r="H2224" s="70" t="s">
        <v>12784</v>
      </c>
      <c r="I2224" s="70">
        <v>1333.0</v>
      </c>
      <c r="J2224" s="70" t="s">
        <v>12782</v>
      </c>
      <c r="K2224" s="70" t="s">
        <v>12783</v>
      </c>
      <c r="L2224" s="70" t="s">
        <v>12774</v>
      </c>
      <c r="N2224" s="70" t="s">
        <v>10882</v>
      </c>
      <c r="P2224" s="76">
        <v>45497.0</v>
      </c>
      <c r="U2224" s="70" t="s">
        <v>239</v>
      </c>
      <c r="W2224" s="70" t="s">
        <v>12786</v>
      </c>
      <c r="X2224" s="70" t="s">
        <v>12778</v>
      </c>
      <c r="Y2224" s="70" t="s">
        <v>12787</v>
      </c>
      <c r="Z2224" s="75" t="s">
        <v>12788</v>
      </c>
      <c r="AA2224" s="70" t="s">
        <v>12789</v>
      </c>
      <c r="AE2224" s="70">
        <v>37.0</v>
      </c>
      <c r="AF2224" s="70" t="s">
        <v>239</v>
      </c>
      <c r="AW2224" s="70" t="s">
        <v>12790</v>
      </c>
      <c r="AX2224" s="70">
        <v>0.0</v>
      </c>
      <c r="AY2224" s="70" t="s">
        <v>24</v>
      </c>
      <c r="AZ2224" s="70">
        <v>2010.0</v>
      </c>
    </row>
    <row r="2225" ht="22.5" customHeight="1">
      <c r="A2225" s="70" t="str">
        <f t="shared" si="1"/>
        <v>Excluded</v>
      </c>
      <c r="B2225" s="70">
        <f t="shared" si="2"/>
        <v>0</v>
      </c>
      <c r="C2225" s="70">
        <v>0.0</v>
      </c>
      <c r="D2225" s="70">
        <v>0.0</v>
      </c>
      <c r="E2225" s="70">
        <v>0.0</v>
      </c>
      <c r="F2225" s="70">
        <v>0.0</v>
      </c>
      <c r="G2225" s="70">
        <v>0.0</v>
      </c>
      <c r="H2225" s="70" t="s">
        <v>12022</v>
      </c>
      <c r="I2225" s="70">
        <v>1257.0</v>
      </c>
      <c r="J2225" s="70" t="s">
        <v>12019</v>
      </c>
      <c r="K2225" s="70" t="s">
        <v>12020</v>
      </c>
      <c r="L2225" s="70" t="s">
        <v>12021</v>
      </c>
      <c r="P2225" s="76">
        <v>45350.0</v>
      </c>
      <c r="U2225" s="70" t="s">
        <v>239</v>
      </c>
      <c r="W2225" s="70" t="s">
        <v>12024</v>
      </c>
      <c r="X2225" s="70" t="s">
        <v>12025</v>
      </c>
      <c r="Z2225" s="75" t="s">
        <v>12026</v>
      </c>
      <c r="AA2225" s="70" t="s">
        <v>12027</v>
      </c>
      <c r="AC2225" s="70">
        <v>1.0</v>
      </c>
      <c r="AE2225" s="70">
        <v>21.0</v>
      </c>
      <c r="AF2225" s="70" t="s">
        <v>239</v>
      </c>
      <c r="AW2225" s="70" t="s">
        <v>12028</v>
      </c>
      <c r="AZ2225" s="70">
        <v>1150.0</v>
      </c>
    </row>
    <row r="2226" ht="22.5" customHeight="1">
      <c r="A2226" s="70" t="str">
        <f t="shared" si="1"/>
        <v>Excluded</v>
      </c>
      <c r="B2226" s="70">
        <f t="shared" si="2"/>
        <v>0</v>
      </c>
      <c r="C2226" s="70">
        <v>0.0</v>
      </c>
      <c r="D2226" s="70">
        <v>0.0</v>
      </c>
      <c r="E2226" s="70">
        <v>0.0</v>
      </c>
      <c r="F2226" s="70">
        <v>0.0</v>
      </c>
      <c r="G2226" s="70">
        <v>0.0</v>
      </c>
      <c r="H2226" s="70" t="s">
        <v>12432</v>
      </c>
      <c r="I2226" s="70">
        <v>1298.0</v>
      </c>
      <c r="J2226" s="70" t="s">
        <v>12430</v>
      </c>
      <c r="K2226" s="70" t="s">
        <v>12431</v>
      </c>
      <c r="L2226" s="70" t="s">
        <v>11832</v>
      </c>
      <c r="N2226" s="70" t="s">
        <v>11833</v>
      </c>
      <c r="P2226" s="76">
        <v>45320.0</v>
      </c>
      <c r="U2226" s="70" t="s">
        <v>239</v>
      </c>
      <c r="W2226" s="70" t="s">
        <v>30845</v>
      </c>
      <c r="X2226" s="70" t="s">
        <v>11837</v>
      </c>
      <c r="Z2226" s="75" t="s">
        <v>12435</v>
      </c>
      <c r="AC2226" s="70">
        <v>1.0</v>
      </c>
      <c r="AE2226" s="70">
        <v>15.0</v>
      </c>
      <c r="AF2226" s="70" t="s">
        <v>239</v>
      </c>
      <c r="AW2226" s="70" t="s">
        <v>12436</v>
      </c>
      <c r="AX2226" s="70">
        <v>0.0</v>
      </c>
      <c r="AY2226" s="70" t="s">
        <v>24</v>
      </c>
      <c r="AZ2226" s="70">
        <v>2880.0</v>
      </c>
    </row>
    <row r="2227" ht="22.5" customHeight="1">
      <c r="A2227" s="70" t="str">
        <f t="shared" si="1"/>
        <v>Excluded</v>
      </c>
      <c r="B2227" s="70">
        <f t="shared" si="2"/>
        <v>0</v>
      </c>
      <c r="C2227" s="70">
        <v>0.0</v>
      </c>
      <c r="D2227" s="70">
        <v>0.0</v>
      </c>
      <c r="E2227" s="70">
        <v>0.0</v>
      </c>
      <c r="F2227" s="70">
        <v>0.0</v>
      </c>
      <c r="G2227" s="70">
        <v>0.0</v>
      </c>
      <c r="H2227" s="70" t="s">
        <v>11834</v>
      </c>
      <c r="I2227" s="70">
        <v>1238.0</v>
      </c>
      <c r="J2227" s="70" t="s">
        <v>11830</v>
      </c>
      <c r="K2227" s="70" t="s">
        <v>11831</v>
      </c>
      <c r="L2227" s="70" t="s">
        <v>11832</v>
      </c>
      <c r="N2227" s="70" t="s">
        <v>11833</v>
      </c>
      <c r="P2227" s="76">
        <v>45320.0</v>
      </c>
      <c r="U2227" s="70" t="s">
        <v>239</v>
      </c>
      <c r="W2227" s="70" t="s">
        <v>11836</v>
      </c>
      <c r="X2227" s="70" t="s">
        <v>11837</v>
      </c>
      <c r="Z2227" s="75" t="s">
        <v>11838</v>
      </c>
      <c r="AA2227" s="70" t="s">
        <v>11839</v>
      </c>
      <c r="AC2227" s="70">
        <v>1.0</v>
      </c>
      <c r="AE2227" s="70">
        <v>33.0</v>
      </c>
      <c r="AF2227" s="70" t="s">
        <v>239</v>
      </c>
      <c r="AW2227" s="70" t="s">
        <v>11840</v>
      </c>
      <c r="AZ2227" s="70">
        <v>461.0</v>
      </c>
    </row>
    <row r="2228" ht="22.5" customHeight="1">
      <c r="A2228" s="70" t="str">
        <f t="shared" si="1"/>
        <v>Excluded</v>
      </c>
      <c r="B2228" s="70">
        <f t="shared" si="2"/>
        <v>0</v>
      </c>
      <c r="C2228" s="70">
        <v>0.0</v>
      </c>
      <c r="D2228" s="70">
        <v>0.0</v>
      </c>
      <c r="E2228" s="70">
        <v>0.0</v>
      </c>
      <c r="F2228" s="70">
        <v>0.0</v>
      </c>
      <c r="G2228" s="70">
        <v>0.0</v>
      </c>
      <c r="H2228" s="70" t="s">
        <v>8501</v>
      </c>
      <c r="I2228" s="70">
        <v>825.0</v>
      </c>
      <c r="J2228" s="70" t="s">
        <v>8499</v>
      </c>
      <c r="K2228" s="70" t="s">
        <v>8500</v>
      </c>
      <c r="L2228" s="70" t="s">
        <v>6892</v>
      </c>
      <c r="P2228" s="77">
        <v>44503.0</v>
      </c>
      <c r="U2228" s="70" t="s">
        <v>239</v>
      </c>
      <c r="W2228" s="70" t="s">
        <v>30846</v>
      </c>
      <c r="X2228" s="70" t="s">
        <v>6896</v>
      </c>
      <c r="Y2228" s="70" t="s">
        <v>30720</v>
      </c>
      <c r="Z2228" s="75" t="s">
        <v>8504</v>
      </c>
      <c r="AA2228" s="70" t="s">
        <v>8505</v>
      </c>
      <c r="AC2228" s="70">
        <v>1.0</v>
      </c>
      <c r="AE2228" s="70">
        <v>43.0</v>
      </c>
      <c r="AF2228" s="70" t="s">
        <v>239</v>
      </c>
      <c r="AW2228" s="70" t="s">
        <v>8506</v>
      </c>
      <c r="AX2228" s="70">
        <v>0.0</v>
      </c>
      <c r="AY2228" s="70" t="s">
        <v>24</v>
      </c>
      <c r="AZ2228" s="70">
        <v>1935.0</v>
      </c>
    </row>
    <row r="2229" ht="22.5" customHeight="1">
      <c r="A2229" s="70" t="str">
        <f t="shared" si="1"/>
        <v>Excluded</v>
      </c>
      <c r="B2229" s="70">
        <f t="shared" si="2"/>
        <v>0</v>
      </c>
      <c r="C2229" s="70">
        <v>0.0</v>
      </c>
      <c r="D2229" s="70">
        <v>0.0</v>
      </c>
      <c r="E2229" s="70">
        <v>0.0</v>
      </c>
      <c r="F2229" s="70">
        <v>0.0</v>
      </c>
      <c r="G2229" s="70">
        <v>0.0</v>
      </c>
      <c r="H2229" s="70" t="s">
        <v>6893</v>
      </c>
      <c r="I2229" s="70">
        <v>657.0</v>
      </c>
      <c r="J2229" s="70" t="s">
        <v>6890</v>
      </c>
      <c r="K2229" s="70" t="s">
        <v>6891</v>
      </c>
      <c r="L2229" s="70" t="s">
        <v>6892</v>
      </c>
      <c r="P2229" s="77">
        <v>44503.0</v>
      </c>
      <c r="U2229" s="70" t="s">
        <v>239</v>
      </c>
      <c r="W2229" s="70" t="s">
        <v>6895</v>
      </c>
      <c r="X2229" s="70" t="s">
        <v>6896</v>
      </c>
      <c r="Z2229" s="75" t="s">
        <v>6897</v>
      </c>
      <c r="AA2229" s="70" t="s">
        <v>6898</v>
      </c>
      <c r="AC2229" s="70">
        <v>5.0</v>
      </c>
      <c r="AE2229" s="70">
        <v>22.0</v>
      </c>
      <c r="AF2229" s="70" t="s">
        <v>239</v>
      </c>
      <c r="AW2229" s="70" t="s">
        <v>6899</v>
      </c>
      <c r="AZ2229" s="70">
        <v>450.0</v>
      </c>
    </row>
    <row r="2230" ht="22.5" customHeight="1">
      <c r="A2230" s="70" t="str">
        <f t="shared" si="1"/>
        <v>Excluded</v>
      </c>
      <c r="B2230" s="70">
        <f t="shared" si="2"/>
        <v>0</v>
      </c>
      <c r="C2230" s="70">
        <v>0.0</v>
      </c>
      <c r="D2230" s="70">
        <v>0.0</v>
      </c>
      <c r="E2230" s="70">
        <v>0.0</v>
      </c>
      <c r="F2230" s="70">
        <v>0.0</v>
      </c>
      <c r="G2230" s="70">
        <v>0.0</v>
      </c>
      <c r="H2230" s="70" t="s">
        <v>7219</v>
      </c>
      <c r="I2230" s="70">
        <v>691.0</v>
      </c>
      <c r="J2230" s="70" t="s">
        <v>7216</v>
      </c>
      <c r="K2230" s="70" t="s">
        <v>7217</v>
      </c>
      <c r="L2230" s="70" t="s">
        <v>7218</v>
      </c>
      <c r="P2230" s="78">
        <v>42509.0</v>
      </c>
      <c r="U2230" s="70" t="s">
        <v>239</v>
      </c>
      <c r="W2230" s="70" t="s">
        <v>7221</v>
      </c>
      <c r="X2230" s="70" t="s">
        <v>7222</v>
      </c>
      <c r="Z2230" s="75" t="s">
        <v>7223</v>
      </c>
      <c r="AA2230" s="70" t="s">
        <v>7224</v>
      </c>
      <c r="AC2230" s="70">
        <v>4.0</v>
      </c>
      <c r="AE2230" s="70">
        <v>35.0</v>
      </c>
      <c r="AF2230" s="70" t="s">
        <v>239</v>
      </c>
      <c r="AW2230" s="70" t="s">
        <v>7225</v>
      </c>
      <c r="AZ2230" s="70">
        <v>315.0</v>
      </c>
    </row>
    <row r="2231" ht="22.5" customHeight="1">
      <c r="A2231" s="70" t="str">
        <f t="shared" si="1"/>
        <v>Excluded</v>
      </c>
      <c r="B2231" s="70">
        <f t="shared" si="2"/>
        <v>0</v>
      </c>
      <c r="C2231" s="70">
        <v>0.0</v>
      </c>
      <c r="D2231" s="70">
        <v>0.0</v>
      </c>
      <c r="E2231" s="70">
        <v>0.0</v>
      </c>
      <c r="F2231" s="70">
        <v>0.0</v>
      </c>
      <c r="G2231" s="70">
        <v>0.0</v>
      </c>
      <c r="H2231" s="70" t="s">
        <v>5576</v>
      </c>
      <c r="I2231" s="70">
        <v>524.0</v>
      </c>
      <c r="J2231" s="70" t="s">
        <v>5574</v>
      </c>
      <c r="K2231" s="70" t="s">
        <v>5575</v>
      </c>
      <c r="L2231" s="70" t="s">
        <v>4771</v>
      </c>
      <c r="P2231" s="77">
        <v>42894.0</v>
      </c>
      <c r="U2231" s="70" t="s">
        <v>239</v>
      </c>
      <c r="W2231" s="70" t="s">
        <v>5578</v>
      </c>
      <c r="X2231" s="70" t="s">
        <v>4775</v>
      </c>
      <c r="Z2231" s="75" t="s">
        <v>5579</v>
      </c>
      <c r="AC2231" s="70">
        <v>10.0</v>
      </c>
      <c r="AE2231" s="70">
        <v>27.0</v>
      </c>
      <c r="AF2231" s="70" t="s">
        <v>239</v>
      </c>
      <c r="AW2231" s="70" t="s">
        <v>5580</v>
      </c>
      <c r="AZ2231" s="70">
        <v>249.0</v>
      </c>
    </row>
    <row r="2232" ht="22.5" customHeight="1">
      <c r="A2232" s="70" t="str">
        <f t="shared" si="1"/>
        <v>Excluded</v>
      </c>
      <c r="B2232" s="70">
        <f t="shared" si="2"/>
        <v>0</v>
      </c>
      <c r="C2232" s="70">
        <v>0.0</v>
      </c>
      <c r="D2232" s="70">
        <v>0.0</v>
      </c>
      <c r="E2232" s="70">
        <v>0.0</v>
      </c>
      <c r="F2232" s="70">
        <v>0.0</v>
      </c>
      <c r="G2232" s="70">
        <v>0.0</v>
      </c>
      <c r="H2232" s="70" t="s">
        <v>4772</v>
      </c>
      <c r="I2232" s="70">
        <v>443.0</v>
      </c>
      <c r="J2232" s="70" t="s">
        <v>4769</v>
      </c>
      <c r="K2232" s="70" t="s">
        <v>4770</v>
      </c>
      <c r="L2232" s="70" t="s">
        <v>4771</v>
      </c>
      <c r="P2232" s="77">
        <v>42894.0</v>
      </c>
      <c r="U2232" s="70" t="s">
        <v>239</v>
      </c>
      <c r="W2232" s="70" t="s">
        <v>4774</v>
      </c>
      <c r="X2232" s="70" t="s">
        <v>4775</v>
      </c>
      <c r="Z2232" s="75" t="s">
        <v>4776</v>
      </c>
      <c r="AA2232" s="70" t="s">
        <v>4777</v>
      </c>
      <c r="AC2232" s="70">
        <v>37.0</v>
      </c>
      <c r="AE2232" s="70">
        <v>57.0</v>
      </c>
      <c r="AF2232" s="70" t="s">
        <v>239</v>
      </c>
      <c r="AW2232" s="70" t="s">
        <v>4778</v>
      </c>
      <c r="AZ2232" s="70">
        <v>233.0</v>
      </c>
    </row>
    <row r="2233" ht="22.5" customHeight="1">
      <c r="A2233" s="70" t="str">
        <f t="shared" si="1"/>
        <v>Excluded</v>
      </c>
      <c r="B2233" s="70">
        <f t="shared" si="2"/>
        <v>0</v>
      </c>
      <c r="C2233" s="70">
        <v>0.0</v>
      </c>
      <c r="D2233" s="70">
        <v>0.0</v>
      </c>
      <c r="E2233" s="70">
        <v>0.0</v>
      </c>
      <c r="F2233" s="70">
        <v>0.0</v>
      </c>
      <c r="G2233" s="70">
        <v>0.0</v>
      </c>
      <c r="H2233" s="70" t="s">
        <v>5064</v>
      </c>
      <c r="I2233" s="70">
        <v>472.0</v>
      </c>
      <c r="J2233" s="70" t="s">
        <v>5061</v>
      </c>
      <c r="K2233" s="70" t="s">
        <v>5062</v>
      </c>
      <c r="L2233" s="70" t="s">
        <v>5063</v>
      </c>
      <c r="P2233" s="78">
        <v>43237.0</v>
      </c>
      <c r="U2233" s="70" t="s">
        <v>239</v>
      </c>
      <c r="W2233" s="70" t="s">
        <v>5066</v>
      </c>
      <c r="X2233" s="70" t="s">
        <v>5067</v>
      </c>
      <c r="Z2233" s="75" t="s">
        <v>5068</v>
      </c>
      <c r="AA2233" s="70" t="s">
        <v>5069</v>
      </c>
      <c r="AC2233" s="70">
        <v>22.0</v>
      </c>
      <c r="AE2233" s="70">
        <v>55.0</v>
      </c>
      <c r="AF2233" s="70" t="s">
        <v>239</v>
      </c>
      <c r="AW2233" s="70" t="s">
        <v>5070</v>
      </c>
      <c r="AX2233" s="70">
        <v>0.0</v>
      </c>
      <c r="AY2233" s="70" t="s">
        <v>24</v>
      </c>
      <c r="AZ2233" s="70">
        <v>2017.0</v>
      </c>
    </row>
    <row r="2234" ht="22.5" customHeight="1">
      <c r="A2234" s="70" t="str">
        <f t="shared" si="1"/>
        <v>Excluded</v>
      </c>
      <c r="B2234" s="70">
        <f t="shared" si="2"/>
        <v>0</v>
      </c>
      <c r="C2234" s="70">
        <v>0.0</v>
      </c>
      <c r="D2234" s="70">
        <v>0.0</v>
      </c>
      <c r="E2234" s="70">
        <v>0.0</v>
      </c>
      <c r="F2234" s="70">
        <v>0.0</v>
      </c>
      <c r="G2234" s="70">
        <v>0.0</v>
      </c>
      <c r="H2234" s="70" t="s">
        <v>6983</v>
      </c>
      <c r="I2234" s="70">
        <v>666.0</v>
      </c>
      <c r="J2234" s="70" t="s">
        <v>6981</v>
      </c>
      <c r="K2234" s="70" t="s">
        <v>6982</v>
      </c>
      <c r="L2234" s="70" t="s">
        <v>4900</v>
      </c>
      <c r="N2234" s="70" t="s">
        <v>4901</v>
      </c>
      <c r="P2234" s="79">
        <v>43591.0</v>
      </c>
      <c r="U2234" s="70" t="s">
        <v>239</v>
      </c>
      <c r="W2234" s="70" t="s">
        <v>6985</v>
      </c>
      <c r="X2234" s="70" t="s">
        <v>4905</v>
      </c>
      <c r="Z2234" s="75" t="s">
        <v>6986</v>
      </c>
      <c r="AA2234" s="70" t="s">
        <v>6987</v>
      </c>
      <c r="AC2234" s="70">
        <v>5.0</v>
      </c>
      <c r="AE2234" s="70">
        <v>43.0</v>
      </c>
      <c r="AF2234" s="70" t="s">
        <v>239</v>
      </c>
      <c r="AZ2234" s="70">
        <v>217.0</v>
      </c>
    </row>
    <row r="2235" ht="22.5" customHeight="1">
      <c r="A2235" s="70" t="str">
        <f t="shared" si="1"/>
        <v>Excluded</v>
      </c>
      <c r="B2235" s="70">
        <f t="shared" si="2"/>
        <v>0</v>
      </c>
      <c r="C2235" s="70">
        <v>0.0</v>
      </c>
      <c r="D2235" s="70">
        <v>0.0</v>
      </c>
      <c r="E2235" s="70">
        <v>0.0</v>
      </c>
      <c r="F2235" s="70">
        <v>0.0</v>
      </c>
      <c r="G2235" s="70">
        <v>0.0</v>
      </c>
      <c r="H2235" s="70" t="s">
        <v>4902</v>
      </c>
      <c r="I2235" s="70">
        <v>456.0</v>
      </c>
      <c r="J2235" s="70" t="s">
        <v>4898</v>
      </c>
      <c r="K2235" s="70" t="s">
        <v>4899</v>
      </c>
      <c r="L2235" s="70" t="s">
        <v>4900</v>
      </c>
      <c r="N2235" s="70" t="s">
        <v>4901</v>
      </c>
      <c r="P2235" s="79">
        <v>43591.0</v>
      </c>
      <c r="U2235" s="70" t="s">
        <v>239</v>
      </c>
      <c r="W2235" s="70" t="s">
        <v>4904</v>
      </c>
      <c r="X2235" s="70" t="s">
        <v>4905</v>
      </c>
      <c r="Z2235" s="75" t="s">
        <v>4906</v>
      </c>
      <c r="AA2235" s="70" t="s">
        <v>4907</v>
      </c>
      <c r="AC2235" s="70">
        <v>27.0</v>
      </c>
      <c r="AD2235" s="70">
        <v>2.0</v>
      </c>
      <c r="AE2235" s="70">
        <v>19.0</v>
      </c>
      <c r="AF2235" s="70" t="s">
        <v>239</v>
      </c>
      <c r="AW2235" s="70" t="s">
        <v>4908</v>
      </c>
      <c r="AX2235" s="70">
        <v>0.0</v>
      </c>
      <c r="AY2235" s="70" t="s">
        <v>24</v>
      </c>
      <c r="AZ2235" s="70">
        <v>1944.0</v>
      </c>
    </row>
    <row r="2236" ht="22.5" customHeight="1">
      <c r="A2236" s="70" t="str">
        <f t="shared" si="1"/>
        <v>Excluded</v>
      </c>
      <c r="B2236" s="70">
        <f t="shared" si="2"/>
        <v>0</v>
      </c>
      <c r="C2236" s="70">
        <v>0.0</v>
      </c>
      <c r="D2236" s="70">
        <v>0.0</v>
      </c>
      <c r="E2236" s="70">
        <v>0.0</v>
      </c>
      <c r="F2236" s="70">
        <v>0.0</v>
      </c>
      <c r="G2236" s="70">
        <v>0.0</v>
      </c>
      <c r="H2236" s="70" t="s">
        <v>6766</v>
      </c>
      <c r="I2236" s="70">
        <v>644.0</v>
      </c>
      <c r="J2236" s="70" t="s">
        <v>6764</v>
      </c>
      <c r="K2236" s="70" t="s">
        <v>6765</v>
      </c>
      <c r="L2236" s="70" t="s">
        <v>5784</v>
      </c>
      <c r="N2236" s="70" t="s">
        <v>4901</v>
      </c>
      <c r="P2236" s="76">
        <v>44847.0</v>
      </c>
      <c r="U2236" s="70" t="s">
        <v>239</v>
      </c>
      <c r="W2236" s="70" t="s">
        <v>6768</v>
      </c>
      <c r="X2236" s="70" t="s">
        <v>5788</v>
      </c>
      <c r="Z2236" s="75" t="s">
        <v>6769</v>
      </c>
      <c r="AA2236" s="70" t="s">
        <v>6770</v>
      </c>
      <c r="AC2236" s="70">
        <v>5.0</v>
      </c>
      <c r="AE2236" s="70">
        <v>57.0</v>
      </c>
      <c r="AF2236" s="70" t="s">
        <v>239</v>
      </c>
      <c r="AW2236" s="70" t="s">
        <v>6771</v>
      </c>
      <c r="AZ2236" s="70">
        <v>232.0</v>
      </c>
    </row>
    <row r="2237" ht="22.5" customHeight="1">
      <c r="A2237" s="70" t="str">
        <f t="shared" si="1"/>
        <v>Excluded</v>
      </c>
      <c r="B2237" s="70">
        <f t="shared" si="2"/>
        <v>0</v>
      </c>
      <c r="C2237" s="70">
        <v>0.0</v>
      </c>
      <c r="D2237" s="70">
        <v>0.0</v>
      </c>
      <c r="E2237" s="70">
        <v>0.0</v>
      </c>
      <c r="F2237" s="70">
        <v>0.0</v>
      </c>
      <c r="G2237" s="70">
        <v>0.0</v>
      </c>
      <c r="H2237" s="70" t="s">
        <v>5785</v>
      </c>
      <c r="I2237" s="70">
        <v>545.0</v>
      </c>
      <c r="J2237" s="70" t="s">
        <v>5782</v>
      </c>
      <c r="K2237" s="70" t="s">
        <v>5783</v>
      </c>
      <c r="L2237" s="70" t="s">
        <v>5784</v>
      </c>
      <c r="N2237" s="70" t="s">
        <v>4901</v>
      </c>
      <c r="P2237" s="76">
        <v>44847.0</v>
      </c>
      <c r="U2237" s="70" t="s">
        <v>239</v>
      </c>
      <c r="W2237" s="70" t="s">
        <v>5787</v>
      </c>
      <c r="X2237" s="70" t="s">
        <v>5788</v>
      </c>
      <c r="Z2237" s="75" t="s">
        <v>5789</v>
      </c>
      <c r="AA2237" s="70" t="s">
        <v>5790</v>
      </c>
      <c r="AC2237" s="70">
        <v>9.0</v>
      </c>
      <c r="AE2237" s="70">
        <v>101.0</v>
      </c>
      <c r="AF2237" s="70" t="s">
        <v>239</v>
      </c>
      <c r="AW2237" s="70" t="s">
        <v>5791</v>
      </c>
      <c r="AX2237" s="70">
        <v>0.0</v>
      </c>
      <c r="AY2237" s="70" t="s">
        <v>24</v>
      </c>
      <c r="AZ2237" s="70">
        <v>2024.0</v>
      </c>
    </row>
    <row r="2238" ht="22.5" customHeight="1">
      <c r="A2238" s="70" t="str">
        <f t="shared" si="1"/>
        <v>Excluded</v>
      </c>
      <c r="B2238" s="70">
        <f t="shared" si="2"/>
        <v>0</v>
      </c>
      <c r="C2238" s="70">
        <v>0.0</v>
      </c>
      <c r="D2238" s="70">
        <v>0.0</v>
      </c>
      <c r="E2238" s="70">
        <v>0.0</v>
      </c>
      <c r="F2238" s="70">
        <v>0.0</v>
      </c>
      <c r="G2238" s="70">
        <v>0.0</v>
      </c>
      <c r="H2238" s="70" t="s">
        <v>11514</v>
      </c>
      <c r="I2238" s="70">
        <v>1206.0</v>
      </c>
      <c r="J2238" s="70" t="s">
        <v>30847</v>
      </c>
      <c r="K2238" s="70" t="s">
        <v>11513</v>
      </c>
      <c r="L2238" s="70" t="s">
        <v>11252</v>
      </c>
      <c r="N2238" s="70" t="s">
        <v>4901</v>
      </c>
      <c r="P2238" s="76">
        <v>45194.0</v>
      </c>
      <c r="U2238" s="70" t="s">
        <v>239</v>
      </c>
      <c r="W2238" s="70" t="s">
        <v>11516</v>
      </c>
      <c r="X2238" s="70" t="s">
        <v>11256</v>
      </c>
      <c r="Z2238" s="75" t="s">
        <v>11517</v>
      </c>
      <c r="AA2238" s="70" t="s">
        <v>11518</v>
      </c>
      <c r="AC2238" s="70">
        <v>3.0</v>
      </c>
      <c r="AE2238" s="70">
        <v>42.0</v>
      </c>
      <c r="AF2238" s="70" t="s">
        <v>239</v>
      </c>
      <c r="AW2238" s="70" t="s">
        <v>11519</v>
      </c>
      <c r="AX2238" s="70">
        <v>0.0</v>
      </c>
      <c r="AY2238" s="70" t="s">
        <v>24</v>
      </c>
      <c r="AZ2238" s="70">
        <v>2509.0</v>
      </c>
    </row>
    <row r="2239" ht="22.5" customHeight="1">
      <c r="A2239" s="70" t="str">
        <f t="shared" si="1"/>
        <v>Excluded</v>
      </c>
      <c r="B2239" s="70">
        <f t="shared" si="2"/>
        <v>0</v>
      </c>
      <c r="C2239" s="70">
        <v>0.0</v>
      </c>
      <c r="D2239" s="70">
        <v>0.0</v>
      </c>
      <c r="E2239" s="70">
        <v>0.0</v>
      </c>
      <c r="F2239" s="70">
        <v>0.0</v>
      </c>
      <c r="G2239" s="70">
        <v>0.0</v>
      </c>
      <c r="H2239" s="70" t="s">
        <v>11602</v>
      </c>
      <c r="I2239" s="70">
        <v>1215.0</v>
      </c>
      <c r="J2239" s="70" t="s">
        <v>30848</v>
      </c>
      <c r="K2239" s="70" t="s">
        <v>11601</v>
      </c>
      <c r="L2239" s="70" t="s">
        <v>11252</v>
      </c>
      <c r="N2239" s="70" t="s">
        <v>4901</v>
      </c>
      <c r="P2239" s="76">
        <v>45194.0</v>
      </c>
      <c r="U2239" s="70" t="s">
        <v>239</v>
      </c>
      <c r="W2239" s="70" t="s">
        <v>11604</v>
      </c>
      <c r="X2239" s="70" t="s">
        <v>11256</v>
      </c>
      <c r="Z2239" s="75" t="s">
        <v>11605</v>
      </c>
      <c r="AA2239" s="70" t="s">
        <v>11606</v>
      </c>
      <c r="AC2239" s="70">
        <v>2.0</v>
      </c>
      <c r="AE2239" s="70">
        <v>66.0</v>
      </c>
      <c r="AF2239" s="70" t="s">
        <v>239</v>
      </c>
      <c r="AW2239" s="70" t="s">
        <v>11607</v>
      </c>
      <c r="AX2239" s="70">
        <v>0.0</v>
      </c>
      <c r="AY2239" s="70" t="s">
        <v>24</v>
      </c>
      <c r="AZ2239" s="70">
        <v>1871.0</v>
      </c>
    </row>
    <row r="2240" ht="22.5" customHeight="1">
      <c r="A2240" s="70" t="str">
        <f t="shared" si="1"/>
        <v>Excluded</v>
      </c>
      <c r="B2240" s="70">
        <f t="shared" si="2"/>
        <v>0</v>
      </c>
      <c r="C2240" s="70">
        <v>0.0</v>
      </c>
      <c r="D2240" s="70">
        <v>0.0</v>
      </c>
      <c r="E2240" s="70">
        <v>0.0</v>
      </c>
      <c r="F2240" s="70">
        <v>0.0</v>
      </c>
      <c r="G2240" s="70">
        <v>0.0</v>
      </c>
      <c r="H2240" s="70" t="s">
        <v>11649</v>
      </c>
      <c r="I2240" s="70">
        <v>1220.0</v>
      </c>
      <c r="J2240" s="70" t="s">
        <v>11647</v>
      </c>
      <c r="K2240" s="70" t="s">
        <v>11648</v>
      </c>
      <c r="L2240" s="70" t="s">
        <v>11252</v>
      </c>
      <c r="N2240" s="70" t="s">
        <v>4901</v>
      </c>
      <c r="P2240" s="76">
        <v>45194.0</v>
      </c>
      <c r="U2240" s="70" t="s">
        <v>239</v>
      </c>
      <c r="W2240" s="70" t="s">
        <v>11651</v>
      </c>
      <c r="X2240" s="70" t="s">
        <v>11256</v>
      </c>
      <c r="Z2240" s="75" t="s">
        <v>11652</v>
      </c>
      <c r="AA2240" s="70" t="s">
        <v>11653</v>
      </c>
      <c r="AC2240" s="70">
        <v>2.0</v>
      </c>
      <c r="AE2240" s="70">
        <v>40.0</v>
      </c>
      <c r="AF2240" s="70" t="s">
        <v>239</v>
      </c>
      <c r="AW2240" s="70" t="s">
        <v>11654</v>
      </c>
      <c r="AZ2240" s="70">
        <v>295.0</v>
      </c>
    </row>
    <row r="2241" ht="22.5" customHeight="1">
      <c r="A2241" s="70" t="str">
        <f t="shared" si="1"/>
        <v>Excluded</v>
      </c>
      <c r="B2241" s="70">
        <f t="shared" si="2"/>
        <v>0</v>
      </c>
      <c r="C2241" s="70">
        <v>0.0</v>
      </c>
      <c r="D2241" s="70">
        <v>0.0</v>
      </c>
      <c r="E2241" s="70">
        <v>0.0</v>
      </c>
      <c r="F2241" s="70">
        <v>0.0</v>
      </c>
      <c r="G2241" s="70">
        <v>0.0</v>
      </c>
      <c r="H2241" s="70" t="s">
        <v>11972</v>
      </c>
      <c r="I2241" s="70">
        <v>1252.0</v>
      </c>
      <c r="J2241" s="70" t="s">
        <v>11970</v>
      </c>
      <c r="K2241" s="70" t="s">
        <v>11971</v>
      </c>
      <c r="L2241" s="70" t="s">
        <v>11252</v>
      </c>
      <c r="N2241" s="70" t="s">
        <v>4901</v>
      </c>
      <c r="P2241" s="76">
        <v>45194.0</v>
      </c>
      <c r="U2241" s="70" t="s">
        <v>239</v>
      </c>
      <c r="W2241" s="70" t="s">
        <v>11974</v>
      </c>
      <c r="X2241" s="70" t="s">
        <v>11256</v>
      </c>
      <c r="Z2241" s="75" t="s">
        <v>11975</v>
      </c>
      <c r="AA2241" s="70" t="s">
        <v>11976</v>
      </c>
      <c r="AC2241" s="70">
        <v>1.0</v>
      </c>
      <c r="AE2241" s="70">
        <v>70.0</v>
      </c>
      <c r="AF2241" s="70" t="s">
        <v>239</v>
      </c>
      <c r="AW2241" s="70" t="s">
        <v>11977</v>
      </c>
      <c r="AZ2241" s="70">
        <v>469.0</v>
      </c>
    </row>
    <row r="2242" ht="22.5" customHeight="1">
      <c r="A2242" s="70" t="str">
        <f t="shared" si="1"/>
        <v>Excluded</v>
      </c>
      <c r="B2242" s="70">
        <f t="shared" si="2"/>
        <v>0</v>
      </c>
      <c r="C2242" s="70">
        <v>0.0</v>
      </c>
      <c r="D2242" s="70">
        <v>0.0</v>
      </c>
      <c r="E2242" s="70">
        <v>0.0</v>
      </c>
      <c r="F2242" s="70">
        <v>0.0</v>
      </c>
      <c r="G2242" s="70">
        <v>0.0</v>
      </c>
      <c r="H2242" s="70" t="s">
        <v>11253</v>
      </c>
      <c r="I2242" s="70">
        <v>1180.0</v>
      </c>
      <c r="J2242" s="70" t="s">
        <v>11250</v>
      </c>
      <c r="K2242" s="70" t="s">
        <v>11251</v>
      </c>
      <c r="L2242" s="70" t="s">
        <v>11252</v>
      </c>
      <c r="N2242" s="70" t="s">
        <v>4901</v>
      </c>
      <c r="P2242" s="76">
        <v>45194.0</v>
      </c>
      <c r="U2242" s="70" t="s">
        <v>239</v>
      </c>
      <c r="W2242" s="70" t="s">
        <v>11255</v>
      </c>
      <c r="X2242" s="70" t="s">
        <v>11256</v>
      </c>
      <c r="Z2242" s="75" t="s">
        <v>11257</v>
      </c>
      <c r="AA2242" s="70" t="s">
        <v>11258</v>
      </c>
      <c r="AC2242" s="70">
        <v>4.0</v>
      </c>
      <c r="AE2242" s="70">
        <v>60.0</v>
      </c>
      <c r="AF2242" s="70" t="s">
        <v>239</v>
      </c>
      <c r="AW2242" s="70" t="s">
        <v>11259</v>
      </c>
      <c r="AX2242" s="70">
        <v>0.0</v>
      </c>
      <c r="AY2242" s="70" t="s">
        <v>24</v>
      </c>
      <c r="AZ2242" s="70">
        <v>1959.0</v>
      </c>
    </row>
    <row r="2243" ht="22.5" customHeight="1">
      <c r="A2243" s="70" t="str">
        <f t="shared" si="1"/>
        <v>Excluded</v>
      </c>
      <c r="B2243" s="70">
        <f t="shared" si="2"/>
        <v>0</v>
      </c>
      <c r="C2243" s="70">
        <v>0.0</v>
      </c>
      <c r="D2243" s="70">
        <v>0.0</v>
      </c>
      <c r="E2243" s="70">
        <v>0.0</v>
      </c>
      <c r="F2243" s="70">
        <v>0.0</v>
      </c>
      <c r="G2243" s="70">
        <v>0.0</v>
      </c>
      <c r="H2243" s="70" t="s">
        <v>15033</v>
      </c>
      <c r="I2243" s="70">
        <v>1567.0</v>
      </c>
      <c r="J2243" s="70" t="s">
        <v>15031</v>
      </c>
      <c r="K2243" s="70" t="s">
        <v>15032</v>
      </c>
      <c r="L2243" s="70" t="s">
        <v>13084</v>
      </c>
      <c r="N2243" s="70" t="s">
        <v>4901</v>
      </c>
      <c r="P2243" s="76">
        <v>45561.0</v>
      </c>
      <c r="U2243" s="70" t="s">
        <v>239</v>
      </c>
      <c r="W2243" s="70" t="s">
        <v>15035</v>
      </c>
      <c r="X2243" s="70" t="s">
        <v>13088</v>
      </c>
      <c r="Y2243" s="70" t="s">
        <v>30849</v>
      </c>
      <c r="Z2243" s="75" t="s">
        <v>15037</v>
      </c>
      <c r="AA2243" s="70" t="s">
        <v>15038</v>
      </c>
      <c r="AE2243" s="70">
        <v>41.0</v>
      </c>
      <c r="AF2243" s="70" t="s">
        <v>239</v>
      </c>
      <c r="AW2243" s="70" t="s">
        <v>15039</v>
      </c>
      <c r="AX2243" s="70">
        <v>0.0</v>
      </c>
      <c r="AY2243" s="70" t="s">
        <v>24</v>
      </c>
      <c r="AZ2243" s="70">
        <v>1734.0</v>
      </c>
    </row>
    <row r="2244" ht="22.5" customHeight="1">
      <c r="A2244" s="70" t="str">
        <f t="shared" si="1"/>
        <v>Excluded</v>
      </c>
      <c r="B2244" s="70">
        <f t="shared" si="2"/>
        <v>0</v>
      </c>
      <c r="C2244" s="70">
        <v>0.0</v>
      </c>
      <c r="D2244" s="70">
        <v>0.0</v>
      </c>
      <c r="E2244" s="70">
        <v>0.0</v>
      </c>
      <c r="F2244" s="70">
        <v>0.0</v>
      </c>
      <c r="G2244" s="70">
        <v>0.0</v>
      </c>
      <c r="H2244" s="70" t="s">
        <v>13085</v>
      </c>
      <c r="I2244" s="70">
        <v>1364.0</v>
      </c>
      <c r="J2244" s="70" t="s">
        <v>13082</v>
      </c>
      <c r="K2244" s="70" t="s">
        <v>13083</v>
      </c>
      <c r="L2244" s="70" t="s">
        <v>13084</v>
      </c>
      <c r="N2244" s="70" t="s">
        <v>4901</v>
      </c>
      <c r="P2244" s="76">
        <v>45561.0</v>
      </c>
      <c r="U2244" s="70" t="s">
        <v>239</v>
      </c>
      <c r="W2244" s="70" t="s">
        <v>13087</v>
      </c>
      <c r="X2244" s="70" t="s">
        <v>13088</v>
      </c>
      <c r="Y2244" s="70" t="s">
        <v>29380</v>
      </c>
      <c r="Z2244" s="75" t="s">
        <v>13089</v>
      </c>
      <c r="AA2244" s="70" t="s">
        <v>13090</v>
      </c>
      <c r="AE2244" s="70">
        <v>39.0</v>
      </c>
      <c r="AF2244" s="70" t="s">
        <v>8095</v>
      </c>
      <c r="AW2244" s="70" t="s">
        <v>13091</v>
      </c>
      <c r="AX2244" s="70">
        <v>0.0</v>
      </c>
      <c r="AY2244" s="70" t="s">
        <v>24</v>
      </c>
      <c r="AZ2244" s="70">
        <v>1739.0</v>
      </c>
    </row>
    <row r="2245" ht="22.5" customHeight="1">
      <c r="A2245" s="70" t="str">
        <f t="shared" si="1"/>
        <v>Excluded</v>
      </c>
      <c r="B2245" s="70">
        <f t="shared" si="2"/>
        <v>0</v>
      </c>
      <c r="C2245" s="70">
        <v>0.0</v>
      </c>
      <c r="D2245" s="70">
        <v>0.0</v>
      </c>
      <c r="E2245" s="70">
        <v>0.0</v>
      </c>
      <c r="F2245" s="70">
        <v>0.0</v>
      </c>
      <c r="G2245" s="70">
        <v>0.0</v>
      </c>
      <c r="H2245" s="70" t="s">
        <v>12292</v>
      </c>
      <c r="I2245" s="70">
        <v>1284.0</v>
      </c>
      <c r="J2245" s="70" t="s">
        <v>12289</v>
      </c>
      <c r="K2245" s="70" t="s">
        <v>12290</v>
      </c>
      <c r="L2245" s="70" t="s">
        <v>12291</v>
      </c>
      <c r="P2245" s="77">
        <v>45173.0</v>
      </c>
      <c r="U2245" s="70" t="s">
        <v>239</v>
      </c>
      <c r="W2245" s="70" t="s">
        <v>12293</v>
      </c>
      <c r="X2245" s="70" t="s">
        <v>12294</v>
      </c>
      <c r="Z2245" s="75" t="s">
        <v>12295</v>
      </c>
      <c r="AA2245" s="70" t="s">
        <v>12296</v>
      </c>
      <c r="AC2245" s="70">
        <v>1.0</v>
      </c>
      <c r="AE2245" s="70">
        <v>28.0</v>
      </c>
      <c r="AF2245" s="70" t="s">
        <v>239</v>
      </c>
      <c r="AW2245" s="70" t="s">
        <v>12297</v>
      </c>
      <c r="AZ2245" s="70">
        <v>777.0</v>
      </c>
    </row>
    <row r="2246" ht="22.5" customHeight="1">
      <c r="A2246" s="70" t="str">
        <f t="shared" si="1"/>
        <v>Excluded</v>
      </c>
      <c r="B2246" s="70">
        <f t="shared" si="2"/>
        <v>0</v>
      </c>
      <c r="C2246" s="70">
        <v>0.0</v>
      </c>
      <c r="D2246" s="70">
        <v>0.0</v>
      </c>
      <c r="E2246" s="70">
        <v>0.0</v>
      </c>
      <c r="F2246" s="70">
        <v>0.0</v>
      </c>
      <c r="G2246" s="70">
        <v>0.0</v>
      </c>
      <c r="H2246" s="70" t="s">
        <v>15652</v>
      </c>
      <c r="I2246" s="70">
        <v>1634.0</v>
      </c>
      <c r="J2246" s="70" t="s">
        <v>30850</v>
      </c>
      <c r="K2246" s="70" t="s">
        <v>15651</v>
      </c>
      <c r="L2246" s="70" t="s">
        <v>13371</v>
      </c>
      <c r="P2246" s="76">
        <v>45553.0</v>
      </c>
      <c r="U2246" s="70" t="s">
        <v>239</v>
      </c>
      <c r="W2246" s="70" t="s">
        <v>15654</v>
      </c>
      <c r="X2246" s="70" t="s">
        <v>13375</v>
      </c>
      <c r="Z2246" s="75" t="s">
        <v>15655</v>
      </c>
      <c r="AA2246" s="70" t="s">
        <v>15656</v>
      </c>
      <c r="AE2246" s="70">
        <v>24.0</v>
      </c>
      <c r="AF2246" s="70" t="s">
        <v>239</v>
      </c>
      <c r="AW2246" s="70" t="s">
        <v>15657</v>
      </c>
      <c r="AZ2246" s="70">
        <v>276.0</v>
      </c>
    </row>
    <row r="2247" ht="22.5" customHeight="1">
      <c r="A2247" s="70" t="str">
        <f t="shared" si="1"/>
        <v>Excluded</v>
      </c>
      <c r="B2247" s="70">
        <f t="shared" si="2"/>
        <v>0</v>
      </c>
      <c r="C2247" s="70">
        <v>0.0</v>
      </c>
      <c r="D2247" s="70">
        <v>0.0</v>
      </c>
      <c r="E2247" s="70">
        <v>0.0</v>
      </c>
      <c r="F2247" s="70">
        <v>0.0</v>
      </c>
      <c r="G2247" s="70">
        <v>0.0</v>
      </c>
      <c r="H2247" s="70" t="s">
        <v>13372</v>
      </c>
      <c r="I2247" s="70">
        <v>1393.0</v>
      </c>
      <c r="J2247" s="70" t="s">
        <v>13369</v>
      </c>
      <c r="K2247" s="70" t="s">
        <v>13370</v>
      </c>
      <c r="L2247" s="70" t="s">
        <v>13371</v>
      </c>
      <c r="P2247" s="76">
        <v>45553.0</v>
      </c>
      <c r="U2247" s="70" t="s">
        <v>239</v>
      </c>
      <c r="W2247" s="70" t="s">
        <v>13374</v>
      </c>
      <c r="X2247" s="70" t="s">
        <v>13375</v>
      </c>
      <c r="Z2247" s="75" t="s">
        <v>13376</v>
      </c>
      <c r="AA2247" s="70" t="s">
        <v>13377</v>
      </c>
      <c r="AE2247" s="70">
        <v>18.0</v>
      </c>
      <c r="AF2247" s="70" t="s">
        <v>239</v>
      </c>
      <c r="AW2247" s="70" t="s">
        <v>13378</v>
      </c>
      <c r="AZ2247" s="70">
        <v>454.0</v>
      </c>
    </row>
    <row r="2248" ht="22.5" customHeight="1">
      <c r="A2248" s="70" t="str">
        <f t="shared" si="1"/>
        <v>Excluded</v>
      </c>
      <c r="B2248" s="70">
        <f t="shared" si="2"/>
        <v>0</v>
      </c>
      <c r="C2248" s="70">
        <v>0.0</v>
      </c>
      <c r="D2248" s="70">
        <v>0.0</v>
      </c>
      <c r="E2248" s="70">
        <v>0.0</v>
      </c>
      <c r="F2248" s="70">
        <v>0.0</v>
      </c>
      <c r="G2248" s="70">
        <v>0.0</v>
      </c>
      <c r="H2248" s="70" t="s">
        <v>15617</v>
      </c>
      <c r="I2248" s="70">
        <v>1630.0</v>
      </c>
      <c r="J2248" s="70" t="s">
        <v>15615</v>
      </c>
      <c r="K2248" s="70" t="s">
        <v>15616</v>
      </c>
      <c r="L2248" s="70" t="s">
        <v>13371</v>
      </c>
      <c r="P2248" s="76">
        <v>45553.0</v>
      </c>
      <c r="U2248" s="70" t="s">
        <v>239</v>
      </c>
      <c r="W2248" s="70" t="s">
        <v>15619</v>
      </c>
      <c r="X2248" s="70" t="s">
        <v>13375</v>
      </c>
      <c r="Z2248" s="75" t="s">
        <v>15620</v>
      </c>
      <c r="AA2248" s="70" t="s">
        <v>15621</v>
      </c>
      <c r="AE2248" s="70">
        <v>66.0</v>
      </c>
      <c r="AF2248" s="70" t="s">
        <v>239</v>
      </c>
      <c r="AW2248" s="70" t="s">
        <v>15622</v>
      </c>
      <c r="AX2248" s="70">
        <v>0.0</v>
      </c>
      <c r="AY2248" s="70" t="s">
        <v>24</v>
      </c>
      <c r="AZ2248" s="70">
        <v>3073.0</v>
      </c>
    </row>
    <row r="2249" ht="22.5" customHeight="1">
      <c r="A2249" s="70" t="str">
        <f t="shared" si="1"/>
        <v>Excluded</v>
      </c>
      <c r="B2249" s="70">
        <f t="shared" si="2"/>
        <v>0</v>
      </c>
      <c r="C2249" s="70">
        <v>0.0</v>
      </c>
      <c r="D2249" s="70">
        <v>0.0</v>
      </c>
      <c r="E2249" s="70">
        <v>0.0</v>
      </c>
      <c r="F2249" s="70">
        <v>0.0</v>
      </c>
      <c r="G2249" s="70">
        <v>0.0</v>
      </c>
      <c r="H2249" s="70" t="s">
        <v>10369</v>
      </c>
      <c r="I2249" s="70">
        <v>1019.0</v>
      </c>
      <c r="J2249" s="70" t="s">
        <v>10366</v>
      </c>
      <c r="K2249" s="70" t="s">
        <v>10367</v>
      </c>
      <c r="L2249" s="70" t="s">
        <v>10368</v>
      </c>
      <c r="P2249" s="77">
        <v>43412.0</v>
      </c>
      <c r="U2249" s="70" t="s">
        <v>239</v>
      </c>
      <c r="W2249" s="70" t="s">
        <v>10371</v>
      </c>
      <c r="X2249" s="70" t="s">
        <v>10372</v>
      </c>
      <c r="Z2249" s="75" t="s">
        <v>10373</v>
      </c>
      <c r="AA2249" s="70" t="s">
        <v>10374</v>
      </c>
      <c r="AE2249" s="70">
        <v>24.0</v>
      </c>
      <c r="AF2249" s="70" t="s">
        <v>239</v>
      </c>
      <c r="AW2249" s="70" t="s">
        <v>10375</v>
      </c>
      <c r="AX2249" s="70">
        <v>0.0</v>
      </c>
      <c r="AY2249" s="70" t="s">
        <v>24</v>
      </c>
      <c r="AZ2249" s="70">
        <v>2021.0</v>
      </c>
    </row>
    <row r="2250" ht="22.5" customHeight="1">
      <c r="A2250" s="70" t="str">
        <f t="shared" si="1"/>
        <v>Excluded</v>
      </c>
      <c r="B2250" s="70">
        <f t="shared" si="2"/>
        <v>0</v>
      </c>
      <c r="C2250" s="70">
        <v>0.0</v>
      </c>
      <c r="D2250" s="70">
        <v>0.0</v>
      </c>
      <c r="E2250" s="70">
        <v>0.0</v>
      </c>
      <c r="F2250" s="70">
        <v>0.0</v>
      </c>
      <c r="G2250" s="70">
        <v>0.0</v>
      </c>
      <c r="H2250" s="70" t="s">
        <v>8465</v>
      </c>
      <c r="I2250" s="70">
        <v>821.0</v>
      </c>
      <c r="J2250" s="70" t="s">
        <v>8463</v>
      </c>
      <c r="K2250" s="70" t="s">
        <v>8464</v>
      </c>
      <c r="L2250" s="70" t="s">
        <v>7427</v>
      </c>
      <c r="P2250" s="76">
        <v>44182.0</v>
      </c>
      <c r="U2250" s="70" t="s">
        <v>239</v>
      </c>
      <c r="W2250" s="70" t="s">
        <v>8467</v>
      </c>
      <c r="X2250" s="70" t="s">
        <v>7431</v>
      </c>
      <c r="Z2250" s="75" t="s">
        <v>8468</v>
      </c>
      <c r="AA2250" s="70" t="s">
        <v>8469</v>
      </c>
      <c r="AC2250" s="70">
        <v>1.0</v>
      </c>
      <c r="AE2250" s="70">
        <v>5.0</v>
      </c>
      <c r="AF2250" s="70" t="s">
        <v>239</v>
      </c>
      <c r="AW2250" s="70" t="s">
        <v>8470</v>
      </c>
      <c r="AZ2250" s="70">
        <v>1157.0</v>
      </c>
    </row>
    <row r="2251" ht="22.5" customHeight="1">
      <c r="A2251" s="70" t="str">
        <f t="shared" si="1"/>
        <v>Excluded</v>
      </c>
      <c r="B2251" s="70">
        <f t="shared" si="2"/>
        <v>0</v>
      </c>
      <c r="C2251" s="70">
        <v>0.0</v>
      </c>
      <c r="D2251" s="70">
        <v>0.0</v>
      </c>
      <c r="E2251" s="70">
        <v>0.0</v>
      </c>
      <c r="F2251" s="70">
        <v>0.0</v>
      </c>
      <c r="G2251" s="70">
        <v>0.0</v>
      </c>
      <c r="H2251" s="70" t="s">
        <v>8837</v>
      </c>
      <c r="I2251" s="70">
        <v>859.0</v>
      </c>
      <c r="J2251" s="70" t="s">
        <v>8834</v>
      </c>
      <c r="K2251" s="70" t="s">
        <v>8835</v>
      </c>
      <c r="L2251" s="70" t="s">
        <v>8836</v>
      </c>
      <c r="P2251" s="76">
        <v>44518.0</v>
      </c>
      <c r="U2251" s="70" t="s">
        <v>239</v>
      </c>
      <c r="W2251" s="70" t="s">
        <v>30851</v>
      </c>
      <c r="X2251" s="70" t="s">
        <v>8840</v>
      </c>
      <c r="Z2251" s="75" t="s">
        <v>8841</v>
      </c>
      <c r="AA2251" s="70" t="s">
        <v>8842</v>
      </c>
      <c r="AC2251" s="70">
        <v>1.0</v>
      </c>
      <c r="AE2251" s="70">
        <v>35.0</v>
      </c>
      <c r="AF2251" s="70" t="s">
        <v>239</v>
      </c>
      <c r="AW2251" s="70" t="s">
        <v>8843</v>
      </c>
      <c r="AZ2251" s="70">
        <v>981.0</v>
      </c>
    </row>
    <row r="2252" ht="22.5" customHeight="1">
      <c r="A2252" s="70" t="str">
        <f t="shared" si="1"/>
        <v>Excluded</v>
      </c>
      <c r="B2252" s="70">
        <f t="shared" si="2"/>
        <v>0</v>
      </c>
      <c r="C2252" s="70">
        <v>0.0</v>
      </c>
      <c r="D2252" s="70">
        <v>0.0</v>
      </c>
      <c r="E2252" s="70">
        <v>0.0</v>
      </c>
      <c r="F2252" s="70">
        <v>0.0</v>
      </c>
      <c r="G2252" s="70">
        <v>0.0</v>
      </c>
      <c r="H2252" s="70" t="s">
        <v>6924</v>
      </c>
      <c r="I2252" s="70">
        <v>660.0</v>
      </c>
      <c r="J2252" s="70" t="s">
        <v>6921</v>
      </c>
      <c r="K2252" s="70" t="s">
        <v>6922</v>
      </c>
      <c r="L2252" s="70" t="s">
        <v>6923</v>
      </c>
      <c r="P2252" s="76">
        <v>43457.0</v>
      </c>
      <c r="U2252" s="70" t="s">
        <v>239</v>
      </c>
      <c r="W2252" s="70" t="s">
        <v>6926</v>
      </c>
      <c r="X2252" s="70" t="s">
        <v>6927</v>
      </c>
      <c r="Z2252" s="75" t="s">
        <v>6928</v>
      </c>
      <c r="AA2252" s="70" t="s">
        <v>6929</v>
      </c>
      <c r="AC2252" s="70">
        <v>5.0</v>
      </c>
      <c r="AE2252" s="70">
        <v>33.0</v>
      </c>
      <c r="AF2252" s="70" t="s">
        <v>239</v>
      </c>
      <c r="AW2252" s="70" t="s">
        <v>6930</v>
      </c>
      <c r="AZ2252" s="70">
        <v>571.0</v>
      </c>
    </row>
    <row r="2253" ht="22.5" customHeight="1">
      <c r="A2253" s="70" t="str">
        <f t="shared" si="1"/>
        <v>Excluded</v>
      </c>
      <c r="B2253" s="70">
        <f t="shared" si="2"/>
        <v>0</v>
      </c>
      <c r="C2253" s="70">
        <v>0.0</v>
      </c>
      <c r="D2253" s="70">
        <v>0.0</v>
      </c>
      <c r="E2253" s="70">
        <v>0.0</v>
      </c>
      <c r="F2253" s="70">
        <v>0.0</v>
      </c>
      <c r="G2253" s="70">
        <v>0.0</v>
      </c>
      <c r="H2253" s="70" t="s">
        <v>9086</v>
      </c>
      <c r="I2253" s="70">
        <v>884.0</v>
      </c>
      <c r="J2253" s="70" t="s">
        <v>9083</v>
      </c>
      <c r="K2253" s="70" t="s">
        <v>9084</v>
      </c>
      <c r="L2253" s="70" t="s">
        <v>9085</v>
      </c>
      <c r="P2253" s="76">
        <v>44162.0</v>
      </c>
      <c r="U2253" s="70" t="s">
        <v>239</v>
      </c>
      <c r="W2253" s="70" t="s">
        <v>9088</v>
      </c>
      <c r="X2253" s="70" t="s">
        <v>9089</v>
      </c>
      <c r="Z2253" s="75" t="s">
        <v>9090</v>
      </c>
      <c r="AA2253" s="70" t="s">
        <v>9091</v>
      </c>
      <c r="AC2253" s="70">
        <v>1.0</v>
      </c>
      <c r="AE2253" s="70">
        <v>16.0</v>
      </c>
      <c r="AF2253" s="70" t="s">
        <v>239</v>
      </c>
      <c r="AW2253" s="70" t="s">
        <v>9092</v>
      </c>
      <c r="AX2253" s="70">
        <v>0.0</v>
      </c>
      <c r="AY2253" s="70" t="s">
        <v>24</v>
      </c>
      <c r="AZ2253" s="70">
        <v>2843.0</v>
      </c>
    </row>
    <row r="2254" ht="22.5" customHeight="1">
      <c r="A2254" s="70" t="str">
        <f t="shared" si="1"/>
        <v>Excluded</v>
      </c>
      <c r="B2254" s="70">
        <f t="shared" si="2"/>
        <v>0</v>
      </c>
      <c r="C2254" s="70">
        <v>0.0</v>
      </c>
      <c r="D2254" s="70">
        <v>0.0</v>
      </c>
      <c r="E2254" s="70">
        <v>0.0</v>
      </c>
      <c r="F2254" s="70">
        <v>0.0</v>
      </c>
      <c r="G2254" s="70">
        <v>0.0</v>
      </c>
      <c r="H2254" s="70" t="s">
        <v>8550</v>
      </c>
      <c r="I2254" s="70">
        <v>830.0</v>
      </c>
      <c r="J2254" s="70" t="s">
        <v>8547</v>
      </c>
      <c r="K2254" s="70" t="s">
        <v>8548</v>
      </c>
      <c r="L2254" s="70" t="s">
        <v>8549</v>
      </c>
      <c r="P2254" s="77">
        <v>44536.0</v>
      </c>
      <c r="U2254" s="70" t="s">
        <v>239</v>
      </c>
      <c r="W2254" s="70" t="s">
        <v>8552</v>
      </c>
      <c r="X2254" s="70" t="s">
        <v>8553</v>
      </c>
      <c r="Y2254" s="70" t="s">
        <v>8554</v>
      </c>
      <c r="Z2254" s="75" t="s">
        <v>8555</v>
      </c>
      <c r="AA2254" s="70" t="s">
        <v>8556</v>
      </c>
      <c r="AC2254" s="70">
        <v>1.0</v>
      </c>
      <c r="AE2254" s="70">
        <v>60.0</v>
      </c>
      <c r="AF2254" s="70" t="s">
        <v>239</v>
      </c>
      <c r="AW2254" s="70" t="s">
        <v>8557</v>
      </c>
      <c r="AZ2254" s="70">
        <v>170.0</v>
      </c>
    </row>
    <row r="2255" ht="22.5" customHeight="1">
      <c r="A2255" s="70" t="str">
        <f t="shared" si="1"/>
        <v>Excluded</v>
      </c>
      <c r="B2255" s="70">
        <f t="shared" si="2"/>
        <v>0</v>
      </c>
      <c r="C2255" s="70">
        <v>0.0</v>
      </c>
      <c r="D2255" s="70">
        <v>0.0</v>
      </c>
      <c r="E2255" s="70">
        <v>0.0</v>
      </c>
      <c r="F2255" s="70">
        <v>0.0</v>
      </c>
      <c r="G2255" s="70">
        <v>0.0</v>
      </c>
      <c r="H2255" s="70" t="s">
        <v>8719</v>
      </c>
      <c r="I2255" s="70">
        <v>847.0</v>
      </c>
      <c r="J2255" s="70" t="s">
        <v>8716</v>
      </c>
      <c r="K2255" s="70" t="s">
        <v>8717</v>
      </c>
      <c r="L2255" s="70" t="s">
        <v>8718</v>
      </c>
      <c r="P2255" s="76">
        <v>44879.0</v>
      </c>
      <c r="U2255" s="70" t="s">
        <v>239</v>
      </c>
      <c r="W2255" s="70" t="s">
        <v>8721</v>
      </c>
      <c r="X2255" s="70" t="s">
        <v>8722</v>
      </c>
      <c r="Y2255" s="70" t="s">
        <v>30382</v>
      </c>
      <c r="Z2255" s="75" t="s">
        <v>8724</v>
      </c>
      <c r="AA2255" s="70" t="s">
        <v>8725</v>
      </c>
      <c r="AC2255" s="70">
        <v>1.0</v>
      </c>
      <c r="AE2255" s="70">
        <v>30.0</v>
      </c>
      <c r="AF2255" s="70" t="s">
        <v>239</v>
      </c>
      <c r="AW2255" s="70" t="s">
        <v>8726</v>
      </c>
      <c r="AZ2255" s="70">
        <v>501.0</v>
      </c>
    </row>
    <row r="2256" ht="22.5" customHeight="1">
      <c r="A2256" s="70" t="str">
        <f t="shared" si="1"/>
        <v>Excluded</v>
      </c>
      <c r="B2256" s="70">
        <f t="shared" si="2"/>
        <v>0</v>
      </c>
      <c r="C2256" s="70">
        <v>0.0</v>
      </c>
      <c r="D2256" s="70">
        <v>0.0</v>
      </c>
      <c r="E2256" s="70">
        <v>0.0</v>
      </c>
      <c r="F2256" s="70">
        <v>0.0</v>
      </c>
      <c r="G2256" s="70">
        <v>0.0</v>
      </c>
      <c r="H2256" s="70" t="s">
        <v>6830</v>
      </c>
      <c r="I2256" s="70">
        <v>651.0</v>
      </c>
      <c r="J2256" s="70" t="s">
        <v>30852</v>
      </c>
      <c r="K2256" s="70" t="s">
        <v>6828</v>
      </c>
      <c r="L2256" s="70" t="s">
        <v>6829</v>
      </c>
      <c r="P2256" s="77">
        <v>44896.0</v>
      </c>
      <c r="U2256" s="70" t="s">
        <v>239</v>
      </c>
      <c r="W2256" s="70" t="s">
        <v>6832</v>
      </c>
      <c r="X2256" s="70" t="s">
        <v>6833</v>
      </c>
      <c r="Y2256" s="70" t="s">
        <v>30853</v>
      </c>
      <c r="Z2256" s="75" t="s">
        <v>6835</v>
      </c>
      <c r="AC2256" s="70">
        <v>5.0</v>
      </c>
      <c r="AE2256" s="70">
        <v>14.0</v>
      </c>
      <c r="AF2256" s="70" t="s">
        <v>239</v>
      </c>
      <c r="AW2256" s="70" t="s">
        <v>6836</v>
      </c>
      <c r="AX2256" s="70">
        <v>0.0</v>
      </c>
      <c r="AY2256" s="70" t="s">
        <v>24</v>
      </c>
      <c r="AZ2256" s="70">
        <v>2463.0</v>
      </c>
    </row>
    <row r="2257" ht="22.5" customHeight="1">
      <c r="A2257" s="70" t="str">
        <f t="shared" si="1"/>
        <v>Excluded</v>
      </c>
      <c r="B2257" s="70">
        <f t="shared" si="2"/>
        <v>0</v>
      </c>
      <c r="C2257" s="70">
        <v>0.0</v>
      </c>
      <c r="D2257" s="70">
        <v>0.0</v>
      </c>
      <c r="E2257" s="70">
        <v>0.0</v>
      </c>
      <c r="F2257" s="70">
        <v>0.0</v>
      </c>
      <c r="G2257" s="70">
        <v>0.0</v>
      </c>
      <c r="H2257" s="70" t="s">
        <v>10133</v>
      </c>
      <c r="I2257" s="70">
        <v>994.0</v>
      </c>
      <c r="J2257" s="70" t="s">
        <v>10130</v>
      </c>
      <c r="K2257" s="70" t="s">
        <v>10131</v>
      </c>
      <c r="L2257" s="70" t="s">
        <v>10132</v>
      </c>
      <c r="P2257" s="76">
        <v>43783.0</v>
      </c>
      <c r="U2257" s="70" t="s">
        <v>239</v>
      </c>
      <c r="W2257" s="70" t="s">
        <v>10135</v>
      </c>
      <c r="X2257" s="70" t="s">
        <v>10136</v>
      </c>
      <c r="Z2257" s="75" t="s">
        <v>10137</v>
      </c>
      <c r="AA2257" s="70" t="s">
        <v>10138</v>
      </c>
      <c r="AE2257" s="70">
        <v>26.0</v>
      </c>
      <c r="AF2257" s="70" t="s">
        <v>239</v>
      </c>
      <c r="AX2257" s="70">
        <v>0.0</v>
      </c>
      <c r="AY2257" s="70" t="s">
        <v>24</v>
      </c>
      <c r="AZ2257" s="70">
        <v>1820.0</v>
      </c>
    </row>
    <row r="2258" ht="22.5" customHeight="1">
      <c r="A2258" s="70" t="str">
        <f t="shared" si="1"/>
        <v>Excluded</v>
      </c>
      <c r="B2258" s="70">
        <f t="shared" si="2"/>
        <v>0</v>
      </c>
      <c r="C2258" s="70">
        <v>0.0</v>
      </c>
      <c r="D2258" s="70">
        <v>0.0</v>
      </c>
      <c r="E2258" s="70">
        <v>0.0</v>
      </c>
      <c r="F2258" s="70">
        <v>0.0</v>
      </c>
      <c r="G2258" s="70">
        <v>0.0</v>
      </c>
      <c r="H2258" s="70" t="s">
        <v>13656</v>
      </c>
      <c r="I2258" s="70">
        <v>1422.0</v>
      </c>
      <c r="J2258" s="70" t="s">
        <v>30854</v>
      </c>
      <c r="K2258" s="70" t="s">
        <v>13654</v>
      </c>
      <c r="L2258" s="70" t="s">
        <v>13655</v>
      </c>
      <c r="P2258" s="76">
        <v>45160.0</v>
      </c>
      <c r="U2258" s="70" t="s">
        <v>239</v>
      </c>
      <c r="W2258" s="70" t="s">
        <v>13658</v>
      </c>
      <c r="X2258" s="70" t="s">
        <v>13659</v>
      </c>
      <c r="Y2258" s="70" t="s">
        <v>30855</v>
      </c>
      <c r="Z2258" s="75" t="s">
        <v>13661</v>
      </c>
      <c r="AA2258" s="70" t="s">
        <v>13662</v>
      </c>
      <c r="AE2258" s="70">
        <v>8.0</v>
      </c>
      <c r="AF2258" s="70" t="s">
        <v>239</v>
      </c>
      <c r="AW2258" s="70" t="s">
        <v>13663</v>
      </c>
      <c r="AZ2258" s="70">
        <v>1381.0</v>
      </c>
    </row>
    <row r="2259" ht="22.5" customHeight="1">
      <c r="A2259" s="70" t="str">
        <f t="shared" si="1"/>
        <v>Excluded</v>
      </c>
      <c r="B2259" s="70">
        <f t="shared" si="2"/>
        <v>0</v>
      </c>
      <c r="C2259" s="70">
        <v>0.0</v>
      </c>
      <c r="D2259" s="70">
        <v>0.0</v>
      </c>
      <c r="E2259" s="70">
        <v>0.0</v>
      </c>
      <c r="F2259" s="70">
        <v>0.0</v>
      </c>
      <c r="G2259" s="70">
        <v>0.0</v>
      </c>
      <c r="H2259" s="70" t="s">
        <v>14765</v>
      </c>
      <c r="I2259" s="70">
        <v>1539.0</v>
      </c>
      <c r="J2259" s="70" t="s">
        <v>14761</v>
      </c>
      <c r="K2259" s="70" t="s">
        <v>14762</v>
      </c>
      <c r="L2259" s="70" t="s">
        <v>14763</v>
      </c>
      <c r="N2259" s="70" t="s">
        <v>14764</v>
      </c>
      <c r="P2259" s="77">
        <v>45478.0</v>
      </c>
      <c r="U2259" s="70" t="s">
        <v>239</v>
      </c>
      <c r="W2259" s="70" t="s">
        <v>14767</v>
      </c>
      <c r="X2259" s="70" t="s">
        <v>14768</v>
      </c>
      <c r="Z2259" s="75" t="s">
        <v>14769</v>
      </c>
      <c r="AA2259" s="70" t="s">
        <v>14770</v>
      </c>
      <c r="AE2259" s="70">
        <v>22.0</v>
      </c>
      <c r="AF2259" s="70" t="s">
        <v>239</v>
      </c>
      <c r="AW2259" s="70" t="s">
        <v>14771</v>
      </c>
      <c r="AZ2259" s="70">
        <v>551.0</v>
      </c>
    </row>
    <row r="2260" ht="22.5" customHeight="1">
      <c r="A2260" s="70" t="str">
        <f t="shared" si="1"/>
        <v>Excluded</v>
      </c>
      <c r="B2260" s="70">
        <f t="shared" si="2"/>
        <v>0</v>
      </c>
      <c r="C2260" s="70">
        <v>0.0</v>
      </c>
      <c r="D2260" s="70">
        <v>0.0</v>
      </c>
      <c r="E2260" s="70">
        <v>0.0</v>
      </c>
      <c r="F2260" s="70">
        <v>0.0</v>
      </c>
      <c r="G2260" s="70">
        <v>0.0</v>
      </c>
      <c r="H2260" s="70" t="s">
        <v>15541</v>
      </c>
      <c r="I2260" s="70">
        <v>1622.0</v>
      </c>
      <c r="J2260" s="70" t="s">
        <v>15539</v>
      </c>
      <c r="K2260" s="70" t="s">
        <v>15540</v>
      </c>
      <c r="L2260" s="70" t="s">
        <v>14763</v>
      </c>
      <c r="N2260" s="70" t="s">
        <v>14764</v>
      </c>
      <c r="P2260" s="77">
        <v>45478.0</v>
      </c>
      <c r="U2260" s="70" t="s">
        <v>239</v>
      </c>
      <c r="W2260" s="70" t="s">
        <v>15543</v>
      </c>
      <c r="X2260" s="70" t="s">
        <v>14768</v>
      </c>
      <c r="Z2260" s="75" t="s">
        <v>15544</v>
      </c>
      <c r="AA2260" s="70" t="s">
        <v>15545</v>
      </c>
      <c r="AE2260" s="70">
        <v>15.0</v>
      </c>
      <c r="AF2260" s="70" t="s">
        <v>239</v>
      </c>
      <c r="AW2260" s="70" t="s">
        <v>15546</v>
      </c>
      <c r="AX2260" s="70">
        <v>0.0</v>
      </c>
      <c r="AY2260" s="70" t="s">
        <v>24</v>
      </c>
      <c r="AZ2260" s="70">
        <v>1907.0</v>
      </c>
    </row>
    <row r="2261" ht="22.5" customHeight="1">
      <c r="A2261" s="70" t="str">
        <f t="shared" si="1"/>
        <v>Excluded</v>
      </c>
      <c r="B2261" s="70">
        <f t="shared" si="2"/>
        <v>0</v>
      </c>
      <c r="C2261" s="70">
        <v>0.0</v>
      </c>
      <c r="D2261" s="70">
        <v>0.0</v>
      </c>
      <c r="E2261" s="70">
        <v>0.0</v>
      </c>
      <c r="F2261" s="70">
        <v>0.0</v>
      </c>
      <c r="G2261" s="70">
        <v>0.0</v>
      </c>
      <c r="H2261" s="70" t="s">
        <v>16099</v>
      </c>
      <c r="I2261" s="70">
        <v>1721.0</v>
      </c>
      <c r="K2261" s="70" t="s">
        <v>16097</v>
      </c>
      <c r="L2261" s="70" t="s">
        <v>16098</v>
      </c>
      <c r="P2261" s="76">
        <v>45310.0</v>
      </c>
      <c r="U2261" s="70" t="s">
        <v>239</v>
      </c>
      <c r="X2261" s="70" t="s">
        <v>16101</v>
      </c>
      <c r="Z2261" s="75" t="s">
        <v>16102</v>
      </c>
      <c r="AF2261" s="70" t="s">
        <v>239</v>
      </c>
      <c r="AZ2261" s="70">
        <v>1488.0</v>
      </c>
    </row>
    <row r="2262" ht="22.5" customHeight="1">
      <c r="A2262" s="70" t="str">
        <f t="shared" si="1"/>
        <v>Excluded</v>
      </c>
      <c r="B2262" s="70">
        <f t="shared" si="2"/>
        <v>0</v>
      </c>
      <c r="C2262" s="70">
        <v>0.0</v>
      </c>
      <c r="D2262" s="70">
        <v>0.0</v>
      </c>
      <c r="E2262" s="70">
        <v>0.0</v>
      </c>
      <c r="F2262" s="70">
        <v>0.0</v>
      </c>
      <c r="G2262" s="70">
        <v>0.0</v>
      </c>
      <c r="H2262" s="70" t="s">
        <v>6914</v>
      </c>
      <c r="I2262" s="70">
        <v>659.0</v>
      </c>
      <c r="J2262" s="70" t="s">
        <v>6910</v>
      </c>
      <c r="K2262" s="70" t="s">
        <v>6911</v>
      </c>
      <c r="L2262" s="70" t="s">
        <v>6912</v>
      </c>
      <c r="N2262" s="70" t="s">
        <v>6913</v>
      </c>
      <c r="P2262" s="76">
        <v>44307.0</v>
      </c>
      <c r="U2262" s="70" t="s">
        <v>239</v>
      </c>
      <c r="W2262" s="70" t="s">
        <v>6916</v>
      </c>
      <c r="X2262" s="70" t="s">
        <v>6917</v>
      </c>
      <c r="Z2262" s="75" t="s">
        <v>6918</v>
      </c>
      <c r="AA2262" s="70" t="s">
        <v>6919</v>
      </c>
      <c r="AC2262" s="70">
        <v>5.0</v>
      </c>
      <c r="AE2262" s="70">
        <v>41.0</v>
      </c>
      <c r="AF2262" s="70" t="s">
        <v>239</v>
      </c>
      <c r="AW2262" s="70" t="s">
        <v>6920</v>
      </c>
      <c r="AX2262" s="70">
        <v>0.0</v>
      </c>
      <c r="AY2262" s="70" t="s">
        <v>24</v>
      </c>
      <c r="AZ2262" s="70">
        <v>2198.0</v>
      </c>
    </row>
    <row r="2263" ht="22.5" customHeight="1">
      <c r="A2263" s="70" t="str">
        <f t="shared" si="1"/>
        <v>Excluded</v>
      </c>
      <c r="B2263" s="70">
        <f t="shared" si="2"/>
        <v>0</v>
      </c>
      <c r="C2263" s="70">
        <v>0.0</v>
      </c>
      <c r="D2263" s="70">
        <v>0.0</v>
      </c>
      <c r="E2263" s="70">
        <v>0.0</v>
      </c>
      <c r="F2263" s="70">
        <v>0.0</v>
      </c>
      <c r="G2263" s="70">
        <v>0.0</v>
      </c>
      <c r="H2263" s="70" t="s">
        <v>14682</v>
      </c>
      <c r="I2263" s="70">
        <v>1531.0</v>
      </c>
      <c r="J2263" s="70" t="s">
        <v>14679</v>
      </c>
      <c r="K2263" s="70" t="s">
        <v>14680</v>
      </c>
      <c r="L2263" s="70" t="s">
        <v>14681</v>
      </c>
      <c r="P2263" s="76">
        <v>45728.0</v>
      </c>
      <c r="U2263" s="70" t="s">
        <v>239</v>
      </c>
      <c r="W2263" s="70" t="s">
        <v>14684</v>
      </c>
      <c r="X2263" s="70" t="s">
        <v>14685</v>
      </c>
      <c r="Z2263" s="75" t="s">
        <v>14686</v>
      </c>
      <c r="AA2263" s="70" t="s">
        <v>14687</v>
      </c>
      <c r="AE2263" s="70">
        <v>18.0</v>
      </c>
      <c r="AF2263" s="70" t="s">
        <v>239</v>
      </c>
      <c r="AW2263" s="70" t="s">
        <v>14688</v>
      </c>
      <c r="AX2263" s="70">
        <v>0.0</v>
      </c>
      <c r="AY2263" s="70" t="s">
        <v>24</v>
      </c>
      <c r="AZ2263" s="70">
        <v>2982.0</v>
      </c>
    </row>
    <row r="2264" ht="22.5" customHeight="1">
      <c r="A2264" s="70" t="str">
        <f t="shared" si="1"/>
        <v>Excluded</v>
      </c>
      <c r="B2264" s="70">
        <f t="shared" si="2"/>
        <v>0</v>
      </c>
      <c r="C2264" s="70">
        <v>0.0</v>
      </c>
      <c r="D2264" s="70">
        <v>0.0</v>
      </c>
      <c r="E2264" s="70">
        <v>0.0</v>
      </c>
      <c r="F2264" s="70">
        <v>0.0</v>
      </c>
      <c r="G2264" s="70">
        <v>0.0</v>
      </c>
      <c r="H2264" s="70" t="s">
        <v>11505</v>
      </c>
      <c r="I2264" s="70">
        <v>1205.0</v>
      </c>
      <c r="J2264" s="70" t="s">
        <v>11501</v>
      </c>
      <c r="K2264" s="70" t="s">
        <v>11502</v>
      </c>
      <c r="L2264" s="70" t="s">
        <v>11503</v>
      </c>
      <c r="N2264" s="70" t="s">
        <v>11504</v>
      </c>
      <c r="P2264" s="78">
        <v>45071.0</v>
      </c>
      <c r="U2264" s="70" t="s">
        <v>239</v>
      </c>
      <c r="W2264" s="70" t="s">
        <v>11507</v>
      </c>
      <c r="X2264" s="70" t="s">
        <v>11508</v>
      </c>
      <c r="Z2264" s="75" t="s">
        <v>11509</v>
      </c>
      <c r="AA2264" s="70" t="s">
        <v>11510</v>
      </c>
      <c r="AC2264" s="70">
        <v>3.0</v>
      </c>
      <c r="AE2264" s="70">
        <v>15.0</v>
      </c>
      <c r="AF2264" s="70" t="s">
        <v>239</v>
      </c>
      <c r="AW2264" s="70" t="s">
        <v>11511</v>
      </c>
      <c r="AX2264" s="70">
        <v>0.0</v>
      </c>
      <c r="AY2264" s="70" t="s">
        <v>24</v>
      </c>
      <c r="AZ2264" s="70">
        <v>2440.0</v>
      </c>
    </row>
    <row r="2265" ht="22.5" customHeight="1">
      <c r="A2265" s="70" t="str">
        <f t="shared" si="1"/>
        <v>Excluded</v>
      </c>
      <c r="B2265" s="70">
        <f t="shared" si="2"/>
        <v>0</v>
      </c>
      <c r="C2265" s="70">
        <v>0.0</v>
      </c>
      <c r="D2265" s="70">
        <v>0.0</v>
      </c>
      <c r="E2265" s="70">
        <v>0.0</v>
      </c>
      <c r="F2265" s="70">
        <v>0.0</v>
      </c>
      <c r="G2265" s="70">
        <v>0.0</v>
      </c>
      <c r="H2265" s="70" t="s">
        <v>24569</v>
      </c>
      <c r="I2265" s="70">
        <v>2685.0</v>
      </c>
      <c r="J2265" s="70" t="s">
        <v>24567</v>
      </c>
      <c r="K2265" s="70" t="s">
        <v>24568</v>
      </c>
      <c r="W2265" s="70" t="s">
        <v>30856</v>
      </c>
      <c r="AA2265" s="70" t="s">
        <v>24571</v>
      </c>
      <c r="AI2265" s="70" t="s">
        <v>24572</v>
      </c>
      <c r="AJ2265" s="70" t="s">
        <v>24573</v>
      </c>
      <c r="AK2265" s="70">
        <v>2024.0</v>
      </c>
      <c r="AL2265" s="70" t="s">
        <v>24574</v>
      </c>
      <c r="AQ2265" s="70">
        <v>0.0</v>
      </c>
      <c r="AR2265" s="75" t="s">
        <v>24575</v>
      </c>
      <c r="AS2265" s="70" t="s">
        <v>22525</v>
      </c>
      <c r="AU2265" s="70" t="s">
        <v>237</v>
      </c>
      <c r="AV2265" s="70" t="s">
        <v>24576</v>
      </c>
      <c r="AW2265" s="70" t="s">
        <v>24577</v>
      </c>
      <c r="AX2265" s="70">
        <v>0.0</v>
      </c>
      <c r="AY2265" s="70" t="s">
        <v>24</v>
      </c>
      <c r="AZ2265" s="70">
        <v>2243.0</v>
      </c>
    </row>
    <row r="2266" ht="22.5" customHeight="1">
      <c r="A2266" s="70" t="str">
        <f t="shared" si="1"/>
        <v>Excluded</v>
      </c>
      <c r="B2266" s="70">
        <f t="shared" si="2"/>
        <v>0</v>
      </c>
      <c r="C2266" s="70">
        <v>0.0</v>
      </c>
      <c r="D2266" s="70">
        <v>0.0</v>
      </c>
      <c r="E2266" s="70">
        <v>0.0</v>
      </c>
      <c r="F2266" s="70">
        <v>0.0</v>
      </c>
      <c r="G2266" s="70">
        <v>0.0</v>
      </c>
      <c r="H2266" s="70" t="s">
        <v>18570</v>
      </c>
      <c r="I2266" s="70">
        <v>2040.0</v>
      </c>
      <c r="J2266" s="70" t="s">
        <v>18566</v>
      </c>
      <c r="K2266" s="70" t="s">
        <v>18567</v>
      </c>
      <c r="L2266" s="70" t="s">
        <v>18568</v>
      </c>
      <c r="N2266" s="70" t="s">
        <v>18569</v>
      </c>
      <c r="P2266" s="76">
        <v>44790.0</v>
      </c>
      <c r="U2266" s="70" t="s">
        <v>239</v>
      </c>
      <c r="W2266" s="70" t="s">
        <v>30857</v>
      </c>
      <c r="Y2266" s="70" t="s">
        <v>30858</v>
      </c>
      <c r="Z2266" s="75" t="s">
        <v>18574</v>
      </c>
      <c r="AA2266" s="70" t="s">
        <v>18575</v>
      </c>
      <c r="AC2266" s="70">
        <v>19.0</v>
      </c>
      <c r="AE2266" s="70">
        <v>42.0</v>
      </c>
      <c r="AF2266" s="70" t="s">
        <v>16423</v>
      </c>
      <c r="AW2266" s="70" t="s">
        <v>18576</v>
      </c>
      <c r="AX2266" s="70">
        <v>0.0</v>
      </c>
      <c r="AY2266" s="70" t="s">
        <v>24</v>
      </c>
      <c r="AZ2266" s="70">
        <v>1994.0</v>
      </c>
    </row>
    <row r="2267" ht="22.5" customHeight="1">
      <c r="A2267" s="70" t="str">
        <f t="shared" si="1"/>
        <v>Excluded</v>
      </c>
      <c r="B2267" s="70">
        <f t="shared" si="2"/>
        <v>0</v>
      </c>
      <c r="C2267" s="70">
        <v>0.0</v>
      </c>
      <c r="D2267" s="70">
        <v>0.0</v>
      </c>
      <c r="E2267" s="70">
        <v>0.0</v>
      </c>
      <c r="F2267" s="70">
        <v>0.0</v>
      </c>
      <c r="G2267" s="70">
        <v>0.0</v>
      </c>
      <c r="H2267" s="70" t="s">
        <v>19077</v>
      </c>
      <c r="I2267" s="70">
        <v>2097.0</v>
      </c>
      <c r="J2267" s="70" t="s">
        <v>19075</v>
      </c>
      <c r="K2267" s="70" t="s">
        <v>19076</v>
      </c>
      <c r="L2267" s="70" t="s">
        <v>18568</v>
      </c>
      <c r="N2267" s="70" t="s">
        <v>18569</v>
      </c>
      <c r="P2267" s="78">
        <v>45076.0</v>
      </c>
      <c r="U2267" s="70" t="s">
        <v>239</v>
      </c>
      <c r="W2267" s="70" t="s">
        <v>19079</v>
      </c>
      <c r="Y2267" s="70" t="s">
        <v>30859</v>
      </c>
      <c r="Z2267" s="75" t="s">
        <v>19081</v>
      </c>
      <c r="AA2267" s="70" t="s">
        <v>19082</v>
      </c>
      <c r="AC2267" s="70">
        <v>13.0</v>
      </c>
      <c r="AE2267" s="70">
        <v>43.0</v>
      </c>
      <c r="AF2267" s="70" t="s">
        <v>239</v>
      </c>
      <c r="AW2267" s="70" t="s">
        <v>19083</v>
      </c>
      <c r="AZ2267" s="70">
        <v>1338.0</v>
      </c>
    </row>
    <row r="2268" ht="22.5" customHeight="1">
      <c r="A2268" s="70" t="str">
        <f t="shared" si="1"/>
        <v>Excluded</v>
      </c>
      <c r="B2268" s="70">
        <f t="shared" si="2"/>
        <v>0</v>
      </c>
      <c r="C2268" s="70">
        <v>0.0</v>
      </c>
      <c r="D2268" s="70">
        <v>0.0</v>
      </c>
      <c r="E2268" s="70">
        <v>0.0</v>
      </c>
      <c r="F2268" s="70">
        <v>0.0</v>
      </c>
      <c r="G2268" s="70">
        <v>0.0</v>
      </c>
      <c r="H2268" s="70" t="s">
        <v>21940</v>
      </c>
      <c r="I2268" s="70">
        <v>2419.0</v>
      </c>
      <c r="J2268" s="70" t="s">
        <v>21936</v>
      </c>
      <c r="K2268" s="70" t="s">
        <v>21937</v>
      </c>
      <c r="L2268" s="70" t="s">
        <v>21938</v>
      </c>
      <c r="N2268" s="70" t="s">
        <v>21939</v>
      </c>
      <c r="P2268" s="77">
        <v>45356.0</v>
      </c>
      <c r="U2268" s="70" t="s">
        <v>239</v>
      </c>
      <c r="W2268" s="70" t="s">
        <v>21942</v>
      </c>
      <c r="Z2268" s="75" t="s">
        <v>21943</v>
      </c>
      <c r="AA2268" s="70" t="s">
        <v>21944</v>
      </c>
      <c r="AE2268" s="70">
        <v>66.0</v>
      </c>
      <c r="AF2268" s="70" t="s">
        <v>239</v>
      </c>
      <c r="AW2268" s="70" t="s">
        <v>21945</v>
      </c>
      <c r="AX2268" s="70">
        <v>0.0</v>
      </c>
      <c r="AY2268" s="70" t="s">
        <v>24</v>
      </c>
      <c r="AZ2268" s="70">
        <v>2556.0</v>
      </c>
    </row>
    <row r="2269" ht="22.5" customHeight="1">
      <c r="A2269" s="70" t="str">
        <f t="shared" si="1"/>
        <v>Excluded</v>
      </c>
      <c r="B2269" s="70">
        <f t="shared" si="2"/>
        <v>0</v>
      </c>
      <c r="C2269" s="70">
        <v>0.0</v>
      </c>
      <c r="D2269" s="70">
        <v>0.0</v>
      </c>
      <c r="E2269" s="70">
        <v>0.0</v>
      </c>
      <c r="F2269" s="70">
        <v>0.0</v>
      </c>
      <c r="G2269" s="70">
        <v>0.0</v>
      </c>
      <c r="H2269" s="70" t="s">
        <v>26375</v>
      </c>
      <c r="I2269" s="70">
        <v>2860.0</v>
      </c>
      <c r="J2269" s="70" t="s">
        <v>26373</v>
      </c>
      <c r="K2269" s="70" t="s">
        <v>26374</v>
      </c>
      <c r="W2269" s="70" t="s">
        <v>30860</v>
      </c>
      <c r="AA2269" s="70" t="s">
        <v>26377</v>
      </c>
      <c r="AI2269" s="70" t="s">
        <v>26378</v>
      </c>
      <c r="AJ2269" s="70" t="s">
        <v>26379</v>
      </c>
      <c r="AK2269" s="70">
        <v>2022.0</v>
      </c>
      <c r="AL2269" s="70" t="s">
        <v>25073</v>
      </c>
      <c r="AN2269" s="70">
        <v>1137.0</v>
      </c>
      <c r="AO2269" s="70">
        <v>1150.0</v>
      </c>
      <c r="AP2269" s="70">
        <v>13.0</v>
      </c>
      <c r="AQ2269" s="70">
        <v>29.0</v>
      </c>
      <c r="AR2269" s="75" t="s">
        <v>26380</v>
      </c>
      <c r="AS2269" s="70" t="s">
        <v>22525</v>
      </c>
      <c r="AU2269" s="70" t="s">
        <v>237</v>
      </c>
      <c r="AV2269" s="70" t="s">
        <v>26381</v>
      </c>
      <c r="AW2269" s="70" t="s">
        <v>26382</v>
      </c>
      <c r="AX2269" s="70">
        <v>0.0</v>
      </c>
      <c r="AY2269" s="70" t="s">
        <v>24</v>
      </c>
      <c r="AZ2269" s="70">
        <v>2781.0</v>
      </c>
    </row>
    <row r="2270" ht="22.5" customHeight="1">
      <c r="A2270" s="70" t="str">
        <f t="shared" si="1"/>
        <v>Excluded</v>
      </c>
      <c r="B2270" s="70">
        <f t="shared" si="2"/>
        <v>0</v>
      </c>
      <c r="C2270" s="70">
        <v>0.0</v>
      </c>
      <c r="D2270" s="70">
        <v>0.0</v>
      </c>
      <c r="E2270" s="70">
        <v>0.0</v>
      </c>
      <c r="F2270" s="70">
        <v>0.0</v>
      </c>
      <c r="G2270" s="70">
        <v>0.0</v>
      </c>
      <c r="H2270" s="70" t="s">
        <v>25068</v>
      </c>
      <c r="I2270" s="70">
        <v>2733.0</v>
      </c>
      <c r="J2270" s="70" t="s">
        <v>25066</v>
      </c>
      <c r="K2270" s="70" t="s">
        <v>25067</v>
      </c>
      <c r="W2270" s="70" t="s">
        <v>30861</v>
      </c>
      <c r="AA2270" s="70" t="s">
        <v>25070</v>
      </c>
      <c r="AI2270" s="70" t="s">
        <v>25071</v>
      </c>
      <c r="AJ2270" s="70" t="s">
        <v>25072</v>
      </c>
      <c r="AK2270" s="70">
        <v>2024.0</v>
      </c>
      <c r="AL2270" s="70" t="s">
        <v>25073</v>
      </c>
      <c r="AN2270" s="70">
        <v>2387.0</v>
      </c>
      <c r="AO2270" s="70">
        <v>2399.0</v>
      </c>
      <c r="AP2270" s="70">
        <v>12.0</v>
      </c>
      <c r="AQ2270" s="70">
        <v>1.0</v>
      </c>
      <c r="AR2270" s="75" t="s">
        <v>25074</v>
      </c>
      <c r="AS2270" s="70" t="s">
        <v>22525</v>
      </c>
      <c r="AU2270" s="70" t="s">
        <v>237</v>
      </c>
      <c r="AV2270" s="70" t="s">
        <v>25075</v>
      </c>
      <c r="AW2270" s="70" t="s">
        <v>25076</v>
      </c>
      <c r="AZ2270" s="70">
        <v>193.0</v>
      </c>
    </row>
    <row r="2271" ht="22.5" customHeight="1">
      <c r="A2271" s="70" t="str">
        <f t="shared" si="1"/>
        <v>Excluded</v>
      </c>
      <c r="B2271" s="70">
        <f t="shared" si="2"/>
        <v>0</v>
      </c>
      <c r="C2271" s="70">
        <v>0.0</v>
      </c>
      <c r="D2271" s="70">
        <v>0.0</v>
      </c>
      <c r="E2271" s="70">
        <v>0.0</v>
      </c>
      <c r="F2271" s="70">
        <v>0.0</v>
      </c>
      <c r="G2271" s="70">
        <v>0.0</v>
      </c>
      <c r="H2271" s="70" t="s">
        <v>20044</v>
      </c>
      <c r="I2271" s="70">
        <v>2206.0</v>
      </c>
      <c r="J2271" s="70" t="s">
        <v>20042</v>
      </c>
      <c r="K2271" s="70" t="s">
        <v>20043</v>
      </c>
      <c r="L2271" s="70" t="s">
        <v>18242</v>
      </c>
      <c r="N2271" s="70" t="s">
        <v>18243</v>
      </c>
      <c r="P2271" s="76">
        <v>43536.0</v>
      </c>
      <c r="U2271" s="70" t="s">
        <v>239</v>
      </c>
      <c r="W2271" s="70" t="s">
        <v>20046</v>
      </c>
      <c r="Y2271" s="70" t="s">
        <v>30862</v>
      </c>
      <c r="Z2271" s="75" t="s">
        <v>20048</v>
      </c>
      <c r="AA2271" s="70" t="s">
        <v>20049</v>
      </c>
      <c r="AC2271" s="70">
        <v>6.0</v>
      </c>
      <c r="AE2271" s="70">
        <v>26.0</v>
      </c>
      <c r="AF2271" s="70" t="s">
        <v>239</v>
      </c>
      <c r="AW2271" s="70" t="s">
        <v>20050</v>
      </c>
      <c r="AZ2271" s="70">
        <v>426.0</v>
      </c>
    </row>
    <row r="2272" ht="22.5" customHeight="1">
      <c r="A2272" s="70" t="str">
        <f t="shared" si="1"/>
        <v>Excluded</v>
      </c>
      <c r="B2272" s="70">
        <f t="shared" si="2"/>
        <v>0</v>
      </c>
      <c r="C2272" s="70">
        <v>0.0</v>
      </c>
      <c r="D2272" s="70">
        <v>0.0</v>
      </c>
      <c r="E2272" s="70">
        <v>0.0</v>
      </c>
      <c r="F2272" s="70">
        <v>0.0</v>
      </c>
      <c r="G2272" s="70">
        <v>0.0</v>
      </c>
      <c r="H2272" s="70" t="s">
        <v>18244</v>
      </c>
      <c r="I2272" s="70">
        <v>2004.0</v>
      </c>
      <c r="J2272" s="70" t="s">
        <v>18240</v>
      </c>
      <c r="K2272" s="70" t="s">
        <v>18241</v>
      </c>
      <c r="L2272" s="70" t="s">
        <v>18242</v>
      </c>
      <c r="N2272" s="70" t="s">
        <v>18243</v>
      </c>
      <c r="P2272" s="76">
        <v>44432.0</v>
      </c>
      <c r="U2272" s="70" t="s">
        <v>239</v>
      </c>
      <c r="W2272" s="70" t="s">
        <v>18246</v>
      </c>
      <c r="Y2272" s="70" t="s">
        <v>18247</v>
      </c>
      <c r="Z2272" s="75" t="s">
        <v>18248</v>
      </c>
      <c r="AA2272" s="70" t="s">
        <v>18249</v>
      </c>
      <c r="AC2272" s="70">
        <v>24.0</v>
      </c>
      <c r="AE2272" s="70">
        <v>47.0</v>
      </c>
      <c r="AF2272" s="70" t="s">
        <v>239</v>
      </c>
      <c r="AW2272" s="70" t="s">
        <v>18250</v>
      </c>
      <c r="AZ2272" s="70">
        <v>1234.0</v>
      </c>
    </row>
    <row r="2273" ht="22.5" customHeight="1">
      <c r="A2273" s="70" t="str">
        <f t="shared" si="1"/>
        <v>Excluded</v>
      </c>
      <c r="B2273" s="70">
        <f t="shared" si="2"/>
        <v>0</v>
      </c>
      <c r="C2273" s="70">
        <v>0.0</v>
      </c>
      <c r="D2273" s="70">
        <v>0.0</v>
      </c>
      <c r="E2273" s="70">
        <v>0.0</v>
      </c>
      <c r="F2273" s="70">
        <v>0.0</v>
      </c>
      <c r="G2273" s="70">
        <v>0.0</v>
      </c>
      <c r="H2273" s="70" t="s">
        <v>20705</v>
      </c>
      <c r="I2273" s="70">
        <v>2280.0</v>
      </c>
      <c r="J2273" s="70" t="s">
        <v>20701</v>
      </c>
      <c r="K2273" s="70" t="s">
        <v>20702</v>
      </c>
      <c r="L2273" s="70" t="s">
        <v>20703</v>
      </c>
      <c r="N2273" s="70" t="s">
        <v>20704</v>
      </c>
      <c r="P2273" s="76">
        <v>45273.0</v>
      </c>
      <c r="U2273" s="70" t="s">
        <v>239</v>
      </c>
      <c r="W2273" s="70" t="s">
        <v>20707</v>
      </c>
      <c r="Y2273" s="70" t="s">
        <v>30863</v>
      </c>
      <c r="Z2273" s="75" t="s">
        <v>20709</v>
      </c>
      <c r="AA2273" s="70" t="s">
        <v>20710</v>
      </c>
      <c r="AC2273" s="70">
        <v>3.0</v>
      </c>
      <c r="AE2273" s="70">
        <v>130.0</v>
      </c>
      <c r="AF2273" s="70" t="s">
        <v>239</v>
      </c>
      <c r="AW2273" s="70" t="s">
        <v>20711</v>
      </c>
      <c r="AZ2273" s="70">
        <v>1117.0</v>
      </c>
    </row>
    <row r="2274" ht="22.5" customHeight="1">
      <c r="A2274" s="70" t="str">
        <f t="shared" si="1"/>
        <v>Excluded</v>
      </c>
      <c r="B2274" s="70">
        <f t="shared" si="2"/>
        <v>0</v>
      </c>
      <c r="C2274" s="70">
        <v>0.0</v>
      </c>
      <c r="D2274" s="70">
        <v>0.0</v>
      </c>
      <c r="E2274" s="70">
        <v>0.0</v>
      </c>
      <c r="F2274" s="70">
        <v>0.0</v>
      </c>
      <c r="G2274" s="70">
        <v>0.0</v>
      </c>
      <c r="H2274" s="70" t="s">
        <v>17230</v>
      </c>
      <c r="I2274" s="70">
        <v>1890.0</v>
      </c>
      <c r="J2274" s="70" t="s">
        <v>17226</v>
      </c>
      <c r="K2274" s="70" t="s">
        <v>17227</v>
      </c>
      <c r="L2274" s="70" t="s">
        <v>17228</v>
      </c>
      <c r="N2274" s="70" t="s">
        <v>17229</v>
      </c>
      <c r="P2274" s="76">
        <v>43889.0</v>
      </c>
      <c r="U2274" s="70" t="s">
        <v>239</v>
      </c>
      <c r="W2274" s="70" t="s">
        <v>17232</v>
      </c>
      <c r="Y2274" s="70" t="s">
        <v>30864</v>
      </c>
      <c r="Z2274" s="75" t="s">
        <v>17234</v>
      </c>
      <c r="AA2274" s="70" t="s">
        <v>17235</v>
      </c>
      <c r="AC2274" s="70">
        <v>64.0</v>
      </c>
      <c r="AE2274" s="70">
        <v>42.0</v>
      </c>
      <c r="AF2274" s="70" t="s">
        <v>239</v>
      </c>
      <c r="AW2274" s="70" t="s">
        <v>17236</v>
      </c>
      <c r="AZ2274" s="70">
        <v>407.0</v>
      </c>
    </row>
    <row r="2275" ht="22.5" customHeight="1">
      <c r="A2275" s="70" t="str">
        <f t="shared" si="1"/>
        <v>Excluded</v>
      </c>
      <c r="B2275" s="70">
        <f t="shared" si="2"/>
        <v>0</v>
      </c>
      <c r="C2275" s="70">
        <v>0.0</v>
      </c>
      <c r="D2275" s="70">
        <v>0.0</v>
      </c>
      <c r="E2275" s="70">
        <v>0.0</v>
      </c>
      <c r="F2275" s="70">
        <v>0.0</v>
      </c>
      <c r="G2275" s="70">
        <v>0.0</v>
      </c>
      <c r="H2275" s="70" t="s">
        <v>18797</v>
      </c>
      <c r="I2275" s="70">
        <v>2066.0</v>
      </c>
      <c r="J2275" s="70" t="s">
        <v>18795</v>
      </c>
      <c r="K2275" s="70" t="s">
        <v>18796</v>
      </c>
      <c r="L2275" s="70" t="s">
        <v>17228</v>
      </c>
      <c r="N2275" s="70" t="s">
        <v>17229</v>
      </c>
      <c r="P2275" s="77">
        <v>44202.0</v>
      </c>
      <c r="U2275" s="70" t="s">
        <v>239</v>
      </c>
      <c r="W2275" s="70" t="s">
        <v>18799</v>
      </c>
      <c r="Y2275" s="70" t="s">
        <v>30865</v>
      </c>
      <c r="Z2275" s="75" t="s">
        <v>18801</v>
      </c>
      <c r="AA2275" s="70" t="s">
        <v>18802</v>
      </c>
      <c r="AC2275" s="70">
        <v>16.0</v>
      </c>
      <c r="AE2275" s="70">
        <v>39.0</v>
      </c>
      <c r="AF2275" s="70" t="s">
        <v>239</v>
      </c>
      <c r="AW2275" s="70" t="s">
        <v>18803</v>
      </c>
      <c r="AX2275" s="70">
        <v>0.0</v>
      </c>
      <c r="AY2275" s="70" t="s">
        <v>24</v>
      </c>
      <c r="AZ2275" s="70">
        <v>2285.0</v>
      </c>
    </row>
    <row r="2276" ht="22.5" customHeight="1">
      <c r="A2276" s="70" t="str">
        <f t="shared" si="1"/>
        <v>Excluded</v>
      </c>
      <c r="B2276" s="70">
        <f t="shared" si="2"/>
        <v>0</v>
      </c>
      <c r="C2276" s="70">
        <v>0.0</v>
      </c>
      <c r="D2276" s="70">
        <v>0.0</v>
      </c>
      <c r="E2276" s="70">
        <v>0.0</v>
      </c>
      <c r="F2276" s="70">
        <v>0.0</v>
      </c>
      <c r="G2276" s="70">
        <v>0.0</v>
      </c>
      <c r="H2276" s="70" t="s">
        <v>20426</v>
      </c>
      <c r="I2276" s="70">
        <v>2249.0</v>
      </c>
      <c r="J2276" s="70" t="s">
        <v>20424</v>
      </c>
      <c r="K2276" s="70" t="s">
        <v>20425</v>
      </c>
      <c r="L2276" s="70" t="s">
        <v>17228</v>
      </c>
      <c r="N2276" s="70" t="s">
        <v>17229</v>
      </c>
      <c r="P2276" s="76">
        <v>44733.0</v>
      </c>
      <c r="U2276" s="70" t="s">
        <v>239</v>
      </c>
      <c r="W2276" s="70" t="s">
        <v>20428</v>
      </c>
      <c r="Z2276" s="75" t="s">
        <v>20429</v>
      </c>
      <c r="AA2276" s="70" t="s">
        <v>20430</v>
      </c>
      <c r="AC2276" s="70">
        <v>4.0</v>
      </c>
      <c r="AE2276" s="70">
        <v>27.0</v>
      </c>
      <c r="AF2276" s="70" t="s">
        <v>239</v>
      </c>
      <c r="AW2276" s="70" t="s">
        <v>20431</v>
      </c>
      <c r="AZ2276" s="70">
        <v>941.0</v>
      </c>
    </row>
    <row r="2277" ht="22.5" customHeight="1">
      <c r="A2277" s="70" t="str">
        <f t="shared" si="1"/>
        <v>Excluded</v>
      </c>
      <c r="B2277" s="70">
        <f t="shared" si="2"/>
        <v>0</v>
      </c>
      <c r="C2277" s="70">
        <v>0.0</v>
      </c>
      <c r="D2277" s="70">
        <v>0.0</v>
      </c>
      <c r="E2277" s="70">
        <v>0.0</v>
      </c>
      <c r="F2277" s="70">
        <v>0.0</v>
      </c>
      <c r="G2277" s="70">
        <v>0.0</v>
      </c>
      <c r="H2277" s="70" t="s">
        <v>25026</v>
      </c>
      <c r="I2277" s="70">
        <v>2729.0</v>
      </c>
      <c r="J2277" s="70" t="s">
        <v>25024</v>
      </c>
      <c r="K2277" s="70" t="s">
        <v>25025</v>
      </c>
      <c r="W2277" s="70" t="s">
        <v>30866</v>
      </c>
      <c r="AA2277" s="70" t="s">
        <v>25028</v>
      </c>
      <c r="AI2277" s="70" t="s">
        <v>25029</v>
      </c>
      <c r="AJ2277" s="70" t="s">
        <v>25030</v>
      </c>
      <c r="AK2277" s="70">
        <v>2024.0</v>
      </c>
      <c r="AL2277" s="70" t="s">
        <v>17228</v>
      </c>
      <c r="AN2277" s="70">
        <v>235.0</v>
      </c>
      <c r="AO2277" s="70">
        <v>248.0</v>
      </c>
      <c r="AP2277" s="70">
        <v>13.0</v>
      </c>
      <c r="AQ2277" s="70">
        <v>1.0</v>
      </c>
      <c r="AR2277" s="75" t="s">
        <v>25031</v>
      </c>
      <c r="AS2277" s="70" t="s">
        <v>22525</v>
      </c>
      <c r="AU2277" s="70" t="s">
        <v>237</v>
      </c>
      <c r="AV2277" s="70" t="s">
        <v>25032</v>
      </c>
      <c r="AW2277" s="70" t="s">
        <v>25033</v>
      </c>
      <c r="AX2277" s="70">
        <v>0.0</v>
      </c>
      <c r="AY2277" s="70" t="s">
        <v>24</v>
      </c>
      <c r="AZ2277" s="70">
        <v>2292.0</v>
      </c>
    </row>
    <row r="2278" ht="22.5" customHeight="1">
      <c r="A2278" s="70" t="str">
        <f t="shared" si="1"/>
        <v>Excluded</v>
      </c>
      <c r="B2278" s="70">
        <f t="shared" si="2"/>
        <v>0</v>
      </c>
      <c r="C2278" s="70">
        <v>0.0</v>
      </c>
      <c r="D2278" s="70">
        <v>0.0</v>
      </c>
      <c r="E2278" s="70">
        <v>0.0</v>
      </c>
      <c r="F2278" s="70">
        <v>0.0</v>
      </c>
      <c r="G2278" s="70">
        <v>0.0</v>
      </c>
      <c r="H2278" s="70" t="s">
        <v>23404</v>
      </c>
      <c r="I2278" s="70">
        <v>2572.0</v>
      </c>
      <c r="J2278" s="70" t="s">
        <v>23402</v>
      </c>
      <c r="K2278" s="70" t="s">
        <v>23403</v>
      </c>
      <c r="W2278" s="70" t="s">
        <v>30867</v>
      </c>
      <c r="AA2278" s="70" t="s">
        <v>23406</v>
      </c>
      <c r="AI2278" s="70" t="s">
        <v>23407</v>
      </c>
      <c r="AJ2278" s="70" t="s">
        <v>23408</v>
      </c>
      <c r="AK2278" s="70">
        <v>2025.0</v>
      </c>
      <c r="AL2278" s="70" t="s">
        <v>17228</v>
      </c>
      <c r="AN2278" s="70">
        <v>691.0</v>
      </c>
      <c r="AO2278" s="70">
        <v>704.0</v>
      </c>
      <c r="AP2278" s="70">
        <v>13.0</v>
      </c>
      <c r="AQ2278" s="70">
        <v>0.0</v>
      </c>
      <c r="AR2278" s="75" t="s">
        <v>23409</v>
      </c>
      <c r="AS2278" s="70" t="s">
        <v>22525</v>
      </c>
      <c r="AU2278" s="70" t="s">
        <v>237</v>
      </c>
      <c r="AV2278" s="70" t="s">
        <v>23410</v>
      </c>
      <c r="AW2278" s="70" t="s">
        <v>23411</v>
      </c>
      <c r="AX2278" s="70">
        <v>0.0</v>
      </c>
      <c r="AY2278" s="70" t="s">
        <v>24</v>
      </c>
      <c r="AZ2278" s="70">
        <v>3042.0</v>
      </c>
    </row>
    <row r="2279" ht="22.5" customHeight="1">
      <c r="A2279" s="70" t="str">
        <f t="shared" si="1"/>
        <v>Excluded</v>
      </c>
      <c r="B2279" s="70">
        <f t="shared" si="2"/>
        <v>0</v>
      </c>
      <c r="C2279" s="70">
        <v>0.0</v>
      </c>
      <c r="D2279" s="70">
        <v>0.0</v>
      </c>
      <c r="E2279" s="70">
        <v>0.0</v>
      </c>
      <c r="F2279" s="70">
        <v>0.0</v>
      </c>
      <c r="G2279" s="70">
        <v>0.0</v>
      </c>
      <c r="H2279" s="70" t="s">
        <v>25250</v>
      </c>
      <c r="I2279" s="70">
        <v>2751.0</v>
      </c>
      <c r="J2279" s="70" t="s">
        <v>25248</v>
      </c>
      <c r="K2279" s="70" t="s">
        <v>25249</v>
      </c>
      <c r="W2279" s="70" t="s">
        <v>30868</v>
      </c>
      <c r="AA2279" s="70" t="s">
        <v>25252</v>
      </c>
      <c r="AI2279" s="70" t="s">
        <v>25253</v>
      </c>
      <c r="AJ2279" s="70" t="s">
        <v>25254</v>
      </c>
      <c r="AK2279" s="70">
        <v>2023.0</v>
      </c>
      <c r="AL2279" s="70" t="s">
        <v>24989</v>
      </c>
      <c r="AN2279" s="70">
        <v>1756.0</v>
      </c>
      <c r="AO2279" s="70">
        <v>1769.0</v>
      </c>
      <c r="AP2279" s="70">
        <v>13.0</v>
      </c>
      <c r="AQ2279" s="70">
        <v>24.0</v>
      </c>
      <c r="AR2279" s="75" t="s">
        <v>25255</v>
      </c>
      <c r="AS2279" s="70" t="s">
        <v>22525</v>
      </c>
      <c r="AU2279" s="70" t="s">
        <v>237</v>
      </c>
      <c r="AV2279" s="70" t="s">
        <v>25256</v>
      </c>
      <c r="AW2279" s="70" t="s">
        <v>25257</v>
      </c>
      <c r="AX2279" s="70">
        <v>0.0</v>
      </c>
      <c r="AY2279" s="70" t="s">
        <v>24</v>
      </c>
      <c r="AZ2279" s="70">
        <v>1816.0</v>
      </c>
    </row>
    <row r="2280" ht="22.5" customHeight="1">
      <c r="A2280" s="70" t="str">
        <f t="shared" si="1"/>
        <v>Excluded</v>
      </c>
      <c r="B2280" s="70">
        <f t="shared" si="2"/>
        <v>0</v>
      </c>
      <c r="C2280" s="70">
        <v>0.0</v>
      </c>
      <c r="D2280" s="70">
        <v>0.0</v>
      </c>
      <c r="E2280" s="70">
        <v>0.0</v>
      </c>
      <c r="F2280" s="70">
        <v>0.0</v>
      </c>
      <c r="G2280" s="70">
        <v>0.0</v>
      </c>
      <c r="H2280" s="70" t="s">
        <v>24984</v>
      </c>
      <c r="I2280" s="70">
        <v>2725.0</v>
      </c>
      <c r="J2280" s="70" t="s">
        <v>24982</v>
      </c>
      <c r="K2280" s="70" t="s">
        <v>24983</v>
      </c>
      <c r="W2280" s="70" t="s">
        <v>30869</v>
      </c>
      <c r="AA2280" s="70" t="s">
        <v>24986</v>
      </c>
      <c r="AI2280" s="70" t="s">
        <v>24987</v>
      </c>
      <c r="AJ2280" s="70" t="s">
        <v>24988</v>
      </c>
      <c r="AK2280" s="70">
        <v>2024.0</v>
      </c>
      <c r="AL2280" s="70" t="s">
        <v>24989</v>
      </c>
      <c r="AN2280" s="70">
        <v>171.0</v>
      </c>
      <c r="AO2280" s="70">
        <v>175.0</v>
      </c>
      <c r="AP2280" s="70">
        <v>4.0</v>
      </c>
      <c r="AQ2280" s="70">
        <v>1.0</v>
      </c>
      <c r="AR2280" s="75" t="s">
        <v>24990</v>
      </c>
      <c r="AS2280" s="70" t="s">
        <v>22525</v>
      </c>
      <c r="AU2280" s="70" t="s">
        <v>237</v>
      </c>
      <c r="AV2280" s="70" t="s">
        <v>24991</v>
      </c>
      <c r="AW2280" s="70" t="s">
        <v>24992</v>
      </c>
      <c r="AZ2280" s="70">
        <v>291.0</v>
      </c>
    </row>
    <row r="2281" ht="22.5" customHeight="1">
      <c r="A2281" s="70" t="str">
        <f t="shared" si="1"/>
        <v>Excluded</v>
      </c>
      <c r="B2281" s="70">
        <f t="shared" si="2"/>
        <v>0</v>
      </c>
      <c r="C2281" s="70">
        <v>0.0</v>
      </c>
      <c r="D2281" s="70">
        <v>0.0</v>
      </c>
      <c r="E2281" s="70">
        <v>0.0</v>
      </c>
      <c r="F2281" s="70">
        <v>0.0</v>
      </c>
      <c r="G2281" s="70">
        <v>0.0</v>
      </c>
      <c r="H2281" s="70" t="s">
        <v>27708</v>
      </c>
      <c r="I2281" s="70">
        <v>2990.0</v>
      </c>
      <c r="J2281" s="70" t="s">
        <v>27706</v>
      </c>
      <c r="K2281" s="70" t="s">
        <v>27707</v>
      </c>
      <c r="W2281" s="70" t="s">
        <v>30870</v>
      </c>
      <c r="AA2281" s="70" t="s">
        <v>27710</v>
      </c>
      <c r="AI2281" s="70" t="s">
        <v>27711</v>
      </c>
      <c r="AJ2281" s="70" t="s">
        <v>27712</v>
      </c>
      <c r="AK2281" s="70">
        <v>2020.0</v>
      </c>
      <c r="AL2281" s="70" t="s">
        <v>17438</v>
      </c>
      <c r="AM2281" s="70">
        <v>7748468.0</v>
      </c>
      <c r="AN2281" s="70">
        <v>1250.0</v>
      </c>
      <c r="AO2281" s="70">
        <v>1263.0</v>
      </c>
      <c r="AP2281" s="70">
        <v>13.0</v>
      </c>
      <c r="AQ2281" s="70">
        <v>3.0</v>
      </c>
      <c r="AR2281" s="75" t="s">
        <v>27713</v>
      </c>
      <c r="AS2281" s="70" t="s">
        <v>22525</v>
      </c>
      <c r="AT2281" s="70" t="s">
        <v>22656</v>
      </c>
      <c r="AU2281" s="70" t="s">
        <v>237</v>
      </c>
      <c r="AV2281" s="70" t="s">
        <v>27714</v>
      </c>
      <c r="AW2281" s="70" t="s">
        <v>27715</v>
      </c>
      <c r="AX2281" s="70">
        <v>0.0</v>
      </c>
      <c r="AY2281" s="70" t="s">
        <v>24</v>
      </c>
      <c r="AZ2281" s="70">
        <v>2596.0</v>
      </c>
    </row>
    <row r="2282" ht="22.5" customHeight="1">
      <c r="A2282" s="70" t="str">
        <f t="shared" si="1"/>
        <v>Excluded</v>
      </c>
      <c r="B2282" s="70">
        <f t="shared" si="2"/>
        <v>0</v>
      </c>
      <c r="C2282" s="70">
        <v>0.0</v>
      </c>
      <c r="D2282" s="70">
        <v>0.0</v>
      </c>
      <c r="E2282" s="70">
        <v>0.0</v>
      </c>
      <c r="F2282" s="70">
        <v>0.0</v>
      </c>
      <c r="G2282" s="70">
        <v>0.0</v>
      </c>
      <c r="H2282" s="70" t="s">
        <v>17813</v>
      </c>
      <c r="I2282" s="70">
        <v>1956.0</v>
      </c>
      <c r="J2282" s="70" t="s">
        <v>17811</v>
      </c>
      <c r="K2282" s="70" t="s">
        <v>17812</v>
      </c>
      <c r="L2282" s="70" t="s">
        <v>17438</v>
      </c>
      <c r="N2282" s="70" t="s">
        <v>17439</v>
      </c>
      <c r="P2282" s="76">
        <v>44098.0</v>
      </c>
      <c r="U2282" s="70" t="s">
        <v>239</v>
      </c>
      <c r="W2282" s="70" t="s">
        <v>17815</v>
      </c>
      <c r="Y2282" s="70" t="s">
        <v>17816</v>
      </c>
      <c r="Z2282" s="75" t="s">
        <v>17817</v>
      </c>
      <c r="AA2282" s="70" t="s">
        <v>17818</v>
      </c>
      <c r="AC2282" s="70">
        <v>33.0</v>
      </c>
      <c r="AE2282" s="70">
        <v>62.0</v>
      </c>
      <c r="AF2282" s="70" t="s">
        <v>239</v>
      </c>
      <c r="AW2282" s="70" t="s">
        <v>17819</v>
      </c>
      <c r="AX2282" s="70">
        <v>0.0</v>
      </c>
      <c r="AY2282" s="70" t="s">
        <v>24</v>
      </c>
      <c r="AZ2282" s="70">
        <v>2619.0</v>
      </c>
    </row>
    <row r="2283" ht="22.5" customHeight="1">
      <c r="A2283" s="70" t="str">
        <f t="shared" si="1"/>
        <v>Excluded</v>
      </c>
      <c r="B2283" s="70">
        <f t="shared" si="2"/>
        <v>0</v>
      </c>
      <c r="C2283" s="70">
        <v>0.0</v>
      </c>
      <c r="D2283" s="70">
        <v>0.0</v>
      </c>
      <c r="E2283" s="70">
        <v>0.0</v>
      </c>
      <c r="F2283" s="70">
        <v>0.0</v>
      </c>
      <c r="G2283" s="70">
        <v>0.0</v>
      </c>
      <c r="H2283" s="70" t="s">
        <v>17440</v>
      </c>
      <c r="I2283" s="70">
        <v>1914.0</v>
      </c>
      <c r="J2283" s="70" t="s">
        <v>17436</v>
      </c>
      <c r="K2283" s="70" t="s">
        <v>17437</v>
      </c>
      <c r="L2283" s="70" t="s">
        <v>17438</v>
      </c>
      <c r="N2283" s="70" t="s">
        <v>17439</v>
      </c>
      <c r="P2283" s="76">
        <v>44127.0</v>
      </c>
      <c r="U2283" s="70" t="s">
        <v>239</v>
      </c>
      <c r="W2283" s="70" t="s">
        <v>17442</v>
      </c>
      <c r="Y2283" s="70" t="s">
        <v>30871</v>
      </c>
      <c r="Z2283" s="75" t="s">
        <v>17444</v>
      </c>
      <c r="AA2283" s="70" t="s">
        <v>17445</v>
      </c>
      <c r="AC2283" s="70">
        <v>49.0</v>
      </c>
      <c r="AE2283" s="70">
        <v>61.0</v>
      </c>
      <c r="AF2283" s="70" t="s">
        <v>239</v>
      </c>
      <c r="AW2283" s="70" t="s">
        <v>17446</v>
      </c>
      <c r="AX2283" s="70">
        <v>0.0</v>
      </c>
      <c r="AY2283" s="70" t="s">
        <v>24</v>
      </c>
      <c r="AZ2283" s="70">
        <v>1954.0</v>
      </c>
    </row>
    <row r="2284" ht="22.5" customHeight="1">
      <c r="A2284" s="70" t="str">
        <f t="shared" si="1"/>
        <v>Excluded</v>
      </c>
      <c r="B2284" s="70">
        <f t="shared" si="2"/>
        <v>0</v>
      </c>
      <c r="C2284" s="70">
        <v>0.0</v>
      </c>
      <c r="D2284" s="70">
        <v>0.0</v>
      </c>
      <c r="E2284" s="70">
        <v>0.0</v>
      </c>
      <c r="F2284" s="70">
        <v>0.0</v>
      </c>
      <c r="G2284" s="70">
        <v>0.0</v>
      </c>
      <c r="H2284" s="70" t="s">
        <v>19804</v>
      </c>
      <c r="I2284" s="70">
        <v>2179.0</v>
      </c>
      <c r="J2284" s="70" t="s">
        <v>30872</v>
      </c>
      <c r="K2284" s="70" t="s">
        <v>19803</v>
      </c>
      <c r="L2284" s="70" t="s">
        <v>17438</v>
      </c>
      <c r="N2284" s="70" t="s">
        <v>17439</v>
      </c>
      <c r="P2284" s="77">
        <v>44166.0</v>
      </c>
      <c r="U2284" s="70" t="s">
        <v>239</v>
      </c>
      <c r="W2284" s="70" t="s">
        <v>19806</v>
      </c>
      <c r="Y2284" s="70" t="s">
        <v>30873</v>
      </c>
      <c r="Z2284" s="75" t="s">
        <v>19808</v>
      </c>
      <c r="AA2284" s="70" t="s">
        <v>19809</v>
      </c>
      <c r="AC2284" s="70">
        <v>7.0</v>
      </c>
      <c r="AE2284" s="70">
        <v>31.0</v>
      </c>
      <c r="AF2284" s="70" t="s">
        <v>239</v>
      </c>
      <c r="AW2284" s="70" t="s">
        <v>19810</v>
      </c>
      <c r="AX2284" s="70">
        <v>0.0</v>
      </c>
      <c r="AY2284" s="70" t="s">
        <v>24</v>
      </c>
      <c r="AZ2284" s="70">
        <v>2800.0</v>
      </c>
    </row>
    <row r="2285" ht="22.5" customHeight="1">
      <c r="A2285" s="70" t="str">
        <f t="shared" si="1"/>
        <v>Excluded</v>
      </c>
      <c r="B2285" s="70">
        <f t="shared" si="2"/>
        <v>0</v>
      </c>
      <c r="C2285" s="70">
        <v>0.0</v>
      </c>
      <c r="D2285" s="70">
        <v>0.0</v>
      </c>
      <c r="E2285" s="70">
        <v>0.0</v>
      </c>
      <c r="F2285" s="70">
        <v>0.0</v>
      </c>
      <c r="G2285" s="70">
        <v>0.0</v>
      </c>
      <c r="H2285" s="70" t="s">
        <v>20888</v>
      </c>
      <c r="I2285" s="70">
        <v>2300.0</v>
      </c>
      <c r="J2285" s="70" t="s">
        <v>20886</v>
      </c>
      <c r="K2285" s="70" t="s">
        <v>20887</v>
      </c>
      <c r="L2285" s="70" t="s">
        <v>17438</v>
      </c>
      <c r="N2285" s="70" t="s">
        <v>17439</v>
      </c>
      <c r="P2285" s="77">
        <v>44509.0</v>
      </c>
      <c r="U2285" s="70" t="s">
        <v>239</v>
      </c>
      <c r="W2285" s="70" t="s">
        <v>20890</v>
      </c>
      <c r="Y2285" s="70" t="s">
        <v>20891</v>
      </c>
      <c r="Z2285" s="75" t="s">
        <v>20892</v>
      </c>
      <c r="AA2285" s="70" t="s">
        <v>20893</v>
      </c>
      <c r="AC2285" s="70">
        <v>2.0</v>
      </c>
      <c r="AE2285" s="70">
        <v>34.0</v>
      </c>
      <c r="AF2285" s="70" t="s">
        <v>239</v>
      </c>
      <c r="AW2285" s="70" t="s">
        <v>20894</v>
      </c>
      <c r="AX2285" s="70">
        <v>0.0</v>
      </c>
      <c r="AY2285" s="70" t="s">
        <v>24</v>
      </c>
      <c r="AZ2285" s="70">
        <v>2462.0</v>
      </c>
    </row>
    <row r="2286" ht="22.5" customHeight="1">
      <c r="A2286" s="70" t="str">
        <f t="shared" si="1"/>
        <v>Excluded</v>
      </c>
      <c r="B2286" s="70">
        <f t="shared" si="2"/>
        <v>0</v>
      </c>
      <c r="C2286" s="70">
        <v>0.0</v>
      </c>
      <c r="D2286" s="70">
        <v>0.0</v>
      </c>
      <c r="E2286" s="70">
        <v>0.0</v>
      </c>
      <c r="F2286" s="70">
        <v>0.0</v>
      </c>
      <c r="G2286" s="70">
        <v>0.0</v>
      </c>
      <c r="H2286" s="70" t="s">
        <v>19872</v>
      </c>
      <c r="I2286" s="70">
        <v>2187.0</v>
      </c>
      <c r="J2286" s="70" t="s">
        <v>19870</v>
      </c>
      <c r="K2286" s="70" t="s">
        <v>19871</v>
      </c>
      <c r="L2286" s="70" t="s">
        <v>17438</v>
      </c>
      <c r="N2286" s="70" t="s">
        <v>17439</v>
      </c>
      <c r="P2286" s="76">
        <v>44545.0</v>
      </c>
      <c r="U2286" s="70" t="s">
        <v>239</v>
      </c>
      <c r="W2286" s="70" t="s">
        <v>30874</v>
      </c>
      <c r="Y2286" s="70" t="s">
        <v>30875</v>
      </c>
      <c r="Z2286" s="75" t="s">
        <v>19876</v>
      </c>
      <c r="AA2286" s="70" t="s">
        <v>19877</v>
      </c>
      <c r="AC2286" s="70">
        <v>7.0</v>
      </c>
      <c r="AE2286" s="70">
        <v>55.0</v>
      </c>
      <c r="AF2286" s="70" t="s">
        <v>16423</v>
      </c>
      <c r="AW2286" s="70" t="s">
        <v>19878</v>
      </c>
      <c r="AX2286" s="70">
        <v>0.0</v>
      </c>
      <c r="AY2286" s="70" t="s">
        <v>24</v>
      </c>
      <c r="AZ2286" s="70">
        <v>2153.0</v>
      </c>
    </row>
    <row r="2287" ht="22.5" customHeight="1">
      <c r="A2287" s="70" t="str">
        <f t="shared" si="1"/>
        <v>Excluded</v>
      </c>
      <c r="B2287" s="70">
        <f t="shared" si="2"/>
        <v>0</v>
      </c>
      <c r="C2287" s="70">
        <v>0.0</v>
      </c>
      <c r="D2287" s="70">
        <v>0.0</v>
      </c>
      <c r="E2287" s="70">
        <v>0.0</v>
      </c>
      <c r="F2287" s="70">
        <v>0.0</v>
      </c>
      <c r="G2287" s="70">
        <v>0.0</v>
      </c>
      <c r="H2287" s="70" t="s">
        <v>18263</v>
      </c>
      <c r="I2287" s="70">
        <v>2006.0</v>
      </c>
      <c r="J2287" s="70" t="s">
        <v>18261</v>
      </c>
      <c r="K2287" s="70" t="s">
        <v>18262</v>
      </c>
      <c r="L2287" s="70" t="s">
        <v>17438</v>
      </c>
      <c r="N2287" s="70" t="s">
        <v>17439</v>
      </c>
      <c r="P2287" s="76">
        <v>44643.0</v>
      </c>
      <c r="U2287" s="70" t="s">
        <v>239</v>
      </c>
      <c r="W2287" s="70" t="s">
        <v>18265</v>
      </c>
      <c r="Y2287" s="70" t="s">
        <v>18266</v>
      </c>
      <c r="Z2287" s="75" t="s">
        <v>18267</v>
      </c>
      <c r="AA2287" s="70" t="s">
        <v>18268</v>
      </c>
      <c r="AC2287" s="70">
        <v>24.0</v>
      </c>
      <c r="AE2287" s="70">
        <v>55.0</v>
      </c>
      <c r="AF2287" s="70" t="s">
        <v>239</v>
      </c>
      <c r="AW2287" s="70" t="s">
        <v>18269</v>
      </c>
      <c r="AX2287" s="70">
        <v>0.0</v>
      </c>
      <c r="AY2287" s="70" t="s">
        <v>24</v>
      </c>
      <c r="AZ2287" s="70">
        <v>1675.0</v>
      </c>
    </row>
    <row r="2288" ht="22.5" customHeight="1">
      <c r="A2288" s="70" t="str">
        <f t="shared" si="1"/>
        <v>Excluded</v>
      </c>
      <c r="B2288" s="70">
        <f t="shared" si="2"/>
        <v>0</v>
      </c>
      <c r="C2288" s="70">
        <v>0.0</v>
      </c>
      <c r="D2288" s="70">
        <v>0.0</v>
      </c>
      <c r="E2288" s="70">
        <v>0.0</v>
      </c>
      <c r="F2288" s="70">
        <v>0.0</v>
      </c>
      <c r="G2288" s="70">
        <v>0.0</v>
      </c>
      <c r="H2288" s="70" t="s">
        <v>18163</v>
      </c>
      <c r="I2288" s="70">
        <v>1995.0</v>
      </c>
      <c r="J2288" s="70" t="s">
        <v>18161</v>
      </c>
      <c r="K2288" s="70" t="s">
        <v>18162</v>
      </c>
      <c r="L2288" s="70" t="s">
        <v>17438</v>
      </c>
      <c r="N2288" s="70" t="s">
        <v>17439</v>
      </c>
      <c r="P2288" s="76">
        <v>44644.0</v>
      </c>
      <c r="U2288" s="70" t="s">
        <v>239</v>
      </c>
      <c r="W2288" s="70" t="s">
        <v>18165</v>
      </c>
      <c r="Y2288" s="70" t="s">
        <v>30876</v>
      </c>
      <c r="Z2288" s="75" t="s">
        <v>18167</v>
      </c>
      <c r="AA2288" s="70" t="s">
        <v>18168</v>
      </c>
      <c r="AC2288" s="70">
        <v>26.0</v>
      </c>
      <c r="AE2288" s="70">
        <v>50.0</v>
      </c>
      <c r="AF2288" s="70" t="s">
        <v>239</v>
      </c>
      <c r="AW2288" s="70" t="s">
        <v>18169</v>
      </c>
      <c r="AX2288" s="70">
        <v>0.0</v>
      </c>
      <c r="AY2288" s="70" t="s">
        <v>24</v>
      </c>
      <c r="AZ2288" s="70">
        <v>1680.0</v>
      </c>
    </row>
    <row r="2289" ht="22.5" customHeight="1">
      <c r="A2289" s="70" t="str">
        <f t="shared" si="1"/>
        <v>Excluded</v>
      </c>
      <c r="B2289" s="70">
        <f t="shared" si="2"/>
        <v>0</v>
      </c>
      <c r="C2289" s="70">
        <v>0.0</v>
      </c>
      <c r="D2289" s="70">
        <v>0.0</v>
      </c>
      <c r="E2289" s="70">
        <v>0.0</v>
      </c>
      <c r="F2289" s="70">
        <v>0.0</v>
      </c>
      <c r="G2289" s="70">
        <v>0.0</v>
      </c>
      <c r="H2289" s="70" t="s">
        <v>18325</v>
      </c>
      <c r="I2289" s="70">
        <v>2013.0</v>
      </c>
      <c r="J2289" s="70" t="s">
        <v>18323</v>
      </c>
      <c r="K2289" s="70" t="s">
        <v>18324</v>
      </c>
      <c r="L2289" s="70" t="s">
        <v>17438</v>
      </c>
      <c r="N2289" s="70" t="s">
        <v>17439</v>
      </c>
      <c r="P2289" s="76">
        <v>44672.0</v>
      </c>
      <c r="U2289" s="70" t="s">
        <v>239</v>
      </c>
      <c r="W2289" s="70" t="s">
        <v>30877</v>
      </c>
      <c r="Y2289" s="70" t="s">
        <v>30878</v>
      </c>
      <c r="Z2289" s="75" t="s">
        <v>18329</v>
      </c>
      <c r="AA2289" s="70" t="s">
        <v>18330</v>
      </c>
      <c r="AC2289" s="70">
        <v>23.0</v>
      </c>
      <c r="AE2289" s="70">
        <v>40.0</v>
      </c>
      <c r="AF2289" s="70" t="s">
        <v>239</v>
      </c>
      <c r="AW2289" s="70" t="s">
        <v>18331</v>
      </c>
      <c r="AX2289" s="70">
        <v>0.0</v>
      </c>
      <c r="AY2289" s="70" t="s">
        <v>24</v>
      </c>
      <c r="AZ2289" s="70">
        <v>1768.0</v>
      </c>
    </row>
    <row r="2290" ht="22.5" customHeight="1">
      <c r="A2290" s="70" t="str">
        <f t="shared" si="1"/>
        <v>Excluded</v>
      </c>
      <c r="B2290" s="70">
        <f t="shared" si="2"/>
        <v>0</v>
      </c>
      <c r="C2290" s="70">
        <v>0.0</v>
      </c>
      <c r="D2290" s="70">
        <v>0.0</v>
      </c>
      <c r="E2290" s="70">
        <v>0.0</v>
      </c>
      <c r="F2290" s="70">
        <v>0.0</v>
      </c>
      <c r="G2290" s="70">
        <v>0.0</v>
      </c>
      <c r="H2290" s="70" t="s">
        <v>18745</v>
      </c>
      <c r="I2290" s="70">
        <v>2060.0</v>
      </c>
      <c r="J2290" s="70" t="s">
        <v>17436</v>
      </c>
      <c r="K2290" s="70" t="s">
        <v>18744</v>
      </c>
      <c r="L2290" s="70" t="s">
        <v>17438</v>
      </c>
      <c r="N2290" s="70" t="s">
        <v>17439</v>
      </c>
      <c r="P2290" s="76">
        <v>44677.0</v>
      </c>
      <c r="U2290" s="70" t="s">
        <v>239</v>
      </c>
      <c r="W2290" s="70" t="s">
        <v>30879</v>
      </c>
      <c r="Y2290" s="70" t="s">
        <v>30880</v>
      </c>
      <c r="Z2290" s="75" t="s">
        <v>18748</v>
      </c>
      <c r="AA2290" s="70" t="s">
        <v>18749</v>
      </c>
      <c r="AC2290" s="70">
        <v>17.0</v>
      </c>
      <c r="AE2290" s="70">
        <v>50.0</v>
      </c>
      <c r="AF2290" s="70" t="s">
        <v>239</v>
      </c>
      <c r="AW2290" s="70" t="s">
        <v>18750</v>
      </c>
      <c r="AX2290" s="70">
        <v>0.0</v>
      </c>
      <c r="AY2290" s="70" t="s">
        <v>24</v>
      </c>
      <c r="AZ2290" s="70">
        <v>2015.0</v>
      </c>
    </row>
    <row r="2291" ht="22.5" customHeight="1">
      <c r="A2291" s="70" t="str">
        <f t="shared" si="1"/>
        <v>Excluded</v>
      </c>
      <c r="B2291" s="70">
        <f t="shared" si="2"/>
        <v>0</v>
      </c>
      <c r="C2291" s="70">
        <v>0.0</v>
      </c>
      <c r="D2291" s="70">
        <v>0.0</v>
      </c>
      <c r="E2291" s="70">
        <v>0.0</v>
      </c>
      <c r="F2291" s="70">
        <v>0.0</v>
      </c>
      <c r="G2291" s="70">
        <v>0.0</v>
      </c>
      <c r="H2291" s="70" t="s">
        <v>25927</v>
      </c>
      <c r="I2291" s="70">
        <v>2816.0</v>
      </c>
      <c r="J2291" s="70" t="s">
        <v>25925</v>
      </c>
      <c r="K2291" s="70" t="s">
        <v>25926</v>
      </c>
      <c r="W2291" s="70" t="s">
        <v>30881</v>
      </c>
      <c r="AA2291" s="70" t="s">
        <v>25929</v>
      </c>
      <c r="AI2291" s="70" t="s">
        <v>25930</v>
      </c>
      <c r="AJ2291" s="70" t="s">
        <v>25931</v>
      </c>
      <c r="AK2291" s="70">
        <v>2023.0</v>
      </c>
      <c r="AL2291" s="70" t="s">
        <v>17438</v>
      </c>
      <c r="AN2291" s="70">
        <v>2188.0</v>
      </c>
      <c r="AO2291" s="70">
        <v>2203.0</v>
      </c>
      <c r="AP2291" s="70">
        <v>15.0</v>
      </c>
      <c r="AQ2291" s="70">
        <v>4.0</v>
      </c>
      <c r="AR2291" s="75" t="s">
        <v>25932</v>
      </c>
      <c r="AS2291" s="70" t="s">
        <v>22525</v>
      </c>
      <c r="AU2291" s="70" t="s">
        <v>237</v>
      </c>
      <c r="AV2291" s="70" t="s">
        <v>25933</v>
      </c>
      <c r="AW2291" s="70" t="s">
        <v>25934</v>
      </c>
      <c r="AX2291" s="70">
        <v>0.0</v>
      </c>
      <c r="AY2291" s="70" t="s">
        <v>24</v>
      </c>
      <c r="AZ2291" s="70">
        <v>2103.0</v>
      </c>
    </row>
    <row r="2292" ht="22.5" customHeight="1">
      <c r="A2292" s="70" t="str">
        <f t="shared" si="1"/>
        <v>Excluded</v>
      </c>
      <c r="B2292" s="70">
        <f t="shared" si="2"/>
        <v>0</v>
      </c>
      <c r="C2292" s="70">
        <v>0.0</v>
      </c>
      <c r="D2292" s="70">
        <v>0.0</v>
      </c>
      <c r="E2292" s="70">
        <v>0.0</v>
      </c>
      <c r="F2292" s="70">
        <v>0.0</v>
      </c>
      <c r="G2292" s="70">
        <v>0.0</v>
      </c>
      <c r="H2292" s="70" t="s">
        <v>20924</v>
      </c>
      <c r="I2292" s="70">
        <v>2304.0</v>
      </c>
      <c r="J2292" s="70" t="s">
        <v>20922</v>
      </c>
      <c r="K2292" s="70" t="s">
        <v>20923</v>
      </c>
      <c r="L2292" s="70" t="s">
        <v>17438</v>
      </c>
      <c r="N2292" s="70" t="s">
        <v>17439</v>
      </c>
      <c r="P2292" s="77">
        <v>45323.0</v>
      </c>
      <c r="U2292" s="70" t="s">
        <v>239</v>
      </c>
      <c r="W2292" s="70" t="s">
        <v>30882</v>
      </c>
      <c r="Y2292" s="70" t="s">
        <v>30883</v>
      </c>
      <c r="Z2292" s="75" t="s">
        <v>20928</v>
      </c>
      <c r="AA2292" s="70" t="s">
        <v>20929</v>
      </c>
      <c r="AC2292" s="70">
        <v>2.0</v>
      </c>
      <c r="AE2292" s="70">
        <v>48.0</v>
      </c>
      <c r="AF2292" s="70" t="s">
        <v>16727</v>
      </c>
      <c r="AW2292" s="70" t="s">
        <v>20930</v>
      </c>
      <c r="AX2292" s="70">
        <v>0.0</v>
      </c>
      <c r="AY2292" s="70" t="s">
        <v>24</v>
      </c>
      <c r="AZ2292" s="70">
        <v>2472.0</v>
      </c>
    </row>
    <row r="2293" ht="22.5" customHeight="1">
      <c r="A2293" s="70" t="str">
        <f t="shared" si="1"/>
        <v>Excluded</v>
      </c>
      <c r="B2293" s="70">
        <f t="shared" si="2"/>
        <v>0</v>
      </c>
      <c r="C2293" s="70">
        <v>0.0</v>
      </c>
      <c r="D2293" s="70">
        <v>0.0</v>
      </c>
      <c r="E2293" s="70">
        <v>0.0</v>
      </c>
      <c r="F2293" s="70">
        <v>0.0</v>
      </c>
      <c r="G2293" s="70">
        <v>0.0</v>
      </c>
      <c r="H2293" s="70" t="s">
        <v>24294</v>
      </c>
      <c r="I2293" s="70">
        <v>2658.0</v>
      </c>
      <c r="J2293" s="70" t="s">
        <v>24292</v>
      </c>
      <c r="K2293" s="70" t="s">
        <v>24293</v>
      </c>
      <c r="W2293" s="70" t="s">
        <v>30884</v>
      </c>
      <c r="AA2293" s="70" t="s">
        <v>24296</v>
      </c>
      <c r="AI2293" s="70" t="s">
        <v>24297</v>
      </c>
      <c r="AJ2293" s="70" t="s">
        <v>24298</v>
      </c>
      <c r="AK2293" s="70">
        <v>2024.0</v>
      </c>
      <c r="AL2293" s="70" t="s">
        <v>17438</v>
      </c>
      <c r="AN2293" s="70">
        <v>594.0</v>
      </c>
      <c r="AO2293" s="70">
        <v>608.0</v>
      </c>
      <c r="AP2293" s="70">
        <v>14.0</v>
      </c>
      <c r="AQ2293" s="70">
        <v>2.0</v>
      </c>
      <c r="AR2293" s="75" t="s">
        <v>24299</v>
      </c>
      <c r="AS2293" s="70" t="s">
        <v>22525</v>
      </c>
      <c r="AU2293" s="70" t="s">
        <v>237</v>
      </c>
      <c r="AV2293" s="70" t="s">
        <v>24300</v>
      </c>
      <c r="AW2293" s="70" t="s">
        <v>24301</v>
      </c>
      <c r="AX2293" s="70">
        <v>0.0</v>
      </c>
      <c r="AY2293" s="70" t="s">
        <v>24</v>
      </c>
      <c r="AZ2293" s="70">
        <v>2140.0</v>
      </c>
    </row>
    <row r="2294" ht="22.5" customHeight="1">
      <c r="A2294" s="70" t="str">
        <f t="shared" si="1"/>
        <v>Excluded</v>
      </c>
      <c r="B2294" s="70">
        <f t="shared" si="2"/>
        <v>0</v>
      </c>
      <c r="C2294" s="70">
        <v>0.0</v>
      </c>
      <c r="D2294" s="70">
        <v>0.0</v>
      </c>
      <c r="E2294" s="70">
        <v>0.0</v>
      </c>
      <c r="F2294" s="70">
        <v>0.0</v>
      </c>
      <c r="G2294" s="70">
        <v>0.0</v>
      </c>
      <c r="H2294" s="70" t="s">
        <v>21751</v>
      </c>
      <c r="I2294" s="70">
        <v>2398.0</v>
      </c>
      <c r="J2294" s="70" t="s">
        <v>21749</v>
      </c>
      <c r="K2294" s="70" t="s">
        <v>21750</v>
      </c>
      <c r="L2294" s="70" t="s">
        <v>17438</v>
      </c>
      <c r="N2294" s="70" t="s">
        <v>17439</v>
      </c>
      <c r="P2294" s="78">
        <v>45422.0</v>
      </c>
      <c r="U2294" s="70" t="s">
        <v>239</v>
      </c>
      <c r="W2294" s="70" t="s">
        <v>30885</v>
      </c>
      <c r="Z2294" s="75" t="s">
        <v>21754</v>
      </c>
      <c r="AA2294" s="70" t="s">
        <v>21755</v>
      </c>
      <c r="AE2294" s="70">
        <v>56.0</v>
      </c>
      <c r="AF2294" s="70" t="s">
        <v>239</v>
      </c>
      <c r="AW2294" s="70" t="s">
        <v>21756</v>
      </c>
      <c r="AX2294" s="70">
        <v>0.0</v>
      </c>
      <c r="AY2294" s="70" t="s">
        <v>24</v>
      </c>
      <c r="AZ2294" s="70">
        <v>2414.0</v>
      </c>
    </row>
    <row r="2295" ht="22.5" customHeight="1">
      <c r="A2295" s="70" t="str">
        <f t="shared" si="1"/>
        <v>Excluded</v>
      </c>
      <c r="B2295" s="70">
        <f t="shared" si="2"/>
        <v>0</v>
      </c>
      <c r="C2295" s="70">
        <v>0.0</v>
      </c>
      <c r="D2295" s="70">
        <v>0.0</v>
      </c>
      <c r="E2295" s="70">
        <v>0.0</v>
      </c>
      <c r="F2295" s="70">
        <v>0.0</v>
      </c>
      <c r="G2295" s="70">
        <v>0.0</v>
      </c>
      <c r="H2295" s="70" t="s">
        <v>21415</v>
      </c>
      <c r="I2295" s="70">
        <v>2359.0</v>
      </c>
      <c r="J2295" s="70" t="s">
        <v>21413</v>
      </c>
      <c r="K2295" s="70" t="s">
        <v>30886</v>
      </c>
      <c r="L2295" s="70" t="s">
        <v>17438</v>
      </c>
      <c r="N2295" s="70" t="s">
        <v>17439</v>
      </c>
      <c r="P2295" s="78">
        <v>45443.0</v>
      </c>
      <c r="U2295" s="70" t="s">
        <v>239</v>
      </c>
      <c r="W2295" s="70" t="s">
        <v>30887</v>
      </c>
      <c r="Y2295" s="70" t="s">
        <v>30888</v>
      </c>
      <c r="Z2295" s="75" t="s">
        <v>21419</v>
      </c>
      <c r="AA2295" s="70" t="s">
        <v>21420</v>
      </c>
      <c r="AC2295" s="70">
        <v>1.0</v>
      </c>
      <c r="AE2295" s="70">
        <v>41.0</v>
      </c>
      <c r="AF2295" s="70" t="s">
        <v>239</v>
      </c>
      <c r="AW2295" s="70" t="s">
        <v>21421</v>
      </c>
      <c r="AX2295" s="70">
        <v>0.0</v>
      </c>
      <c r="AY2295" s="70" t="s">
        <v>24</v>
      </c>
      <c r="AZ2295" s="70">
        <v>2152.0</v>
      </c>
    </row>
    <row r="2296" ht="22.5" customHeight="1">
      <c r="A2296" s="70" t="str">
        <f t="shared" si="1"/>
        <v>Excluded</v>
      </c>
      <c r="B2296" s="70">
        <f t="shared" si="2"/>
        <v>0</v>
      </c>
      <c r="C2296" s="70">
        <v>0.0</v>
      </c>
      <c r="D2296" s="70">
        <v>0.0</v>
      </c>
      <c r="E2296" s="70">
        <v>0.0</v>
      </c>
      <c r="F2296" s="70">
        <v>0.0</v>
      </c>
      <c r="G2296" s="70">
        <v>0.0</v>
      </c>
      <c r="H2296" s="70" t="s">
        <v>22148</v>
      </c>
      <c r="I2296" s="70">
        <v>2443.0</v>
      </c>
      <c r="J2296" s="70" t="s">
        <v>22146</v>
      </c>
      <c r="K2296" s="70" t="s">
        <v>22147</v>
      </c>
      <c r="L2296" s="70" t="s">
        <v>17438</v>
      </c>
      <c r="N2296" s="70" t="s">
        <v>17439</v>
      </c>
      <c r="P2296" s="76">
        <v>45551.0</v>
      </c>
      <c r="U2296" s="70" t="s">
        <v>239</v>
      </c>
      <c r="W2296" s="70" t="s">
        <v>22150</v>
      </c>
      <c r="Y2296" s="70" t="s">
        <v>30889</v>
      </c>
      <c r="Z2296" s="75" t="s">
        <v>22152</v>
      </c>
      <c r="AA2296" s="70" t="s">
        <v>22153</v>
      </c>
      <c r="AE2296" s="70">
        <v>51.0</v>
      </c>
      <c r="AF2296" s="70" t="s">
        <v>239</v>
      </c>
      <c r="AW2296" s="70" t="s">
        <v>22154</v>
      </c>
      <c r="AX2296" s="70">
        <v>0.0</v>
      </c>
      <c r="AY2296" s="70" t="s">
        <v>24</v>
      </c>
      <c r="AZ2296" s="70">
        <v>2792.0</v>
      </c>
    </row>
    <row r="2297" ht="22.5" customHeight="1">
      <c r="A2297" s="70" t="str">
        <f t="shared" si="1"/>
        <v>Excluded</v>
      </c>
      <c r="B2297" s="70">
        <f t="shared" si="2"/>
        <v>0</v>
      </c>
      <c r="C2297" s="70">
        <v>0.0</v>
      </c>
      <c r="D2297" s="70">
        <v>0.0</v>
      </c>
      <c r="E2297" s="70">
        <v>0.0</v>
      </c>
      <c r="F2297" s="70">
        <v>0.0</v>
      </c>
      <c r="G2297" s="70">
        <v>0.0</v>
      </c>
      <c r="H2297" s="70" t="s">
        <v>24264</v>
      </c>
      <c r="I2297" s="70">
        <v>2655.0</v>
      </c>
      <c r="J2297" s="70" t="s">
        <v>24262</v>
      </c>
      <c r="K2297" s="70" t="s">
        <v>24263</v>
      </c>
      <c r="W2297" s="70" t="s">
        <v>30890</v>
      </c>
      <c r="AA2297" s="70" t="s">
        <v>24266</v>
      </c>
      <c r="AI2297" s="70" t="s">
        <v>24267</v>
      </c>
      <c r="AJ2297" s="70" t="s">
        <v>24268</v>
      </c>
      <c r="AK2297" s="70">
        <v>2024.0</v>
      </c>
      <c r="AL2297" s="70" t="s">
        <v>17438</v>
      </c>
      <c r="AN2297" s="70">
        <v>1344.0</v>
      </c>
      <c r="AO2297" s="70">
        <v>1358.0</v>
      </c>
      <c r="AP2297" s="70">
        <v>14.0</v>
      </c>
      <c r="AQ2297" s="70">
        <v>0.0</v>
      </c>
      <c r="AR2297" s="75" t="s">
        <v>24269</v>
      </c>
      <c r="AS2297" s="70" t="s">
        <v>22525</v>
      </c>
      <c r="AT2297" s="70" t="s">
        <v>22816</v>
      </c>
      <c r="AU2297" s="70" t="s">
        <v>237</v>
      </c>
      <c r="AV2297" s="70" t="s">
        <v>24270</v>
      </c>
      <c r="AW2297" s="70" t="s">
        <v>24271</v>
      </c>
      <c r="AZ2297" s="70">
        <v>973.0</v>
      </c>
    </row>
    <row r="2298" ht="22.5" customHeight="1">
      <c r="A2298" s="70" t="str">
        <f t="shared" si="1"/>
        <v>Excluded</v>
      </c>
      <c r="B2298" s="70">
        <f t="shared" si="2"/>
        <v>0</v>
      </c>
      <c r="C2298" s="70">
        <v>0.0</v>
      </c>
      <c r="D2298" s="70">
        <v>0.0</v>
      </c>
      <c r="E2298" s="70">
        <v>0.0</v>
      </c>
      <c r="F2298" s="70">
        <v>0.0</v>
      </c>
      <c r="G2298" s="70">
        <v>0.0</v>
      </c>
      <c r="H2298" s="70" t="s">
        <v>22356</v>
      </c>
      <c r="I2298" s="70">
        <v>2466.0</v>
      </c>
      <c r="J2298" s="70" t="s">
        <v>22354</v>
      </c>
      <c r="K2298" s="70" t="s">
        <v>22355</v>
      </c>
      <c r="L2298" s="70" t="s">
        <v>17438</v>
      </c>
      <c r="N2298" s="70" t="s">
        <v>17439</v>
      </c>
      <c r="P2298" s="76">
        <v>45650.0</v>
      </c>
      <c r="U2298" s="70" t="s">
        <v>239</v>
      </c>
      <c r="W2298" s="70" t="s">
        <v>30891</v>
      </c>
      <c r="Y2298" s="70" t="s">
        <v>30892</v>
      </c>
      <c r="Z2298" s="75" t="s">
        <v>22360</v>
      </c>
      <c r="AA2298" s="70" t="s">
        <v>22361</v>
      </c>
      <c r="AE2298" s="70">
        <v>59.0</v>
      </c>
      <c r="AF2298" s="70" t="s">
        <v>239</v>
      </c>
      <c r="AW2298" s="70" t="s">
        <v>22362</v>
      </c>
      <c r="AX2298" s="70">
        <v>0.0</v>
      </c>
      <c r="AY2298" s="70" t="s">
        <v>24</v>
      </c>
      <c r="AZ2298" s="70">
        <v>1929.0</v>
      </c>
    </row>
    <row r="2299" ht="22.5" customHeight="1">
      <c r="A2299" s="70" t="str">
        <f t="shared" si="1"/>
        <v>Excluded</v>
      </c>
      <c r="B2299" s="70">
        <f t="shared" si="2"/>
        <v>0</v>
      </c>
      <c r="C2299" s="70">
        <v>0.0</v>
      </c>
      <c r="D2299" s="70">
        <v>0.0</v>
      </c>
      <c r="E2299" s="70">
        <v>0.0</v>
      </c>
      <c r="F2299" s="70">
        <v>0.0</v>
      </c>
      <c r="G2299" s="70">
        <v>0.0</v>
      </c>
      <c r="H2299" s="70" t="s">
        <v>27325</v>
      </c>
      <c r="I2299" s="70">
        <v>2952.0</v>
      </c>
      <c r="J2299" s="70" t="s">
        <v>27323</v>
      </c>
      <c r="K2299" s="70" t="s">
        <v>27324</v>
      </c>
      <c r="W2299" s="70" t="s">
        <v>30893</v>
      </c>
      <c r="AA2299" s="70" t="s">
        <v>27327</v>
      </c>
      <c r="AI2299" s="70" t="s">
        <v>27328</v>
      </c>
      <c r="AJ2299" s="70" t="s">
        <v>27329</v>
      </c>
      <c r="AK2299" s="70">
        <v>2021.0</v>
      </c>
      <c r="AL2299" s="70" t="s">
        <v>21849</v>
      </c>
      <c r="AN2299" s="70">
        <v>881.0</v>
      </c>
      <c r="AO2299" s="70">
        <v>892.0</v>
      </c>
      <c r="AP2299" s="70">
        <v>11.0</v>
      </c>
      <c r="AQ2299" s="70">
        <v>176.0</v>
      </c>
      <c r="AR2299" s="75" t="s">
        <v>27330</v>
      </c>
      <c r="AS2299" s="70" t="s">
        <v>22525</v>
      </c>
      <c r="AT2299" s="70" t="s">
        <v>22816</v>
      </c>
      <c r="AU2299" s="70" t="s">
        <v>237</v>
      </c>
      <c r="AV2299" s="70" t="s">
        <v>27331</v>
      </c>
      <c r="AW2299" s="70" t="s">
        <v>27332</v>
      </c>
      <c r="AX2299" s="70">
        <v>0.0</v>
      </c>
      <c r="AY2299" s="70" t="s">
        <v>24</v>
      </c>
      <c r="AZ2299" s="70">
        <v>1708.0</v>
      </c>
    </row>
    <row r="2300" ht="22.5" customHeight="1">
      <c r="A2300" s="70" t="str">
        <f t="shared" si="1"/>
        <v>Excluded</v>
      </c>
      <c r="B2300" s="70">
        <f t="shared" si="2"/>
        <v>0</v>
      </c>
      <c r="C2300" s="70">
        <v>0.0</v>
      </c>
      <c r="D2300" s="70">
        <v>0.0</v>
      </c>
      <c r="E2300" s="70">
        <v>0.0</v>
      </c>
      <c r="F2300" s="70">
        <v>0.0</v>
      </c>
      <c r="G2300" s="70">
        <v>0.0</v>
      </c>
      <c r="H2300" s="70" t="s">
        <v>21851</v>
      </c>
      <c r="I2300" s="70">
        <v>2409.0</v>
      </c>
      <c r="J2300" s="70" t="s">
        <v>21847</v>
      </c>
      <c r="K2300" s="70" t="s">
        <v>21848</v>
      </c>
      <c r="L2300" s="70" t="s">
        <v>21849</v>
      </c>
      <c r="N2300" s="70" t="s">
        <v>21850</v>
      </c>
      <c r="P2300" s="77">
        <v>45510.0</v>
      </c>
      <c r="U2300" s="70" t="s">
        <v>239</v>
      </c>
      <c r="W2300" s="70" t="s">
        <v>21853</v>
      </c>
      <c r="Y2300" s="70" t="s">
        <v>21854</v>
      </c>
      <c r="Z2300" s="75" t="s">
        <v>21855</v>
      </c>
      <c r="AA2300" s="70" t="s">
        <v>21856</v>
      </c>
      <c r="AE2300" s="70">
        <v>34.0</v>
      </c>
      <c r="AF2300" s="70" t="s">
        <v>239</v>
      </c>
      <c r="AW2300" s="70" t="s">
        <v>21857</v>
      </c>
      <c r="AZ2300" s="70">
        <v>1065.0</v>
      </c>
    </row>
    <row r="2301" ht="22.5" customHeight="1">
      <c r="A2301" s="70" t="str">
        <f t="shared" si="1"/>
        <v>Excluded</v>
      </c>
      <c r="B2301" s="70">
        <f t="shared" si="2"/>
        <v>0</v>
      </c>
      <c r="C2301" s="70">
        <v>0.0</v>
      </c>
      <c r="D2301" s="70">
        <v>0.0</v>
      </c>
      <c r="E2301" s="70">
        <v>0.0</v>
      </c>
      <c r="F2301" s="70">
        <v>0.0</v>
      </c>
      <c r="G2301" s="70">
        <v>0.0</v>
      </c>
      <c r="H2301" s="70" t="s">
        <v>20364</v>
      </c>
      <c r="I2301" s="70">
        <v>2242.0</v>
      </c>
      <c r="J2301" s="70" t="s">
        <v>30894</v>
      </c>
      <c r="K2301" s="70" t="s">
        <v>20363</v>
      </c>
      <c r="L2301" s="70" t="s">
        <v>18916</v>
      </c>
      <c r="N2301" s="70" t="s">
        <v>18917</v>
      </c>
      <c r="P2301" s="76">
        <v>44064.0</v>
      </c>
      <c r="U2301" s="70" t="s">
        <v>239</v>
      </c>
      <c r="W2301" s="70" t="s">
        <v>20366</v>
      </c>
      <c r="Y2301" s="70" t="s">
        <v>30895</v>
      </c>
      <c r="Z2301" s="75" t="s">
        <v>20368</v>
      </c>
      <c r="AA2301" s="70" t="s">
        <v>20369</v>
      </c>
      <c r="AC2301" s="70">
        <v>4.0</v>
      </c>
      <c r="AE2301" s="70">
        <v>33.0</v>
      </c>
      <c r="AF2301" s="70" t="s">
        <v>16423</v>
      </c>
      <c r="AW2301" s="70" t="s">
        <v>20370</v>
      </c>
      <c r="AX2301" s="70">
        <v>0.0</v>
      </c>
      <c r="AY2301" s="70" t="s">
        <v>24</v>
      </c>
      <c r="AZ2301" s="70">
        <v>2108.0</v>
      </c>
    </row>
    <row r="2302" ht="22.5" customHeight="1">
      <c r="A2302" s="70" t="str">
        <f t="shared" si="1"/>
        <v>Excluded</v>
      </c>
      <c r="B2302" s="70">
        <f t="shared" si="2"/>
        <v>0</v>
      </c>
      <c r="C2302" s="70">
        <v>0.0</v>
      </c>
      <c r="D2302" s="70">
        <v>0.0</v>
      </c>
      <c r="E2302" s="70">
        <v>0.0</v>
      </c>
      <c r="F2302" s="70">
        <v>0.0</v>
      </c>
      <c r="G2302" s="70">
        <v>0.0</v>
      </c>
      <c r="H2302" s="70" t="s">
        <v>20017</v>
      </c>
      <c r="I2302" s="70">
        <v>2203.0</v>
      </c>
      <c r="J2302" s="70" t="s">
        <v>20015</v>
      </c>
      <c r="K2302" s="70" t="s">
        <v>20016</v>
      </c>
      <c r="L2302" s="70" t="s">
        <v>18916</v>
      </c>
      <c r="N2302" s="70" t="s">
        <v>18917</v>
      </c>
      <c r="P2302" s="76">
        <v>45288.0</v>
      </c>
      <c r="U2302" s="70" t="s">
        <v>239</v>
      </c>
      <c r="W2302" s="70" t="s">
        <v>20019</v>
      </c>
      <c r="Y2302" s="70" t="s">
        <v>30896</v>
      </c>
      <c r="Z2302" s="75" t="s">
        <v>20021</v>
      </c>
      <c r="AA2302" s="70" t="s">
        <v>20022</v>
      </c>
      <c r="AC2302" s="70">
        <v>6.0</v>
      </c>
      <c r="AE2302" s="70">
        <v>40.0</v>
      </c>
      <c r="AF2302" s="70" t="s">
        <v>239</v>
      </c>
      <c r="AW2302" s="70" t="s">
        <v>20023</v>
      </c>
      <c r="AZ2302" s="70">
        <v>168.0</v>
      </c>
    </row>
    <row r="2303" ht="22.5" customHeight="1">
      <c r="A2303" s="70" t="str">
        <f t="shared" si="1"/>
        <v>Excluded</v>
      </c>
      <c r="B2303" s="70">
        <f t="shared" si="2"/>
        <v>0</v>
      </c>
      <c r="C2303" s="70">
        <v>0.0</v>
      </c>
      <c r="D2303" s="70">
        <v>0.0</v>
      </c>
      <c r="E2303" s="70">
        <v>0.0</v>
      </c>
      <c r="F2303" s="70">
        <v>0.0</v>
      </c>
      <c r="G2303" s="70">
        <v>0.0</v>
      </c>
      <c r="H2303" s="70" t="s">
        <v>20237</v>
      </c>
      <c r="I2303" s="70">
        <v>2228.0</v>
      </c>
      <c r="J2303" s="70" t="s">
        <v>20235</v>
      </c>
      <c r="K2303" s="70" t="s">
        <v>20236</v>
      </c>
      <c r="L2303" s="70" t="s">
        <v>18916</v>
      </c>
      <c r="N2303" s="70" t="s">
        <v>18917</v>
      </c>
      <c r="P2303" s="76">
        <v>45348.0</v>
      </c>
      <c r="U2303" s="70" t="s">
        <v>239</v>
      </c>
      <c r="W2303" s="70" t="s">
        <v>20239</v>
      </c>
      <c r="Z2303" s="75" t="s">
        <v>20240</v>
      </c>
      <c r="AA2303" s="70" t="s">
        <v>20241</v>
      </c>
      <c r="AC2303" s="70">
        <v>5.0</v>
      </c>
      <c r="AE2303" s="70">
        <v>23.0</v>
      </c>
      <c r="AF2303" s="70" t="s">
        <v>239</v>
      </c>
      <c r="AW2303" s="70" t="s">
        <v>20242</v>
      </c>
      <c r="AX2303" s="70">
        <v>0.0</v>
      </c>
      <c r="AY2303" s="70" t="s">
        <v>24</v>
      </c>
      <c r="AZ2303" s="70">
        <v>2484.0</v>
      </c>
    </row>
    <row r="2304" ht="22.5" customHeight="1">
      <c r="A2304" s="70" t="str">
        <f t="shared" si="1"/>
        <v>Excluded</v>
      </c>
      <c r="B2304" s="70">
        <f t="shared" si="2"/>
        <v>0</v>
      </c>
      <c r="C2304" s="70">
        <v>0.0</v>
      </c>
      <c r="D2304" s="70">
        <v>0.0</v>
      </c>
      <c r="E2304" s="70">
        <v>0.0</v>
      </c>
      <c r="F2304" s="70">
        <v>0.0</v>
      </c>
      <c r="G2304" s="70">
        <v>0.0</v>
      </c>
      <c r="H2304" s="70" t="s">
        <v>20839</v>
      </c>
      <c r="I2304" s="70">
        <v>2295.0</v>
      </c>
      <c r="J2304" s="70" t="s">
        <v>20837</v>
      </c>
      <c r="K2304" s="70" t="s">
        <v>30897</v>
      </c>
      <c r="L2304" s="70" t="s">
        <v>18916</v>
      </c>
      <c r="N2304" s="70" t="s">
        <v>18917</v>
      </c>
      <c r="P2304" s="76">
        <v>45370.0</v>
      </c>
      <c r="U2304" s="70" t="s">
        <v>239</v>
      </c>
      <c r="W2304" s="70" t="s">
        <v>20841</v>
      </c>
      <c r="Y2304" s="70" t="s">
        <v>30898</v>
      </c>
      <c r="Z2304" s="75" t="s">
        <v>20843</v>
      </c>
      <c r="AA2304" s="70" t="s">
        <v>20844</v>
      </c>
      <c r="AC2304" s="70">
        <v>2.0</v>
      </c>
      <c r="AE2304" s="70">
        <v>19.0</v>
      </c>
      <c r="AF2304" s="70" t="s">
        <v>239</v>
      </c>
      <c r="AW2304" s="70" t="s">
        <v>20845</v>
      </c>
      <c r="AX2304" s="70">
        <v>0.0</v>
      </c>
      <c r="AY2304" s="70" t="s">
        <v>24</v>
      </c>
      <c r="AZ2304" s="70">
        <v>2886.0</v>
      </c>
    </row>
    <row r="2305" ht="22.5" customHeight="1">
      <c r="A2305" s="70" t="str">
        <f t="shared" si="1"/>
        <v>Excluded</v>
      </c>
      <c r="B2305" s="70">
        <f t="shared" si="2"/>
        <v>0</v>
      </c>
      <c r="C2305" s="70">
        <v>0.0</v>
      </c>
      <c r="D2305" s="70">
        <v>0.0</v>
      </c>
      <c r="E2305" s="70">
        <v>0.0</v>
      </c>
      <c r="F2305" s="70">
        <v>0.0</v>
      </c>
      <c r="G2305" s="70">
        <v>0.0</v>
      </c>
      <c r="H2305" s="70" t="s">
        <v>18918</v>
      </c>
      <c r="I2305" s="70">
        <v>2079.0</v>
      </c>
      <c r="J2305" s="70" t="s">
        <v>18914</v>
      </c>
      <c r="K2305" s="70" t="s">
        <v>18915</v>
      </c>
      <c r="L2305" s="70" t="s">
        <v>18916</v>
      </c>
      <c r="N2305" s="70" t="s">
        <v>18917</v>
      </c>
      <c r="P2305" s="76">
        <v>45369.0</v>
      </c>
      <c r="U2305" s="70" t="s">
        <v>239</v>
      </c>
      <c r="W2305" s="70" t="s">
        <v>18920</v>
      </c>
      <c r="Y2305" s="70" t="s">
        <v>18921</v>
      </c>
      <c r="Z2305" s="75" t="s">
        <v>18922</v>
      </c>
      <c r="AA2305" s="70" t="s">
        <v>18923</v>
      </c>
      <c r="AC2305" s="70">
        <v>15.0</v>
      </c>
      <c r="AE2305" s="70">
        <v>113.0</v>
      </c>
      <c r="AF2305" s="70" t="s">
        <v>239</v>
      </c>
      <c r="AW2305" s="70" t="s">
        <v>18924</v>
      </c>
      <c r="AZ2305" s="70">
        <v>755.0</v>
      </c>
    </row>
    <row r="2306" ht="22.5" customHeight="1">
      <c r="A2306" s="70" t="str">
        <f t="shared" si="1"/>
        <v>Excluded</v>
      </c>
      <c r="B2306" s="70">
        <f t="shared" si="2"/>
        <v>0</v>
      </c>
      <c r="C2306" s="70">
        <v>0.0</v>
      </c>
      <c r="D2306" s="70">
        <v>0.0</v>
      </c>
      <c r="E2306" s="70">
        <v>0.0</v>
      </c>
      <c r="F2306" s="70">
        <v>0.0</v>
      </c>
      <c r="G2306" s="70">
        <v>0.0</v>
      </c>
      <c r="H2306" s="70" t="s">
        <v>25129</v>
      </c>
      <c r="I2306" s="70">
        <v>2739.0</v>
      </c>
      <c r="J2306" s="70" t="s">
        <v>25127</v>
      </c>
      <c r="K2306" s="70" t="s">
        <v>25128</v>
      </c>
      <c r="W2306" s="70" t="s">
        <v>30899</v>
      </c>
      <c r="AA2306" s="70" t="s">
        <v>25131</v>
      </c>
      <c r="AI2306" s="70" t="s">
        <v>25132</v>
      </c>
      <c r="AJ2306" s="70" t="s">
        <v>25133</v>
      </c>
      <c r="AK2306" s="70">
        <v>2024.0</v>
      </c>
      <c r="AL2306" s="70" t="s">
        <v>18916</v>
      </c>
      <c r="AN2306" s="70">
        <v>5729.0</v>
      </c>
      <c r="AO2306" s="70">
        <v>5736.0</v>
      </c>
      <c r="AP2306" s="70">
        <v>7.0</v>
      </c>
      <c r="AQ2306" s="70">
        <v>1.0</v>
      </c>
      <c r="AR2306" s="75" t="s">
        <v>25134</v>
      </c>
      <c r="AS2306" s="70" t="s">
        <v>22525</v>
      </c>
      <c r="AU2306" s="70" t="s">
        <v>237</v>
      </c>
      <c r="AV2306" s="70" t="s">
        <v>25135</v>
      </c>
      <c r="AW2306" s="70" t="s">
        <v>25136</v>
      </c>
      <c r="AZ2306" s="70">
        <v>1243.0</v>
      </c>
    </row>
    <row r="2307" ht="22.5" customHeight="1">
      <c r="A2307" s="70" t="str">
        <f t="shared" si="1"/>
        <v>Excluded</v>
      </c>
      <c r="B2307" s="70">
        <f t="shared" si="2"/>
        <v>0</v>
      </c>
      <c r="C2307" s="70">
        <v>0.0</v>
      </c>
      <c r="D2307" s="70">
        <v>0.0</v>
      </c>
      <c r="E2307" s="70">
        <v>0.0</v>
      </c>
      <c r="F2307" s="70">
        <v>0.0</v>
      </c>
      <c r="G2307" s="70">
        <v>0.0</v>
      </c>
      <c r="H2307" s="70" t="s">
        <v>23684</v>
      </c>
      <c r="I2307" s="70">
        <v>2599.0</v>
      </c>
      <c r="J2307" s="70" t="s">
        <v>23682</v>
      </c>
      <c r="K2307" s="70" t="s">
        <v>23683</v>
      </c>
      <c r="W2307" s="70" t="s">
        <v>30900</v>
      </c>
      <c r="AA2307" s="70" t="s">
        <v>23686</v>
      </c>
      <c r="AI2307" s="70" t="s">
        <v>23687</v>
      </c>
      <c r="AJ2307" s="70">
        <v>5.5468464E10</v>
      </c>
      <c r="AK2307" s="70">
        <v>2024.0</v>
      </c>
      <c r="AL2307" s="70" t="s">
        <v>18916</v>
      </c>
      <c r="AQ2307" s="70">
        <v>0.0</v>
      </c>
      <c r="AR2307" s="75" t="s">
        <v>23688</v>
      </c>
      <c r="AS2307" s="70" t="s">
        <v>22588</v>
      </c>
      <c r="AU2307" s="70" t="s">
        <v>237</v>
      </c>
      <c r="AV2307" s="70" t="s">
        <v>23689</v>
      </c>
      <c r="AW2307" s="70" t="s">
        <v>23690</v>
      </c>
      <c r="AZ2307" s="70">
        <v>611.0</v>
      </c>
    </row>
    <row r="2308" ht="22.5" customHeight="1">
      <c r="A2308" s="70" t="str">
        <f t="shared" si="1"/>
        <v>Excluded</v>
      </c>
      <c r="B2308" s="70">
        <f t="shared" si="2"/>
        <v>0</v>
      </c>
      <c r="C2308" s="70">
        <v>0.0</v>
      </c>
      <c r="D2308" s="70">
        <v>0.0</v>
      </c>
      <c r="E2308" s="70">
        <v>0.0</v>
      </c>
      <c r="F2308" s="70">
        <v>0.0</v>
      </c>
      <c r="G2308" s="70">
        <v>0.0</v>
      </c>
      <c r="H2308" s="70" t="s">
        <v>26691</v>
      </c>
      <c r="I2308" s="70">
        <v>2891.0</v>
      </c>
      <c r="J2308" s="70" t="s">
        <v>26689</v>
      </c>
      <c r="K2308" s="70" t="s">
        <v>26690</v>
      </c>
      <c r="W2308" s="70" t="s">
        <v>30901</v>
      </c>
      <c r="AA2308" s="70" t="s">
        <v>26693</v>
      </c>
      <c r="AI2308" s="70" t="s">
        <v>26694</v>
      </c>
      <c r="AJ2308" s="70" t="s">
        <v>26695</v>
      </c>
      <c r="AK2308" s="70">
        <v>2022.0</v>
      </c>
      <c r="AL2308" s="70" t="s">
        <v>24370</v>
      </c>
      <c r="AN2308" s="70">
        <v>1058.0</v>
      </c>
      <c r="AO2308" s="70">
        <v>1071.0</v>
      </c>
      <c r="AP2308" s="70">
        <v>13.0</v>
      </c>
      <c r="AQ2308" s="70">
        <v>35.0</v>
      </c>
      <c r="AR2308" s="75" t="s">
        <v>26696</v>
      </c>
      <c r="AS2308" s="70" t="s">
        <v>22525</v>
      </c>
      <c r="AU2308" s="70" t="s">
        <v>237</v>
      </c>
      <c r="AV2308" s="70" t="s">
        <v>26697</v>
      </c>
      <c r="AW2308" s="70" t="s">
        <v>26698</v>
      </c>
      <c r="AX2308" s="70">
        <v>0.0</v>
      </c>
      <c r="AY2308" s="70" t="s">
        <v>24</v>
      </c>
      <c r="AZ2308" s="70">
        <v>2607.0</v>
      </c>
    </row>
    <row r="2309" ht="22.5" customHeight="1">
      <c r="A2309" s="70" t="str">
        <f t="shared" si="1"/>
        <v>Excluded</v>
      </c>
      <c r="B2309" s="70">
        <f t="shared" si="2"/>
        <v>0</v>
      </c>
      <c r="C2309" s="70">
        <v>0.0</v>
      </c>
      <c r="D2309" s="70">
        <v>0.0</v>
      </c>
      <c r="E2309" s="70">
        <v>0.0</v>
      </c>
      <c r="F2309" s="70">
        <v>0.0</v>
      </c>
      <c r="G2309" s="70">
        <v>0.0</v>
      </c>
      <c r="H2309" s="70" t="s">
        <v>24366</v>
      </c>
      <c r="I2309" s="70">
        <v>2665.0</v>
      </c>
      <c r="J2309" s="70" t="s">
        <v>24364</v>
      </c>
      <c r="K2309" s="70" t="s">
        <v>24365</v>
      </c>
      <c r="W2309" s="70" t="s">
        <v>30902</v>
      </c>
      <c r="AA2309" s="70" t="s">
        <v>24368</v>
      </c>
      <c r="AI2309" s="70" t="s">
        <v>24369</v>
      </c>
      <c r="AJ2309" s="70">
        <v>5.7044628E10</v>
      </c>
      <c r="AK2309" s="70">
        <v>2024.0</v>
      </c>
      <c r="AL2309" s="70" t="s">
        <v>24370</v>
      </c>
      <c r="AN2309" s="70">
        <v>7826.0</v>
      </c>
      <c r="AO2309" s="70">
        <v>7841.0</v>
      </c>
      <c r="AP2309" s="70">
        <v>15.0</v>
      </c>
      <c r="AQ2309" s="70">
        <v>0.0</v>
      </c>
      <c r="AR2309" s="75" t="s">
        <v>24371</v>
      </c>
      <c r="AS2309" s="70" t="s">
        <v>22525</v>
      </c>
      <c r="AT2309" s="70" t="s">
        <v>22526</v>
      </c>
      <c r="AU2309" s="70" t="s">
        <v>237</v>
      </c>
      <c r="AV2309" s="70" t="s">
        <v>24372</v>
      </c>
      <c r="AW2309" s="70" t="s">
        <v>24373</v>
      </c>
      <c r="AX2309" s="70">
        <v>0.0</v>
      </c>
      <c r="AY2309" s="70" t="s">
        <v>24</v>
      </c>
      <c r="AZ2309" s="70">
        <v>3094.0</v>
      </c>
    </row>
    <row r="2310" ht="22.5" customHeight="1">
      <c r="A2310" s="70" t="str">
        <f t="shared" si="1"/>
        <v>Excluded</v>
      </c>
      <c r="B2310" s="70">
        <f t="shared" si="2"/>
        <v>0</v>
      </c>
      <c r="C2310" s="70">
        <v>0.0</v>
      </c>
      <c r="D2310" s="70">
        <v>0.0</v>
      </c>
      <c r="E2310" s="70">
        <v>0.0</v>
      </c>
      <c r="F2310" s="70">
        <v>0.0</v>
      </c>
      <c r="G2310" s="70">
        <v>0.0</v>
      </c>
      <c r="H2310" s="70" t="s">
        <v>10749</v>
      </c>
      <c r="I2310" s="70">
        <v>1078.0</v>
      </c>
      <c r="K2310" s="70" t="s">
        <v>10748</v>
      </c>
      <c r="L2310" s="70" t="s">
        <v>5877</v>
      </c>
      <c r="P2310" s="79">
        <v>43958.0</v>
      </c>
      <c r="U2310" s="70" t="s">
        <v>239</v>
      </c>
      <c r="W2310" s="70" t="s">
        <v>10602</v>
      </c>
      <c r="X2310" s="70" t="s">
        <v>5881</v>
      </c>
      <c r="Z2310" s="75" t="s">
        <v>10750</v>
      </c>
      <c r="AF2310" s="70" t="s">
        <v>239</v>
      </c>
      <c r="AZ2310" s="70">
        <v>1519.0</v>
      </c>
    </row>
    <row r="2311" ht="22.5" customHeight="1">
      <c r="A2311" s="70" t="str">
        <f t="shared" si="1"/>
        <v>Excluded</v>
      </c>
      <c r="B2311" s="70">
        <f t="shared" si="2"/>
        <v>0</v>
      </c>
      <c r="C2311" s="70">
        <v>0.0</v>
      </c>
      <c r="D2311" s="70">
        <v>0.0</v>
      </c>
      <c r="E2311" s="70">
        <v>0.0</v>
      </c>
      <c r="F2311" s="70">
        <v>0.0</v>
      </c>
      <c r="G2311" s="70">
        <v>0.0</v>
      </c>
      <c r="H2311" s="70" t="s">
        <v>15761</v>
      </c>
      <c r="I2311" s="70">
        <v>1646.0</v>
      </c>
      <c r="J2311" s="70" t="s">
        <v>15758</v>
      </c>
      <c r="K2311" s="70" t="s">
        <v>15759</v>
      </c>
      <c r="L2311" s="70" t="s">
        <v>15760</v>
      </c>
      <c r="P2311" s="76">
        <v>45621.0</v>
      </c>
      <c r="U2311" s="70" t="s">
        <v>239</v>
      </c>
      <c r="W2311" s="70" t="s">
        <v>15763</v>
      </c>
      <c r="X2311" s="70" t="s">
        <v>15764</v>
      </c>
      <c r="Z2311" s="75" t="s">
        <v>15765</v>
      </c>
      <c r="AA2311" s="70" t="s">
        <v>15766</v>
      </c>
      <c r="AE2311" s="70">
        <v>11.0</v>
      </c>
      <c r="AF2311" s="70" t="s">
        <v>239</v>
      </c>
      <c r="AW2311" s="70" t="s">
        <v>15767</v>
      </c>
      <c r="AX2311" s="70">
        <v>0.0</v>
      </c>
      <c r="AY2311" s="70" t="s">
        <v>24</v>
      </c>
      <c r="AZ2311" s="70">
        <v>3009.0</v>
      </c>
    </row>
    <row r="2312" ht="22.5" customHeight="1">
      <c r="A2312" s="70" t="str">
        <f t="shared" si="1"/>
        <v>Excluded</v>
      </c>
      <c r="B2312" s="70">
        <f t="shared" si="2"/>
        <v>0</v>
      </c>
      <c r="C2312" s="70">
        <v>0.0</v>
      </c>
      <c r="D2312" s="70">
        <v>0.0</v>
      </c>
      <c r="E2312" s="70">
        <v>0.0</v>
      </c>
      <c r="F2312" s="70">
        <v>0.0</v>
      </c>
      <c r="G2312" s="70">
        <v>0.0</v>
      </c>
      <c r="H2312" s="70" t="s">
        <v>26589</v>
      </c>
      <c r="I2312" s="70">
        <v>2881.0</v>
      </c>
      <c r="J2312" s="70" t="s">
        <v>26587</v>
      </c>
      <c r="K2312" s="70" t="s">
        <v>26588</v>
      </c>
      <c r="W2312" s="70" t="s">
        <v>30903</v>
      </c>
      <c r="AA2312" s="70" t="s">
        <v>26591</v>
      </c>
      <c r="AI2312" s="70" t="s">
        <v>26592</v>
      </c>
      <c r="AJ2312" s="70" t="s">
        <v>26593</v>
      </c>
      <c r="AK2312" s="70">
        <v>2022.0</v>
      </c>
      <c r="AL2312" s="70" t="s">
        <v>26594</v>
      </c>
      <c r="AN2312" s="70">
        <v>1919.0</v>
      </c>
      <c r="AO2312" s="70">
        <v>1931.0</v>
      </c>
      <c r="AP2312" s="70">
        <v>12.0</v>
      </c>
      <c r="AQ2312" s="70">
        <v>6.0</v>
      </c>
      <c r="AR2312" s="75" t="s">
        <v>26595</v>
      </c>
      <c r="AS2312" s="70" t="s">
        <v>22525</v>
      </c>
      <c r="AT2312" s="70" t="s">
        <v>22656</v>
      </c>
      <c r="AU2312" s="70" t="s">
        <v>237</v>
      </c>
      <c r="AV2312" s="70" t="s">
        <v>26596</v>
      </c>
      <c r="AW2312" s="70" t="s">
        <v>26597</v>
      </c>
      <c r="AZ2312" s="70">
        <v>570.0</v>
      </c>
    </row>
    <row r="2313" ht="22.5" customHeight="1">
      <c r="A2313" s="70" t="str">
        <f t="shared" si="1"/>
        <v>Excluded</v>
      </c>
      <c r="B2313" s="70">
        <f t="shared" si="2"/>
        <v>0</v>
      </c>
      <c r="C2313" s="70">
        <v>0.0</v>
      </c>
      <c r="D2313" s="70">
        <v>0.0</v>
      </c>
      <c r="E2313" s="70">
        <v>0.0</v>
      </c>
      <c r="F2313" s="70">
        <v>0.0</v>
      </c>
      <c r="G2313" s="70">
        <v>0.0</v>
      </c>
      <c r="H2313" s="70" t="s">
        <v>17618</v>
      </c>
      <c r="I2313" s="70">
        <v>1934.0</v>
      </c>
      <c r="J2313" s="70" t="s">
        <v>17614</v>
      </c>
      <c r="K2313" s="70" t="s">
        <v>17615</v>
      </c>
      <c r="L2313" s="70" t="s">
        <v>17616</v>
      </c>
      <c r="N2313" s="70" t="s">
        <v>17617</v>
      </c>
      <c r="P2313" s="76">
        <v>44039.0</v>
      </c>
      <c r="U2313" s="70" t="s">
        <v>239</v>
      </c>
      <c r="W2313" s="70" t="s">
        <v>17620</v>
      </c>
      <c r="Y2313" s="70" t="s">
        <v>30904</v>
      </c>
      <c r="Z2313" s="75" t="s">
        <v>17622</v>
      </c>
      <c r="AA2313" s="70" t="s">
        <v>17623</v>
      </c>
      <c r="AC2313" s="70">
        <v>39.0</v>
      </c>
      <c r="AE2313" s="70">
        <v>39.0</v>
      </c>
      <c r="AF2313" s="70" t="s">
        <v>239</v>
      </c>
      <c r="AW2313" s="70" t="s">
        <v>17624</v>
      </c>
      <c r="AX2313" s="70">
        <v>0.0</v>
      </c>
      <c r="AY2313" s="70" t="s">
        <v>24</v>
      </c>
      <c r="AZ2313" s="70">
        <v>2331.0</v>
      </c>
    </row>
    <row r="2314" ht="22.5" customHeight="1">
      <c r="A2314" s="70" t="str">
        <f t="shared" si="1"/>
        <v>Excluded</v>
      </c>
      <c r="B2314" s="70">
        <f t="shared" si="2"/>
        <v>0</v>
      </c>
      <c r="C2314" s="70">
        <v>0.0</v>
      </c>
      <c r="D2314" s="70">
        <v>0.0</v>
      </c>
      <c r="E2314" s="70">
        <v>0.0</v>
      </c>
      <c r="F2314" s="70">
        <v>0.0</v>
      </c>
      <c r="G2314" s="70">
        <v>0.0</v>
      </c>
      <c r="H2314" s="70" t="s">
        <v>19786</v>
      </c>
      <c r="I2314" s="70">
        <v>2177.0</v>
      </c>
      <c r="J2314" s="70" t="s">
        <v>19784</v>
      </c>
      <c r="K2314" s="70" t="s">
        <v>19785</v>
      </c>
      <c r="L2314" s="70" t="s">
        <v>17616</v>
      </c>
      <c r="N2314" s="70" t="s">
        <v>17617</v>
      </c>
      <c r="P2314" s="76">
        <v>44755.0</v>
      </c>
      <c r="U2314" s="70" t="s">
        <v>239</v>
      </c>
      <c r="W2314" s="70" t="s">
        <v>19788</v>
      </c>
      <c r="Y2314" s="70" t="s">
        <v>30905</v>
      </c>
      <c r="Z2314" s="75" t="s">
        <v>19790</v>
      </c>
      <c r="AA2314" s="70" t="s">
        <v>19791</v>
      </c>
      <c r="AC2314" s="70">
        <v>8.0</v>
      </c>
      <c r="AE2314" s="70">
        <v>152.0</v>
      </c>
      <c r="AF2314" s="70" t="s">
        <v>239</v>
      </c>
      <c r="AW2314" s="70" t="s">
        <v>19792</v>
      </c>
      <c r="AZ2314" s="70">
        <v>965.0</v>
      </c>
    </row>
    <row r="2315" ht="22.5" customHeight="1">
      <c r="A2315" s="70" t="str">
        <f t="shared" si="1"/>
        <v>Excluded</v>
      </c>
      <c r="B2315" s="70">
        <f t="shared" si="2"/>
        <v>0</v>
      </c>
      <c r="C2315" s="70">
        <v>0.0</v>
      </c>
      <c r="D2315" s="70">
        <v>0.0</v>
      </c>
      <c r="E2315" s="70">
        <v>0.0</v>
      </c>
      <c r="F2315" s="70">
        <v>0.0</v>
      </c>
      <c r="G2315" s="70">
        <v>0.0</v>
      </c>
      <c r="H2315" s="70" t="s">
        <v>20176</v>
      </c>
      <c r="I2315" s="70">
        <v>2221.0</v>
      </c>
      <c r="J2315" s="70" t="s">
        <v>20174</v>
      </c>
      <c r="K2315" s="70" t="s">
        <v>20175</v>
      </c>
      <c r="L2315" s="70" t="s">
        <v>17616</v>
      </c>
      <c r="N2315" s="70" t="s">
        <v>17617</v>
      </c>
      <c r="P2315" s="77">
        <v>45023.0</v>
      </c>
      <c r="U2315" s="70" t="s">
        <v>239</v>
      </c>
      <c r="W2315" s="70" t="s">
        <v>20178</v>
      </c>
      <c r="Y2315" s="70" t="s">
        <v>30906</v>
      </c>
      <c r="Z2315" s="75" t="s">
        <v>20180</v>
      </c>
      <c r="AA2315" s="70" t="s">
        <v>20181</v>
      </c>
      <c r="AC2315" s="70">
        <v>5.0</v>
      </c>
      <c r="AE2315" s="70">
        <v>36.0</v>
      </c>
      <c r="AF2315" s="70" t="s">
        <v>239</v>
      </c>
      <c r="AW2315" s="70" t="s">
        <v>20182</v>
      </c>
      <c r="AX2315" s="70">
        <v>0.0</v>
      </c>
      <c r="AY2315" s="70" t="s">
        <v>24</v>
      </c>
      <c r="AZ2315" s="70">
        <v>2262.0</v>
      </c>
    </row>
    <row r="2316" ht="22.5" customHeight="1">
      <c r="A2316" s="70" t="str">
        <f t="shared" si="1"/>
        <v>Excluded</v>
      </c>
      <c r="B2316" s="70">
        <f t="shared" si="2"/>
        <v>0</v>
      </c>
      <c r="C2316" s="70">
        <v>0.0</v>
      </c>
      <c r="D2316" s="70">
        <v>0.0</v>
      </c>
      <c r="E2316" s="70">
        <v>0.0</v>
      </c>
      <c r="F2316" s="70">
        <v>0.0</v>
      </c>
      <c r="G2316" s="70">
        <v>0.0</v>
      </c>
      <c r="H2316" s="70" t="s">
        <v>22458</v>
      </c>
      <c r="I2316" s="70">
        <v>2479.0</v>
      </c>
      <c r="J2316" s="70" t="s">
        <v>22456</v>
      </c>
      <c r="K2316" s="70" t="s">
        <v>22457</v>
      </c>
      <c r="L2316" s="70" t="s">
        <v>17616</v>
      </c>
      <c r="N2316" s="70" t="s">
        <v>17617</v>
      </c>
      <c r="P2316" s="76">
        <v>45316.0</v>
      </c>
      <c r="U2316" s="70" t="s">
        <v>239</v>
      </c>
      <c r="W2316" s="70" t="s">
        <v>30907</v>
      </c>
      <c r="Z2316" s="75" t="s">
        <v>22461</v>
      </c>
      <c r="AC2316" s="70">
        <v>2.0</v>
      </c>
      <c r="AE2316" s="70">
        <v>31.0</v>
      </c>
      <c r="AF2316" s="70" t="s">
        <v>239</v>
      </c>
      <c r="AZ2316" s="70">
        <v>1212.0</v>
      </c>
    </row>
    <row r="2317" ht="22.5" customHeight="1">
      <c r="A2317" s="70" t="str">
        <f t="shared" si="1"/>
        <v>Excluded</v>
      </c>
      <c r="B2317" s="70">
        <f t="shared" si="2"/>
        <v>0</v>
      </c>
      <c r="C2317" s="70">
        <v>0.0</v>
      </c>
      <c r="D2317" s="70">
        <v>0.0</v>
      </c>
      <c r="E2317" s="70">
        <v>0.0</v>
      </c>
      <c r="F2317" s="70">
        <v>0.0</v>
      </c>
      <c r="G2317" s="70">
        <v>0.0</v>
      </c>
      <c r="H2317" s="70" t="s">
        <v>22347</v>
      </c>
      <c r="I2317" s="70">
        <v>2465.0</v>
      </c>
      <c r="J2317" s="70" t="s">
        <v>22343</v>
      </c>
      <c r="K2317" s="70" t="s">
        <v>22344</v>
      </c>
      <c r="L2317" s="70" t="s">
        <v>22345</v>
      </c>
      <c r="N2317" s="70" t="s">
        <v>22346</v>
      </c>
      <c r="P2317" s="76">
        <v>45492.0</v>
      </c>
      <c r="U2317" s="70" t="s">
        <v>239</v>
      </c>
      <c r="W2317" s="70" t="s">
        <v>30908</v>
      </c>
      <c r="Y2317" s="70" t="s">
        <v>22350</v>
      </c>
      <c r="Z2317" s="75" t="s">
        <v>22351</v>
      </c>
      <c r="AA2317" s="70" t="s">
        <v>22352</v>
      </c>
      <c r="AE2317" s="70">
        <v>95.0</v>
      </c>
      <c r="AF2317" s="70" t="s">
        <v>239</v>
      </c>
      <c r="AW2317" s="70" t="s">
        <v>22353</v>
      </c>
      <c r="AZ2317" s="70">
        <v>946.0</v>
      </c>
    </row>
    <row r="2318" ht="22.5" customHeight="1">
      <c r="A2318" s="70" t="str">
        <f t="shared" si="1"/>
        <v>Excluded</v>
      </c>
      <c r="B2318" s="70">
        <f t="shared" si="2"/>
        <v>0</v>
      </c>
      <c r="C2318" s="70">
        <v>0.0</v>
      </c>
      <c r="D2318" s="70">
        <v>0.0</v>
      </c>
      <c r="E2318" s="70">
        <v>0.0</v>
      </c>
      <c r="F2318" s="70">
        <v>0.0</v>
      </c>
      <c r="G2318" s="70">
        <v>0.0</v>
      </c>
      <c r="H2318" s="70" t="s">
        <v>19440</v>
      </c>
      <c r="I2318" s="70">
        <v>2138.0</v>
      </c>
      <c r="J2318" s="70" t="s">
        <v>19436</v>
      </c>
      <c r="K2318" s="70" t="s">
        <v>19437</v>
      </c>
      <c r="L2318" s="70" t="s">
        <v>19438</v>
      </c>
      <c r="N2318" s="70" t="s">
        <v>19439</v>
      </c>
      <c r="P2318" s="76">
        <v>44939.0</v>
      </c>
      <c r="U2318" s="70" t="s">
        <v>239</v>
      </c>
      <c r="W2318" s="70" t="s">
        <v>19442</v>
      </c>
      <c r="Y2318" s="70" t="s">
        <v>30909</v>
      </c>
      <c r="Z2318" s="75" t="s">
        <v>19444</v>
      </c>
      <c r="AA2318" s="70" t="s">
        <v>19445</v>
      </c>
      <c r="AC2318" s="70">
        <v>10.0</v>
      </c>
      <c r="AE2318" s="70">
        <v>52.0</v>
      </c>
      <c r="AF2318" s="70" t="s">
        <v>239</v>
      </c>
      <c r="AW2318" s="70" t="s">
        <v>19446</v>
      </c>
      <c r="AZ2318" s="70">
        <v>589.0</v>
      </c>
    </row>
    <row r="2319" ht="22.5" customHeight="1">
      <c r="A2319" s="70" t="str">
        <f t="shared" si="1"/>
        <v>Excluded</v>
      </c>
      <c r="B2319" s="70">
        <f t="shared" si="2"/>
        <v>0</v>
      </c>
      <c r="C2319" s="70">
        <v>0.0</v>
      </c>
      <c r="D2319" s="70">
        <v>0.0</v>
      </c>
      <c r="E2319" s="70">
        <v>0.0</v>
      </c>
      <c r="F2319" s="70">
        <v>0.0</v>
      </c>
      <c r="G2319" s="70">
        <v>0.0</v>
      </c>
      <c r="H2319" s="70" t="s">
        <v>20026</v>
      </c>
      <c r="I2319" s="70">
        <v>2204.0</v>
      </c>
      <c r="J2319" s="70" t="s">
        <v>20024</v>
      </c>
      <c r="K2319" s="70" t="s">
        <v>20025</v>
      </c>
      <c r="L2319" s="70" t="s">
        <v>19438</v>
      </c>
      <c r="N2319" s="70" t="s">
        <v>19439</v>
      </c>
      <c r="P2319" s="76">
        <v>45014.0</v>
      </c>
      <c r="U2319" s="70" t="s">
        <v>239</v>
      </c>
      <c r="W2319" s="70" t="s">
        <v>30910</v>
      </c>
      <c r="Y2319" s="70" t="s">
        <v>30911</v>
      </c>
      <c r="Z2319" s="75" t="s">
        <v>20030</v>
      </c>
      <c r="AA2319" s="70" t="s">
        <v>20031</v>
      </c>
      <c r="AC2319" s="70">
        <v>6.0</v>
      </c>
      <c r="AE2319" s="70">
        <v>53.0</v>
      </c>
      <c r="AF2319" s="70" t="s">
        <v>239</v>
      </c>
      <c r="AW2319" s="70" t="s">
        <v>20032</v>
      </c>
      <c r="AX2319" s="70">
        <v>0.0</v>
      </c>
      <c r="AY2319" s="70" t="s">
        <v>24</v>
      </c>
      <c r="AZ2319" s="70">
        <v>2166.0</v>
      </c>
    </row>
    <row r="2320" ht="22.5" customHeight="1">
      <c r="A2320" s="70" t="str">
        <f t="shared" si="1"/>
        <v>Excluded</v>
      </c>
      <c r="B2320" s="70">
        <f t="shared" si="2"/>
        <v>0</v>
      </c>
      <c r="C2320" s="70">
        <v>0.0</v>
      </c>
      <c r="D2320" s="70">
        <v>0.0</v>
      </c>
      <c r="E2320" s="70">
        <v>0.0</v>
      </c>
      <c r="F2320" s="70">
        <v>0.0</v>
      </c>
      <c r="G2320" s="70">
        <v>0.0</v>
      </c>
      <c r="H2320" s="70" t="s">
        <v>12936</v>
      </c>
      <c r="I2320" s="70">
        <v>1349.0</v>
      </c>
      <c r="J2320" s="70" t="s">
        <v>12933</v>
      </c>
      <c r="K2320" s="70" t="s">
        <v>12934</v>
      </c>
      <c r="L2320" s="70" t="s">
        <v>12935</v>
      </c>
      <c r="P2320" s="76">
        <v>45128.0</v>
      </c>
      <c r="U2320" s="70" t="s">
        <v>239</v>
      </c>
      <c r="W2320" s="70" t="s">
        <v>12938</v>
      </c>
      <c r="X2320" s="70" t="s">
        <v>12939</v>
      </c>
      <c r="Z2320" s="75" t="s">
        <v>12940</v>
      </c>
      <c r="AA2320" s="70" t="s">
        <v>12941</v>
      </c>
      <c r="AE2320" s="70">
        <v>25.0</v>
      </c>
      <c r="AF2320" s="70" t="s">
        <v>239</v>
      </c>
      <c r="AW2320" s="70" t="s">
        <v>12942</v>
      </c>
      <c r="AX2320" s="70">
        <v>0.0</v>
      </c>
      <c r="AY2320" s="70" t="s">
        <v>24</v>
      </c>
      <c r="AZ2320" s="70">
        <v>2235.0</v>
      </c>
    </row>
    <row r="2321" ht="22.5" customHeight="1">
      <c r="A2321" s="70" t="str">
        <f t="shared" si="1"/>
        <v>Excluded</v>
      </c>
      <c r="B2321" s="70">
        <f t="shared" si="2"/>
        <v>0</v>
      </c>
      <c r="C2321" s="70">
        <v>0.0</v>
      </c>
      <c r="D2321" s="70">
        <v>0.0</v>
      </c>
      <c r="E2321" s="70">
        <v>0.0</v>
      </c>
      <c r="F2321" s="70">
        <v>0.0</v>
      </c>
      <c r="G2321" s="70">
        <v>0.0</v>
      </c>
      <c r="H2321" s="70" t="s">
        <v>14795</v>
      </c>
      <c r="I2321" s="70">
        <v>1542.0</v>
      </c>
      <c r="J2321" s="70" t="s">
        <v>14792</v>
      </c>
      <c r="K2321" s="70" t="s">
        <v>14793</v>
      </c>
      <c r="L2321" s="70" t="s">
        <v>14794</v>
      </c>
      <c r="P2321" s="76">
        <v>45583.0</v>
      </c>
      <c r="U2321" s="70" t="s">
        <v>239</v>
      </c>
      <c r="W2321" s="70" t="s">
        <v>14797</v>
      </c>
      <c r="X2321" s="70" t="s">
        <v>14798</v>
      </c>
      <c r="Z2321" s="75" t="s">
        <v>14799</v>
      </c>
      <c r="AA2321" s="70" t="s">
        <v>14800</v>
      </c>
      <c r="AE2321" s="70">
        <v>12.0</v>
      </c>
      <c r="AF2321" s="70" t="s">
        <v>239</v>
      </c>
      <c r="AW2321" s="70" t="s">
        <v>14801</v>
      </c>
      <c r="AZ2321" s="70">
        <v>904.0</v>
      </c>
    </row>
    <row r="2322" ht="22.5" customHeight="1">
      <c r="A2322" s="70" t="str">
        <f t="shared" si="1"/>
        <v>Excluded</v>
      </c>
      <c r="B2322" s="70">
        <f t="shared" si="2"/>
        <v>0</v>
      </c>
      <c r="C2322" s="70">
        <v>0.0</v>
      </c>
      <c r="D2322" s="70">
        <v>0.0</v>
      </c>
      <c r="E2322" s="70">
        <v>0.0</v>
      </c>
      <c r="F2322" s="70">
        <v>0.0</v>
      </c>
      <c r="G2322" s="70">
        <v>0.0</v>
      </c>
      <c r="H2322" s="70" t="s">
        <v>6696</v>
      </c>
      <c r="I2322" s="70">
        <v>637.0</v>
      </c>
      <c r="J2322" s="70" t="s">
        <v>6693</v>
      </c>
      <c r="K2322" s="70" t="s">
        <v>6694</v>
      </c>
      <c r="L2322" s="70" t="s">
        <v>6695</v>
      </c>
      <c r="P2322" s="76">
        <v>44559.0</v>
      </c>
      <c r="U2322" s="70" t="s">
        <v>239</v>
      </c>
      <c r="W2322" s="70" t="s">
        <v>6698</v>
      </c>
      <c r="X2322" s="70" t="s">
        <v>6699</v>
      </c>
      <c r="Z2322" s="75" t="s">
        <v>6700</v>
      </c>
      <c r="AA2322" s="70" t="s">
        <v>6701</v>
      </c>
      <c r="AC2322" s="70">
        <v>5.0</v>
      </c>
      <c r="AE2322" s="70">
        <v>24.0</v>
      </c>
      <c r="AF2322" s="70" t="s">
        <v>239</v>
      </c>
      <c r="AW2322" s="70" t="s">
        <v>6702</v>
      </c>
      <c r="AZ2322" s="70">
        <v>1103.0</v>
      </c>
    </row>
    <row r="2323" ht="22.5" customHeight="1">
      <c r="A2323" s="70" t="str">
        <f t="shared" si="1"/>
        <v>Excluded</v>
      </c>
      <c r="B2323" s="70">
        <f t="shared" si="2"/>
        <v>0</v>
      </c>
      <c r="C2323" s="70">
        <v>0.0</v>
      </c>
      <c r="D2323" s="70">
        <v>0.0</v>
      </c>
      <c r="E2323" s="70">
        <v>0.0</v>
      </c>
      <c r="F2323" s="70">
        <v>0.0</v>
      </c>
      <c r="G2323" s="70">
        <v>0.0</v>
      </c>
      <c r="H2323" s="70" t="s">
        <v>10495</v>
      </c>
      <c r="I2323" s="70">
        <v>1032.0</v>
      </c>
      <c r="J2323" s="70" t="s">
        <v>10492</v>
      </c>
      <c r="K2323" s="70" t="s">
        <v>10493</v>
      </c>
      <c r="L2323" s="70" t="s">
        <v>10494</v>
      </c>
      <c r="P2323" s="76">
        <v>44917.0</v>
      </c>
      <c r="U2323" s="70" t="s">
        <v>239</v>
      </c>
      <c r="W2323" s="70" t="s">
        <v>10497</v>
      </c>
      <c r="X2323" s="70" t="s">
        <v>10498</v>
      </c>
      <c r="Z2323" s="75" t="s">
        <v>10499</v>
      </c>
      <c r="AA2323" s="70" t="s">
        <v>10500</v>
      </c>
      <c r="AE2323" s="70">
        <v>17.0</v>
      </c>
      <c r="AF2323" s="70" t="s">
        <v>239</v>
      </c>
      <c r="AW2323" s="70" t="s">
        <v>10501</v>
      </c>
      <c r="AZ2323" s="70">
        <v>1310.0</v>
      </c>
    </row>
    <row r="2324" ht="22.5" customHeight="1">
      <c r="A2324" s="70" t="str">
        <f t="shared" si="1"/>
        <v>Excluded</v>
      </c>
      <c r="B2324" s="70">
        <f t="shared" si="2"/>
        <v>0</v>
      </c>
      <c r="C2324" s="70">
        <v>0.0</v>
      </c>
      <c r="D2324" s="70">
        <v>0.0</v>
      </c>
      <c r="E2324" s="70">
        <v>0.0</v>
      </c>
      <c r="F2324" s="70">
        <v>0.0</v>
      </c>
      <c r="G2324" s="70">
        <v>0.0</v>
      </c>
      <c r="H2324" s="70" t="s">
        <v>14086</v>
      </c>
      <c r="I2324" s="70">
        <v>1467.0</v>
      </c>
      <c r="J2324" s="70" t="s">
        <v>30912</v>
      </c>
      <c r="K2324" s="70" t="s">
        <v>14084</v>
      </c>
      <c r="L2324" s="70" t="s">
        <v>14085</v>
      </c>
      <c r="P2324" s="77">
        <v>45292.0</v>
      </c>
      <c r="U2324" s="70" t="s">
        <v>239</v>
      </c>
      <c r="W2324" s="70" t="s">
        <v>14088</v>
      </c>
      <c r="X2324" s="70" t="s">
        <v>14089</v>
      </c>
      <c r="Z2324" s="75" t="s">
        <v>14090</v>
      </c>
      <c r="AA2324" s="70" t="s">
        <v>14091</v>
      </c>
      <c r="AE2324" s="70">
        <v>15.0</v>
      </c>
      <c r="AF2324" s="70" t="s">
        <v>239</v>
      </c>
      <c r="AW2324" s="70" t="s">
        <v>14092</v>
      </c>
      <c r="AX2324" s="70">
        <v>0.0</v>
      </c>
      <c r="AY2324" s="70" t="s">
        <v>24</v>
      </c>
      <c r="AZ2324" s="70">
        <v>2939.0</v>
      </c>
    </row>
    <row r="2325" ht="22.5" customHeight="1">
      <c r="A2325" s="70" t="str">
        <f t="shared" si="1"/>
        <v>Excluded</v>
      </c>
      <c r="B2325" s="70">
        <f t="shared" si="2"/>
        <v>0</v>
      </c>
      <c r="C2325" s="70">
        <v>0.0</v>
      </c>
      <c r="D2325" s="70">
        <v>0.0</v>
      </c>
      <c r="E2325" s="70">
        <v>0.0</v>
      </c>
      <c r="F2325" s="70">
        <v>0.0</v>
      </c>
      <c r="G2325" s="70">
        <v>0.0</v>
      </c>
      <c r="H2325" s="70" t="s">
        <v>14201</v>
      </c>
      <c r="I2325" s="70">
        <v>1480.0</v>
      </c>
      <c r="J2325" s="70" t="s">
        <v>30913</v>
      </c>
      <c r="K2325" s="70" t="s">
        <v>14200</v>
      </c>
      <c r="L2325" s="70" t="s">
        <v>14085</v>
      </c>
      <c r="P2325" s="77">
        <v>45292.0</v>
      </c>
      <c r="U2325" s="70" t="s">
        <v>239</v>
      </c>
      <c r="W2325" s="70" t="s">
        <v>14203</v>
      </c>
      <c r="X2325" s="70" t="s">
        <v>14089</v>
      </c>
      <c r="Y2325" s="70" t="s">
        <v>29481</v>
      </c>
      <c r="Z2325" s="75" t="s">
        <v>14204</v>
      </c>
      <c r="AA2325" s="70" t="s">
        <v>14205</v>
      </c>
      <c r="AE2325" s="70">
        <v>13.0</v>
      </c>
      <c r="AF2325" s="70" t="s">
        <v>239</v>
      </c>
      <c r="AW2325" s="70" t="s">
        <v>14206</v>
      </c>
      <c r="AZ2325" s="70">
        <v>1000.0</v>
      </c>
    </row>
    <row r="2326" ht="22.5" customHeight="1">
      <c r="A2326" s="70" t="str">
        <f t="shared" si="1"/>
        <v>Excluded</v>
      </c>
      <c r="B2326" s="70">
        <f t="shared" si="2"/>
        <v>0</v>
      </c>
      <c r="C2326" s="70">
        <v>0.0</v>
      </c>
      <c r="D2326" s="70">
        <v>0.0</v>
      </c>
      <c r="E2326" s="70">
        <v>0.0</v>
      </c>
      <c r="F2326" s="70">
        <v>0.0</v>
      </c>
      <c r="G2326" s="70">
        <v>0.0</v>
      </c>
      <c r="H2326" s="70" t="s">
        <v>10654</v>
      </c>
      <c r="I2326" s="70">
        <v>1058.0</v>
      </c>
      <c r="K2326" s="70" t="s">
        <v>10652</v>
      </c>
      <c r="L2326" s="70" t="s">
        <v>10653</v>
      </c>
      <c r="P2326" s="76">
        <v>43881.0</v>
      </c>
      <c r="U2326" s="70" t="s">
        <v>239</v>
      </c>
      <c r="W2326" s="70" t="s">
        <v>10602</v>
      </c>
      <c r="X2326" s="70" t="s">
        <v>10656</v>
      </c>
      <c r="Z2326" s="75" t="s">
        <v>10657</v>
      </c>
      <c r="AF2326" s="70" t="s">
        <v>239</v>
      </c>
      <c r="AZ2326" s="70">
        <v>1514.0</v>
      </c>
    </row>
    <row r="2327" ht="22.5" customHeight="1">
      <c r="A2327" s="70" t="str">
        <f t="shared" si="1"/>
        <v>Excluded</v>
      </c>
      <c r="B2327" s="70">
        <f t="shared" si="2"/>
        <v>0</v>
      </c>
      <c r="C2327" s="70">
        <v>0.0</v>
      </c>
      <c r="D2327" s="70">
        <v>0.0</v>
      </c>
      <c r="E2327" s="70">
        <v>0.0</v>
      </c>
      <c r="F2327" s="70">
        <v>0.0</v>
      </c>
      <c r="G2327" s="70">
        <v>0.0</v>
      </c>
      <c r="H2327" s="70" t="s">
        <v>17860</v>
      </c>
      <c r="I2327" s="70">
        <v>1961.0</v>
      </c>
      <c r="J2327" s="70" t="s">
        <v>30914</v>
      </c>
      <c r="K2327" s="70" t="s">
        <v>17857</v>
      </c>
      <c r="L2327" s="70" t="s">
        <v>17858</v>
      </c>
      <c r="N2327" s="70" t="s">
        <v>17859</v>
      </c>
      <c r="P2327" s="76">
        <v>44039.0</v>
      </c>
      <c r="U2327" s="70" t="s">
        <v>239</v>
      </c>
      <c r="W2327" s="70" t="s">
        <v>17862</v>
      </c>
      <c r="Y2327" s="70" t="s">
        <v>30915</v>
      </c>
      <c r="Z2327" s="75" t="s">
        <v>17864</v>
      </c>
      <c r="AA2327" s="70" t="s">
        <v>17865</v>
      </c>
      <c r="AC2327" s="70">
        <v>32.0</v>
      </c>
      <c r="AE2327" s="70">
        <v>39.0</v>
      </c>
      <c r="AF2327" s="70" t="s">
        <v>239</v>
      </c>
      <c r="AW2327" s="70" t="s">
        <v>17866</v>
      </c>
      <c r="AZ2327" s="70">
        <v>440.0</v>
      </c>
    </row>
    <row r="2328" ht="22.5" customHeight="1">
      <c r="A2328" s="70" t="str">
        <f t="shared" si="1"/>
        <v>Excluded</v>
      </c>
      <c r="B2328" s="70">
        <f t="shared" si="2"/>
        <v>0</v>
      </c>
      <c r="C2328" s="70">
        <v>0.0</v>
      </c>
      <c r="D2328" s="70">
        <v>0.0</v>
      </c>
      <c r="E2328" s="70">
        <v>0.0</v>
      </c>
      <c r="F2328" s="70">
        <v>0.0</v>
      </c>
      <c r="G2328" s="70">
        <v>0.0</v>
      </c>
      <c r="H2328" s="70" t="s">
        <v>6015</v>
      </c>
      <c r="I2328" s="70">
        <v>568.0</v>
      </c>
      <c r="J2328" s="70" t="s">
        <v>6012</v>
      </c>
      <c r="K2328" s="70" t="s">
        <v>6013</v>
      </c>
      <c r="L2328" s="70" t="s">
        <v>6014</v>
      </c>
      <c r="P2328" s="76">
        <v>42607.0</v>
      </c>
      <c r="U2328" s="70" t="s">
        <v>239</v>
      </c>
      <c r="W2328" s="70" t="s">
        <v>6017</v>
      </c>
      <c r="X2328" s="70" t="s">
        <v>6018</v>
      </c>
      <c r="Z2328" s="75" t="s">
        <v>6019</v>
      </c>
      <c r="AC2328" s="70">
        <v>8.0</v>
      </c>
      <c r="AE2328" s="70">
        <v>11.0</v>
      </c>
      <c r="AF2328" s="70" t="s">
        <v>239</v>
      </c>
      <c r="AW2328" s="70" t="s">
        <v>6020</v>
      </c>
      <c r="AX2328" s="70">
        <v>0.0</v>
      </c>
      <c r="AY2328" s="70" t="s">
        <v>24</v>
      </c>
      <c r="AZ2328" s="70">
        <v>2875.0</v>
      </c>
    </row>
    <row r="2329" ht="22.5" customHeight="1">
      <c r="A2329" s="70" t="str">
        <f t="shared" si="1"/>
        <v>Excluded</v>
      </c>
      <c r="B2329" s="70">
        <f t="shared" si="2"/>
        <v>0</v>
      </c>
      <c r="C2329" s="70">
        <v>0.0</v>
      </c>
      <c r="D2329" s="70">
        <v>0.0</v>
      </c>
      <c r="E2329" s="70">
        <v>0.0</v>
      </c>
      <c r="F2329" s="70">
        <v>0.0</v>
      </c>
      <c r="G2329" s="70">
        <v>0.0</v>
      </c>
      <c r="H2329" s="70" t="s">
        <v>9429</v>
      </c>
      <c r="I2329" s="70">
        <v>920.0</v>
      </c>
      <c r="K2329" s="70" t="s">
        <v>9426</v>
      </c>
      <c r="L2329" s="70" t="s">
        <v>9427</v>
      </c>
      <c r="N2329" s="70" t="s">
        <v>9428</v>
      </c>
      <c r="P2329" s="76">
        <v>43811.0</v>
      </c>
      <c r="U2329" s="70" t="s">
        <v>239</v>
      </c>
      <c r="W2329" s="70" t="s">
        <v>9426</v>
      </c>
      <c r="X2329" s="70" t="s">
        <v>9430</v>
      </c>
      <c r="Z2329" s="75" t="s">
        <v>9431</v>
      </c>
      <c r="AF2329" s="70" t="s">
        <v>239</v>
      </c>
      <c r="AW2329" s="70" t="s">
        <v>9432</v>
      </c>
      <c r="AZ2329" s="70">
        <v>1433.0</v>
      </c>
    </row>
    <row r="2330" ht="22.5" customHeight="1">
      <c r="A2330" s="70" t="str">
        <f t="shared" si="1"/>
        <v>Excluded</v>
      </c>
      <c r="B2330" s="70">
        <f t="shared" si="2"/>
        <v>0</v>
      </c>
      <c r="C2330" s="70">
        <v>0.0</v>
      </c>
      <c r="D2330" s="70">
        <v>0.0</v>
      </c>
      <c r="E2330" s="70">
        <v>0.0</v>
      </c>
      <c r="F2330" s="70">
        <v>0.0</v>
      </c>
      <c r="G2330" s="70">
        <v>0.0</v>
      </c>
      <c r="H2330" s="70" t="s">
        <v>22486</v>
      </c>
      <c r="I2330" s="70">
        <v>2483.0</v>
      </c>
      <c r="J2330" s="70" t="s">
        <v>22482</v>
      </c>
      <c r="K2330" s="70" t="s">
        <v>22483</v>
      </c>
      <c r="L2330" s="70" t="s">
        <v>22484</v>
      </c>
      <c r="N2330" s="70" t="s">
        <v>22485</v>
      </c>
      <c r="P2330" s="77">
        <v>44623.0</v>
      </c>
      <c r="U2330" s="70" t="s">
        <v>239</v>
      </c>
      <c r="W2330" s="70" t="s">
        <v>22488</v>
      </c>
      <c r="Z2330" s="75" t="s">
        <v>22489</v>
      </c>
      <c r="AE2330" s="70">
        <v>0.0</v>
      </c>
      <c r="AF2330" s="70" t="s">
        <v>239</v>
      </c>
      <c r="AW2330" s="70" t="s">
        <v>22490</v>
      </c>
      <c r="AZ2330" s="70">
        <v>691.0</v>
      </c>
    </row>
    <row r="2331" ht="22.5" customHeight="1">
      <c r="A2331" s="70" t="str">
        <f t="shared" si="1"/>
        <v>Excluded</v>
      </c>
      <c r="B2331" s="70">
        <f t="shared" si="2"/>
        <v>0</v>
      </c>
      <c r="C2331" s="70">
        <v>0.0</v>
      </c>
      <c r="D2331" s="70">
        <v>0.0</v>
      </c>
      <c r="E2331" s="70">
        <v>0.0</v>
      </c>
      <c r="F2331" s="70">
        <v>0.0</v>
      </c>
      <c r="G2331" s="70">
        <v>0.0</v>
      </c>
      <c r="H2331" s="70" t="s">
        <v>20436</v>
      </c>
      <c r="I2331" s="70">
        <v>2250.0</v>
      </c>
      <c r="J2331" s="70" t="s">
        <v>20432</v>
      </c>
      <c r="K2331" s="70" t="s">
        <v>20433</v>
      </c>
      <c r="L2331" s="70" t="s">
        <v>20434</v>
      </c>
      <c r="N2331" s="70" t="s">
        <v>20435</v>
      </c>
      <c r="P2331" s="77">
        <v>44172.0</v>
      </c>
      <c r="U2331" s="70" t="s">
        <v>239</v>
      </c>
      <c r="W2331" s="70" t="s">
        <v>20438</v>
      </c>
      <c r="Y2331" s="70" t="s">
        <v>20439</v>
      </c>
      <c r="Z2331" s="75" t="s">
        <v>20440</v>
      </c>
      <c r="AA2331" s="70" t="s">
        <v>20441</v>
      </c>
      <c r="AC2331" s="70">
        <v>4.0</v>
      </c>
      <c r="AE2331" s="70">
        <v>181.0</v>
      </c>
      <c r="AF2331" s="70" t="s">
        <v>239</v>
      </c>
      <c r="AW2331" s="70" t="s">
        <v>20442</v>
      </c>
      <c r="AZ2331" s="70">
        <v>1225.0</v>
      </c>
    </row>
    <row r="2332" ht="22.5" customHeight="1">
      <c r="A2332" s="70" t="str">
        <f t="shared" si="1"/>
        <v>Excluded</v>
      </c>
      <c r="B2332" s="70">
        <f t="shared" si="2"/>
        <v>0</v>
      </c>
      <c r="C2332" s="70">
        <v>0.0</v>
      </c>
      <c r="D2332" s="70">
        <v>0.0</v>
      </c>
      <c r="E2332" s="70">
        <v>0.0</v>
      </c>
      <c r="F2332" s="70">
        <v>0.0</v>
      </c>
      <c r="G2332" s="70">
        <v>0.0</v>
      </c>
      <c r="H2332" s="70" t="s">
        <v>17042</v>
      </c>
      <c r="I2332" s="70">
        <v>1870.0</v>
      </c>
      <c r="J2332" s="70" t="s">
        <v>17038</v>
      </c>
      <c r="K2332" s="70" t="s">
        <v>17039</v>
      </c>
      <c r="L2332" s="70" t="s">
        <v>17040</v>
      </c>
      <c r="N2332" s="70" t="s">
        <v>17041</v>
      </c>
      <c r="P2332" s="76">
        <v>44274.0</v>
      </c>
      <c r="U2332" s="70" t="s">
        <v>239</v>
      </c>
      <c r="W2332" s="70" t="s">
        <v>17044</v>
      </c>
      <c r="Y2332" s="70" t="s">
        <v>30916</v>
      </c>
      <c r="Z2332" s="75" t="s">
        <v>17046</v>
      </c>
      <c r="AA2332" s="70" t="s">
        <v>17047</v>
      </c>
      <c r="AC2332" s="70">
        <v>80.0</v>
      </c>
      <c r="AE2332" s="70">
        <v>45.0</v>
      </c>
      <c r="AF2332" s="70" t="s">
        <v>239</v>
      </c>
      <c r="AW2332" s="70" t="s">
        <v>17048</v>
      </c>
      <c r="AX2332" s="70">
        <v>0.0</v>
      </c>
      <c r="AY2332" s="70" t="s">
        <v>24</v>
      </c>
      <c r="AZ2332" s="70">
        <v>1961.0</v>
      </c>
    </row>
    <row r="2333" ht="22.5" customHeight="1">
      <c r="A2333" s="70" t="str">
        <f t="shared" si="1"/>
        <v>Excluded</v>
      </c>
      <c r="B2333" s="70">
        <f t="shared" si="2"/>
        <v>0</v>
      </c>
      <c r="C2333" s="70">
        <v>0.0</v>
      </c>
      <c r="D2333" s="70">
        <v>0.0</v>
      </c>
      <c r="E2333" s="70">
        <v>0.0</v>
      </c>
      <c r="F2333" s="70">
        <v>0.0</v>
      </c>
      <c r="G2333" s="70">
        <v>0.0</v>
      </c>
      <c r="H2333" s="70" t="s">
        <v>20499</v>
      </c>
      <c r="I2333" s="70">
        <v>2257.0</v>
      </c>
      <c r="J2333" s="70" t="s">
        <v>20497</v>
      </c>
      <c r="K2333" s="70" t="s">
        <v>20498</v>
      </c>
      <c r="L2333" s="70" t="s">
        <v>17040</v>
      </c>
      <c r="N2333" s="70" t="s">
        <v>17041</v>
      </c>
      <c r="P2333" s="76">
        <v>44434.0</v>
      </c>
      <c r="U2333" s="70" t="s">
        <v>239</v>
      </c>
      <c r="W2333" s="70" t="s">
        <v>20501</v>
      </c>
      <c r="Z2333" s="75" t="s">
        <v>20502</v>
      </c>
      <c r="AA2333" s="70" t="s">
        <v>20503</v>
      </c>
      <c r="AC2333" s="70">
        <v>4.0</v>
      </c>
      <c r="AE2333" s="70">
        <v>38.0</v>
      </c>
      <c r="AF2333" s="70" t="s">
        <v>239</v>
      </c>
      <c r="AW2333" s="70" t="s">
        <v>20504</v>
      </c>
      <c r="AX2333" s="70">
        <v>0.0</v>
      </c>
      <c r="AY2333" s="70" t="s">
        <v>24</v>
      </c>
      <c r="AZ2333" s="70">
        <v>1755.0</v>
      </c>
    </row>
    <row r="2334" ht="22.5" customHeight="1">
      <c r="A2334" s="70" t="str">
        <f t="shared" si="1"/>
        <v>Excluded</v>
      </c>
      <c r="B2334" s="70">
        <f t="shared" si="2"/>
        <v>0</v>
      </c>
      <c r="C2334" s="70">
        <v>0.0</v>
      </c>
      <c r="D2334" s="70">
        <v>0.0</v>
      </c>
      <c r="E2334" s="70">
        <v>0.0</v>
      </c>
      <c r="F2334" s="70">
        <v>0.0</v>
      </c>
      <c r="G2334" s="70">
        <v>0.0</v>
      </c>
      <c r="H2334" s="70" t="s">
        <v>20951</v>
      </c>
      <c r="I2334" s="70">
        <v>2307.0</v>
      </c>
      <c r="J2334" s="70" t="s">
        <v>20949</v>
      </c>
      <c r="K2334" s="70" t="s">
        <v>20950</v>
      </c>
      <c r="L2334" s="70" t="s">
        <v>17040</v>
      </c>
      <c r="N2334" s="70" t="s">
        <v>17041</v>
      </c>
      <c r="P2334" s="77">
        <v>44508.0</v>
      </c>
      <c r="U2334" s="70" t="s">
        <v>239</v>
      </c>
      <c r="W2334" s="70" t="s">
        <v>30917</v>
      </c>
      <c r="Y2334" s="70" t="s">
        <v>30918</v>
      </c>
      <c r="Z2334" s="75" t="s">
        <v>20955</v>
      </c>
      <c r="AA2334" s="70" t="s">
        <v>20956</v>
      </c>
      <c r="AC2334" s="70">
        <v>2.0</v>
      </c>
      <c r="AE2334" s="70">
        <v>25.0</v>
      </c>
      <c r="AF2334" s="70" t="s">
        <v>239</v>
      </c>
      <c r="AW2334" s="70" t="s">
        <v>20957</v>
      </c>
      <c r="AZ2334" s="70">
        <v>410.0</v>
      </c>
    </row>
    <row r="2335" ht="22.5" customHeight="1">
      <c r="A2335" s="70" t="str">
        <f t="shared" si="1"/>
        <v>Excluded</v>
      </c>
      <c r="B2335" s="70">
        <f t="shared" si="2"/>
        <v>0</v>
      </c>
      <c r="C2335" s="70">
        <v>0.0</v>
      </c>
      <c r="D2335" s="70">
        <v>0.0</v>
      </c>
      <c r="E2335" s="70">
        <v>0.0</v>
      </c>
      <c r="F2335" s="70">
        <v>0.0</v>
      </c>
      <c r="G2335" s="70">
        <v>0.0</v>
      </c>
      <c r="H2335" s="70" t="s">
        <v>17699</v>
      </c>
      <c r="I2335" s="70">
        <v>1943.0</v>
      </c>
      <c r="J2335" s="70" t="s">
        <v>17697</v>
      </c>
      <c r="K2335" s="70" t="s">
        <v>17698</v>
      </c>
      <c r="L2335" s="70" t="s">
        <v>17040</v>
      </c>
      <c r="N2335" s="70" t="s">
        <v>17041</v>
      </c>
      <c r="P2335" s="76">
        <v>44512.0</v>
      </c>
      <c r="U2335" s="70" t="s">
        <v>239</v>
      </c>
      <c r="W2335" s="70" t="s">
        <v>30919</v>
      </c>
      <c r="Z2335" s="75" t="s">
        <v>17702</v>
      </c>
      <c r="AA2335" s="70" t="s">
        <v>17703</v>
      </c>
      <c r="AC2335" s="70">
        <v>36.0</v>
      </c>
      <c r="AE2335" s="70">
        <v>41.0</v>
      </c>
      <c r="AF2335" s="70" t="s">
        <v>239</v>
      </c>
      <c r="AW2335" s="70" t="s">
        <v>17704</v>
      </c>
      <c r="AX2335" s="70">
        <v>0.0</v>
      </c>
      <c r="AY2335" s="70" t="s">
        <v>24</v>
      </c>
      <c r="AZ2335" s="70">
        <v>1854.0</v>
      </c>
    </row>
    <row r="2336" ht="22.5" customHeight="1">
      <c r="A2336" s="70" t="str">
        <f t="shared" si="1"/>
        <v>Excluded</v>
      </c>
      <c r="B2336" s="70">
        <f t="shared" si="2"/>
        <v>0</v>
      </c>
      <c r="C2336" s="70">
        <v>0.0</v>
      </c>
      <c r="D2336" s="70">
        <v>0.0</v>
      </c>
      <c r="E2336" s="70">
        <v>0.0</v>
      </c>
      <c r="F2336" s="70">
        <v>0.0</v>
      </c>
      <c r="G2336" s="70">
        <v>0.0</v>
      </c>
      <c r="H2336" s="70" t="s">
        <v>25907</v>
      </c>
      <c r="I2336" s="70">
        <v>2814.0</v>
      </c>
      <c r="J2336" s="70" t="s">
        <v>25905</v>
      </c>
      <c r="K2336" s="70" t="s">
        <v>25906</v>
      </c>
      <c r="W2336" s="70" t="s">
        <v>30920</v>
      </c>
      <c r="AA2336" s="70" t="s">
        <v>25909</v>
      </c>
      <c r="AI2336" s="70" t="s">
        <v>25910</v>
      </c>
      <c r="AJ2336" s="70" t="s">
        <v>25911</v>
      </c>
      <c r="AK2336" s="70">
        <v>2023.0</v>
      </c>
      <c r="AL2336" s="70" t="s">
        <v>17040</v>
      </c>
      <c r="AN2336" s="70">
        <v>1066.0</v>
      </c>
      <c r="AO2336" s="70">
        <v>1077.0</v>
      </c>
      <c r="AP2336" s="70">
        <v>11.0</v>
      </c>
      <c r="AQ2336" s="70">
        <v>4.0</v>
      </c>
      <c r="AR2336" s="75" t="s">
        <v>25912</v>
      </c>
      <c r="AS2336" s="70" t="s">
        <v>22525</v>
      </c>
      <c r="AU2336" s="70" t="s">
        <v>237</v>
      </c>
      <c r="AV2336" s="70" t="s">
        <v>25913</v>
      </c>
      <c r="AW2336" s="70" t="s">
        <v>25914</v>
      </c>
      <c r="AX2336" s="70">
        <v>0.0</v>
      </c>
      <c r="AY2336" s="70" t="s">
        <v>24</v>
      </c>
      <c r="AZ2336" s="70">
        <v>2299.0</v>
      </c>
    </row>
    <row r="2337" ht="22.5" customHeight="1">
      <c r="A2337" s="70" t="str">
        <f t="shared" si="1"/>
        <v>Excluded</v>
      </c>
      <c r="B2337" s="70">
        <f t="shared" si="2"/>
        <v>0</v>
      </c>
      <c r="C2337" s="70">
        <v>0.0</v>
      </c>
      <c r="D2337" s="70">
        <v>0.0</v>
      </c>
      <c r="E2337" s="70">
        <v>0.0</v>
      </c>
      <c r="F2337" s="70">
        <v>0.0</v>
      </c>
      <c r="G2337" s="70">
        <v>0.0</v>
      </c>
      <c r="H2337" s="70" t="s">
        <v>23539</v>
      </c>
      <c r="I2337" s="70">
        <v>2585.0</v>
      </c>
      <c r="J2337" s="70" t="s">
        <v>23537</v>
      </c>
      <c r="K2337" s="70" t="s">
        <v>23538</v>
      </c>
      <c r="W2337" s="70" t="s">
        <v>30921</v>
      </c>
      <c r="AA2337" s="70" t="s">
        <v>23541</v>
      </c>
      <c r="AI2337" s="70" t="s">
        <v>23542</v>
      </c>
      <c r="AJ2337" s="70" t="s">
        <v>23543</v>
      </c>
      <c r="AK2337" s="70">
        <v>2024.0</v>
      </c>
      <c r="AL2337" s="70" t="s">
        <v>17040</v>
      </c>
      <c r="AN2337" s="70">
        <v>498.0</v>
      </c>
      <c r="AO2337" s="70">
        <v>513.0</v>
      </c>
      <c r="AP2337" s="70">
        <v>15.0</v>
      </c>
      <c r="AQ2337" s="70">
        <v>5.0</v>
      </c>
      <c r="AR2337" s="75" t="s">
        <v>23544</v>
      </c>
      <c r="AS2337" s="70" t="s">
        <v>22525</v>
      </c>
      <c r="AT2337" s="70" t="s">
        <v>22526</v>
      </c>
      <c r="AU2337" s="70" t="s">
        <v>237</v>
      </c>
      <c r="AV2337" s="70" t="s">
        <v>23545</v>
      </c>
      <c r="AW2337" s="70" t="s">
        <v>23546</v>
      </c>
      <c r="AX2337" s="70">
        <v>0.0</v>
      </c>
      <c r="AY2337" s="70" t="s">
        <v>24</v>
      </c>
      <c r="AZ2337" s="70">
        <v>2050.0</v>
      </c>
    </row>
    <row r="2338" ht="22.5" customHeight="1">
      <c r="A2338" s="70" t="str">
        <f t="shared" si="1"/>
        <v>Excluded</v>
      </c>
      <c r="B2338" s="70">
        <f t="shared" si="2"/>
        <v>0</v>
      </c>
      <c r="C2338" s="70">
        <v>0.0</v>
      </c>
      <c r="D2338" s="70">
        <v>0.0</v>
      </c>
      <c r="E2338" s="70">
        <v>0.0</v>
      </c>
      <c r="F2338" s="70">
        <v>0.0</v>
      </c>
      <c r="G2338" s="70">
        <v>0.0</v>
      </c>
      <c r="H2338" s="70" t="s">
        <v>22210</v>
      </c>
      <c r="I2338" s="70">
        <v>2450.0</v>
      </c>
      <c r="J2338" s="70" t="s">
        <v>22208</v>
      </c>
      <c r="K2338" s="70" t="s">
        <v>22209</v>
      </c>
      <c r="L2338" s="70" t="s">
        <v>17040</v>
      </c>
      <c r="N2338" s="70" t="s">
        <v>17041</v>
      </c>
      <c r="P2338" s="76">
        <v>45401.0</v>
      </c>
      <c r="U2338" s="70" t="s">
        <v>239</v>
      </c>
      <c r="W2338" s="70" t="s">
        <v>30922</v>
      </c>
      <c r="Z2338" s="75" t="s">
        <v>22213</v>
      </c>
      <c r="AA2338" s="70" t="s">
        <v>22214</v>
      </c>
      <c r="AE2338" s="70">
        <v>23.0</v>
      </c>
      <c r="AF2338" s="70" t="s">
        <v>239</v>
      </c>
      <c r="AW2338" s="70" t="s">
        <v>22215</v>
      </c>
      <c r="AZ2338" s="70">
        <v>348.0</v>
      </c>
    </row>
    <row r="2339" ht="22.5" customHeight="1">
      <c r="A2339" s="70" t="str">
        <f t="shared" si="1"/>
        <v>Excluded</v>
      </c>
      <c r="B2339" s="70">
        <f t="shared" si="2"/>
        <v>0</v>
      </c>
      <c r="C2339" s="70">
        <v>0.0</v>
      </c>
      <c r="D2339" s="70">
        <v>0.0</v>
      </c>
      <c r="E2339" s="70">
        <v>0.0</v>
      </c>
      <c r="F2339" s="70">
        <v>0.0</v>
      </c>
      <c r="G2339" s="70">
        <v>0.0</v>
      </c>
      <c r="H2339" s="70" t="s">
        <v>21430</v>
      </c>
      <c r="I2339" s="70">
        <v>2361.0</v>
      </c>
      <c r="J2339" s="70" t="s">
        <v>21428</v>
      </c>
      <c r="K2339" s="70" t="s">
        <v>30923</v>
      </c>
      <c r="L2339" s="70" t="s">
        <v>17040</v>
      </c>
      <c r="N2339" s="70" t="s">
        <v>17041</v>
      </c>
      <c r="P2339" s="76">
        <v>45468.0</v>
      </c>
      <c r="U2339" s="70" t="s">
        <v>239</v>
      </c>
      <c r="W2339" s="70" t="s">
        <v>30924</v>
      </c>
      <c r="Y2339" s="70" t="s">
        <v>21433</v>
      </c>
      <c r="Z2339" s="75" t="s">
        <v>21434</v>
      </c>
      <c r="AA2339" s="70" t="s">
        <v>21435</v>
      </c>
      <c r="AC2339" s="70">
        <v>1.0</v>
      </c>
      <c r="AE2339" s="70">
        <v>48.0</v>
      </c>
      <c r="AF2339" s="70" t="s">
        <v>16423</v>
      </c>
      <c r="AW2339" s="70" t="s">
        <v>21436</v>
      </c>
      <c r="AZ2339" s="70">
        <v>266.0</v>
      </c>
    </row>
    <row r="2340" ht="22.5" customHeight="1">
      <c r="A2340" s="70" t="str">
        <f t="shared" si="1"/>
        <v>Excluded</v>
      </c>
      <c r="B2340" s="70">
        <f t="shared" si="2"/>
        <v>0</v>
      </c>
      <c r="C2340" s="70">
        <v>0.0</v>
      </c>
      <c r="D2340" s="70">
        <v>0.0</v>
      </c>
      <c r="E2340" s="70">
        <v>0.0</v>
      </c>
      <c r="F2340" s="70">
        <v>0.0</v>
      </c>
      <c r="G2340" s="70">
        <v>0.0</v>
      </c>
      <c r="H2340" s="70" t="s">
        <v>20598</v>
      </c>
      <c r="I2340" s="70">
        <v>2268.0</v>
      </c>
      <c r="J2340" s="70" t="s">
        <v>20594</v>
      </c>
      <c r="K2340" s="70" t="s">
        <v>20595</v>
      </c>
      <c r="L2340" s="70" t="s">
        <v>20596</v>
      </c>
      <c r="N2340" s="70" t="s">
        <v>20597</v>
      </c>
      <c r="P2340" s="76">
        <v>44995.0</v>
      </c>
      <c r="U2340" s="70" t="s">
        <v>239</v>
      </c>
      <c r="W2340" s="70" t="s">
        <v>20600</v>
      </c>
      <c r="Y2340" s="70" t="s">
        <v>20601</v>
      </c>
      <c r="Z2340" s="75" t="s">
        <v>20602</v>
      </c>
      <c r="AA2340" s="70" t="s">
        <v>20603</v>
      </c>
      <c r="AC2340" s="70">
        <v>3.0</v>
      </c>
      <c r="AE2340" s="70">
        <v>36.0</v>
      </c>
      <c r="AF2340" s="70" t="s">
        <v>239</v>
      </c>
      <c r="AW2340" s="70" t="s">
        <v>20604</v>
      </c>
      <c r="AZ2340" s="70">
        <v>417.0</v>
      </c>
    </row>
    <row r="2341" ht="22.5" customHeight="1">
      <c r="A2341" s="70" t="str">
        <f t="shared" si="1"/>
        <v>Excluded</v>
      </c>
      <c r="B2341" s="70">
        <f t="shared" si="2"/>
        <v>0</v>
      </c>
      <c r="C2341" s="70">
        <v>0.0</v>
      </c>
      <c r="D2341" s="70">
        <v>0.0</v>
      </c>
      <c r="E2341" s="70">
        <v>0.0</v>
      </c>
      <c r="F2341" s="70">
        <v>0.0</v>
      </c>
      <c r="G2341" s="70">
        <v>0.0</v>
      </c>
      <c r="H2341" s="70" t="s">
        <v>21257</v>
      </c>
      <c r="I2341" s="70">
        <v>2341.0</v>
      </c>
      <c r="J2341" s="70" t="s">
        <v>20024</v>
      </c>
      <c r="K2341" s="70" t="s">
        <v>21254</v>
      </c>
      <c r="L2341" s="70" t="s">
        <v>21255</v>
      </c>
      <c r="N2341" s="70" t="s">
        <v>21256</v>
      </c>
      <c r="P2341" s="78">
        <v>45068.0</v>
      </c>
      <c r="U2341" s="70" t="s">
        <v>239</v>
      </c>
      <c r="W2341" s="70" t="s">
        <v>30925</v>
      </c>
      <c r="Y2341" s="70" t="s">
        <v>30926</v>
      </c>
      <c r="Z2341" s="75" t="s">
        <v>21261</v>
      </c>
      <c r="AA2341" s="70" t="s">
        <v>21262</v>
      </c>
      <c r="AC2341" s="70">
        <v>1.0</v>
      </c>
      <c r="AE2341" s="70">
        <v>52.0</v>
      </c>
      <c r="AF2341" s="70" t="s">
        <v>239</v>
      </c>
      <c r="AW2341" s="70" t="s">
        <v>21263</v>
      </c>
      <c r="AZ2341" s="70">
        <v>165.0</v>
      </c>
    </row>
    <row r="2342" ht="22.5" customHeight="1">
      <c r="A2342" s="70" t="str">
        <f t="shared" si="1"/>
        <v>Excluded</v>
      </c>
      <c r="B2342" s="70">
        <f t="shared" si="2"/>
        <v>0</v>
      </c>
      <c r="C2342" s="70">
        <v>0.0</v>
      </c>
      <c r="D2342" s="70">
        <v>0.0</v>
      </c>
      <c r="E2342" s="70">
        <v>0.0</v>
      </c>
      <c r="F2342" s="70">
        <v>0.0</v>
      </c>
      <c r="G2342" s="70">
        <v>0.0</v>
      </c>
      <c r="H2342" s="70" t="s">
        <v>21320</v>
      </c>
      <c r="I2342" s="70">
        <v>2348.0</v>
      </c>
      <c r="J2342" s="70" t="s">
        <v>21318</v>
      </c>
      <c r="K2342" s="70" t="s">
        <v>21319</v>
      </c>
      <c r="L2342" s="70" t="s">
        <v>21255</v>
      </c>
      <c r="N2342" s="70" t="s">
        <v>21256</v>
      </c>
      <c r="P2342" s="78">
        <v>45434.0</v>
      </c>
      <c r="U2342" s="70" t="s">
        <v>239</v>
      </c>
      <c r="W2342" s="70" t="s">
        <v>21322</v>
      </c>
      <c r="Z2342" s="75" t="s">
        <v>21323</v>
      </c>
      <c r="AA2342" s="70" t="s">
        <v>21324</v>
      </c>
      <c r="AC2342" s="70">
        <v>1.0</v>
      </c>
      <c r="AE2342" s="70">
        <v>95.0</v>
      </c>
      <c r="AF2342" s="70" t="s">
        <v>16423</v>
      </c>
      <c r="AW2342" s="70" t="s">
        <v>21325</v>
      </c>
      <c r="AZ2342" s="70">
        <v>870.0</v>
      </c>
    </row>
    <row r="2343" ht="22.5" customHeight="1">
      <c r="A2343" s="70" t="str">
        <f t="shared" si="1"/>
        <v>Excluded</v>
      </c>
      <c r="B2343" s="70">
        <f t="shared" si="2"/>
        <v>0</v>
      </c>
      <c r="C2343" s="70">
        <v>0.0</v>
      </c>
      <c r="D2343" s="70">
        <v>0.0</v>
      </c>
      <c r="E2343" s="70">
        <v>0.0</v>
      </c>
      <c r="F2343" s="70">
        <v>0.0</v>
      </c>
      <c r="G2343" s="70">
        <v>0.0</v>
      </c>
      <c r="H2343" s="70" t="s">
        <v>21603</v>
      </c>
      <c r="I2343" s="70">
        <v>2381.0</v>
      </c>
      <c r="J2343" s="70" t="s">
        <v>21601</v>
      </c>
      <c r="K2343" s="70" t="s">
        <v>21602</v>
      </c>
      <c r="L2343" s="70" t="s">
        <v>21255</v>
      </c>
      <c r="N2343" s="70" t="s">
        <v>21256</v>
      </c>
      <c r="P2343" s="76">
        <v>45530.0</v>
      </c>
      <c r="U2343" s="70" t="s">
        <v>239</v>
      </c>
      <c r="W2343" s="70" t="s">
        <v>21605</v>
      </c>
      <c r="Y2343" s="70" t="s">
        <v>30927</v>
      </c>
      <c r="Z2343" s="75" t="s">
        <v>21607</v>
      </c>
      <c r="AA2343" s="70" t="s">
        <v>21608</v>
      </c>
      <c r="AE2343" s="70">
        <v>83.0</v>
      </c>
      <c r="AF2343" s="70" t="s">
        <v>239</v>
      </c>
      <c r="AW2343" s="70" t="s">
        <v>21609</v>
      </c>
      <c r="AZ2343" s="70">
        <v>191.0</v>
      </c>
    </row>
    <row r="2344" ht="22.5" customHeight="1">
      <c r="A2344" s="70" t="str">
        <f t="shared" si="1"/>
        <v>Excluded</v>
      </c>
      <c r="B2344" s="70">
        <f t="shared" si="2"/>
        <v>0</v>
      </c>
      <c r="C2344" s="70">
        <v>0.0</v>
      </c>
      <c r="D2344" s="70">
        <v>0.0</v>
      </c>
      <c r="E2344" s="70">
        <v>0.0</v>
      </c>
      <c r="F2344" s="70">
        <v>0.0</v>
      </c>
      <c r="G2344" s="70">
        <v>0.0</v>
      </c>
      <c r="H2344" s="70" t="s">
        <v>21595</v>
      </c>
      <c r="I2344" s="70">
        <v>2380.0</v>
      </c>
      <c r="J2344" s="70" t="s">
        <v>21593</v>
      </c>
      <c r="K2344" s="70" t="s">
        <v>21594</v>
      </c>
      <c r="L2344" s="70" t="s">
        <v>21255</v>
      </c>
      <c r="N2344" s="70" t="s">
        <v>21256</v>
      </c>
      <c r="P2344" s="76">
        <v>45646.0</v>
      </c>
      <c r="U2344" s="70" t="s">
        <v>239</v>
      </c>
      <c r="W2344" s="70" t="s">
        <v>30928</v>
      </c>
      <c r="Z2344" s="75" t="s">
        <v>21598</v>
      </c>
      <c r="AA2344" s="70" t="s">
        <v>21599</v>
      </c>
      <c r="AE2344" s="70">
        <v>31.0</v>
      </c>
      <c r="AF2344" s="70" t="s">
        <v>239</v>
      </c>
      <c r="AW2344" s="70" t="s">
        <v>21600</v>
      </c>
      <c r="AZ2344" s="70">
        <v>639.0</v>
      </c>
    </row>
    <row r="2345" ht="22.5" customHeight="1">
      <c r="A2345" s="70" t="str">
        <f t="shared" si="1"/>
        <v>Excluded</v>
      </c>
      <c r="B2345" s="70">
        <f t="shared" si="2"/>
        <v>0</v>
      </c>
      <c r="C2345" s="70">
        <v>0.0</v>
      </c>
      <c r="D2345" s="70">
        <v>0.0</v>
      </c>
      <c r="E2345" s="70">
        <v>0.0</v>
      </c>
      <c r="F2345" s="70">
        <v>0.0</v>
      </c>
      <c r="G2345" s="70">
        <v>0.0</v>
      </c>
      <c r="H2345" s="70" t="s">
        <v>16818</v>
      </c>
      <c r="I2345" s="70">
        <v>1845.0</v>
      </c>
      <c r="J2345" s="70" t="s">
        <v>16816</v>
      </c>
      <c r="K2345" s="70" t="s">
        <v>16817</v>
      </c>
      <c r="L2345" s="70" t="s">
        <v>16731</v>
      </c>
      <c r="N2345" s="70" t="s">
        <v>16732</v>
      </c>
      <c r="P2345" s="77">
        <v>42683.0</v>
      </c>
      <c r="U2345" s="70" t="s">
        <v>239</v>
      </c>
      <c r="W2345" s="70" t="s">
        <v>16820</v>
      </c>
      <c r="Y2345" s="70" t="s">
        <v>30929</v>
      </c>
      <c r="Z2345" s="75" t="s">
        <v>16822</v>
      </c>
      <c r="AA2345" s="70" t="s">
        <v>16823</v>
      </c>
      <c r="AC2345" s="70">
        <v>126.0</v>
      </c>
      <c r="AE2345" s="70">
        <v>35.0</v>
      </c>
      <c r="AF2345" s="70" t="s">
        <v>239</v>
      </c>
      <c r="AW2345" s="70" t="s">
        <v>16824</v>
      </c>
      <c r="AX2345" s="70">
        <v>0.0</v>
      </c>
      <c r="AY2345" s="70" t="s">
        <v>24</v>
      </c>
      <c r="AZ2345" s="70">
        <v>1903.0</v>
      </c>
    </row>
    <row r="2346" ht="22.5" customHeight="1">
      <c r="A2346" s="70" t="str">
        <f t="shared" si="1"/>
        <v>Excluded</v>
      </c>
      <c r="B2346" s="70">
        <f t="shared" si="2"/>
        <v>0</v>
      </c>
      <c r="C2346" s="70">
        <v>0.0</v>
      </c>
      <c r="D2346" s="70">
        <v>0.0</v>
      </c>
      <c r="E2346" s="70">
        <v>0.0</v>
      </c>
      <c r="F2346" s="70">
        <v>0.0</v>
      </c>
      <c r="G2346" s="70">
        <v>0.0</v>
      </c>
      <c r="H2346" s="70" t="s">
        <v>17887</v>
      </c>
      <c r="I2346" s="70">
        <v>1964.0</v>
      </c>
      <c r="J2346" s="70" t="s">
        <v>17885</v>
      </c>
      <c r="K2346" s="70" t="s">
        <v>17886</v>
      </c>
      <c r="L2346" s="70" t="s">
        <v>16731</v>
      </c>
      <c r="N2346" s="70" t="s">
        <v>16732</v>
      </c>
      <c r="P2346" s="79">
        <v>42863.0</v>
      </c>
      <c r="U2346" s="70" t="s">
        <v>239</v>
      </c>
      <c r="W2346" s="70" t="s">
        <v>17889</v>
      </c>
      <c r="Y2346" s="70" t="s">
        <v>30930</v>
      </c>
      <c r="Z2346" s="75" t="s">
        <v>17891</v>
      </c>
      <c r="AA2346" s="70" t="s">
        <v>17892</v>
      </c>
      <c r="AC2346" s="70">
        <v>31.0</v>
      </c>
      <c r="AE2346" s="70">
        <v>39.0</v>
      </c>
      <c r="AF2346" s="70" t="s">
        <v>239</v>
      </c>
      <c r="AW2346" s="70" t="s">
        <v>17893</v>
      </c>
      <c r="AX2346" s="70">
        <v>0.0</v>
      </c>
      <c r="AY2346" s="70" t="s">
        <v>24</v>
      </c>
      <c r="AZ2346" s="70">
        <v>3096.0</v>
      </c>
    </row>
    <row r="2347" ht="22.5" customHeight="1">
      <c r="A2347" s="70" t="str">
        <f t="shared" si="1"/>
        <v>Excluded</v>
      </c>
      <c r="B2347" s="70">
        <f t="shared" si="2"/>
        <v>0</v>
      </c>
      <c r="C2347" s="70">
        <v>0.0</v>
      </c>
      <c r="D2347" s="70">
        <v>0.0</v>
      </c>
      <c r="E2347" s="70">
        <v>0.0</v>
      </c>
      <c r="F2347" s="70">
        <v>0.0</v>
      </c>
      <c r="G2347" s="70">
        <v>0.0</v>
      </c>
      <c r="H2347" s="70" t="s">
        <v>18109</v>
      </c>
      <c r="I2347" s="70">
        <v>1989.0</v>
      </c>
      <c r="J2347" s="70" t="s">
        <v>9668</v>
      </c>
      <c r="K2347" s="70" t="s">
        <v>18108</v>
      </c>
      <c r="L2347" s="70" t="s">
        <v>16731</v>
      </c>
      <c r="N2347" s="70" t="s">
        <v>16732</v>
      </c>
      <c r="P2347" s="76">
        <v>43061.0</v>
      </c>
      <c r="U2347" s="70" t="s">
        <v>239</v>
      </c>
      <c r="W2347" s="70" t="s">
        <v>18111</v>
      </c>
      <c r="Y2347" s="70" t="s">
        <v>30931</v>
      </c>
      <c r="Z2347" s="75" t="s">
        <v>18113</v>
      </c>
      <c r="AA2347" s="70" t="s">
        <v>18114</v>
      </c>
      <c r="AC2347" s="70">
        <v>27.0</v>
      </c>
      <c r="AE2347" s="70">
        <v>22.0</v>
      </c>
      <c r="AF2347" s="70" t="s">
        <v>239</v>
      </c>
      <c r="AW2347" s="70" t="s">
        <v>18115</v>
      </c>
      <c r="AX2347" s="70">
        <v>0.0</v>
      </c>
      <c r="AY2347" s="70" t="s">
        <v>24</v>
      </c>
      <c r="AZ2347" s="70">
        <v>2774.0</v>
      </c>
    </row>
    <row r="2348" ht="22.5" customHeight="1">
      <c r="A2348" s="70" t="str">
        <f t="shared" si="1"/>
        <v>Excluded</v>
      </c>
      <c r="B2348" s="70">
        <f t="shared" si="2"/>
        <v>0</v>
      </c>
      <c r="C2348" s="70">
        <v>0.0</v>
      </c>
      <c r="D2348" s="70">
        <v>0.0</v>
      </c>
      <c r="E2348" s="70">
        <v>0.0</v>
      </c>
      <c r="F2348" s="70">
        <v>0.0</v>
      </c>
      <c r="G2348" s="70">
        <v>0.0</v>
      </c>
      <c r="H2348" s="70" t="s">
        <v>20194</v>
      </c>
      <c r="I2348" s="70">
        <v>2223.0</v>
      </c>
      <c r="J2348" s="70" t="s">
        <v>20192</v>
      </c>
      <c r="K2348" s="70" t="s">
        <v>20193</v>
      </c>
      <c r="L2348" s="70" t="s">
        <v>16731</v>
      </c>
      <c r="N2348" s="70" t="s">
        <v>16732</v>
      </c>
      <c r="P2348" s="78">
        <v>43595.0</v>
      </c>
      <c r="U2348" s="70" t="s">
        <v>239</v>
      </c>
      <c r="W2348" s="70" t="s">
        <v>20196</v>
      </c>
      <c r="Z2348" s="75" t="s">
        <v>20197</v>
      </c>
      <c r="AA2348" s="70" t="s">
        <v>20198</v>
      </c>
      <c r="AC2348" s="70">
        <v>5.0</v>
      </c>
      <c r="AE2348" s="70">
        <v>32.0</v>
      </c>
      <c r="AF2348" s="70" t="s">
        <v>239</v>
      </c>
      <c r="AW2348" s="70" t="s">
        <v>20199</v>
      </c>
      <c r="AZ2348" s="70">
        <v>979.0</v>
      </c>
    </row>
    <row r="2349" ht="22.5" customHeight="1">
      <c r="A2349" s="70" t="str">
        <f t="shared" si="1"/>
        <v>Excluded</v>
      </c>
      <c r="B2349" s="70">
        <f t="shared" si="2"/>
        <v>0</v>
      </c>
      <c r="C2349" s="70">
        <v>0.0</v>
      </c>
      <c r="D2349" s="70">
        <v>0.0</v>
      </c>
      <c r="E2349" s="70">
        <v>0.0</v>
      </c>
      <c r="F2349" s="70">
        <v>0.0</v>
      </c>
      <c r="G2349" s="70">
        <v>0.0</v>
      </c>
      <c r="H2349" s="70" t="s">
        <v>17449</v>
      </c>
      <c r="I2349" s="70">
        <v>1915.0</v>
      </c>
      <c r="J2349" s="70" t="s">
        <v>17447</v>
      </c>
      <c r="K2349" s="70" t="s">
        <v>17448</v>
      </c>
      <c r="L2349" s="70" t="s">
        <v>16731</v>
      </c>
      <c r="N2349" s="70" t="s">
        <v>16732</v>
      </c>
      <c r="P2349" s="77">
        <v>44082.0</v>
      </c>
      <c r="U2349" s="70" t="s">
        <v>239</v>
      </c>
      <c r="W2349" s="70" t="s">
        <v>17451</v>
      </c>
      <c r="Y2349" s="70" t="s">
        <v>30932</v>
      </c>
      <c r="Z2349" s="75" t="s">
        <v>17453</v>
      </c>
      <c r="AA2349" s="70" t="s">
        <v>17454</v>
      </c>
      <c r="AC2349" s="70">
        <v>49.0</v>
      </c>
      <c r="AE2349" s="70">
        <v>32.0</v>
      </c>
      <c r="AF2349" s="70" t="s">
        <v>239</v>
      </c>
      <c r="AW2349" s="70" t="s">
        <v>17455</v>
      </c>
      <c r="AX2349" s="70">
        <v>0.0</v>
      </c>
      <c r="AY2349" s="70" t="s">
        <v>24</v>
      </c>
      <c r="AZ2349" s="70">
        <v>2376.0</v>
      </c>
    </row>
    <row r="2350" ht="22.5" customHeight="1">
      <c r="A2350" s="70" t="str">
        <f t="shared" si="1"/>
        <v>Excluded</v>
      </c>
      <c r="B2350" s="70">
        <f t="shared" si="2"/>
        <v>0</v>
      </c>
      <c r="C2350" s="70">
        <v>0.0</v>
      </c>
      <c r="D2350" s="70">
        <v>0.0</v>
      </c>
      <c r="E2350" s="70">
        <v>0.0</v>
      </c>
      <c r="F2350" s="70">
        <v>0.0</v>
      </c>
      <c r="G2350" s="70">
        <v>0.0</v>
      </c>
      <c r="H2350" s="70" t="s">
        <v>17005</v>
      </c>
      <c r="I2350" s="70">
        <v>1866.0</v>
      </c>
      <c r="J2350" s="70" t="s">
        <v>17003</v>
      </c>
      <c r="K2350" s="70" t="s">
        <v>17004</v>
      </c>
      <c r="L2350" s="70" t="s">
        <v>16731</v>
      </c>
      <c r="N2350" s="70" t="s">
        <v>16732</v>
      </c>
      <c r="P2350" s="76">
        <v>44274.0</v>
      </c>
      <c r="U2350" s="70" t="s">
        <v>239</v>
      </c>
      <c r="W2350" s="70" t="s">
        <v>17007</v>
      </c>
      <c r="Y2350" s="70" t="s">
        <v>30933</v>
      </c>
      <c r="Z2350" s="75" t="s">
        <v>17009</v>
      </c>
      <c r="AA2350" s="70" t="s">
        <v>17010</v>
      </c>
      <c r="AC2350" s="70">
        <v>84.0</v>
      </c>
      <c r="AE2350" s="70">
        <v>36.0</v>
      </c>
      <c r="AF2350" s="70" t="s">
        <v>239</v>
      </c>
      <c r="AW2350" s="70" t="s">
        <v>17011</v>
      </c>
      <c r="AX2350" s="70">
        <v>0.0</v>
      </c>
      <c r="AY2350" s="70" t="s">
        <v>24</v>
      </c>
      <c r="AZ2350" s="70">
        <v>2261.0</v>
      </c>
    </row>
    <row r="2351" ht="22.5" customHeight="1">
      <c r="A2351" s="70" t="str">
        <f t="shared" si="1"/>
        <v>Excluded</v>
      </c>
      <c r="B2351" s="70">
        <f t="shared" si="2"/>
        <v>0</v>
      </c>
      <c r="C2351" s="70">
        <v>0.0</v>
      </c>
      <c r="D2351" s="70">
        <v>0.0</v>
      </c>
      <c r="E2351" s="70">
        <v>0.0</v>
      </c>
      <c r="F2351" s="70">
        <v>0.0</v>
      </c>
      <c r="G2351" s="70">
        <v>0.0</v>
      </c>
      <c r="H2351" s="70" t="s">
        <v>16733</v>
      </c>
      <c r="I2351" s="70">
        <v>1835.0</v>
      </c>
      <c r="J2351" s="70" t="s">
        <v>16729</v>
      </c>
      <c r="K2351" s="70" t="s">
        <v>16730</v>
      </c>
      <c r="L2351" s="70" t="s">
        <v>16731</v>
      </c>
      <c r="N2351" s="70" t="s">
        <v>16732</v>
      </c>
      <c r="P2351" s="76">
        <v>44299.0</v>
      </c>
      <c r="U2351" s="70" t="s">
        <v>239</v>
      </c>
      <c r="W2351" s="70" t="s">
        <v>16735</v>
      </c>
      <c r="Y2351" s="70" t="s">
        <v>30934</v>
      </c>
      <c r="Z2351" s="75" t="s">
        <v>16737</v>
      </c>
      <c r="AA2351" s="70" t="s">
        <v>16738</v>
      </c>
      <c r="AC2351" s="70">
        <v>171.0</v>
      </c>
      <c r="AE2351" s="70">
        <v>76.0</v>
      </c>
      <c r="AF2351" s="70" t="s">
        <v>239</v>
      </c>
      <c r="AW2351" s="70" t="s">
        <v>16739</v>
      </c>
      <c r="AZ2351" s="70">
        <v>222.0</v>
      </c>
    </row>
    <row r="2352" ht="22.5" customHeight="1">
      <c r="A2352" s="70" t="str">
        <f t="shared" si="1"/>
        <v>Excluded</v>
      </c>
      <c r="B2352" s="70">
        <f t="shared" si="2"/>
        <v>0</v>
      </c>
      <c r="C2352" s="70">
        <v>0.0</v>
      </c>
      <c r="D2352" s="70">
        <v>0.0</v>
      </c>
      <c r="E2352" s="70">
        <v>0.0</v>
      </c>
      <c r="F2352" s="70">
        <v>0.0</v>
      </c>
      <c r="G2352" s="70">
        <v>0.0</v>
      </c>
      <c r="H2352" s="70" t="s">
        <v>18477</v>
      </c>
      <c r="I2352" s="70">
        <v>2030.0</v>
      </c>
      <c r="J2352" s="70" t="s">
        <v>18475</v>
      </c>
      <c r="K2352" s="70" t="s">
        <v>18476</v>
      </c>
      <c r="L2352" s="70" t="s">
        <v>16731</v>
      </c>
      <c r="N2352" s="70" t="s">
        <v>16732</v>
      </c>
      <c r="P2352" s="77">
        <v>44412.0</v>
      </c>
      <c r="U2352" s="70" t="s">
        <v>239</v>
      </c>
      <c r="W2352" s="70" t="s">
        <v>30935</v>
      </c>
      <c r="Y2352" s="70" t="s">
        <v>18480</v>
      </c>
      <c r="Z2352" s="75" t="s">
        <v>18481</v>
      </c>
      <c r="AA2352" s="70" t="s">
        <v>18482</v>
      </c>
      <c r="AC2352" s="70">
        <v>20.0</v>
      </c>
      <c r="AE2352" s="70">
        <v>19.0</v>
      </c>
      <c r="AF2352" s="70" t="s">
        <v>239</v>
      </c>
      <c r="AW2352" s="70" t="s">
        <v>18483</v>
      </c>
      <c r="AZ2352" s="70">
        <v>401.0</v>
      </c>
    </row>
    <row r="2353" ht="22.5" customHeight="1">
      <c r="A2353" s="70" t="str">
        <f t="shared" si="1"/>
        <v>Excluded</v>
      </c>
      <c r="B2353" s="70">
        <f t="shared" si="2"/>
        <v>0</v>
      </c>
      <c r="C2353" s="70">
        <v>0.0</v>
      </c>
      <c r="D2353" s="70">
        <v>0.0</v>
      </c>
      <c r="E2353" s="70">
        <v>0.0</v>
      </c>
      <c r="F2353" s="70">
        <v>0.0</v>
      </c>
      <c r="G2353" s="70">
        <v>0.0</v>
      </c>
      <c r="H2353" s="70" t="s">
        <v>18198</v>
      </c>
      <c r="I2353" s="70">
        <v>1999.0</v>
      </c>
      <c r="J2353" s="70" t="s">
        <v>18196</v>
      </c>
      <c r="K2353" s="70" t="s">
        <v>18197</v>
      </c>
      <c r="L2353" s="70" t="s">
        <v>16731</v>
      </c>
      <c r="N2353" s="70" t="s">
        <v>16732</v>
      </c>
      <c r="P2353" s="77">
        <v>44447.0</v>
      </c>
      <c r="U2353" s="70" t="s">
        <v>239</v>
      </c>
      <c r="W2353" s="70" t="s">
        <v>18200</v>
      </c>
      <c r="Y2353" s="70" t="s">
        <v>18201</v>
      </c>
      <c r="Z2353" s="75" t="s">
        <v>18202</v>
      </c>
      <c r="AA2353" s="70" t="s">
        <v>18203</v>
      </c>
      <c r="AC2353" s="70">
        <v>25.0</v>
      </c>
      <c r="AE2353" s="70">
        <v>29.0</v>
      </c>
      <c r="AF2353" s="70" t="s">
        <v>239</v>
      </c>
      <c r="AW2353" s="70" t="s">
        <v>18204</v>
      </c>
      <c r="AZ2353" s="70">
        <v>509.0</v>
      </c>
    </row>
    <row r="2354" ht="22.5" customHeight="1">
      <c r="A2354" s="70" t="str">
        <f t="shared" si="1"/>
        <v>Excluded</v>
      </c>
      <c r="B2354" s="70">
        <f t="shared" si="2"/>
        <v>0</v>
      </c>
      <c r="C2354" s="70">
        <v>0.0</v>
      </c>
      <c r="D2354" s="70">
        <v>0.0</v>
      </c>
      <c r="E2354" s="70">
        <v>0.0</v>
      </c>
      <c r="F2354" s="70">
        <v>0.0</v>
      </c>
      <c r="G2354" s="70">
        <v>0.0</v>
      </c>
      <c r="H2354" s="70" t="s">
        <v>19493</v>
      </c>
      <c r="I2354" s="70">
        <v>2144.0</v>
      </c>
      <c r="J2354" s="70" t="s">
        <v>19491</v>
      </c>
      <c r="K2354" s="70" t="s">
        <v>19492</v>
      </c>
      <c r="L2354" s="70" t="s">
        <v>16731</v>
      </c>
      <c r="N2354" s="70" t="s">
        <v>16732</v>
      </c>
      <c r="P2354" s="76">
        <v>44452.0</v>
      </c>
      <c r="U2354" s="70" t="s">
        <v>239</v>
      </c>
      <c r="W2354" s="70" t="s">
        <v>30936</v>
      </c>
      <c r="Z2354" s="75" t="s">
        <v>19496</v>
      </c>
      <c r="AC2354" s="70">
        <v>10.0</v>
      </c>
      <c r="AE2354" s="70">
        <v>0.0</v>
      </c>
      <c r="AF2354" s="70" t="s">
        <v>239</v>
      </c>
      <c r="AW2354" s="70" t="s">
        <v>19497</v>
      </c>
      <c r="AX2354" s="70">
        <v>0.0</v>
      </c>
      <c r="AY2354" s="70" t="s">
        <v>24</v>
      </c>
      <c r="AZ2354" s="70">
        <v>2200.0</v>
      </c>
    </row>
    <row r="2355" ht="22.5" customHeight="1">
      <c r="A2355" s="70" t="str">
        <f t="shared" si="1"/>
        <v>Excluded</v>
      </c>
      <c r="B2355" s="70">
        <f t="shared" si="2"/>
        <v>0</v>
      </c>
      <c r="C2355" s="70">
        <v>0.0</v>
      </c>
      <c r="D2355" s="70">
        <v>0.0</v>
      </c>
      <c r="E2355" s="70">
        <v>0.0</v>
      </c>
      <c r="F2355" s="70">
        <v>0.0</v>
      </c>
      <c r="G2355" s="70">
        <v>0.0</v>
      </c>
      <c r="H2355" s="70" t="s">
        <v>18405</v>
      </c>
      <c r="I2355" s="70">
        <v>2022.0</v>
      </c>
      <c r="J2355" s="70" t="s">
        <v>18403</v>
      </c>
      <c r="K2355" s="70" t="s">
        <v>18404</v>
      </c>
      <c r="L2355" s="70" t="s">
        <v>16731</v>
      </c>
      <c r="N2355" s="70" t="s">
        <v>16732</v>
      </c>
      <c r="P2355" s="76">
        <v>44510.0</v>
      </c>
      <c r="U2355" s="70" t="s">
        <v>239</v>
      </c>
      <c r="W2355" s="70" t="s">
        <v>18407</v>
      </c>
      <c r="Y2355" s="70" t="s">
        <v>18408</v>
      </c>
      <c r="Z2355" s="75" t="s">
        <v>18409</v>
      </c>
      <c r="AA2355" s="70" t="s">
        <v>18410</v>
      </c>
      <c r="AC2355" s="70">
        <v>22.0</v>
      </c>
      <c r="AE2355" s="70">
        <v>25.0</v>
      </c>
      <c r="AF2355" s="70" t="s">
        <v>239</v>
      </c>
      <c r="AW2355" s="70" t="s">
        <v>18411</v>
      </c>
      <c r="AX2355" s="70">
        <v>0.0</v>
      </c>
      <c r="AY2355" s="70" t="s">
        <v>24</v>
      </c>
      <c r="AZ2355" s="70">
        <v>2031.0</v>
      </c>
    </row>
    <row r="2356" ht="22.5" customHeight="1">
      <c r="A2356" s="70" t="str">
        <f t="shared" si="1"/>
        <v>Excluded</v>
      </c>
      <c r="B2356" s="70">
        <f t="shared" si="2"/>
        <v>0</v>
      </c>
      <c r="C2356" s="70">
        <v>0.0</v>
      </c>
      <c r="D2356" s="70">
        <v>0.0</v>
      </c>
      <c r="E2356" s="70">
        <v>0.0</v>
      </c>
      <c r="F2356" s="70">
        <v>0.0</v>
      </c>
      <c r="G2356" s="70">
        <v>0.0</v>
      </c>
      <c r="H2356" s="70" t="s">
        <v>18127</v>
      </c>
      <c r="I2356" s="70">
        <v>1991.0</v>
      </c>
      <c r="J2356" s="70" t="s">
        <v>18125</v>
      </c>
      <c r="K2356" s="70" t="s">
        <v>18126</v>
      </c>
      <c r="L2356" s="70" t="s">
        <v>16731</v>
      </c>
      <c r="N2356" s="70" t="s">
        <v>16732</v>
      </c>
      <c r="P2356" s="77">
        <v>44656.0</v>
      </c>
      <c r="U2356" s="70" t="s">
        <v>239</v>
      </c>
      <c r="W2356" s="70" t="s">
        <v>18129</v>
      </c>
      <c r="Y2356" s="70" t="s">
        <v>30937</v>
      </c>
      <c r="Z2356" s="75" t="s">
        <v>18131</v>
      </c>
      <c r="AA2356" s="70" t="s">
        <v>18132</v>
      </c>
      <c r="AC2356" s="70">
        <v>27.0</v>
      </c>
      <c r="AE2356" s="70">
        <v>29.0</v>
      </c>
      <c r="AF2356" s="70" t="s">
        <v>239</v>
      </c>
      <c r="AW2356" s="70" t="s">
        <v>18133</v>
      </c>
      <c r="AX2356" s="70">
        <v>0.0</v>
      </c>
      <c r="AY2356" s="70" t="s">
        <v>24</v>
      </c>
      <c r="AZ2356" s="70">
        <v>2099.0</v>
      </c>
    </row>
    <row r="2357" ht="22.5" customHeight="1">
      <c r="A2357" s="70" t="str">
        <f t="shared" si="1"/>
        <v>Excluded</v>
      </c>
      <c r="B2357" s="70">
        <f t="shared" si="2"/>
        <v>0</v>
      </c>
      <c r="C2357" s="70">
        <v>0.0</v>
      </c>
      <c r="D2357" s="70">
        <v>0.0</v>
      </c>
      <c r="E2357" s="70">
        <v>0.0</v>
      </c>
      <c r="F2357" s="70">
        <v>0.0</v>
      </c>
      <c r="G2357" s="70">
        <v>0.0</v>
      </c>
      <c r="H2357" s="70" t="s">
        <v>19069</v>
      </c>
      <c r="I2357" s="70">
        <v>2096.0</v>
      </c>
      <c r="J2357" s="70" t="s">
        <v>19067</v>
      </c>
      <c r="K2357" s="70" t="s">
        <v>19068</v>
      </c>
      <c r="L2357" s="70" t="s">
        <v>16731</v>
      </c>
      <c r="N2357" s="70" t="s">
        <v>16732</v>
      </c>
      <c r="P2357" s="76">
        <v>44676.0</v>
      </c>
      <c r="U2357" s="70" t="s">
        <v>239</v>
      </c>
      <c r="W2357" s="70" t="s">
        <v>19071</v>
      </c>
      <c r="Z2357" s="75" t="s">
        <v>19072</v>
      </c>
      <c r="AA2357" s="70" t="s">
        <v>19073</v>
      </c>
      <c r="AC2357" s="70">
        <v>13.0</v>
      </c>
      <c r="AE2357" s="70">
        <v>29.0</v>
      </c>
      <c r="AF2357" s="70" t="s">
        <v>239</v>
      </c>
      <c r="AW2357" s="70" t="s">
        <v>19074</v>
      </c>
      <c r="AX2357" s="70">
        <v>0.0</v>
      </c>
      <c r="AY2357" s="70" t="s">
        <v>24</v>
      </c>
      <c r="AZ2357" s="70">
        <v>2247.0</v>
      </c>
    </row>
    <row r="2358" ht="22.5" customHeight="1">
      <c r="A2358" s="70" t="str">
        <f t="shared" si="1"/>
        <v>Excluded</v>
      </c>
      <c r="B2358" s="70">
        <f t="shared" si="2"/>
        <v>0</v>
      </c>
      <c r="C2358" s="70">
        <v>0.0</v>
      </c>
      <c r="D2358" s="70">
        <v>0.0</v>
      </c>
      <c r="E2358" s="70">
        <v>0.0</v>
      </c>
      <c r="F2358" s="70">
        <v>0.0</v>
      </c>
      <c r="G2358" s="70">
        <v>0.0</v>
      </c>
      <c r="H2358" s="70" t="s">
        <v>18852</v>
      </c>
      <c r="I2358" s="70">
        <v>2072.0</v>
      </c>
      <c r="J2358" s="70" t="s">
        <v>18850</v>
      </c>
      <c r="K2358" s="70" t="s">
        <v>18851</v>
      </c>
      <c r="L2358" s="70" t="s">
        <v>16731</v>
      </c>
      <c r="N2358" s="70" t="s">
        <v>16732</v>
      </c>
      <c r="P2358" s="76">
        <v>44676.0</v>
      </c>
      <c r="U2358" s="70" t="s">
        <v>239</v>
      </c>
      <c r="W2358" s="70" t="s">
        <v>30938</v>
      </c>
      <c r="Y2358" s="70" t="s">
        <v>30939</v>
      </c>
      <c r="Z2358" s="75" t="s">
        <v>18856</v>
      </c>
      <c r="AA2358" s="70" t="s">
        <v>18857</v>
      </c>
      <c r="AC2358" s="70">
        <v>15.0</v>
      </c>
      <c r="AE2358" s="70">
        <v>24.0</v>
      </c>
      <c r="AF2358" s="70" t="s">
        <v>16727</v>
      </c>
      <c r="AW2358" s="70" t="s">
        <v>18858</v>
      </c>
      <c r="AZ2358" s="70">
        <v>1036.0</v>
      </c>
    </row>
    <row r="2359" ht="22.5" customHeight="1">
      <c r="A2359" s="70" t="str">
        <f t="shared" si="1"/>
        <v>Excluded</v>
      </c>
      <c r="B2359" s="70">
        <f t="shared" si="2"/>
        <v>0</v>
      </c>
      <c r="C2359" s="70">
        <v>0.0</v>
      </c>
      <c r="D2359" s="70">
        <v>0.0</v>
      </c>
      <c r="E2359" s="70">
        <v>0.0</v>
      </c>
      <c r="F2359" s="70">
        <v>0.0</v>
      </c>
      <c r="G2359" s="70">
        <v>0.0</v>
      </c>
      <c r="H2359" s="70" t="s">
        <v>17560</v>
      </c>
      <c r="I2359" s="70">
        <v>1928.0</v>
      </c>
      <c r="J2359" s="70" t="s">
        <v>17558</v>
      </c>
      <c r="K2359" s="70" t="s">
        <v>17559</v>
      </c>
      <c r="L2359" s="70" t="s">
        <v>16731</v>
      </c>
      <c r="N2359" s="70" t="s">
        <v>16732</v>
      </c>
      <c r="P2359" s="76">
        <v>44790.0</v>
      </c>
      <c r="U2359" s="70" t="s">
        <v>239</v>
      </c>
      <c r="W2359" s="70" t="s">
        <v>17562</v>
      </c>
      <c r="Y2359" s="70" t="s">
        <v>30589</v>
      </c>
      <c r="Z2359" s="75" t="s">
        <v>17564</v>
      </c>
      <c r="AA2359" s="70" t="s">
        <v>17565</v>
      </c>
      <c r="AC2359" s="70">
        <v>41.0</v>
      </c>
      <c r="AE2359" s="70">
        <v>100.0</v>
      </c>
      <c r="AF2359" s="70" t="s">
        <v>239</v>
      </c>
      <c r="AW2359" s="70" t="s">
        <v>17566</v>
      </c>
      <c r="AZ2359" s="70">
        <v>1313.0</v>
      </c>
    </row>
    <row r="2360" ht="22.5" customHeight="1">
      <c r="A2360" s="70" t="str">
        <f t="shared" si="1"/>
        <v>Excluded</v>
      </c>
      <c r="B2360" s="70">
        <f t="shared" si="2"/>
        <v>0</v>
      </c>
      <c r="C2360" s="70">
        <v>0.0</v>
      </c>
      <c r="D2360" s="70">
        <v>0.0</v>
      </c>
      <c r="E2360" s="70">
        <v>0.0</v>
      </c>
      <c r="F2360" s="70">
        <v>0.0</v>
      </c>
      <c r="G2360" s="70">
        <v>0.0</v>
      </c>
      <c r="H2360" s="70" t="s">
        <v>19289</v>
      </c>
      <c r="I2360" s="70">
        <v>2121.0</v>
      </c>
      <c r="J2360" s="70" t="s">
        <v>19287</v>
      </c>
      <c r="K2360" s="70" t="s">
        <v>19288</v>
      </c>
      <c r="L2360" s="70" t="s">
        <v>16731</v>
      </c>
      <c r="N2360" s="70" t="s">
        <v>16732</v>
      </c>
      <c r="P2360" s="76">
        <v>44847.0</v>
      </c>
      <c r="U2360" s="70" t="s">
        <v>239</v>
      </c>
      <c r="W2360" s="70" t="s">
        <v>19291</v>
      </c>
      <c r="Y2360" s="70" t="s">
        <v>19292</v>
      </c>
      <c r="Z2360" s="75" t="s">
        <v>19293</v>
      </c>
      <c r="AA2360" s="70" t="s">
        <v>19294</v>
      </c>
      <c r="AC2360" s="70">
        <v>11.0</v>
      </c>
      <c r="AE2360" s="70">
        <v>30.0</v>
      </c>
      <c r="AF2360" s="70" t="s">
        <v>239</v>
      </c>
      <c r="AW2360" s="70" t="s">
        <v>19295</v>
      </c>
      <c r="AX2360" s="70">
        <v>0.0</v>
      </c>
      <c r="AY2360" s="70" t="s">
        <v>24</v>
      </c>
      <c r="AZ2360" s="70">
        <v>2419.0</v>
      </c>
    </row>
    <row r="2361" ht="22.5" customHeight="1">
      <c r="A2361" s="70" t="str">
        <f t="shared" si="1"/>
        <v>Excluded</v>
      </c>
      <c r="B2361" s="70">
        <f t="shared" si="2"/>
        <v>0</v>
      </c>
      <c r="C2361" s="70">
        <v>0.0</v>
      </c>
      <c r="D2361" s="70">
        <v>0.0</v>
      </c>
      <c r="E2361" s="70">
        <v>0.0</v>
      </c>
      <c r="F2361" s="70">
        <v>0.0</v>
      </c>
      <c r="G2361" s="70">
        <v>0.0</v>
      </c>
      <c r="H2361" s="70" t="s">
        <v>20140</v>
      </c>
      <c r="I2361" s="70">
        <v>2217.0</v>
      </c>
      <c r="J2361" s="70" t="s">
        <v>20138</v>
      </c>
      <c r="K2361" s="70" t="s">
        <v>20139</v>
      </c>
      <c r="L2361" s="70" t="s">
        <v>16731</v>
      </c>
      <c r="N2361" s="70" t="s">
        <v>16732</v>
      </c>
      <c r="P2361" s="76">
        <v>45275.0</v>
      </c>
      <c r="U2361" s="70" t="s">
        <v>239</v>
      </c>
      <c r="W2361" s="70" t="s">
        <v>20142</v>
      </c>
      <c r="Z2361" s="75" t="s">
        <v>20143</v>
      </c>
      <c r="AA2361" s="70" t="s">
        <v>20144</v>
      </c>
      <c r="AC2361" s="70">
        <v>5.0</v>
      </c>
      <c r="AE2361" s="70">
        <v>80.0</v>
      </c>
      <c r="AF2361" s="70" t="s">
        <v>239</v>
      </c>
      <c r="AW2361" s="70" t="s">
        <v>20145</v>
      </c>
      <c r="AZ2361" s="70">
        <v>1470.0</v>
      </c>
    </row>
    <row r="2362" ht="22.5" customHeight="1">
      <c r="A2362" s="70" t="str">
        <f t="shared" si="1"/>
        <v>Excluded</v>
      </c>
      <c r="B2362" s="70">
        <f t="shared" si="2"/>
        <v>0</v>
      </c>
      <c r="C2362" s="70">
        <v>0.0</v>
      </c>
      <c r="D2362" s="70">
        <v>0.0</v>
      </c>
      <c r="E2362" s="70">
        <v>0.0</v>
      </c>
      <c r="F2362" s="70">
        <v>0.0</v>
      </c>
      <c r="G2362" s="70">
        <v>0.0</v>
      </c>
      <c r="H2362" s="70" t="s">
        <v>20185</v>
      </c>
      <c r="I2362" s="70">
        <v>2222.0</v>
      </c>
      <c r="J2362" s="70" t="s">
        <v>20183</v>
      </c>
      <c r="K2362" s="70" t="s">
        <v>20184</v>
      </c>
      <c r="L2362" s="70" t="s">
        <v>16731</v>
      </c>
      <c r="N2362" s="70" t="s">
        <v>16732</v>
      </c>
      <c r="P2362" s="76">
        <v>45285.0</v>
      </c>
      <c r="U2362" s="70" t="s">
        <v>239</v>
      </c>
      <c r="W2362" s="70" t="s">
        <v>20187</v>
      </c>
      <c r="Y2362" s="70" t="s">
        <v>30940</v>
      </c>
      <c r="Z2362" s="75" t="s">
        <v>20189</v>
      </c>
      <c r="AA2362" s="70" t="s">
        <v>20190</v>
      </c>
      <c r="AC2362" s="70">
        <v>5.0</v>
      </c>
      <c r="AE2362" s="70">
        <v>45.0</v>
      </c>
      <c r="AF2362" s="70" t="s">
        <v>16727</v>
      </c>
      <c r="AW2362" s="70" t="s">
        <v>20191</v>
      </c>
      <c r="AZ2362" s="70">
        <v>519.0</v>
      </c>
    </row>
    <row r="2363" ht="22.5" customHeight="1">
      <c r="A2363" s="70" t="str">
        <f t="shared" si="1"/>
        <v>Excluded</v>
      </c>
      <c r="B2363" s="70">
        <f t="shared" si="2"/>
        <v>0</v>
      </c>
      <c r="C2363" s="70">
        <v>0.0</v>
      </c>
      <c r="D2363" s="70">
        <v>0.0</v>
      </c>
      <c r="E2363" s="70">
        <v>0.0</v>
      </c>
      <c r="F2363" s="70">
        <v>0.0</v>
      </c>
      <c r="G2363" s="70">
        <v>0.0</v>
      </c>
      <c r="H2363" s="70" t="s">
        <v>20390</v>
      </c>
      <c r="I2363" s="70">
        <v>2245.0</v>
      </c>
      <c r="J2363" s="70" t="s">
        <v>20388</v>
      </c>
      <c r="K2363" s="70" t="s">
        <v>20389</v>
      </c>
      <c r="L2363" s="70" t="s">
        <v>16731</v>
      </c>
      <c r="N2363" s="70" t="s">
        <v>16732</v>
      </c>
      <c r="P2363" s="77">
        <v>45506.0</v>
      </c>
      <c r="U2363" s="70" t="s">
        <v>239</v>
      </c>
      <c r="W2363" s="70" t="s">
        <v>20392</v>
      </c>
      <c r="Y2363" s="70" t="s">
        <v>20393</v>
      </c>
      <c r="Z2363" s="75" t="s">
        <v>20394</v>
      </c>
      <c r="AA2363" s="70" t="s">
        <v>20395</v>
      </c>
      <c r="AC2363" s="70">
        <v>4.0</v>
      </c>
      <c r="AE2363" s="70">
        <v>38.0</v>
      </c>
      <c r="AF2363" s="70" t="s">
        <v>239</v>
      </c>
      <c r="AW2363" s="70" t="s">
        <v>20396</v>
      </c>
      <c r="AX2363" s="70">
        <v>0.0</v>
      </c>
      <c r="AY2363" s="70" t="s">
        <v>24</v>
      </c>
      <c r="AZ2363" s="70">
        <v>1671.0</v>
      </c>
    </row>
    <row r="2364" ht="22.5" customHeight="1">
      <c r="A2364" s="70" t="str">
        <f t="shared" si="1"/>
        <v>Excluded</v>
      </c>
      <c r="B2364" s="70">
        <f t="shared" si="2"/>
        <v>0</v>
      </c>
      <c r="C2364" s="70">
        <v>0.0</v>
      </c>
      <c r="D2364" s="70">
        <v>0.0</v>
      </c>
      <c r="E2364" s="70">
        <v>0.0</v>
      </c>
      <c r="F2364" s="70">
        <v>0.0</v>
      </c>
      <c r="G2364" s="70">
        <v>0.0</v>
      </c>
      <c r="H2364" s="70" t="s">
        <v>22940</v>
      </c>
      <c r="I2364" s="70">
        <v>2528.0</v>
      </c>
      <c r="J2364" s="70" t="s">
        <v>22938</v>
      </c>
      <c r="K2364" s="70" t="s">
        <v>22939</v>
      </c>
      <c r="W2364" s="70" t="s">
        <v>30941</v>
      </c>
      <c r="AA2364" s="70" t="s">
        <v>22942</v>
      </c>
      <c r="AI2364" s="70" t="s">
        <v>22943</v>
      </c>
      <c r="AJ2364" s="70" t="s">
        <v>22944</v>
      </c>
      <c r="AK2364" s="70">
        <v>2025.0</v>
      </c>
      <c r="AL2364" s="70" t="s">
        <v>16731</v>
      </c>
      <c r="AQ2364" s="70">
        <v>0.0</v>
      </c>
      <c r="AR2364" s="75" t="s">
        <v>22945</v>
      </c>
      <c r="AS2364" s="70" t="s">
        <v>22588</v>
      </c>
      <c r="AU2364" s="70" t="s">
        <v>237</v>
      </c>
      <c r="AV2364" s="70" t="s">
        <v>22946</v>
      </c>
      <c r="AW2364" s="70" t="s">
        <v>22947</v>
      </c>
      <c r="AX2364" s="70">
        <v>0.0</v>
      </c>
      <c r="AY2364" s="70" t="s">
        <v>24</v>
      </c>
      <c r="AZ2364" s="70">
        <v>2361.0</v>
      </c>
    </row>
    <row r="2365" ht="22.5" customHeight="1">
      <c r="A2365" s="70" t="str">
        <f t="shared" si="1"/>
        <v>Excluded</v>
      </c>
      <c r="B2365" s="70">
        <f t="shared" si="2"/>
        <v>0</v>
      </c>
      <c r="C2365" s="70">
        <v>0.0</v>
      </c>
      <c r="D2365" s="70">
        <v>0.0</v>
      </c>
      <c r="E2365" s="70">
        <v>0.0</v>
      </c>
      <c r="F2365" s="70">
        <v>0.0</v>
      </c>
      <c r="G2365" s="70">
        <v>0.0</v>
      </c>
      <c r="H2365" s="70" t="s">
        <v>18963</v>
      </c>
      <c r="I2365" s="70">
        <v>2084.0</v>
      </c>
      <c r="J2365" s="70" t="s">
        <v>18961</v>
      </c>
      <c r="K2365" s="70" t="s">
        <v>18962</v>
      </c>
      <c r="L2365" s="70" t="s">
        <v>18832</v>
      </c>
      <c r="N2365" s="70" t="s">
        <v>18833</v>
      </c>
      <c r="P2365" s="76">
        <v>43447.0</v>
      </c>
      <c r="U2365" s="70" t="s">
        <v>239</v>
      </c>
      <c r="W2365" s="70" t="s">
        <v>18965</v>
      </c>
      <c r="Z2365" s="75" t="s">
        <v>18966</v>
      </c>
      <c r="AA2365" s="70" t="s">
        <v>18967</v>
      </c>
      <c r="AC2365" s="70">
        <v>14.0</v>
      </c>
      <c r="AE2365" s="70">
        <v>38.0</v>
      </c>
      <c r="AF2365" s="70" t="s">
        <v>239</v>
      </c>
      <c r="AW2365" s="70" t="s">
        <v>18968</v>
      </c>
      <c r="AX2365" s="70">
        <v>0.0</v>
      </c>
      <c r="AY2365" s="70" t="s">
        <v>24</v>
      </c>
      <c r="AZ2365" s="70">
        <v>2949.0</v>
      </c>
    </row>
    <row r="2366" ht="22.5" customHeight="1">
      <c r="A2366" s="70" t="str">
        <f t="shared" si="1"/>
        <v>Excluded</v>
      </c>
      <c r="B2366" s="70">
        <f t="shared" si="2"/>
        <v>0</v>
      </c>
      <c r="C2366" s="70">
        <v>0.0</v>
      </c>
      <c r="D2366" s="70">
        <v>0.0</v>
      </c>
      <c r="E2366" s="70">
        <v>0.0</v>
      </c>
      <c r="F2366" s="70">
        <v>0.0</v>
      </c>
      <c r="G2366" s="70">
        <v>0.0</v>
      </c>
      <c r="H2366" s="70" t="s">
        <v>18834</v>
      </c>
      <c r="I2366" s="70">
        <v>2070.0</v>
      </c>
      <c r="J2366" s="70" t="s">
        <v>18830</v>
      </c>
      <c r="K2366" s="70" t="s">
        <v>18831</v>
      </c>
      <c r="L2366" s="70" t="s">
        <v>18832</v>
      </c>
      <c r="N2366" s="70" t="s">
        <v>18833</v>
      </c>
      <c r="P2366" s="77">
        <v>44106.0</v>
      </c>
      <c r="U2366" s="70" t="s">
        <v>239</v>
      </c>
      <c r="W2366" s="70" t="s">
        <v>18836</v>
      </c>
      <c r="Y2366" s="70" t="s">
        <v>18837</v>
      </c>
      <c r="Z2366" s="75" t="s">
        <v>18838</v>
      </c>
      <c r="AA2366" s="70" t="s">
        <v>18839</v>
      </c>
      <c r="AC2366" s="70">
        <v>15.0</v>
      </c>
      <c r="AE2366" s="70">
        <v>29.0</v>
      </c>
      <c r="AF2366" s="70" t="s">
        <v>239</v>
      </c>
      <c r="AW2366" s="70" t="s">
        <v>18840</v>
      </c>
      <c r="AX2366" s="70">
        <v>0.0</v>
      </c>
      <c r="AY2366" s="70" t="s">
        <v>24</v>
      </c>
      <c r="AZ2366" s="70">
        <v>1915.0</v>
      </c>
    </row>
    <row r="2367" ht="22.5" customHeight="1">
      <c r="A2367" s="70" t="str">
        <f t="shared" si="1"/>
        <v>Excluded</v>
      </c>
      <c r="B2367" s="70">
        <f t="shared" si="2"/>
        <v>0</v>
      </c>
      <c r="C2367" s="70">
        <v>0.0</v>
      </c>
      <c r="D2367" s="70">
        <v>0.0</v>
      </c>
      <c r="E2367" s="70">
        <v>0.0</v>
      </c>
      <c r="F2367" s="70">
        <v>0.0</v>
      </c>
      <c r="G2367" s="70">
        <v>0.0</v>
      </c>
      <c r="H2367" s="70" t="s">
        <v>7746</v>
      </c>
      <c r="I2367" s="70">
        <v>745.0</v>
      </c>
      <c r="J2367" s="70" t="s">
        <v>7743</v>
      </c>
      <c r="K2367" s="70" t="s">
        <v>7744</v>
      </c>
      <c r="L2367" s="70" t="s">
        <v>7745</v>
      </c>
      <c r="P2367" s="77">
        <v>44896.0</v>
      </c>
      <c r="U2367" s="70" t="s">
        <v>239</v>
      </c>
      <c r="W2367" s="70" t="s">
        <v>7748</v>
      </c>
      <c r="X2367" s="70" t="s">
        <v>7749</v>
      </c>
      <c r="Z2367" s="75" t="s">
        <v>7750</v>
      </c>
      <c r="AA2367" s="70" t="s">
        <v>7751</v>
      </c>
      <c r="AC2367" s="70">
        <v>3.0</v>
      </c>
      <c r="AE2367" s="70">
        <v>42.0</v>
      </c>
      <c r="AF2367" s="70" t="s">
        <v>239</v>
      </c>
      <c r="AW2367" s="70" t="s">
        <v>7752</v>
      </c>
      <c r="AX2367" s="70">
        <v>0.0</v>
      </c>
      <c r="AY2367" s="70" t="s">
        <v>24</v>
      </c>
      <c r="AZ2367" s="70">
        <v>2528.0</v>
      </c>
    </row>
    <row r="2368" ht="22.5" customHeight="1">
      <c r="A2368" s="70" t="str">
        <f t="shared" si="1"/>
        <v>Excluded</v>
      </c>
      <c r="B2368" s="70">
        <f t="shared" si="2"/>
        <v>0</v>
      </c>
      <c r="C2368" s="70">
        <v>0.0</v>
      </c>
      <c r="D2368" s="70">
        <v>0.0</v>
      </c>
      <c r="E2368" s="70">
        <v>0.0</v>
      </c>
      <c r="F2368" s="70">
        <v>0.0</v>
      </c>
      <c r="G2368" s="70">
        <v>0.0</v>
      </c>
      <c r="H2368" s="70" t="s">
        <v>19210</v>
      </c>
      <c r="I2368" s="70">
        <v>2112.0</v>
      </c>
      <c r="J2368" s="70" t="s">
        <v>19208</v>
      </c>
      <c r="K2368" s="70" t="s">
        <v>19209</v>
      </c>
      <c r="L2368" s="70" t="s">
        <v>17654</v>
      </c>
      <c r="N2368" s="70" t="s">
        <v>17655</v>
      </c>
      <c r="P2368" s="76">
        <v>43719.0</v>
      </c>
      <c r="U2368" s="70" t="s">
        <v>239</v>
      </c>
      <c r="W2368" s="70" t="s">
        <v>19212</v>
      </c>
      <c r="Y2368" s="70" t="s">
        <v>30942</v>
      </c>
      <c r="Z2368" s="75" t="s">
        <v>19214</v>
      </c>
      <c r="AA2368" s="70" t="s">
        <v>19215</v>
      </c>
      <c r="AC2368" s="70">
        <v>12.0</v>
      </c>
      <c r="AE2368" s="70">
        <v>32.0</v>
      </c>
      <c r="AF2368" s="70" t="s">
        <v>239</v>
      </c>
      <c r="AW2368" s="70" t="s">
        <v>19216</v>
      </c>
      <c r="AZ2368" s="70">
        <v>466.0</v>
      </c>
    </row>
    <row r="2369" ht="22.5" customHeight="1">
      <c r="A2369" s="70" t="str">
        <f t="shared" si="1"/>
        <v>Excluded</v>
      </c>
      <c r="B2369" s="70">
        <f t="shared" si="2"/>
        <v>0</v>
      </c>
      <c r="C2369" s="70">
        <v>0.0</v>
      </c>
      <c r="D2369" s="70">
        <v>0.0</v>
      </c>
      <c r="E2369" s="70">
        <v>0.0</v>
      </c>
      <c r="F2369" s="70">
        <v>0.0</v>
      </c>
      <c r="G2369" s="70">
        <v>0.0</v>
      </c>
      <c r="H2369" s="70" t="s">
        <v>17656</v>
      </c>
      <c r="I2369" s="70">
        <v>1938.0</v>
      </c>
      <c r="J2369" s="70" t="s">
        <v>17652</v>
      </c>
      <c r="K2369" s="70" t="s">
        <v>17653</v>
      </c>
      <c r="L2369" s="70" t="s">
        <v>17654</v>
      </c>
      <c r="N2369" s="70" t="s">
        <v>17655</v>
      </c>
      <c r="P2369" s="77">
        <v>44105.0</v>
      </c>
      <c r="U2369" s="70" t="s">
        <v>239</v>
      </c>
      <c r="W2369" s="70" t="s">
        <v>30943</v>
      </c>
      <c r="Z2369" s="75" t="s">
        <v>17659</v>
      </c>
      <c r="AA2369" s="70" t="s">
        <v>17660</v>
      </c>
      <c r="AC2369" s="70">
        <v>37.0</v>
      </c>
      <c r="AE2369" s="70">
        <v>62.0</v>
      </c>
      <c r="AF2369" s="70" t="s">
        <v>239</v>
      </c>
      <c r="AW2369" s="70" t="s">
        <v>17661</v>
      </c>
      <c r="AZ2369" s="70">
        <v>888.0</v>
      </c>
    </row>
    <row r="2370" ht="22.5" customHeight="1">
      <c r="A2370" s="70" t="str">
        <f t="shared" si="1"/>
        <v>Excluded</v>
      </c>
      <c r="B2370" s="70">
        <f t="shared" si="2"/>
        <v>0</v>
      </c>
      <c r="C2370" s="70">
        <v>0.0</v>
      </c>
      <c r="D2370" s="70">
        <v>0.0</v>
      </c>
      <c r="E2370" s="70">
        <v>0.0</v>
      </c>
      <c r="F2370" s="70">
        <v>0.0</v>
      </c>
      <c r="G2370" s="70">
        <v>0.0</v>
      </c>
      <c r="H2370" s="70" t="s">
        <v>18761</v>
      </c>
      <c r="I2370" s="70">
        <v>2062.0</v>
      </c>
      <c r="J2370" s="70" t="s">
        <v>18759</v>
      </c>
      <c r="K2370" s="70" t="s">
        <v>18760</v>
      </c>
      <c r="L2370" s="70" t="s">
        <v>17654</v>
      </c>
      <c r="N2370" s="70" t="s">
        <v>17655</v>
      </c>
      <c r="P2370" s="77">
        <v>44601.0</v>
      </c>
      <c r="U2370" s="70" t="s">
        <v>239</v>
      </c>
      <c r="W2370" s="70" t="s">
        <v>18763</v>
      </c>
      <c r="Y2370" s="70" t="s">
        <v>30944</v>
      </c>
      <c r="Z2370" s="75" t="s">
        <v>18765</v>
      </c>
      <c r="AA2370" s="70" t="s">
        <v>18766</v>
      </c>
      <c r="AC2370" s="70">
        <v>16.0</v>
      </c>
      <c r="AE2370" s="70">
        <v>28.0</v>
      </c>
      <c r="AF2370" s="70" t="s">
        <v>239</v>
      </c>
      <c r="AW2370" s="70" t="s">
        <v>18767</v>
      </c>
      <c r="AX2370" s="70">
        <v>0.0</v>
      </c>
      <c r="AY2370" s="70" t="s">
        <v>24</v>
      </c>
      <c r="AZ2370" s="70">
        <v>3079.0</v>
      </c>
    </row>
    <row r="2371" ht="22.5" customHeight="1">
      <c r="A2371" s="70" t="str">
        <f t="shared" si="1"/>
        <v>Excluded</v>
      </c>
      <c r="B2371" s="70">
        <f t="shared" si="2"/>
        <v>0</v>
      </c>
      <c r="C2371" s="70">
        <v>0.0</v>
      </c>
      <c r="D2371" s="70">
        <v>0.0</v>
      </c>
      <c r="E2371" s="70">
        <v>0.0</v>
      </c>
      <c r="F2371" s="70">
        <v>0.0</v>
      </c>
      <c r="G2371" s="70">
        <v>0.0</v>
      </c>
      <c r="H2371" s="70" t="s">
        <v>19624</v>
      </c>
      <c r="I2371" s="70">
        <v>2159.0</v>
      </c>
      <c r="J2371" s="70" t="s">
        <v>30945</v>
      </c>
      <c r="K2371" s="70" t="s">
        <v>19623</v>
      </c>
      <c r="L2371" s="70" t="s">
        <v>17654</v>
      </c>
      <c r="N2371" s="70" t="s">
        <v>17655</v>
      </c>
      <c r="P2371" s="76">
        <v>44664.0</v>
      </c>
      <c r="U2371" s="70" t="s">
        <v>239</v>
      </c>
      <c r="W2371" s="70" t="s">
        <v>19626</v>
      </c>
      <c r="Y2371" s="70" t="s">
        <v>30946</v>
      </c>
      <c r="Z2371" s="75" t="s">
        <v>19628</v>
      </c>
      <c r="AA2371" s="70" t="s">
        <v>19629</v>
      </c>
      <c r="AC2371" s="70">
        <v>9.0</v>
      </c>
      <c r="AE2371" s="70">
        <v>205.0</v>
      </c>
      <c r="AF2371" s="70" t="s">
        <v>239</v>
      </c>
      <c r="AW2371" s="70" t="s">
        <v>19630</v>
      </c>
      <c r="AZ2371" s="70">
        <v>827.0</v>
      </c>
    </row>
    <row r="2372" ht="22.5" customHeight="1">
      <c r="A2372" s="70" t="str">
        <f t="shared" si="1"/>
        <v>Excluded</v>
      </c>
      <c r="B2372" s="70">
        <f t="shared" si="2"/>
        <v>0</v>
      </c>
      <c r="C2372" s="70">
        <v>0.0</v>
      </c>
      <c r="D2372" s="70">
        <v>0.0</v>
      </c>
      <c r="E2372" s="70">
        <v>0.0</v>
      </c>
      <c r="F2372" s="70">
        <v>0.0</v>
      </c>
      <c r="G2372" s="70">
        <v>0.0</v>
      </c>
      <c r="H2372" s="70" t="s">
        <v>18047</v>
      </c>
      <c r="I2372" s="70">
        <v>1982.0</v>
      </c>
      <c r="J2372" s="70" t="s">
        <v>18045</v>
      </c>
      <c r="K2372" s="70" t="s">
        <v>18046</v>
      </c>
      <c r="L2372" s="70" t="s">
        <v>17654</v>
      </c>
      <c r="N2372" s="70" t="s">
        <v>17655</v>
      </c>
      <c r="P2372" s="76">
        <v>44942.0</v>
      </c>
      <c r="U2372" s="70" t="s">
        <v>239</v>
      </c>
      <c r="W2372" s="70" t="s">
        <v>30947</v>
      </c>
      <c r="Y2372" s="70" t="s">
        <v>18050</v>
      </c>
      <c r="Z2372" s="75" t="s">
        <v>18051</v>
      </c>
      <c r="AA2372" s="70" t="s">
        <v>18052</v>
      </c>
      <c r="AC2372" s="70">
        <v>28.0</v>
      </c>
      <c r="AE2372" s="70">
        <v>44.0</v>
      </c>
      <c r="AF2372" s="70" t="s">
        <v>239</v>
      </c>
      <c r="AW2372" s="70" t="s">
        <v>18053</v>
      </c>
      <c r="AZ2372" s="70">
        <v>1054.0</v>
      </c>
    </row>
    <row r="2373" ht="22.5" customHeight="1">
      <c r="A2373" s="70" t="str">
        <f t="shared" si="1"/>
        <v>Excluded</v>
      </c>
      <c r="B2373" s="70">
        <f t="shared" si="2"/>
        <v>0</v>
      </c>
      <c r="C2373" s="70">
        <v>0.0</v>
      </c>
      <c r="D2373" s="70">
        <v>0.0</v>
      </c>
      <c r="E2373" s="70">
        <v>0.0</v>
      </c>
      <c r="F2373" s="70">
        <v>0.0</v>
      </c>
      <c r="G2373" s="70">
        <v>0.0</v>
      </c>
      <c r="H2373" s="70" t="s">
        <v>19184</v>
      </c>
      <c r="I2373" s="70">
        <v>2109.0</v>
      </c>
      <c r="J2373" s="70" t="s">
        <v>19182</v>
      </c>
      <c r="K2373" s="70" t="s">
        <v>19183</v>
      </c>
      <c r="L2373" s="70" t="s">
        <v>17654</v>
      </c>
      <c r="N2373" s="70" t="s">
        <v>17655</v>
      </c>
      <c r="P2373" s="76">
        <v>44949.0</v>
      </c>
      <c r="U2373" s="70" t="s">
        <v>239</v>
      </c>
      <c r="W2373" s="70" t="s">
        <v>19186</v>
      </c>
      <c r="Y2373" s="70" t="s">
        <v>19187</v>
      </c>
      <c r="Z2373" s="75" t="s">
        <v>19188</v>
      </c>
      <c r="AA2373" s="70" t="s">
        <v>19189</v>
      </c>
      <c r="AC2373" s="70">
        <v>12.0</v>
      </c>
      <c r="AE2373" s="70">
        <v>34.0</v>
      </c>
      <c r="AF2373" s="70" t="s">
        <v>239</v>
      </c>
      <c r="AW2373" s="70" t="s">
        <v>19190</v>
      </c>
      <c r="AX2373" s="70">
        <v>0.0</v>
      </c>
      <c r="AY2373" s="70" t="s">
        <v>24</v>
      </c>
      <c r="AZ2373" s="70">
        <v>2831.0</v>
      </c>
    </row>
    <row r="2374" ht="22.5" customHeight="1">
      <c r="A2374" s="70" t="str">
        <f t="shared" si="1"/>
        <v>Excluded</v>
      </c>
      <c r="B2374" s="70">
        <f t="shared" si="2"/>
        <v>0</v>
      </c>
      <c r="C2374" s="70">
        <v>0.0</v>
      </c>
      <c r="D2374" s="70">
        <v>0.0</v>
      </c>
      <c r="E2374" s="70">
        <v>0.0</v>
      </c>
      <c r="F2374" s="70">
        <v>0.0</v>
      </c>
      <c r="G2374" s="70">
        <v>0.0</v>
      </c>
      <c r="H2374" s="70" t="s">
        <v>19500</v>
      </c>
      <c r="I2374" s="70">
        <v>2145.0</v>
      </c>
      <c r="J2374" s="70" t="s">
        <v>19498</v>
      </c>
      <c r="K2374" s="70" t="s">
        <v>19499</v>
      </c>
      <c r="L2374" s="70" t="s">
        <v>17654</v>
      </c>
      <c r="N2374" s="70" t="s">
        <v>17655</v>
      </c>
      <c r="P2374" s="76">
        <v>45005.0</v>
      </c>
      <c r="U2374" s="70" t="s">
        <v>239</v>
      </c>
      <c r="W2374" s="70" t="s">
        <v>19502</v>
      </c>
      <c r="Y2374" s="70" t="s">
        <v>30948</v>
      </c>
      <c r="Z2374" s="75" t="s">
        <v>19504</v>
      </c>
      <c r="AA2374" s="70" t="s">
        <v>19505</v>
      </c>
      <c r="AC2374" s="70">
        <v>9.0</v>
      </c>
      <c r="AE2374" s="70">
        <v>38.0</v>
      </c>
      <c r="AF2374" s="70" t="s">
        <v>239</v>
      </c>
      <c r="AW2374" s="70" t="s">
        <v>19506</v>
      </c>
      <c r="AX2374" s="70">
        <v>0.0</v>
      </c>
      <c r="AY2374" s="70" t="s">
        <v>24</v>
      </c>
      <c r="AZ2374" s="70">
        <v>3124.0</v>
      </c>
    </row>
    <row r="2375" ht="22.5" customHeight="1">
      <c r="A2375" s="70" t="str">
        <f t="shared" si="1"/>
        <v>Excluded</v>
      </c>
      <c r="B2375" s="70">
        <f t="shared" si="2"/>
        <v>0</v>
      </c>
      <c r="C2375" s="70">
        <v>0.0</v>
      </c>
      <c r="D2375" s="70">
        <v>0.0</v>
      </c>
      <c r="E2375" s="70">
        <v>0.0</v>
      </c>
      <c r="F2375" s="70">
        <v>0.0</v>
      </c>
      <c r="G2375" s="70">
        <v>0.0</v>
      </c>
      <c r="H2375" s="70" t="s">
        <v>22507</v>
      </c>
      <c r="I2375" s="70">
        <v>2487.0</v>
      </c>
      <c r="J2375" s="70" t="s">
        <v>22505</v>
      </c>
      <c r="K2375" s="70" t="s">
        <v>22506</v>
      </c>
      <c r="L2375" s="70" t="s">
        <v>17654</v>
      </c>
      <c r="N2375" s="70" t="s">
        <v>17655</v>
      </c>
      <c r="P2375" s="76">
        <v>45168.0</v>
      </c>
      <c r="U2375" s="70" t="s">
        <v>239</v>
      </c>
      <c r="W2375" s="70" t="s">
        <v>22509</v>
      </c>
      <c r="Z2375" s="75" t="s">
        <v>22510</v>
      </c>
      <c r="AE2375" s="70">
        <v>0.0</v>
      </c>
      <c r="AF2375" s="70" t="s">
        <v>239</v>
      </c>
      <c r="AZ2375" s="70">
        <v>829.0</v>
      </c>
    </row>
    <row r="2376" ht="22.5" customHeight="1">
      <c r="A2376" s="70" t="str">
        <f t="shared" si="1"/>
        <v>Excluded</v>
      </c>
      <c r="B2376" s="70">
        <f t="shared" si="2"/>
        <v>0</v>
      </c>
      <c r="C2376" s="70">
        <v>0.0</v>
      </c>
      <c r="D2376" s="70">
        <v>0.0</v>
      </c>
      <c r="E2376" s="70">
        <v>0.0</v>
      </c>
      <c r="F2376" s="70">
        <v>0.0</v>
      </c>
      <c r="G2376" s="70">
        <v>0.0</v>
      </c>
      <c r="H2376" s="70" t="s">
        <v>19411</v>
      </c>
      <c r="I2376" s="70">
        <v>2135.0</v>
      </c>
      <c r="J2376" s="70" t="s">
        <v>19409</v>
      </c>
      <c r="K2376" s="70" t="s">
        <v>19410</v>
      </c>
      <c r="L2376" s="70" t="s">
        <v>17654</v>
      </c>
      <c r="N2376" s="70" t="s">
        <v>17655</v>
      </c>
      <c r="P2376" s="76">
        <v>45180.0</v>
      </c>
      <c r="U2376" s="70" t="s">
        <v>239</v>
      </c>
      <c r="W2376" s="70" t="s">
        <v>19413</v>
      </c>
      <c r="Y2376" s="70" t="s">
        <v>30949</v>
      </c>
      <c r="Z2376" s="75" t="s">
        <v>19415</v>
      </c>
      <c r="AA2376" s="70" t="s">
        <v>19416</v>
      </c>
      <c r="AC2376" s="70">
        <v>11.0</v>
      </c>
      <c r="AE2376" s="70">
        <v>299.0</v>
      </c>
      <c r="AF2376" s="70" t="s">
        <v>239</v>
      </c>
      <c r="AW2376" s="70" t="s">
        <v>19417</v>
      </c>
      <c r="AZ2376" s="70">
        <v>1099.0</v>
      </c>
    </row>
    <row r="2377" ht="22.5" customHeight="1">
      <c r="A2377" s="70" t="str">
        <f t="shared" si="1"/>
        <v>Excluded</v>
      </c>
      <c r="B2377" s="70">
        <f t="shared" si="2"/>
        <v>0</v>
      </c>
      <c r="C2377" s="70">
        <v>0.0</v>
      </c>
      <c r="D2377" s="70">
        <v>0.0</v>
      </c>
      <c r="E2377" s="70">
        <v>0.0</v>
      </c>
      <c r="F2377" s="70">
        <v>0.0</v>
      </c>
      <c r="G2377" s="70">
        <v>0.0</v>
      </c>
      <c r="H2377" s="70" t="s">
        <v>23153</v>
      </c>
      <c r="I2377" s="70">
        <v>2548.0</v>
      </c>
      <c r="J2377" s="70" t="s">
        <v>30950</v>
      </c>
      <c r="K2377" s="70" t="s">
        <v>23152</v>
      </c>
      <c r="W2377" s="70" t="s">
        <v>30951</v>
      </c>
      <c r="AA2377" s="70" t="s">
        <v>23155</v>
      </c>
      <c r="AI2377" s="70" t="s">
        <v>30952</v>
      </c>
      <c r="AJ2377" s="70" t="s">
        <v>23157</v>
      </c>
      <c r="AK2377" s="70">
        <v>2025.0</v>
      </c>
      <c r="AL2377" s="70" t="s">
        <v>17654</v>
      </c>
      <c r="AQ2377" s="70">
        <v>0.0</v>
      </c>
      <c r="AR2377" s="75" t="s">
        <v>23158</v>
      </c>
      <c r="AS2377" s="70" t="s">
        <v>22588</v>
      </c>
      <c r="AU2377" s="70" t="s">
        <v>237</v>
      </c>
      <c r="AV2377" s="70" t="s">
        <v>23159</v>
      </c>
      <c r="AW2377" s="70" t="s">
        <v>23160</v>
      </c>
      <c r="AX2377" s="70">
        <v>0.0</v>
      </c>
      <c r="AY2377" s="70" t="s">
        <v>24</v>
      </c>
      <c r="AZ2377" s="70">
        <v>2789.0</v>
      </c>
    </row>
    <row r="2378" ht="22.5" customHeight="1">
      <c r="A2378" s="70" t="str">
        <f t="shared" si="1"/>
        <v>Excluded</v>
      </c>
      <c r="B2378" s="70">
        <f t="shared" si="2"/>
        <v>0</v>
      </c>
      <c r="C2378" s="70">
        <v>0.0</v>
      </c>
      <c r="D2378" s="70">
        <v>0.0</v>
      </c>
      <c r="E2378" s="70">
        <v>0.0</v>
      </c>
      <c r="F2378" s="70">
        <v>0.0</v>
      </c>
      <c r="G2378" s="70">
        <v>0.0</v>
      </c>
      <c r="H2378" s="70" t="s">
        <v>17138</v>
      </c>
      <c r="I2378" s="70">
        <v>1880.0</v>
      </c>
      <c r="J2378" s="70" t="s">
        <v>30953</v>
      </c>
      <c r="K2378" s="70" t="s">
        <v>17135</v>
      </c>
      <c r="L2378" s="70" t="s">
        <v>17136</v>
      </c>
      <c r="N2378" s="70" t="s">
        <v>17137</v>
      </c>
      <c r="P2378" s="76">
        <v>43340.0</v>
      </c>
      <c r="U2378" s="70" t="s">
        <v>239</v>
      </c>
      <c r="W2378" s="70" t="s">
        <v>30954</v>
      </c>
      <c r="Y2378" s="70" t="s">
        <v>30955</v>
      </c>
      <c r="Z2378" s="75" t="s">
        <v>17142</v>
      </c>
      <c r="AA2378" s="70" t="s">
        <v>17143</v>
      </c>
      <c r="AC2378" s="70">
        <v>71.0</v>
      </c>
      <c r="AE2378" s="70">
        <v>45.0</v>
      </c>
      <c r="AF2378" s="70" t="s">
        <v>239</v>
      </c>
      <c r="AW2378" s="70" t="s">
        <v>17144</v>
      </c>
      <c r="AX2378" s="70">
        <v>0.0</v>
      </c>
      <c r="AY2378" s="70" t="s">
        <v>24</v>
      </c>
      <c r="AZ2378" s="70">
        <v>2943.0</v>
      </c>
    </row>
    <row r="2379" ht="22.5" customHeight="1">
      <c r="A2379" s="70" t="str">
        <f t="shared" si="1"/>
        <v>Excluded</v>
      </c>
      <c r="B2379" s="70">
        <f t="shared" si="2"/>
        <v>0</v>
      </c>
      <c r="C2379" s="70">
        <v>0.0</v>
      </c>
      <c r="D2379" s="70">
        <v>0.0</v>
      </c>
      <c r="E2379" s="70">
        <v>0.0</v>
      </c>
      <c r="F2379" s="70">
        <v>0.0</v>
      </c>
      <c r="G2379" s="70">
        <v>0.0</v>
      </c>
      <c r="H2379" s="70" t="s">
        <v>19795</v>
      </c>
      <c r="I2379" s="70">
        <v>2178.0</v>
      </c>
      <c r="J2379" s="70" t="s">
        <v>30956</v>
      </c>
      <c r="K2379" s="70" t="s">
        <v>19794</v>
      </c>
      <c r="L2379" s="70" t="s">
        <v>17136</v>
      </c>
      <c r="N2379" s="70" t="s">
        <v>17137</v>
      </c>
      <c r="P2379" s="76">
        <v>44245.0</v>
      </c>
      <c r="U2379" s="70" t="s">
        <v>239</v>
      </c>
      <c r="W2379" s="70" t="s">
        <v>19797</v>
      </c>
      <c r="Y2379" s="70" t="s">
        <v>30957</v>
      </c>
      <c r="Z2379" s="75" t="s">
        <v>19799</v>
      </c>
      <c r="AA2379" s="70" t="s">
        <v>19800</v>
      </c>
      <c r="AC2379" s="70">
        <v>7.0</v>
      </c>
      <c r="AE2379" s="70">
        <v>29.0</v>
      </c>
      <c r="AF2379" s="70" t="s">
        <v>239</v>
      </c>
      <c r="AW2379" s="70" t="s">
        <v>19801</v>
      </c>
      <c r="AX2379" s="70">
        <v>0.0</v>
      </c>
      <c r="AY2379" s="70" t="s">
        <v>24</v>
      </c>
      <c r="AZ2379" s="70">
        <v>2748.0</v>
      </c>
    </row>
    <row r="2380" ht="22.5" customHeight="1">
      <c r="A2380" s="70" t="str">
        <f t="shared" si="1"/>
        <v>Excluded</v>
      </c>
      <c r="B2380" s="70">
        <f t="shared" si="2"/>
        <v>0</v>
      </c>
      <c r="C2380" s="70">
        <v>0.0</v>
      </c>
      <c r="D2380" s="70">
        <v>0.0</v>
      </c>
      <c r="E2380" s="70">
        <v>0.0</v>
      </c>
      <c r="F2380" s="70">
        <v>0.0</v>
      </c>
      <c r="G2380" s="70">
        <v>0.0</v>
      </c>
      <c r="H2380" s="70" t="s">
        <v>18299</v>
      </c>
      <c r="I2380" s="70">
        <v>2010.0</v>
      </c>
      <c r="J2380" s="70" t="s">
        <v>18297</v>
      </c>
      <c r="K2380" s="70" t="s">
        <v>18298</v>
      </c>
      <c r="L2380" s="70" t="s">
        <v>17136</v>
      </c>
      <c r="N2380" s="70" t="s">
        <v>17137</v>
      </c>
      <c r="P2380" s="77">
        <v>44782.0</v>
      </c>
      <c r="U2380" s="70" t="s">
        <v>239</v>
      </c>
      <c r="W2380" s="70" t="s">
        <v>18301</v>
      </c>
      <c r="Y2380" s="70" t="s">
        <v>30958</v>
      </c>
      <c r="Z2380" s="75" t="s">
        <v>18303</v>
      </c>
      <c r="AA2380" s="70" t="s">
        <v>18304</v>
      </c>
      <c r="AC2380" s="70">
        <v>23.0</v>
      </c>
      <c r="AE2380" s="70">
        <v>41.0</v>
      </c>
      <c r="AF2380" s="70" t="s">
        <v>239</v>
      </c>
      <c r="AW2380" s="70" t="s">
        <v>18305</v>
      </c>
      <c r="AX2380" s="70">
        <v>0.0</v>
      </c>
      <c r="AY2380" s="70" t="s">
        <v>24</v>
      </c>
      <c r="AZ2380" s="70">
        <v>1777.0</v>
      </c>
    </row>
    <row r="2381" ht="22.5" customHeight="1">
      <c r="A2381" s="70" t="str">
        <f t="shared" si="1"/>
        <v>Excluded</v>
      </c>
      <c r="B2381" s="70">
        <f t="shared" si="2"/>
        <v>0</v>
      </c>
      <c r="C2381" s="70">
        <v>0.0</v>
      </c>
      <c r="D2381" s="70">
        <v>0.0</v>
      </c>
      <c r="E2381" s="70">
        <v>0.0</v>
      </c>
      <c r="F2381" s="70">
        <v>0.0</v>
      </c>
      <c r="G2381" s="70">
        <v>0.0</v>
      </c>
      <c r="H2381" s="70" t="s">
        <v>19651</v>
      </c>
      <c r="I2381" s="70">
        <v>2162.0</v>
      </c>
      <c r="J2381" s="70" t="s">
        <v>30959</v>
      </c>
      <c r="K2381" s="70" t="s">
        <v>19650</v>
      </c>
      <c r="L2381" s="70" t="s">
        <v>17136</v>
      </c>
      <c r="N2381" s="70" t="s">
        <v>17137</v>
      </c>
      <c r="P2381" s="77">
        <v>45173.0</v>
      </c>
      <c r="U2381" s="70" t="s">
        <v>239</v>
      </c>
      <c r="W2381" s="70" t="s">
        <v>30960</v>
      </c>
      <c r="Y2381" s="70" t="s">
        <v>19653</v>
      </c>
      <c r="Z2381" s="75" t="s">
        <v>19654</v>
      </c>
      <c r="AA2381" s="70" t="s">
        <v>19655</v>
      </c>
      <c r="AC2381" s="70">
        <v>9.0</v>
      </c>
      <c r="AE2381" s="70">
        <v>63.0</v>
      </c>
      <c r="AF2381" s="70" t="s">
        <v>239</v>
      </c>
      <c r="AW2381" s="70" t="s">
        <v>19656</v>
      </c>
      <c r="AZ2381" s="70">
        <v>1051.0</v>
      </c>
    </row>
    <row r="2382" ht="22.5" customHeight="1">
      <c r="A2382" s="70" t="str">
        <f t="shared" si="1"/>
        <v>Excluded</v>
      </c>
      <c r="B2382" s="70">
        <f t="shared" si="2"/>
        <v>0</v>
      </c>
      <c r="C2382" s="70">
        <v>0.0</v>
      </c>
      <c r="D2382" s="70">
        <v>0.0</v>
      </c>
      <c r="E2382" s="70">
        <v>0.0</v>
      </c>
      <c r="F2382" s="70">
        <v>0.0</v>
      </c>
      <c r="G2382" s="70">
        <v>0.0</v>
      </c>
      <c r="H2382" s="70" t="s">
        <v>20445</v>
      </c>
      <c r="I2382" s="70">
        <v>2251.0</v>
      </c>
      <c r="J2382" s="70" t="s">
        <v>20443</v>
      </c>
      <c r="K2382" s="70" t="s">
        <v>20444</v>
      </c>
      <c r="L2382" s="70" t="s">
        <v>17136</v>
      </c>
      <c r="N2382" s="70" t="s">
        <v>17137</v>
      </c>
      <c r="P2382" s="76">
        <v>45222.0</v>
      </c>
      <c r="U2382" s="70" t="s">
        <v>239</v>
      </c>
      <c r="W2382" s="70" t="s">
        <v>20447</v>
      </c>
      <c r="Y2382" s="70" t="s">
        <v>20448</v>
      </c>
      <c r="Z2382" s="75" t="s">
        <v>20449</v>
      </c>
      <c r="AA2382" s="70" t="s">
        <v>20450</v>
      </c>
      <c r="AC2382" s="70">
        <v>4.0</v>
      </c>
      <c r="AE2382" s="70">
        <v>47.0</v>
      </c>
      <c r="AF2382" s="70" t="s">
        <v>239</v>
      </c>
      <c r="AW2382" s="70" t="s">
        <v>20451</v>
      </c>
      <c r="AX2382" s="70">
        <v>0.0</v>
      </c>
      <c r="AY2382" s="70" t="s">
        <v>24</v>
      </c>
      <c r="AZ2382" s="70">
        <v>2232.0</v>
      </c>
    </row>
    <row r="2383" ht="22.5" customHeight="1">
      <c r="A2383" s="70" t="str">
        <f t="shared" si="1"/>
        <v>Excluded</v>
      </c>
      <c r="B2383" s="70">
        <f t="shared" si="2"/>
        <v>0</v>
      </c>
      <c r="C2383" s="70">
        <v>0.0</v>
      </c>
      <c r="D2383" s="70">
        <v>0.0</v>
      </c>
      <c r="E2383" s="70">
        <v>0.0</v>
      </c>
      <c r="F2383" s="70">
        <v>0.0</v>
      </c>
      <c r="G2383" s="70">
        <v>0.0</v>
      </c>
      <c r="H2383" s="70" t="s">
        <v>21505</v>
      </c>
      <c r="I2383" s="70">
        <v>2370.0</v>
      </c>
      <c r="J2383" s="70" t="s">
        <v>21503</v>
      </c>
      <c r="K2383" s="70" t="s">
        <v>21504</v>
      </c>
      <c r="L2383" s="70" t="s">
        <v>17136</v>
      </c>
      <c r="N2383" s="70" t="s">
        <v>17137</v>
      </c>
      <c r="P2383" s="76">
        <v>45317.0</v>
      </c>
      <c r="U2383" s="70" t="s">
        <v>239</v>
      </c>
      <c r="W2383" s="70" t="s">
        <v>30961</v>
      </c>
      <c r="Y2383" s="70" t="s">
        <v>30962</v>
      </c>
      <c r="Z2383" s="75" t="s">
        <v>21509</v>
      </c>
      <c r="AA2383" s="70" t="s">
        <v>21510</v>
      </c>
      <c r="AC2383" s="70">
        <v>1.0</v>
      </c>
      <c r="AE2383" s="70">
        <v>57.0</v>
      </c>
      <c r="AF2383" s="70" t="s">
        <v>16423</v>
      </c>
      <c r="AW2383" s="70" t="s">
        <v>21511</v>
      </c>
      <c r="AX2383" s="70">
        <v>0.0</v>
      </c>
      <c r="AY2383" s="70" t="s">
        <v>24</v>
      </c>
      <c r="AZ2383" s="70">
        <v>3138.0</v>
      </c>
    </row>
    <row r="2384" ht="22.5" customHeight="1">
      <c r="A2384" s="70" t="str">
        <f t="shared" si="1"/>
        <v>Excluded</v>
      </c>
      <c r="B2384" s="70">
        <f t="shared" si="2"/>
        <v>0</v>
      </c>
      <c r="C2384" s="70">
        <v>0.0</v>
      </c>
      <c r="D2384" s="70">
        <v>0.0</v>
      </c>
      <c r="E2384" s="70">
        <v>0.0</v>
      </c>
      <c r="F2384" s="70">
        <v>0.0</v>
      </c>
      <c r="G2384" s="70">
        <v>0.0</v>
      </c>
      <c r="H2384" s="70" t="s">
        <v>20879</v>
      </c>
      <c r="I2384" s="70">
        <v>2299.0</v>
      </c>
      <c r="J2384" s="70" t="s">
        <v>20877</v>
      </c>
      <c r="K2384" s="70" t="s">
        <v>20878</v>
      </c>
      <c r="L2384" s="70" t="s">
        <v>17136</v>
      </c>
      <c r="N2384" s="70" t="s">
        <v>17137</v>
      </c>
      <c r="P2384" s="77">
        <v>45537.0</v>
      </c>
      <c r="U2384" s="70" t="s">
        <v>239</v>
      </c>
      <c r="W2384" s="70" t="s">
        <v>20881</v>
      </c>
      <c r="Y2384" s="70" t="s">
        <v>20882</v>
      </c>
      <c r="Z2384" s="75" t="s">
        <v>20883</v>
      </c>
      <c r="AA2384" s="70" t="s">
        <v>20884</v>
      </c>
      <c r="AC2384" s="70">
        <v>2.0</v>
      </c>
      <c r="AE2384" s="70">
        <v>44.0</v>
      </c>
      <c r="AF2384" s="70" t="s">
        <v>239</v>
      </c>
      <c r="AW2384" s="70" t="s">
        <v>20885</v>
      </c>
      <c r="AX2384" s="70">
        <v>0.0</v>
      </c>
      <c r="AY2384" s="70" t="s">
        <v>24</v>
      </c>
      <c r="AZ2384" s="70">
        <v>1676.0</v>
      </c>
    </row>
    <row r="2385" ht="22.5" customHeight="1">
      <c r="A2385" s="70" t="str">
        <f t="shared" si="1"/>
        <v>Excluded</v>
      </c>
      <c r="B2385" s="70">
        <f t="shared" si="2"/>
        <v>0</v>
      </c>
      <c r="C2385" s="70">
        <v>0.0</v>
      </c>
      <c r="D2385" s="70">
        <v>0.0</v>
      </c>
      <c r="E2385" s="70">
        <v>0.0</v>
      </c>
      <c r="F2385" s="70">
        <v>0.0</v>
      </c>
      <c r="G2385" s="70">
        <v>0.0</v>
      </c>
      <c r="H2385" s="70" t="s">
        <v>24119</v>
      </c>
      <c r="I2385" s="70">
        <v>2641.0</v>
      </c>
      <c r="J2385" s="70" t="s">
        <v>24117</v>
      </c>
      <c r="K2385" s="70" t="s">
        <v>24118</v>
      </c>
      <c r="W2385" s="70" t="s">
        <v>30963</v>
      </c>
      <c r="AA2385" s="70" t="s">
        <v>24121</v>
      </c>
      <c r="AI2385" s="70" t="s">
        <v>24122</v>
      </c>
      <c r="AJ2385" s="70" t="s">
        <v>24123</v>
      </c>
      <c r="AK2385" s="70">
        <v>2024.0</v>
      </c>
      <c r="AL2385" s="70" t="s">
        <v>17136</v>
      </c>
      <c r="AQ2385" s="70">
        <v>0.0</v>
      </c>
      <c r="AR2385" s="75" t="s">
        <v>24124</v>
      </c>
      <c r="AS2385" s="70" t="s">
        <v>22588</v>
      </c>
      <c r="AU2385" s="70" t="s">
        <v>237</v>
      </c>
      <c r="AV2385" s="70" t="s">
        <v>24125</v>
      </c>
      <c r="AW2385" s="70" t="s">
        <v>24126</v>
      </c>
      <c r="AX2385" s="70">
        <v>0.0</v>
      </c>
      <c r="AY2385" s="70" t="s">
        <v>24</v>
      </c>
      <c r="AZ2385" s="70">
        <v>2675.0</v>
      </c>
    </row>
    <row r="2386" ht="22.5" customHeight="1">
      <c r="A2386" s="70" t="str">
        <f t="shared" si="1"/>
        <v>Excluded</v>
      </c>
      <c r="B2386" s="70">
        <f t="shared" si="2"/>
        <v>0</v>
      </c>
      <c r="C2386" s="70">
        <v>0.0</v>
      </c>
      <c r="D2386" s="70">
        <v>0.0</v>
      </c>
      <c r="E2386" s="70">
        <v>0.0</v>
      </c>
      <c r="F2386" s="70">
        <v>0.0</v>
      </c>
      <c r="G2386" s="70">
        <v>0.0</v>
      </c>
      <c r="H2386" s="70" t="s">
        <v>21966</v>
      </c>
      <c r="I2386" s="70">
        <v>2422.0</v>
      </c>
      <c r="J2386" s="70" t="s">
        <v>21964</v>
      </c>
      <c r="K2386" s="70" t="s">
        <v>21965</v>
      </c>
      <c r="L2386" s="70" t="s">
        <v>17136</v>
      </c>
      <c r="N2386" s="70" t="s">
        <v>17137</v>
      </c>
      <c r="P2386" s="76">
        <v>45621.0</v>
      </c>
      <c r="U2386" s="70" t="s">
        <v>239</v>
      </c>
      <c r="W2386" s="70" t="s">
        <v>21968</v>
      </c>
      <c r="Y2386" s="70" t="s">
        <v>30964</v>
      </c>
      <c r="Z2386" s="75" t="s">
        <v>21970</v>
      </c>
      <c r="AA2386" s="70" t="s">
        <v>21971</v>
      </c>
      <c r="AE2386" s="70">
        <v>40.0</v>
      </c>
      <c r="AF2386" s="70" t="s">
        <v>239</v>
      </c>
      <c r="AW2386" s="70" t="s">
        <v>21972</v>
      </c>
      <c r="AX2386" s="70">
        <v>0.0</v>
      </c>
      <c r="AY2386" s="70" t="s">
        <v>24</v>
      </c>
      <c r="AZ2386" s="70">
        <v>2646.0</v>
      </c>
    </row>
    <row r="2387" ht="22.5" customHeight="1">
      <c r="A2387" s="70" t="str">
        <f t="shared" si="1"/>
        <v>Excluded</v>
      </c>
      <c r="B2387" s="70">
        <f t="shared" si="2"/>
        <v>0</v>
      </c>
      <c r="C2387" s="70">
        <v>0.0</v>
      </c>
      <c r="D2387" s="70">
        <v>0.0</v>
      </c>
      <c r="E2387" s="70">
        <v>0.0</v>
      </c>
      <c r="F2387" s="70">
        <v>0.0</v>
      </c>
      <c r="G2387" s="70">
        <v>0.0</v>
      </c>
      <c r="H2387" s="70" t="s">
        <v>19597</v>
      </c>
      <c r="I2387" s="70">
        <v>2156.0</v>
      </c>
      <c r="J2387" s="70" t="s">
        <v>19593</v>
      </c>
      <c r="K2387" s="70" t="s">
        <v>19594</v>
      </c>
      <c r="L2387" s="70" t="s">
        <v>19595</v>
      </c>
      <c r="N2387" s="70" t="s">
        <v>19596</v>
      </c>
      <c r="P2387" s="76">
        <v>44742.0</v>
      </c>
      <c r="U2387" s="70" t="s">
        <v>239</v>
      </c>
      <c r="W2387" s="70" t="s">
        <v>19599</v>
      </c>
      <c r="Y2387" s="70" t="s">
        <v>30965</v>
      </c>
      <c r="Z2387" s="75" t="s">
        <v>19601</v>
      </c>
      <c r="AA2387" s="70" t="s">
        <v>19602</v>
      </c>
      <c r="AC2387" s="70">
        <v>9.0</v>
      </c>
      <c r="AE2387" s="70">
        <v>50.0</v>
      </c>
      <c r="AF2387" s="70" t="s">
        <v>16423</v>
      </c>
      <c r="AW2387" s="70" t="s">
        <v>19603</v>
      </c>
      <c r="AZ2387" s="70">
        <v>844.0</v>
      </c>
    </row>
    <row r="2388" ht="22.5" customHeight="1">
      <c r="A2388" s="70" t="str">
        <f t="shared" si="1"/>
        <v>Excluded</v>
      </c>
      <c r="B2388" s="70">
        <f t="shared" si="2"/>
        <v>0</v>
      </c>
      <c r="C2388" s="70">
        <v>0.0</v>
      </c>
      <c r="D2388" s="70">
        <v>0.0</v>
      </c>
      <c r="E2388" s="70">
        <v>0.0</v>
      </c>
      <c r="F2388" s="70">
        <v>0.0</v>
      </c>
      <c r="G2388" s="70">
        <v>0.0</v>
      </c>
      <c r="H2388" s="70" t="s">
        <v>3770</v>
      </c>
      <c r="I2388" s="70">
        <v>319.0</v>
      </c>
      <c r="J2388" s="70" t="s">
        <v>3768</v>
      </c>
      <c r="K2388" s="70" t="s">
        <v>3769</v>
      </c>
      <c r="L2388" s="70" t="s">
        <v>3691</v>
      </c>
      <c r="N2388" s="70" t="s">
        <v>3692</v>
      </c>
      <c r="O2388" s="75" t="s">
        <v>3771</v>
      </c>
      <c r="P2388" s="81">
        <v>43862.0</v>
      </c>
      <c r="W2388" s="70" t="s">
        <v>3773</v>
      </c>
      <c r="AX2388" s="70">
        <v>0.0</v>
      </c>
      <c r="AY2388" s="70" t="s">
        <v>24</v>
      </c>
      <c r="AZ2388" s="70">
        <v>2007.0</v>
      </c>
    </row>
    <row r="2389" ht="22.5" customHeight="1">
      <c r="A2389" s="70" t="str">
        <f t="shared" si="1"/>
        <v>Excluded</v>
      </c>
      <c r="B2389" s="70">
        <f t="shared" si="2"/>
        <v>0</v>
      </c>
      <c r="C2389" s="70">
        <v>0.0</v>
      </c>
      <c r="D2389" s="70">
        <v>0.0</v>
      </c>
      <c r="E2389" s="70">
        <v>0.0</v>
      </c>
      <c r="F2389" s="70">
        <v>0.0</v>
      </c>
      <c r="G2389" s="70">
        <v>0.0</v>
      </c>
      <c r="H2389" s="70" t="s">
        <v>4575</v>
      </c>
      <c r="I2389" s="70">
        <v>423.0</v>
      </c>
      <c r="J2389" s="70" t="s">
        <v>4573</v>
      </c>
      <c r="K2389" s="70" t="s">
        <v>4574</v>
      </c>
      <c r="L2389" s="70" t="s">
        <v>3691</v>
      </c>
      <c r="N2389" s="70" t="s">
        <v>3692</v>
      </c>
      <c r="O2389" s="75" t="s">
        <v>4576</v>
      </c>
      <c r="P2389" s="80">
        <v>44166.0</v>
      </c>
      <c r="W2389" s="70" t="s">
        <v>4579</v>
      </c>
      <c r="AZ2389" s="70">
        <v>344.0</v>
      </c>
    </row>
    <row r="2390" ht="22.5" customHeight="1">
      <c r="A2390" s="70" t="str">
        <f t="shared" si="1"/>
        <v>Excluded</v>
      </c>
      <c r="B2390" s="70">
        <f t="shared" si="2"/>
        <v>0</v>
      </c>
      <c r="C2390" s="70">
        <v>0.0</v>
      </c>
      <c r="D2390" s="70">
        <v>0.0</v>
      </c>
      <c r="E2390" s="70">
        <v>0.0</v>
      </c>
      <c r="F2390" s="70">
        <v>0.0</v>
      </c>
      <c r="G2390" s="70">
        <v>0.0</v>
      </c>
      <c r="H2390" s="70" t="s">
        <v>27440</v>
      </c>
      <c r="I2390" s="70">
        <v>2964.0</v>
      </c>
      <c r="J2390" s="70" t="s">
        <v>27438</v>
      </c>
      <c r="K2390" s="70" t="s">
        <v>27439</v>
      </c>
      <c r="W2390" s="70" t="s">
        <v>30966</v>
      </c>
      <c r="AA2390" s="70" t="s">
        <v>27442</v>
      </c>
      <c r="AI2390" s="70" t="s">
        <v>27443</v>
      </c>
      <c r="AJ2390" s="70" t="s">
        <v>27444</v>
      </c>
      <c r="AK2390" s="70">
        <v>2021.0</v>
      </c>
      <c r="AL2390" s="70" t="s">
        <v>24019</v>
      </c>
      <c r="AM2390" s="70">
        <v>9411679.0</v>
      </c>
      <c r="AN2390" s="70">
        <v>1867.0</v>
      </c>
      <c r="AO2390" s="70">
        <v>1880.0</v>
      </c>
      <c r="AP2390" s="70">
        <v>13.0</v>
      </c>
      <c r="AQ2390" s="70">
        <v>14.0</v>
      </c>
      <c r="AR2390" s="75" t="s">
        <v>27445</v>
      </c>
      <c r="AS2390" s="70" t="s">
        <v>22525</v>
      </c>
      <c r="AT2390" s="70" t="s">
        <v>22816</v>
      </c>
      <c r="AU2390" s="70" t="s">
        <v>237</v>
      </c>
      <c r="AV2390" s="70" t="s">
        <v>27446</v>
      </c>
      <c r="AW2390" s="70" t="s">
        <v>27447</v>
      </c>
      <c r="AX2390" s="70">
        <v>0.0</v>
      </c>
      <c r="AY2390" s="70" t="s">
        <v>24</v>
      </c>
      <c r="AZ2390" s="70">
        <v>2143.0</v>
      </c>
    </row>
    <row r="2391" ht="22.5" customHeight="1">
      <c r="A2391" s="70" t="str">
        <f t="shared" si="1"/>
        <v>Excluded</v>
      </c>
      <c r="B2391" s="70">
        <f t="shared" si="2"/>
        <v>0</v>
      </c>
      <c r="C2391" s="70">
        <v>0.0</v>
      </c>
      <c r="D2391" s="70">
        <v>0.0</v>
      </c>
      <c r="E2391" s="70">
        <v>0.0</v>
      </c>
      <c r="F2391" s="70">
        <v>0.0</v>
      </c>
      <c r="G2391" s="70">
        <v>0.0</v>
      </c>
      <c r="H2391" s="70" t="s">
        <v>24014</v>
      </c>
      <c r="I2391" s="70">
        <v>2631.0</v>
      </c>
      <c r="J2391" s="70" t="s">
        <v>24012</v>
      </c>
      <c r="K2391" s="70" t="s">
        <v>24013</v>
      </c>
      <c r="W2391" s="70" t="s">
        <v>30967</v>
      </c>
      <c r="AA2391" s="70" t="s">
        <v>24016</v>
      </c>
      <c r="AI2391" s="70" t="s">
        <v>24017</v>
      </c>
      <c r="AJ2391" s="70" t="s">
        <v>24018</v>
      </c>
      <c r="AK2391" s="70">
        <v>2024.0</v>
      </c>
      <c r="AL2391" s="70" t="s">
        <v>24019</v>
      </c>
      <c r="AN2391" s="70">
        <v>1391.0</v>
      </c>
      <c r="AO2391" s="70">
        <v>1406.0</v>
      </c>
      <c r="AP2391" s="70">
        <v>15.0</v>
      </c>
      <c r="AQ2391" s="70">
        <v>2.0</v>
      </c>
      <c r="AR2391" s="75" t="s">
        <v>24020</v>
      </c>
      <c r="AS2391" s="70" t="s">
        <v>22525</v>
      </c>
      <c r="AU2391" s="70" t="s">
        <v>237</v>
      </c>
      <c r="AV2391" s="70" t="s">
        <v>24021</v>
      </c>
      <c r="AW2391" s="70" t="s">
        <v>24022</v>
      </c>
      <c r="AX2391" s="70">
        <v>0.0</v>
      </c>
      <c r="AY2391" s="70" t="s">
        <v>24</v>
      </c>
      <c r="AZ2391" s="70">
        <v>3075.0</v>
      </c>
    </row>
    <row r="2392" ht="22.5" customHeight="1">
      <c r="A2392" s="70" t="str">
        <f t="shared" si="1"/>
        <v>Excluded</v>
      </c>
      <c r="B2392" s="70">
        <f t="shared" si="2"/>
        <v>0</v>
      </c>
      <c r="C2392" s="70">
        <v>0.0</v>
      </c>
      <c r="D2392" s="70">
        <v>0.0</v>
      </c>
      <c r="E2392" s="70">
        <v>0.0</v>
      </c>
      <c r="F2392" s="70">
        <v>0.0</v>
      </c>
      <c r="G2392" s="70">
        <v>0.0</v>
      </c>
      <c r="H2392" s="70" t="s">
        <v>4104</v>
      </c>
      <c r="I2392" s="70">
        <v>361.0</v>
      </c>
      <c r="J2392" s="70" t="s">
        <v>4102</v>
      </c>
      <c r="K2392" s="70" t="s">
        <v>4103</v>
      </c>
      <c r="L2392" s="70" t="s">
        <v>3691</v>
      </c>
      <c r="N2392" s="70" t="s">
        <v>3692</v>
      </c>
      <c r="O2392" s="75" t="s">
        <v>4105</v>
      </c>
      <c r="P2392" s="80">
        <v>45200.0</v>
      </c>
      <c r="W2392" s="70" t="s">
        <v>4107</v>
      </c>
      <c r="AX2392" s="70">
        <v>0.0</v>
      </c>
      <c r="AY2392" s="70" t="s">
        <v>24</v>
      </c>
      <c r="AZ2392" s="70">
        <v>2357.0</v>
      </c>
    </row>
    <row r="2393" ht="22.5" customHeight="1">
      <c r="A2393" s="70" t="str">
        <f t="shared" si="1"/>
        <v>Excluded</v>
      </c>
      <c r="B2393" s="70">
        <f t="shared" si="2"/>
        <v>0</v>
      </c>
      <c r="C2393" s="70">
        <v>0.0</v>
      </c>
      <c r="D2393" s="70">
        <v>0.0</v>
      </c>
      <c r="E2393" s="70">
        <v>0.0</v>
      </c>
      <c r="F2393" s="70">
        <v>0.0</v>
      </c>
      <c r="G2393" s="70">
        <v>0.0</v>
      </c>
      <c r="H2393" s="70" t="s">
        <v>3693</v>
      </c>
      <c r="I2393" s="70">
        <v>310.0</v>
      </c>
      <c r="J2393" s="70" t="s">
        <v>3689</v>
      </c>
      <c r="K2393" s="70" t="s">
        <v>3690</v>
      </c>
      <c r="L2393" s="70" t="s">
        <v>3691</v>
      </c>
      <c r="N2393" s="70" t="s">
        <v>3692</v>
      </c>
      <c r="O2393" s="75" t="s">
        <v>3694</v>
      </c>
      <c r="P2393" s="81">
        <v>45413.0</v>
      </c>
      <c r="W2393" s="70" t="s">
        <v>30968</v>
      </c>
      <c r="AX2393" s="70">
        <v>0.0</v>
      </c>
      <c r="AY2393" s="70" t="s">
        <v>24</v>
      </c>
      <c r="AZ2393" s="70">
        <v>2413.0</v>
      </c>
    </row>
    <row r="2394" ht="22.5" customHeight="1">
      <c r="A2394" s="70" t="str">
        <f t="shared" si="1"/>
        <v>Excluded</v>
      </c>
      <c r="B2394" s="70">
        <f t="shared" si="2"/>
        <v>0</v>
      </c>
      <c r="C2394" s="70">
        <v>0.0</v>
      </c>
      <c r="D2394" s="70">
        <v>0.0</v>
      </c>
      <c r="E2394" s="70">
        <v>0.0</v>
      </c>
      <c r="F2394" s="70">
        <v>0.0</v>
      </c>
      <c r="G2394" s="70">
        <v>0.0</v>
      </c>
      <c r="H2394" s="70" t="s">
        <v>25333</v>
      </c>
      <c r="I2394" s="70">
        <v>2759.0</v>
      </c>
      <c r="J2394" s="70" t="s">
        <v>25331</v>
      </c>
      <c r="K2394" s="70" t="s">
        <v>25332</v>
      </c>
      <c r="W2394" s="70" t="s">
        <v>30969</v>
      </c>
      <c r="AA2394" s="70" t="s">
        <v>25335</v>
      </c>
      <c r="AI2394" s="70" t="s">
        <v>25336</v>
      </c>
      <c r="AJ2394" s="70" t="s">
        <v>25337</v>
      </c>
      <c r="AK2394" s="70">
        <v>2023.0</v>
      </c>
      <c r="AL2394" s="70" t="s">
        <v>25338</v>
      </c>
      <c r="AN2394" s="70">
        <v>3032.0</v>
      </c>
      <c r="AO2394" s="70">
        <v>3046.0</v>
      </c>
      <c r="AP2394" s="70">
        <v>14.0</v>
      </c>
      <c r="AQ2394" s="70">
        <v>54.0</v>
      </c>
      <c r="AR2394" s="75" t="s">
        <v>25339</v>
      </c>
      <c r="AS2394" s="70" t="s">
        <v>22525</v>
      </c>
      <c r="AU2394" s="70" t="s">
        <v>237</v>
      </c>
      <c r="AV2394" s="70" t="s">
        <v>25340</v>
      </c>
      <c r="AW2394" s="70" t="s">
        <v>25341</v>
      </c>
      <c r="AX2394" s="70">
        <v>0.0</v>
      </c>
      <c r="AY2394" s="70" t="s">
        <v>24</v>
      </c>
      <c r="AZ2394" s="70">
        <v>2626.0</v>
      </c>
    </row>
    <row r="2395" ht="22.5" customHeight="1">
      <c r="A2395" s="70" t="str">
        <f t="shared" si="1"/>
        <v>Excluded</v>
      </c>
      <c r="B2395" s="70">
        <f t="shared" si="2"/>
        <v>0</v>
      </c>
      <c r="C2395" s="70">
        <v>0.0</v>
      </c>
      <c r="D2395" s="70">
        <v>0.0</v>
      </c>
      <c r="E2395" s="70">
        <v>0.0</v>
      </c>
      <c r="F2395" s="70">
        <v>0.0</v>
      </c>
      <c r="G2395" s="70">
        <v>0.0</v>
      </c>
      <c r="H2395" s="70" t="s">
        <v>19702</v>
      </c>
      <c r="I2395" s="70">
        <v>2168.0</v>
      </c>
      <c r="J2395" s="70" t="s">
        <v>19700</v>
      </c>
      <c r="K2395" s="70" t="s">
        <v>19701</v>
      </c>
      <c r="L2395" s="70" t="s">
        <v>16959</v>
      </c>
      <c r="N2395" s="70" t="s">
        <v>16960</v>
      </c>
      <c r="P2395" s="76">
        <v>42439.0</v>
      </c>
      <c r="U2395" s="70" t="s">
        <v>239</v>
      </c>
      <c r="W2395" s="70" t="s">
        <v>19704</v>
      </c>
      <c r="Z2395" s="75" t="s">
        <v>19705</v>
      </c>
      <c r="AA2395" s="70" t="s">
        <v>19706</v>
      </c>
      <c r="AC2395" s="70">
        <v>8.0</v>
      </c>
      <c r="AE2395" s="70">
        <v>50.0</v>
      </c>
      <c r="AF2395" s="70" t="s">
        <v>239</v>
      </c>
      <c r="AW2395" s="70" t="s">
        <v>19707</v>
      </c>
      <c r="AX2395" s="70">
        <v>0.0</v>
      </c>
      <c r="AY2395" s="70" t="s">
        <v>24</v>
      </c>
      <c r="AZ2395" s="70">
        <v>2726.0</v>
      </c>
    </row>
    <row r="2396" ht="22.5" customHeight="1">
      <c r="A2396" s="70" t="str">
        <f t="shared" si="1"/>
        <v>Excluded</v>
      </c>
      <c r="B2396" s="70">
        <f t="shared" si="2"/>
        <v>0</v>
      </c>
      <c r="C2396" s="70">
        <v>0.0</v>
      </c>
      <c r="D2396" s="70">
        <v>0.0</v>
      </c>
      <c r="E2396" s="70">
        <v>0.0</v>
      </c>
      <c r="F2396" s="70">
        <v>0.0</v>
      </c>
      <c r="G2396" s="70">
        <v>0.0</v>
      </c>
      <c r="H2396" s="70" t="s">
        <v>18989</v>
      </c>
      <c r="I2396" s="70">
        <v>2087.0</v>
      </c>
      <c r="J2396" s="70" t="s">
        <v>18987</v>
      </c>
      <c r="K2396" s="70" t="s">
        <v>18988</v>
      </c>
      <c r="L2396" s="70" t="s">
        <v>16959</v>
      </c>
      <c r="N2396" s="70" t="s">
        <v>16960</v>
      </c>
      <c r="P2396" s="76">
        <v>43670.0</v>
      </c>
      <c r="U2396" s="70" t="s">
        <v>239</v>
      </c>
      <c r="W2396" s="70" t="s">
        <v>18991</v>
      </c>
      <c r="Y2396" s="70" t="s">
        <v>18992</v>
      </c>
      <c r="Z2396" s="75" t="s">
        <v>18993</v>
      </c>
      <c r="AA2396" s="70" t="s">
        <v>18994</v>
      </c>
      <c r="AC2396" s="70">
        <v>14.0</v>
      </c>
      <c r="AE2396" s="70">
        <v>29.0</v>
      </c>
      <c r="AF2396" s="70" t="s">
        <v>239</v>
      </c>
      <c r="AW2396" s="70" t="s">
        <v>18995</v>
      </c>
      <c r="AZ2396" s="70">
        <v>1351.0</v>
      </c>
    </row>
    <row r="2397" ht="22.5" customHeight="1">
      <c r="A2397" s="70" t="str">
        <f t="shared" si="1"/>
        <v>Excluded</v>
      </c>
      <c r="B2397" s="70">
        <f t="shared" si="2"/>
        <v>0</v>
      </c>
      <c r="C2397" s="70">
        <v>0.0</v>
      </c>
      <c r="D2397" s="70">
        <v>0.0</v>
      </c>
      <c r="E2397" s="70">
        <v>0.0</v>
      </c>
      <c r="F2397" s="70">
        <v>0.0</v>
      </c>
      <c r="G2397" s="70">
        <v>0.0</v>
      </c>
      <c r="H2397" s="70" t="s">
        <v>18710</v>
      </c>
      <c r="I2397" s="70">
        <v>2056.0</v>
      </c>
      <c r="J2397" s="70" t="s">
        <v>18708</v>
      </c>
      <c r="K2397" s="70" t="s">
        <v>18709</v>
      </c>
      <c r="L2397" s="70" t="s">
        <v>16959</v>
      </c>
      <c r="N2397" s="70" t="s">
        <v>16960</v>
      </c>
      <c r="P2397" s="76">
        <v>43724.0</v>
      </c>
      <c r="U2397" s="70" t="s">
        <v>239</v>
      </c>
      <c r="W2397" s="70" t="s">
        <v>18712</v>
      </c>
      <c r="Y2397" s="70" t="s">
        <v>18713</v>
      </c>
      <c r="Z2397" s="75" t="s">
        <v>18714</v>
      </c>
      <c r="AA2397" s="70" t="s">
        <v>18715</v>
      </c>
      <c r="AC2397" s="70">
        <v>17.0</v>
      </c>
      <c r="AE2397" s="70">
        <v>33.0</v>
      </c>
      <c r="AF2397" s="70" t="s">
        <v>239</v>
      </c>
      <c r="AW2397" s="70" t="s">
        <v>18716</v>
      </c>
      <c r="AX2397" s="70">
        <v>0.0</v>
      </c>
      <c r="AY2397" s="70" t="s">
        <v>24</v>
      </c>
      <c r="AZ2397" s="70">
        <v>2526.0</v>
      </c>
    </row>
    <row r="2398" ht="22.5" customHeight="1">
      <c r="A2398" s="70" t="str">
        <f t="shared" si="1"/>
        <v>Excluded</v>
      </c>
      <c r="B2398" s="70">
        <f t="shared" si="2"/>
        <v>0</v>
      </c>
      <c r="C2398" s="70">
        <v>0.0</v>
      </c>
      <c r="D2398" s="70">
        <v>0.0</v>
      </c>
      <c r="E2398" s="70">
        <v>0.0</v>
      </c>
      <c r="F2398" s="70">
        <v>0.0</v>
      </c>
      <c r="G2398" s="70">
        <v>0.0</v>
      </c>
      <c r="H2398" s="70" t="s">
        <v>18396</v>
      </c>
      <c r="I2398" s="70">
        <v>2021.0</v>
      </c>
      <c r="J2398" s="70" t="s">
        <v>18394</v>
      </c>
      <c r="K2398" s="70" t="s">
        <v>18395</v>
      </c>
      <c r="L2398" s="70" t="s">
        <v>16959</v>
      </c>
      <c r="N2398" s="70" t="s">
        <v>16960</v>
      </c>
      <c r="P2398" s="76">
        <v>43761.0</v>
      </c>
      <c r="U2398" s="70" t="s">
        <v>239</v>
      </c>
      <c r="W2398" s="70" t="s">
        <v>18398</v>
      </c>
      <c r="Y2398" s="70" t="s">
        <v>18399</v>
      </c>
      <c r="Z2398" s="75" t="s">
        <v>18400</v>
      </c>
      <c r="AA2398" s="70" t="s">
        <v>18401</v>
      </c>
      <c r="AC2398" s="70">
        <v>22.0</v>
      </c>
      <c r="AE2398" s="70">
        <v>47.0</v>
      </c>
      <c r="AF2398" s="70" t="s">
        <v>239</v>
      </c>
      <c r="AW2398" s="70" t="s">
        <v>18402</v>
      </c>
      <c r="AX2398" s="70">
        <v>0.0</v>
      </c>
      <c r="AY2398" s="70" t="s">
        <v>24</v>
      </c>
      <c r="AZ2398" s="70">
        <v>1764.0</v>
      </c>
    </row>
    <row r="2399" ht="22.5" customHeight="1">
      <c r="A2399" s="70" t="str">
        <f t="shared" si="1"/>
        <v>Excluded</v>
      </c>
      <c r="B2399" s="70">
        <f t="shared" si="2"/>
        <v>0</v>
      </c>
      <c r="C2399" s="70">
        <v>0.0</v>
      </c>
      <c r="D2399" s="70">
        <v>0.0</v>
      </c>
      <c r="E2399" s="70">
        <v>0.0</v>
      </c>
      <c r="F2399" s="70">
        <v>0.0</v>
      </c>
      <c r="G2399" s="70">
        <v>0.0</v>
      </c>
      <c r="H2399" s="70" t="s">
        <v>18843</v>
      </c>
      <c r="I2399" s="70">
        <v>2071.0</v>
      </c>
      <c r="J2399" s="70" t="s">
        <v>18841</v>
      </c>
      <c r="K2399" s="70" t="s">
        <v>18842</v>
      </c>
      <c r="L2399" s="70" t="s">
        <v>16959</v>
      </c>
      <c r="N2399" s="70" t="s">
        <v>16960</v>
      </c>
      <c r="P2399" s="76">
        <v>43823.0</v>
      </c>
      <c r="U2399" s="70" t="s">
        <v>239</v>
      </c>
      <c r="W2399" s="70" t="s">
        <v>18845</v>
      </c>
      <c r="Y2399" s="70" t="s">
        <v>18846</v>
      </c>
      <c r="Z2399" s="75" t="s">
        <v>18847</v>
      </c>
      <c r="AA2399" s="70" t="s">
        <v>18848</v>
      </c>
      <c r="AC2399" s="70">
        <v>15.0</v>
      </c>
      <c r="AE2399" s="70">
        <v>36.0</v>
      </c>
      <c r="AF2399" s="70" t="s">
        <v>239</v>
      </c>
      <c r="AW2399" s="70" t="s">
        <v>18849</v>
      </c>
      <c r="AX2399" s="70">
        <v>0.0</v>
      </c>
      <c r="AY2399" s="70" t="s">
        <v>24</v>
      </c>
      <c r="AZ2399" s="70">
        <v>2701.0</v>
      </c>
    </row>
    <row r="2400" ht="22.5" customHeight="1">
      <c r="A2400" s="70" t="str">
        <f t="shared" si="1"/>
        <v>Excluded</v>
      </c>
      <c r="B2400" s="70">
        <f t="shared" si="2"/>
        <v>0</v>
      </c>
      <c r="C2400" s="70">
        <v>0.0</v>
      </c>
      <c r="D2400" s="70">
        <v>0.0</v>
      </c>
      <c r="E2400" s="70">
        <v>0.0</v>
      </c>
      <c r="F2400" s="70">
        <v>0.0</v>
      </c>
      <c r="G2400" s="70">
        <v>0.0</v>
      </c>
      <c r="H2400" s="70" t="s">
        <v>17147</v>
      </c>
      <c r="I2400" s="70">
        <v>1881.0</v>
      </c>
      <c r="J2400" s="70" t="s">
        <v>17145</v>
      </c>
      <c r="K2400" s="70" t="s">
        <v>17146</v>
      </c>
      <c r="L2400" s="70" t="s">
        <v>16959</v>
      </c>
      <c r="N2400" s="70" t="s">
        <v>16960</v>
      </c>
      <c r="P2400" s="77">
        <v>43831.0</v>
      </c>
      <c r="U2400" s="70" t="s">
        <v>239</v>
      </c>
      <c r="W2400" s="70" t="s">
        <v>17149</v>
      </c>
      <c r="Y2400" s="70" t="s">
        <v>30970</v>
      </c>
      <c r="Z2400" s="75" t="s">
        <v>17151</v>
      </c>
      <c r="AA2400" s="70" t="s">
        <v>17152</v>
      </c>
      <c r="AC2400" s="70">
        <v>70.0</v>
      </c>
      <c r="AE2400" s="70">
        <v>32.0</v>
      </c>
      <c r="AF2400" s="70" t="s">
        <v>239</v>
      </c>
      <c r="AW2400" s="70" t="s">
        <v>17153</v>
      </c>
      <c r="AX2400" s="70">
        <v>0.0</v>
      </c>
      <c r="AY2400" s="70" t="s">
        <v>24</v>
      </c>
      <c r="AZ2400" s="70">
        <v>2562.0</v>
      </c>
    </row>
    <row r="2401" ht="22.5" customHeight="1">
      <c r="A2401" s="70" t="str">
        <f t="shared" si="1"/>
        <v>Excluded</v>
      </c>
      <c r="B2401" s="70">
        <f t="shared" si="2"/>
        <v>0</v>
      </c>
      <c r="C2401" s="70">
        <v>0.0</v>
      </c>
      <c r="D2401" s="70">
        <v>0.0</v>
      </c>
      <c r="E2401" s="70">
        <v>0.0</v>
      </c>
      <c r="F2401" s="70">
        <v>0.0</v>
      </c>
      <c r="G2401" s="70">
        <v>0.0</v>
      </c>
      <c r="H2401" s="70" t="s">
        <v>28445</v>
      </c>
      <c r="I2401" s="70">
        <v>3062.0</v>
      </c>
      <c r="J2401" s="70" t="s">
        <v>28443</v>
      </c>
      <c r="K2401" s="70" t="s">
        <v>28444</v>
      </c>
      <c r="W2401" s="70" t="s">
        <v>30971</v>
      </c>
      <c r="AA2401" s="70" t="s">
        <v>28447</v>
      </c>
      <c r="AI2401" s="70" t="s">
        <v>28448</v>
      </c>
      <c r="AJ2401" s="70" t="s">
        <v>28449</v>
      </c>
      <c r="AK2401" s="70">
        <v>2020.0</v>
      </c>
      <c r="AL2401" s="70" t="s">
        <v>16959</v>
      </c>
      <c r="AM2401" s="70">
        <v>9079899.0</v>
      </c>
      <c r="AN2401" s="70">
        <v>1542.0</v>
      </c>
      <c r="AO2401" s="70">
        <v>1553.0</v>
      </c>
      <c r="AP2401" s="70">
        <v>11.0</v>
      </c>
      <c r="AQ2401" s="70">
        <v>7.0</v>
      </c>
      <c r="AR2401" s="75" t="s">
        <v>28450</v>
      </c>
      <c r="AS2401" s="70" t="s">
        <v>22525</v>
      </c>
      <c r="AT2401" s="70" t="s">
        <v>22816</v>
      </c>
      <c r="AU2401" s="70" t="s">
        <v>237</v>
      </c>
      <c r="AV2401" s="70" t="s">
        <v>28451</v>
      </c>
      <c r="AW2401" s="70" t="s">
        <v>28452</v>
      </c>
      <c r="AX2401" s="70">
        <v>0.0</v>
      </c>
      <c r="AY2401" s="70" t="s">
        <v>24</v>
      </c>
      <c r="AZ2401" s="70">
        <v>2718.0</v>
      </c>
    </row>
    <row r="2402" ht="22.5" customHeight="1">
      <c r="A2402" s="70" t="str">
        <f t="shared" si="1"/>
        <v>Excluded</v>
      </c>
      <c r="B2402" s="70">
        <f t="shared" si="2"/>
        <v>0</v>
      </c>
      <c r="C2402" s="70">
        <v>0.0</v>
      </c>
      <c r="D2402" s="70">
        <v>0.0</v>
      </c>
      <c r="E2402" s="70">
        <v>0.0</v>
      </c>
      <c r="F2402" s="70">
        <v>0.0</v>
      </c>
      <c r="G2402" s="70">
        <v>0.0</v>
      </c>
      <c r="H2402" s="70" t="s">
        <v>19684</v>
      </c>
      <c r="I2402" s="70">
        <v>2166.0</v>
      </c>
      <c r="J2402" s="70" t="s">
        <v>19682</v>
      </c>
      <c r="K2402" s="70" t="s">
        <v>19683</v>
      </c>
      <c r="L2402" s="70" t="s">
        <v>16959</v>
      </c>
      <c r="N2402" s="70" t="s">
        <v>16960</v>
      </c>
      <c r="P2402" s="76">
        <v>44032.0</v>
      </c>
      <c r="U2402" s="70" t="s">
        <v>239</v>
      </c>
      <c r="W2402" s="70" t="s">
        <v>19686</v>
      </c>
      <c r="Y2402" s="70" t="s">
        <v>19687</v>
      </c>
      <c r="Z2402" s="75" t="s">
        <v>19688</v>
      </c>
      <c r="AA2402" s="70" t="s">
        <v>19689</v>
      </c>
      <c r="AC2402" s="70">
        <v>8.0</v>
      </c>
      <c r="AE2402" s="70">
        <v>60.0</v>
      </c>
      <c r="AF2402" s="70" t="s">
        <v>239</v>
      </c>
      <c r="AW2402" s="70" t="s">
        <v>19690</v>
      </c>
      <c r="AX2402" s="70">
        <v>0.0</v>
      </c>
      <c r="AY2402" s="70" t="s">
        <v>24</v>
      </c>
      <c r="AZ2402" s="70">
        <v>2025.0</v>
      </c>
    </row>
    <row r="2403" ht="22.5" customHeight="1">
      <c r="A2403" s="70" t="str">
        <f t="shared" si="1"/>
        <v>Excluded</v>
      </c>
      <c r="B2403" s="70">
        <f t="shared" si="2"/>
        <v>0</v>
      </c>
      <c r="C2403" s="70">
        <v>0.0</v>
      </c>
      <c r="D2403" s="70">
        <v>0.0</v>
      </c>
      <c r="E2403" s="70">
        <v>0.0</v>
      </c>
      <c r="F2403" s="70">
        <v>0.0</v>
      </c>
      <c r="G2403" s="70">
        <v>0.0</v>
      </c>
      <c r="H2403" s="70" t="s">
        <v>18029</v>
      </c>
      <c r="I2403" s="70">
        <v>1980.0</v>
      </c>
      <c r="J2403" s="70" t="s">
        <v>18027</v>
      </c>
      <c r="K2403" s="70" t="s">
        <v>18028</v>
      </c>
      <c r="L2403" s="70" t="s">
        <v>16959</v>
      </c>
      <c r="N2403" s="70" t="s">
        <v>16960</v>
      </c>
      <c r="P2403" s="76">
        <v>44187.0</v>
      </c>
      <c r="U2403" s="70" t="s">
        <v>239</v>
      </c>
      <c r="W2403" s="70" t="s">
        <v>18031</v>
      </c>
      <c r="Y2403" s="70" t="s">
        <v>30972</v>
      </c>
      <c r="Z2403" s="75" t="s">
        <v>18033</v>
      </c>
      <c r="AA2403" s="70" t="s">
        <v>18034</v>
      </c>
      <c r="AC2403" s="70">
        <v>29.0</v>
      </c>
      <c r="AE2403" s="70">
        <v>162.0</v>
      </c>
      <c r="AF2403" s="70" t="s">
        <v>239</v>
      </c>
      <c r="AW2403" s="70" t="s">
        <v>18035</v>
      </c>
      <c r="AX2403" s="70">
        <v>0.0</v>
      </c>
      <c r="AY2403" s="70" t="s">
        <v>24</v>
      </c>
      <c r="AZ2403" s="70">
        <v>2105.0</v>
      </c>
    </row>
    <row r="2404" ht="22.5" customHeight="1">
      <c r="A2404" s="70" t="str">
        <f t="shared" si="1"/>
        <v>Excluded</v>
      </c>
      <c r="B2404" s="70">
        <f t="shared" si="2"/>
        <v>0</v>
      </c>
      <c r="C2404" s="70">
        <v>0.0</v>
      </c>
      <c r="D2404" s="70">
        <v>0.0</v>
      </c>
      <c r="E2404" s="70">
        <v>0.0</v>
      </c>
      <c r="F2404" s="70">
        <v>0.0</v>
      </c>
      <c r="G2404" s="70">
        <v>0.0</v>
      </c>
      <c r="H2404" s="70" t="s">
        <v>16961</v>
      </c>
      <c r="I2404" s="70">
        <v>1861.0</v>
      </c>
      <c r="J2404" s="70" t="s">
        <v>4837</v>
      </c>
      <c r="K2404" s="70" t="s">
        <v>16958</v>
      </c>
      <c r="L2404" s="70" t="s">
        <v>16959</v>
      </c>
      <c r="N2404" s="70" t="s">
        <v>16960</v>
      </c>
      <c r="P2404" s="76">
        <v>44215.0</v>
      </c>
      <c r="U2404" s="70" t="s">
        <v>239</v>
      </c>
      <c r="W2404" s="70" t="s">
        <v>16963</v>
      </c>
      <c r="Y2404" s="70" t="s">
        <v>16964</v>
      </c>
      <c r="Z2404" s="75" t="s">
        <v>16965</v>
      </c>
      <c r="AA2404" s="70" t="s">
        <v>16966</v>
      </c>
      <c r="AC2404" s="70">
        <v>92.0</v>
      </c>
      <c r="AE2404" s="70">
        <v>44.0</v>
      </c>
      <c r="AF2404" s="70" t="s">
        <v>239</v>
      </c>
      <c r="AW2404" s="70" t="s">
        <v>16967</v>
      </c>
      <c r="AX2404" s="70">
        <v>0.0</v>
      </c>
      <c r="AY2404" s="70" t="s">
        <v>24</v>
      </c>
      <c r="AZ2404" s="70">
        <v>2359.0</v>
      </c>
    </row>
    <row r="2405" ht="22.5" customHeight="1">
      <c r="A2405" s="70" t="str">
        <f t="shared" si="1"/>
        <v>Excluded</v>
      </c>
      <c r="B2405" s="70">
        <f t="shared" si="2"/>
        <v>0</v>
      </c>
      <c r="C2405" s="70">
        <v>0.0</v>
      </c>
      <c r="D2405" s="70">
        <v>0.0</v>
      </c>
      <c r="E2405" s="70">
        <v>0.0</v>
      </c>
      <c r="F2405" s="70">
        <v>0.0</v>
      </c>
      <c r="G2405" s="70">
        <v>0.0</v>
      </c>
      <c r="H2405" s="70" t="s">
        <v>20821</v>
      </c>
      <c r="I2405" s="70">
        <v>2293.0</v>
      </c>
      <c r="J2405" s="70" t="s">
        <v>20819</v>
      </c>
      <c r="K2405" s="70" t="s">
        <v>20820</v>
      </c>
      <c r="L2405" s="70" t="s">
        <v>16959</v>
      </c>
      <c r="N2405" s="70" t="s">
        <v>16960</v>
      </c>
      <c r="P2405" s="76">
        <v>44222.0</v>
      </c>
      <c r="U2405" s="70" t="s">
        <v>239</v>
      </c>
      <c r="W2405" s="70" t="s">
        <v>20823</v>
      </c>
      <c r="Y2405" s="70" t="s">
        <v>20824</v>
      </c>
      <c r="Z2405" s="75" t="s">
        <v>20825</v>
      </c>
      <c r="AA2405" s="70" t="s">
        <v>20826</v>
      </c>
      <c r="AC2405" s="70">
        <v>3.0</v>
      </c>
      <c r="AE2405" s="70">
        <v>30.0</v>
      </c>
      <c r="AF2405" s="70" t="s">
        <v>239</v>
      </c>
      <c r="AW2405" s="70" t="s">
        <v>20827</v>
      </c>
      <c r="AZ2405" s="70">
        <v>268.0</v>
      </c>
    </row>
    <row r="2406" ht="22.5" customHeight="1">
      <c r="A2406" s="70" t="str">
        <f t="shared" si="1"/>
        <v>Excluded</v>
      </c>
      <c r="B2406" s="70">
        <f t="shared" si="2"/>
        <v>0</v>
      </c>
      <c r="C2406" s="70">
        <v>0.0</v>
      </c>
      <c r="D2406" s="70">
        <v>0.0</v>
      </c>
      <c r="E2406" s="70">
        <v>0.0</v>
      </c>
      <c r="F2406" s="70">
        <v>0.0</v>
      </c>
      <c r="G2406" s="70">
        <v>0.0</v>
      </c>
      <c r="H2406" s="70" t="s">
        <v>17795</v>
      </c>
      <c r="I2406" s="70">
        <v>1954.0</v>
      </c>
      <c r="J2406" s="70" t="s">
        <v>17793</v>
      </c>
      <c r="K2406" s="70" t="s">
        <v>17794</v>
      </c>
      <c r="L2406" s="70" t="s">
        <v>16959</v>
      </c>
      <c r="N2406" s="70" t="s">
        <v>16960</v>
      </c>
      <c r="P2406" s="76">
        <v>44243.0</v>
      </c>
      <c r="U2406" s="70" t="s">
        <v>239</v>
      </c>
      <c r="W2406" s="70" t="s">
        <v>17797</v>
      </c>
      <c r="Y2406" s="70" t="s">
        <v>30973</v>
      </c>
      <c r="Z2406" s="75" t="s">
        <v>17799</v>
      </c>
      <c r="AA2406" s="70" t="s">
        <v>17800</v>
      </c>
      <c r="AC2406" s="70">
        <v>33.0</v>
      </c>
      <c r="AE2406" s="70">
        <v>88.0</v>
      </c>
      <c r="AF2406" s="70" t="s">
        <v>239</v>
      </c>
      <c r="AW2406" s="70" t="s">
        <v>17801</v>
      </c>
      <c r="AZ2406" s="70">
        <v>554.0</v>
      </c>
    </row>
    <row r="2407" ht="22.5" customHeight="1">
      <c r="A2407" s="70" t="str">
        <f t="shared" si="1"/>
        <v>Excluded</v>
      </c>
      <c r="B2407" s="70">
        <f t="shared" si="2"/>
        <v>0</v>
      </c>
      <c r="C2407" s="70">
        <v>0.0</v>
      </c>
      <c r="D2407" s="70">
        <v>0.0</v>
      </c>
      <c r="E2407" s="70">
        <v>0.0</v>
      </c>
      <c r="F2407" s="70">
        <v>0.0</v>
      </c>
      <c r="G2407" s="70">
        <v>0.0</v>
      </c>
      <c r="H2407" s="70" t="s">
        <v>19484</v>
      </c>
      <c r="I2407" s="70">
        <v>2143.0</v>
      </c>
      <c r="J2407" s="70" t="s">
        <v>19482</v>
      </c>
      <c r="K2407" s="70" t="s">
        <v>19483</v>
      </c>
      <c r="L2407" s="70" t="s">
        <v>16959</v>
      </c>
      <c r="N2407" s="70" t="s">
        <v>16960</v>
      </c>
      <c r="P2407" s="77">
        <v>44294.0</v>
      </c>
      <c r="U2407" s="70" t="s">
        <v>239</v>
      </c>
      <c r="W2407" s="70" t="s">
        <v>30974</v>
      </c>
      <c r="Y2407" s="70" t="s">
        <v>19487</v>
      </c>
      <c r="Z2407" s="75" t="s">
        <v>19488</v>
      </c>
      <c r="AA2407" s="70" t="s">
        <v>19489</v>
      </c>
      <c r="AC2407" s="70">
        <v>10.0</v>
      </c>
      <c r="AE2407" s="70">
        <v>46.0</v>
      </c>
      <c r="AF2407" s="70" t="s">
        <v>239</v>
      </c>
      <c r="AW2407" s="70" t="s">
        <v>19490</v>
      </c>
      <c r="AZ2407" s="70">
        <v>228.0</v>
      </c>
    </row>
    <row r="2408" ht="22.5" customHeight="1">
      <c r="A2408" s="70" t="str">
        <f t="shared" si="1"/>
        <v>Excluded</v>
      </c>
      <c r="B2408" s="70">
        <f t="shared" si="2"/>
        <v>0</v>
      </c>
      <c r="C2408" s="70">
        <v>0.0</v>
      </c>
      <c r="D2408" s="70">
        <v>0.0</v>
      </c>
      <c r="E2408" s="70">
        <v>0.0</v>
      </c>
      <c r="F2408" s="70">
        <v>0.0</v>
      </c>
      <c r="G2408" s="70">
        <v>0.0</v>
      </c>
      <c r="H2408" s="70" t="s">
        <v>17982</v>
      </c>
      <c r="I2408" s="70">
        <v>1975.0</v>
      </c>
      <c r="J2408" s="70" t="s">
        <v>17980</v>
      </c>
      <c r="K2408" s="70" t="s">
        <v>17981</v>
      </c>
      <c r="L2408" s="70" t="s">
        <v>16959</v>
      </c>
      <c r="N2408" s="70" t="s">
        <v>16960</v>
      </c>
      <c r="P2408" s="76">
        <v>44315.0</v>
      </c>
      <c r="U2408" s="70" t="s">
        <v>239</v>
      </c>
      <c r="W2408" s="70" t="s">
        <v>17984</v>
      </c>
      <c r="Y2408" s="70" t="s">
        <v>30975</v>
      </c>
      <c r="Z2408" s="75" t="s">
        <v>17986</v>
      </c>
      <c r="AA2408" s="70" t="s">
        <v>17987</v>
      </c>
      <c r="AC2408" s="70">
        <v>29.0</v>
      </c>
      <c r="AE2408" s="70">
        <v>68.0</v>
      </c>
      <c r="AF2408" s="70" t="s">
        <v>239</v>
      </c>
      <c r="AW2408" s="70" t="s">
        <v>17988</v>
      </c>
      <c r="AX2408" s="70">
        <v>0.0</v>
      </c>
      <c r="AY2408" s="70" t="s">
        <v>24</v>
      </c>
      <c r="AZ2408" s="70">
        <v>2703.0</v>
      </c>
    </row>
    <row r="2409" ht="22.5" customHeight="1">
      <c r="A2409" s="70" t="str">
        <f t="shared" si="1"/>
        <v>Excluded</v>
      </c>
      <c r="B2409" s="70">
        <f t="shared" si="2"/>
        <v>0</v>
      </c>
      <c r="C2409" s="70">
        <v>0.0</v>
      </c>
      <c r="D2409" s="70">
        <v>0.0</v>
      </c>
      <c r="E2409" s="70">
        <v>0.0</v>
      </c>
      <c r="F2409" s="70">
        <v>0.0</v>
      </c>
      <c r="G2409" s="70">
        <v>0.0</v>
      </c>
      <c r="H2409" s="70" t="s">
        <v>26996</v>
      </c>
      <c r="I2409" s="70">
        <v>2921.0</v>
      </c>
      <c r="J2409" s="70" t="s">
        <v>26994</v>
      </c>
      <c r="K2409" s="70" t="s">
        <v>26995</v>
      </c>
      <c r="W2409" s="70" t="s">
        <v>30976</v>
      </c>
      <c r="AA2409" s="70" t="s">
        <v>26998</v>
      </c>
      <c r="AI2409" s="70" t="s">
        <v>26999</v>
      </c>
      <c r="AJ2409" s="70" t="s">
        <v>27000</v>
      </c>
      <c r="AK2409" s="70">
        <v>2021.0</v>
      </c>
      <c r="AL2409" s="70" t="s">
        <v>16959</v>
      </c>
      <c r="AM2409" s="70">
        <v>9459426.0</v>
      </c>
      <c r="AN2409" s="70">
        <v>2460.0</v>
      </c>
      <c r="AO2409" s="70">
        <v>2477.0</v>
      </c>
      <c r="AP2409" s="70">
        <v>17.0</v>
      </c>
      <c r="AQ2409" s="70">
        <v>14.0</v>
      </c>
      <c r="AR2409" s="75" t="s">
        <v>27001</v>
      </c>
      <c r="AS2409" s="70" t="s">
        <v>22525</v>
      </c>
      <c r="AT2409" s="70" t="s">
        <v>22816</v>
      </c>
      <c r="AU2409" s="70" t="s">
        <v>237</v>
      </c>
      <c r="AV2409" s="70" t="s">
        <v>27002</v>
      </c>
      <c r="AW2409" s="70" t="s">
        <v>27003</v>
      </c>
      <c r="AX2409" s="70">
        <v>0.0</v>
      </c>
      <c r="AY2409" s="70" t="s">
        <v>24</v>
      </c>
      <c r="AZ2409" s="70">
        <v>2368.0</v>
      </c>
    </row>
    <row r="2410" ht="22.5" customHeight="1">
      <c r="A2410" s="70" t="str">
        <f t="shared" si="1"/>
        <v>Excluded</v>
      </c>
      <c r="B2410" s="70">
        <f t="shared" si="2"/>
        <v>0</v>
      </c>
      <c r="C2410" s="70">
        <v>0.0</v>
      </c>
      <c r="D2410" s="70">
        <v>0.0</v>
      </c>
      <c r="E2410" s="70">
        <v>0.0</v>
      </c>
      <c r="F2410" s="70">
        <v>0.0</v>
      </c>
      <c r="G2410" s="70">
        <v>0.0</v>
      </c>
      <c r="H2410" s="70" t="s">
        <v>19254</v>
      </c>
      <c r="I2410" s="70">
        <v>2117.0</v>
      </c>
      <c r="J2410" s="70" t="s">
        <v>19252</v>
      </c>
      <c r="K2410" s="70" t="s">
        <v>19253</v>
      </c>
      <c r="L2410" s="70" t="s">
        <v>16959</v>
      </c>
      <c r="N2410" s="70" t="s">
        <v>16960</v>
      </c>
      <c r="P2410" s="76">
        <v>44488.0</v>
      </c>
      <c r="U2410" s="70" t="s">
        <v>239</v>
      </c>
      <c r="W2410" s="70" t="s">
        <v>19256</v>
      </c>
      <c r="Y2410" s="70" t="s">
        <v>19257</v>
      </c>
      <c r="Z2410" s="75" t="s">
        <v>19258</v>
      </c>
      <c r="AA2410" s="70" t="s">
        <v>19259</v>
      </c>
      <c r="AC2410" s="70">
        <v>12.0</v>
      </c>
      <c r="AE2410" s="70">
        <v>90.0</v>
      </c>
      <c r="AF2410" s="70" t="s">
        <v>239</v>
      </c>
      <c r="AW2410" s="70" t="s">
        <v>19260</v>
      </c>
      <c r="AZ2410" s="70">
        <v>265.0</v>
      </c>
    </row>
    <row r="2411" ht="22.5" customHeight="1">
      <c r="A2411" s="70" t="str">
        <f t="shared" si="1"/>
        <v>Excluded</v>
      </c>
      <c r="B2411" s="70">
        <f t="shared" si="2"/>
        <v>0</v>
      </c>
      <c r="C2411" s="70">
        <v>0.0</v>
      </c>
      <c r="D2411" s="70">
        <v>0.0</v>
      </c>
      <c r="E2411" s="70">
        <v>0.0</v>
      </c>
      <c r="F2411" s="70">
        <v>0.0</v>
      </c>
      <c r="G2411" s="70">
        <v>0.0</v>
      </c>
      <c r="H2411" s="70" t="s">
        <v>18038</v>
      </c>
      <c r="I2411" s="70">
        <v>1981.0</v>
      </c>
      <c r="J2411" s="70" t="s">
        <v>18036</v>
      </c>
      <c r="K2411" s="70" t="s">
        <v>18037</v>
      </c>
      <c r="L2411" s="70" t="s">
        <v>16959</v>
      </c>
      <c r="N2411" s="70" t="s">
        <v>16960</v>
      </c>
      <c r="P2411" s="76">
        <v>44497.0</v>
      </c>
      <c r="U2411" s="70" t="s">
        <v>239</v>
      </c>
      <c r="W2411" s="70" t="s">
        <v>18040</v>
      </c>
      <c r="Y2411" s="70" t="s">
        <v>30977</v>
      </c>
      <c r="Z2411" s="75" t="s">
        <v>18042</v>
      </c>
      <c r="AA2411" s="70" t="s">
        <v>18043</v>
      </c>
      <c r="AC2411" s="70">
        <v>28.0</v>
      </c>
      <c r="AE2411" s="70">
        <v>171.0</v>
      </c>
      <c r="AF2411" s="70" t="s">
        <v>16727</v>
      </c>
      <c r="AW2411" s="70" t="s">
        <v>18044</v>
      </c>
      <c r="AZ2411" s="70">
        <v>1394.0</v>
      </c>
    </row>
    <row r="2412" ht="22.5" customHeight="1">
      <c r="A2412" s="70" t="str">
        <f t="shared" si="1"/>
        <v>Excluded</v>
      </c>
      <c r="B2412" s="70">
        <f t="shared" si="2"/>
        <v>0</v>
      </c>
      <c r="C2412" s="70">
        <v>0.0</v>
      </c>
      <c r="D2412" s="70">
        <v>0.0</v>
      </c>
      <c r="E2412" s="70">
        <v>0.0</v>
      </c>
      <c r="F2412" s="70">
        <v>0.0</v>
      </c>
      <c r="G2412" s="70">
        <v>0.0</v>
      </c>
      <c r="H2412" s="70" t="s">
        <v>26681</v>
      </c>
      <c r="I2412" s="70">
        <v>2890.0</v>
      </c>
      <c r="J2412" s="70" t="s">
        <v>26679</v>
      </c>
      <c r="K2412" s="70" t="s">
        <v>26680</v>
      </c>
      <c r="W2412" s="70" t="s">
        <v>30978</v>
      </c>
      <c r="AA2412" s="70" t="s">
        <v>26683</v>
      </c>
      <c r="AI2412" s="70" t="s">
        <v>26684</v>
      </c>
      <c r="AJ2412" s="70" t="s">
        <v>26685</v>
      </c>
      <c r="AK2412" s="70">
        <v>2022.0</v>
      </c>
      <c r="AL2412" s="70" t="s">
        <v>16959</v>
      </c>
      <c r="AN2412" s="70">
        <v>1382.0</v>
      </c>
      <c r="AO2412" s="70">
        <v>1398.0</v>
      </c>
      <c r="AP2412" s="70">
        <v>16.0</v>
      </c>
      <c r="AQ2412" s="70">
        <v>10.0</v>
      </c>
      <c r="AR2412" s="75" t="s">
        <v>26686</v>
      </c>
      <c r="AS2412" s="70" t="s">
        <v>22525</v>
      </c>
      <c r="AU2412" s="70" t="s">
        <v>237</v>
      </c>
      <c r="AV2412" s="70" t="s">
        <v>26687</v>
      </c>
      <c r="AW2412" s="70" t="s">
        <v>26688</v>
      </c>
      <c r="AZ2412" s="70">
        <v>181.0</v>
      </c>
    </row>
    <row r="2413" ht="22.5" customHeight="1">
      <c r="A2413" s="70" t="str">
        <f t="shared" si="1"/>
        <v>Excluded</v>
      </c>
      <c r="B2413" s="70">
        <f t="shared" si="2"/>
        <v>0</v>
      </c>
      <c r="C2413" s="70">
        <v>0.0</v>
      </c>
      <c r="D2413" s="70">
        <v>0.0</v>
      </c>
      <c r="E2413" s="70">
        <v>0.0</v>
      </c>
      <c r="F2413" s="70">
        <v>0.0</v>
      </c>
      <c r="G2413" s="70">
        <v>0.0</v>
      </c>
      <c r="H2413" s="70" t="s">
        <v>19579</v>
      </c>
      <c r="I2413" s="70">
        <v>2154.0</v>
      </c>
      <c r="J2413" s="70" t="s">
        <v>19577</v>
      </c>
      <c r="K2413" s="70" t="s">
        <v>19578</v>
      </c>
      <c r="L2413" s="70" t="s">
        <v>16959</v>
      </c>
      <c r="N2413" s="70" t="s">
        <v>16960</v>
      </c>
      <c r="P2413" s="76">
        <v>44572.0</v>
      </c>
      <c r="U2413" s="70" t="s">
        <v>239</v>
      </c>
      <c r="W2413" s="70" t="s">
        <v>19581</v>
      </c>
      <c r="Z2413" s="75" t="s">
        <v>19582</v>
      </c>
      <c r="AA2413" s="70" t="s">
        <v>19583</v>
      </c>
      <c r="AC2413" s="70">
        <v>9.0</v>
      </c>
      <c r="AE2413" s="70">
        <v>61.0</v>
      </c>
      <c r="AF2413" s="70" t="s">
        <v>239</v>
      </c>
      <c r="AW2413" s="70" t="s">
        <v>19584</v>
      </c>
      <c r="AZ2413" s="70">
        <v>1104.0</v>
      </c>
    </row>
    <row r="2414" ht="22.5" customHeight="1">
      <c r="A2414" s="70" t="str">
        <f t="shared" si="1"/>
        <v>Excluded</v>
      </c>
      <c r="B2414" s="70">
        <f t="shared" si="2"/>
        <v>0</v>
      </c>
      <c r="C2414" s="70">
        <v>0.0</v>
      </c>
      <c r="D2414" s="70">
        <v>0.0</v>
      </c>
      <c r="E2414" s="70">
        <v>0.0</v>
      </c>
      <c r="F2414" s="70">
        <v>0.0</v>
      </c>
      <c r="G2414" s="70">
        <v>0.0</v>
      </c>
      <c r="H2414" s="70" t="s">
        <v>18009</v>
      </c>
      <c r="I2414" s="70">
        <v>1978.0</v>
      </c>
      <c r="J2414" s="70" t="s">
        <v>18007</v>
      </c>
      <c r="K2414" s="70" t="s">
        <v>18008</v>
      </c>
      <c r="L2414" s="70" t="s">
        <v>16959</v>
      </c>
      <c r="N2414" s="70" t="s">
        <v>16960</v>
      </c>
      <c r="P2414" s="78">
        <v>44705.0</v>
      </c>
      <c r="U2414" s="70" t="s">
        <v>239</v>
      </c>
      <c r="W2414" s="70" t="s">
        <v>30979</v>
      </c>
      <c r="Y2414" s="70" t="s">
        <v>30980</v>
      </c>
      <c r="Z2414" s="75" t="s">
        <v>18013</v>
      </c>
      <c r="AA2414" s="70" t="s">
        <v>18014</v>
      </c>
      <c r="AC2414" s="70">
        <v>29.0</v>
      </c>
      <c r="AE2414" s="70">
        <v>118.0</v>
      </c>
      <c r="AF2414" s="70" t="s">
        <v>239</v>
      </c>
      <c r="AW2414" s="70" t="s">
        <v>18015</v>
      </c>
      <c r="AZ2414" s="70">
        <v>368.0</v>
      </c>
    </row>
    <row r="2415" ht="22.5" customHeight="1">
      <c r="A2415" s="70" t="str">
        <f t="shared" si="1"/>
        <v>Excluded</v>
      </c>
      <c r="B2415" s="70">
        <f t="shared" si="2"/>
        <v>0</v>
      </c>
      <c r="C2415" s="70">
        <v>0.0</v>
      </c>
      <c r="D2415" s="70">
        <v>0.0</v>
      </c>
      <c r="E2415" s="70">
        <v>0.0</v>
      </c>
      <c r="F2415" s="70">
        <v>0.0</v>
      </c>
      <c r="G2415" s="70">
        <v>0.0</v>
      </c>
      <c r="H2415" s="70" t="s">
        <v>25659</v>
      </c>
      <c r="I2415" s="70">
        <v>2790.0</v>
      </c>
      <c r="J2415" s="70" t="s">
        <v>25657</v>
      </c>
      <c r="K2415" s="70" t="s">
        <v>25658</v>
      </c>
      <c r="W2415" s="70" t="s">
        <v>30981</v>
      </c>
      <c r="AA2415" s="70" t="s">
        <v>25661</v>
      </c>
      <c r="AI2415" s="70" t="s">
        <v>25662</v>
      </c>
      <c r="AJ2415" s="70" t="s">
        <v>25663</v>
      </c>
      <c r="AK2415" s="70">
        <v>2023.0</v>
      </c>
      <c r="AL2415" s="70" t="s">
        <v>16959</v>
      </c>
      <c r="AN2415" s="70">
        <v>276.0</v>
      </c>
      <c r="AO2415" s="70">
        <v>291.0</v>
      </c>
      <c r="AP2415" s="70">
        <v>15.0</v>
      </c>
      <c r="AQ2415" s="70">
        <v>10.0</v>
      </c>
      <c r="AR2415" s="75" t="s">
        <v>25664</v>
      </c>
      <c r="AS2415" s="70" t="s">
        <v>22525</v>
      </c>
      <c r="AT2415" s="70" t="s">
        <v>22816</v>
      </c>
      <c r="AU2415" s="70" t="s">
        <v>237</v>
      </c>
      <c r="AV2415" s="70" t="s">
        <v>25665</v>
      </c>
      <c r="AW2415" s="70" t="s">
        <v>25666</v>
      </c>
      <c r="AX2415" s="70">
        <v>0.0</v>
      </c>
      <c r="AY2415" s="70" t="s">
        <v>24</v>
      </c>
      <c r="AZ2415" s="70">
        <v>1900.0</v>
      </c>
    </row>
    <row r="2416" ht="22.5" customHeight="1">
      <c r="A2416" s="70" t="str">
        <f t="shared" si="1"/>
        <v>Excluded</v>
      </c>
      <c r="B2416" s="70">
        <f t="shared" si="2"/>
        <v>0</v>
      </c>
      <c r="C2416" s="70">
        <v>0.0</v>
      </c>
      <c r="D2416" s="70">
        <v>0.0</v>
      </c>
      <c r="E2416" s="70">
        <v>0.0</v>
      </c>
      <c r="F2416" s="70">
        <v>0.0</v>
      </c>
      <c r="G2416" s="70">
        <v>0.0</v>
      </c>
      <c r="H2416" s="70" t="s">
        <v>21586</v>
      </c>
      <c r="I2416" s="70">
        <v>2379.0</v>
      </c>
      <c r="J2416" s="70" t="s">
        <v>21584</v>
      </c>
      <c r="K2416" s="70" t="s">
        <v>21585</v>
      </c>
      <c r="L2416" s="70" t="s">
        <v>16959</v>
      </c>
      <c r="N2416" s="70" t="s">
        <v>16960</v>
      </c>
      <c r="P2416" s="77">
        <v>44838.0</v>
      </c>
      <c r="U2416" s="70" t="s">
        <v>239</v>
      </c>
      <c r="W2416" s="70" t="s">
        <v>21588</v>
      </c>
      <c r="Y2416" s="70" t="s">
        <v>30982</v>
      </c>
      <c r="Z2416" s="75" t="s">
        <v>21590</v>
      </c>
      <c r="AA2416" s="70" t="s">
        <v>21591</v>
      </c>
      <c r="AE2416" s="70">
        <v>66.0</v>
      </c>
      <c r="AF2416" s="70" t="s">
        <v>239</v>
      </c>
      <c r="AW2416" s="70" t="s">
        <v>21592</v>
      </c>
      <c r="AX2416" s="70">
        <v>0.0</v>
      </c>
      <c r="AY2416" s="70" t="s">
        <v>24</v>
      </c>
      <c r="AZ2416" s="70">
        <v>2974.0</v>
      </c>
    </row>
    <row r="2417" ht="22.5" customHeight="1">
      <c r="A2417" s="70" t="str">
        <f t="shared" si="1"/>
        <v>Excluded</v>
      </c>
      <c r="B2417" s="70">
        <f t="shared" si="2"/>
        <v>0</v>
      </c>
      <c r="C2417" s="70">
        <v>0.0</v>
      </c>
      <c r="D2417" s="70">
        <v>0.0</v>
      </c>
      <c r="E2417" s="70">
        <v>0.0</v>
      </c>
      <c r="F2417" s="70">
        <v>0.0</v>
      </c>
      <c r="G2417" s="70">
        <v>0.0</v>
      </c>
      <c r="H2417" s="70" t="s">
        <v>25398</v>
      </c>
      <c r="I2417" s="70">
        <v>2765.0</v>
      </c>
      <c r="J2417" s="70" t="s">
        <v>25396</v>
      </c>
      <c r="K2417" s="70" t="s">
        <v>25397</v>
      </c>
      <c r="W2417" s="70" t="s">
        <v>30983</v>
      </c>
      <c r="AA2417" s="70" t="s">
        <v>25400</v>
      </c>
      <c r="AI2417" s="70" t="s">
        <v>25401</v>
      </c>
      <c r="AJ2417" s="70" t="s">
        <v>25402</v>
      </c>
      <c r="AK2417" s="70">
        <v>2023.0</v>
      </c>
      <c r="AL2417" s="70" t="s">
        <v>16959</v>
      </c>
      <c r="AN2417" s="70">
        <v>1866.0</v>
      </c>
      <c r="AO2417" s="70">
        <v>1883.0</v>
      </c>
      <c r="AP2417" s="70">
        <v>17.0</v>
      </c>
      <c r="AQ2417" s="70">
        <v>8.0</v>
      </c>
      <c r="AR2417" s="75" t="s">
        <v>25403</v>
      </c>
      <c r="AS2417" s="70" t="s">
        <v>22525</v>
      </c>
      <c r="AU2417" s="70" t="s">
        <v>237</v>
      </c>
      <c r="AV2417" s="70" t="s">
        <v>25404</v>
      </c>
      <c r="AW2417" s="70" t="s">
        <v>25405</v>
      </c>
      <c r="AX2417" s="70">
        <v>0.0</v>
      </c>
      <c r="AY2417" s="70" t="s">
        <v>24</v>
      </c>
      <c r="AZ2417" s="70">
        <v>1767.0</v>
      </c>
    </row>
    <row r="2418" ht="22.5" customHeight="1">
      <c r="A2418" s="70" t="str">
        <f t="shared" si="1"/>
        <v>Excluded</v>
      </c>
      <c r="B2418" s="70">
        <f t="shared" si="2"/>
        <v>0</v>
      </c>
      <c r="C2418" s="70">
        <v>0.0</v>
      </c>
      <c r="D2418" s="70">
        <v>0.0</v>
      </c>
      <c r="E2418" s="70">
        <v>0.0</v>
      </c>
      <c r="F2418" s="70">
        <v>0.0</v>
      </c>
      <c r="G2418" s="70">
        <v>0.0</v>
      </c>
      <c r="H2418" s="70" t="s">
        <v>18622</v>
      </c>
      <c r="I2418" s="70">
        <v>2046.0</v>
      </c>
      <c r="J2418" s="70" t="s">
        <v>18620</v>
      </c>
      <c r="K2418" s="70" t="s">
        <v>30984</v>
      </c>
      <c r="L2418" s="70" t="s">
        <v>16959</v>
      </c>
      <c r="N2418" s="70" t="s">
        <v>16960</v>
      </c>
      <c r="P2418" s="76">
        <v>44914.0</v>
      </c>
      <c r="U2418" s="70" t="s">
        <v>239</v>
      </c>
      <c r="W2418" s="70" t="s">
        <v>18624</v>
      </c>
      <c r="Z2418" s="75" t="s">
        <v>18625</v>
      </c>
      <c r="AA2418" s="70" t="s">
        <v>18626</v>
      </c>
      <c r="AC2418" s="70">
        <v>19.0</v>
      </c>
      <c r="AE2418" s="70">
        <v>42.0</v>
      </c>
      <c r="AF2418" s="70" t="s">
        <v>239</v>
      </c>
      <c r="AW2418" s="70" t="s">
        <v>18627</v>
      </c>
      <c r="AZ2418" s="70">
        <v>892.0</v>
      </c>
    </row>
    <row r="2419" ht="22.5" customHeight="1">
      <c r="A2419" s="70" t="str">
        <f t="shared" si="1"/>
        <v>Excluded</v>
      </c>
      <c r="B2419" s="70">
        <f t="shared" si="2"/>
        <v>0</v>
      </c>
      <c r="C2419" s="70">
        <v>0.0</v>
      </c>
      <c r="D2419" s="70">
        <v>0.0</v>
      </c>
      <c r="E2419" s="70">
        <v>0.0</v>
      </c>
      <c r="F2419" s="70">
        <v>0.0</v>
      </c>
      <c r="G2419" s="70">
        <v>0.0</v>
      </c>
      <c r="H2419" s="70" t="s">
        <v>21840</v>
      </c>
      <c r="I2419" s="70">
        <v>2408.0</v>
      </c>
      <c r="J2419" s="70" t="s">
        <v>21838</v>
      </c>
      <c r="K2419" s="70" t="s">
        <v>21839</v>
      </c>
      <c r="L2419" s="70" t="s">
        <v>16959</v>
      </c>
      <c r="N2419" s="70" t="s">
        <v>16960</v>
      </c>
      <c r="P2419" s="76">
        <v>44951.0</v>
      </c>
      <c r="U2419" s="70" t="s">
        <v>239</v>
      </c>
      <c r="W2419" s="70" t="s">
        <v>21842</v>
      </c>
      <c r="Y2419" s="70" t="s">
        <v>21843</v>
      </c>
      <c r="Z2419" s="75" t="s">
        <v>21844</v>
      </c>
      <c r="AA2419" s="70" t="s">
        <v>21845</v>
      </c>
      <c r="AE2419" s="70">
        <v>67.0</v>
      </c>
      <c r="AF2419" s="70" t="s">
        <v>239</v>
      </c>
      <c r="AW2419" s="70" t="s">
        <v>21846</v>
      </c>
      <c r="AX2419" s="70">
        <v>0.0</v>
      </c>
      <c r="AY2419" s="70" t="s">
        <v>24</v>
      </c>
      <c r="AZ2419" s="70">
        <v>2610.0</v>
      </c>
    </row>
    <row r="2420" ht="22.5" customHeight="1">
      <c r="A2420" s="70" t="str">
        <f t="shared" si="1"/>
        <v>Excluded</v>
      </c>
      <c r="B2420" s="70">
        <f t="shared" si="2"/>
        <v>0</v>
      </c>
      <c r="C2420" s="70">
        <v>0.0</v>
      </c>
      <c r="D2420" s="70">
        <v>0.0</v>
      </c>
      <c r="E2420" s="70">
        <v>0.0</v>
      </c>
      <c r="F2420" s="70">
        <v>0.0</v>
      </c>
      <c r="G2420" s="70">
        <v>0.0</v>
      </c>
      <c r="H2420" s="70" t="s">
        <v>19281</v>
      </c>
      <c r="I2420" s="70">
        <v>2120.0</v>
      </c>
      <c r="J2420" s="70" t="s">
        <v>19279</v>
      </c>
      <c r="K2420" s="70" t="s">
        <v>19280</v>
      </c>
      <c r="L2420" s="70" t="s">
        <v>16959</v>
      </c>
      <c r="N2420" s="70" t="s">
        <v>16960</v>
      </c>
      <c r="P2420" s="77">
        <v>44960.0</v>
      </c>
      <c r="U2420" s="70" t="s">
        <v>239</v>
      </c>
      <c r="W2420" s="70" t="s">
        <v>19283</v>
      </c>
      <c r="Z2420" s="75" t="s">
        <v>19284</v>
      </c>
      <c r="AA2420" s="70" t="s">
        <v>19285</v>
      </c>
      <c r="AC2420" s="70">
        <v>11.0</v>
      </c>
      <c r="AE2420" s="70">
        <v>50.0</v>
      </c>
      <c r="AF2420" s="70" t="s">
        <v>239</v>
      </c>
      <c r="AW2420" s="70" t="s">
        <v>19286</v>
      </c>
      <c r="AX2420" s="70">
        <v>0.0</v>
      </c>
      <c r="AY2420" s="70" t="s">
        <v>24</v>
      </c>
      <c r="AZ2420" s="70">
        <v>2461.0</v>
      </c>
    </row>
    <row r="2421" ht="22.5" customHeight="1">
      <c r="A2421" s="70" t="str">
        <f t="shared" si="1"/>
        <v>Excluded</v>
      </c>
      <c r="B2421" s="70">
        <f t="shared" si="2"/>
        <v>0</v>
      </c>
      <c r="C2421" s="70">
        <v>0.0</v>
      </c>
      <c r="D2421" s="70">
        <v>0.0</v>
      </c>
      <c r="E2421" s="70">
        <v>0.0</v>
      </c>
      <c r="F2421" s="70">
        <v>0.0</v>
      </c>
      <c r="G2421" s="70">
        <v>0.0</v>
      </c>
      <c r="H2421" s="70" t="s">
        <v>19982</v>
      </c>
      <c r="I2421" s="70">
        <v>2199.0</v>
      </c>
      <c r="J2421" s="70" t="s">
        <v>19980</v>
      </c>
      <c r="K2421" s="70" t="s">
        <v>19981</v>
      </c>
      <c r="L2421" s="70" t="s">
        <v>16959</v>
      </c>
      <c r="N2421" s="70" t="s">
        <v>16960</v>
      </c>
      <c r="P2421" s="77">
        <v>44963.0</v>
      </c>
      <c r="U2421" s="70" t="s">
        <v>239</v>
      </c>
      <c r="W2421" s="70" t="s">
        <v>30985</v>
      </c>
      <c r="Y2421" s="70" t="s">
        <v>19985</v>
      </c>
      <c r="Z2421" s="75" t="s">
        <v>19986</v>
      </c>
      <c r="AA2421" s="70" t="s">
        <v>19987</v>
      </c>
      <c r="AC2421" s="70">
        <v>6.0</v>
      </c>
      <c r="AE2421" s="70">
        <v>43.0</v>
      </c>
      <c r="AF2421" s="70" t="s">
        <v>239</v>
      </c>
      <c r="AW2421" s="70" t="s">
        <v>19988</v>
      </c>
      <c r="AX2421" s="70">
        <v>0.0</v>
      </c>
      <c r="AY2421" s="70" t="s">
        <v>24</v>
      </c>
      <c r="AZ2421" s="70">
        <v>3046.0</v>
      </c>
    </row>
    <row r="2422" ht="22.5" customHeight="1">
      <c r="A2422" s="70" t="str">
        <f t="shared" si="1"/>
        <v>Excluded</v>
      </c>
      <c r="B2422" s="70">
        <f t="shared" si="2"/>
        <v>0</v>
      </c>
      <c r="C2422" s="70">
        <v>0.0</v>
      </c>
      <c r="D2422" s="70">
        <v>0.0</v>
      </c>
      <c r="E2422" s="70">
        <v>0.0</v>
      </c>
      <c r="F2422" s="70">
        <v>0.0</v>
      </c>
      <c r="G2422" s="70">
        <v>0.0</v>
      </c>
      <c r="H2422" s="70" t="s">
        <v>20408</v>
      </c>
      <c r="I2422" s="70">
        <v>2247.0</v>
      </c>
      <c r="J2422" s="70" t="s">
        <v>20406</v>
      </c>
      <c r="K2422" s="70" t="s">
        <v>20407</v>
      </c>
      <c r="L2422" s="70" t="s">
        <v>16959</v>
      </c>
      <c r="N2422" s="70" t="s">
        <v>16960</v>
      </c>
      <c r="P2422" s="77">
        <v>44964.0</v>
      </c>
      <c r="U2422" s="70" t="s">
        <v>239</v>
      </c>
      <c r="W2422" s="70" t="s">
        <v>30986</v>
      </c>
      <c r="Y2422" s="70" t="s">
        <v>30987</v>
      </c>
      <c r="Z2422" s="75" t="s">
        <v>20412</v>
      </c>
      <c r="AA2422" s="70" t="s">
        <v>20413</v>
      </c>
      <c r="AC2422" s="70">
        <v>4.0</v>
      </c>
      <c r="AE2422" s="70">
        <v>40.0</v>
      </c>
      <c r="AF2422" s="70" t="s">
        <v>239</v>
      </c>
      <c r="AW2422" s="70" t="s">
        <v>20414</v>
      </c>
      <c r="AX2422" s="70">
        <v>0.0</v>
      </c>
      <c r="AY2422" s="70" t="s">
        <v>24</v>
      </c>
      <c r="AZ2422" s="70">
        <v>1692.0</v>
      </c>
    </row>
    <row r="2423" ht="22.5" customHeight="1">
      <c r="A2423" s="70" t="str">
        <f t="shared" si="1"/>
        <v>Excluded</v>
      </c>
      <c r="B2423" s="70">
        <f t="shared" si="2"/>
        <v>0</v>
      </c>
      <c r="C2423" s="70">
        <v>0.0</v>
      </c>
      <c r="D2423" s="70">
        <v>0.0</v>
      </c>
      <c r="E2423" s="70">
        <v>0.0</v>
      </c>
      <c r="F2423" s="70">
        <v>0.0</v>
      </c>
      <c r="G2423" s="70">
        <v>0.0</v>
      </c>
      <c r="H2423" s="70" t="s">
        <v>25483</v>
      </c>
      <c r="I2423" s="70">
        <v>2773.0</v>
      </c>
      <c r="J2423" s="70" t="s">
        <v>25481</v>
      </c>
      <c r="K2423" s="70" t="s">
        <v>25482</v>
      </c>
      <c r="W2423" s="70" t="s">
        <v>30988</v>
      </c>
      <c r="AA2423" s="70" t="s">
        <v>25485</v>
      </c>
      <c r="AI2423" s="70" t="s">
        <v>25486</v>
      </c>
      <c r="AJ2423" s="70" t="s">
        <v>25487</v>
      </c>
      <c r="AK2423" s="70">
        <v>2023.0</v>
      </c>
      <c r="AL2423" s="70" t="s">
        <v>16959</v>
      </c>
      <c r="AN2423" s="70">
        <v>1572.0</v>
      </c>
      <c r="AO2423" s="70">
        <v>1586.0</v>
      </c>
      <c r="AP2423" s="70">
        <v>14.0</v>
      </c>
      <c r="AQ2423" s="70">
        <v>13.0</v>
      </c>
      <c r="AR2423" s="75" t="s">
        <v>25488</v>
      </c>
      <c r="AS2423" s="70" t="s">
        <v>22525</v>
      </c>
      <c r="AU2423" s="70" t="s">
        <v>237</v>
      </c>
      <c r="AV2423" s="70" t="s">
        <v>25489</v>
      </c>
      <c r="AW2423" s="70" t="s">
        <v>25490</v>
      </c>
      <c r="AZ2423" s="70">
        <v>759.0</v>
      </c>
    </row>
    <row r="2424" ht="22.5" customHeight="1">
      <c r="A2424" s="70" t="str">
        <f t="shared" si="1"/>
        <v>Excluded</v>
      </c>
      <c r="B2424" s="70">
        <f t="shared" si="2"/>
        <v>0</v>
      </c>
      <c r="C2424" s="70">
        <v>0.0</v>
      </c>
      <c r="D2424" s="70">
        <v>0.0</v>
      </c>
      <c r="E2424" s="70">
        <v>0.0</v>
      </c>
      <c r="F2424" s="70">
        <v>0.0</v>
      </c>
      <c r="G2424" s="70">
        <v>0.0</v>
      </c>
      <c r="H2424" s="70" t="s">
        <v>21046</v>
      </c>
      <c r="I2424" s="70">
        <v>2318.0</v>
      </c>
      <c r="J2424" s="70" t="s">
        <v>21044</v>
      </c>
      <c r="K2424" s="70" t="s">
        <v>21045</v>
      </c>
      <c r="L2424" s="70" t="s">
        <v>16959</v>
      </c>
      <c r="N2424" s="70" t="s">
        <v>16960</v>
      </c>
      <c r="P2424" s="76">
        <v>45034.0</v>
      </c>
      <c r="U2424" s="70" t="s">
        <v>239</v>
      </c>
      <c r="W2424" s="70" t="s">
        <v>21048</v>
      </c>
      <c r="Y2424" s="70" t="s">
        <v>30989</v>
      </c>
      <c r="Z2424" s="75" t="s">
        <v>21050</v>
      </c>
      <c r="AA2424" s="70" t="s">
        <v>21051</v>
      </c>
      <c r="AC2424" s="70">
        <v>2.0</v>
      </c>
      <c r="AE2424" s="70">
        <v>67.0</v>
      </c>
      <c r="AF2424" s="70" t="s">
        <v>239</v>
      </c>
      <c r="AW2424" s="70" t="s">
        <v>21052</v>
      </c>
      <c r="AZ2424" s="70">
        <v>453.0</v>
      </c>
    </row>
    <row r="2425" ht="22.5" customHeight="1">
      <c r="A2425" s="70" t="str">
        <f t="shared" si="1"/>
        <v>Excluded</v>
      </c>
      <c r="B2425" s="70">
        <f t="shared" si="2"/>
        <v>0</v>
      </c>
      <c r="C2425" s="70">
        <v>0.0</v>
      </c>
      <c r="D2425" s="70">
        <v>0.0</v>
      </c>
      <c r="E2425" s="70">
        <v>0.0</v>
      </c>
      <c r="F2425" s="70">
        <v>0.0</v>
      </c>
      <c r="G2425" s="70">
        <v>0.0</v>
      </c>
      <c r="H2425" s="70" t="s">
        <v>18639</v>
      </c>
      <c r="I2425" s="70">
        <v>2048.0</v>
      </c>
      <c r="J2425" s="70" t="s">
        <v>18637</v>
      </c>
      <c r="K2425" s="70" t="s">
        <v>18638</v>
      </c>
      <c r="L2425" s="70" t="s">
        <v>16959</v>
      </c>
      <c r="N2425" s="70" t="s">
        <v>16960</v>
      </c>
      <c r="P2425" s="76">
        <v>45044.0</v>
      </c>
      <c r="U2425" s="70" t="s">
        <v>239</v>
      </c>
      <c r="W2425" s="70" t="s">
        <v>30990</v>
      </c>
      <c r="Y2425" s="70" t="s">
        <v>30991</v>
      </c>
      <c r="Z2425" s="75" t="s">
        <v>18642</v>
      </c>
      <c r="AA2425" s="70" t="s">
        <v>18643</v>
      </c>
      <c r="AC2425" s="70">
        <v>18.0</v>
      </c>
      <c r="AE2425" s="70">
        <v>99.0</v>
      </c>
      <c r="AF2425" s="70" t="s">
        <v>239</v>
      </c>
      <c r="AW2425" s="70" t="s">
        <v>18644</v>
      </c>
      <c r="AX2425" s="70">
        <v>0.0</v>
      </c>
      <c r="AY2425" s="70" t="s">
        <v>24</v>
      </c>
      <c r="AZ2425" s="70">
        <v>1702.0</v>
      </c>
    </row>
    <row r="2426" ht="22.5" customHeight="1">
      <c r="A2426" s="70" t="str">
        <f t="shared" si="1"/>
        <v>Excluded</v>
      </c>
      <c r="B2426" s="70">
        <f t="shared" si="2"/>
        <v>0</v>
      </c>
      <c r="C2426" s="70">
        <v>0.0</v>
      </c>
      <c r="D2426" s="70">
        <v>0.0</v>
      </c>
      <c r="E2426" s="70">
        <v>0.0</v>
      </c>
      <c r="F2426" s="70">
        <v>0.0</v>
      </c>
      <c r="G2426" s="70">
        <v>0.0</v>
      </c>
      <c r="H2426" s="70" t="s">
        <v>19104</v>
      </c>
      <c r="I2426" s="70">
        <v>2100.0</v>
      </c>
      <c r="J2426" s="70" t="s">
        <v>19102</v>
      </c>
      <c r="K2426" s="70" t="s">
        <v>19103</v>
      </c>
      <c r="L2426" s="70" t="s">
        <v>16959</v>
      </c>
      <c r="N2426" s="70" t="s">
        <v>16960</v>
      </c>
      <c r="P2426" s="79">
        <v>45055.0</v>
      </c>
      <c r="U2426" s="70" t="s">
        <v>239</v>
      </c>
      <c r="W2426" s="70" t="s">
        <v>19106</v>
      </c>
      <c r="Y2426" s="70" t="s">
        <v>30992</v>
      </c>
      <c r="Z2426" s="75" t="s">
        <v>19108</v>
      </c>
      <c r="AA2426" s="70" t="s">
        <v>19109</v>
      </c>
      <c r="AC2426" s="70">
        <v>13.0</v>
      </c>
      <c r="AE2426" s="70">
        <v>39.0</v>
      </c>
      <c r="AF2426" s="70" t="s">
        <v>239</v>
      </c>
      <c r="AW2426" s="70" t="s">
        <v>19110</v>
      </c>
      <c r="AX2426" s="70">
        <v>0.0</v>
      </c>
      <c r="AY2426" s="70" t="s">
        <v>24</v>
      </c>
      <c r="AZ2426" s="70">
        <v>2427.0</v>
      </c>
    </row>
    <row r="2427" ht="22.5" customHeight="1">
      <c r="A2427" s="70" t="str">
        <f t="shared" si="1"/>
        <v>Excluded</v>
      </c>
      <c r="B2427" s="70">
        <f t="shared" si="2"/>
        <v>0</v>
      </c>
      <c r="C2427" s="70">
        <v>0.0</v>
      </c>
      <c r="D2427" s="70">
        <v>0.0</v>
      </c>
      <c r="E2427" s="70">
        <v>0.0</v>
      </c>
      <c r="F2427" s="70">
        <v>0.0</v>
      </c>
      <c r="G2427" s="70">
        <v>0.0</v>
      </c>
      <c r="H2427" s="70" t="s">
        <v>20741</v>
      </c>
      <c r="I2427" s="70">
        <v>2284.0</v>
      </c>
      <c r="J2427" s="70" t="s">
        <v>20739</v>
      </c>
      <c r="K2427" s="70" t="s">
        <v>20740</v>
      </c>
      <c r="L2427" s="70" t="s">
        <v>16959</v>
      </c>
      <c r="N2427" s="70" t="s">
        <v>16960</v>
      </c>
      <c r="P2427" s="76">
        <v>45240.0</v>
      </c>
      <c r="U2427" s="70" t="s">
        <v>239</v>
      </c>
      <c r="W2427" s="70" t="s">
        <v>30993</v>
      </c>
      <c r="Z2427" s="75" t="s">
        <v>20744</v>
      </c>
      <c r="AA2427" s="70" t="s">
        <v>20745</v>
      </c>
      <c r="AC2427" s="70">
        <v>3.0</v>
      </c>
      <c r="AE2427" s="70">
        <v>37.0</v>
      </c>
      <c r="AF2427" s="70" t="s">
        <v>16423</v>
      </c>
      <c r="AW2427" s="70" t="s">
        <v>20746</v>
      </c>
      <c r="AX2427" s="70">
        <v>0.0</v>
      </c>
      <c r="AY2427" s="70" t="s">
        <v>24</v>
      </c>
      <c r="AZ2427" s="70">
        <v>2996.0</v>
      </c>
    </row>
    <row r="2428" ht="22.5" customHeight="1">
      <c r="A2428" s="70" t="str">
        <f t="shared" si="1"/>
        <v>Excluded</v>
      </c>
      <c r="B2428" s="70">
        <f t="shared" si="2"/>
        <v>0</v>
      </c>
      <c r="C2428" s="70">
        <v>0.0</v>
      </c>
      <c r="D2428" s="70">
        <v>0.0</v>
      </c>
      <c r="E2428" s="70">
        <v>0.0</v>
      </c>
      <c r="F2428" s="70">
        <v>0.0</v>
      </c>
      <c r="G2428" s="70">
        <v>0.0</v>
      </c>
      <c r="H2428" s="70" t="s">
        <v>20732</v>
      </c>
      <c r="I2428" s="70">
        <v>2283.0</v>
      </c>
      <c r="J2428" s="70" t="s">
        <v>20730</v>
      </c>
      <c r="K2428" s="70" t="s">
        <v>20731</v>
      </c>
      <c r="L2428" s="70" t="s">
        <v>16959</v>
      </c>
      <c r="N2428" s="70" t="s">
        <v>16960</v>
      </c>
      <c r="P2428" s="77">
        <v>45323.0</v>
      </c>
      <c r="U2428" s="70" t="s">
        <v>239</v>
      </c>
      <c r="W2428" s="70" t="s">
        <v>30994</v>
      </c>
      <c r="Y2428" s="70" t="s">
        <v>30995</v>
      </c>
      <c r="Z2428" s="75" t="s">
        <v>20736</v>
      </c>
      <c r="AA2428" s="70" t="s">
        <v>20737</v>
      </c>
      <c r="AC2428" s="70">
        <v>3.0</v>
      </c>
      <c r="AE2428" s="70">
        <v>31.0</v>
      </c>
      <c r="AF2428" s="70" t="s">
        <v>239</v>
      </c>
      <c r="AW2428" s="70" t="s">
        <v>20738</v>
      </c>
      <c r="AX2428" s="70">
        <v>0.0</v>
      </c>
      <c r="AY2428" s="70" t="s">
        <v>24</v>
      </c>
      <c r="AZ2428" s="70">
        <v>2972.0</v>
      </c>
    </row>
    <row r="2429" ht="22.5" customHeight="1">
      <c r="A2429" s="70" t="str">
        <f t="shared" si="1"/>
        <v>Excluded</v>
      </c>
      <c r="B2429" s="70">
        <f t="shared" si="2"/>
        <v>0</v>
      </c>
      <c r="C2429" s="70">
        <v>0.0</v>
      </c>
      <c r="D2429" s="70">
        <v>0.0</v>
      </c>
      <c r="E2429" s="70">
        <v>0.0</v>
      </c>
      <c r="F2429" s="70">
        <v>0.0</v>
      </c>
      <c r="G2429" s="70">
        <v>0.0</v>
      </c>
      <c r="H2429" s="70" t="s">
        <v>21238</v>
      </c>
      <c r="I2429" s="70">
        <v>2339.0</v>
      </c>
      <c r="J2429" s="70" t="s">
        <v>21236</v>
      </c>
      <c r="K2429" s="70" t="s">
        <v>21237</v>
      </c>
      <c r="L2429" s="70" t="s">
        <v>16959</v>
      </c>
      <c r="N2429" s="70" t="s">
        <v>16960</v>
      </c>
      <c r="P2429" s="76">
        <v>45392.0</v>
      </c>
      <c r="U2429" s="70" t="s">
        <v>239</v>
      </c>
      <c r="W2429" s="70" t="s">
        <v>30996</v>
      </c>
      <c r="Y2429" s="70" t="s">
        <v>30997</v>
      </c>
      <c r="Z2429" s="75" t="s">
        <v>21242</v>
      </c>
      <c r="AA2429" s="70" t="s">
        <v>21243</v>
      </c>
      <c r="AC2429" s="70">
        <v>1.0</v>
      </c>
      <c r="AE2429" s="70">
        <v>28.0</v>
      </c>
      <c r="AF2429" s="70" t="s">
        <v>239</v>
      </c>
      <c r="AW2429" s="70" t="s">
        <v>21244</v>
      </c>
      <c r="AX2429" s="70">
        <v>0.0</v>
      </c>
      <c r="AY2429" s="70" t="s">
        <v>24</v>
      </c>
      <c r="AZ2429" s="70">
        <v>2545.0</v>
      </c>
    </row>
    <row r="2430" ht="22.5" customHeight="1">
      <c r="A2430" s="70" t="str">
        <f t="shared" si="1"/>
        <v>Excluded</v>
      </c>
      <c r="B2430" s="70">
        <f t="shared" si="2"/>
        <v>0</v>
      </c>
      <c r="C2430" s="70">
        <v>0.0</v>
      </c>
      <c r="D2430" s="70">
        <v>0.0</v>
      </c>
      <c r="E2430" s="70">
        <v>0.0</v>
      </c>
      <c r="F2430" s="70">
        <v>0.0</v>
      </c>
      <c r="G2430" s="70">
        <v>0.0</v>
      </c>
      <c r="H2430" s="70" t="s">
        <v>21191</v>
      </c>
      <c r="I2430" s="70">
        <v>2334.0</v>
      </c>
      <c r="J2430" s="70" t="s">
        <v>21189</v>
      </c>
      <c r="K2430" s="70" t="s">
        <v>21190</v>
      </c>
      <c r="L2430" s="70" t="s">
        <v>16959</v>
      </c>
      <c r="N2430" s="70" t="s">
        <v>16960</v>
      </c>
      <c r="P2430" s="76">
        <v>45397.0</v>
      </c>
      <c r="U2430" s="70" t="s">
        <v>239</v>
      </c>
      <c r="W2430" s="70" t="s">
        <v>21193</v>
      </c>
      <c r="Y2430" s="70" t="s">
        <v>30998</v>
      </c>
      <c r="Z2430" s="75" t="s">
        <v>21195</v>
      </c>
      <c r="AA2430" s="70" t="s">
        <v>21196</v>
      </c>
      <c r="AC2430" s="70">
        <v>2.0</v>
      </c>
      <c r="AE2430" s="70">
        <v>120.0</v>
      </c>
      <c r="AF2430" s="70" t="s">
        <v>239</v>
      </c>
      <c r="AW2430" s="70" t="s">
        <v>21197</v>
      </c>
      <c r="AX2430" s="70">
        <v>0.0</v>
      </c>
      <c r="AY2430" s="70" t="s">
        <v>24</v>
      </c>
      <c r="AZ2430" s="70">
        <v>1685.0</v>
      </c>
    </row>
    <row r="2431" ht="22.5" customHeight="1">
      <c r="A2431" s="70" t="str">
        <f t="shared" si="1"/>
        <v>Excluded</v>
      </c>
      <c r="B2431" s="70">
        <f t="shared" si="2"/>
        <v>0</v>
      </c>
      <c r="C2431" s="70">
        <v>0.0</v>
      </c>
      <c r="D2431" s="70">
        <v>0.0</v>
      </c>
      <c r="E2431" s="70">
        <v>0.0</v>
      </c>
      <c r="F2431" s="70">
        <v>0.0</v>
      </c>
      <c r="G2431" s="70">
        <v>0.0</v>
      </c>
      <c r="H2431" s="70" t="s">
        <v>21560</v>
      </c>
      <c r="I2431" s="70">
        <v>2376.0</v>
      </c>
      <c r="J2431" s="70" t="s">
        <v>4799</v>
      </c>
      <c r="K2431" s="70" t="s">
        <v>21559</v>
      </c>
      <c r="L2431" s="70" t="s">
        <v>16959</v>
      </c>
      <c r="N2431" s="70" t="s">
        <v>16960</v>
      </c>
      <c r="P2431" s="76">
        <v>45461.0</v>
      </c>
      <c r="U2431" s="70" t="s">
        <v>239</v>
      </c>
      <c r="W2431" s="70" t="s">
        <v>21562</v>
      </c>
      <c r="Z2431" s="75" t="s">
        <v>21563</v>
      </c>
      <c r="AA2431" s="70" t="s">
        <v>21564</v>
      </c>
      <c r="AC2431" s="70">
        <v>1.0</v>
      </c>
      <c r="AE2431" s="70">
        <v>79.0</v>
      </c>
      <c r="AF2431" s="70" t="s">
        <v>239</v>
      </c>
      <c r="AW2431" s="70" t="s">
        <v>21565</v>
      </c>
      <c r="AZ2431" s="70">
        <v>893.0</v>
      </c>
    </row>
    <row r="2432" ht="22.5" customHeight="1">
      <c r="A2432" s="70" t="str">
        <f t="shared" si="1"/>
        <v>Excluded</v>
      </c>
      <c r="B2432" s="70">
        <f t="shared" si="2"/>
        <v>0</v>
      </c>
      <c r="C2432" s="70">
        <v>0.0</v>
      </c>
      <c r="D2432" s="70">
        <v>0.0</v>
      </c>
      <c r="E2432" s="70">
        <v>0.0</v>
      </c>
      <c r="F2432" s="70">
        <v>0.0</v>
      </c>
      <c r="G2432" s="70">
        <v>0.0</v>
      </c>
      <c r="H2432" s="70" t="s">
        <v>22087</v>
      </c>
      <c r="I2432" s="70">
        <v>2436.0</v>
      </c>
      <c r="J2432" s="70" t="s">
        <v>22085</v>
      </c>
      <c r="K2432" s="70" t="s">
        <v>22086</v>
      </c>
      <c r="L2432" s="70" t="s">
        <v>16959</v>
      </c>
      <c r="N2432" s="70" t="s">
        <v>16960</v>
      </c>
      <c r="P2432" s="76">
        <v>45499.0</v>
      </c>
      <c r="U2432" s="70" t="s">
        <v>239</v>
      </c>
      <c r="W2432" s="70" t="s">
        <v>22089</v>
      </c>
      <c r="Y2432" s="70" t="s">
        <v>22090</v>
      </c>
      <c r="Z2432" s="75" t="s">
        <v>22091</v>
      </c>
      <c r="AA2432" s="70" t="s">
        <v>22092</v>
      </c>
      <c r="AE2432" s="70">
        <v>82.0</v>
      </c>
      <c r="AF2432" s="70" t="s">
        <v>16423</v>
      </c>
      <c r="AW2432" s="70" t="s">
        <v>22093</v>
      </c>
      <c r="AX2432" s="70">
        <v>0.0</v>
      </c>
      <c r="AY2432" s="70" t="s">
        <v>24</v>
      </c>
      <c r="AZ2432" s="70">
        <v>2389.0</v>
      </c>
    </row>
    <row r="2433" ht="22.5" customHeight="1">
      <c r="A2433" s="70" t="str">
        <f t="shared" si="1"/>
        <v>Excluded</v>
      </c>
      <c r="B2433" s="70">
        <f t="shared" si="2"/>
        <v>0</v>
      </c>
      <c r="C2433" s="70">
        <v>0.0</v>
      </c>
      <c r="D2433" s="70">
        <v>0.0</v>
      </c>
      <c r="E2433" s="70">
        <v>0.0</v>
      </c>
      <c r="F2433" s="70">
        <v>0.0</v>
      </c>
      <c r="G2433" s="70">
        <v>0.0</v>
      </c>
      <c r="H2433" s="70" t="s">
        <v>21021</v>
      </c>
      <c r="I2433" s="70">
        <v>2315.0</v>
      </c>
      <c r="J2433" s="70" t="s">
        <v>21019</v>
      </c>
      <c r="K2433" s="70" t="s">
        <v>21020</v>
      </c>
      <c r="L2433" s="70" t="s">
        <v>16959</v>
      </c>
      <c r="N2433" s="70" t="s">
        <v>16960</v>
      </c>
      <c r="P2433" s="76">
        <v>45523.0</v>
      </c>
      <c r="U2433" s="70" t="s">
        <v>239</v>
      </c>
      <c r="W2433" s="70" t="s">
        <v>21023</v>
      </c>
      <c r="Y2433" s="70" t="s">
        <v>21024</v>
      </c>
      <c r="Z2433" s="75" t="s">
        <v>21025</v>
      </c>
      <c r="AA2433" s="70" t="s">
        <v>21026</v>
      </c>
      <c r="AC2433" s="70">
        <v>2.0</v>
      </c>
      <c r="AE2433" s="70">
        <v>38.0</v>
      </c>
      <c r="AF2433" s="70" t="s">
        <v>239</v>
      </c>
      <c r="AW2433" s="70" t="s">
        <v>21027</v>
      </c>
      <c r="AX2433" s="70">
        <v>0.0</v>
      </c>
      <c r="AY2433" s="70" t="s">
        <v>24</v>
      </c>
      <c r="AZ2433" s="70">
        <v>1665.0</v>
      </c>
    </row>
    <row r="2434" ht="22.5" customHeight="1">
      <c r="A2434" s="70" t="str">
        <f t="shared" si="1"/>
        <v>Excluded</v>
      </c>
      <c r="B2434" s="70">
        <f t="shared" si="2"/>
        <v>0</v>
      </c>
      <c r="C2434" s="70">
        <v>0.0</v>
      </c>
      <c r="D2434" s="70">
        <v>0.0</v>
      </c>
      <c r="E2434" s="70">
        <v>0.0</v>
      </c>
      <c r="F2434" s="70">
        <v>0.0</v>
      </c>
      <c r="G2434" s="70">
        <v>0.0</v>
      </c>
      <c r="H2434" s="70" t="s">
        <v>20933</v>
      </c>
      <c r="I2434" s="70">
        <v>2305.0</v>
      </c>
      <c r="J2434" s="70" t="s">
        <v>20931</v>
      </c>
      <c r="K2434" s="70" t="s">
        <v>20932</v>
      </c>
      <c r="L2434" s="70" t="s">
        <v>16959</v>
      </c>
      <c r="N2434" s="70" t="s">
        <v>16960</v>
      </c>
      <c r="P2434" s="76">
        <v>45525.0</v>
      </c>
      <c r="U2434" s="70" t="s">
        <v>239</v>
      </c>
      <c r="W2434" s="70" t="s">
        <v>30999</v>
      </c>
      <c r="Y2434" s="70" t="s">
        <v>31000</v>
      </c>
      <c r="Z2434" s="75" t="s">
        <v>20937</v>
      </c>
      <c r="AA2434" s="70" t="s">
        <v>20938</v>
      </c>
      <c r="AC2434" s="70">
        <v>2.0</v>
      </c>
      <c r="AE2434" s="70">
        <v>41.0</v>
      </c>
      <c r="AF2434" s="70" t="s">
        <v>239</v>
      </c>
      <c r="AW2434" s="70" t="s">
        <v>20939</v>
      </c>
      <c r="AX2434" s="70">
        <v>0.0</v>
      </c>
      <c r="AY2434" s="70" t="s">
        <v>24</v>
      </c>
      <c r="AZ2434" s="70">
        <v>2962.0</v>
      </c>
    </row>
    <row r="2435" ht="22.5" customHeight="1">
      <c r="A2435" s="70" t="str">
        <f t="shared" si="1"/>
        <v>Excluded</v>
      </c>
      <c r="B2435" s="70">
        <f t="shared" si="2"/>
        <v>0</v>
      </c>
      <c r="C2435" s="70">
        <v>0.0</v>
      </c>
      <c r="D2435" s="70">
        <v>0.0</v>
      </c>
      <c r="E2435" s="70">
        <v>0.0</v>
      </c>
      <c r="F2435" s="70">
        <v>0.0</v>
      </c>
      <c r="G2435" s="70">
        <v>0.0</v>
      </c>
      <c r="H2435" s="70" t="s">
        <v>21777</v>
      </c>
      <c r="I2435" s="70">
        <v>2401.0</v>
      </c>
      <c r="J2435" s="70" t="s">
        <v>21775</v>
      </c>
      <c r="K2435" s="70" t="s">
        <v>21776</v>
      </c>
      <c r="L2435" s="70" t="s">
        <v>16959</v>
      </c>
      <c r="N2435" s="70" t="s">
        <v>16960</v>
      </c>
      <c r="P2435" s="76">
        <v>45552.0</v>
      </c>
      <c r="U2435" s="70" t="s">
        <v>239</v>
      </c>
      <c r="W2435" s="70" t="s">
        <v>21779</v>
      </c>
      <c r="Y2435" s="70" t="s">
        <v>31001</v>
      </c>
      <c r="Z2435" s="75" t="s">
        <v>21781</v>
      </c>
      <c r="AA2435" s="70" t="s">
        <v>21782</v>
      </c>
      <c r="AE2435" s="70">
        <v>46.0</v>
      </c>
      <c r="AF2435" s="70" t="s">
        <v>239</v>
      </c>
      <c r="AW2435" s="70" t="s">
        <v>21783</v>
      </c>
      <c r="AX2435" s="70">
        <v>0.0</v>
      </c>
      <c r="AY2435" s="70" t="s">
        <v>24</v>
      </c>
      <c r="AZ2435" s="70">
        <v>2584.0</v>
      </c>
    </row>
    <row r="2436" ht="22.5" customHeight="1">
      <c r="A2436" s="70" t="str">
        <f t="shared" si="1"/>
        <v>Excluded</v>
      </c>
      <c r="B2436" s="70">
        <f t="shared" si="2"/>
        <v>0</v>
      </c>
      <c r="C2436" s="70">
        <v>0.0</v>
      </c>
      <c r="D2436" s="70">
        <v>0.0</v>
      </c>
      <c r="E2436" s="70">
        <v>0.0</v>
      </c>
      <c r="F2436" s="70">
        <v>0.0</v>
      </c>
      <c r="G2436" s="70">
        <v>0.0</v>
      </c>
      <c r="H2436" s="70" t="s">
        <v>7137</v>
      </c>
      <c r="I2436" s="70">
        <v>682.0</v>
      </c>
      <c r="J2436" s="70" t="s">
        <v>7134</v>
      </c>
      <c r="K2436" s="70" t="s">
        <v>7135</v>
      </c>
      <c r="L2436" s="70" t="s">
        <v>7136</v>
      </c>
      <c r="P2436" s="76">
        <v>44589.0</v>
      </c>
      <c r="U2436" s="70" t="s">
        <v>239</v>
      </c>
      <c r="W2436" s="70" t="s">
        <v>7139</v>
      </c>
      <c r="X2436" s="70" t="s">
        <v>7140</v>
      </c>
      <c r="Z2436" s="75" t="s">
        <v>7141</v>
      </c>
      <c r="AA2436" s="70" t="s">
        <v>7142</v>
      </c>
      <c r="AC2436" s="70">
        <v>4.0</v>
      </c>
      <c r="AE2436" s="70">
        <v>21.0</v>
      </c>
      <c r="AF2436" s="70" t="s">
        <v>239</v>
      </c>
      <c r="AW2436" s="70" t="s">
        <v>7143</v>
      </c>
      <c r="AX2436" s="70">
        <v>0.0</v>
      </c>
      <c r="AY2436" s="70" t="s">
        <v>24</v>
      </c>
      <c r="AZ2436" s="70">
        <v>2516.0</v>
      </c>
    </row>
    <row r="2437" ht="22.5" customHeight="1">
      <c r="A2437" s="70" t="str">
        <f t="shared" si="1"/>
        <v>Excluded</v>
      </c>
      <c r="B2437" s="70">
        <f t="shared" si="2"/>
        <v>0</v>
      </c>
      <c r="C2437" s="70">
        <v>0.0</v>
      </c>
      <c r="D2437" s="70">
        <v>0.0</v>
      </c>
      <c r="E2437" s="70">
        <v>0.0</v>
      </c>
      <c r="F2437" s="70">
        <v>0.0</v>
      </c>
      <c r="G2437" s="70">
        <v>0.0</v>
      </c>
      <c r="H2437" s="70" t="s">
        <v>18216</v>
      </c>
      <c r="I2437" s="70">
        <v>2001.0</v>
      </c>
      <c r="J2437" s="70" t="s">
        <v>18214</v>
      </c>
      <c r="K2437" s="70" t="s">
        <v>18215</v>
      </c>
      <c r="L2437" s="70" t="s">
        <v>17164</v>
      </c>
      <c r="N2437" s="70" t="s">
        <v>17165</v>
      </c>
      <c r="P2437" s="76">
        <v>42243.0</v>
      </c>
      <c r="U2437" s="70" t="s">
        <v>239</v>
      </c>
      <c r="W2437" s="70" t="s">
        <v>18218</v>
      </c>
      <c r="Y2437" s="70" t="s">
        <v>31002</v>
      </c>
      <c r="Z2437" s="75" t="s">
        <v>18220</v>
      </c>
      <c r="AA2437" s="70" t="s">
        <v>18221</v>
      </c>
      <c r="AC2437" s="70">
        <v>25.0</v>
      </c>
      <c r="AE2437" s="70">
        <v>42.0</v>
      </c>
      <c r="AF2437" s="70" t="s">
        <v>239</v>
      </c>
      <c r="AW2437" s="70" t="s">
        <v>18222</v>
      </c>
      <c r="AZ2437" s="70">
        <v>728.0</v>
      </c>
    </row>
    <row r="2438" ht="22.5" customHeight="1">
      <c r="A2438" s="70" t="str">
        <f t="shared" si="1"/>
        <v>Excluded</v>
      </c>
      <c r="B2438" s="70">
        <f t="shared" si="2"/>
        <v>0</v>
      </c>
      <c r="C2438" s="70">
        <v>0.0</v>
      </c>
      <c r="D2438" s="70">
        <v>0.0</v>
      </c>
      <c r="E2438" s="70">
        <v>0.0</v>
      </c>
      <c r="F2438" s="70">
        <v>0.0</v>
      </c>
      <c r="G2438" s="70">
        <v>0.0</v>
      </c>
      <c r="H2438" s="70" t="s">
        <v>17645</v>
      </c>
      <c r="I2438" s="70">
        <v>1937.0</v>
      </c>
      <c r="J2438" s="70" t="s">
        <v>17643</v>
      </c>
      <c r="K2438" s="70" t="s">
        <v>17644</v>
      </c>
      <c r="L2438" s="70" t="s">
        <v>17164</v>
      </c>
      <c r="N2438" s="70" t="s">
        <v>17165</v>
      </c>
      <c r="P2438" s="78">
        <v>43237.0</v>
      </c>
      <c r="U2438" s="70" t="s">
        <v>239</v>
      </c>
      <c r="W2438" s="70" t="s">
        <v>17647</v>
      </c>
      <c r="Y2438" s="70" t="s">
        <v>31003</v>
      </c>
      <c r="Z2438" s="75" t="s">
        <v>17649</v>
      </c>
      <c r="AA2438" s="70" t="s">
        <v>17650</v>
      </c>
      <c r="AC2438" s="70">
        <v>38.0</v>
      </c>
      <c r="AE2438" s="70">
        <v>59.0</v>
      </c>
      <c r="AF2438" s="70" t="s">
        <v>239</v>
      </c>
      <c r="AW2438" s="70" t="s">
        <v>17651</v>
      </c>
      <c r="AX2438" s="70">
        <v>0.0</v>
      </c>
      <c r="AY2438" s="70" t="s">
        <v>24</v>
      </c>
      <c r="AZ2438" s="70">
        <v>2944.0</v>
      </c>
    </row>
    <row r="2439" ht="22.5" customHeight="1">
      <c r="A2439" s="70" t="str">
        <f t="shared" si="1"/>
        <v>Excluded</v>
      </c>
      <c r="B2439" s="70">
        <f t="shared" si="2"/>
        <v>0</v>
      </c>
      <c r="C2439" s="70">
        <v>0.0</v>
      </c>
      <c r="D2439" s="70">
        <v>0.0</v>
      </c>
      <c r="E2439" s="70">
        <v>0.0</v>
      </c>
      <c r="F2439" s="70">
        <v>0.0</v>
      </c>
      <c r="G2439" s="70">
        <v>0.0</v>
      </c>
      <c r="H2439" s="70" t="s">
        <v>29110</v>
      </c>
      <c r="I2439" s="70">
        <v>3127.0</v>
      </c>
      <c r="J2439" s="70" t="s">
        <v>29108</v>
      </c>
      <c r="K2439" s="70" t="s">
        <v>29109</v>
      </c>
      <c r="W2439" s="70" t="s">
        <v>31004</v>
      </c>
      <c r="AA2439" s="70" t="s">
        <v>29112</v>
      </c>
      <c r="AI2439" s="70" t="s">
        <v>29113</v>
      </c>
      <c r="AJ2439" s="70" t="s">
        <v>29114</v>
      </c>
      <c r="AK2439" s="70">
        <v>2020.0</v>
      </c>
      <c r="AL2439" s="70" t="s">
        <v>17164</v>
      </c>
      <c r="AM2439" s="70">
        <v>8766876.0</v>
      </c>
      <c r="AN2439" s="70">
        <v>129.0</v>
      </c>
      <c r="AO2439" s="70">
        <v>143.0</v>
      </c>
      <c r="AP2439" s="70">
        <v>14.0</v>
      </c>
      <c r="AQ2439" s="70">
        <v>35.0</v>
      </c>
      <c r="AR2439" s="75" t="s">
        <v>29115</v>
      </c>
      <c r="AS2439" s="70" t="s">
        <v>22525</v>
      </c>
      <c r="AT2439" s="70" t="s">
        <v>22816</v>
      </c>
      <c r="AU2439" s="70" t="s">
        <v>237</v>
      </c>
      <c r="AV2439" s="70" t="s">
        <v>29116</v>
      </c>
      <c r="AW2439" s="70" t="s">
        <v>29117</v>
      </c>
      <c r="AX2439" s="70">
        <v>0.0</v>
      </c>
      <c r="AY2439" s="70" t="s">
        <v>24</v>
      </c>
      <c r="AZ2439" s="70">
        <v>1934.0</v>
      </c>
    </row>
    <row r="2440" ht="22.5" customHeight="1">
      <c r="A2440" s="70" t="str">
        <f t="shared" si="1"/>
        <v>Excluded</v>
      </c>
      <c r="B2440" s="70">
        <f t="shared" si="2"/>
        <v>0</v>
      </c>
      <c r="C2440" s="70">
        <v>0.0</v>
      </c>
      <c r="D2440" s="70">
        <v>0.0</v>
      </c>
      <c r="E2440" s="70">
        <v>0.0</v>
      </c>
      <c r="F2440" s="70">
        <v>0.0</v>
      </c>
      <c r="G2440" s="70">
        <v>0.0</v>
      </c>
      <c r="H2440" s="70" t="s">
        <v>22499</v>
      </c>
      <c r="I2440" s="70">
        <v>2485.0</v>
      </c>
      <c r="K2440" s="70" t="s">
        <v>22498</v>
      </c>
      <c r="L2440" s="70" t="s">
        <v>17164</v>
      </c>
      <c r="N2440" s="70" t="s">
        <v>17165</v>
      </c>
      <c r="P2440" s="76">
        <v>43819.0</v>
      </c>
      <c r="U2440" s="70" t="s">
        <v>239</v>
      </c>
      <c r="W2440" s="70" t="s">
        <v>22500</v>
      </c>
      <c r="Z2440" s="75" t="s">
        <v>22501</v>
      </c>
      <c r="AF2440" s="70" t="s">
        <v>239</v>
      </c>
      <c r="AZ2440" s="70">
        <v>1257.0</v>
      </c>
    </row>
    <row r="2441" ht="22.5" customHeight="1">
      <c r="A2441" s="70" t="str">
        <f t="shared" si="1"/>
        <v>Excluded</v>
      </c>
      <c r="B2441" s="70">
        <f t="shared" si="2"/>
        <v>0</v>
      </c>
      <c r="C2441" s="70">
        <v>0.0</v>
      </c>
      <c r="D2441" s="70">
        <v>0.0</v>
      </c>
      <c r="E2441" s="70">
        <v>0.0</v>
      </c>
      <c r="F2441" s="70">
        <v>0.0</v>
      </c>
      <c r="G2441" s="70">
        <v>0.0</v>
      </c>
      <c r="H2441" s="70" t="s">
        <v>18647</v>
      </c>
      <c r="I2441" s="70">
        <v>2049.0</v>
      </c>
      <c r="J2441" s="70" t="s">
        <v>18645</v>
      </c>
      <c r="K2441" s="70" t="s">
        <v>18646</v>
      </c>
      <c r="L2441" s="70" t="s">
        <v>17164</v>
      </c>
      <c r="N2441" s="70" t="s">
        <v>17165</v>
      </c>
      <c r="P2441" s="76">
        <v>43853.0</v>
      </c>
      <c r="U2441" s="70" t="s">
        <v>239</v>
      </c>
      <c r="W2441" s="70" t="s">
        <v>18649</v>
      </c>
      <c r="Y2441" s="70" t="s">
        <v>18650</v>
      </c>
      <c r="Z2441" s="75" t="s">
        <v>18651</v>
      </c>
      <c r="AA2441" s="70" t="s">
        <v>18652</v>
      </c>
      <c r="AC2441" s="70">
        <v>18.0</v>
      </c>
      <c r="AE2441" s="70">
        <v>43.0</v>
      </c>
      <c r="AF2441" s="70" t="s">
        <v>239</v>
      </c>
      <c r="AW2441" s="70" t="s">
        <v>18653</v>
      </c>
      <c r="AX2441" s="70">
        <v>0.0</v>
      </c>
      <c r="AY2441" s="70" t="s">
        <v>24</v>
      </c>
      <c r="AZ2441" s="70">
        <v>2402.0</v>
      </c>
    </row>
    <row r="2442" ht="22.5" customHeight="1">
      <c r="A2442" s="70" t="str">
        <f t="shared" si="1"/>
        <v>Excluded</v>
      </c>
      <c r="B2442" s="70">
        <f t="shared" si="2"/>
        <v>0</v>
      </c>
      <c r="C2442" s="70">
        <v>0.0</v>
      </c>
      <c r="D2442" s="70">
        <v>0.0</v>
      </c>
      <c r="E2442" s="70">
        <v>0.0</v>
      </c>
      <c r="F2442" s="70">
        <v>0.0</v>
      </c>
      <c r="G2442" s="70">
        <v>0.0</v>
      </c>
      <c r="H2442" s="70" t="s">
        <v>17587</v>
      </c>
      <c r="I2442" s="70">
        <v>1931.0</v>
      </c>
      <c r="J2442" s="70" t="s">
        <v>17585</v>
      </c>
      <c r="K2442" s="70" t="s">
        <v>17586</v>
      </c>
      <c r="L2442" s="70" t="s">
        <v>17164</v>
      </c>
      <c r="N2442" s="70" t="s">
        <v>17165</v>
      </c>
      <c r="P2442" s="76">
        <v>43944.0</v>
      </c>
      <c r="U2442" s="70" t="s">
        <v>239</v>
      </c>
      <c r="W2442" s="70" t="s">
        <v>17589</v>
      </c>
      <c r="Y2442" s="70" t="s">
        <v>31005</v>
      </c>
      <c r="Z2442" s="75" t="s">
        <v>17591</v>
      </c>
      <c r="AA2442" s="70" t="s">
        <v>17592</v>
      </c>
      <c r="AC2442" s="70">
        <v>40.0</v>
      </c>
      <c r="AE2442" s="70">
        <v>29.0</v>
      </c>
      <c r="AF2442" s="70" t="s">
        <v>239</v>
      </c>
      <c r="AW2442" s="70" t="s">
        <v>17593</v>
      </c>
      <c r="AX2442" s="70">
        <v>0.0</v>
      </c>
      <c r="AY2442" s="70" t="s">
        <v>24</v>
      </c>
      <c r="AZ2442" s="70">
        <v>1842.0</v>
      </c>
    </row>
    <row r="2443" ht="22.5" customHeight="1">
      <c r="A2443" s="70" t="str">
        <f t="shared" si="1"/>
        <v>Excluded</v>
      </c>
      <c r="B2443" s="70">
        <f t="shared" si="2"/>
        <v>0</v>
      </c>
      <c r="C2443" s="70">
        <v>0.0</v>
      </c>
      <c r="D2443" s="70">
        <v>0.0</v>
      </c>
      <c r="E2443" s="70">
        <v>0.0</v>
      </c>
      <c r="F2443" s="70">
        <v>0.0</v>
      </c>
      <c r="G2443" s="70">
        <v>0.0</v>
      </c>
      <c r="H2443" s="70" t="s">
        <v>17840</v>
      </c>
      <c r="I2443" s="70">
        <v>1959.0</v>
      </c>
      <c r="J2443" s="70" t="s">
        <v>17838</v>
      </c>
      <c r="K2443" s="70" t="s">
        <v>17839</v>
      </c>
      <c r="L2443" s="70" t="s">
        <v>17164</v>
      </c>
      <c r="N2443" s="70" t="s">
        <v>17165</v>
      </c>
      <c r="P2443" s="77">
        <v>44047.0</v>
      </c>
      <c r="U2443" s="70" t="s">
        <v>239</v>
      </c>
      <c r="W2443" s="70" t="s">
        <v>17842</v>
      </c>
      <c r="Y2443" s="70" t="s">
        <v>31006</v>
      </c>
      <c r="Z2443" s="75" t="s">
        <v>17844</v>
      </c>
      <c r="AA2443" s="70" t="s">
        <v>17845</v>
      </c>
      <c r="AC2443" s="70">
        <v>32.0</v>
      </c>
      <c r="AE2443" s="70">
        <v>88.0</v>
      </c>
      <c r="AF2443" s="70" t="s">
        <v>239</v>
      </c>
      <c r="AW2443" s="70" t="s">
        <v>17846</v>
      </c>
      <c r="AX2443" s="70">
        <v>0.0</v>
      </c>
      <c r="AY2443" s="70" t="s">
        <v>24</v>
      </c>
      <c r="AZ2443" s="70">
        <v>2902.0</v>
      </c>
    </row>
    <row r="2444" ht="22.5" customHeight="1">
      <c r="A2444" s="70" t="str">
        <f t="shared" si="1"/>
        <v>Excluded</v>
      </c>
      <c r="B2444" s="70">
        <f t="shared" si="2"/>
        <v>0</v>
      </c>
      <c r="C2444" s="70">
        <v>0.0</v>
      </c>
      <c r="D2444" s="70">
        <v>0.0</v>
      </c>
      <c r="E2444" s="70">
        <v>0.0</v>
      </c>
      <c r="F2444" s="70">
        <v>0.0</v>
      </c>
      <c r="G2444" s="70">
        <v>0.0</v>
      </c>
      <c r="H2444" s="70" t="s">
        <v>28281</v>
      </c>
      <c r="I2444" s="70">
        <v>3046.0</v>
      </c>
      <c r="J2444" s="70" t="s">
        <v>28279</v>
      </c>
      <c r="K2444" s="70" t="s">
        <v>28280</v>
      </c>
      <c r="W2444" s="70" t="s">
        <v>31007</v>
      </c>
      <c r="AA2444" s="70" t="s">
        <v>28283</v>
      </c>
      <c r="AI2444" s="70" t="s">
        <v>28284</v>
      </c>
      <c r="AJ2444" s="70" t="s">
        <v>28285</v>
      </c>
      <c r="AK2444" s="70">
        <v>2021.0</v>
      </c>
      <c r="AL2444" s="70" t="s">
        <v>17164</v>
      </c>
      <c r="AM2444" s="70">
        <v>9197666.0</v>
      </c>
      <c r="AN2444" s="70">
        <v>441.0</v>
      </c>
      <c r="AO2444" s="70">
        <v>456.0</v>
      </c>
      <c r="AP2444" s="70">
        <v>15.0</v>
      </c>
      <c r="AQ2444" s="70">
        <v>11.0</v>
      </c>
      <c r="AR2444" s="75" t="s">
        <v>28286</v>
      </c>
      <c r="AS2444" s="70" t="s">
        <v>22525</v>
      </c>
      <c r="AU2444" s="70" t="s">
        <v>237</v>
      </c>
      <c r="AV2444" s="70" t="s">
        <v>28287</v>
      </c>
      <c r="AW2444" s="70" t="s">
        <v>28288</v>
      </c>
      <c r="AX2444" s="70">
        <v>0.0</v>
      </c>
      <c r="AY2444" s="70" t="s">
        <v>24</v>
      </c>
      <c r="AZ2444" s="70">
        <v>2396.0</v>
      </c>
    </row>
    <row r="2445" ht="22.5" customHeight="1">
      <c r="A2445" s="70" t="str">
        <f t="shared" si="1"/>
        <v>Excluded</v>
      </c>
      <c r="B2445" s="70">
        <f t="shared" si="2"/>
        <v>0</v>
      </c>
      <c r="C2445" s="70">
        <v>0.0</v>
      </c>
      <c r="D2445" s="70">
        <v>0.0</v>
      </c>
      <c r="E2445" s="70">
        <v>0.0</v>
      </c>
      <c r="F2445" s="70">
        <v>0.0</v>
      </c>
      <c r="G2445" s="70">
        <v>0.0</v>
      </c>
      <c r="H2445" s="70" t="s">
        <v>17353</v>
      </c>
      <c r="I2445" s="70">
        <v>1904.0</v>
      </c>
      <c r="J2445" s="70" t="s">
        <v>17351</v>
      </c>
      <c r="K2445" s="70" t="s">
        <v>17352</v>
      </c>
      <c r="L2445" s="70" t="s">
        <v>17164</v>
      </c>
      <c r="N2445" s="70" t="s">
        <v>17165</v>
      </c>
      <c r="P2445" s="77">
        <v>44110.0</v>
      </c>
      <c r="U2445" s="70" t="s">
        <v>239</v>
      </c>
      <c r="W2445" s="70" t="s">
        <v>17355</v>
      </c>
      <c r="Z2445" s="75" t="s">
        <v>17356</v>
      </c>
      <c r="AA2445" s="70" t="s">
        <v>17357</v>
      </c>
      <c r="AC2445" s="70">
        <v>54.0</v>
      </c>
      <c r="AE2445" s="70">
        <v>93.0</v>
      </c>
      <c r="AF2445" s="70" t="s">
        <v>16423</v>
      </c>
      <c r="AW2445" s="70" t="s">
        <v>17358</v>
      </c>
      <c r="AZ2445" s="70">
        <v>414.0</v>
      </c>
    </row>
    <row r="2446" ht="22.5" customHeight="1">
      <c r="A2446" s="70" t="str">
        <f t="shared" si="1"/>
        <v>Excluded</v>
      </c>
      <c r="B2446" s="70">
        <f t="shared" si="2"/>
        <v>0</v>
      </c>
      <c r="C2446" s="70">
        <v>0.0</v>
      </c>
      <c r="D2446" s="70">
        <v>0.0</v>
      </c>
      <c r="E2446" s="70">
        <v>0.0</v>
      </c>
      <c r="F2446" s="70">
        <v>0.0</v>
      </c>
      <c r="G2446" s="70">
        <v>0.0</v>
      </c>
      <c r="H2446" s="70" t="s">
        <v>19965</v>
      </c>
      <c r="I2446" s="70">
        <v>2197.0</v>
      </c>
      <c r="J2446" s="70" t="s">
        <v>19963</v>
      </c>
      <c r="K2446" s="70" t="s">
        <v>19964</v>
      </c>
      <c r="L2446" s="70" t="s">
        <v>17164</v>
      </c>
      <c r="N2446" s="70" t="s">
        <v>17165</v>
      </c>
      <c r="P2446" s="76">
        <v>44396.0</v>
      </c>
      <c r="U2446" s="70" t="s">
        <v>239</v>
      </c>
      <c r="W2446" s="70" t="s">
        <v>31008</v>
      </c>
      <c r="Y2446" s="70" t="s">
        <v>19968</v>
      </c>
      <c r="Z2446" s="75" t="s">
        <v>19969</v>
      </c>
      <c r="AA2446" s="70" t="s">
        <v>19970</v>
      </c>
      <c r="AC2446" s="70">
        <v>6.0</v>
      </c>
      <c r="AE2446" s="70">
        <v>41.0</v>
      </c>
      <c r="AF2446" s="70" t="s">
        <v>239</v>
      </c>
      <c r="AW2446" s="70" t="s">
        <v>19971</v>
      </c>
      <c r="AX2446" s="70">
        <v>0.0</v>
      </c>
      <c r="AY2446" s="70" t="s">
        <v>24</v>
      </c>
      <c r="AZ2446" s="70">
        <v>2713.0</v>
      </c>
    </row>
    <row r="2447" ht="22.5" customHeight="1">
      <c r="A2447" s="70" t="str">
        <f t="shared" si="1"/>
        <v>Excluded</v>
      </c>
      <c r="B2447" s="70">
        <f t="shared" si="2"/>
        <v>0</v>
      </c>
      <c r="C2447" s="70">
        <v>0.0</v>
      </c>
      <c r="D2447" s="70">
        <v>0.0</v>
      </c>
      <c r="E2447" s="70">
        <v>0.0</v>
      </c>
      <c r="F2447" s="70">
        <v>0.0</v>
      </c>
      <c r="G2447" s="70">
        <v>0.0</v>
      </c>
      <c r="H2447" s="70" t="s">
        <v>17166</v>
      </c>
      <c r="I2447" s="70">
        <v>1883.0</v>
      </c>
      <c r="J2447" s="70" t="s">
        <v>17162</v>
      </c>
      <c r="K2447" s="70" t="s">
        <v>17163</v>
      </c>
      <c r="L2447" s="70" t="s">
        <v>17164</v>
      </c>
      <c r="N2447" s="70" t="s">
        <v>17165</v>
      </c>
      <c r="P2447" s="76">
        <v>44515.0</v>
      </c>
      <c r="U2447" s="70" t="s">
        <v>239</v>
      </c>
      <c r="W2447" s="70" t="s">
        <v>17168</v>
      </c>
      <c r="Y2447" s="70" t="s">
        <v>17169</v>
      </c>
      <c r="Z2447" s="75" t="s">
        <v>17170</v>
      </c>
      <c r="AA2447" s="70" t="s">
        <v>17171</v>
      </c>
      <c r="AC2447" s="70">
        <v>69.0</v>
      </c>
      <c r="AE2447" s="70">
        <v>57.0</v>
      </c>
      <c r="AF2447" s="70" t="s">
        <v>239</v>
      </c>
      <c r="AW2447" s="70" t="s">
        <v>17172</v>
      </c>
      <c r="AX2447" s="70">
        <v>0.0</v>
      </c>
      <c r="AY2447" s="70" t="s">
        <v>24</v>
      </c>
      <c r="AZ2447" s="70">
        <v>1660.0</v>
      </c>
    </row>
    <row r="2448" ht="22.5" customHeight="1">
      <c r="A2448" s="70" t="str">
        <f t="shared" si="1"/>
        <v>Excluded</v>
      </c>
      <c r="B2448" s="70">
        <f t="shared" si="2"/>
        <v>0</v>
      </c>
      <c r="C2448" s="70">
        <v>0.0</v>
      </c>
      <c r="D2448" s="70">
        <v>0.0</v>
      </c>
      <c r="E2448" s="70">
        <v>0.0</v>
      </c>
      <c r="F2448" s="70">
        <v>0.0</v>
      </c>
      <c r="G2448" s="70">
        <v>0.0</v>
      </c>
      <c r="H2448" s="70" t="s">
        <v>18815</v>
      </c>
      <c r="I2448" s="70">
        <v>2068.0</v>
      </c>
      <c r="J2448" s="70" t="s">
        <v>18813</v>
      </c>
      <c r="K2448" s="70" t="s">
        <v>18814</v>
      </c>
      <c r="L2448" s="70" t="s">
        <v>17164</v>
      </c>
      <c r="N2448" s="70" t="s">
        <v>17165</v>
      </c>
      <c r="P2448" s="76">
        <v>44540.0</v>
      </c>
      <c r="U2448" s="70" t="s">
        <v>239</v>
      </c>
      <c r="W2448" s="70" t="s">
        <v>18817</v>
      </c>
      <c r="Z2448" s="75" t="s">
        <v>18818</v>
      </c>
      <c r="AA2448" s="70" t="s">
        <v>18819</v>
      </c>
      <c r="AC2448" s="70">
        <v>15.0</v>
      </c>
      <c r="AE2448" s="70">
        <v>59.0</v>
      </c>
      <c r="AF2448" s="70" t="s">
        <v>239</v>
      </c>
      <c r="AW2448" s="70" t="s">
        <v>18820</v>
      </c>
      <c r="AX2448" s="70">
        <v>0.0</v>
      </c>
      <c r="AY2448" s="70" t="s">
        <v>24</v>
      </c>
      <c r="AZ2448" s="70">
        <v>1751.0</v>
      </c>
    </row>
    <row r="2449" ht="22.5" customHeight="1">
      <c r="A2449" s="70" t="str">
        <f t="shared" si="1"/>
        <v>Excluded</v>
      </c>
      <c r="B2449" s="70">
        <f t="shared" si="2"/>
        <v>0</v>
      </c>
      <c r="C2449" s="70">
        <v>0.0</v>
      </c>
      <c r="D2449" s="70">
        <v>0.0</v>
      </c>
      <c r="E2449" s="70">
        <v>0.0</v>
      </c>
      <c r="F2449" s="70">
        <v>0.0</v>
      </c>
      <c r="G2449" s="70">
        <v>0.0</v>
      </c>
      <c r="H2449" s="70" t="s">
        <v>26847</v>
      </c>
      <c r="I2449" s="70">
        <v>2906.0</v>
      </c>
      <c r="J2449" s="70" t="s">
        <v>26845</v>
      </c>
      <c r="K2449" s="70" t="s">
        <v>26846</v>
      </c>
      <c r="W2449" s="70" t="s">
        <v>31009</v>
      </c>
      <c r="AA2449" s="70" t="s">
        <v>26849</v>
      </c>
      <c r="AI2449" s="70" t="s">
        <v>26850</v>
      </c>
      <c r="AJ2449" s="70" t="s">
        <v>26851</v>
      </c>
      <c r="AK2449" s="70">
        <v>2022.0</v>
      </c>
      <c r="AL2449" s="70" t="s">
        <v>17164</v>
      </c>
      <c r="AN2449" s="70">
        <v>2496.0</v>
      </c>
      <c r="AO2449" s="70">
        <v>2508.0</v>
      </c>
      <c r="AP2449" s="70">
        <v>12.0</v>
      </c>
      <c r="AQ2449" s="70">
        <v>45.0</v>
      </c>
      <c r="AR2449" s="75" t="s">
        <v>26852</v>
      </c>
      <c r="AS2449" s="70" t="s">
        <v>22525</v>
      </c>
      <c r="AU2449" s="70" t="s">
        <v>237</v>
      </c>
      <c r="AV2449" s="70" t="s">
        <v>26853</v>
      </c>
      <c r="AW2449" s="70" t="s">
        <v>26854</v>
      </c>
      <c r="AX2449" s="70">
        <v>0.0</v>
      </c>
      <c r="AY2449" s="70" t="s">
        <v>24</v>
      </c>
      <c r="AZ2449" s="70">
        <v>2494.0</v>
      </c>
    </row>
    <row r="2450" ht="22.5" customHeight="1">
      <c r="A2450" s="70" t="str">
        <f t="shared" si="1"/>
        <v>Excluded</v>
      </c>
      <c r="B2450" s="70">
        <f t="shared" si="2"/>
        <v>0</v>
      </c>
      <c r="C2450" s="70">
        <v>0.0</v>
      </c>
      <c r="D2450" s="70">
        <v>0.0</v>
      </c>
      <c r="E2450" s="70">
        <v>0.0</v>
      </c>
      <c r="F2450" s="70">
        <v>0.0</v>
      </c>
      <c r="G2450" s="70">
        <v>0.0</v>
      </c>
      <c r="H2450" s="70" t="s">
        <v>17777</v>
      </c>
      <c r="I2450" s="70">
        <v>1952.0</v>
      </c>
      <c r="J2450" s="70" t="s">
        <v>17775</v>
      </c>
      <c r="K2450" s="70" t="s">
        <v>17776</v>
      </c>
      <c r="L2450" s="70" t="s">
        <v>17164</v>
      </c>
      <c r="N2450" s="70" t="s">
        <v>17165</v>
      </c>
      <c r="P2450" s="76">
        <v>44603.0</v>
      </c>
      <c r="U2450" s="70" t="s">
        <v>239</v>
      </c>
      <c r="W2450" s="70" t="s">
        <v>17779</v>
      </c>
      <c r="Y2450" s="70" t="s">
        <v>17780</v>
      </c>
      <c r="Z2450" s="75" t="s">
        <v>17781</v>
      </c>
      <c r="AA2450" s="70" t="s">
        <v>17782</v>
      </c>
      <c r="AC2450" s="70">
        <v>34.0</v>
      </c>
      <c r="AE2450" s="70">
        <v>49.0</v>
      </c>
      <c r="AF2450" s="70" t="s">
        <v>239</v>
      </c>
      <c r="AW2450" s="70" t="s">
        <v>17783</v>
      </c>
      <c r="AX2450" s="70">
        <v>0.0</v>
      </c>
      <c r="AY2450" s="70" t="s">
        <v>24</v>
      </c>
      <c r="AZ2450" s="70">
        <v>1693.0</v>
      </c>
    </row>
    <row r="2451" ht="22.5" customHeight="1">
      <c r="A2451" s="70" t="str">
        <f t="shared" si="1"/>
        <v>Excluded</v>
      </c>
      <c r="B2451" s="70">
        <f t="shared" si="2"/>
        <v>0</v>
      </c>
      <c r="C2451" s="70">
        <v>0.0</v>
      </c>
      <c r="D2451" s="70">
        <v>0.0</v>
      </c>
      <c r="E2451" s="70">
        <v>0.0</v>
      </c>
      <c r="F2451" s="70">
        <v>0.0</v>
      </c>
      <c r="G2451" s="70">
        <v>0.0</v>
      </c>
      <c r="H2451" s="70" t="s">
        <v>18806</v>
      </c>
      <c r="I2451" s="70">
        <v>2067.0</v>
      </c>
      <c r="J2451" s="70" t="s">
        <v>18804</v>
      </c>
      <c r="K2451" s="70" t="s">
        <v>18805</v>
      </c>
      <c r="L2451" s="70" t="s">
        <v>17164</v>
      </c>
      <c r="N2451" s="70" t="s">
        <v>17165</v>
      </c>
      <c r="P2451" s="76">
        <v>44802.0</v>
      </c>
      <c r="U2451" s="70" t="s">
        <v>239</v>
      </c>
      <c r="W2451" s="70" t="s">
        <v>31010</v>
      </c>
      <c r="Y2451" s="70" t="s">
        <v>31011</v>
      </c>
      <c r="Z2451" s="75" t="s">
        <v>18810</v>
      </c>
      <c r="AA2451" s="70" t="s">
        <v>18811</v>
      </c>
      <c r="AC2451" s="70">
        <v>15.0</v>
      </c>
      <c r="AE2451" s="70">
        <v>65.0</v>
      </c>
      <c r="AF2451" s="70" t="s">
        <v>16423</v>
      </c>
      <c r="AW2451" s="70" t="s">
        <v>18812</v>
      </c>
      <c r="AX2451" s="70">
        <v>0.0</v>
      </c>
      <c r="AY2451" s="70" t="s">
        <v>24</v>
      </c>
      <c r="AZ2451" s="70">
        <v>2061.0</v>
      </c>
    </row>
    <row r="2452" ht="22.5" customHeight="1">
      <c r="A2452" s="70" t="str">
        <f t="shared" si="1"/>
        <v>Excluded</v>
      </c>
      <c r="B2452" s="70">
        <f t="shared" si="2"/>
        <v>0</v>
      </c>
      <c r="C2452" s="70">
        <v>0.0</v>
      </c>
      <c r="D2452" s="70">
        <v>0.0</v>
      </c>
      <c r="E2452" s="70">
        <v>0.0</v>
      </c>
      <c r="F2452" s="70">
        <v>0.0</v>
      </c>
      <c r="G2452" s="70">
        <v>0.0</v>
      </c>
      <c r="H2452" s="70" t="s">
        <v>20515</v>
      </c>
      <c r="I2452" s="70">
        <v>2259.0</v>
      </c>
      <c r="J2452" s="70" t="s">
        <v>20513</v>
      </c>
      <c r="K2452" s="70" t="s">
        <v>20514</v>
      </c>
      <c r="L2452" s="70" t="s">
        <v>17164</v>
      </c>
      <c r="N2452" s="70" t="s">
        <v>17165</v>
      </c>
      <c r="P2452" s="76">
        <v>45225.0</v>
      </c>
      <c r="U2452" s="70" t="s">
        <v>239</v>
      </c>
      <c r="W2452" s="70" t="s">
        <v>20517</v>
      </c>
      <c r="Y2452" s="70" t="s">
        <v>20518</v>
      </c>
      <c r="Z2452" s="75" t="s">
        <v>20519</v>
      </c>
      <c r="AA2452" s="70" t="s">
        <v>20520</v>
      </c>
      <c r="AC2452" s="70">
        <v>4.0</v>
      </c>
      <c r="AE2452" s="70">
        <v>36.0</v>
      </c>
      <c r="AF2452" s="70" t="s">
        <v>239</v>
      </c>
      <c r="AW2452" s="70" t="s">
        <v>20521</v>
      </c>
      <c r="AX2452" s="70">
        <v>0.0</v>
      </c>
      <c r="AY2452" s="70" t="s">
        <v>24</v>
      </c>
      <c r="AZ2452" s="70">
        <v>2604.0</v>
      </c>
    </row>
    <row r="2453" ht="22.5" customHeight="1">
      <c r="A2453" s="70" t="str">
        <f t="shared" si="1"/>
        <v>Excluded</v>
      </c>
      <c r="B2453" s="70">
        <f t="shared" si="2"/>
        <v>0</v>
      </c>
      <c r="C2453" s="70">
        <v>0.0</v>
      </c>
      <c r="D2453" s="70">
        <v>0.0</v>
      </c>
      <c r="E2453" s="70">
        <v>0.0</v>
      </c>
      <c r="F2453" s="70">
        <v>0.0</v>
      </c>
      <c r="G2453" s="70">
        <v>0.0</v>
      </c>
      <c r="H2453" s="70" t="s">
        <v>23849</v>
      </c>
      <c r="I2453" s="70">
        <v>2615.0</v>
      </c>
      <c r="J2453" s="70" t="s">
        <v>23847</v>
      </c>
      <c r="K2453" s="70" t="s">
        <v>23848</v>
      </c>
      <c r="W2453" s="70" t="s">
        <v>31012</v>
      </c>
      <c r="AA2453" s="70" t="s">
        <v>23851</v>
      </c>
      <c r="AI2453" s="70" t="s">
        <v>23852</v>
      </c>
      <c r="AJ2453" s="70" t="s">
        <v>23853</v>
      </c>
      <c r="AK2453" s="70">
        <v>2024.0</v>
      </c>
      <c r="AL2453" s="70" t="s">
        <v>17164</v>
      </c>
      <c r="AN2453" s="70">
        <v>280.0</v>
      </c>
      <c r="AO2453" s="70">
        <v>296.0</v>
      </c>
      <c r="AP2453" s="70">
        <v>16.0</v>
      </c>
      <c r="AQ2453" s="70">
        <v>14.0</v>
      </c>
      <c r="AR2453" s="75" t="s">
        <v>23854</v>
      </c>
      <c r="AS2453" s="70" t="s">
        <v>22525</v>
      </c>
      <c r="AT2453" s="70" t="s">
        <v>22816</v>
      </c>
      <c r="AU2453" s="70" t="s">
        <v>237</v>
      </c>
      <c r="AV2453" s="70" t="s">
        <v>23855</v>
      </c>
      <c r="AW2453" s="70" t="s">
        <v>23856</v>
      </c>
      <c r="AX2453" s="70">
        <v>0.0</v>
      </c>
      <c r="AY2453" s="70" t="s">
        <v>24</v>
      </c>
      <c r="AZ2453" s="70">
        <v>2728.0</v>
      </c>
    </row>
    <row r="2454" ht="22.5" customHeight="1">
      <c r="A2454" s="70" t="str">
        <f t="shared" si="1"/>
        <v>Excluded</v>
      </c>
      <c r="B2454" s="70">
        <f t="shared" si="2"/>
        <v>0</v>
      </c>
      <c r="C2454" s="70">
        <v>0.0</v>
      </c>
      <c r="D2454" s="70">
        <v>0.0</v>
      </c>
      <c r="E2454" s="70">
        <v>0.0</v>
      </c>
      <c r="F2454" s="70">
        <v>0.0</v>
      </c>
      <c r="G2454" s="70">
        <v>0.0</v>
      </c>
      <c r="H2454" s="70" t="s">
        <v>22327</v>
      </c>
      <c r="I2454" s="70">
        <v>2463.0</v>
      </c>
      <c r="J2454" s="70" t="s">
        <v>22325</v>
      </c>
      <c r="K2454" s="70" t="s">
        <v>22326</v>
      </c>
      <c r="L2454" s="70" t="s">
        <v>17164</v>
      </c>
      <c r="N2454" s="70" t="s">
        <v>17165</v>
      </c>
      <c r="P2454" s="77">
        <v>45604.0</v>
      </c>
      <c r="U2454" s="70" t="s">
        <v>239</v>
      </c>
      <c r="W2454" s="70" t="s">
        <v>22329</v>
      </c>
      <c r="Y2454" s="70" t="s">
        <v>31013</v>
      </c>
      <c r="Z2454" s="75" t="s">
        <v>22331</v>
      </c>
      <c r="AA2454" s="70" t="s">
        <v>22332</v>
      </c>
      <c r="AE2454" s="70">
        <v>102.0</v>
      </c>
      <c r="AF2454" s="70" t="s">
        <v>239</v>
      </c>
      <c r="AW2454" s="70" t="s">
        <v>22333</v>
      </c>
      <c r="AX2454" s="70">
        <v>0.0</v>
      </c>
      <c r="AY2454" s="70" t="s">
        <v>24</v>
      </c>
      <c r="AZ2454" s="70">
        <v>2757.0</v>
      </c>
    </row>
    <row r="2455" ht="22.5" customHeight="1">
      <c r="A2455" s="70" t="str">
        <f t="shared" si="1"/>
        <v>Excluded</v>
      </c>
      <c r="B2455" s="70">
        <f t="shared" si="2"/>
        <v>0</v>
      </c>
      <c r="C2455" s="70">
        <v>0.0</v>
      </c>
      <c r="D2455" s="70">
        <v>0.0</v>
      </c>
      <c r="E2455" s="70">
        <v>0.0</v>
      </c>
      <c r="F2455" s="70">
        <v>0.0</v>
      </c>
      <c r="G2455" s="70">
        <v>0.0</v>
      </c>
      <c r="H2455" s="70" t="s">
        <v>22025</v>
      </c>
      <c r="I2455" s="70">
        <v>2429.0</v>
      </c>
      <c r="J2455" s="70" t="s">
        <v>22023</v>
      </c>
      <c r="K2455" s="70" t="s">
        <v>22024</v>
      </c>
      <c r="L2455" s="70" t="s">
        <v>17164</v>
      </c>
      <c r="N2455" s="70" t="s">
        <v>17165</v>
      </c>
      <c r="P2455" s="76">
        <v>45702.0</v>
      </c>
      <c r="U2455" s="70" t="s">
        <v>239</v>
      </c>
      <c r="W2455" s="70" t="s">
        <v>22027</v>
      </c>
      <c r="Y2455" s="70" t="s">
        <v>22028</v>
      </c>
      <c r="Z2455" s="75" t="s">
        <v>22029</v>
      </c>
      <c r="AA2455" s="70" t="s">
        <v>22030</v>
      </c>
      <c r="AE2455" s="70">
        <v>55.0</v>
      </c>
      <c r="AF2455" s="70" t="s">
        <v>239</v>
      </c>
      <c r="AW2455" s="70" t="s">
        <v>22031</v>
      </c>
      <c r="AX2455" s="70">
        <v>0.0</v>
      </c>
      <c r="AZ2455" s="70">
        <v>2874.0</v>
      </c>
    </row>
    <row r="2456" ht="22.5" customHeight="1">
      <c r="A2456" s="70" t="str">
        <f t="shared" si="1"/>
        <v>Excluded</v>
      </c>
      <c r="B2456" s="70">
        <f t="shared" si="2"/>
        <v>0</v>
      </c>
      <c r="C2456" s="70">
        <v>0.0</v>
      </c>
      <c r="D2456" s="70">
        <v>0.0</v>
      </c>
      <c r="E2456" s="70">
        <v>0.0</v>
      </c>
      <c r="F2456" s="70">
        <v>0.0</v>
      </c>
      <c r="G2456" s="70">
        <v>0.0</v>
      </c>
      <c r="H2456" s="70" t="s">
        <v>6455</v>
      </c>
      <c r="I2456" s="70">
        <v>613.0</v>
      </c>
      <c r="J2456" s="70" t="s">
        <v>6452</v>
      </c>
      <c r="K2456" s="70" t="s">
        <v>6453</v>
      </c>
      <c r="L2456" s="70" t="s">
        <v>6454</v>
      </c>
      <c r="P2456" s="76">
        <v>43888.0</v>
      </c>
      <c r="U2456" s="70" t="s">
        <v>239</v>
      </c>
      <c r="W2456" s="70" t="s">
        <v>6457</v>
      </c>
      <c r="X2456" s="70" t="s">
        <v>6458</v>
      </c>
      <c r="Z2456" s="75" t="s">
        <v>6459</v>
      </c>
      <c r="AA2456" s="70" t="s">
        <v>6460</v>
      </c>
      <c r="AC2456" s="70">
        <v>6.0</v>
      </c>
      <c r="AE2456" s="70">
        <v>36.0</v>
      </c>
      <c r="AF2456" s="70" t="s">
        <v>239</v>
      </c>
      <c r="AW2456" s="70" t="s">
        <v>6461</v>
      </c>
      <c r="AX2456" s="70">
        <v>0.0</v>
      </c>
      <c r="AY2456" s="70" t="s">
        <v>24</v>
      </c>
      <c r="AZ2456" s="70">
        <v>2353.0</v>
      </c>
    </row>
    <row r="2457" ht="22.5" customHeight="1">
      <c r="A2457" s="70" t="str">
        <f t="shared" si="1"/>
        <v>Excluded</v>
      </c>
      <c r="B2457" s="70">
        <f t="shared" si="2"/>
        <v>0</v>
      </c>
      <c r="C2457" s="70">
        <v>0.0</v>
      </c>
      <c r="D2457" s="70">
        <v>0.0</v>
      </c>
      <c r="E2457" s="70">
        <v>0.0</v>
      </c>
      <c r="F2457" s="70">
        <v>0.0</v>
      </c>
      <c r="G2457" s="70">
        <v>0.0</v>
      </c>
      <c r="H2457" s="70" t="s">
        <v>24789</v>
      </c>
      <c r="I2457" s="70">
        <v>2706.0</v>
      </c>
      <c r="J2457" s="70" t="s">
        <v>24787</v>
      </c>
      <c r="K2457" s="70" t="s">
        <v>24788</v>
      </c>
      <c r="W2457" s="70" t="s">
        <v>31014</v>
      </c>
      <c r="AA2457" s="70" t="s">
        <v>24791</v>
      </c>
      <c r="AI2457" s="70" t="s">
        <v>24792</v>
      </c>
      <c r="AJ2457" s="70" t="s">
        <v>24793</v>
      </c>
      <c r="AK2457" s="70">
        <v>2024.0</v>
      </c>
      <c r="AL2457" s="70" t="s">
        <v>24794</v>
      </c>
      <c r="AQ2457" s="70">
        <v>0.0</v>
      </c>
      <c r="AR2457" s="75" t="s">
        <v>24795</v>
      </c>
      <c r="AS2457" s="70" t="s">
        <v>22525</v>
      </c>
      <c r="AU2457" s="70" t="s">
        <v>237</v>
      </c>
      <c r="AV2457" s="70" t="s">
        <v>24796</v>
      </c>
      <c r="AW2457" s="70" t="s">
        <v>24797</v>
      </c>
      <c r="AZ2457" s="70">
        <v>187.0</v>
      </c>
    </row>
    <row r="2458" ht="22.5" customHeight="1">
      <c r="A2458" s="70" t="str">
        <f t="shared" si="1"/>
        <v>Excluded</v>
      </c>
      <c r="B2458" s="70">
        <f t="shared" si="2"/>
        <v>0</v>
      </c>
      <c r="C2458" s="70">
        <v>0.0</v>
      </c>
      <c r="D2458" s="70">
        <v>0.0</v>
      </c>
      <c r="E2458" s="70">
        <v>0.0</v>
      </c>
      <c r="F2458" s="70">
        <v>0.0</v>
      </c>
      <c r="G2458" s="70">
        <v>0.0</v>
      </c>
      <c r="H2458" s="70" t="s">
        <v>20167</v>
      </c>
      <c r="I2458" s="70">
        <v>2220.0</v>
      </c>
      <c r="J2458" s="70" t="s">
        <v>20163</v>
      </c>
      <c r="K2458" s="70" t="s">
        <v>20164</v>
      </c>
      <c r="L2458" s="70" t="s">
        <v>20165</v>
      </c>
      <c r="N2458" s="70" t="s">
        <v>20166</v>
      </c>
      <c r="P2458" s="76">
        <v>45250.0</v>
      </c>
      <c r="U2458" s="70" t="s">
        <v>239</v>
      </c>
      <c r="W2458" s="70" t="s">
        <v>20169</v>
      </c>
      <c r="Y2458" s="70" t="s">
        <v>31015</v>
      </c>
      <c r="Z2458" s="75" t="s">
        <v>20171</v>
      </c>
      <c r="AA2458" s="70" t="s">
        <v>20172</v>
      </c>
      <c r="AC2458" s="70">
        <v>5.0</v>
      </c>
      <c r="AE2458" s="70">
        <v>50.0</v>
      </c>
      <c r="AF2458" s="70" t="s">
        <v>16423</v>
      </c>
      <c r="AW2458" s="70" t="s">
        <v>20173</v>
      </c>
      <c r="AX2458" s="70">
        <v>0.0</v>
      </c>
      <c r="AY2458" s="70" t="s">
        <v>24</v>
      </c>
      <c r="AZ2458" s="70">
        <v>2587.0</v>
      </c>
    </row>
    <row r="2459" ht="22.5" customHeight="1">
      <c r="A2459" s="70" t="str">
        <f t="shared" si="1"/>
        <v>Excluded</v>
      </c>
      <c r="B2459" s="70">
        <f t="shared" si="2"/>
        <v>0</v>
      </c>
      <c r="C2459" s="70">
        <v>0.0</v>
      </c>
      <c r="D2459" s="70">
        <v>0.0</v>
      </c>
      <c r="E2459" s="70">
        <v>0.0</v>
      </c>
      <c r="F2459" s="70">
        <v>0.0</v>
      </c>
      <c r="G2459" s="70">
        <v>0.0</v>
      </c>
      <c r="H2459" s="70" t="s">
        <v>16615</v>
      </c>
      <c r="I2459" s="70">
        <v>1822.0</v>
      </c>
      <c r="J2459" s="70" t="s">
        <v>16611</v>
      </c>
      <c r="K2459" s="70" t="s">
        <v>16612</v>
      </c>
      <c r="L2459" s="70" t="s">
        <v>16613</v>
      </c>
      <c r="N2459" s="70" t="s">
        <v>16614</v>
      </c>
      <c r="P2459" s="77">
        <v>42887.0</v>
      </c>
      <c r="U2459" s="70" t="s">
        <v>239</v>
      </c>
      <c r="W2459" s="70" t="s">
        <v>16617</v>
      </c>
      <c r="Y2459" s="70" t="s">
        <v>31016</v>
      </c>
      <c r="Z2459" s="75" t="s">
        <v>16619</v>
      </c>
      <c r="AA2459" s="70" t="s">
        <v>16620</v>
      </c>
      <c r="AC2459" s="70">
        <v>268.0</v>
      </c>
      <c r="AE2459" s="70">
        <v>197.0</v>
      </c>
      <c r="AF2459" s="70" t="s">
        <v>239</v>
      </c>
      <c r="AW2459" s="70" t="s">
        <v>16621</v>
      </c>
      <c r="AX2459" s="70">
        <v>1.0</v>
      </c>
      <c r="AZ2459" s="70">
        <v>1642.0</v>
      </c>
    </row>
    <row r="2460" ht="22.5" customHeight="1">
      <c r="A2460" s="70" t="str">
        <f t="shared" si="1"/>
        <v>Excluded</v>
      </c>
      <c r="B2460" s="70">
        <f t="shared" si="2"/>
        <v>0</v>
      </c>
      <c r="C2460" s="70">
        <v>0.0</v>
      </c>
      <c r="D2460" s="70">
        <v>0.0</v>
      </c>
      <c r="E2460" s="70">
        <v>0.0</v>
      </c>
      <c r="F2460" s="70">
        <v>0.0</v>
      </c>
      <c r="G2460" s="70">
        <v>0.0</v>
      </c>
      <c r="H2460" s="70" t="s">
        <v>19375</v>
      </c>
      <c r="I2460" s="70">
        <v>2131.0</v>
      </c>
      <c r="J2460" s="70" t="s">
        <v>19373</v>
      </c>
      <c r="K2460" s="70" t="s">
        <v>19374</v>
      </c>
      <c r="L2460" s="70" t="s">
        <v>16613</v>
      </c>
      <c r="N2460" s="70" t="s">
        <v>16614</v>
      </c>
      <c r="P2460" s="76">
        <v>43566.0</v>
      </c>
      <c r="U2460" s="70" t="s">
        <v>239</v>
      </c>
      <c r="W2460" s="70" t="s">
        <v>31017</v>
      </c>
      <c r="Y2460" s="70" t="s">
        <v>31018</v>
      </c>
      <c r="Z2460" s="75" t="s">
        <v>19379</v>
      </c>
      <c r="AA2460" s="70" t="s">
        <v>19380</v>
      </c>
      <c r="AC2460" s="70">
        <v>11.0</v>
      </c>
      <c r="AE2460" s="70">
        <v>35.0</v>
      </c>
      <c r="AF2460" s="70" t="s">
        <v>239</v>
      </c>
      <c r="AW2460" s="70" t="s">
        <v>19381</v>
      </c>
      <c r="AX2460" s="70">
        <v>0.0</v>
      </c>
      <c r="AY2460" s="70" t="s">
        <v>24</v>
      </c>
      <c r="AZ2460" s="70">
        <v>1681.0</v>
      </c>
    </row>
    <row r="2461" ht="22.5" customHeight="1">
      <c r="A2461" s="70" t="str">
        <f t="shared" si="1"/>
        <v>Excluded</v>
      </c>
      <c r="B2461" s="70">
        <f t="shared" si="2"/>
        <v>0</v>
      </c>
      <c r="C2461" s="70">
        <v>0.0</v>
      </c>
      <c r="D2461" s="70">
        <v>0.0</v>
      </c>
      <c r="E2461" s="70">
        <v>0.0</v>
      </c>
      <c r="F2461" s="70">
        <v>0.0</v>
      </c>
      <c r="G2461" s="70">
        <v>0.0</v>
      </c>
      <c r="H2461" s="70" t="s">
        <v>18145</v>
      </c>
      <c r="I2461" s="70">
        <v>1993.0</v>
      </c>
      <c r="J2461" s="70" t="s">
        <v>18143</v>
      </c>
      <c r="K2461" s="70" t="s">
        <v>18144</v>
      </c>
      <c r="L2461" s="70" t="s">
        <v>16613</v>
      </c>
      <c r="N2461" s="70" t="s">
        <v>16614</v>
      </c>
      <c r="P2461" s="77">
        <v>43714.0</v>
      </c>
      <c r="U2461" s="70" t="s">
        <v>239</v>
      </c>
      <c r="W2461" s="70" t="s">
        <v>18147</v>
      </c>
      <c r="Y2461" s="70" t="s">
        <v>31019</v>
      </c>
      <c r="Z2461" s="75" t="s">
        <v>18149</v>
      </c>
      <c r="AA2461" s="70" t="s">
        <v>18150</v>
      </c>
      <c r="AC2461" s="70">
        <v>26.0</v>
      </c>
      <c r="AE2461" s="70">
        <v>52.0</v>
      </c>
      <c r="AF2461" s="70" t="s">
        <v>239</v>
      </c>
      <c r="AW2461" s="70" t="s">
        <v>18151</v>
      </c>
      <c r="AX2461" s="70">
        <v>0.0</v>
      </c>
      <c r="AY2461" s="70" t="s">
        <v>24</v>
      </c>
      <c r="AZ2461" s="70">
        <v>2080.0</v>
      </c>
    </row>
    <row r="2462" ht="22.5" customHeight="1">
      <c r="A2462" s="70" t="str">
        <f t="shared" si="1"/>
        <v>Excluded</v>
      </c>
      <c r="B2462" s="70">
        <f t="shared" si="2"/>
        <v>0</v>
      </c>
      <c r="C2462" s="70">
        <v>0.0</v>
      </c>
      <c r="D2462" s="70">
        <v>0.0</v>
      </c>
      <c r="E2462" s="70">
        <v>0.0</v>
      </c>
      <c r="F2462" s="70">
        <v>0.0</v>
      </c>
      <c r="G2462" s="70">
        <v>0.0</v>
      </c>
      <c r="H2462" s="70" t="s">
        <v>17081</v>
      </c>
      <c r="I2462" s="70">
        <v>1874.0</v>
      </c>
      <c r="J2462" s="70" t="s">
        <v>17079</v>
      </c>
      <c r="K2462" s="70" t="s">
        <v>17080</v>
      </c>
      <c r="L2462" s="70" t="s">
        <v>16613</v>
      </c>
      <c r="N2462" s="70" t="s">
        <v>16614</v>
      </c>
      <c r="P2462" s="77">
        <v>44046.0</v>
      </c>
      <c r="U2462" s="70" t="s">
        <v>239</v>
      </c>
      <c r="W2462" s="70" t="s">
        <v>17083</v>
      </c>
      <c r="Y2462" s="70" t="s">
        <v>17084</v>
      </c>
      <c r="Z2462" s="75" t="s">
        <v>17085</v>
      </c>
      <c r="AA2462" s="70" t="s">
        <v>17086</v>
      </c>
      <c r="AC2462" s="70">
        <v>75.0</v>
      </c>
      <c r="AE2462" s="70">
        <v>40.0</v>
      </c>
      <c r="AF2462" s="70" t="s">
        <v>239</v>
      </c>
      <c r="AW2462" s="70" t="s">
        <v>17087</v>
      </c>
      <c r="AX2462" s="70">
        <v>0.0</v>
      </c>
      <c r="AY2462" s="70" t="s">
        <v>24</v>
      </c>
      <c r="AZ2462" s="70">
        <v>1756.0</v>
      </c>
    </row>
    <row r="2463" ht="22.5" customHeight="1">
      <c r="A2463" s="70" t="str">
        <f t="shared" si="1"/>
        <v>Excluded</v>
      </c>
      <c r="B2463" s="70">
        <f t="shared" si="2"/>
        <v>0</v>
      </c>
      <c r="C2463" s="70">
        <v>0.0</v>
      </c>
      <c r="D2463" s="70">
        <v>0.0</v>
      </c>
      <c r="E2463" s="70">
        <v>0.0</v>
      </c>
      <c r="F2463" s="70">
        <v>0.0</v>
      </c>
      <c r="G2463" s="70">
        <v>0.0</v>
      </c>
      <c r="H2463" s="70" t="s">
        <v>18432</v>
      </c>
      <c r="I2463" s="70">
        <v>2025.0</v>
      </c>
      <c r="J2463" s="70" t="s">
        <v>18430</v>
      </c>
      <c r="K2463" s="70" t="s">
        <v>18431</v>
      </c>
      <c r="L2463" s="70" t="s">
        <v>16613</v>
      </c>
      <c r="N2463" s="70" t="s">
        <v>16614</v>
      </c>
      <c r="P2463" s="76">
        <v>44306.0</v>
      </c>
      <c r="U2463" s="70" t="s">
        <v>239</v>
      </c>
      <c r="W2463" s="70" t="s">
        <v>31020</v>
      </c>
      <c r="Y2463" s="70" t="s">
        <v>31021</v>
      </c>
      <c r="Z2463" s="75" t="s">
        <v>18436</v>
      </c>
      <c r="AA2463" s="70" t="s">
        <v>18437</v>
      </c>
      <c r="AC2463" s="70">
        <v>21.0</v>
      </c>
      <c r="AE2463" s="70">
        <v>34.0</v>
      </c>
      <c r="AF2463" s="70" t="s">
        <v>239</v>
      </c>
      <c r="AW2463" s="70" t="s">
        <v>18438</v>
      </c>
      <c r="AX2463" s="70">
        <v>0.0</v>
      </c>
      <c r="AY2463" s="70" t="s">
        <v>24</v>
      </c>
      <c r="AZ2463" s="70">
        <v>1895.0</v>
      </c>
    </row>
    <row r="2464" ht="22.5" customHeight="1">
      <c r="A2464" s="70" t="str">
        <f t="shared" si="1"/>
        <v>Excluded</v>
      </c>
      <c r="B2464" s="70">
        <f t="shared" si="2"/>
        <v>0</v>
      </c>
      <c r="C2464" s="70">
        <v>0.0</v>
      </c>
      <c r="D2464" s="70">
        <v>0.0</v>
      </c>
      <c r="E2464" s="70">
        <v>0.0</v>
      </c>
      <c r="F2464" s="70">
        <v>0.0</v>
      </c>
      <c r="G2464" s="70">
        <v>0.0</v>
      </c>
      <c r="H2464" s="70" t="s">
        <v>19813</v>
      </c>
      <c r="I2464" s="70">
        <v>2180.0</v>
      </c>
      <c r="J2464" s="70" t="s">
        <v>19811</v>
      </c>
      <c r="K2464" s="70" t="s">
        <v>19812</v>
      </c>
      <c r="L2464" s="70" t="s">
        <v>16613</v>
      </c>
      <c r="N2464" s="70" t="s">
        <v>16614</v>
      </c>
      <c r="P2464" s="76">
        <v>44309.0</v>
      </c>
      <c r="U2464" s="70" t="s">
        <v>239</v>
      </c>
      <c r="W2464" s="70" t="s">
        <v>31022</v>
      </c>
      <c r="Y2464" s="70" t="s">
        <v>31023</v>
      </c>
      <c r="Z2464" s="75" t="s">
        <v>19817</v>
      </c>
      <c r="AC2464" s="70">
        <v>7.0</v>
      </c>
      <c r="AE2464" s="70">
        <v>48.0</v>
      </c>
      <c r="AF2464" s="70" t="s">
        <v>16423</v>
      </c>
      <c r="AW2464" s="70" t="s">
        <v>19818</v>
      </c>
      <c r="AX2464" s="70">
        <v>0.0</v>
      </c>
      <c r="AY2464" s="70" t="s">
        <v>24</v>
      </c>
      <c r="AZ2464" s="70">
        <v>2785.0</v>
      </c>
    </row>
    <row r="2465" ht="22.5" customHeight="1">
      <c r="A2465" s="70" t="str">
        <f t="shared" si="1"/>
        <v>Excluded</v>
      </c>
      <c r="B2465" s="70">
        <f t="shared" si="2"/>
        <v>0</v>
      </c>
      <c r="C2465" s="70">
        <v>0.0</v>
      </c>
      <c r="D2465" s="70">
        <v>0.0</v>
      </c>
      <c r="E2465" s="70">
        <v>0.0</v>
      </c>
      <c r="F2465" s="70">
        <v>0.0</v>
      </c>
      <c r="G2465" s="70">
        <v>0.0</v>
      </c>
      <c r="H2465" s="70" t="s">
        <v>18550</v>
      </c>
      <c r="I2465" s="70">
        <v>2038.0</v>
      </c>
      <c r="J2465" s="70" t="s">
        <v>18548</v>
      </c>
      <c r="K2465" s="70" t="s">
        <v>31024</v>
      </c>
      <c r="L2465" s="70" t="s">
        <v>16613</v>
      </c>
      <c r="N2465" s="70" t="s">
        <v>16614</v>
      </c>
      <c r="P2465" s="77">
        <v>44379.0</v>
      </c>
      <c r="U2465" s="70" t="s">
        <v>239</v>
      </c>
      <c r="W2465" s="70" t="s">
        <v>31025</v>
      </c>
      <c r="Y2465" s="70" t="s">
        <v>31026</v>
      </c>
      <c r="Z2465" s="75" t="s">
        <v>18554</v>
      </c>
      <c r="AA2465" s="70" t="s">
        <v>18555</v>
      </c>
      <c r="AC2465" s="70">
        <v>19.0</v>
      </c>
      <c r="AE2465" s="70">
        <v>46.0</v>
      </c>
      <c r="AF2465" s="70" t="s">
        <v>16423</v>
      </c>
      <c r="AW2465" s="70" t="s">
        <v>18556</v>
      </c>
      <c r="AX2465" s="70">
        <v>0.0</v>
      </c>
      <c r="AY2465" s="70" t="s">
        <v>24</v>
      </c>
      <c r="AZ2465" s="70">
        <v>1917.0</v>
      </c>
    </row>
    <row r="2466" ht="22.5" customHeight="1">
      <c r="A2466" s="70" t="str">
        <f t="shared" si="1"/>
        <v>Excluded</v>
      </c>
      <c r="B2466" s="70">
        <f t="shared" si="2"/>
        <v>0</v>
      </c>
      <c r="C2466" s="70">
        <v>0.0</v>
      </c>
      <c r="D2466" s="70">
        <v>0.0</v>
      </c>
      <c r="E2466" s="70">
        <v>0.0</v>
      </c>
      <c r="F2466" s="70">
        <v>0.0</v>
      </c>
      <c r="G2466" s="70">
        <v>0.0</v>
      </c>
      <c r="H2466" s="70" t="s">
        <v>27608</v>
      </c>
      <c r="I2466" s="70">
        <v>2980.0</v>
      </c>
      <c r="J2466" s="70" t="s">
        <v>27606</v>
      </c>
      <c r="K2466" s="70" t="s">
        <v>27607</v>
      </c>
      <c r="W2466" s="70" t="s">
        <v>31027</v>
      </c>
      <c r="AA2466" s="70" t="s">
        <v>27610</v>
      </c>
      <c r="AI2466" s="70" t="s">
        <v>27611</v>
      </c>
      <c r="AJ2466" s="70" t="s">
        <v>27612</v>
      </c>
      <c r="AK2466" s="70">
        <v>2022.0</v>
      </c>
      <c r="AL2466" s="70" t="s">
        <v>16613</v>
      </c>
      <c r="AN2466" s="70">
        <v>656.0</v>
      </c>
      <c r="AO2466" s="70">
        <v>668.0</v>
      </c>
      <c r="AP2466" s="70">
        <v>12.0</v>
      </c>
      <c r="AQ2466" s="70">
        <v>4.0</v>
      </c>
      <c r="AR2466" s="75" t="s">
        <v>27613</v>
      </c>
      <c r="AS2466" s="70" t="s">
        <v>22525</v>
      </c>
      <c r="AT2466" s="70" t="s">
        <v>22816</v>
      </c>
      <c r="AU2466" s="70" t="s">
        <v>237</v>
      </c>
      <c r="AV2466" s="70" t="s">
        <v>27614</v>
      </c>
      <c r="AW2466" s="70" t="s">
        <v>27615</v>
      </c>
      <c r="AX2466" s="70">
        <v>0.0</v>
      </c>
      <c r="AY2466" s="70" t="s">
        <v>24</v>
      </c>
      <c r="AZ2466" s="70">
        <v>3027.0</v>
      </c>
    </row>
    <row r="2467" ht="22.5" customHeight="1">
      <c r="A2467" s="70" t="str">
        <f t="shared" si="1"/>
        <v>Excluded</v>
      </c>
      <c r="B2467" s="70">
        <f t="shared" si="2"/>
        <v>0</v>
      </c>
      <c r="C2467" s="70">
        <v>0.0</v>
      </c>
      <c r="D2467" s="70">
        <v>0.0</v>
      </c>
      <c r="E2467" s="70">
        <v>0.0</v>
      </c>
      <c r="F2467" s="70">
        <v>0.0</v>
      </c>
      <c r="G2467" s="70">
        <v>0.0</v>
      </c>
      <c r="H2467" s="70" t="s">
        <v>20114</v>
      </c>
      <c r="I2467" s="70">
        <v>2214.0</v>
      </c>
      <c r="J2467" s="70" t="s">
        <v>31028</v>
      </c>
      <c r="K2467" s="70" t="s">
        <v>20113</v>
      </c>
      <c r="L2467" s="70" t="s">
        <v>16613</v>
      </c>
      <c r="N2467" s="70" t="s">
        <v>16614</v>
      </c>
      <c r="P2467" s="77">
        <v>44539.0</v>
      </c>
      <c r="U2467" s="70" t="s">
        <v>239</v>
      </c>
      <c r="W2467" s="70" t="s">
        <v>31029</v>
      </c>
      <c r="Z2467" s="75" t="s">
        <v>20117</v>
      </c>
      <c r="AA2467" s="70" t="s">
        <v>20118</v>
      </c>
      <c r="AC2467" s="70">
        <v>5.0</v>
      </c>
      <c r="AE2467" s="70">
        <v>53.0</v>
      </c>
      <c r="AF2467" s="70" t="s">
        <v>239</v>
      </c>
      <c r="AW2467" s="70" t="s">
        <v>20119</v>
      </c>
      <c r="AZ2467" s="70">
        <v>531.0</v>
      </c>
    </row>
    <row r="2468" ht="22.5" customHeight="1">
      <c r="A2468" s="70" t="str">
        <f t="shared" si="1"/>
        <v>Excluded</v>
      </c>
      <c r="B2468" s="70">
        <f t="shared" si="2"/>
        <v>0</v>
      </c>
      <c r="C2468" s="70">
        <v>0.0</v>
      </c>
      <c r="D2468" s="70">
        <v>0.0</v>
      </c>
      <c r="E2468" s="70">
        <v>0.0</v>
      </c>
      <c r="F2468" s="70">
        <v>0.0</v>
      </c>
      <c r="G2468" s="70">
        <v>0.0</v>
      </c>
      <c r="H2468" s="70" t="s">
        <v>20960</v>
      </c>
      <c r="I2468" s="70">
        <v>2308.0</v>
      </c>
      <c r="J2468" s="70" t="s">
        <v>20958</v>
      </c>
      <c r="K2468" s="70" t="s">
        <v>20959</v>
      </c>
      <c r="L2468" s="70" t="s">
        <v>16613</v>
      </c>
      <c r="N2468" s="70" t="s">
        <v>16614</v>
      </c>
      <c r="P2468" s="76">
        <v>44558.0</v>
      </c>
      <c r="U2468" s="70" t="s">
        <v>239</v>
      </c>
      <c r="W2468" s="70" t="s">
        <v>20962</v>
      </c>
      <c r="Y2468" s="70" t="s">
        <v>31030</v>
      </c>
      <c r="Z2468" s="75" t="s">
        <v>20964</v>
      </c>
      <c r="AA2468" s="70" t="s">
        <v>20965</v>
      </c>
      <c r="AC2468" s="70">
        <v>2.0</v>
      </c>
      <c r="AE2468" s="70">
        <v>60.0</v>
      </c>
      <c r="AF2468" s="70" t="s">
        <v>239</v>
      </c>
      <c r="AW2468" s="70" t="s">
        <v>20966</v>
      </c>
      <c r="AX2468" s="70">
        <v>0.0</v>
      </c>
      <c r="AY2468" s="70" t="s">
        <v>24</v>
      </c>
      <c r="AZ2468" s="70">
        <v>2316.0</v>
      </c>
    </row>
    <row r="2469" ht="22.5" customHeight="1">
      <c r="A2469" s="70" t="str">
        <f t="shared" si="1"/>
        <v>Excluded</v>
      </c>
      <c r="B2469" s="70">
        <f t="shared" si="2"/>
        <v>0</v>
      </c>
      <c r="C2469" s="70">
        <v>0.0</v>
      </c>
      <c r="D2469" s="70">
        <v>0.0</v>
      </c>
      <c r="E2469" s="70">
        <v>0.0</v>
      </c>
      <c r="F2469" s="70">
        <v>0.0</v>
      </c>
      <c r="G2469" s="70">
        <v>0.0</v>
      </c>
      <c r="H2469" s="70" t="s">
        <v>19060</v>
      </c>
      <c r="I2469" s="70">
        <v>2095.0</v>
      </c>
      <c r="J2469" s="70" t="s">
        <v>19058</v>
      </c>
      <c r="K2469" s="70" t="s">
        <v>19059</v>
      </c>
      <c r="L2469" s="70" t="s">
        <v>16613</v>
      </c>
      <c r="N2469" s="70" t="s">
        <v>16614</v>
      </c>
      <c r="P2469" s="76">
        <v>44574.0</v>
      </c>
      <c r="U2469" s="70" t="s">
        <v>239</v>
      </c>
      <c r="W2469" s="70" t="s">
        <v>31031</v>
      </c>
      <c r="Y2469" s="70" t="s">
        <v>31032</v>
      </c>
      <c r="Z2469" s="75" t="s">
        <v>19064</v>
      </c>
      <c r="AA2469" s="70" t="s">
        <v>19065</v>
      </c>
      <c r="AC2469" s="70">
        <v>13.0</v>
      </c>
      <c r="AE2469" s="70">
        <v>41.0</v>
      </c>
      <c r="AF2469" s="70" t="s">
        <v>239</v>
      </c>
      <c r="AW2469" s="70" t="s">
        <v>19066</v>
      </c>
      <c r="AX2469" s="70">
        <v>0.0</v>
      </c>
      <c r="AY2469" s="70" t="s">
        <v>24</v>
      </c>
      <c r="AZ2469" s="70">
        <v>2835.0</v>
      </c>
    </row>
    <row r="2470" ht="22.5" customHeight="1">
      <c r="A2470" s="70" t="str">
        <f t="shared" si="1"/>
        <v>Excluded</v>
      </c>
      <c r="B2470" s="70">
        <f t="shared" si="2"/>
        <v>0</v>
      </c>
      <c r="C2470" s="70">
        <v>0.0</v>
      </c>
      <c r="D2470" s="70">
        <v>0.0</v>
      </c>
      <c r="E2470" s="70">
        <v>0.0</v>
      </c>
      <c r="F2470" s="70">
        <v>0.0</v>
      </c>
      <c r="G2470" s="70">
        <v>0.0</v>
      </c>
      <c r="H2470" s="70" t="s">
        <v>20373</v>
      </c>
      <c r="I2470" s="70">
        <v>2243.0</v>
      </c>
      <c r="J2470" s="70" t="s">
        <v>20371</v>
      </c>
      <c r="K2470" s="70" t="s">
        <v>20372</v>
      </c>
      <c r="L2470" s="70" t="s">
        <v>16613</v>
      </c>
      <c r="N2470" s="70" t="s">
        <v>16614</v>
      </c>
      <c r="P2470" s="76">
        <v>44974.0</v>
      </c>
      <c r="U2470" s="70" t="s">
        <v>239</v>
      </c>
      <c r="W2470" s="70" t="s">
        <v>31033</v>
      </c>
      <c r="Z2470" s="75" t="s">
        <v>20376</v>
      </c>
      <c r="AA2470" s="70" t="s">
        <v>20377</v>
      </c>
      <c r="AC2470" s="70">
        <v>4.0</v>
      </c>
      <c r="AE2470" s="70">
        <v>56.0</v>
      </c>
      <c r="AF2470" s="70" t="s">
        <v>239</v>
      </c>
      <c r="AW2470" s="70" t="s">
        <v>20378</v>
      </c>
      <c r="AX2470" s="70">
        <v>0.0</v>
      </c>
      <c r="AY2470" s="70" t="s">
        <v>24</v>
      </c>
      <c r="AZ2470" s="70">
        <v>1784.0</v>
      </c>
    </row>
    <row r="2471" ht="22.5" customHeight="1">
      <c r="A2471" s="70" t="str">
        <f t="shared" si="1"/>
        <v>Excluded</v>
      </c>
      <c r="B2471" s="70">
        <f t="shared" si="2"/>
        <v>0</v>
      </c>
      <c r="C2471" s="70">
        <v>0.0</v>
      </c>
      <c r="D2471" s="70">
        <v>0.0</v>
      </c>
      <c r="E2471" s="70">
        <v>0.0</v>
      </c>
      <c r="F2471" s="70">
        <v>0.0</v>
      </c>
      <c r="G2471" s="70">
        <v>0.0</v>
      </c>
      <c r="H2471" s="70" t="s">
        <v>20053</v>
      </c>
      <c r="I2471" s="70">
        <v>2207.0</v>
      </c>
      <c r="J2471" s="70" t="s">
        <v>20051</v>
      </c>
      <c r="K2471" s="70" t="s">
        <v>20052</v>
      </c>
      <c r="L2471" s="70" t="s">
        <v>16613</v>
      </c>
      <c r="N2471" s="70" t="s">
        <v>16614</v>
      </c>
      <c r="P2471" s="76">
        <v>45198.0</v>
      </c>
      <c r="U2471" s="70" t="s">
        <v>239</v>
      </c>
      <c r="W2471" s="70" t="s">
        <v>20055</v>
      </c>
      <c r="Y2471" s="70" t="s">
        <v>31034</v>
      </c>
      <c r="Z2471" s="75" t="s">
        <v>20057</v>
      </c>
      <c r="AA2471" s="70" t="s">
        <v>20058</v>
      </c>
      <c r="AC2471" s="70">
        <v>6.0</v>
      </c>
      <c r="AE2471" s="70">
        <v>44.0</v>
      </c>
      <c r="AF2471" s="70" t="s">
        <v>239</v>
      </c>
      <c r="AW2471" s="70" t="s">
        <v>20059</v>
      </c>
      <c r="AZ2471" s="70">
        <v>633.0</v>
      </c>
    </row>
    <row r="2472" ht="22.5" customHeight="1">
      <c r="A2472" s="70" t="str">
        <f t="shared" si="1"/>
        <v>Excluded</v>
      </c>
      <c r="B2472" s="70">
        <f t="shared" si="2"/>
        <v>0</v>
      </c>
      <c r="C2472" s="70">
        <v>0.0</v>
      </c>
      <c r="D2472" s="70">
        <v>0.0</v>
      </c>
      <c r="E2472" s="70">
        <v>0.0</v>
      </c>
      <c r="F2472" s="70">
        <v>0.0</v>
      </c>
      <c r="G2472" s="70">
        <v>0.0</v>
      </c>
      <c r="H2472" s="70" t="s">
        <v>20766</v>
      </c>
      <c r="I2472" s="70">
        <v>2287.0</v>
      </c>
      <c r="J2472" s="70" t="s">
        <v>20764</v>
      </c>
      <c r="K2472" s="70" t="s">
        <v>31035</v>
      </c>
      <c r="L2472" s="70" t="s">
        <v>16613</v>
      </c>
      <c r="N2472" s="70" t="s">
        <v>16614</v>
      </c>
      <c r="P2472" s="76">
        <v>45243.0</v>
      </c>
      <c r="U2472" s="70" t="s">
        <v>239</v>
      </c>
      <c r="W2472" s="70" t="s">
        <v>20768</v>
      </c>
      <c r="Z2472" s="75" t="s">
        <v>20769</v>
      </c>
      <c r="AA2472" s="70" t="s">
        <v>20770</v>
      </c>
      <c r="AC2472" s="70">
        <v>3.0</v>
      </c>
      <c r="AE2472" s="70">
        <v>48.0</v>
      </c>
      <c r="AF2472" s="70" t="s">
        <v>239</v>
      </c>
      <c r="AW2472" s="70" t="s">
        <v>20771</v>
      </c>
      <c r="AX2472" s="70">
        <v>0.0</v>
      </c>
      <c r="AY2472" s="70" t="s">
        <v>24</v>
      </c>
      <c r="AZ2472" s="70">
        <v>2319.0</v>
      </c>
    </row>
    <row r="2473" ht="22.5" customHeight="1">
      <c r="A2473" s="70" t="str">
        <f t="shared" si="1"/>
        <v>Excluded</v>
      </c>
      <c r="B2473" s="70">
        <f t="shared" si="2"/>
        <v>0</v>
      </c>
      <c r="C2473" s="70">
        <v>0.0</v>
      </c>
      <c r="D2473" s="70">
        <v>0.0</v>
      </c>
      <c r="E2473" s="70">
        <v>0.0</v>
      </c>
      <c r="F2473" s="70">
        <v>0.0</v>
      </c>
      <c r="G2473" s="70">
        <v>0.0</v>
      </c>
      <c r="H2473" s="70" t="s">
        <v>20454</v>
      </c>
      <c r="I2473" s="70">
        <v>2252.0</v>
      </c>
      <c r="J2473" s="70" t="s">
        <v>20452</v>
      </c>
      <c r="K2473" s="70" t="s">
        <v>20453</v>
      </c>
      <c r="L2473" s="70" t="s">
        <v>16613</v>
      </c>
      <c r="N2473" s="70" t="s">
        <v>16614</v>
      </c>
      <c r="P2473" s="76">
        <v>45252.0</v>
      </c>
      <c r="U2473" s="70" t="s">
        <v>239</v>
      </c>
      <c r="W2473" s="70" t="s">
        <v>20456</v>
      </c>
      <c r="Y2473" s="70" t="s">
        <v>31036</v>
      </c>
      <c r="Z2473" s="75" t="s">
        <v>20458</v>
      </c>
      <c r="AA2473" s="70" t="s">
        <v>20459</v>
      </c>
      <c r="AC2473" s="70">
        <v>4.0</v>
      </c>
      <c r="AE2473" s="70">
        <v>45.0</v>
      </c>
      <c r="AF2473" s="70" t="s">
        <v>239</v>
      </c>
      <c r="AW2473" s="70" t="s">
        <v>20460</v>
      </c>
      <c r="AX2473" s="70">
        <v>0.0</v>
      </c>
      <c r="AY2473" s="70" t="s">
        <v>24</v>
      </c>
      <c r="AZ2473" s="70">
        <v>1958.0</v>
      </c>
    </row>
    <row r="2474" ht="22.5" customHeight="1">
      <c r="A2474" s="70" t="str">
        <f t="shared" si="1"/>
        <v>Excluded</v>
      </c>
      <c r="B2474" s="70">
        <f t="shared" si="2"/>
        <v>0</v>
      </c>
      <c r="C2474" s="70">
        <v>0.0</v>
      </c>
      <c r="D2474" s="70">
        <v>0.0</v>
      </c>
      <c r="E2474" s="70">
        <v>0.0</v>
      </c>
      <c r="F2474" s="70">
        <v>0.0</v>
      </c>
      <c r="G2474" s="70">
        <v>0.0</v>
      </c>
      <c r="H2474" s="70" t="s">
        <v>24527</v>
      </c>
      <c r="I2474" s="70">
        <v>2681.0</v>
      </c>
      <c r="J2474" s="70" t="s">
        <v>24525</v>
      </c>
      <c r="K2474" s="70" t="s">
        <v>24526</v>
      </c>
      <c r="W2474" s="70" t="s">
        <v>31037</v>
      </c>
      <c r="AA2474" s="70" t="s">
        <v>24529</v>
      </c>
      <c r="AI2474" s="70" t="s">
        <v>24530</v>
      </c>
      <c r="AJ2474" s="70" t="s">
        <v>24531</v>
      </c>
      <c r="AK2474" s="70">
        <v>2024.0</v>
      </c>
      <c r="AL2474" s="70" t="s">
        <v>16613</v>
      </c>
      <c r="AN2474" s="70">
        <v>1636.0</v>
      </c>
      <c r="AO2474" s="70">
        <v>1654.0</v>
      </c>
      <c r="AP2474" s="70">
        <v>18.0</v>
      </c>
      <c r="AQ2474" s="70">
        <v>0.0</v>
      </c>
      <c r="AR2474" s="75" t="s">
        <v>24532</v>
      </c>
      <c r="AS2474" s="70" t="s">
        <v>22525</v>
      </c>
      <c r="AT2474" s="70" t="s">
        <v>23606</v>
      </c>
      <c r="AU2474" s="70" t="s">
        <v>237</v>
      </c>
      <c r="AV2474" s="70" t="s">
        <v>24533</v>
      </c>
      <c r="AW2474" s="70" t="s">
        <v>24534</v>
      </c>
      <c r="AX2474" s="70">
        <v>0.0</v>
      </c>
      <c r="AY2474" s="70" t="s">
        <v>24</v>
      </c>
      <c r="AZ2474" s="70">
        <v>2086.0</v>
      </c>
    </row>
    <row r="2475" ht="22.5" customHeight="1">
      <c r="A2475" s="70" t="str">
        <f t="shared" si="1"/>
        <v>Excluded</v>
      </c>
      <c r="B2475" s="70">
        <f t="shared" si="2"/>
        <v>0</v>
      </c>
      <c r="C2475" s="70">
        <v>0.0</v>
      </c>
      <c r="D2475" s="70">
        <v>0.0</v>
      </c>
      <c r="E2475" s="70">
        <v>0.0</v>
      </c>
      <c r="F2475" s="70">
        <v>0.0</v>
      </c>
      <c r="G2475" s="70">
        <v>0.0</v>
      </c>
      <c r="H2475" s="70" t="s">
        <v>21030</v>
      </c>
      <c r="I2475" s="70">
        <v>2316.0</v>
      </c>
      <c r="J2475" s="70" t="s">
        <v>21028</v>
      </c>
      <c r="K2475" s="70" t="s">
        <v>21029</v>
      </c>
      <c r="L2475" s="70" t="s">
        <v>16613</v>
      </c>
      <c r="N2475" s="70" t="s">
        <v>16614</v>
      </c>
      <c r="P2475" s="76">
        <v>45307.0</v>
      </c>
      <c r="U2475" s="70" t="s">
        <v>239</v>
      </c>
      <c r="W2475" s="70" t="s">
        <v>21032</v>
      </c>
      <c r="Z2475" s="75" t="s">
        <v>21033</v>
      </c>
      <c r="AA2475" s="70" t="s">
        <v>21034</v>
      </c>
      <c r="AC2475" s="70">
        <v>2.0</v>
      </c>
      <c r="AE2475" s="70">
        <v>34.0</v>
      </c>
      <c r="AF2475" s="70" t="s">
        <v>239</v>
      </c>
      <c r="AW2475" s="70" t="s">
        <v>21035</v>
      </c>
      <c r="AX2475" s="70">
        <v>0.0</v>
      </c>
      <c r="AY2475" s="70" t="s">
        <v>24</v>
      </c>
      <c r="AZ2475" s="70">
        <v>1733.0</v>
      </c>
    </row>
    <row r="2476" ht="22.5" customHeight="1">
      <c r="A2476" s="70" t="str">
        <f t="shared" si="1"/>
        <v>Excluded</v>
      </c>
      <c r="B2476" s="70">
        <f t="shared" si="2"/>
        <v>0</v>
      </c>
      <c r="C2476" s="70">
        <v>0.0</v>
      </c>
      <c r="D2476" s="70">
        <v>0.0</v>
      </c>
      <c r="E2476" s="70">
        <v>0.0</v>
      </c>
      <c r="F2476" s="70">
        <v>0.0</v>
      </c>
      <c r="G2476" s="70">
        <v>0.0</v>
      </c>
      <c r="H2476" s="70" t="s">
        <v>21156</v>
      </c>
      <c r="I2476" s="70">
        <v>2330.0</v>
      </c>
      <c r="J2476" s="70" t="s">
        <v>21154</v>
      </c>
      <c r="K2476" s="70" t="s">
        <v>21155</v>
      </c>
      <c r="L2476" s="70" t="s">
        <v>16613</v>
      </c>
      <c r="N2476" s="70" t="s">
        <v>16614</v>
      </c>
      <c r="P2476" s="76">
        <v>45411.0</v>
      </c>
      <c r="U2476" s="70" t="s">
        <v>239</v>
      </c>
      <c r="W2476" s="70" t="s">
        <v>21158</v>
      </c>
      <c r="Y2476" s="70" t="s">
        <v>21159</v>
      </c>
      <c r="Z2476" s="75" t="s">
        <v>21160</v>
      </c>
      <c r="AA2476" s="70" t="s">
        <v>21161</v>
      </c>
      <c r="AC2476" s="70">
        <v>2.0</v>
      </c>
      <c r="AE2476" s="70">
        <v>60.0</v>
      </c>
      <c r="AF2476" s="70" t="s">
        <v>239</v>
      </c>
      <c r="AW2476" s="70" t="s">
        <v>21162</v>
      </c>
      <c r="AX2476" s="70">
        <v>0.0</v>
      </c>
      <c r="AY2476" s="70" t="s">
        <v>24</v>
      </c>
      <c r="AZ2476" s="70">
        <v>2044.0</v>
      </c>
    </row>
    <row r="2477" ht="22.5" customHeight="1">
      <c r="A2477" s="70" t="str">
        <f t="shared" si="1"/>
        <v>Excluded</v>
      </c>
      <c r="B2477" s="70">
        <f t="shared" si="2"/>
        <v>0</v>
      </c>
      <c r="C2477" s="70">
        <v>0.0</v>
      </c>
      <c r="D2477" s="70">
        <v>0.0</v>
      </c>
      <c r="E2477" s="70">
        <v>0.0</v>
      </c>
      <c r="F2477" s="70">
        <v>0.0</v>
      </c>
      <c r="G2477" s="70">
        <v>0.0</v>
      </c>
      <c r="H2477" s="70" t="s">
        <v>20812</v>
      </c>
      <c r="I2477" s="70">
        <v>2292.0</v>
      </c>
      <c r="J2477" s="70" t="s">
        <v>20810</v>
      </c>
      <c r="K2477" s="70" t="s">
        <v>20811</v>
      </c>
      <c r="L2477" s="70" t="s">
        <v>16613</v>
      </c>
      <c r="N2477" s="70" t="s">
        <v>16614</v>
      </c>
      <c r="P2477" s="78">
        <v>45422.0</v>
      </c>
      <c r="U2477" s="70" t="s">
        <v>239</v>
      </c>
      <c r="W2477" s="70" t="s">
        <v>20814</v>
      </c>
      <c r="Y2477" s="70" t="s">
        <v>20815</v>
      </c>
      <c r="Z2477" s="75" t="s">
        <v>20816</v>
      </c>
      <c r="AA2477" s="70" t="s">
        <v>20817</v>
      </c>
      <c r="AC2477" s="70">
        <v>3.0</v>
      </c>
      <c r="AE2477" s="70">
        <v>48.0</v>
      </c>
      <c r="AF2477" s="70" t="s">
        <v>239</v>
      </c>
      <c r="AW2477" s="70" t="s">
        <v>20818</v>
      </c>
      <c r="AX2477" s="70">
        <v>0.0</v>
      </c>
      <c r="AY2477" s="70" t="s">
        <v>24</v>
      </c>
      <c r="AZ2477" s="70">
        <v>1678.0</v>
      </c>
    </row>
    <row r="2478" ht="22.5" customHeight="1">
      <c r="A2478" s="70" t="str">
        <f t="shared" si="1"/>
        <v>Excluded</v>
      </c>
      <c r="B2478" s="70">
        <f t="shared" si="2"/>
        <v>0</v>
      </c>
      <c r="C2478" s="70">
        <v>0.0</v>
      </c>
      <c r="D2478" s="70">
        <v>0.0</v>
      </c>
      <c r="E2478" s="70">
        <v>0.0</v>
      </c>
      <c r="F2478" s="70">
        <v>0.0</v>
      </c>
      <c r="G2478" s="70">
        <v>0.0</v>
      </c>
      <c r="H2478" s="70" t="s">
        <v>21266</v>
      </c>
      <c r="I2478" s="70">
        <v>2342.0</v>
      </c>
      <c r="J2478" s="70" t="s">
        <v>21264</v>
      </c>
      <c r="K2478" s="70" t="s">
        <v>21265</v>
      </c>
      <c r="L2478" s="70" t="s">
        <v>16613</v>
      </c>
      <c r="N2478" s="70" t="s">
        <v>16614</v>
      </c>
      <c r="P2478" s="76">
        <v>45464.0</v>
      </c>
      <c r="U2478" s="70" t="s">
        <v>239</v>
      </c>
      <c r="W2478" s="70" t="s">
        <v>21268</v>
      </c>
      <c r="Y2478" s="70" t="s">
        <v>21269</v>
      </c>
      <c r="Z2478" s="75" t="s">
        <v>21270</v>
      </c>
      <c r="AA2478" s="70" t="s">
        <v>21271</v>
      </c>
      <c r="AC2478" s="70">
        <v>1.0</v>
      </c>
      <c r="AE2478" s="70">
        <v>35.0</v>
      </c>
      <c r="AF2478" s="70" t="s">
        <v>239</v>
      </c>
      <c r="AW2478" s="70" t="s">
        <v>21272</v>
      </c>
      <c r="AX2478" s="70">
        <v>0.0</v>
      </c>
      <c r="AY2478" s="70" t="s">
        <v>24</v>
      </c>
      <c r="AZ2478" s="70">
        <v>2062.0</v>
      </c>
    </row>
    <row r="2479" ht="22.5" customHeight="1">
      <c r="A2479" s="70" t="str">
        <f t="shared" si="1"/>
        <v>Excluded</v>
      </c>
      <c r="B2479" s="70">
        <f t="shared" si="2"/>
        <v>0</v>
      </c>
      <c r="C2479" s="70">
        <v>0.0</v>
      </c>
      <c r="D2479" s="70">
        <v>0.0</v>
      </c>
      <c r="E2479" s="70">
        <v>0.0</v>
      </c>
      <c r="F2479" s="70">
        <v>0.0</v>
      </c>
      <c r="G2479" s="70">
        <v>0.0</v>
      </c>
      <c r="H2479" s="70" t="s">
        <v>21768</v>
      </c>
      <c r="I2479" s="70">
        <v>2400.0</v>
      </c>
      <c r="J2479" s="70" t="s">
        <v>21766</v>
      </c>
      <c r="K2479" s="70" t="s">
        <v>21767</v>
      </c>
      <c r="L2479" s="70" t="s">
        <v>16613</v>
      </c>
      <c r="N2479" s="70" t="s">
        <v>16614</v>
      </c>
      <c r="P2479" s="76">
        <v>45498.0</v>
      </c>
      <c r="U2479" s="70" t="s">
        <v>239</v>
      </c>
      <c r="W2479" s="70" t="s">
        <v>21770</v>
      </c>
      <c r="Y2479" s="70" t="s">
        <v>31038</v>
      </c>
      <c r="Z2479" s="75" t="s">
        <v>21772</v>
      </c>
      <c r="AA2479" s="70" t="s">
        <v>21773</v>
      </c>
      <c r="AE2479" s="70">
        <v>52.0</v>
      </c>
      <c r="AF2479" s="70" t="s">
        <v>239</v>
      </c>
      <c r="AW2479" s="70" t="s">
        <v>21774</v>
      </c>
      <c r="AZ2479" s="70">
        <v>1208.0</v>
      </c>
    </row>
    <row r="2480" ht="22.5" customHeight="1">
      <c r="A2480" s="70" t="str">
        <f t="shared" si="1"/>
        <v>Excluded</v>
      </c>
      <c r="B2480" s="70">
        <f t="shared" si="2"/>
        <v>0</v>
      </c>
      <c r="C2480" s="70">
        <v>0.0</v>
      </c>
      <c r="D2480" s="70">
        <v>0.0</v>
      </c>
      <c r="E2480" s="70">
        <v>0.0</v>
      </c>
      <c r="F2480" s="70">
        <v>0.0</v>
      </c>
      <c r="G2480" s="70">
        <v>0.0</v>
      </c>
      <c r="H2480" s="70" t="s">
        <v>21814</v>
      </c>
      <c r="I2480" s="70">
        <v>2405.0</v>
      </c>
      <c r="J2480" s="70" t="s">
        <v>21812</v>
      </c>
      <c r="K2480" s="70" t="s">
        <v>21813</v>
      </c>
      <c r="L2480" s="70" t="s">
        <v>16613</v>
      </c>
      <c r="N2480" s="70" t="s">
        <v>16614</v>
      </c>
      <c r="P2480" s="76">
        <v>45532.0</v>
      </c>
      <c r="U2480" s="70" t="s">
        <v>239</v>
      </c>
      <c r="W2480" s="70" t="s">
        <v>31039</v>
      </c>
      <c r="Y2480" s="70" t="s">
        <v>31040</v>
      </c>
      <c r="Z2480" s="75" t="s">
        <v>21818</v>
      </c>
      <c r="AA2480" s="70" t="s">
        <v>21819</v>
      </c>
      <c r="AE2480" s="70">
        <v>45.0</v>
      </c>
      <c r="AF2480" s="70" t="s">
        <v>239</v>
      </c>
      <c r="AW2480" s="70" t="s">
        <v>21820</v>
      </c>
      <c r="AX2480" s="70">
        <v>0.0</v>
      </c>
      <c r="AY2480" s="70" t="s">
        <v>24</v>
      </c>
      <c r="AZ2480" s="70">
        <v>2576.0</v>
      </c>
    </row>
    <row r="2481" ht="22.5" customHeight="1">
      <c r="A2481" s="70" t="str">
        <f t="shared" si="1"/>
        <v>Excluded</v>
      </c>
      <c r="B2481" s="70">
        <f t="shared" si="2"/>
        <v>0</v>
      </c>
      <c r="C2481" s="70">
        <v>0.0</v>
      </c>
      <c r="D2481" s="70">
        <v>0.0</v>
      </c>
      <c r="E2481" s="70">
        <v>0.0</v>
      </c>
      <c r="F2481" s="70">
        <v>0.0</v>
      </c>
      <c r="G2481" s="70">
        <v>0.0</v>
      </c>
      <c r="H2481" s="70" t="s">
        <v>21541</v>
      </c>
      <c r="I2481" s="70">
        <v>2374.0</v>
      </c>
      <c r="J2481" s="70" t="s">
        <v>21539</v>
      </c>
      <c r="K2481" s="70" t="s">
        <v>21540</v>
      </c>
      <c r="L2481" s="70" t="s">
        <v>16613</v>
      </c>
      <c r="N2481" s="70" t="s">
        <v>16614</v>
      </c>
      <c r="P2481" s="76">
        <v>45579.0</v>
      </c>
      <c r="U2481" s="70" t="s">
        <v>239</v>
      </c>
      <c r="W2481" s="70" t="s">
        <v>21543</v>
      </c>
      <c r="Y2481" s="70" t="s">
        <v>21544</v>
      </c>
      <c r="Z2481" s="75" t="s">
        <v>21545</v>
      </c>
      <c r="AA2481" s="70" t="s">
        <v>21546</v>
      </c>
      <c r="AC2481" s="70">
        <v>1.0</v>
      </c>
      <c r="AE2481" s="70">
        <v>49.0</v>
      </c>
      <c r="AF2481" s="70" t="s">
        <v>239</v>
      </c>
      <c r="AW2481" s="70" t="s">
        <v>21547</v>
      </c>
      <c r="AX2481" s="70">
        <v>0.0</v>
      </c>
      <c r="AY2481" s="70" t="s">
        <v>24</v>
      </c>
      <c r="AZ2481" s="70">
        <v>1978.0</v>
      </c>
    </row>
    <row r="2482" ht="22.5" customHeight="1">
      <c r="A2482" s="70" t="str">
        <f t="shared" si="1"/>
        <v>Excluded</v>
      </c>
      <c r="B2482" s="70">
        <f t="shared" si="2"/>
        <v>0</v>
      </c>
      <c r="C2482" s="70">
        <v>0.0</v>
      </c>
      <c r="D2482" s="70">
        <v>0.0</v>
      </c>
      <c r="E2482" s="70">
        <v>0.0</v>
      </c>
      <c r="F2482" s="70">
        <v>0.0</v>
      </c>
      <c r="G2482" s="70">
        <v>0.0</v>
      </c>
      <c r="H2482" s="70" t="s">
        <v>21948</v>
      </c>
      <c r="I2482" s="70">
        <v>2420.0</v>
      </c>
      <c r="J2482" s="70" t="s">
        <v>21946</v>
      </c>
      <c r="K2482" s="70" t="s">
        <v>21947</v>
      </c>
      <c r="L2482" s="70" t="s">
        <v>16613</v>
      </c>
      <c r="N2482" s="70" t="s">
        <v>16614</v>
      </c>
      <c r="P2482" s="76">
        <v>45617.0</v>
      </c>
      <c r="U2482" s="70" t="s">
        <v>239</v>
      </c>
      <c r="W2482" s="70" t="s">
        <v>21950</v>
      </c>
      <c r="Y2482" s="70" t="s">
        <v>21951</v>
      </c>
      <c r="Z2482" s="75" t="s">
        <v>21952</v>
      </c>
      <c r="AA2482" s="70" t="s">
        <v>21953</v>
      </c>
      <c r="AE2482" s="70">
        <v>53.0</v>
      </c>
      <c r="AF2482" s="70" t="s">
        <v>239</v>
      </c>
      <c r="AW2482" s="70" t="s">
        <v>21954</v>
      </c>
      <c r="AX2482" s="70">
        <v>0.0</v>
      </c>
      <c r="AY2482" s="70" t="s">
        <v>24</v>
      </c>
      <c r="AZ2482" s="70">
        <v>2201.0</v>
      </c>
    </row>
    <row r="2483" ht="22.5" customHeight="1">
      <c r="A2483" s="70" t="str">
        <f t="shared" si="1"/>
        <v>Excluded</v>
      </c>
      <c r="B2483" s="70">
        <f t="shared" si="2"/>
        <v>0</v>
      </c>
      <c r="C2483" s="70">
        <v>0.0</v>
      </c>
      <c r="D2483" s="70">
        <v>0.0</v>
      </c>
      <c r="E2483" s="70">
        <v>0.0</v>
      </c>
      <c r="F2483" s="70">
        <v>0.0</v>
      </c>
      <c r="G2483" s="70">
        <v>0.0</v>
      </c>
      <c r="H2483" s="70" t="s">
        <v>28537</v>
      </c>
      <c r="I2483" s="70">
        <v>3071.0</v>
      </c>
      <c r="J2483" s="70" t="s">
        <v>28535</v>
      </c>
      <c r="K2483" s="70" t="s">
        <v>28536</v>
      </c>
      <c r="W2483" s="70" t="s">
        <v>31041</v>
      </c>
      <c r="AA2483" s="70" t="s">
        <v>28539</v>
      </c>
      <c r="AI2483" s="70" t="s">
        <v>28540</v>
      </c>
      <c r="AJ2483" s="70" t="s">
        <v>28541</v>
      </c>
      <c r="AK2483" s="70">
        <v>2021.0</v>
      </c>
      <c r="AL2483" s="70" t="s">
        <v>22316</v>
      </c>
      <c r="AM2483" s="70">
        <v>8686152.0</v>
      </c>
      <c r="AN2483" s="70">
        <v>987.0</v>
      </c>
      <c r="AO2483" s="70">
        <v>1007.0</v>
      </c>
      <c r="AP2483" s="70">
        <v>20.0</v>
      </c>
      <c r="AQ2483" s="70">
        <v>73.0</v>
      </c>
      <c r="AR2483" s="75" t="s">
        <v>28542</v>
      </c>
      <c r="AS2483" s="70" t="s">
        <v>22525</v>
      </c>
      <c r="AT2483" s="70" t="s">
        <v>22656</v>
      </c>
      <c r="AU2483" s="70" t="s">
        <v>237</v>
      </c>
      <c r="AV2483" s="70" t="s">
        <v>28543</v>
      </c>
      <c r="AW2483" s="70" t="s">
        <v>28544</v>
      </c>
      <c r="AX2483" s="70">
        <v>0.0</v>
      </c>
      <c r="AY2483" s="70" t="s">
        <v>24</v>
      </c>
      <c r="AZ2483" s="70">
        <v>2725.0</v>
      </c>
    </row>
    <row r="2484" ht="22.5" customHeight="1">
      <c r="A2484" s="70" t="str">
        <f t="shared" si="1"/>
        <v>Excluded</v>
      </c>
      <c r="B2484" s="70">
        <f t="shared" si="2"/>
        <v>0</v>
      </c>
      <c r="C2484" s="70">
        <v>0.0</v>
      </c>
      <c r="D2484" s="70">
        <v>0.0</v>
      </c>
      <c r="E2484" s="70">
        <v>0.0</v>
      </c>
      <c r="F2484" s="70">
        <v>0.0</v>
      </c>
      <c r="G2484" s="70">
        <v>0.0</v>
      </c>
      <c r="H2484" s="70" t="s">
        <v>22409</v>
      </c>
      <c r="I2484" s="70">
        <v>2472.0</v>
      </c>
      <c r="J2484" s="70" t="s">
        <v>22407</v>
      </c>
      <c r="K2484" s="70" t="s">
        <v>22408</v>
      </c>
      <c r="L2484" s="70" t="s">
        <v>22316</v>
      </c>
      <c r="N2484" s="70" t="s">
        <v>22317</v>
      </c>
      <c r="P2484" s="78">
        <v>45433.0</v>
      </c>
      <c r="U2484" s="70" t="s">
        <v>239</v>
      </c>
      <c r="W2484" s="70" t="s">
        <v>22411</v>
      </c>
      <c r="Z2484" s="75" t="s">
        <v>22412</v>
      </c>
      <c r="AA2484" s="70" t="s">
        <v>22413</v>
      </c>
      <c r="AE2484" s="70">
        <v>76.0</v>
      </c>
      <c r="AF2484" s="70" t="s">
        <v>239</v>
      </c>
      <c r="AW2484" s="70" t="s">
        <v>22414</v>
      </c>
      <c r="AZ2484" s="70">
        <v>343.0</v>
      </c>
    </row>
    <row r="2485" ht="22.5" customHeight="1">
      <c r="A2485" s="70" t="str">
        <f t="shared" si="1"/>
        <v>Excluded</v>
      </c>
      <c r="B2485" s="70">
        <f t="shared" si="2"/>
        <v>0</v>
      </c>
      <c r="C2485" s="70">
        <v>0.0</v>
      </c>
      <c r="D2485" s="70">
        <v>0.0</v>
      </c>
      <c r="E2485" s="70">
        <v>0.0</v>
      </c>
      <c r="F2485" s="70">
        <v>0.0</v>
      </c>
      <c r="G2485" s="70">
        <v>0.0</v>
      </c>
      <c r="H2485" s="70" t="s">
        <v>22318</v>
      </c>
      <c r="I2485" s="70">
        <v>2462.0</v>
      </c>
      <c r="J2485" s="70" t="s">
        <v>31042</v>
      </c>
      <c r="K2485" s="70" t="s">
        <v>22315</v>
      </c>
      <c r="L2485" s="70" t="s">
        <v>22316</v>
      </c>
      <c r="N2485" s="70" t="s">
        <v>22317</v>
      </c>
      <c r="P2485" s="77">
        <v>45505.0</v>
      </c>
      <c r="U2485" s="70" t="s">
        <v>239</v>
      </c>
      <c r="W2485" s="70" t="s">
        <v>31043</v>
      </c>
      <c r="Y2485" s="70" t="s">
        <v>31044</v>
      </c>
      <c r="Z2485" s="75" t="s">
        <v>22322</v>
      </c>
      <c r="AA2485" s="70" t="s">
        <v>22323</v>
      </c>
      <c r="AE2485" s="70">
        <v>67.0</v>
      </c>
      <c r="AF2485" s="70" t="s">
        <v>239</v>
      </c>
      <c r="AW2485" s="70" t="s">
        <v>22324</v>
      </c>
      <c r="AX2485" s="70">
        <v>0.0</v>
      </c>
      <c r="AY2485" s="70" t="s">
        <v>24</v>
      </c>
      <c r="AZ2485" s="70">
        <v>1877.0</v>
      </c>
    </row>
    <row r="2486" ht="22.5" customHeight="1">
      <c r="A2486" s="70" t="str">
        <f t="shared" si="1"/>
        <v>Excluded</v>
      </c>
      <c r="B2486" s="70">
        <f t="shared" si="2"/>
        <v>0</v>
      </c>
      <c r="C2486" s="70">
        <v>0.0</v>
      </c>
      <c r="D2486" s="70">
        <v>0.0</v>
      </c>
      <c r="E2486" s="70">
        <v>0.0</v>
      </c>
      <c r="F2486" s="70">
        <v>0.0</v>
      </c>
      <c r="G2486" s="70">
        <v>0.0</v>
      </c>
      <c r="H2486" s="70" t="s">
        <v>17092</v>
      </c>
      <c r="I2486" s="70">
        <v>1875.0</v>
      </c>
      <c r="J2486" s="70" t="s">
        <v>17088</v>
      </c>
      <c r="K2486" s="70" t="s">
        <v>17089</v>
      </c>
      <c r="L2486" s="70" t="s">
        <v>17090</v>
      </c>
      <c r="N2486" s="70" t="s">
        <v>17091</v>
      </c>
      <c r="P2486" s="76">
        <v>43203.0</v>
      </c>
      <c r="U2486" s="70" t="s">
        <v>239</v>
      </c>
      <c r="W2486" s="70" t="s">
        <v>17094</v>
      </c>
      <c r="Y2486" s="70" t="s">
        <v>31045</v>
      </c>
      <c r="Z2486" s="75" t="s">
        <v>17096</v>
      </c>
      <c r="AA2486" s="70" t="s">
        <v>17097</v>
      </c>
      <c r="AC2486" s="70">
        <v>75.0</v>
      </c>
      <c r="AE2486" s="70">
        <v>33.0</v>
      </c>
      <c r="AF2486" s="70" t="s">
        <v>239</v>
      </c>
      <c r="AW2486" s="70" t="s">
        <v>17098</v>
      </c>
      <c r="AZ2486" s="70">
        <v>203.0</v>
      </c>
    </row>
    <row r="2487" ht="22.5" customHeight="1">
      <c r="A2487" s="70" t="str">
        <f t="shared" si="1"/>
        <v>Excluded</v>
      </c>
      <c r="B2487" s="70">
        <f t="shared" si="2"/>
        <v>0</v>
      </c>
      <c r="C2487" s="70">
        <v>0.0</v>
      </c>
      <c r="D2487" s="70">
        <v>0.0</v>
      </c>
      <c r="E2487" s="70">
        <v>0.0</v>
      </c>
      <c r="F2487" s="70">
        <v>0.0</v>
      </c>
      <c r="G2487" s="70">
        <v>0.0</v>
      </c>
      <c r="H2487" s="70" t="s">
        <v>10308</v>
      </c>
      <c r="I2487" s="70">
        <v>1013.0</v>
      </c>
      <c r="J2487" s="70" t="s">
        <v>31046</v>
      </c>
      <c r="K2487" s="70" t="s">
        <v>10306</v>
      </c>
      <c r="L2487" s="70" t="s">
        <v>10307</v>
      </c>
      <c r="P2487" s="76">
        <v>43335.0</v>
      </c>
      <c r="U2487" s="70" t="s">
        <v>239</v>
      </c>
      <c r="W2487" s="70" t="s">
        <v>10310</v>
      </c>
      <c r="X2487" s="70" t="s">
        <v>10311</v>
      </c>
      <c r="Z2487" s="75" t="s">
        <v>10312</v>
      </c>
      <c r="AA2487" s="70" t="s">
        <v>10313</v>
      </c>
      <c r="AE2487" s="70">
        <v>20.0</v>
      </c>
      <c r="AF2487" s="70" t="s">
        <v>239</v>
      </c>
      <c r="AW2487" s="70" t="s">
        <v>10314</v>
      </c>
      <c r="AX2487" s="70">
        <v>0.0</v>
      </c>
      <c r="AY2487" s="70" t="s">
        <v>24</v>
      </c>
      <c r="AZ2487" s="70">
        <v>3121.0</v>
      </c>
    </row>
    <row r="2488" ht="22.5" customHeight="1">
      <c r="A2488" s="70" t="str">
        <f t="shared" si="1"/>
        <v>Excluded</v>
      </c>
      <c r="B2488" s="70">
        <f t="shared" si="2"/>
        <v>0</v>
      </c>
      <c r="C2488" s="70">
        <v>0.0</v>
      </c>
      <c r="D2488" s="70">
        <v>0.0</v>
      </c>
      <c r="E2488" s="70">
        <v>0.0</v>
      </c>
      <c r="F2488" s="70">
        <v>0.0</v>
      </c>
      <c r="G2488" s="70">
        <v>0.0</v>
      </c>
      <c r="H2488" s="70" t="s">
        <v>6658</v>
      </c>
      <c r="I2488" s="70">
        <v>633.0</v>
      </c>
      <c r="J2488" s="70" t="s">
        <v>31047</v>
      </c>
      <c r="K2488" s="70" t="s">
        <v>6656</v>
      </c>
      <c r="L2488" s="70" t="s">
        <v>6657</v>
      </c>
      <c r="P2488" s="76">
        <v>43671.0</v>
      </c>
      <c r="U2488" s="70" t="s">
        <v>239</v>
      </c>
      <c r="W2488" s="70" t="s">
        <v>6660</v>
      </c>
      <c r="X2488" s="70" t="s">
        <v>6661</v>
      </c>
      <c r="Z2488" s="75" t="s">
        <v>6662</v>
      </c>
      <c r="AA2488" s="70" t="s">
        <v>6663</v>
      </c>
      <c r="AC2488" s="70">
        <v>6.0</v>
      </c>
      <c r="AE2488" s="70">
        <v>18.0</v>
      </c>
      <c r="AF2488" s="70" t="s">
        <v>239</v>
      </c>
      <c r="AW2488" s="70" t="s">
        <v>6664</v>
      </c>
      <c r="AZ2488" s="70">
        <v>721.0</v>
      </c>
    </row>
    <row r="2489" ht="22.5" customHeight="1">
      <c r="A2489" s="70" t="str">
        <f t="shared" si="1"/>
        <v>Excluded</v>
      </c>
      <c r="B2489" s="70">
        <f t="shared" si="2"/>
        <v>0</v>
      </c>
      <c r="C2489" s="70">
        <v>0.0</v>
      </c>
      <c r="D2489" s="70">
        <v>0.0</v>
      </c>
      <c r="E2489" s="70">
        <v>0.0</v>
      </c>
      <c r="F2489" s="70">
        <v>0.0</v>
      </c>
      <c r="G2489" s="70">
        <v>0.0</v>
      </c>
      <c r="H2489" s="70" t="s">
        <v>11382</v>
      </c>
      <c r="I2489" s="70">
        <v>1193.0</v>
      </c>
      <c r="J2489" s="70" t="s">
        <v>11379</v>
      </c>
      <c r="K2489" s="70" t="s">
        <v>11380</v>
      </c>
      <c r="L2489" s="70" t="s">
        <v>11381</v>
      </c>
      <c r="P2489" s="76">
        <v>45285.0</v>
      </c>
      <c r="U2489" s="70" t="s">
        <v>239</v>
      </c>
      <c r="W2489" s="70" t="s">
        <v>11384</v>
      </c>
      <c r="X2489" s="70" t="s">
        <v>11385</v>
      </c>
      <c r="Z2489" s="75" t="s">
        <v>11386</v>
      </c>
      <c r="AA2489" s="70" t="s">
        <v>11387</v>
      </c>
      <c r="AC2489" s="70">
        <v>3.0</v>
      </c>
      <c r="AE2489" s="70">
        <v>26.0</v>
      </c>
      <c r="AF2489" s="70" t="s">
        <v>239</v>
      </c>
      <c r="AW2489" s="70" t="s">
        <v>11388</v>
      </c>
      <c r="AZ2489" s="70">
        <v>273.0</v>
      </c>
    </row>
    <row r="2490" ht="22.5" customHeight="1">
      <c r="A2490" s="70" t="str">
        <f t="shared" si="1"/>
        <v>Excluded</v>
      </c>
      <c r="B2490" s="70">
        <f t="shared" si="2"/>
        <v>0</v>
      </c>
      <c r="C2490" s="70">
        <v>0.0</v>
      </c>
      <c r="D2490" s="70">
        <v>0.0</v>
      </c>
      <c r="E2490" s="70">
        <v>0.0</v>
      </c>
      <c r="F2490" s="70">
        <v>0.0</v>
      </c>
      <c r="G2490" s="70">
        <v>0.0</v>
      </c>
      <c r="H2490" s="70" t="s">
        <v>20078</v>
      </c>
      <c r="I2490" s="70">
        <v>2210.0</v>
      </c>
      <c r="J2490" s="70" t="s">
        <v>20076</v>
      </c>
      <c r="K2490" s="70" t="s">
        <v>20077</v>
      </c>
      <c r="L2490" s="70" t="s">
        <v>18018</v>
      </c>
      <c r="N2490" s="70" t="s">
        <v>18019</v>
      </c>
      <c r="P2490" s="76">
        <v>43573.0</v>
      </c>
      <c r="U2490" s="70" t="s">
        <v>239</v>
      </c>
      <c r="W2490" s="70" t="s">
        <v>20080</v>
      </c>
      <c r="Y2490" s="70" t="s">
        <v>31048</v>
      </c>
      <c r="Z2490" s="75" t="s">
        <v>20082</v>
      </c>
      <c r="AA2490" s="70" t="s">
        <v>20083</v>
      </c>
      <c r="AC2490" s="70">
        <v>6.0</v>
      </c>
      <c r="AE2490" s="70">
        <v>31.0</v>
      </c>
      <c r="AF2490" s="70" t="s">
        <v>7683</v>
      </c>
      <c r="AW2490" s="70" t="s">
        <v>20084</v>
      </c>
      <c r="AX2490" s="70">
        <v>0.0</v>
      </c>
      <c r="AY2490" s="70" t="s">
        <v>24</v>
      </c>
      <c r="AZ2490" s="70">
        <v>1939.0</v>
      </c>
    </row>
    <row r="2491" ht="22.5" customHeight="1">
      <c r="A2491" s="70" t="str">
        <f t="shared" si="1"/>
        <v>Excluded</v>
      </c>
      <c r="B2491" s="70">
        <f t="shared" si="2"/>
        <v>0</v>
      </c>
      <c r="C2491" s="70">
        <v>0.0</v>
      </c>
      <c r="D2491" s="70">
        <v>0.0</v>
      </c>
      <c r="E2491" s="70">
        <v>0.0</v>
      </c>
      <c r="F2491" s="70">
        <v>0.0</v>
      </c>
      <c r="G2491" s="70">
        <v>0.0</v>
      </c>
      <c r="H2491" s="70" t="s">
        <v>20355</v>
      </c>
      <c r="I2491" s="70">
        <v>2241.0</v>
      </c>
      <c r="J2491" s="70" t="s">
        <v>20353</v>
      </c>
      <c r="K2491" s="70" t="s">
        <v>20354</v>
      </c>
      <c r="L2491" s="70" t="s">
        <v>18018</v>
      </c>
      <c r="N2491" s="70" t="s">
        <v>18019</v>
      </c>
      <c r="P2491" s="76">
        <v>44237.0</v>
      </c>
      <c r="U2491" s="70" t="s">
        <v>239</v>
      </c>
      <c r="W2491" s="70" t="s">
        <v>31049</v>
      </c>
      <c r="Y2491" s="70" t="s">
        <v>20358</v>
      </c>
      <c r="Z2491" s="75" t="s">
        <v>20359</v>
      </c>
      <c r="AA2491" s="70" t="s">
        <v>20360</v>
      </c>
      <c r="AC2491" s="70">
        <v>4.0</v>
      </c>
      <c r="AE2491" s="70">
        <v>32.0</v>
      </c>
      <c r="AF2491" s="70" t="s">
        <v>239</v>
      </c>
      <c r="AW2491" s="70" t="s">
        <v>20361</v>
      </c>
      <c r="AX2491" s="70">
        <v>0.0</v>
      </c>
      <c r="AY2491" s="70" t="s">
        <v>24</v>
      </c>
      <c r="AZ2491" s="70">
        <v>3127.0</v>
      </c>
    </row>
    <row r="2492" ht="22.5" customHeight="1">
      <c r="A2492" s="70" t="str">
        <f t="shared" si="1"/>
        <v>Excluded</v>
      </c>
      <c r="B2492" s="70">
        <f t="shared" si="2"/>
        <v>0</v>
      </c>
      <c r="C2492" s="70">
        <v>0.0</v>
      </c>
      <c r="D2492" s="70">
        <v>0.0</v>
      </c>
      <c r="E2492" s="70">
        <v>0.0</v>
      </c>
      <c r="F2492" s="70">
        <v>0.0</v>
      </c>
      <c r="G2492" s="70">
        <v>0.0</v>
      </c>
      <c r="H2492" s="70" t="s">
        <v>20695</v>
      </c>
      <c r="I2492" s="70">
        <v>2279.0</v>
      </c>
      <c r="J2492" s="70" t="s">
        <v>20693</v>
      </c>
      <c r="K2492" s="70" t="s">
        <v>20694</v>
      </c>
      <c r="L2492" s="70" t="s">
        <v>18018</v>
      </c>
      <c r="N2492" s="70" t="s">
        <v>18019</v>
      </c>
      <c r="P2492" s="76">
        <v>44880.0</v>
      </c>
      <c r="U2492" s="70" t="s">
        <v>239</v>
      </c>
      <c r="W2492" s="70" t="s">
        <v>20696</v>
      </c>
      <c r="Y2492" s="70" t="s">
        <v>31050</v>
      </c>
      <c r="Z2492" s="75" t="s">
        <v>20698</v>
      </c>
      <c r="AA2492" s="70" t="s">
        <v>20699</v>
      </c>
      <c r="AC2492" s="70">
        <v>3.0</v>
      </c>
      <c r="AE2492" s="70">
        <v>60.0</v>
      </c>
      <c r="AF2492" s="70" t="s">
        <v>239</v>
      </c>
      <c r="AW2492" s="70" t="s">
        <v>20700</v>
      </c>
      <c r="AX2492" s="70">
        <v>0.0</v>
      </c>
      <c r="AY2492" s="70" t="s">
        <v>24</v>
      </c>
      <c r="AZ2492" s="70">
        <v>1721.0</v>
      </c>
    </row>
    <row r="2493" ht="22.5" customHeight="1">
      <c r="A2493" s="70" t="str">
        <f t="shared" si="1"/>
        <v>Excluded</v>
      </c>
      <c r="B2493" s="70">
        <f t="shared" si="2"/>
        <v>0</v>
      </c>
      <c r="C2493" s="70">
        <v>0.0</v>
      </c>
      <c r="D2493" s="70">
        <v>0.0</v>
      </c>
      <c r="E2493" s="70">
        <v>0.0</v>
      </c>
      <c r="F2493" s="70">
        <v>0.0</v>
      </c>
      <c r="G2493" s="70">
        <v>0.0</v>
      </c>
      <c r="H2493" s="70" t="s">
        <v>21438</v>
      </c>
      <c r="I2493" s="70">
        <v>2362.0</v>
      </c>
      <c r="J2493" s="70" t="s">
        <v>15678</v>
      </c>
      <c r="K2493" s="70" t="s">
        <v>21437</v>
      </c>
      <c r="L2493" s="70" t="s">
        <v>18018</v>
      </c>
      <c r="N2493" s="70" t="s">
        <v>18019</v>
      </c>
      <c r="P2493" s="76">
        <v>45345.0</v>
      </c>
      <c r="U2493" s="70" t="s">
        <v>239</v>
      </c>
      <c r="W2493" s="70" t="s">
        <v>31051</v>
      </c>
      <c r="Y2493" s="70" t="s">
        <v>31052</v>
      </c>
      <c r="Z2493" s="75" t="s">
        <v>21442</v>
      </c>
      <c r="AA2493" s="70" t="s">
        <v>21443</v>
      </c>
      <c r="AC2493" s="70">
        <v>1.0</v>
      </c>
      <c r="AE2493" s="70">
        <v>53.0</v>
      </c>
      <c r="AF2493" s="70" t="s">
        <v>239</v>
      </c>
      <c r="AW2493" s="70" t="s">
        <v>21444</v>
      </c>
      <c r="AZ2493" s="70">
        <v>710.0</v>
      </c>
    </row>
    <row r="2494" ht="22.5" customHeight="1">
      <c r="A2494" s="70" t="str">
        <f t="shared" si="1"/>
        <v>Excluded</v>
      </c>
      <c r="B2494" s="70">
        <f t="shared" si="2"/>
        <v>0</v>
      </c>
      <c r="C2494" s="70">
        <v>0.0</v>
      </c>
      <c r="D2494" s="70">
        <v>0.0</v>
      </c>
      <c r="E2494" s="70">
        <v>0.0</v>
      </c>
      <c r="F2494" s="70">
        <v>0.0</v>
      </c>
      <c r="G2494" s="70">
        <v>0.0</v>
      </c>
      <c r="H2494" s="70" t="s">
        <v>24657</v>
      </c>
      <c r="I2494" s="70">
        <v>2693.0</v>
      </c>
      <c r="J2494" s="70" t="s">
        <v>24655</v>
      </c>
      <c r="K2494" s="70" t="s">
        <v>24656</v>
      </c>
      <c r="W2494" s="70" t="s">
        <v>31053</v>
      </c>
      <c r="AA2494" s="70" t="s">
        <v>24659</v>
      </c>
      <c r="AI2494" s="70" t="s">
        <v>24660</v>
      </c>
      <c r="AJ2494" s="70" t="s">
        <v>24661</v>
      </c>
      <c r="AK2494" s="70">
        <v>2024.0</v>
      </c>
      <c r="AL2494" s="70" t="s">
        <v>18018</v>
      </c>
      <c r="AQ2494" s="70">
        <v>0.0</v>
      </c>
      <c r="AR2494" s="75" t="s">
        <v>24662</v>
      </c>
      <c r="AS2494" s="70" t="s">
        <v>22588</v>
      </c>
      <c r="AU2494" s="70" t="s">
        <v>237</v>
      </c>
      <c r="AV2494" s="70" t="s">
        <v>24663</v>
      </c>
      <c r="AW2494" s="70" t="s">
        <v>24664</v>
      </c>
      <c r="AX2494" s="70">
        <v>0.0</v>
      </c>
      <c r="AY2494" s="70" t="s">
        <v>24</v>
      </c>
      <c r="AZ2494" s="70">
        <v>2865.0</v>
      </c>
    </row>
    <row r="2495" ht="22.5" customHeight="1">
      <c r="A2495" s="70" t="str">
        <f t="shared" si="1"/>
        <v>Excluded</v>
      </c>
      <c r="B2495" s="70">
        <f t="shared" si="2"/>
        <v>0</v>
      </c>
      <c r="C2495" s="70">
        <v>0.0</v>
      </c>
      <c r="D2495" s="70">
        <v>0.0</v>
      </c>
      <c r="E2495" s="70">
        <v>0.0</v>
      </c>
      <c r="F2495" s="70">
        <v>0.0</v>
      </c>
      <c r="G2495" s="70">
        <v>0.0</v>
      </c>
      <c r="H2495" s="70" t="s">
        <v>22693</v>
      </c>
      <c r="I2495" s="70">
        <v>2505.0</v>
      </c>
      <c r="J2495" s="70" t="s">
        <v>22691</v>
      </c>
      <c r="K2495" s="70" t="s">
        <v>22692</v>
      </c>
      <c r="W2495" s="70" t="s">
        <v>31054</v>
      </c>
      <c r="AA2495" s="70" t="s">
        <v>22695</v>
      </c>
      <c r="AI2495" s="70" t="s">
        <v>22696</v>
      </c>
      <c r="AJ2495" s="70" t="s">
        <v>22697</v>
      </c>
      <c r="AK2495" s="70">
        <v>2025.0</v>
      </c>
      <c r="AL2495" s="70" t="s">
        <v>18018</v>
      </c>
      <c r="AQ2495" s="70">
        <v>0.0</v>
      </c>
      <c r="AR2495" s="75" t="s">
        <v>22698</v>
      </c>
      <c r="AS2495" s="70" t="s">
        <v>22588</v>
      </c>
      <c r="AU2495" s="70" t="s">
        <v>237</v>
      </c>
      <c r="AV2495" s="70" t="s">
        <v>22699</v>
      </c>
      <c r="AW2495" s="70" t="s">
        <v>22700</v>
      </c>
      <c r="AX2495" s="70">
        <v>0.0</v>
      </c>
      <c r="AY2495" s="70" t="s">
        <v>24</v>
      </c>
      <c r="AZ2495" s="70">
        <v>2845.0</v>
      </c>
    </row>
    <row r="2496" ht="22.5" customHeight="1">
      <c r="A2496" s="70" t="str">
        <f t="shared" si="1"/>
        <v>Excluded</v>
      </c>
      <c r="B2496" s="70">
        <f t="shared" si="2"/>
        <v>0</v>
      </c>
      <c r="C2496" s="70">
        <v>0.0</v>
      </c>
      <c r="D2496" s="70">
        <v>0.0</v>
      </c>
      <c r="E2496" s="70">
        <v>0.0</v>
      </c>
      <c r="F2496" s="70">
        <v>0.0</v>
      </c>
      <c r="G2496" s="70">
        <v>0.0</v>
      </c>
      <c r="H2496" s="70" t="s">
        <v>22432</v>
      </c>
      <c r="I2496" s="70">
        <v>2475.0</v>
      </c>
      <c r="J2496" s="70" t="s">
        <v>22430</v>
      </c>
      <c r="K2496" s="70" t="s">
        <v>22431</v>
      </c>
      <c r="L2496" s="70" t="s">
        <v>18334</v>
      </c>
      <c r="N2496" s="70" t="s">
        <v>18335</v>
      </c>
      <c r="P2496" s="77">
        <v>44385.0</v>
      </c>
      <c r="U2496" s="70" t="s">
        <v>239</v>
      </c>
      <c r="W2496" s="70" t="s">
        <v>22434</v>
      </c>
      <c r="Z2496" s="75" t="s">
        <v>22435</v>
      </c>
      <c r="AC2496" s="70">
        <v>4.0</v>
      </c>
      <c r="AE2496" s="70">
        <v>0.0</v>
      </c>
      <c r="AF2496" s="70" t="s">
        <v>239</v>
      </c>
      <c r="AW2496" s="70" t="s">
        <v>22436</v>
      </c>
      <c r="AZ2496" s="70">
        <v>838.0</v>
      </c>
    </row>
    <row r="2497" ht="22.5" customHeight="1">
      <c r="A2497" s="70" t="str">
        <f t="shared" si="1"/>
        <v>Excluded</v>
      </c>
      <c r="B2497" s="70">
        <f t="shared" si="2"/>
        <v>0</v>
      </c>
      <c r="C2497" s="70">
        <v>0.0</v>
      </c>
      <c r="D2497" s="70">
        <v>0.0</v>
      </c>
      <c r="E2497" s="70">
        <v>0.0</v>
      </c>
      <c r="F2497" s="70">
        <v>0.0</v>
      </c>
      <c r="G2497" s="70">
        <v>0.0</v>
      </c>
      <c r="H2497" s="70" t="s">
        <v>18336</v>
      </c>
      <c r="I2497" s="70">
        <v>2014.0</v>
      </c>
      <c r="J2497" s="70" t="s">
        <v>18332</v>
      </c>
      <c r="K2497" s="70" t="s">
        <v>18333</v>
      </c>
      <c r="L2497" s="70" t="s">
        <v>18334</v>
      </c>
      <c r="N2497" s="70" t="s">
        <v>18335</v>
      </c>
      <c r="P2497" s="76">
        <v>44490.0</v>
      </c>
      <c r="U2497" s="70" t="s">
        <v>239</v>
      </c>
      <c r="W2497" s="70" t="s">
        <v>31055</v>
      </c>
      <c r="Y2497" s="70" t="s">
        <v>18339</v>
      </c>
      <c r="Z2497" s="75" t="s">
        <v>18340</v>
      </c>
      <c r="AA2497" s="70" t="s">
        <v>18341</v>
      </c>
      <c r="AC2497" s="70">
        <v>23.0</v>
      </c>
      <c r="AE2497" s="70">
        <v>62.0</v>
      </c>
      <c r="AF2497" s="70" t="s">
        <v>239</v>
      </c>
      <c r="AW2497" s="70" t="s">
        <v>18342</v>
      </c>
      <c r="AX2497" s="70">
        <v>0.0</v>
      </c>
      <c r="AY2497" s="70" t="s">
        <v>24</v>
      </c>
      <c r="AZ2497" s="70">
        <v>3070.0</v>
      </c>
    </row>
    <row r="2498" ht="22.5" customHeight="1">
      <c r="A2498" s="70" t="str">
        <f t="shared" si="1"/>
        <v>Excluded</v>
      </c>
      <c r="B2498" s="70">
        <f t="shared" si="2"/>
        <v>0</v>
      </c>
      <c r="C2498" s="70">
        <v>0.0</v>
      </c>
      <c r="D2498" s="70">
        <v>0.0</v>
      </c>
      <c r="E2498" s="70">
        <v>0.0</v>
      </c>
      <c r="F2498" s="70">
        <v>0.0</v>
      </c>
      <c r="G2498" s="70">
        <v>0.0</v>
      </c>
      <c r="H2498" s="70" t="s">
        <v>18823</v>
      </c>
      <c r="I2498" s="70">
        <v>2069.0</v>
      </c>
      <c r="J2498" s="70" t="s">
        <v>18821</v>
      </c>
      <c r="K2498" s="70" t="s">
        <v>18822</v>
      </c>
      <c r="L2498" s="70" t="s">
        <v>18334</v>
      </c>
      <c r="N2498" s="70" t="s">
        <v>18335</v>
      </c>
      <c r="P2498" s="76">
        <v>44543.0</v>
      </c>
      <c r="U2498" s="70" t="s">
        <v>239</v>
      </c>
      <c r="W2498" s="70" t="s">
        <v>31056</v>
      </c>
      <c r="Y2498" s="70" t="s">
        <v>31057</v>
      </c>
      <c r="Z2498" s="75" t="s">
        <v>18827</v>
      </c>
      <c r="AA2498" s="70" t="s">
        <v>18828</v>
      </c>
      <c r="AC2498" s="70">
        <v>15.0</v>
      </c>
      <c r="AE2498" s="70">
        <v>39.0</v>
      </c>
      <c r="AF2498" s="70" t="s">
        <v>239</v>
      </c>
      <c r="AW2498" s="70" t="s">
        <v>18829</v>
      </c>
      <c r="AX2498" s="70">
        <v>0.0</v>
      </c>
      <c r="AY2498" s="70" t="s">
        <v>24</v>
      </c>
      <c r="AZ2498" s="70">
        <v>2946.0</v>
      </c>
    </row>
    <row r="2499" ht="22.5" customHeight="1">
      <c r="A2499" s="70" t="str">
        <f t="shared" si="1"/>
        <v>Excluded</v>
      </c>
      <c r="B2499" s="70">
        <f t="shared" si="2"/>
        <v>0</v>
      </c>
      <c r="C2499" s="70">
        <v>0.0</v>
      </c>
      <c r="D2499" s="70">
        <v>0.0</v>
      </c>
      <c r="E2499" s="70">
        <v>0.0</v>
      </c>
      <c r="F2499" s="70">
        <v>0.0</v>
      </c>
      <c r="G2499" s="70">
        <v>0.0</v>
      </c>
      <c r="H2499" s="70" t="s">
        <v>21229</v>
      </c>
      <c r="I2499" s="70">
        <v>2338.0</v>
      </c>
      <c r="J2499" s="70" t="s">
        <v>21227</v>
      </c>
      <c r="K2499" s="70" t="s">
        <v>21228</v>
      </c>
      <c r="L2499" s="70" t="s">
        <v>18334</v>
      </c>
      <c r="N2499" s="70" t="s">
        <v>18335</v>
      </c>
      <c r="P2499" s="76">
        <v>45314.0</v>
      </c>
      <c r="U2499" s="70" t="s">
        <v>239</v>
      </c>
      <c r="W2499" s="70" t="s">
        <v>21231</v>
      </c>
      <c r="Y2499" s="70" t="s">
        <v>31058</v>
      </c>
      <c r="Z2499" s="75" t="s">
        <v>21233</v>
      </c>
      <c r="AA2499" s="70" t="s">
        <v>21234</v>
      </c>
      <c r="AC2499" s="70">
        <v>1.0</v>
      </c>
      <c r="AE2499" s="70">
        <v>60.0</v>
      </c>
      <c r="AF2499" s="70" t="s">
        <v>239</v>
      </c>
      <c r="AW2499" s="70" t="s">
        <v>21235</v>
      </c>
      <c r="AX2499" s="70">
        <v>0.0</v>
      </c>
      <c r="AY2499" s="70" t="s">
        <v>24</v>
      </c>
      <c r="AZ2499" s="70">
        <v>2818.0</v>
      </c>
    </row>
    <row r="2500" ht="22.5" customHeight="1">
      <c r="A2500" s="70" t="str">
        <f t="shared" si="1"/>
        <v>Excluded</v>
      </c>
      <c r="B2500" s="70">
        <f t="shared" si="2"/>
        <v>0</v>
      </c>
      <c r="C2500" s="70">
        <v>0.0</v>
      </c>
      <c r="D2500" s="70">
        <v>0.0</v>
      </c>
      <c r="E2500" s="70">
        <v>0.0</v>
      </c>
      <c r="F2500" s="70">
        <v>0.0</v>
      </c>
      <c r="G2500" s="70">
        <v>0.0</v>
      </c>
      <c r="H2500" s="70" t="s">
        <v>19991</v>
      </c>
      <c r="I2500" s="70">
        <v>2200.0</v>
      </c>
      <c r="J2500" s="70" t="s">
        <v>31059</v>
      </c>
      <c r="K2500" s="70" t="s">
        <v>19990</v>
      </c>
      <c r="L2500" s="70" t="s">
        <v>18334</v>
      </c>
      <c r="N2500" s="70" t="s">
        <v>18335</v>
      </c>
      <c r="P2500" s="77">
        <v>45357.0</v>
      </c>
      <c r="U2500" s="70" t="s">
        <v>239</v>
      </c>
      <c r="W2500" s="70" t="s">
        <v>19993</v>
      </c>
      <c r="Z2500" s="75" t="s">
        <v>19994</v>
      </c>
      <c r="AA2500" s="70" t="s">
        <v>19995</v>
      </c>
      <c r="AC2500" s="70">
        <v>6.0</v>
      </c>
      <c r="AE2500" s="70">
        <v>50.0</v>
      </c>
      <c r="AF2500" s="70" t="s">
        <v>239</v>
      </c>
      <c r="AW2500" s="70" t="s">
        <v>19996</v>
      </c>
      <c r="AZ2500" s="70">
        <v>630.0</v>
      </c>
    </row>
    <row r="2501" ht="22.5" customHeight="1">
      <c r="A2501" s="70" t="str">
        <f t="shared" si="1"/>
        <v>Excluded</v>
      </c>
      <c r="B2501" s="70">
        <f t="shared" si="2"/>
        <v>0</v>
      </c>
      <c r="C2501" s="70">
        <v>0.0</v>
      </c>
      <c r="D2501" s="70">
        <v>0.0</v>
      </c>
      <c r="E2501" s="70">
        <v>0.0</v>
      </c>
      <c r="F2501" s="70">
        <v>0.0</v>
      </c>
      <c r="G2501" s="70">
        <v>0.0</v>
      </c>
      <c r="H2501" s="70" t="s">
        <v>22627</v>
      </c>
      <c r="I2501" s="70">
        <v>2499.0</v>
      </c>
      <c r="J2501" s="70" t="s">
        <v>22625</v>
      </c>
      <c r="K2501" s="70" t="s">
        <v>22626</v>
      </c>
      <c r="W2501" s="70" t="s">
        <v>31060</v>
      </c>
      <c r="AA2501" s="70" t="s">
        <v>22629</v>
      </c>
      <c r="AI2501" s="70" t="s">
        <v>22630</v>
      </c>
      <c r="AJ2501" s="70" t="s">
        <v>22631</v>
      </c>
      <c r="AK2501" s="70">
        <v>2025.0</v>
      </c>
      <c r="AL2501" s="70" t="s">
        <v>18334</v>
      </c>
      <c r="AN2501" s="70">
        <v>2390.0</v>
      </c>
      <c r="AO2501" s="70">
        <v>2405.0</v>
      </c>
      <c r="AP2501" s="70">
        <v>15.0</v>
      </c>
      <c r="AQ2501" s="70">
        <v>0.0</v>
      </c>
      <c r="AR2501" s="75" t="s">
        <v>22632</v>
      </c>
      <c r="AS2501" s="70" t="s">
        <v>22525</v>
      </c>
      <c r="AU2501" s="70" t="s">
        <v>237</v>
      </c>
      <c r="AV2501" s="70" t="s">
        <v>22633</v>
      </c>
      <c r="AW2501" s="70" t="s">
        <v>22634</v>
      </c>
      <c r="AX2501" s="70">
        <v>0.0</v>
      </c>
      <c r="AY2501" s="70" t="s">
        <v>24</v>
      </c>
      <c r="AZ2501" s="70">
        <v>2940.0</v>
      </c>
    </row>
    <row r="2502" ht="22.5" customHeight="1">
      <c r="A2502" s="70" t="str">
        <f t="shared" si="1"/>
        <v>Excluded</v>
      </c>
      <c r="B2502" s="70">
        <f t="shared" si="2"/>
        <v>0</v>
      </c>
      <c r="C2502" s="70">
        <v>0.0</v>
      </c>
      <c r="D2502" s="70">
        <v>0.0</v>
      </c>
      <c r="E2502" s="70">
        <v>0.0</v>
      </c>
      <c r="F2502" s="70">
        <v>0.0</v>
      </c>
      <c r="G2502" s="70">
        <v>0.0</v>
      </c>
      <c r="H2502" s="70" t="s">
        <v>21983</v>
      </c>
      <c r="I2502" s="70">
        <v>2424.0</v>
      </c>
      <c r="J2502" s="70" t="s">
        <v>21981</v>
      </c>
      <c r="K2502" s="70" t="s">
        <v>21982</v>
      </c>
      <c r="L2502" s="70" t="s">
        <v>18334</v>
      </c>
      <c r="N2502" s="70" t="s">
        <v>18335</v>
      </c>
      <c r="P2502" s="77">
        <v>45603.0</v>
      </c>
      <c r="U2502" s="70" t="s">
        <v>239</v>
      </c>
      <c r="W2502" s="70" t="s">
        <v>21985</v>
      </c>
      <c r="Y2502" s="70" t="s">
        <v>21986</v>
      </c>
      <c r="Z2502" s="75" t="s">
        <v>21987</v>
      </c>
      <c r="AA2502" s="70" t="s">
        <v>21988</v>
      </c>
      <c r="AE2502" s="70">
        <v>52.0</v>
      </c>
      <c r="AF2502" s="70" t="s">
        <v>239</v>
      </c>
      <c r="AW2502" s="70" t="s">
        <v>21989</v>
      </c>
      <c r="AZ2502" s="70">
        <v>830.0</v>
      </c>
    </row>
    <row r="2503" ht="22.5" customHeight="1">
      <c r="A2503" s="70" t="str">
        <f t="shared" si="1"/>
        <v>Excluded</v>
      </c>
      <c r="B2503" s="70">
        <f t="shared" si="2"/>
        <v>0</v>
      </c>
      <c r="C2503" s="70">
        <v>0.0</v>
      </c>
      <c r="D2503" s="70">
        <v>0.0</v>
      </c>
      <c r="E2503" s="70">
        <v>0.0</v>
      </c>
      <c r="F2503" s="70">
        <v>0.0</v>
      </c>
      <c r="G2503" s="70">
        <v>0.0</v>
      </c>
      <c r="H2503" s="70" t="s">
        <v>23644</v>
      </c>
      <c r="I2503" s="70">
        <v>2595.0</v>
      </c>
      <c r="J2503" s="70" t="s">
        <v>23642</v>
      </c>
      <c r="K2503" s="70" t="s">
        <v>23643</v>
      </c>
      <c r="W2503" s="70" t="s">
        <v>31061</v>
      </c>
      <c r="AA2503" s="70" t="s">
        <v>23646</v>
      </c>
      <c r="AI2503" s="70" t="s">
        <v>23647</v>
      </c>
      <c r="AJ2503" s="70" t="s">
        <v>23648</v>
      </c>
      <c r="AK2503" s="70">
        <v>2024.0</v>
      </c>
      <c r="AL2503" s="70" t="s">
        <v>18334</v>
      </c>
      <c r="AQ2503" s="70">
        <v>0.0</v>
      </c>
      <c r="AR2503" s="75" t="s">
        <v>23649</v>
      </c>
      <c r="AS2503" s="70" t="s">
        <v>22588</v>
      </c>
      <c r="AU2503" s="70" t="s">
        <v>237</v>
      </c>
      <c r="AV2503" s="70" t="s">
        <v>23650</v>
      </c>
      <c r="AZ2503" s="70">
        <v>1218.0</v>
      </c>
    </row>
    <row r="2504" ht="22.5" customHeight="1">
      <c r="A2504" s="70" t="str">
        <f t="shared" si="1"/>
        <v>Excluded</v>
      </c>
      <c r="B2504" s="70">
        <f t="shared" si="2"/>
        <v>0</v>
      </c>
      <c r="C2504" s="70">
        <v>0.0</v>
      </c>
      <c r="D2504" s="70">
        <v>0.0</v>
      </c>
      <c r="E2504" s="70">
        <v>0.0</v>
      </c>
      <c r="F2504" s="70">
        <v>0.0</v>
      </c>
      <c r="G2504" s="70">
        <v>0.0</v>
      </c>
      <c r="H2504" s="70" t="s">
        <v>23880</v>
      </c>
      <c r="I2504" s="70">
        <v>2618.0</v>
      </c>
      <c r="J2504" s="70" t="s">
        <v>23878</v>
      </c>
      <c r="K2504" s="70" t="s">
        <v>23879</v>
      </c>
      <c r="W2504" s="70" t="s">
        <v>31062</v>
      </c>
      <c r="AI2504" s="70" t="s">
        <v>23882</v>
      </c>
      <c r="AJ2504" s="70" t="s">
        <v>23883</v>
      </c>
      <c r="AK2504" s="70">
        <v>2024.0</v>
      </c>
      <c r="AL2504" s="70" t="s">
        <v>18334</v>
      </c>
      <c r="AQ2504" s="70">
        <v>1.0</v>
      </c>
      <c r="AR2504" s="75" t="s">
        <v>23884</v>
      </c>
      <c r="AS2504" s="70" t="s">
        <v>22588</v>
      </c>
      <c r="AU2504" s="70" t="s">
        <v>237</v>
      </c>
      <c r="AV2504" s="70" t="s">
        <v>23885</v>
      </c>
      <c r="AW2504" s="70" t="s">
        <v>23886</v>
      </c>
      <c r="AX2504" s="70">
        <v>0.0</v>
      </c>
      <c r="AY2504" s="70" t="s">
        <v>24</v>
      </c>
      <c r="AZ2504" s="70">
        <v>2458.0</v>
      </c>
    </row>
    <row r="2505" ht="22.5" customHeight="1">
      <c r="A2505" s="70" t="str">
        <f t="shared" si="1"/>
        <v>Excluded</v>
      </c>
      <c r="B2505" s="70">
        <f t="shared" si="2"/>
        <v>0</v>
      </c>
      <c r="C2505" s="70">
        <v>0.0</v>
      </c>
      <c r="D2505" s="70">
        <v>0.0</v>
      </c>
      <c r="E2505" s="70">
        <v>0.0</v>
      </c>
      <c r="F2505" s="70">
        <v>0.0</v>
      </c>
      <c r="G2505" s="70">
        <v>0.0</v>
      </c>
      <c r="H2505" s="70" t="s">
        <v>19765</v>
      </c>
      <c r="I2505" s="70">
        <v>2175.0</v>
      </c>
      <c r="J2505" s="70" t="s">
        <v>19761</v>
      </c>
      <c r="K2505" s="70" t="s">
        <v>19762</v>
      </c>
      <c r="L2505" s="70" t="s">
        <v>19763</v>
      </c>
      <c r="N2505" s="70" t="s">
        <v>19764</v>
      </c>
      <c r="P2505" s="77">
        <v>45268.0</v>
      </c>
      <c r="U2505" s="70" t="s">
        <v>239</v>
      </c>
      <c r="W2505" s="70" t="s">
        <v>19767</v>
      </c>
      <c r="Y2505" s="70" t="s">
        <v>19768</v>
      </c>
      <c r="Z2505" s="75" t="s">
        <v>19769</v>
      </c>
      <c r="AA2505" s="70" t="s">
        <v>19770</v>
      </c>
      <c r="AC2505" s="70">
        <v>8.0</v>
      </c>
      <c r="AE2505" s="70">
        <v>53.0</v>
      </c>
      <c r="AF2505" s="70" t="s">
        <v>239</v>
      </c>
      <c r="AW2505" s="70" t="s">
        <v>19771</v>
      </c>
      <c r="AZ2505" s="70">
        <v>1193.0</v>
      </c>
    </row>
    <row r="2506" ht="22.5" customHeight="1">
      <c r="A2506" s="70" t="str">
        <f t="shared" si="1"/>
        <v>Excluded</v>
      </c>
      <c r="B2506" s="70">
        <f t="shared" si="2"/>
        <v>0</v>
      </c>
      <c r="C2506" s="70">
        <v>0.0</v>
      </c>
      <c r="D2506" s="70">
        <v>0.0</v>
      </c>
      <c r="E2506" s="70">
        <v>0.0</v>
      </c>
      <c r="F2506" s="70">
        <v>0.0</v>
      </c>
      <c r="G2506" s="70">
        <v>0.0</v>
      </c>
      <c r="H2506" s="70" t="s">
        <v>14139</v>
      </c>
      <c r="I2506" s="70">
        <v>1473.0</v>
      </c>
      <c r="J2506" s="70" t="s">
        <v>14137</v>
      </c>
      <c r="K2506" s="70" t="s">
        <v>14138</v>
      </c>
      <c r="L2506" s="70" t="s">
        <v>12240</v>
      </c>
      <c r="N2506" s="70" t="s">
        <v>12241</v>
      </c>
      <c r="P2506" s="78">
        <v>45441.0</v>
      </c>
      <c r="U2506" s="70" t="s">
        <v>239</v>
      </c>
      <c r="W2506" s="70" t="s">
        <v>31063</v>
      </c>
      <c r="X2506" s="70" t="s">
        <v>12245</v>
      </c>
      <c r="Z2506" s="75" t="s">
        <v>14142</v>
      </c>
      <c r="AA2506" s="70" t="s">
        <v>14143</v>
      </c>
      <c r="AE2506" s="70">
        <v>21.0</v>
      </c>
      <c r="AF2506" s="70" t="s">
        <v>239</v>
      </c>
      <c r="AW2506" s="70" t="s">
        <v>14144</v>
      </c>
      <c r="AZ2506" s="70">
        <v>1372.0</v>
      </c>
    </row>
    <row r="2507" ht="22.5" customHeight="1">
      <c r="A2507" s="70" t="str">
        <f t="shared" si="1"/>
        <v>Excluded</v>
      </c>
      <c r="B2507" s="70">
        <f t="shared" si="2"/>
        <v>0</v>
      </c>
      <c r="C2507" s="70">
        <v>0.0</v>
      </c>
      <c r="D2507" s="70">
        <v>0.0</v>
      </c>
      <c r="E2507" s="70">
        <v>0.0</v>
      </c>
      <c r="F2507" s="70">
        <v>0.0</v>
      </c>
      <c r="G2507" s="70">
        <v>0.0</v>
      </c>
      <c r="H2507" s="70" t="s">
        <v>12242</v>
      </c>
      <c r="I2507" s="70">
        <v>1279.0</v>
      </c>
      <c r="J2507" s="70" t="s">
        <v>12238</v>
      </c>
      <c r="K2507" s="70" t="s">
        <v>12239</v>
      </c>
      <c r="L2507" s="70" t="s">
        <v>12240</v>
      </c>
      <c r="N2507" s="70" t="s">
        <v>12241</v>
      </c>
      <c r="P2507" s="78">
        <v>45441.0</v>
      </c>
      <c r="U2507" s="70" t="s">
        <v>239</v>
      </c>
      <c r="W2507" s="70" t="s">
        <v>12244</v>
      </c>
      <c r="X2507" s="70" t="s">
        <v>12245</v>
      </c>
      <c r="Z2507" s="75" t="s">
        <v>12246</v>
      </c>
      <c r="AA2507" s="70" t="s">
        <v>12247</v>
      </c>
      <c r="AC2507" s="70">
        <v>1.0</v>
      </c>
      <c r="AE2507" s="70">
        <v>15.0</v>
      </c>
      <c r="AF2507" s="70" t="s">
        <v>239</v>
      </c>
      <c r="AW2507" s="70" t="s">
        <v>12248</v>
      </c>
      <c r="AZ2507" s="70">
        <v>1074.0</v>
      </c>
    </row>
    <row r="2508" ht="22.5" customHeight="1">
      <c r="A2508" s="70" t="str">
        <f t="shared" si="1"/>
        <v>Excluded</v>
      </c>
      <c r="B2508" s="70">
        <f t="shared" si="2"/>
        <v>0</v>
      </c>
      <c r="C2508" s="70">
        <v>0.0</v>
      </c>
      <c r="D2508" s="70">
        <v>0.0</v>
      </c>
      <c r="E2508" s="70">
        <v>0.0</v>
      </c>
      <c r="F2508" s="70">
        <v>0.0</v>
      </c>
      <c r="G2508" s="70">
        <v>0.0</v>
      </c>
      <c r="H2508" s="70" t="s">
        <v>15834</v>
      </c>
      <c r="I2508" s="70">
        <v>1654.0</v>
      </c>
      <c r="K2508" s="70" t="s">
        <v>9426</v>
      </c>
      <c r="L2508" s="70" t="s">
        <v>15833</v>
      </c>
      <c r="N2508" s="70" t="s">
        <v>14354</v>
      </c>
      <c r="P2508" s="76">
        <v>45223.0</v>
      </c>
      <c r="U2508" s="70" t="s">
        <v>239</v>
      </c>
      <c r="X2508" s="70" t="s">
        <v>15835</v>
      </c>
      <c r="Z2508" s="75" t="s">
        <v>15836</v>
      </c>
      <c r="AF2508" s="70" t="s">
        <v>239</v>
      </c>
      <c r="AZ2508" s="70">
        <v>1428.0</v>
      </c>
    </row>
    <row r="2509" ht="22.5" customHeight="1">
      <c r="A2509" s="70" t="str">
        <f t="shared" si="1"/>
        <v>Excluded</v>
      </c>
      <c r="B2509" s="70">
        <f t="shared" si="2"/>
        <v>0</v>
      </c>
      <c r="C2509" s="70">
        <v>0.0</v>
      </c>
      <c r="D2509" s="70">
        <v>0.0</v>
      </c>
      <c r="E2509" s="70">
        <v>0.0</v>
      </c>
      <c r="F2509" s="70">
        <v>0.0</v>
      </c>
      <c r="G2509" s="70">
        <v>0.0</v>
      </c>
      <c r="H2509" s="70" t="s">
        <v>14355</v>
      </c>
      <c r="I2509" s="70">
        <v>1497.0</v>
      </c>
      <c r="J2509" s="70" t="s">
        <v>14351</v>
      </c>
      <c r="K2509" s="70" t="s">
        <v>14352</v>
      </c>
      <c r="L2509" s="70" t="s">
        <v>14353</v>
      </c>
      <c r="N2509" s="70" t="s">
        <v>14354</v>
      </c>
      <c r="P2509" s="76">
        <v>45637.0</v>
      </c>
      <c r="U2509" s="70" t="s">
        <v>239</v>
      </c>
      <c r="W2509" s="70" t="s">
        <v>14357</v>
      </c>
      <c r="X2509" s="70" t="s">
        <v>14358</v>
      </c>
      <c r="Z2509" s="75" t="s">
        <v>14359</v>
      </c>
      <c r="AA2509" s="70" t="s">
        <v>14360</v>
      </c>
      <c r="AE2509" s="70">
        <v>53.0</v>
      </c>
      <c r="AF2509" s="70" t="s">
        <v>239</v>
      </c>
      <c r="AW2509" s="70" t="s">
        <v>14361</v>
      </c>
      <c r="AZ2509" s="70">
        <v>745.0</v>
      </c>
    </row>
    <row r="2510" ht="22.5" customHeight="1">
      <c r="A2510" s="70" t="str">
        <f t="shared" si="1"/>
        <v>Excluded</v>
      </c>
      <c r="B2510" s="70">
        <f t="shared" si="2"/>
        <v>0</v>
      </c>
      <c r="C2510" s="70">
        <v>0.0</v>
      </c>
      <c r="D2510" s="70">
        <v>0.0</v>
      </c>
      <c r="E2510" s="70">
        <v>0.0</v>
      </c>
      <c r="F2510" s="70">
        <v>0.0</v>
      </c>
      <c r="G2510" s="70">
        <v>0.0</v>
      </c>
      <c r="H2510" s="70" t="s">
        <v>7617</v>
      </c>
      <c r="I2510" s="70">
        <v>732.0</v>
      </c>
      <c r="J2510" s="70" t="s">
        <v>31064</v>
      </c>
      <c r="K2510" s="70" t="s">
        <v>7615</v>
      </c>
      <c r="L2510" s="70" t="s">
        <v>7616</v>
      </c>
      <c r="P2510" s="76">
        <v>43475.0</v>
      </c>
      <c r="U2510" s="70" t="s">
        <v>239</v>
      </c>
      <c r="W2510" s="70" t="s">
        <v>7619</v>
      </c>
      <c r="X2510" s="70" t="s">
        <v>7620</v>
      </c>
      <c r="Z2510" s="75" t="s">
        <v>7621</v>
      </c>
      <c r="AA2510" s="70" t="s">
        <v>7622</v>
      </c>
      <c r="AC2510" s="70">
        <v>3.0</v>
      </c>
      <c r="AE2510" s="70">
        <v>18.0</v>
      </c>
      <c r="AF2510" s="70" t="s">
        <v>239</v>
      </c>
      <c r="AW2510" s="70" t="s">
        <v>7623</v>
      </c>
      <c r="AX2510" s="70">
        <v>0.0</v>
      </c>
      <c r="AY2510" s="70" t="s">
        <v>24</v>
      </c>
      <c r="AZ2510" s="70">
        <v>2632.0</v>
      </c>
    </row>
    <row r="2511" ht="22.5" customHeight="1">
      <c r="A2511" s="70" t="str">
        <f t="shared" si="1"/>
        <v>Excluded</v>
      </c>
      <c r="B2511" s="70">
        <f t="shared" si="2"/>
        <v>0</v>
      </c>
      <c r="C2511" s="70">
        <v>0.0</v>
      </c>
      <c r="D2511" s="70">
        <v>0.0</v>
      </c>
      <c r="E2511" s="70">
        <v>0.0</v>
      </c>
      <c r="F2511" s="70">
        <v>0.0</v>
      </c>
      <c r="G2511" s="70">
        <v>0.0</v>
      </c>
      <c r="H2511" s="70" t="s">
        <v>9144</v>
      </c>
      <c r="I2511" s="70">
        <v>890.0</v>
      </c>
      <c r="J2511" s="70" t="s">
        <v>9142</v>
      </c>
      <c r="K2511" s="70" t="s">
        <v>9143</v>
      </c>
      <c r="L2511" s="70" t="s">
        <v>7616</v>
      </c>
      <c r="P2511" s="76">
        <v>43475.0</v>
      </c>
      <c r="U2511" s="70" t="s">
        <v>239</v>
      </c>
      <c r="W2511" s="70" t="s">
        <v>9146</v>
      </c>
      <c r="X2511" s="70" t="s">
        <v>7620</v>
      </c>
      <c r="Z2511" s="75" t="s">
        <v>9147</v>
      </c>
      <c r="AA2511" s="70" t="s">
        <v>9148</v>
      </c>
      <c r="AC2511" s="70">
        <v>1.0</v>
      </c>
      <c r="AE2511" s="70">
        <v>19.0</v>
      </c>
      <c r="AF2511" s="70" t="s">
        <v>239</v>
      </c>
      <c r="AW2511" s="70" t="s">
        <v>9149</v>
      </c>
      <c r="AX2511" s="70">
        <v>0.0</v>
      </c>
      <c r="AY2511" s="70" t="s">
        <v>24</v>
      </c>
      <c r="AZ2511" s="70">
        <v>2665.0</v>
      </c>
    </row>
    <row r="2512" ht="22.5" customHeight="1">
      <c r="A2512" s="70" t="str">
        <f t="shared" si="1"/>
        <v>Excluded</v>
      </c>
      <c r="B2512" s="70">
        <f t="shared" si="2"/>
        <v>0</v>
      </c>
      <c r="C2512" s="70">
        <v>0.0</v>
      </c>
      <c r="D2512" s="70">
        <v>0.0</v>
      </c>
      <c r="E2512" s="70">
        <v>0.0</v>
      </c>
      <c r="F2512" s="70">
        <v>0.0</v>
      </c>
      <c r="G2512" s="70">
        <v>0.0</v>
      </c>
      <c r="H2512" s="70" t="s">
        <v>6974</v>
      </c>
      <c r="I2512" s="70">
        <v>665.0</v>
      </c>
      <c r="J2512" s="70" t="s">
        <v>6971</v>
      </c>
      <c r="K2512" s="70" t="s">
        <v>6972</v>
      </c>
      <c r="L2512" s="70" t="s">
        <v>6973</v>
      </c>
      <c r="P2512" s="76">
        <v>42443.0</v>
      </c>
      <c r="U2512" s="70" t="s">
        <v>239</v>
      </c>
      <c r="W2512" s="70" t="s">
        <v>6976</v>
      </c>
      <c r="X2512" s="70" t="s">
        <v>6977</v>
      </c>
      <c r="Z2512" s="75" t="s">
        <v>6978</v>
      </c>
      <c r="AA2512" s="70" t="s">
        <v>6979</v>
      </c>
      <c r="AC2512" s="70">
        <v>5.0</v>
      </c>
      <c r="AE2512" s="70">
        <v>19.0</v>
      </c>
      <c r="AW2512" s="70" t="s">
        <v>6980</v>
      </c>
      <c r="AX2512" s="70">
        <v>0.0</v>
      </c>
      <c r="AY2512" s="70" t="s">
        <v>24</v>
      </c>
      <c r="AZ2512" s="70">
        <v>1875.0</v>
      </c>
    </row>
    <row r="2513" ht="22.5" customHeight="1">
      <c r="A2513" s="70" t="str">
        <f t="shared" si="1"/>
        <v>Excluded</v>
      </c>
      <c r="B2513" s="70">
        <f t="shared" si="2"/>
        <v>0</v>
      </c>
      <c r="C2513" s="70">
        <v>0.0</v>
      </c>
      <c r="D2513" s="70">
        <v>0.0</v>
      </c>
      <c r="E2513" s="70">
        <v>0.0</v>
      </c>
      <c r="F2513" s="70">
        <v>0.0</v>
      </c>
      <c r="G2513" s="70">
        <v>0.0</v>
      </c>
      <c r="H2513" s="70" t="s">
        <v>27778</v>
      </c>
      <c r="I2513" s="70">
        <v>2997.0</v>
      </c>
      <c r="J2513" s="70" t="s">
        <v>27776</v>
      </c>
      <c r="K2513" s="70" t="s">
        <v>27777</v>
      </c>
      <c r="W2513" s="70" t="s">
        <v>31065</v>
      </c>
      <c r="AA2513" s="70" t="s">
        <v>27780</v>
      </c>
      <c r="AI2513" s="70" t="s">
        <v>27781</v>
      </c>
      <c r="AJ2513" s="70" t="s">
        <v>27782</v>
      </c>
      <c r="AK2513" s="70">
        <v>2020.0</v>
      </c>
      <c r="AL2513" s="70" t="s">
        <v>27783</v>
      </c>
      <c r="AM2513" s="70">
        <v>9302768.0</v>
      </c>
      <c r="AN2513" s="70">
        <v>354.0</v>
      </c>
      <c r="AO2513" s="70">
        <v>359.0</v>
      </c>
      <c r="AP2513" s="70">
        <v>5.0</v>
      </c>
      <c r="AQ2513" s="70">
        <v>15.0</v>
      </c>
      <c r="AR2513" s="75" t="s">
        <v>27784</v>
      </c>
      <c r="AS2513" s="70" t="s">
        <v>22525</v>
      </c>
      <c r="AU2513" s="70" t="s">
        <v>237</v>
      </c>
      <c r="AV2513" s="70" t="s">
        <v>27785</v>
      </c>
      <c r="AW2513" s="70" t="s">
        <v>27786</v>
      </c>
      <c r="AZ2513" s="70">
        <v>576.0</v>
      </c>
    </row>
    <row r="2514" ht="22.5" customHeight="1">
      <c r="A2514" s="70" t="str">
        <f t="shared" si="1"/>
        <v>Excluded</v>
      </c>
      <c r="B2514" s="70">
        <f t="shared" si="2"/>
        <v>0</v>
      </c>
      <c r="C2514" s="70">
        <v>0.0</v>
      </c>
      <c r="D2514" s="70">
        <v>0.0</v>
      </c>
      <c r="E2514" s="70">
        <v>0.0</v>
      </c>
      <c r="F2514" s="70">
        <v>0.0</v>
      </c>
      <c r="G2514" s="70">
        <v>0.0</v>
      </c>
      <c r="H2514" s="70" t="s">
        <v>10598</v>
      </c>
      <c r="I2514" s="70">
        <v>1045.0</v>
      </c>
      <c r="K2514" s="70" t="s">
        <v>10597</v>
      </c>
      <c r="L2514" s="70" t="s">
        <v>7110</v>
      </c>
      <c r="P2514" s="76">
        <v>44999.0</v>
      </c>
      <c r="U2514" s="70" t="s">
        <v>239</v>
      </c>
      <c r="X2514" s="70" t="s">
        <v>7114</v>
      </c>
      <c r="Z2514" s="75" t="s">
        <v>10599</v>
      </c>
      <c r="AF2514" s="70" t="s">
        <v>239</v>
      </c>
      <c r="AZ2514" s="70">
        <v>1584.0</v>
      </c>
    </row>
    <row r="2515" ht="22.5" customHeight="1">
      <c r="A2515" s="70" t="str">
        <f t="shared" si="1"/>
        <v>Excluded</v>
      </c>
      <c r="B2515" s="70">
        <f t="shared" si="2"/>
        <v>0</v>
      </c>
      <c r="C2515" s="70">
        <v>0.0</v>
      </c>
      <c r="D2515" s="70">
        <v>0.0</v>
      </c>
      <c r="E2515" s="70">
        <v>0.0</v>
      </c>
      <c r="F2515" s="70">
        <v>0.0</v>
      </c>
      <c r="G2515" s="70">
        <v>0.0</v>
      </c>
      <c r="H2515" s="70" t="s">
        <v>9462</v>
      </c>
      <c r="I2515" s="70">
        <v>924.0</v>
      </c>
      <c r="J2515" s="70" t="s">
        <v>9460</v>
      </c>
      <c r="K2515" s="70" t="s">
        <v>9461</v>
      </c>
      <c r="L2515" s="70" t="s">
        <v>7110</v>
      </c>
      <c r="P2515" s="76">
        <v>44999.0</v>
      </c>
      <c r="U2515" s="70" t="s">
        <v>239</v>
      </c>
      <c r="W2515" s="70" t="s">
        <v>9464</v>
      </c>
      <c r="X2515" s="70" t="s">
        <v>7114</v>
      </c>
      <c r="Z2515" s="75" t="s">
        <v>9465</v>
      </c>
      <c r="AA2515" s="70" t="s">
        <v>9466</v>
      </c>
      <c r="AE2515" s="70">
        <v>24.0</v>
      </c>
      <c r="AF2515" s="70" t="s">
        <v>239</v>
      </c>
      <c r="AW2515" s="70" t="s">
        <v>9467</v>
      </c>
      <c r="AZ2515" s="70">
        <v>900.0</v>
      </c>
    </row>
    <row r="2516" ht="22.5" customHeight="1">
      <c r="A2516" s="70" t="str">
        <f t="shared" si="1"/>
        <v>Excluded</v>
      </c>
      <c r="B2516" s="70">
        <f t="shared" si="2"/>
        <v>0</v>
      </c>
      <c r="C2516" s="70">
        <v>0.0</v>
      </c>
      <c r="D2516" s="70">
        <v>0.0</v>
      </c>
      <c r="E2516" s="70">
        <v>0.0</v>
      </c>
      <c r="F2516" s="70">
        <v>0.0</v>
      </c>
      <c r="G2516" s="70">
        <v>0.0</v>
      </c>
      <c r="H2516" s="70" t="s">
        <v>27198</v>
      </c>
      <c r="I2516" s="70">
        <v>2940.0</v>
      </c>
      <c r="J2516" s="70" t="s">
        <v>27196</v>
      </c>
      <c r="K2516" s="70" t="s">
        <v>27197</v>
      </c>
      <c r="W2516" s="70" t="s">
        <v>31066</v>
      </c>
      <c r="AA2516" s="70" t="s">
        <v>27200</v>
      </c>
      <c r="AI2516" s="70" t="s">
        <v>27201</v>
      </c>
      <c r="AJ2516" s="70" t="s">
        <v>27202</v>
      </c>
      <c r="AK2516" s="70">
        <v>2022.0</v>
      </c>
      <c r="AL2516" s="70" t="s">
        <v>27203</v>
      </c>
      <c r="AN2516" s="70">
        <v>279.0</v>
      </c>
      <c r="AO2516" s="70">
        <v>284.0</v>
      </c>
      <c r="AP2516" s="70">
        <v>5.0</v>
      </c>
      <c r="AQ2516" s="70">
        <v>0.0</v>
      </c>
      <c r="AR2516" s="75" t="s">
        <v>27204</v>
      </c>
      <c r="AS2516" s="70" t="s">
        <v>22525</v>
      </c>
      <c r="AU2516" s="70" t="s">
        <v>237</v>
      </c>
      <c r="AV2516" s="70" t="s">
        <v>27205</v>
      </c>
      <c r="AW2516" s="70" t="s">
        <v>27206</v>
      </c>
      <c r="AX2516" s="70">
        <v>0.0</v>
      </c>
      <c r="AY2516" s="70" t="s">
        <v>24</v>
      </c>
      <c r="AZ2516" s="70">
        <v>2763.0</v>
      </c>
    </row>
    <row r="2517" ht="22.5" customHeight="1">
      <c r="A2517" s="70" t="str">
        <f t="shared" si="1"/>
        <v>Excluded</v>
      </c>
      <c r="B2517" s="70">
        <f t="shared" si="2"/>
        <v>0</v>
      </c>
      <c r="C2517" s="70">
        <v>0.0</v>
      </c>
      <c r="D2517" s="70">
        <v>0.0</v>
      </c>
      <c r="E2517" s="70">
        <v>0.0</v>
      </c>
      <c r="F2517" s="70">
        <v>0.0</v>
      </c>
      <c r="G2517" s="70">
        <v>0.0</v>
      </c>
      <c r="H2517" s="70" t="s">
        <v>10085</v>
      </c>
      <c r="I2517" s="70">
        <v>989.0</v>
      </c>
      <c r="J2517" s="70" t="s">
        <v>10083</v>
      </c>
      <c r="K2517" s="70" t="s">
        <v>10084</v>
      </c>
      <c r="L2517" s="70" t="s">
        <v>7110</v>
      </c>
      <c r="P2517" s="76">
        <v>44999.0</v>
      </c>
      <c r="U2517" s="70" t="s">
        <v>239</v>
      </c>
      <c r="W2517" s="70" t="s">
        <v>10087</v>
      </c>
      <c r="X2517" s="70" t="s">
        <v>7114</v>
      </c>
      <c r="Z2517" s="75" t="s">
        <v>10088</v>
      </c>
      <c r="AA2517" s="70" t="s">
        <v>10089</v>
      </c>
      <c r="AE2517" s="70">
        <v>17.0</v>
      </c>
      <c r="AF2517" s="70" t="s">
        <v>239</v>
      </c>
      <c r="AW2517" s="70" t="s">
        <v>10090</v>
      </c>
      <c r="AZ2517" s="70">
        <v>926.0</v>
      </c>
    </row>
    <row r="2518" ht="22.5" customHeight="1">
      <c r="A2518" s="70" t="str">
        <f t="shared" si="1"/>
        <v>Excluded</v>
      </c>
      <c r="B2518" s="70">
        <f t="shared" si="2"/>
        <v>0</v>
      </c>
      <c r="C2518" s="70">
        <v>0.0</v>
      </c>
      <c r="D2518" s="70">
        <v>0.0</v>
      </c>
      <c r="E2518" s="70">
        <v>0.0</v>
      </c>
      <c r="F2518" s="70">
        <v>0.0</v>
      </c>
      <c r="G2518" s="70">
        <v>0.0</v>
      </c>
      <c r="H2518" s="70" t="s">
        <v>7111</v>
      </c>
      <c r="I2518" s="70">
        <v>679.0</v>
      </c>
      <c r="J2518" s="70" t="s">
        <v>7108</v>
      </c>
      <c r="K2518" s="70" t="s">
        <v>7109</v>
      </c>
      <c r="L2518" s="70" t="s">
        <v>7110</v>
      </c>
      <c r="P2518" s="76">
        <v>44999.0</v>
      </c>
      <c r="U2518" s="70" t="s">
        <v>239</v>
      </c>
      <c r="W2518" s="70" t="s">
        <v>31067</v>
      </c>
      <c r="X2518" s="70" t="s">
        <v>7114</v>
      </c>
      <c r="Z2518" s="75" t="s">
        <v>7115</v>
      </c>
      <c r="AA2518" s="70" t="s">
        <v>7116</v>
      </c>
      <c r="AC2518" s="70">
        <v>4.0</v>
      </c>
      <c r="AE2518" s="70">
        <v>19.0</v>
      </c>
      <c r="AF2518" s="70" t="s">
        <v>239</v>
      </c>
      <c r="AW2518" s="70" t="s">
        <v>7117</v>
      </c>
      <c r="AX2518" s="70">
        <v>0.0</v>
      </c>
      <c r="AY2518" s="70" t="s">
        <v>24</v>
      </c>
      <c r="AZ2518" s="70">
        <v>2784.0</v>
      </c>
    </row>
    <row r="2519" ht="22.5" customHeight="1">
      <c r="A2519" s="70" t="str">
        <f t="shared" si="1"/>
        <v>Excluded</v>
      </c>
      <c r="B2519" s="70">
        <f t="shared" si="2"/>
        <v>0</v>
      </c>
      <c r="C2519" s="70">
        <v>0.0</v>
      </c>
      <c r="D2519" s="70">
        <v>0.0</v>
      </c>
      <c r="E2519" s="70">
        <v>0.0</v>
      </c>
      <c r="F2519" s="70">
        <v>0.0</v>
      </c>
      <c r="G2519" s="70">
        <v>0.0</v>
      </c>
      <c r="H2519" s="70" t="s">
        <v>8027</v>
      </c>
      <c r="I2519" s="70">
        <v>774.0</v>
      </c>
      <c r="J2519" s="70" t="s">
        <v>8024</v>
      </c>
      <c r="K2519" s="70" t="s">
        <v>8025</v>
      </c>
      <c r="L2519" s="70" t="s">
        <v>8026</v>
      </c>
      <c r="P2519" s="76">
        <v>43762.0</v>
      </c>
      <c r="U2519" s="70" t="s">
        <v>239</v>
      </c>
      <c r="W2519" s="70" t="s">
        <v>8029</v>
      </c>
      <c r="X2519" s="70" t="s">
        <v>8030</v>
      </c>
      <c r="Z2519" s="75" t="s">
        <v>8031</v>
      </c>
      <c r="AA2519" s="70" t="s">
        <v>8032</v>
      </c>
      <c r="AC2519" s="70">
        <v>2.0</v>
      </c>
      <c r="AE2519" s="70">
        <v>9.0</v>
      </c>
      <c r="AF2519" s="70" t="s">
        <v>239</v>
      </c>
      <c r="AW2519" s="70" t="s">
        <v>8033</v>
      </c>
      <c r="AX2519" s="70">
        <v>0.0</v>
      </c>
      <c r="AY2519" s="70" t="s">
        <v>24</v>
      </c>
      <c r="AZ2519" s="70">
        <v>2838.0</v>
      </c>
    </row>
    <row r="2520" ht="22.5" customHeight="1">
      <c r="A2520" s="70" t="str">
        <f t="shared" si="1"/>
        <v>Excluded</v>
      </c>
      <c r="B2520" s="70">
        <f t="shared" si="2"/>
        <v>0</v>
      </c>
      <c r="C2520" s="70">
        <v>0.0</v>
      </c>
      <c r="D2520" s="70">
        <v>0.0</v>
      </c>
      <c r="E2520" s="70">
        <v>0.0</v>
      </c>
      <c r="F2520" s="70">
        <v>0.0</v>
      </c>
      <c r="G2520" s="70">
        <v>0.0</v>
      </c>
      <c r="H2520" s="70" t="s">
        <v>9671</v>
      </c>
      <c r="I2520" s="70">
        <v>946.0</v>
      </c>
      <c r="J2520" s="70" t="s">
        <v>9668</v>
      </c>
      <c r="K2520" s="70" t="s">
        <v>9669</v>
      </c>
      <c r="L2520" s="70" t="s">
        <v>9670</v>
      </c>
      <c r="P2520" s="76">
        <v>43279.0</v>
      </c>
      <c r="U2520" s="70" t="s">
        <v>239</v>
      </c>
      <c r="W2520" s="70" t="s">
        <v>9673</v>
      </c>
      <c r="X2520" s="70" t="s">
        <v>9674</v>
      </c>
      <c r="Z2520" s="75" t="s">
        <v>9675</v>
      </c>
      <c r="AA2520" s="70" t="s">
        <v>9676</v>
      </c>
      <c r="AE2520" s="70">
        <v>25.0</v>
      </c>
      <c r="AF2520" s="70" t="s">
        <v>239</v>
      </c>
      <c r="AW2520" s="70" t="s">
        <v>9677</v>
      </c>
      <c r="AX2520" s="70">
        <v>0.0</v>
      </c>
      <c r="AY2520" s="70" t="s">
        <v>24</v>
      </c>
      <c r="AZ2520" s="70">
        <v>2469.0</v>
      </c>
    </row>
    <row r="2521" ht="22.5" customHeight="1">
      <c r="A2521" s="70" t="str">
        <f t="shared" si="1"/>
        <v>Excluded</v>
      </c>
      <c r="B2521" s="70">
        <f t="shared" si="2"/>
        <v>0</v>
      </c>
      <c r="C2521" s="70">
        <v>0.0</v>
      </c>
      <c r="D2521" s="70">
        <v>0.0</v>
      </c>
      <c r="E2521" s="70">
        <v>0.0</v>
      </c>
      <c r="F2521" s="70">
        <v>0.0</v>
      </c>
      <c r="G2521" s="70">
        <v>0.0</v>
      </c>
      <c r="H2521" s="70" t="s">
        <v>14702</v>
      </c>
      <c r="I2521" s="70">
        <v>1533.0</v>
      </c>
      <c r="J2521" s="70" t="s">
        <v>14699</v>
      </c>
      <c r="K2521" s="70" t="s">
        <v>14700</v>
      </c>
      <c r="L2521" s="70" t="s">
        <v>14701</v>
      </c>
      <c r="P2521" s="76">
        <v>45643.0</v>
      </c>
      <c r="U2521" s="70" t="s">
        <v>239</v>
      </c>
      <c r="W2521" s="70" t="s">
        <v>14704</v>
      </c>
      <c r="X2521" s="70" t="s">
        <v>14705</v>
      </c>
      <c r="Z2521" s="75" t="s">
        <v>14706</v>
      </c>
      <c r="AA2521" s="70" t="s">
        <v>14707</v>
      </c>
      <c r="AE2521" s="70">
        <v>52.0</v>
      </c>
      <c r="AF2521" s="70" t="s">
        <v>239</v>
      </c>
      <c r="AW2521" s="70" t="s">
        <v>14708</v>
      </c>
      <c r="AX2521" s="70">
        <v>0.0</v>
      </c>
      <c r="AY2521" s="70" t="s">
        <v>24</v>
      </c>
      <c r="AZ2521" s="70">
        <v>2849.0</v>
      </c>
    </row>
    <row r="2522" ht="22.5" customHeight="1">
      <c r="A2522" s="70" t="str">
        <f t="shared" si="1"/>
        <v>Excluded</v>
      </c>
      <c r="B2522" s="70">
        <f t="shared" si="2"/>
        <v>0</v>
      </c>
      <c r="C2522" s="70">
        <v>0.0</v>
      </c>
      <c r="D2522" s="70">
        <v>0.0</v>
      </c>
      <c r="E2522" s="70">
        <v>0.0</v>
      </c>
      <c r="F2522" s="70">
        <v>0.0</v>
      </c>
      <c r="G2522" s="70">
        <v>0.0</v>
      </c>
      <c r="H2522" s="70" t="s">
        <v>28190</v>
      </c>
      <c r="I2522" s="70">
        <v>3037.0</v>
      </c>
      <c r="J2522" s="70" t="s">
        <v>28188</v>
      </c>
      <c r="K2522" s="70" t="s">
        <v>28189</v>
      </c>
      <c r="W2522" s="70" t="s">
        <v>31068</v>
      </c>
      <c r="AA2522" s="70" t="s">
        <v>28192</v>
      </c>
      <c r="AI2522" s="70" t="s">
        <v>28193</v>
      </c>
      <c r="AJ2522" s="70" t="s">
        <v>28194</v>
      </c>
      <c r="AK2522" s="70">
        <v>2021.0</v>
      </c>
      <c r="AL2522" s="70" t="s">
        <v>28195</v>
      </c>
      <c r="AN2522" s="70">
        <v>308.0</v>
      </c>
      <c r="AO2522" s="70">
        <v>313.0</v>
      </c>
      <c r="AP2522" s="70">
        <v>5.0</v>
      </c>
      <c r="AQ2522" s="70">
        <v>0.0</v>
      </c>
      <c r="AR2522" s="75" t="s">
        <v>28196</v>
      </c>
      <c r="AS2522" s="70" t="s">
        <v>22525</v>
      </c>
      <c r="AU2522" s="70" t="s">
        <v>237</v>
      </c>
      <c r="AV2522" s="70" t="s">
        <v>28197</v>
      </c>
      <c r="AW2522" s="70" t="s">
        <v>28198</v>
      </c>
      <c r="AZ2522" s="70">
        <v>1262.0</v>
      </c>
    </row>
    <row r="2523" ht="22.5" customHeight="1">
      <c r="A2523" s="70" t="str">
        <f t="shared" si="1"/>
        <v>Excluded</v>
      </c>
      <c r="B2523" s="70">
        <f t="shared" si="2"/>
        <v>0</v>
      </c>
      <c r="C2523" s="70">
        <v>0.0</v>
      </c>
      <c r="D2523" s="70">
        <v>0.0</v>
      </c>
      <c r="E2523" s="70">
        <v>0.0</v>
      </c>
      <c r="F2523" s="70">
        <v>0.0</v>
      </c>
      <c r="G2523" s="70">
        <v>0.0</v>
      </c>
      <c r="H2523" s="70" t="s">
        <v>6775</v>
      </c>
      <c r="I2523" s="70">
        <v>645.0</v>
      </c>
      <c r="J2523" s="70" t="s">
        <v>6772</v>
      </c>
      <c r="K2523" s="70" t="s">
        <v>6773</v>
      </c>
      <c r="L2523" s="70" t="s">
        <v>6774</v>
      </c>
      <c r="N2523" s="70" t="s">
        <v>5795</v>
      </c>
      <c r="P2523" s="76">
        <v>44242.0</v>
      </c>
      <c r="U2523" s="70" t="s">
        <v>239</v>
      </c>
      <c r="W2523" s="70" t="s">
        <v>6777</v>
      </c>
      <c r="X2523" s="70" t="s">
        <v>6778</v>
      </c>
      <c r="Z2523" s="75" t="s">
        <v>6779</v>
      </c>
      <c r="AA2523" s="70" t="s">
        <v>6780</v>
      </c>
      <c r="AC2523" s="70">
        <v>5.0</v>
      </c>
      <c r="AE2523" s="70">
        <v>20.0</v>
      </c>
      <c r="AF2523" s="70" t="s">
        <v>239</v>
      </c>
      <c r="AW2523" s="70" t="s">
        <v>6781</v>
      </c>
      <c r="AZ2523" s="70">
        <v>310.0</v>
      </c>
    </row>
    <row r="2524" ht="22.5" customHeight="1">
      <c r="A2524" s="70" t="str">
        <f t="shared" si="1"/>
        <v>Excluded</v>
      </c>
      <c r="B2524" s="70">
        <f t="shared" si="2"/>
        <v>0</v>
      </c>
      <c r="C2524" s="70">
        <v>0.0</v>
      </c>
      <c r="D2524" s="70">
        <v>0.0</v>
      </c>
      <c r="E2524" s="70">
        <v>0.0</v>
      </c>
      <c r="F2524" s="70">
        <v>0.0</v>
      </c>
      <c r="G2524" s="70">
        <v>0.0</v>
      </c>
      <c r="H2524" s="70" t="s">
        <v>7667</v>
      </c>
      <c r="I2524" s="70">
        <v>737.0</v>
      </c>
      <c r="J2524" s="70" t="s">
        <v>7664</v>
      </c>
      <c r="K2524" s="70" t="s">
        <v>7665</v>
      </c>
      <c r="L2524" s="70" t="s">
        <v>7666</v>
      </c>
      <c r="N2524" s="70" t="s">
        <v>5795</v>
      </c>
      <c r="P2524" s="76">
        <v>44012.0</v>
      </c>
      <c r="U2524" s="70" t="s">
        <v>239</v>
      </c>
      <c r="W2524" s="70" t="s">
        <v>7669</v>
      </c>
      <c r="X2524" s="70" t="s">
        <v>7670</v>
      </c>
      <c r="Z2524" s="75" t="s">
        <v>7671</v>
      </c>
      <c r="AC2524" s="70">
        <v>3.0</v>
      </c>
      <c r="AE2524" s="70">
        <v>13.0</v>
      </c>
      <c r="AF2524" s="70" t="s">
        <v>239</v>
      </c>
      <c r="AW2524" s="70" t="s">
        <v>7672</v>
      </c>
      <c r="AX2524" s="70">
        <v>0.0</v>
      </c>
      <c r="AY2524" s="70" t="s">
        <v>24</v>
      </c>
      <c r="AZ2524" s="70">
        <v>2883.0</v>
      </c>
    </row>
    <row r="2525" ht="22.5" customHeight="1">
      <c r="A2525" s="70" t="str">
        <f t="shared" si="1"/>
        <v>Excluded</v>
      </c>
      <c r="B2525" s="70">
        <f t="shared" si="2"/>
        <v>0</v>
      </c>
      <c r="C2525" s="70">
        <v>0.0</v>
      </c>
      <c r="D2525" s="70">
        <v>0.0</v>
      </c>
      <c r="E2525" s="70">
        <v>0.0</v>
      </c>
      <c r="F2525" s="70">
        <v>0.0</v>
      </c>
      <c r="G2525" s="70">
        <v>0.0</v>
      </c>
      <c r="H2525" s="70" t="s">
        <v>7498</v>
      </c>
      <c r="I2525" s="70">
        <v>720.0</v>
      </c>
      <c r="J2525" s="70" t="s">
        <v>7495</v>
      </c>
      <c r="K2525" s="70" t="s">
        <v>7496</v>
      </c>
      <c r="L2525" s="70" t="s">
        <v>7497</v>
      </c>
      <c r="N2525" s="70" t="s">
        <v>5795</v>
      </c>
      <c r="P2525" s="76">
        <v>44944.0</v>
      </c>
      <c r="U2525" s="70" t="s">
        <v>239</v>
      </c>
      <c r="W2525" s="70" t="s">
        <v>31069</v>
      </c>
      <c r="X2525" s="70" t="s">
        <v>7501</v>
      </c>
      <c r="Z2525" s="75" t="s">
        <v>7502</v>
      </c>
      <c r="AA2525" s="70" t="s">
        <v>7503</v>
      </c>
      <c r="AC2525" s="70">
        <v>3.0</v>
      </c>
      <c r="AE2525" s="70">
        <v>17.0</v>
      </c>
      <c r="AF2525" s="70" t="s">
        <v>239</v>
      </c>
      <c r="AW2525" s="70" t="s">
        <v>7504</v>
      </c>
      <c r="AZ2525" s="70">
        <v>472.0</v>
      </c>
    </row>
    <row r="2526" ht="22.5" customHeight="1">
      <c r="A2526" s="70" t="str">
        <f t="shared" si="1"/>
        <v>Excluded</v>
      </c>
      <c r="B2526" s="70">
        <f t="shared" si="2"/>
        <v>0</v>
      </c>
      <c r="C2526" s="70">
        <v>0.0</v>
      </c>
      <c r="D2526" s="70">
        <v>0.0</v>
      </c>
      <c r="E2526" s="70">
        <v>0.0</v>
      </c>
      <c r="F2526" s="70">
        <v>0.0</v>
      </c>
      <c r="G2526" s="70">
        <v>0.0</v>
      </c>
      <c r="H2526" s="70" t="s">
        <v>5796</v>
      </c>
      <c r="I2526" s="70">
        <v>546.0</v>
      </c>
      <c r="J2526" s="70" t="s">
        <v>5792</v>
      </c>
      <c r="K2526" s="70" t="s">
        <v>5793</v>
      </c>
      <c r="L2526" s="70" t="s">
        <v>5794</v>
      </c>
      <c r="N2526" s="70" t="s">
        <v>5795</v>
      </c>
      <c r="P2526" s="76">
        <v>44798.0</v>
      </c>
      <c r="U2526" s="70" t="s">
        <v>239</v>
      </c>
      <c r="W2526" s="70" t="s">
        <v>5798</v>
      </c>
      <c r="X2526" s="70" t="s">
        <v>5799</v>
      </c>
      <c r="Y2526" s="70" t="s">
        <v>31070</v>
      </c>
      <c r="Z2526" s="75" t="s">
        <v>5801</v>
      </c>
      <c r="AA2526" s="70" t="s">
        <v>5802</v>
      </c>
      <c r="AC2526" s="70">
        <v>9.0</v>
      </c>
      <c r="AE2526" s="70">
        <v>20.0</v>
      </c>
      <c r="AF2526" s="70" t="s">
        <v>239</v>
      </c>
      <c r="AW2526" s="70" t="s">
        <v>5803</v>
      </c>
      <c r="AX2526" s="70">
        <v>0.0</v>
      </c>
      <c r="AY2526" s="70" t="s">
        <v>24</v>
      </c>
      <c r="AZ2526" s="70">
        <v>2688.0</v>
      </c>
    </row>
    <row r="2527" ht="22.5" customHeight="1">
      <c r="A2527" s="70" t="str">
        <f t="shared" si="1"/>
        <v>Excluded</v>
      </c>
      <c r="B2527" s="70">
        <f t="shared" si="2"/>
        <v>0</v>
      </c>
      <c r="C2527" s="70">
        <v>0.0</v>
      </c>
      <c r="D2527" s="70">
        <v>0.0</v>
      </c>
      <c r="E2527" s="70">
        <v>0.0</v>
      </c>
      <c r="F2527" s="70">
        <v>0.0</v>
      </c>
      <c r="G2527" s="70">
        <v>0.0</v>
      </c>
      <c r="H2527" s="70" t="s">
        <v>11002</v>
      </c>
      <c r="I2527" s="70">
        <v>1146.0</v>
      </c>
      <c r="K2527" s="70" t="s">
        <v>10824</v>
      </c>
      <c r="L2527" s="70" t="s">
        <v>5794</v>
      </c>
      <c r="N2527" s="70" t="s">
        <v>5795</v>
      </c>
      <c r="P2527" s="76">
        <v>44798.0</v>
      </c>
      <c r="U2527" s="70" t="s">
        <v>239</v>
      </c>
      <c r="W2527" s="70" t="s">
        <v>11003</v>
      </c>
      <c r="X2527" s="70" t="s">
        <v>5799</v>
      </c>
      <c r="Z2527" s="75" t="s">
        <v>11004</v>
      </c>
      <c r="AF2527" s="70" t="s">
        <v>239</v>
      </c>
      <c r="AZ2527" s="70">
        <v>1498.0</v>
      </c>
    </row>
    <row r="2528" ht="22.5" customHeight="1">
      <c r="A2528" s="70" t="str">
        <f t="shared" si="1"/>
        <v>Excluded</v>
      </c>
      <c r="B2528" s="70">
        <f t="shared" si="2"/>
        <v>0</v>
      </c>
      <c r="C2528" s="70">
        <v>0.0</v>
      </c>
      <c r="D2528" s="70">
        <v>0.0</v>
      </c>
      <c r="E2528" s="70">
        <v>0.0</v>
      </c>
      <c r="F2528" s="70">
        <v>0.0</v>
      </c>
      <c r="G2528" s="70">
        <v>0.0</v>
      </c>
      <c r="H2528" s="70" t="s">
        <v>8107</v>
      </c>
      <c r="I2528" s="70">
        <v>783.0</v>
      </c>
      <c r="J2528" s="70" t="s">
        <v>8105</v>
      </c>
      <c r="K2528" s="70" t="s">
        <v>8106</v>
      </c>
      <c r="L2528" s="70" t="s">
        <v>5794</v>
      </c>
      <c r="N2528" s="70" t="s">
        <v>5795</v>
      </c>
      <c r="P2528" s="76">
        <v>44798.0</v>
      </c>
      <c r="U2528" s="70" t="s">
        <v>239</v>
      </c>
      <c r="W2528" s="70" t="s">
        <v>31071</v>
      </c>
      <c r="X2528" s="70" t="s">
        <v>5799</v>
      </c>
      <c r="Z2528" s="75" t="s">
        <v>8110</v>
      </c>
      <c r="AC2528" s="70">
        <v>2.0</v>
      </c>
      <c r="AE2528" s="70">
        <v>15.0</v>
      </c>
      <c r="AF2528" s="70" t="s">
        <v>239</v>
      </c>
      <c r="AW2528" s="70" t="s">
        <v>8111</v>
      </c>
      <c r="AZ2528" s="70">
        <v>1039.0</v>
      </c>
    </row>
    <row r="2529" ht="22.5" customHeight="1">
      <c r="A2529" s="70" t="str">
        <f t="shared" si="1"/>
        <v>Excluded</v>
      </c>
      <c r="B2529" s="70">
        <f t="shared" si="2"/>
        <v>0</v>
      </c>
      <c r="C2529" s="70">
        <v>0.0</v>
      </c>
      <c r="D2529" s="70">
        <v>0.0</v>
      </c>
      <c r="E2529" s="70">
        <v>0.0</v>
      </c>
      <c r="F2529" s="70">
        <v>0.0</v>
      </c>
      <c r="G2529" s="70">
        <v>0.0</v>
      </c>
      <c r="H2529" s="70" t="s">
        <v>13213</v>
      </c>
      <c r="I2529" s="70">
        <v>1377.0</v>
      </c>
      <c r="J2529" s="70" t="s">
        <v>13210</v>
      </c>
      <c r="K2529" s="70" t="s">
        <v>13211</v>
      </c>
      <c r="L2529" s="70" t="s">
        <v>13212</v>
      </c>
      <c r="N2529" s="70" t="s">
        <v>5795</v>
      </c>
      <c r="P2529" s="76">
        <v>45624.0</v>
      </c>
      <c r="U2529" s="70" t="s">
        <v>239</v>
      </c>
      <c r="W2529" s="70" t="s">
        <v>13215</v>
      </c>
      <c r="X2529" s="70" t="s">
        <v>13216</v>
      </c>
      <c r="Z2529" s="75" t="s">
        <v>13217</v>
      </c>
      <c r="AA2529" s="70" t="s">
        <v>13218</v>
      </c>
      <c r="AE2529" s="70">
        <v>12.0</v>
      </c>
      <c r="AF2529" s="70" t="s">
        <v>239</v>
      </c>
      <c r="AW2529" s="70" t="s">
        <v>13219</v>
      </c>
      <c r="AZ2529" s="70">
        <v>1143.0</v>
      </c>
    </row>
    <row r="2530" ht="22.5" customHeight="1">
      <c r="A2530" s="70" t="str">
        <f t="shared" si="1"/>
        <v>Excluded</v>
      </c>
      <c r="B2530" s="70">
        <f t="shared" si="2"/>
        <v>0</v>
      </c>
      <c r="C2530" s="70">
        <v>0.0</v>
      </c>
      <c r="D2530" s="70">
        <v>0.0</v>
      </c>
      <c r="E2530" s="70">
        <v>0.0</v>
      </c>
      <c r="F2530" s="70">
        <v>0.0</v>
      </c>
      <c r="G2530" s="70">
        <v>0.0</v>
      </c>
      <c r="H2530" s="70" t="s">
        <v>16088</v>
      </c>
      <c r="I2530" s="70">
        <v>1719.0</v>
      </c>
      <c r="K2530" s="70" t="s">
        <v>16086</v>
      </c>
      <c r="L2530" s="70" t="s">
        <v>16087</v>
      </c>
      <c r="N2530" s="70" t="s">
        <v>5795</v>
      </c>
      <c r="P2530" s="76">
        <v>45560.0</v>
      </c>
      <c r="U2530" s="70" t="s">
        <v>239</v>
      </c>
      <c r="X2530" s="70" t="s">
        <v>16089</v>
      </c>
      <c r="Z2530" s="75" t="s">
        <v>16090</v>
      </c>
      <c r="AF2530" s="70" t="s">
        <v>239</v>
      </c>
      <c r="AZ2530" s="70">
        <v>1478.0</v>
      </c>
    </row>
    <row r="2531" ht="22.5" customHeight="1">
      <c r="A2531" s="70" t="str">
        <f t="shared" si="1"/>
        <v>Excluded</v>
      </c>
      <c r="B2531" s="70">
        <f t="shared" si="2"/>
        <v>0</v>
      </c>
      <c r="C2531" s="70">
        <v>0.0</v>
      </c>
      <c r="D2531" s="70">
        <v>0.0</v>
      </c>
      <c r="E2531" s="70">
        <v>0.0</v>
      </c>
      <c r="F2531" s="70">
        <v>0.0</v>
      </c>
      <c r="G2531" s="70">
        <v>0.0</v>
      </c>
      <c r="H2531" s="70" t="s">
        <v>24709</v>
      </c>
      <c r="I2531" s="70">
        <v>2698.0</v>
      </c>
      <c r="J2531" s="70" t="s">
        <v>31072</v>
      </c>
      <c r="K2531" s="70" t="s">
        <v>24708</v>
      </c>
      <c r="W2531" s="70" t="s">
        <v>31073</v>
      </c>
      <c r="AI2531" s="70" t="s">
        <v>31074</v>
      </c>
      <c r="AJ2531" s="70" t="s">
        <v>24712</v>
      </c>
      <c r="AK2531" s="70">
        <v>2024.0</v>
      </c>
      <c r="AL2531" s="70" t="s">
        <v>24713</v>
      </c>
      <c r="AQ2531" s="70">
        <v>1.0</v>
      </c>
      <c r="AR2531" s="75" t="s">
        <v>24714</v>
      </c>
      <c r="AS2531" s="70" t="s">
        <v>22525</v>
      </c>
      <c r="AU2531" s="70" t="s">
        <v>237</v>
      </c>
      <c r="AV2531" s="70" t="s">
        <v>24715</v>
      </c>
      <c r="AW2531" s="70" t="s">
        <v>24716</v>
      </c>
      <c r="AZ2531" s="70">
        <v>655.0</v>
      </c>
    </row>
    <row r="2532" ht="22.5" customHeight="1">
      <c r="A2532" s="70" t="str">
        <f t="shared" si="1"/>
        <v>Excluded</v>
      </c>
      <c r="B2532" s="70">
        <f t="shared" si="2"/>
        <v>0</v>
      </c>
      <c r="C2532" s="70">
        <v>0.0</v>
      </c>
      <c r="D2532" s="70">
        <v>0.0</v>
      </c>
      <c r="E2532" s="70">
        <v>0.0</v>
      </c>
      <c r="F2532" s="70">
        <v>0.0</v>
      </c>
      <c r="G2532" s="70">
        <v>0.0</v>
      </c>
      <c r="H2532" s="70" t="s">
        <v>28880</v>
      </c>
      <c r="I2532" s="70">
        <v>3104.0</v>
      </c>
      <c r="J2532" s="70" t="s">
        <v>28878</v>
      </c>
      <c r="K2532" s="70" t="s">
        <v>28879</v>
      </c>
      <c r="W2532" s="70" t="s">
        <v>31075</v>
      </c>
      <c r="AI2532" s="70" t="s">
        <v>28883</v>
      </c>
      <c r="AJ2532" s="70" t="s">
        <v>28884</v>
      </c>
      <c r="AK2532" s="70">
        <v>2017.0</v>
      </c>
      <c r="AL2532" s="70" t="s">
        <v>24713</v>
      </c>
      <c r="AN2532" s="70">
        <v>1.0</v>
      </c>
      <c r="AO2532" s="70">
        <v>7.0</v>
      </c>
      <c r="AP2532" s="70">
        <v>6.0</v>
      </c>
      <c r="AQ2532" s="70">
        <v>1.0</v>
      </c>
      <c r="AR2532" s="75" t="s">
        <v>28885</v>
      </c>
      <c r="AS2532" s="70" t="s">
        <v>22525</v>
      </c>
      <c r="AU2532" s="70" t="s">
        <v>237</v>
      </c>
      <c r="AV2532" s="70" t="s">
        <v>28886</v>
      </c>
      <c r="AW2532" s="70" t="s">
        <v>28887</v>
      </c>
      <c r="AZ2532" s="70">
        <v>158.0</v>
      </c>
    </row>
    <row r="2533" ht="22.5" customHeight="1">
      <c r="A2533" s="70" t="str">
        <f t="shared" si="1"/>
        <v>Excluded</v>
      </c>
      <c r="B2533" s="70">
        <f t="shared" si="2"/>
        <v>0</v>
      </c>
      <c r="C2533" s="70">
        <v>0.0</v>
      </c>
      <c r="D2533" s="70">
        <v>0.0</v>
      </c>
      <c r="E2533" s="70">
        <v>0.0</v>
      </c>
      <c r="F2533" s="70">
        <v>0.0</v>
      </c>
      <c r="G2533" s="70">
        <v>0.0</v>
      </c>
      <c r="H2533" s="70" t="s">
        <v>5085</v>
      </c>
      <c r="I2533" s="70">
        <v>474.0</v>
      </c>
      <c r="J2533" s="70" t="s">
        <v>5082</v>
      </c>
      <c r="K2533" s="70" t="s">
        <v>5083</v>
      </c>
      <c r="L2533" s="70" t="s">
        <v>5084</v>
      </c>
      <c r="P2533" s="76">
        <v>42661.0</v>
      </c>
      <c r="U2533" s="70" t="s">
        <v>239</v>
      </c>
      <c r="W2533" s="70" t="s">
        <v>5087</v>
      </c>
      <c r="X2533" s="70" t="s">
        <v>5088</v>
      </c>
      <c r="Z2533" s="75" t="s">
        <v>5089</v>
      </c>
      <c r="AA2533" s="70" t="s">
        <v>5090</v>
      </c>
      <c r="AC2533" s="70">
        <v>20.0</v>
      </c>
      <c r="AE2533" s="70">
        <v>7.0</v>
      </c>
      <c r="AF2533" s="70" t="s">
        <v>239</v>
      </c>
      <c r="AW2533" s="70" t="s">
        <v>5091</v>
      </c>
      <c r="AZ2533" s="70">
        <v>1110.0</v>
      </c>
    </row>
    <row r="2534" ht="22.5" customHeight="1">
      <c r="A2534" s="70" t="str">
        <f t="shared" si="1"/>
        <v>Excluded</v>
      </c>
      <c r="B2534" s="70">
        <f t="shared" si="2"/>
        <v>0</v>
      </c>
      <c r="C2534" s="70">
        <v>0.0</v>
      </c>
      <c r="D2534" s="70">
        <v>0.0</v>
      </c>
      <c r="E2534" s="70">
        <v>0.0</v>
      </c>
      <c r="F2534" s="70">
        <v>0.0</v>
      </c>
      <c r="G2534" s="70">
        <v>0.0</v>
      </c>
      <c r="H2534" s="70" t="s">
        <v>7073</v>
      </c>
      <c r="I2534" s="70">
        <v>675.0</v>
      </c>
      <c r="J2534" s="70" t="s">
        <v>7071</v>
      </c>
      <c r="K2534" s="70" t="s">
        <v>7072</v>
      </c>
      <c r="L2534" s="70" t="s">
        <v>4931</v>
      </c>
      <c r="P2534" s="76">
        <v>43304.0</v>
      </c>
      <c r="U2534" s="70" t="s">
        <v>239</v>
      </c>
      <c r="W2534" s="70" t="s">
        <v>7075</v>
      </c>
      <c r="X2534" s="70" t="s">
        <v>4935</v>
      </c>
      <c r="Z2534" s="75" t="s">
        <v>7076</v>
      </c>
      <c r="AA2534" s="70" t="s">
        <v>7077</v>
      </c>
      <c r="AC2534" s="70">
        <v>4.0</v>
      </c>
      <c r="AE2534" s="70">
        <v>27.0</v>
      </c>
      <c r="AF2534" s="70" t="s">
        <v>239</v>
      </c>
      <c r="AW2534" s="70" t="s">
        <v>7078</v>
      </c>
      <c r="AZ2534" s="70">
        <v>760.0</v>
      </c>
    </row>
    <row r="2535" ht="22.5" customHeight="1">
      <c r="A2535" s="70" t="str">
        <f t="shared" si="1"/>
        <v>Excluded</v>
      </c>
      <c r="B2535" s="70">
        <f t="shared" si="2"/>
        <v>0</v>
      </c>
      <c r="C2535" s="70">
        <v>0.0</v>
      </c>
      <c r="D2535" s="70">
        <v>0.0</v>
      </c>
      <c r="E2535" s="70">
        <v>0.0</v>
      </c>
      <c r="F2535" s="70">
        <v>0.0</v>
      </c>
      <c r="G2535" s="70">
        <v>0.0</v>
      </c>
      <c r="H2535" s="70" t="s">
        <v>4932</v>
      </c>
      <c r="I2535" s="70">
        <v>459.0</v>
      </c>
      <c r="J2535" s="70" t="s">
        <v>4929</v>
      </c>
      <c r="K2535" s="70" t="s">
        <v>4930</v>
      </c>
      <c r="L2535" s="70" t="s">
        <v>4931</v>
      </c>
      <c r="P2535" s="76">
        <v>43304.0</v>
      </c>
      <c r="U2535" s="70" t="s">
        <v>239</v>
      </c>
      <c r="W2535" s="70" t="s">
        <v>4934</v>
      </c>
      <c r="X2535" s="70" t="s">
        <v>4935</v>
      </c>
      <c r="Z2535" s="75" t="s">
        <v>4936</v>
      </c>
      <c r="AA2535" s="70" t="s">
        <v>4937</v>
      </c>
      <c r="AC2535" s="70">
        <v>26.0</v>
      </c>
      <c r="AE2535" s="70">
        <v>44.0</v>
      </c>
      <c r="AF2535" s="70" t="s">
        <v>239</v>
      </c>
      <c r="AW2535" s="70" t="s">
        <v>4938</v>
      </c>
      <c r="AX2535" s="70">
        <v>0.0</v>
      </c>
      <c r="AY2535" s="70" t="s">
        <v>24</v>
      </c>
      <c r="AZ2535" s="70">
        <v>2340.0</v>
      </c>
    </row>
    <row r="2536" ht="22.5" customHeight="1">
      <c r="A2536" s="70" t="str">
        <f t="shared" si="1"/>
        <v>Excluded</v>
      </c>
      <c r="B2536" s="70">
        <f t="shared" si="2"/>
        <v>0</v>
      </c>
      <c r="C2536" s="70">
        <v>0.0</v>
      </c>
      <c r="D2536" s="70">
        <v>0.0</v>
      </c>
      <c r="E2536" s="70">
        <v>0.0</v>
      </c>
      <c r="F2536" s="70">
        <v>0.0</v>
      </c>
      <c r="G2536" s="70">
        <v>0.0</v>
      </c>
      <c r="H2536" s="70" t="s">
        <v>26263</v>
      </c>
      <c r="I2536" s="70">
        <v>2849.0</v>
      </c>
      <c r="J2536" s="70" t="s">
        <v>26261</v>
      </c>
      <c r="K2536" s="70" t="s">
        <v>26262</v>
      </c>
      <c r="W2536" s="70" t="s">
        <v>31076</v>
      </c>
      <c r="AA2536" s="70" t="s">
        <v>26266</v>
      </c>
      <c r="AI2536" s="70" t="s">
        <v>26267</v>
      </c>
      <c r="AJ2536" s="70" t="s">
        <v>26268</v>
      </c>
      <c r="AK2536" s="70">
        <v>2023.0</v>
      </c>
      <c r="AL2536" s="70" t="s">
        <v>26269</v>
      </c>
      <c r="AQ2536" s="70">
        <v>3.0</v>
      </c>
      <c r="AR2536" s="75" t="s">
        <v>26270</v>
      </c>
      <c r="AS2536" s="70" t="s">
        <v>22525</v>
      </c>
      <c r="AU2536" s="70" t="s">
        <v>237</v>
      </c>
      <c r="AV2536" s="70" t="s">
        <v>26271</v>
      </c>
      <c r="AW2536" s="70" t="s">
        <v>26272</v>
      </c>
      <c r="AX2536" s="70">
        <v>0.0</v>
      </c>
      <c r="AY2536" s="70" t="s">
        <v>24</v>
      </c>
      <c r="AZ2536" s="70">
        <v>1902.0</v>
      </c>
    </row>
    <row r="2537" ht="22.5" customHeight="1">
      <c r="A2537" s="70" t="str">
        <f t="shared" si="1"/>
        <v>Excluded</v>
      </c>
      <c r="B2537" s="70">
        <f t="shared" si="2"/>
        <v>0</v>
      </c>
      <c r="C2537" s="70">
        <v>0.0</v>
      </c>
      <c r="D2537" s="70">
        <v>0.0</v>
      </c>
      <c r="E2537" s="70">
        <v>0.0</v>
      </c>
      <c r="F2537" s="70">
        <v>0.0</v>
      </c>
      <c r="G2537" s="70">
        <v>0.0</v>
      </c>
      <c r="H2537" s="70" t="s">
        <v>15871</v>
      </c>
      <c r="I2537" s="70">
        <v>1662.0</v>
      </c>
      <c r="K2537" s="70" t="s">
        <v>15869</v>
      </c>
      <c r="L2537" s="70" t="s">
        <v>15870</v>
      </c>
      <c r="P2537" s="77">
        <v>45173.0</v>
      </c>
      <c r="U2537" s="70" t="s">
        <v>239</v>
      </c>
      <c r="X2537" s="70" t="s">
        <v>15872</v>
      </c>
      <c r="Z2537" s="75" t="s">
        <v>15873</v>
      </c>
      <c r="AF2537" s="70" t="s">
        <v>239</v>
      </c>
      <c r="AZ2537" s="70">
        <v>1291.0</v>
      </c>
    </row>
    <row r="2538" ht="22.5" customHeight="1">
      <c r="A2538" s="70" t="str">
        <f t="shared" si="1"/>
        <v>Excluded</v>
      </c>
      <c r="B2538" s="70">
        <f t="shared" si="2"/>
        <v>0</v>
      </c>
      <c r="C2538" s="70">
        <v>0.0</v>
      </c>
      <c r="D2538" s="70">
        <v>0.0</v>
      </c>
      <c r="E2538" s="70">
        <v>0.0</v>
      </c>
      <c r="F2538" s="70">
        <v>0.0</v>
      </c>
      <c r="G2538" s="70">
        <v>0.0</v>
      </c>
      <c r="H2538" s="70" t="s">
        <v>7459</v>
      </c>
      <c r="I2538" s="70">
        <v>716.0</v>
      </c>
      <c r="J2538" s="70" t="s">
        <v>7455</v>
      </c>
      <c r="K2538" s="70" t="s">
        <v>7456</v>
      </c>
      <c r="L2538" s="70" t="s">
        <v>7457</v>
      </c>
      <c r="N2538" s="70" t="s">
        <v>7458</v>
      </c>
      <c r="P2538" s="76">
        <v>44193.0</v>
      </c>
      <c r="U2538" s="70" t="s">
        <v>239</v>
      </c>
      <c r="W2538" s="70" t="s">
        <v>7461</v>
      </c>
      <c r="X2538" s="70" t="s">
        <v>7462</v>
      </c>
      <c r="Z2538" s="75" t="s">
        <v>7463</v>
      </c>
      <c r="AA2538" s="70" t="s">
        <v>7464</v>
      </c>
      <c r="AC2538" s="70">
        <v>3.0</v>
      </c>
      <c r="AE2538" s="70">
        <v>15.0</v>
      </c>
      <c r="AF2538" s="70" t="s">
        <v>239</v>
      </c>
      <c r="AW2538" s="70" t="s">
        <v>7465</v>
      </c>
      <c r="AZ2538" s="70">
        <v>860.0</v>
      </c>
    </row>
    <row r="2539" ht="22.5" customHeight="1">
      <c r="A2539" s="70" t="str">
        <f t="shared" si="1"/>
        <v>Excluded</v>
      </c>
      <c r="B2539" s="70">
        <f t="shared" si="2"/>
        <v>0</v>
      </c>
      <c r="C2539" s="70">
        <v>0.0</v>
      </c>
      <c r="D2539" s="70">
        <v>0.0</v>
      </c>
      <c r="E2539" s="70">
        <v>0.0</v>
      </c>
      <c r="F2539" s="70">
        <v>0.0</v>
      </c>
      <c r="G2539" s="70">
        <v>0.0</v>
      </c>
      <c r="H2539" s="70" t="s">
        <v>10046</v>
      </c>
      <c r="I2539" s="70">
        <v>985.0</v>
      </c>
      <c r="J2539" s="70" t="s">
        <v>10042</v>
      </c>
      <c r="K2539" s="70" t="s">
        <v>10043</v>
      </c>
      <c r="L2539" s="70" t="s">
        <v>10044</v>
      </c>
      <c r="N2539" s="70" t="s">
        <v>10045</v>
      </c>
      <c r="P2539" s="76">
        <v>44739.0</v>
      </c>
      <c r="U2539" s="70" t="s">
        <v>239</v>
      </c>
      <c r="W2539" s="70" t="s">
        <v>10048</v>
      </c>
      <c r="X2539" s="70" t="s">
        <v>10049</v>
      </c>
      <c r="Z2539" s="75" t="s">
        <v>10050</v>
      </c>
      <c r="AA2539" s="70" t="s">
        <v>10051</v>
      </c>
      <c r="AE2539" s="70">
        <v>10.0</v>
      </c>
      <c r="AF2539" s="70" t="s">
        <v>239</v>
      </c>
      <c r="AW2539" s="70" t="s">
        <v>10052</v>
      </c>
      <c r="AZ2539" s="70">
        <v>219.0</v>
      </c>
    </row>
    <row r="2540" ht="22.5" customHeight="1">
      <c r="A2540" s="70" t="str">
        <f t="shared" si="1"/>
        <v>Excluded</v>
      </c>
      <c r="B2540" s="70">
        <f t="shared" si="2"/>
        <v>0</v>
      </c>
      <c r="C2540" s="70">
        <v>0.0</v>
      </c>
      <c r="D2540" s="70">
        <v>0.0</v>
      </c>
      <c r="E2540" s="70">
        <v>0.0</v>
      </c>
      <c r="F2540" s="70">
        <v>0.0</v>
      </c>
      <c r="G2540" s="70">
        <v>0.0</v>
      </c>
      <c r="H2540" s="70" t="s">
        <v>7687</v>
      </c>
      <c r="I2540" s="70">
        <v>739.0</v>
      </c>
      <c r="J2540" s="70" t="s">
        <v>7685</v>
      </c>
      <c r="K2540" s="70" t="s">
        <v>7686</v>
      </c>
      <c r="L2540" s="70" t="s">
        <v>6062</v>
      </c>
      <c r="N2540" s="70" t="s">
        <v>6063</v>
      </c>
      <c r="P2540" s="77">
        <v>44228.0</v>
      </c>
      <c r="U2540" s="70" t="s">
        <v>239</v>
      </c>
      <c r="W2540" s="70" t="s">
        <v>31077</v>
      </c>
      <c r="X2540" s="70" t="s">
        <v>6067</v>
      </c>
      <c r="Z2540" s="75" t="s">
        <v>7690</v>
      </c>
      <c r="AA2540" s="70" t="s">
        <v>7691</v>
      </c>
      <c r="AC2540" s="70">
        <v>3.0</v>
      </c>
      <c r="AE2540" s="70">
        <v>25.0</v>
      </c>
      <c r="AF2540" s="70" t="s">
        <v>239</v>
      </c>
      <c r="AW2540" s="70" t="s">
        <v>7692</v>
      </c>
      <c r="AZ2540" s="70">
        <v>599.0</v>
      </c>
    </row>
    <row r="2541" ht="22.5" customHeight="1">
      <c r="A2541" s="70" t="str">
        <f t="shared" si="1"/>
        <v>Excluded</v>
      </c>
      <c r="B2541" s="70">
        <f t="shared" si="2"/>
        <v>0</v>
      </c>
      <c r="C2541" s="70">
        <v>0.0</v>
      </c>
      <c r="D2541" s="70">
        <v>0.0</v>
      </c>
      <c r="E2541" s="70">
        <v>0.0</v>
      </c>
      <c r="F2541" s="70">
        <v>0.0</v>
      </c>
      <c r="G2541" s="70">
        <v>0.0</v>
      </c>
      <c r="H2541" s="70" t="s">
        <v>16055</v>
      </c>
      <c r="I2541" s="70">
        <v>1709.0</v>
      </c>
      <c r="K2541" s="70" t="s">
        <v>10597</v>
      </c>
      <c r="L2541" s="70" t="s">
        <v>14908</v>
      </c>
      <c r="P2541" s="76">
        <v>45702.0</v>
      </c>
      <c r="U2541" s="70" t="s">
        <v>239</v>
      </c>
      <c r="X2541" s="70" t="s">
        <v>14912</v>
      </c>
      <c r="Z2541" s="75" t="s">
        <v>16056</v>
      </c>
      <c r="AF2541" s="70" t="s">
        <v>239</v>
      </c>
      <c r="AZ2541" s="70">
        <v>1531.0</v>
      </c>
    </row>
    <row r="2542" ht="22.5" customHeight="1">
      <c r="A2542" s="70" t="str">
        <f t="shared" si="1"/>
        <v>Excluded</v>
      </c>
      <c r="B2542" s="70">
        <f t="shared" si="2"/>
        <v>0</v>
      </c>
      <c r="C2542" s="70">
        <v>0.0</v>
      </c>
      <c r="D2542" s="70">
        <v>0.0</v>
      </c>
      <c r="E2542" s="70">
        <v>0.0</v>
      </c>
      <c r="F2542" s="70">
        <v>0.0</v>
      </c>
      <c r="G2542" s="70">
        <v>0.0</v>
      </c>
      <c r="H2542" s="70" t="s">
        <v>5024</v>
      </c>
      <c r="I2542" s="70">
        <v>468.0</v>
      </c>
      <c r="J2542" s="70" t="s">
        <v>5021</v>
      </c>
      <c r="K2542" s="70" t="s">
        <v>5022</v>
      </c>
      <c r="L2542" s="70" t="s">
        <v>5023</v>
      </c>
      <c r="P2542" s="79">
        <v>43227.0</v>
      </c>
      <c r="U2542" s="70" t="s">
        <v>239</v>
      </c>
      <c r="W2542" s="70" t="s">
        <v>5026</v>
      </c>
      <c r="X2542" s="70" t="s">
        <v>5027</v>
      </c>
      <c r="Z2542" s="75" t="s">
        <v>5028</v>
      </c>
      <c r="AA2542" s="70" t="s">
        <v>5029</v>
      </c>
      <c r="AC2542" s="70">
        <v>24.0</v>
      </c>
      <c r="AE2542" s="70">
        <v>22.0</v>
      </c>
      <c r="AF2542" s="70" t="s">
        <v>239</v>
      </c>
      <c r="AW2542" s="70" t="s">
        <v>5030</v>
      </c>
      <c r="AZ2542" s="70">
        <v>749.0</v>
      </c>
    </row>
    <row r="2543" ht="22.5" customHeight="1">
      <c r="A2543" s="70" t="str">
        <f t="shared" si="1"/>
        <v>Excluded</v>
      </c>
      <c r="B2543" s="70">
        <f t="shared" si="2"/>
        <v>0</v>
      </c>
      <c r="C2543" s="70">
        <v>0.0</v>
      </c>
      <c r="D2543" s="70">
        <v>0.0</v>
      </c>
      <c r="E2543" s="70">
        <v>0.0</v>
      </c>
      <c r="F2543" s="70">
        <v>0.0</v>
      </c>
      <c r="G2543" s="70">
        <v>0.0</v>
      </c>
      <c r="H2543" s="70" t="s">
        <v>10729</v>
      </c>
      <c r="I2543" s="70">
        <v>1074.0</v>
      </c>
      <c r="K2543" s="70" t="s">
        <v>10727</v>
      </c>
      <c r="L2543" s="70" t="s">
        <v>10728</v>
      </c>
      <c r="P2543" s="76">
        <v>44117.0</v>
      </c>
      <c r="U2543" s="70" t="s">
        <v>239</v>
      </c>
      <c r="W2543" s="70" t="s">
        <v>10731</v>
      </c>
      <c r="X2543" s="70" t="s">
        <v>10732</v>
      </c>
      <c r="Z2543" s="75" t="s">
        <v>10733</v>
      </c>
      <c r="AF2543" s="70" t="s">
        <v>239</v>
      </c>
      <c r="AZ2543" s="70">
        <v>1509.0</v>
      </c>
    </row>
    <row r="2544" ht="22.5" customHeight="1">
      <c r="A2544" s="70" t="str">
        <f t="shared" si="1"/>
        <v>Excluded</v>
      </c>
      <c r="B2544" s="70">
        <f t="shared" si="2"/>
        <v>0</v>
      </c>
      <c r="C2544" s="70">
        <v>0.0</v>
      </c>
      <c r="D2544" s="70">
        <v>0.0</v>
      </c>
      <c r="E2544" s="70">
        <v>0.0</v>
      </c>
      <c r="F2544" s="70">
        <v>0.0</v>
      </c>
      <c r="G2544" s="70">
        <v>0.0</v>
      </c>
      <c r="H2544" s="70" t="s">
        <v>10400</v>
      </c>
      <c r="I2544" s="70">
        <v>1022.0</v>
      </c>
      <c r="J2544" s="70" t="s">
        <v>10397</v>
      </c>
      <c r="K2544" s="70" t="s">
        <v>10398</v>
      </c>
      <c r="L2544" s="70" t="s">
        <v>10399</v>
      </c>
      <c r="P2544" s="77">
        <v>44509.0</v>
      </c>
      <c r="U2544" s="70" t="s">
        <v>239</v>
      </c>
      <c r="W2544" s="70" t="s">
        <v>10402</v>
      </c>
      <c r="X2544" s="70" t="s">
        <v>10403</v>
      </c>
      <c r="Z2544" s="75" t="s">
        <v>10404</v>
      </c>
      <c r="AA2544" s="70" t="s">
        <v>10405</v>
      </c>
      <c r="AE2544" s="70">
        <v>20.0</v>
      </c>
      <c r="AF2544" s="70" t="s">
        <v>239</v>
      </c>
      <c r="AW2544" s="70" t="s">
        <v>10406</v>
      </c>
      <c r="AX2544" s="70">
        <v>0.0</v>
      </c>
      <c r="AY2544" s="70" t="s">
        <v>24</v>
      </c>
      <c r="AZ2544" s="70">
        <v>2916.0</v>
      </c>
    </row>
    <row r="2545" ht="22.5" customHeight="1">
      <c r="A2545" s="70" t="str">
        <f t="shared" si="1"/>
        <v>Excluded</v>
      </c>
      <c r="B2545" s="70">
        <f t="shared" si="2"/>
        <v>0</v>
      </c>
      <c r="C2545" s="70">
        <v>0.0</v>
      </c>
      <c r="D2545" s="70">
        <v>0.0</v>
      </c>
      <c r="E2545" s="70">
        <v>0.0</v>
      </c>
      <c r="F2545" s="70">
        <v>0.0</v>
      </c>
      <c r="G2545" s="70">
        <v>0.0</v>
      </c>
      <c r="H2545" s="70" t="s">
        <v>10217</v>
      </c>
      <c r="I2545" s="70">
        <v>1003.0</v>
      </c>
      <c r="J2545" s="70" t="s">
        <v>10214</v>
      </c>
      <c r="K2545" s="70" t="s">
        <v>10215</v>
      </c>
      <c r="L2545" s="70" t="s">
        <v>10216</v>
      </c>
      <c r="P2545" s="76">
        <v>45099.0</v>
      </c>
      <c r="U2545" s="70" t="s">
        <v>239</v>
      </c>
      <c r="W2545" s="70" t="s">
        <v>10219</v>
      </c>
      <c r="X2545" s="70" t="s">
        <v>10220</v>
      </c>
      <c r="Z2545" s="75" t="s">
        <v>10221</v>
      </c>
      <c r="AA2545" s="70" t="s">
        <v>10222</v>
      </c>
      <c r="AE2545" s="70">
        <v>8.0</v>
      </c>
      <c r="AF2545" s="70" t="s">
        <v>239</v>
      </c>
      <c r="AW2545" s="70" t="s">
        <v>10223</v>
      </c>
      <c r="AX2545" s="70">
        <v>0.0</v>
      </c>
      <c r="AY2545" s="70" t="s">
        <v>24</v>
      </c>
      <c r="AZ2545" s="70">
        <v>2805.0</v>
      </c>
    </row>
    <row r="2546" ht="22.5" customHeight="1">
      <c r="A2546" s="70" t="str">
        <f t="shared" si="1"/>
        <v>Excluded</v>
      </c>
      <c r="B2546" s="70">
        <f t="shared" si="2"/>
        <v>0</v>
      </c>
      <c r="C2546" s="70">
        <v>0.0</v>
      </c>
      <c r="D2546" s="70">
        <v>0.0</v>
      </c>
      <c r="E2546" s="70">
        <v>0.0</v>
      </c>
      <c r="F2546" s="70">
        <v>0.0</v>
      </c>
      <c r="G2546" s="70">
        <v>0.0</v>
      </c>
      <c r="H2546" s="70" t="s">
        <v>16279</v>
      </c>
      <c r="I2546" s="70">
        <v>1766.0</v>
      </c>
      <c r="J2546" s="70" t="s">
        <v>16277</v>
      </c>
      <c r="K2546" s="70" t="s">
        <v>16278</v>
      </c>
      <c r="L2546" s="70" t="s">
        <v>12056</v>
      </c>
      <c r="N2546" s="70" t="s">
        <v>12057</v>
      </c>
      <c r="P2546" s="78">
        <v>45442.0</v>
      </c>
      <c r="U2546" s="70" t="s">
        <v>239</v>
      </c>
      <c r="W2546" s="70" t="s">
        <v>16281</v>
      </c>
      <c r="X2546" s="70" t="s">
        <v>12061</v>
      </c>
      <c r="Z2546" s="75" t="s">
        <v>16282</v>
      </c>
      <c r="AA2546" s="70" t="s">
        <v>16283</v>
      </c>
      <c r="AE2546" s="70">
        <v>0.0</v>
      </c>
      <c r="AF2546" s="70" t="s">
        <v>239</v>
      </c>
      <c r="AX2546" s="70">
        <v>0.0</v>
      </c>
      <c r="AY2546" s="70" t="s">
        <v>24</v>
      </c>
      <c r="AZ2546" s="70">
        <v>2386.0</v>
      </c>
    </row>
    <row r="2547" ht="22.5" customHeight="1">
      <c r="A2547" s="70" t="str">
        <f t="shared" si="1"/>
        <v>Excluded</v>
      </c>
      <c r="B2547" s="70">
        <f t="shared" si="2"/>
        <v>0</v>
      </c>
      <c r="C2547" s="70">
        <v>0.0</v>
      </c>
      <c r="D2547" s="70">
        <v>0.0</v>
      </c>
      <c r="E2547" s="70">
        <v>0.0</v>
      </c>
      <c r="F2547" s="70">
        <v>0.0</v>
      </c>
      <c r="G2547" s="70">
        <v>0.0</v>
      </c>
      <c r="H2547" s="70" t="s">
        <v>14384</v>
      </c>
      <c r="I2547" s="70">
        <v>1500.0</v>
      </c>
      <c r="J2547" s="70" t="s">
        <v>31078</v>
      </c>
      <c r="K2547" s="70" t="s">
        <v>14383</v>
      </c>
      <c r="L2547" s="70" t="s">
        <v>12056</v>
      </c>
      <c r="N2547" s="70" t="s">
        <v>12057</v>
      </c>
      <c r="P2547" s="78">
        <v>45442.0</v>
      </c>
      <c r="U2547" s="70" t="s">
        <v>239</v>
      </c>
      <c r="W2547" s="70" t="s">
        <v>14386</v>
      </c>
      <c r="X2547" s="70" t="s">
        <v>12061</v>
      </c>
      <c r="Z2547" s="75" t="s">
        <v>14387</v>
      </c>
      <c r="AA2547" s="70" t="s">
        <v>14388</v>
      </c>
      <c r="AE2547" s="70">
        <v>12.0</v>
      </c>
      <c r="AF2547" s="70" t="s">
        <v>239</v>
      </c>
      <c r="AW2547" s="70" t="s">
        <v>14389</v>
      </c>
      <c r="AX2547" s="70">
        <v>0.0</v>
      </c>
      <c r="AY2547" s="70" t="s">
        <v>24</v>
      </c>
      <c r="AZ2547" s="70">
        <v>2840.0</v>
      </c>
    </row>
    <row r="2548" ht="22.5" customHeight="1">
      <c r="A2548" s="70" t="str">
        <f t="shared" si="1"/>
        <v>Excluded</v>
      </c>
      <c r="B2548" s="70">
        <f t="shared" si="2"/>
        <v>0</v>
      </c>
      <c r="C2548" s="70">
        <v>0.0</v>
      </c>
      <c r="D2548" s="70">
        <v>0.0</v>
      </c>
      <c r="E2548" s="70">
        <v>0.0</v>
      </c>
      <c r="F2548" s="70">
        <v>0.0</v>
      </c>
      <c r="G2548" s="70">
        <v>0.0</v>
      </c>
      <c r="H2548" s="70" t="s">
        <v>16293</v>
      </c>
      <c r="I2548" s="70">
        <v>1769.0</v>
      </c>
      <c r="K2548" s="70" t="s">
        <v>16292</v>
      </c>
      <c r="L2548" s="70" t="s">
        <v>14601</v>
      </c>
      <c r="N2548" s="70" t="s">
        <v>12057</v>
      </c>
      <c r="P2548" s="76">
        <v>45656.0</v>
      </c>
      <c r="U2548" s="70" t="s">
        <v>239</v>
      </c>
      <c r="X2548" s="70" t="s">
        <v>14605</v>
      </c>
      <c r="Z2548" s="75" t="s">
        <v>16294</v>
      </c>
      <c r="AF2548" s="70" t="s">
        <v>239</v>
      </c>
      <c r="AZ2548" s="70">
        <v>1280.0</v>
      </c>
    </row>
    <row r="2549" ht="22.5" customHeight="1">
      <c r="A2549" s="70" t="str">
        <f t="shared" si="1"/>
        <v>Excluded</v>
      </c>
      <c r="B2549" s="70">
        <f t="shared" si="2"/>
        <v>0</v>
      </c>
      <c r="C2549" s="70">
        <v>0.0</v>
      </c>
      <c r="D2549" s="70">
        <v>0.0</v>
      </c>
      <c r="E2549" s="70">
        <v>0.0</v>
      </c>
      <c r="F2549" s="70">
        <v>0.0</v>
      </c>
      <c r="G2549" s="70">
        <v>0.0</v>
      </c>
      <c r="H2549" s="70" t="s">
        <v>16359</v>
      </c>
      <c r="I2549" s="70">
        <v>1788.0</v>
      </c>
      <c r="K2549" s="70" t="s">
        <v>16358</v>
      </c>
      <c r="L2549" s="70" t="s">
        <v>14601</v>
      </c>
      <c r="N2549" s="70" t="s">
        <v>12057</v>
      </c>
      <c r="P2549" s="76">
        <v>45656.0</v>
      </c>
      <c r="U2549" s="70" t="s">
        <v>239</v>
      </c>
      <c r="X2549" s="70" t="s">
        <v>14605</v>
      </c>
      <c r="Z2549" s="75" t="s">
        <v>16360</v>
      </c>
      <c r="AF2549" s="70" t="s">
        <v>239</v>
      </c>
      <c r="AZ2549" s="70">
        <v>1396.0</v>
      </c>
    </row>
    <row r="2550" ht="22.5" customHeight="1">
      <c r="A2550" s="70" t="str">
        <f t="shared" si="1"/>
        <v>Excluded</v>
      </c>
      <c r="B2550" s="70">
        <f t="shared" si="2"/>
        <v>0</v>
      </c>
      <c r="C2550" s="70">
        <v>0.0</v>
      </c>
      <c r="D2550" s="70">
        <v>0.0</v>
      </c>
      <c r="E2550" s="70">
        <v>0.0</v>
      </c>
      <c r="F2550" s="70">
        <v>0.0</v>
      </c>
      <c r="G2550" s="70">
        <v>0.0</v>
      </c>
      <c r="H2550" s="70" t="s">
        <v>14602</v>
      </c>
      <c r="I2550" s="70">
        <v>1523.0</v>
      </c>
      <c r="J2550" s="70" t="s">
        <v>31079</v>
      </c>
      <c r="K2550" s="70" t="s">
        <v>14600</v>
      </c>
      <c r="L2550" s="70" t="s">
        <v>14601</v>
      </c>
      <c r="N2550" s="70" t="s">
        <v>12057</v>
      </c>
      <c r="P2550" s="76">
        <v>45656.0</v>
      </c>
      <c r="U2550" s="70" t="s">
        <v>239</v>
      </c>
      <c r="W2550" s="70" t="s">
        <v>14604</v>
      </c>
      <c r="X2550" s="70" t="s">
        <v>14605</v>
      </c>
      <c r="Y2550" s="70" t="s">
        <v>31080</v>
      </c>
      <c r="Z2550" s="75" t="s">
        <v>14607</v>
      </c>
      <c r="AA2550" s="70" t="s">
        <v>14608</v>
      </c>
      <c r="AE2550" s="70">
        <v>24.0</v>
      </c>
      <c r="AF2550" s="70" t="s">
        <v>239</v>
      </c>
      <c r="AW2550" s="70" t="s">
        <v>14609</v>
      </c>
      <c r="AZ2550" s="70">
        <v>429.0</v>
      </c>
    </row>
    <row r="2551" ht="22.5" customHeight="1">
      <c r="A2551" s="70" t="str">
        <f t="shared" si="1"/>
        <v>Excluded</v>
      </c>
      <c r="B2551" s="70">
        <f t="shared" si="2"/>
        <v>0</v>
      </c>
      <c r="C2551" s="70">
        <v>0.0</v>
      </c>
      <c r="D2551" s="70">
        <v>0.0</v>
      </c>
      <c r="E2551" s="70">
        <v>0.0</v>
      </c>
      <c r="F2551" s="70">
        <v>0.0</v>
      </c>
      <c r="G2551" s="70">
        <v>0.0</v>
      </c>
      <c r="H2551" s="70" t="s">
        <v>29080</v>
      </c>
      <c r="I2551" s="70">
        <v>3124.0</v>
      </c>
      <c r="J2551" s="70" t="s">
        <v>29078</v>
      </c>
      <c r="K2551" s="70" t="s">
        <v>29079</v>
      </c>
      <c r="W2551" s="70" t="s">
        <v>31081</v>
      </c>
      <c r="AA2551" s="70" t="s">
        <v>29082</v>
      </c>
      <c r="AI2551" s="70" t="s">
        <v>29083</v>
      </c>
      <c r="AJ2551" s="70">
        <v>5.45852411E10</v>
      </c>
      <c r="AK2551" s="70">
        <v>2019.0</v>
      </c>
      <c r="AL2551" s="70" t="s">
        <v>29084</v>
      </c>
      <c r="AM2551" s="70">
        <v>9019985.0</v>
      </c>
      <c r="AQ2551" s="70">
        <v>3.0</v>
      </c>
      <c r="AR2551" s="75" t="s">
        <v>29085</v>
      </c>
      <c r="AS2551" s="70" t="s">
        <v>22525</v>
      </c>
      <c r="AU2551" s="70" t="s">
        <v>237</v>
      </c>
      <c r="AV2551" s="70" t="s">
        <v>29086</v>
      </c>
      <c r="AW2551" s="70" t="s">
        <v>29087</v>
      </c>
      <c r="AZ2551" s="70">
        <v>701.0</v>
      </c>
    </row>
    <row r="2552" ht="22.5" customHeight="1">
      <c r="A2552" s="70" t="str">
        <f t="shared" si="1"/>
        <v>Excluded</v>
      </c>
      <c r="B2552" s="70">
        <f t="shared" si="2"/>
        <v>0</v>
      </c>
      <c r="C2552" s="70">
        <v>0.0</v>
      </c>
      <c r="D2552" s="70">
        <v>0.0</v>
      </c>
      <c r="E2552" s="70">
        <v>0.0</v>
      </c>
      <c r="F2552" s="70">
        <v>0.0</v>
      </c>
      <c r="G2552" s="70">
        <v>0.0</v>
      </c>
      <c r="H2552" s="70" t="s">
        <v>9793</v>
      </c>
      <c r="I2552" s="70">
        <v>959.0</v>
      </c>
      <c r="K2552" s="70" t="s">
        <v>9791</v>
      </c>
      <c r="L2552" s="70" t="s">
        <v>9792</v>
      </c>
      <c r="P2552" s="77">
        <v>44901.0</v>
      </c>
      <c r="U2552" s="70" t="s">
        <v>239</v>
      </c>
      <c r="W2552" s="70" t="s">
        <v>9794</v>
      </c>
      <c r="X2552" s="70" t="s">
        <v>9795</v>
      </c>
      <c r="Z2552" s="75" t="s">
        <v>9796</v>
      </c>
      <c r="AF2552" s="70" t="s">
        <v>239</v>
      </c>
      <c r="AW2552" s="70" t="s">
        <v>9797</v>
      </c>
      <c r="AZ2552" s="70">
        <v>1465.0</v>
      </c>
    </row>
    <row r="2553" ht="22.5" customHeight="1">
      <c r="A2553" s="70" t="str">
        <f t="shared" si="1"/>
        <v>Excluded</v>
      </c>
      <c r="B2553" s="70">
        <f t="shared" si="2"/>
        <v>0</v>
      </c>
      <c r="C2553" s="70">
        <v>0.0</v>
      </c>
      <c r="D2553" s="70">
        <v>0.0</v>
      </c>
      <c r="E2553" s="70">
        <v>0.0</v>
      </c>
      <c r="F2553" s="70">
        <v>0.0</v>
      </c>
      <c r="G2553" s="70">
        <v>0.0</v>
      </c>
      <c r="H2553" s="70" t="s">
        <v>12502</v>
      </c>
      <c r="I2553" s="70">
        <v>1305.0</v>
      </c>
      <c r="J2553" s="70" t="s">
        <v>12498</v>
      </c>
      <c r="K2553" s="70" t="s">
        <v>12499</v>
      </c>
      <c r="L2553" s="70" t="s">
        <v>12500</v>
      </c>
      <c r="N2553" s="70" t="s">
        <v>12501</v>
      </c>
      <c r="P2553" s="76">
        <v>45252.0</v>
      </c>
      <c r="U2553" s="70" t="s">
        <v>239</v>
      </c>
      <c r="W2553" s="70" t="s">
        <v>12504</v>
      </c>
      <c r="X2553" s="70" t="s">
        <v>12505</v>
      </c>
      <c r="Z2553" s="75" t="s">
        <v>12506</v>
      </c>
      <c r="AA2553" s="70" t="s">
        <v>12507</v>
      </c>
      <c r="AE2553" s="70">
        <v>18.0</v>
      </c>
      <c r="AF2553" s="70" t="s">
        <v>239</v>
      </c>
      <c r="AW2553" s="70" t="s">
        <v>12508</v>
      </c>
      <c r="AZ2553" s="70">
        <v>936.0</v>
      </c>
    </row>
    <row r="2554" ht="22.5" customHeight="1">
      <c r="A2554" s="70" t="str">
        <f t="shared" si="1"/>
        <v>Excluded</v>
      </c>
      <c r="B2554" s="70">
        <f t="shared" si="2"/>
        <v>0</v>
      </c>
      <c r="C2554" s="70">
        <v>0.0</v>
      </c>
      <c r="D2554" s="70">
        <v>0.0</v>
      </c>
      <c r="E2554" s="70">
        <v>0.0</v>
      </c>
      <c r="F2554" s="70">
        <v>0.0</v>
      </c>
      <c r="G2554" s="70">
        <v>0.0</v>
      </c>
      <c r="H2554" s="70" t="s">
        <v>14105</v>
      </c>
      <c r="I2554" s="70">
        <v>1469.0</v>
      </c>
      <c r="J2554" s="70" t="s">
        <v>14103</v>
      </c>
      <c r="K2554" s="70" t="s">
        <v>14104</v>
      </c>
      <c r="L2554" s="70" t="s">
        <v>12500</v>
      </c>
      <c r="N2554" s="70" t="s">
        <v>12501</v>
      </c>
      <c r="P2554" s="76">
        <v>45252.0</v>
      </c>
      <c r="U2554" s="70" t="s">
        <v>239</v>
      </c>
      <c r="W2554" s="70" t="s">
        <v>31082</v>
      </c>
      <c r="X2554" s="70" t="s">
        <v>12505</v>
      </c>
      <c r="Z2554" s="75" t="s">
        <v>14108</v>
      </c>
      <c r="AA2554" s="70" t="s">
        <v>14109</v>
      </c>
      <c r="AE2554" s="70">
        <v>29.0</v>
      </c>
      <c r="AF2554" s="70" t="s">
        <v>5824</v>
      </c>
      <c r="AW2554" s="70" t="s">
        <v>14110</v>
      </c>
      <c r="AZ2554" s="70">
        <v>722.0</v>
      </c>
    </row>
    <row r="2555" ht="22.5" customHeight="1">
      <c r="A2555" s="70" t="str">
        <f t="shared" si="1"/>
        <v>Excluded</v>
      </c>
      <c r="B2555" s="70">
        <f t="shared" si="2"/>
        <v>0</v>
      </c>
      <c r="C2555" s="70">
        <v>0.0</v>
      </c>
      <c r="D2555" s="70">
        <v>0.0</v>
      </c>
      <c r="E2555" s="70">
        <v>0.0</v>
      </c>
      <c r="F2555" s="70">
        <v>0.0</v>
      </c>
      <c r="G2555" s="70">
        <v>0.0</v>
      </c>
      <c r="H2555" s="70" t="s">
        <v>7958</v>
      </c>
      <c r="I2555" s="70">
        <v>767.0</v>
      </c>
      <c r="J2555" s="70" t="s">
        <v>7954</v>
      </c>
      <c r="K2555" s="70" t="s">
        <v>7955</v>
      </c>
      <c r="L2555" s="70" t="s">
        <v>7956</v>
      </c>
      <c r="N2555" s="70" t="s">
        <v>7957</v>
      </c>
      <c r="P2555" s="76">
        <v>44946.0</v>
      </c>
      <c r="U2555" s="70" t="s">
        <v>239</v>
      </c>
      <c r="W2555" s="70" t="s">
        <v>7960</v>
      </c>
      <c r="X2555" s="70" t="s">
        <v>7961</v>
      </c>
      <c r="Z2555" s="75" t="s">
        <v>7962</v>
      </c>
      <c r="AA2555" s="70" t="s">
        <v>7963</v>
      </c>
      <c r="AC2555" s="70">
        <v>2.0</v>
      </c>
      <c r="AE2555" s="70">
        <v>32.0</v>
      </c>
      <c r="AF2555" s="70" t="s">
        <v>239</v>
      </c>
      <c r="AW2555" s="70" t="s">
        <v>7964</v>
      </c>
      <c r="AZ2555" s="70">
        <v>991.0</v>
      </c>
    </row>
    <row r="2556" ht="22.5" customHeight="1">
      <c r="A2556" s="70" t="str">
        <f t="shared" si="1"/>
        <v>Excluded</v>
      </c>
      <c r="B2556" s="70">
        <f t="shared" si="2"/>
        <v>0</v>
      </c>
      <c r="C2556" s="70">
        <v>0.0</v>
      </c>
      <c r="D2556" s="70">
        <v>0.0</v>
      </c>
      <c r="E2556" s="70">
        <v>0.0</v>
      </c>
      <c r="F2556" s="70">
        <v>0.0</v>
      </c>
      <c r="G2556" s="70">
        <v>0.0</v>
      </c>
      <c r="H2556" s="70" t="s">
        <v>8090</v>
      </c>
      <c r="I2556" s="70">
        <v>781.0</v>
      </c>
      <c r="J2556" s="70" t="s">
        <v>31083</v>
      </c>
      <c r="K2556" s="70" t="s">
        <v>8089</v>
      </c>
      <c r="L2556" s="70" t="s">
        <v>7956</v>
      </c>
      <c r="N2556" s="70" t="s">
        <v>7957</v>
      </c>
      <c r="P2556" s="76">
        <v>44946.0</v>
      </c>
      <c r="U2556" s="70" t="s">
        <v>239</v>
      </c>
      <c r="W2556" s="70" t="s">
        <v>8092</v>
      </c>
      <c r="X2556" s="70" t="s">
        <v>7961</v>
      </c>
      <c r="Z2556" s="75" t="s">
        <v>8093</v>
      </c>
      <c r="AA2556" s="70" t="s">
        <v>8094</v>
      </c>
      <c r="AC2556" s="70">
        <v>2.0</v>
      </c>
      <c r="AE2556" s="70">
        <v>29.0</v>
      </c>
      <c r="AF2556" s="70" t="s">
        <v>8095</v>
      </c>
      <c r="AW2556" s="70" t="s">
        <v>8096</v>
      </c>
      <c r="AZ2556" s="70">
        <v>239.0</v>
      </c>
    </row>
    <row r="2557" ht="22.5" customHeight="1">
      <c r="A2557" s="70" t="str">
        <f t="shared" si="1"/>
        <v>Excluded</v>
      </c>
      <c r="B2557" s="70">
        <f t="shared" si="2"/>
        <v>0</v>
      </c>
      <c r="C2557" s="70">
        <v>0.0</v>
      </c>
      <c r="D2557" s="70">
        <v>0.0</v>
      </c>
      <c r="E2557" s="70">
        <v>0.0</v>
      </c>
      <c r="F2557" s="70">
        <v>0.0</v>
      </c>
      <c r="G2557" s="70">
        <v>0.0</v>
      </c>
      <c r="H2557" s="70" t="s">
        <v>5819</v>
      </c>
      <c r="I2557" s="70">
        <v>548.0</v>
      </c>
      <c r="J2557" s="70" t="s">
        <v>5815</v>
      </c>
      <c r="K2557" s="70" t="s">
        <v>5816</v>
      </c>
      <c r="L2557" s="70" t="s">
        <v>5817</v>
      </c>
      <c r="N2557" s="70" t="s">
        <v>5818</v>
      </c>
      <c r="P2557" s="76">
        <v>43881.0</v>
      </c>
      <c r="U2557" s="70" t="s">
        <v>239</v>
      </c>
      <c r="W2557" s="70" t="s">
        <v>5821</v>
      </c>
      <c r="X2557" s="70" t="s">
        <v>5822</v>
      </c>
      <c r="Z2557" s="75" t="s">
        <v>5823</v>
      </c>
      <c r="AC2557" s="70">
        <v>9.0</v>
      </c>
      <c r="AE2557" s="70">
        <v>73.0</v>
      </c>
      <c r="AF2557" s="70" t="s">
        <v>5824</v>
      </c>
      <c r="AW2557" s="70" t="s">
        <v>5825</v>
      </c>
      <c r="AX2557" s="70">
        <v>0.0</v>
      </c>
      <c r="AY2557" s="70" t="s">
        <v>24</v>
      </c>
      <c r="AZ2557" s="70">
        <v>2914.0</v>
      </c>
    </row>
    <row r="2558" ht="22.5" customHeight="1">
      <c r="A2558" s="70" t="str">
        <f t="shared" si="1"/>
        <v>Excluded</v>
      </c>
      <c r="B2558" s="70">
        <f t="shared" si="2"/>
        <v>0</v>
      </c>
      <c r="C2558" s="70">
        <v>0.0</v>
      </c>
      <c r="D2558" s="70">
        <v>0.0</v>
      </c>
      <c r="E2558" s="70">
        <v>0.0</v>
      </c>
      <c r="F2558" s="70">
        <v>0.0</v>
      </c>
      <c r="G2558" s="70">
        <v>0.0</v>
      </c>
      <c r="H2558" s="70" t="s">
        <v>14155</v>
      </c>
      <c r="I2558" s="70">
        <v>1475.0</v>
      </c>
      <c r="J2558" s="70" t="s">
        <v>14152</v>
      </c>
      <c r="K2558" s="70" t="s">
        <v>14153</v>
      </c>
      <c r="L2558" s="70" t="s">
        <v>14154</v>
      </c>
      <c r="N2558" s="70" t="s">
        <v>5818</v>
      </c>
      <c r="P2558" s="76">
        <v>45677.0</v>
      </c>
      <c r="U2558" s="70" t="s">
        <v>239</v>
      </c>
      <c r="W2558" s="70" t="s">
        <v>14157</v>
      </c>
      <c r="X2558" s="70" t="s">
        <v>14158</v>
      </c>
      <c r="Z2558" s="75" t="s">
        <v>14159</v>
      </c>
      <c r="AE2558" s="70">
        <v>40.0</v>
      </c>
      <c r="AF2558" s="70" t="s">
        <v>239</v>
      </c>
      <c r="AW2558" s="70" t="s">
        <v>14160</v>
      </c>
      <c r="AZ2558" s="70">
        <v>1342.0</v>
      </c>
    </row>
    <row r="2559" ht="22.5" customHeight="1">
      <c r="A2559" s="70" t="str">
        <f t="shared" si="1"/>
        <v>Excluded</v>
      </c>
      <c r="B2559" s="70">
        <f t="shared" si="2"/>
        <v>0</v>
      </c>
      <c r="C2559" s="70">
        <v>0.0</v>
      </c>
      <c r="D2559" s="70">
        <v>0.0</v>
      </c>
      <c r="E2559" s="70">
        <v>0.0</v>
      </c>
      <c r="F2559" s="70">
        <v>0.0</v>
      </c>
      <c r="G2559" s="70">
        <v>0.0</v>
      </c>
      <c r="H2559" s="70" t="s">
        <v>8009</v>
      </c>
      <c r="I2559" s="70">
        <v>772.0</v>
      </c>
      <c r="J2559" s="70" t="s">
        <v>8006</v>
      </c>
      <c r="K2559" s="70" t="s">
        <v>8007</v>
      </c>
      <c r="L2559" s="70" t="s">
        <v>8008</v>
      </c>
      <c r="P2559" s="76">
        <v>44859.0</v>
      </c>
      <c r="U2559" s="70" t="s">
        <v>239</v>
      </c>
      <c r="W2559" s="70" t="s">
        <v>8011</v>
      </c>
      <c r="X2559" s="70" t="s">
        <v>8012</v>
      </c>
      <c r="Z2559" s="75" t="s">
        <v>8013</v>
      </c>
      <c r="AA2559" s="70" t="s">
        <v>8014</v>
      </c>
      <c r="AC2559" s="70">
        <v>2.0</v>
      </c>
      <c r="AE2559" s="70">
        <v>14.0</v>
      </c>
      <c r="AF2559" s="70" t="s">
        <v>239</v>
      </c>
      <c r="AW2559" s="70" t="s">
        <v>8015</v>
      </c>
      <c r="AZ2559" s="70">
        <v>794.0</v>
      </c>
    </row>
    <row r="2560" ht="22.5" customHeight="1">
      <c r="A2560" s="70" t="str">
        <f t="shared" si="1"/>
        <v>Excluded</v>
      </c>
      <c r="B2560" s="70">
        <f t="shared" si="2"/>
        <v>0</v>
      </c>
      <c r="C2560" s="70">
        <v>0.0</v>
      </c>
      <c r="D2560" s="70">
        <v>0.0</v>
      </c>
      <c r="E2560" s="70">
        <v>0.0</v>
      </c>
      <c r="F2560" s="70">
        <v>0.0</v>
      </c>
      <c r="G2560" s="70">
        <v>0.0</v>
      </c>
      <c r="H2560" s="70" t="s">
        <v>6347</v>
      </c>
      <c r="I2560" s="70">
        <v>602.0</v>
      </c>
      <c r="J2560" s="70" t="s">
        <v>6344</v>
      </c>
      <c r="K2560" s="70" t="s">
        <v>6345</v>
      </c>
      <c r="L2560" s="70" t="s">
        <v>6346</v>
      </c>
      <c r="P2560" s="78">
        <v>43244.0</v>
      </c>
      <c r="U2560" s="70" t="s">
        <v>239</v>
      </c>
      <c r="W2560" s="70" t="s">
        <v>6349</v>
      </c>
      <c r="X2560" s="70" t="s">
        <v>6350</v>
      </c>
      <c r="Z2560" s="75" t="s">
        <v>6351</v>
      </c>
      <c r="AA2560" s="70" t="s">
        <v>6352</v>
      </c>
      <c r="AC2560" s="70">
        <v>7.0</v>
      </c>
      <c r="AE2560" s="70">
        <v>18.0</v>
      </c>
      <c r="AF2560" s="70" t="s">
        <v>239</v>
      </c>
      <c r="AW2560" s="70" t="s">
        <v>6353</v>
      </c>
      <c r="AZ2560" s="70">
        <v>1031.0</v>
      </c>
    </row>
    <row r="2561" ht="22.5" customHeight="1">
      <c r="A2561" s="70" t="str">
        <f t="shared" si="1"/>
        <v>Excluded</v>
      </c>
      <c r="B2561" s="70">
        <f t="shared" si="2"/>
        <v>0</v>
      </c>
      <c r="C2561" s="70">
        <v>0.0</v>
      </c>
      <c r="D2561" s="70">
        <v>0.0</v>
      </c>
      <c r="E2561" s="70">
        <v>0.0</v>
      </c>
      <c r="F2561" s="70">
        <v>0.0</v>
      </c>
      <c r="G2561" s="70">
        <v>0.0</v>
      </c>
      <c r="H2561" s="70" t="s">
        <v>14001</v>
      </c>
      <c r="I2561" s="70">
        <v>1458.0</v>
      </c>
      <c r="J2561" s="70" t="s">
        <v>31084</v>
      </c>
      <c r="K2561" s="70" t="s">
        <v>13998</v>
      </c>
      <c r="L2561" s="70" t="s">
        <v>13999</v>
      </c>
      <c r="N2561" s="70" t="s">
        <v>14000</v>
      </c>
      <c r="P2561" s="78">
        <v>45070.0</v>
      </c>
      <c r="U2561" s="70" t="s">
        <v>239</v>
      </c>
      <c r="W2561" s="70" t="s">
        <v>14003</v>
      </c>
      <c r="X2561" s="70" t="s">
        <v>14004</v>
      </c>
      <c r="Z2561" s="75" t="s">
        <v>14005</v>
      </c>
      <c r="AA2561" s="70" t="s">
        <v>14006</v>
      </c>
      <c r="AE2561" s="70">
        <v>31.0</v>
      </c>
      <c r="AF2561" s="70" t="s">
        <v>239</v>
      </c>
      <c r="AW2561" s="70" t="s">
        <v>14007</v>
      </c>
      <c r="AZ2561" s="70">
        <v>785.0</v>
      </c>
    </row>
    <row r="2562" ht="22.5" customHeight="1">
      <c r="A2562" s="70" t="str">
        <f t="shared" si="1"/>
        <v>Excluded</v>
      </c>
      <c r="B2562" s="70">
        <f t="shared" si="2"/>
        <v>0</v>
      </c>
      <c r="C2562" s="70">
        <v>0.0</v>
      </c>
      <c r="D2562" s="70">
        <v>0.0</v>
      </c>
      <c r="E2562" s="70">
        <v>0.0</v>
      </c>
      <c r="F2562" s="70">
        <v>0.0</v>
      </c>
      <c r="G2562" s="70">
        <v>0.0</v>
      </c>
      <c r="H2562" s="70" t="s">
        <v>5605</v>
      </c>
      <c r="I2562" s="70">
        <v>527.0</v>
      </c>
      <c r="J2562" s="70" t="s">
        <v>5602</v>
      </c>
      <c r="K2562" s="70" t="s">
        <v>5603</v>
      </c>
      <c r="L2562" s="70" t="s">
        <v>5604</v>
      </c>
      <c r="P2562" s="79">
        <v>44690.0</v>
      </c>
      <c r="U2562" s="70" t="s">
        <v>239</v>
      </c>
      <c r="W2562" s="70" t="s">
        <v>5607</v>
      </c>
      <c r="X2562" s="70" t="s">
        <v>5608</v>
      </c>
      <c r="Z2562" s="75" t="s">
        <v>5609</v>
      </c>
      <c r="AA2562" s="70" t="s">
        <v>5610</v>
      </c>
      <c r="AC2562" s="70">
        <v>10.0</v>
      </c>
      <c r="AE2562" s="70">
        <v>14.0</v>
      </c>
      <c r="AF2562" s="70" t="s">
        <v>239</v>
      </c>
      <c r="AW2562" s="70" t="s">
        <v>5611</v>
      </c>
      <c r="AZ2562" s="70">
        <v>706.0</v>
      </c>
    </row>
    <row r="2563" ht="22.5" customHeight="1">
      <c r="A2563" s="70" t="str">
        <f t="shared" si="1"/>
        <v>Excluded</v>
      </c>
      <c r="B2563" s="70">
        <f t="shared" si="2"/>
        <v>0</v>
      </c>
      <c r="C2563" s="70">
        <v>0.0</v>
      </c>
      <c r="D2563" s="70">
        <v>0.0</v>
      </c>
      <c r="E2563" s="70">
        <v>0.0</v>
      </c>
      <c r="F2563" s="70">
        <v>0.0</v>
      </c>
      <c r="G2563" s="70">
        <v>0.0</v>
      </c>
      <c r="H2563" s="70" t="s">
        <v>8730</v>
      </c>
      <c r="I2563" s="70">
        <v>848.0</v>
      </c>
      <c r="J2563" s="70" t="s">
        <v>8727</v>
      </c>
      <c r="K2563" s="70" t="s">
        <v>8728</v>
      </c>
      <c r="L2563" s="70" t="s">
        <v>8729</v>
      </c>
      <c r="P2563" s="77">
        <v>44782.0</v>
      </c>
      <c r="U2563" s="70" t="s">
        <v>239</v>
      </c>
      <c r="W2563" s="70" t="s">
        <v>31085</v>
      </c>
      <c r="X2563" s="70" t="s">
        <v>8733</v>
      </c>
      <c r="Y2563" s="70" t="s">
        <v>31086</v>
      </c>
      <c r="Z2563" s="75" t="s">
        <v>8735</v>
      </c>
      <c r="AA2563" s="70" t="s">
        <v>8736</v>
      </c>
      <c r="AC2563" s="70">
        <v>1.0</v>
      </c>
      <c r="AE2563" s="70">
        <v>32.0</v>
      </c>
      <c r="AF2563" s="70" t="s">
        <v>239</v>
      </c>
      <c r="AW2563" s="70" t="s">
        <v>8737</v>
      </c>
      <c r="AX2563" s="70">
        <v>0.0</v>
      </c>
      <c r="AY2563" s="70" t="s">
        <v>24</v>
      </c>
      <c r="AZ2563" s="70">
        <v>1732.0</v>
      </c>
    </row>
    <row r="2564" ht="22.5" customHeight="1">
      <c r="A2564" s="70" t="str">
        <f t="shared" si="1"/>
        <v>Excluded</v>
      </c>
      <c r="B2564" s="70">
        <f t="shared" si="2"/>
        <v>0</v>
      </c>
      <c r="C2564" s="70">
        <v>0.0</v>
      </c>
      <c r="D2564" s="70">
        <v>0.0</v>
      </c>
      <c r="E2564" s="70">
        <v>0.0</v>
      </c>
      <c r="F2564" s="70">
        <v>0.0</v>
      </c>
      <c r="G2564" s="70">
        <v>0.0</v>
      </c>
      <c r="H2564" s="70" t="s">
        <v>10467</v>
      </c>
      <c r="I2564" s="70">
        <v>1029.0</v>
      </c>
      <c r="J2564" s="70" t="s">
        <v>31087</v>
      </c>
      <c r="K2564" s="70" t="s">
        <v>10465</v>
      </c>
      <c r="L2564" s="70" t="s">
        <v>10466</v>
      </c>
      <c r="P2564" s="76">
        <v>44784.0</v>
      </c>
      <c r="U2564" s="70" t="s">
        <v>239</v>
      </c>
      <c r="W2564" s="70" t="s">
        <v>10469</v>
      </c>
      <c r="X2564" s="70" t="s">
        <v>10470</v>
      </c>
      <c r="Z2564" s="75" t="s">
        <v>10471</v>
      </c>
      <c r="AA2564" s="70" t="s">
        <v>10472</v>
      </c>
      <c r="AE2564" s="70">
        <v>11.0</v>
      </c>
      <c r="AF2564" s="70" t="s">
        <v>239</v>
      </c>
      <c r="AW2564" s="70" t="s">
        <v>10473</v>
      </c>
      <c r="AZ2564" s="70">
        <v>1025.0</v>
      </c>
    </row>
    <row r="2565" ht="22.5" customHeight="1">
      <c r="A2565" s="70" t="str">
        <f t="shared" si="1"/>
        <v>Excluded</v>
      </c>
      <c r="B2565" s="70">
        <f t="shared" si="2"/>
        <v>0</v>
      </c>
      <c r="C2565" s="70">
        <v>0.0</v>
      </c>
      <c r="D2565" s="70">
        <v>0.0</v>
      </c>
      <c r="E2565" s="70">
        <v>0.0</v>
      </c>
      <c r="F2565" s="70">
        <v>0.0</v>
      </c>
      <c r="G2565" s="70">
        <v>0.0</v>
      </c>
      <c r="H2565" s="70" t="s">
        <v>8219</v>
      </c>
      <c r="I2565" s="70">
        <v>795.0</v>
      </c>
      <c r="J2565" s="70" t="s">
        <v>8216</v>
      </c>
      <c r="K2565" s="70" t="s">
        <v>8217</v>
      </c>
      <c r="L2565" s="70" t="s">
        <v>8218</v>
      </c>
      <c r="P2565" s="77">
        <v>42923.0</v>
      </c>
      <c r="U2565" s="70" t="s">
        <v>239</v>
      </c>
      <c r="W2565" s="70" t="s">
        <v>8221</v>
      </c>
      <c r="X2565" s="70" t="s">
        <v>8222</v>
      </c>
      <c r="Z2565" s="75" t="s">
        <v>8223</v>
      </c>
      <c r="AA2565" s="70" t="s">
        <v>8224</v>
      </c>
      <c r="AC2565" s="70">
        <v>2.0</v>
      </c>
      <c r="AE2565" s="70">
        <v>14.0</v>
      </c>
      <c r="AF2565" s="70" t="s">
        <v>239</v>
      </c>
      <c r="AX2565" s="70">
        <v>0.0</v>
      </c>
      <c r="AY2565" s="70" t="s">
        <v>24</v>
      </c>
      <c r="AZ2565" s="70">
        <v>2241.0</v>
      </c>
    </row>
    <row r="2566" ht="22.5" customHeight="1">
      <c r="A2566" s="70" t="str">
        <f t="shared" si="1"/>
        <v>Excluded</v>
      </c>
      <c r="B2566" s="70">
        <f t="shared" si="2"/>
        <v>0</v>
      </c>
      <c r="C2566" s="70">
        <v>0.0</v>
      </c>
      <c r="D2566" s="70">
        <v>0.0</v>
      </c>
      <c r="E2566" s="70">
        <v>0.0</v>
      </c>
      <c r="F2566" s="70">
        <v>0.0</v>
      </c>
      <c r="G2566" s="70">
        <v>0.0</v>
      </c>
      <c r="H2566" s="70" t="s">
        <v>28080</v>
      </c>
      <c r="I2566" s="70">
        <v>3026.0</v>
      </c>
      <c r="J2566" s="70" t="s">
        <v>28079</v>
      </c>
      <c r="K2566" s="70" t="s">
        <v>20034</v>
      </c>
      <c r="W2566" s="70" t="s">
        <v>31088</v>
      </c>
      <c r="AA2566" s="70" t="s">
        <v>28082</v>
      </c>
      <c r="AI2566" s="70" t="s">
        <v>28083</v>
      </c>
      <c r="AJ2566" s="70" t="s">
        <v>28084</v>
      </c>
      <c r="AK2566" s="70">
        <v>2021.0</v>
      </c>
      <c r="AL2566" s="70" t="s">
        <v>16436</v>
      </c>
      <c r="AM2566" s="70">
        <v>9324846.0</v>
      </c>
      <c r="AN2566" s="70">
        <v>14688.0</v>
      </c>
      <c r="AO2566" s="70">
        <v>14709.0</v>
      </c>
      <c r="AP2566" s="70">
        <v>21.0</v>
      </c>
      <c r="AQ2566" s="70">
        <v>8.0</v>
      </c>
      <c r="AR2566" s="75" t="s">
        <v>28085</v>
      </c>
      <c r="AS2566" s="70" t="s">
        <v>22525</v>
      </c>
      <c r="AT2566" s="70" t="s">
        <v>22622</v>
      </c>
      <c r="AU2566" s="70" t="s">
        <v>237</v>
      </c>
      <c r="AV2566" s="70" t="s">
        <v>28086</v>
      </c>
      <c r="AW2566" s="70" t="s">
        <v>28087</v>
      </c>
      <c r="AZ2566" s="70">
        <v>413.0</v>
      </c>
    </row>
    <row r="2567" ht="22.5" customHeight="1">
      <c r="A2567" s="70" t="str">
        <f t="shared" si="1"/>
        <v>Excluded</v>
      </c>
      <c r="B2567" s="70">
        <f t="shared" si="2"/>
        <v>0</v>
      </c>
      <c r="C2567" s="70">
        <v>0.0</v>
      </c>
      <c r="D2567" s="70">
        <v>0.0</v>
      </c>
      <c r="E2567" s="70">
        <v>0.0</v>
      </c>
      <c r="F2567" s="70">
        <v>0.0</v>
      </c>
      <c r="G2567" s="70">
        <v>0.0</v>
      </c>
      <c r="H2567" s="70" t="s">
        <v>12253</v>
      </c>
      <c r="I2567" s="70">
        <v>1280.0</v>
      </c>
      <c r="J2567" s="70" t="s">
        <v>12249</v>
      </c>
      <c r="K2567" s="70" t="s">
        <v>12250</v>
      </c>
      <c r="L2567" s="70" t="s">
        <v>12251</v>
      </c>
      <c r="N2567" s="70" t="s">
        <v>12252</v>
      </c>
      <c r="P2567" s="76">
        <v>45194.0</v>
      </c>
      <c r="U2567" s="70" t="s">
        <v>239</v>
      </c>
      <c r="W2567" s="70" t="s">
        <v>12255</v>
      </c>
      <c r="X2567" s="70" t="s">
        <v>12256</v>
      </c>
      <c r="Z2567" s="75" t="s">
        <v>12257</v>
      </c>
      <c r="AA2567" s="70" t="s">
        <v>12258</v>
      </c>
      <c r="AC2567" s="70">
        <v>1.0</v>
      </c>
      <c r="AE2567" s="70">
        <v>51.0</v>
      </c>
      <c r="AF2567" s="70" t="s">
        <v>8095</v>
      </c>
      <c r="AW2567" s="70" t="s">
        <v>12259</v>
      </c>
      <c r="AZ2567" s="70">
        <v>1440.0</v>
      </c>
    </row>
    <row r="2568" ht="22.5" customHeight="1">
      <c r="A2568" s="70" t="str">
        <f t="shared" si="1"/>
        <v>Excluded</v>
      </c>
      <c r="B2568" s="70">
        <f t="shared" si="2"/>
        <v>0</v>
      </c>
      <c r="C2568" s="70">
        <v>0.0</v>
      </c>
      <c r="D2568" s="70">
        <v>0.0</v>
      </c>
      <c r="E2568" s="70">
        <v>0.0</v>
      </c>
      <c r="F2568" s="70">
        <v>0.0</v>
      </c>
      <c r="G2568" s="70">
        <v>0.0</v>
      </c>
      <c r="H2568" s="70" t="s">
        <v>12927</v>
      </c>
      <c r="I2568" s="70">
        <v>1348.0</v>
      </c>
      <c r="J2568" s="70" t="s">
        <v>12925</v>
      </c>
      <c r="K2568" s="70" t="s">
        <v>12926</v>
      </c>
      <c r="L2568" s="70" t="s">
        <v>11399</v>
      </c>
      <c r="P2568" s="76">
        <v>45230.0</v>
      </c>
      <c r="U2568" s="70" t="s">
        <v>239</v>
      </c>
      <c r="W2568" s="70" t="s">
        <v>12929</v>
      </c>
      <c r="X2568" s="70" t="s">
        <v>11403</v>
      </c>
      <c r="Z2568" s="75" t="s">
        <v>12930</v>
      </c>
      <c r="AA2568" s="70" t="s">
        <v>12931</v>
      </c>
      <c r="AE2568" s="70">
        <v>53.0</v>
      </c>
      <c r="AF2568" s="70" t="s">
        <v>239</v>
      </c>
      <c r="AW2568" s="70" t="s">
        <v>12932</v>
      </c>
      <c r="AZ2568" s="70">
        <v>877.0</v>
      </c>
    </row>
    <row r="2569" ht="22.5" customHeight="1">
      <c r="A2569" s="70" t="str">
        <f t="shared" si="1"/>
        <v>Excluded</v>
      </c>
      <c r="B2569" s="70">
        <f t="shared" si="2"/>
        <v>0</v>
      </c>
      <c r="C2569" s="70">
        <v>0.0</v>
      </c>
      <c r="D2569" s="70">
        <v>0.0</v>
      </c>
      <c r="E2569" s="70">
        <v>0.0</v>
      </c>
      <c r="F2569" s="70">
        <v>0.0</v>
      </c>
      <c r="G2569" s="70">
        <v>0.0</v>
      </c>
      <c r="H2569" s="70" t="s">
        <v>11400</v>
      </c>
      <c r="I2569" s="70">
        <v>1195.0</v>
      </c>
      <c r="J2569" s="70" t="s">
        <v>11397</v>
      </c>
      <c r="K2569" s="70" t="s">
        <v>11398</v>
      </c>
      <c r="L2569" s="70" t="s">
        <v>11399</v>
      </c>
      <c r="P2569" s="76">
        <v>45230.0</v>
      </c>
      <c r="U2569" s="70" t="s">
        <v>239</v>
      </c>
      <c r="W2569" s="70" t="s">
        <v>11402</v>
      </c>
      <c r="X2569" s="70" t="s">
        <v>11403</v>
      </c>
      <c r="Z2569" s="75" t="s">
        <v>11404</v>
      </c>
      <c r="AA2569" s="70" t="s">
        <v>11405</v>
      </c>
      <c r="AC2569" s="70">
        <v>3.0</v>
      </c>
      <c r="AE2569" s="70">
        <v>51.0</v>
      </c>
      <c r="AF2569" s="70" t="s">
        <v>239</v>
      </c>
      <c r="AW2569" s="70" t="s">
        <v>11406</v>
      </c>
      <c r="AX2569" s="70">
        <v>0.0</v>
      </c>
      <c r="AY2569" s="70" t="s">
        <v>24</v>
      </c>
      <c r="AZ2569" s="70">
        <v>1930.0</v>
      </c>
    </row>
    <row r="2570" ht="22.5" customHeight="1">
      <c r="A2570" s="70" t="str">
        <f t="shared" si="1"/>
        <v>Excluded</v>
      </c>
      <c r="B2570" s="70">
        <f t="shared" si="2"/>
        <v>0</v>
      </c>
      <c r="C2570" s="70">
        <v>0.0</v>
      </c>
      <c r="D2570" s="70">
        <v>0.0</v>
      </c>
      <c r="E2570" s="70">
        <v>0.0</v>
      </c>
      <c r="F2570" s="70">
        <v>0.0</v>
      </c>
      <c r="G2570" s="70">
        <v>0.0</v>
      </c>
      <c r="H2570" s="70" t="s">
        <v>11754</v>
      </c>
      <c r="I2570" s="70">
        <v>1230.0</v>
      </c>
      <c r="J2570" s="70" t="s">
        <v>11750</v>
      </c>
      <c r="K2570" s="70" t="s">
        <v>11751</v>
      </c>
      <c r="L2570" s="70" t="s">
        <v>11752</v>
      </c>
      <c r="N2570" s="70" t="s">
        <v>11753</v>
      </c>
      <c r="P2570" s="76">
        <v>45279.0</v>
      </c>
      <c r="U2570" s="70" t="s">
        <v>239</v>
      </c>
      <c r="W2570" s="70" t="s">
        <v>11756</v>
      </c>
      <c r="X2570" s="70" t="s">
        <v>11757</v>
      </c>
      <c r="Z2570" s="75" t="s">
        <v>11758</v>
      </c>
      <c r="AA2570" s="70" t="s">
        <v>11759</v>
      </c>
      <c r="AC2570" s="70">
        <v>2.0</v>
      </c>
      <c r="AE2570" s="70">
        <v>37.0</v>
      </c>
      <c r="AF2570" s="70" t="s">
        <v>239</v>
      </c>
      <c r="AW2570" s="70" t="s">
        <v>11760</v>
      </c>
      <c r="AX2570" s="70">
        <v>0.0</v>
      </c>
      <c r="AY2570" s="70" t="s">
        <v>24</v>
      </c>
      <c r="AZ2570" s="70">
        <v>2343.0</v>
      </c>
    </row>
    <row r="2571" ht="22.5" customHeight="1">
      <c r="A2571" s="70" t="str">
        <f t="shared" si="1"/>
        <v>Excluded</v>
      </c>
      <c r="B2571" s="70">
        <f t="shared" si="2"/>
        <v>0</v>
      </c>
      <c r="C2571" s="70">
        <v>0.0</v>
      </c>
      <c r="D2571" s="70">
        <v>0.0</v>
      </c>
      <c r="E2571" s="70">
        <v>0.0</v>
      </c>
      <c r="F2571" s="70">
        <v>0.0</v>
      </c>
      <c r="G2571" s="70">
        <v>0.0</v>
      </c>
      <c r="H2571" s="70" t="s">
        <v>7238</v>
      </c>
      <c r="I2571" s="70">
        <v>693.0</v>
      </c>
      <c r="J2571" s="70" t="s">
        <v>7235</v>
      </c>
      <c r="K2571" s="70" t="s">
        <v>7236</v>
      </c>
      <c r="L2571" s="70" t="s">
        <v>7237</v>
      </c>
      <c r="P2571" s="76">
        <v>43860.0</v>
      </c>
      <c r="U2571" s="70" t="s">
        <v>239</v>
      </c>
      <c r="W2571" s="70" t="s">
        <v>7240</v>
      </c>
      <c r="X2571" s="70" t="s">
        <v>7241</v>
      </c>
      <c r="Z2571" s="75" t="s">
        <v>7242</v>
      </c>
      <c r="AA2571" s="70" t="s">
        <v>7243</v>
      </c>
      <c r="AC2571" s="70">
        <v>4.0</v>
      </c>
      <c r="AE2571" s="70">
        <v>13.0</v>
      </c>
      <c r="AF2571" s="70" t="s">
        <v>239</v>
      </c>
      <c r="AX2571" s="70">
        <v>0.0</v>
      </c>
      <c r="AY2571" s="70" t="s">
        <v>24</v>
      </c>
      <c r="AZ2571" s="70">
        <v>2878.0</v>
      </c>
    </row>
    <row r="2572" ht="22.5" customHeight="1">
      <c r="A2572" s="70" t="str">
        <f t="shared" si="1"/>
        <v>Excluded</v>
      </c>
      <c r="B2572" s="70">
        <f t="shared" si="2"/>
        <v>0</v>
      </c>
      <c r="C2572" s="70">
        <v>0.0</v>
      </c>
      <c r="D2572" s="70">
        <v>0.0</v>
      </c>
      <c r="E2572" s="70">
        <v>0.0</v>
      </c>
      <c r="F2572" s="70">
        <v>0.0</v>
      </c>
      <c r="G2572" s="70">
        <v>0.0</v>
      </c>
      <c r="H2572" s="70" t="s">
        <v>7707</v>
      </c>
      <c r="I2572" s="70">
        <v>741.0</v>
      </c>
      <c r="J2572" s="70" t="s">
        <v>7704</v>
      </c>
      <c r="K2572" s="70" t="s">
        <v>7705</v>
      </c>
      <c r="L2572" s="70" t="s">
        <v>7706</v>
      </c>
      <c r="P2572" s="76">
        <v>44245.0</v>
      </c>
      <c r="U2572" s="70" t="s">
        <v>239</v>
      </c>
      <c r="W2572" s="70" t="s">
        <v>7709</v>
      </c>
      <c r="X2572" s="70" t="s">
        <v>7710</v>
      </c>
      <c r="Z2572" s="75" t="s">
        <v>7711</v>
      </c>
      <c r="AA2572" s="70" t="s">
        <v>7712</v>
      </c>
      <c r="AC2572" s="70">
        <v>3.0</v>
      </c>
      <c r="AE2572" s="70">
        <v>15.0</v>
      </c>
      <c r="AF2572" s="70" t="s">
        <v>239</v>
      </c>
      <c r="AW2572" s="70" t="s">
        <v>7713</v>
      </c>
      <c r="AX2572" s="70">
        <v>0.0</v>
      </c>
      <c r="AY2572" s="70" t="s">
        <v>24</v>
      </c>
      <c r="AZ2572" s="70">
        <v>3063.0</v>
      </c>
    </row>
    <row r="2573" ht="22.5" customHeight="1">
      <c r="A2573" s="70" t="str">
        <f t="shared" si="1"/>
        <v>Excluded</v>
      </c>
      <c r="B2573" s="70">
        <f t="shared" si="2"/>
        <v>0</v>
      </c>
      <c r="C2573" s="70">
        <v>0.0</v>
      </c>
      <c r="D2573" s="70">
        <v>0.0</v>
      </c>
      <c r="E2573" s="70">
        <v>0.0</v>
      </c>
      <c r="F2573" s="70">
        <v>0.0</v>
      </c>
      <c r="G2573" s="70">
        <v>0.0</v>
      </c>
      <c r="H2573" s="70" t="s">
        <v>9329</v>
      </c>
      <c r="I2573" s="70">
        <v>910.0</v>
      </c>
      <c r="J2573" s="70" t="s">
        <v>9327</v>
      </c>
      <c r="K2573" s="70" t="s">
        <v>9328</v>
      </c>
      <c r="L2573" s="70" t="s">
        <v>7706</v>
      </c>
      <c r="P2573" s="76">
        <v>44245.0</v>
      </c>
      <c r="U2573" s="70" t="s">
        <v>239</v>
      </c>
      <c r="W2573" s="70" t="s">
        <v>31089</v>
      </c>
      <c r="X2573" s="70" t="s">
        <v>7710</v>
      </c>
      <c r="Z2573" s="75" t="s">
        <v>9332</v>
      </c>
      <c r="AA2573" s="70" t="s">
        <v>9333</v>
      </c>
      <c r="AC2573" s="70">
        <v>1.0</v>
      </c>
      <c r="AE2573" s="70">
        <v>12.0</v>
      </c>
      <c r="AF2573" s="70" t="s">
        <v>239</v>
      </c>
      <c r="AW2573" s="70" t="s">
        <v>9334</v>
      </c>
      <c r="AX2573" s="70">
        <v>0.0</v>
      </c>
      <c r="AY2573" s="70" t="s">
        <v>24</v>
      </c>
      <c r="AZ2573" s="70">
        <v>1652.0</v>
      </c>
    </row>
    <row r="2574" ht="22.5" customHeight="1">
      <c r="A2574" s="70" t="str">
        <f t="shared" si="1"/>
        <v>Excluded</v>
      </c>
      <c r="B2574" s="70">
        <f t="shared" si="2"/>
        <v>0</v>
      </c>
      <c r="C2574" s="70">
        <v>0.0</v>
      </c>
      <c r="D2574" s="70">
        <v>0.0</v>
      </c>
      <c r="E2574" s="70">
        <v>0.0</v>
      </c>
      <c r="F2574" s="70">
        <v>0.0</v>
      </c>
      <c r="G2574" s="70">
        <v>0.0</v>
      </c>
      <c r="H2574" s="70" t="s">
        <v>9446</v>
      </c>
      <c r="I2574" s="70">
        <v>922.0</v>
      </c>
      <c r="J2574" s="70" t="s">
        <v>9444</v>
      </c>
      <c r="K2574" s="70" t="s">
        <v>9445</v>
      </c>
      <c r="L2574" s="70" t="s">
        <v>7706</v>
      </c>
      <c r="P2574" s="76">
        <v>44245.0</v>
      </c>
      <c r="U2574" s="70" t="s">
        <v>239</v>
      </c>
      <c r="W2574" s="70" t="s">
        <v>9448</v>
      </c>
      <c r="X2574" s="70" t="s">
        <v>7710</v>
      </c>
      <c r="Z2574" s="75" t="s">
        <v>9449</v>
      </c>
      <c r="AA2574" s="70" t="s">
        <v>9450</v>
      </c>
      <c r="AE2574" s="70">
        <v>18.0</v>
      </c>
      <c r="AF2574" s="70" t="s">
        <v>239</v>
      </c>
      <c r="AW2574" s="70" t="s">
        <v>9451</v>
      </c>
      <c r="AZ2574" s="70">
        <v>497.0</v>
      </c>
    </row>
    <row r="2575" ht="22.5" customHeight="1">
      <c r="A2575" s="70" t="str">
        <f t="shared" si="1"/>
        <v>Excluded</v>
      </c>
      <c r="B2575" s="70">
        <f t="shared" si="2"/>
        <v>0</v>
      </c>
      <c r="C2575" s="70">
        <v>0.0</v>
      </c>
      <c r="D2575" s="70">
        <v>0.0</v>
      </c>
      <c r="E2575" s="70">
        <v>0.0</v>
      </c>
      <c r="F2575" s="70">
        <v>0.0</v>
      </c>
      <c r="G2575" s="70">
        <v>0.0</v>
      </c>
      <c r="H2575" s="70" t="s">
        <v>8944</v>
      </c>
      <c r="I2575" s="70">
        <v>870.0</v>
      </c>
      <c r="J2575" s="70" t="s">
        <v>8941</v>
      </c>
      <c r="K2575" s="70" t="s">
        <v>8942</v>
      </c>
      <c r="L2575" s="70" t="s">
        <v>8943</v>
      </c>
      <c r="P2575" s="76">
        <v>44644.0</v>
      </c>
      <c r="U2575" s="70" t="s">
        <v>239</v>
      </c>
      <c r="W2575" s="70" t="s">
        <v>31090</v>
      </c>
      <c r="X2575" s="70" t="s">
        <v>8947</v>
      </c>
      <c r="Z2575" s="75" t="s">
        <v>8948</v>
      </c>
      <c r="AA2575" s="70" t="s">
        <v>8949</v>
      </c>
      <c r="AC2575" s="70">
        <v>1.0</v>
      </c>
      <c r="AE2575" s="70">
        <v>6.0</v>
      </c>
      <c r="AF2575" s="70" t="s">
        <v>239</v>
      </c>
      <c r="AW2575" s="70" t="s">
        <v>8950</v>
      </c>
      <c r="AZ2575" s="70">
        <v>524.0</v>
      </c>
    </row>
    <row r="2576" ht="22.5" customHeight="1">
      <c r="A2576" s="70" t="str">
        <f t="shared" si="1"/>
        <v>Excluded</v>
      </c>
      <c r="B2576" s="70">
        <f t="shared" si="2"/>
        <v>0</v>
      </c>
      <c r="C2576" s="70">
        <v>0.0</v>
      </c>
      <c r="D2576" s="70">
        <v>0.0</v>
      </c>
      <c r="E2576" s="70">
        <v>0.0</v>
      </c>
      <c r="F2576" s="70">
        <v>0.0</v>
      </c>
      <c r="G2576" s="70">
        <v>0.0</v>
      </c>
      <c r="H2576" s="70" t="s">
        <v>13460</v>
      </c>
      <c r="I2576" s="70">
        <v>1402.0</v>
      </c>
      <c r="J2576" s="70" t="s">
        <v>13456</v>
      </c>
      <c r="K2576" s="70" t="s">
        <v>13457</v>
      </c>
      <c r="L2576" s="70" t="s">
        <v>13458</v>
      </c>
      <c r="N2576" s="70" t="s">
        <v>13459</v>
      </c>
      <c r="P2576" s="76">
        <v>45316.0</v>
      </c>
      <c r="U2576" s="70" t="s">
        <v>239</v>
      </c>
      <c r="W2576" s="70" t="s">
        <v>31091</v>
      </c>
      <c r="X2576" s="70" t="s">
        <v>13463</v>
      </c>
      <c r="Z2576" s="75" t="s">
        <v>13464</v>
      </c>
      <c r="AA2576" s="70" t="s">
        <v>13465</v>
      </c>
      <c r="AE2576" s="70">
        <v>16.0</v>
      </c>
      <c r="AF2576" s="70" t="s">
        <v>239</v>
      </c>
      <c r="AW2576" s="70" t="s">
        <v>13466</v>
      </c>
      <c r="AX2576" s="70">
        <v>0.0</v>
      </c>
      <c r="AY2576" s="70" t="s">
        <v>24</v>
      </c>
      <c r="AZ2576" s="70">
        <v>2697.0</v>
      </c>
    </row>
    <row r="2577" ht="22.5" customHeight="1">
      <c r="A2577" s="70" t="str">
        <f t="shared" si="1"/>
        <v>Excluded</v>
      </c>
      <c r="B2577" s="70">
        <f t="shared" si="2"/>
        <v>0</v>
      </c>
      <c r="C2577" s="70">
        <v>0.0</v>
      </c>
      <c r="D2577" s="70">
        <v>0.0</v>
      </c>
      <c r="E2577" s="70">
        <v>0.0</v>
      </c>
      <c r="F2577" s="70">
        <v>0.0</v>
      </c>
      <c r="G2577" s="70">
        <v>0.0</v>
      </c>
      <c r="H2577" s="70" t="s">
        <v>8571</v>
      </c>
      <c r="I2577" s="70">
        <v>832.0</v>
      </c>
      <c r="J2577" s="70" t="s">
        <v>31092</v>
      </c>
      <c r="K2577" s="70" t="s">
        <v>8569</v>
      </c>
      <c r="L2577" s="70" t="s">
        <v>8570</v>
      </c>
      <c r="P2577" s="77">
        <v>44838.0</v>
      </c>
      <c r="U2577" s="70" t="s">
        <v>239</v>
      </c>
      <c r="W2577" s="70" t="s">
        <v>8573</v>
      </c>
      <c r="X2577" s="70" t="s">
        <v>8574</v>
      </c>
      <c r="Z2577" s="75" t="s">
        <v>8575</v>
      </c>
      <c r="AA2577" s="70" t="s">
        <v>8576</v>
      </c>
      <c r="AC2577" s="70">
        <v>1.0</v>
      </c>
      <c r="AE2577" s="70">
        <v>24.0</v>
      </c>
      <c r="AF2577" s="70" t="s">
        <v>239</v>
      </c>
      <c r="AW2577" s="70" t="s">
        <v>8577</v>
      </c>
      <c r="AX2577" s="70">
        <v>0.0</v>
      </c>
      <c r="AY2577" s="70" t="s">
        <v>24</v>
      </c>
      <c r="AZ2577" s="70">
        <v>2455.0</v>
      </c>
    </row>
    <row r="2578" ht="22.5" customHeight="1">
      <c r="A2578" s="70" t="str">
        <f t="shared" si="1"/>
        <v>Excluded</v>
      </c>
      <c r="B2578" s="70">
        <f t="shared" si="2"/>
        <v>0</v>
      </c>
      <c r="C2578" s="70">
        <v>0.0</v>
      </c>
      <c r="D2578" s="70">
        <v>0.0</v>
      </c>
      <c r="E2578" s="70">
        <v>0.0</v>
      </c>
      <c r="F2578" s="70">
        <v>0.0</v>
      </c>
      <c r="G2578" s="70">
        <v>0.0</v>
      </c>
      <c r="H2578" s="70" t="s">
        <v>15936</v>
      </c>
      <c r="I2578" s="70">
        <v>1677.0</v>
      </c>
      <c r="K2578" s="70" t="s">
        <v>10597</v>
      </c>
      <c r="L2578" s="70" t="s">
        <v>15934</v>
      </c>
      <c r="N2578" s="70" t="s">
        <v>15935</v>
      </c>
      <c r="P2578" s="79">
        <v>45413.0</v>
      </c>
      <c r="U2578" s="70" t="s">
        <v>239</v>
      </c>
      <c r="X2578" s="70" t="s">
        <v>15937</v>
      </c>
      <c r="Z2578" s="75" t="s">
        <v>15938</v>
      </c>
      <c r="AF2578" s="70" t="s">
        <v>239</v>
      </c>
      <c r="AZ2578" s="70">
        <v>1573.0</v>
      </c>
    </row>
    <row r="2579" ht="22.5" customHeight="1">
      <c r="A2579" s="70" t="str">
        <f t="shared" si="1"/>
        <v>Excluded</v>
      </c>
      <c r="B2579" s="70">
        <f t="shared" si="2"/>
        <v>0</v>
      </c>
      <c r="C2579" s="70">
        <v>0.0</v>
      </c>
      <c r="D2579" s="70">
        <v>0.0</v>
      </c>
      <c r="E2579" s="70">
        <v>0.0</v>
      </c>
      <c r="F2579" s="70">
        <v>0.0</v>
      </c>
      <c r="G2579" s="70">
        <v>0.0</v>
      </c>
      <c r="H2579" s="70" t="s">
        <v>4744</v>
      </c>
      <c r="I2579" s="70">
        <v>440.0</v>
      </c>
      <c r="J2579" s="70" t="s">
        <v>4741</v>
      </c>
      <c r="K2579" s="70" t="s">
        <v>4742</v>
      </c>
      <c r="L2579" s="70" t="s">
        <v>4743</v>
      </c>
      <c r="P2579" s="79">
        <v>42859.0</v>
      </c>
      <c r="U2579" s="70" t="s">
        <v>239</v>
      </c>
      <c r="W2579" s="70" t="s">
        <v>4746</v>
      </c>
      <c r="X2579" s="70" t="s">
        <v>4747</v>
      </c>
      <c r="Z2579" s="75" t="s">
        <v>4748</v>
      </c>
      <c r="AA2579" s="70" t="s">
        <v>4749</v>
      </c>
      <c r="AC2579" s="70">
        <v>40.0</v>
      </c>
      <c r="AE2579" s="70">
        <v>24.0</v>
      </c>
      <c r="AF2579" s="70" t="s">
        <v>239</v>
      </c>
      <c r="AW2579" s="70" t="s">
        <v>4750</v>
      </c>
      <c r="AZ2579" s="70">
        <v>660.0</v>
      </c>
    </row>
    <row r="2580" ht="22.5" customHeight="1">
      <c r="A2580" s="70" t="str">
        <f t="shared" si="1"/>
        <v>Excluded</v>
      </c>
      <c r="B2580" s="70">
        <f t="shared" si="2"/>
        <v>0</v>
      </c>
      <c r="C2580" s="70">
        <v>0.0</v>
      </c>
      <c r="D2580" s="70">
        <v>0.0</v>
      </c>
      <c r="E2580" s="70">
        <v>0.0</v>
      </c>
      <c r="F2580" s="70">
        <v>0.0</v>
      </c>
      <c r="G2580" s="70">
        <v>0.0</v>
      </c>
      <c r="H2580" s="70" t="s">
        <v>6094</v>
      </c>
      <c r="I2580" s="70">
        <v>576.0</v>
      </c>
      <c r="J2580" s="70" t="s">
        <v>6091</v>
      </c>
      <c r="K2580" s="70" t="s">
        <v>6092</v>
      </c>
      <c r="L2580" s="70" t="s">
        <v>6093</v>
      </c>
      <c r="P2580" s="77">
        <v>43132.0</v>
      </c>
      <c r="U2580" s="70" t="s">
        <v>239</v>
      </c>
      <c r="W2580" s="70" t="s">
        <v>6096</v>
      </c>
      <c r="X2580" s="70" t="s">
        <v>6097</v>
      </c>
      <c r="Z2580" s="75" t="s">
        <v>6098</v>
      </c>
      <c r="AA2580" s="70" t="s">
        <v>6099</v>
      </c>
      <c r="AC2580" s="70">
        <v>7.0</v>
      </c>
      <c r="AE2580" s="70">
        <v>25.0</v>
      </c>
      <c r="AF2580" s="70" t="s">
        <v>239</v>
      </c>
      <c r="AW2580" s="70" t="s">
        <v>6100</v>
      </c>
      <c r="AZ2580" s="70">
        <v>1032.0</v>
      </c>
    </row>
    <row r="2581" ht="22.5" customHeight="1">
      <c r="A2581" s="70" t="str">
        <f t="shared" si="1"/>
        <v>Excluded</v>
      </c>
      <c r="B2581" s="70">
        <f t="shared" si="2"/>
        <v>0</v>
      </c>
      <c r="C2581" s="70">
        <v>0.0</v>
      </c>
      <c r="D2581" s="70">
        <v>0.0</v>
      </c>
      <c r="E2581" s="70">
        <v>0.0</v>
      </c>
      <c r="F2581" s="70">
        <v>0.0</v>
      </c>
      <c r="G2581" s="70">
        <v>0.0</v>
      </c>
      <c r="H2581" s="70" t="s">
        <v>14315</v>
      </c>
      <c r="I2581" s="70">
        <v>1493.0</v>
      </c>
      <c r="J2581" s="70" t="s">
        <v>14313</v>
      </c>
      <c r="K2581" s="70" t="s">
        <v>14314</v>
      </c>
      <c r="L2581" s="70" t="s">
        <v>11482</v>
      </c>
      <c r="P2581" s="76">
        <v>45533.0</v>
      </c>
      <c r="U2581" s="70" t="s">
        <v>239</v>
      </c>
      <c r="W2581" s="70" t="s">
        <v>14317</v>
      </c>
      <c r="X2581" s="70" t="s">
        <v>11486</v>
      </c>
      <c r="Z2581" s="75" t="s">
        <v>14318</v>
      </c>
      <c r="AA2581" s="70" t="s">
        <v>14319</v>
      </c>
      <c r="AE2581" s="70">
        <v>20.0</v>
      </c>
      <c r="AF2581" s="70" t="s">
        <v>239</v>
      </c>
      <c r="AW2581" s="70" t="s">
        <v>14320</v>
      </c>
      <c r="AX2581" s="70">
        <v>0.0</v>
      </c>
      <c r="AY2581" s="70" t="s">
        <v>24</v>
      </c>
      <c r="AZ2581" s="70">
        <v>2075.0</v>
      </c>
    </row>
    <row r="2582" ht="22.5" customHeight="1">
      <c r="A2582" s="70" t="str">
        <f t="shared" si="1"/>
        <v>Excluded</v>
      </c>
      <c r="B2582" s="70">
        <f t="shared" si="2"/>
        <v>0</v>
      </c>
      <c r="C2582" s="70">
        <v>0.0</v>
      </c>
      <c r="D2582" s="70">
        <v>0.0</v>
      </c>
      <c r="E2582" s="70">
        <v>0.0</v>
      </c>
      <c r="F2582" s="70">
        <v>0.0</v>
      </c>
      <c r="G2582" s="70">
        <v>0.0</v>
      </c>
      <c r="H2582" s="70" t="s">
        <v>11483</v>
      </c>
      <c r="I2582" s="70">
        <v>1203.0</v>
      </c>
      <c r="J2582" s="70" t="s">
        <v>11480</v>
      </c>
      <c r="K2582" s="70" t="s">
        <v>11481</v>
      </c>
      <c r="L2582" s="70" t="s">
        <v>11482</v>
      </c>
      <c r="P2582" s="76">
        <v>45533.0</v>
      </c>
      <c r="U2582" s="70" t="s">
        <v>239</v>
      </c>
      <c r="W2582" s="70" t="s">
        <v>11485</v>
      </c>
      <c r="X2582" s="70" t="s">
        <v>11486</v>
      </c>
      <c r="Z2582" s="75" t="s">
        <v>11487</v>
      </c>
      <c r="AA2582" s="70" t="s">
        <v>11488</v>
      </c>
      <c r="AC2582" s="70">
        <v>3.0</v>
      </c>
      <c r="AE2582" s="70">
        <v>32.0</v>
      </c>
      <c r="AF2582" s="70" t="s">
        <v>239</v>
      </c>
      <c r="AW2582" s="70" t="s">
        <v>11489</v>
      </c>
      <c r="AX2582" s="70">
        <v>0.0</v>
      </c>
      <c r="AY2582" s="70" t="s">
        <v>24</v>
      </c>
      <c r="AZ2582" s="70">
        <v>2034.0</v>
      </c>
    </row>
    <row r="2583" ht="22.5" customHeight="1">
      <c r="A2583" s="70" t="str">
        <f t="shared" si="1"/>
        <v>Excluded</v>
      </c>
      <c r="B2583" s="70">
        <f t="shared" si="2"/>
        <v>0</v>
      </c>
      <c r="C2583" s="70">
        <v>0.0</v>
      </c>
      <c r="D2583" s="70">
        <v>0.0</v>
      </c>
      <c r="E2583" s="70">
        <v>0.0</v>
      </c>
      <c r="F2583" s="70">
        <v>0.0</v>
      </c>
      <c r="G2583" s="70">
        <v>0.0</v>
      </c>
      <c r="H2583" s="70" t="s">
        <v>3154</v>
      </c>
      <c r="I2583" s="70">
        <v>258.0</v>
      </c>
      <c r="J2583" s="70" t="s">
        <v>3150</v>
      </c>
      <c r="K2583" s="70" t="s">
        <v>3151</v>
      </c>
      <c r="L2583" s="70" t="s">
        <v>3152</v>
      </c>
      <c r="M2583" s="70" t="s">
        <v>3153</v>
      </c>
      <c r="O2583" s="75" t="s">
        <v>3155</v>
      </c>
      <c r="P2583" s="70">
        <v>2015.0</v>
      </c>
      <c r="Q2583" s="70" t="s">
        <v>3156</v>
      </c>
      <c r="U2583" s="70" t="s">
        <v>401</v>
      </c>
      <c r="V2583" s="70" t="s">
        <v>402</v>
      </c>
      <c r="W2583" s="70" t="s">
        <v>31093</v>
      </c>
      <c r="AW2583" s="70" t="s">
        <v>3159</v>
      </c>
      <c r="AX2583" s="70">
        <v>0.0</v>
      </c>
      <c r="AY2583" s="70" t="s">
        <v>24</v>
      </c>
      <c r="AZ2583" s="70">
        <v>2988.0</v>
      </c>
    </row>
    <row r="2584" ht="22.5" customHeight="1">
      <c r="A2584" s="70" t="str">
        <f t="shared" si="1"/>
        <v>Excluded</v>
      </c>
      <c r="B2584" s="70">
        <f t="shared" si="2"/>
        <v>0</v>
      </c>
      <c r="C2584" s="70">
        <v>0.0</v>
      </c>
      <c r="D2584" s="70">
        <v>0.0</v>
      </c>
      <c r="E2584" s="70">
        <v>0.0</v>
      </c>
      <c r="F2584" s="70">
        <v>0.0</v>
      </c>
      <c r="G2584" s="70">
        <v>0.0</v>
      </c>
      <c r="H2584" s="70" t="s">
        <v>3624</v>
      </c>
      <c r="I2584" s="70">
        <v>303.0</v>
      </c>
      <c r="J2584" s="70" t="s">
        <v>31094</v>
      </c>
      <c r="K2584" s="70" t="s">
        <v>3621</v>
      </c>
      <c r="L2584" s="70" t="s">
        <v>3622</v>
      </c>
      <c r="M2584" s="70" t="s">
        <v>3623</v>
      </c>
      <c r="O2584" s="75" t="s">
        <v>3625</v>
      </c>
      <c r="P2584" s="70">
        <v>2015.0</v>
      </c>
      <c r="Q2584" s="70" t="s">
        <v>3627</v>
      </c>
      <c r="U2584" s="70" t="s">
        <v>401</v>
      </c>
      <c r="V2584" s="70" t="s">
        <v>402</v>
      </c>
      <c r="W2584" s="70" t="s">
        <v>3629</v>
      </c>
      <c r="AW2584" s="70" t="s">
        <v>3630</v>
      </c>
      <c r="AX2584" s="70">
        <v>0.0</v>
      </c>
      <c r="AY2584" s="70" t="s">
        <v>24</v>
      </c>
      <c r="AZ2584" s="70">
        <v>2283.0</v>
      </c>
    </row>
    <row r="2585" ht="22.5" customHeight="1">
      <c r="A2585" s="70" t="str">
        <f t="shared" si="1"/>
        <v>Excluded</v>
      </c>
      <c r="B2585" s="70">
        <f t="shared" si="2"/>
        <v>0</v>
      </c>
      <c r="C2585" s="70">
        <v>0.0</v>
      </c>
      <c r="D2585" s="70">
        <v>0.0</v>
      </c>
      <c r="E2585" s="70">
        <v>0.0</v>
      </c>
      <c r="F2585" s="70">
        <v>0.0</v>
      </c>
      <c r="G2585" s="70">
        <v>0.0</v>
      </c>
      <c r="H2585" s="70" t="s">
        <v>3264</v>
      </c>
      <c r="I2585" s="70">
        <v>268.0</v>
      </c>
      <c r="J2585" s="70" t="s">
        <v>31095</v>
      </c>
      <c r="K2585" s="70" t="s">
        <v>3261</v>
      </c>
      <c r="L2585" s="70" t="s">
        <v>3262</v>
      </c>
      <c r="M2585" s="70" t="s">
        <v>3263</v>
      </c>
      <c r="O2585" s="75" t="s">
        <v>3265</v>
      </c>
      <c r="P2585" s="70">
        <v>2015.0</v>
      </c>
      <c r="Q2585" s="70" t="s">
        <v>3266</v>
      </c>
      <c r="U2585" s="70" t="s">
        <v>401</v>
      </c>
      <c r="V2585" s="70" t="s">
        <v>402</v>
      </c>
      <c r="W2585" s="70" t="s">
        <v>3267</v>
      </c>
      <c r="AW2585" s="70" t="s">
        <v>3268</v>
      </c>
      <c r="AZ2585" s="70">
        <v>210.0</v>
      </c>
    </row>
    <row r="2586" ht="22.5" customHeight="1">
      <c r="A2586" s="70" t="str">
        <f t="shared" si="1"/>
        <v>Excluded</v>
      </c>
      <c r="B2586" s="70">
        <f t="shared" si="2"/>
        <v>0</v>
      </c>
      <c r="C2586" s="70">
        <v>0.0</v>
      </c>
      <c r="D2586" s="70">
        <v>0.0</v>
      </c>
      <c r="E2586" s="70">
        <v>0.0</v>
      </c>
      <c r="F2586" s="70">
        <v>0.0</v>
      </c>
      <c r="G2586" s="70">
        <v>0.0</v>
      </c>
      <c r="H2586" s="70" t="s">
        <v>3218</v>
      </c>
      <c r="I2586" s="70">
        <v>264.0</v>
      </c>
      <c r="J2586" s="70" t="s">
        <v>3214</v>
      </c>
      <c r="K2586" s="70" t="s">
        <v>3215</v>
      </c>
      <c r="L2586" s="70" t="s">
        <v>3216</v>
      </c>
      <c r="M2586" s="70" t="s">
        <v>3217</v>
      </c>
      <c r="O2586" s="75" t="s">
        <v>3219</v>
      </c>
      <c r="P2586" s="70">
        <v>2016.0</v>
      </c>
      <c r="Q2586" s="70" t="s">
        <v>3220</v>
      </c>
      <c r="U2586" s="70" t="s">
        <v>401</v>
      </c>
      <c r="V2586" s="70" t="s">
        <v>402</v>
      </c>
      <c r="W2586" s="70" t="s">
        <v>3222</v>
      </c>
      <c r="AW2586" s="70" t="s">
        <v>3223</v>
      </c>
      <c r="AZ2586" s="70">
        <v>896.0</v>
      </c>
    </row>
    <row r="2587" ht="22.5" customHeight="1">
      <c r="A2587" s="70" t="str">
        <f t="shared" si="1"/>
        <v>Excluded</v>
      </c>
      <c r="B2587" s="70">
        <f t="shared" si="2"/>
        <v>0</v>
      </c>
      <c r="C2587" s="70">
        <v>0.0</v>
      </c>
      <c r="D2587" s="70">
        <v>0.0</v>
      </c>
      <c r="E2587" s="70">
        <v>0.0</v>
      </c>
      <c r="F2587" s="70">
        <v>0.0</v>
      </c>
      <c r="G2587" s="70">
        <v>0.0</v>
      </c>
      <c r="H2587" s="70" t="s">
        <v>3510</v>
      </c>
      <c r="I2587" s="70">
        <v>292.0</v>
      </c>
      <c r="J2587" s="70" t="s">
        <v>3506</v>
      </c>
      <c r="K2587" s="70" t="s">
        <v>3507</v>
      </c>
      <c r="L2587" s="70" t="s">
        <v>3508</v>
      </c>
      <c r="M2587" s="70" t="s">
        <v>3509</v>
      </c>
      <c r="O2587" s="75" t="s">
        <v>3511</v>
      </c>
      <c r="P2587" s="70">
        <v>2016.0</v>
      </c>
      <c r="Q2587" s="70" t="s">
        <v>3512</v>
      </c>
      <c r="U2587" s="70" t="s">
        <v>401</v>
      </c>
      <c r="V2587" s="70" t="s">
        <v>402</v>
      </c>
      <c r="W2587" s="70" t="s">
        <v>3514</v>
      </c>
      <c r="AW2587" s="70" t="s">
        <v>3515</v>
      </c>
      <c r="AZ2587" s="70">
        <v>1250.0</v>
      </c>
    </row>
    <row r="2588" ht="22.5" customHeight="1">
      <c r="A2588" s="70" t="str">
        <f t="shared" si="1"/>
        <v>Excluded</v>
      </c>
      <c r="B2588" s="70">
        <f t="shared" si="2"/>
        <v>0</v>
      </c>
      <c r="C2588" s="70">
        <v>0.0</v>
      </c>
      <c r="D2588" s="70">
        <v>0.0</v>
      </c>
      <c r="E2588" s="70">
        <v>0.0</v>
      </c>
      <c r="F2588" s="70">
        <v>0.0</v>
      </c>
      <c r="G2588" s="70">
        <v>0.0</v>
      </c>
      <c r="H2588" s="70" t="s">
        <v>2415</v>
      </c>
      <c r="I2588" s="70">
        <v>188.0</v>
      </c>
      <c r="J2588" s="70" t="s">
        <v>31096</v>
      </c>
      <c r="K2588" s="70" t="s">
        <v>2412</v>
      </c>
      <c r="L2588" s="70" t="s">
        <v>2413</v>
      </c>
      <c r="M2588" s="70" t="s">
        <v>2414</v>
      </c>
      <c r="O2588" s="75" t="s">
        <v>2416</v>
      </c>
      <c r="P2588" s="70">
        <v>2016.0</v>
      </c>
      <c r="Q2588" s="70" t="s">
        <v>2418</v>
      </c>
      <c r="U2588" s="70" t="s">
        <v>401</v>
      </c>
      <c r="V2588" s="70" t="s">
        <v>402</v>
      </c>
      <c r="W2588" s="70" t="s">
        <v>2420</v>
      </c>
      <c r="AW2588" s="70" t="s">
        <v>2421</v>
      </c>
      <c r="AX2588" s="70">
        <v>0.0</v>
      </c>
      <c r="AY2588" s="70" t="s">
        <v>24</v>
      </c>
      <c r="AZ2588" s="70">
        <v>3069.0</v>
      </c>
    </row>
    <row r="2589" ht="22.5" customHeight="1">
      <c r="A2589" s="70" t="str">
        <f t="shared" si="1"/>
        <v>Excluded</v>
      </c>
      <c r="B2589" s="70">
        <f t="shared" si="2"/>
        <v>0</v>
      </c>
      <c r="C2589" s="70">
        <v>0.0</v>
      </c>
      <c r="D2589" s="70">
        <v>0.0</v>
      </c>
      <c r="E2589" s="70">
        <v>0.0</v>
      </c>
      <c r="F2589" s="70">
        <v>0.0</v>
      </c>
      <c r="G2589" s="70">
        <v>0.0</v>
      </c>
      <c r="H2589" s="70" t="s">
        <v>1931</v>
      </c>
      <c r="I2589" s="70">
        <v>142.0</v>
      </c>
      <c r="J2589" s="70" t="s">
        <v>31097</v>
      </c>
      <c r="K2589" s="70" t="s">
        <v>1928</v>
      </c>
      <c r="L2589" s="70" t="s">
        <v>1929</v>
      </c>
      <c r="M2589" s="70" t="s">
        <v>1930</v>
      </c>
      <c r="O2589" s="75" t="s">
        <v>1932</v>
      </c>
      <c r="P2589" s="70">
        <v>2016.0</v>
      </c>
      <c r="Q2589" s="70" t="s">
        <v>1933</v>
      </c>
      <c r="U2589" s="70" t="s">
        <v>401</v>
      </c>
      <c r="V2589" s="70" t="s">
        <v>402</v>
      </c>
      <c r="W2589" s="70" t="s">
        <v>1934</v>
      </c>
      <c r="AW2589" s="70" t="s">
        <v>1935</v>
      </c>
      <c r="AX2589" s="70">
        <v>0.0</v>
      </c>
      <c r="AY2589" s="70" t="s">
        <v>24</v>
      </c>
      <c r="AZ2589" s="70">
        <v>2636.0</v>
      </c>
    </row>
    <row r="2590" ht="22.5" customHeight="1">
      <c r="A2590" s="70" t="str">
        <f t="shared" si="1"/>
        <v>Excluded</v>
      </c>
      <c r="B2590" s="70">
        <f t="shared" si="2"/>
        <v>0</v>
      </c>
      <c r="C2590" s="70">
        <v>0.0</v>
      </c>
      <c r="D2590" s="70">
        <v>0.0</v>
      </c>
      <c r="E2590" s="70">
        <v>0.0</v>
      </c>
      <c r="F2590" s="70">
        <v>0.0</v>
      </c>
      <c r="G2590" s="70">
        <v>0.0</v>
      </c>
      <c r="H2590" s="70" t="s">
        <v>679</v>
      </c>
      <c r="I2590" s="70">
        <v>26.0</v>
      </c>
      <c r="J2590" s="70" t="s">
        <v>675</v>
      </c>
      <c r="K2590" s="70" t="s">
        <v>676</v>
      </c>
      <c r="L2590" s="70" t="s">
        <v>677</v>
      </c>
      <c r="M2590" s="70" t="s">
        <v>678</v>
      </c>
      <c r="O2590" s="75" t="s">
        <v>680</v>
      </c>
      <c r="P2590" s="70">
        <v>2016.0</v>
      </c>
      <c r="Q2590" s="70" t="s">
        <v>682</v>
      </c>
      <c r="U2590" s="70" t="s">
        <v>401</v>
      </c>
      <c r="V2590" s="70" t="s">
        <v>402</v>
      </c>
      <c r="W2590" s="70" t="s">
        <v>684</v>
      </c>
      <c r="AW2590" s="70" t="s">
        <v>685</v>
      </c>
      <c r="AX2590" s="70">
        <v>0.0</v>
      </c>
      <c r="AY2590" s="70" t="s">
        <v>24</v>
      </c>
      <c r="AZ2590" s="70">
        <v>1943.0</v>
      </c>
    </row>
    <row r="2591" ht="22.5" customHeight="1">
      <c r="A2591" s="70" t="str">
        <f t="shared" si="1"/>
        <v>Excluded</v>
      </c>
      <c r="B2591" s="70">
        <f t="shared" si="2"/>
        <v>0</v>
      </c>
      <c r="C2591" s="70">
        <v>0.0</v>
      </c>
      <c r="D2591" s="70">
        <v>0.0</v>
      </c>
      <c r="E2591" s="70">
        <v>0.0</v>
      </c>
      <c r="F2591" s="70">
        <v>0.0</v>
      </c>
      <c r="G2591" s="70">
        <v>0.0</v>
      </c>
      <c r="H2591" s="70" t="s">
        <v>2725</v>
      </c>
      <c r="I2591" s="70">
        <v>218.0</v>
      </c>
      <c r="J2591" s="70" t="s">
        <v>2721</v>
      </c>
      <c r="K2591" s="70" t="s">
        <v>2722</v>
      </c>
      <c r="L2591" s="70" t="s">
        <v>2723</v>
      </c>
      <c r="M2591" s="70" t="s">
        <v>2724</v>
      </c>
      <c r="O2591" s="75" t="s">
        <v>2726</v>
      </c>
      <c r="P2591" s="70">
        <v>2017.0</v>
      </c>
      <c r="Q2591" s="70" t="s">
        <v>2727</v>
      </c>
      <c r="U2591" s="70" t="s">
        <v>401</v>
      </c>
      <c r="V2591" s="70" t="s">
        <v>402</v>
      </c>
      <c r="W2591" s="70" t="s">
        <v>2729</v>
      </c>
      <c r="AW2591" s="70" t="s">
        <v>2730</v>
      </c>
      <c r="AX2591" s="70">
        <v>0.0</v>
      </c>
      <c r="AY2591" s="70" t="s">
        <v>24</v>
      </c>
      <c r="AZ2591" s="70">
        <v>3132.0</v>
      </c>
    </row>
    <row r="2592" ht="22.5" customHeight="1">
      <c r="A2592" s="70" t="str">
        <f t="shared" si="1"/>
        <v>Excluded</v>
      </c>
      <c r="B2592" s="70">
        <f t="shared" si="2"/>
        <v>0</v>
      </c>
      <c r="C2592" s="70">
        <v>0.0</v>
      </c>
      <c r="D2592" s="70">
        <v>0.0</v>
      </c>
      <c r="E2592" s="70">
        <v>0.0</v>
      </c>
      <c r="F2592" s="70">
        <v>0.0</v>
      </c>
      <c r="G2592" s="70">
        <v>0.0</v>
      </c>
      <c r="H2592" s="70" t="s">
        <v>3385</v>
      </c>
      <c r="I2592" s="70">
        <v>280.0</v>
      </c>
      <c r="J2592" s="70" t="s">
        <v>3381</v>
      </c>
      <c r="K2592" s="70" t="s">
        <v>3382</v>
      </c>
      <c r="L2592" s="70" t="s">
        <v>3383</v>
      </c>
      <c r="M2592" s="70" t="s">
        <v>3384</v>
      </c>
      <c r="O2592" s="75" t="s">
        <v>3386</v>
      </c>
      <c r="P2592" s="70">
        <v>2017.0</v>
      </c>
      <c r="Q2592" s="70" t="s">
        <v>3388</v>
      </c>
      <c r="U2592" s="70" t="s">
        <v>401</v>
      </c>
      <c r="V2592" s="70" t="s">
        <v>402</v>
      </c>
      <c r="W2592" s="70" t="s">
        <v>3389</v>
      </c>
      <c r="AW2592" s="70" t="s">
        <v>3390</v>
      </c>
      <c r="AX2592" s="70">
        <v>0.0</v>
      </c>
      <c r="AY2592" s="70" t="s">
        <v>24</v>
      </c>
      <c r="AZ2592" s="70">
        <v>2569.0</v>
      </c>
    </row>
    <row r="2593" ht="22.5" customHeight="1">
      <c r="A2593" s="70" t="str">
        <f t="shared" si="1"/>
        <v>Excluded</v>
      </c>
      <c r="B2593" s="70">
        <f t="shared" si="2"/>
        <v>0</v>
      </c>
      <c r="C2593" s="70">
        <v>0.0</v>
      </c>
      <c r="D2593" s="70">
        <v>0.0</v>
      </c>
      <c r="E2593" s="70">
        <v>0.0</v>
      </c>
      <c r="F2593" s="70">
        <v>0.0</v>
      </c>
      <c r="G2593" s="70">
        <v>0.0</v>
      </c>
      <c r="H2593" s="70" t="s">
        <v>1823</v>
      </c>
      <c r="I2593" s="70">
        <v>132.0</v>
      </c>
      <c r="J2593" s="70" t="s">
        <v>1819</v>
      </c>
      <c r="K2593" s="70" t="s">
        <v>1820</v>
      </c>
      <c r="L2593" s="70" t="s">
        <v>1821</v>
      </c>
      <c r="M2593" s="70" t="s">
        <v>1822</v>
      </c>
      <c r="O2593" s="75" t="s">
        <v>1824</v>
      </c>
      <c r="P2593" s="70">
        <v>2017.0</v>
      </c>
      <c r="Q2593" s="70" t="s">
        <v>1826</v>
      </c>
      <c r="U2593" s="70" t="s">
        <v>401</v>
      </c>
      <c r="V2593" s="70" t="s">
        <v>402</v>
      </c>
      <c r="W2593" s="70" t="s">
        <v>1828</v>
      </c>
      <c r="AW2593" s="70" t="s">
        <v>1829</v>
      </c>
      <c r="AZ2593" s="70">
        <v>298.0</v>
      </c>
    </row>
    <row r="2594" ht="22.5" customHeight="1">
      <c r="A2594" s="70" t="str">
        <f t="shared" si="1"/>
        <v>Excluded</v>
      </c>
      <c r="B2594" s="70">
        <f t="shared" si="2"/>
        <v>0</v>
      </c>
      <c r="C2594" s="70">
        <v>0.0</v>
      </c>
      <c r="D2594" s="70">
        <v>0.0</v>
      </c>
      <c r="E2594" s="70">
        <v>0.0</v>
      </c>
      <c r="F2594" s="70">
        <v>0.0</v>
      </c>
      <c r="G2594" s="70">
        <v>0.0</v>
      </c>
      <c r="H2594" s="70" t="s">
        <v>2951</v>
      </c>
      <c r="I2594" s="70">
        <v>239.0</v>
      </c>
      <c r="J2594" s="70" t="s">
        <v>2947</v>
      </c>
      <c r="K2594" s="70" t="s">
        <v>2948</v>
      </c>
      <c r="L2594" s="70" t="s">
        <v>2949</v>
      </c>
      <c r="M2594" s="70" t="s">
        <v>2950</v>
      </c>
      <c r="O2594" s="75" t="s">
        <v>2952</v>
      </c>
      <c r="P2594" s="70">
        <v>2017.0</v>
      </c>
      <c r="Q2594" s="70" t="s">
        <v>2954</v>
      </c>
      <c r="U2594" s="70" t="s">
        <v>401</v>
      </c>
      <c r="V2594" s="70" t="s">
        <v>402</v>
      </c>
      <c r="W2594" s="70" t="s">
        <v>2956</v>
      </c>
      <c r="AW2594" s="70" t="s">
        <v>2957</v>
      </c>
      <c r="AZ2594" s="70">
        <v>694.0</v>
      </c>
    </row>
    <row r="2595" ht="22.5" customHeight="1">
      <c r="A2595" s="70" t="str">
        <f t="shared" si="1"/>
        <v>Excluded</v>
      </c>
      <c r="B2595" s="70">
        <f t="shared" si="2"/>
        <v>0</v>
      </c>
      <c r="C2595" s="70">
        <v>0.0</v>
      </c>
      <c r="D2595" s="70">
        <v>0.0</v>
      </c>
      <c r="E2595" s="70">
        <v>0.0</v>
      </c>
      <c r="F2595" s="70">
        <v>0.0</v>
      </c>
      <c r="G2595" s="70">
        <v>0.0</v>
      </c>
      <c r="H2595" s="70" t="s">
        <v>28968</v>
      </c>
      <c r="I2595" s="70">
        <v>3113.0</v>
      </c>
      <c r="J2595" s="70" t="s">
        <v>28966</v>
      </c>
      <c r="K2595" s="70" t="s">
        <v>28967</v>
      </c>
      <c r="W2595" s="70" t="s">
        <v>31098</v>
      </c>
      <c r="AA2595" s="70" t="s">
        <v>28971</v>
      </c>
      <c r="AI2595" s="70" t="s">
        <v>28972</v>
      </c>
      <c r="AJ2595" s="70" t="s">
        <v>28973</v>
      </c>
      <c r="AK2595" s="70">
        <v>2017.0</v>
      </c>
      <c r="AL2595" s="70" t="s">
        <v>24596</v>
      </c>
      <c r="AN2595" s="70">
        <v>133.0</v>
      </c>
      <c r="AO2595" s="70">
        <v>146.0</v>
      </c>
      <c r="AP2595" s="70">
        <v>13.0</v>
      </c>
      <c r="AQ2595" s="70">
        <v>40.0</v>
      </c>
      <c r="AR2595" s="75" t="s">
        <v>28974</v>
      </c>
      <c r="AS2595" s="70" t="s">
        <v>22525</v>
      </c>
      <c r="AT2595" s="70" t="s">
        <v>22656</v>
      </c>
      <c r="AU2595" s="70" t="s">
        <v>237</v>
      </c>
      <c r="AV2595" s="70" t="s">
        <v>28975</v>
      </c>
      <c r="AW2595" s="70" t="s">
        <v>28976</v>
      </c>
      <c r="AX2595" s="70">
        <v>0.0</v>
      </c>
      <c r="AY2595" s="70" t="s">
        <v>24</v>
      </c>
      <c r="AZ2595" s="70">
        <v>2958.0</v>
      </c>
    </row>
    <row r="2596" ht="22.5" customHeight="1">
      <c r="A2596" s="70" t="str">
        <f t="shared" si="1"/>
        <v>Excluded</v>
      </c>
      <c r="B2596" s="70">
        <f t="shared" si="2"/>
        <v>0</v>
      </c>
      <c r="C2596" s="70">
        <v>0.0</v>
      </c>
      <c r="D2596" s="70">
        <v>0.0</v>
      </c>
      <c r="E2596" s="70">
        <v>0.0</v>
      </c>
      <c r="F2596" s="70">
        <v>0.0</v>
      </c>
      <c r="G2596" s="70">
        <v>0.0</v>
      </c>
      <c r="H2596" s="70" t="s">
        <v>3531</v>
      </c>
      <c r="I2596" s="70">
        <v>294.0</v>
      </c>
      <c r="J2596" s="70" t="s">
        <v>3527</v>
      </c>
      <c r="K2596" s="70" t="s">
        <v>3528</v>
      </c>
      <c r="L2596" s="70" t="s">
        <v>3529</v>
      </c>
      <c r="M2596" s="70" t="s">
        <v>3530</v>
      </c>
      <c r="O2596" s="75" t="s">
        <v>3532</v>
      </c>
      <c r="P2596" s="70">
        <v>2017.0</v>
      </c>
      <c r="Q2596" s="70" t="s">
        <v>3534</v>
      </c>
      <c r="U2596" s="70" t="s">
        <v>401</v>
      </c>
      <c r="V2596" s="70" t="s">
        <v>402</v>
      </c>
      <c r="W2596" s="70" t="s">
        <v>3535</v>
      </c>
      <c r="AW2596" s="70" t="s">
        <v>3536</v>
      </c>
      <c r="AZ2596" s="70">
        <v>905.0</v>
      </c>
    </row>
    <row r="2597" ht="22.5" customHeight="1">
      <c r="A2597" s="70" t="str">
        <f t="shared" si="1"/>
        <v>Excluded</v>
      </c>
      <c r="B2597" s="70">
        <f t="shared" si="2"/>
        <v>0</v>
      </c>
      <c r="C2597" s="70">
        <v>0.0</v>
      </c>
      <c r="D2597" s="70">
        <v>0.0</v>
      </c>
      <c r="E2597" s="70">
        <v>0.0</v>
      </c>
      <c r="F2597" s="70">
        <v>0.0</v>
      </c>
      <c r="G2597" s="70">
        <v>0.0</v>
      </c>
      <c r="H2597" s="70" t="s">
        <v>2916</v>
      </c>
      <c r="I2597" s="70">
        <v>236.0</v>
      </c>
      <c r="J2597" s="70" t="s">
        <v>31099</v>
      </c>
      <c r="K2597" s="70" t="s">
        <v>2913</v>
      </c>
      <c r="L2597" s="70" t="s">
        <v>2914</v>
      </c>
      <c r="M2597" s="70" t="s">
        <v>2915</v>
      </c>
      <c r="O2597" s="75" t="s">
        <v>2917</v>
      </c>
      <c r="P2597" s="70">
        <v>2017.0</v>
      </c>
      <c r="Q2597" s="70" t="s">
        <v>2919</v>
      </c>
      <c r="U2597" s="70" t="s">
        <v>401</v>
      </c>
      <c r="V2597" s="70" t="s">
        <v>402</v>
      </c>
      <c r="W2597" s="70" t="s">
        <v>2921</v>
      </c>
      <c r="AW2597" s="70" t="s">
        <v>2922</v>
      </c>
      <c r="AX2597" s="70">
        <v>0.0</v>
      </c>
      <c r="AY2597" s="70" t="s">
        <v>24</v>
      </c>
      <c r="AZ2597" s="70">
        <v>2622.0</v>
      </c>
    </row>
    <row r="2598" ht="22.5" customHeight="1">
      <c r="A2598" s="70" t="str">
        <f t="shared" si="1"/>
        <v>Excluded</v>
      </c>
      <c r="B2598" s="70">
        <f t="shared" si="2"/>
        <v>0</v>
      </c>
      <c r="C2598" s="70">
        <v>0.0</v>
      </c>
      <c r="D2598" s="70">
        <v>0.0</v>
      </c>
      <c r="E2598" s="70">
        <v>0.0</v>
      </c>
      <c r="F2598" s="70">
        <v>0.0</v>
      </c>
      <c r="G2598" s="70">
        <v>0.0</v>
      </c>
      <c r="H2598" s="70" t="s">
        <v>4172</v>
      </c>
      <c r="I2598" s="70">
        <v>370.0</v>
      </c>
      <c r="J2598" s="70" t="s">
        <v>4170</v>
      </c>
      <c r="K2598" s="70" t="s">
        <v>4171</v>
      </c>
      <c r="L2598" s="70" t="s">
        <v>3860</v>
      </c>
      <c r="N2598" s="70" t="s">
        <v>3861</v>
      </c>
      <c r="O2598" s="75" t="s">
        <v>4173</v>
      </c>
      <c r="P2598" s="81">
        <v>43160.0</v>
      </c>
      <c r="W2598" s="70" t="s">
        <v>31100</v>
      </c>
      <c r="AW2598" s="70" t="s">
        <v>4176</v>
      </c>
      <c r="AX2598" s="70">
        <v>0.0</v>
      </c>
      <c r="AY2598" s="70" t="s">
        <v>24</v>
      </c>
      <c r="AZ2598" s="70">
        <v>3034.0</v>
      </c>
    </row>
    <row r="2599" ht="22.5" customHeight="1">
      <c r="A2599" s="70" t="str">
        <f t="shared" si="1"/>
        <v>Excluded</v>
      </c>
      <c r="B2599" s="70">
        <f t="shared" si="2"/>
        <v>0</v>
      </c>
      <c r="C2599" s="70">
        <v>0.0</v>
      </c>
      <c r="D2599" s="70">
        <v>0.0</v>
      </c>
      <c r="E2599" s="70">
        <v>0.0</v>
      </c>
      <c r="F2599" s="70">
        <v>0.0</v>
      </c>
      <c r="G2599" s="70">
        <v>0.0</v>
      </c>
      <c r="H2599" s="70" t="s">
        <v>3613</v>
      </c>
      <c r="I2599" s="70">
        <v>302.0</v>
      </c>
      <c r="J2599" s="70" t="s">
        <v>31101</v>
      </c>
      <c r="K2599" s="70" t="s">
        <v>3610</v>
      </c>
      <c r="L2599" s="70" t="s">
        <v>3611</v>
      </c>
      <c r="M2599" s="70" t="s">
        <v>3612</v>
      </c>
      <c r="O2599" s="75" t="s">
        <v>3614</v>
      </c>
      <c r="P2599" s="70">
        <v>2017.0</v>
      </c>
      <c r="Q2599" s="70" t="s">
        <v>3616</v>
      </c>
      <c r="U2599" s="70" t="s">
        <v>401</v>
      </c>
      <c r="V2599" s="70" t="s">
        <v>402</v>
      </c>
      <c r="W2599" s="70" t="s">
        <v>3617</v>
      </c>
      <c r="AW2599" s="70" t="s">
        <v>3618</v>
      </c>
      <c r="AX2599" s="70">
        <v>0.0</v>
      </c>
      <c r="AY2599" s="70" t="s">
        <v>24</v>
      </c>
      <c r="AZ2599" s="70">
        <v>2280.0</v>
      </c>
    </row>
    <row r="2600" ht="22.5" customHeight="1">
      <c r="A2600" s="70" t="str">
        <f t="shared" si="1"/>
        <v>Excluded</v>
      </c>
      <c r="B2600" s="70">
        <f t="shared" si="2"/>
        <v>0</v>
      </c>
      <c r="C2600" s="70">
        <v>0.0</v>
      </c>
      <c r="D2600" s="70">
        <v>0.0</v>
      </c>
      <c r="E2600" s="70">
        <v>0.0</v>
      </c>
      <c r="F2600" s="70">
        <v>0.0</v>
      </c>
      <c r="G2600" s="70">
        <v>0.0</v>
      </c>
      <c r="H2600" s="70" t="s">
        <v>3019</v>
      </c>
      <c r="I2600" s="70">
        <v>245.0</v>
      </c>
      <c r="J2600" s="70" t="s">
        <v>3015</v>
      </c>
      <c r="K2600" s="70" t="s">
        <v>3016</v>
      </c>
      <c r="L2600" s="70" t="s">
        <v>3017</v>
      </c>
      <c r="M2600" s="70" t="s">
        <v>3018</v>
      </c>
      <c r="O2600" s="75" t="s">
        <v>3020</v>
      </c>
      <c r="P2600" s="70">
        <v>2017.0</v>
      </c>
      <c r="Q2600" s="70" t="s">
        <v>3022</v>
      </c>
      <c r="U2600" s="70" t="s">
        <v>401</v>
      </c>
      <c r="V2600" s="70" t="s">
        <v>402</v>
      </c>
      <c r="W2600" s="70" t="s">
        <v>3024</v>
      </c>
      <c r="AW2600" s="70" t="s">
        <v>3025</v>
      </c>
      <c r="AX2600" s="70">
        <v>0.0</v>
      </c>
      <c r="AY2600" s="70" t="s">
        <v>24</v>
      </c>
      <c r="AZ2600" s="70">
        <v>2779.0</v>
      </c>
    </row>
    <row r="2601" ht="22.5" customHeight="1">
      <c r="A2601" s="70" t="str">
        <f t="shared" si="1"/>
        <v>Excluded</v>
      </c>
      <c r="B2601" s="70">
        <f t="shared" si="2"/>
        <v>0</v>
      </c>
      <c r="C2601" s="70">
        <v>0.0</v>
      </c>
      <c r="D2601" s="70">
        <v>0.0</v>
      </c>
      <c r="E2601" s="70">
        <v>0.0</v>
      </c>
      <c r="F2601" s="70">
        <v>0.0</v>
      </c>
      <c r="G2601" s="70">
        <v>0.0</v>
      </c>
      <c r="H2601" s="70" t="s">
        <v>4414</v>
      </c>
      <c r="I2601" s="70">
        <v>402.0</v>
      </c>
      <c r="J2601" s="70" t="s">
        <v>4412</v>
      </c>
      <c r="K2601" s="70" t="s">
        <v>4413</v>
      </c>
      <c r="L2601" s="70" t="s">
        <v>3673</v>
      </c>
      <c r="N2601" s="70" t="s">
        <v>3674</v>
      </c>
      <c r="O2601" s="75" t="s">
        <v>4415</v>
      </c>
      <c r="P2601" s="80">
        <v>43040.0</v>
      </c>
      <c r="W2601" s="70" t="s">
        <v>4417</v>
      </c>
      <c r="AW2601" s="70" t="s">
        <v>4418</v>
      </c>
      <c r="AX2601" s="70">
        <v>0.0</v>
      </c>
      <c r="AY2601" s="70" t="s">
        <v>24</v>
      </c>
      <c r="AZ2601" s="70">
        <v>2821.0</v>
      </c>
    </row>
    <row r="2602" ht="22.5" customHeight="1">
      <c r="A2602" s="70" t="str">
        <f t="shared" si="1"/>
        <v>Excluded</v>
      </c>
      <c r="B2602" s="70">
        <f t="shared" si="2"/>
        <v>0</v>
      </c>
      <c r="C2602" s="70">
        <v>0.0</v>
      </c>
      <c r="D2602" s="70">
        <v>0.0</v>
      </c>
      <c r="E2602" s="70">
        <v>0.0</v>
      </c>
      <c r="F2602" s="70">
        <v>0.0</v>
      </c>
      <c r="G2602" s="70">
        <v>0.0</v>
      </c>
      <c r="H2602" s="70" t="s">
        <v>1891</v>
      </c>
      <c r="I2602" s="70">
        <v>138.0</v>
      </c>
      <c r="J2602" s="70" t="s">
        <v>1887</v>
      </c>
      <c r="K2602" s="70" t="s">
        <v>1888</v>
      </c>
      <c r="L2602" s="70" t="s">
        <v>1889</v>
      </c>
      <c r="M2602" s="70" t="s">
        <v>1890</v>
      </c>
      <c r="O2602" s="75" t="s">
        <v>1892</v>
      </c>
      <c r="P2602" s="70">
        <v>2017.0</v>
      </c>
      <c r="Q2602" s="70" t="s">
        <v>1893</v>
      </c>
      <c r="U2602" s="70" t="s">
        <v>401</v>
      </c>
      <c r="V2602" s="70" t="s">
        <v>402</v>
      </c>
      <c r="W2602" s="70" t="s">
        <v>1895</v>
      </c>
      <c r="AW2602" s="70" t="s">
        <v>1896</v>
      </c>
      <c r="AX2602" s="70">
        <v>0.0</v>
      </c>
      <c r="AY2602" s="70" t="s">
        <v>24</v>
      </c>
      <c r="AZ2602" s="70">
        <v>2453.0</v>
      </c>
    </row>
    <row r="2603" ht="22.5" customHeight="1">
      <c r="A2603" s="70" t="str">
        <f t="shared" si="1"/>
        <v>Excluded</v>
      </c>
      <c r="B2603" s="70">
        <f t="shared" si="2"/>
        <v>0</v>
      </c>
      <c r="C2603" s="70">
        <v>0.0</v>
      </c>
      <c r="D2603" s="70">
        <v>0.0</v>
      </c>
      <c r="E2603" s="70">
        <v>0.0</v>
      </c>
      <c r="F2603" s="70">
        <v>0.0</v>
      </c>
      <c r="G2603" s="70">
        <v>0.0</v>
      </c>
      <c r="H2603" s="70" t="s">
        <v>3143</v>
      </c>
      <c r="I2603" s="70">
        <v>257.0</v>
      </c>
      <c r="J2603" s="70" t="s">
        <v>3139</v>
      </c>
      <c r="K2603" s="70" t="s">
        <v>3140</v>
      </c>
      <c r="L2603" s="70" t="s">
        <v>3141</v>
      </c>
      <c r="M2603" s="70" t="s">
        <v>3142</v>
      </c>
      <c r="O2603" s="75" t="s">
        <v>3144</v>
      </c>
      <c r="P2603" s="70">
        <v>2017.0</v>
      </c>
      <c r="Q2603" s="70" t="s">
        <v>3145</v>
      </c>
      <c r="U2603" s="70" t="s">
        <v>401</v>
      </c>
      <c r="V2603" s="70" t="s">
        <v>402</v>
      </c>
      <c r="W2603" s="70" t="s">
        <v>3147</v>
      </c>
      <c r="AW2603" s="70" t="s">
        <v>3148</v>
      </c>
      <c r="AZ2603" s="70">
        <v>1277.0</v>
      </c>
    </row>
    <row r="2604" ht="22.5" customHeight="1">
      <c r="A2604" s="70" t="str">
        <f t="shared" si="1"/>
        <v>Excluded</v>
      </c>
      <c r="B2604" s="70">
        <f t="shared" si="2"/>
        <v>0</v>
      </c>
      <c r="C2604" s="70">
        <v>0.0</v>
      </c>
      <c r="D2604" s="70">
        <v>0.0</v>
      </c>
      <c r="E2604" s="70">
        <v>0.0</v>
      </c>
      <c r="F2604" s="70">
        <v>0.0</v>
      </c>
      <c r="G2604" s="70">
        <v>0.0</v>
      </c>
      <c r="H2604" s="70" t="s">
        <v>2107</v>
      </c>
      <c r="I2604" s="70">
        <v>158.0</v>
      </c>
      <c r="J2604" s="70" t="s">
        <v>2103</v>
      </c>
      <c r="K2604" s="70" t="s">
        <v>2104</v>
      </c>
      <c r="L2604" s="70" t="s">
        <v>2105</v>
      </c>
      <c r="M2604" s="70" t="s">
        <v>2106</v>
      </c>
      <c r="O2604" s="75" t="s">
        <v>2108</v>
      </c>
      <c r="P2604" s="70">
        <v>2017.0</v>
      </c>
      <c r="Q2604" s="70" t="s">
        <v>2109</v>
      </c>
      <c r="U2604" s="70" t="s">
        <v>401</v>
      </c>
      <c r="V2604" s="70" t="s">
        <v>402</v>
      </c>
      <c r="W2604" s="70" t="s">
        <v>2110</v>
      </c>
      <c r="AW2604" s="70" t="s">
        <v>2111</v>
      </c>
      <c r="AZ2604" s="70">
        <v>667.0</v>
      </c>
    </row>
    <row r="2605" ht="22.5" customHeight="1">
      <c r="A2605" s="70" t="str">
        <f t="shared" si="1"/>
        <v>Excluded</v>
      </c>
      <c r="B2605" s="70">
        <f t="shared" si="2"/>
        <v>0</v>
      </c>
      <c r="C2605" s="70">
        <v>0.0</v>
      </c>
      <c r="D2605" s="70">
        <v>0.0</v>
      </c>
      <c r="E2605" s="70">
        <v>0.0</v>
      </c>
      <c r="F2605" s="70">
        <v>0.0</v>
      </c>
      <c r="G2605" s="70">
        <v>0.0</v>
      </c>
      <c r="H2605" s="70" t="s">
        <v>2630</v>
      </c>
      <c r="I2605" s="70">
        <v>209.0</v>
      </c>
      <c r="J2605" s="70" t="s">
        <v>31102</v>
      </c>
      <c r="K2605" s="70" t="s">
        <v>2629</v>
      </c>
      <c r="L2605" s="70" t="s">
        <v>832</v>
      </c>
      <c r="M2605" s="70" t="s">
        <v>833</v>
      </c>
      <c r="O2605" s="75" t="s">
        <v>2631</v>
      </c>
      <c r="P2605" s="70">
        <v>2017.0</v>
      </c>
      <c r="Q2605" s="70" t="s">
        <v>837</v>
      </c>
      <c r="U2605" s="70" t="s">
        <v>401</v>
      </c>
      <c r="V2605" s="70" t="s">
        <v>402</v>
      </c>
      <c r="W2605" s="70" t="s">
        <v>2633</v>
      </c>
      <c r="AW2605" s="70" t="s">
        <v>2634</v>
      </c>
      <c r="AZ2605" s="70">
        <v>226.0</v>
      </c>
    </row>
    <row r="2606" ht="22.5" customHeight="1">
      <c r="A2606" s="70" t="str">
        <f t="shared" si="1"/>
        <v>Excluded</v>
      </c>
      <c r="B2606" s="70">
        <f t="shared" si="2"/>
        <v>0</v>
      </c>
      <c r="C2606" s="70">
        <v>0.0</v>
      </c>
      <c r="D2606" s="70">
        <v>0.0</v>
      </c>
      <c r="E2606" s="70">
        <v>0.0</v>
      </c>
      <c r="F2606" s="70">
        <v>0.0</v>
      </c>
      <c r="G2606" s="70">
        <v>0.0</v>
      </c>
      <c r="H2606" s="70" t="s">
        <v>1111</v>
      </c>
      <c r="I2606" s="70">
        <v>66.0</v>
      </c>
      <c r="J2606" s="70" t="s">
        <v>31103</v>
      </c>
      <c r="K2606" s="70" t="s">
        <v>1108</v>
      </c>
      <c r="L2606" s="70" t="s">
        <v>1109</v>
      </c>
      <c r="M2606" s="70" t="s">
        <v>1110</v>
      </c>
      <c r="O2606" s="75" t="s">
        <v>1112</v>
      </c>
      <c r="P2606" s="70">
        <v>2017.0</v>
      </c>
      <c r="Q2606" s="70" t="s">
        <v>1114</v>
      </c>
      <c r="U2606" s="70" t="s">
        <v>401</v>
      </c>
      <c r="V2606" s="70" t="s">
        <v>402</v>
      </c>
      <c r="W2606" s="70" t="s">
        <v>1115</v>
      </c>
      <c r="AW2606" s="70" t="s">
        <v>1116</v>
      </c>
      <c r="AX2606" s="70">
        <v>0.0</v>
      </c>
      <c r="AY2606" s="70" t="s">
        <v>24</v>
      </c>
      <c r="AZ2606" s="70">
        <v>1928.0</v>
      </c>
    </row>
    <row r="2607" ht="22.5" customHeight="1">
      <c r="A2607" s="70" t="str">
        <f t="shared" si="1"/>
        <v>Excluded</v>
      </c>
      <c r="B2607" s="70">
        <f t="shared" si="2"/>
        <v>0</v>
      </c>
      <c r="C2607" s="70">
        <v>0.0</v>
      </c>
      <c r="D2607" s="70">
        <v>0.0</v>
      </c>
      <c r="E2607" s="70">
        <v>0.0</v>
      </c>
      <c r="F2607" s="70">
        <v>0.0</v>
      </c>
      <c r="G2607" s="70">
        <v>0.0</v>
      </c>
      <c r="H2607" s="70" t="s">
        <v>1941</v>
      </c>
      <c r="I2607" s="70">
        <v>143.0</v>
      </c>
      <c r="J2607" s="70" t="s">
        <v>1937</v>
      </c>
      <c r="K2607" s="70" t="s">
        <v>1938</v>
      </c>
      <c r="L2607" s="70" t="s">
        <v>1939</v>
      </c>
      <c r="M2607" s="70" t="s">
        <v>1940</v>
      </c>
      <c r="O2607" s="75" t="s">
        <v>1942</v>
      </c>
      <c r="P2607" s="70">
        <v>2018.0</v>
      </c>
      <c r="Q2607" s="70" t="s">
        <v>1943</v>
      </c>
      <c r="U2607" s="70" t="s">
        <v>401</v>
      </c>
      <c r="V2607" s="70" t="s">
        <v>402</v>
      </c>
      <c r="W2607" s="70" t="s">
        <v>1945</v>
      </c>
      <c r="AW2607" s="70" t="s">
        <v>1946</v>
      </c>
      <c r="AX2607" s="70">
        <v>0.0</v>
      </c>
      <c r="AY2607" s="70" t="s">
        <v>24</v>
      </c>
      <c r="AZ2607" s="70">
        <v>1792.0</v>
      </c>
    </row>
    <row r="2608" ht="22.5" customHeight="1">
      <c r="A2608" s="70" t="str">
        <f t="shared" si="1"/>
        <v>Excluded</v>
      </c>
      <c r="B2608" s="70">
        <f t="shared" si="2"/>
        <v>0</v>
      </c>
      <c r="C2608" s="70">
        <v>0.0</v>
      </c>
      <c r="D2608" s="70">
        <v>0.0</v>
      </c>
      <c r="E2608" s="70">
        <v>0.0</v>
      </c>
      <c r="F2608" s="70">
        <v>0.0</v>
      </c>
      <c r="G2608" s="70">
        <v>0.0</v>
      </c>
      <c r="H2608" s="70" t="s">
        <v>28754</v>
      </c>
      <c r="I2608" s="70">
        <v>3092.0</v>
      </c>
      <c r="J2608" s="70" t="s">
        <v>28752</v>
      </c>
      <c r="K2608" s="70" t="s">
        <v>28753</v>
      </c>
      <c r="W2608" s="70" t="s">
        <v>31104</v>
      </c>
      <c r="AA2608" s="70" t="s">
        <v>28756</v>
      </c>
      <c r="AI2608" s="70" t="s">
        <v>28757</v>
      </c>
      <c r="AJ2608" s="70" t="s">
        <v>28758</v>
      </c>
      <c r="AK2608" s="70">
        <v>2018.0</v>
      </c>
      <c r="AL2608" s="70" t="s">
        <v>28759</v>
      </c>
      <c r="AN2608" s="70">
        <v>1087.0</v>
      </c>
      <c r="AO2608" s="70">
        <v>1094.0</v>
      </c>
      <c r="AP2608" s="70">
        <v>7.0</v>
      </c>
      <c r="AQ2608" s="70">
        <v>5.0</v>
      </c>
      <c r="AR2608" s="75" t="s">
        <v>28760</v>
      </c>
      <c r="AS2608" s="70" t="s">
        <v>22525</v>
      </c>
      <c r="AU2608" s="70" t="s">
        <v>237</v>
      </c>
      <c r="AV2608" s="70" t="s">
        <v>28761</v>
      </c>
      <c r="AW2608" s="70" t="s">
        <v>28762</v>
      </c>
      <c r="AX2608" s="70">
        <v>0.0</v>
      </c>
      <c r="AY2608" s="70" t="s">
        <v>24</v>
      </c>
      <c r="AZ2608" s="70">
        <v>1812.0</v>
      </c>
    </row>
    <row r="2609" ht="22.5" customHeight="1">
      <c r="A2609" s="70" t="str">
        <f t="shared" si="1"/>
        <v>Excluded</v>
      </c>
      <c r="B2609" s="70">
        <f t="shared" si="2"/>
        <v>0</v>
      </c>
      <c r="C2609" s="70">
        <v>0.0</v>
      </c>
      <c r="D2609" s="70">
        <v>0.0</v>
      </c>
      <c r="E2609" s="70">
        <v>0.0</v>
      </c>
      <c r="F2609" s="70">
        <v>0.0</v>
      </c>
      <c r="G2609" s="70">
        <v>0.0</v>
      </c>
      <c r="H2609" s="70" t="s">
        <v>1130</v>
      </c>
      <c r="I2609" s="70">
        <v>68.0</v>
      </c>
      <c r="J2609" s="70" t="s">
        <v>1126</v>
      </c>
      <c r="K2609" s="70" t="s">
        <v>1127</v>
      </c>
      <c r="L2609" s="70" t="s">
        <v>1128</v>
      </c>
      <c r="M2609" s="70" t="s">
        <v>1129</v>
      </c>
      <c r="O2609" s="75" t="s">
        <v>1131</v>
      </c>
      <c r="P2609" s="70">
        <v>2018.0</v>
      </c>
      <c r="Q2609" s="70" t="s">
        <v>1133</v>
      </c>
      <c r="U2609" s="70" t="s">
        <v>401</v>
      </c>
      <c r="V2609" s="70" t="s">
        <v>402</v>
      </c>
      <c r="W2609" s="70" t="s">
        <v>1135</v>
      </c>
      <c r="AW2609" s="70" t="s">
        <v>1136</v>
      </c>
      <c r="AX2609" s="70">
        <v>0.0</v>
      </c>
      <c r="AY2609" s="70" t="s">
        <v>24</v>
      </c>
      <c r="AZ2609" s="70">
        <v>2734.0</v>
      </c>
    </row>
    <row r="2610" ht="22.5" customHeight="1">
      <c r="A2610" s="70" t="str">
        <f t="shared" si="1"/>
        <v>Excluded</v>
      </c>
      <c r="B2610" s="70">
        <f t="shared" si="2"/>
        <v>0</v>
      </c>
      <c r="C2610" s="70">
        <v>0.0</v>
      </c>
      <c r="D2610" s="70">
        <v>0.0</v>
      </c>
      <c r="E2610" s="70">
        <v>0.0</v>
      </c>
      <c r="F2610" s="70">
        <v>0.0</v>
      </c>
      <c r="G2610" s="70">
        <v>0.0</v>
      </c>
      <c r="H2610" s="70" t="s">
        <v>3550</v>
      </c>
      <c r="I2610" s="70">
        <v>296.0</v>
      </c>
      <c r="J2610" s="70" t="s">
        <v>3548</v>
      </c>
      <c r="K2610" s="70" t="s">
        <v>3549</v>
      </c>
      <c r="L2610" s="70" t="s">
        <v>1128</v>
      </c>
      <c r="M2610" s="70" t="s">
        <v>1129</v>
      </c>
      <c r="O2610" s="75" t="s">
        <v>3551</v>
      </c>
      <c r="P2610" s="70">
        <v>2018.0</v>
      </c>
      <c r="Q2610" s="70" t="s">
        <v>1133</v>
      </c>
      <c r="U2610" s="70" t="s">
        <v>401</v>
      </c>
      <c r="V2610" s="70" t="s">
        <v>402</v>
      </c>
      <c r="W2610" s="70" t="s">
        <v>31105</v>
      </c>
      <c r="AW2610" s="70" t="s">
        <v>3554</v>
      </c>
      <c r="AX2610" s="70">
        <v>0.0</v>
      </c>
      <c r="AY2610" s="70" t="s">
        <v>24</v>
      </c>
      <c r="AZ2610" s="70">
        <v>3101.0</v>
      </c>
    </row>
    <row r="2611" ht="22.5" customHeight="1">
      <c r="A2611" s="70" t="str">
        <f t="shared" si="1"/>
        <v>Excluded</v>
      </c>
      <c r="B2611" s="70">
        <f t="shared" si="2"/>
        <v>0</v>
      </c>
      <c r="C2611" s="70">
        <v>0.0</v>
      </c>
      <c r="D2611" s="70">
        <v>0.0</v>
      </c>
      <c r="E2611" s="70">
        <v>0.0</v>
      </c>
      <c r="F2611" s="70">
        <v>0.0</v>
      </c>
      <c r="G2611" s="70">
        <v>0.0</v>
      </c>
      <c r="H2611" s="70" t="s">
        <v>4536</v>
      </c>
      <c r="I2611" s="70">
        <v>418.0</v>
      </c>
      <c r="J2611" s="70" t="s">
        <v>31106</v>
      </c>
      <c r="K2611" s="70" t="s">
        <v>4533</v>
      </c>
      <c r="L2611" s="70" t="s">
        <v>4534</v>
      </c>
      <c r="N2611" s="70" t="s">
        <v>4535</v>
      </c>
      <c r="O2611" s="75" t="s">
        <v>4537</v>
      </c>
      <c r="P2611" s="81">
        <v>43497.0</v>
      </c>
      <c r="W2611" s="70" t="s">
        <v>4539</v>
      </c>
      <c r="AW2611" s="70" t="s">
        <v>4540</v>
      </c>
      <c r="AX2611" s="70">
        <v>0.0</v>
      </c>
      <c r="AY2611" s="70" t="s">
        <v>24</v>
      </c>
      <c r="AZ2611" s="70">
        <v>2908.0</v>
      </c>
    </row>
    <row r="2612" ht="22.5" customHeight="1">
      <c r="A2612" s="70" t="str">
        <f t="shared" si="1"/>
        <v>Excluded</v>
      </c>
      <c r="B2612" s="70">
        <f t="shared" si="2"/>
        <v>0</v>
      </c>
      <c r="C2612" s="70">
        <v>0.0</v>
      </c>
      <c r="D2612" s="70">
        <v>0.0</v>
      </c>
      <c r="E2612" s="70">
        <v>0.0</v>
      </c>
      <c r="F2612" s="70">
        <v>0.0</v>
      </c>
      <c r="G2612" s="70">
        <v>0.0</v>
      </c>
      <c r="H2612" s="70" t="s">
        <v>4086</v>
      </c>
      <c r="I2612" s="70">
        <v>359.0</v>
      </c>
      <c r="J2612" s="70" t="s">
        <v>4084</v>
      </c>
      <c r="K2612" s="70" t="s">
        <v>4085</v>
      </c>
      <c r="L2612" s="70" t="s">
        <v>3743</v>
      </c>
      <c r="N2612" s="70" t="s">
        <v>3744</v>
      </c>
      <c r="O2612" s="75" t="s">
        <v>4087</v>
      </c>
      <c r="P2612" s="80">
        <v>43435.0</v>
      </c>
      <c r="W2612" s="70" t="s">
        <v>4090</v>
      </c>
      <c r="AW2612" s="70" t="s">
        <v>4091</v>
      </c>
      <c r="AZ2612" s="70">
        <v>618.0</v>
      </c>
    </row>
    <row r="2613" ht="22.5" customHeight="1">
      <c r="A2613" s="70" t="str">
        <f t="shared" si="1"/>
        <v>Excluded</v>
      </c>
      <c r="B2613" s="70">
        <f t="shared" si="2"/>
        <v>0</v>
      </c>
      <c r="C2613" s="70">
        <v>0.0</v>
      </c>
      <c r="D2613" s="70">
        <v>0.0</v>
      </c>
      <c r="E2613" s="70">
        <v>0.0</v>
      </c>
      <c r="F2613" s="70">
        <v>0.0</v>
      </c>
      <c r="G2613" s="70">
        <v>0.0</v>
      </c>
      <c r="H2613" s="70" t="s">
        <v>1350</v>
      </c>
      <c r="I2613" s="70">
        <v>89.0</v>
      </c>
      <c r="J2613" s="70" t="s">
        <v>1346</v>
      </c>
      <c r="K2613" s="70" t="s">
        <v>1347</v>
      </c>
      <c r="L2613" s="70" t="s">
        <v>1348</v>
      </c>
      <c r="M2613" s="70" t="s">
        <v>1349</v>
      </c>
      <c r="O2613" s="75" t="s">
        <v>1351</v>
      </c>
      <c r="P2613" s="70">
        <v>2018.0</v>
      </c>
      <c r="Q2613" s="70" t="s">
        <v>1353</v>
      </c>
      <c r="U2613" s="70" t="s">
        <v>401</v>
      </c>
      <c r="V2613" s="70" t="s">
        <v>402</v>
      </c>
      <c r="W2613" s="70" t="s">
        <v>1355</v>
      </c>
      <c r="AX2613" s="70">
        <v>0.0</v>
      </c>
      <c r="AY2613" s="70" t="s">
        <v>24</v>
      </c>
      <c r="AZ2613" s="70">
        <v>2732.0</v>
      </c>
    </row>
    <row r="2614" ht="22.5" customHeight="1">
      <c r="A2614" s="70" t="str">
        <f t="shared" si="1"/>
        <v>Excluded</v>
      </c>
      <c r="B2614" s="70">
        <f t="shared" si="2"/>
        <v>0</v>
      </c>
      <c r="C2614" s="70">
        <v>0.0</v>
      </c>
      <c r="D2614" s="70">
        <v>0.0</v>
      </c>
      <c r="E2614" s="70">
        <v>0.0</v>
      </c>
      <c r="F2614" s="70">
        <v>0.0</v>
      </c>
      <c r="G2614" s="70">
        <v>0.0</v>
      </c>
      <c r="H2614" s="70" t="s">
        <v>3307</v>
      </c>
      <c r="I2614" s="70">
        <v>272.0</v>
      </c>
      <c r="J2614" s="70" t="s">
        <v>31107</v>
      </c>
      <c r="K2614" s="70" t="s">
        <v>31108</v>
      </c>
      <c r="L2614" s="70" t="s">
        <v>3305</v>
      </c>
      <c r="M2614" s="70" t="s">
        <v>3306</v>
      </c>
      <c r="O2614" s="75" t="s">
        <v>3308</v>
      </c>
      <c r="P2614" s="70">
        <v>2018.0</v>
      </c>
      <c r="Q2614" s="70" t="s">
        <v>3310</v>
      </c>
      <c r="U2614" s="70" t="s">
        <v>401</v>
      </c>
      <c r="V2614" s="70" t="s">
        <v>402</v>
      </c>
      <c r="W2614" s="70" t="s">
        <v>31109</v>
      </c>
      <c r="AW2614" s="70" t="s">
        <v>3313</v>
      </c>
      <c r="AZ2614" s="70">
        <v>796.0</v>
      </c>
    </row>
    <row r="2615" ht="22.5" customHeight="1">
      <c r="A2615" s="70" t="str">
        <f t="shared" si="1"/>
        <v>Excluded</v>
      </c>
      <c r="B2615" s="70">
        <f t="shared" si="2"/>
        <v>0</v>
      </c>
      <c r="C2615" s="70">
        <v>0.0</v>
      </c>
      <c r="D2615" s="70">
        <v>0.0</v>
      </c>
      <c r="E2615" s="70">
        <v>0.0</v>
      </c>
      <c r="F2615" s="70">
        <v>0.0</v>
      </c>
      <c r="G2615" s="70">
        <v>0.0</v>
      </c>
      <c r="H2615" s="70" t="s">
        <v>3417</v>
      </c>
      <c r="I2615" s="70">
        <v>283.0</v>
      </c>
      <c r="J2615" s="70" t="s">
        <v>31110</v>
      </c>
      <c r="K2615" s="70" t="s">
        <v>3416</v>
      </c>
      <c r="L2615" s="70" t="s">
        <v>3305</v>
      </c>
      <c r="M2615" s="70" t="s">
        <v>3306</v>
      </c>
      <c r="O2615" s="75" t="s">
        <v>3418</v>
      </c>
      <c r="P2615" s="70">
        <v>2018.0</v>
      </c>
      <c r="Q2615" s="70" t="s">
        <v>3310</v>
      </c>
      <c r="U2615" s="70" t="s">
        <v>401</v>
      </c>
      <c r="V2615" s="70" t="s">
        <v>402</v>
      </c>
      <c r="W2615" s="70" t="s">
        <v>3420</v>
      </c>
      <c r="AW2615" s="70" t="s">
        <v>3421</v>
      </c>
      <c r="AZ2615" s="70">
        <v>180.0</v>
      </c>
    </row>
    <row r="2616" ht="22.5" customHeight="1">
      <c r="A2616" s="70" t="str">
        <f t="shared" si="1"/>
        <v>Excluded</v>
      </c>
      <c r="B2616" s="70">
        <f t="shared" si="2"/>
        <v>0</v>
      </c>
      <c r="C2616" s="70">
        <v>0.0</v>
      </c>
      <c r="D2616" s="70">
        <v>0.0</v>
      </c>
      <c r="E2616" s="70">
        <v>0.0</v>
      </c>
      <c r="F2616" s="70">
        <v>0.0</v>
      </c>
      <c r="G2616" s="70">
        <v>0.0</v>
      </c>
      <c r="H2616" s="70" t="s">
        <v>1142</v>
      </c>
      <c r="I2616" s="70">
        <v>69.0</v>
      </c>
      <c r="J2616" s="70" t="s">
        <v>1138</v>
      </c>
      <c r="K2616" s="70" t="s">
        <v>1139</v>
      </c>
      <c r="L2616" s="70" t="s">
        <v>1140</v>
      </c>
      <c r="M2616" s="70" t="s">
        <v>1141</v>
      </c>
      <c r="O2616" s="75" t="s">
        <v>1143</v>
      </c>
      <c r="P2616" s="70">
        <v>2018.0</v>
      </c>
      <c r="Q2616" s="70" t="s">
        <v>1144</v>
      </c>
      <c r="U2616" s="70" t="s">
        <v>401</v>
      </c>
      <c r="V2616" s="70" t="s">
        <v>402</v>
      </c>
      <c r="W2616" s="70" t="s">
        <v>1146</v>
      </c>
      <c r="AW2616" s="70" t="s">
        <v>1147</v>
      </c>
      <c r="AZ2616" s="70">
        <v>1007.0</v>
      </c>
    </row>
    <row r="2617" ht="22.5" customHeight="1">
      <c r="A2617" s="70" t="str">
        <f t="shared" si="1"/>
        <v>Excluded</v>
      </c>
      <c r="B2617" s="70">
        <f t="shared" si="2"/>
        <v>0</v>
      </c>
      <c r="C2617" s="70">
        <v>0.0</v>
      </c>
      <c r="D2617" s="70">
        <v>0.0</v>
      </c>
      <c r="E2617" s="70">
        <v>0.0</v>
      </c>
      <c r="F2617" s="70">
        <v>0.0</v>
      </c>
      <c r="G2617" s="70">
        <v>0.0</v>
      </c>
      <c r="H2617" s="70" t="s">
        <v>3477</v>
      </c>
      <c r="I2617" s="70">
        <v>289.0</v>
      </c>
      <c r="J2617" s="70" t="s">
        <v>31111</v>
      </c>
      <c r="K2617" s="70" t="s">
        <v>3474</v>
      </c>
      <c r="L2617" s="70" t="s">
        <v>3475</v>
      </c>
      <c r="M2617" s="70" t="s">
        <v>3476</v>
      </c>
      <c r="O2617" s="75" t="s">
        <v>3478</v>
      </c>
      <c r="P2617" s="70">
        <v>2018.0</v>
      </c>
      <c r="Q2617" s="70" t="s">
        <v>3480</v>
      </c>
      <c r="U2617" s="70" t="s">
        <v>401</v>
      </c>
      <c r="V2617" s="70" t="s">
        <v>402</v>
      </c>
      <c r="W2617" s="70" t="s">
        <v>3482</v>
      </c>
      <c r="AW2617" s="70" t="s">
        <v>3483</v>
      </c>
      <c r="AZ2617" s="70">
        <v>384.0</v>
      </c>
    </row>
    <row r="2618" ht="22.5" customHeight="1">
      <c r="A2618" s="70" t="str">
        <f t="shared" si="1"/>
        <v>Excluded</v>
      </c>
      <c r="B2618" s="70">
        <f t="shared" si="2"/>
        <v>0</v>
      </c>
      <c r="C2618" s="70">
        <v>0.0</v>
      </c>
      <c r="D2618" s="70">
        <v>0.0</v>
      </c>
      <c r="E2618" s="70">
        <v>0.0</v>
      </c>
      <c r="F2618" s="70">
        <v>0.0</v>
      </c>
      <c r="G2618" s="70">
        <v>0.0</v>
      </c>
      <c r="H2618" s="70" t="s">
        <v>3801</v>
      </c>
      <c r="I2618" s="70">
        <v>323.0</v>
      </c>
      <c r="J2618" s="70" t="s">
        <v>3799</v>
      </c>
      <c r="K2618" s="70" t="s">
        <v>3800</v>
      </c>
      <c r="L2618" s="70" t="s">
        <v>3761</v>
      </c>
      <c r="N2618" s="70" t="s">
        <v>3762</v>
      </c>
      <c r="O2618" s="75" t="s">
        <v>3802</v>
      </c>
      <c r="P2618" s="81">
        <v>43313.0</v>
      </c>
      <c r="W2618" s="70" t="s">
        <v>3804</v>
      </c>
      <c r="AW2618" s="70" t="s">
        <v>3805</v>
      </c>
      <c r="AZ2618" s="70">
        <v>190.0</v>
      </c>
    </row>
    <row r="2619" ht="22.5" customHeight="1">
      <c r="A2619" s="70" t="str">
        <f t="shared" si="1"/>
        <v>Excluded</v>
      </c>
      <c r="B2619" s="70">
        <f t="shared" si="2"/>
        <v>0</v>
      </c>
      <c r="C2619" s="70">
        <v>0.0</v>
      </c>
      <c r="D2619" s="70">
        <v>0.0</v>
      </c>
      <c r="E2619" s="70">
        <v>0.0</v>
      </c>
      <c r="F2619" s="70">
        <v>0.0</v>
      </c>
      <c r="G2619" s="70">
        <v>0.0</v>
      </c>
      <c r="H2619" s="70" t="s">
        <v>1080</v>
      </c>
      <c r="I2619" s="70">
        <v>63.0</v>
      </c>
      <c r="J2619" s="70" t="s">
        <v>1076</v>
      </c>
      <c r="K2619" s="70" t="s">
        <v>1077</v>
      </c>
      <c r="L2619" s="70" t="s">
        <v>1078</v>
      </c>
      <c r="M2619" s="70" t="s">
        <v>1079</v>
      </c>
      <c r="O2619" s="75" t="s">
        <v>1081</v>
      </c>
      <c r="P2619" s="70">
        <v>2018.0</v>
      </c>
      <c r="Q2619" s="70" t="s">
        <v>1082</v>
      </c>
      <c r="U2619" s="70" t="s">
        <v>401</v>
      </c>
      <c r="V2619" s="70" t="s">
        <v>402</v>
      </c>
      <c r="W2619" s="70" t="s">
        <v>1084</v>
      </c>
      <c r="AW2619" s="70" t="s">
        <v>1085</v>
      </c>
      <c r="AX2619" s="70">
        <v>0.0</v>
      </c>
      <c r="AY2619" s="70" t="s">
        <v>24</v>
      </c>
      <c r="AZ2619" s="70">
        <v>2638.0</v>
      </c>
    </row>
    <row r="2620" ht="22.5" customHeight="1">
      <c r="A2620" s="70" t="str">
        <f t="shared" si="1"/>
        <v>Excluded</v>
      </c>
      <c r="B2620" s="70">
        <f t="shared" si="2"/>
        <v>0</v>
      </c>
      <c r="C2620" s="70">
        <v>0.0</v>
      </c>
      <c r="D2620" s="70">
        <v>0.0</v>
      </c>
      <c r="E2620" s="70">
        <v>0.0</v>
      </c>
      <c r="F2620" s="70">
        <v>0.0</v>
      </c>
      <c r="G2620" s="70">
        <v>0.0</v>
      </c>
      <c r="H2620" s="70" t="s">
        <v>4343</v>
      </c>
      <c r="I2620" s="70">
        <v>392.0</v>
      </c>
      <c r="J2620" s="70" t="s">
        <v>31112</v>
      </c>
      <c r="K2620" s="70" t="s">
        <v>4342</v>
      </c>
      <c r="L2620" s="70" t="s">
        <v>3761</v>
      </c>
      <c r="N2620" s="70" t="s">
        <v>3762</v>
      </c>
      <c r="O2620" s="75" t="s">
        <v>4344</v>
      </c>
      <c r="P2620" s="81">
        <v>43313.0</v>
      </c>
      <c r="W2620" s="70" t="s">
        <v>4345</v>
      </c>
      <c r="AW2620" s="70" t="s">
        <v>4346</v>
      </c>
      <c r="AX2620" s="70">
        <v>0.0</v>
      </c>
      <c r="AY2620" s="70" t="s">
        <v>24</v>
      </c>
      <c r="AZ2620" s="70">
        <v>2100.0</v>
      </c>
    </row>
    <row r="2621" ht="22.5" customHeight="1">
      <c r="A2621" s="70" t="str">
        <f t="shared" si="1"/>
        <v>Excluded</v>
      </c>
      <c r="B2621" s="70">
        <f t="shared" si="2"/>
        <v>0</v>
      </c>
      <c r="C2621" s="70">
        <v>0.0</v>
      </c>
      <c r="D2621" s="70">
        <v>0.0</v>
      </c>
      <c r="E2621" s="70">
        <v>0.0</v>
      </c>
      <c r="F2621" s="70">
        <v>0.0</v>
      </c>
      <c r="G2621" s="70">
        <v>0.0</v>
      </c>
      <c r="H2621" s="70" t="s">
        <v>1235</v>
      </c>
      <c r="I2621" s="70">
        <v>78.0</v>
      </c>
      <c r="J2621" s="70" t="s">
        <v>1231</v>
      </c>
      <c r="K2621" s="70" t="s">
        <v>1232</v>
      </c>
      <c r="L2621" s="70" t="s">
        <v>1233</v>
      </c>
      <c r="M2621" s="70" t="s">
        <v>1234</v>
      </c>
      <c r="O2621" s="75" t="s">
        <v>1236</v>
      </c>
      <c r="P2621" s="70">
        <v>2018.0</v>
      </c>
      <c r="Q2621" s="70" t="s">
        <v>1237</v>
      </c>
      <c r="U2621" s="70" t="s">
        <v>401</v>
      </c>
      <c r="V2621" s="70" t="s">
        <v>402</v>
      </c>
      <c r="W2621" s="70" t="s">
        <v>1238</v>
      </c>
      <c r="AW2621" s="70" t="s">
        <v>1239</v>
      </c>
      <c r="AX2621" s="70">
        <v>0.0</v>
      </c>
      <c r="AY2621" s="70" t="s">
        <v>24</v>
      </c>
      <c r="AZ2621" s="70">
        <v>2106.0</v>
      </c>
    </row>
    <row r="2622" ht="22.5" customHeight="1">
      <c r="A2622" s="70" t="str">
        <f t="shared" si="1"/>
        <v>Excluded</v>
      </c>
      <c r="B2622" s="70">
        <f t="shared" si="2"/>
        <v>0</v>
      </c>
      <c r="C2622" s="70">
        <v>0.0</v>
      </c>
      <c r="D2622" s="70">
        <v>0.0</v>
      </c>
      <c r="E2622" s="70">
        <v>0.0</v>
      </c>
      <c r="F2622" s="70">
        <v>0.0</v>
      </c>
      <c r="G2622" s="70">
        <v>0.0</v>
      </c>
      <c r="H2622" s="70" t="s">
        <v>3971</v>
      </c>
      <c r="I2622" s="70">
        <v>344.0</v>
      </c>
      <c r="J2622" s="70" t="s">
        <v>3969</v>
      </c>
      <c r="K2622" s="70" t="s">
        <v>3970</v>
      </c>
      <c r="L2622" s="70" t="s">
        <v>3635</v>
      </c>
      <c r="N2622" s="70" t="s">
        <v>3636</v>
      </c>
      <c r="O2622" s="75" t="s">
        <v>3972</v>
      </c>
      <c r="P2622" s="80">
        <v>43405.0</v>
      </c>
      <c r="W2622" s="70" t="s">
        <v>3974</v>
      </c>
      <c r="AW2622" s="70" t="s">
        <v>3975</v>
      </c>
      <c r="AX2622" s="70">
        <v>0.0</v>
      </c>
      <c r="AY2622" s="70" t="s">
        <v>24</v>
      </c>
      <c r="AZ2622" s="70">
        <v>2719.0</v>
      </c>
    </row>
    <row r="2623" ht="22.5" customHeight="1">
      <c r="A2623" s="70" t="str">
        <f t="shared" si="1"/>
        <v>Excluded</v>
      </c>
      <c r="B2623" s="70">
        <f t="shared" si="2"/>
        <v>0</v>
      </c>
      <c r="C2623" s="70">
        <v>0.0</v>
      </c>
      <c r="D2623" s="70">
        <v>0.0</v>
      </c>
      <c r="E2623" s="70">
        <v>0.0</v>
      </c>
      <c r="F2623" s="70">
        <v>0.0</v>
      </c>
      <c r="G2623" s="70">
        <v>0.0</v>
      </c>
      <c r="H2623" s="70" t="s">
        <v>28682</v>
      </c>
      <c r="I2623" s="70">
        <v>3085.0</v>
      </c>
      <c r="J2623" s="70" t="s">
        <v>31113</v>
      </c>
      <c r="K2623" s="70" t="s">
        <v>28681</v>
      </c>
      <c r="W2623" s="70" t="s">
        <v>31114</v>
      </c>
      <c r="AA2623" s="70" t="s">
        <v>28684</v>
      </c>
      <c r="AI2623" s="70" t="s">
        <v>31115</v>
      </c>
      <c r="AJ2623" s="70" t="s">
        <v>28686</v>
      </c>
      <c r="AK2623" s="70">
        <v>2018.0</v>
      </c>
      <c r="AL2623" s="70" t="s">
        <v>23792</v>
      </c>
      <c r="AN2623" s="70">
        <v>23.0</v>
      </c>
      <c r="AO2623" s="70">
        <v>32.0</v>
      </c>
      <c r="AP2623" s="70">
        <v>9.0</v>
      </c>
      <c r="AQ2623" s="70">
        <v>20.0</v>
      </c>
      <c r="AR2623" s="75" t="s">
        <v>28687</v>
      </c>
      <c r="AS2623" s="70" t="s">
        <v>22525</v>
      </c>
      <c r="AU2623" s="70" t="s">
        <v>237</v>
      </c>
      <c r="AV2623" s="70" t="s">
        <v>28688</v>
      </c>
      <c r="AW2623" s="70" t="s">
        <v>28689</v>
      </c>
      <c r="AZ2623" s="70">
        <v>1354.0</v>
      </c>
    </row>
    <row r="2624" ht="22.5" customHeight="1">
      <c r="A2624" s="70" t="str">
        <f t="shared" si="1"/>
        <v>Excluded</v>
      </c>
      <c r="B2624" s="70">
        <f t="shared" si="2"/>
        <v>0</v>
      </c>
      <c r="C2624" s="70">
        <v>0.0</v>
      </c>
      <c r="D2624" s="70">
        <v>0.0</v>
      </c>
      <c r="E2624" s="70">
        <v>0.0</v>
      </c>
      <c r="F2624" s="70">
        <v>0.0</v>
      </c>
      <c r="G2624" s="70">
        <v>0.0</v>
      </c>
      <c r="H2624" s="70" t="s">
        <v>2875</v>
      </c>
      <c r="I2624" s="70">
        <v>232.0</v>
      </c>
      <c r="J2624" s="70" t="s">
        <v>2871</v>
      </c>
      <c r="K2624" s="70" t="s">
        <v>2872</v>
      </c>
      <c r="L2624" s="70" t="s">
        <v>2873</v>
      </c>
      <c r="M2624" s="70" t="s">
        <v>2874</v>
      </c>
      <c r="O2624" s="75" t="s">
        <v>2876</v>
      </c>
      <c r="P2624" s="70">
        <v>2018.0</v>
      </c>
      <c r="Q2624" s="70" t="s">
        <v>2878</v>
      </c>
      <c r="U2624" s="70" t="s">
        <v>401</v>
      </c>
      <c r="V2624" s="70" t="s">
        <v>402</v>
      </c>
      <c r="W2624" s="70" t="s">
        <v>2880</v>
      </c>
      <c r="AW2624" s="70" t="s">
        <v>2881</v>
      </c>
      <c r="AX2624" s="70">
        <v>0.0</v>
      </c>
      <c r="AY2624" s="70" t="s">
        <v>24</v>
      </c>
      <c r="AZ2624" s="70">
        <v>2664.0</v>
      </c>
    </row>
    <row r="2625" ht="22.5" customHeight="1">
      <c r="A2625" s="70" t="str">
        <f t="shared" si="1"/>
        <v>Excluded</v>
      </c>
      <c r="B2625" s="70">
        <f t="shared" si="2"/>
        <v>0</v>
      </c>
      <c r="C2625" s="70">
        <v>0.0</v>
      </c>
      <c r="D2625" s="70">
        <v>0.0</v>
      </c>
      <c r="E2625" s="70">
        <v>0.0</v>
      </c>
      <c r="F2625" s="70">
        <v>0.0</v>
      </c>
      <c r="G2625" s="70">
        <v>0.0</v>
      </c>
      <c r="H2625" s="70" t="s">
        <v>2019</v>
      </c>
      <c r="I2625" s="70">
        <v>150.0</v>
      </c>
      <c r="J2625" s="70" t="s">
        <v>31116</v>
      </c>
      <c r="K2625" s="70" t="s">
        <v>2016</v>
      </c>
      <c r="L2625" s="70" t="s">
        <v>2017</v>
      </c>
      <c r="M2625" s="70" t="s">
        <v>2018</v>
      </c>
      <c r="O2625" s="75" t="s">
        <v>2020</v>
      </c>
      <c r="P2625" s="70">
        <v>2018.0</v>
      </c>
      <c r="Q2625" s="70" t="s">
        <v>2021</v>
      </c>
      <c r="U2625" s="70" t="s">
        <v>401</v>
      </c>
      <c r="V2625" s="70" t="s">
        <v>402</v>
      </c>
      <c r="W2625" s="70" t="s">
        <v>2023</v>
      </c>
      <c r="AW2625" s="70" t="s">
        <v>2024</v>
      </c>
      <c r="AZ2625" s="70">
        <v>975.0</v>
      </c>
    </row>
    <row r="2626" ht="22.5" customHeight="1">
      <c r="A2626" s="70" t="str">
        <f t="shared" si="1"/>
        <v>Excluded</v>
      </c>
      <c r="B2626" s="70">
        <f t="shared" si="2"/>
        <v>0</v>
      </c>
      <c r="C2626" s="70">
        <v>0.0</v>
      </c>
      <c r="D2626" s="70">
        <v>0.0</v>
      </c>
      <c r="E2626" s="70">
        <v>0.0</v>
      </c>
      <c r="F2626" s="70">
        <v>0.0</v>
      </c>
      <c r="G2626" s="70">
        <v>0.0</v>
      </c>
      <c r="H2626" s="70" t="s">
        <v>2986</v>
      </c>
      <c r="I2626" s="70">
        <v>242.0</v>
      </c>
      <c r="J2626" s="70" t="s">
        <v>2982</v>
      </c>
      <c r="K2626" s="70" t="s">
        <v>2983</v>
      </c>
      <c r="L2626" s="70" t="s">
        <v>2984</v>
      </c>
      <c r="M2626" s="70" t="s">
        <v>2985</v>
      </c>
      <c r="O2626" s="75" t="s">
        <v>2987</v>
      </c>
      <c r="P2626" s="70">
        <v>2018.0</v>
      </c>
      <c r="Q2626" s="70" t="s">
        <v>2989</v>
      </c>
      <c r="U2626" s="70" t="s">
        <v>401</v>
      </c>
      <c r="V2626" s="70" t="s">
        <v>402</v>
      </c>
      <c r="W2626" s="70" t="s">
        <v>2991</v>
      </c>
      <c r="AW2626" s="70" t="s">
        <v>2992</v>
      </c>
      <c r="AZ2626" s="70">
        <v>242.0</v>
      </c>
    </row>
    <row r="2627" ht="22.5" customHeight="1">
      <c r="A2627" s="70" t="str">
        <f t="shared" si="1"/>
        <v>Excluded</v>
      </c>
      <c r="B2627" s="70">
        <f t="shared" si="2"/>
        <v>0</v>
      </c>
      <c r="C2627" s="70">
        <v>0.0</v>
      </c>
      <c r="D2627" s="70">
        <v>0.0</v>
      </c>
      <c r="E2627" s="70">
        <v>0.0</v>
      </c>
      <c r="F2627" s="70">
        <v>0.0</v>
      </c>
      <c r="G2627" s="70">
        <v>0.0</v>
      </c>
      <c r="H2627" s="70" t="s">
        <v>799</v>
      </c>
      <c r="I2627" s="70">
        <v>37.0</v>
      </c>
      <c r="J2627" s="70" t="s">
        <v>795</v>
      </c>
      <c r="K2627" s="70" t="s">
        <v>796</v>
      </c>
      <c r="L2627" s="70" t="s">
        <v>797</v>
      </c>
      <c r="M2627" s="70" t="s">
        <v>798</v>
      </c>
      <c r="O2627" s="75" t="s">
        <v>800</v>
      </c>
      <c r="P2627" s="70">
        <v>2018.0</v>
      </c>
      <c r="Q2627" s="70" t="s">
        <v>802</v>
      </c>
      <c r="U2627" s="70" t="s">
        <v>401</v>
      </c>
      <c r="V2627" s="70" t="s">
        <v>402</v>
      </c>
      <c r="W2627" s="70" t="s">
        <v>31117</v>
      </c>
      <c r="AW2627" s="70" t="s">
        <v>805</v>
      </c>
      <c r="AZ2627" s="70">
        <v>800.0</v>
      </c>
    </row>
    <row r="2628" ht="22.5" customHeight="1">
      <c r="A2628" s="70" t="str">
        <f t="shared" si="1"/>
        <v>Excluded</v>
      </c>
      <c r="B2628" s="70">
        <f t="shared" si="2"/>
        <v>0</v>
      </c>
      <c r="C2628" s="70">
        <v>0.0</v>
      </c>
      <c r="D2628" s="70">
        <v>0.0</v>
      </c>
      <c r="E2628" s="70">
        <v>0.0</v>
      </c>
      <c r="F2628" s="70">
        <v>0.0</v>
      </c>
      <c r="G2628" s="70">
        <v>0.0</v>
      </c>
      <c r="H2628" s="70" t="s">
        <v>2344</v>
      </c>
      <c r="I2628" s="70">
        <v>181.0</v>
      </c>
      <c r="J2628" s="70" t="s">
        <v>2340</v>
      </c>
      <c r="K2628" s="70" t="s">
        <v>2341</v>
      </c>
      <c r="L2628" s="70" t="s">
        <v>2342</v>
      </c>
      <c r="M2628" s="70" t="s">
        <v>2343</v>
      </c>
      <c r="O2628" s="75" t="s">
        <v>2345</v>
      </c>
      <c r="P2628" s="70">
        <v>2019.0</v>
      </c>
      <c r="Q2628" s="70" t="s">
        <v>2347</v>
      </c>
      <c r="U2628" s="70" t="s">
        <v>401</v>
      </c>
      <c r="V2628" s="70" t="s">
        <v>402</v>
      </c>
      <c r="W2628" s="70" t="s">
        <v>2349</v>
      </c>
      <c r="AX2628" s="70">
        <v>0.0</v>
      </c>
      <c r="AY2628" s="70" t="s">
        <v>24</v>
      </c>
      <c r="AZ2628" s="70">
        <v>2158.0</v>
      </c>
    </row>
    <row r="2629" ht="22.5" customHeight="1">
      <c r="A2629" s="70" t="str">
        <f t="shared" si="1"/>
        <v>Excluded</v>
      </c>
      <c r="B2629" s="70">
        <f t="shared" si="2"/>
        <v>0</v>
      </c>
      <c r="C2629" s="70">
        <v>0.0</v>
      </c>
      <c r="D2629" s="70">
        <v>0.0</v>
      </c>
      <c r="E2629" s="70">
        <v>0.0</v>
      </c>
      <c r="F2629" s="70">
        <v>0.0</v>
      </c>
      <c r="G2629" s="70">
        <v>0.0</v>
      </c>
      <c r="H2629" s="70" t="s">
        <v>3603</v>
      </c>
      <c r="I2629" s="70">
        <v>301.0</v>
      </c>
      <c r="J2629" s="70" t="s">
        <v>3600</v>
      </c>
      <c r="K2629" s="70" t="s">
        <v>3601</v>
      </c>
      <c r="L2629" s="70" t="s">
        <v>1596</v>
      </c>
      <c r="M2629" s="70" t="s">
        <v>3602</v>
      </c>
      <c r="O2629" s="75" t="s">
        <v>3604</v>
      </c>
      <c r="P2629" s="70">
        <v>2019.0</v>
      </c>
      <c r="Q2629" s="70" t="s">
        <v>3605</v>
      </c>
      <c r="U2629" s="70" t="s">
        <v>401</v>
      </c>
      <c r="V2629" s="70" t="s">
        <v>402</v>
      </c>
      <c r="W2629" s="70" t="s">
        <v>3607</v>
      </c>
      <c r="AZ2629" s="70">
        <v>636.0</v>
      </c>
    </row>
    <row r="2630" ht="22.5" customHeight="1">
      <c r="A2630" s="70" t="str">
        <f t="shared" si="1"/>
        <v>Excluded</v>
      </c>
      <c r="B2630" s="70">
        <f t="shared" si="2"/>
        <v>0</v>
      </c>
      <c r="C2630" s="70">
        <v>0.0</v>
      </c>
      <c r="D2630" s="70">
        <v>0.0</v>
      </c>
      <c r="E2630" s="70">
        <v>0.0</v>
      </c>
      <c r="F2630" s="70">
        <v>0.0</v>
      </c>
      <c r="G2630" s="70">
        <v>0.0</v>
      </c>
      <c r="H2630" s="70" t="s">
        <v>1252</v>
      </c>
      <c r="I2630" s="70">
        <v>80.0</v>
      </c>
      <c r="J2630" s="70" t="s">
        <v>1248</v>
      </c>
      <c r="K2630" s="70" t="s">
        <v>1249</v>
      </c>
      <c r="L2630" s="70" t="s">
        <v>1250</v>
      </c>
      <c r="M2630" s="70" t="s">
        <v>1251</v>
      </c>
      <c r="O2630" s="75" t="s">
        <v>1253</v>
      </c>
      <c r="P2630" s="70">
        <v>2019.0</v>
      </c>
      <c r="Q2630" s="70" t="s">
        <v>1255</v>
      </c>
      <c r="U2630" s="70" t="s">
        <v>401</v>
      </c>
      <c r="V2630" s="70" t="s">
        <v>402</v>
      </c>
      <c r="W2630" s="70" t="s">
        <v>1256</v>
      </c>
      <c r="AW2630" s="70" t="s">
        <v>1257</v>
      </c>
      <c r="AX2630" s="70">
        <v>0.0</v>
      </c>
      <c r="AY2630" s="70" t="s">
        <v>24</v>
      </c>
      <c r="AZ2630" s="70">
        <v>1970.0</v>
      </c>
    </row>
    <row r="2631" ht="22.5" customHeight="1">
      <c r="A2631" s="70" t="str">
        <f t="shared" si="1"/>
        <v>Excluded</v>
      </c>
      <c r="B2631" s="70">
        <f t="shared" si="2"/>
        <v>0</v>
      </c>
      <c r="C2631" s="70">
        <v>0.0</v>
      </c>
      <c r="D2631" s="70">
        <v>0.0</v>
      </c>
      <c r="E2631" s="70">
        <v>0.0</v>
      </c>
      <c r="F2631" s="70">
        <v>0.0</v>
      </c>
      <c r="G2631" s="70">
        <v>0.0</v>
      </c>
      <c r="H2631" s="70" t="s">
        <v>3285</v>
      </c>
      <c r="I2631" s="70">
        <v>270.0</v>
      </c>
      <c r="J2631" s="70" t="s">
        <v>31118</v>
      </c>
      <c r="K2631" s="70" t="s">
        <v>3282</v>
      </c>
      <c r="L2631" s="70" t="s">
        <v>3283</v>
      </c>
      <c r="M2631" s="70" t="s">
        <v>3284</v>
      </c>
      <c r="O2631" s="75" t="s">
        <v>3286</v>
      </c>
      <c r="P2631" s="70">
        <v>2019.0</v>
      </c>
      <c r="Q2631" s="70" t="s">
        <v>3288</v>
      </c>
      <c r="U2631" s="70" t="s">
        <v>401</v>
      </c>
      <c r="V2631" s="70" t="s">
        <v>402</v>
      </c>
      <c r="W2631" s="70" t="s">
        <v>3290</v>
      </c>
      <c r="AW2631" s="70" t="s">
        <v>3291</v>
      </c>
      <c r="AX2631" s="70">
        <v>0.0</v>
      </c>
      <c r="AY2631" s="70" t="s">
        <v>24</v>
      </c>
      <c r="AZ2631" s="70">
        <v>2579.0</v>
      </c>
    </row>
    <row r="2632" ht="22.5" customHeight="1">
      <c r="A2632" s="70" t="str">
        <f t="shared" si="1"/>
        <v>Excluded</v>
      </c>
      <c r="B2632" s="70">
        <f t="shared" si="2"/>
        <v>0</v>
      </c>
      <c r="C2632" s="70">
        <v>0.0</v>
      </c>
      <c r="D2632" s="70">
        <v>0.0</v>
      </c>
      <c r="E2632" s="70">
        <v>0.0</v>
      </c>
      <c r="F2632" s="70">
        <v>0.0</v>
      </c>
      <c r="G2632" s="70">
        <v>0.0</v>
      </c>
      <c r="H2632" s="70" t="s">
        <v>3165</v>
      </c>
      <c r="I2632" s="70">
        <v>259.0</v>
      </c>
      <c r="J2632" s="70" t="s">
        <v>3161</v>
      </c>
      <c r="K2632" s="70" t="s">
        <v>3162</v>
      </c>
      <c r="L2632" s="70" t="s">
        <v>3163</v>
      </c>
      <c r="M2632" s="70" t="s">
        <v>3164</v>
      </c>
      <c r="O2632" s="75" t="s">
        <v>3166</v>
      </c>
      <c r="P2632" s="70">
        <v>2019.0</v>
      </c>
      <c r="Q2632" s="70" t="s">
        <v>3168</v>
      </c>
      <c r="U2632" s="70" t="s">
        <v>401</v>
      </c>
      <c r="V2632" s="70" t="s">
        <v>402</v>
      </c>
      <c r="W2632" s="70" t="s">
        <v>3170</v>
      </c>
      <c r="AW2632" s="70" t="s">
        <v>3171</v>
      </c>
      <c r="AZ2632" s="70">
        <v>334.0</v>
      </c>
    </row>
    <row r="2633" ht="22.5" customHeight="1">
      <c r="A2633" s="70" t="str">
        <f t="shared" si="1"/>
        <v>Excluded</v>
      </c>
      <c r="B2633" s="70">
        <f t="shared" si="2"/>
        <v>0</v>
      </c>
      <c r="C2633" s="70">
        <v>0.0</v>
      </c>
      <c r="D2633" s="70">
        <v>0.0</v>
      </c>
      <c r="E2633" s="70">
        <v>0.0</v>
      </c>
      <c r="F2633" s="70">
        <v>0.0</v>
      </c>
      <c r="G2633" s="70">
        <v>0.0</v>
      </c>
      <c r="H2633" s="70" t="s">
        <v>4216</v>
      </c>
      <c r="I2633" s="70">
        <v>376.0</v>
      </c>
      <c r="J2633" s="70" t="s">
        <v>4214</v>
      </c>
      <c r="K2633" s="70" t="s">
        <v>4215</v>
      </c>
      <c r="L2633" s="70" t="s">
        <v>3860</v>
      </c>
      <c r="N2633" s="70" t="s">
        <v>3861</v>
      </c>
      <c r="O2633" s="75" t="s">
        <v>4217</v>
      </c>
      <c r="P2633" s="81">
        <v>43556.0</v>
      </c>
      <c r="W2633" s="70" t="s">
        <v>4218</v>
      </c>
      <c r="AW2633" s="70" t="s">
        <v>4219</v>
      </c>
      <c r="AX2633" s="70">
        <v>0.0</v>
      </c>
      <c r="AY2633" s="70" t="s">
        <v>24</v>
      </c>
      <c r="AZ2633" s="70">
        <v>2999.0</v>
      </c>
    </row>
    <row r="2634" ht="22.5" customHeight="1">
      <c r="A2634" s="70" t="str">
        <f t="shared" si="1"/>
        <v>Excluded</v>
      </c>
      <c r="B2634" s="70">
        <f t="shared" si="2"/>
        <v>0</v>
      </c>
      <c r="C2634" s="70">
        <v>0.0</v>
      </c>
      <c r="D2634" s="70">
        <v>0.0</v>
      </c>
      <c r="E2634" s="70">
        <v>0.0</v>
      </c>
      <c r="F2634" s="70">
        <v>0.0</v>
      </c>
      <c r="G2634" s="70">
        <v>0.0</v>
      </c>
      <c r="H2634" s="70" t="s">
        <v>1708</v>
      </c>
      <c r="I2634" s="70">
        <v>122.0</v>
      </c>
      <c r="J2634" s="70" t="s">
        <v>1704</v>
      </c>
      <c r="K2634" s="70" t="s">
        <v>1705</v>
      </c>
      <c r="L2634" s="70" t="s">
        <v>1706</v>
      </c>
      <c r="M2634" s="70" t="s">
        <v>1707</v>
      </c>
      <c r="O2634" s="75" t="s">
        <v>1709</v>
      </c>
      <c r="P2634" s="70">
        <v>2019.0</v>
      </c>
      <c r="Q2634" s="70" t="s">
        <v>1711</v>
      </c>
      <c r="U2634" s="70" t="s">
        <v>401</v>
      </c>
      <c r="V2634" s="70" t="s">
        <v>402</v>
      </c>
      <c r="W2634" s="70" t="s">
        <v>1713</v>
      </c>
      <c r="AW2634" s="70" t="s">
        <v>1714</v>
      </c>
      <c r="AX2634" s="70">
        <v>0.0</v>
      </c>
      <c r="AY2634" s="70" t="s">
        <v>24</v>
      </c>
      <c r="AZ2634" s="70">
        <v>3065.0</v>
      </c>
    </row>
    <row r="2635" ht="22.5" customHeight="1">
      <c r="A2635" s="70" t="str">
        <f t="shared" si="1"/>
        <v>Excluded</v>
      </c>
      <c r="B2635" s="70">
        <f t="shared" si="2"/>
        <v>0</v>
      </c>
      <c r="C2635" s="70">
        <v>0.0</v>
      </c>
      <c r="D2635" s="70">
        <v>0.0</v>
      </c>
      <c r="E2635" s="70">
        <v>0.0</v>
      </c>
      <c r="F2635" s="70">
        <v>0.0</v>
      </c>
      <c r="G2635" s="70">
        <v>0.0</v>
      </c>
      <c r="H2635" s="70" t="s">
        <v>1395</v>
      </c>
      <c r="I2635" s="70">
        <v>93.0</v>
      </c>
      <c r="J2635" s="70" t="s">
        <v>29455</v>
      </c>
      <c r="K2635" s="70" t="s">
        <v>1392</v>
      </c>
      <c r="L2635" s="70" t="s">
        <v>1393</v>
      </c>
      <c r="M2635" s="70" t="s">
        <v>1394</v>
      </c>
      <c r="O2635" s="75" t="s">
        <v>1396</v>
      </c>
      <c r="P2635" s="70">
        <v>2019.0</v>
      </c>
      <c r="Q2635" s="70" t="s">
        <v>1398</v>
      </c>
      <c r="U2635" s="70" t="s">
        <v>401</v>
      </c>
      <c r="V2635" s="70" t="s">
        <v>402</v>
      </c>
      <c r="W2635" s="70" t="s">
        <v>1400</v>
      </c>
      <c r="AW2635" s="70" t="s">
        <v>1401</v>
      </c>
      <c r="AX2635" s="70">
        <v>0.0</v>
      </c>
      <c r="AY2635" s="70" t="s">
        <v>24</v>
      </c>
      <c r="AZ2635" s="70">
        <v>2518.0</v>
      </c>
    </row>
    <row r="2636" ht="22.5" customHeight="1">
      <c r="A2636" s="70" t="str">
        <f t="shared" si="1"/>
        <v>Excluded</v>
      </c>
      <c r="B2636" s="70">
        <f t="shared" si="2"/>
        <v>0</v>
      </c>
      <c r="C2636" s="70">
        <v>0.0</v>
      </c>
      <c r="D2636" s="70">
        <v>0.0</v>
      </c>
      <c r="E2636" s="70">
        <v>0.0</v>
      </c>
      <c r="F2636" s="70">
        <v>0.0</v>
      </c>
      <c r="G2636" s="70">
        <v>0.0</v>
      </c>
      <c r="H2636" s="70" t="s">
        <v>4164</v>
      </c>
      <c r="I2636" s="70">
        <v>369.0</v>
      </c>
      <c r="J2636" s="70" t="s">
        <v>4162</v>
      </c>
      <c r="K2636" s="70" t="s">
        <v>4163</v>
      </c>
      <c r="L2636" s="70" t="s">
        <v>3860</v>
      </c>
      <c r="N2636" s="70" t="s">
        <v>3861</v>
      </c>
      <c r="O2636" s="75" t="s">
        <v>4165</v>
      </c>
      <c r="P2636" s="81">
        <v>43556.0</v>
      </c>
      <c r="W2636" s="70" t="s">
        <v>31119</v>
      </c>
      <c r="AW2636" s="70" t="s">
        <v>4168</v>
      </c>
      <c r="AX2636" s="70">
        <v>0.0</v>
      </c>
      <c r="AY2636" s="70" t="s">
        <v>24</v>
      </c>
      <c r="AZ2636" s="70">
        <v>1881.0</v>
      </c>
    </row>
    <row r="2637" ht="22.5" customHeight="1">
      <c r="A2637" s="70" t="str">
        <f t="shared" si="1"/>
        <v>Excluded</v>
      </c>
      <c r="B2637" s="70">
        <f t="shared" si="2"/>
        <v>0</v>
      </c>
      <c r="C2637" s="70">
        <v>0.0</v>
      </c>
      <c r="D2637" s="70">
        <v>0.0</v>
      </c>
      <c r="E2637" s="70">
        <v>0.0</v>
      </c>
      <c r="F2637" s="70">
        <v>0.0</v>
      </c>
      <c r="G2637" s="70">
        <v>0.0</v>
      </c>
      <c r="H2637" s="70" t="s">
        <v>28765</v>
      </c>
      <c r="I2637" s="70">
        <v>3093.0</v>
      </c>
      <c r="J2637" s="70" t="s">
        <v>28763</v>
      </c>
      <c r="K2637" s="70" t="s">
        <v>28764</v>
      </c>
      <c r="W2637" s="70" t="s">
        <v>31120</v>
      </c>
      <c r="AA2637" s="70" t="s">
        <v>28767</v>
      </c>
      <c r="AI2637" s="70" t="s">
        <v>28768</v>
      </c>
      <c r="AJ2637" s="70" t="s">
        <v>28769</v>
      </c>
      <c r="AK2637" s="70">
        <v>2019.0</v>
      </c>
      <c r="AL2637" s="70" t="s">
        <v>28770</v>
      </c>
      <c r="AN2637" s="70">
        <v>69.0</v>
      </c>
      <c r="AO2637" s="70">
        <v>83.0</v>
      </c>
      <c r="AP2637" s="70">
        <v>14.0</v>
      </c>
      <c r="AQ2637" s="70">
        <v>17.0</v>
      </c>
      <c r="AR2637" s="75" t="s">
        <v>28771</v>
      </c>
      <c r="AS2637" s="70" t="s">
        <v>22525</v>
      </c>
      <c r="AT2637" s="70" t="s">
        <v>22656</v>
      </c>
      <c r="AU2637" s="70" t="s">
        <v>237</v>
      </c>
      <c r="AV2637" s="70" t="s">
        <v>28772</v>
      </c>
      <c r="AW2637" s="70" t="s">
        <v>28773</v>
      </c>
      <c r="AX2637" s="70">
        <v>0.0</v>
      </c>
      <c r="AY2637" s="70" t="s">
        <v>24</v>
      </c>
      <c r="AZ2637" s="70">
        <v>2548.0</v>
      </c>
    </row>
    <row r="2638" ht="22.5" customHeight="1">
      <c r="A2638" s="70" t="str">
        <f t="shared" si="1"/>
        <v>Excluded</v>
      </c>
      <c r="B2638" s="70">
        <f t="shared" si="2"/>
        <v>0</v>
      </c>
      <c r="C2638" s="70">
        <v>0.0</v>
      </c>
      <c r="D2638" s="70">
        <v>0.0</v>
      </c>
      <c r="E2638" s="70">
        <v>0.0</v>
      </c>
      <c r="F2638" s="70">
        <v>0.0</v>
      </c>
      <c r="G2638" s="70">
        <v>0.0</v>
      </c>
      <c r="H2638" s="70" t="s">
        <v>621</v>
      </c>
      <c r="I2638" s="70">
        <v>21.0</v>
      </c>
      <c r="J2638" s="70" t="s">
        <v>617</v>
      </c>
      <c r="K2638" s="70" t="s">
        <v>618</v>
      </c>
      <c r="L2638" s="70" t="s">
        <v>619</v>
      </c>
      <c r="M2638" s="70" t="s">
        <v>620</v>
      </c>
      <c r="O2638" s="75" t="s">
        <v>622</v>
      </c>
      <c r="P2638" s="70">
        <v>2019.0</v>
      </c>
      <c r="Q2638" s="70" t="s">
        <v>624</v>
      </c>
      <c r="U2638" s="70" t="s">
        <v>401</v>
      </c>
      <c r="V2638" s="70" t="s">
        <v>402</v>
      </c>
      <c r="W2638" s="70" t="s">
        <v>626</v>
      </c>
      <c r="AW2638" s="70" t="s">
        <v>627</v>
      </c>
      <c r="AX2638" s="70">
        <v>0.0</v>
      </c>
      <c r="AY2638" s="70" t="s">
        <v>24</v>
      </c>
      <c r="AZ2638" s="70">
        <v>2155.0</v>
      </c>
    </row>
    <row r="2639" ht="22.5" customHeight="1">
      <c r="A2639" s="70" t="str">
        <f t="shared" si="1"/>
        <v>Excluded</v>
      </c>
      <c r="B2639" s="70">
        <f t="shared" si="2"/>
        <v>0</v>
      </c>
      <c r="C2639" s="70">
        <v>0.0</v>
      </c>
      <c r="D2639" s="70">
        <v>0.0</v>
      </c>
      <c r="E2639" s="70">
        <v>0.0</v>
      </c>
      <c r="F2639" s="70">
        <v>0.0</v>
      </c>
      <c r="G2639" s="70">
        <v>0.0</v>
      </c>
      <c r="H2639" s="70" t="s">
        <v>1670</v>
      </c>
      <c r="I2639" s="70">
        <v>118.0</v>
      </c>
      <c r="J2639" s="70" t="s">
        <v>1668</v>
      </c>
      <c r="K2639" s="70" t="s">
        <v>1669</v>
      </c>
      <c r="L2639" s="70" t="s">
        <v>619</v>
      </c>
      <c r="M2639" s="70" t="s">
        <v>620</v>
      </c>
      <c r="O2639" s="75" t="s">
        <v>1671</v>
      </c>
      <c r="P2639" s="70">
        <v>2019.0</v>
      </c>
      <c r="Q2639" s="70" t="s">
        <v>624</v>
      </c>
      <c r="U2639" s="70" t="s">
        <v>401</v>
      </c>
      <c r="V2639" s="70" t="s">
        <v>402</v>
      </c>
      <c r="W2639" s="70" t="s">
        <v>31121</v>
      </c>
      <c r="AZ2639" s="70">
        <v>744.0</v>
      </c>
    </row>
    <row r="2640" ht="22.5" customHeight="1">
      <c r="A2640" s="70" t="str">
        <f t="shared" si="1"/>
        <v>Excluded</v>
      </c>
      <c r="B2640" s="70">
        <f t="shared" si="2"/>
        <v>0</v>
      </c>
      <c r="C2640" s="70">
        <v>0.0</v>
      </c>
      <c r="D2640" s="70">
        <v>0.0</v>
      </c>
      <c r="E2640" s="70">
        <v>0.0</v>
      </c>
      <c r="F2640" s="70">
        <v>0.0</v>
      </c>
      <c r="G2640" s="70">
        <v>0.0</v>
      </c>
      <c r="H2640" s="70" t="s">
        <v>3456</v>
      </c>
      <c r="I2640" s="70">
        <v>287.0</v>
      </c>
      <c r="J2640" s="70" t="s">
        <v>3454</v>
      </c>
      <c r="K2640" s="70" t="s">
        <v>3455</v>
      </c>
      <c r="L2640" s="70" t="s">
        <v>619</v>
      </c>
      <c r="M2640" s="70" t="s">
        <v>620</v>
      </c>
      <c r="O2640" s="75" t="s">
        <v>3457</v>
      </c>
      <c r="P2640" s="70">
        <v>2019.0</v>
      </c>
      <c r="Q2640" s="70" t="s">
        <v>624</v>
      </c>
      <c r="U2640" s="70" t="s">
        <v>401</v>
      </c>
      <c r="V2640" s="70" t="s">
        <v>402</v>
      </c>
      <c r="W2640" s="70" t="s">
        <v>3459</v>
      </c>
      <c r="AW2640" s="70" t="s">
        <v>3460</v>
      </c>
      <c r="AZ2640" s="70">
        <v>737.0</v>
      </c>
    </row>
    <row r="2641" ht="22.5" customHeight="1">
      <c r="A2641" s="70" t="str">
        <f t="shared" si="1"/>
        <v>Excluded</v>
      </c>
      <c r="B2641" s="70">
        <f t="shared" si="2"/>
        <v>0</v>
      </c>
      <c r="C2641" s="70">
        <v>0.0</v>
      </c>
      <c r="D2641" s="70">
        <v>0.0</v>
      </c>
      <c r="E2641" s="70">
        <v>0.0</v>
      </c>
      <c r="F2641" s="70">
        <v>0.0</v>
      </c>
      <c r="G2641" s="70">
        <v>0.0</v>
      </c>
      <c r="H2641" s="70" t="s">
        <v>1677</v>
      </c>
      <c r="I2641" s="70">
        <v>119.0</v>
      </c>
      <c r="J2641" s="70" t="s">
        <v>1675</v>
      </c>
      <c r="K2641" s="70" t="s">
        <v>1676</v>
      </c>
      <c r="L2641" s="70" t="s">
        <v>619</v>
      </c>
      <c r="M2641" s="70" t="s">
        <v>620</v>
      </c>
      <c r="O2641" s="75" t="s">
        <v>1678</v>
      </c>
      <c r="P2641" s="70">
        <v>2019.0</v>
      </c>
      <c r="Q2641" s="70" t="s">
        <v>624</v>
      </c>
      <c r="U2641" s="70" t="s">
        <v>401</v>
      </c>
      <c r="V2641" s="70" t="s">
        <v>402</v>
      </c>
      <c r="W2641" s="70" t="s">
        <v>1680</v>
      </c>
      <c r="AW2641" s="70" t="s">
        <v>1681</v>
      </c>
      <c r="AX2641" s="70">
        <v>0.0</v>
      </c>
      <c r="AY2641" s="70" t="s">
        <v>24</v>
      </c>
      <c r="AZ2641" s="70">
        <v>2694.0</v>
      </c>
    </row>
    <row r="2642" ht="22.5" customHeight="1">
      <c r="A2642" s="70" t="str">
        <f t="shared" si="1"/>
        <v>Excluded</v>
      </c>
      <c r="B2642" s="70">
        <f t="shared" si="2"/>
        <v>0</v>
      </c>
      <c r="C2642" s="70">
        <v>0.0</v>
      </c>
      <c r="D2642" s="70">
        <v>0.0</v>
      </c>
      <c r="E2642" s="70">
        <v>0.0</v>
      </c>
      <c r="F2642" s="70">
        <v>0.0</v>
      </c>
      <c r="G2642" s="70">
        <v>0.0</v>
      </c>
      <c r="H2642" s="70" t="s">
        <v>3583</v>
      </c>
      <c r="I2642" s="70">
        <v>299.0</v>
      </c>
      <c r="J2642" s="70" t="s">
        <v>3579</v>
      </c>
      <c r="K2642" s="70" t="s">
        <v>3580</v>
      </c>
      <c r="L2642" s="70" t="s">
        <v>3581</v>
      </c>
      <c r="M2642" s="70" t="s">
        <v>3582</v>
      </c>
      <c r="O2642" s="75" t="s">
        <v>3584</v>
      </c>
      <c r="P2642" s="70">
        <v>2019.0</v>
      </c>
      <c r="Q2642" s="70" t="s">
        <v>3585</v>
      </c>
      <c r="U2642" s="70" t="s">
        <v>401</v>
      </c>
      <c r="V2642" s="70" t="s">
        <v>402</v>
      </c>
      <c r="W2642" s="70" t="s">
        <v>3586</v>
      </c>
      <c r="AW2642" s="70" t="s">
        <v>3587</v>
      </c>
      <c r="AX2642" s="70">
        <v>0.0</v>
      </c>
      <c r="AY2642" s="70" t="s">
        <v>24</v>
      </c>
      <c r="AZ2642" s="70">
        <v>2772.0</v>
      </c>
    </row>
    <row r="2643" ht="22.5" customHeight="1">
      <c r="A2643" s="70" t="str">
        <f t="shared" si="1"/>
        <v>Excluded</v>
      </c>
      <c r="B2643" s="70">
        <f t="shared" si="2"/>
        <v>0</v>
      </c>
      <c r="C2643" s="70">
        <v>0.0</v>
      </c>
      <c r="D2643" s="70">
        <v>0.0</v>
      </c>
      <c r="E2643" s="70">
        <v>0.0</v>
      </c>
      <c r="F2643" s="70">
        <v>0.0</v>
      </c>
      <c r="G2643" s="70">
        <v>0.0</v>
      </c>
      <c r="H2643" s="70" t="s">
        <v>4462</v>
      </c>
      <c r="I2643" s="70">
        <v>408.0</v>
      </c>
      <c r="J2643" s="70" t="s">
        <v>4460</v>
      </c>
      <c r="K2643" s="70" t="s">
        <v>31122</v>
      </c>
      <c r="L2643" s="70" t="s">
        <v>3635</v>
      </c>
      <c r="N2643" s="70" t="s">
        <v>3636</v>
      </c>
      <c r="O2643" s="75" t="s">
        <v>4463</v>
      </c>
      <c r="P2643" s="81">
        <v>43709.0</v>
      </c>
      <c r="W2643" s="70" t="s">
        <v>31123</v>
      </c>
      <c r="AW2643" s="70" t="s">
        <v>4465</v>
      </c>
      <c r="AZ2643" s="70">
        <v>481.0</v>
      </c>
    </row>
    <row r="2644" ht="22.5" customHeight="1">
      <c r="A2644" s="70" t="str">
        <f t="shared" si="1"/>
        <v>Excluded</v>
      </c>
      <c r="B2644" s="70">
        <f t="shared" si="2"/>
        <v>0</v>
      </c>
      <c r="C2644" s="70">
        <v>0.0</v>
      </c>
      <c r="D2644" s="70">
        <v>0.0</v>
      </c>
      <c r="E2644" s="70">
        <v>0.0</v>
      </c>
      <c r="F2644" s="70">
        <v>0.0</v>
      </c>
      <c r="G2644" s="70">
        <v>0.0</v>
      </c>
      <c r="H2644" s="70" t="s">
        <v>1068</v>
      </c>
      <c r="I2644" s="70">
        <v>62.0</v>
      </c>
      <c r="J2644" s="70" t="s">
        <v>1064</v>
      </c>
      <c r="K2644" s="70" t="s">
        <v>1065</v>
      </c>
      <c r="L2644" s="70" t="s">
        <v>1066</v>
      </c>
      <c r="M2644" s="70" t="s">
        <v>1067</v>
      </c>
      <c r="O2644" s="75" t="s">
        <v>1069</v>
      </c>
      <c r="P2644" s="70">
        <v>2019.0</v>
      </c>
      <c r="Q2644" s="70" t="s">
        <v>1071</v>
      </c>
      <c r="U2644" s="70" t="s">
        <v>401</v>
      </c>
      <c r="V2644" s="70" t="s">
        <v>402</v>
      </c>
      <c r="W2644" s="70" t="s">
        <v>1073</v>
      </c>
      <c r="AW2644" s="70" t="s">
        <v>1074</v>
      </c>
      <c r="AX2644" s="70">
        <v>0.0</v>
      </c>
      <c r="AY2644" s="70" t="s">
        <v>24</v>
      </c>
      <c r="AZ2644" s="70">
        <v>1957.0</v>
      </c>
    </row>
    <row r="2645" ht="22.5" customHeight="1">
      <c r="A2645" s="70" t="str">
        <f t="shared" si="1"/>
        <v>Excluded</v>
      </c>
      <c r="B2645" s="70">
        <f t="shared" si="2"/>
        <v>0</v>
      </c>
      <c r="C2645" s="70">
        <v>0.0</v>
      </c>
      <c r="D2645" s="70">
        <v>0.0</v>
      </c>
      <c r="E2645" s="70">
        <v>0.0</v>
      </c>
      <c r="F2645" s="70">
        <v>0.0</v>
      </c>
      <c r="G2645" s="70">
        <v>0.0</v>
      </c>
      <c r="H2645" s="70" t="s">
        <v>2153</v>
      </c>
      <c r="I2645" s="70">
        <v>163.0</v>
      </c>
      <c r="J2645" s="70" t="s">
        <v>2149</v>
      </c>
      <c r="K2645" s="70" t="s">
        <v>2150</v>
      </c>
      <c r="L2645" s="70" t="s">
        <v>2151</v>
      </c>
      <c r="M2645" s="70" t="s">
        <v>2152</v>
      </c>
      <c r="O2645" s="75" t="s">
        <v>2154</v>
      </c>
      <c r="P2645" s="70">
        <v>2019.0</v>
      </c>
      <c r="Q2645" s="70" t="s">
        <v>2155</v>
      </c>
      <c r="U2645" s="70" t="s">
        <v>401</v>
      </c>
      <c r="V2645" s="70" t="s">
        <v>402</v>
      </c>
      <c r="W2645" s="70" t="s">
        <v>2157</v>
      </c>
      <c r="AW2645" s="70" t="s">
        <v>2158</v>
      </c>
      <c r="AX2645" s="70">
        <v>0.0</v>
      </c>
      <c r="AY2645" s="70" t="s">
        <v>24</v>
      </c>
      <c r="AZ2645" s="70">
        <v>2503.0</v>
      </c>
    </row>
    <row r="2646" ht="22.5" customHeight="1">
      <c r="A2646" s="70" t="str">
        <f t="shared" si="1"/>
        <v>Excluded</v>
      </c>
      <c r="B2646" s="70">
        <f t="shared" si="2"/>
        <v>0</v>
      </c>
      <c r="C2646" s="70">
        <v>0.0</v>
      </c>
      <c r="D2646" s="70">
        <v>0.0</v>
      </c>
      <c r="E2646" s="70">
        <v>0.0</v>
      </c>
      <c r="F2646" s="70">
        <v>0.0</v>
      </c>
      <c r="G2646" s="70">
        <v>0.0</v>
      </c>
      <c r="H2646" s="70" t="s">
        <v>444</v>
      </c>
      <c r="I2646" s="70">
        <v>5.0</v>
      </c>
      <c r="J2646" s="70" t="s">
        <v>440</v>
      </c>
      <c r="K2646" s="70" t="s">
        <v>441</v>
      </c>
      <c r="L2646" s="70" t="s">
        <v>442</v>
      </c>
      <c r="M2646" s="70" t="s">
        <v>443</v>
      </c>
      <c r="O2646" s="75" t="s">
        <v>445</v>
      </c>
      <c r="P2646" s="70">
        <v>2019.0</v>
      </c>
      <c r="Q2646" s="70" t="s">
        <v>447</v>
      </c>
      <c r="U2646" s="70" t="s">
        <v>401</v>
      </c>
      <c r="V2646" s="70" t="s">
        <v>402</v>
      </c>
      <c r="W2646" s="70" t="s">
        <v>449</v>
      </c>
      <c r="AW2646" s="70" t="s">
        <v>450</v>
      </c>
      <c r="AZ2646" s="70">
        <v>309.0</v>
      </c>
    </row>
    <row r="2647" ht="22.5" customHeight="1">
      <c r="A2647" s="70" t="str">
        <f t="shared" si="1"/>
        <v>Excluded</v>
      </c>
      <c r="B2647" s="70">
        <f t="shared" si="2"/>
        <v>0</v>
      </c>
      <c r="C2647" s="70">
        <v>0.0</v>
      </c>
      <c r="D2647" s="70">
        <v>0.0</v>
      </c>
      <c r="E2647" s="70">
        <v>0.0</v>
      </c>
      <c r="F2647" s="70">
        <v>0.0</v>
      </c>
      <c r="G2647" s="70">
        <v>0.0</v>
      </c>
      <c r="H2647" s="70" t="s">
        <v>1214</v>
      </c>
      <c r="I2647" s="70">
        <v>76.0</v>
      </c>
      <c r="J2647" s="70" t="s">
        <v>1210</v>
      </c>
      <c r="K2647" s="70" t="s">
        <v>1211</v>
      </c>
      <c r="L2647" s="70" t="s">
        <v>1212</v>
      </c>
      <c r="M2647" s="70" t="s">
        <v>1213</v>
      </c>
      <c r="O2647" s="75" t="s">
        <v>1215</v>
      </c>
      <c r="P2647" s="70">
        <v>2019.0</v>
      </c>
      <c r="Q2647" s="70" t="s">
        <v>1216</v>
      </c>
      <c r="U2647" s="70" t="s">
        <v>401</v>
      </c>
      <c r="V2647" s="70" t="s">
        <v>402</v>
      </c>
      <c r="W2647" s="70" t="s">
        <v>1218</v>
      </c>
      <c r="AX2647" s="70">
        <v>0.0</v>
      </c>
      <c r="AY2647" s="70" t="s">
        <v>24</v>
      </c>
      <c r="AZ2647" s="70">
        <v>1689.0</v>
      </c>
    </row>
    <row r="2648" ht="22.5" customHeight="1">
      <c r="A2648" s="70" t="str">
        <f t="shared" si="1"/>
        <v>Excluded</v>
      </c>
      <c r="B2648" s="70">
        <f t="shared" si="2"/>
        <v>0</v>
      </c>
      <c r="C2648" s="70">
        <v>0.0</v>
      </c>
      <c r="D2648" s="70">
        <v>0.0</v>
      </c>
      <c r="E2648" s="70">
        <v>0.0</v>
      </c>
      <c r="F2648" s="70">
        <v>0.0</v>
      </c>
      <c r="G2648" s="70">
        <v>0.0</v>
      </c>
      <c r="H2648" s="70" t="s">
        <v>1372</v>
      </c>
      <c r="I2648" s="70">
        <v>91.0</v>
      </c>
      <c r="J2648" s="70" t="s">
        <v>31124</v>
      </c>
      <c r="K2648" s="70" t="s">
        <v>1369</v>
      </c>
      <c r="L2648" s="70" t="s">
        <v>1370</v>
      </c>
      <c r="M2648" s="70" t="s">
        <v>1371</v>
      </c>
      <c r="O2648" s="75" t="s">
        <v>1373</v>
      </c>
      <c r="P2648" s="70">
        <v>2020.0</v>
      </c>
      <c r="Q2648" s="70" t="s">
        <v>1375</v>
      </c>
      <c r="U2648" s="70" t="s">
        <v>401</v>
      </c>
      <c r="V2648" s="70" t="s">
        <v>402</v>
      </c>
      <c r="W2648" s="70" t="s">
        <v>1377</v>
      </c>
      <c r="AW2648" s="70" t="s">
        <v>1378</v>
      </c>
      <c r="AX2648" s="70">
        <v>0.0</v>
      </c>
      <c r="AY2648" s="70" t="s">
        <v>24</v>
      </c>
      <c r="AZ2648" s="70">
        <v>2425.0</v>
      </c>
    </row>
    <row r="2649" ht="22.5" customHeight="1">
      <c r="A2649" s="70" t="str">
        <f t="shared" si="1"/>
        <v>Excluded</v>
      </c>
      <c r="B2649" s="70">
        <f t="shared" si="2"/>
        <v>0</v>
      </c>
      <c r="C2649" s="70">
        <v>0.0</v>
      </c>
      <c r="D2649" s="70">
        <v>0.0</v>
      </c>
      <c r="E2649" s="70">
        <v>0.0</v>
      </c>
      <c r="F2649" s="70">
        <v>0.0</v>
      </c>
      <c r="G2649" s="70">
        <v>0.0</v>
      </c>
      <c r="H2649" s="70" t="s">
        <v>1910</v>
      </c>
      <c r="I2649" s="70">
        <v>140.0</v>
      </c>
      <c r="J2649" s="70" t="s">
        <v>1908</v>
      </c>
      <c r="K2649" s="70" t="s">
        <v>1909</v>
      </c>
      <c r="L2649" s="70" t="s">
        <v>1370</v>
      </c>
      <c r="M2649" s="70" t="s">
        <v>1371</v>
      </c>
      <c r="O2649" s="75" t="s">
        <v>1911</v>
      </c>
      <c r="P2649" s="70">
        <v>2020.0</v>
      </c>
      <c r="Q2649" s="70" t="s">
        <v>1375</v>
      </c>
      <c r="U2649" s="70" t="s">
        <v>401</v>
      </c>
      <c r="V2649" s="70" t="s">
        <v>402</v>
      </c>
      <c r="W2649" s="70" t="s">
        <v>1913</v>
      </c>
      <c r="AW2649" s="70" t="s">
        <v>1914</v>
      </c>
      <c r="AX2649" s="70">
        <v>0.0</v>
      </c>
      <c r="AY2649" s="70" t="s">
        <v>24</v>
      </c>
      <c r="AZ2649" s="70">
        <v>1704.0</v>
      </c>
    </row>
    <row r="2650" ht="22.5" customHeight="1">
      <c r="A2650" s="70" t="str">
        <f t="shared" si="1"/>
        <v>Excluded</v>
      </c>
      <c r="B2650" s="70">
        <f t="shared" si="2"/>
        <v>0</v>
      </c>
      <c r="C2650" s="70">
        <v>0.0</v>
      </c>
      <c r="D2650" s="70">
        <v>0.0</v>
      </c>
      <c r="E2650" s="70">
        <v>0.0</v>
      </c>
      <c r="F2650" s="70">
        <v>0.0</v>
      </c>
      <c r="G2650" s="70">
        <v>0.0</v>
      </c>
      <c r="H2650" s="70" t="s">
        <v>4055</v>
      </c>
      <c r="I2650" s="70">
        <v>355.0</v>
      </c>
      <c r="J2650" s="70" t="s">
        <v>31125</v>
      </c>
      <c r="K2650" s="70" t="s">
        <v>4054</v>
      </c>
      <c r="L2650" s="70" t="s">
        <v>3635</v>
      </c>
      <c r="N2650" s="70" t="s">
        <v>3636</v>
      </c>
      <c r="O2650" s="75" t="s">
        <v>4056</v>
      </c>
      <c r="P2650" s="81">
        <v>43709.0</v>
      </c>
      <c r="W2650" s="70" t="s">
        <v>31126</v>
      </c>
      <c r="AW2650" s="70" t="s">
        <v>4059</v>
      </c>
      <c r="AX2650" s="70">
        <v>0.0</v>
      </c>
      <c r="AY2650" s="70" t="s">
        <v>24</v>
      </c>
      <c r="AZ2650" s="70">
        <v>1899.0</v>
      </c>
    </row>
    <row r="2651" ht="22.5" customHeight="1">
      <c r="A2651" s="70" t="str">
        <f t="shared" si="1"/>
        <v>Excluded</v>
      </c>
      <c r="B2651" s="70">
        <f t="shared" si="2"/>
        <v>0</v>
      </c>
      <c r="C2651" s="70">
        <v>0.0</v>
      </c>
      <c r="D2651" s="70">
        <v>0.0</v>
      </c>
      <c r="E2651" s="70">
        <v>0.0</v>
      </c>
      <c r="F2651" s="70">
        <v>0.0</v>
      </c>
      <c r="G2651" s="70">
        <v>0.0</v>
      </c>
      <c r="H2651" s="70" t="s">
        <v>4552</v>
      </c>
      <c r="I2651" s="70">
        <v>420.0</v>
      </c>
      <c r="J2651" s="70" t="s">
        <v>4550</v>
      </c>
      <c r="K2651" s="70" t="s">
        <v>4551</v>
      </c>
      <c r="L2651" s="70" t="s">
        <v>3635</v>
      </c>
      <c r="N2651" s="70" t="s">
        <v>3636</v>
      </c>
      <c r="O2651" s="75" t="s">
        <v>4553</v>
      </c>
      <c r="P2651" s="80">
        <v>43739.0</v>
      </c>
      <c r="W2651" s="70" t="s">
        <v>4554</v>
      </c>
      <c r="AW2651" s="70" t="s">
        <v>4555</v>
      </c>
      <c r="AZ2651" s="70">
        <v>1073.0</v>
      </c>
    </row>
    <row r="2652" ht="22.5" customHeight="1">
      <c r="A2652" s="70" t="str">
        <f t="shared" si="1"/>
        <v>Excluded</v>
      </c>
      <c r="B2652" s="70">
        <f t="shared" si="2"/>
        <v>0</v>
      </c>
      <c r="C2652" s="70">
        <v>0.0</v>
      </c>
      <c r="D2652" s="70">
        <v>0.0</v>
      </c>
      <c r="E2652" s="70">
        <v>0.0</v>
      </c>
      <c r="F2652" s="70">
        <v>0.0</v>
      </c>
      <c r="G2652" s="70">
        <v>0.0</v>
      </c>
      <c r="H2652" s="70" t="s">
        <v>2240</v>
      </c>
      <c r="I2652" s="70">
        <v>171.0</v>
      </c>
      <c r="J2652" s="70" t="s">
        <v>2236</v>
      </c>
      <c r="K2652" s="70" t="s">
        <v>2237</v>
      </c>
      <c r="L2652" s="70" t="s">
        <v>2238</v>
      </c>
      <c r="M2652" s="70" t="s">
        <v>2239</v>
      </c>
      <c r="O2652" s="75" t="s">
        <v>2241</v>
      </c>
      <c r="P2652" s="70">
        <v>2020.0</v>
      </c>
      <c r="Q2652" s="70" t="s">
        <v>2242</v>
      </c>
      <c r="U2652" s="70" t="s">
        <v>401</v>
      </c>
      <c r="V2652" s="70" t="s">
        <v>402</v>
      </c>
      <c r="W2652" s="70" t="s">
        <v>2244</v>
      </c>
      <c r="AZ2652" s="70">
        <v>280.0</v>
      </c>
    </row>
    <row r="2653" ht="22.5" customHeight="1">
      <c r="A2653" s="70" t="str">
        <f t="shared" si="1"/>
        <v>Excluded</v>
      </c>
      <c r="B2653" s="70">
        <f t="shared" si="2"/>
        <v>0</v>
      </c>
      <c r="C2653" s="70">
        <v>0.0</v>
      </c>
      <c r="D2653" s="70">
        <v>0.0</v>
      </c>
      <c r="E2653" s="70">
        <v>0.0</v>
      </c>
      <c r="F2653" s="70">
        <v>0.0</v>
      </c>
      <c r="G2653" s="70">
        <v>0.0</v>
      </c>
      <c r="H2653" s="70" t="s">
        <v>3499</v>
      </c>
      <c r="I2653" s="70">
        <v>291.0</v>
      </c>
      <c r="J2653" s="70" t="s">
        <v>31127</v>
      </c>
      <c r="K2653" s="70" t="s">
        <v>3496</v>
      </c>
      <c r="L2653" s="70" t="s">
        <v>3497</v>
      </c>
      <c r="M2653" s="70" t="s">
        <v>3498</v>
      </c>
      <c r="O2653" s="75" t="s">
        <v>3500</v>
      </c>
      <c r="P2653" s="70">
        <v>2019.0</v>
      </c>
      <c r="Q2653" s="70" t="s">
        <v>3502</v>
      </c>
      <c r="U2653" s="70" t="s">
        <v>401</v>
      </c>
      <c r="V2653" s="70" t="s">
        <v>402</v>
      </c>
      <c r="W2653" s="70" t="s">
        <v>3503</v>
      </c>
      <c r="AW2653" s="70" t="s">
        <v>3504</v>
      </c>
      <c r="AZ2653" s="70">
        <v>437.0</v>
      </c>
    </row>
    <row r="2654" ht="22.5" customHeight="1">
      <c r="A2654" s="70" t="str">
        <f t="shared" si="1"/>
        <v>Excluded</v>
      </c>
      <c r="B2654" s="70">
        <f t="shared" si="2"/>
        <v>0</v>
      </c>
      <c r="C2654" s="70">
        <v>0.0</v>
      </c>
      <c r="D2654" s="70">
        <v>0.0</v>
      </c>
      <c r="E2654" s="70">
        <v>0.0</v>
      </c>
      <c r="F2654" s="70">
        <v>0.0</v>
      </c>
      <c r="G2654" s="70">
        <v>0.0</v>
      </c>
      <c r="H2654" s="70" t="s">
        <v>432</v>
      </c>
      <c r="I2654" s="70">
        <v>4.0</v>
      </c>
      <c r="J2654" s="70" t="s">
        <v>428</v>
      </c>
      <c r="K2654" s="70" t="s">
        <v>429</v>
      </c>
      <c r="L2654" s="70" t="s">
        <v>430</v>
      </c>
      <c r="M2654" s="70" t="s">
        <v>431</v>
      </c>
      <c r="O2654" s="75" t="s">
        <v>433</v>
      </c>
      <c r="P2654" s="70">
        <v>2019.0</v>
      </c>
      <c r="Q2654" s="70" t="s">
        <v>435</v>
      </c>
      <c r="U2654" s="70" t="s">
        <v>401</v>
      </c>
      <c r="V2654" s="70" t="s">
        <v>402</v>
      </c>
      <c r="W2654" s="70" t="s">
        <v>437</v>
      </c>
      <c r="AW2654" s="70" t="s">
        <v>438</v>
      </c>
      <c r="AX2654" s="70">
        <v>0.0</v>
      </c>
      <c r="AY2654" s="70" t="s">
        <v>24</v>
      </c>
      <c r="AZ2654" s="70">
        <v>1691.0</v>
      </c>
    </row>
    <row r="2655" ht="22.5" customHeight="1">
      <c r="A2655" s="70" t="str">
        <f t="shared" si="1"/>
        <v>Excluded</v>
      </c>
      <c r="B2655" s="70">
        <f t="shared" si="2"/>
        <v>0</v>
      </c>
      <c r="C2655" s="70">
        <v>0.0</v>
      </c>
      <c r="D2655" s="70">
        <v>0.0</v>
      </c>
      <c r="E2655" s="70">
        <v>0.0</v>
      </c>
      <c r="F2655" s="70">
        <v>0.0</v>
      </c>
      <c r="G2655" s="70">
        <v>0.0</v>
      </c>
      <c r="H2655" s="70" t="s">
        <v>29230</v>
      </c>
      <c r="I2655" s="70">
        <v>3139.0</v>
      </c>
      <c r="J2655" s="70" t="s">
        <v>29228</v>
      </c>
      <c r="K2655" s="70" t="s">
        <v>29229</v>
      </c>
      <c r="W2655" s="70" t="s">
        <v>31128</v>
      </c>
      <c r="AA2655" s="70" t="s">
        <v>29232</v>
      </c>
      <c r="AI2655" s="70" t="s">
        <v>29233</v>
      </c>
      <c r="AJ2655" s="70" t="s">
        <v>29234</v>
      </c>
      <c r="AK2655" s="70">
        <v>2019.0</v>
      </c>
      <c r="AL2655" s="70" t="s">
        <v>28253</v>
      </c>
      <c r="AN2655" s="70">
        <v>1063.0</v>
      </c>
      <c r="AO2655" s="70">
        <v>1075.0</v>
      </c>
      <c r="AP2655" s="70">
        <v>12.0</v>
      </c>
      <c r="AQ2655" s="70">
        <v>153.0</v>
      </c>
      <c r="AR2655" s="75" t="s">
        <v>29235</v>
      </c>
      <c r="AS2655" s="70" t="s">
        <v>22525</v>
      </c>
      <c r="AT2655" s="70" t="s">
        <v>22656</v>
      </c>
      <c r="AU2655" s="70" t="s">
        <v>237</v>
      </c>
      <c r="AV2655" s="70" t="s">
        <v>29236</v>
      </c>
      <c r="AW2655" s="70" t="s">
        <v>29237</v>
      </c>
      <c r="AX2655" s="70">
        <v>0.0</v>
      </c>
      <c r="AY2655" s="70" t="s">
        <v>24</v>
      </c>
      <c r="AZ2655" s="70">
        <v>2303.0</v>
      </c>
    </row>
    <row r="2656" ht="22.5" customHeight="1">
      <c r="A2656" s="70" t="str">
        <f t="shared" si="1"/>
        <v>Excluded</v>
      </c>
      <c r="B2656" s="70">
        <f t="shared" si="2"/>
        <v>0</v>
      </c>
      <c r="C2656" s="70">
        <v>0.0</v>
      </c>
      <c r="D2656" s="70">
        <v>0.0</v>
      </c>
      <c r="E2656" s="70">
        <v>0.0</v>
      </c>
      <c r="F2656" s="70">
        <v>0.0</v>
      </c>
      <c r="G2656" s="70">
        <v>0.0</v>
      </c>
      <c r="H2656" s="70" t="s">
        <v>4000</v>
      </c>
      <c r="I2656" s="70">
        <v>348.0</v>
      </c>
      <c r="J2656" s="70" t="s">
        <v>3998</v>
      </c>
      <c r="K2656" s="70" t="s">
        <v>3999</v>
      </c>
      <c r="L2656" s="70" t="s">
        <v>3635</v>
      </c>
      <c r="N2656" s="70" t="s">
        <v>3636</v>
      </c>
      <c r="O2656" s="75" t="s">
        <v>4001</v>
      </c>
      <c r="P2656" s="81">
        <v>43952.0</v>
      </c>
      <c r="W2656" s="70" t="s">
        <v>4003</v>
      </c>
      <c r="AW2656" s="70" t="s">
        <v>4004</v>
      </c>
      <c r="AX2656" s="70">
        <v>0.0</v>
      </c>
      <c r="AY2656" s="70" t="s">
        <v>24</v>
      </c>
      <c r="AZ2656" s="70">
        <v>2860.0</v>
      </c>
    </row>
    <row r="2657" ht="22.5" customHeight="1">
      <c r="A2657" s="70" t="str">
        <f t="shared" si="1"/>
        <v>Excluded</v>
      </c>
      <c r="B2657" s="70">
        <f t="shared" si="2"/>
        <v>0</v>
      </c>
      <c r="C2657" s="70">
        <v>0.0</v>
      </c>
      <c r="D2657" s="70">
        <v>0.0</v>
      </c>
      <c r="E2657" s="70">
        <v>0.0</v>
      </c>
      <c r="F2657" s="70">
        <v>0.0</v>
      </c>
      <c r="G2657" s="70">
        <v>0.0</v>
      </c>
      <c r="H2657" s="70" t="s">
        <v>2469</v>
      </c>
      <c r="I2657" s="70">
        <v>193.0</v>
      </c>
      <c r="J2657" s="70" t="s">
        <v>2466</v>
      </c>
      <c r="K2657" s="70" t="s">
        <v>2467</v>
      </c>
      <c r="L2657" s="70" t="s">
        <v>1972</v>
      </c>
      <c r="M2657" s="70" t="s">
        <v>2468</v>
      </c>
      <c r="O2657" s="75" t="s">
        <v>2470</v>
      </c>
      <c r="P2657" s="70">
        <v>2019.0</v>
      </c>
      <c r="Q2657" s="70" t="s">
        <v>2472</v>
      </c>
      <c r="U2657" s="70" t="s">
        <v>401</v>
      </c>
      <c r="V2657" s="70" t="s">
        <v>402</v>
      </c>
      <c r="W2657" s="70" t="s">
        <v>31129</v>
      </c>
      <c r="AW2657" s="70" t="s">
        <v>2474</v>
      </c>
      <c r="AZ2657" s="70">
        <v>478.0</v>
      </c>
    </row>
    <row r="2658" ht="22.5" customHeight="1">
      <c r="A2658" s="70" t="str">
        <f t="shared" si="1"/>
        <v>Excluded</v>
      </c>
      <c r="B2658" s="70">
        <f t="shared" si="2"/>
        <v>0</v>
      </c>
      <c r="C2658" s="70">
        <v>0.0</v>
      </c>
      <c r="D2658" s="70">
        <v>0.0</v>
      </c>
      <c r="E2658" s="70">
        <v>0.0</v>
      </c>
      <c r="F2658" s="70">
        <v>0.0</v>
      </c>
      <c r="G2658" s="70">
        <v>0.0</v>
      </c>
      <c r="H2658" s="70" t="s">
        <v>1544</v>
      </c>
      <c r="I2658" s="70">
        <v>106.0</v>
      </c>
      <c r="J2658" s="70" t="s">
        <v>31130</v>
      </c>
      <c r="K2658" s="70" t="s">
        <v>1541</v>
      </c>
      <c r="L2658" s="70" t="s">
        <v>1542</v>
      </c>
      <c r="M2658" s="70" t="s">
        <v>1543</v>
      </c>
      <c r="O2658" s="75" t="s">
        <v>1545</v>
      </c>
      <c r="P2658" s="70">
        <v>2019.0</v>
      </c>
      <c r="Q2658" s="70" t="s">
        <v>1547</v>
      </c>
      <c r="U2658" s="70" t="s">
        <v>401</v>
      </c>
      <c r="V2658" s="70" t="s">
        <v>402</v>
      </c>
      <c r="W2658" s="70" t="s">
        <v>1548</v>
      </c>
      <c r="AW2658" s="70" t="s">
        <v>1549</v>
      </c>
      <c r="AX2658" s="70">
        <v>0.0</v>
      </c>
      <c r="AY2658" s="70" t="s">
        <v>24</v>
      </c>
      <c r="AZ2658" s="70">
        <v>2098.0</v>
      </c>
    </row>
    <row r="2659" ht="22.5" customHeight="1">
      <c r="A2659" s="70" t="str">
        <f t="shared" si="1"/>
        <v>Excluded</v>
      </c>
      <c r="B2659" s="70">
        <f t="shared" si="2"/>
        <v>0</v>
      </c>
      <c r="C2659" s="70">
        <v>0.0</v>
      </c>
      <c r="D2659" s="70">
        <v>0.0</v>
      </c>
      <c r="E2659" s="70">
        <v>0.0</v>
      </c>
      <c r="F2659" s="70">
        <v>0.0</v>
      </c>
      <c r="G2659" s="70">
        <v>0.0</v>
      </c>
      <c r="H2659" s="70" t="s">
        <v>27944</v>
      </c>
      <c r="I2659" s="70">
        <v>3013.0</v>
      </c>
      <c r="J2659" s="70" t="s">
        <v>31131</v>
      </c>
      <c r="K2659" s="70" t="s">
        <v>27943</v>
      </c>
      <c r="W2659" s="70" t="s">
        <v>31132</v>
      </c>
      <c r="AA2659" s="70" t="s">
        <v>27946</v>
      </c>
      <c r="AI2659" s="70" t="s">
        <v>31133</v>
      </c>
      <c r="AJ2659" s="70" t="s">
        <v>27948</v>
      </c>
      <c r="AK2659" s="70">
        <v>2020.0</v>
      </c>
      <c r="AL2659" s="70" t="s">
        <v>27949</v>
      </c>
      <c r="AN2659" s="70">
        <v>138.0</v>
      </c>
      <c r="AO2659" s="70">
        <v>149.0</v>
      </c>
      <c r="AP2659" s="70">
        <v>11.0</v>
      </c>
      <c r="AQ2659" s="70">
        <v>30.0</v>
      </c>
      <c r="AR2659" s="75" t="s">
        <v>27950</v>
      </c>
      <c r="AS2659" s="70" t="s">
        <v>22525</v>
      </c>
      <c r="AU2659" s="70" t="s">
        <v>237</v>
      </c>
      <c r="AV2659" s="70" t="s">
        <v>27951</v>
      </c>
      <c r="AW2659" s="70" t="s">
        <v>27952</v>
      </c>
      <c r="AX2659" s="70">
        <v>0.0</v>
      </c>
      <c r="AY2659" s="70" t="s">
        <v>24</v>
      </c>
      <c r="AZ2659" s="70">
        <v>1747.0</v>
      </c>
    </row>
    <row r="2660" ht="22.5" customHeight="1">
      <c r="A2660" s="70" t="str">
        <f t="shared" si="1"/>
        <v>Excluded</v>
      </c>
      <c r="B2660" s="70">
        <f t="shared" si="2"/>
        <v>0</v>
      </c>
      <c r="C2660" s="70">
        <v>0.0</v>
      </c>
      <c r="D2660" s="70">
        <v>0.0</v>
      </c>
      <c r="E2660" s="70">
        <v>0.0</v>
      </c>
      <c r="F2660" s="70">
        <v>0.0</v>
      </c>
      <c r="G2660" s="70">
        <v>0.0</v>
      </c>
      <c r="H2660" s="70" t="s">
        <v>1202</v>
      </c>
      <c r="I2660" s="70">
        <v>75.0</v>
      </c>
      <c r="J2660" s="70" t="s">
        <v>1198</v>
      </c>
      <c r="K2660" s="70" t="s">
        <v>1199</v>
      </c>
      <c r="L2660" s="70" t="s">
        <v>1200</v>
      </c>
      <c r="M2660" s="70" t="s">
        <v>1201</v>
      </c>
      <c r="O2660" s="75" t="s">
        <v>1203</v>
      </c>
      <c r="P2660" s="70">
        <v>2020.0</v>
      </c>
      <c r="Q2660" s="70" t="s">
        <v>1205</v>
      </c>
      <c r="U2660" s="70" t="s">
        <v>401</v>
      </c>
      <c r="V2660" s="70" t="s">
        <v>402</v>
      </c>
      <c r="W2660" s="70" t="s">
        <v>1207</v>
      </c>
      <c r="AW2660" s="70" t="s">
        <v>1208</v>
      </c>
      <c r="AX2660" s="70">
        <v>0.0</v>
      </c>
      <c r="AY2660" s="70" t="s">
        <v>24</v>
      </c>
      <c r="AZ2660" s="70">
        <v>2553.0</v>
      </c>
    </row>
    <row r="2661" ht="22.5" customHeight="1">
      <c r="A2661" s="70" t="str">
        <f t="shared" si="1"/>
        <v>Excluded</v>
      </c>
      <c r="B2661" s="70">
        <f t="shared" si="2"/>
        <v>0</v>
      </c>
      <c r="C2661" s="70">
        <v>0.0</v>
      </c>
      <c r="D2661" s="70">
        <v>0.0</v>
      </c>
      <c r="E2661" s="70">
        <v>0.0</v>
      </c>
      <c r="F2661" s="70">
        <v>0.0</v>
      </c>
      <c r="G2661" s="70">
        <v>0.0</v>
      </c>
      <c r="H2661" s="70" t="s">
        <v>996</v>
      </c>
      <c r="I2661" s="70">
        <v>55.0</v>
      </c>
      <c r="J2661" s="70" t="s">
        <v>31134</v>
      </c>
      <c r="K2661" s="70" t="s">
        <v>993</v>
      </c>
      <c r="L2661" s="70" t="s">
        <v>994</v>
      </c>
      <c r="M2661" s="70" t="s">
        <v>995</v>
      </c>
      <c r="O2661" s="75" t="s">
        <v>997</v>
      </c>
      <c r="P2661" s="70">
        <v>2019.0</v>
      </c>
      <c r="Q2661" s="70" t="s">
        <v>998</v>
      </c>
      <c r="U2661" s="70" t="s">
        <v>401</v>
      </c>
      <c r="V2661" s="70" t="s">
        <v>402</v>
      </c>
      <c r="W2661" s="70" t="s">
        <v>1000</v>
      </c>
      <c r="AW2661" s="70" t="s">
        <v>1001</v>
      </c>
      <c r="AX2661" s="70">
        <v>0.0</v>
      </c>
      <c r="AY2661" s="70" t="s">
        <v>24</v>
      </c>
      <c r="AZ2661" s="70">
        <v>2151.0</v>
      </c>
    </row>
    <row r="2662" ht="22.5" customHeight="1">
      <c r="A2662" s="70" t="str">
        <f t="shared" si="1"/>
        <v>Excluded</v>
      </c>
      <c r="B2662" s="70">
        <f t="shared" si="2"/>
        <v>0</v>
      </c>
      <c r="C2662" s="70">
        <v>0.0</v>
      </c>
      <c r="D2662" s="70">
        <v>0.0</v>
      </c>
      <c r="E2662" s="70">
        <v>0.0</v>
      </c>
      <c r="F2662" s="70">
        <v>0.0</v>
      </c>
      <c r="G2662" s="70">
        <v>0.0</v>
      </c>
      <c r="H2662" s="70" t="s">
        <v>3063</v>
      </c>
      <c r="I2662" s="70">
        <v>249.0</v>
      </c>
      <c r="J2662" s="70" t="s">
        <v>3059</v>
      </c>
      <c r="K2662" s="70" t="s">
        <v>3060</v>
      </c>
      <c r="L2662" s="70" t="s">
        <v>3061</v>
      </c>
      <c r="M2662" s="70" t="s">
        <v>3062</v>
      </c>
      <c r="O2662" s="75" t="s">
        <v>3064</v>
      </c>
      <c r="P2662" s="70">
        <v>2019.0</v>
      </c>
      <c r="Q2662" s="70" t="s">
        <v>3066</v>
      </c>
      <c r="U2662" s="70" t="s">
        <v>401</v>
      </c>
      <c r="V2662" s="70" t="s">
        <v>402</v>
      </c>
      <c r="W2662" s="70" t="s">
        <v>3067</v>
      </c>
      <c r="AW2662" s="70" t="s">
        <v>3068</v>
      </c>
      <c r="AZ2662" s="70">
        <v>366.0</v>
      </c>
    </row>
    <row r="2663" ht="22.5" customHeight="1">
      <c r="A2663" s="70" t="str">
        <f t="shared" si="1"/>
        <v>Excluded</v>
      </c>
      <c r="B2663" s="70">
        <f t="shared" si="2"/>
        <v>0</v>
      </c>
      <c r="C2663" s="70">
        <v>0.0</v>
      </c>
      <c r="D2663" s="70">
        <v>0.0</v>
      </c>
      <c r="E2663" s="70">
        <v>0.0</v>
      </c>
      <c r="F2663" s="70">
        <v>0.0</v>
      </c>
      <c r="G2663" s="70">
        <v>0.0</v>
      </c>
      <c r="H2663" s="70" t="s">
        <v>28600</v>
      </c>
      <c r="I2663" s="70">
        <v>3077.0</v>
      </c>
      <c r="J2663" s="70" t="s">
        <v>28598</v>
      </c>
      <c r="K2663" s="70" t="s">
        <v>28599</v>
      </c>
      <c r="W2663" s="70" t="s">
        <v>31135</v>
      </c>
      <c r="AA2663" s="70" t="s">
        <v>28602</v>
      </c>
      <c r="AI2663" s="70" t="s">
        <v>28603</v>
      </c>
      <c r="AJ2663" s="70" t="s">
        <v>28604</v>
      </c>
      <c r="AK2663" s="70">
        <v>2019.0</v>
      </c>
      <c r="AL2663" s="70" t="s">
        <v>28605</v>
      </c>
      <c r="AN2663" s="70">
        <v>149.0</v>
      </c>
      <c r="AO2663" s="70">
        <v>162.0</v>
      </c>
      <c r="AP2663" s="70">
        <v>13.0</v>
      </c>
      <c r="AQ2663" s="70">
        <v>31.0</v>
      </c>
      <c r="AR2663" s="75" t="s">
        <v>28606</v>
      </c>
      <c r="AS2663" s="70" t="s">
        <v>22525</v>
      </c>
      <c r="AU2663" s="70" t="s">
        <v>237</v>
      </c>
      <c r="AV2663" s="70" t="s">
        <v>28607</v>
      </c>
      <c r="AW2663" s="70" t="s">
        <v>28608</v>
      </c>
      <c r="AX2663" s="70">
        <v>0.0</v>
      </c>
      <c r="AY2663" s="70" t="s">
        <v>24</v>
      </c>
      <c r="AZ2663" s="70">
        <v>2084.0</v>
      </c>
    </row>
    <row r="2664" ht="22.5" customHeight="1">
      <c r="A2664" s="70" t="str">
        <f t="shared" si="1"/>
        <v>Excluded</v>
      </c>
      <c r="B2664" s="70">
        <f t="shared" si="2"/>
        <v>0</v>
      </c>
      <c r="C2664" s="70">
        <v>0.0</v>
      </c>
      <c r="D2664" s="70">
        <v>0.0</v>
      </c>
      <c r="E2664" s="70">
        <v>0.0</v>
      </c>
      <c r="F2664" s="70">
        <v>0.0</v>
      </c>
      <c r="G2664" s="70">
        <v>0.0</v>
      </c>
      <c r="H2664" s="70" t="s">
        <v>4111</v>
      </c>
      <c r="I2664" s="70">
        <v>362.0</v>
      </c>
      <c r="J2664" s="70" t="s">
        <v>4109</v>
      </c>
      <c r="K2664" s="70" t="s">
        <v>4110</v>
      </c>
      <c r="L2664" s="70" t="s">
        <v>3635</v>
      </c>
      <c r="N2664" s="70" t="s">
        <v>3636</v>
      </c>
      <c r="O2664" s="75" t="s">
        <v>4112</v>
      </c>
      <c r="P2664" s="80">
        <v>43739.0</v>
      </c>
      <c r="W2664" s="70" t="s">
        <v>4114</v>
      </c>
      <c r="AW2664" s="70" t="s">
        <v>4115</v>
      </c>
      <c r="AX2664" s="70">
        <v>0.0</v>
      </c>
      <c r="AY2664" s="70" t="s">
        <v>24</v>
      </c>
      <c r="AZ2664" s="70">
        <v>2205.0</v>
      </c>
    </row>
    <row r="2665" ht="22.5" customHeight="1">
      <c r="A2665" s="70" t="str">
        <f t="shared" si="1"/>
        <v>Excluded</v>
      </c>
      <c r="B2665" s="70">
        <f t="shared" si="2"/>
        <v>0</v>
      </c>
      <c r="C2665" s="70">
        <v>0.0</v>
      </c>
      <c r="D2665" s="70">
        <v>0.0</v>
      </c>
      <c r="E2665" s="70">
        <v>0.0</v>
      </c>
      <c r="F2665" s="70">
        <v>0.0</v>
      </c>
      <c r="G2665" s="70">
        <v>0.0</v>
      </c>
      <c r="H2665" s="70" t="s">
        <v>702</v>
      </c>
      <c r="I2665" s="70">
        <v>28.0</v>
      </c>
      <c r="J2665" s="70" t="s">
        <v>698</v>
      </c>
      <c r="K2665" s="70" t="s">
        <v>699</v>
      </c>
      <c r="L2665" s="70" t="s">
        <v>700</v>
      </c>
      <c r="M2665" s="70" t="s">
        <v>701</v>
      </c>
      <c r="O2665" s="75" t="s">
        <v>703</v>
      </c>
      <c r="P2665" s="70">
        <v>2019.0</v>
      </c>
      <c r="Q2665" s="70" t="s">
        <v>704</v>
      </c>
      <c r="U2665" s="70" t="s">
        <v>401</v>
      </c>
      <c r="V2665" s="70" t="s">
        <v>402</v>
      </c>
      <c r="W2665" s="70" t="s">
        <v>706</v>
      </c>
      <c r="AW2665" s="70" t="s">
        <v>707</v>
      </c>
      <c r="AX2665" s="70">
        <v>0.0</v>
      </c>
      <c r="AY2665" s="70" t="s">
        <v>24</v>
      </c>
      <c r="AZ2665" s="70">
        <v>2318.0</v>
      </c>
    </row>
    <row r="2666" ht="22.5" customHeight="1">
      <c r="A2666" s="70" t="str">
        <f t="shared" si="1"/>
        <v>Excluded</v>
      </c>
      <c r="B2666" s="70">
        <f t="shared" si="2"/>
        <v>0</v>
      </c>
      <c r="C2666" s="70">
        <v>0.0</v>
      </c>
      <c r="D2666" s="70">
        <v>0.0</v>
      </c>
      <c r="E2666" s="70">
        <v>0.0</v>
      </c>
      <c r="F2666" s="70">
        <v>0.0</v>
      </c>
      <c r="G2666" s="70">
        <v>0.0</v>
      </c>
      <c r="H2666" s="70" t="s">
        <v>2803</v>
      </c>
      <c r="I2666" s="70">
        <v>225.0</v>
      </c>
      <c r="J2666" s="70" t="s">
        <v>2799</v>
      </c>
      <c r="K2666" s="70" t="s">
        <v>2800</v>
      </c>
      <c r="L2666" s="70" t="s">
        <v>2801</v>
      </c>
      <c r="M2666" s="70" t="s">
        <v>2802</v>
      </c>
      <c r="O2666" s="75" t="s">
        <v>2804</v>
      </c>
      <c r="P2666" s="70">
        <v>2020.0</v>
      </c>
      <c r="Q2666" s="70" t="s">
        <v>2806</v>
      </c>
      <c r="U2666" s="70" t="s">
        <v>401</v>
      </c>
      <c r="V2666" s="70" t="s">
        <v>402</v>
      </c>
      <c r="W2666" s="70" t="s">
        <v>31136</v>
      </c>
      <c r="AW2666" s="70" t="s">
        <v>2808</v>
      </c>
      <c r="AX2666" s="70">
        <v>0.0</v>
      </c>
      <c r="AY2666" s="70" t="s">
        <v>24</v>
      </c>
      <c r="AZ2666" s="70">
        <v>2685.0</v>
      </c>
    </row>
    <row r="2667" ht="22.5" customHeight="1">
      <c r="A2667" s="70" t="str">
        <f t="shared" si="1"/>
        <v>Excluded</v>
      </c>
      <c r="B2667" s="70">
        <f t="shared" si="2"/>
        <v>0</v>
      </c>
      <c r="C2667" s="70">
        <v>0.0</v>
      </c>
      <c r="D2667" s="70">
        <v>0.0</v>
      </c>
      <c r="E2667" s="70">
        <v>0.0</v>
      </c>
      <c r="F2667" s="70">
        <v>0.0</v>
      </c>
      <c r="G2667" s="70">
        <v>0.0</v>
      </c>
      <c r="H2667" s="70" t="s">
        <v>1056</v>
      </c>
      <c r="I2667" s="70">
        <v>61.0</v>
      </c>
      <c r="J2667" s="70" t="s">
        <v>31137</v>
      </c>
      <c r="K2667" s="70" t="s">
        <v>1053</v>
      </c>
      <c r="L2667" s="70" t="s">
        <v>1054</v>
      </c>
      <c r="M2667" s="70" t="s">
        <v>1055</v>
      </c>
      <c r="O2667" s="75" t="s">
        <v>1057</v>
      </c>
      <c r="P2667" s="70">
        <v>2019.0</v>
      </c>
      <c r="Q2667" s="70" t="s">
        <v>1059</v>
      </c>
      <c r="U2667" s="70" t="s">
        <v>401</v>
      </c>
      <c r="V2667" s="70" t="s">
        <v>402</v>
      </c>
      <c r="W2667" s="70" t="s">
        <v>1061</v>
      </c>
      <c r="AW2667" s="70" t="s">
        <v>1062</v>
      </c>
      <c r="AX2667" s="70">
        <v>0.0</v>
      </c>
      <c r="AY2667" s="70" t="s">
        <v>24</v>
      </c>
      <c r="AZ2667" s="70">
        <v>2187.0</v>
      </c>
    </row>
    <row r="2668" ht="22.5" customHeight="1">
      <c r="A2668" s="70" t="str">
        <f t="shared" si="1"/>
        <v>Excluded</v>
      </c>
      <c r="B2668" s="70">
        <f t="shared" si="2"/>
        <v>0</v>
      </c>
      <c r="C2668" s="70">
        <v>0.0</v>
      </c>
      <c r="D2668" s="70">
        <v>0.0</v>
      </c>
      <c r="E2668" s="70">
        <v>0.0</v>
      </c>
      <c r="F2668" s="70">
        <v>0.0</v>
      </c>
      <c r="G2668" s="70">
        <v>0.0</v>
      </c>
      <c r="H2668" s="70" t="s">
        <v>4297</v>
      </c>
      <c r="I2668" s="70">
        <v>387.0</v>
      </c>
      <c r="J2668" s="70" t="s">
        <v>4295</v>
      </c>
      <c r="K2668" s="70" t="s">
        <v>4296</v>
      </c>
      <c r="L2668" s="70" t="s">
        <v>3635</v>
      </c>
      <c r="N2668" s="70" t="s">
        <v>3636</v>
      </c>
      <c r="O2668" s="75" t="s">
        <v>4298</v>
      </c>
      <c r="P2668" s="81">
        <v>43862.0</v>
      </c>
      <c r="W2668" s="70" t="s">
        <v>4299</v>
      </c>
      <c r="AW2668" s="70" t="s">
        <v>4300</v>
      </c>
      <c r="AZ2668" s="70">
        <v>146.0</v>
      </c>
    </row>
    <row r="2669" ht="22.5" customHeight="1">
      <c r="A2669" s="70" t="str">
        <f t="shared" si="1"/>
        <v>Excluded</v>
      </c>
      <c r="B2669" s="70">
        <f t="shared" si="2"/>
        <v>0</v>
      </c>
      <c r="C2669" s="70">
        <v>0.0</v>
      </c>
      <c r="D2669" s="70">
        <v>0.0</v>
      </c>
      <c r="E2669" s="70">
        <v>0.0</v>
      </c>
      <c r="F2669" s="70">
        <v>0.0</v>
      </c>
      <c r="G2669" s="70">
        <v>0.0</v>
      </c>
      <c r="H2669" s="70" t="s">
        <v>3347</v>
      </c>
      <c r="I2669" s="70">
        <v>276.0</v>
      </c>
      <c r="J2669" s="70" t="s">
        <v>31138</v>
      </c>
      <c r="K2669" s="70" t="s">
        <v>3346</v>
      </c>
      <c r="L2669" s="70" t="s">
        <v>1763</v>
      </c>
      <c r="M2669" s="70" t="s">
        <v>1764</v>
      </c>
      <c r="O2669" s="75" t="s">
        <v>3348</v>
      </c>
      <c r="P2669" s="70">
        <v>2019.0</v>
      </c>
      <c r="Q2669" s="70" t="s">
        <v>1768</v>
      </c>
      <c r="U2669" s="70" t="s">
        <v>401</v>
      </c>
      <c r="V2669" s="70" t="s">
        <v>402</v>
      </c>
      <c r="W2669" s="70" t="s">
        <v>31139</v>
      </c>
      <c r="AW2669" s="70" t="s">
        <v>3351</v>
      </c>
      <c r="AX2669" s="70">
        <v>0.0</v>
      </c>
      <c r="AY2669" s="70" t="s">
        <v>24</v>
      </c>
      <c r="AZ2669" s="70">
        <v>2175.0</v>
      </c>
    </row>
    <row r="2670" ht="22.5" customHeight="1">
      <c r="A2670" s="70" t="str">
        <f t="shared" si="1"/>
        <v>Excluded</v>
      </c>
      <c r="B2670" s="70">
        <f t="shared" si="2"/>
        <v>0</v>
      </c>
      <c r="C2670" s="70">
        <v>0.0</v>
      </c>
      <c r="D2670" s="70">
        <v>0.0</v>
      </c>
      <c r="E2670" s="70">
        <v>0.0</v>
      </c>
      <c r="F2670" s="70">
        <v>0.0</v>
      </c>
      <c r="G2670" s="70">
        <v>0.0</v>
      </c>
      <c r="H2670" s="70" t="s">
        <v>2299</v>
      </c>
      <c r="I2670" s="70">
        <v>177.0</v>
      </c>
      <c r="J2670" s="70" t="s">
        <v>2297</v>
      </c>
      <c r="K2670" s="70" t="s">
        <v>2298</v>
      </c>
      <c r="L2670" s="70" t="s">
        <v>1763</v>
      </c>
      <c r="M2670" s="70" t="s">
        <v>1764</v>
      </c>
      <c r="O2670" s="75" t="s">
        <v>2300</v>
      </c>
      <c r="P2670" s="70">
        <v>2019.0</v>
      </c>
      <c r="Q2670" s="70" t="s">
        <v>1768</v>
      </c>
      <c r="U2670" s="70" t="s">
        <v>401</v>
      </c>
      <c r="V2670" s="70" t="s">
        <v>402</v>
      </c>
      <c r="W2670" s="70" t="s">
        <v>2302</v>
      </c>
      <c r="AW2670" s="70" t="s">
        <v>2303</v>
      </c>
      <c r="AX2670" s="70">
        <v>0.0</v>
      </c>
      <c r="AY2670" s="70" t="s">
        <v>24</v>
      </c>
      <c r="AZ2670" s="70">
        <v>2594.0</v>
      </c>
    </row>
    <row r="2671" ht="22.5" customHeight="1">
      <c r="A2671" s="70" t="str">
        <f t="shared" si="1"/>
        <v>Excluded</v>
      </c>
      <c r="B2671" s="70">
        <f t="shared" si="2"/>
        <v>0</v>
      </c>
      <c r="C2671" s="70">
        <v>0.0</v>
      </c>
      <c r="D2671" s="70">
        <v>0.0</v>
      </c>
      <c r="E2671" s="70">
        <v>0.0</v>
      </c>
      <c r="F2671" s="70">
        <v>0.0</v>
      </c>
      <c r="G2671" s="70">
        <v>0.0</v>
      </c>
      <c r="H2671" s="70" t="s">
        <v>1765</v>
      </c>
      <c r="I2671" s="70">
        <v>127.0</v>
      </c>
      <c r="J2671" s="70" t="s">
        <v>1761</v>
      </c>
      <c r="K2671" s="70" t="s">
        <v>1762</v>
      </c>
      <c r="L2671" s="70" t="s">
        <v>1763</v>
      </c>
      <c r="M2671" s="70" t="s">
        <v>1764</v>
      </c>
      <c r="O2671" s="75" t="s">
        <v>1766</v>
      </c>
      <c r="P2671" s="70">
        <v>2019.0</v>
      </c>
      <c r="Q2671" s="70" t="s">
        <v>1768</v>
      </c>
      <c r="U2671" s="70" t="s">
        <v>401</v>
      </c>
      <c r="V2671" s="70" t="s">
        <v>402</v>
      </c>
      <c r="W2671" s="70" t="s">
        <v>1770</v>
      </c>
      <c r="AW2671" s="70" t="s">
        <v>1771</v>
      </c>
      <c r="AX2671" s="70">
        <v>0.0</v>
      </c>
      <c r="AY2671" s="70" t="s">
        <v>24</v>
      </c>
      <c r="AZ2671" s="70">
        <v>2273.0</v>
      </c>
    </row>
    <row r="2672" ht="22.5" customHeight="1">
      <c r="A2672" s="70" t="str">
        <f t="shared" si="1"/>
        <v>Excluded</v>
      </c>
      <c r="B2672" s="70">
        <f t="shared" si="2"/>
        <v>0</v>
      </c>
      <c r="C2672" s="70">
        <v>0.0</v>
      </c>
      <c r="D2672" s="70">
        <v>0.0</v>
      </c>
      <c r="E2672" s="70">
        <v>0.0</v>
      </c>
      <c r="F2672" s="70">
        <v>0.0</v>
      </c>
      <c r="G2672" s="70">
        <v>0.0</v>
      </c>
      <c r="H2672" s="70" t="s">
        <v>2736</v>
      </c>
      <c r="I2672" s="70">
        <v>219.0</v>
      </c>
      <c r="J2672" s="70" t="s">
        <v>2732</v>
      </c>
      <c r="K2672" s="70" t="s">
        <v>2733</v>
      </c>
      <c r="L2672" s="70" t="s">
        <v>2734</v>
      </c>
      <c r="M2672" s="70" t="s">
        <v>2735</v>
      </c>
      <c r="O2672" s="75" t="s">
        <v>2737</v>
      </c>
      <c r="P2672" s="70">
        <v>2020.0</v>
      </c>
      <c r="Q2672" s="70" t="s">
        <v>2738</v>
      </c>
      <c r="U2672" s="70" t="s">
        <v>401</v>
      </c>
      <c r="V2672" s="70" t="s">
        <v>402</v>
      </c>
      <c r="W2672" s="70" t="s">
        <v>2740</v>
      </c>
      <c r="AW2672" s="70" t="s">
        <v>2741</v>
      </c>
      <c r="AZ2672" s="70">
        <v>385.0</v>
      </c>
    </row>
    <row r="2673" ht="22.5" customHeight="1">
      <c r="A2673" s="70" t="str">
        <f t="shared" si="1"/>
        <v>Excluded</v>
      </c>
      <c r="B2673" s="70">
        <f t="shared" si="2"/>
        <v>0</v>
      </c>
      <c r="C2673" s="70">
        <v>0.0</v>
      </c>
      <c r="D2673" s="70">
        <v>0.0</v>
      </c>
      <c r="E2673" s="70">
        <v>0.0</v>
      </c>
      <c r="F2673" s="70">
        <v>0.0</v>
      </c>
      <c r="G2673" s="70">
        <v>0.0</v>
      </c>
      <c r="H2673" s="70" t="s">
        <v>1731</v>
      </c>
      <c r="I2673" s="70">
        <v>124.0</v>
      </c>
      <c r="J2673" s="70" t="s">
        <v>1727</v>
      </c>
      <c r="K2673" s="70" t="s">
        <v>1728</v>
      </c>
      <c r="L2673" s="70" t="s">
        <v>1729</v>
      </c>
      <c r="M2673" s="70" t="s">
        <v>1730</v>
      </c>
      <c r="O2673" s="75" t="s">
        <v>1732</v>
      </c>
      <c r="P2673" s="70">
        <v>2020.0</v>
      </c>
      <c r="Q2673" s="70" t="s">
        <v>1734</v>
      </c>
      <c r="U2673" s="70" t="s">
        <v>401</v>
      </c>
      <c r="V2673" s="70" t="s">
        <v>402</v>
      </c>
      <c r="W2673" s="70" t="s">
        <v>1736</v>
      </c>
      <c r="AW2673" s="70" t="s">
        <v>1737</v>
      </c>
      <c r="AX2673" s="70">
        <v>0.0</v>
      </c>
      <c r="AY2673" s="70" t="s">
        <v>24</v>
      </c>
      <c r="AZ2673" s="70">
        <v>2793.0</v>
      </c>
    </row>
    <row r="2674" ht="22.5" customHeight="1">
      <c r="A2674" s="70" t="str">
        <f t="shared" si="1"/>
        <v>Excluded</v>
      </c>
      <c r="B2674" s="70">
        <f t="shared" si="2"/>
        <v>0</v>
      </c>
      <c r="C2674" s="70">
        <v>0.0</v>
      </c>
      <c r="D2674" s="70">
        <v>0.0</v>
      </c>
      <c r="E2674" s="70">
        <v>0.0</v>
      </c>
      <c r="F2674" s="70">
        <v>0.0</v>
      </c>
      <c r="G2674" s="70">
        <v>0.0</v>
      </c>
      <c r="H2674" s="70" t="s">
        <v>4282</v>
      </c>
      <c r="I2674" s="70">
        <v>385.0</v>
      </c>
      <c r="J2674" s="70" t="s">
        <v>4280</v>
      </c>
      <c r="K2674" s="70" t="s">
        <v>4281</v>
      </c>
      <c r="L2674" s="70" t="s">
        <v>3655</v>
      </c>
      <c r="N2674" s="70" t="s">
        <v>3656</v>
      </c>
      <c r="O2674" s="75" t="s">
        <v>4283</v>
      </c>
      <c r="P2674" s="81">
        <v>43891.0</v>
      </c>
      <c r="W2674" s="70" t="s">
        <v>4285</v>
      </c>
      <c r="AW2674" s="70" t="s">
        <v>4286</v>
      </c>
      <c r="AX2674" s="70">
        <v>0.0</v>
      </c>
      <c r="AY2674" s="70" t="s">
        <v>24</v>
      </c>
      <c r="AZ2674" s="70">
        <v>2942.0</v>
      </c>
    </row>
    <row r="2675" ht="22.5" customHeight="1">
      <c r="A2675" s="70" t="str">
        <f t="shared" si="1"/>
        <v>Excluded</v>
      </c>
      <c r="B2675" s="70">
        <f t="shared" si="2"/>
        <v>0</v>
      </c>
      <c r="C2675" s="70">
        <v>0.0</v>
      </c>
      <c r="D2675" s="70">
        <v>0.0</v>
      </c>
      <c r="E2675" s="70">
        <v>0.0</v>
      </c>
      <c r="F2675" s="70">
        <v>0.0</v>
      </c>
      <c r="G2675" s="70">
        <v>0.0</v>
      </c>
      <c r="H2675" s="70" t="s">
        <v>28569</v>
      </c>
      <c r="I2675" s="70">
        <v>3074.0</v>
      </c>
      <c r="J2675" s="70" t="s">
        <v>28567</v>
      </c>
      <c r="K2675" s="70" t="s">
        <v>28568</v>
      </c>
      <c r="W2675" s="70" t="s">
        <v>31140</v>
      </c>
      <c r="AA2675" s="70" t="s">
        <v>28571</v>
      </c>
      <c r="AI2675" s="70" t="s">
        <v>28572</v>
      </c>
      <c r="AJ2675" s="70" t="s">
        <v>28573</v>
      </c>
      <c r="AK2675" s="70">
        <v>2020.0</v>
      </c>
      <c r="AL2675" s="70" t="s">
        <v>28574</v>
      </c>
      <c r="AN2675" s="70">
        <v>73.0</v>
      </c>
      <c r="AO2675" s="70">
        <v>87.0</v>
      </c>
      <c r="AP2675" s="70">
        <v>14.0</v>
      </c>
      <c r="AQ2675" s="70">
        <v>39.0</v>
      </c>
      <c r="AR2675" s="75" t="s">
        <v>28575</v>
      </c>
      <c r="AS2675" s="70" t="s">
        <v>22525</v>
      </c>
      <c r="AT2675" s="70" t="s">
        <v>22816</v>
      </c>
      <c r="AU2675" s="70" t="s">
        <v>237</v>
      </c>
      <c r="AV2675" s="70" t="s">
        <v>28576</v>
      </c>
      <c r="AW2675" s="70" t="s">
        <v>28577</v>
      </c>
      <c r="AX2675" s="70">
        <v>0.0</v>
      </c>
      <c r="AY2675" s="70" t="s">
        <v>24</v>
      </c>
      <c r="AZ2675" s="70">
        <v>2767.0</v>
      </c>
    </row>
    <row r="2676" ht="22.5" customHeight="1">
      <c r="A2676" s="70" t="str">
        <f t="shared" si="1"/>
        <v>Excluded</v>
      </c>
      <c r="B2676" s="70">
        <f t="shared" si="2"/>
        <v>0</v>
      </c>
      <c r="C2676" s="70">
        <v>0.0</v>
      </c>
      <c r="D2676" s="70">
        <v>0.0</v>
      </c>
      <c r="E2676" s="70">
        <v>0.0</v>
      </c>
      <c r="F2676" s="70">
        <v>0.0</v>
      </c>
      <c r="G2676" s="70">
        <v>0.0</v>
      </c>
      <c r="H2676" s="70" t="s">
        <v>4357</v>
      </c>
      <c r="I2676" s="70">
        <v>394.0</v>
      </c>
      <c r="J2676" s="70" t="s">
        <v>31141</v>
      </c>
      <c r="K2676" s="70" t="s">
        <v>4356</v>
      </c>
      <c r="L2676" s="70" t="s">
        <v>3635</v>
      </c>
      <c r="N2676" s="70" t="s">
        <v>3636</v>
      </c>
      <c r="O2676" s="75" t="s">
        <v>4358</v>
      </c>
      <c r="P2676" s="81">
        <v>43952.0</v>
      </c>
      <c r="W2676" s="70" t="s">
        <v>4359</v>
      </c>
      <c r="AW2676" s="70" t="s">
        <v>4360</v>
      </c>
      <c r="AX2676" s="70">
        <v>0.0</v>
      </c>
      <c r="AY2676" s="70" t="s">
        <v>24</v>
      </c>
      <c r="AZ2676" s="70">
        <v>2663.0</v>
      </c>
    </row>
    <row r="2677" ht="22.5" customHeight="1">
      <c r="A2677" s="70" t="str">
        <f t="shared" si="1"/>
        <v>Excluded</v>
      </c>
      <c r="B2677" s="70">
        <f t="shared" si="2"/>
        <v>0</v>
      </c>
      <c r="C2677" s="70">
        <v>0.0</v>
      </c>
      <c r="D2677" s="70">
        <v>0.0</v>
      </c>
      <c r="E2677" s="70">
        <v>0.0</v>
      </c>
      <c r="F2677" s="70">
        <v>0.0</v>
      </c>
      <c r="G2677" s="70">
        <v>0.0</v>
      </c>
      <c r="H2677" s="70" t="s">
        <v>4246</v>
      </c>
      <c r="I2677" s="70">
        <v>380.0</v>
      </c>
      <c r="J2677" s="70" t="s">
        <v>4244</v>
      </c>
      <c r="K2677" s="70" t="s">
        <v>4245</v>
      </c>
      <c r="L2677" s="70" t="s">
        <v>3635</v>
      </c>
      <c r="N2677" s="70" t="s">
        <v>3636</v>
      </c>
      <c r="O2677" s="75" t="s">
        <v>4247</v>
      </c>
      <c r="P2677" s="81">
        <v>43952.0</v>
      </c>
      <c r="W2677" s="70" t="s">
        <v>31142</v>
      </c>
      <c r="AW2677" s="70" t="s">
        <v>4249</v>
      </c>
      <c r="AZ2677" s="70">
        <v>1249.0</v>
      </c>
    </row>
    <row r="2678" ht="22.5" customHeight="1">
      <c r="A2678" s="70" t="str">
        <f t="shared" si="1"/>
        <v>Excluded</v>
      </c>
      <c r="B2678" s="70">
        <f t="shared" si="2"/>
        <v>0</v>
      </c>
      <c r="C2678" s="70">
        <v>0.0</v>
      </c>
      <c r="D2678" s="70">
        <v>0.0</v>
      </c>
      <c r="E2678" s="70">
        <v>0.0</v>
      </c>
      <c r="F2678" s="70">
        <v>0.0</v>
      </c>
      <c r="G2678" s="70">
        <v>0.0</v>
      </c>
      <c r="H2678" s="70" t="s">
        <v>3396</v>
      </c>
      <c r="I2678" s="70">
        <v>281.0</v>
      </c>
      <c r="J2678" s="70" t="s">
        <v>31143</v>
      </c>
      <c r="K2678" s="70" t="s">
        <v>3393</v>
      </c>
      <c r="L2678" s="70" t="s">
        <v>3394</v>
      </c>
      <c r="M2678" s="70" t="s">
        <v>3395</v>
      </c>
      <c r="O2678" s="75" t="s">
        <v>3397</v>
      </c>
      <c r="P2678" s="70">
        <v>2020.0</v>
      </c>
      <c r="Q2678" s="70" t="s">
        <v>3399</v>
      </c>
      <c r="U2678" s="70" t="s">
        <v>401</v>
      </c>
      <c r="V2678" s="70" t="s">
        <v>402</v>
      </c>
      <c r="W2678" s="70" t="s">
        <v>3400</v>
      </c>
      <c r="AW2678" s="70" t="s">
        <v>3401</v>
      </c>
      <c r="AZ2678" s="70">
        <v>1287.0</v>
      </c>
    </row>
    <row r="2679" ht="22.5" customHeight="1">
      <c r="A2679" s="70" t="str">
        <f t="shared" si="1"/>
        <v>Excluded</v>
      </c>
      <c r="B2679" s="70">
        <f t="shared" si="2"/>
        <v>0</v>
      </c>
      <c r="C2679" s="70">
        <v>0.0</v>
      </c>
      <c r="D2679" s="70">
        <v>0.0</v>
      </c>
      <c r="E2679" s="70">
        <v>0.0</v>
      </c>
      <c r="F2679" s="70">
        <v>0.0</v>
      </c>
      <c r="G2679" s="70">
        <v>0.0</v>
      </c>
      <c r="H2679" s="70" t="s">
        <v>4527</v>
      </c>
      <c r="I2679" s="70">
        <v>417.0</v>
      </c>
      <c r="J2679" s="70" t="s">
        <v>4525</v>
      </c>
      <c r="K2679" s="70" t="s">
        <v>4526</v>
      </c>
      <c r="L2679" s="70" t="s">
        <v>3635</v>
      </c>
      <c r="N2679" s="70" t="s">
        <v>3636</v>
      </c>
      <c r="O2679" s="75" t="s">
        <v>4528</v>
      </c>
      <c r="P2679" s="81">
        <v>44044.0</v>
      </c>
      <c r="W2679" s="70" t="s">
        <v>31144</v>
      </c>
      <c r="AW2679" s="70" t="s">
        <v>4530</v>
      </c>
      <c r="AZ2679" s="70">
        <v>918.0</v>
      </c>
    </row>
    <row r="2680" ht="22.5" customHeight="1">
      <c r="A2680" s="70" t="str">
        <f t="shared" si="1"/>
        <v>Excluded</v>
      </c>
      <c r="B2680" s="70">
        <f t="shared" si="2"/>
        <v>0</v>
      </c>
      <c r="C2680" s="70">
        <v>0.0</v>
      </c>
      <c r="D2680" s="70">
        <v>0.0</v>
      </c>
      <c r="E2680" s="70">
        <v>0.0</v>
      </c>
      <c r="F2680" s="70">
        <v>0.0</v>
      </c>
      <c r="G2680" s="70">
        <v>0.0</v>
      </c>
      <c r="H2680" s="70" t="s">
        <v>4378</v>
      </c>
      <c r="I2680" s="70">
        <v>397.0</v>
      </c>
      <c r="J2680" s="70" t="s">
        <v>4376</v>
      </c>
      <c r="K2680" s="70" t="s">
        <v>4377</v>
      </c>
      <c r="L2680" s="70" t="s">
        <v>3635</v>
      </c>
      <c r="N2680" s="70" t="s">
        <v>3636</v>
      </c>
      <c r="O2680" s="75" t="s">
        <v>4379</v>
      </c>
      <c r="P2680" s="81">
        <v>44044.0</v>
      </c>
      <c r="W2680" s="70" t="s">
        <v>31145</v>
      </c>
      <c r="AW2680" s="70" t="s">
        <v>4382</v>
      </c>
      <c r="AZ2680" s="70">
        <v>559.0</v>
      </c>
    </row>
    <row r="2681" ht="22.5" customHeight="1">
      <c r="A2681" s="70" t="str">
        <f t="shared" si="1"/>
        <v>Excluded</v>
      </c>
      <c r="B2681" s="70">
        <f t="shared" si="2"/>
        <v>0</v>
      </c>
      <c r="C2681" s="70">
        <v>0.0</v>
      </c>
      <c r="D2681" s="70">
        <v>0.0</v>
      </c>
      <c r="E2681" s="70">
        <v>0.0</v>
      </c>
      <c r="F2681" s="70">
        <v>0.0</v>
      </c>
      <c r="G2681" s="70">
        <v>0.0</v>
      </c>
      <c r="H2681" s="70" t="s">
        <v>3466</v>
      </c>
      <c r="I2681" s="70">
        <v>288.0</v>
      </c>
      <c r="J2681" s="70" t="s">
        <v>3462</v>
      </c>
      <c r="K2681" s="70" t="s">
        <v>3463</v>
      </c>
      <c r="L2681" s="70" t="s">
        <v>3464</v>
      </c>
      <c r="M2681" s="70" t="s">
        <v>3465</v>
      </c>
      <c r="O2681" s="75" t="s">
        <v>3467</v>
      </c>
      <c r="P2681" s="70">
        <v>2020.0</v>
      </c>
      <c r="Q2681" s="70" t="s">
        <v>3468</v>
      </c>
      <c r="U2681" s="70" t="s">
        <v>401</v>
      </c>
      <c r="V2681" s="70" t="s">
        <v>402</v>
      </c>
      <c r="W2681" s="70" t="s">
        <v>3470</v>
      </c>
      <c r="AW2681" s="70" t="s">
        <v>3471</v>
      </c>
      <c r="AX2681" s="70">
        <v>0.0</v>
      </c>
      <c r="AY2681" s="70" t="s">
        <v>24</v>
      </c>
      <c r="AZ2681" s="70">
        <v>2107.0</v>
      </c>
    </row>
    <row r="2682" ht="22.5" customHeight="1">
      <c r="A2682" s="70" t="str">
        <f t="shared" si="1"/>
        <v>Excluded</v>
      </c>
      <c r="B2682" s="70">
        <f t="shared" si="2"/>
        <v>0</v>
      </c>
      <c r="C2682" s="70">
        <v>0.0</v>
      </c>
      <c r="D2682" s="70">
        <v>0.0</v>
      </c>
      <c r="E2682" s="70">
        <v>0.0</v>
      </c>
      <c r="F2682" s="70">
        <v>0.0</v>
      </c>
      <c r="G2682" s="70">
        <v>0.0</v>
      </c>
      <c r="H2682" s="70" t="s">
        <v>1407</v>
      </c>
      <c r="I2682" s="70">
        <v>94.0</v>
      </c>
      <c r="J2682" s="70" t="s">
        <v>31146</v>
      </c>
      <c r="K2682" s="70" t="s">
        <v>1404</v>
      </c>
      <c r="L2682" s="70" t="s">
        <v>1405</v>
      </c>
      <c r="M2682" s="70" t="s">
        <v>1406</v>
      </c>
      <c r="O2682" s="75" t="s">
        <v>1408</v>
      </c>
      <c r="P2682" s="70">
        <v>2021.0</v>
      </c>
      <c r="Q2682" s="70" t="s">
        <v>1409</v>
      </c>
      <c r="U2682" s="70" t="s">
        <v>401</v>
      </c>
      <c r="V2682" s="70" t="s">
        <v>402</v>
      </c>
      <c r="W2682" s="70" t="s">
        <v>1411</v>
      </c>
      <c r="AW2682" s="70" t="s">
        <v>1412</v>
      </c>
      <c r="AZ2682" s="70">
        <v>909.0</v>
      </c>
    </row>
    <row r="2683" ht="22.5" customHeight="1">
      <c r="A2683" s="70" t="str">
        <f t="shared" si="1"/>
        <v>Excluded</v>
      </c>
      <c r="B2683" s="70">
        <f t="shared" si="2"/>
        <v>0</v>
      </c>
      <c r="C2683" s="70">
        <v>0.0</v>
      </c>
      <c r="D2683" s="70">
        <v>0.0</v>
      </c>
      <c r="E2683" s="70">
        <v>0.0</v>
      </c>
      <c r="F2683" s="70">
        <v>0.0</v>
      </c>
      <c r="G2683" s="70">
        <v>0.0</v>
      </c>
      <c r="H2683" s="70" t="s">
        <v>3925</v>
      </c>
      <c r="I2683" s="70">
        <v>338.0</v>
      </c>
      <c r="J2683" s="70" t="s">
        <v>3923</v>
      </c>
      <c r="K2683" s="70" t="s">
        <v>3924</v>
      </c>
      <c r="L2683" s="70" t="s">
        <v>3635</v>
      </c>
      <c r="N2683" s="70" t="s">
        <v>3636</v>
      </c>
      <c r="O2683" s="75" t="s">
        <v>3926</v>
      </c>
      <c r="P2683" s="81">
        <v>44013.0</v>
      </c>
      <c r="W2683" s="70" t="s">
        <v>3928</v>
      </c>
      <c r="AW2683" s="70" t="s">
        <v>3929</v>
      </c>
      <c r="AX2683" s="70">
        <v>0.0</v>
      </c>
      <c r="AY2683" s="70" t="s">
        <v>24</v>
      </c>
      <c r="AZ2683" s="70">
        <v>1879.0</v>
      </c>
    </row>
    <row r="2684" ht="22.5" customHeight="1">
      <c r="A2684" s="70" t="str">
        <f t="shared" si="1"/>
        <v>Excluded</v>
      </c>
      <c r="B2684" s="70">
        <f t="shared" si="2"/>
        <v>0</v>
      </c>
      <c r="C2684" s="70">
        <v>0.0</v>
      </c>
      <c r="D2684" s="70">
        <v>0.0</v>
      </c>
      <c r="E2684" s="70">
        <v>0.0</v>
      </c>
      <c r="F2684" s="70">
        <v>0.0</v>
      </c>
      <c r="G2684" s="70">
        <v>0.0</v>
      </c>
      <c r="H2684" s="70" t="s">
        <v>4386</v>
      </c>
      <c r="I2684" s="70">
        <v>398.0</v>
      </c>
      <c r="J2684" s="70" t="s">
        <v>4384</v>
      </c>
      <c r="K2684" s="70" t="s">
        <v>4385</v>
      </c>
      <c r="L2684" s="70" t="s">
        <v>3635</v>
      </c>
      <c r="N2684" s="70" t="s">
        <v>3636</v>
      </c>
      <c r="O2684" s="75" t="s">
        <v>4387</v>
      </c>
      <c r="P2684" s="81">
        <v>44075.0</v>
      </c>
      <c r="W2684" s="70" t="s">
        <v>4388</v>
      </c>
      <c r="AW2684" s="70" t="s">
        <v>4389</v>
      </c>
      <c r="AZ2684" s="70">
        <v>502.0</v>
      </c>
    </row>
    <row r="2685" ht="22.5" customHeight="1">
      <c r="A2685" s="70" t="str">
        <f t="shared" si="1"/>
        <v>Excluded</v>
      </c>
      <c r="B2685" s="70">
        <f t="shared" si="2"/>
        <v>0</v>
      </c>
      <c r="C2685" s="70">
        <v>0.0</v>
      </c>
      <c r="D2685" s="70">
        <v>0.0</v>
      </c>
      <c r="E2685" s="70">
        <v>0.0</v>
      </c>
      <c r="F2685" s="70">
        <v>0.0</v>
      </c>
      <c r="G2685" s="70">
        <v>0.0</v>
      </c>
      <c r="H2685" s="70" t="s">
        <v>1328</v>
      </c>
      <c r="I2685" s="70">
        <v>87.0</v>
      </c>
      <c r="J2685" s="70" t="s">
        <v>31147</v>
      </c>
      <c r="K2685" s="70" t="s">
        <v>1325</v>
      </c>
      <c r="L2685" s="70" t="s">
        <v>1326</v>
      </c>
      <c r="M2685" s="70" t="s">
        <v>1327</v>
      </c>
      <c r="O2685" s="75" t="s">
        <v>1329</v>
      </c>
      <c r="P2685" s="70">
        <v>2020.0</v>
      </c>
      <c r="Q2685" s="70" t="s">
        <v>1331</v>
      </c>
      <c r="U2685" s="70" t="s">
        <v>401</v>
      </c>
      <c r="V2685" s="70" t="s">
        <v>402</v>
      </c>
      <c r="W2685" s="70" t="s">
        <v>1332</v>
      </c>
      <c r="AW2685" s="70" t="s">
        <v>1333</v>
      </c>
      <c r="AX2685" s="70">
        <v>0.0</v>
      </c>
      <c r="AY2685" s="70" t="s">
        <v>24</v>
      </c>
      <c r="AZ2685" s="70">
        <v>1795.0</v>
      </c>
    </row>
    <row r="2686" ht="22.5" customHeight="1">
      <c r="A2686" s="70" t="str">
        <f t="shared" si="1"/>
        <v>Excluded</v>
      </c>
      <c r="B2686" s="70">
        <f t="shared" si="2"/>
        <v>0</v>
      </c>
      <c r="C2686" s="70">
        <v>0.0</v>
      </c>
      <c r="D2686" s="70">
        <v>0.0</v>
      </c>
      <c r="E2686" s="70">
        <v>0.0</v>
      </c>
      <c r="F2686" s="70">
        <v>0.0</v>
      </c>
      <c r="G2686" s="70">
        <v>0.0</v>
      </c>
      <c r="H2686" s="70" t="s">
        <v>2691</v>
      </c>
      <c r="I2686" s="70">
        <v>215.0</v>
      </c>
      <c r="J2686" s="70" t="s">
        <v>2687</v>
      </c>
      <c r="K2686" s="70" t="s">
        <v>2688</v>
      </c>
      <c r="L2686" s="70" t="s">
        <v>2689</v>
      </c>
      <c r="M2686" s="70" t="s">
        <v>2690</v>
      </c>
      <c r="O2686" s="75" t="s">
        <v>2692</v>
      </c>
      <c r="P2686" s="70">
        <v>2020.0</v>
      </c>
      <c r="Q2686" s="70" t="s">
        <v>2693</v>
      </c>
      <c r="U2686" s="70" t="s">
        <v>401</v>
      </c>
      <c r="V2686" s="70" t="s">
        <v>402</v>
      </c>
      <c r="W2686" s="70" t="s">
        <v>2695</v>
      </c>
      <c r="AW2686" s="70" t="s">
        <v>2696</v>
      </c>
      <c r="AX2686" s="70">
        <v>0.0</v>
      </c>
      <c r="AY2686" s="70" t="s">
        <v>24</v>
      </c>
      <c r="AZ2686" s="70">
        <v>2583.0</v>
      </c>
    </row>
    <row r="2687" ht="22.5" customHeight="1">
      <c r="A2687" s="70" t="str">
        <f t="shared" si="1"/>
        <v>Excluded</v>
      </c>
      <c r="B2687" s="70">
        <f t="shared" si="2"/>
        <v>0</v>
      </c>
      <c r="C2687" s="70">
        <v>0.0</v>
      </c>
      <c r="D2687" s="70">
        <v>0.0</v>
      </c>
      <c r="E2687" s="70">
        <v>0.0</v>
      </c>
      <c r="F2687" s="70">
        <v>0.0</v>
      </c>
      <c r="G2687" s="70">
        <v>0.0</v>
      </c>
      <c r="H2687" s="70" t="s">
        <v>2425</v>
      </c>
      <c r="I2687" s="70">
        <v>189.0</v>
      </c>
      <c r="J2687" s="70" t="s">
        <v>2423</v>
      </c>
      <c r="K2687" s="70" t="s">
        <v>2424</v>
      </c>
      <c r="L2687" s="70" t="s">
        <v>466</v>
      </c>
      <c r="M2687" s="70" t="s">
        <v>467</v>
      </c>
      <c r="O2687" s="75" t="s">
        <v>2426</v>
      </c>
      <c r="P2687" s="70">
        <v>2021.0</v>
      </c>
      <c r="Q2687" s="70" t="s">
        <v>471</v>
      </c>
      <c r="U2687" s="70" t="s">
        <v>401</v>
      </c>
      <c r="V2687" s="70" t="s">
        <v>402</v>
      </c>
      <c r="W2687" s="70" t="s">
        <v>2428</v>
      </c>
      <c r="AW2687" s="70" t="s">
        <v>2429</v>
      </c>
      <c r="AX2687" s="70">
        <v>0.0</v>
      </c>
      <c r="AY2687" s="70" t="s">
        <v>24</v>
      </c>
      <c r="AZ2687" s="70">
        <v>2544.0</v>
      </c>
    </row>
    <row r="2688" ht="22.5" customHeight="1">
      <c r="A2688" s="70" t="str">
        <f t="shared" si="1"/>
        <v>Excluded</v>
      </c>
      <c r="B2688" s="70">
        <f t="shared" si="2"/>
        <v>0</v>
      </c>
      <c r="C2688" s="70">
        <v>0.0</v>
      </c>
      <c r="D2688" s="70">
        <v>0.0</v>
      </c>
      <c r="E2688" s="70">
        <v>0.0</v>
      </c>
      <c r="F2688" s="70">
        <v>0.0</v>
      </c>
      <c r="G2688" s="70">
        <v>0.0</v>
      </c>
      <c r="H2688" s="70" t="s">
        <v>4025</v>
      </c>
      <c r="I2688" s="70">
        <v>351.0</v>
      </c>
      <c r="J2688" s="70" t="s">
        <v>31148</v>
      </c>
      <c r="K2688" s="70" t="s">
        <v>4022</v>
      </c>
      <c r="L2688" s="70" t="s">
        <v>4023</v>
      </c>
      <c r="N2688" s="70" t="s">
        <v>4024</v>
      </c>
      <c r="O2688" s="75" t="s">
        <v>4026</v>
      </c>
      <c r="P2688" s="80">
        <v>44105.0</v>
      </c>
      <c r="W2688" s="70" t="s">
        <v>4028</v>
      </c>
      <c r="AW2688" s="70" t="s">
        <v>4029</v>
      </c>
      <c r="AX2688" s="70">
        <v>0.0</v>
      </c>
      <c r="AY2688" s="70" t="s">
        <v>24</v>
      </c>
      <c r="AZ2688" s="70">
        <v>2203.0</v>
      </c>
    </row>
    <row r="2689" ht="22.5" customHeight="1">
      <c r="A2689" s="70" t="str">
        <f t="shared" si="1"/>
        <v>Excluded</v>
      </c>
      <c r="B2689" s="70">
        <f t="shared" si="2"/>
        <v>0</v>
      </c>
      <c r="C2689" s="70">
        <v>0.0</v>
      </c>
      <c r="D2689" s="70">
        <v>0.0</v>
      </c>
      <c r="E2689" s="70">
        <v>0.0</v>
      </c>
      <c r="F2689" s="70">
        <v>0.0</v>
      </c>
      <c r="G2689" s="70">
        <v>0.0</v>
      </c>
      <c r="H2689" s="70" t="s">
        <v>1608</v>
      </c>
      <c r="I2689" s="70">
        <v>112.0</v>
      </c>
      <c r="J2689" s="70" t="s">
        <v>31149</v>
      </c>
      <c r="K2689" s="70" t="s">
        <v>1605</v>
      </c>
      <c r="L2689" s="70" t="s">
        <v>1606</v>
      </c>
      <c r="M2689" s="70" t="s">
        <v>1607</v>
      </c>
      <c r="O2689" s="75" t="s">
        <v>1609</v>
      </c>
      <c r="P2689" s="70">
        <v>2020.0</v>
      </c>
      <c r="Q2689" s="70" t="s">
        <v>1611</v>
      </c>
      <c r="U2689" s="70" t="s">
        <v>401</v>
      </c>
      <c r="V2689" s="70" t="s">
        <v>402</v>
      </c>
      <c r="W2689" s="70" t="s">
        <v>1613</v>
      </c>
      <c r="AW2689" s="70" t="s">
        <v>1614</v>
      </c>
      <c r="AX2689" s="70">
        <v>0.0</v>
      </c>
      <c r="AY2689" s="70" t="s">
        <v>24</v>
      </c>
      <c r="AZ2689" s="70">
        <v>2776.0</v>
      </c>
    </row>
    <row r="2690" ht="22.5" customHeight="1">
      <c r="A2690" s="70" t="str">
        <f t="shared" si="1"/>
        <v>Excluded</v>
      </c>
      <c r="B2690" s="70">
        <f t="shared" si="2"/>
        <v>0</v>
      </c>
      <c r="C2690" s="70">
        <v>0.0</v>
      </c>
      <c r="D2690" s="70">
        <v>0.0</v>
      </c>
      <c r="E2690" s="70">
        <v>0.0</v>
      </c>
      <c r="F2690" s="70">
        <v>0.0</v>
      </c>
      <c r="G2690" s="70">
        <v>0.0</v>
      </c>
      <c r="H2690" s="70" t="s">
        <v>2480</v>
      </c>
      <c r="I2690" s="70">
        <v>194.0</v>
      </c>
      <c r="J2690" s="70" t="s">
        <v>2476</v>
      </c>
      <c r="K2690" s="70" t="s">
        <v>2477</v>
      </c>
      <c r="L2690" s="70" t="s">
        <v>2478</v>
      </c>
      <c r="M2690" s="70" t="s">
        <v>2479</v>
      </c>
      <c r="O2690" s="75" t="s">
        <v>2481</v>
      </c>
      <c r="P2690" s="70">
        <v>2020.0</v>
      </c>
      <c r="Q2690" s="70" t="s">
        <v>2483</v>
      </c>
      <c r="U2690" s="70" t="s">
        <v>401</v>
      </c>
      <c r="V2690" s="70" t="s">
        <v>402</v>
      </c>
      <c r="W2690" s="70" t="s">
        <v>2484</v>
      </c>
      <c r="AW2690" s="70" t="s">
        <v>2485</v>
      </c>
      <c r="AX2690" s="70">
        <v>0.0</v>
      </c>
      <c r="AY2690" s="70" t="s">
        <v>24</v>
      </c>
      <c r="AZ2690" s="70">
        <v>2755.0</v>
      </c>
    </row>
    <row r="2691" ht="22.5" customHeight="1">
      <c r="A2691" s="70" t="str">
        <f t="shared" si="1"/>
        <v>Excluded</v>
      </c>
      <c r="B2691" s="70">
        <f t="shared" si="2"/>
        <v>0</v>
      </c>
      <c r="C2691" s="70">
        <v>0.0</v>
      </c>
      <c r="D2691" s="70">
        <v>0.0</v>
      </c>
      <c r="E2691" s="70">
        <v>0.0</v>
      </c>
      <c r="F2691" s="70">
        <v>0.0</v>
      </c>
      <c r="G2691" s="70">
        <v>0.0</v>
      </c>
      <c r="H2691" s="70" t="s">
        <v>3207</v>
      </c>
      <c r="I2691" s="70">
        <v>263.0</v>
      </c>
      <c r="J2691" s="70" t="s">
        <v>3203</v>
      </c>
      <c r="K2691" s="70" t="s">
        <v>3204</v>
      </c>
      <c r="L2691" s="70" t="s">
        <v>3205</v>
      </c>
      <c r="M2691" s="70" t="s">
        <v>3206</v>
      </c>
      <c r="O2691" s="75" t="s">
        <v>3208</v>
      </c>
      <c r="P2691" s="70">
        <v>2020.0</v>
      </c>
      <c r="Q2691" s="70" t="s">
        <v>3210</v>
      </c>
      <c r="U2691" s="70" t="s">
        <v>401</v>
      </c>
      <c r="V2691" s="70" t="s">
        <v>402</v>
      </c>
      <c r="W2691" s="70" t="s">
        <v>3211</v>
      </c>
      <c r="AW2691" s="70" t="s">
        <v>3212</v>
      </c>
      <c r="AZ2691" s="70">
        <v>828.0</v>
      </c>
    </row>
    <row r="2692" ht="22.5" customHeight="1">
      <c r="A2692" s="70" t="str">
        <f t="shared" si="1"/>
        <v>Excluded</v>
      </c>
      <c r="B2692" s="70">
        <f t="shared" si="2"/>
        <v>0</v>
      </c>
      <c r="C2692" s="70">
        <v>0.0</v>
      </c>
      <c r="D2692" s="70">
        <v>0.0</v>
      </c>
      <c r="E2692" s="70">
        <v>0.0</v>
      </c>
      <c r="F2692" s="70">
        <v>0.0</v>
      </c>
      <c r="G2692" s="70">
        <v>0.0</v>
      </c>
      <c r="H2692" s="70" t="s">
        <v>1243</v>
      </c>
      <c r="I2692" s="70">
        <v>79.0</v>
      </c>
      <c r="J2692" s="70" t="s">
        <v>31150</v>
      </c>
      <c r="K2692" s="70" t="s">
        <v>1242</v>
      </c>
      <c r="L2692" s="70" t="s">
        <v>1033</v>
      </c>
      <c r="M2692" s="70" t="s">
        <v>1034</v>
      </c>
      <c r="O2692" s="75" t="s">
        <v>1244</v>
      </c>
      <c r="P2692" s="70">
        <v>2020.0</v>
      </c>
      <c r="Q2692" s="70" t="s">
        <v>1037</v>
      </c>
      <c r="U2692" s="70" t="s">
        <v>401</v>
      </c>
      <c r="V2692" s="70" t="s">
        <v>402</v>
      </c>
      <c r="W2692" s="70" t="s">
        <v>1245</v>
      </c>
      <c r="AW2692" s="70" t="s">
        <v>1246</v>
      </c>
      <c r="AX2692" s="70">
        <v>0.0</v>
      </c>
      <c r="AY2692" s="70" t="s">
        <v>24</v>
      </c>
      <c r="AZ2692" s="70">
        <v>2808.0</v>
      </c>
    </row>
    <row r="2693" ht="22.5" customHeight="1">
      <c r="A2693" s="70" t="str">
        <f t="shared" si="1"/>
        <v>Excluded</v>
      </c>
      <c r="B2693" s="70">
        <f t="shared" si="2"/>
        <v>0</v>
      </c>
      <c r="C2693" s="70">
        <v>0.0</v>
      </c>
      <c r="D2693" s="70">
        <v>0.0</v>
      </c>
      <c r="E2693" s="70">
        <v>0.0</v>
      </c>
      <c r="F2693" s="70">
        <v>0.0</v>
      </c>
      <c r="G2693" s="70">
        <v>0.0</v>
      </c>
      <c r="H2693" s="70" t="s">
        <v>1035</v>
      </c>
      <c r="I2693" s="70">
        <v>59.0</v>
      </c>
      <c r="J2693" s="70" t="s">
        <v>31151</v>
      </c>
      <c r="K2693" s="70" t="s">
        <v>1032</v>
      </c>
      <c r="L2693" s="70" t="s">
        <v>1033</v>
      </c>
      <c r="M2693" s="70" t="s">
        <v>1034</v>
      </c>
      <c r="O2693" s="75" t="s">
        <v>1036</v>
      </c>
      <c r="P2693" s="70">
        <v>2020.0</v>
      </c>
      <c r="Q2693" s="70" t="s">
        <v>1037</v>
      </c>
      <c r="U2693" s="70" t="s">
        <v>401</v>
      </c>
      <c r="V2693" s="70" t="s">
        <v>402</v>
      </c>
      <c r="W2693" s="70" t="s">
        <v>1039</v>
      </c>
      <c r="AX2693" s="70">
        <v>0.0</v>
      </c>
      <c r="AY2693" s="70" t="s">
        <v>24</v>
      </c>
      <c r="AZ2693" s="70">
        <v>2088.0</v>
      </c>
    </row>
    <row r="2694" ht="22.5" customHeight="1">
      <c r="A2694" s="70" t="str">
        <f t="shared" si="1"/>
        <v>Excluded</v>
      </c>
      <c r="B2694" s="70">
        <f t="shared" si="2"/>
        <v>0</v>
      </c>
      <c r="C2694" s="70">
        <v>0.0</v>
      </c>
      <c r="D2694" s="70">
        <v>0.0</v>
      </c>
      <c r="E2694" s="70">
        <v>0.0</v>
      </c>
      <c r="F2694" s="70">
        <v>0.0</v>
      </c>
      <c r="G2694" s="70">
        <v>0.0</v>
      </c>
      <c r="H2694" s="70" t="s">
        <v>2568</v>
      </c>
      <c r="I2694" s="70">
        <v>202.0</v>
      </c>
      <c r="J2694" s="70" t="s">
        <v>2564</v>
      </c>
      <c r="K2694" s="70" t="s">
        <v>2565</v>
      </c>
      <c r="L2694" s="70" t="s">
        <v>2566</v>
      </c>
      <c r="M2694" s="70" t="s">
        <v>2567</v>
      </c>
      <c r="O2694" s="75" t="s">
        <v>2569</v>
      </c>
      <c r="P2694" s="70">
        <v>2020.0</v>
      </c>
      <c r="Q2694" s="70" t="s">
        <v>2570</v>
      </c>
      <c r="U2694" s="70" t="s">
        <v>401</v>
      </c>
      <c r="V2694" s="70" t="s">
        <v>402</v>
      </c>
      <c r="W2694" s="70" t="s">
        <v>2571</v>
      </c>
      <c r="AW2694" s="70" t="s">
        <v>2572</v>
      </c>
      <c r="AX2694" s="70">
        <v>0.0</v>
      </c>
      <c r="AY2694" s="70" t="s">
        <v>24</v>
      </c>
      <c r="AZ2694" s="70">
        <v>2811.0</v>
      </c>
    </row>
    <row r="2695" ht="22.5" customHeight="1">
      <c r="A2695" s="70" t="str">
        <f t="shared" si="1"/>
        <v>Excluded</v>
      </c>
      <c r="B2695" s="70">
        <f t="shared" si="2"/>
        <v>0</v>
      </c>
      <c r="C2695" s="70">
        <v>0.0</v>
      </c>
      <c r="D2695" s="70">
        <v>0.0</v>
      </c>
      <c r="E2695" s="70">
        <v>0.0</v>
      </c>
      <c r="F2695" s="70">
        <v>0.0</v>
      </c>
      <c r="G2695" s="70">
        <v>0.0</v>
      </c>
      <c r="H2695" s="70" t="s">
        <v>2597</v>
      </c>
      <c r="I2695" s="70">
        <v>205.0</v>
      </c>
      <c r="J2695" s="70" t="s">
        <v>31152</v>
      </c>
      <c r="K2695" s="70" t="s">
        <v>2594</v>
      </c>
      <c r="L2695" s="70" t="s">
        <v>2595</v>
      </c>
      <c r="M2695" s="70" t="s">
        <v>2596</v>
      </c>
      <c r="O2695" s="75" t="s">
        <v>2598</v>
      </c>
      <c r="P2695" s="70">
        <v>2021.0</v>
      </c>
      <c r="Q2695" s="70" t="s">
        <v>1468</v>
      </c>
      <c r="U2695" s="70" t="s">
        <v>401</v>
      </c>
      <c r="V2695" s="70" t="s">
        <v>402</v>
      </c>
      <c r="W2695" s="70" t="s">
        <v>2600</v>
      </c>
      <c r="AW2695" s="70" t="s">
        <v>2601</v>
      </c>
      <c r="AX2695" s="70">
        <v>0.0</v>
      </c>
      <c r="AY2695" s="70" t="s">
        <v>24</v>
      </c>
      <c r="AZ2695" s="70">
        <v>2499.0</v>
      </c>
    </row>
    <row r="2696" ht="22.5" customHeight="1">
      <c r="A2696" s="70" t="str">
        <f t="shared" si="1"/>
        <v>Excluded</v>
      </c>
      <c r="B2696" s="70">
        <f t="shared" si="2"/>
        <v>0</v>
      </c>
      <c r="C2696" s="70">
        <v>0.0</v>
      </c>
      <c r="D2696" s="70">
        <v>0.0</v>
      </c>
      <c r="E2696" s="70">
        <v>0.0</v>
      </c>
      <c r="F2696" s="70">
        <v>0.0</v>
      </c>
      <c r="G2696" s="70">
        <v>0.0</v>
      </c>
      <c r="H2696" s="70" t="s">
        <v>1487</v>
      </c>
      <c r="I2696" s="70">
        <v>101.0</v>
      </c>
      <c r="J2696" s="70" t="s">
        <v>1483</v>
      </c>
      <c r="K2696" s="70" t="s">
        <v>1484</v>
      </c>
      <c r="L2696" s="70" t="s">
        <v>1485</v>
      </c>
      <c r="M2696" s="70" t="s">
        <v>1486</v>
      </c>
      <c r="O2696" s="75" t="s">
        <v>1488</v>
      </c>
      <c r="P2696" s="70">
        <v>2021.0</v>
      </c>
      <c r="Q2696" s="70" t="s">
        <v>1489</v>
      </c>
      <c r="U2696" s="70" t="s">
        <v>401</v>
      </c>
      <c r="V2696" s="70" t="s">
        <v>402</v>
      </c>
      <c r="W2696" s="70" t="s">
        <v>31153</v>
      </c>
      <c r="AW2696" s="70" t="s">
        <v>1492</v>
      </c>
      <c r="AX2696" s="70">
        <v>0.0</v>
      </c>
      <c r="AY2696" s="70" t="s">
        <v>24</v>
      </c>
      <c r="AZ2696" s="70">
        <v>2256.0</v>
      </c>
    </row>
    <row r="2697" ht="22.5" customHeight="1">
      <c r="A2697" s="70" t="str">
        <f t="shared" si="1"/>
        <v>Excluded</v>
      </c>
      <c r="B2697" s="70">
        <f t="shared" si="2"/>
        <v>0</v>
      </c>
      <c r="C2697" s="70">
        <v>0.0</v>
      </c>
      <c r="D2697" s="70">
        <v>0.0</v>
      </c>
      <c r="E2697" s="70">
        <v>0.0</v>
      </c>
      <c r="F2697" s="70">
        <v>0.0</v>
      </c>
      <c r="G2697" s="70">
        <v>0.0</v>
      </c>
      <c r="H2697" s="70" t="s">
        <v>3113</v>
      </c>
      <c r="I2697" s="70">
        <v>254.0</v>
      </c>
      <c r="J2697" s="70" t="s">
        <v>3111</v>
      </c>
      <c r="K2697" s="70" t="s">
        <v>3112</v>
      </c>
      <c r="L2697" s="70" t="s">
        <v>1485</v>
      </c>
      <c r="M2697" s="70" t="s">
        <v>1486</v>
      </c>
      <c r="O2697" s="75" t="s">
        <v>3114</v>
      </c>
      <c r="P2697" s="70">
        <v>2021.0</v>
      </c>
      <c r="Q2697" s="70" t="s">
        <v>1489</v>
      </c>
      <c r="U2697" s="70" t="s">
        <v>401</v>
      </c>
      <c r="V2697" s="70" t="s">
        <v>402</v>
      </c>
      <c r="W2697" s="70" t="s">
        <v>31154</v>
      </c>
      <c r="AX2697" s="70">
        <v>0.0</v>
      </c>
      <c r="AY2697" s="70" t="s">
        <v>24</v>
      </c>
      <c r="AZ2697" s="70">
        <v>2206.0</v>
      </c>
    </row>
    <row r="2698" ht="22.5" customHeight="1">
      <c r="A2698" s="70" t="str">
        <f t="shared" si="1"/>
        <v>Excluded</v>
      </c>
      <c r="B2698" s="70">
        <f t="shared" si="2"/>
        <v>0</v>
      </c>
      <c r="C2698" s="70">
        <v>0.0</v>
      </c>
      <c r="D2698" s="70">
        <v>0.0</v>
      </c>
      <c r="E2698" s="70">
        <v>0.0</v>
      </c>
      <c r="F2698" s="70">
        <v>0.0</v>
      </c>
      <c r="G2698" s="70">
        <v>0.0</v>
      </c>
      <c r="H2698" s="70" t="s">
        <v>1697</v>
      </c>
      <c r="I2698" s="70">
        <v>121.0</v>
      </c>
      <c r="J2698" s="70" t="s">
        <v>1693</v>
      </c>
      <c r="K2698" s="70" t="s">
        <v>1694</v>
      </c>
      <c r="L2698" s="70" t="s">
        <v>1695</v>
      </c>
      <c r="M2698" s="70" t="s">
        <v>1696</v>
      </c>
      <c r="O2698" s="75" t="s">
        <v>1698</v>
      </c>
      <c r="P2698" s="70">
        <v>2021.0</v>
      </c>
      <c r="Q2698" s="70" t="s">
        <v>1699</v>
      </c>
      <c r="U2698" s="70" t="s">
        <v>401</v>
      </c>
      <c r="V2698" s="70" t="s">
        <v>402</v>
      </c>
      <c r="W2698" s="70" t="s">
        <v>31155</v>
      </c>
      <c r="AW2698" s="70" t="s">
        <v>1702</v>
      </c>
      <c r="AX2698" s="70">
        <v>0.0</v>
      </c>
      <c r="AY2698" s="70" t="s">
        <v>24</v>
      </c>
      <c r="AZ2698" s="70">
        <v>1715.0</v>
      </c>
    </row>
    <row r="2699" ht="22.5" customHeight="1">
      <c r="A2699" s="70" t="str">
        <f t="shared" si="1"/>
        <v>Excluded</v>
      </c>
      <c r="B2699" s="70">
        <f t="shared" si="2"/>
        <v>0</v>
      </c>
      <c r="C2699" s="70">
        <v>0.0</v>
      </c>
      <c r="D2699" s="70">
        <v>0.0</v>
      </c>
      <c r="E2699" s="70">
        <v>0.0</v>
      </c>
      <c r="F2699" s="70">
        <v>0.0</v>
      </c>
      <c r="G2699" s="70">
        <v>0.0</v>
      </c>
      <c r="H2699" s="70" t="s">
        <v>1263</v>
      </c>
      <c r="I2699" s="70">
        <v>81.0</v>
      </c>
      <c r="J2699" s="70" t="s">
        <v>1259</v>
      </c>
      <c r="K2699" s="70" t="s">
        <v>1260</v>
      </c>
      <c r="L2699" s="70" t="s">
        <v>1261</v>
      </c>
      <c r="M2699" s="70" t="s">
        <v>1262</v>
      </c>
      <c r="O2699" s="75" t="s">
        <v>1264</v>
      </c>
      <c r="P2699" s="70">
        <v>2021.0</v>
      </c>
      <c r="Q2699" s="70" t="s">
        <v>1266</v>
      </c>
      <c r="U2699" s="70" t="s">
        <v>401</v>
      </c>
      <c r="V2699" s="70" t="s">
        <v>402</v>
      </c>
      <c r="W2699" s="70" t="s">
        <v>1268</v>
      </c>
      <c r="AW2699" s="70" t="s">
        <v>1269</v>
      </c>
      <c r="AX2699" s="70">
        <v>0.0</v>
      </c>
      <c r="AY2699" s="70" t="s">
        <v>24</v>
      </c>
      <c r="AZ2699" s="70">
        <v>2297.0</v>
      </c>
    </row>
    <row r="2700" ht="22.5" customHeight="1">
      <c r="A2700" s="70" t="str">
        <f t="shared" si="1"/>
        <v>Excluded</v>
      </c>
      <c r="B2700" s="70">
        <f t="shared" si="2"/>
        <v>0</v>
      </c>
      <c r="C2700" s="70">
        <v>0.0</v>
      </c>
      <c r="D2700" s="70">
        <v>0.0</v>
      </c>
      <c r="E2700" s="70">
        <v>0.0</v>
      </c>
      <c r="F2700" s="70">
        <v>0.0</v>
      </c>
      <c r="G2700" s="70">
        <v>0.0</v>
      </c>
      <c r="H2700" s="70" t="s">
        <v>3956</v>
      </c>
      <c r="I2700" s="70">
        <v>342.0</v>
      </c>
      <c r="J2700" s="70" t="s">
        <v>3954</v>
      </c>
      <c r="K2700" s="70" t="s">
        <v>3955</v>
      </c>
      <c r="L2700" s="70" t="s">
        <v>3635</v>
      </c>
      <c r="N2700" s="70" t="s">
        <v>3636</v>
      </c>
      <c r="O2700" s="75" t="s">
        <v>3957</v>
      </c>
      <c r="P2700" s="81">
        <v>44287.0</v>
      </c>
      <c r="W2700" s="70" t="s">
        <v>3959</v>
      </c>
      <c r="AW2700" s="70" t="s">
        <v>3960</v>
      </c>
      <c r="AX2700" s="70">
        <v>0.0</v>
      </c>
      <c r="AY2700" s="70" t="s">
        <v>24</v>
      </c>
      <c r="AZ2700" s="70">
        <v>2438.0</v>
      </c>
    </row>
    <row r="2701" ht="22.5" customHeight="1">
      <c r="A2701" s="70" t="str">
        <f t="shared" si="1"/>
        <v>Excluded</v>
      </c>
      <c r="B2701" s="70">
        <f t="shared" si="2"/>
        <v>0</v>
      </c>
      <c r="C2701" s="70">
        <v>0.0</v>
      </c>
      <c r="D2701" s="70">
        <v>0.0</v>
      </c>
      <c r="E2701" s="70">
        <v>0.0</v>
      </c>
      <c r="F2701" s="70">
        <v>0.0</v>
      </c>
      <c r="G2701" s="70">
        <v>0.0</v>
      </c>
      <c r="H2701" s="70" t="s">
        <v>1920</v>
      </c>
      <c r="I2701" s="70">
        <v>141.0</v>
      </c>
      <c r="J2701" s="70" t="s">
        <v>1916</v>
      </c>
      <c r="K2701" s="70" t="s">
        <v>1917</v>
      </c>
      <c r="L2701" s="70" t="s">
        <v>1918</v>
      </c>
      <c r="M2701" s="70" t="s">
        <v>1919</v>
      </c>
      <c r="O2701" s="75" t="s">
        <v>1921</v>
      </c>
      <c r="P2701" s="70">
        <v>2021.0</v>
      </c>
      <c r="Q2701" s="70" t="s">
        <v>1923</v>
      </c>
      <c r="U2701" s="70" t="s">
        <v>401</v>
      </c>
      <c r="V2701" s="70" t="s">
        <v>402</v>
      </c>
      <c r="W2701" s="70" t="s">
        <v>1924</v>
      </c>
      <c r="AW2701" s="70" t="s">
        <v>1925</v>
      </c>
      <c r="AX2701" s="70">
        <v>0.0</v>
      </c>
      <c r="AY2701" s="70" t="s">
        <v>24</v>
      </c>
      <c r="AZ2701" s="70">
        <v>2519.0</v>
      </c>
    </row>
    <row r="2702" ht="22.5" customHeight="1">
      <c r="A2702" s="70" t="str">
        <f t="shared" si="1"/>
        <v>Excluded</v>
      </c>
      <c r="B2702" s="70">
        <f t="shared" si="2"/>
        <v>0</v>
      </c>
      <c r="C2702" s="70">
        <v>0.0</v>
      </c>
      <c r="D2702" s="70">
        <v>0.0</v>
      </c>
      <c r="E2702" s="70">
        <v>0.0</v>
      </c>
      <c r="F2702" s="70">
        <v>0.0</v>
      </c>
      <c r="G2702" s="70">
        <v>0.0</v>
      </c>
      <c r="H2702" s="70" t="s">
        <v>1465</v>
      </c>
      <c r="I2702" s="70">
        <v>99.0</v>
      </c>
      <c r="J2702" s="70" t="s">
        <v>1461</v>
      </c>
      <c r="K2702" s="70" t="s">
        <v>1462</v>
      </c>
      <c r="L2702" s="70" t="s">
        <v>1463</v>
      </c>
      <c r="M2702" s="70" t="s">
        <v>1464</v>
      </c>
      <c r="O2702" s="75" t="s">
        <v>1466</v>
      </c>
      <c r="P2702" s="70">
        <v>2021.0</v>
      </c>
      <c r="Q2702" s="70" t="s">
        <v>1468</v>
      </c>
      <c r="U2702" s="70" t="s">
        <v>401</v>
      </c>
      <c r="V2702" s="70" t="s">
        <v>402</v>
      </c>
      <c r="W2702" s="70" t="s">
        <v>1470</v>
      </c>
      <c r="AW2702" s="70" t="s">
        <v>1471</v>
      </c>
      <c r="AX2702" s="70">
        <v>0.0</v>
      </c>
      <c r="AY2702" s="70" t="s">
        <v>24</v>
      </c>
      <c r="AZ2702" s="70">
        <v>2334.0</v>
      </c>
    </row>
    <row r="2703" ht="22.5" customHeight="1">
      <c r="A2703" s="70" t="str">
        <f t="shared" si="1"/>
        <v>Excluded</v>
      </c>
      <c r="B2703" s="70">
        <f t="shared" si="2"/>
        <v>0</v>
      </c>
      <c r="C2703" s="70">
        <v>0.0</v>
      </c>
      <c r="D2703" s="70">
        <v>0.0</v>
      </c>
      <c r="E2703" s="70">
        <v>0.0</v>
      </c>
      <c r="F2703" s="70">
        <v>0.0</v>
      </c>
      <c r="G2703" s="70">
        <v>0.0</v>
      </c>
      <c r="H2703" s="70" t="s">
        <v>2435</v>
      </c>
      <c r="I2703" s="70">
        <v>190.0</v>
      </c>
      <c r="J2703" s="70" t="s">
        <v>2431</v>
      </c>
      <c r="K2703" s="70" t="s">
        <v>2432</v>
      </c>
      <c r="L2703" s="70" t="s">
        <v>2433</v>
      </c>
      <c r="M2703" s="70" t="s">
        <v>2434</v>
      </c>
      <c r="O2703" s="75" t="s">
        <v>2436</v>
      </c>
      <c r="P2703" s="70">
        <v>2021.0</v>
      </c>
      <c r="Q2703" s="70" t="s">
        <v>2438</v>
      </c>
      <c r="U2703" s="70" t="s">
        <v>401</v>
      </c>
      <c r="V2703" s="70" t="s">
        <v>402</v>
      </c>
      <c r="W2703" s="70" t="s">
        <v>2440</v>
      </c>
      <c r="AW2703" s="70" t="s">
        <v>2441</v>
      </c>
      <c r="AZ2703" s="70">
        <v>613.0</v>
      </c>
    </row>
    <row r="2704" ht="22.5" customHeight="1">
      <c r="A2704" s="70" t="str">
        <f t="shared" si="1"/>
        <v>Excluded</v>
      </c>
      <c r="B2704" s="70">
        <f t="shared" si="2"/>
        <v>0</v>
      </c>
      <c r="C2704" s="70">
        <v>0.0</v>
      </c>
      <c r="D2704" s="70">
        <v>0.0</v>
      </c>
      <c r="E2704" s="70">
        <v>0.0</v>
      </c>
      <c r="F2704" s="70">
        <v>0.0</v>
      </c>
      <c r="G2704" s="70">
        <v>0.0</v>
      </c>
      <c r="H2704" s="70" t="s">
        <v>2885</v>
      </c>
      <c r="I2704" s="70">
        <v>233.0</v>
      </c>
      <c r="J2704" s="70" t="s">
        <v>2883</v>
      </c>
      <c r="K2704" s="70" t="s">
        <v>2884</v>
      </c>
      <c r="L2704" s="70" t="s">
        <v>2433</v>
      </c>
      <c r="M2704" s="70" t="s">
        <v>2434</v>
      </c>
      <c r="O2704" s="75" t="s">
        <v>2886</v>
      </c>
      <c r="P2704" s="70">
        <v>2021.0</v>
      </c>
      <c r="Q2704" s="70" t="s">
        <v>2438</v>
      </c>
      <c r="U2704" s="70" t="s">
        <v>401</v>
      </c>
      <c r="V2704" s="70" t="s">
        <v>402</v>
      </c>
      <c r="W2704" s="70" t="s">
        <v>2888</v>
      </c>
      <c r="AZ2704" s="70">
        <v>886.0</v>
      </c>
    </row>
    <row r="2705" ht="22.5" customHeight="1">
      <c r="A2705" s="70" t="str">
        <f t="shared" si="1"/>
        <v>Excluded</v>
      </c>
      <c r="B2705" s="70">
        <f t="shared" si="2"/>
        <v>0</v>
      </c>
      <c r="C2705" s="70">
        <v>0.0</v>
      </c>
      <c r="D2705" s="70">
        <v>0.0</v>
      </c>
      <c r="E2705" s="70">
        <v>0.0</v>
      </c>
      <c r="F2705" s="70">
        <v>0.0</v>
      </c>
      <c r="G2705" s="70">
        <v>0.0</v>
      </c>
      <c r="H2705" s="70" t="s">
        <v>4325</v>
      </c>
      <c r="I2705" s="70">
        <v>390.0</v>
      </c>
      <c r="J2705" s="70" t="s">
        <v>31156</v>
      </c>
      <c r="K2705" s="70" t="s">
        <v>4324</v>
      </c>
      <c r="L2705" s="70" t="s">
        <v>3635</v>
      </c>
      <c r="N2705" s="70" t="s">
        <v>3636</v>
      </c>
      <c r="O2705" s="75" t="s">
        <v>4326</v>
      </c>
      <c r="P2705" s="81">
        <v>44317.0</v>
      </c>
      <c r="W2705" s="70" t="s">
        <v>4328</v>
      </c>
      <c r="AW2705" s="70" t="s">
        <v>4329</v>
      </c>
      <c r="AZ2705" s="70">
        <v>787.0</v>
      </c>
    </row>
    <row r="2706" ht="22.5" customHeight="1">
      <c r="A2706" s="70" t="str">
        <f t="shared" si="1"/>
        <v>Excluded</v>
      </c>
      <c r="B2706" s="70">
        <f t="shared" si="2"/>
        <v>0</v>
      </c>
      <c r="C2706" s="70">
        <v>0.0</v>
      </c>
      <c r="D2706" s="70">
        <v>0.0</v>
      </c>
      <c r="E2706" s="70">
        <v>0.0</v>
      </c>
      <c r="F2706" s="70">
        <v>0.0</v>
      </c>
      <c r="G2706" s="70">
        <v>0.0</v>
      </c>
      <c r="H2706" s="70" t="s">
        <v>2998</v>
      </c>
      <c r="I2706" s="70">
        <v>243.0</v>
      </c>
      <c r="J2706" s="70" t="s">
        <v>2994</v>
      </c>
      <c r="K2706" s="70" t="s">
        <v>2995</v>
      </c>
      <c r="L2706" s="70" t="s">
        <v>2996</v>
      </c>
      <c r="M2706" s="70" t="s">
        <v>2997</v>
      </c>
      <c r="O2706" s="75" t="s">
        <v>2999</v>
      </c>
      <c r="P2706" s="70">
        <v>2021.0</v>
      </c>
      <c r="Q2706" s="70" t="s">
        <v>3000</v>
      </c>
      <c r="U2706" s="70" t="s">
        <v>401</v>
      </c>
      <c r="V2706" s="70" t="s">
        <v>402</v>
      </c>
      <c r="W2706" s="70" t="s">
        <v>3002</v>
      </c>
      <c r="AW2706" s="70" t="s">
        <v>3003</v>
      </c>
      <c r="AZ2706" s="70">
        <v>512.0</v>
      </c>
    </row>
    <row r="2707" ht="22.5" customHeight="1">
      <c r="A2707" s="70" t="str">
        <f t="shared" si="1"/>
        <v>Excluded</v>
      </c>
      <c r="B2707" s="70">
        <f t="shared" si="2"/>
        <v>0</v>
      </c>
      <c r="C2707" s="70">
        <v>0.0</v>
      </c>
      <c r="D2707" s="70">
        <v>0.0</v>
      </c>
      <c r="E2707" s="70">
        <v>0.0</v>
      </c>
      <c r="F2707" s="70">
        <v>0.0</v>
      </c>
      <c r="G2707" s="70">
        <v>0.0</v>
      </c>
      <c r="H2707" s="70" t="s">
        <v>6336</v>
      </c>
      <c r="I2707" s="70">
        <v>601.0</v>
      </c>
      <c r="J2707" s="70" t="s">
        <v>6333</v>
      </c>
      <c r="K2707" s="70" t="s">
        <v>6334</v>
      </c>
      <c r="L2707" s="70" t="s">
        <v>6335</v>
      </c>
      <c r="P2707" s="76">
        <v>44608.0</v>
      </c>
      <c r="U2707" s="70" t="s">
        <v>239</v>
      </c>
      <c r="W2707" s="70" t="s">
        <v>6338</v>
      </c>
      <c r="X2707" s="70" t="s">
        <v>6339</v>
      </c>
      <c r="Y2707" s="70" t="s">
        <v>31157</v>
      </c>
      <c r="Z2707" s="75" t="s">
        <v>6341</v>
      </c>
      <c r="AA2707" s="70" t="s">
        <v>6342</v>
      </c>
      <c r="AC2707" s="70">
        <v>7.0</v>
      </c>
      <c r="AE2707" s="70">
        <v>55.0</v>
      </c>
      <c r="AW2707" s="70" t="s">
        <v>6343</v>
      </c>
      <c r="AX2707" s="70">
        <v>0.0</v>
      </c>
      <c r="AY2707" s="70" t="s">
        <v>24</v>
      </c>
      <c r="AZ2707" s="70">
        <v>1813.0</v>
      </c>
    </row>
    <row r="2708" ht="22.5" customHeight="1">
      <c r="A2708" s="70" t="str">
        <f t="shared" si="1"/>
        <v>Excluded</v>
      </c>
      <c r="B2708" s="70">
        <f t="shared" si="2"/>
        <v>0</v>
      </c>
      <c r="C2708" s="70">
        <v>0.0</v>
      </c>
      <c r="D2708" s="70">
        <v>0.0</v>
      </c>
      <c r="E2708" s="70">
        <v>0.0</v>
      </c>
      <c r="F2708" s="70">
        <v>0.0</v>
      </c>
      <c r="G2708" s="70">
        <v>0.0</v>
      </c>
      <c r="H2708" s="70" t="s">
        <v>4567</v>
      </c>
      <c r="I2708" s="70">
        <v>422.0</v>
      </c>
      <c r="J2708" s="70" t="s">
        <v>4565</v>
      </c>
      <c r="K2708" s="70" t="s">
        <v>4566</v>
      </c>
      <c r="L2708" s="70" t="s">
        <v>3635</v>
      </c>
      <c r="N2708" s="70" t="s">
        <v>3636</v>
      </c>
      <c r="O2708" s="75" t="s">
        <v>4568</v>
      </c>
      <c r="P2708" s="81">
        <v>44378.0</v>
      </c>
      <c r="W2708" s="70" t="s">
        <v>31158</v>
      </c>
      <c r="AW2708" s="70" t="s">
        <v>4571</v>
      </c>
      <c r="AX2708" s="70">
        <v>0.0</v>
      </c>
      <c r="AY2708" s="70" t="s">
        <v>24</v>
      </c>
      <c r="AZ2708" s="70">
        <v>2778.0</v>
      </c>
    </row>
    <row r="2709" ht="22.5" customHeight="1">
      <c r="A2709" s="70" t="str">
        <f t="shared" si="1"/>
        <v>Excluded</v>
      </c>
      <c r="B2709" s="70">
        <f t="shared" si="2"/>
        <v>0</v>
      </c>
      <c r="C2709" s="70">
        <v>0.0</v>
      </c>
      <c r="D2709" s="70">
        <v>0.0</v>
      </c>
      <c r="E2709" s="70">
        <v>0.0</v>
      </c>
      <c r="F2709" s="70">
        <v>0.0</v>
      </c>
      <c r="G2709" s="70">
        <v>0.0</v>
      </c>
      <c r="H2709" s="70" t="s">
        <v>27648</v>
      </c>
      <c r="I2709" s="70">
        <v>2984.0</v>
      </c>
      <c r="J2709" s="70" t="s">
        <v>27646</v>
      </c>
      <c r="K2709" s="70" t="s">
        <v>27647</v>
      </c>
      <c r="W2709" s="70" t="s">
        <v>31159</v>
      </c>
      <c r="AA2709" s="70" t="s">
        <v>27650</v>
      </c>
      <c r="AI2709" s="70" t="s">
        <v>27651</v>
      </c>
      <c r="AJ2709" s="70" t="s">
        <v>27652</v>
      </c>
      <c r="AK2709" s="70">
        <v>2021.0</v>
      </c>
      <c r="AL2709" s="70" t="s">
        <v>27653</v>
      </c>
      <c r="AM2709" s="70">
        <v>3460352.0</v>
      </c>
      <c r="AQ2709" s="70">
        <v>30.0</v>
      </c>
      <c r="AR2709" s="75" t="s">
        <v>27654</v>
      </c>
      <c r="AS2709" s="70" t="s">
        <v>22525</v>
      </c>
      <c r="AT2709" s="70" t="s">
        <v>22622</v>
      </c>
      <c r="AU2709" s="70" t="s">
        <v>237</v>
      </c>
      <c r="AV2709" s="70" t="s">
        <v>27655</v>
      </c>
      <c r="AW2709" s="70" t="s">
        <v>27656</v>
      </c>
      <c r="AX2709" s="70">
        <v>0.0</v>
      </c>
      <c r="AY2709" s="70" t="s">
        <v>24</v>
      </c>
      <c r="AZ2709" s="70">
        <v>2135.0</v>
      </c>
    </row>
    <row r="2710" ht="22.5" customHeight="1">
      <c r="A2710" s="70" t="str">
        <f t="shared" si="1"/>
        <v>Excluded</v>
      </c>
      <c r="B2710" s="70">
        <f t="shared" si="2"/>
        <v>0</v>
      </c>
      <c r="C2710" s="70">
        <v>0.0</v>
      </c>
      <c r="D2710" s="70">
        <v>0.0</v>
      </c>
      <c r="E2710" s="70">
        <v>0.0</v>
      </c>
      <c r="F2710" s="70">
        <v>0.0</v>
      </c>
      <c r="G2710" s="70">
        <v>0.0</v>
      </c>
      <c r="H2710" s="70" t="s">
        <v>2230</v>
      </c>
      <c r="I2710" s="70">
        <v>170.0</v>
      </c>
      <c r="J2710" s="70" t="s">
        <v>31160</v>
      </c>
      <c r="K2710" s="70" t="s">
        <v>2228</v>
      </c>
      <c r="L2710" s="70" t="s">
        <v>655</v>
      </c>
      <c r="M2710" s="70" t="s">
        <v>2229</v>
      </c>
      <c r="O2710" s="75" t="s">
        <v>2231</v>
      </c>
      <c r="P2710" s="70">
        <v>2021.0</v>
      </c>
      <c r="Q2710" s="70" t="s">
        <v>2232</v>
      </c>
      <c r="U2710" s="70" t="s">
        <v>401</v>
      </c>
      <c r="V2710" s="70" t="s">
        <v>402</v>
      </c>
      <c r="W2710" s="70" t="s">
        <v>2233</v>
      </c>
      <c r="AW2710" s="70" t="s">
        <v>2234</v>
      </c>
      <c r="AX2710" s="70">
        <v>0.0</v>
      </c>
      <c r="AY2710" s="70" t="s">
        <v>24</v>
      </c>
      <c r="AZ2710" s="70">
        <v>2224.0</v>
      </c>
    </row>
    <row r="2711" ht="22.5" customHeight="1">
      <c r="A2711" s="70" t="str">
        <f t="shared" si="1"/>
        <v>Excluded</v>
      </c>
      <c r="B2711" s="70">
        <f t="shared" si="2"/>
        <v>0</v>
      </c>
      <c r="C2711" s="70">
        <v>0.0</v>
      </c>
      <c r="D2711" s="70">
        <v>0.0</v>
      </c>
      <c r="E2711" s="70">
        <v>0.0</v>
      </c>
      <c r="F2711" s="70">
        <v>0.0</v>
      </c>
      <c r="G2711" s="70">
        <v>0.0</v>
      </c>
      <c r="H2711" s="70" t="s">
        <v>4223</v>
      </c>
      <c r="I2711" s="70">
        <v>377.0</v>
      </c>
      <c r="J2711" s="70" t="s">
        <v>4221</v>
      </c>
      <c r="K2711" s="70" t="s">
        <v>4222</v>
      </c>
      <c r="L2711" s="70" t="s">
        <v>3719</v>
      </c>
      <c r="N2711" s="70" t="s">
        <v>3720</v>
      </c>
      <c r="O2711" s="75" t="s">
        <v>4224</v>
      </c>
      <c r="P2711" s="81">
        <v>44409.0</v>
      </c>
      <c r="W2711" s="70" t="s">
        <v>31161</v>
      </c>
      <c r="AW2711" s="70" t="s">
        <v>4227</v>
      </c>
      <c r="AX2711" s="70">
        <v>0.0</v>
      </c>
      <c r="AY2711" s="70" t="s">
        <v>24</v>
      </c>
      <c r="AZ2711" s="70">
        <v>2510.0</v>
      </c>
    </row>
    <row r="2712" ht="22.5" customHeight="1">
      <c r="A2712" s="70" t="str">
        <f t="shared" si="1"/>
        <v>Excluded</v>
      </c>
      <c r="B2712" s="70">
        <f t="shared" si="2"/>
        <v>0</v>
      </c>
      <c r="C2712" s="70">
        <v>0.0</v>
      </c>
      <c r="D2712" s="70">
        <v>0.0</v>
      </c>
      <c r="E2712" s="70">
        <v>0.0</v>
      </c>
      <c r="F2712" s="70">
        <v>0.0</v>
      </c>
      <c r="G2712" s="70">
        <v>0.0</v>
      </c>
      <c r="H2712" s="70" t="s">
        <v>1305</v>
      </c>
      <c r="I2712" s="70">
        <v>85.0</v>
      </c>
      <c r="J2712" s="70" t="s">
        <v>1301</v>
      </c>
      <c r="K2712" s="70" t="s">
        <v>1302</v>
      </c>
      <c r="L2712" s="70" t="s">
        <v>1303</v>
      </c>
      <c r="M2712" s="70" t="s">
        <v>1304</v>
      </c>
      <c r="O2712" s="75" t="s">
        <v>1306</v>
      </c>
      <c r="P2712" s="70">
        <v>2021.0</v>
      </c>
      <c r="Q2712" s="70" t="s">
        <v>1308</v>
      </c>
      <c r="U2712" s="70" t="s">
        <v>401</v>
      </c>
      <c r="V2712" s="70" t="s">
        <v>402</v>
      </c>
      <c r="W2712" s="70" t="s">
        <v>31162</v>
      </c>
      <c r="AW2712" s="70" t="s">
        <v>1311</v>
      </c>
      <c r="AX2712" s="70">
        <v>0.0</v>
      </c>
      <c r="AY2712" s="70" t="s">
        <v>24</v>
      </c>
      <c r="AZ2712" s="70">
        <v>3081.0</v>
      </c>
    </row>
    <row r="2713" ht="22.5" customHeight="1">
      <c r="A2713" s="70" t="str">
        <f t="shared" si="1"/>
        <v>Excluded</v>
      </c>
      <c r="B2713" s="70">
        <f t="shared" si="2"/>
        <v>0</v>
      </c>
      <c r="C2713" s="70">
        <v>0.0</v>
      </c>
      <c r="D2713" s="70">
        <v>0.0</v>
      </c>
      <c r="E2713" s="70">
        <v>0.0</v>
      </c>
      <c r="F2713" s="70">
        <v>0.0</v>
      </c>
      <c r="G2713" s="70">
        <v>0.0</v>
      </c>
      <c r="H2713" s="70" t="s">
        <v>3572</v>
      </c>
      <c r="I2713" s="70">
        <v>298.0</v>
      </c>
      <c r="J2713" s="70" t="s">
        <v>3568</v>
      </c>
      <c r="K2713" s="70" t="s">
        <v>3569</v>
      </c>
      <c r="L2713" s="70" t="s">
        <v>3570</v>
      </c>
      <c r="M2713" s="70" t="s">
        <v>3571</v>
      </c>
      <c r="O2713" s="75" t="s">
        <v>3573</v>
      </c>
      <c r="P2713" s="70">
        <v>2021.0</v>
      </c>
      <c r="Q2713" s="70" t="s">
        <v>3575</v>
      </c>
      <c r="U2713" s="70" t="s">
        <v>401</v>
      </c>
      <c r="V2713" s="70" t="s">
        <v>402</v>
      </c>
      <c r="W2713" s="70" t="s">
        <v>3576</v>
      </c>
      <c r="AW2713" s="70" t="s">
        <v>3577</v>
      </c>
      <c r="AZ2713" s="70">
        <v>311.0</v>
      </c>
    </row>
    <row r="2714" ht="22.5" customHeight="1">
      <c r="A2714" s="70" t="str">
        <f t="shared" si="1"/>
        <v>Excluded</v>
      </c>
      <c r="B2714" s="70">
        <f t="shared" si="2"/>
        <v>0</v>
      </c>
      <c r="C2714" s="70">
        <v>0.0</v>
      </c>
      <c r="D2714" s="70">
        <v>0.0</v>
      </c>
      <c r="E2714" s="70">
        <v>0.0</v>
      </c>
      <c r="F2714" s="70">
        <v>0.0</v>
      </c>
      <c r="G2714" s="70">
        <v>0.0</v>
      </c>
      <c r="H2714" s="70" t="s">
        <v>3052</v>
      </c>
      <c r="I2714" s="70">
        <v>248.0</v>
      </c>
      <c r="J2714" s="70" t="s">
        <v>3048</v>
      </c>
      <c r="K2714" s="70" t="s">
        <v>3049</v>
      </c>
      <c r="L2714" s="70" t="s">
        <v>3050</v>
      </c>
      <c r="M2714" s="70" t="s">
        <v>3051</v>
      </c>
      <c r="O2714" s="75" t="s">
        <v>3053</v>
      </c>
      <c r="P2714" s="70">
        <v>2021.0</v>
      </c>
      <c r="Q2714" s="70" t="s">
        <v>3054</v>
      </c>
      <c r="U2714" s="70" t="s">
        <v>401</v>
      </c>
      <c r="V2714" s="70" t="s">
        <v>402</v>
      </c>
      <c r="W2714" s="70" t="s">
        <v>3056</v>
      </c>
      <c r="AW2714" s="70" t="s">
        <v>3057</v>
      </c>
      <c r="AZ2714" s="70">
        <v>361.0</v>
      </c>
    </row>
    <row r="2715" ht="22.5" customHeight="1">
      <c r="A2715" s="70" t="str">
        <f t="shared" si="1"/>
        <v>Excluded</v>
      </c>
      <c r="B2715" s="70">
        <f t="shared" si="2"/>
        <v>0</v>
      </c>
      <c r="C2715" s="70">
        <v>0.0</v>
      </c>
      <c r="D2715" s="70">
        <v>0.0</v>
      </c>
      <c r="E2715" s="70">
        <v>0.0</v>
      </c>
      <c r="F2715" s="70">
        <v>0.0</v>
      </c>
      <c r="G2715" s="70">
        <v>0.0</v>
      </c>
      <c r="H2715" s="70" t="s">
        <v>3365</v>
      </c>
      <c r="I2715" s="70">
        <v>278.0</v>
      </c>
      <c r="J2715" s="70" t="s">
        <v>3361</v>
      </c>
      <c r="K2715" s="70" t="s">
        <v>3362</v>
      </c>
      <c r="L2715" s="70" t="s">
        <v>3363</v>
      </c>
      <c r="M2715" s="70" t="s">
        <v>3364</v>
      </c>
      <c r="O2715" s="75" t="s">
        <v>3366</v>
      </c>
      <c r="P2715" s="70">
        <v>2021.0</v>
      </c>
      <c r="Q2715" s="70" t="s">
        <v>3367</v>
      </c>
      <c r="U2715" s="70" t="s">
        <v>401</v>
      </c>
      <c r="V2715" s="70" t="s">
        <v>402</v>
      </c>
      <c r="W2715" s="70" t="s">
        <v>3369</v>
      </c>
      <c r="AX2715" s="70">
        <v>0.0</v>
      </c>
      <c r="AY2715" s="70" t="s">
        <v>24</v>
      </c>
      <c r="AZ2715" s="70">
        <v>2762.0</v>
      </c>
    </row>
    <row r="2716" ht="22.5" customHeight="1">
      <c r="A2716" s="70" t="str">
        <f t="shared" si="1"/>
        <v>Excluded</v>
      </c>
      <c r="B2716" s="70">
        <f t="shared" si="2"/>
        <v>0</v>
      </c>
      <c r="C2716" s="70">
        <v>0.0</v>
      </c>
      <c r="D2716" s="70">
        <v>0.0</v>
      </c>
      <c r="E2716" s="70">
        <v>0.0</v>
      </c>
      <c r="F2716" s="70">
        <v>0.0</v>
      </c>
      <c r="G2716" s="70">
        <v>0.0</v>
      </c>
      <c r="H2716" s="70" t="s">
        <v>4239</v>
      </c>
      <c r="I2716" s="70">
        <v>379.0</v>
      </c>
      <c r="J2716" s="70" t="s">
        <v>4237</v>
      </c>
      <c r="K2716" s="70" t="s">
        <v>4238</v>
      </c>
      <c r="L2716" s="70" t="s">
        <v>3673</v>
      </c>
      <c r="N2716" s="70" t="s">
        <v>3674</v>
      </c>
      <c r="O2716" s="75" t="s">
        <v>4240</v>
      </c>
      <c r="P2716" s="81">
        <v>44409.0</v>
      </c>
      <c r="W2716" s="70" t="s">
        <v>4241</v>
      </c>
      <c r="AW2716" s="70" t="s">
        <v>4242</v>
      </c>
      <c r="AZ2716" s="70">
        <v>736.0</v>
      </c>
    </row>
    <row r="2717" ht="22.5" customHeight="1">
      <c r="A2717" s="70" t="str">
        <f t="shared" si="1"/>
        <v>Excluded</v>
      </c>
      <c r="B2717" s="70">
        <f t="shared" si="2"/>
        <v>0</v>
      </c>
      <c r="C2717" s="70">
        <v>0.0</v>
      </c>
      <c r="D2717" s="70">
        <v>0.0</v>
      </c>
      <c r="E2717" s="70">
        <v>0.0</v>
      </c>
      <c r="F2717" s="70">
        <v>0.0</v>
      </c>
      <c r="G2717" s="70">
        <v>0.0</v>
      </c>
      <c r="H2717" s="70" t="s">
        <v>4033</v>
      </c>
      <c r="I2717" s="70">
        <v>352.0</v>
      </c>
      <c r="J2717" s="70" t="s">
        <v>4031</v>
      </c>
      <c r="K2717" s="70" t="s">
        <v>4032</v>
      </c>
      <c r="L2717" s="70" t="s">
        <v>3860</v>
      </c>
      <c r="N2717" s="70" t="s">
        <v>3861</v>
      </c>
      <c r="O2717" s="75" t="s">
        <v>4034</v>
      </c>
      <c r="P2717" s="81">
        <v>44440.0</v>
      </c>
      <c r="W2717" s="70" t="s">
        <v>31163</v>
      </c>
      <c r="AW2717" s="70" t="s">
        <v>4037</v>
      </c>
      <c r="AX2717" s="70">
        <v>0.0</v>
      </c>
      <c r="AY2717" s="70" t="s">
        <v>24</v>
      </c>
      <c r="AZ2717" s="70">
        <v>1798.0</v>
      </c>
    </row>
    <row r="2718" ht="22.5" customHeight="1">
      <c r="A2718" s="70" t="str">
        <f t="shared" si="1"/>
        <v>Excluded</v>
      </c>
      <c r="B2718" s="70">
        <f t="shared" si="2"/>
        <v>0</v>
      </c>
      <c r="C2718" s="70">
        <v>0.0</v>
      </c>
      <c r="D2718" s="70">
        <v>0.0</v>
      </c>
      <c r="E2718" s="70">
        <v>0.0</v>
      </c>
      <c r="F2718" s="70">
        <v>0.0</v>
      </c>
      <c r="G2718" s="70">
        <v>0.0</v>
      </c>
      <c r="H2718" s="70" t="s">
        <v>4505</v>
      </c>
      <c r="I2718" s="70">
        <v>414.0</v>
      </c>
      <c r="J2718" s="70" t="s">
        <v>4503</v>
      </c>
      <c r="K2718" s="70" t="s">
        <v>4504</v>
      </c>
      <c r="L2718" s="70" t="s">
        <v>3635</v>
      </c>
      <c r="N2718" s="70" t="s">
        <v>3636</v>
      </c>
      <c r="O2718" s="75" t="s">
        <v>4506</v>
      </c>
      <c r="P2718" s="80">
        <v>44501.0</v>
      </c>
      <c r="W2718" s="70" t="s">
        <v>31164</v>
      </c>
      <c r="AW2718" s="70" t="s">
        <v>4509</v>
      </c>
      <c r="AX2718" s="70">
        <v>0.0</v>
      </c>
      <c r="AY2718" s="70" t="s">
        <v>24</v>
      </c>
      <c r="AZ2718" s="70">
        <v>2733.0</v>
      </c>
    </row>
    <row r="2719" ht="22.5" customHeight="1">
      <c r="A2719" s="70" t="str">
        <f t="shared" si="1"/>
        <v>Excluded</v>
      </c>
      <c r="B2719" s="70">
        <f t="shared" si="2"/>
        <v>0</v>
      </c>
      <c r="C2719" s="70">
        <v>0.0</v>
      </c>
      <c r="D2719" s="70">
        <v>0.0</v>
      </c>
      <c r="E2719" s="70">
        <v>0.0</v>
      </c>
      <c r="F2719" s="70">
        <v>0.0</v>
      </c>
      <c r="G2719" s="70">
        <v>0.0</v>
      </c>
      <c r="H2719" s="70" t="s">
        <v>4455</v>
      </c>
      <c r="I2719" s="70">
        <v>407.0</v>
      </c>
      <c r="J2719" s="70" t="s">
        <v>4453</v>
      </c>
      <c r="K2719" s="70" t="s">
        <v>4454</v>
      </c>
      <c r="L2719" s="70" t="s">
        <v>3825</v>
      </c>
      <c r="N2719" s="70" t="s">
        <v>3826</v>
      </c>
      <c r="O2719" s="75" t="s">
        <v>4456</v>
      </c>
      <c r="P2719" s="80">
        <v>44470.0</v>
      </c>
      <c r="W2719" s="70" t="s">
        <v>4457</v>
      </c>
      <c r="AW2719" s="70" t="s">
        <v>4458</v>
      </c>
      <c r="AX2719" s="70">
        <v>0.0</v>
      </c>
      <c r="AY2719" s="70" t="s">
        <v>24</v>
      </c>
      <c r="AZ2719" s="70">
        <v>2692.0</v>
      </c>
    </row>
    <row r="2720" ht="22.5" customHeight="1">
      <c r="A2720" s="70" t="str">
        <f t="shared" si="1"/>
        <v>Excluded</v>
      </c>
      <c r="B2720" s="70">
        <f t="shared" si="2"/>
        <v>0</v>
      </c>
      <c r="C2720" s="70">
        <v>0.0</v>
      </c>
      <c r="D2720" s="70">
        <v>0.0</v>
      </c>
      <c r="E2720" s="70">
        <v>0.0</v>
      </c>
      <c r="F2720" s="70">
        <v>0.0</v>
      </c>
      <c r="G2720" s="70">
        <v>0.0</v>
      </c>
      <c r="H2720" s="70" t="s">
        <v>4364</v>
      </c>
      <c r="I2720" s="70">
        <v>395.0</v>
      </c>
      <c r="J2720" s="70" t="s">
        <v>4362</v>
      </c>
      <c r="K2720" s="70" t="s">
        <v>4363</v>
      </c>
      <c r="L2720" s="70" t="s">
        <v>3743</v>
      </c>
      <c r="N2720" s="70" t="s">
        <v>3744</v>
      </c>
      <c r="O2720" s="75" t="s">
        <v>4365</v>
      </c>
      <c r="P2720" s="81">
        <v>44805.0</v>
      </c>
      <c r="W2720" s="70" t="s">
        <v>4366</v>
      </c>
      <c r="AW2720" s="70" t="s">
        <v>4367</v>
      </c>
      <c r="AX2720" s="70">
        <v>0.0</v>
      </c>
      <c r="AY2720" s="70" t="s">
        <v>24</v>
      </c>
      <c r="AZ2720" s="70">
        <v>2460.0</v>
      </c>
    </row>
    <row r="2721" ht="22.5" customHeight="1">
      <c r="A2721" s="70" t="str">
        <f t="shared" si="1"/>
        <v>Excluded</v>
      </c>
      <c r="B2721" s="70">
        <f t="shared" si="2"/>
        <v>0</v>
      </c>
      <c r="C2721" s="70">
        <v>0.0</v>
      </c>
      <c r="D2721" s="70">
        <v>0.0</v>
      </c>
      <c r="E2721" s="70">
        <v>0.0</v>
      </c>
      <c r="F2721" s="70">
        <v>0.0</v>
      </c>
      <c r="G2721" s="70">
        <v>0.0</v>
      </c>
      <c r="H2721" s="70" t="s">
        <v>3917</v>
      </c>
      <c r="I2721" s="70">
        <v>337.0</v>
      </c>
      <c r="J2721" s="70" t="s">
        <v>3915</v>
      </c>
      <c r="K2721" s="70" t="s">
        <v>3916</v>
      </c>
      <c r="L2721" s="70" t="s">
        <v>3635</v>
      </c>
      <c r="N2721" s="70" t="s">
        <v>3636</v>
      </c>
      <c r="O2721" s="75" t="s">
        <v>3918</v>
      </c>
      <c r="P2721" s="80">
        <v>44470.0</v>
      </c>
      <c r="W2721" s="70" t="s">
        <v>3920</v>
      </c>
      <c r="AW2721" s="70" t="s">
        <v>3921</v>
      </c>
      <c r="AX2721" s="70">
        <v>0.0</v>
      </c>
      <c r="AY2721" s="70" t="s">
        <v>24</v>
      </c>
      <c r="AZ2721" s="70">
        <v>2525.0</v>
      </c>
    </row>
    <row r="2722" ht="22.5" customHeight="1">
      <c r="A2722" s="70" t="str">
        <f t="shared" si="1"/>
        <v>Excluded</v>
      </c>
      <c r="B2722" s="70">
        <f t="shared" si="2"/>
        <v>0</v>
      </c>
      <c r="C2722" s="70">
        <v>0.0</v>
      </c>
      <c r="D2722" s="70">
        <v>0.0</v>
      </c>
      <c r="E2722" s="70">
        <v>0.0</v>
      </c>
      <c r="F2722" s="70">
        <v>0.0</v>
      </c>
      <c r="G2722" s="70">
        <v>0.0</v>
      </c>
      <c r="H2722" s="70" t="s">
        <v>2355</v>
      </c>
      <c r="I2722" s="70">
        <v>182.0</v>
      </c>
      <c r="J2722" s="70" t="s">
        <v>2351</v>
      </c>
      <c r="K2722" s="70" t="s">
        <v>2352</v>
      </c>
      <c r="L2722" s="70" t="s">
        <v>2353</v>
      </c>
      <c r="M2722" s="70" t="s">
        <v>2354</v>
      </c>
      <c r="O2722" s="75" t="s">
        <v>2356</v>
      </c>
      <c r="P2722" s="70">
        <v>2021.0</v>
      </c>
      <c r="Q2722" s="70" t="s">
        <v>2358</v>
      </c>
      <c r="U2722" s="70" t="s">
        <v>401</v>
      </c>
      <c r="V2722" s="70" t="s">
        <v>402</v>
      </c>
      <c r="W2722" s="70" t="s">
        <v>2359</v>
      </c>
      <c r="AW2722" s="70" t="s">
        <v>2360</v>
      </c>
      <c r="AZ2722" s="70">
        <v>569.0</v>
      </c>
    </row>
    <row r="2723" ht="22.5" customHeight="1">
      <c r="A2723" s="70" t="str">
        <f t="shared" si="1"/>
        <v>Excluded</v>
      </c>
      <c r="B2723" s="70">
        <f t="shared" si="2"/>
        <v>0</v>
      </c>
      <c r="C2723" s="70">
        <v>0.0</v>
      </c>
      <c r="D2723" s="70">
        <v>0.0</v>
      </c>
      <c r="E2723" s="70">
        <v>0.0</v>
      </c>
      <c r="F2723" s="70">
        <v>0.0</v>
      </c>
      <c r="G2723" s="70">
        <v>0.0</v>
      </c>
      <c r="H2723" s="70" t="s">
        <v>27274</v>
      </c>
      <c r="I2723" s="70">
        <v>2947.0</v>
      </c>
      <c r="J2723" s="70" t="s">
        <v>27272</v>
      </c>
      <c r="K2723" s="70" t="s">
        <v>27273</v>
      </c>
      <c r="W2723" s="70" t="s">
        <v>31165</v>
      </c>
      <c r="AA2723" s="70" t="s">
        <v>27276</v>
      </c>
      <c r="AI2723" s="70" t="s">
        <v>27277</v>
      </c>
      <c r="AJ2723" s="70" t="s">
        <v>27278</v>
      </c>
      <c r="AK2723" s="70">
        <v>2021.0</v>
      </c>
      <c r="AL2723" s="70" t="s">
        <v>27279</v>
      </c>
      <c r="AN2723" s="70">
        <v>117.0</v>
      </c>
      <c r="AO2723" s="70">
        <v>125.0</v>
      </c>
      <c r="AP2723" s="70">
        <v>8.0</v>
      </c>
      <c r="AQ2723" s="70">
        <v>6.0</v>
      </c>
      <c r="AR2723" s="75" t="s">
        <v>27280</v>
      </c>
      <c r="AS2723" s="70" t="s">
        <v>22525</v>
      </c>
      <c r="AU2723" s="70" t="s">
        <v>237</v>
      </c>
      <c r="AV2723" s="70" t="s">
        <v>27281</v>
      </c>
      <c r="AW2723" s="70" t="s">
        <v>27282</v>
      </c>
      <c r="AZ2723" s="70">
        <v>1006.0</v>
      </c>
    </row>
    <row r="2724" ht="22.5" customHeight="1">
      <c r="A2724" s="70" t="str">
        <f t="shared" si="1"/>
        <v>Excluded</v>
      </c>
      <c r="B2724" s="70">
        <f t="shared" si="2"/>
        <v>0</v>
      </c>
      <c r="C2724" s="70">
        <v>0.0</v>
      </c>
      <c r="D2724" s="70">
        <v>0.0</v>
      </c>
      <c r="E2724" s="70">
        <v>0.0</v>
      </c>
      <c r="F2724" s="70">
        <v>0.0</v>
      </c>
      <c r="G2724" s="70">
        <v>0.0</v>
      </c>
      <c r="H2724" s="70" t="s">
        <v>27285</v>
      </c>
      <c r="I2724" s="70">
        <v>2948.0</v>
      </c>
      <c r="J2724" s="70" t="s">
        <v>27283</v>
      </c>
      <c r="K2724" s="70" t="s">
        <v>27284</v>
      </c>
      <c r="W2724" s="70" t="s">
        <v>31166</v>
      </c>
      <c r="AA2724" s="70" t="s">
        <v>27287</v>
      </c>
      <c r="AI2724" s="70" t="s">
        <v>27288</v>
      </c>
      <c r="AJ2724" s="70" t="s">
        <v>27289</v>
      </c>
      <c r="AK2724" s="70">
        <v>2021.0</v>
      </c>
      <c r="AL2724" s="70" t="s">
        <v>27290</v>
      </c>
      <c r="AN2724" s="70">
        <v>426.0</v>
      </c>
      <c r="AO2724" s="70">
        <v>432.0</v>
      </c>
      <c r="AP2724" s="70">
        <v>6.0</v>
      </c>
      <c r="AQ2724" s="70">
        <v>7.0</v>
      </c>
      <c r="AR2724" s="75" t="s">
        <v>27291</v>
      </c>
      <c r="AS2724" s="70" t="s">
        <v>22525</v>
      </c>
      <c r="AT2724" s="70" t="s">
        <v>22656</v>
      </c>
      <c r="AU2724" s="70" t="s">
        <v>237</v>
      </c>
      <c r="AV2724" s="70" t="s">
        <v>27292</v>
      </c>
      <c r="AW2724" s="70" t="s">
        <v>27293</v>
      </c>
      <c r="AX2724" s="70">
        <v>0.0</v>
      </c>
      <c r="AY2724" s="70" t="s">
        <v>24</v>
      </c>
      <c r="AZ2724" s="70">
        <v>2991.0</v>
      </c>
    </row>
    <row r="2725" ht="22.5" customHeight="1">
      <c r="A2725" s="70" t="str">
        <f t="shared" si="1"/>
        <v>Excluded</v>
      </c>
      <c r="B2725" s="70">
        <f t="shared" si="2"/>
        <v>0</v>
      </c>
      <c r="C2725" s="70">
        <v>0.0</v>
      </c>
      <c r="D2725" s="70">
        <v>0.0</v>
      </c>
      <c r="E2725" s="70">
        <v>0.0</v>
      </c>
      <c r="F2725" s="70">
        <v>0.0</v>
      </c>
      <c r="G2725" s="70">
        <v>0.0</v>
      </c>
      <c r="H2725" s="70" t="s">
        <v>858</v>
      </c>
      <c r="I2725" s="70">
        <v>42.0</v>
      </c>
      <c r="J2725" s="70" t="s">
        <v>854</v>
      </c>
      <c r="K2725" s="70" t="s">
        <v>855</v>
      </c>
      <c r="L2725" s="70" t="s">
        <v>856</v>
      </c>
      <c r="M2725" s="70" t="s">
        <v>857</v>
      </c>
      <c r="O2725" s="75" t="s">
        <v>859</v>
      </c>
      <c r="P2725" s="70">
        <v>2021.0</v>
      </c>
      <c r="Q2725" s="70" t="s">
        <v>861</v>
      </c>
      <c r="U2725" s="70" t="s">
        <v>401</v>
      </c>
      <c r="V2725" s="70" t="s">
        <v>402</v>
      </c>
      <c r="W2725" s="70" t="s">
        <v>863</v>
      </c>
      <c r="AW2725" s="70" t="s">
        <v>864</v>
      </c>
      <c r="AX2725" s="70">
        <v>0.0</v>
      </c>
      <c r="AY2725" s="70" t="s">
        <v>24</v>
      </c>
      <c r="AZ2725" s="70">
        <v>2684.0</v>
      </c>
    </row>
    <row r="2726" ht="22.5" customHeight="1">
      <c r="A2726" s="70" t="str">
        <f t="shared" si="1"/>
        <v>Excluded</v>
      </c>
      <c r="B2726" s="70">
        <f t="shared" si="2"/>
        <v>0</v>
      </c>
      <c r="C2726" s="70">
        <v>0.0</v>
      </c>
      <c r="D2726" s="70">
        <v>0.0</v>
      </c>
      <c r="E2726" s="70">
        <v>0.0</v>
      </c>
      <c r="F2726" s="70">
        <v>0.0</v>
      </c>
      <c r="G2726" s="70">
        <v>0.0</v>
      </c>
      <c r="H2726" s="70" t="s">
        <v>3885</v>
      </c>
      <c r="I2726" s="70">
        <v>333.0</v>
      </c>
      <c r="J2726" s="70" t="s">
        <v>31167</v>
      </c>
      <c r="K2726" s="70" t="s">
        <v>3884</v>
      </c>
      <c r="L2726" s="70" t="s">
        <v>3635</v>
      </c>
      <c r="N2726" s="70" t="s">
        <v>3636</v>
      </c>
      <c r="O2726" s="75" t="s">
        <v>3886</v>
      </c>
      <c r="P2726" s="81">
        <v>44562.0</v>
      </c>
      <c r="W2726" s="70" t="s">
        <v>3888</v>
      </c>
      <c r="AW2726" s="70" t="s">
        <v>3889</v>
      </c>
      <c r="AZ2726" s="70">
        <v>164.0</v>
      </c>
    </row>
    <row r="2727" ht="22.5" customHeight="1">
      <c r="A2727" s="70" t="str">
        <f t="shared" si="1"/>
        <v>Excluded</v>
      </c>
      <c r="B2727" s="70">
        <f t="shared" si="2"/>
        <v>0</v>
      </c>
      <c r="C2727" s="70">
        <v>0.0</v>
      </c>
      <c r="D2727" s="70">
        <v>0.0</v>
      </c>
      <c r="E2727" s="70">
        <v>0.0</v>
      </c>
      <c r="F2727" s="70">
        <v>0.0</v>
      </c>
      <c r="G2727" s="70">
        <v>0.0</v>
      </c>
      <c r="H2727" s="70" t="s">
        <v>27209</v>
      </c>
      <c r="I2727" s="70">
        <v>2941.0</v>
      </c>
      <c r="J2727" s="70" t="s">
        <v>27207</v>
      </c>
      <c r="K2727" s="70" t="s">
        <v>27208</v>
      </c>
      <c r="W2727" s="70" t="s">
        <v>31168</v>
      </c>
      <c r="AA2727" s="70" t="s">
        <v>27211</v>
      </c>
      <c r="AI2727" s="70" t="s">
        <v>27212</v>
      </c>
      <c r="AJ2727" s="70" t="s">
        <v>27213</v>
      </c>
      <c r="AK2727" s="70">
        <v>2021.0</v>
      </c>
      <c r="AL2727" s="70" t="s">
        <v>27214</v>
      </c>
      <c r="AN2727" s="70">
        <v>37.0</v>
      </c>
      <c r="AO2727" s="70">
        <v>53.0</v>
      </c>
      <c r="AP2727" s="70">
        <v>16.0</v>
      </c>
      <c r="AQ2727" s="70">
        <v>79.0</v>
      </c>
      <c r="AR2727" s="75" t="s">
        <v>27215</v>
      </c>
      <c r="AS2727" s="70" t="s">
        <v>22525</v>
      </c>
      <c r="AU2727" s="70" t="s">
        <v>237</v>
      </c>
      <c r="AV2727" s="70" t="s">
        <v>27216</v>
      </c>
      <c r="AW2727" s="70" t="s">
        <v>27217</v>
      </c>
      <c r="AX2727" s="70">
        <v>0.0</v>
      </c>
      <c r="AY2727" s="70" t="s">
        <v>24</v>
      </c>
      <c r="AZ2727" s="70">
        <v>3125.0</v>
      </c>
    </row>
    <row r="2728" ht="22.5" customHeight="1">
      <c r="A2728" s="70" t="str">
        <f t="shared" si="1"/>
        <v>Excluded</v>
      </c>
      <c r="B2728" s="70">
        <f t="shared" si="2"/>
        <v>0</v>
      </c>
      <c r="C2728" s="70">
        <v>0.0</v>
      </c>
      <c r="D2728" s="70">
        <v>0.0</v>
      </c>
      <c r="E2728" s="70">
        <v>0.0</v>
      </c>
      <c r="F2728" s="70">
        <v>0.0</v>
      </c>
      <c r="G2728" s="70">
        <v>0.0</v>
      </c>
      <c r="H2728" s="70" t="s">
        <v>3274</v>
      </c>
      <c r="I2728" s="70">
        <v>269.0</v>
      </c>
      <c r="J2728" s="70" t="s">
        <v>3270</v>
      </c>
      <c r="K2728" s="70" t="s">
        <v>3271</v>
      </c>
      <c r="L2728" s="70" t="s">
        <v>3272</v>
      </c>
      <c r="M2728" s="70" t="s">
        <v>3273</v>
      </c>
      <c r="O2728" s="75" t="s">
        <v>3275</v>
      </c>
      <c r="P2728" s="70">
        <v>2022.0</v>
      </c>
      <c r="Q2728" s="70" t="s">
        <v>3277</v>
      </c>
      <c r="U2728" s="70" t="s">
        <v>401</v>
      </c>
      <c r="V2728" s="70" t="s">
        <v>402</v>
      </c>
      <c r="W2728" s="70" t="s">
        <v>31169</v>
      </c>
      <c r="AW2728" s="70" t="s">
        <v>3279</v>
      </c>
      <c r="AZ2728" s="70">
        <v>445.0</v>
      </c>
    </row>
    <row r="2729" ht="22.5" customHeight="1">
      <c r="A2729" s="70" t="str">
        <f t="shared" si="1"/>
        <v>Excluded</v>
      </c>
      <c r="B2729" s="70">
        <f t="shared" si="2"/>
        <v>0</v>
      </c>
      <c r="C2729" s="70">
        <v>0.0</v>
      </c>
      <c r="D2729" s="70">
        <v>0.0</v>
      </c>
      <c r="E2729" s="70">
        <v>0.0</v>
      </c>
      <c r="F2729" s="70">
        <v>0.0</v>
      </c>
      <c r="G2729" s="70">
        <v>0.0</v>
      </c>
      <c r="H2729" s="70" t="s">
        <v>4009</v>
      </c>
      <c r="I2729" s="70">
        <v>349.0</v>
      </c>
      <c r="J2729" s="70" t="s">
        <v>4006</v>
      </c>
      <c r="K2729" s="70" t="s">
        <v>4007</v>
      </c>
      <c r="L2729" s="70" t="s">
        <v>4008</v>
      </c>
      <c r="O2729" s="75" t="s">
        <v>4010</v>
      </c>
      <c r="P2729" s="81">
        <v>44593.0</v>
      </c>
      <c r="W2729" s="70" t="s">
        <v>4011</v>
      </c>
      <c r="AW2729" s="70" t="s">
        <v>4012</v>
      </c>
      <c r="AX2729" s="70">
        <v>0.0</v>
      </c>
      <c r="AY2729" s="70" t="s">
        <v>24</v>
      </c>
      <c r="AZ2729" s="70">
        <v>2480.0</v>
      </c>
    </row>
    <row r="2730" ht="22.5" customHeight="1">
      <c r="A2730" s="70" t="str">
        <f t="shared" si="1"/>
        <v>Excluded</v>
      </c>
      <c r="B2730" s="70">
        <f t="shared" si="2"/>
        <v>0</v>
      </c>
      <c r="C2730" s="70">
        <v>0.0</v>
      </c>
      <c r="D2730" s="70">
        <v>0.0</v>
      </c>
      <c r="E2730" s="70">
        <v>0.0</v>
      </c>
      <c r="F2730" s="70">
        <v>0.0</v>
      </c>
      <c r="G2730" s="70">
        <v>0.0</v>
      </c>
      <c r="H2730" s="70" t="s">
        <v>3993</v>
      </c>
      <c r="I2730" s="70">
        <v>347.0</v>
      </c>
      <c r="J2730" s="70" t="s">
        <v>31170</v>
      </c>
      <c r="K2730" s="70" t="s">
        <v>3992</v>
      </c>
      <c r="L2730" s="70" t="s">
        <v>3860</v>
      </c>
      <c r="N2730" s="70" t="s">
        <v>3861</v>
      </c>
      <c r="O2730" s="75" t="s">
        <v>3994</v>
      </c>
      <c r="P2730" s="80">
        <v>44896.0</v>
      </c>
      <c r="W2730" s="70" t="s">
        <v>3995</v>
      </c>
      <c r="AW2730" s="70" t="s">
        <v>3996</v>
      </c>
      <c r="AX2730" s="70">
        <v>0.0</v>
      </c>
      <c r="AY2730" s="70" t="s">
        <v>24</v>
      </c>
      <c r="AZ2730" s="70">
        <v>2891.0</v>
      </c>
    </row>
    <row r="2731" ht="22.5" customHeight="1">
      <c r="A2731" s="70" t="str">
        <f t="shared" si="1"/>
        <v>Excluded</v>
      </c>
      <c r="B2731" s="70">
        <f t="shared" si="2"/>
        <v>0</v>
      </c>
      <c r="C2731" s="70">
        <v>0.0</v>
      </c>
      <c r="D2731" s="70">
        <v>0.0</v>
      </c>
      <c r="E2731" s="70">
        <v>0.0</v>
      </c>
      <c r="F2731" s="70">
        <v>0.0</v>
      </c>
      <c r="G2731" s="70">
        <v>0.0</v>
      </c>
      <c r="H2731" s="70" t="s">
        <v>1952</v>
      </c>
      <c r="I2731" s="70">
        <v>144.0</v>
      </c>
      <c r="J2731" s="70" t="s">
        <v>1948</v>
      </c>
      <c r="K2731" s="70" t="s">
        <v>1949</v>
      </c>
      <c r="L2731" s="70" t="s">
        <v>1950</v>
      </c>
      <c r="M2731" s="70" t="s">
        <v>1951</v>
      </c>
      <c r="O2731" s="75" t="s">
        <v>1953</v>
      </c>
      <c r="P2731" s="70">
        <v>2022.0</v>
      </c>
      <c r="Q2731" s="70" t="s">
        <v>1955</v>
      </c>
      <c r="U2731" s="70" t="s">
        <v>401</v>
      </c>
      <c r="V2731" s="70" t="s">
        <v>402</v>
      </c>
      <c r="W2731" s="70" t="s">
        <v>1957</v>
      </c>
      <c r="AW2731" s="70" t="s">
        <v>1958</v>
      </c>
      <c r="AX2731" s="70">
        <v>0.0</v>
      </c>
      <c r="AY2731" s="70" t="s">
        <v>24</v>
      </c>
      <c r="AZ2731" s="70">
        <v>2623.0</v>
      </c>
    </row>
    <row r="2732" ht="22.5" customHeight="1">
      <c r="A2732" s="70" t="str">
        <f t="shared" si="1"/>
        <v>Excluded</v>
      </c>
      <c r="B2732" s="70">
        <f t="shared" si="2"/>
        <v>0</v>
      </c>
      <c r="C2732" s="70">
        <v>0.0</v>
      </c>
      <c r="D2732" s="70">
        <v>0.0</v>
      </c>
      <c r="E2732" s="70">
        <v>0.0</v>
      </c>
      <c r="F2732" s="70">
        <v>0.0</v>
      </c>
      <c r="G2732" s="70">
        <v>0.0</v>
      </c>
      <c r="H2732" s="70" t="s">
        <v>3870</v>
      </c>
      <c r="I2732" s="70">
        <v>331.0</v>
      </c>
      <c r="J2732" s="70" t="s">
        <v>3868</v>
      </c>
      <c r="K2732" s="70" t="s">
        <v>3869</v>
      </c>
      <c r="L2732" s="70" t="s">
        <v>3719</v>
      </c>
      <c r="N2732" s="70" t="s">
        <v>3720</v>
      </c>
      <c r="O2732" s="75" t="s">
        <v>3871</v>
      </c>
      <c r="P2732" s="81">
        <v>44621.0</v>
      </c>
      <c r="W2732" s="70" t="s">
        <v>31171</v>
      </c>
      <c r="AW2732" s="70" t="s">
        <v>3874</v>
      </c>
      <c r="AX2732" s="70">
        <v>0.0</v>
      </c>
      <c r="AY2732" s="70" t="s">
        <v>24</v>
      </c>
      <c r="AZ2732" s="70">
        <v>2082.0</v>
      </c>
    </row>
    <row r="2733" ht="22.5" customHeight="1">
      <c r="A2733" s="70" t="str">
        <f t="shared" si="1"/>
        <v>Excluded</v>
      </c>
      <c r="B2733" s="70">
        <f t="shared" si="2"/>
        <v>0</v>
      </c>
      <c r="C2733" s="70">
        <v>0.0</v>
      </c>
      <c r="D2733" s="70">
        <v>0.0</v>
      </c>
      <c r="E2733" s="70">
        <v>0.0</v>
      </c>
      <c r="F2733" s="70">
        <v>0.0</v>
      </c>
      <c r="G2733" s="70">
        <v>0.0</v>
      </c>
      <c r="H2733" s="70" t="s">
        <v>972</v>
      </c>
      <c r="I2733" s="70">
        <v>53.0</v>
      </c>
      <c r="J2733" s="70" t="s">
        <v>968</v>
      </c>
      <c r="K2733" s="70" t="s">
        <v>969</v>
      </c>
      <c r="L2733" s="70" t="s">
        <v>970</v>
      </c>
      <c r="M2733" s="70" t="s">
        <v>971</v>
      </c>
      <c r="O2733" s="75" t="s">
        <v>973</v>
      </c>
      <c r="P2733" s="70">
        <v>2021.0</v>
      </c>
      <c r="Q2733" s="70" t="s">
        <v>975</v>
      </c>
      <c r="U2733" s="70" t="s">
        <v>401</v>
      </c>
      <c r="V2733" s="70" t="s">
        <v>402</v>
      </c>
      <c r="W2733" s="70" t="s">
        <v>977</v>
      </c>
      <c r="AW2733" s="70" t="s">
        <v>978</v>
      </c>
      <c r="AX2733" s="70">
        <v>0.0</v>
      </c>
      <c r="AY2733" s="70" t="s">
        <v>24</v>
      </c>
      <c r="AZ2733" s="70">
        <v>1699.0</v>
      </c>
    </row>
    <row r="2734" ht="22.5" customHeight="1">
      <c r="A2734" s="70" t="str">
        <f t="shared" si="1"/>
        <v>Excluded</v>
      </c>
      <c r="B2734" s="70">
        <f t="shared" si="2"/>
        <v>0</v>
      </c>
      <c r="C2734" s="70">
        <v>0.0</v>
      </c>
      <c r="D2734" s="70">
        <v>0.0</v>
      </c>
      <c r="E2734" s="70">
        <v>0.0</v>
      </c>
      <c r="F2734" s="70">
        <v>0.0</v>
      </c>
      <c r="G2734" s="70">
        <v>0.0</v>
      </c>
      <c r="H2734" s="70" t="s">
        <v>27461</v>
      </c>
      <c r="I2734" s="70">
        <v>2966.0</v>
      </c>
      <c r="J2734" s="70" t="s">
        <v>27459</v>
      </c>
      <c r="K2734" s="70" t="s">
        <v>27460</v>
      </c>
      <c r="W2734" s="70" t="s">
        <v>31172</v>
      </c>
      <c r="AA2734" s="70" t="s">
        <v>27463</v>
      </c>
      <c r="AI2734" s="70" t="s">
        <v>27464</v>
      </c>
      <c r="AJ2734" s="70" t="s">
        <v>27465</v>
      </c>
      <c r="AK2734" s="70">
        <v>2021.0</v>
      </c>
      <c r="AL2734" s="70" t="s">
        <v>27466</v>
      </c>
      <c r="AN2734" s="70">
        <v>1.0</v>
      </c>
      <c r="AO2734" s="70">
        <v>8.0</v>
      </c>
      <c r="AP2734" s="70">
        <v>7.0</v>
      </c>
      <c r="AQ2734" s="70">
        <v>9.0</v>
      </c>
      <c r="AR2734" s="75" t="s">
        <v>27467</v>
      </c>
      <c r="AS2734" s="70" t="s">
        <v>22525</v>
      </c>
      <c r="AU2734" s="70" t="s">
        <v>237</v>
      </c>
      <c r="AV2734" s="70" t="s">
        <v>27468</v>
      </c>
      <c r="AW2734" s="70" t="s">
        <v>27469</v>
      </c>
      <c r="AX2734" s="70">
        <v>0.0</v>
      </c>
      <c r="AY2734" s="70" t="s">
        <v>24</v>
      </c>
      <c r="AZ2734" s="70">
        <v>1806.0</v>
      </c>
    </row>
    <row r="2735" ht="22.5" customHeight="1">
      <c r="A2735" s="70" t="str">
        <f t="shared" si="1"/>
        <v>Excluded</v>
      </c>
      <c r="B2735" s="70">
        <f t="shared" si="2"/>
        <v>0</v>
      </c>
      <c r="C2735" s="70">
        <v>0.0</v>
      </c>
      <c r="D2735" s="70">
        <v>0.0</v>
      </c>
      <c r="E2735" s="70">
        <v>0.0</v>
      </c>
      <c r="F2735" s="70">
        <v>0.0</v>
      </c>
      <c r="G2735" s="70">
        <v>0.0</v>
      </c>
      <c r="H2735" s="70" t="s">
        <v>3326</v>
      </c>
      <c r="I2735" s="70">
        <v>274.0</v>
      </c>
      <c r="J2735" s="70" t="s">
        <v>31173</v>
      </c>
      <c r="K2735" s="70" t="s">
        <v>3323</v>
      </c>
      <c r="L2735" s="70" t="s">
        <v>3324</v>
      </c>
      <c r="M2735" s="70" t="s">
        <v>3325</v>
      </c>
      <c r="O2735" s="75" t="s">
        <v>3327</v>
      </c>
      <c r="P2735" s="70">
        <v>2022.0</v>
      </c>
      <c r="Q2735" s="70" t="s">
        <v>3329</v>
      </c>
      <c r="U2735" s="70" t="s">
        <v>401</v>
      </c>
      <c r="V2735" s="70" t="s">
        <v>402</v>
      </c>
      <c r="W2735" s="70" t="s">
        <v>31174</v>
      </c>
      <c r="AW2735" s="70" t="s">
        <v>3332</v>
      </c>
      <c r="AX2735" s="70">
        <v>0.0</v>
      </c>
      <c r="AY2735" s="70" t="s">
        <v>24</v>
      </c>
      <c r="AZ2735" s="70">
        <v>2384.0</v>
      </c>
    </row>
    <row r="2736" ht="22.5" customHeight="1">
      <c r="A2736" s="70" t="str">
        <f t="shared" si="1"/>
        <v>Excluded</v>
      </c>
      <c r="B2736" s="70">
        <f t="shared" si="2"/>
        <v>0</v>
      </c>
      <c r="C2736" s="70">
        <v>0.0</v>
      </c>
      <c r="D2736" s="70">
        <v>0.0</v>
      </c>
      <c r="E2736" s="70">
        <v>0.0</v>
      </c>
      <c r="F2736" s="70">
        <v>0.0</v>
      </c>
      <c r="G2736" s="70">
        <v>0.0</v>
      </c>
      <c r="H2736" s="70" t="s">
        <v>4290</v>
      </c>
      <c r="I2736" s="70">
        <v>386.0</v>
      </c>
      <c r="J2736" s="70" t="s">
        <v>4288</v>
      </c>
      <c r="K2736" s="70" t="s">
        <v>4289</v>
      </c>
      <c r="L2736" s="70" t="s">
        <v>3635</v>
      </c>
      <c r="N2736" s="70" t="s">
        <v>3636</v>
      </c>
      <c r="O2736" s="75" t="s">
        <v>4291</v>
      </c>
      <c r="P2736" s="81">
        <v>44593.0</v>
      </c>
      <c r="W2736" s="70" t="s">
        <v>4292</v>
      </c>
      <c r="AW2736" s="70" t="s">
        <v>4293</v>
      </c>
      <c r="AZ2736" s="70">
        <v>243.0</v>
      </c>
    </row>
    <row r="2737" ht="22.5" customHeight="1">
      <c r="A2737" s="70" t="str">
        <f t="shared" si="1"/>
        <v>Excluded</v>
      </c>
      <c r="B2737" s="70">
        <f t="shared" si="2"/>
        <v>0</v>
      </c>
      <c r="C2737" s="70">
        <v>0.0</v>
      </c>
      <c r="D2737" s="70">
        <v>0.0</v>
      </c>
      <c r="E2737" s="70">
        <v>0.0</v>
      </c>
      <c r="F2737" s="70">
        <v>0.0</v>
      </c>
      <c r="G2737" s="70">
        <v>0.0</v>
      </c>
      <c r="H2737" s="70" t="s">
        <v>3909</v>
      </c>
      <c r="I2737" s="70">
        <v>336.0</v>
      </c>
      <c r="J2737" s="70" t="s">
        <v>3907</v>
      </c>
      <c r="K2737" s="70" t="s">
        <v>3908</v>
      </c>
      <c r="L2737" s="70" t="s">
        <v>3635</v>
      </c>
      <c r="N2737" s="70" t="s">
        <v>3636</v>
      </c>
      <c r="O2737" s="75" t="s">
        <v>3910</v>
      </c>
      <c r="P2737" s="81">
        <v>44593.0</v>
      </c>
      <c r="W2737" s="70" t="s">
        <v>3912</v>
      </c>
      <c r="AW2737" s="70" t="s">
        <v>3913</v>
      </c>
      <c r="AZ2737" s="70">
        <v>471.0</v>
      </c>
    </row>
    <row r="2738" ht="22.5" customHeight="1">
      <c r="A2738" s="70" t="str">
        <f t="shared" si="1"/>
        <v>Excluded</v>
      </c>
      <c r="B2738" s="70">
        <f t="shared" si="2"/>
        <v>0</v>
      </c>
      <c r="C2738" s="70">
        <v>0.0</v>
      </c>
      <c r="D2738" s="70">
        <v>0.0</v>
      </c>
      <c r="E2738" s="70">
        <v>0.0</v>
      </c>
      <c r="F2738" s="70">
        <v>0.0</v>
      </c>
      <c r="G2738" s="70">
        <v>0.0</v>
      </c>
      <c r="H2738" s="70" t="s">
        <v>3240</v>
      </c>
      <c r="I2738" s="70">
        <v>266.0</v>
      </c>
      <c r="J2738" s="70" t="s">
        <v>3236</v>
      </c>
      <c r="K2738" s="70" t="s">
        <v>3237</v>
      </c>
      <c r="L2738" s="70" t="s">
        <v>3238</v>
      </c>
      <c r="M2738" s="70" t="s">
        <v>3239</v>
      </c>
      <c r="O2738" s="75" t="s">
        <v>3241</v>
      </c>
      <c r="P2738" s="70">
        <v>2022.0</v>
      </c>
      <c r="Q2738" s="70" t="s">
        <v>3243</v>
      </c>
      <c r="U2738" s="70" t="s">
        <v>401</v>
      </c>
      <c r="V2738" s="70" t="s">
        <v>402</v>
      </c>
      <c r="W2738" s="70" t="s">
        <v>31175</v>
      </c>
      <c r="AW2738" s="70" t="s">
        <v>3246</v>
      </c>
      <c r="AX2738" s="70">
        <v>0.0</v>
      </c>
      <c r="AY2738" s="70" t="s">
        <v>24</v>
      </c>
      <c r="AZ2738" s="70">
        <v>3109.0</v>
      </c>
    </row>
    <row r="2739" ht="22.5" customHeight="1">
      <c r="A2739" s="70" t="str">
        <f t="shared" si="1"/>
        <v>Excluded</v>
      </c>
      <c r="B2739" s="70">
        <f t="shared" si="2"/>
        <v>0</v>
      </c>
      <c r="C2739" s="70">
        <v>0.0</v>
      </c>
      <c r="D2739" s="70">
        <v>0.0</v>
      </c>
      <c r="E2739" s="70">
        <v>0.0</v>
      </c>
      <c r="F2739" s="70">
        <v>0.0</v>
      </c>
      <c r="G2739" s="70">
        <v>0.0</v>
      </c>
      <c r="H2739" s="70" t="s">
        <v>4195</v>
      </c>
      <c r="I2739" s="70">
        <v>373.0</v>
      </c>
      <c r="J2739" s="70" t="s">
        <v>4192</v>
      </c>
      <c r="K2739" s="70" t="s">
        <v>4193</v>
      </c>
      <c r="L2739" s="70" t="s">
        <v>4194</v>
      </c>
      <c r="O2739" s="75" t="s">
        <v>4196</v>
      </c>
      <c r="P2739" s="81">
        <v>44593.0</v>
      </c>
      <c r="W2739" s="70" t="s">
        <v>4197</v>
      </c>
      <c r="AW2739" s="70" t="s">
        <v>4198</v>
      </c>
      <c r="AZ2739" s="70">
        <v>1037.0</v>
      </c>
    </row>
    <row r="2740" ht="22.5" customHeight="1">
      <c r="A2740" s="70" t="str">
        <f t="shared" si="1"/>
        <v>Excluded</v>
      </c>
      <c r="B2740" s="70">
        <f t="shared" si="2"/>
        <v>0</v>
      </c>
      <c r="C2740" s="70">
        <v>0.0</v>
      </c>
      <c r="D2740" s="70">
        <v>0.0</v>
      </c>
      <c r="E2740" s="70">
        <v>0.0</v>
      </c>
      <c r="F2740" s="70">
        <v>0.0</v>
      </c>
      <c r="G2740" s="70">
        <v>0.0</v>
      </c>
      <c r="H2740" s="70" t="s">
        <v>4261</v>
      </c>
      <c r="I2740" s="70">
        <v>382.0</v>
      </c>
      <c r="J2740" s="70" t="s">
        <v>4259</v>
      </c>
      <c r="K2740" s="70" t="s">
        <v>4260</v>
      </c>
      <c r="L2740" s="70" t="s">
        <v>3635</v>
      </c>
      <c r="N2740" s="70" t="s">
        <v>3636</v>
      </c>
      <c r="O2740" s="75" t="s">
        <v>4262</v>
      </c>
      <c r="P2740" s="81">
        <v>44805.0</v>
      </c>
      <c r="W2740" s="70" t="s">
        <v>4263</v>
      </c>
      <c r="AW2740" s="70" t="s">
        <v>4264</v>
      </c>
      <c r="AX2740" s="70">
        <v>0.0</v>
      </c>
      <c r="AY2740" s="70" t="s">
        <v>24</v>
      </c>
      <c r="AZ2740" s="70">
        <v>2104.0</v>
      </c>
    </row>
    <row r="2741" ht="22.5" customHeight="1">
      <c r="A2741" s="70" t="str">
        <f t="shared" si="1"/>
        <v>Excluded</v>
      </c>
      <c r="B2741" s="70">
        <f t="shared" si="2"/>
        <v>0</v>
      </c>
      <c r="C2741" s="70">
        <v>0.0</v>
      </c>
      <c r="D2741" s="70">
        <v>0.0</v>
      </c>
      <c r="E2741" s="70">
        <v>0.0</v>
      </c>
      <c r="F2741" s="70">
        <v>0.0</v>
      </c>
      <c r="G2741" s="70">
        <v>0.0</v>
      </c>
      <c r="H2741" s="70" t="s">
        <v>4157</v>
      </c>
      <c r="I2741" s="70">
        <v>368.0</v>
      </c>
      <c r="J2741" s="70" t="s">
        <v>4155</v>
      </c>
      <c r="K2741" s="70" t="s">
        <v>4156</v>
      </c>
      <c r="L2741" s="70" t="s">
        <v>3635</v>
      </c>
      <c r="N2741" s="70" t="s">
        <v>3636</v>
      </c>
      <c r="O2741" s="75" t="s">
        <v>4158</v>
      </c>
      <c r="P2741" s="81">
        <v>44805.0</v>
      </c>
      <c r="W2741" s="70" t="s">
        <v>4159</v>
      </c>
      <c r="AW2741" s="70" t="s">
        <v>4160</v>
      </c>
      <c r="AZ2741" s="70">
        <v>322.0</v>
      </c>
    </row>
    <row r="2742" ht="22.5" customHeight="1">
      <c r="A2742" s="70" t="str">
        <f t="shared" si="1"/>
        <v>Excluded</v>
      </c>
      <c r="B2742" s="70">
        <f t="shared" si="2"/>
        <v>0</v>
      </c>
      <c r="C2742" s="70">
        <v>0.0</v>
      </c>
      <c r="D2742" s="70">
        <v>0.0</v>
      </c>
      <c r="E2742" s="70">
        <v>0.0</v>
      </c>
      <c r="F2742" s="70">
        <v>0.0</v>
      </c>
      <c r="G2742" s="70">
        <v>0.0</v>
      </c>
      <c r="H2742" s="70" t="s">
        <v>4187</v>
      </c>
      <c r="I2742" s="70">
        <v>372.0</v>
      </c>
      <c r="J2742" s="70" t="s">
        <v>4185</v>
      </c>
      <c r="K2742" s="70" t="s">
        <v>4186</v>
      </c>
      <c r="L2742" s="70" t="s">
        <v>3635</v>
      </c>
      <c r="N2742" s="70" t="s">
        <v>3636</v>
      </c>
      <c r="O2742" s="75" t="s">
        <v>4188</v>
      </c>
      <c r="P2742" s="81">
        <v>44805.0</v>
      </c>
      <c r="W2742" s="70" t="s">
        <v>4189</v>
      </c>
      <c r="AW2742" s="70" t="s">
        <v>4190</v>
      </c>
      <c r="AX2742" s="70">
        <v>0.0</v>
      </c>
      <c r="AY2742" s="70" t="s">
        <v>24</v>
      </c>
      <c r="AZ2742" s="70">
        <v>1775.0</v>
      </c>
    </row>
    <row r="2743" ht="22.5" customHeight="1">
      <c r="A2743" s="70" t="str">
        <f t="shared" si="1"/>
        <v>Excluded</v>
      </c>
      <c r="B2743" s="70">
        <f t="shared" si="2"/>
        <v>0</v>
      </c>
      <c r="C2743" s="70">
        <v>0.0</v>
      </c>
      <c r="D2743" s="70">
        <v>0.0</v>
      </c>
      <c r="E2743" s="70">
        <v>0.0</v>
      </c>
      <c r="F2743" s="70">
        <v>0.0</v>
      </c>
      <c r="G2743" s="70">
        <v>0.0</v>
      </c>
      <c r="H2743" s="70" t="s">
        <v>3901</v>
      </c>
      <c r="I2743" s="70">
        <v>335.0</v>
      </c>
      <c r="J2743" s="70" t="s">
        <v>3899</v>
      </c>
      <c r="K2743" s="70" t="s">
        <v>3900</v>
      </c>
      <c r="L2743" s="70" t="s">
        <v>3635</v>
      </c>
      <c r="N2743" s="70" t="s">
        <v>3636</v>
      </c>
      <c r="O2743" s="75" t="s">
        <v>3902</v>
      </c>
      <c r="P2743" s="81">
        <v>44805.0</v>
      </c>
      <c r="W2743" s="70" t="s">
        <v>3904</v>
      </c>
      <c r="AW2743" s="70" t="s">
        <v>3905</v>
      </c>
      <c r="AX2743" s="70">
        <v>0.0</v>
      </c>
      <c r="AY2743" s="70" t="s">
        <v>24</v>
      </c>
      <c r="AZ2743" s="70">
        <v>2154.0</v>
      </c>
    </row>
    <row r="2744" ht="22.5" customHeight="1">
      <c r="A2744" s="70" t="str">
        <f t="shared" si="1"/>
        <v>Excluded</v>
      </c>
      <c r="B2744" s="70">
        <f t="shared" si="2"/>
        <v>0</v>
      </c>
      <c r="C2744" s="70">
        <v>0.0</v>
      </c>
      <c r="D2744" s="70">
        <v>0.0</v>
      </c>
      <c r="E2744" s="70">
        <v>0.0</v>
      </c>
      <c r="F2744" s="70">
        <v>0.0</v>
      </c>
      <c r="G2744" s="70">
        <v>0.0</v>
      </c>
      <c r="H2744" s="70" t="s">
        <v>4202</v>
      </c>
      <c r="I2744" s="70">
        <v>374.0</v>
      </c>
      <c r="J2744" s="70" t="s">
        <v>4200</v>
      </c>
      <c r="K2744" s="70" t="s">
        <v>4201</v>
      </c>
      <c r="L2744" s="70" t="s">
        <v>3635</v>
      </c>
      <c r="N2744" s="70" t="s">
        <v>3636</v>
      </c>
      <c r="O2744" s="75" t="s">
        <v>4203</v>
      </c>
      <c r="P2744" s="80">
        <v>44866.0</v>
      </c>
      <c r="W2744" s="70" t="s">
        <v>4204</v>
      </c>
      <c r="AW2744" s="70" t="s">
        <v>4205</v>
      </c>
      <c r="AX2744" s="70">
        <v>0.0</v>
      </c>
      <c r="AY2744" s="70" t="s">
        <v>24</v>
      </c>
      <c r="AZ2744" s="70">
        <v>2642.0</v>
      </c>
    </row>
    <row r="2745" ht="22.5" customHeight="1">
      <c r="A2745" s="70" t="str">
        <f t="shared" si="1"/>
        <v>Excluded</v>
      </c>
      <c r="B2745" s="70">
        <f t="shared" si="2"/>
        <v>0</v>
      </c>
      <c r="C2745" s="70">
        <v>0.0</v>
      </c>
      <c r="D2745" s="70">
        <v>0.0</v>
      </c>
      <c r="E2745" s="70">
        <v>0.0</v>
      </c>
      <c r="F2745" s="70">
        <v>0.0</v>
      </c>
      <c r="G2745" s="70">
        <v>0.0</v>
      </c>
      <c r="H2745" s="70" t="s">
        <v>4316</v>
      </c>
      <c r="I2745" s="70">
        <v>389.0</v>
      </c>
      <c r="J2745" s="70" t="s">
        <v>4313</v>
      </c>
      <c r="K2745" s="70" t="s">
        <v>4314</v>
      </c>
      <c r="L2745" s="70" t="s">
        <v>4315</v>
      </c>
      <c r="O2745" s="75" t="s">
        <v>4317</v>
      </c>
      <c r="P2745" s="81">
        <v>44652.0</v>
      </c>
      <c r="W2745" s="70" t="s">
        <v>4320</v>
      </c>
      <c r="AW2745" s="70" t="s">
        <v>4321</v>
      </c>
      <c r="AZ2745" s="70">
        <v>221.0</v>
      </c>
    </row>
    <row r="2746" ht="22.5" customHeight="1">
      <c r="A2746" s="70" t="str">
        <f t="shared" si="1"/>
        <v>Excluded</v>
      </c>
      <c r="B2746" s="70">
        <f t="shared" si="2"/>
        <v>0</v>
      </c>
      <c r="C2746" s="70">
        <v>0.0</v>
      </c>
      <c r="D2746" s="70">
        <v>0.0</v>
      </c>
      <c r="E2746" s="70">
        <v>0.0</v>
      </c>
      <c r="F2746" s="70">
        <v>0.0</v>
      </c>
      <c r="G2746" s="70">
        <v>0.0</v>
      </c>
      <c r="H2746" s="70" t="s">
        <v>3949</v>
      </c>
      <c r="I2746" s="70">
        <v>341.0</v>
      </c>
      <c r="J2746" s="70" t="s">
        <v>3947</v>
      </c>
      <c r="K2746" s="70" t="s">
        <v>3948</v>
      </c>
      <c r="L2746" s="70" t="s">
        <v>3635</v>
      </c>
      <c r="N2746" s="70" t="s">
        <v>3636</v>
      </c>
      <c r="O2746" s="75" t="s">
        <v>3950</v>
      </c>
      <c r="P2746" s="81">
        <v>44805.0</v>
      </c>
      <c r="W2746" s="70" t="s">
        <v>3951</v>
      </c>
      <c r="AW2746" s="70" t="s">
        <v>3952</v>
      </c>
      <c r="AX2746" s="70">
        <v>0.0</v>
      </c>
      <c r="AY2746" s="70" t="s">
        <v>24</v>
      </c>
      <c r="AZ2746" s="70">
        <v>3126.0</v>
      </c>
    </row>
    <row r="2747" ht="22.5" customHeight="1">
      <c r="A2747" s="70" t="str">
        <f t="shared" si="1"/>
        <v>Excluded</v>
      </c>
      <c r="B2747" s="70">
        <f t="shared" si="2"/>
        <v>0</v>
      </c>
      <c r="C2747" s="70">
        <v>0.0</v>
      </c>
      <c r="D2747" s="70">
        <v>0.0</v>
      </c>
      <c r="E2747" s="70">
        <v>0.0</v>
      </c>
      <c r="F2747" s="70">
        <v>0.0</v>
      </c>
      <c r="G2747" s="70">
        <v>0.0</v>
      </c>
      <c r="H2747" s="70" t="s">
        <v>633</v>
      </c>
      <c r="I2747" s="70">
        <v>22.0</v>
      </c>
      <c r="J2747" s="70" t="s">
        <v>629</v>
      </c>
      <c r="K2747" s="70" t="s">
        <v>630</v>
      </c>
      <c r="L2747" s="70" t="s">
        <v>631</v>
      </c>
      <c r="M2747" s="70" t="s">
        <v>632</v>
      </c>
      <c r="O2747" s="75" t="s">
        <v>634</v>
      </c>
      <c r="P2747" s="70">
        <v>2022.0</v>
      </c>
      <c r="Q2747" s="70" t="s">
        <v>636</v>
      </c>
      <c r="U2747" s="70" t="s">
        <v>401</v>
      </c>
      <c r="V2747" s="70" t="s">
        <v>402</v>
      </c>
      <c r="W2747" s="70" t="s">
        <v>638</v>
      </c>
      <c r="AW2747" s="70" t="s">
        <v>639</v>
      </c>
      <c r="AX2747" s="70">
        <v>0.0</v>
      </c>
      <c r="AY2747" s="70" t="s">
        <v>24</v>
      </c>
      <c r="AZ2747" s="70">
        <v>2651.0</v>
      </c>
    </row>
    <row r="2748" ht="22.5" customHeight="1">
      <c r="A2748" s="70" t="str">
        <f t="shared" si="1"/>
        <v>Excluded</v>
      </c>
      <c r="B2748" s="70">
        <f t="shared" si="2"/>
        <v>0</v>
      </c>
      <c r="C2748" s="70">
        <v>0.0</v>
      </c>
      <c r="D2748" s="70">
        <v>0.0</v>
      </c>
      <c r="E2748" s="70">
        <v>0.0</v>
      </c>
      <c r="F2748" s="70">
        <v>0.0</v>
      </c>
      <c r="G2748" s="70">
        <v>0.0</v>
      </c>
      <c r="H2748" s="70" t="s">
        <v>3745</v>
      </c>
      <c r="I2748" s="70">
        <v>316.0</v>
      </c>
      <c r="J2748" s="70" t="s">
        <v>3741</v>
      </c>
      <c r="K2748" s="70" t="s">
        <v>3742</v>
      </c>
      <c r="L2748" s="70" t="s">
        <v>3743</v>
      </c>
      <c r="N2748" s="70" t="s">
        <v>3744</v>
      </c>
      <c r="O2748" s="75" t="s">
        <v>3746</v>
      </c>
      <c r="P2748" s="80">
        <v>44866.0</v>
      </c>
      <c r="W2748" s="70" t="s">
        <v>31176</v>
      </c>
      <c r="AW2748" s="70" t="s">
        <v>3749</v>
      </c>
      <c r="AX2748" s="70">
        <v>0.0</v>
      </c>
      <c r="AY2748" s="70" t="s">
        <v>24</v>
      </c>
      <c r="AZ2748" s="70">
        <v>2615.0</v>
      </c>
    </row>
    <row r="2749" ht="22.5" customHeight="1">
      <c r="A2749" s="70" t="str">
        <f t="shared" si="1"/>
        <v>Excluded</v>
      </c>
      <c r="B2749" s="70">
        <f t="shared" si="2"/>
        <v>0</v>
      </c>
      <c r="C2749" s="70">
        <v>0.0</v>
      </c>
      <c r="D2749" s="70">
        <v>0.0</v>
      </c>
      <c r="E2749" s="70">
        <v>0.0</v>
      </c>
      <c r="F2749" s="70">
        <v>0.0</v>
      </c>
      <c r="G2749" s="70">
        <v>0.0</v>
      </c>
      <c r="H2749" s="70" t="s">
        <v>4371</v>
      </c>
      <c r="I2749" s="70">
        <v>396.0</v>
      </c>
      <c r="J2749" s="70" t="s">
        <v>4369</v>
      </c>
      <c r="K2749" s="70" t="s">
        <v>4370</v>
      </c>
      <c r="L2749" s="70" t="s">
        <v>3635</v>
      </c>
      <c r="N2749" s="70" t="s">
        <v>3636</v>
      </c>
      <c r="O2749" s="75" t="s">
        <v>4372</v>
      </c>
      <c r="P2749" s="80">
        <v>44866.0</v>
      </c>
      <c r="W2749" s="70" t="s">
        <v>4373</v>
      </c>
      <c r="AW2749" s="70" t="s">
        <v>4374</v>
      </c>
      <c r="AX2749" s="70">
        <v>0.0</v>
      </c>
      <c r="AY2749" s="70" t="s">
        <v>24</v>
      </c>
      <c r="AZ2749" s="70">
        <v>2986.0</v>
      </c>
    </row>
    <row r="2750" ht="22.5" customHeight="1">
      <c r="A2750" s="70" t="str">
        <f t="shared" si="1"/>
        <v>Excluded</v>
      </c>
      <c r="B2750" s="70">
        <f t="shared" si="2"/>
        <v>0</v>
      </c>
      <c r="C2750" s="70">
        <v>0.0</v>
      </c>
      <c r="D2750" s="70">
        <v>0.0</v>
      </c>
      <c r="E2750" s="70">
        <v>0.0</v>
      </c>
      <c r="F2750" s="70">
        <v>0.0</v>
      </c>
      <c r="G2750" s="70">
        <v>0.0</v>
      </c>
      <c r="H2750" s="70" t="s">
        <v>27375</v>
      </c>
      <c r="I2750" s="70">
        <v>2957.0</v>
      </c>
      <c r="J2750" s="70" t="s">
        <v>27373</v>
      </c>
      <c r="K2750" s="70" t="s">
        <v>27374</v>
      </c>
      <c r="W2750" s="70" t="s">
        <v>31177</v>
      </c>
      <c r="AA2750" s="70" t="s">
        <v>27377</v>
      </c>
      <c r="AI2750" s="70" t="s">
        <v>27378</v>
      </c>
      <c r="AJ2750" s="70" t="s">
        <v>27379</v>
      </c>
      <c r="AK2750" s="70">
        <v>2021.0</v>
      </c>
      <c r="AL2750" s="70" t="s">
        <v>27380</v>
      </c>
      <c r="AM2750" s="70">
        <v>3524452.0</v>
      </c>
      <c r="AQ2750" s="70">
        <v>12.0</v>
      </c>
      <c r="AR2750" s="75" t="s">
        <v>27381</v>
      </c>
      <c r="AS2750" s="70" t="s">
        <v>22525</v>
      </c>
      <c r="AT2750" s="70" t="s">
        <v>27024</v>
      </c>
      <c r="AU2750" s="70" t="s">
        <v>237</v>
      </c>
      <c r="AV2750" s="70" t="s">
        <v>27382</v>
      </c>
      <c r="AW2750" s="70" t="s">
        <v>27383</v>
      </c>
      <c r="AX2750" s="70">
        <v>0.0</v>
      </c>
      <c r="AY2750" s="70" t="s">
        <v>24</v>
      </c>
      <c r="AZ2750" s="70">
        <v>2903.0</v>
      </c>
    </row>
    <row r="2751" ht="22.5" customHeight="1">
      <c r="A2751" s="70" t="str">
        <f t="shared" si="1"/>
        <v>Excluded</v>
      </c>
      <c r="B2751" s="70">
        <f t="shared" si="2"/>
        <v>0</v>
      </c>
      <c r="C2751" s="70">
        <v>0.0</v>
      </c>
      <c r="D2751" s="70">
        <v>0.0</v>
      </c>
      <c r="E2751" s="70">
        <v>0.0</v>
      </c>
      <c r="F2751" s="70">
        <v>0.0</v>
      </c>
      <c r="G2751" s="70">
        <v>0.0</v>
      </c>
      <c r="H2751" s="70" t="s">
        <v>2650</v>
      </c>
      <c r="I2751" s="70">
        <v>211.0</v>
      </c>
      <c r="J2751" s="70" t="s">
        <v>31178</v>
      </c>
      <c r="K2751" s="70" t="s">
        <v>2647</v>
      </c>
      <c r="L2751" s="70" t="s">
        <v>2648</v>
      </c>
      <c r="M2751" s="70" t="s">
        <v>2649</v>
      </c>
      <c r="O2751" s="75" t="s">
        <v>2651</v>
      </c>
      <c r="P2751" s="70">
        <v>2022.0</v>
      </c>
      <c r="Q2751" s="70" t="s">
        <v>2653</v>
      </c>
      <c r="U2751" s="70" t="s">
        <v>401</v>
      </c>
      <c r="V2751" s="70" t="s">
        <v>402</v>
      </c>
      <c r="W2751" s="70" t="s">
        <v>2654</v>
      </c>
      <c r="AW2751" s="70" t="s">
        <v>2655</v>
      </c>
      <c r="AX2751" s="70">
        <v>0.0</v>
      </c>
      <c r="AY2751" s="70" t="s">
        <v>24</v>
      </c>
      <c r="AZ2751" s="70">
        <v>1857.0</v>
      </c>
    </row>
    <row r="2752" ht="22.5" customHeight="1">
      <c r="A2752" s="70" t="str">
        <f t="shared" si="1"/>
        <v>Excluded</v>
      </c>
      <c r="B2752" s="70">
        <f t="shared" si="2"/>
        <v>0</v>
      </c>
      <c r="C2752" s="70">
        <v>0.0</v>
      </c>
      <c r="D2752" s="70">
        <v>0.0</v>
      </c>
      <c r="E2752" s="70">
        <v>0.0</v>
      </c>
      <c r="F2752" s="70">
        <v>0.0</v>
      </c>
      <c r="G2752" s="70">
        <v>0.0</v>
      </c>
      <c r="H2752" s="70" t="s">
        <v>4422</v>
      </c>
      <c r="I2752" s="70">
        <v>403.0</v>
      </c>
      <c r="J2752" s="70" t="s">
        <v>4420</v>
      </c>
      <c r="K2752" s="70" t="s">
        <v>4421</v>
      </c>
      <c r="L2752" s="70" t="s">
        <v>3655</v>
      </c>
      <c r="N2752" s="70" t="s">
        <v>3656</v>
      </c>
      <c r="O2752" s="75" t="s">
        <v>4423</v>
      </c>
      <c r="P2752" s="81">
        <v>44682.0</v>
      </c>
      <c r="W2752" s="70" t="s">
        <v>4425</v>
      </c>
      <c r="AW2752" s="70" t="s">
        <v>4426</v>
      </c>
      <c r="AX2752" s="70">
        <v>0.0</v>
      </c>
      <c r="AY2752" s="70" t="s">
        <v>24</v>
      </c>
      <c r="AZ2752" s="70">
        <v>2731.0</v>
      </c>
    </row>
    <row r="2753" ht="22.5" customHeight="1">
      <c r="A2753" s="70" t="str">
        <f t="shared" si="1"/>
        <v>Excluded</v>
      </c>
      <c r="B2753" s="70">
        <f t="shared" si="2"/>
        <v>0</v>
      </c>
      <c r="C2753" s="70">
        <v>0.0</v>
      </c>
      <c r="D2753" s="70">
        <v>0.0</v>
      </c>
      <c r="E2753" s="70">
        <v>0.0</v>
      </c>
      <c r="F2753" s="70">
        <v>0.0</v>
      </c>
      <c r="G2753" s="70">
        <v>0.0</v>
      </c>
      <c r="H2753" s="70" t="s">
        <v>2164</v>
      </c>
      <c r="I2753" s="70">
        <v>164.0</v>
      </c>
      <c r="J2753" s="70" t="s">
        <v>2160</v>
      </c>
      <c r="K2753" s="70" t="s">
        <v>2161</v>
      </c>
      <c r="L2753" s="70" t="s">
        <v>2162</v>
      </c>
      <c r="M2753" s="70" t="s">
        <v>2163</v>
      </c>
      <c r="O2753" s="75" t="s">
        <v>2165</v>
      </c>
      <c r="P2753" s="70">
        <v>2022.0</v>
      </c>
      <c r="Q2753" s="70" t="s">
        <v>2167</v>
      </c>
      <c r="U2753" s="70" t="s">
        <v>401</v>
      </c>
      <c r="V2753" s="70" t="s">
        <v>402</v>
      </c>
      <c r="W2753" s="70" t="s">
        <v>2169</v>
      </c>
      <c r="AZ2753" s="70">
        <v>1022.0</v>
      </c>
    </row>
    <row r="2754" ht="22.5" customHeight="1">
      <c r="A2754" s="70" t="str">
        <f t="shared" si="1"/>
        <v>Excluded</v>
      </c>
      <c r="B2754" s="70">
        <f t="shared" si="2"/>
        <v>0</v>
      </c>
      <c r="C2754" s="70">
        <v>0.0</v>
      </c>
      <c r="D2754" s="70">
        <v>0.0</v>
      </c>
      <c r="E2754" s="70">
        <v>0.0</v>
      </c>
      <c r="F2754" s="70">
        <v>0.0</v>
      </c>
      <c r="G2754" s="70">
        <v>0.0</v>
      </c>
      <c r="H2754" s="70" t="s">
        <v>2546</v>
      </c>
      <c r="I2754" s="70">
        <v>200.0</v>
      </c>
      <c r="J2754" s="70" t="s">
        <v>31179</v>
      </c>
      <c r="K2754" s="70" t="s">
        <v>2545</v>
      </c>
      <c r="L2754" s="70" t="s">
        <v>2162</v>
      </c>
      <c r="M2754" s="70" t="s">
        <v>2163</v>
      </c>
      <c r="O2754" s="75" t="s">
        <v>2547</v>
      </c>
      <c r="P2754" s="70">
        <v>2022.0</v>
      </c>
      <c r="Q2754" s="70" t="s">
        <v>2167</v>
      </c>
      <c r="U2754" s="70" t="s">
        <v>401</v>
      </c>
      <c r="V2754" s="70" t="s">
        <v>402</v>
      </c>
      <c r="W2754" s="70" t="s">
        <v>2549</v>
      </c>
      <c r="AW2754" s="70" t="s">
        <v>2550</v>
      </c>
      <c r="AZ2754" s="70">
        <v>1137.0</v>
      </c>
    </row>
    <row r="2755" ht="22.5" customHeight="1">
      <c r="A2755" s="70" t="str">
        <f t="shared" si="1"/>
        <v>Excluded</v>
      </c>
      <c r="B2755" s="70">
        <f t="shared" si="2"/>
        <v>0</v>
      </c>
      <c r="C2755" s="70">
        <v>0.0</v>
      </c>
      <c r="D2755" s="70">
        <v>0.0</v>
      </c>
      <c r="E2755" s="70">
        <v>0.0</v>
      </c>
      <c r="F2755" s="70">
        <v>0.0</v>
      </c>
      <c r="G2755" s="70">
        <v>0.0</v>
      </c>
      <c r="H2755" s="70" t="s">
        <v>3407</v>
      </c>
      <c r="I2755" s="70">
        <v>282.0</v>
      </c>
      <c r="J2755" s="70" t="s">
        <v>3403</v>
      </c>
      <c r="K2755" s="70" t="s">
        <v>3404</v>
      </c>
      <c r="L2755" s="70" t="s">
        <v>3405</v>
      </c>
      <c r="M2755" s="70" t="s">
        <v>3406</v>
      </c>
      <c r="O2755" s="75" t="s">
        <v>3408</v>
      </c>
      <c r="P2755" s="70">
        <v>2022.0</v>
      </c>
      <c r="Q2755" s="70" t="s">
        <v>3410</v>
      </c>
      <c r="U2755" s="70" t="s">
        <v>401</v>
      </c>
      <c r="V2755" s="70" t="s">
        <v>402</v>
      </c>
      <c r="W2755" s="70" t="s">
        <v>31180</v>
      </c>
      <c r="AW2755" s="70" t="s">
        <v>3413</v>
      </c>
      <c r="AX2755" s="70">
        <v>0.0</v>
      </c>
      <c r="AY2755" s="70" t="s">
        <v>24</v>
      </c>
      <c r="AZ2755" s="70">
        <v>2740.0</v>
      </c>
    </row>
    <row r="2756" ht="22.5" customHeight="1">
      <c r="A2756" s="70" t="str">
        <f t="shared" si="1"/>
        <v>Excluded</v>
      </c>
      <c r="B2756" s="70">
        <f t="shared" si="2"/>
        <v>0</v>
      </c>
      <c r="C2756" s="70">
        <v>0.0</v>
      </c>
      <c r="D2756" s="70">
        <v>0.0</v>
      </c>
      <c r="E2756" s="70">
        <v>0.0</v>
      </c>
      <c r="F2756" s="70">
        <v>0.0</v>
      </c>
      <c r="G2756" s="70">
        <v>0.0</v>
      </c>
      <c r="H2756" s="70" t="s">
        <v>4559</v>
      </c>
      <c r="I2756" s="70">
        <v>421.0</v>
      </c>
      <c r="J2756" s="70" t="s">
        <v>4557</v>
      </c>
      <c r="K2756" s="70" t="s">
        <v>4558</v>
      </c>
      <c r="L2756" s="70" t="s">
        <v>4438</v>
      </c>
      <c r="O2756" s="75" t="s">
        <v>4560</v>
      </c>
      <c r="P2756" s="81">
        <v>44652.0</v>
      </c>
      <c r="W2756" s="70" t="s">
        <v>4562</v>
      </c>
      <c r="AW2756" s="70" t="s">
        <v>4563</v>
      </c>
      <c r="AZ2756" s="70">
        <v>817.0</v>
      </c>
    </row>
    <row r="2757" ht="22.5" customHeight="1">
      <c r="A2757" s="70" t="str">
        <f t="shared" si="1"/>
        <v>Excluded</v>
      </c>
      <c r="B2757" s="70">
        <f t="shared" si="2"/>
        <v>0</v>
      </c>
      <c r="C2757" s="70">
        <v>0.0</v>
      </c>
      <c r="D2757" s="70">
        <v>0.0</v>
      </c>
      <c r="E2757" s="70">
        <v>0.0</v>
      </c>
      <c r="F2757" s="70">
        <v>0.0</v>
      </c>
      <c r="G2757" s="70">
        <v>0.0</v>
      </c>
      <c r="H2757" s="70" t="s">
        <v>4476</v>
      </c>
      <c r="I2757" s="70">
        <v>410.0</v>
      </c>
      <c r="J2757" s="70" t="s">
        <v>4474</v>
      </c>
      <c r="K2757" s="70" t="s">
        <v>4475</v>
      </c>
      <c r="L2757" s="70" t="s">
        <v>3860</v>
      </c>
      <c r="N2757" s="70" t="s">
        <v>3861</v>
      </c>
      <c r="O2757" s="75" t="s">
        <v>4477</v>
      </c>
      <c r="P2757" s="81">
        <v>44774.0</v>
      </c>
      <c r="W2757" s="70" t="s">
        <v>4479</v>
      </c>
      <c r="AW2757" s="70" t="s">
        <v>4480</v>
      </c>
      <c r="AX2757" s="70">
        <v>0.0</v>
      </c>
      <c r="AY2757" s="70" t="s">
        <v>24</v>
      </c>
      <c r="AZ2757" s="70">
        <v>2699.0</v>
      </c>
    </row>
    <row r="2758" ht="22.5" customHeight="1">
      <c r="A2758" s="70" t="str">
        <f t="shared" si="1"/>
        <v>Excluded</v>
      </c>
      <c r="B2758" s="70">
        <f t="shared" si="2"/>
        <v>0</v>
      </c>
      <c r="C2758" s="70">
        <v>0.0</v>
      </c>
      <c r="D2758" s="70">
        <v>0.0</v>
      </c>
      <c r="E2758" s="70">
        <v>0.0</v>
      </c>
      <c r="F2758" s="70">
        <v>0.0</v>
      </c>
      <c r="G2758" s="70">
        <v>0.0</v>
      </c>
      <c r="H2758" s="70" t="s">
        <v>4126</v>
      </c>
      <c r="I2758" s="70">
        <v>364.0</v>
      </c>
      <c r="J2758" s="70" t="s">
        <v>4124</v>
      </c>
      <c r="K2758" s="70" t="s">
        <v>4125</v>
      </c>
      <c r="L2758" s="70" t="s">
        <v>3635</v>
      </c>
      <c r="N2758" s="70" t="s">
        <v>3636</v>
      </c>
      <c r="O2758" s="75" t="s">
        <v>4127</v>
      </c>
      <c r="P2758" s="80">
        <v>44896.0</v>
      </c>
      <c r="W2758" s="70" t="s">
        <v>4128</v>
      </c>
      <c r="AW2758" s="70" t="s">
        <v>4129</v>
      </c>
      <c r="AZ2758" s="70">
        <v>449.0</v>
      </c>
    </row>
    <row r="2759" ht="22.5" customHeight="1">
      <c r="A2759" s="70" t="str">
        <f t="shared" si="1"/>
        <v>Excluded</v>
      </c>
      <c r="B2759" s="70">
        <f t="shared" si="2"/>
        <v>0</v>
      </c>
      <c r="C2759" s="70">
        <v>0.0</v>
      </c>
      <c r="D2759" s="70">
        <v>0.0</v>
      </c>
      <c r="E2759" s="70">
        <v>0.0</v>
      </c>
      <c r="F2759" s="70">
        <v>0.0</v>
      </c>
      <c r="G2759" s="70">
        <v>0.0</v>
      </c>
      <c r="H2759" s="70" t="s">
        <v>1720</v>
      </c>
      <c r="I2759" s="70">
        <v>123.0</v>
      </c>
      <c r="J2759" s="70" t="s">
        <v>1716</v>
      </c>
      <c r="K2759" s="70" t="s">
        <v>1717</v>
      </c>
      <c r="L2759" s="70" t="s">
        <v>1718</v>
      </c>
      <c r="M2759" s="70" t="s">
        <v>1719</v>
      </c>
      <c r="O2759" s="75" t="s">
        <v>1721</v>
      </c>
      <c r="P2759" s="70">
        <v>2022.0</v>
      </c>
      <c r="Q2759" s="70" t="s">
        <v>1723</v>
      </c>
      <c r="U2759" s="70" t="s">
        <v>401</v>
      </c>
      <c r="V2759" s="70" t="s">
        <v>402</v>
      </c>
      <c r="W2759" s="70" t="s">
        <v>1725</v>
      </c>
      <c r="AZ2759" s="70">
        <v>625.0</v>
      </c>
    </row>
    <row r="2760" ht="22.5" customHeight="1">
      <c r="A2760" s="70" t="str">
        <f t="shared" si="1"/>
        <v>Excluded</v>
      </c>
      <c r="B2760" s="70">
        <f t="shared" si="2"/>
        <v>0</v>
      </c>
      <c r="C2760" s="70">
        <v>0.0</v>
      </c>
      <c r="D2760" s="70">
        <v>0.0</v>
      </c>
      <c r="E2760" s="70">
        <v>0.0</v>
      </c>
      <c r="F2760" s="70">
        <v>0.0</v>
      </c>
      <c r="G2760" s="70">
        <v>0.0</v>
      </c>
      <c r="H2760" s="70" t="s">
        <v>2173</v>
      </c>
      <c r="I2760" s="70">
        <v>165.0</v>
      </c>
      <c r="J2760" s="70" t="s">
        <v>2171</v>
      </c>
      <c r="K2760" s="70" t="s">
        <v>2172</v>
      </c>
      <c r="L2760" s="70" t="s">
        <v>454</v>
      </c>
      <c r="M2760" s="70" t="s">
        <v>455</v>
      </c>
      <c r="O2760" s="75" t="s">
        <v>2174</v>
      </c>
      <c r="P2760" s="70">
        <v>2022.0</v>
      </c>
      <c r="Q2760" s="70" t="s">
        <v>459</v>
      </c>
      <c r="U2760" s="70" t="s">
        <v>401</v>
      </c>
      <c r="V2760" s="70" t="s">
        <v>402</v>
      </c>
      <c r="W2760" s="70" t="s">
        <v>2176</v>
      </c>
      <c r="AW2760" s="70" t="s">
        <v>2177</v>
      </c>
      <c r="AX2760" s="70">
        <v>0.0</v>
      </c>
      <c r="AY2760" s="70" t="s">
        <v>24</v>
      </c>
      <c r="AZ2760" s="70">
        <v>2540.0</v>
      </c>
    </row>
    <row r="2761" ht="22.5" customHeight="1">
      <c r="A2761" s="70" t="str">
        <f t="shared" si="1"/>
        <v>Excluded</v>
      </c>
      <c r="B2761" s="70">
        <f t="shared" si="2"/>
        <v>0</v>
      </c>
      <c r="C2761" s="70">
        <v>0.0</v>
      </c>
      <c r="D2761" s="70">
        <v>0.0</v>
      </c>
      <c r="E2761" s="70">
        <v>0.0</v>
      </c>
      <c r="F2761" s="70">
        <v>0.0</v>
      </c>
      <c r="G2761" s="70">
        <v>0.0</v>
      </c>
      <c r="H2761" s="70" t="s">
        <v>2258</v>
      </c>
      <c r="I2761" s="70">
        <v>173.0</v>
      </c>
      <c r="J2761" s="70" t="s">
        <v>2256</v>
      </c>
      <c r="K2761" s="70" t="s">
        <v>2257</v>
      </c>
      <c r="L2761" s="70" t="s">
        <v>454</v>
      </c>
      <c r="M2761" s="70" t="s">
        <v>455</v>
      </c>
      <c r="O2761" s="75" t="s">
        <v>2259</v>
      </c>
      <c r="P2761" s="70">
        <v>2022.0</v>
      </c>
      <c r="Q2761" s="70" t="s">
        <v>459</v>
      </c>
      <c r="U2761" s="70" t="s">
        <v>401</v>
      </c>
      <c r="V2761" s="70" t="s">
        <v>402</v>
      </c>
      <c r="W2761" s="70" t="s">
        <v>2261</v>
      </c>
      <c r="AW2761" s="70" t="s">
        <v>2262</v>
      </c>
      <c r="AZ2761" s="70">
        <v>186.0</v>
      </c>
    </row>
    <row r="2762" ht="22.5" customHeight="1">
      <c r="A2762" s="70" t="str">
        <f t="shared" si="1"/>
        <v>Excluded</v>
      </c>
      <c r="B2762" s="70">
        <f t="shared" si="2"/>
        <v>0</v>
      </c>
      <c r="C2762" s="70">
        <v>0.0</v>
      </c>
      <c r="D2762" s="70">
        <v>0.0</v>
      </c>
      <c r="E2762" s="70">
        <v>0.0</v>
      </c>
      <c r="F2762" s="70">
        <v>0.0</v>
      </c>
      <c r="G2762" s="70">
        <v>0.0</v>
      </c>
      <c r="H2762" s="70" t="s">
        <v>456</v>
      </c>
      <c r="I2762" s="70">
        <v>6.0</v>
      </c>
      <c r="J2762" s="70" t="s">
        <v>452</v>
      </c>
      <c r="K2762" s="70" t="s">
        <v>453</v>
      </c>
      <c r="L2762" s="70" t="s">
        <v>454</v>
      </c>
      <c r="M2762" s="70" t="s">
        <v>455</v>
      </c>
      <c r="O2762" s="75" t="s">
        <v>457</v>
      </c>
      <c r="P2762" s="70">
        <v>2022.0</v>
      </c>
      <c r="Q2762" s="70" t="s">
        <v>459</v>
      </c>
      <c r="U2762" s="70" t="s">
        <v>401</v>
      </c>
      <c r="V2762" s="70" t="s">
        <v>402</v>
      </c>
      <c r="W2762" s="70" t="s">
        <v>461</v>
      </c>
      <c r="AW2762" s="70" t="s">
        <v>462</v>
      </c>
      <c r="AX2762" s="70">
        <v>0.0</v>
      </c>
      <c r="AY2762" s="70" t="s">
        <v>24</v>
      </c>
      <c r="AZ2762" s="70">
        <v>2091.0</v>
      </c>
    </row>
    <row r="2763" ht="22.5" customHeight="1">
      <c r="A2763" s="70" t="str">
        <f t="shared" si="1"/>
        <v>Excluded</v>
      </c>
      <c r="B2763" s="70">
        <f t="shared" si="2"/>
        <v>0</v>
      </c>
      <c r="C2763" s="70">
        <v>0.0</v>
      </c>
      <c r="D2763" s="70">
        <v>0.0</v>
      </c>
      <c r="E2763" s="70">
        <v>0.0</v>
      </c>
      <c r="F2763" s="70">
        <v>0.0</v>
      </c>
      <c r="G2763" s="70">
        <v>0.0</v>
      </c>
      <c r="H2763" s="70" t="s">
        <v>25825</v>
      </c>
      <c r="I2763" s="70">
        <v>2806.0</v>
      </c>
      <c r="J2763" s="70" t="s">
        <v>25823</v>
      </c>
      <c r="K2763" s="70" t="s">
        <v>25824</v>
      </c>
      <c r="W2763" s="70" t="s">
        <v>31181</v>
      </c>
      <c r="AA2763" s="70" t="s">
        <v>25827</v>
      </c>
      <c r="AI2763" s="70" t="s">
        <v>25828</v>
      </c>
      <c r="AJ2763" s="70" t="s">
        <v>25829</v>
      </c>
      <c r="AK2763" s="70">
        <v>2023.0</v>
      </c>
      <c r="AL2763" s="70" t="s">
        <v>25830</v>
      </c>
      <c r="AN2763" s="70">
        <v>1551.0</v>
      </c>
      <c r="AO2763" s="70">
        <v>1561.0</v>
      </c>
      <c r="AP2763" s="70">
        <v>10.0</v>
      </c>
      <c r="AQ2763" s="70">
        <v>7.0</v>
      </c>
      <c r="AR2763" s="75" t="s">
        <v>25831</v>
      </c>
      <c r="AS2763" s="70" t="s">
        <v>22525</v>
      </c>
      <c r="AU2763" s="70" t="s">
        <v>237</v>
      </c>
      <c r="AV2763" s="70" t="s">
        <v>25832</v>
      </c>
      <c r="AW2763" s="70" t="s">
        <v>25833</v>
      </c>
      <c r="AZ2763" s="70">
        <v>521.0</v>
      </c>
    </row>
    <row r="2764" ht="22.5" customHeight="1">
      <c r="A2764" s="70" t="str">
        <f t="shared" si="1"/>
        <v>Excluded</v>
      </c>
      <c r="B2764" s="70">
        <f t="shared" si="2"/>
        <v>0</v>
      </c>
      <c r="C2764" s="70">
        <v>0.0</v>
      </c>
      <c r="D2764" s="70">
        <v>0.0</v>
      </c>
      <c r="E2764" s="70">
        <v>0.0</v>
      </c>
      <c r="F2764" s="70">
        <v>0.0</v>
      </c>
      <c r="G2764" s="70">
        <v>0.0</v>
      </c>
      <c r="H2764" s="70" t="s">
        <v>2513</v>
      </c>
      <c r="I2764" s="70">
        <v>197.0</v>
      </c>
      <c r="J2764" s="70" t="s">
        <v>2509</v>
      </c>
      <c r="K2764" s="70" t="s">
        <v>2510</v>
      </c>
      <c r="L2764" s="70" t="s">
        <v>2511</v>
      </c>
      <c r="M2764" s="70" t="s">
        <v>2512</v>
      </c>
      <c r="O2764" s="75" t="s">
        <v>2514</v>
      </c>
      <c r="P2764" s="70">
        <v>2023.0</v>
      </c>
      <c r="Q2764" s="70" t="s">
        <v>2516</v>
      </c>
      <c r="U2764" s="70" t="s">
        <v>401</v>
      </c>
      <c r="V2764" s="70" t="s">
        <v>402</v>
      </c>
      <c r="W2764" s="70" t="s">
        <v>31182</v>
      </c>
      <c r="AW2764" s="70" t="s">
        <v>2519</v>
      </c>
      <c r="AX2764" s="70">
        <v>0.0</v>
      </c>
      <c r="AY2764" s="70" t="s">
        <v>24</v>
      </c>
      <c r="AZ2764" s="70">
        <v>2041.0</v>
      </c>
    </row>
    <row r="2765" ht="22.5" customHeight="1">
      <c r="A2765" s="70" t="str">
        <f t="shared" si="1"/>
        <v>Excluded</v>
      </c>
      <c r="B2765" s="70">
        <f t="shared" si="2"/>
        <v>0</v>
      </c>
      <c r="C2765" s="70">
        <v>0.0</v>
      </c>
      <c r="D2765" s="70">
        <v>0.0</v>
      </c>
      <c r="E2765" s="70">
        <v>0.0</v>
      </c>
      <c r="F2765" s="70">
        <v>0.0</v>
      </c>
      <c r="G2765" s="70">
        <v>0.0</v>
      </c>
      <c r="H2765" s="70" t="s">
        <v>1687</v>
      </c>
      <c r="I2765" s="70">
        <v>120.0</v>
      </c>
      <c r="J2765" s="70" t="s">
        <v>1683</v>
      </c>
      <c r="K2765" s="70" t="s">
        <v>1684</v>
      </c>
      <c r="L2765" s="70" t="s">
        <v>1685</v>
      </c>
      <c r="M2765" s="70" t="s">
        <v>1686</v>
      </c>
      <c r="O2765" s="75" t="s">
        <v>1688</v>
      </c>
      <c r="P2765" s="70">
        <v>2023.0</v>
      </c>
      <c r="Q2765" s="70" t="s">
        <v>1689</v>
      </c>
      <c r="U2765" s="70" t="s">
        <v>401</v>
      </c>
      <c r="V2765" s="70" t="s">
        <v>402</v>
      </c>
      <c r="W2765" s="70" t="s">
        <v>31183</v>
      </c>
      <c r="AZ2765" s="70">
        <v>754.0</v>
      </c>
    </row>
    <row r="2766" ht="22.5" customHeight="1">
      <c r="A2766" s="70" t="str">
        <f t="shared" si="1"/>
        <v>Excluded</v>
      </c>
      <c r="B2766" s="70">
        <f t="shared" si="2"/>
        <v>0</v>
      </c>
      <c r="C2766" s="70">
        <v>0.0</v>
      </c>
      <c r="D2766" s="70">
        <v>0.0</v>
      </c>
      <c r="E2766" s="70">
        <v>0.0</v>
      </c>
      <c r="F2766" s="70">
        <v>0.0</v>
      </c>
      <c r="G2766" s="70">
        <v>0.0</v>
      </c>
      <c r="H2766" s="70" t="s">
        <v>3560</v>
      </c>
      <c r="I2766" s="70">
        <v>297.0</v>
      </c>
      <c r="J2766" s="70" t="s">
        <v>3556</v>
      </c>
      <c r="K2766" s="70" t="s">
        <v>3557</v>
      </c>
      <c r="L2766" s="70" t="s">
        <v>3558</v>
      </c>
      <c r="M2766" s="70" t="s">
        <v>3559</v>
      </c>
      <c r="O2766" s="75" t="s">
        <v>3561</v>
      </c>
      <c r="P2766" s="70">
        <v>2022.0</v>
      </c>
      <c r="Q2766" s="70" t="s">
        <v>3563</v>
      </c>
      <c r="U2766" s="70" t="s">
        <v>401</v>
      </c>
      <c r="V2766" s="70" t="s">
        <v>402</v>
      </c>
      <c r="W2766" s="70" t="s">
        <v>3565</v>
      </c>
      <c r="AW2766" s="70" t="s">
        <v>3566</v>
      </c>
      <c r="AZ2766" s="70">
        <v>244.0</v>
      </c>
    </row>
    <row r="2767" ht="22.5" customHeight="1">
      <c r="A2767" s="70" t="str">
        <f t="shared" si="1"/>
        <v>Excluded</v>
      </c>
      <c r="B2767" s="70">
        <f t="shared" si="2"/>
        <v>0</v>
      </c>
      <c r="C2767" s="70">
        <v>0.0</v>
      </c>
      <c r="D2767" s="70">
        <v>0.0</v>
      </c>
      <c r="E2767" s="70">
        <v>0.0</v>
      </c>
      <c r="F2767" s="70">
        <v>0.0</v>
      </c>
      <c r="G2767" s="70">
        <v>0.0</v>
      </c>
      <c r="H2767" s="70" t="s">
        <v>2864</v>
      </c>
      <c r="I2767" s="70">
        <v>231.0</v>
      </c>
      <c r="J2767" s="70" t="s">
        <v>2860</v>
      </c>
      <c r="K2767" s="70" t="s">
        <v>2861</v>
      </c>
      <c r="L2767" s="70" t="s">
        <v>2862</v>
      </c>
      <c r="M2767" s="70" t="s">
        <v>2863</v>
      </c>
      <c r="O2767" s="75" t="s">
        <v>2865</v>
      </c>
      <c r="P2767" s="70">
        <v>2023.0</v>
      </c>
      <c r="Q2767" s="70" t="s">
        <v>2867</v>
      </c>
      <c r="U2767" s="70" t="s">
        <v>401</v>
      </c>
      <c r="V2767" s="70" t="s">
        <v>402</v>
      </c>
      <c r="W2767" s="70" t="s">
        <v>31184</v>
      </c>
      <c r="AW2767" s="70" t="s">
        <v>2869</v>
      </c>
      <c r="AX2767" s="70">
        <v>0.0</v>
      </c>
      <c r="AY2767" s="70" t="s">
        <v>24</v>
      </c>
      <c r="AZ2767" s="70">
        <v>3146.0</v>
      </c>
    </row>
    <row r="2768" ht="22.5" customHeight="1">
      <c r="A2768" s="70" t="str">
        <f t="shared" si="1"/>
        <v>Excluded</v>
      </c>
      <c r="B2768" s="70">
        <f t="shared" si="2"/>
        <v>0</v>
      </c>
      <c r="C2768" s="70">
        <v>0.0</v>
      </c>
      <c r="D2768" s="70">
        <v>0.0</v>
      </c>
      <c r="E2768" s="70">
        <v>0.0</v>
      </c>
      <c r="F2768" s="70">
        <v>0.0</v>
      </c>
      <c r="G2768" s="70">
        <v>0.0</v>
      </c>
      <c r="H2768" s="70" t="s">
        <v>1384</v>
      </c>
      <c r="I2768" s="70">
        <v>92.0</v>
      </c>
      <c r="J2768" s="70" t="s">
        <v>1380</v>
      </c>
      <c r="K2768" s="70" t="s">
        <v>1381</v>
      </c>
      <c r="L2768" s="70" t="s">
        <v>1382</v>
      </c>
      <c r="M2768" s="70" t="s">
        <v>1383</v>
      </c>
      <c r="O2768" s="75" t="s">
        <v>1385</v>
      </c>
      <c r="P2768" s="70">
        <v>2022.0</v>
      </c>
      <c r="Q2768" s="70" t="s">
        <v>1387</v>
      </c>
      <c r="U2768" s="70" t="s">
        <v>401</v>
      </c>
      <c r="V2768" s="70" t="s">
        <v>402</v>
      </c>
      <c r="W2768" s="70" t="s">
        <v>1389</v>
      </c>
      <c r="AW2768" s="70" t="s">
        <v>1390</v>
      </c>
      <c r="AX2768" s="70">
        <v>0.0</v>
      </c>
      <c r="AY2768" s="70" t="s">
        <v>24</v>
      </c>
      <c r="AZ2768" s="70">
        <v>1822.0</v>
      </c>
    </row>
    <row r="2769" ht="22.5" customHeight="1">
      <c r="A2769" s="70" t="str">
        <f t="shared" si="1"/>
        <v>Excluded</v>
      </c>
      <c r="B2769" s="70">
        <f t="shared" si="2"/>
        <v>0</v>
      </c>
      <c r="C2769" s="70">
        <v>0.0</v>
      </c>
      <c r="D2769" s="70">
        <v>0.0</v>
      </c>
      <c r="E2769" s="70">
        <v>0.0</v>
      </c>
      <c r="F2769" s="70">
        <v>0.0</v>
      </c>
      <c r="G2769" s="70">
        <v>0.0</v>
      </c>
      <c r="H2769" s="70" t="s">
        <v>25970</v>
      </c>
      <c r="I2769" s="70">
        <v>2820.0</v>
      </c>
      <c r="J2769" s="70" t="s">
        <v>25968</v>
      </c>
      <c r="K2769" s="70" t="s">
        <v>25969</v>
      </c>
      <c r="W2769" s="70" t="s">
        <v>31185</v>
      </c>
      <c r="AA2769" s="70" t="s">
        <v>25972</v>
      </c>
      <c r="AI2769" s="70" t="s">
        <v>25973</v>
      </c>
      <c r="AJ2769" s="70" t="s">
        <v>25974</v>
      </c>
      <c r="AK2769" s="70">
        <v>2023.0</v>
      </c>
      <c r="AL2769" s="70" t="s">
        <v>25975</v>
      </c>
      <c r="AM2769" s="70">
        <v>55.0</v>
      </c>
      <c r="AQ2769" s="70">
        <v>12.0</v>
      </c>
      <c r="AR2769" s="75" t="s">
        <v>25976</v>
      </c>
      <c r="AS2769" s="70" t="s">
        <v>22525</v>
      </c>
      <c r="AU2769" s="70" t="s">
        <v>237</v>
      </c>
      <c r="AV2769" s="70" t="s">
        <v>25977</v>
      </c>
      <c r="AW2769" s="70" t="s">
        <v>25978</v>
      </c>
      <c r="AX2769" s="70">
        <v>0.0</v>
      </c>
      <c r="AY2769" s="70" t="s">
        <v>24</v>
      </c>
      <c r="AZ2769" s="70">
        <v>2515.0</v>
      </c>
    </row>
    <row r="2770" ht="22.5" customHeight="1">
      <c r="A2770" s="70" t="str">
        <f t="shared" si="1"/>
        <v>Excluded</v>
      </c>
      <c r="B2770" s="70">
        <f t="shared" si="2"/>
        <v>0</v>
      </c>
      <c r="C2770" s="70">
        <v>0.0</v>
      </c>
      <c r="D2770" s="70">
        <v>0.0</v>
      </c>
      <c r="E2770" s="70">
        <v>0.0</v>
      </c>
      <c r="F2770" s="70">
        <v>0.0</v>
      </c>
      <c r="G2770" s="70">
        <v>0.0</v>
      </c>
      <c r="H2770" s="70" t="s">
        <v>3229</v>
      </c>
      <c r="I2770" s="70">
        <v>265.0</v>
      </c>
      <c r="J2770" s="70" t="s">
        <v>3225</v>
      </c>
      <c r="K2770" s="70" t="s">
        <v>3226</v>
      </c>
      <c r="L2770" s="70" t="s">
        <v>3227</v>
      </c>
      <c r="M2770" s="70" t="s">
        <v>3228</v>
      </c>
      <c r="O2770" s="75" t="s">
        <v>3230</v>
      </c>
      <c r="P2770" s="70">
        <v>2022.0</v>
      </c>
      <c r="Q2770" s="70" t="s">
        <v>3232</v>
      </c>
      <c r="U2770" s="70" t="s">
        <v>401</v>
      </c>
      <c r="V2770" s="70" t="s">
        <v>402</v>
      </c>
      <c r="W2770" s="70" t="s">
        <v>3233</v>
      </c>
      <c r="AW2770" s="70" t="s">
        <v>3234</v>
      </c>
      <c r="AZ2770" s="70">
        <v>653.0</v>
      </c>
    </row>
    <row r="2771" ht="22.5" customHeight="1">
      <c r="A2771" s="70" t="str">
        <f t="shared" si="1"/>
        <v>Excluded</v>
      </c>
      <c r="B2771" s="70">
        <f t="shared" si="2"/>
        <v>0</v>
      </c>
      <c r="C2771" s="70">
        <v>0.0</v>
      </c>
      <c r="D2771" s="70">
        <v>0.0</v>
      </c>
      <c r="E2771" s="70">
        <v>0.0</v>
      </c>
      <c r="F2771" s="70">
        <v>0.0</v>
      </c>
      <c r="G2771" s="70">
        <v>0.0</v>
      </c>
      <c r="H2771" s="70" t="s">
        <v>26285</v>
      </c>
      <c r="I2771" s="70">
        <v>2851.0</v>
      </c>
      <c r="J2771" s="70" t="s">
        <v>26283</v>
      </c>
      <c r="K2771" s="70" t="s">
        <v>26284</v>
      </c>
      <c r="W2771" s="70" t="s">
        <v>31186</v>
      </c>
      <c r="AA2771" s="70" t="s">
        <v>26287</v>
      </c>
      <c r="AI2771" s="70" t="s">
        <v>26288</v>
      </c>
      <c r="AJ2771" s="70" t="s">
        <v>26289</v>
      </c>
      <c r="AK2771" s="70">
        <v>2022.0</v>
      </c>
      <c r="AL2771" s="70" t="s">
        <v>26290</v>
      </c>
      <c r="AN2771" s="70">
        <v>16.0</v>
      </c>
      <c r="AO2771" s="70">
        <v>32.0</v>
      </c>
      <c r="AP2771" s="70">
        <v>16.0</v>
      </c>
      <c r="AQ2771" s="70">
        <v>1.0</v>
      </c>
      <c r="AR2771" s="75" t="s">
        <v>26291</v>
      </c>
      <c r="AS2771" s="70" t="s">
        <v>22525</v>
      </c>
      <c r="AU2771" s="70" t="s">
        <v>237</v>
      </c>
      <c r="AV2771" s="70" t="s">
        <v>26292</v>
      </c>
      <c r="AW2771" s="70" t="s">
        <v>26293</v>
      </c>
      <c r="AZ2771" s="70">
        <v>477.0</v>
      </c>
    </row>
    <row r="2772" ht="22.5" customHeight="1">
      <c r="A2772" s="70" t="str">
        <f t="shared" si="1"/>
        <v>Excluded</v>
      </c>
      <c r="B2772" s="70">
        <f t="shared" si="2"/>
        <v>0</v>
      </c>
      <c r="C2772" s="70">
        <v>0.0</v>
      </c>
      <c r="D2772" s="70">
        <v>0.0</v>
      </c>
      <c r="E2772" s="70">
        <v>0.0</v>
      </c>
      <c r="F2772" s="70">
        <v>0.0</v>
      </c>
      <c r="G2772" s="70">
        <v>0.0</v>
      </c>
      <c r="H2772" s="70" t="s">
        <v>1847</v>
      </c>
      <c r="I2772" s="70">
        <v>134.0</v>
      </c>
      <c r="J2772" s="70" t="s">
        <v>1843</v>
      </c>
      <c r="K2772" s="70" t="s">
        <v>1844</v>
      </c>
      <c r="L2772" s="70" t="s">
        <v>1845</v>
      </c>
      <c r="M2772" s="70" t="s">
        <v>1846</v>
      </c>
      <c r="O2772" s="75" t="s">
        <v>1848</v>
      </c>
      <c r="P2772" s="70">
        <v>2022.0</v>
      </c>
      <c r="Q2772" s="70" t="s">
        <v>1849</v>
      </c>
      <c r="U2772" s="70" t="s">
        <v>401</v>
      </c>
      <c r="V2772" s="70" t="s">
        <v>402</v>
      </c>
      <c r="W2772" s="70" t="s">
        <v>1851</v>
      </c>
      <c r="AW2772" s="70" t="s">
        <v>1852</v>
      </c>
      <c r="AZ2772" s="70">
        <v>416.0</v>
      </c>
    </row>
    <row r="2773" ht="22.5" customHeight="1">
      <c r="A2773" s="70" t="str">
        <f t="shared" si="1"/>
        <v>Excluded</v>
      </c>
      <c r="B2773" s="70">
        <f t="shared" si="2"/>
        <v>0</v>
      </c>
      <c r="C2773" s="70">
        <v>0.0</v>
      </c>
      <c r="D2773" s="70">
        <v>0.0</v>
      </c>
      <c r="E2773" s="70">
        <v>0.0</v>
      </c>
      <c r="F2773" s="70">
        <v>0.0</v>
      </c>
      <c r="G2773" s="70">
        <v>0.0</v>
      </c>
      <c r="H2773" s="70" t="s">
        <v>1091</v>
      </c>
      <c r="I2773" s="70">
        <v>64.0</v>
      </c>
      <c r="J2773" s="70" t="s">
        <v>31187</v>
      </c>
      <c r="K2773" s="70" t="s">
        <v>1088</v>
      </c>
      <c r="L2773" s="70" t="s">
        <v>1089</v>
      </c>
      <c r="M2773" s="70" t="s">
        <v>1090</v>
      </c>
      <c r="O2773" s="75" t="s">
        <v>1092</v>
      </c>
      <c r="P2773" s="70">
        <v>2023.0</v>
      </c>
      <c r="Q2773" s="70" t="s">
        <v>1094</v>
      </c>
      <c r="U2773" s="70" t="s">
        <v>401</v>
      </c>
      <c r="V2773" s="70" t="s">
        <v>402</v>
      </c>
      <c r="W2773" s="70" t="s">
        <v>1096</v>
      </c>
      <c r="AW2773" s="70" t="s">
        <v>1097</v>
      </c>
      <c r="AZ2773" s="70">
        <v>290.0</v>
      </c>
    </row>
    <row r="2774" ht="22.5" customHeight="1">
      <c r="A2774" s="70" t="str">
        <f t="shared" si="1"/>
        <v>Excluded</v>
      </c>
      <c r="B2774" s="70">
        <f t="shared" si="2"/>
        <v>0</v>
      </c>
      <c r="C2774" s="70">
        <v>0.0</v>
      </c>
      <c r="D2774" s="70">
        <v>0.0</v>
      </c>
      <c r="E2774" s="70">
        <v>0.0</v>
      </c>
      <c r="F2774" s="70">
        <v>0.0</v>
      </c>
      <c r="G2774" s="70">
        <v>0.0</v>
      </c>
      <c r="H2774" s="70" t="s">
        <v>3817</v>
      </c>
      <c r="I2774" s="70">
        <v>325.0</v>
      </c>
      <c r="J2774" s="70" t="s">
        <v>31188</v>
      </c>
      <c r="K2774" s="70" t="s">
        <v>3816</v>
      </c>
      <c r="L2774" s="70" t="s">
        <v>3635</v>
      </c>
      <c r="N2774" s="70" t="s">
        <v>3636</v>
      </c>
      <c r="O2774" s="75" t="s">
        <v>3818</v>
      </c>
      <c r="P2774" s="81">
        <v>44958.0</v>
      </c>
      <c r="W2774" s="70" t="s">
        <v>31189</v>
      </c>
      <c r="AW2774" s="70" t="s">
        <v>3821</v>
      </c>
      <c r="AZ2774" s="70">
        <v>765.0</v>
      </c>
    </row>
    <row r="2775" ht="22.5" customHeight="1">
      <c r="A2775" s="70" t="str">
        <f t="shared" si="1"/>
        <v>Excluded</v>
      </c>
      <c r="B2775" s="70">
        <f t="shared" si="2"/>
        <v>0</v>
      </c>
      <c r="C2775" s="70">
        <v>0.0</v>
      </c>
      <c r="D2775" s="70">
        <v>0.0</v>
      </c>
      <c r="E2775" s="70">
        <v>0.0</v>
      </c>
      <c r="F2775" s="70">
        <v>0.0</v>
      </c>
      <c r="G2775" s="70">
        <v>0.0</v>
      </c>
      <c r="H2775" s="70" t="s">
        <v>732</v>
      </c>
      <c r="I2775" s="70">
        <v>31.0</v>
      </c>
      <c r="J2775" s="70" t="s">
        <v>728</v>
      </c>
      <c r="K2775" s="70" t="s">
        <v>729</v>
      </c>
      <c r="L2775" s="70" t="s">
        <v>730</v>
      </c>
      <c r="M2775" s="70" t="s">
        <v>731</v>
      </c>
      <c r="O2775" s="75" t="s">
        <v>733</v>
      </c>
      <c r="P2775" s="70">
        <v>2023.0</v>
      </c>
      <c r="Q2775" s="70" t="s">
        <v>734</v>
      </c>
      <c r="U2775" s="70" t="s">
        <v>401</v>
      </c>
      <c r="V2775" s="70" t="s">
        <v>402</v>
      </c>
      <c r="W2775" s="70" t="s">
        <v>736</v>
      </c>
      <c r="AW2775" s="70" t="s">
        <v>737</v>
      </c>
      <c r="AZ2775" s="70">
        <v>550.0</v>
      </c>
    </row>
    <row r="2776" ht="22.5" customHeight="1">
      <c r="A2776" s="70" t="str">
        <f t="shared" si="1"/>
        <v>Excluded</v>
      </c>
      <c r="B2776" s="70">
        <f t="shared" si="2"/>
        <v>0</v>
      </c>
      <c r="C2776" s="70">
        <v>0.0</v>
      </c>
      <c r="D2776" s="70">
        <v>0.0</v>
      </c>
      <c r="E2776" s="70">
        <v>0.0</v>
      </c>
      <c r="F2776" s="70">
        <v>0.0</v>
      </c>
      <c r="G2776" s="70">
        <v>0.0</v>
      </c>
      <c r="H2776" s="70" t="s">
        <v>3844</v>
      </c>
      <c r="I2776" s="70">
        <v>328.0</v>
      </c>
      <c r="J2776" s="70" t="s">
        <v>3842</v>
      </c>
      <c r="K2776" s="70" t="s">
        <v>3843</v>
      </c>
      <c r="L2776" s="70" t="s">
        <v>3635</v>
      </c>
      <c r="N2776" s="70" t="s">
        <v>3636</v>
      </c>
      <c r="O2776" s="75" t="s">
        <v>3845</v>
      </c>
      <c r="P2776" s="81">
        <v>44986.0</v>
      </c>
      <c r="W2776" s="70" t="s">
        <v>3847</v>
      </c>
      <c r="AW2776" s="70" t="s">
        <v>3848</v>
      </c>
      <c r="AX2776" s="70">
        <v>0.0</v>
      </c>
      <c r="AY2776" s="70" t="s">
        <v>24</v>
      </c>
      <c r="AZ2776" s="70">
        <v>1855.0</v>
      </c>
    </row>
    <row r="2777" ht="22.5" customHeight="1">
      <c r="A2777" s="70" t="str">
        <f t="shared" si="1"/>
        <v>Excluded</v>
      </c>
      <c r="B2777" s="70">
        <f t="shared" si="2"/>
        <v>0</v>
      </c>
      <c r="C2777" s="70">
        <v>0.0</v>
      </c>
      <c r="D2777" s="70">
        <v>0.0</v>
      </c>
      <c r="E2777" s="70">
        <v>0.0</v>
      </c>
      <c r="F2777" s="70">
        <v>0.0</v>
      </c>
      <c r="G2777" s="70">
        <v>0.0</v>
      </c>
      <c r="H2777" s="70" t="s">
        <v>4180</v>
      </c>
      <c r="I2777" s="70">
        <v>371.0</v>
      </c>
      <c r="J2777" s="70" t="s">
        <v>4178</v>
      </c>
      <c r="K2777" s="70" t="s">
        <v>4179</v>
      </c>
      <c r="L2777" s="70" t="s">
        <v>4008</v>
      </c>
      <c r="O2777" s="75" t="s">
        <v>4181</v>
      </c>
      <c r="P2777" s="81">
        <v>44958.0</v>
      </c>
      <c r="W2777" s="70" t="s">
        <v>4182</v>
      </c>
      <c r="AW2777" s="70" t="s">
        <v>4183</v>
      </c>
      <c r="AZ2777" s="70">
        <v>455.0</v>
      </c>
    </row>
    <row r="2778" ht="22.5" customHeight="1">
      <c r="A2778" s="70" t="str">
        <f t="shared" si="1"/>
        <v>Excluded</v>
      </c>
      <c r="B2778" s="70">
        <f t="shared" si="2"/>
        <v>0</v>
      </c>
      <c r="C2778" s="70">
        <v>0.0</v>
      </c>
      <c r="D2778" s="70">
        <v>0.0</v>
      </c>
      <c r="E2778" s="70">
        <v>0.0</v>
      </c>
      <c r="F2778" s="70">
        <v>0.0</v>
      </c>
      <c r="G2778" s="70">
        <v>0.0</v>
      </c>
      <c r="H2778" s="70" t="s">
        <v>4041</v>
      </c>
      <c r="I2778" s="70">
        <v>353.0</v>
      </c>
      <c r="J2778" s="70" t="s">
        <v>4039</v>
      </c>
      <c r="K2778" s="70" t="s">
        <v>4040</v>
      </c>
      <c r="L2778" s="70" t="s">
        <v>3635</v>
      </c>
      <c r="N2778" s="70" t="s">
        <v>3636</v>
      </c>
      <c r="O2778" s="75" t="s">
        <v>4042</v>
      </c>
      <c r="P2778" s="81">
        <v>44986.0</v>
      </c>
      <c r="W2778" s="70" t="s">
        <v>4043</v>
      </c>
      <c r="AW2778" s="70" t="s">
        <v>4044</v>
      </c>
      <c r="AX2778" s="70">
        <v>0.0</v>
      </c>
      <c r="AY2778" s="70" t="s">
        <v>24</v>
      </c>
      <c r="AZ2778" s="70">
        <v>2161.0</v>
      </c>
    </row>
    <row r="2779" ht="22.5" customHeight="1">
      <c r="A2779" s="70" t="str">
        <f t="shared" si="1"/>
        <v>Excluded</v>
      </c>
      <c r="B2779" s="70">
        <f t="shared" si="2"/>
        <v>0</v>
      </c>
      <c r="C2779" s="70">
        <v>0.0</v>
      </c>
      <c r="D2779" s="70">
        <v>0.0</v>
      </c>
      <c r="E2779" s="70">
        <v>0.0</v>
      </c>
      <c r="F2779" s="70">
        <v>0.0</v>
      </c>
      <c r="G2779" s="70">
        <v>0.0</v>
      </c>
      <c r="H2779" s="70" t="s">
        <v>4513</v>
      </c>
      <c r="I2779" s="70">
        <v>415.0</v>
      </c>
      <c r="J2779" s="70" t="s">
        <v>31190</v>
      </c>
      <c r="K2779" s="70" t="s">
        <v>4512</v>
      </c>
      <c r="L2779" s="70" t="s">
        <v>4008</v>
      </c>
      <c r="O2779" s="75" t="s">
        <v>4514</v>
      </c>
      <c r="P2779" s="81">
        <v>44958.0</v>
      </c>
      <c r="W2779" s="70" t="s">
        <v>4515</v>
      </c>
      <c r="AW2779" s="70" t="s">
        <v>4516</v>
      </c>
      <c r="AX2779" s="70">
        <v>0.0</v>
      </c>
      <c r="AY2779" s="70" t="s">
        <v>24</v>
      </c>
      <c r="AZ2779" s="70">
        <v>2374.0</v>
      </c>
    </row>
    <row r="2780" ht="22.5" customHeight="1">
      <c r="A2780" s="70" t="str">
        <f t="shared" si="1"/>
        <v>Excluded</v>
      </c>
      <c r="B2780" s="70">
        <f t="shared" si="2"/>
        <v>0</v>
      </c>
      <c r="C2780" s="70">
        <v>0.0</v>
      </c>
      <c r="D2780" s="70">
        <v>0.0</v>
      </c>
      <c r="E2780" s="70">
        <v>0.0</v>
      </c>
      <c r="F2780" s="70">
        <v>0.0</v>
      </c>
      <c r="G2780" s="70">
        <v>0.0</v>
      </c>
      <c r="H2780" s="70" t="s">
        <v>4407</v>
      </c>
      <c r="I2780" s="70">
        <v>401.0</v>
      </c>
      <c r="J2780" s="70" t="s">
        <v>4405</v>
      </c>
      <c r="K2780" s="70" t="s">
        <v>4406</v>
      </c>
      <c r="L2780" s="70" t="s">
        <v>4008</v>
      </c>
      <c r="O2780" s="75" t="s">
        <v>4408</v>
      </c>
      <c r="P2780" s="81">
        <v>44958.0</v>
      </c>
      <c r="W2780" s="70" t="s">
        <v>31191</v>
      </c>
      <c r="AW2780" s="70" t="s">
        <v>4410</v>
      </c>
      <c r="AX2780" s="70">
        <v>0.0</v>
      </c>
      <c r="AY2780" s="70" t="s">
        <v>24</v>
      </c>
      <c r="AZ2780" s="70">
        <v>2144.0</v>
      </c>
    </row>
    <row r="2781" ht="22.5" customHeight="1">
      <c r="A2781" s="70" t="str">
        <f t="shared" si="1"/>
        <v>Excluded</v>
      </c>
      <c r="B2781" s="70">
        <f t="shared" si="2"/>
        <v>0</v>
      </c>
      <c r="C2781" s="70">
        <v>0.0</v>
      </c>
      <c r="D2781" s="70">
        <v>0.0</v>
      </c>
      <c r="E2781" s="70">
        <v>0.0</v>
      </c>
      <c r="F2781" s="70">
        <v>0.0</v>
      </c>
      <c r="G2781" s="70">
        <v>0.0</v>
      </c>
      <c r="H2781" s="70" t="s">
        <v>1985</v>
      </c>
      <c r="I2781" s="70">
        <v>147.0</v>
      </c>
      <c r="J2781" s="70" t="s">
        <v>1981</v>
      </c>
      <c r="K2781" s="70" t="s">
        <v>1982</v>
      </c>
      <c r="L2781" s="70" t="s">
        <v>1983</v>
      </c>
      <c r="M2781" s="70" t="s">
        <v>1984</v>
      </c>
      <c r="O2781" s="75" t="s">
        <v>1986</v>
      </c>
      <c r="P2781" s="70">
        <v>2023.0</v>
      </c>
      <c r="Q2781" s="70" t="s">
        <v>1988</v>
      </c>
      <c r="U2781" s="70" t="s">
        <v>401</v>
      </c>
      <c r="V2781" s="70" t="s">
        <v>402</v>
      </c>
      <c r="W2781" s="70" t="s">
        <v>1990</v>
      </c>
      <c r="AW2781" s="70" t="s">
        <v>1991</v>
      </c>
      <c r="AZ2781" s="70">
        <v>964.0</v>
      </c>
    </row>
    <row r="2782" ht="22.5" customHeight="1">
      <c r="A2782" s="70" t="str">
        <f t="shared" si="1"/>
        <v>Excluded</v>
      </c>
      <c r="B2782" s="70">
        <f t="shared" si="2"/>
        <v>0</v>
      </c>
      <c r="C2782" s="70">
        <v>0.0</v>
      </c>
      <c r="D2782" s="70">
        <v>0.0</v>
      </c>
      <c r="E2782" s="70">
        <v>0.0</v>
      </c>
      <c r="F2782" s="70">
        <v>0.0</v>
      </c>
      <c r="G2782" s="70">
        <v>0.0</v>
      </c>
      <c r="H2782" s="70" t="s">
        <v>2279</v>
      </c>
      <c r="I2782" s="70">
        <v>175.0</v>
      </c>
      <c r="J2782" s="70" t="s">
        <v>2275</v>
      </c>
      <c r="K2782" s="70" t="s">
        <v>2276</v>
      </c>
      <c r="L2782" s="70" t="s">
        <v>2277</v>
      </c>
      <c r="M2782" s="70" t="s">
        <v>2278</v>
      </c>
      <c r="O2782" s="75" t="s">
        <v>2280</v>
      </c>
      <c r="P2782" s="70">
        <v>2023.0</v>
      </c>
      <c r="Q2782" s="70" t="s">
        <v>2282</v>
      </c>
      <c r="U2782" s="70" t="s">
        <v>401</v>
      </c>
      <c r="V2782" s="70" t="s">
        <v>402</v>
      </c>
      <c r="W2782" s="70" t="s">
        <v>2283</v>
      </c>
      <c r="AW2782" s="70" t="s">
        <v>2284</v>
      </c>
      <c r="AZ2782" s="70">
        <v>855.0</v>
      </c>
    </row>
    <row r="2783" ht="22.5" customHeight="1">
      <c r="A2783" s="70" t="str">
        <f t="shared" si="1"/>
        <v>Excluded</v>
      </c>
      <c r="B2783" s="70">
        <f t="shared" si="2"/>
        <v>0</v>
      </c>
      <c r="C2783" s="70">
        <v>0.0</v>
      </c>
      <c r="D2783" s="70">
        <v>0.0</v>
      </c>
      <c r="E2783" s="70">
        <v>0.0</v>
      </c>
      <c r="F2783" s="70">
        <v>0.0</v>
      </c>
      <c r="G2783" s="70">
        <v>0.0</v>
      </c>
      <c r="H2783" s="70" t="s">
        <v>25312</v>
      </c>
      <c r="I2783" s="70">
        <v>2757.0</v>
      </c>
      <c r="J2783" s="70" t="s">
        <v>25310</v>
      </c>
      <c r="K2783" s="70" t="s">
        <v>25311</v>
      </c>
      <c r="W2783" s="70" t="s">
        <v>31192</v>
      </c>
      <c r="AA2783" s="70" t="s">
        <v>25314</v>
      </c>
      <c r="AI2783" s="70" t="s">
        <v>25315</v>
      </c>
      <c r="AJ2783" s="70" t="s">
        <v>25316</v>
      </c>
      <c r="AK2783" s="70">
        <v>2023.0</v>
      </c>
      <c r="AL2783" s="70" t="s">
        <v>25317</v>
      </c>
      <c r="AN2783" s="70">
        <v>209.0</v>
      </c>
      <c r="AO2783" s="70">
        <v>214.0</v>
      </c>
      <c r="AP2783" s="70">
        <v>5.0</v>
      </c>
      <c r="AQ2783" s="70">
        <v>0.0</v>
      </c>
      <c r="AR2783" s="75" t="s">
        <v>25318</v>
      </c>
      <c r="AS2783" s="70" t="s">
        <v>22525</v>
      </c>
      <c r="AU2783" s="70" t="s">
        <v>237</v>
      </c>
      <c r="AV2783" s="70" t="s">
        <v>25319</v>
      </c>
      <c r="AW2783" s="70" t="s">
        <v>25320</v>
      </c>
      <c r="AX2783" s="70">
        <v>0.0</v>
      </c>
      <c r="AY2783" s="70" t="s">
        <v>24</v>
      </c>
      <c r="AZ2783" s="70">
        <v>2955.0</v>
      </c>
    </row>
    <row r="2784" ht="22.5" customHeight="1">
      <c r="A2784" s="70" t="str">
        <f t="shared" si="1"/>
        <v>Excluded</v>
      </c>
      <c r="B2784" s="70">
        <f t="shared" si="2"/>
        <v>0</v>
      </c>
      <c r="C2784" s="70">
        <v>0.0</v>
      </c>
      <c r="D2784" s="70">
        <v>0.0</v>
      </c>
      <c r="E2784" s="70">
        <v>0.0</v>
      </c>
      <c r="F2784" s="70">
        <v>0.0</v>
      </c>
      <c r="G2784" s="70">
        <v>0.0</v>
      </c>
      <c r="H2784" s="70" t="s">
        <v>25291</v>
      </c>
      <c r="I2784" s="70">
        <v>2755.0</v>
      </c>
      <c r="J2784" s="70" t="s">
        <v>25289</v>
      </c>
      <c r="K2784" s="70" t="s">
        <v>25290</v>
      </c>
      <c r="W2784" s="70" t="s">
        <v>31193</v>
      </c>
      <c r="AA2784" s="70" t="s">
        <v>25293</v>
      </c>
      <c r="AI2784" s="70" t="s">
        <v>25294</v>
      </c>
      <c r="AJ2784" s="70" t="s">
        <v>25295</v>
      </c>
      <c r="AK2784" s="70">
        <v>2023.0</v>
      </c>
      <c r="AL2784" s="70" t="s">
        <v>24596</v>
      </c>
      <c r="AN2784" s="70">
        <v>433.0</v>
      </c>
      <c r="AO2784" s="70">
        <v>445.0</v>
      </c>
      <c r="AP2784" s="70">
        <v>12.0</v>
      </c>
      <c r="AQ2784" s="70">
        <v>2.0</v>
      </c>
      <c r="AR2784" s="75" t="s">
        <v>25296</v>
      </c>
      <c r="AS2784" s="70" t="s">
        <v>22525</v>
      </c>
      <c r="AT2784" s="70" t="s">
        <v>22656</v>
      </c>
      <c r="AU2784" s="70" t="s">
        <v>237</v>
      </c>
      <c r="AV2784" s="70" t="s">
        <v>25297</v>
      </c>
      <c r="AW2784" s="70" t="s">
        <v>25298</v>
      </c>
      <c r="AZ2784" s="70">
        <v>192.0</v>
      </c>
    </row>
    <row r="2785" ht="22.5" customHeight="1">
      <c r="A2785" s="70" t="str">
        <f t="shared" si="1"/>
        <v>Excluded</v>
      </c>
      <c r="B2785" s="70">
        <f t="shared" si="2"/>
        <v>0</v>
      </c>
      <c r="C2785" s="70">
        <v>0.0</v>
      </c>
      <c r="D2785" s="70">
        <v>0.0</v>
      </c>
      <c r="E2785" s="70">
        <v>0.0</v>
      </c>
      <c r="F2785" s="70">
        <v>0.0</v>
      </c>
      <c r="G2785" s="70">
        <v>0.0</v>
      </c>
      <c r="H2785" s="70" t="s">
        <v>3427</v>
      </c>
      <c r="I2785" s="70">
        <v>284.0</v>
      </c>
      <c r="J2785" s="70" t="s">
        <v>3423</v>
      </c>
      <c r="K2785" s="70" t="s">
        <v>3424</v>
      </c>
      <c r="L2785" s="70" t="s">
        <v>3425</v>
      </c>
      <c r="M2785" s="70" t="s">
        <v>3426</v>
      </c>
      <c r="O2785" s="75" t="s">
        <v>3428</v>
      </c>
      <c r="P2785" s="70">
        <v>2023.0</v>
      </c>
      <c r="Q2785" s="70" t="s">
        <v>3429</v>
      </c>
      <c r="U2785" s="70" t="s">
        <v>401</v>
      </c>
      <c r="V2785" s="70" t="s">
        <v>402</v>
      </c>
      <c r="W2785" s="70" t="s">
        <v>3431</v>
      </c>
      <c r="AW2785" s="70" t="s">
        <v>3432</v>
      </c>
      <c r="AX2785" s="70">
        <v>0.0</v>
      </c>
      <c r="AY2785" s="70" t="s">
        <v>24</v>
      </c>
      <c r="AZ2785" s="70">
        <v>2867.0</v>
      </c>
    </row>
    <row r="2786" ht="22.5" customHeight="1">
      <c r="A2786" s="70" t="str">
        <f t="shared" si="1"/>
        <v>Excluded</v>
      </c>
      <c r="B2786" s="70">
        <f t="shared" si="2"/>
        <v>0</v>
      </c>
      <c r="C2786" s="70">
        <v>0.0</v>
      </c>
      <c r="D2786" s="70">
        <v>0.0</v>
      </c>
      <c r="E2786" s="70">
        <v>0.0</v>
      </c>
      <c r="F2786" s="70">
        <v>0.0</v>
      </c>
      <c r="G2786" s="70">
        <v>0.0</v>
      </c>
      <c r="H2786" s="70" t="s">
        <v>4484</v>
      </c>
      <c r="I2786" s="70">
        <v>411.0</v>
      </c>
      <c r="J2786" s="70" t="s">
        <v>4482</v>
      </c>
      <c r="K2786" s="70" t="s">
        <v>4483</v>
      </c>
      <c r="L2786" s="70" t="s">
        <v>3719</v>
      </c>
      <c r="N2786" s="70" t="s">
        <v>3720</v>
      </c>
      <c r="O2786" s="75" t="s">
        <v>4485</v>
      </c>
      <c r="P2786" s="81">
        <v>45108.0</v>
      </c>
      <c r="W2786" s="70" t="s">
        <v>4486</v>
      </c>
      <c r="AW2786" s="70" t="s">
        <v>4487</v>
      </c>
      <c r="AX2786" s="70">
        <v>0.0</v>
      </c>
      <c r="AY2786" s="70" t="s">
        <v>24</v>
      </c>
      <c r="AZ2786" s="70">
        <v>1858.0</v>
      </c>
    </row>
    <row r="2787" ht="22.5" customHeight="1">
      <c r="A2787" s="70" t="str">
        <f t="shared" si="1"/>
        <v>Excluded</v>
      </c>
      <c r="B2787" s="70">
        <f t="shared" si="2"/>
        <v>0</v>
      </c>
      <c r="C2787" s="70">
        <v>0.0</v>
      </c>
      <c r="D2787" s="70">
        <v>0.0</v>
      </c>
      <c r="E2787" s="70">
        <v>0.0</v>
      </c>
      <c r="F2787" s="70">
        <v>0.0</v>
      </c>
      <c r="G2787" s="70">
        <v>0.0</v>
      </c>
      <c r="H2787" s="70" t="s">
        <v>24890</v>
      </c>
      <c r="I2787" s="70">
        <v>2716.0</v>
      </c>
      <c r="J2787" s="70" t="s">
        <v>24888</v>
      </c>
      <c r="K2787" s="70" t="s">
        <v>24889</v>
      </c>
      <c r="W2787" s="70" t="s">
        <v>31194</v>
      </c>
      <c r="AA2787" s="70" t="s">
        <v>24893</v>
      </c>
      <c r="AI2787" s="70" t="s">
        <v>24894</v>
      </c>
      <c r="AJ2787" s="70" t="s">
        <v>24895</v>
      </c>
      <c r="AK2787" s="70">
        <v>2023.0</v>
      </c>
      <c r="AL2787" s="70" t="s">
        <v>23451</v>
      </c>
      <c r="AM2787" s="70">
        <v>263.0</v>
      </c>
      <c r="AQ2787" s="70">
        <v>100.0</v>
      </c>
      <c r="AR2787" s="75" t="s">
        <v>24896</v>
      </c>
      <c r="AS2787" s="70" t="s">
        <v>22525</v>
      </c>
      <c r="AU2787" s="70" t="s">
        <v>237</v>
      </c>
      <c r="AV2787" s="70" t="s">
        <v>24897</v>
      </c>
      <c r="AW2787" s="70" t="s">
        <v>24898</v>
      </c>
      <c r="AZ2787" s="70">
        <v>345.0</v>
      </c>
    </row>
    <row r="2788" ht="22.5" customHeight="1">
      <c r="A2788" s="70" t="str">
        <f t="shared" si="1"/>
        <v>Excluded</v>
      </c>
      <c r="B2788" s="70">
        <f t="shared" si="2"/>
        <v>0</v>
      </c>
      <c r="C2788" s="70">
        <v>0.0</v>
      </c>
      <c r="D2788" s="70">
        <v>0.0</v>
      </c>
      <c r="E2788" s="70">
        <v>0.0</v>
      </c>
      <c r="F2788" s="70">
        <v>0.0</v>
      </c>
      <c r="G2788" s="70">
        <v>0.0</v>
      </c>
      <c r="H2788" s="70" t="s">
        <v>2197</v>
      </c>
      <c r="I2788" s="70">
        <v>167.0</v>
      </c>
      <c r="J2788" s="70" t="s">
        <v>2193</v>
      </c>
      <c r="K2788" s="70" t="s">
        <v>2194</v>
      </c>
      <c r="L2788" s="70" t="s">
        <v>2195</v>
      </c>
      <c r="M2788" s="70" t="s">
        <v>2196</v>
      </c>
      <c r="O2788" s="75" t="s">
        <v>2198</v>
      </c>
      <c r="P2788" s="70">
        <v>2023.0</v>
      </c>
      <c r="Q2788" s="70" t="s">
        <v>2200</v>
      </c>
      <c r="U2788" s="70" t="s">
        <v>401</v>
      </c>
      <c r="V2788" s="70" t="s">
        <v>402</v>
      </c>
      <c r="W2788" s="70" t="s">
        <v>2202</v>
      </c>
      <c r="AW2788" s="70" t="s">
        <v>2203</v>
      </c>
      <c r="AX2788" s="70">
        <v>0.0</v>
      </c>
      <c r="AY2788" s="70" t="s">
        <v>24</v>
      </c>
      <c r="AZ2788" s="70">
        <v>3088.0</v>
      </c>
    </row>
    <row r="2789" ht="22.5" customHeight="1">
      <c r="A2789" s="70" t="str">
        <f t="shared" si="1"/>
        <v>Excluded</v>
      </c>
      <c r="B2789" s="70">
        <f t="shared" si="2"/>
        <v>0</v>
      </c>
      <c r="C2789" s="70">
        <v>0.0</v>
      </c>
      <c r="D2789" s="70">
        <v>0.0</v>
      </c>
      <c r="E2789" s="70">
        <v>0.0</v>
      </c>
      <c r="F2789" s="70">
        <v>0.0</v>
      </c>
      <c r="G2789" s="70">
        <v>0.0</v>
      </c>
      <c r="H2789" s="70" t="s">
        <v>4335</v>
      </c>
      <c r="I2789" s="70">
        <v>391.0</v>
      </c>
      <c r="J2789" s="70" t="s">
        <v>4331</v>
      </c>
      <c r="K2789" s="70" t="s">
        <v>4332</v>
      </c>
      <c r="L2789" s="70" t="s">
        <v>4333</v>
      </c>
      <c r="N2789" s="70" t="s">
        <v>4334</v>
      </c>
      <c r="O2789" s="75" t="s">
        <v>4336</v>
      </c>
      <c r="P2789" s="81">
        <v>45078.0</v>
      </c>
      <c r="W2789" s="70" t="s">
        <v>4338</v>
      </c>
      <c r="AW2789" s="70" t="s">
        <v>4339</v>
      </c>
      <c r="AX2789" s="70">
        <v>0.0</v>
      </c>
      <c r="AY2789" s="70" t="s">
        <v>24</v>
      </c>
      <c r="AZ2789" s="70">
        <v>2226.0</v>
      </c>
    </row>
    <row r="2790" ht="22.5" customHeight="1">
      <c r="A2790" s="70" t="str">
        <f t="shared" si="1"/>
        <v>Excluded</v>
      </c>
      <c r="B2790" s="70">
        <f t="shared" si="2"/>
        <v>0</v>
      </c>
      <c r="C2790" s="70">
        <v>0.0</v>
      </c>
      <c r="D2790" s="70">
        <v>0.0</v>
      </c>
      <c r="E2790" s="70">
        <v>0.0</v>
      </c>
      <c r="F2790" s="70">
        <v>0.0</v>
      </c>
      <c r="G2790" s="70">
        <v>0.0</v>
      </c>
      <c r="H2790" s="70" t="s">
        <v>1598</v>
      </c>
      <c r="I2790" s="70">
        <v>111.0</v>
      </c>
      <c r="J2790" s="70" t="s">
        <v>1594</v>
      </c>
      <c r="K2790" s="70" t="s">
        <v>1595</v>
      </c>
      <c r="L2790" s="70" t="s">
        <v>1596</v>
      </c>
      <c r="M2790" s="70" t="s">
        <v>1597</v>
      </c>
      <c r="O2790" s="75" t="s">
        <v>1599</v>
      </c>
      <c r="P2790" s="70">
        <v>2023.0</v>
      </c>
      <c r="Q2790" s="70" t="s">
        <v>1600</v>
      </c>
      <c r="U2790" s="70" t="s">
        <v>401</v>
      </c>
      <c r="V2790" s="70" t="s">
        <v>402</v>
      </c>
      <c r="W2790" s="70" t="s">
        <v>1601</v>
      </c>
      <c r="AW2790" s="70" t="s">
        <v>1602</v>
      </c>
      <c r="AX2790" s="70">
        <v>0.0</v>
      </c>
      <c r="AY2790" s="70" t="s">
        <v>24</v>
      </c>
      <c r="AZ2790" s="70">
        <v>2639.0</v>
      </c>
    </row>
    <row r="2791" ht="22.5" customHeight="1">
      <c r="A2791" s="70" t="str">
        <f t="shared" si="1"/>
        <v>Excluded</v>
      </c>
      <c r="B2791" s="70">
        <f t="shared" si="2"/>
        <v>0</v>
      </c>
      <c r="C2791" s="70">
        <v>0.0</v>
      </c>
      <c r="D2791" s="70">
        <v>0.0</v>
      </c>
      <c r="E2791" s="70">
        <v>0.0</v>
      </c>
      <c r="F2791" s="70">
        <v>0.0</v>
      </c>
      <c r="G2791" s="70">
        <v>0.0</v>
      </c>
      <c r="H2791" s="70" t="s">
        <v>25721</v>
      </c>
      <c r="I2791" s="70">
        <v>2796.0</v>
      </c>
      <c r="J2791" s="70" t="s">
        <v>25719</v>
      </c>
      <c r="K2791" s="70" t="s">
        <v>25720</v>
      </c>
      <c r="W2791" s="70" t="s">
        <v>31195</v>
      </c>
      <c r="AA2791" s="70" t="s">
        <v>25723</v>
      </c>
      <c r="AI2791" s="70" t="s">
        <v>25724</v>
      </c>
      <c r="AJ2791" s="70" t="s">
        <v>25725</v>
      </c>
      <c r="AK2791" s="70">
        <v>2023.0</v>
      </c>
      <c r="AL2791" s="70" t="s">
        <v>25726</v>
      </c>
      <c r="AN2791" s="70">
        <v>255.0</v>
      </c>
      <c r="AO2791" s="70">
        <v>257.0</v>
      </c>
      <c r="AP2791" s="70">
        <v>2.0</v>
      </c>
      <c r="AQ2791" s="70">
        <v>1.0</v>
      </c>
      <c r="AR2791" s="75" t="s">
        <v>25727</v>
      </c>
      <c r="AS2791" s="70" t="s">
        <v>22525</v>
      </c>
      <c r="AU2791" s="70" t="s">
        <v>237</v>
      </c>
      <c r="AV2791" s="70" t="s">
        <v>25728</v>
      </c>
      <c r="AW2791" s="70" t="s">
        <v>25729</v>
      </c>
      <c r="AZ2791" s="70">
        <v>159.0</v>
      </c>
    </row>
    <row r="2792" ht="22.5" customHeight="1">
      <c r="A2792" s="70" t="str">
        <f t="shared" si="1"/>
        <v>Excluded</v>
      </c>
      <c r="B2792" s="70">
        <f t="shared" si="2"/>
        <v>0</v>
      </c>
      <c r="C2792" s="70">
        <v>0.0</v>
      </c>
      <c r="D2792" s="70">
        <v>0.0</v>
      </c>
      <c r="E2792" s="70">
        <v>0.0</v>
      </c>
      <c r="F2792" s="70">
        <v>0.0</v>
      </c>
      <c r="G2792" s="70">
        <v>0.0</v>
      </c>
      <c r="H2792" s="70" t="s">
        <v>2309</v>
      </c>
      <c r="I2792" s="70">
        <v>178.0</v>
      </c>
      <c r="J2792" s="70" t="s">
        <v>2305</v>
      </c>
      <c r="K2792" s="70" t="s">
        <v>2306</v>
      </c>
      <c r="L2792" s="70" t="s">
        <v>2307</v>
      </c>
      <c r="M2792" s="70" t="s">
        <v>2308</v>
      </c>
      <c r="O2792" s="75" t="s">
        <v>2310</v>
      </c>
      <c r="P2792" s="70">
        <v>2023.0</v>
      </c>
      <c r="Q2792" s="70" t="s">
        <v>2312</v>
      </c>
      <c r="U2792" s="70" t="s">
        <v>401</v>
      </c>
      <c r="V2792" s="70" t="s">
        <v>402</v>
      </c>
      <c r="W2792" s="70" t="s">
        <v>2314</v>
      </c>
      <c r="AW2792" s="70" t="s">
        <v>2315</v>
      </c>
      <c r="AZ2792" s="70">
        <v>278.0</v>
      </c>
    </row>
    <row r="2793" ht="22.5" customHeight="1">
      <c r="A2793" s="70" t="str">
        <f t="shared" si="1"/>
        <v>Excluded</v>
      </c>
      <c r="B2793" s="70">
        <f t="shared" si="2"/>
        <v>0</v>
      </c>
      <c r="C2793" s="70">
        <v>0.0</v>
      </c>
      <c r="D2793" s="70">
        <v>0.0</v>
      </c>
      <c r="E2793" s="70">
        <v>0.0</v>
      </c>
      <c r="F2793" s="70">
        <v>0.0</v>
      </c>
      <c r="G2793" s="70">
        <v>0.0</v>
      </c>
      <c r="H2793" s="70" t="s">
        <v>24537</v>
      </c>
      <c r="I2793" s="70">
        <v>2682.0</v>
      </c>
      <c r="J2793" s="70" t="s">
        <v>24535</v>
      </c>
      <c r="K2793" s="70" t="s">
        <v>24536</v>
      </c>
      <c r="W2793" s="70" t="s">
        <v>31196</v>
      </c>
      <c r="AA2793" s="70" t="s">
        <v>24540</v>
      </c>
      <c r="AI2793" s="70" t="s">
        <v>24541</v>
      </c>
      <c r="AJ2793" s="70" t="s">
        <v>24542</v>
      </c>
      <c r="AK2793" s="70">
        <v>2023.0</v>
      </c>
      <c r="AL2793" s="70" t="s">
        <v>23451</v>
      </c>
      <c r="AM2793" s="70">
        <v>336.0</v>
      </c>
      <c r="AQ2793" s="70">
        <v>21.0</v>
      </c>
      <c r="AR2793" s="75" t="s">
        <v>24543</v>
      </c>
      <c r="AS2793" s="70" t="s">
        <v>22525</v>
      </c>
      <c r="AT2793" s="70" t="s">
        <v>22656</v>
      </c>
      <c r="AU2793" s="70" t="s">
        <v>237</v>
      </c>
      <c r="AV2793" s="70" t="s">
        <v>24544</v>
      </c>
      <c r="AW2793" s="70" t="s">
        <v>24545</v>
      </c>
      <c r="AX2793" s="70">
        <v>0.0</v>
      </c>
      <c r="AY2793" s="70" t="s">
        <v>24</v>
      </c>
      <c r="AZ2793" s="70">
        <v>2575.0</v>
      </c>
    </row>
    <row r="2794" ht="22.5" customHeight="1">
      <c r="A2794" s="70" t="str">
        <f t="shared" si="1"/>
        <v>Excluded</v>
      </c>
      <c r="B2794" s="70">
        <f t="shared" si="2"/>
        <v>0</v>
      </c>
      <c r="C2794" s="70">
        <v>0.0</v>
      </c>
      <c r="D2794" s="70">
        <v>0.0</v>
      </c>
      <c r="E2794" s="70">
        <v>0.0</v>
      </c>
      <c r="F2794" s="70">
        <v>0.0</v>
      </c>
      <c r="G2794" s="70">
        <v>0.0</v>
      </c>
      <c r="H2794" s="70" t="s">
        <v>2792</v>
      </c>
      <c r="I2794" s="70">
        <v>224.0</v>
      </c>
      <c r="J2794" s="70" t="s">
        <v>2788</v>
      </c>
      <c r="K2794" s="70" t="s">
        <v>2789</v>
      </c>
      <c r="L2794" s="70" t="s">
        <v>2790</v>
      </c>
      <c r="M2794" s="70" t="s">
        <v>2791</v>
      </c>
      <c r="O2794" s="75" t="s">
        <v>2793</v>
      </c>
      <c r="P2794" s="70">
        <v>2023.0</v>
      </c>
      <c r="Q2794" s="70" t="s">
        <v>2794</v>
      </c>
      <c r="U2794" s="70" t="s">
        <v>401</v>
      </c>
      <c r="V2794" s="70" t="s">
        <v>402</v>
      </c>
      <c r="W2794" s="70" t="s">
        <v>2796</v>
      </c>
      <c r="AW2794" s="70" t="s">
        <v>2797</v>
      </c>
      <c r="AZ2794" s="70">
        <v>1223.0</v>
      </c>
    </row>
    <row r="2795" ht="22.5" customHeight="1">
      <c r="A2795" s="70" t="str">
        <f t="shared" si="1"/>
        <v>Excluded</v>
      </c>
      <c r="B2795" s="70">
        <f t="shared" si="2"/>
        <v>0</v>
      </c>
      <c r="C2795" s="70">
        <v>0.0</v>
      </c>
      <c r="D2795" s="70">
        <v>0.0</v>
      </c>
      <c r="E2795" s="70">
        <v>0.0</v>
      </c>
      <c r="F2795" s="70">
        <v>0.0</v>
      </c>
      <c r="G2795" s="70">
        <v>0.0</v>
      </c>
      <c r="H2795" s="70" t="s">
        <v>4253</v>
      </c>
      <c r="I2795" s="70">
        <v>381.0</v>
      </c>
      <c r="J2795" s="70" t="s">
        <v>4251</v>
      </c>
      <c r="K2795" s="70" t="s">
        <v>4252</v>
      </c>
      <c r="L2795" s="70" t="s">
        <v>3673</v>
      </c>
      <c r="N2795" s="70" t="s">
        <v>3674</v>
      </c>
      <c r="O2795" s="75" t="s">
        <v>4254</v>
      </c>
      <c r="P2795" s="81">
        <v>45047.0</v>
      </c>
      <c r="W2795" s="70" t="s">
        <v>4256</v>
      </c>
      <c r="AW2795" s="70" t="s">
        <v>4257</v>
      </c>
      <c r="AZ2795" s="70">
        <v>962.0</v>
      </c>
    </row>
    <row r="2796" ht="22.5" customHeight="1">
      <c r="A2796" s="70" t="str">
        <f t="shared" si="1"/>
        <v>Excluded</v>
      </c>
      <c r="B2796" s="70">
        <f t="shared" si="2"/>
        <v>0</v>
      </c>
      <c r="C2796" s="70">
        <v>0.0</v>
      </c>
      <c r="D2796" s="70">
        <v>0.0</v>
      </c>
      <c r="E2796" s="70">
        <v>0.0</v>
      </c>
      <c r="F2796" s="70">
        <v>0.0</v>
      </c>
      <c r="G2796" s="70">
        <v>0.0</v>
      </c>
      <c r="H2796" s="70" t="s">
        <v>3074</v>
      </c>
      <c r="I2796" s="70">
        <v>250.0</v>
      </c>
      <c r="J2796" s="70" t="s">
        <v>3070</v>
      </c>
      <c r="K2796" s="70" t="s">
        <v>3071</v>
      </c>
      <c r="L2796" s="70" t="s">
        <v>3072</v>
      </c>
      <c r="M2796" s="70" t="s">
        <v>3073</v>
      </c>
      <c r="O2796" s="75" t="s">
        <v>3075</v>
      </c>
      <c r="P2796" s="70">
        <v>2024.0</v>
      </c>
      <c r="Q2796" s="70" t="s">
        <v>3077</v>
      </c>
      <c r="U2796" s="70" t="s">
        <v>401</v>
      </c>
      <c r="V2796" s="70" t="s">
        <v>402</v>
      </c>
      <c r="W2796" s="70" t="s">
        <v>3079</v>
      </c>
      <c r="AW2796" s="70" t="s">
        <v>3080</v>
      </c>
      <c r="AZ2796" s="70">
        <v>326.0</v>
      </c>
    </row>
    <row r="2797" ht="22.5" customHeight="1">
      <c r="A2797" s="70" t="str">
        <f t="shared" si="1"/>
        <v>Excluded</v>
      </c>
      <c r="B2797" s="70">
        <f t="shared" si="2"/>
        <v>0</v>
      </c>
      <c r="C2797" s="70">
        <v>0.0</v>
      </c>
      <c r="D2797" s="70">
        <v>0.0</v>
      </c>
      <c r="E2797" s="70">
        <v>0.0</v>
      </c>
      <c r="F2797" s="70">
        <v>0.0</v>
      </c>
      <c r="G2797" s="70">
        <v>0.0</v>
      </c>
      <c r="H2797" s="70" t="s">
        <v>3702</v>
      </c>
      <c r="I2797" s="70">
        <v>311.0</v>
      </c>
      <c r="J2797" s="70" t="s">
        <v>3700</v>
      </c>
      <c r="K2797" s="70" t="s">
        <v>3701</v>
      </c>
      <c r="L2797" s="70" t="s">
        <v>3635</v>
      </c>
      <c r="N2797" s="70" t="s">
        <v>3636</v>
      </c>
      <c r="O2797" s="75" t="s">
        <v>3703</v>
      </c>
      <c r="P2797" s="81">
        <v>45108.0</v>
      </c>
      <c r="W2797" s="70" t="s">
        <v>3706</v>
      </c>
      <c r="AW2797" s="70" t="s">
        <v>3707</v>
      </c>
      <c r="AX2797" s="70">
        <v>0.0</v>
      </c>
      <c r="AY2797" s="70" t="s">
        <v>24</v>
      </c>
      <c r="AZ2797" s="70">
        <v>1655.0</v>
      </c>
    </row>
    <row r="2798" ht="22.5" customHeight="1">
      <c r="A2798" s="70" t="str">
        <f t="shared" si="1"/>
        <v>Excluded</v>
      </c>
      <c r="B2798" s="70">
        <f t="shared" si="2"/>
        <v>0</v>
      </c>
      <c r="C2798" s="70">
        <v>0.0</v>
      </c>
      <c r="D2798" s="70">
        <v>0.0</v>
      </c>
      <c r="E2798" s="70">
        <v>0.0</v>
      </c>
      <c r="F2798" s="70">
        <v>0.0</v>
      </c>
      <c r="G2798" s="70">
        <v>0.0</v>
      </c>
      <c r="H2798" s="70" t="s">
        <v>4520</v>
      </c>
      <c r="I2798" s="70">
        <v>416.0</v>
      </c>
      <c r="J2798" s="70" t="s">
        <v>4518</v>
      </c>
      <c r="K2798" s="70" t="s">
        <v>4519</v>
      </c>
      <c r="L2798" s="70" t="s">
        <v>3635</v>
      </c>
      <c r="N2798" s="70" t="s">
        <v>3636</v>
      </c>
      <c r="O2798" s="75" t="s">
        <v>4521</v>
      </c>
      <c r="P2798" s="81">
        <v>45108.0</v>
      </c>
      <c r="W2798" s="70" t="s">
        <v>4522</v>
      </c>
      <c r="AW2798" s="70" t="s">
        <v>4523</v>
      </c>
      <c r="AZ2798" s="70">
        <v>507.0</v>
      </c>
    </row>
    <row r="2799" ht="22.5" customHeight="1">
      <c r="A2799" s="70" t="str">
        <f t="shared" si="1"/>
        <v>Excluded</v>
      </c>
      <c r="B2799" s="70">
        <f t="shared" si="2"/>
        <v>0</v>
      </c>
      <c r="C2799" s="70">
        <v>0.0</v>
      </c>
      <c r="D2799" s="70">
        <v>0.0</v>
      </c>
      <c r="E2799" s="70">
        <v>0.0</v>
      </c>
      <c r="F2799" s="70">
        <v>0.0</v>
      </c>
      <c r="G2799" s="70">
        <v>0.0</v>
      </c>
      <c r="H2799" s="70" t="s">
        <v>3827</v>
      </c>
      <c r="I2799" s="70">
        <v>326.0</v>
      </c>
      <c r="J2799" s="70" t="s">
        <v>3823</v>
      </c>
      <c r="K2799" s="70" t="s">
        <v>3824</v>
      </c>
      <c r="L2799" s="70" t="s">
        <v>3825</v>
      </c>
      <c r="N2799" s="70" t="s">
        <v>3826</v>
      </c>
      <c r="O2799" s="75" t="s">
        <v>3828</v>
      </c>
      <c r="P2799" s="81">
        <v>45505.0</v>
      </c>
      <c r="W2799" s="70" t="s">
        <v>31197</v>
      </c>
      <c r="AW2799" s="70" t="s">
        <v>3830</v>
      </c>
      <c r="AX2799" s="70">
        <v>0.0</v>
      </c>
      <c r="AY2799" s="70" t="s">
        <v>24</v>
      </c>
      <c r="AZ2799" s="70">
        <v>2139.0</v>
      </c>
    </row>
    <row r="2800" ht="22.5" customHeight="1">
      <c r="A2800" s="70" t="str">
        <f t="shared" si="1"/>
        <v>Excluded</v>
      </c>
      <c r="B2800" s="70">
        <f t="shared" si="2"/>
        <v>0</v>
      </c>
      <c r="C2800" s="70">
        <v>0.0</v>
      </c>
      <c r="D2800" s="70">
        <v>0.0</v>
      </c>
      <c r="E2800" s="70">
        <v>0.0</v>
      </c>
      <c r="F2800" s="70">
        <v>0.0</v>
      </c>
      <c r="G2800" s="70">
        <v>0.0</v>
      </c>
      <c r="H2800" s="70" t="s">
        <v>2974</v>
      </c>
      <c r="I2800" s="70">
        <v>241.0</v>
      </c>
      <c r="J2800" s="70" t="s">
        <v>2970</v>
      </c>
      <c r="K2800" s="70" t="s">
        <v>2971</v>
      </c>
      <c r="L2800" s="70" t="s">
        <v>2972</v>
      </c>
      <c r="M2800" s="70" t="s">
        <v>2973</v>
      </c>
      <c r="O2800" s="75" t="s">
        <v>2975</v>
      </c>
      <c r="P2800" s="70">
        <v>2023.0</v>
      </c>
      <c r="Q2800" s="70" t="s">
        <v>2977</v>
      </c>
      <c r="U2800" s="70" t="s">
        <v>401</v>
      </c>
      <c r="V2800" s="70" t="s">
        <v>402</v>
      </c>
      <c r="W2800" s="70" t="s">
        <v>2979</v>
      </c>
      <c r="AW2800" s="70" t="s">
        <v>2980</v>
      </c>
      <c r="AZ2800" s="70">
        <v>1186.0</v>
      </c>
    </row>
    <row r="2801" ht="22.5" customHeight="1">
      <c r="A2801" s="70" t="str">
        <f t="shared" si="1"/>
        <v>Excluded</v>
      </c>
      <c r="B2801" s="70">
        <f t="shared" si="2"/>
        <v>0</v>
      </c>
      <c r="C2801" s="70">
        <v>0.0</v>
      </c>
      <c r="D2801" s="70">
        <v>0.0</v>
      </c>
      <c r="E2801" s="70">
        <v>0.0</v>
      </c>
      <c r="F2801" s="70">
        <v>0.0</v>
      </c>
      <c r="G2801" s="70">
        <v>0.0</v>
      </c>
      <c r="H2801" s="70" t="s">
        <v>4491</v>
      </c>
      <c r="I2801" s="70">
        <v>412.0</v>
      </c>
      <c r="J2801" s="70" t="s">
        <v>31198</v>
      </c>
      <c r="K2801" s="70" t="s">
        <v>4490</v>
      </c>
      <c r="L2801" s="70" t="s">
        <v>3635</v>
      </c>
      <c r="N2801" s="70" t="s">
        <v>3636</v>
      </c>
      <c r="O2801" s="75" t="s">
        <v>4492</v>
      </c>
      <c r="P2801" s="81">
        <v>45139.0</v>
      </c>
      <c r="W2801" s="70" t="s">
        <v>4493</v>
      </c>
      <c r="AW2801" s="70" t="s">
        <v>4494</v>
      </c>
      <c r="AZ2801" s="70">
        <v>902.0</v>
      </c>
    </row>
    <row r="2802" ht="22.5" customHeight="1">
      <c r="A2802" s="70" t="str">
        <f t="shared" si="1"/>
        <v>Excluded</v>
      </c>
      <c r="B2802" s="70">
        <f t="shared" si="2"/>
        <v>0</v>
      </c>
      <c r="C2802" s="70">
        <v>0.0</v>
      </c>
      <c r="D2802" s="70">
        <v>0.0</v>
      </c>
      <c r="E2802" s="70">
        <v>0.0</v>
      </c>
      <c r="F2802" s="70">
        <v>0.0</v>
      </c>
      <c r="G2802" s="70">
        <v>0.0</v>
      </c>
      <c r="H2802" s="70" t="s">
        <v>24283</v>
      </c>
      <c r="I2802" s="70">
        <v>2657.0</v>
      </c>
      <c r="J2802" s="70" t="s">
        <v>24281</v>
      </c>
      <c r="K2802" s="70" t="s">
        <v>24282</v>
      </c>
      <c r="W2802" s="70" t="s">
        <v>31199</v>
      </c>
      <c r="AA2802" s="70" t="s">
        <v>24286</v>
      </c>
      <c r="AI2802" s="70" t="s">
        <v>24287</v>
      </c>
      <c r="AJ2802" s="70" t="s">
        <v>24288</v>
      </c>
      <c r="AK2802" s="70">
        <v>2024.0</v>
      </c>
      <c r="AL2802" s="70" t="s">
        <v>23451</v>
      </c>
      <c r="AM2802" s="70">
        <v>297.0</v>
      </c>
      <c r="AQ2802" s="70">
        <v>23.0</v>
      </c>
      <c r="AR2802" s="75" t="s">
        <v>24289</v>
      </c>
      <c r="AS2802" s="70" t="s">
        <v>22525</v>
      </c>
      <c r="AT2802" s="70" t="s">
        <v>22816</v>
      </c>
      <c r="AU2802" s="70" t="s">
        <v>237</v>
      </c>
      <c r="AV2802" s="70" t="s">
        <v>24290</v>
      </c>
      <c r="AW2802" s="70" t="s">
        <v>24291</v>
      </c>
      <c r="AX2802" s="70">
        <v>0.0</v>
      </c>
      <c r="AY2802" s="70" t="s">
        <v>24</v>
      </c>
      <c r="AZ2802" s="70">
        <v>2652.0</v>
      </c>
    </row>
    <row r="2803" ht="22.5" customHeight="1">
      <c r="A2803" s="70" t="str">
        <f t="shared" si="1"/>
        <v>Excluded</v>
      </c>
      <c r="B2803" s="70">
        <f t="shared" si="2"/>
        <v>0</v>
      </c>
      <c r="C2803" s="70">
        <v>0.0</v>
      </c>
      <c r="D2803" s="70">
        <v>0.0</v>
      </c>
      <c r="E2803" s="70">
        <v>0.0</v>
      </c>
      <c r="F2803" s="70">
        <v>0.0</v>
      </c>
      <c r="G2803" s="70">
        <v>0.0</v>
      </c>
      <c r="H2803" s="70" t="s">
        <v>4448</v>
      </c>
      <c r="I2803" s="70">
        <v>406.0</v>
      </c>
      <c r="J2803" s="70" t="s">
        <v>4446</v>
      </c>
      <c r="K2803" s="70" t="s">
        <v>4447</v>
      </c>
      <c r="L2803" s="70" t="s">
        <v>3673</v>
      </c>
      <c r="N2803" s="70" t="s">
        <v>3674</v>
      </c>
      <c r="O2803" s="75" t="s">
        <v>4449</v>
      </c>
      <c r="P2803" s="80">
        <v>45200.0</v>
      </c>
      <c r="W2803" s="70" t="s">
        <v>31200</v>
      </c>
      <c r="AW2803" s="70" t="s">
        <v>4451</v>
      </c>
      <c r="AX2803" s="70">
        <v>0.0</v>
      </c>
      <c r="AY2803" s="70" t="s">
        <v>24</v>
      </c>
      <c r="AZ2803" s="70">
        <v>2799.0</v>
      </c>
    </row>
    <row r="2804" ht="22.5" customHeight="1">
      <c r="A2804" s="70" t="str">
        <f t="shared" si="1"/>
        <v>Excluded</v>
      </c>
      <c r="B2804" s="70">
        <f t="shared" si="2"/>
        <v>0</v>
      </c>
      <c r="C2804" s="70">
        <v>0.0</v>
      </c>
      <c r="D2804" s="70">
        <v>0.0</v>
      </c>
      <c r="E2804" s="70">
        <v>0.0</v>
      </c>
      <c r="F2804" s="70">
        <v>0.0</v>
      </c>
      <c r="G2804" s="70">
        <v>0.0</v>
      </c>
      <c r="H2804" s="70" t="s">
        <v>3338</v>
      </c>
      <c r="I2804" s="70">
        <v>275.0</v>
      </c>
      <c r="J2804" s="70" t="s">
        <v>3334</v>
      </c>
      <c r="K2804" s="70" t="s">
        <v>3335</v>
      </c>
      <c r="L2804" s="70" t="s">
        <v>3336</v>
      </c>
      <c r="M2804" s="70" t="s">
        <v>3337</v>
      </c>
      <c r="O2804" s="75" t="s">
        <v>3339</v>
      </c>
      <c r="P2804" s="70">
        <v>2023.0</v>
      </c>
      <c r="Q2804" s="70" t="s">
        <v>3341</v>
      </c>
      <c r="U2804" s="70" t="s">
        <v>401</v>
      </c>
      <c r="V2804" s="70" t="s">
        <v>402</v>
      </c>
      <c r="W2804" s="70" t="s">
        <v>3342</v>
      </c>
      <c r="AW2804" s="70" t="s">
        <v>3343</v>
      </c>
      <c r="AZ2804" s="70">
        <v>659.0</v>
      </c>
    </row>
    <row r="2805" ht="22.5" customHeight="1">
      <c r="A2805" s="70" t="str">
        <f t="shared" si="1"/>
        <v>Excluded</v>
      </c>
      <c r="B2805" s="70">
        <f t="shared" si="2"/>
        <v>0</v>
      </c>
      <c r="C2805" s="70">
        <v>0.0</v>
      </c>
      <c r="D2805" s="70">
        <v>0.0</v>
      </c>
      <c r="E2805" s="70">
        <v>0.0</v>
      </c>
      <c r="F2805" s="70">
        <v>0.0</v>
      </c>
      <c r="G2805" s="70">
        <v>0.0</v>
      </c>
      <c r="H2805" s="70" t="s">
        <v>2405</v>
      </c>
      <c r="I2805" s="70">
        <v>187.0</v>
      </c>
      <c r="J2805" s="70" t="s">
        <v>2403</v>
      </c>
      <c r="K2805" s="70" t="s">
        <v>2404</v>
      </c>
      <c r="L2805" s="70" t="s">
        <v>2217</v>
      </c>
      <c r="M2805" s="70" t="s">
        <v>2218</v>
      </c>
      <c r="O2805" s="75" t="s">
        <v>2406</v>
      </c>
      <c r="P2805" s="70">
        <v>2023.0</v>
      </c>
      <c r="Q2805" s="70" t="s">
        <v>2222</v>
      </c>
      <c r="U2805" s="70" t="s">
        <v>401</v>
      </c>
      <c r="V2805" s="70" t="s">
        <v>402</v>
      </c>
      <c r="W2805" s="70" t="s">
        <v>2408</v>
      </c>
      <c r="AW2805" s="70" t="s">
        <v>2409</v>
      </c>
      <c r="AZ2805" s="70">
        <v>387.0</v>
      </c>
    </row>
    <row r="2806" ht="22.5" customHeight="1">
      <c r="A2806" s="70" t="str">
        <f t="shared" si="1"/>
        <v>Excluded</v>
      </c>
      <c r="B2806" s="70">
        <f t="shared" si="2"/>
        <v>0</v>
      </c>
      <c r="C2806" s="70">
        <v>0.0</v>
      </c>
      <c r="D2806" s="70">
        <v>0.0</v>
      </c>
      <c r="E2806" s="70">
        <v>0.0</v>
      </c>
      <c r="F2806" s="70">
        <v>0.0</v>
      </c>
      <c r="G2806" s="70">
        <v>0.0</v>
      </c>
      <c r="H2806" s="70" t="s">
        <v>2219</v>
      </c>
      <c r="I2806" s="70">
        <v>169.0</v>
      </c>
      <c r="J2806" s="70" t="s">
        <v>2215</v>
      </c>
      <c r="K2806" s="70" t="s">
        <v>2216</v>
      </c>
      <c r="L2806" s="70" t="s">
        <v>2217</v>
      </c>
      <c r="M2806" s="70" t="s">
        <v>2218</v>
      </c>
      <c r="O2806" s="75" t="s">
        <v>2220</v>
      </c>
      <c r="P2806" s="70">
        <v>2023.0</v>
      </c>
      <c r="Q2806" s="70" t="s">
        <v>2222</v>
      </c>
      <c r="U2806" s="70" t="s">
        <v>401</v>
      </c>
      <c r="V2806" s="70" t="s">
        <v>402</v>
      </c>
      <c r="W2806" s="70" t="s">
        <v>2224</v>
      </c>
      <c r="AW2806" s="70" t="s">
        <v>2225</v>
      </c>
      <c r="AZ2806" s="70">
        <v>807.0</v>
      </c>
    </row>
    <row r="2807" ht="22.5" customHeight="1">
      <c r="A2807" s="70" t="str">
        <f t="shared" si="1"/>
        <v>Excluded</v>
      </c>
      <c r="B2807" s="70">
        <f t="shared" si="2"/>
        <v>0</v>
      </c>
      <c r="C2807" s="70">
        <v>0.0</v>
      </c>
      <c r="D2807" s="70">
        <v>0.0</v>
      </c>
      <c r="E2807" s="70">
        <v>0.0</v>
      </c>
      <c r="F2807" s="70">
        <v>0.0</v>
      </c>
      <c r="G2807" s="70">
        <v>0.0</v>
      </c>
      <c r="H2807" s="70" t="s">
        <v>1418</v>
      </c>
      <c r="I2807" s="70">
        <v>95.0</v>
      </c>
      <c r="J2807" s="70" t="s">
        <v>1414</v>
      </c>
      <c r="K2807" s="70" t="s">
        <v>1415</v>
      </c>
      <c r="L2807" s="70" t="s">
        <v>1416</v>
      </c>
      <c r="M2807" s="70" t="s">
        <v>1417</v>
      </c>
      <c r="O2807" s="75" t="s">
        <v>1419</v>
      </c>
      <c r="P2807" s="70">
        <v>2023.0</v>
      </c>
      <c r="Q2807" s="70" t="s">
        <v>1421</v>
      </c>
      <c r="U2807" s="70" t="s">
        <v>401</v>
      </c>
      <c r="V2807" s="70" t="s">
        <v>402</v>
      </c>
      <c r="W2807" s="70" t="s">
        <v>31201</v>
      </c>
      <c r="AW2807" s="70" t="s">
        <v>1424</v>
      </c>
      <c r="AZ2807" s="70">
        <v>435.0</v>
      </c>
    </row>
    <row r="2808" ht="22.5" customHeight="1">
      <c r="A2808" s="70" t="str">
        <f t="shared" si="1"/>
        <v>Excluded</v>
      </c>
      <c r="B2808" s="70">
        <f t="shared" si="2"/>
        <v>0</v>
      </c>
      <c r="C2808" s="70">
        <v>0.0</v>
      </c>
      <c r="D2808" s="70">
        <v>0.0</v>
      </c>
      <c r="E2808" s="70">
        <v>0.0</v>
      </c>
      <c r="F2808" s="70">
        <v>0.0</v>
      </c>
      <c r="G2808" s="70">
        <v>0.0</v>
      </c>
      <c r="H2808" s="70" t="s">
        <v>532</v>
      </c>
      <c r="I2808" s="70">
        <v>13.0</v>
      </c>
      <c r="J2808" s="70" t="s">
        <v>530</v>
      </c>
      <c r="K2808" s="70" t="s">
        <v>531</v>
      </c>
      <c r="L2808" s="70" t="s">
        <v>521</v>
      </c>
      <c r="M2808" s="70" t="s">
        <v>522</v>
      </c>
      <c r="O2808" s="75" t="s">
        <v>533</v>
      </c>
      <c r="P2808" s="70">
        <v>2024.0</v>
      </c>
      <c r="Q2808" s="70" t="s">
        <v>525</v>
      </c>
      <c r="U2808" s="70" t="s">
        <v>401</v>
      </c>
      <c r="V2808" s="70" t="s">
        <v>402</v>
      </c>
      <c r="W2808" s="70" t="s">
        <v>534</v>
      </c>
      <c r="AW2808" s="70" t="s">
        <v>535</v>
      </c>
      <c r="AX2808" s="70">
        <v>0.0</v>
      </c>
      <c r="AY2808" s="70" t="s">
        <v>24</v>
      </c>
      <c r="AZ2808" s="70">
        <v>1719.0</v>
      </c>
    </row>
    <row r="2809" ht="22.5" customHeight="1">
      <c r="A2809" s="70" t="str">
        <f t="shared" si="1"/>
        <v>Excluded</v>
      </c>
      <c r="B2809" s="70">
        <f t="shared" si="2"/>
        <v>0</v>
      </c>
      <c r="C2809" s="70">
        <v>0.0</v>
      </c>
      <c r="D2809" s="70">
        <v>0.0</v>
      </c>
      <c r="E2809" s="70">
        <v>0.0</v>
      </c>
      <c r="F2809" s="70">
        <v>0.0</v>
      </c>
      <c r="G2809" s="70">
        <v>0.0</v>
      </c>
      <c r="H2809" s="70" t="s">
        <v>711</v>
      </c>
      <c r="I2809" s="70">
        <v>29.0</v>
      </c>
      <c r="J2809" s="70" t="s">
        <v>709</v>
      </c>
      <c r="K2809" s="70" t="s">
        <v>710</v>
      </c>
      <c r="L2809" s="70" t="s">
        <v>521</v>
      </c>
      <c r="M2809" s="70" t="s">
        <v>522</v>
      </c>
      <c r="O2809" s="75" t="s">
        <v>712</v>
      </c>
      <c r="P2809" s="70">
        <v>2024.0</v>
      </c>
      <c r="Q2809" s="70" t="s">
        <v>525</v>
      </c>
      <c r="U2809" s="70" t="s">
        <v>401</v>
      </c>
      <c r="V2809" s="70" t="s">
        <v>402</v>
      </c>
      <c r="W2809" s="70" t="s">
        <v>713</v>
      </c>
      <c r="AW2809" s="70" t="s">
        <v>714</v>
      </c>
      <c r="AX2809" s="70">
        <v>0.0</v>
      </c>
      <c r="AY2809" s="70" t="s">
        <v>24</v>
      </c>
      <c r="AZ2809" s="70">
        <v>1782.0</v>
      </c>
    </row>
    <row r="2810" ht="22.5" customHeight="1">
      <c r="A2810" s="70" t="str">
        <f t="shared" si="1"/>
        <v>Excluded</v>
      </c>
      <c r="B2810" s="70">
        <f t="shared" si="2"/>
        <v>0</v>
      </c>
      <c r="C2810" s="70">
        <v>0.0</v>
      </c>
      <c r="D2810" s="70">
        <v>0.0</v>
      </c>
      <c r="E2810" s="70">
        <v>0.0</v>
      </c>
      <c r="F2810" s="70">
        <v>0.0</v>
      </c>
      <c r="G2810" s="70">
        <v>0.0</v>
      </c>
      <c r="H2810" s="70" t="s">
        <v>523</v>
      </c>
      <c r="I2810" s="70">
        <v>12.0</v>
      </c>
      <c r="J2810" s="70" t="s">
        <v>519</v>
      </c>
      <c r="K2810" s="70" t="s">
        <v>520</v>
      </c>
      <c r="L2810" s="70" t="s">
        <v>521</v>
      </c>
      <c r="M2810" s="70" t="s">
        <v>522</v>
      </c>
      <c r="O2810" s="75" t="s">
        <v>524</v>
      </c>
      <c r="P2810" s="70">
        <v>2024.0</v>
      </c>
      <c r="Q2810" s="70" t="s">
        <v>525</v>
      </c>
      <c r="U2810" s="70" t="s">
        <v>401</v>
      </c>
      <c r="V2810" s="70" t="s">
        <v>402</v>
      </c>
      <c r="W2810" s="70" t="s">
        <v>527</v>
      </c>
      <c r="AW2810" s="70" t="s">
        <v>528</v>
      </c>
      <c r="AX2810" s="70">
        <v>0.0</v>
      </c>
      <c r="AY2810" s="70" t="s">
        <v>24</v>
      </c>
      <c r="AZ2810" s="70">
        <v>1769.0</v>
      </c>
    </row>
    <row r="2811" ht="22.5" customHeight="1">
      <c r="A2811" s="70" t="str">
        <f t="shared" si="1"/>
        <v>Excluded</v>
      </c>
      <c r="B2811" s="70">
        <f t="shared" si="2"/>
        <v>0</v>
      </c>
      <c r="C2811" s="70">
        <v>0.0</v>
      </c>
      <c r="D2811" s="70">
        <v>0.0</v>
      </c>
      <c r="E2811" s="70">
        <v>0.0</v>
      </c>
      <c r="F2811" s="70">
        <v>0.0</v>
      </c>
      <c r="G2811" s="70">
        <v>0.0</v>
      </c>
      <c r="H2811" s="70" t="s">
        <v>1641</v>
      </c>
      <c r="I2811" s="70">
        <v>115.0</v>
      </c>
      <c r="J2811" s="70" t="s">
        <v>1639</v>
      </c>
      <c r="K2811" s="70" t="s">
        <v>1640</v>
      </c>
      <c r="L2811" s="70" t="s">
        <v>521</v>
      </c>
      <c r="M2811" s="70" t="s">
        <v>522</v>
      </c>
      <c r="O2811" s="75" t="s">
        <v>1642</v>
      </c>
      <c r="P2811" s="70">
        <v>2024.0</v>
      </c>
      <c r="Q2811" s="70" t="s">
        <v>525</v>
      </c>
      <c r="U2811" s="70" t="s">
        <v>401</v>
      </c>
      <c r="V2811" s="70" t="s">
        <v>402</v>
      </c>
      <c r="W2811" s="70" t="s">
        <v>1643</v>
      </c>
      <c r="AW2811" s="70" t="s">
        <v>1644</v>
      </c>
      <c r="AZ2811" s="70">
        <v>651.0</v>
      </c>
    </row>
    <row r="2812" ht="22.5" customHeight="1">
      <c r="A2812" s="70" t="str">
        <f t="shared" si="1"/>
        <v>Excluded</v>
      </c>
      <c r="B2812" s="70">
        <f t="shared" si="2"/>
        <v>0</v>
      </c>
      <c r="C2812" s="70">
        <v>0.0</v>
      </c>
      <c r="D2812" s="70">
        <v>0.0</v>
      </c>
      <c r="E2812" s="70">
        <v>0.0</v>
      </c>
      <c r="F2812" s="70">
        <v>0.0</v>
      </c>
      <c r="G2812" s="70">
        <v>0.0</v>
      </c>
      <c r="H2812" s="70" t="s">
        <v>25606</v>
      </c>
      <c r="I2812" s="70">
        <v>2785.0</v>
      </c>
      <c r="J2812" s="70" t="s">
        <v>25604</v>
      </c>
      <c r="K2812" s="70" t="s">
        <v>25605</v>
      </c>
      <c r="W2812" s="70" t="s">
        <v>31202</v>
      </c>
      <c r="AA2812" s="70" t="s">
        <v>25608</v>
      </c>
      <c r="AI2812" s="70" t="s">
        <v>25609</v>
      </c>
      <c r="AJ2812" s="70" t="s">
        <v>25610</v>
      </c>
      <c r="AK2812" s="70">
        <v>2023.0</v>
      </c>
      <c r="AL2812" s="70" t="s">
        <v>25611</v>
      </c>
      <c r="AN2812" s="70">
        <v>1012.0</v>
      </c>
      <c r="AO2812" s="70">
        <v>1027.0</v>
      </c>
      <c r="AP2812" s="70">
        <v>15.0</v>
      </c>
      <c r="AQ2812" s="70">
        <v>6.0</v>
      </c>
      <c r="AR2812" s="75" t="s">
        <v>25612</v>
      </c>
      <c r="AS2812" s="70" t="s">
        <v>22525</v>
      </c>
      <c r="AU2812" s="70" t="s">
        <v>237</v>
      </c>
      <c r="AV2812" s="70" t="s">
        <v>25613</v>
      </c>
      <c r="AW2812" s="70" t="s">
        <v>25614</v>
      </c>
      <c r="AZ2812" s="70">
        <v>441.0</v>
      </c>
    </row>
    <row r="2813" ht="22.5" customHeight="1">
      <c r="A2813" s="70" t="str">
        <f t="shared" si="1"/>
        <v>Excluded</v>
      </c>
      <c r="B2813" s="70">
        <f t="shared" si="2"/>
        <v>0</v>
      </c>
      <c r="C2813" s="70">
        <v>0.0</v>
      </c>
      <c r="D2813" s="70">
        <v>0.0</v>
      </c>
      <c r="E2813" s="70">
        <v>0.0</v>
      </c>
      <c r="F2813" s="70">
        <v>0.0</v>
      </c>
      <c r="G2813" s="70">
        <v>0.0</v>
      </c>
      <c r="H2813" s="70" t="s">
        <v>3763</v>
      </c>
      <c r="I2813" s="70">
        <v>318.0</v>
      </c>
      <c r="J2813" s="70" t="s">
        <v>3759</v>
      </c>
      <c r="K2813" s="70" t="s">
        <v>3760</v>
      </c>
      <c r="L2813" s="70" t="s">
        <v>3761</v>
      </c>
      <c r="N2813" s="70" t="s">
        <v>3762</v>
      </c>
      <c r="O2813" s="75" t="s">
        <v>3764</v>
      </c>
      <c r="P2813" s="81">
        <v>45108.0</v>
      </c>
      <c r="W2813" s="70" t="s">
        <v>3765</v>
      </c>
      <c r="AW2813" s="70" t="s">
        <v>3766</v>
      </c>
      <c r="AX2813" s="70">
        <v>0.0</v>
      </c>
      <c r="AY2813" s="70" t="s">
        <v>24</v>
      </c>
      <c r="AZ2813" s="70">
        <v>2228.0</v>
      </c>
    </row>
    <row r="2814" ht="22.5" customHeight="1">
      <c r="A2814" s="70" t="str">
        <f t="shared" si="1"/>
        <v>Excluded</v>
      </c>
      <c r="B2814" s="70">
        <f t="shared" si="2"/>
        <v>0</v>
      </c>
      <c r="C2814" s="70">
        <v>0.0</v>
      </c>
      <c r="D2814" s="70">
        <v>0.0</v>
      </c>
      <c r="E2814" s="70">
        <v>0.0</v>
      </c>
      <c r="F2814" s="70">
        <v>0.0</v>
      </c>
      <c r="G2814" s="70">
        <v>0.0</v>
      </c>
      <c r="H2814" s="70" t="s">
        <v>3104</v>
      </c>
      <c r="I2814" s="70">
        <v>253.0</v>
      </c>
      <c r="J2814" s="70" t="s">
        <v>3100</v>
      </c>
      <c r="K2814" s="70" t="s">
        <v>3101</v>
      </c>
      <c r="L2814" s="70" t="s">
        <v>3102</v>
      </c>
      <c r="M2814" s="70" t="s">
        <v>3103</v>
      </c>
      <c r="O2814" s="75" t="s">
        <v>3105</v>
      </c>
      <c r="P2814" s="70">
        <v>2023.0</v>
      </c>
      <c r="Q2814" s="70" t="s">
        <v>3107</v>
      </c>
      <c r="U2814" s="70" t="s">
        <v>401</v>
      </c>
      <c r="V2814" s="70" t="s">
        <v>402</v>
      </c>
      <c r="W2814" s="70" t="s">
        <v>3109</v>
      </c>
      <c r="AZ2814" s="70">
        <v>791.0</v>
      </c>
    </row>
    <row r="2815" ht="22.5" customHeight="1">
      <c r="A2815" s="70" t="str">
        <f t="shared" si="1"/>
        <v>Excluded</v>
      </c>
      <c r="B2815" s="70">
        <f t="shared" si="2"/>
        <v>0</v>
      </c>
      <c r="C2815" s="70">
        <v>0.0</v>
      </c>
      <c r="D2815" s="70">
        <v>0.0</v>
      </c>
      <c r="E2815" s="70">
        <v>0.0</v>
      </c>
      <c r="F2815" s="70">
        <v>0.0</v>
      </c>
      <c r="G2815" s="70">
        <v>0.0</v>
      </c>
      <c r="H2815" s="70" t="s">
        <v>1650</v>
      </c>
      <c r="I2815" s="70">
        <v>116.0</v>
      </c>
      <c r="J2815" s="70" t="s">
        <v>1646</v>
      </c>
      <c r="K2815" s="70" t="s">
        <v>1647</v>
      </c>
      <c r="L2815" s="70" t="s">
        <v>1648</v>
      </c>
      <c r="M2815" s="70" t="s">
        <v>1649</v>
      </c>
      <c r="O2815" s="75" t="s">
        <v>1651</v>
      </c>
      <c r="P2815" s="70">
        <v>2023.0</v>
      </c>
      <c r="Q2815" s="70" t="s">
        <v>1652</v>
      </c>
      <c r="U2815" s="70" t="s">
        <v>401</v>
      </c>
      <c r="V2815" s="70" t="s">
        <v>402</v>
      </c>
      <c r="W2815" s="70" t="s">
        <v>1654</v>
      </c>
      <c r="AW2815" s="70" t="s">
        <v>1655</v>
      </c>
      <c r="AX2815" s="70">
        <v>0.0</v>
      </c>
      <c r="AY2815" s="70" t="s">
        <v>24</v>
      </c>
      <c r="AZ2815" s="70">
        <v>1865.0</v>
      </c>
    </row>
    <row r="2816" ht="22.5" customHeight="1">
      <c r="A2816" s="70" t="str">
        <f t="shared" si="1"/>
        <v>Excluded</v>
      </c>
      <c r="B2816" s="70">
        <f t="shared" si="2"/>
        <v>0</v>
      </c>
      <c r="C2816" s="70">
        <v>0.0</v>
      </c>
      <c r="D2816" s="70">
        <v>0.0</v>
      </c>
      <c r="E2816" s="70">
        <v>0.0</v>
      </c>
      <c r="F2816" s="70">
        <v>0.0</v>
      </c>
      <c r="G2816" s="70">
        <v>0.0</v>
      </c>
      <c r="H2816" s="70" t="s">
        <v>667</v>
      </c>
      <c r="I2816" s="70">
        <v>25.0</v>
      </c>
      <c r="J2816" s="70" t="s">
        <v>663</v>
      </c>
      <c r="K2816" s="70" t="s">
        <v>664</v>
      </c>
      <c r="L2816" s="70" t="s">
        <v>665</v>
      </c>
      <c r="M2816" s="70" t="s">
        <v>666</v>
      </c>
      <c r="O2816" s="75" t="s">
        <v>668</v>
      </c>
      <c r="P2816" s="70">
        <v>2024.0</v>
      </c>
      <c r="Q2816" s="70" t="s">
        <v>670</v>
      </c>
      <c r="U2816" s="70" t="s">
        <v>401</v>
      </c>
      <c r="V2816" s="70" t="s">
        <v>402</v>
      </c>
      <c r="W2816" s="70" t="s">
        <v>672</v>
      </c>
      <c r="AW2816" s="70" t="s">
        <v>673</v>
      </c>
      <c r="AX2816" s="70">
        <v>0.0</v>
      </c>
      <c r="AY2816" s="70" t="s">
        <v>24</v>
      </c>
      <c r="AZ2816" s="70">
        <v>2298.0</v>
      </c>
    </row>
    <row r="2817" ht="22.5" customHeight="1">
      <c r="A2817" s="70" t="str">
        <f t="shared" si="1"/>
        <v>Excluded</v>
      </c>
      <c r="B2817" s="70">
        <f t="shared" si="2"/>
        <v>0</v>
      </c>
      <c r="C2817" s="70">
        <v>0.0</v>
      </c>
      <c r="D2817" s="70">
        <v>0.0</v>
      </c>
      <c r="E2817" s="70">
        <v>0.0</v>
      </c>
      <c r="F2817" s="70">
        <v>0.0</v>
      </c>
      <c r="G2817" s="70">
        <v>0.0</v>
      </c>
      <c r="H2817" s="70" t="s">
        <v>3852</v>
      </c>
      <c r="I2817" s="70">
        <v>329.0</v>
      </c>
      <c r="J2817" s="70" t="s">
        <v>3850</v>
      </c>
      <c r="K2817" s="70" t="s">
        <v>3851</v>
      </c>
      <c r="L2817" s="70" t="s">
        <v>3635</v>
      </c>
      <c r="N2817" s="70" t="s">
        <v>3636</v>
      </c>
      <c r="O2817" s="75" t="s">
        <v>3853</v>
      </c>
      <c r="P2817" s="81">
        <v>45139.0</v>
      </c>
      <c r="W2817" s="70" t="s">
        <v>3855</v>
      </c>
      <c r="AW2817" s="70" t="s">
        <v>3856</v>
      </c>
      <c r="AZ2817" s="70">
        <v>1023.0</v>
      </c>
    </row>
    <row r="2818" ht="22.5" customHeight="1">
      <c r="A2818" s="70" t="str">
        <f t="shared" si="1"/>
        <v>Excluded</v>
      </c>
      <c r="B2818" s="70">
        <f t="shared" si="2"/>
        <v>0</v>
      </c>
      <c r="C2818" s="70">
        <v>0.0</v>
      </c>
      <c r="D2818" s="70">
        <v>0.0</v>
      </c>
      <c r="E2818" s="70">
        <v>0.0</v>
      </c>
      <c r="F2818" s="70">
        <v>0.0</v>
      </c>
      <c r="G2818" s="70">
        <v>0.0</v>
      </c>
      <c r="H2818" s="70" t="s">
        <v>2824</v>
      </c>
      <c r="I2818" s="70">
        <v>227.0</v>
      </c>
      <c r="J2818" s="70" t="s">
        <v>2820</v>
      </c>
      <c r="K2818" s="70" t="s">
        <v>2821</v>
      </c>
      <c r="L2818" s="70" t="s">
        <v>2822</v>
      </c>
      <c r="M2818" s="70" t="s">
        <v>2823</v>
      </c>
      <c r="O2818" s="75" t="s">
        <v>2825</v>
      </c>
      <c r="P2818" s="70">
        <v>2023.0</v>
      </c>
      <c r="Q2818" s="70" t="s">
        <v>2827</v>
      </c>
      <c r="U2818" s="70" t="s">
        <v>401</v>
      </c>
      <c r="V2818" s="70" t="s">
        <v>402</v>
      </c>
      <c r="W2818" s="70" t="s">
        <v>2829</v>
      </c>
      <c r="AW2818" s="70" t="s">
        <v>2830</v>
      </c>
      <c r="AX2818" s="70">
        <v>0.0</v>
      </c>
      <c r="AY2818" s="70" t="s">
        <v>24</v>
      </c>
      <c r="AZ2818" s="70">
        <v>2618.0</v>
      </c>
    </row>
    <row r="2819" ht="22.5" customHeight="1">
      <c r="A2819" s="70" t="str">
        <f t="shared" si="1"/>
        <v>Excluded</v>
      </c>
      <c r="B2819" s="70">
        <f t="shared" si="2"/>
        <v>0</v>
      </c>
      <c r="C2819" s="70">
        <v>0.0</v>
      </c>
      <c r="D2819" s="70">
        <v>0.0</v>
      </c>
      <c r="E2819" s="70">
        <v>0.0</v>
      </c>
      <c r="F2819" s="70">
        <v>0.0</v>
      </c>
      <c r="G2819" s="70">
        <v>0.0</v>
      </c>
      <c r="H2819" s="70" t="s">
        <v>1153</v>
      </c>
      <c r="I2819" s="70">
        <v>70.0</v>
      </c>
      <c r="J2819" s="70" t="s">
        <v>1149</v>
      </c>
      <c r="K2819" s="70" t="s">
        <v>1150</v>
      </c>
      <c r="L2819" s="70" t="s">
        <v>1151</v>
      </c>
      <c r="M2819" s="70" t="s">
        <v>1152</v>
      </c>
      <c r="O2819" s="75" t="s">
        <v>1154</v>
      </c>
      <c r="P2819" s="70">
        <v>2023.0</v>
      </c>
      <c r="Q2819" s="70" t="s">
        <v>1156</v>
      </c>
      <c r="U2819" s="70" t="s">
        <v>401</v>
      </c>
      <c r="V2819" s="70" t="s">
        <v>402</v>
      </c>
      <c r="W2819" s="70" t="s">
        <v>31203</v>
      </c>
      <c r="AW2819" s="70" t="s">
        <v>1159</v>
      </c>
      <c r="AX2819" s="70">
        <v>0.0</v>
      </c>
      <c r="AY2819" s="70" t="s">
        <v>24</v>
      </c>
      <c r="AZ2819" s="70">
        <v>2945.0</v>
      </c>
    </row>
    <row r="2820" ht="22.5" customHeight="1">
      <c r="A2820" s="70" t="str">
        <f t="shared" si="1"/>
        <v>Excluded</v>
      </c>
      <c r="B2820" s="70">
        <f t="shared" si="2"/>
        <v>0</v>
      </c>
      <c r="C2820" s="70">
        <v>0.0</v>
      </c>
      <c r="D2820" s="70">
        <v>0.0</v>
      </c>
      <c r="E2820" s="70">
        <v>0.0</v>
      </c>
      <c r="F2820" s="70">
        <v>0.0</v>
      </c>
      <c r="G2820" s="70">
        <v>0.0</v>
      </c>
      <c r="H2820" s="70" t="s">
        <v>23519</v>
      </c>
      <c r="I2820" s="70">
        <v>2583.0</v>
      </c>
      <c r="J2820" s="70" t="s">
        <v>23517</v>
      </c>
      <c r="K2820" s="70" t="s">
        <v>23518</v>
      </c>
      <c r="W2820" s="70" t="s">
        <v>31204</v>
      </c>
      <c r="AA2820" s="70" t="s">
        <v>23521</v>
      </c>
      <c r="AI2820" s="70" t="s">
        <v>23522</v>
      </c>
      <c r="AJ2820" s="70" t="s">
        <v>23523</v>
      </c>
      <c r="AK2820" s="70">
        <v>2024.0</v>
      </c>
      <c r="AL2820" s="70" t="s">
        <v>23451</v>
      </c>
      <c r="AM2820" s="70">
        <v>44.0</v>
      </c>
      <c r="AQ2820" s="70">
        <v>3.0</v>
      </c>
      <c r="AR2820" s="75" t="s">
        <v>23524</v>
      </c>
      <c r="AS2820" s="70" t="s">
        <v>22525</v>
      </c>
      <c r="AU2820" s="70" t="s">
        <v>237</v>
      </c>
      <c r="AV2820" s="70" t="s">
        <v>23525</v>
      </c>
      <c r="AW2820" s="70" t="s">
        <v>23526</v>
      </c>
      <c r="AZ2820" s="70">
        <v>746.0</v>
      </c>
    </row>
    <row r="2821" ht="22.5" customHeight="1">
      <c r="A2821" s="70" t="str">
        <f t="shared" si="1"/>
        <v>Excluded</v>
      </c>
      <c r="B2821" s="70">
        <f t="shared" si="2"/>
        <v>0</v>
      </c>
      <c r="C2821" s="70">
        <v>0.0</v>
      </c>
      <c r="D2821" s="70">
        <v>0.0</v>
      </c>
      <c r="E2821" s="70">
        <v>0.0</v>
      </c>
      <c r="F2821" s="70">
        <v>0.0</v>
      </c>
      <c r="G2821" s="70">
        <v>0.0</v>
      </c>
      <c r="H2821" s="70" t="s">
        <v>3979</v>
      </c>
      <c r="I2821" s="70">
        <v>345.0</v>
      </c>
      <c r="J2821" s="70" t="s">
        <v>3977</v>
      </c>
      <c r="K2821" s="70" t="s">
        <v>3978</v>
      </c>
      <c r="L2821" s="70" t="s">
        <v>3635</v>
      </c>
      <c r="N2821" s="70" t="s">
        <v>3636</v>
      </c>
      <c r="O2821" s="75" t="s">
        <v>3980</v>
      </c>
      <c r="P2821" s="81">
        <v>45170.0</v>
      </c>
      <c r="W2821" s="70" t="s">
        <v>3982</v>
      </c>
      <c r="AW2821" s="70" t="s">
        <v>3983</v>
      </c>
      <c r="AZ2821" s="70">
        <v>285.0</v>
      </c>
    </row>
    <row r="2822" ht="22.5" customHeight="1">
      <c r="A2822" s="70" t="str">
        <f t="shared" si="1"/>
        <v>Excluded</v>
      </c>
      <c r="B2822" s="70">
        <f t="shared" si="2"/>
        <v>0</v>
      </c>
      <c r="C2822" s="70">
        <v>0.0</v>
      </c>
      <c r="D2822" s="70">
        <v>0.0</v>
      </c>
      <c r="E2822" s="70">
        <v>0.0</v>
      </c>
      <c r="F2822" s="70">
        <v>0.0</v>
      </c>
      <c r="G2822" s="70">
        <v>0.0</v>
      </c>
      <c r="H2822" s="70" t="s">
        <v>421</v>
      </c>
      <c r="I2822" s="70">
        <v>3.0</v>
      </c>
      <c r="J2822" s="70" t="s">
        <v>31205</v>
      </c>
      <c r="K2822" s="70" t="s">
        <v>418</v>
      </c>
      <c r="L2822" s="70" t="s">
        <v>419</v>
      </c>
      <c r="M2822" s="70" t="s">
        <v>420</v>
      </c>
      <c r="O2822" s="75" t="s">
        <v>422</v>
      </c>
      <c r="P2822" s="70">
        <v>2023.0</v>
      </c>
      <c r="Q2822" s="70" t="s">
        <v>423</v>
      </c>
      <c r="U2822" s="70" t="s">
        <v>401</v>
      </c>
      <c r="V2822" s="70" t="s">
        <v>402</v>
      </c>
      <c r="W2822" s="70" t="s">
        <v>425</v>
      </c>
      <c r="AW2822" s="70" t="s">
        <v>426</v>
      </c>
      <c r="AX2822" s="70">
        <v>0.0</v>
      </c>
      <c r="AY2822" s="70" t="s">
        <v>24</v>
      </c>
      <c r="AZ2822" s="70">
        <v>2487.0</v>
      </c>
    </row>
    <row r="2823" ht="22.5" customHeight="1">
      <c r="A2823" s="70" t="str">
        <f t="shared" si="1"/>
        <v>Excluded</v>
      </c>
      <c r="B2823" s="70">
        <f t="shared" si="2"/>
        <v>0</v>
      </c>
      <c r="C2823" s="70">
        <v>0.0</v>
      </c>
      <c r="D2823" s="70">
        <v>0.0</v>
      </c>
      <c r="E2823" s="70">
        <v>0.0</v>
      </c>
      <c r="F2823" s="70">
        <v>0.0</v>
      </c>
      <c r="G2823" s="70">
        <v>0.0</v>
      </c>
      <c r="H2823" s="70" t="s">
        <v>3987</v>
      </c>
      <c r="I2823" s="70">
        <v>346.0</v>
      </c>
      <c r="J2823" s="70" t="s">
        <v>3985</v>
      </c>
      <c r="K2823" s="70" t="s">
        <v>3986</v>
      </c>
      <c r="L2823" s="70" t="s">
        <v>3635</v>
      </c>
      <c r="N2823" s="70" t="s">
        <v>3636</v>
      </c>
      <c r="O2823" s="75" t="s">
        <v>3988</v>
      </c>
      <c r="P2823" s="81">
        <v>45170.0</v>
      </c>
      <c r="W2823" s="70" t="s">
        <v>31206</v>
      </c>
      <c r="AZ2823" s="70">
        <v>876.0</v>
      </c>
    </row>
    <row r="2824" ht="22.5" customHeight="1">
      <c r="A2824" s="70" t="str">
        <f t="shared" si="1"/>
        <v>Excluded</v>
      </c>
      <c r="B2824" s="70">
        <f t="shared" si="2"/>
        <v>0</v>
      </c>
      <c r="C2824" s="70">
        <v>0.0</v>
      </c>
      <c r="D2824" s="70">
        <v>0.0</v>
      </c>
      <c r="E2824" s="70">
        <v>0.0</v>
      </c>
      <c r="F2824" s="70">
        <v>0.0</v>
      </c>
      <c r="G2824" s="70">
        <v>0.0</v>
      </c>
      <c r="H2824" s="70" t="s">
        <v>4150</v>
      </c>
      <c r="I2824" s="70">
        <v>367.0</v>
      </c>
      <c r="J2824" s="70" t="s">
        <v>4146</v>
      </c>
      <c r="K2824" s="70" t="s">
        <v>4147</v>
      </c>
      <c r="L2824" s="70" t="s">
        <v>4148</v>
      </c>
      <c r="N2824" s="70" t="s">
        <v>4149</v>
      </c>
      <c r="O2824" s="75" t="s">
        <v>4151</v>
      </c>
      <c r="P2824" s="80">
        <v>45200.0</v>
      </c>
      <c r="W2824" s="70" t="s">
        <v>4152</v>
      </c>
      <c r="AW2824" s="70" t="s">
        <v>4153</v>
      </c>
      <c r="AZ2824" s="70">
        <v>1003.0</v>
      </c>
    </row>
    <row r="2825" ht="22.5" customHeight="1">
      <c r="A2825" s="70" t="str">
        <f t="shared" si="1"/>
        <v>Excluded</v>
      </c>
      <c r="B2825" s="70">
        <f t="shared" si="2"/>
        <v>0</v>
      </c>
      <c r="C2825" s="70">
        <v>0.0</v>
      </c>
      <c r="D2825" s="70">
        <v>0.0</v>
      </c>
      <c r="E2825" s="70">
        <v>0.0</v>
      </c>
      <c r="F2825" s="70">
        <v>0.0</v>
      </c>
      <c r="G2825" s="70">
        <v>0.0</v>
      </c>
      <c r="H2825" s="70" t="s">
        <v>3862</v>
      </c>
      <c r="I2825" s="70">
        <v>330.0</v>
      </c>
      <c r="J2825" s="70" t="s">
        <v>3858</v>
      </c>
      <c r="K2825" s="70" t="s">
        <v>3859</v>
      </c>
      <c r="L2825" s="70" t="s">
        <v>3860</v>
      </c>
      <c r="N2825" s="70" t="s">
        <v>3861</v>
      </c>
      <c r="O2825" s="75" t="s">
        <v>3863</v>
      </c>
      <c r="P2825" s="80">
        <v>45231.0</v>
      </c>
      <c r="W2825" s="70" t="s">
        <v>3865</v>
      </c>
      <c r="AW2825" s="70" t="s">
        <v>3866</v>
      </c>
      <c r="AX2825" s="70">
        <v>0.0</v>
      </c>
      <c r="AY2825" s="70" t="s">
        <v>24</v>
      </c>
      <c r="AZ2825" s="70">
        <v>2415.0</v>
      </c>
    </row>
    <row r="2826" ht="22.5" customHeight="1">
      <c r="A2826" s="70" t="str">
        <f t="shared" si="1"/>
        <v>Excluded</v>
      </c>
      <c r="B2826" s="70">
        <f t="shared" si="2"/>
        <v>0</v>
      </c>
      <c r="C2826" s="70">
        <v>0.0</v>
      </c>
      <c r="D2826" s="70">
        <v>0.0</v>
      </c>
      <c r="E2826" s="70">
        <v>0.0</v>
      </c>
      <c r="F2826" s="70">
        <v>0.0</v>
      </c>
      <c r="G2826" s="70">
        <v>0.0</v>
      </c>
      <c r="H2826" s="70" t="s">
        <v>3785</v>
      </c>
      <c r="I2826" s="70">
        <v>321.0</v>
      </c>
      <c r="J2826" s="70" t="s">
        <v>31207</v>
      </c>
      <c r="K2826" s="70" t="s">
        <v>31208</v>
      </c>
      <c r="L2826" s="70" t="s">
        <v>3635</v>
      </c>
      <c r="N2826" s="70" t="s">
        <v>3636</v>
      </c>
      <c r="O2826" s="75" t="s">
        <v>3786</v>
      </c>
      <c r="P2826" s="80">
        <v>45200.0</v>
      </c>
      <c r="W2826" s="70" t="s">
        <v>3788</v>
      </c>
      <c r="AW2826" s="70" t="s">
        <v>3789</v>
      </c>
      <c r="AZ2826" s="70">
        <v>204.0</v>
      </c>
    </row>
    <row r="2827" ht="22.5" customHeight="1">
      <c r="A2827" s="70" t="str">
        <f t="shared" si="1"/>
        <v>Excluded</v>
      </c>
      <c r="B2827" s="70">
        <f t="shared" si="2"/>
        <v>0</v>
      </c>
      <c r="C2827" s="70">
        <v>0.0</v>
      </c>
      <c r="D2827" s="70">
        <v>0.0</v>
      </c>
      <c r="E2827" s="70">
        <v>0.0</v>
      </c>
      <c r="F2827" s="70">
        <v>0.0</v>
      </c>
      <c r="G2827" s="70">
        <v>0.0</v>
      </c>
      <c r="H2827" s="70" t="s">
        <v>4141</v>
      </c>
      <c r="I2827" s="70">
        <v>366.0</v>
      </c>
      <c r="J2827" s="70" t="s">
        <v>4139</v>
      </c>
      <c r="K2827" s="70" t="s">
        <v>4140</v>
      </c>
      <c r="L2827" s="70" t="s">
        <v>3635</v>
      </c>
      <c r="N2827" s="70" t="s">
        <v>3636</v>
      </c>
      <c r="O2827" s="75" t="s">
        <v>4142</v>
      </c>
      <c r="P2827" s="80">
        <v>45200.0</v>
      </c>
      <c r="W2827" s="70" t="s">
        <v>4143</v>
      </c>
      <c r="AW2827" s="70" t="s">
        <v>4144</v>
      </c>
      <c r="AZ2827" s="70">
        <v>517.0</v>
      </c>
    </row>
    <row r="2828" ht="22.5" customHeight="1">
      <c r="A2828" s="70" t="str">
        <f t="shared" si="1"/>
        <v>Excluded</v>
      </c>
      <c r="B2828" s="70">
        <f t="shared" si="2"/>
        <v>0</v>
      </c>
      <c r="C2828" s="70">
        <v>0.0</v>
      </c>
      <c r="D2828" s="70">
        <v>0.0</v>
      </c>
      <c r="E2828" s="70">
        <v>0.0</v>
      </c>
      <c r="F2828" s="70">
        <v>0.0</v>
      </c>
      <c r="G2828" s="70">
        <v>0.0</v>
      </c>
      <c r="H2828" s="70" t="s">
        <v>564</v>
      </c>
      <c r="I2828" s="70">
        <v>16.0</v>
      </c>
      <c r="J2828" s="70" t="s">
        <v>560</v>
      </c>
      <c r="K2828" s="70" t="s">
        <v>561</v>
      </c>
      <c r="L2828" s="70" t="s">
        <v>562</v>
      </c>
      <c r="M2828" s="70" t="s">
        <v>563</v>
      </c>
      <c r="O2828" s="75" t="s">
        <v>565</v>
      </c>
      <c r="P2828" s="70">
        <v>2023.0</v>
      </c>
      <c r="Q2828" s="70" t="s">
        <v>567</v>
      </c>
      <c r="U2828" s="70" t="s">
        <v>401</v>
      </c>
      <c r="V2828" s="70" t="s">
        <v>402</v>
      </c>
      <c r="W2828" s="70" t="s">
        <v>569</v>
      </c>
      <c r="AW2828" s="70" t="s">
        <v>570</v>
      </c>
      <c r="AX2828" s="70">
        <v>0.0</v>
      </c>
      <c r="AY2828" s="70" t="s">
        <v>24</v>
      </c>
      <c r="AZ2828" s="70">
        <v>1893.0</v>
      </c>
    </row>
    <row r="2829" ht="22.5" customHeight="1">
      <c r="A2829" s="70" t="str">
        <f t="shared" si="1"/>
        <v>Excluded</v>
      </c>
      <c r="B2829" s="70">
        <f t="shared" si="2"/>
        <v>0</v>
      </c>
      <c r="C2829" s="70">
        <v>0.0</v>
      </c>
      <c r="D2829" s="70">
        <v>0.0</v>
      </c>
      <c r="E2829" s="70">
        <v>0.0</v>
      </c>
      <c r="F2829" s="70">
        <v>0.0</v>
      </c>
      <c r="G2829" s="70">
        <v>0.0</v>
      </c>
      <c r="H2829" s="70" t="s">
        <v>1120</v>
      </c>
      <c r="I2829" s="70">
        <v>67.0</v>
      </c>
      <c r="J2829" s="70" t="s">
        <v>1118</v>
      </c>
      <c r="K2829" s="70" t="s">
        <v>1119</v>
      </c>
      <c r="L2829" s="70" t="s">
        <v>562</v>
      </c>
      <c r="M2829" s="70" t="s">
        <v>563</v>
      </c>
      <c r="O2829" s="75" t="s">
        <v>1121</v>
      </c>
      <c r="P2829" s="70">
        <v>2023.0</v>
      </c>
      <c r="Q2829" s="70" t="s">
        <v>567</v>
      </c>
      <c r="U2829" s="70" t="s">
        <v>401</v>
      </c>
      <c r="V2829" s="70" t="s">
        <v>402</v>
      </c>
      <c r="W2829" s="70" t="s">
        <v>31209</v>
      </c>
      <c r="AW2829" s="70" t="s">
        <v>1124</v>
      </c>
      <c r="AX2829" s="70">
        <v>0.0</v>
      </c>
      <c r="AY2829" s="70" t="s">
        <v>24</v>
      </c>
      <c r="AZ2829" s="70">
        <v>2641.0</v>
      </c>
    </row>
    <row r="2830" ht="22.5" customHeight="1">
      <c r="A2830" s="70" t="str">
        <f t="shared" si="1"/>
        <v>Excluded</v>
      </c>
      <c r="B2830" s="70">
        <f t="shared" si="2"/>
        <v>0</v>
      </c>
      <c r="C2830" s="70">
        <v>0.0</v>
      </c>
      <c r="D2830" s="70">
        <v>0.0</v>
      </c>
      <c r="E2830" s="70">
        <v>0.0</v>
      </c>
      <c r="F2830" s="70">
        <v>0.0</v>
      </c>
      <c r="G2830" s="70">
        <v>0.0</v>
      </c>
      <c r="H2830" s="70" t="s">
        <v>2845</v>
      </c>
      <c r="I2830" s="70">
        <v>229.0</v>
      </c>
      <c r="J2830" s="70" t="s">
        <v>2843</v>
      </c>
      <c r="K2830" s="70" t="s">
        <v>2844</v>
      </c>
      <c r="L2830" s="70" t="s">
        <v>562</v>
      </c>
      <c r="M2830" s="70" t="s">
        <v>563</v>
      </c>
      <c r="O2830" s="75" t="s">
        <v>2846</v>
      </c>
      <c r="P2830" s="70">
        <v>2023.0</v>
      </c>
      <c r="Q2830" s="70" t="s">
        <v>567</v>
      </c>
      <c r="U2830" s="70" t="s">
        <v>401</v>
      </c>
      <c r="V2830" s="70" t="s">
        <v>402</v>
      </c>
      <c r="W2830" s="70" t="s">
        <v>2848</v>
      </c>
      <c r="AW2830" s="70" t="s">
        <v>2849</v>
      </c>
      <c r="AX2830" s="70">
        <v>0.0</v>
      </c>
      <c r="AY2830" s="70" t="s">
        <v>24</v>
      </c>
      <c r="AZ2830" s="70">
        <v>2070.0</v>
      </c>
    </row>
    <row r="2831" ht="22.5" customHeight="1">
      <c r="A2831" s="70" t="str">
        <f t="shared" si="1"/>
        <v>Excluded</v>
      </c>
      <c r="B2831" s="70">
        <f t="shared" si="2"/>
        <v>0</v>
      </c>
      <c r="C2831" s="70">
        <v>0.0</v>
      </c>
      <c r="D2831" s="70">
        <v>0.0</v>
      </c>
      <c r="E2831" s="70">
        <v>0.0</v>
      </c>
      <c r="F2831" s="70">
        <v>0.0</v>
      </c>
      <c r="G2831" s="70">
        <v>0.0</v>
      </c>
      <c r="H2831" s="70" t="s">
        <v>846</v>
      </c>
      <c r="I2831" s="70">
        <v>41.0</v>
      </c>
      <c r="J2831" s="70" t="s">
        <v>842</v>
      </c>
      <c r="K2831" s="70" t="s">
        <v>843</v>
      </c>
      <c r="L2831" s="70" t="s">
        <v>844</v>
      </c>
      <c r="M2831" s="70" t="s">
        <v>845</v>
      </c>
      <c r="O2831" s="75" t="s">
        <v>847</v>
      </c>
      <c r="P2831" s="70">
        <v>2023.0</v>
      </c>
      <c r="Q2831" s="70" t="s">
        <v>849</v>
      </c>
      <c r="U2831" s="70" t="s">
        <v>401</v>
      </c>
      <c r="V2831" s="70" t="s">
        <v>402</v>
      </c>
      <c r="W2831" s="70" t="s">
        <v>851</v>
      </c>
      <c r="AW2831" s="70" t="s">
        <v>852</v>
      </c>
      <c r="AZ2831" s="70">
        <v>464.0</v>
      </c>
    </row>
    <row r="2832" ht="22.5" customHeight="1">
      <c r="A2832" s="70" t="str">
        <f t="shared" si="1"/>
        <v>Excluded</v>
      </c>
      <c r="B2832" s="70">
        <f t="shared" si="2"/>
        <v>0</v>
      </c>
      <c r="C2832" s="70">
        <v>0.0</v>
      </c>
      <c r="D2832" s="70">
        <v>0.0</v>
      </c>
      <c r="E2832" s="70">
        <v>0.0</v>
      </c>
      <c r="F2832" s="70">
        <v>0.0</v>
      </c>
      <c r="G2832" s="70">
        <v>0.0</v>
      </c>
      <c r="H2832" s="70" t="s">
        <v>1743</v>
      </c>
      <c r="I2832" s="70">
        <v>125.0</v>
      </c>
      <c r="J2832" s="70" t="s">
        <v>1739</v>
      </c>
      <c r="K2832" s="70" t="s">
        <v>1740</v>
      </c>
      <c r="L2832" s="70" t="s">
        <v>1741</v>
      </c>
      <c r="M2832" s="70" t="s">
        <v>1742</v>
      </c>
      <c r="O2832" s="75" t="s">
        <v>1744</v>
      </c>
      <c r="P2832" s="70">
        <v>2023.0</v>
      </c>
      <c r="Q2832" s="70" t="s">
        <v>1746</v>
      </c>
      <c r="U2832" s="70" t="s">
        <v>401</v>
      </c>
      <c r="V2832" s="70" t="s">
        <v>402</v>
      </c>
      <c r="W2832" s="70" t="s">
        <v>1747</v>
      </c>
      <c r="AW2832" s="70" t="s">
        <v>1748</v>
      </c>
      <c r="AX2832" s="70">
        <v>0.0</v>
      </c>
      <c r="AY2832" s="70" t="s">
        <v>24</v>
      </c>
      <c r="AZ2832" s="70">
        <v>2971.0</v>
      </c>
    </row>
    <row r="2833" ht="22.5" customHeight="1">
      <c r="A2833" s="70" t="str">
        <f t="shared" si="1"/>
        <v>Excluded</v>
      </c>
      <c r="B2833" s="70">
        <f t="shared" si="2"/>
        <v>0</v>
      </c>
      <c r="C2833" s="70">
        <v>0.0</v>
      </c>
      <c r="D2833" s="70">
        <v>0.0</v>
      </c>
      <c r="E2833" s="70">
        <v>0.0</v>
      </c>
      <c r="F2833" s="70">
        <v>0.0</v>
      </c>
      <c r="G2833" s="70">
        <v>0.0</v>
      </c>
      <c r="H2833" s="70" t="s">
        <v>1789</v>
      </c>
      <c r="I2833" s="70">
        <v>129.0</v>
      </c>
      <c r="J2833" s="70" t="s">
        <v>1785</v>
      </c>
      <c r="K2833" s="70" t="s">
        <v>1786</v>
      </c>
      <c r="L2833" s="70" t="s">
        <v>1787</v>
      </c>
      <c r="M2833" s="70" t="s">
        <v>1788</v>
      </c>
      <c r="O2833" s="75" t="s">
        <v>1790</v>
      </c>
      <c r="P2833" s="70">
        <v>2024.0</v>
      </c>
      <c r="Q2833" s="70" t="s">
        <v>1792</v>
      </c>
      <c r="U2833" s="70" t="s">
        <v>401</v>
      </c>
      <c r="V2833" s="70" t="s">
        <v>402</v>
      </c>
      <c r="W2833" s="70" t="s">
        <v>1794</v>
      </c>
      <c r="AW2833" s="70" t="s">
        <v>1795</v>
      </c>
      <c r="AZ2833" s="70">
        <v>459.0</v>
      </c>
    </row>
    <row r="2834" ht="22.5" customHeight="1">
      <c r="A2834" s="70" t="str">
        <f t="shared" si="1"/>
        <v>Excluded</v>
      </c>
      <c r="B2834" s="70">
        <f t="shared" si="2"/>
        <v>0</v>
      </c>
      <c r="C2834" s="70">
        <v>0.0</v>
      </c>
      <c r="D2834" s="70">
        <v>0.0</v>
      </c>
      <c r="E2834" s="70">
        <v>0.0</v>
      </c>
      <c r="F2834" s="70">
        <v>0.0</v>
      </c>
      <c r="G2834" s="70">
        <v>0.0</v>
      </c>
      <c r="H2834" s="70" t="s">
        <v>24171</v>
      </c>
      <c r="I2834" s="70">
        <v>2646.0</v>
      </c>
      <c r="J2834" s="70" t="s">
        <v>24169</v>
      </c>
      <c r="K2834" s="70" t="s">
        <v>24170</v>
      </c>
      <c r="W2834" s="70" t="s">
        <v>31210</v>
      </c>
      <c r="AA2834" s="70" t="s">
        <v>24173</v>
      </c>
      <c r="AI2834" s="70" t="s">
        <v>24174</v>
      </c>
      <c r="AJ2834" s="70" t="s">
        <v>24175</v>
      </c>
      <c r="AK2834" s="70">
        <v>2024.0</v>
      </c>
      <c r="AL2834" s="70" t="s">
        <v>24176</v>
      </c>
      <c r="AN2834" s="70">
        <v>89.0</v>
      </c>
      <c r="AO2834" s="70">
        <v>100.0</v>
      </c>
      <c r="AP2834" s="70">
        <v>11.0</v>
      </c>
      <c r="AQ2834" s="70">
        <v>0.0</v>
      </c>
      <c r="AR2834" s="75" t="s">
        <v>24177</v>
      </c>
      <c r="AS2834" s="70" t="s">
        <v>22525</v>
      </c>
      <c r="AU2834" s="70" t="s">
        <v>237</v>
      </c>
      <c r="AV2834" s="70" t="s">
        <v>24178</v>
      </c>
      <c r="AW2834" s="70" t="s">
        <v>24179</v>
      </c>
      <c r="AX2834" s="70">
        <v>0.0</v>
      </c>
      <c r="AY2834" s="70" t="s">
        <v>24</v>
      </c>
      <c r="AZ2834" s="70">
        <v>2081.0</v>
      </c>
    </row>
    <row r="2835" ht="22.5" customHeight="1">
      <c r="A2835" s="70" t="str">
        <f t="shared" si="1"/>
        <v>Excluded</v>
      </c>
      <c r="B2835" s="70">
        <f t="shared" si="2"/>
        <v>0</v>
      </c>
      <c r="C2835" s="70">
        <v>0.0</v>
      </c>
      <c r="D2835" s="70">
        <v>0.0</v>
      </c>
      <c r="E2835" s="70">
        <v>0.0</v>
      </c>
      <c r="F2835" s="70">
        <v>0.0</v>
      </c>
      <c r="G2835" s="70">
        <v>0.0</v>
      </c>
      <c r="H2835" s="70" t="s">
        <v>3132</v>
      </c>
      <c r="I2835" s="70">
        <v>256.0</v>
      </c>
      <c r="J2835" s="70" t="s">
        <v>31211</v>
      </c>
      <c r="K2835" s="70" t="s">
        <v>3129</v>
      </c>
      <c r="L2835" s="70" t="s">
        <v>3130</v>
      </c>
      <c r="M2835" s="70" t="s">
        <v>3131</v>
      </c>
      <c r="O2835" s="75" t="s">
        <v>3133</v>
      </c>
      <c r="P2835" s="70">
        <v>2024.0</v>
      </c>
      <c r="Q2835" s="70" t="s">
        <v>3135</v>
      </c>
      <c r="U2835" s="70" t="s">
        <v>401</v>
      </c>
      <c r="V2835" s="70" t="s">
        <v>402</v>
      </c>
      <c r="W2835" s="70" t="s">
        <v>3136</v>
      </c>
      <c r="AW2835" s="70" t="s">
        <v>3137</v>
      </c>
      <c r="AZ2835" s="70">
        <v>1020.0</v>
      </c>
    </row>
    <row r="2836" ht="22.5" customHeight="1">
      <c r="A2836" s="70" t="str">
        <f t="shared" si="1"/>
        <v>Excluded</v>
      </c>
      <c r="B2836" s="70">
        <f t="shared" si="2"/>
        <v>0</v>
      </c>
      <c r="C2836" s="70">
        <v>0.0</v>
      </c>
      <c r="D2836" s="70">
        <v>0.0</v>
      </c>
      <c r="E2836" s="70">
        <v>0.0</v>
      </c>
      <c r="F2836" s="70">
        <v>0.0</v>
      </c>
      <c r="G2836" s="70">
        <v>0.0</v>
      </c>
      <c r="H2836" s="70" t="s">
        <v>3252</v>
      </c>
      <c r="I2836" s="70">
        <v>267.0</v>
      </c>
      <c r="J2836" s="70" t="s">
        <v>31212</v>
      </c>
      <c r="K2836" s="70" t="s">
        <v>3249</v>
      </c>
      <c r="L2836" s="70" t="s">
        <v>3250</v>
      </c>
      <c r="M2836" s="70" t="s">
        <v>3251</v>
      </c>
      <c r="O2836" s="75" t="s">
        <v>3253</v>
      </c>
      <c r="P2836" s="70">
        <v>2024.0</v>
      </c>
      <c r="Q2836" s="70" t="s">
        <v>3255</v>
      </c>
      <c r="U2836" s="70" t="s">
        <v>401</v>
      </c>
      <c r="V2836" s="70" t="s">
        <v>402</v>
      </c>
      <c r="W2836" s="70" t="s">
        <v>3257</v>
      </c>
      <c r="AW2836" s="70" t="s">
        <v>3258</v>
      </c>
      <c r="AX2836" s="70">
        <v>0.0</v>
      </c>
      <c r="AY2836" s="70" t="s">
        <v>24</v>
      </c>
      <c r="AZ2836" s="70">
        <v>2564.0</v>
      </c>
    </row>
    <row r="2837" ht="22.5" customHeight="1">
      <c r="A2837" s="70" t="str">
        <f t="shared" si="1"/>
        <v>Excluded</v>
      </c>
      <c r="B2837" s="70">
        <f t="shared" si="2"/>
        <v>0</v>
      </c>
      <c r="C2837" s="70">
        <v>0.0</v>
      </c>
      <c r="D2837" s="70">
        <v>0.0</v>
      </c>
      <c r="E2837" s="70">
        <v>0.0</v>
      </c>
      <c r="F2837" s="70">
        <v>0.0</v>
      </c>
      <c r="G2837" s="70">
        <v>0.0</v>
      </c>
      <c r="H2837" s="70" t="s">
        <v>4393</v>
      </c>
      <c r="I2837" s="70">
        <v>399.0</v>
      </c>
      <c r="J2837" s="70" t="s">
        <v>4391</v>
      </c>
      <c r="K2837" s="70" t="s">
        <v>4392</v>
      </c>
      <c r="L2837" s="70" t="s">
        <v>3673</v>
      </c>
      <c r="N2837" s="70" t="s">
        <v>3674</v>
      </c>
      <c r="O2837" s="75" t="s">
        <v>4394</v>
      </c>
      <c r="P2837" s="81">
        <v>45323.0</v>
      </c>
      <c r="W2837" s="70" t="s">
        <v>31213</v>
      </c>
      <c r="AW2837" s="70" t="s">
        <v>4396</v>
      </c>
      <c r="AZ2837" s="70">
        <v>989.0</v>
      </c>
    </row>
    <row r="2838" ht="22.5" customHeight="1">
      <c r="A2838" s="70" t="str">
        <f t="shared" si="1"/>
        <v>Excluded</v>
      </c>
      <c r="B2838" s="70">
        <f t="shared" si="2"/>
        <v>0</v>
      </c>
      <c r="C2838" s="70">
        <v>0.0</v>
      </c>
      <c r="D2838" s="70">
        <v>0.0</v>
      </c>
      <c r="E2838" s="70">
        <v>0.0</v>
      </c>
      <c r="F2838" s="70">
        <v>0.0</v>
      </c>
      <c r="G2838" s="70">
        <v>0.0</v>
      </c>
      <c r="H2838" s="70" t="s">
        <v>23950</v>
      </c>
      <c r="I2838" s="70">
        <v>2625.0</v>
      </c>
      <c r="J2838" s="70" t="s">
        <v>23948</v>
      </c>
      <c r="K2838" s="70" t="s">
        <v>23949</v>
      </c>
      <c r="W2838" s="70" t="s">
        <v>31214</v>
      </c>
      <c r="AA2838" s="70" t="s">
        <v>23952</v>
      </c>
      <c r="AI2838" s="70" t="s">
        <v>23953</v>
      </c>
      <c r="AJ2838" s="70" t="s">
        <v>23954</v>
      </c>
      <c r="AK2838" s="70">
        <v>2024.0</v>
      </c>
      <c r="AL2838" s="70" t="s">
        <v>23955</v>
      </c>
      <c r="AN2838" s="70">
        <v>942.0</v>
      </c>
      <c r="AO2838" s="70">
        <v>961.0</v>
      </c>
      <c r="AP2838" s="70">
        <v>19.0</v>
      </c>
      <c r="AQ2838" s="70">
        <v>0.0</v>
      </c>
      <c r="AR2838" s="75" t="s">
        <v>23956</v>
      </c>
      <c r="AS2838" s="70" t="s">
        <v>22525</v>
      </c>
      <c r="AU2838" s="70" t="s">
        <v>237</v>
      </c>
      <c r="AV2838" s="70" t="s">
        <v>23957</v>
      </c>
      <c r="AW2838" s="70" t="s">
        <v>23958</v>
      </c>
      <c r="AZ2838" s="70">
        <v>628.0</v>
      </c>
    </row>
    <row r="2839" ht="22.5" customHeight="1">
      <c r="A2839" s="70" t="str">
        <f t="shared" si="1"/>
        <v>Excluded</v>
      </c>
      <c r="B2839" s="70">
        <f t="shared" si="2"/>
        <v>0</v>
      </c>
      <c r="C2839" s="70">
        <v>0.0</v>
      </c>
      <c r="D2839" s="70">
        <v>0.0</v>
      </c>
      <c r="E2839" s="70">
        <v>0.0</v>
      </c>
      <c r="F2839" s="70">
        <v>0.0</v>
      </c>
      <c r="G2839" s="70">
        <v>0.0</v>
      </c>
      <c r="H2839" s="70" t="s">
        <v>691</v>
      </c>
      <c r="I2839" s="70">
        <v>27.0</v>
      </c>
      <c r="J2839" s="70" t="s">
        <v>687</v>
      </c>
      <c r="K2839" s="70" t="s">
        <v>688</v>
      </c>
      <c r="L2839" s="70" t="s">
        <v>689</v>
      </c>
      <c r="M2839" s="70" t="s">
        <v>690</v>
      </c>
      <c r="O2839" s="75" t="s">
        <v>692</v>
      </c>
      <c r="P2839" s="70">
        <v>2024.0</v>
      </c>
      <c r="Q2839" s="70" t="s">
        <v>694</v>
      </c>
      <c r="U2839" s="70" t="s">
        <v>401</v>
      </c>
      <c r="V2839" s="70" t="s">
        <v>402</v>
      </c>
      <c r="W2839" s="70" t="s">
        <v>695</v>
      </c>
      <c r="AW2839" s="70" t="s">
        <v>696</v>
      </c>
      <c r="AX2839" s="70">
        <v>0.0</v>
      </c>
      <c r="AY2839" s="70" t="s">
        <v>24</v>
      </c>
      <c r="AZ2839" s="70">
        <v>2379.0</v>
      </c>
    </row>
    <row r="2840" ht="22.5" customHeight="1">
      <c r="A2840" s="70" t="str">
        <f t="shared" si="1"/>
        <v>Excluded</v>
      </c>
      <c r="B2840" s="70">
        <f t="shared" si="2"/>
        <v>0</v>
      </c>
      <c r="C2840" s="70">
        <v>0.0</v>
      </c>
      <c r="D2840" s="70">
        <v>0.0</v>
      </c>
      <c r="E2840" s="70">
        <v>0.0</v>
      </c>
      <c r="F2840" s="70">
        <v>0.0</v>
      </c>
      <c r="G2840" s="70">
        <v>0.0</v>
      </c>
      <c r="H2840" s="70" t="s">
        <v>2702</v>
      </c>
      <c r="I2840" s="70">
        <v>216.0</v>
      </c>
      <c r="J2840" s="70" t="s">
        <v>2698</v>
      </c>
      <c r="K2840" s="70" t="s">
        <v>2699</v>
      </c>
      <c r="L2840" s="70" t="s">
        <v>2700</v>
      </c>
      <c r="M2840" s="70" t="s">
        <v>2701</v>
      </c>
      <c r="O2840" s="75" t="s">
        <v>2703</v>
      </c>
      <c r="P2840" s="70">
        <v>2024.0</v>
      </c>
      <c r="Q2840" s="70" t="s">
        <v>2705</v>
      </c>
      <c r="U2840" s="70" t="s">
        <v>401</v>
      </c>
      <c r="V2840" s="70" t="s">
        <v>402</v>
      </c>
      <c r="W2840" s="70" t="s">
        <v>2707</v>
      </c>
      <c r="AW2840" s="70" t="s">
        <v>2708</v>
      </c>
      <c r="AZ2840" s="70">
        <v>1353.0</v>
      </c>
    </row>
    <row r="2841" ht="22.5" customHeight="1">
      <c r="A2841" s="70" t="str">
        <f t="shared" si="1"/>
        <v>Excluded</v>
      </c>
      <c r="B2841" s="70">
        <f t="shared" si="2"/>
        <v>0</v>
      </c>
      <c r="C2841" s="70">
        <v>0.0</v>
      </c>
      <c r="D2841" s="70">
        <v>0.0</v>
      </c>
      <c r="E2841" s="70">
        <v>0.0</v>
      </c>
      <c r="F2841" s="70">
        <v>0.0</v>
      </c>
      <c r="G2841" s="70">
        <v>0.0</v>
      </c>
      <c r="H2841" s="70" t="s">
        <v>1101</v>
      </c>
      <c r="I2841" s="70">
        <v>65.0</v>
      </c>
      <c r="J2841" s="70" t="s">
        <v>1099</v>
      </c>
      <c r="K2841" s="70" t="s">
        <v>1100</v>
      </c>
      <c r="L2841" s="70" t="s">
        <v>489</v>
      </c>
      <c r="M2841" s="70" t="s">
        <v>490</v>
      </c>
      <c r="O2841" s="75" t="s">
        <v>1102</v>
      </c>
      <c r="P2841" s="70">
        <v>2024.0</v>
      </c>
      <c r="Q2841" s="70" t="s">
        <v>494</v>
      </c>
      <c r="U2841" s="70" t="s">
        <v>401</v>
      </c>
      <c r="V2841" s="70" t="s">
        <v>402</v>
      </c>
      <c r="W2841" s="70" t="s">
        <v>1104</v>
      </c>
      <c r="AW2841" s="70" t="s">
        <v>1105</v>
      </c>
      <c r="AX2841" s="70">
        <v>0.0</v>
      </c>
      <c r="AY2841" s="70" t="s">
        <v>24</v>
      </c>
      <c r="AZ2841" s="70">
        <v>2239.0</v>
      </c>
    </row>
    <row r="2842" ht="22.5" customHeight="1">
      <c r="A2842" s="70" t="str">
        <f t="shared" si="1"/>
        <v>Excluded</v>
      </c>
      <c r="B2842" s="70">
        <f t="shared" si="2"/>
        <v>0</v>
      </c>
      <c r="C2842" s="70">
        <v>0.0</v>
      </c>
      <c r="D2842" s="70">
        <v>0.0</v>
      </c>
      <c r="E2842" s="70">
        <v>0.0</v>
      </c>
      <c r="F2842" s="70">
        <v>0.0</v>
      </c>
      <c r="G2842" s="70">
        <v>0.0</v>
      </c>
      <c r="H2842" s="70" t="s">
        <v>3836</v>
      </c>
      <c r="I2842" s="70">
        <v>327.0</v>
      </c>
      <c r="J2842" s="70" t="s">
        <v>3832</v>
      </c>
      <c r="K2842" s="70" t="s">
        <v>3833</v>
      </c>
      <c r="L2842" s="70" t="s">
        <v>3834</v>
      </c>
      <c r="N2842" s="70" t="s">
        <v>3835</v>
      </c>
      <c r="O2842" s="75" t="s">
        <v>3837</v>
      </c>
      <c r="P2842" s="81">
        <v>45323.0</v>
      </c>
      <c r="W2842" s="70" t="s">
        <v>31215</v>
      </c>
      <c r="AW2842" s="70" t="s">
        <v>3840</v>
      </c>
      <c r="AZ2842" s="70">
        <v>342.0</v>
      </c>
    </row>
    <row r="2843" ht="22.5" customHeight="1">
      <c r="A2843" s="70" t="str">
        <f t="shared" si="1"/>
        <v>Excluded</v>
      </c>
      <c r="B2843" s="70">
        <f t="shared" si="2"/>
        <v>0</v>
      </c>
      <c r="C2843" s="70">
        <v>0.0</v>
      </c>
      <c r="D2843" s="70">
        <v>0.0</v>
      </c>
      <c r="E2843" s="70">
        <v>0.0</v>
      </c>
      <c r="F2843" s="70">
        <v>0.0</v>
      </c>
      <c r="G2843" s="70">
        <v>0.0</v>
      </c>
      <c r="H2843" s="70" t="s">
        <v>928</v>
      </c>
      <c r="I2843" s="70">
        <v>49.0</v>
      </c>
      <c r="J2843" s="70" t="s">
        <v>924</v>
      </c>
      <c r="K2843" s="70" t="s">
        <v>925</v>
      </c>
      <c r="L2843" s="70" t="s">
        <v>926</v>
      </c>
      <c r="M2843" s="70" t="s">
        <v>927</v>
      </c>
      <c r="O2843" s="75" t="s">
        <v>929</v>
      </c>
      <c r="P2843" s="70">
        <v>2024.0</v>
      </c>
      <c r="Q2843" s="70" t="s">
        <v>931</v>
      </c>
      <c r="U2843" s="70" t="s">
        <v>401</v>
      </c>
      <c r="V2843" s="70" t="s">
        <v>402</v>
      </c>
      <c r="W2843" s="70" t="s">
        <v>933</v>
      </c>
      <c r="AW2843" s="70" t="s">
        <v>934</v>
      </c>
      <c r="AX2843" s="70">
        <v>0.0</v>
      </c>
      <c r="AY2843" s="70" t="s">
        <v>24</v>
      </c>
      <c r="AZ2843" s="70">
        <v>2287.0</v>
      </c>
    </row>
    <row r="2844" ht="22.5" customHeight="1">
      <c r="A2844" s="70" t="str">
        <f t="shared" si="1"/>
        <v>Excluded</v>
      </c>
      <c r="B2844" s="70">
        <f t="shared" si="2"/>
        <v>0</v>
      </c>
      <c r="C2844" s="70">
        <v>0.0</v>
      </c>
      <c r="D2844" s="70">
        <v>0.0</v>
      </c>
      <c r="E2844" s="70">
        <v>0.0</v>
      </c>
      <c r="F2844" s="70">
        <v>0.0</v>
      </c>
      <c r="G2844" s="70">
        <v>0.0</v>
      </c>
      <c r="H2844" s="70" t="s">
        <v>4350</v>
      </c>
      <c r="I2844" s="70">
        <v>393.0</v>
      </c>
      <c r="J2844" s="70" t="s">
        <v>4348</v>
      </c>
      <c r="K2844" s="70" t="s">
        <v>4349</v>
      </c>
      <c r="L2844" s="70" t="s">
        <v>3719</v>
      </c>
      <c r="N2844" s="70" t="s">
        <v>3720</v>
      </c>
      <c r="O2844" s="75" t="s">
        <v>4351</v>
      </c>
      <c r="P2844" s="81">
        <v>45352.0</v>
      </c>
      <c r="W2844" s="70" t="s">
        <v>4352</v>
      </c>
      <c r="AW2844" s="70" t="s">
        <v>4353</v>
      </c>
      <c r="AZ2844" s="70">
        <v>861.0</v>
      </c>
    </row>
    <row r="2845" ht="22.5" customHeight="1">
      <c r="A2845" s="70" t="str">
        <f t="shared" si="1"/>
        <v>Excluded</v>
      </c>
      <c r="B2845" s="70">
        <f t="shared" si="2"/>
        <v>0</v>
      </c>
      <c r="C2845" s="70">
        <v>0.0</v>
      </c>
      <c r="D2845" s="70">
        <v>0.0</v>
      </c>
      <c r="E2845" s="70">
        <v>0.0</v>
      </c>
      <c r="F2845" s="70">
        <v>0.0</v>
      </c>
      <c r="G2845" s="70">
        <v>0.0</v>
      </c>
      <c r="H2845" s="70" t="s">
        <v>1565</v>
      </c>
      <c r="I2845" s="70">
        <v>108.0</v>
      </c>
      <c r="J2845" s="70" t="s">
        <v>1561</v>
      </c>
      <c r="K2845" s="70" t="s">
        <v>1562</v>
      </c>
      <c r="L2845" s="70" t="s">
        <v>1563</v>
      </c>
      <c r="M2845" s="70" t="s">
        <v>1564</v>
      </c>
      <c r="O2845" s="75" t="s">
        <v>1566</v>
      </c>
      <c r="P2845" s="70">
        <v>2024.0</v>
      </c>
      <c r="Q2845" s="70" t="s">
        <v>1568</v>
      </c>
      <c r="U2845" s="70" t="s">
        <v>401</v>
      </c>
      <c r="V2845" s="70" t="s">
        <v>402</v>
      </c>
      <c r="W2845" s="70" t="s">
        <v>1570</v>
      </c>
      <c r="AX2845" s="70">
        <v>0.0</v>
      </c>
      <c r="AY2845" s="70" t="s">
        <v>24</v>
      </c>
      <c r="AZ2845" s="70">
        <v>1759.0</v>
      </c>
    </row>
    <row r="2846" ht="22.5" customHeight="1">
      <c r="A2846" s="70" t="str">
        <f t="shared" si="1"/>
        <v>Excluded</v>
      </c>
      <c r="B2846" s="70">
        <f t="shared" si="2"/>
        <v>0</v>
      </c>
      <c r="C2846" s="70">
        <v>0.0</v>
      </c>
      <c r="D2846" s="70">
        <v>0.0</v>
      </c>
      <c r="E2846" s="70">
        <v>0.0</v>
      </c>
      <c r="F2846" s="70">
        <v>0.0</v>
      </c>
      <c r="G2846" s="70">
        <v>0.0</v>
      </c>
      <c r="H2846" s="70" t="s">
        <v>3735</v>
      </c>
      <c r="I2846" s="70">
        <v>315.0</v>
      </c>
      <c r="J2846" s="70" t="s">
        <v>2160</v>
      </c>
      <c r="K2846" s="70" t="s">
        <v>3734</v>
      </c>
      <c r="L2846" s="70" t="s">
        <v>3673</v>
      </c>
      <c r="N2846" s="70" t="s">
        <v>3674</v>
      </c>
      <c r="O2846" s="75" t="s">
        <v>3736</v>
      </c>
      <c r="P2846" s="81">
        <v>45323.0</v>
      </c>
      <c r="W2846" s="70" t="s">
        <v>3738</v>
      </c>
      <c r="AW2846" s="70" t="s">
        <v>3739</v>
      </c>
      <c r="AZ2846" s="70">
        <v>1091.0</v>
      </c>
    </row>
    <row r="2847" ht="22.5" customHeight="1">
      <c r="A2847" s="70" t="str">
        <f t="shared" si="1"/>
        <v>Excluded</v>
      </c>
      <c r="B2847" s="70">
        <f t="shared" si="2"/>
        <v>0</v>
      </c>
      <c r="C2847" s="70">
        <v>0.0</v>
      </c>
      <c r="D2847" s="70">
        <v>0.0</v>
      </c>
      <c r="E2847" s="70">
        <v>0.0</v>
      </c>
      <c r="F2847" s="70">
        <v>0.0</v>
      </c>
      <c r="G2847" s="70">
        <v>0.0</v>
      </c>
      <c r="H2847" s="70" t="s">
        <v>2670</v>
      </c>
      <c r="I2847" s="70">
        <v>213.0</v>
      </c>
      <c r="J2847" s="70" t="s">
        <v>31216</v>
      </c>
      <c r="K2847" s="70" t="s">
        <v>2669</v>
      </c>
      <c r="L2847" s="70" t="s">
        <v>2456</v>
      </c>
      <c r="M2847" s="70" t="s">
        <v>2457</v>
      </c>
      <c r="O2847" s="75" t="s">
        <v>2671</v>
      </c>
      <c r="P2847" s="70">
        <v>2024.0</v>
      </c>
      <c r="Q2847" s="70" t="s">
        <v>2461</v>
      </c>
      <c r="U2847" s="70" t="s">
        <v>401</v>
      </c>
      <c r="V2847" s="70" t="s">
        <v>402</v>
      </c>
      <c r="W2847" s="70" t="s">
        <v>2673</v>
      </c>
      <c r="AW2847" s="70" t="s">
        <v>2674</v>
      </c>
      <c r="AZ2847" s="70">
        <v>670.0</v>
      </c>
    </row>
    <row r="2848" ht="22.5" customHeight="1">
      <c r="A2848" s="70" t="str">
        <f t="shared" si="1"/>
        <v>Excluded</v>
      </c>
      <c r="B2848" s="70">
        <f t="shared" si="2"/>
        <v>0</v>
      </c>
      <c r="C2848" s="70">
        <v>0.0</v>
      </c>
      <c r="D2848" s="70">
        <v>0.0</v>
      </c>
      <c r="E2848" s="70">
        <v>0.0</v>
      </c>
      <c r="F2848" s="70">
        <v>0.0</v>
      </c>
      <c r="G2848" s="70">
        <v>0.0</v>
      </c>
      <c r="H2848" s="70" t="s">
        <v>2458</v>
      </c>
      <c r="I2848" s="70">
        <v>192.0</v>
      </c>
      <c r="J2848" s="70" t="s">
        <v>2454</v>
      </c>
      <c r="K2848" s="70" t="s">
        <v>2455</v>
      </c>
      <c r="L2848" s="70" t="s">
        <v>2456</v>
      </c>
      <c r="M2848" s="70" t="s">
        <v>2457</v>
      </c>
      <c r="O2848" s="75" t="s">
        <v>2459</v>
      </c>
      <c r="P2848" s="70">
        <v>2024.0</v>
      </c>
      <c r="Q2848" s="70" t="s">
        <v>2461</v>
      </c>
      <c r="U2848" s="70" t="s">
        <v>401</v>
      </c>
      <c r="V2848" s="70" t="s">
        <v>402</v>
      </c>
      <c r="W2848" s="70" t="s">
        <v>31217</v>
      </c>
      <c r="AW2848" s="70" t="s">
        <v>2464</v>
      </c>
      <c r="AZ2848" s="70">
        <v>1015.0</v>
      </c>
    </row>
    <row r="2849" ht="22.5" customHeight="1">
      <c r="A2849" s="70" t="str">
        <f t="shared" si="1"/>
        <v>Excluded</v>
      </c>
      <c r="B2849" s="70">
        <f t="shared" si="2"/>
        <v>0</v>
      </c>
      <c r="C2849" s="70">
        <v>0.0</v>
      </c>
      <c r="D2849" s="70">
        <v>0.0</v>
      </c>
      <c r="E2849" s="70">
        <v>0.0</v>
      </c>
      <c r="F2849" s="70">
        <v>0.0</v>
      </c>
      <c r="G2849" s="70">
        <v>0.0</v>
      </c>
      <c r="H2849" s="70" t="s">
        <v>3185</v>
      </c>
      <c r="I2849" s="70">
        <v>261.0</v>
      </c>
      <c r="J2849" s="70" t="s">
        <v>31218</v>
      </c>
      <c r="K2849" s="70" t="s">
        <v>3182</v>
      </c>
      <c r="L2849" s="70" t="s">
        <v>3183</v>
      </c>
      <c r="M2849" s="70" t="s">
        <v>3184</v>
      </c>
      <c r="O2849" s="75" t="s">
        <v>3186</v>
      </c>
      <c r="P2849" s="70">
        <v>2024.0</v>
      </c>
      <c r="Q2849" s="70" t="s">
        <v>3188</v>
      </c>
      <c r="U2849" s="70" t="s">
        <v>401</v>
      </c>
      <c r="V2849" s="70" t="s">
        <v>402</v>
      </c>
      <c r="W2849" s="70" t="s">
        <v>3190</v>
      </c>
      <c r="AW2849" s="70" t="s">
        <v>3191</v>
      </c>
      <c r="AX2849" s="70">
        <v>0.0</v>
      </c>
      <c r="AY2849" s="70" t="s">
        <v>24</v>
      </c>
      <c r="AZ2849" s="70">
        <v>3142.0</v>
      </c>
    </row>
    <row r="2850" ht="22.5" customHeight="1">
      <c r="A2850" s="70" t="str">
        <f t="shared" si="1"/>
        <v>Excluded</v>
      </c>
      <c r="B2850" s="70">
        <f t="shared" si="2"/>
        <v>0</v>
      </c>
      <c r="C2850" s="70">
        <v>0.0</v>
      </c>
      <c r="D2850" s="70">
        <v>0.0</v>
      </c>
      <c r="E2850" s="70">
        <v>0.0</v>
      </c>
      <c r="F2850" s="70">
        <v>0.0</v>
      </c>
      <c r="G2850" s="70">
        <v>0.0</v>
      </c>
      <c r="H2850" s="70" t="s">
        <v>2062</v>
      </c>
      <c r="I2850" s="70">
        <v>154.0</v>
      </c>
      <c r="J2850" s="70" t="s">
        <v>2058</v>
      </c>
      <c r="K2850" s="70" t="s">
        <v>2059</v>
      </c>
      <c r="L2850" s="70" t="s">
        <v>2060</v>
      </c>
      <c r="M2850" s="70" t="s">
        <v>2061</v>
      </c>
      <c r="O2850" s="75" t="s">
        <v>2063</v>
      </c>
      <c r="P2850" s="70">
        <v>2024.0</v>
      </c>
      <c r="Q2850" s="70" t="s">
        <v>2065</v>
      </c>
      <c r="U2850" s="70" t="s">
        <v>401</v>
      </c>
      <c r="V2850" s="70" t="s">
        <v>402</v>
      </c>
      <c r="W2850" s="70" t="s">
        <v>31219</v>
      </c>
      <c r="AW2850" s="70" t="s">
        <v>2068</v>
      </c>
      <c r="AZ2850" s="70">
        <v>337.0</v>
      </c>
    </row>
    <row r="2851" ht="22.5" customHeight="1">
      <c r="A2851" s="70" t="str">
        <f t="shared" si="1"/>
        <v>Excluded</v>
      </c>
      <c r="B2851" s="70">
        <f t="shared" si="2"/>
        <v>0</v>
      </c>
      <c r="C2851" s="70">
        <v>0.0</v>
      </c>
      <c r="D2851" s="70">
        <v>0.0</v>
      </c>
      <c r="E2851" s="70">
        <v>0.0</v>
      </c>
      <c r="F2851" s="70">
        <v>0.0</v>
      </c>
      <c r="G2851" s="70">
        <v>0.0</v>
      </c>
      <c r="H2851" s="70" t="s">
        <v>2939</v>
      </c>
      <c r="I2851" s="70">
        <v>238.0</v>
      </c>
      <c r="J2851" s="70" t="s">
        <v>2935</v>
      </c>
      <c r="K2851" s="70" t="s">
        <v>2936</v>
      </c>
      <c r="L2851" s="70" t="s">
        <v>2937</v>
      </c>
      <c r="M2851" s="70" t="s">
        <v>2938</v>
      </c>
      <c r="O2851" s="75" t="s">
        <v>2940</v>
      </c>
      <c r="P2851" s="70">
        <v>2024.0</v>
      </c>
      <c r="Q2851" s="70" t="s">
        <v>2942</v>
      </c>
      <c r="U2851" s="70" t="s">
        <v>401</v>
      </c>
      <c r="V2851" s="70" t="s">
        <v>402</v>
      </c>
      <c r="W2851" s="70" t="s">
        <v>31220</v>
      </c>
      <c r="AW2851" s="70" t="s">
        <v>2945</v>
      </c>
      <c r="AX2851" s="70">
        <v>0.0</v>
      </c>
      <c r="AY2851" s="70" t="s">
        <v>24</v>
      </c>
      <c r="AZ2851" s="70">
        <v>1818.0</v>
      </c>
    </row>
    <row r="2852" ht="22.5" customHeight="1">
      <c r="A2852" s="70" t="str">
        <f t="shared" si="1"/>
        <v>Excluded</v>
      </c>
      <c r="B2852" s="70">
        <f t="shared" si="2"/>
        <v>0</v>
      </c>
      <c r="C2852" s="70">
        <v>0.0</v>
      </c>
      <c r="D2852" s="70">
        <v>0.0</v>
      </c>
      <c r="E2852" s="70">
        <v>0.0</v>
      </c>
      <c r="F2852" s="70">
        <v>0.0</v>
      </c>
      <c r="G2852" s="70">
        <v>0.0</v>
      </c>
      <c r="H2852" s="70" t="s">
        <v>2074</v>
      </c>
      <c r="I2852" s="70">
        <v>155.0</v>
      </c>
      <c r="J2852" s="70" t="s">
        <v>2070</v>
      </c>
      <c r="K2852" s="70" t="s">
        <v>2071</v>
      </c>
      <c r="L2852" s="70" t="s">
        <v>2072</v>
      </c>
      <c r="M2852" s="70" t="s">
        <v>2073</v>
      </c>
      <c r="O2852" s="75" t="s">
        <v>2075</v>
      </c>
      <c r="P2852" s="70">
        <v>2024.0</v>
      </c>
      <c r="Q2852" s="70" t="s">
        <v>2077</v>
      </c>
      <c r="U2852" s="70" t="s">
        <v>401</v>
      </c>
      <c r="V2852" s="70" t="s">
        <v>402</v>
      </c>
      <c r="W2852" s="70" t="s">
        <v>2078</v>
      </c>
      <c r="AW2852" s="70" t="s">
        <v>2079</v>
      </c>
      <c r="AZ2852" s="70">
        <v>608.0</v>
      </c>
    </row>
    <row r="2853" ht="22.5" customHeight="1">
      <c r="A2853" s="70" t="str">
        <f t="shared" si="1"/>
        <v>Excluded</v>
      </c>
      <c r="B2853" s="70">
        <f t="shared" si="2"/>
        <v>0</v>
      </c>
      <c r="C2853" s="70">
        <v>0.0</v>
      </c>
      <c r="D2853" s="70">
        <v>0.0</v>
      </c>
      <c r="E2853" s="70">
        <v>0.0</v>
      </c>
      <c r="F2853" s="70">
        <v>0.0</v>
      </c>
      <c r="G2853" s="70">
        <v>0.0</v>
      </c>
      <c r="H2853" s="70" t="s">
        <v>1777</v>
      </c>
      <c r="I2853" s="70">
        <v>128.0</v>
      </c>
      <c r="J2853" s="70" t="s">
        <v>1773</v>
      </c>
      <c r="K2853" s="70" t="s">
        <v>1774</v>
      </c>
      <c r="L2853" s="70" t="s">
        <v>1775</v>
      </c>
      <c r="M2853" s="70" t="s">
        <v>1776</v>
      </c>
      <c r="O2853" s="75" t="s">
        <v>1778</v>
      </c>
      <c r="P2853" s="70">
        <v>2024.0</v>
      </c>
      <c r="Q2853" s="70" t="s">
        <v>1780</v>
      </c>
      <c r="U2853" s="70" t="s">
        <v>401</v>
      </c>
      <c r="V2853" s="70" t="s">
        <v>402</v>
      </c>
      <c r="W2853" s="70" t="s">
        <v>1782</v>
      </c>
      <c r="AW2853" s="70" t="s">
        <v>1783</v>
      </c>
      <c r="AX2853" s="70">
        <v>0.0</v>
      </c>
      <c r="AY2853" s="70" t="s">
        <v>24</v>
      </c>
      <c r="AZ2853" s="70">
        <v>2344.0</v>
      </c>
    </row>
    <row r="2854" ht="22.5" customHeight="1">
      <c r="A2854" s="70" t="str">
        <f t="shared" si="1"/>
        <v>Excluded</v>
      </c>
      <c r="B2854" s="70">
        <f t="shared" si="2"/>
        <v>0</v>
      </c>
      <c r="C2854" s="70">
        <v>0.0</v>
      </c>
      <c r="D2854" s="70">
        <v>0.0</v>
      </c>
      <c r="E2854" s="70">
        <v>0.0</v>
      </c>
      <c r="F2854" s="70">
        <v>0.0</v>
      </c>
      <c r="G2854" s="70">
        <v>0.0</v>
      </c>
      <c r="H2854" s="70" t="s">
        <v>3008</v>
      </c>
      <c r="I2854" s="70">
        <v>244.0</v>
      </c>
      <c r="J2854" s="70" t="s">
        <v>31221</v>
      </c>
      <c r="K2854" s="70" t="s">
        <v>3006</v>
      </c>
      <c r="L2854" s="70" t="s">
        <v>643</v>
      </c>
      <c r="M2854" s="70" t="s">
        <v>3007</v>
      </c>
      <c r="O2854" s="75" t="s">
        <v>3009</v>
      </c>
      <c r="P2854" s="70">
        <v>2024.0</v>
      </c>
      <c r="Q2854" s="70" t="s">
        <v>3011</v>
      </c>
      <c r="U2854" s="70" t="s">
        <v>401</v>
      </c>
      <c r="V2854" s="70" t="s">
        <v>402</v>
      </c>
      <c r="W2854" s="70" t="s">
        <v>3012</v>
      </c>
      <c r="AW2854" s="70" t="s">
        <v>3013</v>
      </c>
      <c r="AZ2854" s="70">
        <v>1282.0</v>
      </c>
    </row>
    <row r="2855" ht="22.5" customHeight="1">
      <c r="A2855" s="70" t="str">
        <f t="shared" si="1"/>
        <v>Excluded</v>
      </c>
      <c r="B2855" s="70">
        <f t="shared" si="2"/>
        <v>0</v>
      </c>
      <c r="C2855" s="70">
        <v>0.0</v>
      </c>
      <c r="D2855" s="70">
        <v>0.0</v>
      </c>
      <c r="E2855" s="70">
        <v>0.0</v>
      </c>
      <c r="F2855" s="70">
        <v>0.0</v>
      </c>
      <c r="G2855" s="70">
        <v>0.0</v>
      </c>
      <c r="H2855" s="70" t="s">
        <v>4133</v>
      </c>
      <c r="I2855" s="70">
        <v>365.0</v>
      </c>
      <c r="J2855" s="70" t="s">
        <v>4131</v>
      </c>
      <c r="K2855" s="70" t="s">
        <v>4132</v>
      </c>
      <c r="L2855" s="70" t="s">
        <v>3655</v>
      </c>
      <c r="N2855" s="70" t="s">
        <v>3656</v>
      </c>
      <c r="O2855" s="75" t="s">
        <v>4134</v>
      </c>
      <c r="P2855" s="81">
        <v>45352.0</v>
      </c>
      <c r="W2855" s="70" t="s">
        <v>4136</v>
      </c>
      <c r="AW2855" s="70" t="s">
        <v>4137</v>
      </c>
      <c r="AX2855" s="70">
        <v>0.0</v>
      </c>
      <c r="AY2855" s="70" t="s">
        <v>24</v>
      </c>
      <c r="AZ2855" s="70">
        <v>2049.0</v>
      </c>
    </row>
    <row r="2856" ht="22.5" customHeight="1">
      <c r="A2856" s="70" t="str">
        <f t="shared" si="1"/>
        <v>Excluded</v>
      </c>
      <c r="B2856" s="70">
        <f t="shared" si="2"/>
        <v>0</v>
      </c>
      <c r="C2856" s="70">
        <v>0.0</v>
      </c>
      <c r="D2856" s="70">
        <v>0.0</v>
      </c>
      <c r="E2856" s="70">
        <v>0.0</v>
      </c>
      <c r="F2856" s="70">
        <v>0.0</v>
      </c>
      <c r="G2856" s="70">
        <v>0.0</v>
      </c>
      <c r="H2856" s="70" t="s">
        <v>2290</v>
      </c>
      <c r="I2856" s="70">
        <v>176.0</v>
      </c>
      <c r="J2856" s="70" t="s">
        <v>2286</v>
      </c>
      <c r="K2856" s="70" t="s">
        <v>2287</v>
      </c>
      <c r="L2856" s="70" t="s">
        <v>2288</v>
      </c>
      <c r="M2856" s="70" t="s">
        <v>2289</v>
      </c>
      <c r="O2856" s="75" t="s">
        <v>2291</v>
      </c>
      <c r="P2856" s="70">
        <v>2024.0</v>
      </c>
      <c r="Q2856" s="70" t="s">
        <v>2293</v>
      </c>
      <c r="U2856" s="70" t="s">
        <v>401</v>
      </c>
      <c r="V2856" s="70" t="s">
        <v>402</v>
      </c>
      <c r="W2856" s="70" t="s">
        <v>2294</v>
      </c>
      <c r="AW2856" s="70" t="s">
        <v>2295</v>
      </c>
      <c r="AX2856" s="70">
        <v>0.0</v>
      </c>
      <c r="AY2856" s="70" t="s">
        <v>24</v>
      </c>
      <c r="AZ2856" s="70">
        <v>1835.0</v>
      </c>
    </row>
    <row r="2857" ht="22.5" customHeight="1">
      <c r="A2857" s="70" t="str">
        <f t="shared" si="1"/>
        <v>Excluded</v>
      </c>
      <c r="B2857" s="70">
        <f t="shared" si="2"/>
        <v>0</v>
      </c>
      <c r="C2857" s="70">
        <v>0.0</v>
      </c>
      <c r="D2857" s="70">
        <v>0.0</v>
      </c>
      <c r="E2857" s="70">
        <v>0.0</v>
      </c>
      <c r="F2857" s="70">
        <v>0.0</v>
      </c>
      <c r="G2857" s="70">
        <v>0.0</v>
      </c>
      <c r="H2857" s="70" t="s">
        <v>2537</v>
      </c>
      <c r="I2857" s="70">
        <v>199.0</v>
      </c>
      <c r="J2857" s="70" t="s">
        <v>2533</v>
      </c>
      <c r="K2857" s="70" t="s">
        <v>2534</v>
      </c>
      <c r="L2857" s="70" t="s">
        <v>2535</v>
      </c>
      <c r="M2857" s="70" t="s">
        <v>2536</v>
      </c>
      <c r="O2857" s="75" t="s">
        <v>2538</v>
      </c>
      <c r="P2857" s="70">
        <v>2024.0</v>
      </c>
      <c r="Q2857" s="70" t="s">
        <v>2540</v>
      </c>
      <c r="U2857" s="70" t="s">
        <v>401</v>
      </c>
      <c r="V2857" s="70" t="s">
        <v>402</v>
      </c>
      <c r="W2857" s="70" t="s">
        <v>2541</v>
      </c>
      <c r="AW2857" s="70" t="s">
        <v>2542</v>
      </c>
      <c r="AX2857" s="70">
        <v>0.0</v>
      </c>
      <c r="AY2857" s="70" t="s">
        <v>24</v>
      </c>
      <c r="AZ2857" s="70">
        <v>2311.0</v>
      </c>
    </row>
    <row r="2858" ht="22.5" customHeight="1">
      <c r="A2858" s="70" t="str">
        <f t="shared" si="1"/>
        <v>Excluded</v>
      </c>
      <c r="B2858" s="70">
        <f t="shared" si="2"/>
        <v>0</v>
      </c>
      <c r="C2858" s="70">
        <v>0.0</v>
      </c>
      <c r="D2858" s="70">
        <v>0.0</v>
      </c>
      <c r="E2858" s="70">
        <v>0.0</v>
      </c>
      <c r="F2858" s="70">
        <v>0.0</v>
      </c>
      <c r="G2858" s="70">
        <v>0.0</v>
      </c>
      <c r="H2858" s="70" t="s">
        <v>1174</v>
      </c>
      <c r="I2858" s="70">
        <v>72.0</v>
      </c>
      <c r="J2858" s="70" t="s">
        <v>1172</v>
      </c>
      <c r="K2858" s="70" t="s">
        <v>1173</v>
      </c>
      <c r="L2858" s="70" t="s">
        <v>395</v>
      </c>
      <c r="M2858" s="70" t="s">
        <v>396</v>
      </c>
      <c r="O2858" s="75" t="s">
        <v>1175</v>
      </c>
      <c r="P2858" s="70">
        <v>2024.0</v>
      </c>
      <c r="Q2858" s="70" t="s">
        <v>400</v>
      </c>
      <c r="U2858" s="70" t="s">
        <v>401</v>
      </c>
      <c r="V2858" s="70" t="s">
        <v>402</v>
      </c>
      <c r="W2858" s="70" t="s">
        <v>1177</v>
      </c>
      <c r="AW2858" s="70" t="s">
        <v>1178</v>
      </c>
      <c r="AX2858" s="70">
        <v>0.0</v>
      </c>
      <c r="AZ2858" s="70">
        <v>1968.0</v>
      </c>
    </row>
    <row r="2859" ht="22.5" customHeight="1">
      <c r="A2859" s="70" t="str">
        <f t="shared" si="1"/>
        <v>Excluded</v>
      </c>
      <c r="B2859" s="70">
        <f t="shared" si="2"/>
        <v>0</v>
      </c>
      <c r="C2859" s="70">
        <v>0.0</v>
      </c>
      <c r="D2859" s="70">
        <v>0.0</v>
      </c>
      <c r="E2859" s="70">
        <v>0.0</v>
      </c>
      <c r="F2859" s="70">
        <v>0.0</v>
      </c>
      <c r="G2859" s="70">
        <v>0.0</v>
      </c>
      <c r="H2859" s="70" t="s">
        <v>397</v>
      </c>
      <c r="I2859" s="70">
        <v>1.0</v>
      </c>
      <c r="J2859" s="70" t="s">
        <v>393</v>
      </c>
      <c r="K2859" s="70" t="s">
        <v>394</v>
      </c>
      <c r="L2859" s="70" t="s">
        <v>395</v>
      </c>
      <c r="M2859" s="70" t="s">
        <v>396</v>
      </c>
      <c r="O2859" s="75" t="s">
        <v>398</v>
      </c>
      <c r="P2859" s="70">
        <v>2024.0</v>
      </c>
      <c r="Q2859" s="70" t="s">
        <v>400</v>
      </c>
      <c r="U2859" s="70" t="s">
        <v>401</v>
      </c>
      <c r="V2859" s="70" t="s">
        <v>402</v>
      </c>
      <c r="W2859" s="70" t="s">
        <v>404</v>
      </c>
      <c r="AX2859" s="70">
        <v>0.0</v>
      </c>
      <c r="AY2859" s="70" t="s">
        <v>24</v>
      </c>
      <c r="AZ2859" s="70">
        <v>1662.0</v>
      </c>
    </row>
    <row r="2860" ht="22.5" customHeight="1">
      <c r="A2860" s="70" t="str">
        <f t="shared" si="1"/>
        <v>Excluded</v>
      </c>
      <c r="B2860" s="70">
        <f t="shared" si="2"/>
        <v>0</v>
      </c>
      <c r="C2860" s="70">
        <v>0.0</v>
      </c>
      <c r="D2860" s="70">
        <v>0.0</v>
      </c>
      <c r="E2860" s="70">
        <v>0.0</v>
      </c>
      <c r="F2860" s="70">
        <v>0.0</v>
      </c>
      <c r="G2860" s="70">
        <v>0.0</v>
      </c>
      <c r="H2860" s="70" t="s">
        <v>2640</v>
      </c>
      <c r="I2860" s="70">
        <v>210.0</v>
      </c>
      <c r="J2860" s="70" t="s">
        <v>2636</v>
      </c>
      <c r="K2860" s="70" t="s">
        <v>2637</v>
      </c>
      <c r="L2860" s="70" t="s">
        <v>2638</v>
      </c>
      <c r="M2860" s="70" t="s">
        <v>2639</v>
      </c>
      <c r="O2860" s="75" t="s">
        <v>2641</v>
      </c>
      <c r="P2860" s="70">
        <v>2024.0</v>
      </c>
      <c r="Q2860" s="70" t="s">
        <v>2642</v>
      </c>
      <c r="U2860" s="70" t="s">
        <v>401</v>
      </c>
      <c r="V2860" s="70" t="s">
        <v>402</v>
      </c>
      <c r="W2860" s="70" t="s">
        <v>2643</v>
      </c>
      <c r="AW2860" s="70" t="s">
        <v>2644</v>
      </c>
      <c r="AZ2860" s="70">
        <v>358.0</v>
      </c>
    </row>
    <row r="2861" ht="22.5" customHeight="1">
      <c r="A2861" s="70" t="str">
        <f t="shared" si="1"/>
        <v>Excluded</v>
      </c>
      <c r="B2861" s="70">
        <f t="shared" si="2"/>
        <v>0</v>
      </c>
      <c r="C2861" s="70">
        <v>0.0</v>
      </c>
      <c r="D2861" s="70">
        <v>0.0</v>
      </c>
      <c r="E2861" s="70">
        <v>0.0</v>
      </c>
      <c r="F2861" s="70">
        <v>0.0</v>
      </c>
      <c r="G2861" s="70">
        <v>0.0</v>
      </c>
      <c r="H2861" s="70" t="s">
        <v>1430</v>
      </c>
      <c r="I2861" s="70">
        <v>96.0</v>
      </c>
      <c r="J2861" s="70" t="s">
        <v>1426</v>
      </c>
      <c r="K2861" s="70" t="s">
        <v>1427</v>
      </c>
      <c r="L2861" s="70" t="s">
        <v>1428</v>
      </c>
      <c r="M2861" s="70" t="s">
        <v>1429</v>
      </c>
      <c r="O2861" s="75" t="s">
        <v>1431</v>
      </c>
      <c r="P2861" s="70">
        <v>2024.0</v>
      </c>
      <c r="Q2861" s="70" t="s">
        <v>1433</v>
      </c>
      <c r="U2861" s="70" t="s">
        <v>401</v>
      </c>
      <c r="V2861" s="70" t="s">
        <v>402</v>
      </c>
      <c r="W2861" s="70" t="s">
        <v>1435</v>
      </c>
      <c r="AW2861" s="70" t="s">
        <v>1436</v>
      </c>
      <c r="AZ2861" s="70">
        <v>657.0</v>
      </c>
    </row>
    <row r="2862" ht="22.5" customHeight="1">
      <c r="A2862" s="70" t="str">
        <f t="shared" si="1"/>
        <v>Excluded</v>
      </c>
      <c r="B2862" s="70">
        <f t="shared" si="2"/>
        <v>0</v>
      </c>
      <c r="C2862" s="70">
        <v>0.0</v>
      </c>
      <c r="D2862" s="70">
        <v>0.0</v>
      </c>
      <c r="E2862" s="70">
        <v>0.0</v>
      </c>
      <c r="F2862" s="70">
        <v>0.0</v>
      </c>
      <c r="G2862" s="70">
        <v>0.0</v>
      </c>
      <c r="H2862" s="70" t="s">
        <v>1498</v>
      </c>
      <c r="I2862" s="70">
        <v>102.0</v>
      </c>
      <c r="J2862" s="70" t="s">
        <v>31222</v>
      </c>
      <c r="K2862" s="70" t="s">
        <v>1495</v>
      </c>
      <c r="L2862" s="70" t="s">
        <v>1496</v>
      </c>
      <c r="M2862" s="70" t="s">
        <v>1497</v>
      </c>
      <c r="O2862" s="75" t="s">
        <v>1499</v>
      </c>
      <c r="P2862" s="70">
        <v>2024.0</v>
      </c>
      <c r="Q2862" s="70" t="s">
        <v>1501</v>
      </c>
      <c r="U2862" s="70" t="s">
        <v>401</v>
      </c>
      <c r="V2862" s="70" t="s">
        <v>402</v>
      </c>
      <c r="W2862" s="70" t="s">
        <v>31223</v>
      </c>
      <c r="AW2862" s="70" t="s">
        <v>1504</v>
      </c>
      <c r="AZ2862" s="70">
        <v>1345.0</v>
      </c>
    </row>
    <row r="2863" ht="22.5" customHeight="1">
      <c r="A2863" s="70" t="str">
        <f t="shared" si="1"/>
        <v>Excluded</v>
      </c>
      <c r="B2863" s="70">
        <f t="shared" si="2"/>
        <v>0</v>
      </c>
      <c r="C2863" s="70">
        <v>0.0</v>
      </c>
      <c r="D2863" s="70">
        <v>0.0</v>
      </c>
      <c r="E2863" s="70">
        <v>0.0</v>
      </c>
      <c r="F2863" s="70">
        <v>0.0</v>
      </c>
      <c r="G2863" s="70">
        <v>0.0</v>
      </c>
      <c r="H2863" s="70" t="s">
        <v>2905</v>
      </c>
      <c r="I2863" s="70">
        <v>235.0</v>
      </c>
      <c r="J2863" s="70" t="s">
        <v>2901</v>
      </c>
      <c r="K2863" s="70" t="s">
        <v>2902</v>
      </c>
      <c r="L2863" s="70" t="s">
        <v>2903</v>
      </c>
      <c r="M2863" s="70" t="s">
        <v>2904</v>
      </c>
      <c r="O2863" s="75" t="s">
        <v>2906</v>
      </c>
      <c r="P2863" s="70">
        <v>2024.0</v>
      </c>
      <c r="Q2863" s="70" t="s">
        <v>2908</v>
      </c>
      <c r="U2863" s="70" t="s">
        <v>401</v>
      </c>
      <c r="V2863" s="70" t="s">
        <v>402</v>
      </c>
      <c r="W2863" s="70" t="s">
        <v>2910</v>
      </c>
      <c r="AZ2863" s="70">
        <v>553.0</v>
      </c>
    </row>
    <row r="2864" ht="22.5" customHeight="1">
      <c r="A2864" s="70" t="str">
        <f t="shared" si="1"/>
        <v>Excluded</v>
      </c>
      <c r="B2864" s="70">
        <f t="shared" si="2"/>
        <v>0</v>
      </c>
      <c r="C2864" s="70">
        <v>0.0</v>
      </c>
      <c r="D2864" s="70">
        <v>0.0</v>
      </c>
      <c r="E2864" s="70">
        <v>0.0</v>
      </c>
      <c r="F2864" s="70">
        <v>0.0</v>
      </c>
      <c r="G2864" s="70">
        <v>0.0</v>
      </c>
      <c r="H2864" s="70" t="s">
        <v>3777</v>
      </c>
      <c r="I2864" s="70">
        <v>320.0</v>
      </c>
      <c r="J2864" s="70" t="s">
        <v>3775</v>
      </c>
      <c r="K2864" s="70" t="s">
        <v>3776</v>
      </c>
      <c r="L2864" s="70" t="s">
        <v>3635</v>
      </c>
      <c r="N2864" s="70" t="s">
        <v>3636</v>
      </c>
      <c r="O2864" s="75" t="s">
        <v>3778</v>
      </c>
      <c r="P2864" s="81">
        <v>45383.0</v>
      </c>
      <c r="W2864" s="70" t="s">
        <v>3780</v>
      </c>
      <c r="AW2864" s="70" t="s">
        <v>3781</v>
      </c>
      <c r="AX2864" s="70">
        <v>0.0</v>
      </c>
      <c r="AY2864" s="70" t="s">
        <v>24</v>
      </c>
      <c r="AZ2864" s="70">
        <v>2901.0</v>
      </c>
    </row>
    <row r="2865" ht="22.5" customHeight="1">
      <c r="A2865" s="70" t="str">
        <f t="shared" si="1"/>
        <v>Excluded</v>
      </c>
      <c r="B2865" s="70">
        <f t="shared" si="2"/>
        <v>0</v>
      </c>
      <c r="C2865" s="70">
        <v>0.0</v>
      </c>
      <c r="D2865" s="70">
        <v>0.0</v>
      </c>
      <c r="E2865" s="70">
        <v>0.0</v>
      </c>
      <c r="F2865" s="70">
        <v>0.0</v>
      </c>
      <c r="G2865" s="70">
        <v>0.0</v>
      </c>
      <c r="H2865" s="70" t="s">
        <v>4016</v>
      </c>
      <c r="I2865" s="70">
        <v>350.0</v>
      </c>
      <c r="J2865" s="70" t="s">
        <v>4014</v>
      </c>
      <c r="K2865" s="70" t="s">
        <v>4015</v>
      </c>
      <c r="L2865" s="70" t="s">
        <v>3655</v>
      </c>
      <c r="N2865" s="70" t="s">
        <v>3656</v>
      </c>
      <c r="O2865" s="75" t="s">
        <v>4017</v>
      </c>
      <c r="P2865" s="81">
        <v>45413.0</v>
      </c>
      <c r="W2865" s="70" t="s">
        <v>31224</v>
      </c>
      <c r="AW2865" s="70" t="s">
        <v>4019</v>
      </c>
      <c r="AZ2865" s="70">
        <v>257.0</v>
      </c>
    </row>
    <row r="2866" ht="22.5" customHeight="1">
      <c r="A2866" s="70" t="str">
        <f t="shared" si="1"/>
        <v>Excluded</v>
      </c>
      <c r="B2866" s="70">
        <f t="shared" si="2"/>
        <v>0</v>
      </c>
      <c r="C2866" s="70">
        <v>0.0</v>
      </c>
      <c r="D2866" s="70">
        <v>0.0</v>
      </c>
      <c r="E2866" s="70">
        <v>0.0</v>
      </c>
      <c r="F2866" s="70">
        <v>0.0</v>
      </c>
      <c r="G2866" s="70">
        <v>0.0</v>
      </c>
      <c r="H2866" s="70" t="s">
        <v>2605</v>
      </c>
      <c r="I2866" s="70">
        <v>206.0</v>
      </c>
      <c r="J2866" s="70" t="s">
        <v>2603</v>
      </c>
      <c r="K2866" s="70" t="s">
        <v>2604</v>
      </c>
      <c r="L2866" s="70" t="s">
        <v>2094</v>
      </c>
      <c r="M2866" s="70" t="s">
        <v>2095</v>
      </c>
      <c r="O2866" s="75" t="s">
        <v>2606</v>
      </c>
      <c r="P2866" s="70">
        <v>2024.0</v>
      </c>
      <c r="Q2866" s="70" t="s">
        <v>2099</v>
      </c>
      <c r="U2866" s="70" t="s">
        <v>401</v>
      </c>
      <c r="V2866" s="70" t="s">
        <v>402</v>
      </c>
      <c r="W2866" s="70" t="s">
        <v>2608</v>
      </c>
      <c r="AX2866" s="70">
        <v>0.0</v>
      </c>
      <c r="AY2866" s="70" t="s">
        <v>24</v>
      </c>
      <c r="AZ2866" s="70">
        <v>2625.0</v>
      </c>
    </row>
    <row r="2867" ht="22.5" customHeight="1">
      <c r="A2867" s="70" t="str">
        <f t="shared" si="1"/>
        <v>Excluded</v>
      </c>
      <c r="B2867" s="70">
        <f t="shared" si="2"/>
        <v>0</v>
      </c>
      <c r="C2867" s="70">
        <v>0.0</v>
      </c>
      <c r="D2867" s="70">
        <v>0.0</v>
      </c>
      <c r="E2867" s="70">
        <v>0.0</v>
      </c>
      <c r="F2867" s="70">
        <v>0.0</v>
      </c>
      <c r="G2867" s="70">
        <v>0.0</v>
      </c>
      <c r="H2867" s="70" t="s">
        <v>2096</v>
      </c>
      <c r="I2867" s="70">
        <v>157.0</v>
      </c>
      <c r="J2867" s="70" t="s">
        <v>2092</v>
      </c>
      <c r="K2867" s="70" t="s">
        <v>2093</v>
      </c>
      <c r="L2867" s="70" t="s">
        <v>2094</v>
      </c>
      <c r="M2867" s="70" t="s">
        <v>2095</v>
      </c>
      <c r="O2867" s="75" t="s">
        <v>2097</v>
      </c>
      <c r="P2867" s="70">
        <v>2024.0</v>
      </c>
      <c r="Q2867" s="70" t="s">
        <v>2099</v>
      </c>
      <c r="U2867" s="70" t="s">
        <v>401</v>
      </c>
      <c r="V2867" s="70" t="s">
        <v>402</v>
      </c>
      <c r="W2867" s="70" t="s">
        <v>31225</v>
      </c>
      <c r="AW2867" s="70" t="s">
        <v>2101</v>
      </c>
      <c r="AX2867" s="70">
        <v>0.0</v>
      </c>
      <c r="AY2867" s="70" t="s">
        <v>24</v>
      </c>
      <c r="AZ2867" s="70">
        <v>2582.0</v>
      </c>
    </row>
    <row r="2868" ht="22.5" customHeight="1">
      <c r="A2868" s="70" t="str">
        <f t="shared" si="1"/>
        <v>Excluded</v>
      </c>
      <c r="B2868" s="70">
        <f t="shared" si="2"/>
        <v>0</v>
      </c>
      <c r="C2868" s="70">
        <v>0.0</v>
      </c>
      <c r="D2868" s="70">
        <v>0.0</v>
      </c>
      <c r="E2868" s="70">
        <v>0.0</v>
      </c>
      <c r="F2868" s="70">
        <v>0.0</v>
      </c>
      <c r="G2868" s="70">
        <v>0.0</v>
      </c>
      <c r="H2868" s="70" t="s">
        <v>24055</v>
      </c>
      <c r="I2868" s="70">
        <v>2635.0</v>
      </c>
      <c r="J2868" s="70" t="s">
        <v>24053</v>
      </c>
      <c r="K2868" s="70" t="s">
        <v>24054</v>
      </c>
      <c r="W2868" s="70" t="s">
        <v>31226</v>
      </c>
      <c r="AA2868" s="70" t="s">
        <v>24057</v>
      </c>
      <c r="AI2868" s="70" t="s">
        <v>24058</v>
      </c>
      <c r="AJ2868" s="70" t="s">
        <v>24059</v>
      </c>
      <c r="AK2868" s="70">
        <v>2024.0</v>
      </c>
      <c r="AL2868" s="70" t="s">
        <v>24060</v>
      </c>
      <c r="AM2868" s="70">
        <v>54.0</v>
      </c>
      <c r="AQ2868" s="70">
        <v>14.0</v>
      </c>
      <c r="AR2868" s="75" t="s">
        <v>24061</v>
      </c>
      <c r="AS2868" s="70" t="s">
        <v>22525</v>
      </c>
      <c r="AT2868" s="70" t="s">
        <v>22656</v>
      </c>
      <c r="AU2868" s="70" t="s">
        <v>237</v>
      </c>
      <c r="AV2868" s="70" t="s">
        <v>24062</v>
      </c>
      <c r="AW2868" s="70" t="s">
        <v>24063</v>
      </c>
      <c r="AX2868" s="70">
        <v>0.0</v>
      </c>
      <c r="AY2868" s="70" t="s">
        <v>24</v>
      </c>
      <c r="AZ2868" s="70">
        <v>1717.0</v>
      </c>
    </row>
    <row r="2869" ht="22.5" customHeight="1">
      <c r="A2869" s="70" t="str">
        <f t="shared" si="1"/>
        <v>Excluded</v>
      </c>
      <c r="B2869" s="70">
        <f t="shared" si="2"/>
        <v>0</v>
      </c>
      <c r="C2869" s="70">
        <v>0.0</v>
      </c>
      <c r="D2869" s="70">
        <v>0.0</v>
      </c>
      <c r="E2869" s="70">
        <v>0.0</v>
      </c>
      <c r="F2869" s="70">
        <v>0.0</v>
      </c>
      <c r="G2869" s="70">
        <v>0.0</v>
      </c>
      <c r="H2869" s="70" t="s">
        <v>2556</v>
      </c>
      <c r="I2869" s="70">
        <v>201.0</v>
      </c>
      <c r="J2869" s="70" t="s">
        <v>2552</v>
      </c>
      <c r="K2869" s="70" t="s">
        <v>2553</v>
      </c>
      <c r="L2869" s="70" t="s">
        <v>2554</v>
      </c>
      <c r="M2869" s="70" t="s">
        <v>2555</v>
      </c>
      <c r="O2869" s="75" t="s">
        <v>2557</v>
      </c>
      <c r="P2869" s="70">
        <v>2024.0</v>
      </c>
      <c r="Q2869" s="70" t="s">
        <v>2559</v>
      </c>
      <c r="U2869" s="70" t="s">
        <v>401</v>
      </c>
      <c r="V2869" s="70" t="s">
        <v>402</v>
      </c>
      <c r="W2869" s="70" t="s">
        <v>2561</v>
      </c>
      <c r="AW2869" s="70" t="s">
        <v>2562</v>
      </c>
      <c r="AX2869" s="70">
        <v>0.0</v>
      </c>
      <c r="AY2869" s="70" t="s">
        <v>24</v>
      </c>
      <c r="AZ2869" s="70">
        <v>1776.0</v>
      </c>
    </row>
    <row r="2870" ht="22.5" customHeight="1">
      <c r="A2870" s="70" t="str">
        <f t="shared" si="1"/>
        <v>Excluded</v>
      </c>
      <c r="B2870" s="70">
        <f t="shared" si="2"/>
        <v>0</v>
      </c>
      <c r="C2870" s="70">
        <v>0.0</v>
      </c>
      <c r="D2870" s="70">
        <v>0.0</v>
      </c>
      <c r="E2870" s="70">
        <v>0.0</v>
      </c>
      <c r="F2870" s="70">
        <v>0.0</v>
      </c>
      <c r="G2870" s="70">
        <v>0.0</v>
      </c>
      <c r="H2870" s="70" t="s">
        <v>4439</v>
      </c>
      <c r="I2870" s="70">
        <v>405.0</v>
      </c>
      <c r="J2870" s="70" t="s">
        <v>31227</v>
      </c>
      <c r="K2870" s="70" t="s">
        <v>4437</v>
      </c>
      <c r="L2870" s="70" t="s">
        <v>4438</v>
      </c>
      <c r="O2870" s="75" t="s">
        <v>4440</v>
      </c>
      <c r="P2870" s="81">
        <v>45444.0</v>
      </c>
      <c r="W2870" s="70" t="s">
        <v>4443</v>
      </c>
      <c r="AW2870" s="70" t="s">
        <v>4444</v>
      </c>
      <c r="AZ2870" s="70">
        <v>492.0</v>
      </c>
    </row>
    <row r="2871" ht="22.5" customHeight="1">
      <c r="A2871" s="70" t="str">
        <f t="shared" si="1"/>
        <v>Excluded</v>
      </c>
      <c r="B2871" s="70">
        <f t="shared" si="2"/>
        <v>0</v>
      </c>
      <c r="C2871" s="70">
        <v>0.0</v>
      </c>
      <c r="D2871" s="70">
        <v>0.0</v>
      </c>
      <c r="E2871" s="70">
        <v>0.0</v>
      </c>
      <c r="F2871" s="70">
        <v>0.0</v>
      </c>
      <c r="G2871" s="70">
        <v>0.0</v>
      </c>
      <c r="H2871" s="70" t="s">
        <v>811</v>
      </c>
      <c r="I2871" s="70">
        <v>38.0</v>
      </c>
      <c r="J2871" s="70" t="s">
        <v>807</v>
      </c>
      <c r="K2871" s="70" t="s">
        <v>808</v>
      </c>
      <c r="L2871" s="70" t="s">
        <v>809</v>
      </c>
      <c r="M2871" s="70" t="s">
        <v>810</v>
      </c>
      <c r="O2871" s="75" t="s">
        <v>812</v>
      </c>
      <c r="P2871" s="70">
        <v>2024.0</v>
      </c>
      <c r="Q2871" s="70" t="s">
        <v>814</v>
      </c>
      <c r="U2871" s="70" t="s">
        <v>401</v>
      </c>
      <c r="V2871" s="70" t="s">
        <v>402</v>
      </c>
      <c r="W2871" s="70" t="s">
        <v>816</v>
      </c>
      <c r="AX2871" s="70">
        <v>0.0</v>
      </c>
      <c r="AY2871" s="70" t="s">
        <v>24</v>
      </c>
      <c r="AZ2871" s="70">
        <v>1690.0</v>
      </c>
    </row>
    <row r="2872" ht="22.5" customHeight="1">
      <c r="A2872" s="70" t="str">
        <f t="shared" si="1"/>
        <v>Excluded</v>
      </c>
      <c r="B2872" s="70">
        <f t="shared" si="2"/>
        <v>0</v>
      </c>
      <c r="C2872" s="70">
        <v>0.0</v>
      </c>
      <c r="D2872" s="70">
        <v>0.0</v>
      </c>
      <c r="E2872" s="70">
        <v>0.0</v>
      </c>
      <c r="F2872" s="70">
        <v>0.0</v>
      </c>
      <c r="G2872" s="70">
        <v>0.0</v>
      </c>
      <c r="H2872" s="70" t="s">
        <v>743</v>
      </c>
      <c r="I2872" s="70">
        <v>32.0</v>
      </c>
      <c r="J2872" s="70" t="s">
        <v>739</v>
      </c>
      <c r="K2872" s="70" t="s">
        <v>740</v>
      </c>
      <c r="L2872" s="70" t="s">
        <v>741</v>
      </c>
      <c r="M2872" s="70" t="s">
        <v>742</v>
      </c>
      <c r="O2872" s="75" t="s">
        <v>744</v>
      </c>
      <c r="P2872" s="70">
        <v>2024.0</v>
      </c>
      <c r="Q2872" s="70" t="s">
        <v>745</v>
      </c>
      <c r="U2872" s="70" t="s">
        <v>401</v>
      </c>
      <c r="V2872" s="70" t="s">
        <v>402</v>
      </c>
      <c r="W2872" s="70" t="s">
        <v>747</v>
      </c>
      <c r="AW2872" s="70" t="s">
        <v>748</v>
      </c>
      <c r="AX2872" s="70">
        <v>0.0</v>
      </c>
      <c r="AY2872" s="70" t="s">
        <v>24</v>
      </c>
      <c r="AZ2872" s="70">
        <v>1654.0</v>
      </c>
    </row>
    <row r="2873" ht="22.5" customHeight="1">
      <c r="A2873" s="70" t="str">
        <f t="shared" si="1"/>
        <v>Excluded</v>
      </c>
      <c r="B2873" s="70">
        <f t="shared" si="2"/>
        <v>0</v>
      </c>
      <c r="C2873" s="70">
        <v>0.0</v>
      </c>
      <c r="D2873" s="70">
        <v>0.0</v>
      </c>
      <c r="E2873" s="70">
        <v>0.0</v>
      </c>
      <c r="F2873" s="70">
        <v>0.0</v>
      </c>
      <c r="G2873" s="70">
        <v>0.0</v>
      </c>
      <c r="H2873" s="70" t="s">
        <v>2680</v>
      </c>
      <c r="I2873" s="70">
        <v>214.0</v>
      </c>
      <c r="J2873" s="70" t="s">
        <v>2676</v>
      </c>
      <c r="K2873" s="70" t="s">
        <v>2677</v>
      </c>
      <c r="L2873" s="70" t="s">
        <v>2678</v>
      </c>
      <c r="M2873" s="70" t="s">
        <v>2679</v>
      </c>
      <c r="O2873" s="75" t="s">
        <v>2681</v>
      </c>
      <c r="P2873" s="70">
        <v>2024.0</v>
      </c>
      <c r="Q2873" s="70" t="s">
        <v>2683</v>
      </c>
      <c r="U2873" s="70" t="s">
        <v>401</v>
      </c>
      <c r="V2873" s="70" t="s">
        <v>402</v>
      </c>
      <c r="W2873" s="70" t="s">
        <v>2684</v>
      </c>
      <c r="AW2873" s="70" t="s">
        <v>2685</v>
      </c>
      <c r="AZ2873" s="70">
        <v>439.0</v>
      </c>
    </row>
    <row r="2874" ht="22.5" customHeight="1">
      <c r="A2874" s="70" t="str">
        <f t="shared" si="1"/>
        <v>Excluded</v>
      </c>
      <c r="B2874" s="70">
        <f t="shared" si="2"/>
        <v>0</v>
      </c>
      <c r="C2874" s="70">
        <v>0.0</v>
      </c>
      <c r="D2874" s="70">
        <v>0.0</v>
      </c>
      <c r="E2874" s="70">
        <v>0.0</v>
      </c>
      <c r="F2874" s="70">
        <v>0.0</v>
      </c>
      <c r="G2874" s="70">
        <v>0.0</v>
      </c>
      <c r="H2874" s="70" t="s">
        <v>1858</v>
      </c>
      <c r="I2874" s="70">
        <v>135.0</v>
      </c>
      <c r="J2874" s="70" t="s">
        <v>1854</v>
      </c>
      <c r="K2874" s="70" t="s">
        <v>1855</v>
      </c>
      <c r="L2874" s="70" t="s">
        <v>1856</v>
      </c>
      <c r="M2874" s="70" t="s">
        <v>1857</v>
      </c>
      <c r="O2874" s="75" t="s">
        <v>1859</v>
      </c>
      <c r="P2874" s="70">
        <v>2024.0</v>
      </c>
      <c r="Q2874" s="70" t="s">
        <v>1861</v>
      </c>
      <c r="U2874" s="70" t="s">
        <v>401</v>
      </c>
      <c r="V2874" s="70" t="s">
        <v>402</v>
      </c>
      <c r="W2874" s="70" t="s">
        <v>1862</v>
      </c>
      <c r="AW2874" s="70" t="s">
        <v>1863</v>
      </c>
      <c r="AX2874" s="70">
        <v>0.0</v>
      </c>
      <c r="AY2874" s="70" t="s">
        <v>24</v>
      </c>
      <c r="AZ2874" s="70">
        <v>1980.0</v>
      </c>
    </row>
    <row r="2875" ht="22.5" customHeight="1">
      <c r="A2875" s="70" t="str">
        <f t="shared" si="1"/>
        <v>Excluded</v>
      </c>
      <c r="B2875" s="70">
        <f t="shared" si="2"/>
        <v>0</v>
      </c>
      <c r="C2875" s="70">
        <v>0.0</v>
      </c>
      <c r="D2875" s="70">
        <v>0.0</v>
      </c>
      <c r="E2875" s="70">
        <v>0.0</v>
      </c>
      <c r="F2875" s="70">
        <v>0.0</v>
      </c>
      <c r="G2875" s="70">
        <v>0.0</v>
      </c>
      <c r="H2875" s="70" t="s">
        <v>2051</v>
      </c>
      <c r="I2875" s="70">
        <v>153.0</v>
      </c>
      <c r="J2875" s="70" t="s">
        <v>2047</v>
      </c>
      <c r="K2875" s="70" t="s">
        <v>2048</v>
      </c>
      <c r="L2875" s="70" t="s">
        <v>2049</v>
      </c>
      <c r="M2875" s="70" t="s">
        <v>2050</v>
      </c>
      <c r="O2875" s="75" t="s">
        <v>2052</v>
      </c>
      <c r="P2875" s="70">
        <v>2024.0</v>
      </c>
      <c r="Q2875" s="70" t="s">
        <v>2054</v>
      </c>
      <c r="U2875" s="70" t="s">
        <v>401</v>
      </c>
      <c r="V2875" s="70" t="s">
        <v>402</v>
      </c>
      <c r="W2875" s="70" t="s">
        <v>2055</v>
      </c>
      <c r="AW2875" s="70" t="s">
        <v>2056</v>
      </c>
      <c r="AX2875" s="70">
        <v>0.0</v>
      </c>
      <c r="AY2875" s="70" t="s">
        <v>24</v>
      </c>
      <c r="AZ2875" s="70">
        <v>2052.0</v>
      </c>
    </row>
    <row r="2876" ht="22.5" customHeight="1">
      <c r="A2876" s="70" t="str">
        <f t="shared" si="1"/>
        <v>Excluded</v>
      </c>
      <c r="B2876" s="70">
        <f t="shared" si="2"/>
        <v>0</v>
      </c>
      <c r="C2876" s="70">
        <v>0.0</v>
      </c>
      <c r="D2876" s="70">
        <v>0.0</v>
      </c>
      <c r="E2876" s="70">
        <v>0.0</v>
      </c>
      <c r="F2876" s="70">
        <v>0.0</v>
      </c>
      <c r="G2876" s="70">
        <v>0.0</v>
      </c>
      <c r="H2876" s="70" t="s">
        <v>1964</v>
      </c>
      <c r="I2876" s="70">
        <v>145.0</v>
      </c>
      <c r="J2876" s="70" t="s">
        <v>1960</v>
      </c>
      <c r="K2876" s="70" t="s">
        <v>1961</v>
      </c>
      <c r="L2876" s="70" t="s">
        <v>1962</v>
      </c>
      <c r="M2876" s="70" t="s">
        <v>1963</v>
      </c>
      <c r="O2876" s="75" t="s">
        <v>1965</v>
      </c>
      <c r="P2876" s="70">
        <v>2024.0</v>
      </c>
      <c r="Q2876" s="70" t="s">
        <v>1967</v>
      </c>
      <c r="U2876" s="70" t="s">
        <v>401</v>
      </c>
      <c r="V2876" s="70" t="s">
        <v>402</v>
      </c>
      <c r="W2876" s="70" t="s">
        <v>1968</v>
      </c>
      <c r="AX2876" s="70">
        <v>0.0</v>
      </c>
      <c r="AY2876" s="70" t="s">
        <v>24</v>
      </c>
      <c r="AZ2876" s="70">
        <v>2128.0</v>
      </c>
    </row>
    <row r="2877" ht="22.5" customHeight="1">
      <c r="A2877" s="70" t="str">
        <f t="shared" si="1"/>
        <v>Excluded</v>
      </c>
      <c r="B2877" s="70">
        <f t="shared" si="2"/>
        <v>0</v>
      </c>
      <c r="C2877" s="70">
        <v>0.0</v>
      </c>
      <c r="D2877" s="70">
        <v>0.0</v>
      </c>
      <c r="E2877" s="70">
        <v>0.0</v>
      </c>
      <c r="F2877" s="70">
        <v>0.0</v>
      </c>
      <c r="G2877" s="70">
        <v>0.0</v>
      </c>
      <c r="H2877" s="70" t="s">
        <v>4079</v>
      </c>
      <c r="I2877" s="70">
        <v>358.0</v>
      </c>
      <c r="J2877" s="70" t="s">
        <v>4075</v>
      </c>
      <c r="K2877" s="70" t="s">
        <v>4076</v>
      </c>
      <c r="L2877" s="70" t="s">
        <v>4077</v>
      </c>
      <c r="N2877" s="70" t="s">
        <v>4078</v>
      </c>
      <c r="O2877" s="75" t="s">
        <v>4080</v>
      </c>
      <c r="P2877" s="80">
        <v>45597.0</v>
      </c>
      <c r="W2877" s="70" t="s">
        <v>31228</v>
      </c>
      <c r="AW2877" s="70" t="s">
        <v>4082</v>
      </c>
      <c r="AZ2877" s="70">
        <v>801.0</v>
      </c>
    </row>
    <row r="2878" ht="22.5" customHeight="1">
      <c r="A2878" s="70" t="str">
        <f t="shared" si="1"/>
        <v>Excluded</v>
      </c>
      <c r="B2878" s="70">
        <f t="shared" si="2"/>
        <v>0</v>
      </c>
      <c r="C2878" s="70">
        <v>0.0</v>
      </c>
      <c r="D2878" s="70">
        <v>0.0</v>
      </c>
      <c r="E2878" s="70">
        <v>0.0</v>
      </c>
      <c r="F2878" s="70">
        <v>0.0</v>
      </c>
      <c r="G2878" s="70">
        <v>0.0</v>
      </c>
      <c r="H2878" s="70" t="s">
        <v>3942</v>
      </c>
      <c r="I2878" s="70">
        <v>340.0</v>
      </c>
      <c r="J2878" s="70" t="s">
        <v>31229</v>
      </c>
      <c r="K2878" s="70" t="s">
        <v>3941</v>
      </c>
      <c r="L2878" s="70" t="s">
        <v>3673</v>
      </c>
      <c r="N2878" s="70" t="s">
        <v>3674</v>
      </c>
      <c r="O2878" s="75" t="s">
        <v>3943</v>
      </c>
      <c r="P2878" s="81">
        <v>45536.0</v>
      </c>
      <c r="W2878" s="70" t="s">
        <v>31230</v>
      </c>
      <c r="AW2878" s="70" t="s">
        <v>3945</v>
      </c>
      <c r="AX2878" s="70">
        <v>0.0</v>
      </c>
      <c r="AY2878" s="70" t="s">
        <v>24</v>
      </c>
      <c r="AZ2878" s="70">
        <v>2307.0</v>
      </c>
    </row>
    <row r="2879" ht="22.5" customHeight="1">
      <c r="A2879" s="70" t="str">
        <f t="shared" si="1"/>
        <v>Excluded</v>
      </c>
      <c r="B2879" s="70">
        <f t="shared" si="2"/>
        <v>0</v>
      </c>
      <c r="C2879" s="70">
        <v>0.0</v>
      </c>
      <c r="D2879" s="70">
        <v>0.0</v>
      </c>
      <c r="E2879" s="70">
        <v>0.0</v>
      </c>
      <c r="F2879" s="70">
        <v>0.0</v>
      </c>
      <c r="G2879" s="70">
        <v>0.0</v>
      </c>
      <c r="H2879" s="70" t="s">
        <v>1661</v>
      </c>
      <c r="I2879" s="70">
        <v>117.0</v>
      </c>
      <c r="J2879" s="70" t="s">
        <v>1657</v>
      </c>
      <c r="K2879" s="70" t="s">
        <v>1658</v>
      </c>
      <c r="L2879" s="70" t="s">
        <v>1659</v>
      </c>
      <c r="M2879" s="70" t="s">
        <v>1660</v>
      </c>
      <c r="O2879" s="75" t="s">
        <v>1662</v>
      </c>
      <c r="P2879" s="70">
        <v>2024.0</v>
      </c>
      <c r="Q2879" s="70" t="s">
        <v>1663</v>
      </c>
      <c r="U2879" s="70" t="s">
        <v>401</v>
      </c>
      <c r="V2879" s="70" t="s">
        <v>402</v>
      </c>
      <c r="W2879" s="70" t="s">
        <v>1665</v>
      </c>
      <c r="AW2879" s="70" t="s">
        <v>1666</v>
      </c>
      <c r="AZ2879" s="70">
        <v>145.0</v>
      </c>
    </row>
    <row r="2880" ht="22.5" customHeight="1">
      <c r="A2880" s="70" t="str">
        <f t="shared" si="1"/>
        <v>Excluded</v>
      </c>
      <c r="B2880" s="70">
        <f t="shared" si="2"/>
        <v>0</v>
      </c>
      <c r="C2880" s="70">
        <v>0.0</v>
      </c>
      <c r="D2880" s="70">
        <v>0.0</v>
      </c>
      <c r="E2880" s="70">
        <v>0.0</v>
      </c>
      <c r="F2880" s="70">
        <v>0.0</v>
      </c>
      <c r="G2880" s="70">
        <v>0.0</v>
      </c>
      <c r="H2880" s="70" t="s">
        <v>2144</v>
      </c>
      <c r="I2880" s="70">
        <v>162.0</v>
      </c>
      <c r="J2880" s="70" t="s">
        <v>31231</v>
      </c>
      <c r="K2880" s="70" t="s">
        <v>2143</v>
      </c>
      <c r="L2880" s="70" t="s">
        <v>1659</v>
      </c>
      <c r="M2880" s="70" t="s">
        <v>1660</v>
      </c>
      <c r="O2880" s="75" t="s">
        <v>2145</v>
      </c>
      <c r="P2880" s="70">
        <v>2024.0</v>
      </c>
      <c r="Q2880" s="70" t="s">
        <v>1663</v>
      </c>
      <c r="U2880" s="70" t="s">
        <v>401</v>
      </c>
      <c r="V2880" s="70" t="s">
        <v>402</v>
      </c>
      <c r="W2880" s="70" t="s">
        <v>2146</v>
      </c>
      <c r="AW2880" s="70" t="s">
        <v>2147</v>
      </c>
      <c r="AX2880" s="70">
        <v>0.0</v>
      </c>
      <c r="AY2880" s="70" t="s">
        <v>24</v>
      </c>
      <c r="AZ2880" s="70">
        <v>2749.0</v>
      </c>
    </row>
    <row r="2881" ht="22.5" customHeight="1">
      <c r="A2881" s="70" t="str">
        <f t="shared" si="1"/>
        <v>Excluded</v>
      </c>
      <c r="B2881" s="70">
        <f t="shared" si="2"/>
        <v>0</v>
      </c>
      <c r="C2881" s="70">
        <v>0.0</v>
      </c>
      <c r="D2881" s="70">
        <v>0.0</v>
      </c>
      <c r="E2881" s="70">
        <v>0.0</v>
      </c>
      <c r="F2881" s="70">
        <v>0.0</v>
      </c>
      <c r="G2881" s="70">
        <v>0.0</v>
      </c>
      <c r="H2881" s="70" t="s">
        <v>3728</v>
      </c>
      <c r="I2881" s="70">
        <v>314.0</v>
      </c>
      <c r="J2881" s="70" t="s">
        <v>3726</v>
      </c>
      <c r="K2881" s="70" t="s">
        <v>3727</v>
      </c>
      <c r="L2881" s="70" t="s">
        <v>3655</v>
      </c>
      <c r="N2881" s="70" t="s">
        <v>3656</v>
      </c>
      <c r="O2881" s="75" t="s">
        <v>3729</v>
      </c>
      <c r="P2881" s="81">
        <v>45536.0</v>
      </c>
      <c r="W2881" s="70" t="s">
        <v>31232</v>
      </c>
      <c r="AW2881" s="70" t="s">
        <v>3732</v>
      </c>
      <c r="AZ2881" s="70">
        <v>400.0</v>
      </c>
    </row>
    <row r="2882" ht="22.5" customHeight="1">
      <c r="A2882" s="70" t="str">
        <f t="shared" si="1"/>
        <v>Excluded</v>
      </c>
      <c r="B2882" s="70">
        <f t="shared" si="2"/>
        <v>0</v>
      </c>
      <c r="C2882" s="70">
        <v>0.0</v>
      </c>
      <c r="D2882" s="70">
        <v>0.0</v>
      </c>
      <c r="E2882" s="70">
        <v>0.0</v>
      </c>
      <c r="F2882" s="70">
        <v>0.0</v>
      </c>
      <c r="G2882" s="70">
        <v>0.0</v>
      </c>
      <c r="H2882" s="70" t="s">
        <v>2502</v>
      </c>
      <c r="I2882" s="70">
        <v>196.0</v>
      </c>
      <c r="J2882" s="70" t="s">
        <v>2498</v>
      </c>
      <c r="K2882" s="70" t="s">
        <v>2499</v>
      </c>
      <c r="L2882" s="70" t="s">
        <v>2500</v>
      </c>
      <c r="M2882" s="70" t="s">
        <v>2501</v>
      </c>
      <c r="O2882" s="75" t="s">
        <v>2503</v>
      </c>
      <c r="P2882" s="70">
        <v>2024.0</v>
      </c>
      <c r="Q2882" s="70" t="s">
        <v>2505</v>
      </c>
      <c r="U2882" s="70" t="s">
        <v>401</v>
      </c>
      <c r="V2882" s="70" t="s">
        <v>402</v>
      </c>
      <c r="W2882" s="70" t="s">
        <v>2507</v>
      </c>
      <c r="AZ2882" s="70">
        <v>199.0</v>
      </c>
    </row>
    <row r="2883" ht="22.5" customHeight="1">
      <c r="A2883" s="70" t="str">
        <f t="shared" si="1"/>
        <v>Excluded</v>
      </c>
      <c r="B2883" s="70">
        <f t="shared" si="2"/>
        <v>0</v>
      </c>
      <c r="C2883" s="70">
        <v>0.0</v>
      </c>
      <c r="D2883" s="70">
        <v>0.0</v>
      </c>
      <c r="E2883" s="70">
        <v>0.0</v>
      </c>
      <c r="F2883" s="70">
        <v>0.0</v>
      </c>
      <c r="G2883" s="70">
        <v>0.0</v>
      </c>
      <c r="H2883" s="70" t="s">
        <v>878</v>
      </c>
      <c r="I2883" s="70">
        <v>44.0</v>
      </c>
      <c r="J2883" s="70" t="s">
        <v>874</v>
      </c>
      <c r="K2883" s="70" t="s">
        <v>875</v>
      </c>
      <c r="L2883" s="70" t="s">
        <v>876</v>
      </c>
      <c r="M2883" s="70" t="s">
        <v>877</v>
      </c>
      <c r="O2883" s="75" t="s">
        <v>879</v>
      </c>
      <c r="P2883" s="70">
        <v>2024.0</v>
      </c>
      <c r="Q2883" s="70" t="s">
        <v>881</v>
      </c>
      <c r="U2883" s="70" t="s">
        <v>401</v>
      </c>
      <c r="V2883" s="70" t="s">
        <v>402</v>
      </c>
      <c r="W2883" s="70" t="s">
        <v>883</v>
      </c>
      <c r="AW2883" s="70" t="s">
        <v>884</v>
      </c>
      <c r="AX2883" s="70">
        <v>0.0</v>
      </c>
      <c r="AY2883" s="70" t="s">
        <v>24</v>
      </c>
      <c r="AZ2883" s="70">
        <v>2797.0</v>
      </c>
    </row>
    <row r="2884" ht="22.5" customHeight="1">
      <c r="A2884" s="70" t="str">
        <f t="shared" si="1"/>
        <v>Excluded</v>
      </c>
      <c r="B2884" s="70">
        <f t="shared" si="2"/>
        <v>0</v>
      </c>
      <c r="C2884" s="70">
        <v>0.0</v>
      </c>
      <c r="D2884" s="70">
        <v>0.0</v>
      </c>
      <c r="E2884" s="70">
        <v>0.0</v>
      </c>
      <c r="F2884" s="70">
        <v>0.0</v>
      </c>
      <c r="G2884" s="70">
        <v>0.0</v>
      </c>
      <c r="H2884" s="70" t="s">
        <v>1533</v>
      </c>
      <c r="I2884" s="70">
        <v>105.0</v>
      </c>
      <c r="J2884" s="70" t="s">
        <v>1529</v>
      </c>
      <c r="K2884" s="70" t="s">
        <v>1530</v>
      </c>
      <c r="L2884" s="70" t="s">
        <v>1531</v>
      </c>
      <c r="M2884" s="70" t="s">
        <v>1532</v>
      </c>
      <c r="O2884" s="75" t="s">
        <v>1534</v>
      </c>
      <c r="P2884" s="70">
        <v>2024.0</v>
      </c>
      <c r="Q2884" s="70" t="s">
        <v>1536</v>
      </c>
      <c r="U2884" s="70" t="s">
        <v>401</v>
      </c>
      <c r="V2884" s="70" t="s">
        <v>402</v>
      </c>
      <c r="W2884" s="70" t="s">
        <v>1537</v>
      </c>
      <c r="AW2884" s="70" t="s">
        <v>1538</v>
      </c>
      <c r="AZ2884" s="70">
        <v>846.0</v>
      </c>
    </row>
    <row r="2885" ht="22.5" customHeight="1">
      <c r="A2885" s="70" t="str">
        <f t="shared" si="1"/>
        <v>Excluded</v>
      </c>
      <c r="B2885" s="70">
        <f t="shared" si="2"/>
        <v>0</v>
      </c>
      <c r="C2885" s="70">
        <v>0.0</v>
      </c>
      <c r="D2885" s="70">
        <v>0.0</v>
      </c>
      <c r="E2885" s="70">
        <v>0.0</v>
      </c>
      <c r="F2885" s="70">
        <v>0.0</v>
      </c>
      <c r="G2885" s="70">
        <v>0.0</v>
      </c>
      <c r="H2885" s="70" t="s">
        <v>23787</v>
      </c>
      <c r="I2885" s="70">
        <v>2609.0</v>
      </c>
      <c r="J2885" s="70" t="s">
        <v>23785</v>
      </c>
      <c r="K2885" s="70" t="s">
        <v>23786</v>
      </c>
      <c r="W2885" s="70" t="s">
        <v>31233</v>
      </c>
      <c r="AA2885" s="70" t="s">
        <v>23789</v>
      </c>
      <c r="AI2885" s="70" t="s">
        <v>23790</v>
      </c>
      <c r="AJ2885" s="70" t="s">
        <v>23791</v>
      </c>
      <c r="AK2885" s="70">
        <v>2024.0</v>
      </c>
      <c r="AL2885" s="70" t="s">
        <v>23792</v>
      </c>
      <c r="AN2885" s="70">
        <v>353.0</v>
      </c>
      <c r="AO2885" s="70">
        <v>358.0</v>
      </c>
      <c r="AP2885" s="70">
        <v>5.0</v>
      </c>
      <c r="AQ2885" s="70">
        <v>0.0</v>
      </c>
      <c r="AR2885" s="75" t="s">
        <v>23793</v>
      </c>
      <c r="AS2885" s="70" t="s">
        <v>22525</v>
      </c>
      <c r="AU2885" s="70" t="s">
        <v>237</v>
      </c>
      <c r="AV2885" s="70" t="s">
        <v>23794</v>
      </c>
      <c r="AW2885" s="70" t="s">
        <v>23795</v>
      </c>
      <c r="AX2885" s="70">
        <v>0.0</v>
      </c>
      <c r="AY2885" s="70" t="s">
        <v>24</v>
      </c>
      <c r="AZ2885" s="70">
        <v>1651.0</v>
      </c>
    </row>
    <row r="2886" ht="22.5" customHeight="1">
      <c r="A2886" s="70" t="str">
        <f t="shared" si="1"/>
        <v>Excluded</v>
      </c>
      <c r="B2886" s="70">
        <f t="shared" si="2"/>
        <v>0</v>
      </c>
      <c r="C2886" s="70">
        <v>0.0</v>
      </c>
      <c r="D2886" s="70">
        <v>0.0</v>
      </c>
      <c r="E2886" s="70">
        <v>0.0</v>
      </c>
      <c r="F2886" s="70">
        <v>0.0</v>
      </c>
      <c r="G2886" s="70">
        <v>0.0</v>
      </c>
      <c r="H2886" s="70" t="s">
        <v>3721</v>
      </c>
      <c r="I2886" s="70">
        <v>313.0</v>
      </c>
      <c r="J2886" s="70" t="s">
        <v>3717</v>
      </c>
      <c r="K2886" s="70" t="s">
        <v>3718</v>
      </c>
      <c r="L2886" s="70" t="s">
        <v>3719</v>
      </c>
      <c r="N2886" s="70" t="s">
        <v>3720</v>
      </c>
      <c r="O2886" s="75" t="s">
        <v>3722</v>
      </c>
      <c r="P2886" s="80">
        <v>45597.0</v>
      </c>
      <c r="W2886" s="70" t="s">
        <v>3723</v>
      </c>
      <c r="AW2886" s="70" t="s">
        <v>3724</v>
      </c>
      <c r="AX2886" s="70">
        <v>0.0</v>
      </c>
      <c r="AY2886" s="70" t="s">
        <v>24</v>
      </c>
      <c r="AZ2886" s="70">
        <v>2060.0</v>
      </c>
    </row>
    <row r="2887" ht="22.5" customHeight="1">
      <c r="A2887" s="70" t="str">
        <f t="shared" si="1"/>
        <v>Excluded</v>
      </c>
      <c r="B2887" s="70">
        <f t="shared" si="2"/>
        <v>0</v>
      </c>
      <c r="C2887" s="70">
        <v>0.0</v>
      </c>
      <c r="D2887" s="70">
        <v>0.0</v>
      </c>
      <c r="E2887" s="70">
        <v>0.0</v>
      </c>
      <c r="F2887" s="70">
        <v>0.0</v>
      </c>
      <c r="G2887" s="70">
        <v>0.0</v>
      </c>
      <c r="H2887" s="70" t="s">
        <v>2040</v>
      </c>
      <c r="I2887" s="70">
        <v>152.0</v>
      </c>
      <c r="J2887" s="70" t="s">
        <v>2036</v>
      </c>
      <c r="K2887" s="70" t="s">
        <v>2037</v>
      </c>
      <c r="L2887" s="70" t="s">
        <v>2038</v>
      </c>
      <c r="M2887" s="70" t="s">
        <v>2039</v>
      </c>
      <c r="O2887" s="75" t="s">
        <v>2041</v>
      </c>
      <c r="P2887" s="70">
        <v>2024.0</v>
      </c>
      <c r="Q2887" s="70" t="s">
        <v>2043</v>
      </c>
      <c r="U2887" s="70" t="s">
        <v>401</v>
      </c>
      <c r="V2887" s="70" t="s">
        <v>402</v>
      </c>
      <c r="W2887" s="70" t="s">
        <v>2045</v>
      </c>
      <c r="AZ2887" s="70">
        <v>939.0</v>
      </c>
    </row>
    <row r="2888" ht="22.5" customHeight="1">
      <c r="A2888" s="70" t="str">
        <f t="shared" si="1"/>
        <v>Excluded</v>
      </c>
      <c r="B2888" s="70">
        <f t="shared" si="2"/>
        <v>0</v>
      </c>
      <c r="C2888" s="70">
        <v>0.0</v>
      </c>
      <c r="D2888" s="70">
        <v>0.0</v>
      </c>
      <c r="E2888" s="70">
        <v>0.0</v>
      </c>
      <c r="F2888" s="70">
        <v>0.0</v>
      </c>
      <c r="G2888" s="70">
        <v>0.0</v>
      </c>
      <c r="H2888" s="70" t="s">
        <v>2525</v>
      </c>
      <c r="I2888" s="70">
        <v>198.0</v>
      </c>
      <c r="J2888" s="70" t="s">
        <v>2521</v>
      </c>
      <c r="K2888" s="70" t="s">
        <v>2522</v>
      </c>
      <c r="L2888" s="70" t="s">
        <v>2523</v>
      </c>
      <c r="M2888" s="70" t="s">
        <v>2524</v>
      </c>
      <c r="O2888" s="75" t="s">
        <v>2526</v>
      </c>
      <c r="P2888" s="70">
        <v>2024.0</v>
      </c>
      <c r="Q2888" s="70" t="s">
        <v>2528</v>
      </c>
      <c r="U2888" s="70" t="s">
        <v>401</v>
      </c>
      <c r="V2888" s="70" t="s">
        <v>402</v>
      </c>
      <c r="W2888" s="70" t="s">
        <v>2530</v>
      </c>
      <c r="AW2888" s="70" t="s">
        <v>2531</v>
      </c>
      <c r="AZ2888" s="70">
        <v>208.0</v>
      </c>
    </row>
    <row r="2889" ht="22.5" customHeight="1">
      <c r="A2889" s="70" t="str">
        <f t="shared" si="1"/>
        <v>Excluded</v>
      </c>
      <c r="B2889" s="70">
        <f t="shared" si="2"/>
        <v>0</v>
      </c>
      <c r="C2889" s="70">
        <v>0.0</v>
      </c>
      <c r="D2889" s="70">
        <v>0.0</v>
      </c>
      <c r="E2889" s="70">
        <v>0.0</v>
      </c>
      <c r="F2889" s="70">
        <v>0.0</v>
      </c>
      <c r="G2889" s="70">
        <v>0.0</v>
      </c>
      <c r="H2889" s="70" t="s">
        <v>2491</v>
      </c>
      <c r="I2889" s="70">
        <v>195.0</v>
      </c>
      <c r="J2889" s="70" t="s">
        <v>2487</v>
      </c>
      <c r="K2889" s="70" t="s">
        <v>2488</v>
      </c>
      <c r="L2889" s="70" t="s">
        <v>2489</v>
      </c>
      <c r="M2889" s="70" t="s">
        <v>2490</v>
      </c>
      <c r="O2889" s="75" t="s">
        <v>2492</v>
      </c>
      <c r="P2889" s="70">
        <v>2024.0</v>
      </c>
      <c r="Q2889" s="70" t="s">
        <v>2494</v>
      </c>
      <c r="U2889" s="70" t="s">
        <v>401</v>
      </c>
      <c r="V2889" s="70" t="s">
        <v>402</v>
      </c>
      <c r="W2889" s="70" t="s">
        <v>2495</v>
      </c>
      <c r="AW2889" s="70" t="s">
        <v>2496</v>
      </c>
      <c r="AZ2889" s="70">
        <v>188.0</v>
      </c>
    </row>
    <row r="2890" ht="22.5" customHeight="1">
      <c r="A2890" s="70" t="str">
        <f t="shared" si="1"/>
        <v>Excluded</v>
      </c>
      <c r="B2890" s="70">
        <f t="shared" si="2"/>
        <v>0</v>
      </c>
      <c r="C2890" s="70">
        <v>0.0</v>
      </c>
      <c r="D2890" s="70">
        <v>0.0</v>
      </c>
      <c r="E2890" s="70">
        <v>0.0</v>
      </c>
      <c r="F2890" s="70">
        <v>0.0</v>
      </c>
      <c r="G2890" s="70">
        <v>0.0</v>
      </c>
      <c r="H2890" s="70" t="s">
        <v>1801</v>
      </c>
      <c r="I2890" s="70">
        <v>130.0</v>
      </c>
      <c r="J2890" s="70" t="s">
        <v>1797</v>
      </c>
      <c r="K2890" s="70" t="s">
        <v>1798</v>
      </c>
      <c r="L2890" s="70" t="s">
        <v>1799</v>
      </c>
      <c r="M2890" s="70" t="s">
        <v>1800</v>
      </c>
      <c r="O2890" s="75" t="s">
        <v>1802</v>
      </c>
      <c r="P2890" s="70">
        <v>2024.0</v>
      </c>
      <c r="Q2890" s="70" t="s">
        <v>1804</v>
      </c>
      <c r="U2890" s="70" t="s">
        <v>401</v>
      </c>
      <c r="V2890" s="70" t="s">
        <v>402</v>
      </c>
      <c r="W2890" s="70" t="s">
        <v>1806</v>
      </c>
      <c r="AW2890" s="70" t="s">
        <v>1807</v>
      </c>
      <c r="AX2890" s="70">
        <v>0.0</v>
      </c>
      <c r="AY2890" s="70" t="s">
        <v>24</v>
      </c>
      <c r="AZ2890" s="70">
        <v>2403.0</v>
      </c>
    </row>
    <row r="2891" ht="22.5" customHeight="1">
      <c r="A2891" s="70" t="str">
        <f t="shared" si="1"/>
        <v>Excluded</v>
      </c>
      <c r="B2891" s="70">
        <f t="shared" si="2"/>
        <v>0</v>
      </c>
      <c r="C2891" s="70">
        <v>0.0</v>
      </c>
      <c r="D2891" s="70">
        <v>0.0</v>
      </c>
      <c r="E2891" s="70">
        <v>0.0</v>
      </c>
      <c r="F2891" s="70">
        <v>0.0</v>
      </c>
      <c r="G2891" s="70">
        <v>0.0</v>
      </c>
      <c r="H2891" s="70" t="s">
        <v>3794</v>
      </c>
      <c r="I2891" s="70">
        <v>322.0</v>
      </c>
      <c r="J2891" s="70" t="s">
        <v>3791</v>
      </c>
      <c r="K2891" s="70" t="s">
        <v>3792</v>
      </c>
      <c r="L2891" s="70" t="s">
        <v>3793</v>
      </c>
      <c r="O2891" s="75" t="s">
        <v>3795</v>
      </c>
      <c r="P2891" s="81">
        <v>45536.0</v>
      </c>
      <c r="W2891" s="70" t="s">
        <v>31234</v>
      </c>
      <c r="AW2891" s="70" t="s">
        <v>3797</v>
      </c>
      <c r="AZ2891" s="70">
        <v>1089.0</v>
      </c>
    </row>
    <row r="2892" ht="22.5" customHeight="1">
      <c r="A2892" s="70" t="str">
        <f t="shared" si="1"/>
        <v>Excluded</v>
      </c>
      <c r="B2892" s="70">
        <f t="shared" si="2"/>
        <v>0</v>
      </c>
      <c r="C2892" s="70">
        <v>0.0</v>
      </c>
      <c r="D2892" s="70">
        <v>0.0</v>
      </c>
      <c r="E2892" s="70">
        <v>0.0</v>
      </c>
      <c r="F2892" s="70">
        <v>0.0</v>
      </c>
      <c r="G2892" s="70">
        <v>0.0</v>
      </c>
      <c r="H2892" s="70" t="s">
        <v>3809</v>
      </c>
      <c r="I2892" s="70">
        <v>324.0</v>
      </c>
      <c r="J2892" s="70" t="s">
        <v>3807</v>
      </c>
      <c r="K2892" s="70" t="s">
        <v>3808</v>
      </c>
      <c r="L2892" s="70" t="s">
        <v>3743</v>
      </c>
      <c r="N2892" s="70" t="s">
        <v>3744</v>
      </c>
      <c r="O2892" s="75" t="s">
        <v>3810</v>
      </c>
      <c r="P2892" s="81">
        <v>45505.0</v>
      </c>
      <c r="W2892" s="70" t="s">
        <v>3812</v>
      </c>
      <c r="AW2892" s="70" t="s">
        <v>3813</v>
      </c>
      <c r="AX2892" s="70">
        <v>0.0</v>
      </c>
      <c r="AY2892" s="70" t="s">
        <v>24</v>
      </c>
      <c r="AZ2892" s="70">
        <v>2372.0</v>
      </c>
    </row>
    <row r="2893" ht="22.5" customHeight="1">
      <c r="A2893" s="70" t="str">
        <f t="shared" si="1"/>
        <v>Excluded</v>
      </c>
      <c r="B2893" s="70">
        <f t="shared" si="2"/>
        <v>0</v>
      </c>
      <c r="C2893" s="70">
        <v>0.0</v>
      </c>
      <c r="D2893" s="70">
        <v>0.0</v>
      </c>
      <c r="E2893" s="70">
        <v>0.0</v>
      </c>
      <c r="F2893" s="70">
        <v>0.0</v>
      </c>
      <c r="G2893" s="70">
        <v>0.0</v>
      </c>
      <c r="H2893" s="70" t="s">
        <v>4268</v>
      </c>
      <c r="I2893" s="70">
        <v>383.0</v>
      </c>
      <c r="J2893" s="70" t="s">
        <v>4266</v>
      </c>
      <c r="K2893" s="70" t="s">
        <v>4267</v>
      </c>
      <c r="L2893" s="70" t="s">
        <v>4231</v>
      </c>
      <c r="N2893" s="70" t="s">
        <v>4232</v>
      </c>
      <c r="O2893" s="75" t="s">
        <v>4269</v>
      </c>
      <c r="P2893" s="81">
        <v>45505.0</v>
      </c>
      <c r="W2893" s="70" t="s">
        <v>4270</v>
      </c>
      <c r="AW2893" s="70" t="s">
        <v>4271</v>
      </c>
      <c r="AX2893" s="70">
        <v>0.0</v>
      </c>
      <c r="AY2893" s="70" t="s">
        <v>24</v>
      </c>
      <c r="AZ2893" s="70">
        <v>2450.0</v>
      </c>
    </row>
    <row r="2894" ht="22.5" customHeight="1">
      <c r="A2894" s="70" t="str">
        <f t="shared" si="1"/>
        <v>Excluded</v>
      </c>
      <c r="B2894" s="70">
        <f t="shared" si="2"/>
        <v>0</v>
      </c>
      <c r="C2894" s="70">
        <v>0.0</v>
      </c>
      <c r="D2894" s="70">
        <v>0.0</v>
      </c>
      <c r="E2894" s="70">
        <v>0.0</v>
      </c>
      <c r="F2894" s="70">
        <v>0.0</v>
      </c>
      <c r="G2894" s="70">
        <v>0.0</v>
      </c>
      <c r="H2894" s="70" t="s">
        <v>4275</v>
      </c>
      <c r="I2894" s="70">
        <v>384.0</v>
      </c>
      <c r="J2894" s="70" t="s">
        <v>31235</v>
      </c>
      <c r="K2894" s="70" t="s">
        <v>4274</v>
      </c>
      <c r="L2894" s="70" t="s">
        <v>3860</v>
      </c>
      <c r="N2894" s="70" t="s">
        <v>3861</v>
      </c>
      <c r="O2894" s="75" t="s">
        <v>4276</v>
      </c>
      <c r="P2894" s="80">
        <v>45597.0</v>
      </c>
      <c r="W2894" s="70" t="s">
        <v>4277</v>
      </c>
      <c r="AW2894" s="70" t="s">
        <v>4278</v>
      </c>
      <c r="AZ2894" s="70">
        <v>258.0</v>
      </c>
    </row>
    <row r="2895" ht="22.5" customHeight="1">
      <c r="A2895" s="70" t="str">
        <f t="shared" si="1"/>
        <v>Excluded</v>
      </c>
      <c r="B2895" s="70">
        <f t="shared" si="2"/>
        <v>0</v>
      </c>
      <c r="C2895" s="70">
        <v>0.0</v>
      </c>
      <c r="D2895" s="70">
        <v>0.0</v>
      </c>
      <c r="E2895" s="70">
        <v>0.0</v>
      </c>
      <c r="F2895" s="70">
        <v>0.0</v>
      </c>
      <c r="G2895" s="70">
        <v>0.0</v>
      </c>
      <c r="H2895" s="70" t="s">
        <v>1017</v>
      </c>
      <c r="I2895" s="70">
        <v>57.0</v>
      </c>
      <c r="J2895" s="70" t="s">
        <v>1013</v>
      </c>
      <c r="K2895" s="70" t="s">
        <v>1014</v>
      </c>
      <c r="L2895" s="70" t="s">
        <v>1015</v>
      </c>
      <c r="M2895" s="70" t="s">
        <v>1016</v>
      </c>
      <c r="O2895" s="75" t="s">
        <v>1018</v>
      </c>
      <c r="P2895" s="70">
        <v>2024.0</v>
      </c>
      <c r="Q2895" s="70" t="s">
        <v>1020</v>
      </c>
      <c r="U2895" s="70" t="s">
        <v>401</v>
      </c>
      <c r="V2895" s="70" t="s">
        <v>402</v>
      </c>
      <c r="W2895" s="70" t="s">
        <v>1021</v>
      </c>
      <c r="AW2895" s="70" t="s">
        <v>1022</v>
      </c>
      <c r="AX2895" s="70">
        <v>0.0</v>
      </c>
      <c r="AY2895" s="70" t="s">
        <v>24</v>
      </c>
      <c r="AZ2895" s="70">
        <v>2058.0</v>
      </c>
    </row>
    <row r="2896" ht="22.5" customHeight="1">
      <c r="A2896" s="70" t="str">
        <f t="shared" si="1"/>
        <v>Excluded</v>
      </c>
      <c r="B2896" s="70">
        <f t="shared" si="2"/>
        <v>0</v>
      </c>
      <c r="C2896" s="70">
        <v>0.0</v>
      </c>
      <c r="D2896" s="70">
        <v>0.0</v>
      </c>
      <c r="E2896" s="70">
        <v>0.0</v>
      </c>
      <c r="F2896" s="70">
        <v>0.0</v>
      </c>
      <c r="G2896" s="70">
        <v>0.0</v>
      </c>
      <c r="H2896" s="70" t="s">
        <v>3893</v>
      </c>
      <c r="I2896" s="70">
        <v>334.0</v>
      </c>
      <c r="J2896" s="70" t="s">
        <v>3891</v>
      </c>
      <c r="K2896" s="70" t="s">
        <v>3892</v>
      </c>
      <c r="L2896" s="70" t="s">
        <v>3635</v>
      </c>
      <c r="N2896" s="70" t="s">
        <v>3636</v>
      </c>
      <c r="O2896" s="75" t="s">
        <v>3894</v>
      </c>
      <c r="P2896" s="80">
        <v>45566.0</v>
      </c>
      <c r="W2896" s="70" t="s">
        <v>3896</v>
      </c>
      <c r="AW2896" s="70" t="s">
        <v>3897</v>
      </c>
      <c r="AZ2896" s="70">
        <v>529.0</v>
      </c>
    </row>
    <row r="2897" ht="22.5" customHeight="1">
      <c r="A2897" s="70" t="str">
        <f t="shared" si="1"/>
        <v>Excluded</v>
      </c>
      <c r="B2897" s="70">
        <f t="shared" si="2"/>
        <v>0</v>
      </c>
      <c r="C2897" s="70">
        <v>0.0</v>
      </c>
      <c r="D2897" s="70">
        <v>0.0</v>
      </c>
      <c r="E2897" s="70">
        <v>0.0</v>
      </c>
      <c r="F2897" s="70">
        <v>0.0</v>
      </c>
      <c r="G2897" s="70">
        <v>0.0</v>
      </c>
      <c r="H2897" s="70" t="s">
        <v>984</v>
      </c>
      <c r="I2897" s="70">
        <v>54.0</v>
      </c>
      <c r="J2897" s="70" t="s">
        <v>980</v>
      </c>
      <c r="K2897" s="70" t="s">
        <v>981</v>
      </c>
      <c r="L2897" s="70" t="s">
        <v>982</v>
      </c>
      <c r="M2897" s="70" t="s">
        <v>983</v>
      </c>
      <c r="O2897" s="75" t="s">
        <v>985</v>
      </c>
      <c r="P2897" s="70">
        <v>2024.0</v>
      </c>
      <c r="Q2897" s="70" t="s">
        <v>987</v>
      </c>
      <c r="U2897" s="70" t="s">
        <v>401</v>
      </c>
      <c r="V2897" s="70" t="s">
        <v>402</v>
      </c>
      <c r="W2897" s="70" t="s">
        <v>989</v>
      </c>
      <c r="AW2897" s="70" t="s">
        <v>990</v>
      </c>
      <c r="AX2897" s="70">
        <v>0.0</v>
      </c>
      <c r="AY2897" s="70" t="s">
        <v>24</v>
      </c>
      <c r="AZ2897" s="70">
        <v>2194.0</v>
      </c>
    </row>
    <row r="2898" ht="22.5" customHeight="1">
      <c r="A2898" s="70" t="str">
        <f t="shared" si="1"/>
        <v>Excluded</v>
      </c>
      <c r="B2898" s="70">
        <f t="shared" si="2"/>
        <v>0</v>
      </c>
      <c r="C2898" s="70">
        <v>0.0</v>
      </c>
      <c r="D2898" s="70">
        <v>0.0</v>
      </c>
      <c r="E2898" s="70">
        <v>0.0</v>
      </c>
      <c r="F2898" s="70">
        <v>0.0</v>
      </c>
      <c r="G2898" s="70">
        <v>0.0</v>
      </c>
      <c r="H2898" s="70" t="s">
        <v>3934</v>
      </c>
      <c r="I2898" s="70">
        <v>339.0</v>
      </c>
      <c r="J2898" s="70" t="s">
        <v>3931</v>
      </c>
      <c r="K2898" s="70" t="s">
        <v>3932</v>
      </c>
      <c r="L2898" s="70" t="s">
        <v>3933</v>
      </c>
      <c r="O2898" s="75" t="s">
        <v>3935</v>
      </c>
      <c r="P2898" s="80">
        <v>45597.0</v>
      </c>
      <c r="W2898" s="70" t="s">
        <v>3937</v>
      </c>
      <c r="AW2898" s="70" t="s">
        <v>3938</v>
      </c>
      <c r="AZ2898" s="70">
        <v>761.0</v>
      </c>
    </row>
    <row r="2899" ht="22.5" customHeight="1">
      <c r="A2899" s="70" t="str">
        <f t="shared" si="1"/>
        <v>Excluded</v>
      </c>
      <c r="B2899" s="70">
        <f t="shared" si="2"/>
        <v>0</v>
      </c>
      <c r="C2899" s="70">
        <v>0.0</v>
      </c>
      <c r="D2899" s="70">
        <v>0.0</v>
      </c>
      <c r="E2899" s="70">
        <v>0.0</v>
      </c>
      <c r="F2899" s="70">
        <v>0.0</v>
      </c>
      <c r="G2899" s="70">
        <v>0.0</v>
      </c>
      <c r="H2899" s="70" t="s">
        <v>23446</v>
      </c>
      <c r="I2899" s="70">
        <v>2576.0</v>
      </c>
      <c r="J2899" s="70" t="s">
        <v>31236</v>
      </c>
      <c r="K2899" s="70" t="s">
        <v>23445</v>
      </c>
      <c r="W2899" s="70" t="s">
        <v>31237</v>
      </c>
      <c r="AA2899" s="70" t="s">
        <v>23448</v>
      </c>
      <c r="AI2899" s="70" t="s">
        <v>31238</v>
      </c>
      <c r="AJ2899" s="70" t="s">
        <v>23450</v>
      </c>
      <c r="AK2899" s="70">
        <v>2024.0</v>
      </c>
      <c r="AL2899" s="70" t="s">
        <v>23451</v>
      </c>
      <c r="AM2899" s="70">
        <v>44.0</v>
      </c>
      <c r="AQ2899" s="70">
        <v>1.0</v>
      </c>
      <c r="AR2899" s="75" t="s">
        <v>23452</v>
      </c>
      <c r="AS2899" s="70" t="s">
        <v>22525</v>
      </c>
      <c r="AU2899" s="70" t="s">
        <v>237</v>
      </c>
      <c r="AV2899" s="70" t="s">
        <v>23453</v>
      </c>
      <c r="AW2899" s="70" t="s">
        <v>23454</v>
      </c>
      <c r="AZ2899" s="70">
        <v>943.0</v>
      </c>
    </row>
    <row r="2900" ht="22.5" customHeight="1">
      <c r="A2900" s="70" t="str">
        <f t="shared" si="1"/>
        <v>Excluded</v>
      </c>
      <c r="B2900" s="70">
        <f t="shared" si="2"/>
        <v>0</v>
      </c>
      <c r="C2900" s="70">
        <v>0.0</v>
      </c>
      <c r="D2900" s="70">
        <v>0.0</v>
      </c>
      <c r="E2900" s="70">
        <v>0.0</v>
      </c>
      <c r="F2900" s="70">
        <v>0.0</v>
      </c>
      <c r="G2900" s="70">
        <v>0.0</v>
      </c>
      <c r="H2900" s="70" t="s">
        <v>23340</v>
      </c>
      <c r="I2900" s="70">
        <v>2566.0</v>
      </c>
      <c r="J2900" s="70" t="s">
        <v>23338</v>
      </c>
      <c r="K2900" s="70" t="s">
        <v>23339</v>
      </c>
      <c r="W2900" s="70" t="s">
        <v>31239</v>
      </c>
      <c r="AA2900" s="70" t="s">
        <v>23342</v>
      </c>
      <c r="AI2900" s="70" t="s">
        <v>23343</v>
      </c>
      <c r="AJ2900" s="70" t="s">
        <v>23344</v>
      </c>
      <c r="AK2900" s="70">
        <v>2024.0</v>
      </c>
      <c r="AL2900" s="70" t="s">
        <v>23345</v>
      </c>
      <c r="AN2900" s="70">
        <v>380.0</v>
      </c>
      <c r="AO2900" s="70">
        <v>397.0</v>
      </c>
      <c r="AP2900" s="70">
        <v>17.0</v>
      </c>
      <c r="AQ2900" s="70">
        <v>0.0</v>
      </c>
      <c r="AR2900" s="75" t="s">
        <v>23346</v>
      </c>
      <c r="AS2900" s="70" t="s">
        <v>22525</v>
      </c>
      <c r="AU2900" s="70" t="s">
        <v>237</v>
      </c>
      <c r="AV2900" s="70" t="s">
        <v>23347</v>
      </c>
      <c r="AW2900" s="70" t="s">
        <v>23348</v>
      </c>
      <c r="AZ2900" s="70">
        <v>382.0</v>
      </c>
    </row>
    <row r="2901" ht="22.5" customHeight="1">
      <c r="A2901" s="70" t="str">
        <f t="shared" si="1"/>
        <v>Excluded</v>
      </c>
      <c r="B2901" s="70">
        <f t="shared" si="2"/>
        <v>0</v>
      </c>
      <c r="C2901" s="70">
        <v>0.0</v>
      </c>
      <c r="D2901" s="70">
        <v>0.0</v>
      </c>
      <c r="E2901" s="70">
        <v>0.0</v>
      </c>
      <c r="F2901" s="70">
        <v>0.0</v>
      </c>
      <c r="G2901" s="70">
        <v>0.0</v>
      </c>
      <c r="H2901" s="70" t="s">
        <v>1026</v>
      </c>
      <c r="I2901" s="70">
        <v>58.0</v>
      </c>
      <c r="J2901" s="70" t="s">
        <v>31240</v>
      </c>
      <c r="K2901" s="70" t="s">
        <v>1025</v>
      </c>
      <c r="L2901" s="70" t="s">
        <v>960</v>
      </c>
      <c r="M2901" s="70" t="s">
        <v>961</v>
      </c>
      <c r="O2901" s="75" t="s">
        <v>1027</v>
      </c>
      <c r="P2901" s="70">
        <v>2024.0</v>
      </c>
      <c r="Q2901" s="70" t="s">
        <v>964</v>
      </c>
      <c r="U2901" s="70" t="s">
        <v>401</v>
      </c>
      <c r="V2901" s="70" t="s">
        <v>402</v>
      </c>
      <c r="W2901" s="70" t="s">
        <v>31241</v>
      </c>
      <c r="AW2901" s="70" t="s">
        <v>1029</v>
      </c>
      <c r="AX2901" s="70">
        <v>0.0</v>
      </c>
      <c r="AY2901" s="70" t="s">
        <v>24</v>
      </c>
      <c r="AZ2901" s="70">
        <v>2207.0</v>
      </c>
    </row>
    <row r="2902" ht="22.5" customHeight="1">
      <c r="A2902" s="70" t="str">
        <f t="shared" si="1"/>
        <v>Excluded</v>
      </c>
      <c r="B2902" s="70">
        <f t="shared" si="2"/>
        <v>0</v>
      </c>
      <c r="C2902" s="70">
        <v>0.0</v>
      </c>
      <c r="D2902" s="70">
        <v>0.0</v>
      </c>
      <c r="E2902" s="70">
        <v>0.0</v>
      </c>
      <c r="F2902" s="70">
        <v>0.0</v>
      </c>
      <c r="G2902" s="70">
        <v>0.0</v>
      </c>
      <c r="H2902" s="70" t="s">
        <v>962</v>
      </c>
      <c r="I2902" s="70">
        <v>52.0</v>
      </c>
      <c r="J2902" s="70" t="s">
        <v>31242</v>
      </c>
      <c r="K2902" s="70" t="s">
        <v>959</v>
      </c>
      <c r="L2902" s="70" t="s">
        <v>960</v>
      </c>
      <c r="M2902" s="70" t="s">
        <v>961</v>
      </c>
      <c r="O2902" s="75" t="s">
        <v>963</v>
      </c>
      <c r="P2902" s="70">
        <v>2024.0</v>
      </c>
      <c r="Q2902" s="70" t="s">
        <v>964</v>
      </c>
      <c r="U2902" s="70" t="s">
        <v>401</v>
      </c>
      <c r="V2902" s="70" t="s">
        <v>402</v>
      </c>
      <c r="W2902" s="70" t="s">
        <v>31243</v>
      </c>
      <c r="AW2902" s="70" t="s">
        <v>966</v>
      </c>
      <c r="AZ2902" s="70">
        <v>205.0</v>
      </c>
    </row>
    <row r="2903" ht="22.5" customHeight="1">
      <c r="A2903" s="70" t="str">
        <f t="shared" si="1"/>
        <v>Excluded</v>
      </c>
      <c r="B2903" s="70">
        <f t="shared" si="2"/>
        <v>0</v>
      </c>
      <c r="C2903" s="70">
        <v>0.0</v>
      </c>
      <c r="D2903" s="70">
        <v>0.0</v>
      </c>
      <c r="E2903" s="70">
        <v>0.0</v>
      </c>
      <c r="F2903" s="70">
        <v>0.0</v>
      </c>
      <c r="G2903" s="70">
        <v>0.0</v>
      </c>
      <c r="H2903" s="70" t="s">
        <v>2085</v>
      </c>
      <c r="I2903" s="70">
        <v>156.0</v>
      </c>
      <c r="J2903" s="70" t="s">
        <v>2081</v>
      </c>
      <c r="K2903" s="70" t="s">
        <v>2082</v>
      </c>
      <c r="L2903" s="70" t="s">
        <v>2083</v>
      </c>
      <c r="M2903" s="70" t="s">
        <v>2084</v>
      </c>
      <c r="O2903" s="75" t="s">
        <v>2086</v>
      </c>
      <c r="P2903" s="70">
        <v>2024.0</v>
      </c>
      <c r="Q2903" s="70" t="s">
        <v>2088</v>
      </c>
      <c r="U2903" s="70" t="s">
        <v>401</v>
      </c>
      <c r="V2903" s="70" t="s">
        <v>402</v>
      </c>
      <c r="W2903" s="70" t="s">
        <v>2089</v>
      </c>
      <c r="AW2903" s="70" t="s">
        <v>2090</v>
      </c>
      <c r="AZ2903" s="70">
        <v>1289.0</v>
      </c>
    </row>
    <row r="2904" ht="22.5" customHeight="1">
      <c r="A2904" s="70" t="str">
        <f t="shared" si="1"/>
        <v>Excluded</v>
      </c>
      <c r="B2904" s="70">
        <f t="shared" si="2"/>
        <v>0</v>
      </c>
      <c r="C2904" s="70">
        <v>0.0</v>
      </c>
      <c r="D2904" s="70">
        <v>0.0</v>
      </c>
      <c r="E2904" s="70">
        <v>0.0</v>
      </c>
      <c r="F2904" s="70">
        <v>0.0</v>
      </c>
      <c r="G2904" s="70">
        <v>0.0</v>
      </c>
      <c r="H2904" s="70" t="s">
        <v>4097</v>
      </c>
      <c r="I2904" s="70">
        <v>360.0</v>
      </c>
      <c r="J2904" s="70" t="s">
        <v>31244</v>
      </c>
      <c r="K2904" s="70" t="s">
        <v>4094</v>
      </c>
      <c r="L2904" s="70" t="s">
        <v>4095</v>
      </c>
      <c r="N2904" s="70" t="s">
        <v>4096</v>
      </c>
      <c r="O2904" s="75" t="s">
        <v>4098</v>
      </c>
      <c r="P2904" s="80">
        <v>45627.0</v>
      </c>
      <c r="W2904" s="70" t="s">
        <v>4099</v>
      </c>
      <c r="AW2904" s="70" t="s">
        <v>4100</v>
      </c>
      <c r="AX2904" s="70">
        <v>0.0</v>
      </c>
      <c r="AY2904" s="70" t="s">
        <v>24</v>
      </c>
      <c r="AZ2904" s="70">
        <v>2286.0</v>
      </c>
    </row>
    <row r="2905" ht="22.5" customHeight="1">
      <c r="A2905" s="70" t="str">
        <f t="shared" si="1"/>
        <v>Excluded</v>
      </c>
      <c r="B2905" s="70">
        <f t="shared" si="2"/>
        <v>0</v>
      </c>
      <c r="C2905" s="70">
        <v>0.0</v>
      </c>
      <c r="D2905" s="70">
        <v>0.0</v>
      </c>
      <c r="E2905" s="70">
        <v>0.0</v>
      </c>
      <c r="F2905" s="70">
        <v>0.0</v>
      </c>
      <c r="G2905" s="70">
        <v>0.0</v>
      </c>
      <c r="H2905" s="70" t="s">
        <v>4119</v>
      </c>
      <c r="I2905" s="70">
        <v>363.0</v>
      </c>
      <c r="J2905" s="70" t="s">
        <v>4117</v>
      </c>
      <c r="K2905" s="70" t="s">
        <v>4118</v>
      </c>
      <c r="L2905" s="70" t="s">
        <v>4008</v>
      </c>
      <c r="O2905" s="75" t="s">
        <v>4120</v>
      </c>
      <c r="P2905" s="80">
        <v>45597.0</v>
      </c>
      <c r="W2905" s="70" t="s">
        <v>4121</v>
      </c>
      <c r="AW2905" s="70" t="s">
        <v>4122</v>
      </c>
      <c r="AZ2905" s="70">
        <v>267.0</v>
      </c>
    </row>
    <row r="2906" ht="22.5" customHeight="1">
      <c r="A2906" s="70" t="str">
        <f t="shared" si="1"/>
        <v>Excluded</v>
      </c>
      <c r="B2906" s="70">
        <f t="shared" si="2"/>
        <v>0</v>
      </c>
      <c r="C2906" s="70">
        <v>0.0</v>
      </c>
      <c r="D2906" s="70">
        <v>0.0</v>
      </c>
      <c r="E2906" s="70">
        <v>0.0</v>
      </c>
      <c r="F2906" s="70">
        <v>0.0</v>
      </c>
      <c r="G2906" s="70">
        <v>0.0</v>
      </c>
      <c r="H2906" s="70" t="s">
        <v>4469</v>
      </c>
      <c r="I2906" s="70">
        <v>409.0</v>
      </c>
      <c r="J2906" s="70" t="s">
        <v>31245</v>
      </c>
      <c r="K2906" s="70" t="s">
        <v>4468</v>
      </c>
      <c r="L2906" s="70" t="s">
        <v>3635</v>
      </c>
      <c r="N2906" s="70" t="s">
        <v>3636</v>
      </c>
      <c r="O2906" s="75" t="s">
        <v>4470</v>
      </c>
      <c r="P2906" s="80">
        <v>45627.0</v>
      </c>
      <c r="W2906" s="70" t="s">
        <v>4471</v>
      </c>
      <c r="AW2906" s="70" t="s">
        <v>4472</v>
      </c>
      <c r="AZ2906" s="70">
        <v>719.0</v>
      </c>
    </row>
    <row r="2907" ht="22.5" customHeight="1">
      <c r="A2907" s="70" t="str">
        <f t="shared" si="1"/>
        <v>Excluded</v>
      </c>
      <c r="B2907" s="70">
        <f t="shared" si="2"/>
        <v>0</v>
      </c>
      <c r="C2907" s="70">
        <v>0.0</v>
      </c>
      <c r="D2907" s="70">
        <v>0.0</v>
      </c>
      <c r="E2907" s="70">
        <v>0.0</v>
      </c>
      <c r="F2907" s="70">
        <v>0.0</v>
      </c>
      <c r="G2907" s="70">
        <v>0.0</v>
      </c>
      <c r="H2907" s="70" t="s">
        <v>4431</v>
      </c>
      <c r="I2907" s="70">
        <v>404.0</v>
      </c>
      <c r="J2907" s="70" t="s">
        <v>31246</v>
      </c>
      <c r="K2907" s="70" t="s">
        <v>4429</v>
      </c>
      <c r="L2907" s="70" t="s">
        <v>4430</v>
      </c>
      <c r="O2907" s="75" t="s">
        <v>4432</v>
      </c>
      <c r="P2907" s="81">
        <v>45658.0</v>
      </c>
      <c r="W2907" s="70" t="s">
        <v>31247</v>
      </c>
      <c r="AW2907" s="70" t="s">
        <v>4434</v>
      </c>
      <c r="AX2907" s="70">
        <v>0.0</v>
      </c>
      <c r="AY2907" s="70" t="s">
        <v>24</v>
      </c>
      <c r="AZ2907" s="70">
        <v>2926.0</v>
      </c>
    </row>
    <row r="2908" ht="22.5" customHeight="1">
      <c r="A2908" s="70" t="str">
        <f t="shared" si="1"/>
        <v>Excluded</v>
      </c>
      <c r="B2908" s="70">
        <f t="shared" si="2"/>
        <v>0</v>
      </c>
      <c r="C2908" s="70">
        <v>0.0</v>
      </c>
      <c r="D2908" s="70">
        <v>0.0</v>
      </c>
      <c r="E2908" s="70">
        <v>0.0</v>
      </c>
      <c r="F2908" s="70">
        <v>0.0</v>
      </c>
      <c r="G2908" s="70">
        <v>0.0</v>
      </c>
      <c r="H2908" s="70" t="s">
        <v>4233</v>
      </c>
      <c r="I2908" s="70">
        <v>378.0</v>
      </c>
      <c r="J2908" s="70" t="s">
        <v>4229</v>
      </c>
      <c r="K2908" s="70" t="s">
        <v>4230</v>
      </c>
      <c r="L2908" s="70" t="s">
        <v>4231</v>
      </c>
      <c r="N2908" s="70" t="s">
        <v>4232</v>
      </c>
      <c r="O2908" s="75" t="s">
        <v>4234</v>
      </c>
      <c r="P2908" s="80">
        <v>45627.0</v>
      </c>
      <c r="W2908" s="70" t="s">
        <v>4235</v>
      </c>
      <c r="AZ2908" s="70">
        <v>938.0</v>
      </c>
    </row>
    <row r="2909" ht="22.5" customHeight="1">
      <c r="A2909" s="70" t="str">
        <f t="shared" si="1"/>
        <v>Excluded</v>
      </c>
      <c r="B2909" s="70">
        <f t="shared" si="2"/>
        <v>0</v>
      </c>
      <c r="C2909" s="70">
        <v>0.0</v>
      </c>
      <c r="D2909" s="70">
        <v>0.0</v>
      </c>
      <c r="E2909" s="70">
        <v>0.0</v>
      </c>
      <c r="F2909" s="70">
        <v>0.0</v>
      </c>
      <c r="G2909" s="70">
        <v>0.0</v>
      </c>
      <c r="H2909" s="70" t="s">
        <v>4400</v>
      </c>
      <c r="I2909" s="70">
        <v>400.0</v>
      </c>
      <c r="J2909" s="70" t="s">
        <v>4398</v>
      </c>
      <c r="K2909" s="70" t="s">
        <v>4399</v>
      </c>
      <c r="L2909" s="70" t="s">
        <v>3635</v>
      </c>
      <c r="N2909" s="70" t="s">
        <v>3636</v>
      </c>
      <c r="O2909" s="75" t="s">
        <v>4401</v>
      </c>
      <c r="P2909" s="80">
        <v>45597.0</v>
      </c>
      <c r="W2909" s="70" t="s">
        <v>4402</v>
      </c>
      <c r="AW2909" s="70" t="s">
        <v>4403</v>
      </c>
      <c r="AX2909" s="70">
        <v>0.0</v>
      </c>
      <c r="AY2909" s="70" t="s">
        <v>24</v>
      </c>
      <c r="AZ2909" s="70">
        <v>2289.0</v>
      </c>
    </row>
    <row r="2910" ht="22.5" customHeight="1">
      <c r="A2910" s="70" t="str">
        <f t="shared" si="1"/>
        <v>Excluded</v>
      </c>
      <c r="B2910" s="70">
        <f t="shared" si="2"/>
        <v>0</v>
      </c>
      <c r="C2910" s="70">
        <v>0.0</v>
      </c>
      <c r="D2910" s="70">
        <v>0.0</v>
      </c>
      <c r="E2910" s="70">
        <v>0.0</v>
      </c>
      <c r="F2910" s="70">
        <v>0.0</v>
      </c>
      <c r="G2910" s="70">
        <v>0.0</v>
      </c>
      <c r="H2910" s="70" t="s">
        <v>2386</v>
      </c>
      <c r="I2910" s="70">
        <v>185.0</v>
      </c>
      <c r="J2910" s="70" t="s">
        <v>2382</v>
      </c>
      <c r="K2910" s="70" t="s">
        <v>2383</v>
      </c>
      <c r="L2910" s="70" t="s">
        <v>2384</v>
      </c>
      <c r="M2910" s="70" t="s">
        <v>2385</v>
      </c>
      <c r="O2910" s="75" t="s">
        <v>2387</v>
      </c>
      <c r="P2910" s="70">
        <v>2025.0</v>
      </c>
      <c r="Q2910" s="70" t="s">
        <v>2389</v>
      </c>
      <c r="U2910" s="70" t="s">
        <v>401</v>
      </c>
      <c r="V2910" s="70" t="s">
        <v>402</v>
      </c>
      <c r="W2910" s="70" t="s">
        <v>2390</v>
      </c>
      <c r="AW2910" s="70" t="s">
        <v>2391</v>
      </c>
      <c r="AZ2910" s="70">
        <v>303.0</v>
      </c>
    </row>
    <row r="2911" ht="22.5" customHeight="1">
      <c r="A2911" s="70" t="str">
        <f t="shared" si="1"/>
        <v>Excluded</v>
      </c>
      <c r="B2911" s="70">
        <f t="shared" si="2"/>
        <v>0</v>
      </c>
      <c r="C2911" s="70">
        <v>0.0</v>
      </c>
      <c r="D2911" s="70">
        <v>0.0</v>
      </c>
      <c r="E2911" s="70">
        <v>0.0</v>
      </c>
      <c r="F2911" s="70">
        <v>0.0</v>
      </c>
      <c r="G2911" s="70">
        <v>0.0</v>
      </c>
      <c r="H2911" s="70" t="s">
        <v>1522</v>
      </c>
      <c r="I2911" s="70">
        <v>104.0</v>
      </c>
      <c r="J2911" s="70" t="s">
        <v>1518</v>
      </c>
      <c r="K2911" s="70" t="s">
        <v>1519</v>
      </c>
      <c r="L2911" s="70" t="s">
        <v>1520</v>
      </c>
      <c r="M2911" s="70" t="s">
        <v>1521</v>
      </c>
      <c r="O2911" s="75" t="s">
        <v>1523</v>
      </c>
      <c r="P2911" s="70">
        <v>2024.0</v>
      </c>
      <c r="Q2911" s="70" t="s">
        <v>1524</v>
      </c>
      <c r="U2911" s="70" t="s">
        <v>401</v>
      </c>
      <c r="V2911" s="70" t="s">
        <v>402</v>
      </c>
      <c r="W2911" s="70" t="s">
        <v>1526</v>
      </c>
      <c r="AW2911" s="70" t="s">
        <v>1527</v>
      </c>
      <c r="AX2911" s="70">
        <v>0.0</v>
      </c>
      <c r="AY2911" s="70" t="s">
        <v>24</v>
      </c>
      <c r="AZ2911" s="70">
        <v>2310.0</v>
      </c>
    </row>
    <row r="2912" ht="22.5" customHeight="1">
      <c r="A2912" s="70" t="str">
        <f t="shared" si="1"/>
        <v>Excluded</v>
      </c>
      <c r="B2912" s="70">
        <f t="shared" si="2"/>
        <v>0</v>
      </c>
      <c r="C2912" s="70">
        <v>0.0</v>
      </c>
      <c r="D2912" s="70">
        <v>0.0</v>
      </c>
      <c r="E2912" s="70">
        <v>0.0</v>
      </c>
      <c r="F2912" s="70">
        <v>0.0</v>
      </c>
      <c r="G2912" s="70">
        <v>0.0</v>
      </c>
      <c r="H2912" s="70" t="s">
        <v>3711</v>
      </c>
      <c r="I2912" s="70">
        <v>312.0</v>
      </c>
      <c r="J2912" s="70" t="s">
        <v>31248</v>
      </c>
      <c r="K2912" s="70" t="s">
        <v>3710</v>
      </c>
      <c r="L2912" s="70" t="s">
        <v>3635</v>
      </c>
      <c r="N2912" s="70" t="s">
        <v>3636</v>
      </c>
      <c r="O2912" s="75" t="s">
        <v>3712</v>
      </c>
      <c r="P2912" s="80">
        <v>45627.0</v>
      </c>
      <c r="W2912" s="70" t="s">
        <v>31249</v>
      </c>
      <c r="AW2912" s="70" t="s">
        <v>3715</v>
      </c>
      <c r="AZ2912" s="70">
        <v>716.0</v>
      </c>
    </row>
    <row r="2913" ht="22.5" customHeight="1">
      <c r="A2913" s="70" t="str">
        <f t="shared" si="1"/>
        <v>Excluded</v>
      </c>
      <c r="B2913" s="70">
        <f t="shared" si="2"/>
        <v>0</v>
      </c>
      <c r="C2913" s="70">
        <v>0.0</v>
      </c>
      <c r="D2913" s="70">
        <v>0.0</v>
      </c>
      <c r="E2913" s="70">
        <v>0.0</v>
      </c>
      <c r="F2913" s="70">
        <v>0.0</v>
      </c>
      <c r="G2913" s="70">
        <v>0.0</v>
      </c>
      <c r="H2913" s="70" t="s">
        <v>4070</v>
      </c>
      <c r="I2913" s="70">
        <v>357.0</v>
      </c>
      <c r="J2913" s="70" t="s">
        <v>4068</v>
      </c>
      <c r="K2913" s="70" t="s">
        <v>4069</v>
      </c>
      <c r="L2913" s="70" t="s">
        <v>3635</v>
      </c>
      <c r="N2913" s="70" t="s">
        <v>3636</v>
      </c>
      <c r="O2913" s="75" t="s">
        <v>4071</v>
      </c>
      <c r="P2913" s="81">
        <v>45658.0</v>
      </c>
      <c r="W2913" s="70" t="s">
        <v>4072</v>
      </c>
      <c r="AW2913" s="70" t="s">
        <v>4073</v>
      </c>
      <c r="AZ2913" s="70">
        <v>786.0</v>
      </c>
    </row>
    <row r="2914" ht="22.5" customHeight="1">
      <c r="A2914" s="70" t="str">
        <f t="shared" si="1"/>
        <v>Excluded</v>
      </c>
      <c r="B2914" s="70">
        <f t="shared" si="2"/>
        <v>0</v>
      </c>
      <c r="C2914" s="70">
        <v>0.0</v>
      </c>
      <c r="D2914" s="70">
        <v>0.0</v>
      </c>
      <c r="E2914" s="70">
        <v>0.0</v>
      </c>
      <c r="F2914" s="70">
        <v>0.0</v>
      </c>
      <c r="G2914" s="70">
        <v>0.0</v>
      </c>
      <c r="H2914" s="70" t="s">
        <v>4047</v>
      </c>
      <c r="I2914" s="70">
        <v>354.0</v>
      </c>
      <c r="J2914" s="70" t="s">
        <v>4046</v>
      </c>
      <c r="K2914" s="70" t="s">
        <v>2216</v>
      </c>
      <c r="L2914" s="70" t="s">
        <v>4023</v>
      </c>
      <c r="N2914" s="70" t="s">
        <v>4024</v>
      </c>
      <c r="O2914" s="75" t="s">
        <v>4048</v>
      </c>
      <c r="P2914" s="81">
        <v>45689.0</v>
      </c>
      <c r="W2914" s="70" t="s">
        <v>4050</v>
      </c>
      <c r="AW2914" s="70" t="s">
        <v>4051</v>
      </c>
      <c r="AZ2914" s="70">
        <v>784.0</v>
      </c>
    </row>
    <row r="2915" ht="22.5" customHeight="1">
      <c r="A2915" s="70" t="str">
        <f t="shared" si="1"/>
        <v>Excluded</v>
      </c>
      <c r="B2915" s="70">
        <f t="shared" si="2"/>
        <v>0</v>
      </c>
      <c r="C2915" s="70">
        <v>0.0</v>
      </c>
      <c r="D2915" s="70">
        <v>0.0</v>
      </c>
      <c r="E2915" s="70">
        <v>0.0</v>
      </c>
      <c r="F2915" s="70">
        <v>0.0</v>
      </c>
      <c r="G2915" s="70">
        <v>0.0</v>
      </c>
      <c r="H2915" s="70" t="s">
        <v>754</v>
      </c>
      <c r="I2915" s="70">
        <v>33.0</v>
      </c>
      <c r="J2915" s="70" t="s">
        <v>750</v>
      </c>
      <c r="K2915" s="70" t="s">
        <v>751</v>
      </c>
      <c r="L2915" s="70" t="s">
        <v>752</v>
      </c>
      <c r="M2915" s="70" t="s">
        <v>753</v>
      </c>
      <c r="O2915" s="75" t="s">
        <v>755</v>
      </c>
      <c r="P2915" s="70">
        <v>2025.0</v>
      </c>
      <c r="Q2915" s="70" t="s">
        <v>757</v>
      </c>
      <c r="U2915" s="70" t="s">
        <v>401</v>
      </c>
      <c r="V2915" s="70" t="s">
        <v>402</v>
      </c>
      <c r="W2915" s="70" t="s">
        <v>758</v>
      </c>
      <c r="AW2915" s="70" t="s">
        <v>759</v>
      </c>
      <c r="AX2915" s="70">
        <v>0.0</v>
      </c>
      <c r="AY2915" s="70" t="s">
        <v>24</v>
      </c>
      <c r="AZ2915" s="70">
        <v>1846.0</v>
      </c>
    </row>
    <row r="2916" ht="22.5" customHeight="1">
      <c r="A2916" s="70" t="str">
        <f t="shared" si="1"/>
        <v>Excluded</v>
      </c>
      <c r="B2916" s="70">
        <f t="shared" si="2"/>
        <v>0</v>
      </c>
      <c r="C2916" s="70">
        <v>0.0</v>
      </c>
      <c r="D2916" s="70">
        <v>0.0</v>
      </c>
      <c r="E2916" s="70">
        <v>0.0</v>
      </c>
      <c r="F2916" s="70">
        <v>0.0</v>
      </c>
      <c r="G2916" s="70">
        <v>0.0</v>
      </c>
      <c r="H2916" s="70" t="s">
        <v>4063</v>
      </c>
      <c r="I2916" s="70">
        <v>356.0</v>
      </c>
      <c r="J2916" s="70" t="s">
        <v>31250</v>
      </c>
      <c r="K2916" s="70" t="s">
        <v>4062</v>
      </c>
      <c r="L2916" s="70" t="s">
        <v>3719</v>
      </c>
      <c r="N2916" s="70" t="s">
        <v>3720</v>
      </c>
      <c r="O2916" s="75" t="s">
        <v>4064</v>
      </c>
      <c r="P2916" s="81">
        <v>45658.0</v>
      </c>
      <c r="W2916" s="70" t="s">
        <v>31251</v>
      </c>
      <c r="AW2916" s="70" t="s">
        <v>4066</v>
      </c>
      <c r="AZ2916" s="70">
        <v>1158.0</v>
      </c>
    </row>
    <row r="2917" ht="22.5" customHeight="1">
      <c r="A2917" s="70" t="str">
        <f t="shared" si="1"/>
        <v>Excluded</v>
      </c>
      <c r="B2917" s="70">
        <f t="shared" si="2"/>
        <v>0</v>
      </c>
      <c r="C2917" s="70">
        <v>0.0</v>
      </c>
      <c r="D2917" s="70">
        <v>0.0</v>
      </c>
      <c r="E2917" s="70">
        <v>0.0</v>
      </c>
      <c r="F2917" s="70">
        <v>0.0</v>
      </c>
      <c r="G2917" s="70">
        <v>0.0</v>
      </c>
      <c r="H2917" s="70" t="s">
        <v>3878</v>
      </c>
      <c r="I2917" s="70">
        <v>332.0</v>
      </c>
      <c r="J2917" s="70" t="s">
        <v>3876</v>
      </c>
      <c r="K2917" s="70" t="s">
        <v>3877</v>
      </c>
      <c r="L2917" s="70" t="s">
        <v>3719</v>
      </c>
      <c r="N2917" s="70" t="s">
        <v>3720</v>
      </c>
      <c r="O2917" s="75" t="s">
        <v>3879</v>
      </c>
      <c r="P2917" s="81">
        <v>45658.0</v>
      </c>
      <c r="W2917" s="70" t="s">
        <v>31252</v>
      </c>
      <c r="AW2917" s="70" t="s">
        <v>3881</v>
      </c>
      <c r="AZ2917" s="70">
        <v>1138.0</v>
      </c>
    </row>
    <row r="2918" ht="22.5" customHeight="1">
      <c r="A2918" s="70" t="str">
        <f t="shared" si="1"/>
        <v>Excluded</v>
      </c>
      <c r="B2918" s="70">
        <f t="shared" si="2"/>
        <v>0</v>
      </c>
      <c r="C2918" s="70">
        <v>0.0</v>
      </c>
      <c r="D2918" s="70">
        <v>0.0</v>
      </c>
      <c r="E2918" s="70">
        <v>0.0</v>
      </c>
      <c r="F2918" s="70">
        <v>0.0</v>
      </c>
      <c r="G2918" s="70">
        <v>0.0</v>
      </c>
      <c r="H2918" s="70" t="s">
        <v>3964</v>
      </c>
      <c r="I2918" s="70">
        <v>343.0</v>
      </c>
      <c r="J2918" s="70" t="s">
        <v>3962</v>
      </c>
      <c r="K2918" s="70" t="s">
        <v>3963</v>
      </c>
      <c r="L2918" s="70" t="s">
        <v>3635</v>
      </c>
      <c r="N2918" s="70" t="s">
        <v>3636</v>
      </c>
      <c r="O2918" s="75" t="s">
        <v>3965</v>
      </c>
      <c r="P2918" s="81">
        <v>45658.0</v>
      </c>
      <c r="W2918" s="70" t="s">
        <v>31253</v>
      </c>
      <c r="AW2918" s="70" t="s">
        <v>3967</v>
      </c>
      <c r="AZ2918" s="70">
        <v>566.0</v>
      </c>
    </row>
    <row r="2919" ht="22.5" customHeight="1">
      <c r="A2919" s="70" t="str">
        <f t="shared" si="1"/>
        <v>Excluded</v>
      </c>
      <c r="B2919" s="70">
        <f t="shared" si="2"/>
        <v>0</v>
      </c>
      <c r="C2919" s="70">
        <v>0.0</v>
      </c>
      <c r="D2919" s="70">
        <v>0.0</v>
      </c>
      <c r="E2919" s="70">
        <v>0.0</v>
      </c>
      <c r="F2919" s="70">
        <v>0.0</v>
      </c>
      <c r="G2919" s="70">
        <v>0.0</v>
      </c>
      <c r="H2919" s="70" t="s">
        <v>4209</v>
      </c>
      <c r="I2919" s="70">
        <v>375.0</v>
      </c>
      <c r="J2919" s="70" t="s">
        <v>4207</v>
      </c>
      <c r="K2919" s="70" t="s">
        <v>4208</v>
      </c>
      <c r="L2919" s="70" t="s">
        <v>3635</v>
      </c>
      <c r="N2919" s="70" t="s">
        <v>3636</v>
      </c>
      <c r="O2919" s="75" t="s">
        <v>4210</v>
      </c>
      <c r="P2919" s="81">
        <v>45689.0</v>
      </c>
      <c r="W2919" s="70" t="s">
        <v>4211</v>
      </c>
      <c r="AW2919" s="70" t="s">
        <v>4212</v>
      </c>
      <c r="AZ2919" s="70">
        <v>211.0</v>
      </c>
    </row>
    <row r="2920" ht="22.5" customHeight="1">
      <c r="A2920" s="70" t="str">
        <f t="shared" si="1"/>
        <v>Excluded</v>
      </c>
      <c r="B2920" s="70">
        <f t="shared" si="2"/>
        <v>0</v>
      </c>
      <c r="C2920" s="70">
        <v>0.0</v>
      </c>
      <c r="D2920" s="70">
        <v>0.0</v>
      </c>
      <c r="E2920" s="70">
        <v>0.0</v>
      </c>
      <c r="F2920" s="70">
        <v>0.0</v>
      </c>
      <c r="G2920" s="70">
        <v>0.0</v>
      </c>
      <c r="H2920" s="70" t="s">
        <v>3637</v>
      </c>
      <c r="I2920" s="70">
        <v>304.0</v>
      </c>
      <c r="J2920" s="70" t="s">
        <v>3633</v>
      </c>
      <c r="K2920" s="70" t="s">
        <v>3634</v>
      </c>
      <c r="L2920" s="70" t="s">
        <v>3635</v>
      </c>
      <c r="N2920" s="70" t="s">
        <v>3636</v>
      </c>
      <c r="O2920" s="75" t="s">
        <v>3638</v>
      </c>
      <c r="P2920" s="81">
        <v>45717.0</v>
      </c>
      <c r="W2920" s="70" t="s">
        <v>3641</v>
      </c>
      <c r="AW2920" s="70" t="s">
        <v>3642</v>
      </c>
      <c r="AZ2920" s="70">
        <v>680.0</v>
      </c>
    </row>
    <row r="2921" ht="22.5" customHeight="1">
      <c r="A2921" s="70" t="str">
        <f t="shared" si="1"/>
        <v>Excluded</v>
      </c>
      <c r="B2921" s="70">
        <f t="shared" si="2"/>
        <v>0</v>
      </c>
      <c r="C2921" s="70">
        <v>0.0</v>
      </c>
      <c r="D2921" s="70">
        <v>0.0</v>
      </c>
      <c r="E2921" s="70">
        <v>0.0</v>
      </c>
      <c r="F2921" s="70">
        <v>0.0</v>
      </c>
      <c r="G2921" s="70">
        <v>0.0</v>
      </c>
      <c r="H2921" s="70" t="s">
        <v>28692</v>
      </c>
      <c r="I2921" s="70">
        <v>3086.0</v>
      </c>
      <c r="J2921" s="70" t="s">
        <v>31254</v>
      </c>
      <c r="K2921" s="70" t="s">
        <v>28691</v>
      </c>
      <c r="W2921" s="70" t="s">
        <v>31255</v>
      </c>
      <c r="AI2921" s="70" t="s">
        <v>31256</v>
      </c>
      <c r="AJ2921" s="70" t="s">
        <v>28695</v>
      </c>
      <c r="AK2921" s="70">
        <v>2018.0</v>
      </c>
      <c r="AL2921" s="70" t="s">
        <v>28696</v>
      </c>
      <c r="AM2921" s="70">
        <v>8281079.0</v>
      </c>
      <c r="AQ2921" s="70">
        <v>15.0</v>
      </c>
      <c r="AR2921" s="75" t="s">
        <v>28697</v>
      </c>
      <c r="AS2921" s="70" t="s">
        <v>22525</v>
      </c>
      <c r="AT2921" s="70" t="s">
        <v>22622</v>
      </c>
      <c r="AU2921" s="70" t="s">
        <v>237</v>
      </c>
      <c r="AV2921" s="70" t="s">
        <v>28698</v>
      </c>
      <c r="AW2921" s="70" t="s">
        <v>28699</v>
      </c>
      <c r="AX2921" s="70">
        <v>0.0</v>
      </c>
      <c r="AY2921" s="70" t="s">
        <v>24</v>
      </c>
      <c r="AZ2921" s="70">
        <v>2859.0</v>
      </c>
    </row>
    <row r="2922" ht="22.5" customHeight="1">
      <c r="A2922" s="70" t="str">
        <f t="shared" si="1"/>
        <v>Excluded</v>
      </c>
      <c r="B2922" s="70">
        <f t="shared" si="2"/>
        <v>0</v>
      </c>
      <c r="C2922" s="70">
        <v>0.0</v>
      </c>
      <c r="D2922" s="70">
        <v>0.0</v>
      </c>
      <c r="E2922" s="70">
        <v>0.0</v>
      </c>
      <c r="F2922" s="70">
        <v>0.0</v>
      </c>
      <c r="G2922" s="70">
        <v>0.0</v>
      </c>
      <c r="H2922" s="70" t="s">
        <v>28309</v>
      </c>
      <c r="I2922" s="70">
        <v>3049.0</v>
      </c>
      <c r="J2922" s="70" t="s">
        <v>28307</v>
      </c>
      <c r="K2922" s="70" t="s">
        <v>28308</v>
      </c>
      <c r="W2922" s="70" t="s">
        <v>31257</v>
      </c>
      <c r="AI2922" s="70" t="s">
        <v>28311</v>
      </c>
      <c r="AJ2922" s="70" t="s">
        <v>28312</v>
      </c>
      <c r="AK2922" s="70">
        <v>2021.0</v>
      </c>
      <c r="AL2922" s="70" t="s">
        <v>26990</v>
      </c>
      <c r="AM2922" s="70">
        <v>5590605.0</v>
      </c>
      <c r="AQ2922" s="70">
        <v>4.0</v>
      </c>
      <c r="AR2922" s="75" t="s">
        <v>28313</v>
      </c>
      <c r="AS2922" s="70" t="s">
        <v>22525</v>
      </c>
      <c r="AT2922" s="70" t="s">
        <v>22622</v>
      </c>
      <c r="AU2922" s="70" t="s">
        <v>237</v>
      </c>
      <c r="AV2922" s="70" t="s">
        <v>28314</v>
      </c>
      <c r="AW2922" s="70" t="s">
        <v>28315</v>
      </c>
      <c r="AX2922" s="70">
        <v>0.0</v>
      </c>
      <c r="AY2922" s="70" t="s">
        <v>24</v>
      </c>
      <c r="AZ2922" s="70">
        <v>1905.0</v>
      </c>
    </row>
    <row r="2923" ht="22.5" customHeight="1">
      <c r="A2923" s="70" t="str">
        <f t="shared" si="1"/>
        <v>Excluded</v>
      </c>
      <c r="B2923" s="70">
        <f t="shared" si="2"/>
        <v>0</v>
      </c>
      <c r="C2923" s="70">
        <v>0.0</v>
      </c>
      <c r="D2923" s="70">
        <v>0.0</v>
      </c>
      <c r="E2923" s="70">
        <v>0.0</v>
      </c>
      <c r="F2923" s="70">
        <v>0.0</v>
      </c>
      <c r="G2923" s="70">
        <v>0.0</v>
      </c>
      <c r="H2923" s="70" t="s">
        <v>27718</v>
      </c>
      <c r="I2923" s="70">
        <v>2991.0</v>
      </c>
      <c r="J2923" s="70" t="s">
        <v>27716</v>
      </c>
      <c r="K2923" s="70" t="s">
        <v>27717</v>
      </c>
      <c r="W2923" s="70" t="s">
        <v>31258</v>
      </c>
      <c r="AI2923" s="70" t="s">
        <v>27720</v>
      </c>
      <c r="AJ2923" s="70" t="s">
        <v>27721</v>
      </c>
      <c r="AK2923" s="70">
        <v>2021.0</v>
      </c>
      <c r="AL2923" s="70" t="s">
        <v>27559</v>
      </c>
      <c r="AM2923" s="70">
        <v>8800234.0</v>
      </c>
      <c r="AQ2923" s="70">
        <v>5.0</v>
      </c>
      <c r="AR2923" s="75" t="s">
        <v>27722</v>
      </c>
      <c r="AS2923" s="70" t="s">
        <v>22525</v>
      </c>
      <c r="AT2923" s="70" t="s">
        <v>22622</v>
      </c>
      <c r="AU2923" s="70" t="s">
        <v>237</v>
      </c>
      <c r="AV2923" s="70" t="s">
        <v>27723</v>
      </c>
      <c r="AW2923" s="70" t="s">
        <v>27724</v>
      </c>
      <c r="AX2923" s="70">
        <v>0.0</v>
      </c>
      <c r="AY2923" s="70" t="s">
        <v>24</v>
      </c>
      <c r="AZ2923" s="70">
        <v>1926.0</v>
      </c>
    </row>
    <row r="2924" ht="22.5" customHeight="1">
      <c r="A2924" s="70" t="str">
        <f t="shared" si="1"/>
        <v>Excluded</v>
      </c>
      <c r="B2924" s="70">
        <f t="shared" si="2"/>
        <v>0</v>
      </c>
      <c r="C2924" s="70">
        <v>0.0</v>
      </c>
      <c r="D2924" s="70">
        <v>0.0</v>
      </c>
      <c r="E2924" s="70">
        <v>0.0</v>
      </c>
      <c r="F2924" s="70">
        <v>0.0</v>
      </c>
      <c r="G2924" s="70">
        <v>0.0</v>
      </c>
      <c r="H2924" s="70" t="s">
        <v>26986</v>
      </c>
      <c r="I2924" s="70">
        <v>2920.0</v>
      </c>
      <c r="J2924" s="70" t="s">
        <v>26984</v>
      </c>
      <c r="K2924" s="70" t="s">
        <v>26985</v>
      </c>
      <c r="W2924" s="70" t="s">
        <v>31259</v>
      </c>
      <c r="AI2924" s="70" t="s">
        <v>26988</v>
      </c>
      <c r="AJ2924" s="70" t="s">
        <v>26989</v>
      </c>
      <c r="AK2924" s="70">
        <v>2022.0</v>
      </c>
      <c r="AL2924" s="70" t="s">
        <v>26990</v>
      </c>
      <c r="AM2924" s="70">
        <v>1344720.0</v>
      </c>
      <c r="AQ2924" s="70">
        <v>0.0</v>
      </c>
      <c r="AR2924" s="75" t="s">
        <v>26991</v>
      </c>
      <c r="AS2924" s="70" t="s">
        <v>22525</v>
      </c>
      <c r="AT2924" s="70" t="s">
        <v>22622</v>
      </c>
      <c r="AU2924" s="70" t="s">
        <v>237</v>
      </c>
      <c r="AV2924" s="70" t="s">
        <v>26992</v>
      </c>
      <c r="AW2924" s="70" t="s">
        <v>26993</v>
      </c>
      <c r="AX2924" s="70">
        <v>0.0</v>
      </c>
      <c r="AY2924" s="70" t="s">
        <v>24</v>
      </c>
      <c r="AZ2924" s="70">
        <v>1911.0</v>
      </c>
    </row>
    <row r="2925" ht="22.5" customHeight="1">
      <c r="A2925" s="70" t="str">
        <f t="shared" si="1"/>
        <v>Excluded</v>
      </c>
      <c r="B2925" s="70">
        <f t="shared" si="2"/>
        <v>0</v>
      </c>
      <c r="C2925" s="70">
        <v>0.0</v>
      </c>
      <c r="D2925" s="70">
        <v>0.0</v>
      </c>
      <c r="E2925" s="70">
        <v>0.0</v>
      </c>
      <c r="F2925" s="70">
        <v>0.0</v>
      </c>
      <c r="G2925" s="70">
        <v>0.0</v>
      </c>
      <c r="H2925" s="70" t="s">
        <v>27555</v>
      </c>
      <c r="I2925" s="70">
        <v>2975.0</v>
      </c>
      <c r="J2925" s="70" t="s">
        <v>27553</v>
      </c>
      <c r="K2925" s="70" t="s">
        <v>27554</v>
      </c>
      <c r="W2925" s="70" t="s">
        <v>31260</v>
      </c>
      <c r="AI2925" s="70" t="s">
        <v>27557</v>
      </c>
      <c r="AJ2925" s="70" t="s">
        <v>27558</v>
      </c>
      <c r="AK2925" s="70">
        <v>2022.0</v>
      </c>
      <c r="AL2925" s="70" t="s">
        <v>27559</v>
      </c>
      <c r="AM2925" s="70">
        <v>2332769.0</v>
      </c>
      <c r="AQ2925" s="70">
        <v>0.0</v>
      </c>
      <c r="AR2925" s="75" t="s">
        <v>27560</v>
      </c>
      <c r="AS2925" s="70" t="s">
        <v>22525</v>
      </c>
      <c r="AT2925" s="70" t="s">
        <v>22622</v>
      </c>
      <c r="AU2925" s="70" t="s">
        <v>237</v>
      </c>
      <c r="AV2925" s="70" t="s">
        <v>27561</v>
      </c>
      <c r="AW2925" s="70" t="s">
        <v>27562</v>
      </c>
      <c r="AX2925" s="70">
        <v>0.0</v>
      </c>
      <c r="AY2925" s="70" t="s">
        <v>24</v>
      </c>
      <c r="AZ2925" s="70">
        <v>1867.0</v>
      </c>
    </row>
    <row r="2926" ht="22.5" customHeight="1">
      <c r="A2926" s="70" t="str">
        <f t="shared" si="1"/>
        <v>Excluded</v>
      </c>
      <c r="B2926" s="70">
        <f t="shared" si="2"/>
        <v>0</v>
      </c>
      <c r="C2926" s="70">
        <v>0.0</v>
      </c>
      <c r="D2926" s="70">
        <v>0.0</v>
      </c>
      <c r="E2926" s="70">
        <v>0.0</v>
      </c>
      <c r="F2926" s="70">
        <v>0.0</v>
      </c>
      <c r="G2926" s="70">
        <v>0.0</v>
      </c>
      <c r="H2926" s="70" t="s">
        <v>26938</v>
      </c>
      <c r="I2926" s="70">
        <v>2915.0</v>
      </c>
      <c r="J2926" s="70" t="s">
        <v>26936</v>
      </c>
      <c r="K2926" s="70" t="s">
        <v>26937</v>
      </c>
      <c r="W2926" s="70" t="s">
        <v>31261</v>
      </c>
      <c r="AI2926" s="70" t="s">
        <v>26940</v>
      </c>
      <c r="AJ2926" s="70" t="s">
        <v>26941</v>
      </c>
      <c r="AK2926" s="70">
        <v>2022.0</v>
      </c>
      <c r="AL2926" s="70" t="s">
        <v>26942</v>
      </c>
      <c r="AM2926" s="70">
        <v>2372748.0</v>
      </c>
      <c r="AQ2926" s="70">
        <v>13.0</v>
      </c>
      <c r="AR2926" s="75" t="s">
        <v>26943</v>
      </c>
      <c r="AS2926" s="70" t="s">
        <v>22525</v>
      </c>
      <c r="AT2926" s="70" t="s">
        <v>22622</v>
      </c>
      <c r="AU2926" s="70" t="s">
        <v>237</v>
      </c>
      <c r="AV2926" s="70" t="s">
        <v>26944</v>
      </c>
      <c r="AW2926" s="70" t="s">
        <v>26945</v>
      </c>
      <c r="AZ2926" s="70">
        <v>547.0</v>
      </c>
    </row>
    <row r="2927" ht="22.5" customHeight="1">
      <c r="A2927" s="70" t="str">
        <f t="shared" si="1"/>
        <v>Excluded</v>
      </c>
      <c r="B2927" s="70">
        <f t="shared" si="2"/>
        <v>0</v>
      </c>
      <c r="C2927" s="70">
        <v>0.0</v>
      </c>
      <c r="D2927" s="70">
        <v>0.0</v>
      </c>
      <c r="E2927" s="70">
        <v>0.0</v>
      </c>
      <c r="F2927" s="70">
        <v>0.0</v>
      </c>
      <c r="G2927" s="70">
        <v>0.0</v>
      </c>
      <c r="H2927" s="70" t="s">
        <v>27386</v>
      </c>
      <c r="I2927" s="70">
        <v>2958.0</v>
      </c>
      <c r="J2927" s="70" t="s">
        <v>27384</v>
      </c>
      <c r="K2927" s="70" t="s">
        <v>27385</v>
      </c>
      <c r="W2927" s="70" t="s">
        <v>31262</v>
      </c>
      <c r="AI2927" s="70" t="s">
        <v>27388</v>
      </c>
      <c r="AJ2927" s="70" t="s">
        <v>27389</v>
      </c>
      <c r="AK2927" s="70">
        <v>2022.0</v>
      </c>
      <c r="AL2927" s="70" t="s">
        <v>26942</v>
      </c>
      <c r="AM2927" s="70">
        <v>6709797.0</v>
      </c>
      <c r="AQ2927" s="70">
        <v>1.0</v>
      </c>
      <c r="AR2927" s="75" t="s">
        <v>27390</v>
      </c>
      <c r="AS2927" s="70" t="s">
        <v>22525</v>
      </c>
      <c r="AT2927" s="70" t="s">
        <v>22622</v>
      </c>
      <c r="AU2927" s="70" t="s">
        <v>237</v>
      </c>
      <c r="AV2927" s="70" t="s">
        <v>27391</v>
      </c>
      <c r="AW2927" s="70" t="s">
        <v>27392</v>
      </c>
      <c r="AX2927" s="70">
        <v>0.0</v>
      </c>
      <c r="AY2927" s="70" t="s">
        <v>24</v>
      </c>
      <c r="AZ2927" s="70">
        <v>2976.0</v>
      </c>
    </row>
    <row r="2928" ht="22.5" customHeight="1">
      <c r="A2928" s="70" t="str">
        <f t="shared" si="1"/>
        <v>Excluded</v>
      </c>
      <c r="B2928" s="70">
        <f t="shared" si="2"/>
        <v>0</v>
      </c>
      <c r="C2928" s="70">
        <v>0.0</v>
      </c>
      <c r="D2928" s="70">
        <v>0.0</v>
      </c>
      <c r="E2928" s="70">
        <v>0.0</v>
      </c>
      <c r="F2928" s="70">
        <v>0.0</v>
      </c>
      <c r="G2928" s="70">
        <v>0.0</v>
      </c>
      <c r="H2928" s="70" t="s">
        <v>27618</v>
      </c>
      <c r="I2928" s="70">
        <v>2981.0</v>
      </c>
      <c r="J2928" s="70" t="s">
        <v>27616</v>
      </c>
      <c r="K2928" s="70" t="s">
        <v>27617</v>
      </c>
      <c r="W2928" s="70" t="s">
        <v>31263</v>
      </c>
      <c r="AI2928" s="70" t="s">
        <v>27620</v>
      </c>
      <c r="AJ2928" s="70" t="s">
        <v>27621</v>
      </c>
      <c r="AK2928" s="70">
        <v>2022.0</v>
      </c>
      <c r="AL2928" s="70" t="s">
        <v>27622</v>
      </c>
      <c r="AM2928" s="70">
        <v>8327006.0</v>
      </c>
      <c r="AQ2928" s="70">
        <v>3.0</v>
      </c>
      <c r="AR2928" s="75" t="s">
        <v>27623</v>
      </c>
      <c r="AS2928" s="70" t="s">
        <v>22525</v>
      </c>
      <c r="AT2928" s="70" t="s">
        <v>22643</v>
      </c>
      <c r="AU2928" s="70" t="s">
        <v>237</v>
      </c>
      <c r="AV2928" s="70" t="s">
        <v>27624</v>
      </c>
      <c r="AW2928" s="70" t="s">
        <v>27625</v>
      </c>
      <c r="AX2928" s="70">
        <v>0.0</v>
      </c>
      <c r="AY2928" s="70" t="s">
        <v>24</v>
      </c>
      <c r="AZ2928" s="70">
        <v>2492.0</v>
      </c>
    </row>
    <row r="2929" ht="22.5" customHeight="1">
      <c r="A2929" s="70" t="str">
        <f t="shared" si="1"/>
        <v>Excluded</v>
      </c>
      <c r="B2929" s="70">
        <f t="shared" si="2"/>
        <v>0</v>
      </c>
      <c r="C2929" s="70">
        <v>0.0</v>
      </c>
      <c r="D2929" s="70">
        <v>0.0</v>
      </c>
      <c r="E2929" s="70">
        <v>0.0</v>
      </c>
      <c r="F2929" s="70">
        <v>0.0</v>
      </c>
      <c r="G2929" s="70">
        <v>0.0</v>
      </c>
      <c r="H2929" s="70" t="s">
        <v>28870</v>
      </c>
      <c r="I2929" s="70">
        <v>3103.0</v>
      </c>
      <c r="J2929" s="70" t="s">
        <v>28868</v>
      </c>
      <c r="K2929" s="70" t="s">
        <v>28869</v>
      </c>
      <c r="W2929" s="70" t="s">
        <v>31264</v>
      </c>
      <c r="AA2929" s="70" t="s">
        <v>28872</v>
      </c>
      <c r="AI2929" s="70" t="s">
        <v>28873</v>
      </c>
      <c r="AJ2929" s="70" t="s">
        <v>28874</v>
      </c>
      <c r="AK2929" s="70">
        <v>2017.0</v>
      </c>
      <c r="AL2929" s="70" t="s">
        <v>28875</v>
      </c>
      <c r="AN2929" s="70">
        <v>347.0</v>
      </c>
      <c r="AO2929" s="70">
        <v>352.0</v>
      </c>
      <c r="AP2929" s="70">
        <v>5.0</v>
      </c>
      <c r="AQ2929" s="70">
        <v>6.0</v>
      </c>
      <c r="AR2929" s="75" t="s">
        <v>28876</v>
      </c>
      <c r="AS2929" s="70" t="s">
        <v>22525</v>
      </c>
      <c r="AU2929" s="70" t="s">
        <v>237</v>
      </c>
      <c r="AV2929" s="70" t="s">
        <v>28877</v>
      </c>
      <c r="AZ2929" s="70">
        <v>1088.0</v>
      </c>
    </row>
    <row r="2930" ht="22.5" customHeight="1">
      <c r="A2930" s="70" t="str">
        <f t="shared" si="1"/>
        <v>Excluded</v>
      </c>
      <c r="B2930" s="70">
        <f t="shared" si="2"/>
        <v>0</v>
      </c>
      <c r="C2930" s="70">
        <v>0.0</v>
      </c>
      <c r="D2930" s="70">
        <v>0.0</v>
      </c>
      <c r="E2930" s="70">
        <v>0.0</v>
      </c>
      <c r="F2930" s="70">
        <v>0.0</v>
      </c>
      <c r="G2930" s="70">
        <v>0.0</v>
      </c>
      <c r="H2930" s="70" t="s">
        <v>22563</v>
      </c>
      <c r="I2930" s="70">
        <v>2493.0</v>
      </c>
      <c r="J2930" s="70" t="s">
        <v>22561</v>
      </c>
      <c r="K2930" s="70" t="s">
        <v>22562</v>
      </c>
      <c r="W2930" s="70" t="s">
        <v>31265</v>
      </c>
      <c r="AA2930" s="70" t="s">
        <v>22565</v>
      </c>
      <c r="AI2930" s="70" t="s">
        <v>22566</v>
      </c>
      <c r="AJ2930" s="70" t="s">
        <v>22567</v>
      </c>
      <c r="AK2930" s="70">
        <v>2024.0</v>
      </c>
      <c r="AL2930" s="70" t="s">
        <v>22568</v>
      </c>
      <c r="AN2930" s="70">
        <v>4475.0</v>
      </c>
      <c r="AO2930" s="70">
        <v>4487.0</v>
      </c>
      <c r="AP2930" s="70">
        <v>12.0</v>
      </c>
      <c r="AQ2930" s="70">
        <v>0.0</v>
      </c>
      <c r="AR2930" s="75" t="s">
        <v>22569</v>
      </c>
      <c r="AS2930" s="70" t="s">
        <v>22525</v>
      </c>
      <c r="AU2930" s="70" t="s">
        <v>237</v>
      </c>
      <c r="AV2930" s="70" t="s">
        <v>22570</v>
      </c>
      <c r="AX2930" s="70">
        <v>0.0</v>
      </c>
      <c r="AY2930" s="70" t="s">
        <v>24</v>
      </c>
      <c r="AZ2930" s="70">
        <v>2250.0</v>
      </c>
    </row>
    <row r="2931" ht="22.5" customHeight="1">
      <c r="A2931" s="70" t="str">
        <f t="shared" si="1"/>
        <v>Excluded</v>
      </c>
      <c r="B2931" s="70">
        <f t="shared" si="2"/>
        <v>0</v>
      </c>
      <c r="C2931" s="70">
        <v>0.0</v>
      </c>
      <c r="D2931" s="70">
        <v>0.0</v>
      </c>
      <c r="E2931" s="70">
        <v>0.0</v>
      </c>
      <c r="F2931" s="70">
        <v>0.0</v>
      </c>
      <c r="G2931" s="70">
        <v>0.0</v>
      </c>
      <c r="H2931" s="70" t="s">
        <v>27759</v>
      </c>
      <c r="I2931" s="70">
        <v>2995.0</v>
      </c>
      <c r="J2931" s="70" t="s">
        <v>27757</v>
      </c>
      <c r="K2931" s="70" t="s">
        <v>27758</v>
      </c>
      <c r="W2931" s="70" t="s">
        <v>31266</v>
      </c>
      <c r="AA2931" s="70" t="s">
        <v>27761</v>
      </c>
      <c r="AI2931" s="70" t="s">
        <v>27762</v>
      </c>
      <c r="AJ2931" s="70" t="s">
        <v>27763</v>
      </c>
      <c r="AK2931" s="70">
        <v>2020.0</v>
      </c>
      <c r="AL2931" s="70" t="s">
        <v>23986</v>
      </c>
      <c r="AN2931" s="70">
        <v>5985.0</v>
      </c>
      <c r="AO2931" s="70">
        <v>5991.0</v>
      </c>
      <c r="AP2931" s="70">
        <v>6.0</v>
      </c>
      <c r="AQ2931" s="70">
        <v>4.0</v>
      </c>
      <c r="AR2931" s="75" t="s">
        <v>27764</v>
      </c>
      <c r="AS2931" s="70" t="s">
        <v>22525</v>
      </c>
      <c r="AT2931" s="70" t="s">
        <v>22643</v>
      </c>
      <c r="AU2931" s="70" t="s">
        <v>237</v>
      </c>
      <c r="AV2931" s="70" t="s">
        <v>27765</v>
      </c>
      <c r="AZ2931" s="70">
        <v>214.0</v>
      </c>
    </row>
    <row r="2932" ht="22.5" customHeight="1">
      <c r="A2932" s="70" t="str">
        <f t="shared" si="1"/>
        <v>Excluded</v>
      </c>
      <c r="B2932" s="70">
        <f t="shared" si="2"/>
        <v>0</v>
      </c>
      <c r="C2932" s="70">
        <v>0.0</v>
      </c>
      <c r="D2932" s="70">
        <v>0.0</v>
      </c>
      <c r="E2932" s="70">
        <v>0.0</v>
      </c>
      <c r="F2932" s="70">
        <v>0.0</v>
      </c>
      <c r="G2932" s="70">
        <v>0.0</v>
      </c>
      <c r="H2932" s="70" t="s">
        <v>23981</v>
      </c>
      <c r="I2932" s="70">
        <v>2628.0</v>
      </c>
      <c r="J2932" s="70" t="s">
        <v>23979</v>
      </c>
      <c r="K2932" s="70" t="s">
        <v>23980</v>
      </c>
      <c r="W2932" s="70" t="s">
        <v>31267</v>
      </c>
      <c r="AA2932" s="70" t="s">
        <v>23983</v>
      </c>
      <c r="AI2932" s="70" t="s">
        <v>23984</v>
      </c>
      <c r="AJ2932" s="70" t="s">
        <v>23985</v>
      </c>
      <c r="AK2932" s="70">
        <v>2024.0</v>
      </c>
      <c r="AL2932" s="70" t="s">
        <v>23986</v>
      </c>
      <c r="AN2932" s="70">
        <v>2262.0</v>
      </c>
      <c r="AO2932" s="70">
        <v>2273.0</v>
      </c>
      <c r="AP2932" s="70">
        <v>11.0</v>
      </c>
      <c r="AQ2932" s="70">
        <v>2.0</v>
      </c>
      <c r="AR2932" s="75" t="s">
        <v>23987</v>
      </c>
      <c r="AS2932" s="70" t="s">
        <v>22525</v>
      </c>
      <c r="AT2932" s="70" t="s">
        <v>22622</v>
      </c>
      <c r="AU2932" s="70" t="s">
        <v>237</v>
      </c>
      <c r="AV2932" s="70" t="s">
        <v>23988</v>
      </c>
      <c r="AX2932" s="70">
        <v>0.0</v>
      </c>
      <c r="AY2932" s="70" t="s">
        <v>24</v>
      </c>
      <c r="AZ2932" s="70">
        <v>2698.0</v>
      </c>
    </row>
    <row r="2933" ht="22.5" customHeight="1">
      <c r="A2933" s="70" t="str">
        <f t="shared" si="1"/>
        <v>Excluded</v>
      </c>
      <c r="B2933" s="70">
        <f t="shared" si="2"/>
        <v>0</v>
      </c>
      <c r="C2933" s="70">
        <v>0.0</v>
      </c>
      <c r="D2933" s="70">
        <v>0.0</v>
      </c>
      <c r="E2933" s="70">
        <v>0.0</v>
      </c>
      <c r="F2933" s="70">
        <v>0.0</v>
      </c>
      <c r="G2933" s="70">
        <v>0.0</v>
      </c>
      <c r="H2933" s="70" t="s">
        <v>26468</v>
      </c>
      <c r="I2933" s="70">
        <v>2869.0</v>
      </c>
      <c r="J2933" s="70" t="s">
        <v>26466</v>
      </c>
      <c r="K2933" s="70" t="s">
        <v>26467</v>
      </c>
      <c r="W2933" s="70" t="s">
        <v>31268</v>
      </c>
      <c r="AA2933" s="70" t="s">
        <v>26470</v>
      </c>
      <c r="AI2933" s="70" t="s">
        <v>26471</v>
      </c>
      <c r="AJ2933" s="70" t="s">
        <v>26472</v>
      </c>
      <c r="AK2933" s="70">
        <v>2022.0</v>
      </c>
      <c r="AL2933" s="70" t="s">
        <v>26473</v>
      </c>
      <c r="AN2933" s="70">
        <v>265.0</v>
      </c>
      <c r="AO2933" s="70">
        <v>274.0</v>
      </c>
      <c r="AP2933" s="70">
        <v>9.0</v>
      </c>
      <c r="AQ2933" s="70">
        <v>1.0</v>
      </c>
      <c r="AR2933" s="75" t="s">
        <v>26474</v>
      </c>
      <c r="AS2933" s="70" t="s">
        <v>22525</v>
      </c>
      <c r="AT2933" s="70" t="s">
        <v>22643</v>
      </c>
      <c r="AU2933" s="70" t="s">
        <v>237</v>
      </c>
      <c r="AV2933" s="70" t="s">
        <v>26475</v>
      </c>
      <c r="AZ2933" s="70">
        <v>767.0</v>
      </c>
    </row>
    <row r="2934" ht="22.5" customHeight="1">
      <c r="A2934" s="70" t="str">
        <f t="shared" si="1"/>
        <v>Excluded</v>
      </c>
      <c r="B2934" s="70">
        <f t="shared" si="2"/>
        <v>0</v>
      </c>
      <c r="C2934" s="70">
        <v>0.0</v>
      </c>
      <c r="D2934" s="70">
        <v>0.0</v>
      </c>
      <c r="E2934" s="70">
        <v>0.0</v>
      </c>
      <c r="F2934" s="70">
        <v>0.0</v>
      </c>
      <c r="G2934" s="70">
        <v>0.0</v>
      </c>
      <c r="H2934" s="70" t="s">
        <v>27955</v>
      </c>
      <c r="I2934" s="70">
        <v>3014.0</v>
      </c>
      <c r="J2934" s="70" t="s">
        <v>27953</v>
      </c>
      <c r="K2934" s="70" t="s">
        <v>27954</v>
      </c>
      <c r="W2934" s="70" t="s">
        <v>31269</v>
      </c>
      <c r="AA2934" s="70" t="s">
        <v>27957</v>
      </c>
      <c r="AI2934" s="70" t="s">
        <v>27958</v>
      </c>
      <c r="AJ2934" s="70" t="s">
        <v>27959</v>
      </c>
      <c r="AK2934" s="70">
        <v>2021.0</v>
      </c>
      <c r="AL2934" s="70" t="s">
        <v>25507</v>
      </c>
      <c r="AQ2934" s="70">
        <v>2.0</v>
      </c>
      <c r="AR2934" s="75" t="s">
        <v>27960</v>
      </c>
      <c r="AS2934" s="70" t="s">
        <v>22525</v>
      </c>
      <c r="AT2934" s="70" t="s">
        <v>22622</v>
      </c>
      <c r="AU2934" s="70" t="s">
        <v>237</v>
      </c>
      <c r="AV2934" s="70" t="s">
        <v>27961</v>
      </c>
      <c r="AW2934" s="70" t="s">
        <v>27962</v>
      </c>
      <c r="AZ2934" s="70">
        <v>458.0</v>
      </c>
    </row>
    <row r="2935" ht="22.5" customHeight="1">
      <c r="A2935" s="70" t="str">
        <f t="shared" si="1"/>
        <v>Excluded</v>
      </c>
      <c r="B2935" s="70">
        <f t="shared" si="2"/>
        <v>0</v>
      </c>
      <c r="C2935" s="70">
        <v>0.0</v>
      </c>
      <c r="D2935" s="70">
        <v>0.0</v>
      </c>
      <c r="E2935" s="70">
        <v>0.0</v>
      </c>
      <c r="F2935" s="70">
        <v>0.0</v>
      </c>
      <c r="G2935" s="70">
        <v>0.0</v>
      </c>
      <c r="H2935" s="70" t="s">
        <v>29120</v>
      </c>
      <c r="I2935" s="70">
        <v>3128.0</v>
      </c>
      <c r="J2935" s="70" t="s">
        <v>29118</v>
      </c>
      <c r="K2935" s="70" t="s">
        <v>29119</v>
      </c>
      <c r="W2935" s="70" t="s">
        <v>31270</v>
      </c>
      <c r="AA2935" s="70" t="s">
        <v>29122</v>
      </c>
      <c r="AI2935" s="70" t="s">
        <v>29123</v>
      </c>
      <c r="AJ2935" s="70" t="s">
        <v>29124</v>
      </c>
      <c r="AK2935" s="70">
        <v>2019.0</v>
      </c>
      <c r="AL2935" s="70" t="s">
        <v>29125</v>
      </c>
      <c r="AM2935" s="70">
        <v>4.0</v>
      </c>
      <c r="AQ2935" s="70">
        <v>59.0</v>
      </c>
      <c r="AR2935" s="75" t="s">
        <v>29126</v>
      </c>
      <c r="AS2935" s="70" t="s">
        <v>22525</v>
      </c>
      <c r="AT2935" s="70" t="s">
        <v>22643</v>
      </c>
      <c r="AU2935" s="70" t="s">
        <v>237</v>
      </c>
      <c r="AV2935" s="70" t="s">
        <v>29127</v>
      </c>
      <c r="AW2935" s="70" t="s">
        <v>29128</v>
      </c>
      <c r="AX2935" s="70">
        <v>0.0</v>
      </c>
      <c r="AY2935" s="70" t="s">
        <v>24</v>
      </c>
      <c r="AZ2935" s="70">
        <v>1987.0</v>
      </c>
    </row>
    <row r="2936" ht="22.5" customHeight="1">
      <c r="A2936" s="70" t="str">
        <f t="shared" si="1"/>
        <v>Excluded</v>
      </c>
      <c r="B2936" s="70">
        <f t="shared" si="2"/>
        <v>0</v>
      </c>
      <c r="C2936" s="70">
        <v>0.0</v>
      </c>
      <c r="D2936" s="70">
        <v>0.0</v>
      </c>
      <c r="E2936" s="70">
        <v>0.0</v>
      </c>
      <c r="F2936" s="70">
        <v>0.0</v>
      </c>
      <c r="G2936" s="70">
        <v>0.0</v>
      </c>
      <c r="H2936" s="70" t="s">
        <v>26499</v>
      </c>
      <c r="I2936" s="70">
        <v>2872.0</v>
      </c>
      <c r="J2936" s="70" t="s">
        <v>26497</v>
      </c>
      <c r="K2936" s="70" t="s">
        <v>26498</v>
      </c>
      <c r="W2936" s="70" t="s">
        <v>31271</v>
      </c>
      <c r="AA2936" s="70" t="s">
        <v>26501</v>
      </c>
      <c r="AI2936" s="70" t="s">
        <v>31272</v>
      </c>
      <c r="AJ2936" s="70" t="s">
        <v>26503</v>
      </c>
      <c r="AK2936" s="70">
        <v>2022.0</v>
      </c>
      <c r="AL2936" s="70" t="s">
        <v>22889</v>
      </c>
      <c r="AM2936" s="70">
        <v>26.0</v>
      </c>
      <c r="AQ2936" s="70">
        <v>44.0</v>
      </c>
      <c r="AR2936" s="75" t="s">
        <v>26504</v>
      </c>
      <c r="AS2936" s="70" t="s">
        <v>22525</v>
      </c>
      <c r="AT2936" s="70" t="s">
        <v>22622</v>
      </c>
      <c r="AU2936" s="70" t="s">
        <v>237</v>
      </c>
      <c r="AV2936" s="70" t="s">
        <v>26505</v>
      </c>
      <c r="AW2936" s="70" t="s">
        <v>26506</v>
      </c>
      <c r="AZ2936" s="70">
        <v>1184.0</v>
      </c>
    </row>
    <row r="2937" ht="22.5" customHeight="1">
      <c r="A2937" s="70" t="str">
        <f t="shared" si="1"/>
        <v>Excluded</v>
      </c>
      <c r="B2937" s="70">
        <f t="shared" si="2"/>
        <v>0</v>
      </c>
      <c r="C2937" s="70">
        <v>0.0</v>
      </c>
      <c r="D2937" s="70">
        <v>0.0</v>
      </c>
      <c r="E2937" s="70">
        <v>0.0</v>
      </c>
      <c r="F2937" s="70">
        <v>0.0</v>
      </c>
      <c r="G2937" s="70">
        <v>0.0</v>
      </c>
      <c r="H2937" s="70" t="s">
        <v>26051</v>
      </c>
      <c r="I2937" s="70">
        <v>2828.0</v>
      </c>
      <c r="J2937" s="70" t="s">
        <v>26049</v>
      </c>
      <c r="K2937" s="70" t="s">
        <v>26050</v>
      </c>
      <c r="W2937" s="70" t="s">
        <v>31273</v>
      </c>
      <c r="AA2937" s="70" t="s">
        <v>26053</v>
      </c>
      <c r="AI2937" s="70" t="s">
        <v>26054</v>
      </c>
      <c r="AJ2937" s="70" t="s">
        <v>26055</v>
      </c>
      <c r="AK2937" s="70">
        <v>2022.0</v>
      </c>
      <c r="AL2937" s="70" t="s">
        <v>22889</v>
      </c>
      <c r="AM2937" s="70">
        <v>97.0</v>
      </c>
      <c r="AQ2937" s="70">
        <v>7.0</v>
      </c>
      <c r="AR2937" s="75" t="s">
        <v>26056</v>
      </c>
      <c r="AS2937" s="70" t="s">
        <v>22525</v>
      </c>
      <c r="AT2937" s="70" t="s">
        <v>22643</v>
      </c>
      <c r="AU2937" s="70" t="s">
        <v>237</v>
      </c>
      <c r="AV2937" s="70" t="s">
        <v>26057</v>
      </c>
      <c r="AW2937" s="70" t="s">
        <v>26058</v>
      </c>
      <c r="AZ2937" s="70">
        <v>318.0</v>
      </c>
    </row>
    <row r="2938" ht="22.5" customHeight="1">
      <c r="A2938" s="70" t="str">
        <f t="shared" si="1"/>
        <v>Excluded</v>
      </c>
      <c r="B2938" s="70">
        <f t="shared" si="2"/>
        <v>0</v>
      </c>
      <c r="C2938" s="70">
        <v>0.0</v>
      </c>
      <c r="D2938" s="70">
        <v>0.0</v>
      </c>
      <c r="E2938" s="70">
        <v>0.0</v>
      </c>
      <c r="F2938" s="70">
        <v>0.0</v>
      </c>
      <c r="G2938" s="70">
        <v>0.0</v>
      </c>
      <c r="H2938" s="70" t="s">
        <v>24408</v>
      </c>
      <c r="I2938" s="70">
        <v>2669.0</v>
      </c>
      <c r="J2938" s="70" t="s">
        <v>24406</v>
      </c>
      <c r="K2938" s="70" t="s">
        <v>24407</v>
      </c>
      <c r="W2938" s="70" t="s">
        <v>31274</v>
      </c>
      <c r="AA2938" s="70" t="s">
        <v>24410</v>
      </c>
      <c r="AI2938" s="70" t="s">
        <v>24411</v>
      </c>
      <c r="AJ2938" s="70" t="s">
        <v>24412</v>
      </c>
      <c r="AK2938" s="70">
        <v>2023.0</v>
      </c>
      <c r="AL2938" s="70" t="s">
        <v>22889</v>
      </c>
      <c r="AM2938" s="70">
        <v>66.0</v>
      </c>
      <c r="AQ2938" s="70">
        <v>7.0</v>
      </c>
      <c r="AR2938" s="75" t="s">
        <v>24413</v>
      </c>
      <c r="AS2938" s="70" t="s">
        <v>22525</v>
      </c>
      <c r="AT2938" s="70" t="s">
        <v>22622</v>
      </c>
      <c r="AU2938" s="70" t="s">
        <v>237</v>
      </c>
      <c r="AV2938" s="70" t="s">
        <v>24414</v>
      </c>
      <c r="AW2938" s="70" t="s">
        <v>24415</v>
      </c>
      <c r="AX2938" s="70">
        <v>0.0</v>
      </c>
      <c r="AY2938" s="70" t="s">
        <v>24</v>
      </c>
      <c r="AZ2938" s="70">
        <v>2559.0</v>
      </c>
    </row>
    <row r="2939" ht="22.5" customHeight="1">
      <c r="A2939" s="70" t="str">
        <f t="shared" si="1"/>
        <v>Excluded</v>
      </c>
      <c r="B2939" s="70">
        <f t="shared" si="2"/>
        <v>0</v>
      </c>
      <c r="C2939" s="70">
        <v>0.0</v>
      </c>
      <c r="D2939" s="70">
        <v>0.0</v>
      </c>
      <c r="E2939" s="70">
        <v>0.0</v>
      </c>
      <c r="F2939" s="70">
        <v>0.0</v>
      </c>
      <c r="G2939" s="70">
        <v>0.0</v>
      </c>
      <c r="H2939" s="70" t="s">
        <v>25109</v>
      </c>
      <c r="I2939" s="70">
        <v>2737.0</v>
      </c>
      <c r="J2939" s="70" t="s">
        <v>25107</v>
      </c>
      <c r="K2939" s="70" t="s">
        <v>25108</v>
      </c>
      <c r="W2939" s="70" t="s">
        <v>31275</v>
      </c>
      <c r="AA2939" s="70" t="s">
        <v>25111</v>
      </c>
      <c r="AI2939" s="70" t="s">
        <v>25112</v>
      </c>
      <c r="AJ2939" s="70" t="s">
        <v>25113</v>
      </c>
      <c r="AK2939" s="70">
        <v>2023.0</v>
      </c>
      <c r="AL2939" s="70" t="s">
        <v>22889</v>
      </c>
      <c r="AM2939" s="70">
        <v>127.0</v>
      </c>
      <c r="AQ2939" s="70">
        <v>40.0</v>
      </c>
      <c r="AR2939" s="75" t="s">
        <v>25114</v>
      </c>
      <c r="AS2939" s="70" t="s">
        <v>22525</v>
      </c>
      <c r="AT2939" s="70" t="s">
        <v>22622</v>
      </c>
      <c r="AU2939" s="70" t="s">
        <v>237</v>
      </c>
      <c r="AV2939" s="70" t="s">
        <v>25115</v>
      </c>
      <c r="AW2939" s="70" t="s">
        <v>25116</v>
      </c>
      <c r="AX2939" s="70">
        <v>0.0</v>
      </c>
      <c r="AY2939" s="70" t="s">
        <v>24</v>
      </c>
      <c r="AZ2939" s="70">
        <v>2498.0</v>
      </c>
    </row>
    <row r="2940" ht="22.5" customHeight="1">
      <c r="A2940" s="70" t="str">
        <f t="shared" si="1"/>
        <v>Excluded</v>
      </c>
      <c r="B2940" s="70">
        <f t="shared" si="2"/>
        <v>0</v>
      </c>
      <c r="C2940" s="70">
        <v>0.0</v>
      </c>
      <c r="D2940" s="70">
        <v>0.0</v>
      </c>
      <c r="E2940" s="70">
        <v>0.0</v>
      </c>
      <c r="F2940" s="70">
        <v>0.0</v>
      </c>
      <c r="G2940" s="70">
        <v>0.0</v>
      </c>
      <c r="H2940" s="70" t="s">
        <v>24458</v>
      </c>
      <c r="I2940" s="70">
        <v>2674.0</v>
      </c>
      <c r="J2940" s="70" t="s">
        <v>24456</v>
      </c>
      <c r="K2940" s="70" t="s">
        <v>24457</v>
      </c>
      <c r="W2940" s="70" t="s">
        <v>31276</v>
      </c>
      <c r="AA2940" s="70" t="s">
        <v>24460</v>
      </c>
      <c r="AI2940" s="70" t="s">
        <v>24461</v>
      </c>
      <c r="AJ2940" s="70" t="s">
        <v>24462</v>
      </c>
      <c r="AK2940" s="70">
        <v>2023.0</v>
      </c>
      <c r="AL2940" s="70" t="s">
        <v>22889</v>
      </c>
      <c r="AM2940" s="70">
        <v>124.0</v>
      </c>
      <c r="AQ2940" s="70">
        <v>11.0</v>
      </c>
      <c r="AR2940" s="75" t="s">
        <v>24463</v>
      </c>
      <c r="AS2940" s="70" t="s">
        <v>22525</v>
      </c>
      <c r="AT2940" s="70" t="s">
        <v>22622</v>
      </c>
      <c r="AU2940" s="70" t="s">
        <v>237</v>
      </c>
      <c r="AV2940" s="70" t="s">
        <v>24464</v>
      </c>
      <c r="AW2940" s="70" t="s">
        <v>24465</v>
      </c>
      <c r="AX2940" s="70">
        <v>0.0</v>
      </c>
      <c r="AY2940" s="70" t="s">
        <v>24</v>
      </c>
      <c r="AZ2940" s="70">
        <v>2227.0</v>
      </c>
    </row>
    <row r="2941" ht="22.5" customHeight="1">
      <c r="A2941" s="70" t="str">
        <f t="shared" si="1"/>
        <v>Excluded</v>
      </c>
      <c r="B2941" s="70">
        <f t="shared" si="2"/>
        <v>0</v>
      </c>
      <c r="C2941" s="70">
        <v>0.0</v>
      </c>
      <c r="D2941" s="70">
        <v>0.0</v>
      </c>
      <c r="E2941" s="70">
        <v>0.0</v>
      </c>
      <c r="F2941" s="70">
        <v>0.0</v>
      </c>
      <c r="G2941" s="70">
        <v>0.0</v>
      </c>
      <c r="H2941" s="70" t="s">
        <v>22884</v>
      </c>
      <c r="I2941" s="70">
        <v>2523.0</v>
      </c>
      <c r="J2941" s="70" t="s">
        <v>22882</v>
      </c>
      <c r="K2941" s="70" t="s">
        <v>22883</v>
      </c>
      <c r="W2941" s="70" t="s">
        <v>31277</v>
      </c>
      <c r="AA2941" s="70" t="s">
        <v>22886</v>
      </c>
      <c r="AI2941" s="70" t="s">
        <v>22887</v>
      </c>
      <c r="AJ2941" s="70" t="s">
        <v>22888</v>
      </c>
      <c r="AK2941" s="70">
        <v>2024.0</v>
      </c>
      <c r="AL2941" s="70" t="s">
        <v>22889</v>
      </c>
      <c r="AM2941" s="70">
        <v>32.0</v>
      </c>
      <c r="AQ2941" s="70">
        <v>1.0</v>
      </c>
      <c r="AR2941" s="75" t="s">
        <v>22890</v>
      </c>
      <c r="AS2941" s="70" t="s">
        <v>22525</v>
      </c>
      <c r="AT2941" s="70" t="s">
        <v>22643</v>
      </c>
      <c r="AU2941" s="70" t="s">
        <v>237</v>
      </c>
      <c r="AV2941" s="70" t="s">
        <v>22891</v>
      </c>
      <c r="AW2941" s="70" t="s">
        <v>22892</v>
      </c>
      <c r="AZ2941" s="70">
        <v>402.0</v>
      </c>
    </row>
    <row r="2942" ht="22.5" customHeight="1">
      <c r="A2942" s="70" t="str">
        <f t="shared" si="1"/>
        <v>Excluded</v>
      </c>
      <c r="B2942" s="70">
        <f t="shared" si="2"/>
        <v>0</v>
      </c>
      <c r="C2942" s="70">
        <v>0.0</v>
      </c>
      <c r="D2942" s="70">
        <v>0.0</v>
      </c>
      <c r="E2942" s="70">
        <v>0.0</v>
      </c>
      <c r="F2942" s="70">
        <v>0.0</v>
      </c>
      <c r="G2942" s="70">
        <v>0.0</v>
      </c>
      <c r="H2942" s="70" t="s">
        <v>22929</v>
      </c>
      <c r="I2942" s="70">
        <v>2527.0</v>
      </c>
      <c r="J2942" s="70" t="s">
        <v>22927</v>
      </c>
      <c r="K2942" s="70" t="s">
        <v>22928</v>
      </c>
      <c r="W2942" s="70" t="s">
        <v>31278</v>
      </c>
      <c r="AA2942" s="70" t="s">
        <v>22931</v>
      </c>
      <c r="AI2942" s="70" t="s">
        <v>22932</v>
      </c>
      <c r="AJ2942" s="70" t="s">
        <v>22933</v>
      </c>
      <c r="AK2942" s="70">
        <v>2024.0</v>
      </c>
      <c r="AL2942" s="70" t="s">
        <v>22934</v>
      </c>
      <c r="AM2942" s="70">
        <v>123.0</v>
      </c>
      <c r="AQ2942" s="70">
        <v>2.0</v>
      </c>
      <c r="AR2942" s="75" t="s">
        <v>22935</v>
      </c>
      <c r="AS2942" s="70" t="s">
        <v>22525</v>
      </c>
      <c r="AT2942" s="70" t="s">
        <v>22622</v>
      </c>
      <c r="AU2942" s="70" t="s">
        <v>237</v>
      </c>
      <c r="AV2942" s="70" t="s">
        <v>22936</v>
      </c>
      <c r="AW2942" s="70" t="s">
        <v>22937</v>
      </c>
      <c r="AX2942" s="70">
        <v>0.0</v>
      </c>
      <c r="AY2942" s="70" t="s">
        <v>24</v>
      </c>
      <c r="AZ2942" s="70">
        <v>1778.0</v>
      </c>
    </row>
    <row r="2943" ht="22.5" customHeight="1">
      <c r="A2943" s="70" t="str">
        <f t="shared" si="1"/>
        <v>Excluded</v>
      </c>
      <c r="B2943" s="70">
        <f t="shared" si="2"/>
        <v>0</v>
      </c>
      <c r="C2943" s="70">
        <v>0.0</v>
      </c>
      <c r="D2943" s="70">
        <v>0.0</v>
      </c>
      <c r="E2943" s="70">
        <v>0.0</v>
      </c>
      <c r="F2943" s="70">
        <v>0.0</v>
      </c>
      <c r="G2943" s="70">
        <v>0.0</v>
      </c>
      <c r="H2943" s="70" t="s">
        <v>23026</v>
      </c>
      <c r="I2943" s="70">
        <v>2536.0</v>
      </c>
      <c r="J2943" s="70" t="s">
        <v>23024</v>
      </c>
      <c r="K2943" s="70" t="s">
        <v>31279</v>
      </c>
      <c r="W2943" s="70" t="s">
        <v>31280</v>
      </c>
      <c r="AA2943" s="70" t="s">
        <v>23028</v>
      </c>
      <c r="AI2943" s="70" t="s">
        <v>23029</v>
      </c>
      <c r="AJ2943" s="70" t="s">
        <v>23030</v>
      </c>
      <c r="AK2943" s="70">
        <v>2024.0</v>
      </c>
      <c r="AL2943" s="70" t="s">
        <v>23031</v>
      </c>
      <c r="AN2943" s="70">
        <v>2035.0</v>
      </c>
      <c r="AO2943" s="70">
        <v>2058.0</v>
      </c>
      <c r="AP2943" s="70">
        <v>23.0</v>
      </c>
      <c r="AQ2943" s="70">
        <v>0.0</v>
      </c>
      <c r="AR2943" s="75" t="s">
        <v>23032</v>
      </c>
      <c r="AS2943" s="70" t="s">
        <v>22525</v>
      </c>
      <c r="AU2943" s="70" t="s">
        <v>237</v>
      </c>
      <c r="AV2943" s="70" t="s">
        <v>23033</v>
      </c>
      <c r="AW2943" s="70" t="s">
        <v>23034</v>
      </c>
      <c r="AX2943" s="70">
        <v>0.0</v>
      </c>
      <c r="AY2943" s="70" t="s">
        <v>24</v>
      </c>
      <c r="AZ2943" s="70">
        <v>1696.0</v>
      </c>
    </row>
    <row r="2944" ht="22.5" customHeight="1">
      <c r="A2944" s="70" t="str">
        <f t="shared" si="1"/>
        <v>Excluded</v>
      </c>
      <c r="B2944" s="70">
        <f t="shared" si="2"/>
        <v>0</v>
      </c>
      <c r="C2944" s="70">
        <v>0.0</v>
      </c>
      <c r="D2944" s="70">
        <v>0.0</v>
      </c>
      <c r="E2944" s="70">
        <v>0.0</v>
      </c>
      <c r="F2944" s="70">
        <v>0.0</v>
      </c>
      <c r="G2944" s="70">
        <v>0.0</v>
      </c>
      <c r="H2944" s="70" t="s">
        <v>26579</v>
      </c>
      <c r="I2944" s="70">
        <v>2880.0</v>
      </c>
      <c r="J2944" s="70" t="s">
        <v>26577</v>
      </c>
      <c r="K2944" s="70" t="s">
        <v>26578</v>
      </c>
      <c r="W2944" s="70" t="s">
        <v>31281</v>
      </c>
      <c r="AA2944" s="70" t="s">
        <v>26581</v>
      </c>
      <c r="AI2944" s="70" t="s">
        <v>26582</v>
      </c>
      <c r="AJ2944" s="70" t="s">
        <v>26583</v>
      </c>
      <c r="AK2944" s="70">
        <v>2022.0</v>
      </c>
      <c r="AL2944" s="70" t="s">
        <v>26584</v>
      </c>
      <c r="AN2944" s="70">
        <v>1399.0</v>
      </c>
      <c r="AO2944" s="70">
        <v>1420.0</v>
      </c>
      <c r="AP2944" s="70">
        <v>21.0</v>
      </c>
      <c r="AQ2944" s="70">
        <v>14.0</v>
      </c>
      <c r="AR2944" s="75" t="s">
        <v>26585</v>
      </c>
      <c r="AS2944" s="70" t="s">
        <v>22525</v>
      </c>
      <c r="AT2944" s="70" t="s">
        <v>23606</v>
      </c>
      <c r="AU2944" s="70" t="s">
        <v>237</v>
      </c>
      <c r="AV2944" s="70" t="s">
        <v>26586</v>
      </c>
      <c r="AZ2944" s="70">
        <v>534.0</v>
      </c>
    </row>
    <row r="2945" ht="22.5" customHeight="1">
      <c r="A2945" s="70" t="str">
        <f t="shared" si="1"/>
        <v>Excluded</v>
      </c>
      <c r="B2945" s="70">
        <f t="shared" si="2"/>
        <v>0</v>
      </c>
      <c r="C2945" s="70">
        <v>0.0</v>
      </c>
      <c r="D2945" s="70">
        <v>0.0</v>
      </c>
      <c r="E2945" s="70">
        <v>0.0</v>
      </c>
      <c r="F2945" s="70">
        <v>0.0</v>
      </c>
      <c r="G2945" s="70">
        <v>0.0</v>
      </c>
      <c r="H2945" s="70" t="s">
        <v>22043</v>
      </c>
      <c r="I2945" s="70">
        <v>2431.0</v>
      </c>
      <c r="J2945" s="70" t="s">
        <v>22041</v>
      </c>
      <c r="K2945" s="70" t="s">
        <v>22042</v>
      </c>
      <c r="L2945" s="70" t="s">
        <v>19775</v>
      </c>
      <c r="N2945" s="70" t="s">
        <v>19776</v>
      </c>
      <c r="P2945" s="76">
        <v>45191.0</v>
      </c>
      <c r="U2945" s="70" t="s">
        <v>19778</v>
      </c>
      <c r="W2945" s="70" t="s">
        <v>22045</v>
      </c>
      <c r="Z2945" s="75" t="s">
        <v>22046</v>
      </c>
      <c r="AA2945" s="70" t="s">
        <v>22047</v>
      </c>
      <c r="AE2945" s="70">
        <v>40.0</v>
      </c>
      <c r="AW2945" s="70" t="s">
        <v>22048</v>
      </c>
      <c r="AZ2945" s="70">
        <v>1136.0</v>
      </c>
    </row>
    <row r="2946" ht="22.5" customHeight="1">
      <c r="A2946" s="70" t="str">
        <f t="shared" si="1"/>
        <v>Excluded</v>
      </c>
      <c r="B2946" s="70">
        <f t="shared" si="2"/>
        <v>0</v>
      </c>
      <c r="C2946" s="70">
        <v>0.0</v>
      </c>
      <c r="D2946" s="70">
        <v>0.0</v>
      </c>
      <c r="E2946" s="70">
        <v>0.0</v>
      </c>
      <c r="F2946" s="70">
        <v>0.0</v>
      </c>
      <c r="G2946" s="70">
        <v>0.0</v>
      </c>
      <c r="H2946" s="70" t="s">
        <v>19777</v>
      </c>
      <c r="I2946" s="70">
        <v>2176.0</v>
      </c>
      <c r="J2946" s="70" t="s">
        <v>31282</v>
      </c>
      <c r="K2946" s="70" t="s">
        <v>19774</v>
      </c>
      <c r="L2946" s="70" t="s">
        <v>19775</v>
      </c>
      <c r="N2946" s="70" t="s">
        <v>19776</v>
      </c>
      <c r="P2946" s="76">
        <v>45191.0</v>
      </c>
      <c r="U2946" s="70" t="s">
        <v>19778</v>
      </c>
      <c r="W2946" s="70" t="s">
        <v>19780</v>
      </c>
      <c r="Z2946" s="75" t="s">
        <v>19781</v>
      </c>
      <c r="AA2946" s="70" t="s">
        <v>19782</v>
      </c>
      <c r="AC2946" s="70">
        <v>8.0</v>
      </c>
      <c r="AE2946" s="70">
        <v>24.0</v>
      </c>
      <c r="AW2946" s="70" t="s">
        <v>19783</v>
      </c>
      <c r="AZ2946" s="70">
        <v>884.0</v>
      </c>
    </row>
    <row r="2947" ht="22.5" customHeight="1">
      <c r="A2947" s="70" t="str">
        <f t="shared" si="1"/>
        <v>Excluded</v>
      </c>
      <c r="B2947" s="70">
        <f t="shared" si="2"/>
        <v>0</v>
      </c>
      <c r="C2947" s="70">
        <v>0.0</v>
      </c>
      <c r="D2947" s="70">
        <v>0.0</v>
      </c>
      <c r="E2947" s="70">
        <v>0.0</v>
      </c>
      <c r="F2947" s="70">
        <v>0.0</v>
      </c>
      <c r="G2947" s="70">
        <v>0.0</v>
      </c>
      <c r="H2947" s="70" t="s">
        <v>21068</v>
      </c>
      <c r="I2947" s="70">
        <v>2320.0</v>
      </c>
      <c r="J2947" s="70" t="s">
        <v>21064</v>
      </c>
      <c r="K2947" s="70" t="s">
        <v>21065</v>
      </c>
      <c r="L2947" s="70" t="s">
        <v>21066</v>
      </c>
      <c r="N2947" s="70" t="s">
        <v>21067</v>
      </c>
      <c r="P2947" s="76">
        <v>45191.0</v>
      </c>
      <c r="U2947" s="70" t="s">
        <v>19778</v>
      </c>
      <c r="W2947" s="70" t="s">
        <v>31283</v>
      </c>
      <c r="Y2947" s="70" t="s">
        <v>31284</v>
      </c>
      <c r="Z2947" s="75" t="s">
        <v>21072</v>
      </c>
      <c r="AA2947" s="70" t="s">
        <v>21073</v>
      </c>
      <c r="AC2947" s="70">
        <v>2.0</v>
      </c>
      <c r="AE2947" s="70">
        <v>28.0</v>
      </c>
      <c r="AW2947" s="70" t="s">
        <v>21074</v>
      </c>
      <c r="AX2947" s="70">
        <v>1.0</v>
      </c>
      <c r="AZ2947" s="70">
        <v>1631.0</v>
      </c>
    </row>
    <row r="2948" ht="22.5" customHeight="1">
      <c r="A2948" s="70" t="str">
        <f t="shared" si="1"/>
        <v>Excluded</v>
      </c>
      <c r="B2948" s="70">
        <f t="shared" si="2"/>
        <v>0</v>
      </c>
      <c r="C2948" s="70">
        <v>0.0</v>
      </c>
      <c r="D2948" s="70">
        <v>0.0</v>
      </c>
      <c r="E2948" s="70">
        <v>0.0</v>
      </c>
      <c r="F2948" s="70">
        <v>0.0</v>
      </c>
      <c r="G2948" s="70">
        <v>0.0</v>
      </c>
      <c r="H2948" s="70" t="s">
        <v>21656</v>
      </c>
      <c r="I2948" s="70">
        <v>2387.0</v>
      </c>
      <c r="J2948" s="70" t="s">
        <v>21654</v>
      </c>
      <c r="K2948" s="70" t="s">
        <v>21655</v>
      </c>
      <c r="L2948" s="70" t="s">
        <v>21066</v>
      </c>
      <c r="N2948" s="70" t="s">
        <v>21067</v>
      </c>
      <c r="P2948" s="76">
        <v>45191.0</v>
      </c>
      <c r="U2948" s="70" t="s">
        <v>19778</v>
      </c>
      <c r="W2948" s="70" t="s">
        <v>21658</v>
      </c>
      <c r="Y2948" s="70" t="s">
        <v>31285</v>
      </c>
      <c r="Z2948" s="75" t="s">
        <v>21660</v>
      </c>
      <c r="AA2948" s="70" t="s">
        <v>21661</v>
      </c>
      <c r="AE2948" s="70">
        <v>25.0</v>
      </c>
      <c r="AW2948" s="70" t="s">
        <v>21662</v>
      </c>
      <c r="AX2948" s="70">
        <v>0.0</v>
      </c>
      <c r="AY2948" s="70" t="s">
        <v>24</v>
      </c>
      <c r="AZ2948" s="70">
        <v>2815.0</v>
      </c>
    </row>
    <row r="2949" ht="22.5" customHeight="1">
      <c r="A2949" s="70" t="str">
        <f t="shared" si="1"/>
        <v>Excluded</v>
      </c>
      <c r="B2949" s="70">
        <f t="shared" si="2"/>
        <v>0</v>
      </c>
      <c r="C2949" s="70">
        <v>0.0</v>
      </c>
      <c r="D2949" s="70">
        <v>0.0</v>
      </c>
      <c r="E2949" s="70">
        <v>0.0</v>
      </c>
      <c r="F2949" s="70">
        <v>0.0</v>
      </c>
      <c r="G2949" s="70">
        <v>0.0</v>
      </c>
      <c r="H2949" s="70" t="s">
        <v>24870</v>
      </c>
      <c r="I2949" s="70">
        <v>2714.0</v>
      </c>
      <c r="J2949" s="70" t="s">
        <v>24868</v>
      </c>
      <c r="K2949" s="70" t="s">
        <v>31286</v>
      </c>
      <c r="W2949" s="70" t="s">
        <v>31287</v>
      </c>
      <c r="AA2949" s="70" t="s">
        <v>24872</v>
      </c>
      <c r="AI2949" s="70" t="s">
        <v>24873</v>
      </c>
      <c r="AJ2949" s="70" t="s">
        <v>24874</v>
      </c>
      <c r="AK2949" s="70">
        <v>2023.0</v>
      </c>
      <c r="AL2949" s="70" t="s">
        <v>24875</v>
      </c>
      <c r="AN2949" s="70">
        <v>5527.0</v>
      </c>
      <c r="AO2949" s="70">
        <v>5551.0</v>
      </c>
      <c r="AP2949" s="70">
        <v>24.0</v>
      </c>
      <c r="AQ2949" s="70">
        <v>4.0</v>
      </c>
      <c r="AR2949" s="75" t="s">
        <v>24876</v>
      </c>
      <c r="AS2949" s="70" t="s">
        <v>22525</v>
      </c>
      <c r="AU2949" s="70" t="s">
        <v>237</v>
      </c>
      <c r="AV2949" s="70" t="s">
        <v>24877</v>
      </c>
      <c r="AW2949" s="70" t="s">
        <v>24878</v>
      </c>
      <c r="AX2949" s="70">
        <v>0.0</v>
      </c>
      <c r="AY2949" s="70" t="s">
        <v>24</v>
      </c>
      <c r="AZ2949" s="70">
        <v>2683.0</v>
      </c>
    </row>
    <row r="2950" ht="22.5" customHeight="1">
      <c r="A2950" s="70" t="str">
        <f t="shared" si="1"/>
        <v>Excluded</v>
      </c>
      <c r="B2950" s="70">
        <f t="shared" si="2"/>
        <v>0</v>
      </c>
      <c r="C2950" s="70">
        <v>0.0</v>
      </c>
      <c r="D2950" s="70">
        <v>0.0</v>
      </c>
      <c r="E2950" s="70">
        <v>0.0</v>
      </c>
      <c r="F2950" s="70">
        <v>0.0</v>
      </c>
      <c r="G2950" s="70">
        <v>0.0</v>
      </c>
      <c r="H2950" s="70" t="s">
        <v>25036</v>
      </c>
      <c r="I2950" s="70">
        <v>2730.0</v>
      </c>
      <c r="J2950" s="70" t="s">
        <v>25034</v>
      </c>
      <c r="K2950" s="70" t="s">
        <v>31288</v>
      </c>
      <c r="W2950" s="70" t="s">
        <v>31289</v>
      </c>
      <c r="AA2950" s="70" t="s">
        <v>25038</v>
      </c>
      <c r="AI2950" s="70" t="s">
        <v>25039</v>
      </c>
      <c r="AJ2950" s="70" t="s">
        <v>25040</v>
      </c>
      <c r="AK2950" s="70">
        <v>2023.0</v>
      </c>
      <c r="AL2950" s="70" t="s">
        <v>24875</v>
      </c>
      <c r="AN2950" s="70">
        <v>5887.0</v>
      </c>
      <c r="AO2950" s="70">
        <v>5904.0</v>
      </c>
      <c r="AP2950" s="70">
        <v>17.0</v>
      </c>
      <c r="AQ2950" s="70">
        <v>0.0</v>
      </c>
      <c r="AR2950" s="75" t="s">
        <v>25041</v>
      </c>
      <c r="AS2950" s="70" t="s">
        <v>22525</v>
      </c>
      <c r="AU2950" s="70" t="s">
        <v>237</v>
      </c>
      <c r="AV2950" s="70" t="s">
        <v>25042</v>
      </c>
      <c r="AW2950" s="70" t="s">
        <v>25043</v>
      </c>
      <c r="AX2950" s="70">
        <v>0.0</v>
      </c>
      <c r="AY2950" s="70" t="s">
        <v>24</v>
      </c>
      <c r="AZ2950" s="70">
        <v>2077.0</v>
      </c>
    </row>
    <row r="2951" ht="22.5" customHeight="1">
      <c r="A2951" s="70" t="str">
        <f t="shared" si="1"/>
        <v>Excluded</v>
      </c>
      <c r="B2951" s="70">
        <f t="shared" si="2"/>
        <v>0</v>
      </c>
      <c r="C2951" s="70">
        <v>0.0</v>
      </c>
      <c r="D2951" s="70">
        <v>0.0</v>
      </c>
      <c r="E2951" s="70">
        <v>0.0</v>
      </c>
      <c r="F2951" s="70">
        <v>0.0</v>
      </c>
      <c r="G2951" s="70">
        <v>0.0</v>
      </c>
      <c r="H2951" s="70" t="s">
        <v>22918</v>
      </c>
      <c r="I2951" s="70">
        <v>2526.0</v>
      </c>
      <c r="J2951" s="70" t="s">
        <v>22916</v>
      </c>
      <c r="K2951" s="70" t="s">
        <v>31290</v>
      </c>
      <c r="W2951" s="70" t="s">
        <v>31291</v>
      </c>
      <c r="AA2951" s="70" t="s">
        <v>22920</v>
      </c>
      <c r="AI2951" s="70" t="s">
        <v>22921</v>
      </c>
      <c r="AJ2951" s="70" t="s">
        <v>22922</v>
      </c>
      <c r="AK2951" s="70">
        <v>2024.0</v>
      </c>
      <c r="AL2951" s="70" t="s">
        <v>22923</v>
      </c>
      <c r="AN2951" s="70">
        <v>5473.0</v>
      </c>
      <c r="AO2951" s="70">
        <v>5495.0</v>
      </c>
      <c r="AP2951" s="70">
        <v>22.0</v>
      </c>
      <c r="AQ2951" s="70">
        <v>11.0</v>
      </c>
      <c r="AR2951" s="75" t="s">
        <v>22924</v>
      </c>
      <c r="AS2951" s="70" t="s">
        <v>22525</v>
      </c>
      <c r="AU2951" s="70" t="s">
        <v>237</v>
      </c>
      <c r="AV2951" s="70" t="s">
        <v>22925</v>
      </c>
      <c r="AW2951" s="70" t="s">
        <v>22926</v>
      </c>
      <c r="AX2951" s="70">
        <v>0.0</v>
      </c>
      <c r="AY2951" s="70" t="s">
        <v>24</v>
      </c>
      <c r="AZ2951" s="70">
        <v>2981.0</v>
      </c>
    </row>
    <row r="2952" ht="22.5" customHeight="1">
      <c r="A2952" s="70" t="str">
        <f t="shared" si="1"/>
        <v>Excluded</v>
      </c>
      <c r="B2952" s="70">
        <f t="shared" si="2"/>
        <v>0</v>
      </c>
      <c r="C2952" s="70">
        <v>0.0</v>
      </c>
      <c r="D2952" s="70">
        <v>0.0</v>
      </c>
      <c r="E2952" s="70">
        <v>0.0</v>
      </c>
      <c r="F2952" s="70">
        <v>0.0</v>
      </c>
      <c r="G2952" s="70">
        <v>0.0</v>
      </c>
      <c r="H2952" s="70" t="s">
        <v>19358</v>
      </c>
      <c r="I2952" s="70">
        <v>2129.0</v>
      </c>
      <c r="J2952" s="70" t="s">
        <v>31292</v>
      </c>
      <c r="K2952" s="70" t="s">
        <v>19357</v>
      </c>
      <c r="L2952" s="70" t="s">
        <v>17061</v>
      </c>
      <c r="N2952" s="70" t="s">
        <v>17062</v>
      </c>
      <c r="P2952" s="76">
        <v>43294.0</v>
      </c>
      <c r="U2952" s="70" t="s">
        <v>239</v>
      </c>
      <c r="W2952" s="70" t="s">
        <v>31293</v>
      </c>
      <c r="Z2952" s="75" t="s">
        <v>19361</v>
      </c>
      <c r="AA2952" s="70" t="s">
        <v>19362</v>
      </c>
      <c r="AC2952" s="70">
        <v>11.0</v>
      </c>
      <c r="AW2952" s="70" t="s">
        <v>19363</v>
      </c>
      <c r="AZ2952" s="70">
        <v>840.0</v>
      </c>
    </row>
    <row r="2953" ht="22.5" customHeight="1">
      <c r="A2953" s="70" t="str">
        <f t="shared" si="1"/>
        <v>Excluded</v>
      </c>
      <c r="B2953" s="70">
        <f t="shared" si="2"/>
        <v>0</v>
      </c>
      <c r="C2953" s="70">
        <v>0.0</v>
      </c>
      <c r="D2953" s="70">
        <v>0.0</v>
      </c>
      <c r="E2953" s="70">
        <v>0.0</v>
      </c>
      <c r="F2953" s="70">
        <v>0.0</v>
      </c>
      <c r="G2953" s="70">
        <v>0.0</v>
      </c>
      <c r="H2953" s="70" t="s">
        <v>20481</v>
      </c>
      <c r="I2953" s="70">
        <v>2255.0</v>
      </c>
      <c r="J2953" s="70" t="s">
        <v>20479</v>
      </c>
      <c r="K2953" s="70" t="s">
        <v>20480</v>
      </c>
      <c r="L2953" s="70" t="s">
        <v>17061</v>
      </c>
      <c r="N2953" s="70" t="s">
        <v>17062</v>
      </c>
      <c r="P2953" s="76">
        <v>45099.0</v>
      </c>
      <c r="U2953" s="70" t="s">
        <v>239</v>
      </c>
      <c r="W2953" s="70" t="s">
        <v>20485</v>
      </c>
      <c r="Z2953" s="75" t="s">
        <v>20486</v>
      </c>
      <c r="AC2953" s="70">
        <v>4.0</v>
      </c>
      <c r="AW2953" s="70" t="s">
        <v>20487</v>
      </c>
      <c r="AX2953" s="70">
        <v>0.0</v>
      </c>
      <c r="AY2953" s="70" t="s">
        <v>24</v>
      </c>
      <c r="AZ2953" s="70">
        <v>2816.0</v>
      </c>
    </row>
    <row r="2954" ht="22.5" customHeight="1">
      <c r="A2954" s="70" t="str">
        <f t="shared" si="1"/>
        <v>Excluded</v>
      </c>
      <c r="B2954" s="70">
        <f t="shared" si="2"/>
        <v>0</v>
      </c>
      <c r="C2954" s="70">
        <v>0.0</v>
      </c>
      <c r="D2954" s="70">
        <v>0.0</v>
      </c>
      <c r="E2954" s="70">
        <v>0.0</v>
      </c>
      <c r="F2954" s="70">
        <v>0.0</v>
      </c>
      <c r="G2954" s="70">
        <v>0.0</v>
      </c>
      <c r="H2954" s="70" t="s">
        <v>20589</v>
      </c>
      <c r="I2954" s="70">
        <v>2267.0</v>
      </c>
      <c r="J2954" s="70" t="s">
        <v>20587</v>
      </c>
      <c r="K2954" s="70" t="s">
        <v>20588</v>
      </c>
      <c r="L2954" s="70" t="s">
        <v>17061</v>
      </c>
      <c r="N2954" s="70" t="s">
        <v>17062</v>
      </c>
      <c r="P2954" s="76">
        <v>45189.0</v>
      </c>
      <c r="U2954" s="70" t="s">
        <v>239</v>
      </c>
      <c r="W2954" s="70" t="s">
        <v>31294</v>
      </c>
      <c r="Z2954" s="75" t="s">
        <v>20592</v>
      </c>
      <c r="AC2954" s="70">
        <v>3.0</v>
      </c>
      <c r="AW2954" s="70" t="s">
        <v>20593</v>
      </c>
      <c r="AZ2954" s="70">
        <v>1113.0</v>
      </c>
    </row>
    <row r="2955" ht="22.5" customHeight="1">
      <c r="A2955" s="70" t="str">
        <f t="shared" si="1"/>
        <v>Excluded</v>
      </c>
      <c r="B2955" s="70">
        <f t="shared" si="2"/>
        <v>0</v>
      </c>
      <c r="C2955" s="70">
        <v>0.0</v>
      </c>
      <c r="D2955" s="70">
        <v>0.0</v>
      </c>
      <c r="E2955" s="70">
        <v>0.0</v>
      </c>
      <c r="F2955" s="70">
        <v>0.0</v>
      </c>
      <c r="G2955" s="70">
        <v>0.0</v>
      </c>
      <c r="H2955" s="70" t="s">
        <v>17063</v>
      </c>
      <c r="I2955" s="70">
        <v>1872.0</v>
      </c>
      <c r="J2955" s="70" t="s">
        <v>17059</v>
      </c>
      <c r="K2955" s="70" t="s">
        <v>17060</v>
      </c>
      <c r="L2955" s="70" t="s">
        <v>17061</v>
      </c>
      <c r="N2955" s="70" t="s">
        <v>17062</v>
      </c>
      <c r="P2955" s="76">
        <v>42839.0</v>
      </c>
      <c r="U2955" s="70" t="s">
        <v>239</v>
      </c>
      <c r="W2955" s="70" t="s">
        <v>31295</v>
      </c>
      <c r="Z2955" s="75" t="s">
        <v>17068</v>
      </c>
      <c r="AA2955" s="70" t="s">
        <v>17069</v>
      </c>
      <c r="AC2955" s="70">
        <v>78.0</v>
      </c>
      <c r="AD2955" s="70">
        <v>7.0</v>
      </c>
      <c r="AW2955" s="70" t="s">
        <v>17070</v>
      </c>
      <c r="AZ2955" s="70">
        <v>714.0</v>
      </c>
    </row>
    <row r="2956" ht="22.5" customHeight="1">
      <c r="A2956" s="70" t="str">
        <f t="shared" si="1"/>
        <v>Excluded</v>
      </c>
      <c r="B2956" s="70">
        <f t="shared" si="2"/>
        <v>0</v>
      </c>
      <c r="C2956" s="70">
        <v>0.0</v>
      </c>
      <c r="D2956" s="70">
        <v>0.0</v>
      </c>
      <c r="E2956" s="70">
        <v>0.0</v>
      </c>
      <c r="F2956" s="70">
        <v>0.0</v>
      </c>
      <c r="G2956" s="70">
        <v>0.0</v>
      </c>
      <c r="H2956" s="70" t="s">
        <v>11743</v>
      </c>
      <c r="I2956" s="70">
        <v>1229.0</v>
      </c>
      <c r="J2956" s="70" t="s">
        <v>11740</v>
      </c>
      <c r="K2956" s="70" t="s">
        <v>11741</v>
      </c>
      <c r="L2956" s="70" t="s">
        <v>11742</v>
      </c>
      <c r="P2956" s="78">
        <v>45065.0</v>
      </c>
      <c r="U2956" s="70" t="s">
        <v>239</v>
      </c>
      <c r="W2956" s="70" t="s">
        <v>11745</v>
      </c>
      <c r="X2956" s="70" t="s">
        <v>11746</v>
      </c>
      <c r="Z2956" s="75" t="s">
        <v>11747</v>
      </c>
      <c r="AA2956" s="70" t="s">
        <v>11748</v>
      </c>
      <c r="AC2956" s="70">
        <v>2.0</v>
      </c>
      <c r="AE2956" s="70">
        <v>8.0</v>
      </c>
      <c r="AW2956" s="70" t="s">
        <v>11749</v>
      </c>
      <c r="AZ2956" s="70">
        <v>668.0</v>
      </c>
    </row>
    <row r="2957" ht="22.5" customHeight="1">
      <c r="A2957" s="70" t="str">
        <f t="shared" si="1"/>
        <v>Excluded</v>
      </c>
      <c r="B2957" s="70">
        <f t="shared" si="2"/>
        <v>0</v>
      </c>
      <c r="C2957" s="70">
        <v>0.0</v>
      </c>
      <c r="D2957" s="70">
        <v>0.0</v>
      </c>
      <c r="E2957" s="70">
        <v>0.0</v>
      </c>
      <c r="F2957" s="70">
        <v>0.0</v>
      </c>
      <c r="G2957" s="70">
        <v>0.0</v>
      </c>
      <c r="H2957" s="70" t="s">
        <v>23940</v>
      </c>
      <c r="I2957" s="70">
        <v>2624.0</v>
      </c>
      <c r="J2957" s="70" t="s">
        <v>23938</v>
      </c>
      <c r="K2957" s="70" t="s">
        <v>23939</v>
      </c>
      <c r="W2957" s="70" t="s">
        <v>31296</v>
      </c>
      <c r="AA2957" s="70" t="s">
        <v>23942</v>
      </c>
      <c r="AI2957" s="70" t="s">
        <v>23943</v>
      </c>
      <c r="AJ2957" s="70" t="s">
        <v>23944</v>
      </c>
      <c r="AK2957" s="70">
        <v>2024.0</v>
      </c>
      <c r="AL2957" s="70" t="s">
        <v>23945</v>
      </c>
      <c r="AN2957" s="70">
        <v>160.0</v>
      </c>
      <c r="AO2957" s="70">
        <v>175.0</v>
      </c>
      <c r="AP2957" s="70">
        <v>15.0</v>
      </c>
      <c r="AQ2957" s="70">
        <v>1.0</v>
      </c>
      <c r="AR2957" s="75" t="s">
        <v>23946</v>
      </c>
      <c r="AS2957" s="70" t="s">
        <v>22525</v>
      </c>
      <c r="AT2957" s="70" t="s">
        <v>22622</v>
      </c>
      <c r="AU2957" s="70" t="s">
        <v>237</v>
      </c>
      <c r="AV2957" s="70" t="s">
        <v>23947</v>
      </c>
      <c r="AX2957" s="70">
        <v>0.0</v>
      </c>
      <c r="AY2957" s="70" t="s">
        <v>24</v>
      </c>
      <c r="AZ2957" s="70">
        <v>3114.0</v>
      </c>
    </row>
    <row r="2958" ht="22.5" customHeight="1">
      <c r="A2958" s="70" t="str">
        <f t="shared" si="1"/>
        <v>Excluded</v>
      </c>
      <c r="B2958" s="70">
        <f t="shared" si="2"/>
        <v>0</v>
      </c>
      <c r="C2958" s="70">
        <v>0.0</v>
      </c>
      <c r="D2958" s="70">
        <v>0.0</v>
      </c>
      <c r="E2958" s="70">
        <v>0.0</v>
      </c>
      <c r="F2958" s="70">
        <v>0.0</v>
      </c>
      <c r="G2958" s="70">
        <v>0.0</v>
      </c>
      <c r="H2958" s="70" t="s">
        <v>26808</v>
      </c>
      <c r="I2958" s="70">
        <v>2902.0</v>
      </c>
      <c r="J2958" s="70" t="s">
        <v>26806</v>
      </c>
      <c r="K2958" s="70" t="s">
        <v>26807</v>
      </c>
      <c r="W2958" s="70" t="s">
        <v>31297</v>
      </c>
      <c r="AA2958" s="70" t="s">
        <v>26810</v>
      </c>
      <c r="AI2958" s="70" t="s">
        <v>26811</v>
      </c>
      <c r="AJ2958" s="70" t="s">
        <v>26812</v>
      </c>
      <c r="AK2958" s="70">
        <v>2023.0</v>
      </c>
      <c r="AL2958" s="70" t="s">
        <v>26726</v>
      </c>
      <c r="AN2958" s="70">
        <v>1059.0</v>
      </c>
      <c r="AO2958" s="70">
        <v>1071.0</v>
      </c>
      <c r="AP2958" s="70">
        <v>12.0</v>
      </c>
      <c r="AQ2958" s="70">
        <v>2.0</v>
      </c>
      <c r="AR2958" s="75" t="s">
        <v>26813</v>
      </c>
      <c r="AS2958" s="70" t="s">
        <v>22525</v>
      </c>
      <c r="AT2958" s="70" t="s">
        <v>22622</v>
      </c>
      <c r="AU2958" s="70" t="s">
        <v>237</v>
      </c>
      <c r="AV2958" s="70" t="s">
        <v>26814</v>
      </c>
      <c r="AW2958" s="70" t="s">
        <v>26815</v>
      </c>
      <c r="AX2958" s="70">
        <v>0.0</v>
      </c>
      <c r="AY2958" s="70" t="s">
        <v>24</v>
      </c>
      <c r="AZ2958" s="70">
        <v>1716.0</v>
      </c>
    </row>
    <row r="2959" ht="22.5" customHeight="1">
      <c r="A2959" s="70" t="str">
        <f t="shared" si="1"/>
        <v>Excluded</v>
      </c>
      <c r="B2959" s="70">
        <f t="shared" si="2"/>
        <v>0</v>
      </c>
      <c r="C2959" s="70">
        <v>0.0</v>
      </c>
      <c r="D2959" s="70">
        <v>0.0</v>
      </c>
      <c r="E2959" s="70">
        <v>0.0</v>
      </c>
      <c r="F2959" s="70">
        <v>0.0</v>
      </c>
      <c r="G2959" s="70">
        <v>0.0</v>
      </c>
      <c r="H2959" s="70" t="s">
        <v>26721</v>
      </c>
      <c r="I2959" s="70">
        <v>2894.0</v>
      </c>
      <c r="J2959" s="70" t="s">
        <v>26719</v>
      </c>
      <c r="K2959" s="70" t="s">
        <v>26720</v>
      </c>
      <c r="W2959" s="70" t="s">
        <v>31298</v>
      </c>
      <c r="AA2959" s="70" t="s">
        <v>26723</v>
      </c>
      <c r="AI2959" s="70" t="s">
        <v>26724</v>
      </c>
      <c r="AJ2959" s="70" t="s">
        <v>26725</v>
      </c>
      <c r="AK2959" s="70">
        <v>2023.0</v>
      </c>
      <c r="AL2959" s="70" t="s">
        <v>26726</v>
      </c>
      <c r="AN2959" s="70">
        <v>947.0</v>
      </c>
      <c r="AO2959" s="70">
        <v>957.0</v>
      </c>
      <c r="AP2959" s="70">
        <v>10.0</v>
      </c>
      <c r="AQ2959" s="70">
        <v>1.0</v>
      </c>
      <c r="AR2959" s="75" t="s">
        <v>26727</v>
      </c>
      <c r="AS2959" s="70" t="s">
        <v>22525</v>
      </c>
      <c r="AT2959" s="70" t="s">
        <v>22622</v>
      </c>
      <c r="AU2959" s="70" t="s">
        <v>237</v>
      </c>
      <c r="AV2959" s="70" t="s">
        <v>26728</v>
      </c>
      <c r="AW2959" s="70" t="s">
        <v>26729</v>
      </c>
      <c r="AX2959" s="70">
        <v>0.0</v>
      </c>
      <c r="AY2959" s="70" t="s">
        <v>24</v>
      </c>
      <c r="AZ2959" s="70">
        <v>2644.0</v>
      </c>
    </row>
    <row r="2960" ht="22.5" customHeight="1">
      <c r="A2960" s="70" t="str">
        <f t="shared" si="1"/>
        <v>Excluded</v>
      </c>
      <c r="B2960" s="70">
        <f t="shared" si="2"/>
        <v>0</v>
      </c>
      <c r="C2960" s="70">
        <v>0.0</v>
      </c>
      <c r="D2960" s="70">
        <v>0.0</v>
      </c>
      <c r="E2960" s="70">
        <v>0.0</v>
      </c>
      <c r="F2960" s="70">
        <v>0.0</v>
      </c>
      <c r="G2960" s="70">
        <v>0.0</v>
      </c>
      <c r="H2960" s="70" t="s">
        <v>24077</v>
      </c>
      <c r="I2960" s="70">
        <v>2637.0</v>
      </c>
      <c r="J2960" s="70" t="s">
        <v>24075</v>
      </c>
      <c r="K2960" s="70" t="s">
        <v>31299</v>
      </c>
      <c r="W2960" s="70" t="s">
        <v>31300</v>
      </c>
      <c r="AA2960" s="70" t="s">
        <v>24079</v>
      </c>
      <c r="AI2960" s="70" t="s">
        <v>24080</v>
      </c>
      <c r="AJ2960" s="70" t="s">
        <v>24081</v>
      </c>
      <c r="AK2960" s="70">
        <v>2024.0</v>
      </c>
      <c r="AL2960" s="70" t="s">
        <v>24082</v>
      </c>
      <c r="AN2960" s="70">
        <v>108.0</v>
      </c>
      <c r="AO2960" s="70">
        <v>118.0</v>
      </c>
      <c r="AP2960" s="70">
        <v>10.0</v>
      </c>
      <c r="AQ2960" s="70">
        <v>0.0</v>
      </c>
      <c r="AR2960" s="75" t="s">
        <v>24083</v>
      </c>
      <c r="AS2960" s="70" t="s">
        <v>22525</v>
      </c>
      <c r="AU2960" s="70" t="s">
        <v>237</v>
      </c>
      <c r="AV2960" s="70" t="s">
        <v>24084</v>
      </c>
      <c r="AW2960" s="70" t="s">
        <v>24085</v>
      </c>
      <c r="AZ2960" s="70">
        <v>1083.0</v>
      </c>
    </row>
    <row r="2961" ht="22.5" customHeight="1">
      <c r="A2961" s="70" t="str">
        <f t="shared" si="1"/>
        <v>Excluded</v>
      </c>
      <c r="B2961" s="70">
        <f t="shared" si="2"/>
        <v>0</v>
      </c>
      <c r="C2961" s="70">
        <v>0.0</v>
      </c>
      <c r="D2961" s="70">
        <v>0.0</v>
      </c>
      <c r="E2961" s="70">
        <v>0.0</v>
      </c>
      <c r="F2961" s="70">
        <v>0.0</v>
      </c>
      <c r="G2961" s="70">
        <v>0.0</v>
      </c>
      <c r="H2961" s="70" t="s">
        <v>4306</v>
      </c>
      <c r="I2961" s="70">
        <v>388.0</v>
      </c>
      <c r="J2961" s="70" t="s">
        <v>4302</v>
      </c>
      <c r="K2961" s="70" t="s">
        <v>4303</v>
      </c>
      <c r="L2961" s="70" t="s">
        <v>4304</v>
      </c>
      <c r="N2961" s="70" t="s">
        <v>4305</v>
      </c>
      <c r="O2961" s="75" t="s">
        <v>4307</v>
      </c>
      <c r="P2961" s="81">
        <v>43678.0</v>
      </c>
      <c r="W2961" s="70" t="s">
        <v>4311</v>
      </c>
      <c r="AZ2961" s="70">
        <v>1232.0</v>
      </c>
    </row>
    <row r="2962" ht="22.5" customHeight="1">
      <c r="A2962" s="70" t="str">
        <f t="shared" si="1"/>
        <v>Excluded</v>
      </c>
      <c r="B2962" s="70">
        <f t="shared" si="2"/>
        <v>0</v>
      </c>
      <c r="C2962" s="70">
        <v>0.0</v>
      </c>
      <c r="D2962" s="70">
        <v>0.0</v>
      </c>
      <c r="E2962" s="70">
        <v>0.0</v>
      </c>
      <c r="F2962" s="70">
        <v>0.0</v>
      </c>
      <c r="G2962" s="70">
        <v>0.0</v>
      </c>
      <c r="H2962" s="70" t="s">
        <v>4544</v>
      </c>
      <c r="I2962" s="70">
        <v>419.0</v>
      </c>
      <c r="J2962" s="70" t="s">
        <v>4542</v>
      </c>
      <c r="K2962" s="70" t="s">
        <v>4543</v>
      </c>
      <c r="L2962" s="70" t="s">
        <v>4304</v>
      </c>
      <c r="N2962" s="70" t="s">
        <v>4305</v>
      </c>
      <c r="O2962" s="75" t="s">
        <v>4545</v>
      </c>
      <c r="P2962" s="81">
        <v>44713.0</v>
      </c>
      <c r="W2962" s="70" t="s">
        <v>4548</v>
      </c>
      <c r="AX2962" s="70">
        <v>0.0</v>
      </c>
      <c r="AY2962" s="70" t="s">
        <v>24</v>
      </c>
      <c r="AZ2962" s="70">
        <v>2773.0</v>
      </c>
    </row>
    <row r="2963" ht="22.5" customHeight="1">
      <c r="A2963" s="70" t="str">
        <f t="shared" si="1"/>
        <v>Excluded</v>
      </c>
      <c r="B2963" s="70">
        <f t="shared" si="2"/>
        <v>0</v>
      </c>
      <c r="C2963" s="70">
        <v>0.0</v>
      </c>
      <c r="D2963" s="70">
        <v>0.0</v>
      </c>
      <c r="E2963" s="70">
        <v>0.0</v>
      </c>
      <c r="F2963" s="70">
        <v>0.0</v>
      </c>
      <c r="G2963" s="70">
        <v>0.0</v>
      </c>
      <c r="H2963" s="70" t="s">
        <v>4498</v>
      </c>
      <c r="I2963" s="70">
        <v>413.0</v>
      </c>
      <c r="J2963" s="70" t="s">
        <v>4496</v>
      </c>
      <c r="K2963" s="70" t="s">
        <v>4497</v>
      </c>
      <c r="L2963" s="70" t="s">
        <v>4304</v>
      </c>
      <c r="N2963" s="70" t="s">
        <v>4305</v>
      </c>
      <c r="O2963" s="75" t="s">
        <v>4499</v>
      </c>
      <c r="P2963" s="81">
        <v>45139.0</v>
      </c>
      <c r="W2963" s="70" t="s">
        <v>4501</v>
      </c>
      <c r="AX2963" s="70">
        <v>0.0</v>
      </c>
      <c r="AY2963" s="70" t="s">
        <v>24</v>
      </c>
      <c r="AZ2963" s="70">
        <v>2833.0</v>
      </c>
    </row>
    <row r="2964" ht="22.5" customHeight="1">
      <c r="A2964" s="70" t="str">
        <f t="shared" si="1"/>
        <v>Excluded</v>
      </c>
      <c r="B2964" s="70">
        <f t="shared" si="2"/>
        <v>0</v>
      </c>
      <c r="C2964" s="70">
        <v>0.0</v>
      </c>
      <c r="D2964" s="70">
        <v>0.0</v>
      </c>
      <c r="E2964" s="70">
        <v>0.0</v>
      </c>
      <c r="F2964" s="70">
        <v>0.0</v>
      </c>
      <c r="G2964" s="70">
        <v>0.0</v>
      </c>
      <c r="H2964" s="70" t="s">
        <v>27503</v>
      </c>
      <c r="I2964" s="70">
        <v>2970.0</v>
      </c>
      <c r="J2964" s="70" t="s">
        <v>27501</v>
      </c>
      <c r="K2964" s="70" t="s">
        <v>27502</v>
      </c>
      <c r="W2964" s="70" t="s">
        <v>31301</v>
      </c>
      <c r="AA2964" s="70" t="s">
        <v>27505</v>
      </c>
      <c r="AI2964" s="70" t="s">
        <v>27506</v>
      </c>
      <c r="AJ2964" s="70" t="s">
        <v>27507</v>
      </c>
      <c r="AK2964" s="70">
        <v>2022.0</v>
      </c>
      <c r="AL2964" s="70" t="s">
        <v>27508</v>
      </c>
      <c r="AN2964" s="70">
        <v>18.0</v>
      </c>
      <c r="AO2964" s="70">
        <v>31.0</v>
      </c>
      <c r="AP2964" s="70">
        <v>13.0</v>
      </c>
      <c r="AQ2964" s="70">
        <v>1.0</v>
      </c>
      <c r="AR2964" s="75" t="s">
        <v>27509</v>
      </c>
      <c r="AS2964" s="70" t="s">
        <v>22525</v>
      </c>
      <c r="AU2964" s="70" t="s">
        <v>237</v>
      </c>
      <c r="AV2964" s="70" t="s">
        <v>27510</v>
      </c>
      <c r="AW2964" s="70" t="s">
        <v>27511</v>
      </c>
      <c r="AX2964" s="70">
        <v>0.0</v>
      </c>
      <c r="AY2964" s="70" t="s">
        <v>24</v>
      </c>
      <c r="AZ2964" s="70">
        <v>1828.0</v>
      </c>
    </row>
    <row r="2965" ht="22.5" customHeight="1">
      <c r="A2965" s="70" t="str">
        <f t="shared" si="1"/>
        <v>Excluded</v>
      </c>
      <c r="B2965" s="70">
        <f t="shared" si="2"/>
        <v>0</v>
      </c>
      <c r="C2965" s="70">
        <v>0.0</v>
      </c>
      <c r="D2965" s="70">
        <v>0.0</v>
      </c>
      <c r="E2965" s="70">
        <v>0.0</v>
      </c>
      <c r="F2965" s="70">
        <v>0.0</v>
      </c>
      <c r="G2965" s="70">
        <v>0.0</v>
      </c>
      <c r="H2965" s="70" t="s">
        <v>25301</v>
      </c>
      <c r="I2965" s="70">
        <v>2756.0</v>
      </c>
      <c r="J2965" s="70" t="s">
        <v>25299</v>
      </c>
      <c r="K2965" s="70" t="s">
        <v>25300</v>
      </c>
      <c r="W2965" s="70" t="s">
        <v>31302</v>
      </c>
      <c r="AA2965" s="70" t="s">
        <v>25303</v>
      </c>
      <c r="AI2965" s="70" t="s">
        <v>25304</v>
      </c>
      <c r="AJ2965" s="70" t="s">
        <v>25305</v>
      </c>
      <c r="AK2965" s="70">
        <v>2023.0</v>
      </c>
      <c r="AL2965" s="70" t="s">
        <v>25306</v>
      </c>
      <c r="AN2965" s="70">
        <v>537.0</v>
      </c>
      <c r="AO2965" s="70">
        <v>554.0</v>
      </c>
      <c r="AP2965" s="70">
        <v>17.0</v>
      </c>
      <c r="AQ2965" s="70">
        <v>1.0</v>
      </c>
      <c r="AR2965" s="75" t="s">
        <v>25307</v>
      </c>
      <c r="AS2965" s="70" t="s">
        <v>22525</v>
      </c>
      <c r="AT2965" s="70" t="s">
        <v>22816</v>
      </c>
      <c r="AU2965" s="70" t="s">
        <v>237</v>
      </c>
      <c r="AV2965" s="70" t="s">
        <v>25308</v>
      </c>
      <c r="AW2965" s="70" t="s">
        <v>25309</v>
      </c>
      <c r="AZ2965" s="70">
        <v>184.0</v>
      </c>
    </row>
    <row r="2966" ht="22.5" customHeight="1">
      <c r="A2966" s="70" t="str">
        <f t="shared" si="1"/>
        <v>Excluded</v>
      </c>
      <c r="B2966" s="70">
        <f t="shared" si="2"/>
        <v>0</v>
      </c>
      <c r="C2966" s="70">
        <v>0.0</v>
      </c>
      <c r="D2966" s="70">
        <v>0.0</v>
      </c>
      <c r="E2966" s="70">
        <v>0.0</v>
      </c>
      <c r="F2966" s="70">
        <v>0.0</v>
      </c>
      <c r="G2966" s="70">
        <v>0.0</v>
      </c>
      <c r="H2966" s="70" t="s">
        <v>28339</v>
      </c>
      <c r="I2966" s="70">
        <v>3052.0</v>
      </c>
      <c r="J2966" s="70" t="s">
        <v>28337</v>
      </c>
      <c r="K2966" s="70" t="s">
        <v>28338</v>
      </c>
      <c r="W2966" s="70" t="s">
        <v>31303</v>
      </c>
      <c r="AA2966" s="70" t="s">
        <v>28341</v>
      </c>
      <c r="AI2966" s="70" t="s">
        <v>28342</v>
      </c>
      <c r="AJ2966" s="70" t="s">
        <v>28343</v>
      </c>
      <c r="AK2966" s="70">
        <v>2021.0</v>
      </c>
      <c r="AL2966" s="70" t="s">
        <v>28344</v>
      </c>
      <c r="AN2966" s="70">
        <v>335.0</v>
      </c>
      <c r="AO2966" s="70">
        <v>344.0</v>
      </c>
      <c r="AP2966" s="70">
        <v>9.0</v>
      </c>
      <c r="AQ2966" s="70">
        <v>0.0</v>
      </c>
      <c r="AR2966" s="75" t="s">
        <v>28345</v>
      </c>
      <c r="AS2966" s="70" t="s">
        <v>22525</v>
      </c>
      <c r="AU2966" s="70" t="s">
        <v>237</v>
      </c>
      <c r="AV2966" s="70" t="s">
        <v>28346</v>
      </c>
      <c r="AW2966" s="70" t="s">
        <v>28347</v>
      </c>
      <c r="AZ2966" s="70">
        <v>646.0</v>
      </c>
    </row>
    <row r="2967" ht="22.5" customHeight="1">
      <c r="A2967" s="70" t="str">
        <f t="shared" si="1"/>
        <v>Excluded</v>
      </c>
      <c r="B2967" s="70">
        <f t="shared" si="2"/>
        <v>0</v>
      </c>
      <c r="C2967" s="70">
        <v>0.0</v>
      </c>
      <c r="D2967" s="70">
        <v>0.0</v>
      </c>
      <c r="E2967" s="70">
        <v>0.0</v>
      </c>
      <c r="F2967" s="70">
        <v>0.0</v>
      </c>
      <c r="G2967" s="70">
        <v>0.0</v>
      </c>
      <c r="H2967" s="70" t="s">
        <v>27355</v>
      </c>
      <c r="I2967" s="70">
        <v>2955.0</v>
      </c>
      <c r="J2967" s="70" t="s">
        <v>27353</v>
      </c>
      <c r="K2967" s="70" t="s">
        <v>27354</v>
      </c>
      <c r="W2967" s="70" t="s">
        <v>31304</v>
      </c>
      <c r="AA2967" s="70" t="s">
        <v>27357</v>
      </c>
      <c r="AI2967" s="70" t="s">
        <v>31305</v>
      </c>
      <c r="AJ2967" s="70" t="s">
        <v>27359</v>
      </c>
      <c r="AK2967" s="70">
        <v>2022.0</v>
      </c>
      <c r="AL2967" s="70" t="s">
        <v>24049</v>
      </c>
      <c r="AN2967" s="70">
        <v>607.0</v>
      </c>
      <c r="AO2967" s="70">
        <v>623.0</v>
      </c>
      <c r="AP2967" s="70">
        <v>16.0</v>
      </c>
      <c r="AQ2967" s="70">
        <v>1.0</v>
      </c>
      <c r="AR2967" s="75" t="s">
        <v>27360</v>
      </c>
      <c r="AS2967" s="70" t="s">
        <v>22525</v>
      </c>
      <c r="AU2967" s="70" t="s">
        <v>237</v>
      </c>
      <c r="AV2967" s="70" t="s">
        <v>27361</v>
      </c>
      <c r="AW2967" s="70" t="s">
        <v>27362</v>
      </c>
      <c r="AX2967" s="70">
        <v>0.0</v>
      </c>
      <c r="AY2967" s="70" t="s">
        <v>24</v>
      </c>
      <c r="AZ2967" s="70">
        <v>2477.0</v>
      </c>
    </row>
    <row r="2968" ht="22.5" customHeight="1">
      <c r="A2968" s="70" t="str">
        <f t="shared" si="1"/>
        <v>Excluded</v>
      </c>
      <c r="B2968" s="70">
        <f t="shared" si="2"/>
        <v>0</v>
      </c>
      <c r="C2968" s="70">
        <v>0.0</v>
      </c>
      <c r="D2968" s="70">
        <v>0.0</v>
      </c>
      <c r="E2968" s="70">
        <v>0.0</v>
      </c>
      <c r="F2968" s="70">
        <v>0.0</v>
      </c>
      <c r="G2968" s="70">
        <v>0.0</v>
      </c>
      <c r="H2968" s="70" t="s">
        <v>24044</v>
      </c>
      <c r="I2968" s="70">
        <v>2634.0</v>
      </c>
      <c r="J2968" s="70" t="s">
        <v>24042</v>
      </c>
      <c r="K2968" s="70" t="s">
        <v>24043</v>
      </c>
      <c r="W2968" s="70" t="s">
        <v>31306</v>
      </c>
      <c r="AA2968" s="70" t="s">
        <v>24046</v>
      </c>
      <c r="AI2968" s="70" t="s">
        <v>31307</v>
      </c>
      <c r="AJ2968" s="70" t="s">
        <v>24048</v>
      </c>
      <c r="AK2968" s="70">
        <v>2024.0</v>
      </c>
      <c r="AL2968" s="70" t="s">
        <v>24049</v>
      </c>
      <c r="AN2968" s="70">
        <v>499.0</v>
      </c>
      <c r="AO2968" s="70">
        <v>513.0</v>
      </c>
      <c r="AP2968" s="70">
        <v>14.0</v>
      </c>
      <c r="AQ2968" s="70">
        <v>0.0</v>
      </c>
      <c r="AR2968" s="75" t="s">
        <v>24050</v>
      </c>
      <c r="AS2968" s="70" t="s">
        <v>22525</v>
      </c>
      <c r="AU2968" s="70" t="s">
        <v>237</v>
      </c>
      <c r="AV2968" s="70" t="s">
        <v>24051</v>
      </c>
      <c r="AW2968" s="70" t="s">
        <v>24052</v>
      </c>
      <c r="AZ2968" s="70">
        <v>850.0</v>
      </c>
    </row>
    <row r="2969" ht="22.5" customHeight="1">
      <c r="A2969" s="70" t="str">
        <f t="shared" si="1"/>
        <v>Excluded</v>
      </c>
      <c r="B2969" s="70">
        <f t="shared" si="2"/>
        <v>0</v>
      </c>
      <c r="C2969" s="70">
        <v>0.0</v>
      </c>
      <c r="D2969" s="70">
        <v>0.0</v>
      </c>
      <c r="E2969" s="70">
        <v>0.0</v>
      </c>
      <c r="F2969" s="70">
        <v>0.0</v>
      </c>
      <c r="G2969" s="70">
        <v>0.0</v>
      </c>
      <c r="H2969" s="70" t="s">
        <v>27188</v>
      </c>
      <c r="I2969" s="70">
        <v>2939.0</v>
      </c>
      <c r="J2969" s="70" t="s">
        <v>27186</v>
      </c>
      <c r="K2969" s="70" t="s">
        <v>27187</v>
      </c>
      <c r="W2969" s="70" t="s">
        <v>31308</v>
      </c>
      <c r="AA2969" s="70" t="s">
        <v>27190</v>
      </c>
      <c r="AI2969" s="70" t="s">
        <v>27191</v>
      </c>
      <c r="AJ2969" s="70" t="s">
        <v>27192</v>
      </c>
      <c r="AK2969" s="70">
        <v>2022.0</v>
      </c>
      <c r="AL2969" s="70" t="s">
        <v>26077</v>
      </c>
      <c r="AN2969" s="70">
        <v>168.0</v>
      </c>
      <c r="AO2969" s="70">
        <v>193.0</v>
      </c>
      <c r="AP2969" s="70">
        <v>25.0</v>
      </c>
      <c r="AQ2969" s="70">
        <v>34.0</v>
      </c>
      <c r="AR2969" s="75" t="s">
        <v>27193</v>
      </c>
      <c r="AS2969" s="70" t="s">
        <v>22525</v>
      </c>
      <c r="AU2969" s="70" t="s">
        <v>237</v>
      </c>
      <c r="AV2969" s="70" t="s">
        <v>27194</v>
      </c>
      <c r="AW2969" s="70" t="s">
        <v>27195</v>
      </c>
      <c r="AX2969" s="70">
        <v>0.0</v>
      </c>
      <c r="AY2969" s="70" t="s">
        <v>24</v>
      </c>
      <c r="AZ2969" s="70">
        <v>1758.0</v>
      </c>
    </row>
    <row r="2970" ht="22.5" customHeight="1">
      <c r="A2970" s="70" t="str">
        <f t="shared" si="1"/>
        <v>Excluded</v>
      </c>
      <c r="B2970" s="70">
        <f t="shared" si="2"/>
        <v>0</v>
      </c>
      <c r="C2970" s="70">
        <v>0.0</v>
      </c>
      <c r="D2970" s="70">
        <v>0.0</v>
      </c>
      <c r="E2970" s="70">
        <v>0.0</v>
      </c>
      <c r="F2970" s="70">
        <v>0.0</v>
      </c>
      <c r="G2970" s="70">
        <v>0.0</v>
      </c>
      <c r="H2970" s="70" t="s">
        <v>26072</v>
      </c>
      <c r="I2970" s="70">
        <v>2830.0</v>
      </c>
      <c r="J2970" s="70" t="s">
        <v>26070</v>
      </c>
      <c r="K2970" s="70" t="s">
        <v>26071</v>
      </c>
      <c r="W2970" s="70" t="s">
        <v>31309</v>
      </c>
      <c r="AA2970" s="70" t="s">
        <v>26074</v>
      </c>
      <c r="AI2970" s="70" t="s">
        <v>26075</v>
      </c>
      <c r="AJ2970" s="70" t="s">
        <v>26076</v>
      </c>
      <c r="AK2970" s="70">
        <v>2023.0</v>
      </c>
      <c r="AL2970" s="70" t="s">
        <v>26077</v>
      </c>
      <c r="AN2970" s="70">
        <v>79.0</v>
      </c>
      <c r="AO2970" s="70">
        <v>112.0</v>
      </c>
      <c r="AP2970" s="70">
        <v>33.0</v>
      </c>
      <c r="AQ2970" s="70">
        <v>0.0</v>
      </c>
      <c r="AR2970" s="75" t="s">
        <v>26078</v>
      </c>
      <c r="AS2970" s="70" t="s">
        <v>22525</v>
      </c>
      <c r="AU2970" s="70" t="s">
        <v>237</v>
      </c>
      <c r="AV2970" s="70" t="s">
        <v>26079</v>
      </c>
      <c r="AW2970" s="70" t="s">
        <v>26080</v>
      </c>
      <c r="AZ2970" s="70">
        <v>332.0</v>
      </c>
    </row>
    <row r="2971" ht="22.5" customHeight="1">
      <c r="A2971" s="70" t="str">
        <f t="shared" si="1"/>
        <v>Excluded</v>
      </c>
      <c r="B2971" s="70">
        <f t="shared" si="2"/>
        <v>0</v>
      </c>
      <c r="C2971" s="70">
        <v>0.0</v>
      </c>
      <c r="D2971" s="70">
        <v>0.0</v>
      </c>
      <c r="E2971" s="70">
        <v>0.0</v>
      </c>
      <c r="F2971" s="70">
        <v>0.0</v>
      </c>
      <c r="G2971" s="70">
        <v>0.0</v>
      </c>
      <c r="H2971" s="70" t="s">
        <v>25847</v>
      </c>
      <c r="I2971" s="70">
        <v>2808.0</v>
      </c>
      <c r="J2971" s="70" t="s">
        <v>31310</v>
      </c>
      <c r="K2971" s="70" t="s">
        <v>25846</v>
      </c>
      <c r="W2971" s="70" t="s">
        <v>31311</v>
      </c>
      <c r="AA2971" s="70" t="s">
        <v>25849</v>
      </c>
      <c r="AI2971" s="70" t="s">
        <v>31312</v>
      </c>
      <c r="AJ2971" s="70" t="s">
        <v>25851</v>
      </c>
      <c r="AK2971" s="70">
        <v>2023.0</v>
      </c>
      <c r="AL2971" s="70" t="s">
        <v>25852</v>
      </c>
      <c r="AQ2971" s="70">
        <v>0.0</v>
      </c>
      <c r="AR2971" s="75" t="s">
        <v>25853</v>
      </c>
      <c r="AS2971" s="70" t="s">
        <v>22525</v>
      </c>
      <c r="AT2971" s="70" t="s">
        <v>22526</v>
      </c>
      <c r="AU2971" s="70" t="s">
        <v>237</v>
      </c>
      <c r="AV2971" s="70" t="s">
        <v>25854</v>
      </c>
      <c r="AW2971" s="70" t="s">
        <v>25855</v>
      </c>
      <c r="AX2971" s="70">
        <v>0.0</v>
      </c>
      <c r="AY2971" s="70" t="s">
        <v>24</v>
      </c>
      <c r="AZ2971" s="70">
        <v>2672.0</v>
      </c>
    </row>
    <row r="2972" ht="22.5" customHeight="1">
      <c r="A2972" s="70" t="str">
        <f t="shared" si="1"/>
        <v>Excluded</v>
      </c>
      <c r="B2972" s="70">
        <f t="shared" si="2"/>
        <v>0</v>
      </c>
      <c r="C2972" s="70">
        <v>0.0</v>
      </c>
      <c r="D2972" s="70">
        <v>0.0</v>
      </c>
      <c r="E2972" s="70">
        <v>0.0</v>
      </c>
      <c r="F2972" s="70">
        <v>0.0</v>
      </c>
      <c r="G2972" s="70">
        <v>0.0</v>
      </c>
      <c r="H2972" s="70" t="s">
        <v>24849</v>
      </c>
      <c r="I2972" s="70">
        <v>2712.0</v>
      </c>
      <c r="J2972" s="70" t="s">
        <v>24847</v>
      </c>
      <c r="K2972" s="70" t="s">
        <v>24848</v>
      </c>
      <c r="W2972" s="70" t="s">
        <v>31313</v>
      </c>
      <c r="AA2972" s="70" t="s">
        <v>24851</v>
      </c>
      <c r="AI2972" s="70" t="s">
        <v>24852</v>
      </c>
      <c r="AJ2972" s="70" t="s">
        <v>24853</v>
      </c>
      <c r="AK2972" s="70">
        <v>2024.0</v>
      </c>
      <c r="AL2972" s="70" t="s">
        <v>24854</v>
      </c>
      <c r="AN2972" s="70">
        <v>5407.0</v>
      </c>
      <c r="AO2972" s="70">
        <v>5427.0</v>
      </c>
      <c r="AP2972" s="70">
        <v>20.0</v>
      </c>
      <c r="AQ2972" s="70">
        <v>0.0</v>
      </c>
      <c r="AR2972" s="75" t="s">
        <v>24855</v>
      </c>
      <c r="AS2972" s="70" t="s">
        <v>22525</v>
      </c>
      <c r="AT2972" s="70" t="s">
        <v>22622</v>
      </c>
      <c r="AU2972" s="70" t="s">
        <v>237</v>
      </c>
      <c r="AV2972" s="70" t="s">
        <v>24856</v>
      </c>
      <c r="AZ2972" s="70">
        <v>990.0</v>
      </c>
    </row>
    <row r="2973" ht="22.5" customHeight="1">
      <c r="A2973" s="70" t="str">
        <f t="shared" si="1"/>
        <v>Excluded</v>
      </c>
      <c r="B2973" s="70">
        <f t="shared" si="2"/>
        <v>0</v>
      </c>
      <c r="C2973" s="70">
        <v>0.0</v>
      </c>
      <c r="D2973" s="70">
        <v>0.0</v>
      </c>
      <c r="E2973" s="70">
        <v>0.0</v>
      </c>
      <c r="F2973" s="70">
        <v>0.0</v>
      </c>
      <c r="G2973" s="70">
        <v>0.0</v>
      </c>
      <c r="H2973" s="70" t="s">
        <v>14051</v>
      </c>
      <c r="I2973" s="70">
        <v>1463.0</v>
      </c>
      <c r="J2973" s="70" t="s">
        <v>31314</v>
      </c>
      <c r="K2973" s="70" t="s">
        <v>14049</v>
      </c>
      <c r="L2973" s="70" t="s">
        <v>14050</v>
      </c>
      <c r="P2973" s="77">
        <v>45238.0</v>
      </c>
      <c r="U2973" s="70" t="s">
        <v>239</v>
      </c>
      <c r="W2973" s="70" t="s">
        <v>14053</v>
      </c>
      <c r="X2973" s="70" t="s">
        <v>14054</v>
      </c>
      <c r="Z2973" s="75" t="s">
        <v>14055</v>
      </c>
      <c r="AA2973" s="70" t="s">
        <v>14056</v>
      </c>
      <c r="AE2973" s="70">
        <v>28.0</v>
      </c>
      <c r="AW2973" s="70" t="s">
        <v>14057</v>
      </c>
      <c r="AZ2973" s="70">
        <v>733.0</v>
      </c>
    </row>
    <row r="2974" ht="22.5" customHeight="1">
      <c r="A2974" s="70" t="str">
        <f t="shared" si="1"/>
        <v>Excluded</v>
      </c>
      <c r="B2974" s="70">
        <f t="shared" si="2"/>
        <v>0</v>
      </c>
      <c r="C2974" s="70">
        <v>0.0</v>
      </c>
      <c r="D2974" s="70">
        <v>0.0</v>
      </c>
      <c r="E2974" s="70">
        <v>0.0</v>
      </c>
      <c r="F2974" s="70">
        <v>0.0</v>
      </c>
      <c r="G2974" s="70">
        <v>0.0</v>
      </c>
      <c r="H2974" s="70" t="s">
        <v>11812</v>
      </c>
      <c r="I2974" s="70">
        <v>1236.0</v>
      </c>
      <c r="J2974" s="70" t="s">
        <v>11809</v>
      </c>
      <c r="K2974" s="70" t="s">
        <v>11810</v>
      </c>
      <c r="L2974" s="70" t="s">
        <v>11811</v>
      </c>
      <c r="P2974" s="77">
        <v>45600.0</v>
      </c>
      <c r="U2974" s="70" t="s">
        <v>239</v>
      </c>
      <c r="W2974" s="70" t="s">
        <v>11814</v>
      </c>
      <c r="X2974" s="70" t="s">
        <v>11815</v>
      </c>
      <c r="Z2974" s="75" t="s">
        <v>11816</v>
      </c>
      <c r="AA2974" s="70" t="s">
        <v>11817</v>
      </c>
      <c r="AC2974" s="70">
        <v>1.0</v>
      </c>
      <c r="AE2974" s="70">
        <v>113.0</v>
      </c>
      <c r="AW2974" s="70" t="s">
        <v>11818</v>
      </c>
      <c r="AX2974" s="70">
        <v>0.0</v>
      </c>
      <c r="AY2974" s="70" t="s">
        <v>24</v>
      </c>
      <c r="AZ2974" s="70">
        <v>2421.0</v>
      </c>
    </row>
    <row r="2975" ht="22.5" customHeight="1">
      <c r="A2975" s="70" t="str">
        <f t="shared" si="1"/>
        <v>Excluded</v>
      </c>
      <c r="B2975" s="70">
        <f t="shared" si="2"/>
        <v>0</v>
      </c>
      <c r="C2975" s="70">
        <v>0.0</v>
      </c>
      <c r="D2975" s="70">
        <v>0.0</v>
      </c>
      <c r="E2975" s="70">
        <v>0.0</v>
      </c>
      <c r="F2975" s="70">
        <v>0.0</v>
      </c>
      <c r="G2975" s="70">
        <v>0.0</v>
      </c>
      <c r="H2975" s="70" t="s">
        <v>27985</v>
      </c>
      <c r="I2975" s="70">
        <v>3017.0</v>
      </c>
      <c r="J2975" s="70" t="s">
        <v>27983</v>
      </c>
      <c r="K2975" s="70" t="s">
        <v>27984</v>
      </c>
      <c r="W2975" s="70" t="s">
        <v>31315</v>
      </c>
      <c r="AA2975" s="70" t="s">
        <v>27987</v>
      </c>
      <c r="AI2975" s="70" t="s">
        <v>27988</v>
      </c>
      <c r="AJ2975" s="70" t="s">
        <v>27989</v>
      </c>
      <c r="AK2975" s="70">
        <v>2021.0</v>
      </c>
      <c r="AL2975" s="70" t="s">
        <v>27990</v>
      </c>
      <c r="AN2975" s="70">
        <v>12.0</v>
      </c>
      <c r="AO2975" s="70">
        <v>16.0</v>
      </c>
      <c r="AP2975" s="70">
        <v>4.0</v>
      </c>
      <c r="AQ2975" s="70">
        <v>4.0</v>
      </c>
      <c r="AR2975" s="75" t="s">
        <v>27991</v>
      </c>
      <c r="AS2975" s="70" t="s">
        <v>22525</v>
      </c>
      <c r="AU2975" s="70" t="s">
        <v>237</v>
      </c>
      <c r="AV2975" s="70" t="s">
        <v>27992</v>
      </c>
      <c r="AZ2975" s="70">
        <v>264.0</v>
      </c>
    </row>
    <row r="2976" ht="22.5" customHeight="1">
      <c r="A2976" s="70" t="str">
        <f t="shared" si="1"/>
        <v>Excluded</v>
      </c>
      <c r="B2976" s="70">
        <f t="shared" si="2"/>
        <v>0</v>
      </c>
      <c r="C2976" s="70">
        <v>0.0</v>
      </c>
      <c r="D2976" s="70">
        <v>0.0</v>
      </c>
      <c r="E2976" s="70">
        <v>0.0</v>
      </c>
      <c r="F2976" s="70">
        <v>0.0</v>
      </c>
      <c r="G2976" s="70">
        <v>0.0</v>
      </c>
      <c r="H2976" s="70" t="s">
        <v>22648</v>
      </c>
      <c r="I2976" s="70">
        <v>2501.0</v>
      </c>
      <c r="J2976" s="70" t="s">
        <v>22646</v>
      </c>
      <c r="K2976" s="70" t="s">
        <v>22647</v>
      </c>
      <c r="W2976" s="70" t="s">
        <v>31316</v>
      </c>
      <c r="AA2976" s="70" t="s">
        <v>22651</v>
      </c>
      <c r="AI2976" s="70" t="s">
        <v>22652</v>
      </c>
      <c r="AJ2976" s="70" t="s">
        <v>22653</v>
      </c>
      <c r="AK2976" s="70">
        <v>2024.0</v>
      </c>
      <c r="AL2976" s="70" t="s">
        <v>22654</v>
      </c>
      <c r="AN2976" s="70">
        <v>1542.0</v>
      </c>
      <c r="AO2976" s="70">
        <v>1555.0</v>
      </c>
      <c r="AP2976" s="70">
        <v>13.0</v>
      </c>
      <c r="AQ2976" s="70">
        <v>0.0</v>
      </c>
      <c r="AR2976" s="75" t="s">
        <v>22655</v>
      </c>
      <c r="AS2976" s="70" t="s">
        <v>22525</v>
      </c>
      <c r="AT2976" s="70" t="s">
        <v>22656</v>
      </c>
      <c r="AU2976" s="70" t="s">
        <v>237</v>
      </c>
      <c r="AV2976" s="70" t="s">
        <v>22657</v>
      </c>
      <c r="AW2976" s="70" t="s">
        <v>22658</v>
      </c>
      <c r="AX2976" s="70">
        <v>1.0</v>
      </c>
      <c r="AZ2976" s="70">
        <v>1637.0</v>
      </c>
    </row>
    <row r="2977" ht="22.5" customHeight="1">
      <c r="A2977" s="70" t="str">
        <f t="shared" si="1"/>
        <v>Excluded</v>
      </c>
      <c r="B2977" s="70">
        <f t="shared" si="2"/>
        <v>0</v>
      </c>
      <c r="C2977" s="70">
        <v>0.0</v>
      </c>
      <c r="D2977" s="70">
        <v>0.0</v>
      </c>
      <c r="E2977" s="70">
        <v>0.0</v>
      </c>
      <c r="F2977" s="70">
        <v>0.0</v>
      </c>
      <c r="G2977" s="70">
        <v>0.0</v>
      </c>
      <c r="H2977" s="70" t="s">
        <v>26061</v>
      </c>
      <c r="I2977" s="70">
        <v>2829.0</v>
      </c>
      <c r="J2977" s="70" t="s">
        <v>26059</v>
      </c>
      <c r="K2977" s="70" t="s">
        <v>26060</v>
      </c>
      <c r="W2977" s="70" t="s">
        <v>31317</v>
      </c>
      <c r="AA2977" s="70" t="s">
        <v>26063</v>
      </c>
      <c r="AI2977" s="70" t="s">
        <v>26064</v>
      </c>
      <c r="AJ2977" s="70" t="s">
        <v>26065</v>
      </c>
      <c r="AK2977" s="70">
        <v>2023.0</v>
      </c>
      <c r="AL2977" s="70" t="s">
        <v>26066</v>
      </c>
      <c r="AM2977" s="70" t="s">
        <v>26067</v>
      </c>
      <c r="AQ2977" s="70">
        <v>1.0</v>
      </c>
      <c r="AR2977" s="75" t="s">
        <v>26068</v>
      </c>
      <c r="AS2977" s="70" t="s">
        <v>22525</v>
      </c>
      <c r="AU2977" s="70" t="s">
        <v>237</v>
      </c>
      <c r="AV2977" s="70" t="s">
        <v>26069</v>
      </c>
      <c r="AZ2977" s="70">
        <v>1275.0</v>
      </c>
    </row>
    <row r="2978" ht="22.5" customHeight="1">
      <c r="A2978" s="70" t="str">
        <f t="shared" si="1"/>
        <v>Excluded</v>
      </c>
      <c r="B2978" s="70">
        <f t="shared" si="2"/>
        <v>0</v>
      </c>
      <c r="C2978" s="70">
        <v>0.0</v>
      </c>
      <c r="D2978" s="70">
        <v>0.0</v>
      </c>
      <c r="E2978" s="70">
        <v>0.0</v>
      </c>
      <c r="F2978" s="70">
        <v>0.0</v>
      </c>
      <c r="G2978" s="70">
        <v>0.0</v>
      </c>
      <c r="H2978" s="70" t="s">
        <v>27576</v>
      </c>
      <c r="I2978" s="70">
        <v>2977.0</v>
      </c>
      <c r="J2978" s="70" t="s">
        <v>27574</v>
      </c>
      <c r="K2978" s="70" t="s">
        <v>27575</v>
      </c>
      <c r="W2978" s="70" t="s">
        <v>31318</v>
      </c>
      <c r="AA2978" s="70" t="s">
        <v>27578</v>
      </c>
      <c r="AI2978" s="70" t="s">
        <v>27579</v>
      </c>
      <c r="AJ2978" s="70" t="s">
        <v>27580</v>
      </c>
      <c r="AK2978" s="70">
        <v>2022.0</v>
      </c>
      <c r="AL2978" s="70" t="s">
        <v>27581</v>
      </c>
      <c r="AM2978" s="70">
        <v>2.0</v>
      </c>
      <c r="AN2978" s="70">
        <v>329.0</v>
      </c>
      <c r="AO2978" s="70">
        <v>371.0</v>
      </c>
      <c r="AP2978" s="70">
        <v>42.0</v>
      </c>
      <c r="AQ2978" s="70">
        <v>24.0</v>
      </c>
      <c r="AR2978" s="75" t="s">
        <v>27582</v>
      </c>
      <c r="AS2978" s="70" t="s">
        <v>22525</v>
      </c>
      <c r="AU2978" s="70" t="s">
        <v>237</v>
      </c>
      <c r="AV2978" s="70" t="s">
        <v>27583</v>
      </c>
      <c r="AW2978" s="70" t="s">
        <v>27584</v>
      </c>
      <c r="AX2978" s="70">
        <v>0.0</v>
      </c>
      <c r="AY2978" s="70" t="s">
        <v>24</v>
      </c>
      <c r="AZ2978" s="70">
        <v>2221.0</v>
      </c>
    </row>
    <row r="2979" ht="22.5" customHeight="1">
      <c r="A2979" s="70" t="str">
        <f t="shared" si="1"/>
        <v>Excluded</v>
      </c>
      <c r="B2979" s="70">
        <f t="shared" si="2"/>
        <v>0</v>
      </c>
      <c r="C2979" s="70">
        <v>0.0</v>
      </c>
      <c r="D2979" s="70">
        <v>0.0</v>
      </c>
      <c r="E2979" s="70">
        <v>0.0</v>
      </c>
      <c r="F2979" s="70">
        <v>0.0</v>
      </c>
      <c r="G2979" s="70">
        <v>0.0</v>
      </c>
      <c r="H2979" s="70" t="s">
        <v>26837</v>
      </c>
      <c r="I2979" s="70">
        <v>2905.0</v>
      </c>
      <c r="J2979" s="70" t="s">
        <v>26835</v>
      </c>
      <c r="K2979" s="70" t="s">
        <v>26836</v>
      </c>
      <c r="W2979" s="70" t="s">
        <v>31319</v>
      </c>
      <c r="AA2979" s="70" t="s">
        <v>26839</v>
      </c>
      <c r="AI2979" s="70" t="s">
        <v>26840</v>
      </c>
      <c r="AJ2979" s="70" t="s">
        <v>26841</v>
      </c>
      <c r="AK2979" s="70">
        <v>2023.0</v>
      </c>
      <c r="AL2979" s="70" t="s">
        <v>26842</v>
      </c>
      <c r="AN2979" s="70">
        <v>60.0</v>
      </c>
      <c r="AO2979" s="70">
        <v>70.0</v>
      </c>
      <c r="AP2979" s="70">
        <v>10.0</v>
      </c>
      <c r="AQ2979" s="70">
        <v>3.0</v>
      </c>
      <c r="AR2979" s="75" t="s">
        <v>26843</v>
      </c>
      <c r="AS2979" s="70" t="s">
        <v>22525</v>
      </c>
      <c r="AT2979" s="70" t="s">
        <v>22622</v>
      </c>
      <c r="AU2979" s="70" t="s">
        <v>237</v>
      </c>
      <c r="AV2979" s="70" t="s">
        <v>26844</v>
      </c>
      <c r="AZ2979" s="70">
        <v>201.0</v>
      </c>
    </row>
    <row r="2980" ht="22.5" customHeight="1">
      <c r="A2980" s="70" t="str">
        <f t="shared" si="1"/>
        <v>Excluded</v>
      </c>
      <c r="B2980" s="70">
        <f t="shared" si="2"/>
        <v>0</v>
      </c>
      <c r="C2980" s="70">
        <v>0.0</v>
      </c>
      <c r="D2980" s="70">
        <v>0.0</v>
      </c>
      <c r="E2980" s="70">
        <v>0.0</v>
      </c>
      <c r="F2980" s="70">
        <v>0.0</v>
      </c>
      <c r="G2980" s="70">
        <v>0.0</v>
      </c>
      <c r="H2980" s="70" t="s">
        <v>23101</v>
      </c>
      <c r="I2980" s="70">
        <v>2543.0</v>
      </c>
      <c r="J2980" s="70" t="s">
        <v>23099</v>
      </c>
      <c r="K2980" s="70" t="s">
        <v>23100</v>
      </c>
      <c r="W2980" s="70" t="s">
        <v>31320</v>
      </c>
      <c r="AA2980" s="70" t="s">
        <v>23103</v>
      </c>
      <c r="AI2980" s="70" t="s">
        <v>23104</v>
      </c>
      <c r="AJ2980" s="70" t="s">
        <v>23105</v>
      </c>
      <c r="AK2980" s="70">
        <v>2025.0</v>
      </c>
      <c r="AL2980" s="70" t="s">
        <v>23106</v>
      </c>
      <c r="AN2980" s="70">
        <v>128.0</v>
      </c>
      <c r="AO2980" s="70">
        <v>154.0</v>
      </c>
      <c r="AP2980" s="70">
        <v>26.0</v>
      </c>
      <c r="AQ2980" s="70">
        <v>0.0</v>
      </c>
      <c r="AR2980" s="75" t="s">
        <v>23107</v>
      </c>
      <c r="AS2980" s="70" t="s">
        <v>22525</v>
      </c>
      <c r="AT2980" s="70" t="s">
        <v>22622</v>
      </c>
      <c r="AU2980" s="70" t="s">
        <v>237</v>
      </c>
      <c r="AV2980" s="70" t="s">
        <v>23108</v>
      </c>
      <c r="AX2980" s="70">
        <v>0.0</v>
      </c>
      <c r="AY2980" s="70" t="s">
        <v>24</v>
      </c>
      <c r="AZ2980" s="70">
        <v>1882.0</v>
      </c>
    </row>
    <row r="2981" ht="22.5" customHeight="1">
      <c r="A2981" s="70" t="str">
        <f t="shared" si="1"/>
        <v>Excluded</v>
      </c>
      <c r="B2981" s="70">
        <f t="shared" si="2"/>
        <v>0</v>
      </c>
      <c r="C2981" s="70">
        <v>0.0</v>
      </c>
      <c r="D2981" s="70">
        <v>0.0</v>
      </c>
      <c r="E2981" s="70">
        <v>0.0</v>
      </c>
      <c r="F2981" s="70">
        <v>0.0</v>
      </c>
      <c r="G2981" s="70">
        <v>0.0</v>
      </c>
      <c r="H2981" s="70" t="s">
        <v>22994</v>
      </c>
      <c r="I2981" s="70">
        <v>2533.0</v>
      </c>
      <c r="J2981" s="70" t="s">
        <v>22992</v>
      </c>
      <c r="K2981" s="70" t="s">
        <v>22993</v>
      </c>
      <c r="W2981" s="70" t="s">
        <v>31321</v>
      </c>
      <c r="AA2981" s="70" t="s">
        <v>22996</v>
      </c>
      <c r="AI2981" s="70" t="s">
        <v>22997</v>
      </c>
      <c r="AJ2981" s="70" t="s">
        <v>22998</v>
      </c>
      <c r="AK2981" s="70">
        <v>2024.0</v>
      </c>
      <c r="AL2981" s="70" t="s">
        <v>22999</v>
      </c>
      <c r="AN2981" s="70">
        <v>4703.0</v>
      </c>
      <c r="AO2981" s="70">
        <v>4714.0</v>
      </c>
      <c r="AP2981" s="70">
        <v>11.0</v>
      </c>
      <c r="AQ2981" s="70">
        <v>0.0</v>
      </c>
      <c r="AR2981" s="75" t="s">
        <v>23000</v>
      </c>
      <c r="AS2981" s="70" t="s">
        <v>22525</v>
      </c>
      <c r="AU2981" s="70" t="s">
        <v>237</v>
      </c>
      <c r="AV2981" s="70" t="s">
        <v>23001</v>
      </c>
      <c r="AW2981" s="70" t="s">
        <v>23002</v>
      </c>
      <c r="AX2981" s="70">
        <v>0.0</v>
      </c>
      <c r="AY2981" s="70" t="s">
        <v>24</v>
      </c>
      <c r="AZ2981" s="70">
        <v>2655.0</v>
      </c>
    </row>
    <row r="2982" ht="22.5" customHeight="1">
      <c r="A2982" s="70" t="str">
        <f t="shared" si="1"/>
        <v>Excluded</v>
      </c>
      <c r="B2982" s="70">
        <f t="shared" si="2"/>
        <v>0</v>
      </c>
      <c r="C2982" s="70">
        <v>0.0</v>
      </c>
      <c r="D2982" s="70">
        <v>0.0</v>
      </c>
      <c r="E2982" s="70">
        <v>0.0</v>
      </c>
      <c r="F2982" s="70">
        <v>0.0</v>
      </c>
      <c r="G2982" s="70">
        <v>0.0</v>
      </c>
      <c r="H2982" s="70" t="s">
        <v>24254</v>
      </c>
      <c r="I2982" s="70">
        <v>2654.0</v>
      </c>
      <c r="J2982" s="70" t="s">
        <v>24252</v>
      </c>
      <c r="K2982" s="70" t="s">
        <v>24253</v>
      </c>
      <c r="W2982" s="70" t="s">
        <v>31322</v>
      </c>
      <c r="AA2982" s="70" t="s">
        <v>24256</v>
      </c>
      <c r="AI2982" s="70" t="s">
        <v>24257</v>
      </c>
      <c r="AJ2982" s="70" t="s">
        <v>24258</v>
      </c>
      <c r="AK2982" s="70">
        <v>2024.0</v>
      </c>
      <c r="AL2982" s="70" t="s">
        <v>24259</v>
      </c>
      <c r="AN2982" s="70">
        <v>1157.0</v>
      </c>
      <c r="AO2982" s="70">
        <v>1166.0</v>
      </c>
      <c r="AP2982" s="70">
        <v>9.0</v>
      </c>
      <c r="AQ2982" s="70">
        <v>0.0</v>
      </c>
      <c r="AR2982" s="75" t="s">
        <v>24260</v>
      </c>
      <c r="AS2982" s="70" t="s">
        <v>22525</v>
      </c>
      <c r="AT2982" s="70" t="s">
        <v>22622</v>
      </c>
      <c r="AU2982" s="70" t="s">
        <v>237</v>
      </c>
      <c r="AV2982" s="70" t="s">
        <v>24261</v>
      </c>
      <c r="AZ2982" s="70">
        <v>1380.0</v>
      </c>
    </row>
    <row r="2983" ht="22.5" customHeight="1">
      <c r="A2983" s="70" t="str">
        <f t="shared" si="1"/>
        <v>Excluded</v>
      </c>
      <c r="B2983" s="70">
        <f t="shared" si="2"/>
        <v>0</v>
      </c>
      <c r="C2983" s="70">
        <v>0.0</v>
      </c>
      <c r="D2983" s="70">
        <v>0.0</v>
      </c>
      <c r="E2983" s="70">
        <v>0.0</v>
      </c>
      <c r="F2983" s="70">
        <v>0.0</v>
      </c>
      <c r="G2983" s="70">
        <v>0.0</v>
      </c>
      <c r="H2983" s="70" t="s">
        <v>28372</v>
      </c>
      <c r="I2983" s="70">
        <v>3055.0</v>
      </c>
      <c r="J2983" s="70" t="s">
        <v>28370</v>
      </c>
      <c r="K2983" s="70" t="s">
        <v>28371</v>
      </c>
      <c r="W2983" s="70" t="s">
        <v>31323</v>
      </c>
      <c r="AA2983" s="70" t="s">
        <v>28374</v>
      </c>
      <c r="AI2983" s="70" t="s">
        <v>28375</v>
      </c>
      <c r="AJ2983" s="70" t="s">
        <v>28376</v>
      </c>
      <c r="AK2983" s="70">
        <v>2021.0</v>
      </c>
      <c r="AL2983" s="70" t="s">
        <v>28377</v>
      </c>
      <c r="AN2983" s="70">
        <v>1353.0</v>
      </c>
      <c r="AO2983" s="70">
        <v>1361.0</v>
      </c>
      <c r="AP2983" s="70">
        <v>8.0</v>
      </c>
      <c r="AQ2983" s="70">
        <v>0.0</v>
      </c>
      <c r="AR2983" s="75" t="s">
        <v>28378</v>
      </c>
      <c r="AS2983" s="70" t="s">
        <v>22525</v>
      </c>
      <c r="AT2983" s="70" t="s">
        <v>22622</v>
      </c>
      <c r="AU2983" s="70" t="s">
        <v>237</v>
      </c>
      <c r="AV2983" s="70" t="s">
        <v>28379</v>
      </c>
      <c r="AW2983" s="70" t="s">
        <v>28380</v>
      </c>
      <c r="AZ2983" s="70">
        <v>218.0</v>
      </c>
    </row>
    <row r="2984" ht="22.5" customHeight="1">
      <c r="A2984" s="70" t="str">
        <f t="shared" si="1"/>
        <v>Excluded</v>
      </c>
      <c r="B2984" s="70">
        <f t="shared" si="2"/>
        <v>0</v>
      </c>
      <c r="C2984" s="70">
        <v>0.0</v>
      </c>
      <c r="D2984" s="70">
        <v>0.0</v>
      </c>
      <c r="E2984" s="70">
        <v>0.0</v>
      </c>
      <c r="F2984" s="70">
        <v>0.0</v>
      </c>
      <c r="G2984" s="70">
        <v>0.0</v>
      </c>
      <c r="H2984" s="70" t="s">
        <v>25628</v>
      </c>
      <c r="I2984" s="70">
        <v>2787.0</v>
      </c>
      <c r="J2984" s="70" t="s">
        <v>25626</v>
      </c>
      <c r="K2984" s="70" t="s">
        <v>25627</v>
      </c>
      <c r="W2984" s="70" t="s">
        <v>31324</v>
      </c>
      <c r="AA2984" s="70" t="s">
        <v>25630</v>
      </c>
      <c r="AI2984" s="70" t="s">
        <v>25631</v>
      </c>
      <c r="AJ2984" s="70" t="s">
        <v>25632</v>
      </c>
      <c r="AK2984" s="70">
        <v>2023.0</v>
      </c>
      <c r="AL2984" s="70" t="s">
        <v>25633</v>
      </c>
      <c r="AN2984" s="70">
        <v>1138.0</v>
      </c>
      <c r="AO2984" s="70">
        <v>1150.0</v>
      </c>
      <c r="AP2984" s="70">
        <v>12.0</v>
      </c>
      <c r="AQ2984" s="70">
        <v>0.0</v>
      </c>
      <c r="AR2984" s="75" t="s">
        <v>25634</v>
      </c>
      <c r="AS2984" s="70" t="s">
        <v>22525</v>
      </c>
      <c r="AT2984" s="70" t="s">
        <v>22656</v>
      </c>
      <c r="AU2984" s="70" t="s">
        <v>237</v>
      </c>
      <c r="AV2984" s="70" t="s">
        <v>25635</v>
      </c>
      <c r="AX2984" s="70">
        <v>0.0</v>
      </c>
      <c r="AY2984" s="70" t="s">
        <v>24</v>
      </c>
      <c r="AZ2984" s="70">
        <v>2581.0</v>
      </c>
    </row>
    <row r="2985" ht="22.5" customHeight="1">
      <c r="A2985" s="70" t="str">
        <f t="shared" si="1"/>
        <v>Excluded</v>
      </c>
      <c r="B2985" s="70">
        <f t="shared" si="2"/>
        <v>0</v>
      </c>
      <c r="C2985" s="70">
        <v>0.0</v>
      </c>
      <c r="D2985" s="70">
        <v>0.0</v>
      </c>
      <c r="E2985" s="70">
        <v>0.0</v>
      </c>
      <c r="F2985" s="70">
        <v>0.0</v>
      </c>
      <c r="G2985" s="70">
        <v>0.0</v>
      </c>
      <c r="H2985" s="70" t="s">
        <v>27483</v>
      </c>
      <c r="I2985" s="70">
        <v>2968.0</v>
      </c>
      <c r="J2985" s="70" t="s">
        <v>27481</v>
      </c>
      <c r="K2985" s="70" t="s">
        <v>31325</v>
      </c>
      <c r="W2985" s="70" t="s">
        <v>31326</v>
      </c>
      <c r="AA2985" s="70" t="s">
        <v>27485</v>
      </c>
      <c r="AI2985" s="70" t="s">
        <v>27486</v>
      </c>
      <c r="AJ2985" s="70" t="s">
        <v>27487</v>
      </c>
      <c r="AK2985" s="70">
        <v>2021.0</v>
      </c>
      <c r="AL2985" s="70" t="s">
        <v>27488</v>
      </c>
      <c r="AN2985" s="70">
        <v>32.0</v>
      </c>
      <c r="AO2985" s="70">
        <v>39.0</v>
      </c>
      <c r="AP2985" s="70">
        <v>7.0</v>
      </c>
      <c r="AQ2985" s="70">
        <v>0.0</v>
      </c>
      <c r="AR2985" s="75" t="s">
        <v>27489</v>
      </c>
      <c r="AS2985" s="70" t="s">
        <v>22525</v>
      </c>
      <c r="AU2985" s="70" t="s">
        <v>237</v>
      </c>
      <c r="AV2985" s="70" t="s">
        <v>27490</v>
      </c>
      <c r="AW2985" s="70" t="s">
        <v>27491</v>
      </c>
      <c r="AX2985" s="70">
        <v>0.0</v>
      </c>
      <c r="AY2985" s="70" t="s">
        <v>24</v>
      </c>
      <c r="AZ2985" s="70">
        <v>1672.0</v>
      </c>
    </row>
    <row r="2986" ht="22.5" customHeight="1">
      <c r="A2986" s="70" t="str">
        <f t="shared" si="1"/>
        <v>Excluded</v>
      </c>
      <c r="B2986" s="70">
        <f t="shared" si="2"/>
        <v>0</v>
      </c>
      <c r="C2986" s="70">
        <v>0.0</v>
      </c>
      <c r="D2986" s="70">
        <v>0.0</v>
      </c>
      <c r="E2986" s="70">
        <v>0.0</v>
      </c>
      <c r="F2986" s="70">
        <v>0.0</v>
      </c>
      <c r="G2986" s="70">
        <v>0.0</v>
      </c>
      <c r="H2986" s="70" t="s">
        <v>25804</v>
      </c>
      <c r="I2986" s="70">
        <v>2804.0</v>
      </c>
      <c r="J2986" s="70" t="s">
        <v>25802</v>
      </c>
      <c r="K2986" s="70" t="s">
        <v>25803</v>
      </c>
      <c r="W2986" s="70" t="s">
        <v>31327</v>
      </c>
      <c r="AA2986" s="70" t="s">
        <v>25806</v>
      </c>
      <c r="AI2986" s="70" t="s">
        <v>25807</v>
      </c>
      <c r="AJ2986" s="70" t="s">
        <v>25808</v>
      </c>
      <c r="AK2986" s="70">
        <v>2023.0</v>
      </c>
      <c r="AL2986" s="70" t="s">
        <v>25809</v>
      </c>
      <c r="AN2986" s="70">
        <v>78.0</v>
      </c>
      <c r="AO2986" s="70">
        <v>87.0</v>
      </c>
      <c r="AP2986" s="70">
        <v>9.0</v>
      </c>
      <c r="AQ2986" s="70">
        <v>1.0</v>
      </c>
      <c r="AR2986" s="75" t="s">
        <v>25810</v>
      </c>
      <c r="AS2986" s="70" t="s">
        <v>22525</v>
      </c>
      <c r="AU2986" s="70" t="s">
        <v>237</v>
      </c>
      <c r="AV2986" s="70" t="s">
        <v>25811</v>
      </c>
      <c r="AW2986" s="70" t="s">
        <v>25812</v>
      </c>
      <c r="AX2986" s="70">
        <v>0.0</v>
      </c>
      <c r="AY2986" s="70" t="s">
        <v>24</v>
      </c>
      <c r="AZ2986" s="70">
        <v>3066.0</v>
      </c>
    </row>
    <row r="2987" ht="22.5" customHeight="1">
      <c r="A2987" s="70" t="str">
        <f t="shared" si="1"/>
        <v>Excluded</v>
      </c>
      <c r="B2987" s="70">
        <f t="shared" si="2"/>
        <v>0</v>
      </c>
      <c r="C2987" s="70">
        <v>0.0</v>
      </c>
      <c r="D2987" s="70">
        <v>0.0</v>
      </c>
      <c r="E2987" s="70">
        <v>0.0</v>
      </c>
      <c r="F2987" s="70">
        <v>0.0</v>
      </c>
      <c r="G2987" s="70">
        <v>0.0</v>
      </c>
      <c r="H2987" s="70" t="s">
        <v>24667</v>
      </c>
      <c r="I2987" s="70">
        <v>2694.0</v>
      </c>
      <c r="J2987" s="70" t="s">
        <v>24665</v>
      </c>
      <c r="K2987" s="70" t="s">
        <v>24666</v>
      </c>
      <c r="W2987" s="70" t="s">
        <v>31328</v>
      </c>
      <c r="AA2987" s="70" t="s">
        <v>24669</v>
      </c>
      <c r="AI2987" s="70" t="s">
        <v>24670</v>
      </c>
      <c r="AJ2987" s="70">
        <v>5.77539955E10</v>
      </c>
      <c r="AK2987" s="70">
        <v>2023.0</v>
      </c>
      <c r="AL2987" s="70" t="s">
        <v>24671</v>
      </c>
      <c r="AN2987" s="70">
        <v>4272.0</v>
      </c>
      <c r="AO2987" s="70">
        <v>4285.0</v>
      </c>
      <c r="AP2987" s="70">
        <v>13.0</v>
      </c>
      <c r="AQ2987" s="70">
        <v>1.0</v>
      </c>
      <c r="AR2987" s="75" t="s">
        <v>24672</v>
      </c>
      <c r="AS2987" s="70" t="s">
        <v>22525</v>
      </c>
      <c r="AT2987" s="70" t="s">
        <v>22622</v>
      </c>
      <c r="AU2987" s="70" t="s">
        <v>237</v>
      </c>
      <c r="AV2987" s="70" t="s">
        <v>24673</v>
      </c>
      <c r="AW2987" s="70" t="s">
        <v>24674</v>
      </c>
      <c r="AZ2987" s="70">
        <v>780.0</v>
      </c>
    </row>
    <row r="2988" ht="22.5" customHeight="1">
      <c r="A2988" s="70" t="str">
        <f t="shared" si="1"/>
        <v>Excluded</v>
      </c>
      <c r="B2988" s="70">
        <f t="shared" si="2"/>
        <v>0</v>
      </c>
      <c r="C2988" s="70">
        <v>0.0</v>
      </c>
      <c r="D2988" s="70">
        <v>0.0</v>
      </c>
      <c r="E2988" s="70">
        <v>0.0</v>
      </c>
      <c r="F2988" s="70">
        <v>0.0</v>
      </c>
      <c r="G2988" s="70">
        <v>0.0</v>
      </c>
      <c r="H2988" s="70" t="s">
        <v>23288</v>
      </c>
      <c r="I2988" s="70">
        <v>2561.0</v>
      </c>
      <c r="J2988" s="70" t="s">
        <v>23286</v>
      </c>
      <c r="K2988" s="70" t="s">
        <v>23287</v>
      </c>
      <c r="W2988" s="70" t="s">
        <v>31329</v>
      </c>
      <c r="AA2988" s="70" t="s">
        <v>23290</v>
      </c>
      <c r="AI2988" s="70" t="s">
        <v>23291</v>
      </c>
      <c r="AJ2988" s="70" t="s">
        <v>23292</v>
      </c>
      <c r="AK2988" s="70">
        <v>2025.0</v>
      </c>
      <c r="AL2988" s="70" t="s">
        <v>23293</v>
      </c>
      <c r="AM2988" s="70">
        <v>2.0</v>
      </c>
      <c r="AQ2988" s="70">
        <v>0.0</v>
      </c>
      <c r="AR2988" s="75" t="s">
        <v>23294</v>
      </c>
      <c r="AS2988" s="70" t="s">
        <v>22525</v>
      </c>
      <c r="AU2988" s="70" t="s">
        <v>237</v>
      </c>
      <c r="AV2988" s="70" t="s">
        <v>23295</v>
      </c>
      <c r="AW2988" s="70" t="s">
        <v>23296</v>
      </c>
      <c r="AX2988" s="70">
        <v>0.0</v>
      </c>
      <c r="AY2988" s="70" t="s">
        <v>24</v>
      </c>
      <c r="AZ2988" s="70">
        <v>2392.0</v>
      </c>
    </row>
    <row r="2989" ht="22.5" customHeight="1">
      <c r="A2989" s="70" t="str">
        <f t="shared" si="1"/>
        <v>Excluded</v>
      </c>
      <c r="B2989" s="70">
        <f t="shared" si="2"/>
        <v>0</v>
      </c>
      <c r="C2989" s="70">
        <v>0.0</v>
      </c>
      <c r="D2989" s="70">
        <v>0.0</v>
      </c>
      <c r="E2989" s="70">
        <v>0.0</v>
      </c>
      <c r="F2989" s="70">
        <v>0.0</v>
      </c>
      <c r="G2989" s="70">
        <v>0.0</v>
      </c>
      <c r="H2989" s="70" t="s">
        <v>9802</v>
      </c>
      <c r="I2989" s="70">
        <v>960.0</v>
      </c>
      <c r="J2989" s="70" t="s">
        <v>9798</v>
      </c>
      <c r="K2989" s="70" t="s">
        <v>9799</v>
      </c>
      <c r="L2989" s="70" t="s">
        <v>9800</v>
      </c>
      <c r="N2989" s="70" t="s">
        <v>9801</v>
      </c>
      <c r="P2989" s="77">
        <v>44083.0</v>
      </c>
      <c r="U2989" s="70" t="s">
        <v>239</v>
      </c>
      <c r="W2989" s="70" t="s">
        <v>9804</v>
      </c>
      <c r="X2989" s="70" t="s">
        <v>9805</v>
      </c>
      <c r="Z2989" s="75" t="s">
        <v>9806</v>
      </c>
      <c r="AA2989" s="70" t="s">
        <v>9807</v>
      </c>
      <c r="AE2989" s="70">
        <v>6.0</v>
      </c>
      <c r="AW2989" s="70" t="s">
        <v>9808</v>
      </c>
      <c r="AZ2989" s="70">
        <v>1387.0</v>
      </c>
    </row>
    <row r="2990" ht="22.5" customHeight="1">
      <c r="A2990" s="70" t="str">
        <f t="shared" si="1"/>
        <v>Excluded</v>
      </c>
      <c r="B2990" s="70">
        <f t="shared" si="2"/>
        <v>0</v>
      </c>
      <c r="C2990" s="70">
        <v>0.0</v>
      </c>
      <c r="D2990" s="70">
        <v>0.0</v>
      </c>
      <c r="E2990" s="70">
        <v>0.0</v>
      </c>
      <c r="F2990" s="70">
        <v>0.0</v>
      </c>
      <c r="G2990" s="70">
        <v>0.0</v>
      </c>
      <c r="H2990" s="70" t="s">
        <v>11012</v>
      </c>
      <c r="I2990" s="70">
        <v>1149.0</v>
      </c>
      <c r="K2990" s="70" t="s">
        <v>10597</v>
      </c>
      <c r="L2990" s="70" t="s">
        <v>11011</v>
      </c>
      <c r="N2990" s="70" t="s">
        <v>9801</v>
      </c>
      <c r="P2990" s="76">
        <v>44845.0</v>
      </c>
      <c r="U2990" s="70" t="s">
        <v>239</v>
      </c>
      <c r="W2990" s="70" t="s">
        <v>10710</v>
      </c>
      <c r="X2990" s="70" t="s">
        <v>11013</v>
      </c>
      <c r="Z2990" s="75" t="s">
        <v>11014</v>
      </c>
      <c r="AZ2990" s="70">
        <v>1526.0</v>
      </c>
    </row>
    <row r="2991" ht="22.5" customHeight="1">
      <c r="A2991" s="70" t="str">
        <f t="shared" si="1"/>
        <v>Excluded</v>
      </c>
      <c r="B2991" s="70">
        <f t="shared" si="2"/>
        <v>0</v>
      </c>
      <c r="C2991" s="70">
        <v>0.0</v>
      </c>
      <c r="D2991" s="70">
        <v>0.0</v>
      </c>
      <c r="E2991" s="70">
        <v>0.0</v>
      </c>
      <c r="F2991" s="70">
        <v>0.0</v>
      </c>
      <c r="G2991" s="70">
        <v>0.0</v>
      </c>
      <c r="H2991" s="70" t="s">
        <v>6851</v>
      </c>
      <c r="I2991" s="70">
        <v>653.0</v>
      </c>
      <c r="J2991" s="70" t="s">
        <v>6847</v>
      </c>
      <c r="K2991" s="70" t="s">
        <v>31330</v>
      </c>
      <c r="L2991" s="70" t="s">
        <v>6849</v>
      </c>
      <c r="N2991" s="70" t="s">
        <v>6850</v>
      </c>
      <c r="P2991" s="76">
        <v>44389.0</v>
      </c>
      <c r="U2991" s="70" t="s">
        <v>239</v>
      </c>
      <c r="W2991" s="70" t="s">
        <v>6853</v>
      </c>
      <c r="X2991" s="70" t="s">
        <v>6854</v>
      </c>
      <c r="Z2991" s="75" t="s">
        <v>6855</v>
      </c>
      <c r="AA2991" s="70" t="s">
        <v>31331</v>
      </c>
      <c r="AC2991" s="70">
        <v>5.0</v>
      </c>
      <c r="AE2991" s="70">
        <v>29.0</v>
      </c>
      <c r="AW2991" s="70" t="s">
        <v>6857</v>
      </c>
      <c r="AZ2991" s="70">
        <v>928.0</v>
      </c>
    </row>
    <row r="2992" ht="22.5" customHeight="1">
      <c r="A2992" s="70" t="str">
        <f t="shared" si="1"/>
        <v>Excluded</v>
      </c>
      <c r="B2992" s="70">
        <f t="shared" si="2"/>
        <v>0</v>
      </c>
      <c r="C2992" s="70">
        <v>0.0</v>
      </c>
      <c r="D2992" s="70">
        <v>0.0</v>
      </c>
      <c r="E2992" s="70">
        <v>0.0</v>
      </c>
      <c r="F2992" s="70">
        <v>0.0</v>
      </c>
      <c r="G2992" s="70">
        <v>0.0</v>
      </c>
      <c r="H2992" s="70" t="s">
        <v>11593</v>
      </c>
      <c r="I2992" s="70">
        <v>1214.0</v>
      </c>
      <c r="J2992" s="70" t="s">
        <v>31332</v>
      </c>
      <c r="K2992" s="70" t="s">
        <v>11591</v>
      </c>
      <c r="L2992" s="70" t="s">
        <v>11592</v>
      </c>
      <c r="N2992" s="70" t="s">
        <v>6850</v>
      </c>
      <c r="P2992" s="76">
        <v>45153.0</v>
      </c>
      <c r="U2992" s="70" t="s">
        <v>239</v>
      </c>
      <c r="W2992" s="70" t="s">
        <v>11595</v>
      </c>
      <c r="X2992" s="70" t="s">
        <v>11596</v>
      </c>
      <c r="Z2992" s="75" t="s">
        <v>11597</v>
      </c>
      <c r="AA2992" s="70" t="s">
        <v>11598</v>
      </c>
      <c r="AC2992" s="70">
        <v>2.0</v>
      </c>
      <c r="AE2992" s="70">
        <v>21.0</v>
      </c>
      <c r="AW2992" s="70" t="s">
        <v>11599</v>
      </c>
      <c r="AX2992" s="70">
        <v>1.0</v>
      </c>
      <c r="AZ2992" s="70">
        <v>1630.0</v>
      </c>
    </row>
    <row r="2993" ht="22.5" customHeight="1">
      <c r="A2993" s="70" t="str">
        <f t="shared" si="1"/>
        <v>Excluded</v>
      </c>
      <c r="B2993" s="70">
        <f t="shared" si="2"/>
        <v>0</v>
      </c>
      <c r="C2993" s="70">
        <v>0.0</v>
      </c>
      <c r="D2993" s="70">
        <v>0.0</v>
      </c>
      <c r="E2993" s="70">
        <v>0.0</v>
      </c>
      <c r="F2993" s="70">
        <v>0.0</v>
      </c>
      <c r="G2993" s="70">
        <v>0.0</v>
      </c>
      <c r="H2993" s="70" t="s">
        <v>15504</v>
      </c>
      <c r="I2993" s="70">
        <v>1618.0</v>
      </c>
      <c r="J2993" s="70" t="s">
        <v>31333</v>
      </c>
      <c r="K2993" s="70" t="s">
        <v>15503</v>
      </c>
      <c r="L2993" s="70" t="s">
        <v>11592</v>
      </c>
      <c r="N2993" s="70" t="s">
        <v>6850</v>
      </c>
      <c r="P2993" s="76">
        <v>45153.0</v>
      </c>
      <c r="U2993" s="70" t="s">
        <v>239</v>
      </c>
      <c r="W2993" s="70" t="s">
        <v>15506</v>
      </c>
      <c r="X2993" s="70" t="s">
        <v>11596</v>
      </c>
      <c r="Y2993" s="70" t="s">
        <v>31334</v>
      </c>
      <c r="Z2993" s="75" t="s">
        <v>15508</v>
      </c>
      <c r="AA2993" s="70" t="s">
        <v>15509</v>
      </c>
      <c r="AE2993" s="70">
        <v>7.0</v>
      </c>
      <c r="AW2993" s="70" t="s">
        <v>15510</v>
      </c>
      <c r="AX2993" s="70">
        <v>0.0</v>
      </c>
      <c r="AZ2993" s="70">
        <v>1969.0</v>
      </c>
    </row>
    <row r="2994" ht="22.5" customHeight="1">
      <c r="A2994" s="70" t="str">
        <f t="shared" si="1"/>
        <v>Excluded</v>
      </c>
      <c r="B2994" s="70">
        <f t="shared" si="2"/>
        <v>0</v>
      </c>
      <c r="C2994" s="70">
        <v>0.0</v>
      </c>
      <c r="D2994" s="70">
        <v>0.0</v>
      </c>
      <c r="E2994" s="70">
        <v>0.0</v>
      </c>
      <c r="F2994" s="70">
        <v>0.0</v>
      </c>
      <c r="G2994" s="70">
        <v>0.0</v>
      </c>
      <c r="H2994" s="70" t="s">
        <v>8364</v>
      </c>
      <c r="I2994" s="70">
        <v>810.0</v>
      </c>
      <c r="J2994" s="70" t="s">
        <v>8360</v>
      </c>
      <c r="K2994" s="70" t="s">
        <v>8361</v>
      </c>
      <c r="L2994" s="70" t="s">
        <v>8362</v>
      </c>
      <c r="N2994" s="70" t="s">
        <v>8363</v>
      </c>
      <c r="P2994" s="76">
        <v>43888.0</v>
      </c>
      <c r="U2994" s="70" t="s">
        <v>239</v>
      </c>
      <c r="W2994" s="70" t="s">
        <v>8366</v>
      </c>
      <c r="X2994" s="70" t="s">
        <v>8367</v>
      </c>
      <c r="Z2994" s="75" t="s">
        <v>8368</v>
      </c>
      <c r="AA2994" s="70" t="s">
        <v>8369</v>
      </c>
      <c r="AC2994" s="70">
        <v>2.0</v>
      </c>
      <c r="AE2994" s="70">
        <v>18.0</v>
      </c>
      <c r="AW2994" s="70" t="s">
        <v>8370</v>
      </c>
      <c r="AX2994" s="70">
        <v>0.0</v>
      </c>
      <c r="AY2994" s="70" t="s">
        <v>24</v>
      </c>
      <c r="AZ2994" s="70">
        <v>3131.0</v>
      </c>
    </row>
    <row r="2995" ht="22.5" customHeight="1">
      <c r="A2995" s="70" t="str">
        <f t="shared" si="1"/>
        <v>Excluded</v>
      </c>
      <c r="B2995" s="70">
        <f t="shared" si="2"/>
        <v>0</v>
      </c>
      <c r="C2995" s="70">
        <v>0.0</v>
      </c>
      <c r="D2995" s="70">
        <v>0.0</v>
      </c>
      <c r="E2995" s="70">
        <v>0.0</v>
      </c>
      <c r="F2995" s="70">
        <v>0.0</v>
      </c>
      <c r="G2995" s="70">
        <v>0.0</v>
      </c>
      <c r="H2995" s="70" t="s">
        <v>11822</v>
      </c>
      <c r="I2995" s="70">
        <v>1237.0</v>
      </c>
      <c r="J2995" s="70" t="s">
        <v>11819</v>
      </c>
      <c r="K2995" s="70" t="s">
        <v>11820</v>
      </c>
      <c r="L2995" s="70" t="s">
        <v>11821</v>
      </c>
      <c r="N2995" s="70" t="s">
        <v>8363</v>
      </c>
      <c r="P2995" s="76">
        <v>45258.0</v>
      </c>
      <c r="U2995" s="70" t="s">
        <v>239</v>
      </c>
      <c r="W2995" s="70" t="s">
        <v>11824</v>
      </c>
      <c r="X2995" s="70" t="s">
        <v>11825</v>
      </c>
      <c r="Y2995" s="70" t="s">
        <v>30991</v>
      </c>
      <c r="Z2995" s="75" t="s">
        <v>11827</v>
      </c>
      <c r="AA2995" s="70" t="s">
        <v>11828</v>
      </c>
      <c r="AC2995" s="70">
        <v>1.0</v>
      </c>
      <c r="AE2995" s="70">
        <v>43.0</v>
      </c>
      <c r="AW2995" s="70" t="s">
        <v>11829</v>
      </c>
      <c r="AX2995" s="70">
        <v>0.0</v>
      </c>
      <c r="AY2995" s="70" t="s">
        <v>24</v>
      </c>
      <c r="AZ2995" s="70">
        <v>2011.0</v>
      </c>
    </row>
    <row r="2996" ht="22.5" customHeight="1">
      <c r="A2996" s="70" t="str">
        <f t="shared" si="1"/>
        <v>Excluded</v>
      </c>
      <c r="B2996" s="70">
        <f t="shared" si="2"/>
        <v>0</v>
      </c>
      <c r="C2996" s="70">
        <v>0.0</v>
      </c>
      <c r="D2996" s="70">
        <v>0.0</v>
      </c>
      <c r="E2996" s="70">
        <v>0.0</v>
      </c>
      <c r="F2996" s="70">
        <v>0.0</v>
      </c>
      <c r="G2996" s="70">
        <v>0.0</v>
      </c>
      <c r="H2996" s="70" t="s">
        <v>5244</v>
      </c>
      <c r="I2996" s="70">
        <v>490.0</v>
      </c>
      <c r="J2996" s="70" t="s">
        <v>31335</v>
      </c>
      <c r="K2996" s="70" t="s">
        <v>5241</v>
      </c>
      <c r="L2996" s="70" t="s">
        <v>5242</v>
      </c>
      <c r="N2996" s="70" t="s">
        <v>5243</v>
      </c>
      <c r="P2996" s="78">
        <v>42870.0</v>
      </c>
      <c r="U2996" s="70" t="s">
        <v>239</v>
      </c>
      <c r="W2996" s="70" t="s">
        <v>5246</v>
      </c>
      <c r="X2996" s="70" t="s">
        <v>5247</v>
      </c>
      <c r="Z2996" s="75" t="s">
        <v>5248</v>
      </c>
      <c r="AC2996" s="70">
        <v>15.0</v>
      </c>
      <c r="AE2996" s="70">
        <v>15.0</v>
      </c>
      <c r="AW2996" s="70" t="s">
        <v>5249</v>
      </c>
      <c r="AZ2996" s="70">
        <v>514.0</v>
      </c>
    </row>
    <row r="2997" ht="22.5" customHeight="1">
      <c r="A2997" s="70" t="str">
        <f t="shared" si="1"/>
        <v>Excluded</v>
      </c>
      <c r="B2997" s="70">
        <f t="shared" si="2"/>
        <v>0</v>
      </c>
      <c r="C2997" s="70">
        <v>0.0</v>
      </c>
      <c r="D2997" s="70">
        <v>0.0</v>
      </c>
      <c r="E2997" s="70">
        <v>0.0</v>
      </c>
      <c r="F2997" s="70">
        <v>0.0</v>
      </c>
      <c r="G2997" s="70">
        <v>0.0</v>
      </c>
      <c r="H2997" s="70" t="s">
        <v>27932</v>
      </c>
      <c r="I2997" s="70">
        <v>3012.0</v>
      </c>
      <c r="J2997" s="70" t="s">
        <v>27930</v>
      </c>
      <c r="K2997" s="70" t="s">
        <v>27931</v>
      </c>
      <c r="W2997" s="70" t="s">
        <v>31336</v>
      </c>
      <c r="AA2997" s="70" t="s">
        <v>27935</v>
      </c>
      <c r="AI2997" s="70" t="s">
        <v>27936</v>
      </c>
      <c r="AJ2997" s="70" t="s">
        <v>27937</v>
      </c>
      <c r="AK2997" s="70">
        <v>2021.0</v>
      </c>
      <c r="AL2997" s="70" t="s">
        <v>27938</v>
      </c>
      <c r="AM2997" s="70">
        <v>9474067.0</v>
      </c>
      <c r="AN2997" s="70">
        <v>986.0</v>
      </c>
      <c r="AO2997" s="70">
        <v>989.0</v>
      </c>
      <c r="AP2997" s="70">
        <v>3.0</v>
      </c>
      <c r="AQ2997" s="70">
        <v>5.0</v>
      </c>
      <c r="AR2997" s="75" t="s">
        <v>27939</v>
      </c>
      <c r="AS2997" s="70" t="s">
        <v>22525</v>
      </c>
      <c r="AU2997" s="70" t="s">
        <v>237</v>
      </c>
      <c r="AV2997" s="70" t="s">
        <v>27940</v>
      </c>
      <c r="AW2997" s="70" t="s">
        <v>27941</v>
      </c>
      <c r="AZ2997" s="70">
        <v>862.0</v>
      </c>
    </row>
    <row r="2998" ht="22.5" customHeight="1">
      <c r="A2998" s="70" t="str">
        <f t="shared" si="1"/>
        <v>Excluded</v>
      </c>
      <c r="B2998" s="70">
        <f t="shared" si="2"/>
        <v>0</v>
      </c>
      <c r="C2998" s="70">
        <v>0.0</v>
      </c>
      <c r="D2998" s="70">
        <v>0.0</v>
      </c>
      <c r="E2998" s="70">
        <v>0.0</v>
      </c>
      <c r="F2998" s="70">
        <v>0.0</v>
      </c>
      <c r="G2998" s="70">
        <v>0.0</v>
      </c>
      <c r="H2998" s="70" t="s">
        <v>5996</v>
      </c>
      <c r="I2998" s="70">
        <v>566.0</v>
      </c>
      <c r="J2998" s="70" t="s">
        <v>5993</v>
      </c>
      <c r="K2998" s="70" t="s">
        <v>5994</v>
      </c>
      <c r="L2998" s="70" t="s">
        <v>5995</v>
      </c>
      <c r="N2998" s="70" t="s">
        <v>5243</v>
      </c>
      <c r="P2998" s="78">
        <v>44700.0</v>
      </c>
      <c r="U2998" s="70" t="s">
        <v>239</v>
      </c>
      <c r="W2998" s="70" t="s">
        <v>5998</v>
      </c>
      <c r="X2998" s="70" t="s">
        <v>5999</v>
      </c>
      <c r="Y2998" s="70" t="s">
        <v>31337</v>
      </c>
      <c r="Z2998" s="75" t="s">
        <v>6001</v>
      </c>
      <c r="AA2998" s="70" t="s">
        <v>6002</v>
      </c>
      <c r="AC2998" s="70">
        <v>8.0</v>
      </c>
      <c r="AE2998" s="70">
        <v>17.0</v>
      </c>
      <c r="AW2998" s="70" t="s">
        <v>6003</v>
      </c>
      <c r="AZ2998" s="70">
        <v>575.0</v>
      </c>
    </row>
    <row r="2999" ht="22.5" customHeight="1">
      <c r="A2999" s="70" t="str">
        <f t="shared" si="1"/>
        <v>Excluded</v>
      </c>
      <c r="B2999" s="70">
        <f t="shared" si="2"/>
        <v>0</v>
      </c>
      <c r="C2999" s="70">
        <v>0.0</v>
      </c>
      <c r="D2999" s="70">
        <v>0.0</v>
      </c>
      <c r="E2999" s="70">
        <v>0.0</v>
      </c>
      <c r="F2999" s="70">
        <v>0.0</v>
      </c>
      <c r="G2999" s="70">
        <v>0.0</v>
      </c>
      <c r="H2999" s="70" t="s">
        <v>9188</v>
      </c>
      <c r="I2999" s="70">
        <v>895.0</v>
      </c>
      <c r="J2999" s="70" t="s">
        <v>9185</v>
      </c>
      <c r="K2999" s="70" t="s">
        <v>9186</v>
      </c>
      <c r="L2999" s="70" t="s">
        <v>9187</v>
      </c>
      <c r="P2999" s="77">
        <v>44873.0</v>
      </c>
      <c r="U2999" s="70" t="s">
        <v>239</v>
      </c>
      <c r="W2999" s="70" t="s">
        <v>9190</v>
      </c>
      <c r="X2999" s="70" t="s">
        <v>9191</v>
      </c>
      <c r="Z2999" s="75" t="s">
        <v>9192</v>
      </c>
      <c r="AA2999" s="70" t="s">
        <v>9193</v>
      </c>
      <c r="AC2999" s="70">
        <v>1.0</v>
      </c>
      <c r="AE2999" s="70">
        <v>18.0</v>
      </c>
      <c r="AW2999" s="70" t="s">
        <v>9194</v>
      </c>
      <c r="AX2999" s="70">
        <v>0.0</v>
      </c>
      <c r="AY2999" s="70" t="s">
        <v>24</v>
      </c>
      <c r="AZ2999" s="70">
        <v>2231.0</v>
      </c>
    </row>
    <row r="3000" ht="22.5" customHeight="1">
      <c r="A3000" s="70" t="str">
        <f t="shared" si="1"/>
        <v>Excluded</v>
      </c>
      <c r="B3000" s="70">
        <f t="shared" si="2"/>
        <v>0</v>
      </c>
      <c r="C3000" s="70">
        <v>0.0</v>
      </c>
      <c r="D3000" s="70">
        <v>0.0</v>
      </c>
      <c r="E3000" s="70">
        <v>0.0</v>
      </c>
      <c r="F3000" s="70">
        <v>0.0</v>
      </c>
      <c r="G3000" s="70">
        <v>0.0</v>
      </c>
      <c r="H3000" s="70" t="s">
        <v>28860</v>
      </c>
      <c r="I3000" s="70">
        <v>3102.0</v>
      </c>
      <c r="J3000" s="70" t="s">
        <v>28858</v>
      </c>
      <c r="K3000" s="70" t="s">
        <v>28859</v>
      </c>
      <c r="W3000" s="70" t="s">
        <v>31338</v>
      </c>
      <c r="AI3000" s="70" t="s">
        <v>28862</v>
      </c>
      <c r="AJ3000" s="70" t="s">
        <v>28863</v>
      </c>
      <c r="AK3000" s="70">
        <v>2017.0</v>
      </c>
      <c r="AL3000" s="70" t="s">
        <v>28864</v>
      </c>
      <c r="AM3000" s="70">
        <v>7892195.0</v>
      </c>
      <c r="AN3000" s="70">
        <v>151.0</v>
      </c>
      <c r="AO3000" s="70">
        <v>158.0</v>
      </c>
      <c r="AP3000" s="70">
        <v>7.0</v>
      </c>
      <c r="AQ3000" s="70">
        <v>11.0</v>
      </c>
      <c r="AR3000" s="75" t="s">
        <v>28865</v>
      </c>
      <c r="AS3000" s="70" t="s">
        <v>22525</v>
      </c>
      <c r="AU3000" s="70" t="s">
        <v>237</v>
      </c>
      <c r="AV3000" s="70" t="s">
        <v>28866</v>
      </c>
      <c r="AW3000" s="70" t="s">
        <v>28867</v>
      </c>
      <c r="AX3000" s="70">
        <v>0.0</v>
      </c>
      <c r="AY3000" s="70" t="s">
        <v>24</v>
      </c>
      <c r="AZ3000" s="70">
        <v>3137.0</v>
      </c>
    </row>
    <row r="3001" ht="22.5" customHeight="1">
      <c r="A3001" s="70" t="str">
        <f t="shared" si="1"/>
        <v>Excluded</v>
      </c>
      <c r="B3001" s="70">
        <f t="shared" si="2"/>
        <v>0</v>
      </c>
      <c r="C3001" s="70">
        <v>0.0</v>
      </c>
      <c r="D3001" s="70">
        <v>0.0</v>
      </c>
      <c r="E3001" s="70">
        <v>0.0</v>
      </c>
      <c r="F3001" s="70">
        <v>0.0</v>
      </c>
      <c r="G3001" s="70">
        <v>0.0</v>
      </c>
      <c r="H3001" s="70" t="s">
        <v>6400</v>
      </c>
      <c r="I3001" s="70">
        <v>607.0</v>
      </c>
      <c r="J3001" s="70" t="s">
        <v>6397</v>
      </c>
      <c r="K3001" s="70" t="s">
        <v>6398</v>
      </c>
      <c r="L3001" s="70" t="s">
        <v>6399</v>
      </c>
      <c r="N3001" s="70" t="s">
        <v>6260</v>
      </c>
      <c r="P3001" s="76">
        <v>43027.0</v>
      </c>
      <c r="U3001" s="70" t="s">
        <v>239</v>
      </c>
      <c r="W3001" s="70" t="s">
        <v>6402</v>
      </c>
      <c r="X3001" s="70" t="s">
        <v>6403</v>
      </c>
      <c r="Z3001" s="75" t="s">
        <v>6404</v>
      </c>
      <c r="AC3001" s="70">
        <v>6.0</v>
      </c>
      <c r="AE3001" s="70">
        <v>44.0</v>
      </c>
      <c r="AW3001" s="70" t="s">
        <v>6405</v>
      </c>
      <c r="AZ3001" s="70">
        <v>1133.0</v>
      </c>
    </row>
    <row r="3002" ht="22.5" customHeight="1">
      <c r="A3002" s="70" t="str">
        <f t="shared" si="1"/>
        <v>Excluded</v>
      </c>
      <c r="B3002" s="70">
        <f t="shared" si="2"/>
        <v>0</v>
      </c>
      <c r="C3002" s="70">
        <v>0.0</v>
      </c>
      <c r="D3002" s="70">
        <v>0.0</v>
      </c>
      <c r="E3002" s="70">
        <v>0.0</v>
      </c>
      <c r="F3002" s="70">
        <v>0.0</v>
      </c>
      <c r="G3002" s="70">
        <v>0.0</v>
      </c>
      <c r="H3002" s="70" t="s">
        <v>9711</v>
      </c>
      <c r="I3002" s="70">
        <v>950.0</v>
      </c>
      <c r="J3002" s="70" t="s">
        <v>9708</v>
      </c>
      <c r="K3002" s="70" t="s">
        <v>9709</v>
      </c>
      <c r="L3002" s="70" t="s">
        <v>9710</v>
      </c>
      <c r="N3002" s="70" t="s">
        <v>6260</v>
      </c>
      <c r="P3002" s="76">
        <v>43363.0</v>
      </c>
      <c r="U3002" s="70" t="s">
        <v>239</v>
      </c>
      <c r="W3002" s="70" t="s">
        <v>9713</v>
      </c>
      <c r="X3002" s="70" t="s">
        <v>9714</v>
      </c>
      <c r="Z3002" s="75" t="s">
        <v>9715</v>
      </c>
      <c r="AE3002" s="70">
        <v>22.0</v>
      </c>
      <c r="AW3002" s="70" t="s">
        <v>9716</v>
      </c>
      <c r="AX3002" s="70">
        <v>0.0</v>
      </c>
      <c r="AY3002" s="70" t="s">
        <v>24</v>
      </c>
      <c r="AZ3002" s="70">
        <v>2053.0</v>
      </c>
    </row>
    <row r="3003" ht="22.5" customHeight="1">
      <c r="A3003" s="70" t="str">
        <f t="shared" si="1"/>
        <v>Excluded</v>
      </c>
      <c r="B3003" s="70">
        <f t="shared" si="2"/>
        <v>0</v>
      </c>
      <c r="C3003" s="70">
        <v>0.0</v>
      </c>
      <c r="D3003" s="70">
        <v>0.0</v>
      </c>
      <c r="E3003" s="70">
        <v>0.0</v>
      </c>
      <c r="F3003" s="70">
        <v>0.0</v>
      </c>
      <c r="G3003" s="70">
        <v>0.0</v>
      </c>
      <c r="H3003" s="70" t="s">
        <v>8082</v>
      </c>
      <c r="I3003" s="70">
        <v>780.0</v>
      </c>
      <c r="J3003" s="70" t="s">
        <v>8079</v>
      </c>
      <c r="K3003" s="70" t="s">
        <v>8080</v>
      </c>
      <c r="L3003" s="70" t="s">
        <v>8081</v>
      </c>
      <c r="N3003" s="70" t="s">
        <v>6260</v>
      </c>
      <c r="P3003" s="76">
        <v>43461.0</v>
      </c>
      <c r="U3003" s="70" t="s">
        <v>239</v>
      </c>
      <c r="W3003" s="70" t="s">
        <v>8084</v>
      </c>
      <c r="X3003" s="70" t="s">
        <v>8085</v>
      </c>
      <c r="Z3003" s="75" t="s">
        <v>8086</v>
      </c>
      <c r="AC3003" s="70">
        <v>2.0</v>
      </c>
      <c r="AE3003" s="70">
        <v>16.0</v>
      </c>
      <c r="AW3003" s="70" t="s">
        <v>8087</v>
      </c>
      <c r="AZ3003" s="70">
        <v>932.0</v>
      </c>
    </row>
    <row r="3004" ht="22.5" customHeight="1">
      <c r="A3004" s="70" t="str">
        <f t="shared" si="1"/>
        <v>Excluded</v>
      </c>
      <c r="B3004" s="70">
        <f t="shared" si="2"/>
        <v>0</v>
      </c>
      <c r="C3004" s="70">
        <v>0.0</v>
      </c>
      <c r="D3004" s="70">
        <v>0.0</v>
      </c>
      <c r="E3004" s="70">
        <v>0.0</v>
      </c>
      <c r="F3004" s="70">
        <v>0.0</v>
      </c>
      <c r="G3004" s="70">
        <v>0.0</v>
      </c>
      <c r="H3004" s="70" t="s">
        <v>6261</v>
      </c>
      <c r="I3004" s="70">
        <v>593.0</v>
      </c>
      <c r="J3004" s="70" t="s">
        <v>6257</v>
      </c>
      <c r="K3004" s="70" t="s">
        <v>6258</v>
      </c>
      <c r="L3004" s="70" t="s">
        <v>6259</v>
      </c>
      <c r="N3004" s="70" t="s">
        <v>6260</v>
      </c>
      <c r="P3004" s="76">
        <v>44238.0</v>
      </c>
      <c r="U3004" s="70" t="s">
        <v>239</v>
      </c>
      <c r="W3004" s="70" t="s">
        <v>6263</v>
      </c>
      <c r="X3004" s="70" t="s">
        <v>6264</v>
      </c>
      <c r="Y3004" s="70" t="s">
        <v>31339</v>
      </c>
      <c r="Z3004" s="75" t="s">
        <v>6266</v>
      </c>
      <c r="AC3004" s="70">
        <v>7.0</v>
      </c>
      <c r="AE3004" s="70">
        <v>13.0</v>
      </c>
      <c r="AW3004" s="70" t="s">
        <v>6267</v>
      </c>
      <c r="AZ3004" s="70">
        <v>729.0</v>
      </c>
    </row>
    <row r="3005" ht="22.5" customHeight="1">
      <c r="A3005" s="70" t="str">
        <f t="shared" si="1"/>
        <v>Excluded</v>
      </c>
      <c r="B3005" s="70">
        <f t="shared" si="2"/>
        <v>0</v>
      </c>
      <c r="C3005" s="70">
        <v>0.0</v>
      </c>
      <c r="D3005" s="70">
        <v>0.0</v>
      </c>
      <c r="E3005" s="70">
        <v>0.0</v>
      </c>
      <c r="F3005" s="70">
        <v>0.0</v>
      </c>
      <c r="G3005" s="70">
        <v>0.0</v>
      </c>
      <c r="H3005" s="70" t="s">
        <v>9311</v>
      </c>
      <c r="I3005" s="70">
        <v>908.0</v>
      </c>
      <c r="J3005" s="70" t="s">
        <v>9308</v>
      </c>
      <c r="K3005" s="70" t="s">
        <v>9309</v>
      </c>
      <c r="L3005" s="70" t="s">
        <v>9310</v>
      </c>
      <c r="N3005" s="70" t="s">
        <v>6260</v>
      </c>
      <c r="P3005" s="76">
        <v>44893.0</v>
      </c>
      <c r="U3005" s="70" t="s">
        <v>239</v>
      </c>
      <c r="W3005" s="70" t="s">
        <v>9313</v>
      </c>
      <c r="X3005" s="70" t="s">
        <v>9314</v>
      </c>
      <c r="Z3005" s="75" t="s">
        <v>9315</v>
      </c>
      <c r="AC3005" s="70">
        <v>1.0</v>
      </c>
      <c r="AE3005" s="70">
        <v>32.0</v>
      </c>
      <c r="AW3005" s="70" t="s">
        <v>9316</v>
      </c>
      <c r="AZ3005" s="70">
        <v>151.0</v>
      </c>
    </row>
    <row r="3006" ht="22.5" customHeight="1">
      <c r="A3006" s="70" t="str">
        <f t="shared" si="1"/>
        <v>Excluded</v>
      </c>
      <c r="B3006" s="70">
        <f t="shared" si="2"/>
        <v>0</v>
      </c>
      <c r="C3006" s="70">
        <v>0.0</v>
      </c>
      <c r="D3006" s="70">
        <v>0.0</v>
      </c>
      <c r="E3006" s="70">
        <v>0.0</v>
      </c>
      <c r="F3006" s="70">
        <v>0.0</v>
      </c>
      <c r="G3006" s="70">
        <v>0.0</v>
      </c>
      <c r="H3006" s="70" t="s">
        <v>13353</v>
      </c>
      <c r="I3006" s="70">
        <v>1391.0</v>
      </c>
      <c r="J3006" s="70" t="s">
        <v>13351</v>
      </c>
      <c r="K3006" s="70" t="s">
        <v>13352</v>
      </c>
      <c r="L3006" s="70" t="s">
        <v>12804</v>
      </c>
      <c r="N3006" s="70" t="s">
        <v>6260</v>
      </c>
      <c r="P3006" s="76">
        <v>45609.0</v>
      </c>
      <c r="U3006" s="70" t="s">
        <v>239</v>
      </c>
      <c r="W3006" s="70" t="s">
        <v>31340</v>
      </c>
      <c r="X3006" s="70" t="s">
        <v>12808</v>
      </c>
      <c r="Z3006" s="75" t="s">
        <v>13356</v>
      </c>
      <c r="AA3006" s="70" t="s">
        <v>13357</v>
      </c>
      <c r="AE3006" s="70">
        <v>24.0</v>
      </c>
      <c r="AW3006" s="70" t="s">
        <v>13358</v>
      </c>
      <c r="AX3006" s="70">
        <v>0.0</v>
      </c>
      <c r="AY3006" s="70" t="s">
        <v>24</v>
      </c>
      <c r="AZ3006" s="70">
        <v>2585.0</v>
      </c>
    </row>
    <row r="3007" ht="22.5" customHeight="1">
      <c r="A3007" s="70" t="str">
        <f t="shared" si="1"/>
        <v>Excluded</v>
      </c>
      <c r="B3007" s="70">
        <f t="shared" si="2"/>
        <v>0</v>
      </c>
      <c r="C3007" s="70">
        <v>0.0</v>
      </c>
      <c r="D3007" s="70">
        <v>0.0</v>
      </c>
      <c r="E3007" s="70">
        <v>0.0</v>
      </c>
      <c r="F3007" s="70">
        <v>0.0</v>
      </c>
      <c r="G3007" s="70">
        <v>0.0</v>
      </c>
      <c r="H3007" s="70" t="s">
        <v>12805</v>
      </c>
      <c r="I3007" s="70">
        <v>1335.0</v>
      </c>
      <c r="J3007" s="70" t="s">
        <v>12802</v>
      </c>
      <c r="K3007" s="70" t="s">
        <v>12803</v>
      </c>
      <c r="L3007" s="70" t="s">
        <v>12804</v>
      </c>
      <c r="N3007" s="70" t="s">
        <v>6260</v>
      </c>
      <c r="P3007" s="76">
        <v>45609.0</v>
      </c>
      <c r="U3007" s="70" t="s">
        <v>239</v>
      </c>
      <c r="W3007" s="70" t="s">
        <v>12807</v>
      </c>
      <c r="X3007" s="70" t="s">
        <v>12808</v>
      </c>
      <c r="Z3007" s="75" t="s">
        <v>12809</v>
      </c>
      <c r="AE3007" s="70">
        <v>20.0</v>
      </c>
      <c r="AW3007" s="70" t="s">
        <v>12810</v>
      </c>
      <c r="AZ3007" s="70">
        <v>561.0</v>
      </c>
    </row>
    <row r="3008" ht="22.5" customHeight="1">
      <c r="A3008" s="70" t="str">
        <f t="shared" si="1"/>
        <v>Excluded</v>
      </c>
      <c r="B3008" s="70">
        <f t="shared" si="2"/>
        <v>0</v>
      </c>
      <c r="C3008" s="70">
        <v>0.0</v>
      </c>
      <c r="D3008" s="70">
        <v>0.0</v>
      </c>
      <c r="E3008" s="70">
        <v>0.0</v>
      </c>
      <c r="F3008" s="70">
        <v>0.0</v>
      </c>
      <c r="G3008" s="70">
        <v>0.0</v>
      </c>
      <c r="H3008" s="70" t="s">
        <v>12947</v>
      </c>
      <c r="I3008" s="70">
        <v>1350.0</v>
      </c>
      <c r="J3008" s="70" t="s">
        <v>12943</v>
      </c>
      <c r="K3008" s="70" t="s">
        <v>12944</v>
      </c>
      <c r="L3008" s="70" t="s">
        <v>12945</v>
      </c>
      <c r="N3008" s="70" t="s">
        <v>12946</v>
      </c>
      <c r="P3008" s="76">
        <v>45376.0</v>
      </c>
      <c r="U3008" s="70" t="s">
        <v>239</v>
      </c>
      <c r="W3008" s="70" t="s">
        <v>12949</v>
      </c>
      <c r="X3008" s="70" t="s">
        <v>12950</v>
      </c>
      <c r="Z3008" s="75" t="s">
        <v>12951</v>
      </c>
      <c r="AA3008" s="70" t="s">
        <v>12952</v>
      </c>
      <c r="AE3008" s="70">
        <v>27.0</v>
      </c>
      <c r="AW3008" s="70" t="s">
        <v>12953</v>
      </c>
      <c r="AX3008" s="70">
        <v>0.0</v>
      </c>
      <c r="AY3008" s="70" t="s">
        <v>24</v>
      </c>
      <c r="AZ3008" s="70">
        <v>1834.0</v>
      </c>
    </row>
    <row r="3009" ht="22.5" customHeight="1">
      <c r="A3009" s="70" t="str">
        <f t="shared" si="1"/>
        <v>Excluded</v>
      </c>
      <c r="B3009" s="70">
        <f t="shared" si="2"/>
        <v>0</v>
      </c>
      <c r="C3009" s="70">
        <v>0.0</v>
      </c>
      <c r="D3009" s="70">
        <v>0.0</v>
      </c>
      <c r="E3009" s="70">
        <v>0.0</v>
      </c>
      <c r="F3009" s="70">
        <v>0.0</v>
      </c>
      <c r="G3009" s="70">
        <v>0.0</v>
      </c>
      <c r="H3009" s="70" t="s">
        <v>9775</v>
      </c>
      <c r="I3009" s="70">
        <v>957.0</v>
      </c>
      <c r="K3009" s="70" t="s">
        <v>9773</v>
      </c>
      <c r="L3009" s="70" t="s">
        <v>9774</v>
      </c>
      <c r="P3009" s="76">
        <v>43580.0</v>
      </c>
      <c r="U3009" s="70" t="s">
        <v>239</v>
      </c>
      <c r="W3009" s="70" t="s">
        <v>9778</v>
      </c>
      <c r="X3009" s="70" t="s">
        <v>9779</v>
      </c>
      <c r="Z3009" s="75" t="s">
        <v>9780</v>
      </c>
      <c r="AZ3009" s="70">
        <v>1504.0</v>
      </c>
    </row>
    <row r="3010" ht="22.5" customHeight="1">
      <c r="A3010" s="70" t="str">
        <f t="shared" si="1"/>
        <v>Excluded</v>
      </c>
      <c r="B3010" s="70">
        <f t="shared" si="2"/>
        <v>0</v>
      </c>
      <c r="C3010" s="70">
        <v>0.0</v>
      </c>
      <c r="D3010" s="70">
        <v>0.0</v>
      </c>
      <c r="E3010" s="70">
        <v>0.0</v>
      </c>
      <c r="F3010" s="70">
        <v>0.0</v>
      </c>
      <c r="G3010" s="70">
        <v>0.0</v>
      </c>
      <c r="H3010" s="70" t="s">
        <v>11084</v>
      </c>
      <c r="I3010" s="70">
        <v>1163.0</v>
      </c>
      <c r="J3010" s="70" t="s">
        <v>11080</v>
      </c>
      <c r="K3010" s="70" t="s">
        <v>11081</v>
      </c>
      <c r="L3010" s="70" t="s">
        <v>11082</v>
      </c>
      <c r="N3010" s="70" t="s">
        <v>11083</v>
      </c>
      <c r="P3010" s="76">
        <v>45131.0</v>
      </c>
      <c r="U3010" s="70" t="s">
        <v>239</v>
      </c>
      <c r="W3010" s="70" t="s">
        <v>11086</v>
      </c>
      <c r="X3010" s="70" t="s">
        <v>11087</v>
      </c>
      <c r="Y3010" s="70" t="s">
        <v>29481</v>
      </c>
      <c r="Z3010" s="75" t="s">
        <v>11088</v>
      </c>
      <c r="AA3010" s="70" t="s">
        <v>11089</v>
      </c>
      <c r="AC3010" s="70">
        <v>8.0</v>
      </c>
      <c r="AE3010" s="70">
        <v>31.0</v>
      </c>
      <c r="AW3010" s="70" t="s">
        <v>11090</v>
      </c>
      <c r="AZ3010" s="70">
        <v>307.0</v>
      </c>
    </row>
    <row r="3011" ht="22.5" customHeight="1">
      <c r="A3011" s="70" t="str">
        <f t="shared" si="1"/>
        <v>Excluded</v>
      </c>
      <c r="B3011" s="70">
        <f t="shared" si="2"/>
        <v>0</v>
      </c>
      <c r="C3011" s="70">
        <v>0.0</v>
      </c>
      <c r="D3011" s="70">
        <v>0.0</v>
      </c>
      <c r="E3011" s="70">
        <v>0.0</v>
      </c>
      <c r="F3011" s="70">
        <v>0.0</v>
      </c>
      <c r="G3011" s="70">
        <v>0.0</v>
      </c>
      <c r="H3011" s="70" t="s">
        <v>15067</v>
      </c>
      <c r="I3011" s="70">
        <v>1571.0</v>
      </c>
      <c r="J3011" s="70" t="s">
        <v>15064</v>
      </c>
      <c r="K3011" s="70" t="s">
        <v>15065</v>
      </c>
      <c r="L3011" s="70" t="s">
        <v>15066</v>
      </c>
      <c r="N3011" s="70" t="s">
        <v>11083</v>
      </c>
      <c r="P3011" s="76">
        <v>45519.0</v>
      </c>
      <c r="U3011" s="70" t="s">
        <v>239</v>
      </c>
      <c r="W3011" s="70" t="s">
        <v>15069</v>
      </c>
      <c r="X3011" s="70" t="s">
        <v>15070</v>
      </c>
      <c r="Z3011" s="75" t="s">
        <v>15071</v>
      </c>
      <c r="AA3011" s="70" t="s">
        <v>15072</v>
      </c>
      <c r="AE3011" s="70">
        <v>27.0</v>
      </c>
      <c r="AW3011" s="70" t="s">
        <v>15073</v>
      </c>
      <c r="AX3011" s="70">
        <v>0.0</v>
      </c>
      <c r="AY3011" s="70" t="s">
        <v>24</v>
      </c>
      <c r="AZ3011" s="70">
        <v>3100.0</v>
      </c>
    </row>
    <row r="3012" ht="22.5" customHeight="1">
      <c r="A3012" s="70" t="str">
        <f t="shared" si="1"/>
        <v>Excluded</v>
      </c>
      <c r="B3012" s="70">
        <f t="shared" si="2"/>
        <v>0</v>
      </c>
      <c r="C3012" s="70">
        <v>0.0</v>
      </c>
      <c r="D3012" s="70">
        <v>0.0</v>
      </c>
      <c r="E3012" s="70">
        <v>0.0</v>
      </c>
      <c r="F3012" s="70">
        <v>0.0</v>
      </c>
      <c r="G3012" s="70">
        <v>0.0</v>
      </c>
      <c r="H3012" s="70" t="s">
        <v>15246</v>
      </c>
      <c r="I3012" s="70">
        <v>1590.0</v>
      </c>
      <c r="J3012" s="70" t="s">
        <v>31341</v>
      </c>
      <c r="K3012" s="70" t="s">
        <v>15245</v>
      </c>
      <c r="L3012" s="70" t="s">
        <v>15066</v>
      </c>
      <c r="N3012" s="70" t="s">
        <v>11083</v>
      </c>
      <c r="P3012" s="76">
        <v>45519.0</v>
      </c>
      <c r="U3012" s="70" t="s">
        <v>239</v>
      </c>
      <c r="W3012" s="70" t="s">
        <v>15248</v>
      </c>
      <c r="X3012" s="70" t="s">
        <v>15070</v>
      </c>
      <c r="Y3012" s="70" t="s">
        <v>31342</v>
      </c>
      <c r="Z3012" s="75" t="s">
        <v>15250</v>
      </c>
      <c r="AA3012" s="70" t="s">
        <v>15251</v>
      </c>
      <c r="AE3012" s="70">
        <v>22.0</v>
      </c>
      <c r="AW3012" s="70" t="s">
        <v>15252</v>
      </c>
      <c r="AX3012" s="70">
        <v>0.0</v>
      </c>
      <c r="AY3012" s="70" t="s">
        <v>24</v>
      </c>
      <c r="AZ3012" s="70">
        <v>2014.0</v>
      </c>
    </row>
    <row r="3013" ht="22.5" customHeight="1">
      <c r="A3013" s="70" t="str">
        <f t="shared" si="1"/>
        <v>Excluded</v>
      </c>
      <c r="B3013" s="70">
        <f t="shared" si="2"/>
        <v>0</v>
      </c>
      <c r="C3013" s="70">
        <v>0.0</v>
      </c>
      <c r="D3013" s="70">
        <v>0.0</v>
      </c>
      <c r="E3013" s="70">
        <v>0.0</v>
      </c>
      <c r="F3013" s="70">
        <v>0.0</v>
      </c>
      <c r="G3013" s="70">
        <v>0.0</v>
      </c>
      <c r="H3013" s="70" t="s">
        <v>15796</v>
      </c>
      <c r="I3013" s="70">
        <v>1650.0</v>
      </c>
      <c r="J3013" s="70" t="s">
        <v>15794</v>
      </c>
      <c r="K3013" s="70" t="s">
        <v>15795</v>
      </c>
      <c r="L3013" s="70" t="s">
        <v>15066</v>
      </c>
      <c r="N3013" s="70" t="s">
        <v>11083</v>
      </c>
      <c r="P3013" s="76">
        <v>45519.0</v>
      </c>
      <c r="U3013" s="70" t="s">
        <v>239</v>
      </c>
      <c r="W3013" s="70" t="s">
        <v>31343</v>
      </c>
      <c r="X3013" s="70" t="s">
        <v>15070</v>
      </c>
      <c r="Z3013" s="75" t="s">
        <v>15799</v>
      </c>
      <c r="AA3013" s="70" t="s">
        <v>15800</v>
      </c>
      <c r="AE3013" s="70">
        <v>13.0</v>
      </c>
      <c r="AW3013" s="70" t="s">
        <v>15801</v>
      </c>
      <c r="AX3013" s="70">
        <v>0.0</v>
      </c>
      <c r="AY3013" s="70" t="s">
        <v>24</v>
      </c>
      <c r="AZ3013" s="70">
        <v>2533.0</v>
      </c>
    </row>
    <row r="3014" ht="22.5" customHeight="1">
      <c r="A3014" s="70" t="str">
        <f t="shared" si="1"/>
        <v>Excluded</v>
      </c>
      <c r="B3014" s="70">
        <f t="shared" si="2"/>
        <v>0</v>
      </c>
      <c r="C3014" s="70">
        <v>0.0</v>
      </c>
      <c r="D3014" s="70">
        <v>0.0</v>
      </c>
      <c r="E3014" s="70">
        <v>0.0</v>
      </c>
      <c r="F3014" s="70">
        <v>0.0</v>
      </c>
      <c r="G3014" s="70">
        <v>0.0</v>
      </c>
      <c r="H3014" s="70" t="s">
        <v>15671</v>
      </c>
      <c r="I3014" s="70">
        <v>1636.0</v>
      </c>
      <c r="J3014" s="70" t="s">
        <v>15668</v>
      </c>
      <c r="K3014" s="70" t="s">
        <v>15669</v>
      </c>
      <c r="L3014" s="70" t="s">
        <v>15670</v>
      </c>
      <c r="P3014" s="76">
        <v>45400.0</v>
      </c>
      <c r="U3014" s="70" t="s">
        <v>239</v>
      </c>
      <c r="W3014" s="70" t="s">
        <v>31344</v>
      </c>
      <c r="X3014" s="70" t="s">
        <v>15674</v>
      </c>
      <c r="Z3014" s="75" t="s">
        <v>15675</v>
      </c>
      <c r="AA3014" s="70" t="s">
        <v>15676</v>
      </c>
      <c r="AE3014" s="70">
        <v>26.0</v>
      </c>
      <c r="AW3014" s="70" t="s">
        <v>15677</v>
      </c>
      <c r="AZ3014" s="70">
        <v>1108.0</v>
      </c>
    </row>
    <row r="3015" ht="22.5" customHeight="1">
      <c r="A3015" s="70" t="str">
        <f t="shared" si="1"/>
        <v>Excluded</v>
      </c>
      <c r="B3015" s="70">
        <f t="shared" si="2"/>
        <v>0</v>
      </c>
      <c r="C3015" s="70">
        <v>0.0</v>
      </c>
      <c r="D3015" s="70">
        <v>0.0</v>
      </c>
      <c r="E3015" s="70">
        <v>0.0</v>
      </c>
      <c r="F3015" s="70">
        <v>0.0</v>
      </c>
      <c r="G3015" s="70">
        <v>0.0</v>
      </c>
      <c r="H3015" s="70" t="s">
        <v>8975</v>
      </c>
      <c r="I3015" s="70">
        <v>873.0</v>
      </c>
      <c r="J3015" s="70" t="s">
        <v>8972</v>
      </c>
      <c r="K3015" s="70" t="s">
        <v>8973</v>
      </c>
      <c r="L3015" s="70" t="s">
        <v>31345</v>
      </c>
      <c r="P3015" s="77">
        <v>44928.0</v>
      </c>
      <c r="U3015" s="70" t="s">
        <v>239</v>
      </c>
      <c r="W3015" s="70" t="s">
        <v>8977</v>
      </c>
      <c r="X3015" s="70" t="s">
        <v>8978</v>
      </c>
      <c r="Z3015" s="75" t="s">
        <v>8979</v>
      </c>
      <c r="AA3015" s="70" t="s">
        <v>8980</v>
      </c>
      <c r="AC3015" s="70">
        <v>1.0</v>
      </c>
      <c r="AE3015" s="70">
        <v>16.0</v>
      </c>
      <c r="AW3015" s="70" t="s">
        <v>8981</v>
      </c>
      <c r="AZ3015" s="70">
        <v>708.0</v>
      </c>
    </row>
    <row r="3016" ht="22.5" customHeight="1">
      <c r="A3016" s="70" t="str">
        <f t="shared" si="1"/>
        <v>Excluded</v>
      </c>
      <c r="B3016" s="70">
        <f t="shared" si="2"/>
        <v>0</v>
      </c>
      <c r="C3016" s="70">
        <v>0.0</v>
      </c>
      <c r="D3016" s="70">
        <v>0.0</v>
      </c>
      <c r="E3016" s="70">
        <v>0.0</v>
      </c>
      <c r="F3016" s="70">
        <v>0.0</v>
      </c>
      <c r="G3016" s="70">
        <v>0.0</v>
      </c>
      <c r="H3016" s="70" t="s">
        <v>20777</v>
      </c>
      <c r="I3016" s="70">
        <v>2288.0</v>
      </c>
      <c r="J3016" s="70" t="s">
        <v>20773</v>
      </c>
      <c r="K3016" s="70" t="s">
        <v>20774</v>
      </c>
      <c r="L3016" s="70" t="s">
        <v>20775</v>
      </c>
      <c r="N3016" s="70" t="s">
        <v>20776</v>
      </c>
      <c r="P3016" s="77">
        <v>45203.0</v>
      </c>
      <c r="U3016" s="70" t="s">
        <v>20778</v>
      </c>
      <c r="W3016" s="70" t="s">
        <v>20780</v>
      </c>
      <c r="Z3016" s="75" t="s">
        <v>20781</v>
      </c>
      <c r="AA3016" s="70" t="s">
        <v>20782</v>
      </c>
      <c r="AC3016" s="70">
        <v>3.0</v>
      </c>
      <c r="AW3016" s="70" t="s">
        <v>20783</v>
      </c>
      <c r="AX3016" s="70">
        <v>0.0</v>
      </c>
      <c r="AY3016" s="70" t="s">
        <v>24</v>
      </c>
      <c r="AZ3016" s="70">
        <v>2546.0</v>
      </c>
    </row>
    <row r="3017" ht="22.5" customHeight="1">
      <c r="A3017" s="70" t="str">
        <f t="shared" si="1"/>
        <v>Excluded</v>
      </c>
      <c r="B3017" s="70">
        <f t="shared" si="2"/>
        <v>0</v>
      </c>
      <c r="C3017" s="70">
        <v>0.0</v>
      </c>
      <c r="D3017" s="70">
        <v>0.0</v>
      </c>
      <c r="E3017" s="70">
        <v>0.0</v>
      </c>
      <c r="F3017" s="70">
        <v>0.0</v>
      </c>
      <c r="G3017" s="70">
        <v>0.0</v>
      </c>
      <c r="H3017" s="70" t="s">
        <v>21212</v>
      </c>
      <c r="I3017" s="70">
        <v>2336.0</v>
      </c>
      <c r="J3017" s="70" t="s">
        <v>21208</v>
      </c>
      <c r="K3017" s="70" t="s">
        <v>21209</v>
      </c>
      <c r="L3017" s="70" t="s">
        <v>21210</v>
      </c>
      <c r="N3017" s="70" t="s">
        <v>21211</v>
      </c>
      <c r="P3017" s="77">
        <v>45085.0</v>
      </c>
      <c r="U3017" s="70" t="s">
        <v>21213</v>
      </c>
      <c r="W3017" s="70" t="s">
        <v>21215</v>
      </c>
      <c r="Z3017" s="75" t="s">
        <v>21216</v>
      </c>
      <c r="AA3017" s="70" t="s">
        <v>21217</v>
      </c>
      <c r="AC3017" s="70">
        <v>1.0</v>
      </c>
      <c r="AW3017" s="70" t="s">
        <v>21218</v>
      </c>
      <c r="AX3017" s="70">
        <v>0.0</v>
      </c>
      <c r="AY3017" s="70" t="s">
        <v>24</v>
      </c>
      <c r="AZ3017" s="70">
        <v>1874.0</v>
      </c>
    </row>
    <row r="3018" ht="22.5" customHeight="1">
      <c r="A3018" s="70" t="str">
        <f t="shared" si="1"/>
        <v>Excluded</v>
      </c>
      <c r="B3018" s="70">
        <f t="shared" si="2"/>
        <v>0</v>
      </c>
      <c r="C3018" s="70">
        <v>0.0</v>
      </c>
      <c r="D3018" s="70">
        <v>0.0</v>
      </c>
      <c r="E3018" s="70">
        <v>0.0</v>
      </c>
      <c r="F3018" s="70">
        <v>0.0</v>
      </c>
      <c r="G3018" s="70">
        <v>0.0</v>
      </c>
      <c r="H3018" s="70" t="s">
        <v>22425</v>
      </c>
      <c r="I3018" s="70">
        <v>2474.0</v>
      </c>
      <c r="J3018" s="70" t="s">
        <v>21830</v>
      </c>
      <c r="K3018" s="70" t="s">
        <v>22424</v>
      </c>
      <c r="L3018" s="70" t="s">
        <v>21210</v>
      </c>
      <c r="N3018" s="70" t="s">
        <v>21211</v>
      </c>
      <c r="P3018" s="79">
        <v>45419.0</v>
      </c>
      <c r="U3018" s="70" t="s">
        <v>21213</v>
      </c>
      <c r="W3018" s="70" t="s">
        <v>22426</v>
      </c>
      <c r="Z3018" s="75" t="s">
        <v>22427</v>
      </c>
      <c r="AA3018" s="70" t="s">
        <v>22428</v>
      </c>
      <c r="AW3018" s="70" t="s">
        <v>22429</v>
      </c>
      <c r="AZ3018" s="70">
        <v>408.0</v>
      </c>
    </row>
    <row r="3019" ht="22.5" customHeight="1">
      <c r="A3019" s="70" t="str">
        <f t="shared" si="1"/>
        <v>Excluded</v>
      </c>
      <c r="B3019" s="70">
        <f t="shared" si="2"/>
        <v>0</v>
      </c>
      <c r="C3019" s="70">
        <v>0.0</v>
      </c>
      <c r="D3019" s="70">
        <v>0.0</v>
      </c>
      <c r="E3019" s="70">
        <v>0.0</v>
      </c>
      <c r="F3019" s="70">
        <v>0.0</v>
      </c>
      <c r="G3019" s="70">
        <v>0.0</v>
      </c>
      <c r="H3019" s="70" t="s">
        <v>21832</v>
      </c>
      <c r="I3019" s="70">
        <v>2407.0</v>
      </c>
      <c r="J3019" s="70" t="s">
        <v>21830</v>
      </c>
      <c r="K3019" s="70" t="s">
        <v>21831</v>
      </c>
      <c r="L3019" s="70" t="s">
        <v>21210</v>
      </c>
      <c r="N3019" s="70" t="s">
        <v>21211</v>
      </c>
      <c r="P3019" s="76">
        <v>45616.0</v>
      </c>
      <c r="U3019" s="70" t="s">
        <v>21213</v>
      </c>
      <c r="W3019" s="70" t="s">
        <v>21834</v>
      </c>
      <c r="Z3019" s="75" t="s">
        <v>21835</v>
      </c>
      <c r="AA3019" s="70" t="s">
        <v>21836</v>
      </c>
      <c r="AW3019" s="70" t="s">
        <v>21837</v>
      </c>
      <c r="AX3019" s="70">
        <v>0.0</v>
      </c>
      <c r="AY3019" s="70" t="s">
        <v>24</v>
      </c>
      <c r="AZ3019" s="70">
        <v>1695.0</v>
      </c>
    </row>
    <row r="3020" ht="22.5" customHeight="1">
      <c r="A3020" s="70" t="str">
        <f t="shared" si="1"/>
        <v>Excluded</v>
      </c>
      <c r="B3020" s="70">
        <f t="shared" si="2"/>
        <v>0</v>
      </c>
      <c r="C3020" s="70">
        <v>0.0</v>
      </c>
      <c r="D3020" s="70">
        <v>0.0</v>
      </c>
      <c r="E3020" s="70">
        <v>0.0</v>
      </c>
      <c r="F3020" s="70">
        <v>0.0</v>
      </c>
      <c r="G3020" s="70">
        <v>0.0</v>
      </c>
      <c r="H3020" s="70" t="s">
        <v>8326</v>
      </c>
      <c r="I3020" s="70">
        <v>806.0</v>
      </c>
      <c r="J3020" s="70" t="s">
        <v>8323</v>
      </c>
      <c r="K3020" s="70" t="s">
        <v>8324</v>
      </c>
      <c r="L3020" s="70" t="s">
        <v>8325</v>
      </c>
      <c r="P3020" s="76">
        <v>44859.0</v>
      </c>
      <c r="U3020" s="70" t="s">
        <v>239</v>
      </c>
      <c r="W3020" s="70" t="s">
        <v>8328</v>
      </c>
      <c r="X3020" s="70" t="s">
        <v>8329</v>
      </c>
      <c r="Z3020" s="75" t="s">
        <v>8330</v>
      </c>
      <c r="AA3020" s="70" t="s">
        <v>8331</v>
      </c>
      <c r="AC3020" s="70">
        <v>2.0</v>
      </c>
      <c r="AE3020" s="70">
        <v>14.0</v>
      </c>
      <c r="AW3020" s="70" t="s">
        <v>8332</v>
      </c>
      <c r="AZ3020" s="70">
        <v>1260.0</v>
      </c>
    </row>
    <row r="3021" ht="22.5" customHeight="1">
      <c r="A3021" s="70" t="str">
        <f t="shared" si="1"/>
        <v>Excluded</v>
      </c>
      <c r="B3021" s="70">
        <f t="shared" si="2"/>
        <v>0</v>
      </c>
      <c r="C3021" s="70">
        <v>0.0</v>
      </c>
      <c r="D3021" s="70">
        <v>0.0</v>
      </c>
      <c r="E3021" s="70">
        <v>0.0</v>
      </c>
      <c r="F3021" s="70">
        <v>0.0</v>
      </c>
      <c r="G3021" s="70">
        <v>0.0</v>
      </c>
      <c r="H3021" s="70" t="s">
        <v>4762</v>
      </c>
      <c r="I3021" s="70">
        <v>442.0</v>
      </c>
      <c r="J3021" s="70" t="s">
        <v>4759</v>
      </c>
      <c r="K3021" s="70" t="s">
        <v>4760</v>
      </c>
      <c r="L3021" s="70" t="s">
        <v>4761</v>
      </c>
      <c r="P3021" s="76">
        <v>42929.0</v>
      </c>
      <c r="U3021" s="70" t="s">
        <v>239</v>
      </c>
      <c r="W3021" s="70" t="s">
        <v>4764</v>
      </c>
      <c r="X3021" s="70" t="s">
        <v>4765</v>
      </c>
      <c r="Z3021" s="75" t="s">
        <v>4766</v>
      </c>
      <c r="AA3021" s="70" t="s">
        <v>4767</v>
      </c>
      <c r="AC3021" s="70">
        <v>38.0</v>
      </c>
      <c r="AD3021" s="70">
        <v>1.0</v>
      </c>
      <c r="AE3021" s="70">
        <v>18.0</v>
      </c>
      <c r="AW3021" s="70" t="s">
        <v>4768</v>
      </c>
      <c r="AZ3021" s="70">
        <v>503.0</v>
      </c>
    </row>
    <row r="3022" ht="22.5" customHeight="1">
      <c r="A3022" s="70" t="str">
        <f t="shared" si="1"/>
        <v>Excluded</v>
      </c>
      <c r="B3022" s="70">
        <f t="shared" si="2"/>
        <v>0</v>
      </c>
      <c r="C3022" s="70">
        <v>0.0</v>
      </c>
      <c r="D3022" s="70">
        <v>0.0</v>
      </c>
      <c r="E3022" s="70">
        <v>0.0</v>
      </c>
      <c r="F3022" s="70">
        <v>0.0</v>
      </c>
      <c r="G3022" s="70">
        <v>0.0</v>
      </c>
      <c r="H3022" s="70" t="s">
        <v>6143</v>
      </c>
      <c r="I3022" s="70">
        <v>581.0</v>
      </c>
      <c r="J3022" s="70" t="s">
        <v>6141</v>
      </c>
      <c r="K3022" s="70" t="s">
        <v>6142</v>
      </c>
      <c r="L3022" s="70" t="s">
        <v>4761</v>
      </c>
      <c r="P3022" s="76">
        <v>42929.0</v>
      </c>
      <c r="U3022" s="70" t="s">
        <v>239</v>
      </c>
      <c r="W3022" s="70" t="s">
        <v>6145</v>
      </c>
      <c r="X3022" s="70" t="s">
        <v>4765</v>
      </c>
      <c r="Z3022" s="75" t="s">
        <v>6146</v>
      </c>
      <c r="AC3022" s="70">
        <v>7.0</v>
      </c>
      <c r="AE3022" s="70">
        <v>23.0</v>
      </c>
      <c r="AW3022" s="70" t="s">
        <v>6147</v>
      </c>
      <c r="AX3022" s="70">
        <v>0.0</v>
      </c>
      <c r="AY3022" s="70" t="s">
        <v>24</v>
      </c>
      <c r="AZ3022" s="70">
        <v>2109.0</v>
      </c>
    </row>
    <row r="3023" ht="22.5" customHeight="1">
      <c r="A3023" s="70" t="str">
        <f t="shared" si="1"/>
        <v>Excluded</v>
      </c>
      <c r="B3023" s="70">
        <f t="shared" si="2"/>
        <v>0</v>
      </c>
      <c r="C3023" s="70">
        <v>0.0</v>
      </c>
      <c r="D3023" s="70">
        <v>0.0</v>
      </c>
      <c r="E3023" s="70">
        <v>0.0</v>
      </c>
      <c r="F3023" s="70">
        <v>0.0</v>
      </c>
      <c r="G3023" s="70">
        <v>0.0</v>
      </c>
      <c r="H3023" s="70" t="s">
        <v>5500</v>
      </c>
      <c r="I3023" s="70">
        <v>516.0</v>
      </c>
      <c r="J3023" s="70" t="s">
        <v>5498</v>
      </c>
      <c r="K3023" s="70" t="s">
        <v>5499</v>
      </c>
      <c r="L3023" s="70" t="s">
        <v>4761</v>
      </c>
      <c r="P3023" s="76">
        <v>42929.0</v>
      </c>
      <c r="U3023" s="70" t="s">
        <v>239</v>
      </c>
      <c r="W3023" s="70" t="s">
        <v>31346</v>
      </c>
      <c r="X3023" s="70" t="s">
        <v>4765</v>
      </c>
      <c r="Z3023" s="75" t="s">
        <v>5503</v>
      </c>
      <c r="AA3023" s="70" t="s">
        <v>5504</v>
      </c>
      <c r="AC3023" s="70">
        <v>11.0</v>
      </c>
      <c r="AE3023" s="70">
        <v>14.0</v>
      </c>
      <c r="AW3023" s="70" t="s">
        <v>5505</v>
      </c>
      <c r="AZ3023" s="70">
        <v>253.0</v>
      </c>
    </row>
    <row r="3024" ht="22.5" customHeight="1">
      <c r="A3024" s="70" t="str">
        <f t="shared" si="1"/>
        <v>Excluded</v>
      </c>
      <c r="B3024" s="70">
        <f t="shared" si="2"/>
        <v>0</v>
      </c>
      <c r="C3024" s="70">
        <v>0.0</v>
      </c>
      <c r="D3024" s="70">
        <v>0.0</v>
      </c>
      <c r="E3024" s="70">
        <v>0.0</v>
      </c>
      <c r="F3024" s="70">
        <v>0.0</v>
      </c>
      <c r="G3024" s="70">
        <v>0.0</v>
      </c>
      <c r="H3024" s="70" t="s">
        <v>6556</v>
      </c>
      <c r="I3024" s="70">
        <v>623.0</v>
      </c>
      <c r="J3024" s="70" t="s">
        <v>31347</v>
      </c>
      <c r="K3024" s="70" t="s">
        <v>6553</v>
      </c>
      <c r="L3024" s="70" t="s">
        <v>6554</v>
      </c>
      <c r="N3024" s="70" t="s">
        <v>6555</v>
      </c>
      <c r="P3024" s="77">
        <v>44141.0</v>
      </c>
      <c r="U3024" s="70" t="s">
        <v>239</v>
      </c>
      <c r="W3024" s="70" t="s">
        <v>6558</v>
      </c>
      <c r="X3024" s="70" t="s">
        <v>6559</v>
      </c>
      <c r="Z3024" s="75" t="s">
        <v>6560</v>
      </c>
      <c r="AC3024" s="70">
        <v>6.0</v>
      </c>
      <c r="AE3024" s="70">
        <v>21.0</v>
      </c>
      <c r="AW3024" s="70" t="s">
        <v>6561</v>
      </c>
      <c r="AX3024" s="70">
        <v>0.0</v>
      </c>
      <c r="AY3024" s="70" t="s">
        <v>24</v>
      </c>
      <c r="AZ3024" s="70">
        <v>2930.0</v>
      </c>
    </row>
    <row r="3025" ht="22.5" customHeight="1">
      <c r="A3025" s="70" t="str">
        <f t="shared" si="1"/>
        <v>Excluded</v>
      </c>
      <c r="B3025" s="70">
        <f t="shared" si="2"/>
        <v>0</v>
      </c>
      <c r="C3025" s="70">
        <v>0.0</v>
      </c>
      <c r="D3025" s="70">
        <v>0.0</v>
      </c>
      <c r="E3025" s="70">
        <v>0.0</v>
      </c>
      <c r="F3025" s="70">
        <v>0.0</v>
      </c>
      <c r="G3025" s="70">
        <v>0.0</v>
      </c>
      <c r="H3025" s="70" t="s">
        <v>10619</v>
      </c>
      <c r="I3025" s="70">
        <v>1050.0</v>
      </c>
      <c r="K3025" s="70" t="s">
        <v>10618</v>
      </c>
      <c r="L3025" s="70" t="s">
        <v>6554</v>
      </c>
      <c r="N3025" s="70" t="s">
        <v>6555</v>
      </c>
      <c r="P3025" s="77">
        <v>44141.0</v>
      </c>
      <c r="U3025" s="70" t="s">
        <v>239</v>
      </c>
      <c r="W3025" s="70" t="s">
        <v>10602</v>
      </c>
      <c r="X3025" s="70" t="s">
        <v>6559</v>
      </c>
      <c r="Z3025" s="75" t="s">
        <v>10621</v>
      </c>
      <c r="AZ3025" s="70">
        <v>1590.0</v>
      </c>
    </row>
    <row r="3026" ht="22.5" customHeight="1">
      <c r="A3026" s="70" t="str">
        <f t="shared" si="1"/>
        <v>Excluded</v>
      </c>
      <c r="B3026" s="70">
        <f t="shared" si="2"/>
        <v>0</v>
      </c>
      <c r="C3026" s="70">
        <v>0.0</v>
      </c>
      <c r="D3026" s="70">
        <v>0.0</v>
      </c>
      <c r="E3026" s="70">
        <v>0.0</v>
      </c>
      <c r="F3026" s="70">
        <v>0.0</v>
      </c>
      <c r="G3026" s="70">
        <v>0.0</v>
      </c>
      <c r="H3026" s="70" t="s">
        <v>8421</v>
      </c>
      <c r="I3026" s="70">
        <v>816.0</v>
      </c>
      <c r="J3026" s="70" t="s">
        <v>4759</v>
      </c>
      <c r="K3026" s="70" t="s">
        <v>8420</v>
      </c>
      <c r="L3026" s="70" t="s">
        <v>6554</v>
      </c>
      <c r="N3026" s="70" t="s">
        <v>6555</v>
      </c>
      <c r="P3026" s="77">
        <v>44141.0</v>
      </c>
      <c r="U3026" s="70" t="s">
        <v>239</v>
      </c>
      <c r="W3026" s="70" t="s">
        <v>8423</v>
      </c>
      <c r="X3026" s="70" t="s">
        <v>6559</v>
      </c>
      <c r="Z3026" s="75" t="s">
        <v>8424</v>
      </c>
      <c r="AA3026" s="70" t="s">
        <v>8425</v>
      </c>
      <c r="AC3026" s="70">
        <v>2.0</v>
      </c>
      <c r="AE3026" s="70">
        <v>33.0</v>
      </c>
      <c r="AW3026" s="70" t="s">
        <v>8426</v>
      </c>
      <c r="AX3026" s="70">
        <v>0.0</v>
      </c>
      <c r="AY3026" s="70" t="s">
        <v>24</v>
      </c>
      <c r="AZ3026" s="70">
        <v>2907.0</v>
      </c>
    </row>
    <row r="3027" ht="22.5" customHeight="1">
      <c r="A3027" s="70" t="str">
        <f t="shared" si="1"/>
        <v>Excluded</v>
      </c>
      <c r="B3027" s="70">
        <f t="shared" si="2"/>
        <v>0</v>
      </c>
      <c r="C3027" s="70">
        <v>0.0</v>
      </c>
      <c r="D3027" s="70">
        <v>0.0</v>
      </c>
      <c r="E3027" s="70">
        <v>0.0</v>
      </c>
      <c r="F3027" s="70">
        <v>0.0</v>
      </c>
      <c r="G3027" s="70">
        <v>0.0</v>
      </c>
      <c r="H3027" s="70" t="s">
        <v>16017</v>
      </c>
      <c r="I3027" s="70">
        <v>1698.0</v>
      </c>
      <c r="K3027" s="70" t="s">
        <v>10597</v>
      </c>
      <c r="L3027" s="70" t="s">
        <v>16016</v>
      </c>
      <c r="N3027" s="70" t="s">
        <v>6555</v>
      </c>
      <c r="P3027" s="76">
        <v>45106.0</v>
      </c>
      <c r="U3027" s="70" t="s">
        <v>239</v>
      </c>
      <c r="X3027" s="70" t="s">
        <v>16018</v>
      </c>
      <c r="Z3027" s="75" t="s">
        <v>16019</v>
      </c>
      <c r="AZ3027" s="70">
        <v>1570.0</v>
      </c>
    </row>
    <row r="3028" ht="22.5" customHeight="1">
      <c r="A3028" s="70" t="str">
        <f t="shared" si="1"/>
        <v>Excluded</v>
      </c>
      <c r="B3028" s="70">
        <f t="shared" si="2"/>
        <v>0</v>
      </c>
      <c r="C3028" s="70">
        <v>0.0</v>
      </c>
      <c r="D3028" s="70">
        <v>0.0</v>
      </c>
      <c r="E3028" s="70">
        <v>0.0</v>
      </c>
      <c r="F3028" s="70">
        <v>0.0</v>
      </c>
      <c r="G3028" s="70">
        <v>0.0</v>
      </c>
      <c r="H3028" s="70" t="s">
        <v>13046</v>
      </c>
      <c r="I3028" s="70">
        <v>1360.0</v>
      </c>
      <c r="J3028" s="70" t="s">
        <v>13042</v>
      </c>
      <c r="K3028" s="70" t="s">
        <v>13043</v>
      </c>
      <c r="L3028" s="70" t="s">
        <v>13044</v>
      </c>
      <c r="N3028" s="70" t="s">
        <v>13045</v>
      </c>
      <c r="P3028" s="77">
        <v>45539.0</v>
      </c>
      <c r="U3028" s="70" t="s">
        <v>239</v>
      </c>
      <c r="W3028" s="70" t="s">
        <v>13048</v>
      </c>
      <c r="X3028" s="70" t="s">
        <v>13049</v>
      </c>
      <c r="Z3028" s="75" t="s">
        <v>13050</v>
      </c>
      <c r="AE3028" s="70">
        <v>30.0</v>
      </c>
      <c r="AW3028" s="70" t="s">
        <v>13051</v>
      </c>
      <c r="AZ3028" s="70">
        <v>380.0</v>
      </c>
    </row>
    <row r="3029" ht="22.5" customHeight="1">
      <c r="A3029" s="70" t="str">
        <f t="shared" si="1"/>
        <v>Excluded</v>
      </c>
      <c r="B3029" s="70">
        <f t="shared" si="2"/>
        <v>0</v>
      </c>
      <c r="C3029" s="70">
        <v>0.0</v>
      </c>
      <c r="D3029" s="70">
        <v>0.0</v>
      </c>
      <c r="E3029" s="70">
        <v>0.0</v>
      </c>
      <c r="F3029" s="70">
        <v>0.0</v>
      </c>
      <c r="G3029" s="70">
        <v>0.0</v>
      </c>
      <c r="H3029" s="70" t="s">
        <v>10553</v>
      </c>
      <c r="I3029" s="70">
        <v>1038.0</v>
      </c>
      <c r="J3029" s="70" t="s">
        <v>31348</v>
      </c>
      <c r="K3029" s="70" t="s">
        <v>10551</v>
      </c>
      <c r="L3029" s="70" t="s">
        <v>10552</v>
      </c>
      <c r="P3029" s="76">
        <v>44162.0</v>
      </c>
      <c r="U3029" s="70" t="s">
        <v>239</v>
      </c>
      <c r="W3029" s="70" t="s">
        <v>10555</v>
      </c>
      <c r="X3029" s="70" t="s">
        <v>10556</v>
      </c>
      <c r="Y3029" s="70" t="s">
        <v>31349</v>
      </c>
      <c r="Z3029" s="75" t="s">
        <v>10558</v>
      </c>
      <c r="AA3029" s="70" t="s">
        <v>10559</v>
      </c>
      <c r="AE3029" s="70">
        <v>14.0</v>
      </c>
      <c r="AW3029" s="70" t="s">
        <v>10560</v>
      </c>
      <c r="AZ3029" s="70">
        <v>845.0</v>
      </c>
    </row>
    <row r="3030" ht="22.5" customHeight="1">
      <c r="A3030" s="70" t="str">
        <f t="shared" si="1"/>
        <v>Excluded</v>
      </c>
      <c r="B3030" s="70">
        <f t="shared" si="2"/>
        <v>0</v>
      </c>
      <c r="C3030" s="70">
        <v>0.0</v>
      </c>
      <c r="D3030" s="70">
        <v>0.0</v>
      </c>
      <c r="E3030" s="70">
        <v>0.0</v>
      </c>
      <c r="F3030" s="70">
        <v>0.0</v>
      </c>
      <c r="G3030" s="70">
        <v>0.0</v>
      </c>
      <c r="H3030" s="70" t="s">
        <v>6075</v>
      </c>
      <c r="I3030" s="70">
        <v>574.0</v>
      </c>
      <c r="J3030" s="70" t="s">
        <v>6071</v>
      </c>
      <c r="K3030" s="70" t="s">
        <v>6072</v>
      </c>
      <c r="L3030" s="70" t="s">
        <v>6073</v>
      </c>
      <c r="N3030" s="70" t="s">
        <v>6074</v>
      </c>
      <c r="P3030" s="77">
        <v>43436.0</v>
      </c>
      <c r="U3030" s="70" t="s">
        <v>239</v>
      </c>
      <c r="W3030" s="70" t="s">
        <v>1355</v>
      </c>
      <c r="X3030" s="70" t="s">
        <v>6077</v>
      </c>
      <c r="Z3030" s="75" t="s">
        <v>6078</v>
      </c>
      <c r="AA3030" s="70" t="s">
        <v>6079</v>
      </c>
      <c r="AC3030" s="70">
        <v>7.0</v>
      </c>
      <c r="AE3030" s="70">
        <v>10.0</v>
      </c>
      <c r="AW3030" s="70" t="s">
        <v>6080</v>
      </c>
      <c r="AX3030" s="70">
        <v>0.0</v>
      </c>
      <c r="AY3030" s="70" t="s">
        <v>24</v>
      </c>
      <c r="AZ3030" s="70">
        <v>2598.0</v>
      </c>
    </row>
    <row r="3031" ht="22.5" customHeight="1">
      <c r="A3031" s="70" t="str">
        <f t="shared" si="1"/>
        <v>Excluded</v>
      </c>
      <c r="B3031" s="70">
        <f t="shared" si="2"/>
        <v>0</v>
      </c>
      <c r="C3031" s="70">
        <v>0.0</v>
      </c>
      <c r="D3031" s="70">
        <v>0.0</v>
      </c>
      <c r="E3031" s="70">
        <v>0.0</v>
      </c>
      <c r="F3031" s="70">
        <v>0.0</v>
      </c>
      <c r="G3031" s="70">
        <v>0.0</v>
      </c>
      <c r="H3031" s="70" t="s">
        <v>10894</v>
      </c>
      <c r="I3031" s="70">
        <v>1117.0</v>
      </c>
      <c r="K3031" s="70" t="s">
        <v>10892</v>
      </c>
      <c r="L3031" s="70" t="s">
        <v>10893</v>
      </c>
      <c r="N3031" s="70" t="s">
        <v>6074</v>
      </c>
      <c r="P3031" s="76">
        <v>44132.0</v>
      </c>
      <c r="U3031" s="70" t="s">
        <v>239</v>
      </c>
      <c r="W3031" s="70" t="s">
        <v>10704</v>
      </c>
      <c r="X3031" s="70" t="s">
        <v>10895</v>
      </c>
      <c r="Z3031" s="75" t="s">
        <v>10896</v>
      </c>
      <c r="AZ3031" s="70">
        <v>1518.0</v>
      </c>
    </row>
    <row r="3032" ht="22.5" customHeight="1">
      <c r="A3032" s="70" t="str">
        <f t="shared" si="1"/>
        <v>Excluded</v>
      </c>
      <c r="B3032" s="70">
        <f t="shared" si="2"/>
        <v>0</v>
      </c>
      <c r="C3032" s="70">
        <v>0.0</v>
      </c>
      <c r="D3032" s="70">
        <v>0.0</v>
      </c>
      <c r="E3032" s="70">
        <v>0.0</v>
      </c>
      <c r="F3032" s="70">
        <v>0.0</v>
      </c>
      <c r="G3032" s="70">
        <v>0.0</v>
      </c>
      <c r="H3032" s="70" t="s">
        <v>7400</v>
      </c>
      <c r="I3032" s="70">
        <v>710.0</v>
      </c>
      <c r="J3032" s="70" t="s">
        <v>31350</v>
      </c>
      <c r="K3032" s="70" t="s">
        <v>7398</v>
      </c>
      <c r="L3032" s="70" t="s">
        <v>7399</v>
      </c>
      <c r="N3032" s="70" t="s">
        <v>6074</v>
      </c>
      <c r="P3032" s="76">
        <v>44481.0</v>
      </c>
      <c r="U3032" s="70" t="s">
        <v>239</v>
      </c>
      <c r="W3032" s="70" t="s">
        <v>31351</v>
      </c>
      <c r="X3032" s="70" t="s">
        <v>7403</v>
      </c>
      <c r="Z3032" s="75" t="s">
        <v>7404</v>
      </c>
      <c r="AA3032" s="70" t="s">
        <v>7405</v>
      </c>
      <c r="AC3032" s="70">
        <v>3.0</v>
      </c>
      <c r="AE3032" s="70">
        <v>15.0</v>
      </c>
      <c r="AW3032" s="70" t="s">
        <v>7406</v>
      </c>
      <c r="AZ3032" s="70">
        <v>1288.0</v>
      </c>
    </row>
    <row r="3033" ht="22.5" customHeight="1">
      <c r="A3033" s="70" t="str">
        <f t="shared" si="1"/>
        <v>Excluded</v>
      </c>
      <c r="B3033" s="70">
        <f t="shared" si="2"/>
        <v>0</v>
      </c>
      <c r="C3033" s="70">
        <v>0.0</v>
      </c>
      <c r="D3033" s="70">
        <v>0.0</v>
      </c>
      <c r="E3033" s="70">
        <v>0.0</v>
      </c>
      <c r="F3033" s="70">
        <v>0.0</v>
      </c>
      <c r="G3033" s="70">
        <v>0.0</v>
      </c>
      <c r="H3033" s="70" t="s">
        <v>7735</v>
      </c>
      <c r="I3033" s="70">
        <v>744.0</v>
      </c>
      <c r="J3033" s="70" t="s">
        <v>31352</v>
      </c>
      <c r="K3033" s="70" t="s">
        <v>7733</v>
      </c>
      <c r="L3033" s="70" t="s">
        <v>7734</v>
      </c>
      <c r="N3033" s="70" t="s">
        <v>6074</v>
      </c>
      <c r="P3033" s="76">
        <v>44852.0</v>
      </c>
      <c r="U3033" s="70" t="s">
        <v>239</v>
      </c>
      <c r="W3033" s="70" t="s">
        <v>7737</v>
      </c>
      <c r="X3033" s="70" t="s">
        <v>7738</v>
      </c>
      <c r="Y3033" s="70" t="s">
        <v>31353</v>
      </c>
      <c r="Z3033" s="75" t="s">
        <v>7740</v>
      </c>
      <c r="AA3033" s="70" t="s">
        <v>7741</v>
      </c>
      <c r="AC3033" s="70">
        <v>3.0</v>
      </c>
      <c r="AE3033" s="70">
        <v>14.0</v>
      </c>
      <c r="AW3033" s="70" t="s">
        <v>7742</v>
      </c>
      <c r="AX3033" s="70">
        <v>0.0</v>
      </c>
      <c r="AY3033" s="70" t="s">
        <v>24</v>
      </c>
      <c r="AZ3033" s="70">
        <v>3090.0</v>
      </c>
    </row>
    <row r="3034" ht="22.5" customHeight="1">
      <c r="A3034" s="70" t="str">
        <f t="shared" si="1"/>
        <v>Excluded</v>
      </c>
      <c r="B3034" s="70">
        <f t="shared" si="2"/>
        <v>0</v>
      </c>
      <c r="C3034" s="70">
        <v>0.0</v>
      </c>
      <c r="D3034" s="70">
        <v>0.0</v>
      </c>
      <c r="E3034" s="70">
        <v>0.0</v>
      </c>
      <c r="F3034" s="70">
        <v>0.0</v>
      </c>
      <c r="G3034" s="70">
        <v>0.0</v>
      </c>
      <c r="H3034" s="70" t="s">
        <v>10833</v>
      </c>
      <c r="I3034" s="70">
        <v>1100.0</v>
      </c>
      <c r="K3034" s="70" t="s">
        <v>9426</v>
      </c>
      <c r="L3034" s="70" t="s">
        <v>7734</v>
      </c>
      <c r="N3034" s="70" t="s">
        <v>6074</v>
      </c>
      <c r="P3034" s="76">
        <v>44852.0</v>
      </c>
      <c r="U3034" s="70" t="s">
        <v>239</v>
      </c>
      <c r="W3034" s="70" t="s">
        <v>10834</v>
      </c>
      <c r="X3034" s="70" t="s">
        <v>7738</v>
      </c>
      <c r="Z3034" s="75" t="s">
        <v>10835</v>
      </c>
      <c r="AZ3034" s="70">
        <v>1495.0</v>
      </c>
    </row>
    <row r="3035" ht="22.5" customHeight="1">
      <c r="A3035" s="70" t="str">
        <f t="shared" si="1"/>
        <v>Excluded</v>
      </c>
      <c r="B3035" s="70">
        <f t="shared" si="2"/>
        <v>0</v>
      </c>
      <c r="C3035" s="70">
        <v>0.0</v>
      </c>
      <c r="D3035" s="70">
        <v>0.0</v>
      </c>
      <c r="E3035" s="70">
        <v>0.0</v>
      </c>
      <c r="F3035" s="70">
        <v>0.0</v>
      </c>
      <c r="G3035" s="70">
        <v>0.0</v>
      </c>
      <c r="H3035" s="70" t="s">
        <v>16355</v>
      </c>
      <c r="I3035" s="70">
        <v>1787.0</v>
      </c>
      <c r="K3035" s="70" t="s">
        <v>16353</v>
      </c>
      <c r="L3035" s="70" t="s">
        <v>16354</v>
      </c>
      <c r="N3035" s="70" t="s">
        <v>6074</v>
      </c>
      <c r="P3035" s="76">
        <v>45209.0</v>
      </c>
      <c r="U3035" s="70" t="s">
        <v>239</v>
      </c>
      <c r="X3035" s="70" t="s">
        <v>16356</v>
      </c>
      <c r="Z3035" s="75" t="s">
        <v>16357</v>
      </c>
      <c r="AZ3035" s="70">
        <v>1487.0</v>
      </c>
    </row>
    <row r="3036" ht="22.5" customHeight="1">
      <c r="A3036" s="70" t="str">
        <f t="shared" si="1"/>
        <v>Excluded</v>
      </c>
      <c r="B3036" s="70">
        <f t="shared" si="2"/>
        <v>0</v>
      </c>
      <c r="C3036" s="70">
        <v>0.0</v>
      </c>
      <c r="D3036" s="70">
        <v>0.0</v>
      </c>
      <c r="E3036" s="70">
        <v>0.0</v>
      </c>
      <c r="F3036" s="70">
        <v>0.0</v>
      </c>
      <c r="G3036" s="70">
        <v>0.0</v>
      </c>
      <c r="H3036" s="70" t="s">
        <v>6033</v>
      </c>
      <c r="I3036" s="70">
        <v>570.0</v>
      </c>
      <c r="J3036" s="70" t="s">
        <v>6030</v>
      </c>
      <c r="K3036" s="70" t="s">
        <v>6031</v>
      </c>
      <c r="L3036" s="70" t="s">
        <v>6032</v>
      </c>
      <c r="P3036" s="77">
        <v>43678.0</v>
      </c>
      <c r="U3036" s="70" t="s">
        <v>239</v>
      </c>
      <c r="W3036" s="70" t="s">
        <v>6035</v>
      </c>
      <c r="X3036" s="70" t="s">
        <v>6036</v>
      </c>
      <c r="Z3036" s="75" t="s">
        <v>6037</v>
      </c>
      <c r="AA3036" s="70" t="s">
        <v>6038</v>
      </c>
      <c r="AC3036" s="70">
        <v>8.0</v>
      </c>
      <c r="AE3036" s="70">
        <v>13.0</v>
      </c>
      <c r="AW3036" s="70" t="s">
        <v>6039</v>
      </c>
      <c r="AZ3036" s="70">
        <v>215.0</v>
      </c>
    </row>
    <row r="3037" ht="22.5" customHeight="1">
      <c r="A3037" s="70" t="str">
        <f t="shared" si="1"/>
        <v>Excluded</v>
      </c>
      <c r="B3037" s="70">
        <f t="shared" si="2"/>
        <v>0</v>
      </c>
      <c r="C3037" s="70">
        <v>0.0</v>
      </c>
      <c r="D3037" s="70">
        <v>0.0</v>
      </c>
      <c r="E3037" s="70">
        <v>0.0</v>
      </c>
      <c r="F3037" s="70">
        <v>0.0</v>
      </c>
      <c r="G3037" s="70">
        <v>0.0</v>
      </c>
      <c r="H3037" s="70" t="s">
        <v>10702</v>
      </c>
      <c r="I3037" s="70">
        <v>1068.0</v>
      </c>
      <c r="K3037" s="70" t="s">
        <v>10701</v>
      </c>
      <c r="L3037" s="70" t="s">
        <v>9765</v>
      </c>
      <c r="P3037" s="77">
        <v>44139.0</v>
      </c>
      <c r="U3037" s="70" t="s">
        <v>239</v>
      </c>
      <c r="W3037" s="70" t="s">
        <v>10704</v>
      </c>
      <c r="X3037" s="70" t="s">
        <v>9769</v>
      </c>
      <c r="Z3037" s="75" t="s">
        <v>10705</v>
      </c>
      <c r="AZ3037" s="70">
        <v>1517.0</v>
      </c>
    </row>
    <row r="3038" ht="22.5" customHeight="1">
      <c r="A3038" s="70" t="str">
        <f t="shared" si="1"/>
        <v>Excluded</v>
      </c>
      <c r="B3038" s="70">
        <f t="shared" si="2"/>
        <v>0</v>
      </c>
      <c r="C3038" s="70">
        <v>0.0</v>
      </c>
      <c r="D3038" s="70">
        <v>0.0</v>
      </c>
      <c r="E3038" s="70">
        <v>0.0</v>
      </c>
      <c r="F3038" s="70">
        <v>0.0</v>
      </c>
      <c r="G3038" s="70">
        <v>0.0</v>
      </c>
      <c r="H3038" s="70" t="s">
        <v>9766</v>
      </c>
      <c r="I3038" s="70">
        <v>956.0</v>
      </c>
      <c r="J3038" s="70" t="s">
        <v>31354</v>
      </c>
      <c r="K3038" s="70" t="s">
        <v>9764</v>
      </c>
      <c r="L3038" s="70" t="s">
        <v>9765</v>
      </c>
      <c r="P3038" s="77">
        <v>44139.0</v>
      </c>
      <c r="U3038" s="70" t="s">
        <v>239</v>
      </c>
      <c r="W3038" s="70" t="s">
        <v>9768</v>
      </c>
      <c r="X3038" s="70" t="s">
        <v>9769</v>
      </c>
      <c r="Z3038" s="75" t="s">
        <v>9770</v>
      </c>
      <c r="AA3038" s="70" t="s">
        <v>9771</v>
      </c>
      <c r="AE3038" s="70">
        <v>44.0</v>
      </c>
      <c r="AW3038" s="70" t="s">
        <v>9772</v>
      </c>
      <c r="AZ3038" s="70">
        <v>365.0</v>
      </c>
    </row>
    <row r="3039" ht="22.5" customHeight="1">
      <c r="A3039" s="70" t="str">
        <f t="shared" si="1"/>
        <v>Excluded</v>
      </c>
      <c r="B3039" s="70">
        <f t="shared" si="2"/>
        <v>0</v>
      </c>
      <c r="C3039" s="70">
        <v>0.0</v>
      </c>
      <c r="D3039" s="70">
        <v>0.0</v>
      </c>
      <c r="E3039" s="70">
        <v>0.0</v>
      </c>
      <c r="F3039" s="70">
        <v>0.0</v>
      </c>
      <c r="G3039" s="70">
        <v>0.0</v>
      </c>
      <c r="H3039" s="70" t="s">
        <v>7267</v>
      </c>
      <c r="I3039" s="70">
        <v>696.0</v>
      </c>
      <c r="J3039" s="70" t="s">
        <v>31355</v>
      </c>
      <c r="K3039" s="70" t="s">
        <v>7265</v>
      </c>
      <c r="L3039" s="70" t="s">
        <v>7266</v>
      </c>
      <c r="P3039" s="76">
        <v>44490.0</v>
      </c>
      <c r="U3039" s="70" t="s">
        <v>239</v>
      </c>
      <c r="W3039" s="70" t="s">
        <v>7269</v>
      </c>
      <c r="X3039" s="70" t="s">
        <v>7270</v>
      </c>
      <c r="Z3039" s="75" t="s">
        <v>7271</v>
      </c>
      <c r="AA3039" s="70" t="s">
        <v>7272</v>
      </c>
      <c r="AC3039" s="70">
        <v>4.0</v>
      </c>
      <c r="AE3039" s="70">
        <v>23.0</v>
      </c>
      <c r="AW3039" s="70" t="s">
        <v>7273</v>
      </c>
      <c r="AZ3039" s="70">
        <v>1116.0</v>
      </c>
    </row>
    <row r="3040" ht="22.5" customHeight="1">
      <c r="A3040" s="70" t="str">
        <f t="shared" si="1"/>
        <v>Excluded</v>
      </c>
      <c r="B3040" s="70">
        <f t="shared" si="2"/>
        <v>0</v>
      </c>
      <c r="C3040" s="70">
        <v>0.0</v>
      </c>
      <c r="D3040" s="70">
        <v>0.0</v>
      </c>
      <c r="E3040" s="70">
        <v>0.0</v>
      </c>
      <c r="F3040" s="70">
        <v>0.0</v>
      </c>
      <c r="G3040" s="70">
        <v>0.0</v>
      </c>
      <c r="H3040" s="70" t="s">
        <v>15931</v>
      </c>
      <c r="I3040" s="70">
        <v>1676.0</v>
      </c>
      <c r="K3040" s="70" t="s">
        <v>9426</v>
      </c>
      <c r="L3040" s="70" t="s">
        <v>15930</v>
      </c>
      <c r="P3040" s="77">
        <v>45139.0</v>
      </c>
      <c r="U3040" s="70" t="s">
        <v>239</v>
      </c>
      <c r="X3040" s="70" t="s">
        <v>15932</v>
      </c>
      <c r="Z3040" s="75" t="s">
        <v>15933</v>
      </c>
      <c r="AZ3040" s="70">
        <v>1434.0</v>
      </c>
    </row>
    <row r="3041" ht="22.5" customHeight="1">
      <c r="A3041" s="70" t="str">
        <f t="shared" si="1"/>
        <v>Excluded</v>
      </c>
      <c r="B3041" s="70">
        <f t="shared" si="2"/>
        <v>0</v>
      </c>
      <c r="C3041" s="70">
        <v>0.0</v>
      </c>
      <c r="D3041" s="70">
        <v>0.0</v>
      </c>
      <c r="E3041" s="70">
        <v>0.0</v>
      </c>
      <c r="F3041" s="70">
        <v>0.0</v>
      </c>
      <c r="G3041" s="70">
        <v>0.0</v>
      </c>
      <c r="H3041" s="70" t="s">
        <v>12543</v>
      </c>
      <c r="I3041" s="70">
        <v>1309.0</v>
      </c>
      <c r="J3041" s="70" t="s">
        <v>12540</v>
      </c>
      <c r="K3041" s="70" t="s">
        <v>12541</v>
      </c>
      <c r="L3041" s="70" t="s">
        <v>12542</v>
      </c>
      <c r="P3041" s="77">
        <v>45509.0</v>
      </c>
      <c r="U3041" s="70" t="s">
        <v>239</v>
      </c>
      <c r="W3041" s="70" t="s">
        <v>12545</v>
      </c>
      <c r="X3041" s="70" t="s">
        <v>12546</v>
      </c>
      <c r="Z3041" s="75" t="s">
        <v>12547</v>
      </c>
      <c r="AE3041" s="70">
        <v>21.0</v>
      </c>
      <c r="AW3041" s="70" t="s">
        <v>12548</v>
      </c>
      <c r="AZ3041" s="70">
        <v>956.0</v>
      </c>
    </row>
    <row r="3042" ht="22.5" customHeight="1">
      <c r="A3042" s="70" t="str">
        <f t="shared" si="1"/>
        <v>Excluded</v>
      </c>
      <c r="B3042" s="70">
        <f t="shared" si="2"/>
        <v>0</v>
      </c>
      <c r="C3042" s="70">
        <v>0.0</v>
      </c>
      <c r="D3042" s="70">
        <v>0.0</v>
      </c>
      <c r="E3042" s="70">
        <v>0.0</v>
      </c>
      <c r="F3042" s="70">
        <v>0.0</v>
      </c>
      <c r="G3042" s="70">
        <v>0.0</v>
      </c>
      <c r="H3042" s="70" t="s">
        <v>7315</v>
      </c>
      <c r="I3042" s="70">
        <v>701.0</v>
      </c>
      <c r="J3042" s="70" t="s">
        <v>7312</v>
      </c>
      <c r="K3042" s="70" t="s">
        <v>7313</v>
      </c>
      <c r="L3042" s="70" t="s">
        <v>7314</v>
      </c>
      <c r="P3042" s="76">
        <v>42915.0</v>
      </c>
      <c r="U3042" s="70" t="s">
        <v>239</v>
      </c>
      <c r="W3042" s="70" t="s">
        <v>7317</v>
      </c>
      <c r="X3042" s="70" t="s">
        <v>7318</v>
      </c>
      <c r="Z3042" s="75" t="s">
        <v>7319</v>
      </c>
      <c r="AA3042" s="70" t="s">
        <v>7320</v>
      </c>
      <c r="AC3042" s="70">
        <v>4.0</v>
      </c>
      <c r="AE3042" s="70">
        <v>32.0</v>
      </c>
      <c r="AW3042" s="70" t="s">
        <v>7321</v>
      </c>
      <c r="AX3042" s="70">
        <v>0.0</v>
      </c>
      <c r="AY3042" s="70" t="s">
        <v>24</v>
      </c>
      <c r="AZ3042" s="70">
        <v>2164.0</v>
      </c>
    </row>
    <row r="3043" ht="22.5" customHeight="1">
      <c r="A3043" s="70" t="str">
        <f t="shared" si="1"/>
        <v>Excluded</v>
      </c>
      <c r="B3043" s="70">
        <f t="shared" si="2"/>
        <v>0</v>
      </c>
      <c r="C3043" s="70">
        <v>0.0</v>
      </c>
      <c r="D3043" s="70">
        <v>0.0</v>
      </c>
      <c r="E3043" s="70">
        <v>0.0</v>
      </c>
      <c r="F3043" s="70">
        <v>0.0</v>
      </c>
      <c r="G3043" s="70">
        <v>0.0</v>
      </c>
      <c r="H3043" s="70" t="s">
        <v>12373</v>
      </c>
      <c r="I3043" s="70">
        <v>1292.0</v>
      </c>
      <c r="J3043" s="70" t="s">
        <v>12370</v>
      </c>
      <c r="K3043" s="70" t="s">
        <v>12371</v>
      </c>
      <c r="L3043" s="70" t="s">
        <v>12372</v>
      </c>
      <c r="P3043" s="76">
        <v>44998.0</v>
      </c>
      <c r="U3043" s="70" t="s">
        <v>239</v>
      </c>
      <c r="W3043" s="70" t="s">
        <v>12375</v>
      </c>
      <c r="X3043" s="70" t="s">
        <v>12376</v>
      </c>
      <c r="Z3043" s="75" t="s">
        <v>12377</v>
      </c>
      <c r="AC3043" s="70">
        <v>1.0</v>
      </c>
      <c r="AE3043" s="70">
        <v>23.0</v>
      </c>
      <c r="AW3043" s="70" t="s">
        <v>12378</v>
      </c>
      <c r="AX3043" s="70">
        <v>0.0</v>
      </c>
      <c r="AY3043" s="70" t="s">
        <v>24</v>
      </c>
      <c r="AZ3043" s="70">
        <v>1687.0</v>
      </c>
    </row>
    <row r="3044" ht="22.5" customHeight="1">
      <c r="A3044" s="70" t="str">
        <f t="shared" si="1"/>
        <v>Excluded</v>
      </c>
      <c r="B3044" s="70">
        <f t="shared" si="2"/>
        <v>0</v>
      </c>
      <c r="C3044" s="70">
        <v>0.0</v>
      </c>
      <c r="D3044" s="70">
        <v>0.0</v>
      </c>
      <c r="E3044" s="70">
        <v>0.0</v>
      </c>
      <c r="F3044" s="70">
        <v>0.0</v>
      </c>
      <c r="G3044" s="70">
        <v>0.0</v>
      </c>
      <c r="H3044" s="70" t="s">
        <v>20851</v>
      </c>
      <c r="I3044" s="70">
        <v>2296.0</v>
      </c>
      <c r="J3044" s="70" t="s">
        <v>20847</v>
      </c>
      <c r="K3044" s="70" t="s">
        <v>20848</v>
      </c>
      <c r="L3044" s="70" t="s">
        <v>20849</v>
      </c>
      <c r="N3044" s="70" t="s">
        <v>20850</v>
      </c>
      <c r="P3044" s="76">
        <v>45313.0</v>
      </c>
      <c r="U3044" s="70" t="s">
        <v>20852</v>
      </c>
      <c r="W3044" s="70" t="s">
        <v>20854</v>
      </c>
      <c r="Y3044" s="70" t="s">
        <v>20855</v>
      </c>
      <c r="Z3044" s="75" t="s">
        <v>20856</v>
      </c>
      <c r="AA3044" s="70" t="s">
        <v>20857</v>
      </c>
      <c r="AC3044" s="70">
        <v>2.0</v>
      </c>
      <c r="AE3044" s="70">
        <v>107.0</v>
      </c>
      <c r="AW3044" s="70" t="s">
        <v>20858</v>
      </c>
      <c r="AZ3044" s="70">
        <v>235.0</v>
      </c>
    </row>
    <row r="3045" ht="22.5" customHeight="1">
      <c r="A3045" s="70" t="str">
        <f t="shared" si="1"/>
        <v>Excluded</v>
      </c>
      <c r="B3045" s="70">
        <f t="shared" si="2"/>
        <v>0</v>
      </c>
      <c r="C3045" s="70">
        <v>0.0</v>
      </c>
      <c r="D3045" s="70">
        <v>0.0</v>
      </c>
      <c r="E3045" s="70">
        <v>0.0</v>
      </c>
      <c r="F3045" s="70">
        <v>0.0</v>
      </c>
      <c r="G3045" s="70">
        <v>0.0</v>
      </c>
      <c r="H3045" s="70" t="s">
        <v>24719</v>
      </c>
      <c r="I3045" s="70">
        <v>2699.0</v>
      </c>
      <c r="J3045" s="70" t="s">
        <v>24717</v>
      </c>
      <c r="K3045" s="70" t="s">
        <v>24718</v>
      </c>
      <c r="W3045" s="70" t="s">
        <v>31356</v>
      </c>
      <c r="AA3045" s="70" t="s">
        <v>24721</v>
      </c>
      <c r="AI3045" s="70" t="s">
        <v>24722</v>
      </c>
      <c r="AJ3045" s="70" t="s">
        <v>24723</v>
      </c>
      <c r="AK3045" s="70">
        <v>2024.0</v>
      </c>
      <c r="AL3045" s="70" t="s">
        <v>24724</v>
      </c>
      <c r="AM3045" s="70">
        <v>2.0242738E7</v>
      </c>
      <c r="AQ3045" s="70">
        <v>0.0</v>
      </c>
      <c r="AR3045" s="75" t="s">
        <v>24725</v>
      </c>
      <c r="AS3045" s="70" t="s">
        <v>22525</v>
      </c>
      <c r="AT3045" s="70" t="s">
        <v>22622</v>
      </c>
      <c r="AU3045" s="70" t="s">
        <v>237</v>
      </c>
      <c r="AV3045" s="70" t="s">
        <v>24726</v>
      </c>
      <c r="AW3045" s="70" t="s">
        <v>24727</v>
      </c>
      <c r="AX3045" s="70">
        <v>0.0</v>
      </c>
      <c r="AY3045" s="70" t="s">
        <v>24</v>
      </c>
      <c r="AZ3045" s="70">
        <v>2848.0</v>
      </c>
    </row>
    <row r="3046" ht="22.5" customHeight="1">
      <c r="A3046" s="70" t="str">
        <f t="shared" si="1"/>
        <v>Excluded</v>
      </c>
      <c r="B3046" s="70">
        <f t="shared" si="2"/>
        <v>0</v>
      </c>
      <c r="C3046" s="70">
        <v>0.0</v>
      </c>
      <c r="D3046" s="70">
        <v>0.0</v>
      </c>
      <c r="E3046" s="70">
        <v>0.0</v>
      </c>
      <c r="F3046" s="70">
        <v>0.0</v>
      </c>
      <c r="G3046" s="70">
        <v>0.0</v>
      </c>
      <c r="H3046" s="70" t="s">
        <v>25680</v>
      </c>
      <c r="I3046" s="70">
        <v>2792.0</v>
      </c>
      <c r="J3046" s="70" t="s">
        <v>31357</v>
      </c>
      <c r="K3046" s="70" t="s">
        <v>25679</v>
      </c>
      <c r="W3046" s="70" t="s">
        <v>31358</v>
      </c>
      <c r="AA3046" s="70" t="s">
        <v>25682</v>
      </c>
      <c r="AI3046" s="70" t="s">
        <v>31359</v>
      </c>
      <c r="AJ3046" s="70" t="s">
        <v>25684</v>
      </c>
      <c r="AK3046" s="70">
        <v>2023.0</v>
      </c>
      <c r="AL3046" s="70" t="s">
        <v>25685</v>
      </c>
      <c r="AN3046" s="70">
        <v>31.0</v>
      </c>
      <c r="AO3046" s="70">
        <v>43.0</v>
      </c>
      <c r="AP3046" s="70">
        <v>12.0</v>
      </c>
      <c r="AQ3046" s="70">
        <v>1.0</v>
      </c>
      <c r="AR3046" s="75" t="s">
        <v>25686</v>
      </c>
      <c r="AS3046" s="70" t="s">
        <v>22525</v>
      </c>
      <c r="AT3046" s="70" t="s">
        <v>22656</v>
      </c>
      <c r="AU3046" s="70" t="s">
        <v>237</v>
      </c>
      <c r="AV3046" s="70" t="s">
        <v>25687</v>
      </c>
      <c r="AX3046" s="70">
        <v>0.0</v>
      </c>
      <c r="AY3046" s="70" t="s">
        <v>24</v>
      </c>
      <c r="AZ3046" s="70">
        <v>2730.0</v>
      </c>
    </row>
    <row r="3047" ht="22.5" customHeight="1">
      <c r="A3047" s="70" t="str">
        <f t="shared" si="1"/>
        <v>Excluded</v>
      </c>
      <c r="B3047" s="70">
        <f t="shared" si="2"/>
        <v>0</v>
      </c>
      <c r="C3047" s="70">
        <v>0.0</v>
      </c>
      <c r="D3047" s="70">
        <v>0.0</v>
      </c>
      <c r="E3047" s="70">
        <v>0.0</v>
      </c>
      <c r="F3047" s="70">
        <v>0.0</v>
      </c>
      <c r="G3047" s="70">
        <v>0.0</v>
      </c>
      <c r="H3047" s="70" t="s">
        <v>21013</v>
      </c>
      <c r="I3047" s="70">
        <v>2314.0</v>
      </c>
      <c r="J3047" s="70" t="s">
        <v>21009</v>
      </c>
      <c r="K3047" s="70" t="s">
        <v>21010</v>
      </c>
      <c r="L3047" s="70" t="s">
        <v>21011</v>
      </c>
      <c r="N3047" s="70" t="s">
        <v>21012</v>
      </c>
      <c r="P3047" s="76">
        <v>45404.0</v>
      </c>
      <c r="U3047" s="70" t="s">
        <v>19904</v>
      </c>
      <c r="W3047" s="70" t="s">
        <v>21015</v>
      </c>
      <c r="Z3047" s="75" t="s">
        <v>21016</v>
      </c>
      <c r="AA3047" s="70" t="s">
        <v>21017</v>
      </c>
      <c r="AC3047" s="70">
        <v>2.0</v>
      </c>
      <c r="AE3047" s="70">
        <v>64.0</v>
      </c>
      <c r="AW3047" s="70" t="s">
        <v>21018</v>
      </c>
      <c r="AZ3047" s="70">
        <v>1080.0</v>
      </c>
    </row>
    <row r="3048" ht="22.5" customHeight="1">
      <c r="A3048" s="70" t="str">
        <f t="shared" si="1"/>
        <v>Excluded</v>
      </c>
      <c r="B3048" s="70">
        <f t="shared" si="2"/>
        <v>0</v>
      </c>
      <c r="C3048" s="70">
        <v>0.0</v>
      </c>
      <c r="D3048" s="70">
        <v>0.0</v>
      </c>
      <c r="E3048" s="70">
        <v>0.0</v>
      </c>
      <c r="F3048" s="70">
        <v>0.0</v>
      </c>
      <c r="G3048" s="70">
        <v>0.0</v>
      </c>
      <c r="H3048" s="70" t="s">
        <v>19903</v>
      </c>
      <c r="I3048" s="70">
        <v>2190.0</v>
      </c>
      <c r="J3048" s="70" t="s">
        <v>19899</v>
      </c>
      <c r="K3048" s="70" t="s">
        <v>19900</v>
      </c>
      <c r="L3048" s="70" t="s">
        <v>19901</v>
      </c>
      <c r="N3048" s="70" t="s">
        <v>19902</v>
      </c>
      <c r="P3048" s="77">
        <v>45264.0</v>
      </c>
      <c r="U3048" s="70" t="s">
        <v>19904</v>
      </c>
      <c r="W3048" s="70" t="s">
        <v>31360</v>
      </c>
      <c r="Z3048" s="75" t="s">
        <v>19907</v>
      </c>
      <c r="AA3048" s="70" t="s">
        <v>19908</v>
      </c>
      <c r="AC3048" s="70">
        <v>7.0</v>
      </c>
      <c r="AE3048" s="70">
        <v>134.0</v>
      </c>
      <c r="AW3048" s="70" t="s">
        <v>19909</v>
      </c>
      <c r="AZ3048" s="70">
        <v>986.0</v>
      </c>
    </row>
    <row r="3049" ht="22.5" customHeight="1">
      <c r="A3049" s="70" t="str">
        <f t="shared" si="1"/>
        <v>Excluded</v>
      </c>
      <c r="B3049" s="70">
        <f t="shared" si="2"/>
        <v>0</v>
      </c>
      <c r="C3049" s="70">
        <v>0.0</v>
      </c>
      <c r="D3049" s="70">
        <v>0.0</v>
      </c>
      <c r="E3049" s="70">
        <v>0.0</v>
      </c>
      <c r="F3049" s="70">
        <v>0.0</v>
      </c>
      <c r="G3049" s="70">
        <v>0.0</v>
      </c>
      <c r="H3049" s="70" t="s">
        <v>25005</v>
      </c>
      <c r="I3049" s="70">
        <v>2727.0</v>
      </c>
      <c r="J3049" s="70" t="s">
        <v>25003</v>
      </c>
      <c r="K3049" s="70" t="s">
        <v>25004</v>
      </c>
      <c r="W3049" s="70" t="s">
        <v>31361</v>
      </c>
      <c r="AA3049" s="70" t="s">
        <v>25007</v>
      </c>
      <c r="AI3049" s="70" t="s">
        <v>25008</v>
      </c>
      <c r="AJ3049" s="70" t="s">
        <v>25009</v>
      </c>
      <c r="AK3049" s="70">
        <v>2023.0</v>
      </c>
      <c r="AL3049" s="70" t="s">
        <v>25010</v>
      </c>
      <c r="AN3049" s="70">
        <v>6209.0</v>
      </c>
      <c r="AO3049" s="70">
        <v>6227.0</v>
      </c>
      <c r="AP3049" s="70">
        <v>18.0</v>
      </c>
      <c r="AQ3049" s="70">
        <v>5.0</v>
      </c>
      <c r="AR3049" s="75" t="s">
        <v>25011</v>
      </c>
      <c r="AS3049" s="70" t="s">
        <v>22525</v>
      </c>
      <c r="AU3049" s="70" t="s">
        <v>237</v>
      </c>
      <c r="AV3049" s="70" t="s">
        <v>25012</v>
      </c>
      <c r="AW3049" s="70" t="s">
        <v>25013</v>
      </c>
      <c r="AZ3049" s="70">
        <v>167.0</v>
      </c>
    </row>
    <row r="3050" ht="22.5" customHeight="1">
      <c r="A3050" s="70" t="str">
        <f t="shared" si="1"/>
        <v>Excluded</v>
      </c>
      <c r="B3050" s="70">
        <f t="shared" si="2"/>
        <v>0</v>
      </c>
      <c r="C3050" s="70">
        <v>0.0</v>
      </c>
      <c r="D3050" s="70">
        <v>0.0</v>
      </c>
      <c r="E3050" s="70">
        <v>0.0</v>
      </c>
      <c r="F3050" s="70">
        <v>0.0</v>
      </c>
      <c r="G3050" s="70">
        <v>0.0</v>
      </c>
      <c r="H3050" s="70" t="s">
        <v>25079</v>
      </c>
      <c r="I3050" s="70">
        <v>2734.0</v>
      </c>
      <c r="J3050" s="70" t="s">
        <v>25077</v>
      </c>
      <c r="K3050" s="70" t="s">
        <v>25078</v>
      </c>
      <c r="W3050" s="70" t="s">
        <v>31362</v>
      </c>
      <c r="AA3050" s="70" t="s">
        <v>25081</v>
      </c>
      <c r="AI3050" s="70" t="s">
        <v>25082</v>
      </c>
      <c r="AJ3050" s="70">
        <v>5.8970412E10</v>
      </c>
      <c r="AK3050" s="70">
        <v>2024.0</v>
      </c>
      <c r="AL3050" s="70" t="s">
        <v>23282</v>
      </c>
      <c r="AN3050" s="70">
        <v>2309.0</v>
      </c>
      <c r="AO3050" s="70">
        <v>2335.0</v>
      </c>
      <c r="AP3050" s="70">
        <v>26.0</v>
      </c>
      <c r="AQ3050" s="70">
        <v>1.0</v>
      </c>
      <c r="AR3050" s="75" t="s">
        <v>25083</v>
      </c>
      <c r="AS3050" s="70" t="s">
        <v>22525</v>
      </c>
      <c r="AT3050" s="70" t="s">
        <v>22622</v>
      </c>
      <c r="AU3050" s="70" t="s">
        <v>237</v>
      </c>
      <c r="AV3050" s="70" t="s">
        <v>25084</v>
      </c>
      <c r="AW3050" s="70" t="s">
        <v>25085</v>
      </c>
      <c r="AX3050" s="70">
        <v>1.0</v>
      </c>
      <c r="AZ3050" s="70">
        <v>1639.0</v>
      </c>
    </row>
    <row r="3051" ht="22.5" customHeight="1">
      <c r="A3051" s="70" t="str">
        <f t="shared" si="1"/>
        <v>Excluded</v>
      </c>
      <c r="B3051" s="70">
        <f t="shared" si="2"/>
        <v>0</v>
      </c>
      <c r="C3051" s="70">
        <v>0.0</v>
      </c>
      <c r="D3051" s="70">
        <v>0.0</v>
      </c>
      <c r="E3051" s="70">
        <v>0.0</v>
      </c>
      <c r="F3051" s="70">
        <v>0.0</v>
      </c>
      <c r="G3051" s="70">
        <v>0.0</v>
      </c>
      <c r="H3051" s="70" t="s">
        <v>23277</v>
      </c>
      <c r="I3051" s="70">
        <v>2560.0</v>
      </c>
      <c r="J3051" s="70" t="s">
        <v>23275</v>
      </c>
      <c r="K3051" s="70" t="s">
        <v>23276</v>
      </c>
      <c r="W3051" s="70" t="s">
        <v>31363</v>
      </c>
      <c r="AA3051" s="70" t="s">
        <v>23279</v>
      </c>
      <c r="AI3051" s="70" t="s">
        <v>23280</v>
      </c>
      <c r="AJ3051" s="70" t="s">
        <v>23281</v>
      </c>
      <c r="AK3051" s="70">
        <v>2025.0</v>
      </c>
      <c r="AL3051" s="70" t="s">
        <v>23282</v>
      </c>
      <c r="AN3051" s="70">
        <v>1377.0</v>
      </c>
      <c r="AO3051" s="70">
        <v>1399.0</v>
      </c>
      <c r="AP3051" s="70">
        <v>22.0</v>
      </c>
      <c r="AQ3051" s="70">
        <v>0.0</v>
      </c>
      <c r="AR3051" s="75" t="s">
        <v>23283</v>
      </c>
      <c r="AS3051" s="70" t="s">
        <v>22525</v>
      </c>
      <c r="AT3051" s="70" t="s">
        <v>22622</v>
      </c>
      <c r="AU3051" s="70" t="s">
        <v>237</v>
      </c>
      <c r="AV3051" s="70" t="s">
        <v>23284</v>
      </c>
      <c r="AW3051" s="70" t="s">
        <v>23285</v>
      </c>
      <c r="AX3051" s="70">
        <v>0.0</v>
      </c>
      <c r="AY3051" s="70" t="s">
        <v>24</v>
      </c>
      <c r="AZ3051" s="70">
        <v>1937.0</v>
      </c>
    </row>
    <row r="3052" ht="22.5" customHeight="1">
      <c r="A3052" s="70" t="str">
        <f t="shared" si="1"/>
        <v>Excluded</v>
      </c>
      <c r="B3052" s="70">
        <f t="shared" si="2"/>
        <v>0</v>
      </c>
      <c r="C3052" s="70">
        <v>0.0</v>
      </c>
      <c r="D3052" s="70">
        <v>0.0</v>
      </c>
      <c r="E3052" s="70">
        <v>0.0</v>
      </c>
      <c r="F3052" s="70">
        <v>0.0</v>
      </c>
      <c r="G3052" s="70">
        <v>0.0</v>
      </c>
      <c r="H3052" s="70" t="s">
        <v>27587</v>
      </c>
      <c r="I3052" s="70">
        <v>2978.0</v>
      </c>
      <c r="J3052" s="70" t="s">
        <v>27585</v>
      </c>
      <c r="K3052" s="70" t="s">
        <v>27586</v>
      </c>
      <c r="W3052" s="70" t="s">
        <v>31364</v>
      </c>
      <c r="AA3052" s="70" t="s">
        <v>27589</v>
      </c>
      <c r="AI3052" s="70" t="s">
        <v>27590</v>
      </c>
      <c r="AJ3052" s="70" t="s">
        <v>27591</v>
      </c>
      <c r="AK3052" s="70">
        <v>2022.0</v>
      </c>
      <c r="AL3052" s="70" t="s">
        <v>27592</v>
      </c>
      <c r="AN3052" s="70">
        <v>79.0</v>
      </c>
      <c r="AO3052" s="70">
        <v>136.0</v>
      </c>
      <c r="AP3052" s="70">
        <v>57.0</v>
      </c>
      <c r="AQ3052" s="70">
        <v>6.0</v>
      </c>
      <c r="AR3052" s="75" t="s">
        <v>27593</v>
      </c>
      <c r="AS3052" s="70" t="s">
        <v>22525</v>
      </c>
      <c r="AT3052" s="70" t="s">
        <v>22622</v>
      </c>
      <c r="AU3052" s="70" t="s">
        <v>237</v>
      </c>
      <c r="AV3052" s="70" t="s">
        <v>27594</v>
      </c>
      <c r="AZ3052" s="70">
        <v>775.0</v>
      </c>
    </row>
    <row r="3053" ht="22.5" customHeight="1">
      <c r="A3053" s="70" t="str">
        <f t="shared" si="1"/>
        <v>Excluded</v>
      </c>
      <c r="B3053" s="70">
        <f t="shared" si="2"/>
        <v>0</v>
      </c>
      <c r="C3053" s="70">
        <v>0.0</v>
      </c>
      <c r="D3053" s="70">
        <v>0.0</v>
      </c>
      <c r="E3053" s="70">
        <v>0.0</v>
      </c>
      <c r="F3053" s="70">
        <v>0.0</v>
      </c>
      <c r="G3053" s="70">
        <v>0.0</v>
      </c>
      <c r="H3053" s="70" t="s">
        <v>28201</v>
      </c>
      <c r="I3053" s="70">
        <v>3038.0</v>
      </c>
      <c r="J3053" s="70" t="s">
        <v>28199</v>
      </c>
      <c r="K3053" s="70" t="s">
        <v>28200</v>
      </c>
      <c r="W3053" s="70" t="s">
        <v>31365</v>
      </c>
      <c r="AA3053" s="70" t="s">
        <v>28203</v>
      </c>
      <c r="AI3053" s="70" t="s">
        <v>28204</v>
      </c>
      <c r="AJ3053" s="70" t="s">
        <v>28205</v>
      </c>
      <c r="AK3053" s="70">
        <v>2021.0</v>
      </c>
      <c r="AL3053" s="70" t="s">
        <v>28206</v>
      </c>
      <c r="AM3053" s="70">
        <v>665545.0</v>
      </c>
      <c r="AQ3053" s="70">
        <v>4.0</v>
      </c>
      <c r="AR3053" s="75" t="s">
        <v>28207</v>
      </c>
      <c r="AS3053" s="70" t="s">
        <v>22525</v>
      </c>
      <c r="AT3053" s="70" t="s">
        <v>22622</v>
      </c>
      <c r="AU3053" s="70" t="s">
        <v>237</v>
      </c>
      <c r="AV3053" s="70" t="s">
        <v>28208</v>
      </c>
      <c r="AZ3053" s="70">
        <v>1068.0</v>
      </c>
    </row>
    <row r="3054" ht="22.5" customHeight="1">
      <c r="A3054" s="70" t="str">
        <f t="shared" si="1"/>
        <v>Excluded</v>
      </c>
      <c r="B3054" s="70">
        <f t="shared" si="2"/>
        <v>0</v>
      </c>
      <c r="C3054" s="70">
        <v>0.0</v>
      </c>
      <c r="D3054" s="70">
        <v>0.0</v>
      </c>
      <c r="E3054" s="70">
        <v>0.0</v>
      </c>
      <c r="F3054" s="70">
        <v>0.0</v>
      </c>
      <c r="G3054" s="70">
        <v>0.0</v>
      </c>
      <c r="H3054" s="70" t="s">
        <v>26641</v>
      </c>
      <c r="I3054" s="70">
        <v>2886.0</v>
      </c>
      <c r="J3054" s="70" t="s">
        <v>26639</v>
      </c>
      <c r="K3054" s="70" t="s">
        <v>26640</v>
      </c>
      <c r="W3054" s="70" t="s">
        <v>31366</v>
      </c>
      <c r="AA3054" s="70" t="s">
        <v>26643</v>
      </c>
      <c r="AI3054" s="70" t="s">
        <v>26644</v>
      </c>
      <c r="AJ3054" s="70" t="s">
        <v>26645</v>
      </c>
      <c r="AK3054" s="70">
        <v>2022.0</v>
      </c>
      <c r="AL3054" s="70" t="s">
        <v>24511</v>
      </c>
      <c r="AM3054" s="70">
        <v>967856.0</v>
      </c>
      <c r="AQ3054" s="70">
        <v>0.0</v>
      </c>
      <c r="AR3054" s="75" t="s">
        <v>26646</v>
      </c>
      <c r="AS3054" s="70" t="s">
        <v>22525</v>
      </c>
      <c r="AT3054" s="70" t="s">
        <v>22622</v>
      </c>
      <c r="AU3054" s="70" t="s">
        <v>237</v>
      </c>
      <c r="AV3054" s="70" t="s">
        <v>26647</v>
      </c>
      <c r="AW3054" s="70" t="s">
        <v>26648</v>
      </c>
      <c r="AZ3054" s="70">
        <v>1245.0</v>
      </c>
    </row>
    <row r="3055" ht="22.5" customHeight="1">
      <c r="A3055" s="70" t="str">
        <f t="shared" si="1"/>
        <v>Excluded</v>
      </c>
      <c r="B3055" s="70">
        <f t="shared" si="2"/>
        <v>0</v>
      </c>
      <c r="C3055" s="70">
        <v>0.0</v>
      </c>
      <c r="D3055" s="70">
        <v>0.0</v>
      </c>
      <c r="E3055" s="70">
        <v>0.0</v>
      </c>
      <c r="F3055" s="70">
        <v>0.0</v>
      </c>
      <c r="G3055" s="70">
        <v>0.0</v>
      </c>
      <c r="H3055" s="70" t="s">
        <v>24943</v>
      </c>
      <c r="I3055" s="70">
        <v>2721.0</v>
      </c>
      <c r="J3055" s="70" t="s">
        <v>24941</v>
      </c>
      <c r="K3055" s="70" t="s">
        <v>24942</v>
      </c>
      <c r="W3055" s="70" t="s">
        <v>31367</v>
      </c>
      <c r="AA3055" s="70" t="s">
        <v>24945</v>
      </c>
      <c r="AI3055" s="70" t="s">
        <v>24946</v>
      </c>
      <c r="AJ3055" s="70" t="s">
        <v>24947</v>
      </c>
      <c r="AK3055" s="70">
        <v>2024.0</v>
      </c>
      <c r="AL3055" s="70" t="s">
        <v>24511</v>
      </c>
      <c r="AM3055" s="70">
        <v>1292904.0</v>
      </c>
      <c r="AQ3055" s="70">
        <v>1.0</v>
      </c>
      <c r="AR3055" s="75" t="s">
        <v>24948</v>
      </c>
      <c r="AS3055" s="70" t="s">
        <v>22525</v>
      </c>
      <c r="AT3055" s="70" t="s">
        <v>22622</v>
      </c>
      <c r="AU3055" s="70" t="s">
        <v>237</v>
      </c>
      <c r="AV3055" s="70" t="s">
        <v>24949</v>
      </c>
      <c r="AW3055" s="70" t="s">
        <v>24950</v>
      </c>
      <c r="AZ3055" s="70">
        <v>797.0</v>
      </c>
    </row>
    <row r="3056" ht="22.5" customHeight="1">
      <c r="A3056" s="70" t="str">
        <f t="shared" si="1"/>
        <v>Excluded</v>
      </c>
      <c r="B3056" s="70">
        <f t="shared" si="2"/>
        <v>0</v>
      </c>
      <c r="C3056" s="70">
        <v>0.0</v>
      </c>
      <c r="D3056" s="70">
        <v>0.0</v>
      </c>
      <c r="E3056" s="70">
        <v>0.0</v>
      </c>
      <c r="F3056" s="70">
        <v>0.0</v>
      </c>
      <c r="G3056" s="70">
        <v>0.0</v>
      </c>
      <c r="H3056" s="70" t="s">
        <v>24506</v>
      </c>
      <c r="I3056" s="70">
        <v>2679.0</v>
      </c>
      <c r="J3056" s="70" t="s">
        <v>24504</v>
      </c>
      <c r="K3056" s="70" t="s">
        <v>24505</v>
      </c>
      <c r="W3056" s="70" t="s">
        <v>31368</v>
      </c>
      <c r="AA3056" s="70" t="s">
        <v>24508</v>
      </c>
      <c r="AI3056" s="70" t="s">
        <v>24509</v>
      </c>
      <c r="AJ3056" s="70" t="s">
        <v>24510</v>
      </c>
      <c r="AK3056" s="70">
        <v>2024.0</v>
      </c>
      <c r="AL3056" s="70" t="s">
        <v>24511</v>
      </c>
      <c r="AM3056" s="70">
        <v>1435704.0</v>
      </c>
      <c r="AQ3056" s="70">
        <v>0.0</v>
      </c>
      <c r="AR3056" s="75" t="s">
        <v>24512</v>
      </c>
      <c r="AS3056" s="70" t="s">
        <v>22525</v>
      </c>
      <c r="AT3056" s="70" t="s">
        <v>22622</v>
      </c>
      <c r="AU3056" s="70" t="s">
        <v>237</v>
      </c>
      <c r="AV3056" s="70" t="s">
        <v>24513</v>
      </c>
      <c r="AW3056" s="70" t="s">
        <v>24514</v>
      </c>
      <c r="AZ3056" s="70">
        <v>393.0</v>
      </c>
    </row>
    <row r="3057" ht="22.5" customHeight="1">
      <c r="A3057" s="70" t="str">
        <f t="shared" si="1"/>
        <v>Excluded</v>
      </c>
      <c r="B3057" s="70">
        <f t="shared" si="2"/>
        <v>0</v>
      </c>
      <c r="C3057" s="70">
        <v>0.0</v>
      </c>
      <c r="D3057" s="70">
        <v>0.0</v>
      </c>
      <c r="E3057" s="70">
        <v>0.0</v>
      </c>
      <c r="F3057" s="70">
        <v>0.0</v>
      </c>
      <c r="G3057" s="70">
        <v>0.0</v>
      </c>
      <c r="H3057" s="70" t="s">
        <v>26083</v>
      </c>
      <c r="I3057" s="70">
        <v>2831.0</v>
      </c>
      <c r="J3057" s="70" t="s">
        <v>26081</v>
      </c>
      <c r="K3057" s="70" t="s">
        <v>26082</v>
      </c>
      <c r="W3057" s="70" t="s">
        <v>31369</v>
      </c>
      <c r="AA3057" s="70" t="s">
        <v>26085</v>
      </c>
      <c r="AI3057" s="70" t="s">
        <v>26086</v>
      </c>
      <c r="AJ3057" s="70">
        <v>5.78145408E10</v>
      </c>
      <c r="AK3057" s="70">
        <v>2022.0</v>
      </c>
      <c r="AL3057" s="70" t="s">
        <v>26087</v>
      </c>
      <c r="AM3057" s="70">
        <v>936290.0</v>
      </c>
      <c r="AQ3057" s="70">
        <v>4.0</v>
      </c>
      <c r="AR3057" s="75" t="s">
        <v>26088</v>
      </c>
      <c r="AS3057" s="70" t="s">
        <v>22525</v>
      </c>
      <c r="AT3057" s="70" t="s">
        <v>22643</v>
      </c>
      <c r="AU3057" s="70" t="s">
        <v>237</v>
      </c>
      <c r="AV3057" s="70" t="s">
        <v>26089</v>
      </c>
      <c r="AZ3057" s="70">
        <v>352.0</v>
      </c>
    </row>
    <row r="3058" ht="22.5" customHeight="1">
      <c r="A3058" s="70" t="str">
        <f t="shared" si="1"/>
        <v>Excluded</v>
      </c>
      <c r="B3058" s="70">
        <f t="shared" si="2"/>
        <v>0</v>
      </c>
      <c r="C3058" s="70">
        <v>0.0</v>
      </c>
      <c r="D3058" s="70">
        <v>0.0</v>
      </c>
      <c r="E3058" s="70">
        <v>0.0</v>
      </c>
      <c r="F3058" s="70">
        <v>0.0</v>
      </c>
      <c r="G3058" s="70">
        <v>0.0</v>
      </c>
      <c r="H3058" s="70" t="s">
        <v>26296</v>
      </c>
      <c r="I3058" s="70">
        <v>2852.0</v>
      </c>
      <c r="J3058" s="70" t="s">
        <v>26294</v>
      </c>
      <c r="K3058" s="70" t="s">
        <v>26295</v>
      </c>
      <c r="W3058" s="70" t="s">
        <v>31370</v>
      </c>
      <c r="AA3058" s="70" t="s">
        <v>26298</v>
      </c>
      <c r="AI3058" s="70" t="s">
        <v>26299</v>
      </c>
      <c r="AJ3058" s="70" t="s">
        <v>26300</v>
      </c>
      <c r="AK3058" s="70">
        <v>2022.0</v>
      </c>
      <c r="AL3058" s="70" t="s">
        <v>26301</v>
      </c>
      <c r="AM3058" s="70">
        <v>451.0</v>
      </c>
      <c r="AQ3058" s="70">
        <v>3.0</v>
      </c>
      <c r="AR3058" s="75" t="s">
        <v>26302</v>
      </c>
      <c r="AS3058" s="70" t="s">
        <v>22525</v>
      </c>
      <c r="AT3058" s="70" t="s">
        <v>22622</v>
      </c>
      <c r="AU3058" s="70" t="s">
        <v>237</v>
      </c>
      <c r="AV3058" s="70" t="s">
        <v>26303</v>
      </c>
      <c r="AX3058" s="70">
        <v>0.0</v>
      </c>
      <c r="AY3058" s="70" t="s">
        <v>24</v>
      </c>
      <c r="AZ3058" s="70">
        <v>2984.0</v>
      </c>
    </row>
    <row r="3059" ht="22.5" customHeight="1">
      <c r="A3059" s="70" t="str">
        <f t="shared" si="1"/>
        <v>Excluded</v>
      </c>
      <c r="B3059" s="70">
        <f t="shared" si="2"/>
        <v>0</v>
      </c>
      <c r="C3059" s="70">
        <v>0.0</v>
      </c>
      <c r="D3059" s="70">
        <v>0.0</v>
      </c>
      <c r="E3059" s="70">
        <v>0.0</v>
      </c>
      <c r="F3059" s="70">
        <v>0.0</v>
      </c>
      <c r="G3059" s="70">
        <v>0.0</v>
      </c>
      <c r="H3059" s="70" t="s">
        <v>29010</v>
      </c>
      <c r="I3059" s="70">
        <v>3117.0</v>
      </c>
      <c r="J3059" s="70" t="s">
        <v>29008</v>
      </c>
      <c r="K3059" s="70" t="s">
        <v>29009</v>
      </c>
      <c r="W3059" s="70" t="s">
        <v>31371</v>
      </c>
      <c r="AA3059" s="70" t="s">
        <v>29012</v>
      </c>
      <c r="AI3059" s="70" t="s">
        <v>29013</v>
      </c>
      <c r="AJ3059" s="70" t="s">
        <v>29014</v>
      </c>
      <c r="AK3059" s="70">
        <v>2020.0</v>
      </c>
      <c r="AL3059" s="70" t="s">
        <v>23168</v>
      </c>
      <c r="AM3059" s="70">
        <v>2181.0</v>
      </c>
      <c r="AQ3059" s="70">
        <v>9.0</v>
      </c>
      <c r="AR3059" s="75" t="s">
        <v>29015</v>
      </c>
      <c r="AS3059" s="70" t="s">
        <v>22525</v>
      </c>
      <c r="AT3059" s="70" t="s">
        <v>22622</v>
      </c>
      <c r="AU3059" s="70" t="s">
        <v>237</v>
      </c>
      <c r="AV3059" s="70" t="s">
        <v>29016</v>
      </c>
      <c r="AX3059" s="70">
        <v>0.0</v>
      </c>
      <c r="AY3059" s="70" t="s">
        <v>24</v>
      </c>
      <c r="AZ3059" s="70">
        <v>2326.0</v>
      </c>
    </row>
    <row r="3060" ht="22.5" customHeight="1">
      <c r="A3060" s="70" t="str">
        <f t="shared" si="1"/>
        <v>Excluded</v>
      </c>
      <c r="B3060" s="70">
        <f t="shared" si="2"/>
        <v>0</v>
      </c>
      <c r="C3060" s="70">
        <v>0.0</v>
      </c>
      <c r="D3060" s="70">
        <v>0.0</v>
      </c>
      <c r="E3060" s="70">
        <v>0.0</v>
      </c>
      <c r="F3060" s="70">
        <v>0.0</v>
      </c>
      <c r="G3060" s="70">
        <v>0.0</v>
      </c>
      <c r="H3060" s="70" t="s">
        <v>27864</v>
      </c>
      <c r="I3060" s="70">
        <v>3005.0</v>
      </c>
      <c r="J3060" s="70" t="s">
        <v>31372</v>
      </c>
      <c r="K3060" s="70" t="s">
        <v>27863</v>
      </c>
      <c r="W3060" s="70" t="s">
        <v>31373</v>
      </c>
      <c r="AA3060" s="70" t="s">
        <v>27866</v>
      </c>
      <c r="AI3060" s="70" t="s">
        <v>31374</v>
      </c>
      <c r="AJ3060" s="70" t="s">
        <v>27868</v>
      </c>
      <c r="AK3060" s="70">
        <v>2021.0</v>
      </c>
      <c r="AL3060" s="70" t="s">
        <v>23168</v>
      </c>
      <c r="AM3060" s="70">
        <v>4350.0</v>
      </c>
      <c r="AQ3060" s="70">
        <v>14.0</v>
      </c>
      <c r="AR3060" s="75" t="s">
        <v>27869</v>
      </c>
      <c r="AS3060" s="70" t="s">
        <v>22525</v>
      </c>
      <c r="AT3060" s="70" t="s">
        <v>22622</v>
      </c>
      <c r="AU3060" s="70" t="s">
        <v>237</v>
      </c>
      <c r="AV3060" s="70" t="s">
        <v>27870</v>
      </c>
      <c r="AX3060" s="70">
        <v>0.0</v>
      </c>
      <c r="AY3060" s="70" t="s">
        <v>24</v>
      </c>
      <c r="AZ3060" s="70">
        <v>1983.0</v>
      </c>
    </row>
    <row r="3061" ht="22.5" customHeight="1">
      <c r="A3061" s="70" t="str">
        <f t="shared" si="1"/>
        <v>Excluded</v>
      </c>
      <c r="B3061" s="70">
        <f t="shared" si="2"/>
        <v>0</v>
      </c>
      <c r="C3061" s="70">
        <v>0.0</v>
      </c>
      <c r="D3061" s="70">
        <v>0.0</v>
      </c>
      <c r="E3061" s="70">
        <v>0.0</v>
      </c>
      <c r="F3061" s="70">
        <v>0.0</v>
      </c>
      <c r="G3061" s="70">
        <v>0.0</v>
      </c>
      <c r="H3061" s="70" t="s">
        <v>27659</v>
      </c>
      <c r="I3061" s="70">
        <v>2985.0</v>
      </c>
      <c r="J3061" s="70" t="s">
        <v>31375</v>
      </c>
      <c r="K3061" s="70" t="s">
        <v>31376</v>
      </c>
      <c r="W3061" s="70" t="s">
        <v>31377</v>
      </c>
      <c r="AA3061" s="70" t="s">
        <v>31378</v>
      </c>
      <c r="AI3061" s="70" t="s">
        <v>31379</v>
      </c>
      <c r="AJ3061" s="70" t="s">
        <v>27663</v>
      </c>
      <c r="AK3061" s="70">
        <v>2021.0</v>
      </c>
      <c r="AL3061" s="70" t="s">
        <v>23168</v>
      </c>
      <c r="AM3061" s="70">
        <v>6722.0</v>
      </c>
      <c r="AQ3061" s="70">
        <v>6.0</v>
      </c>
      <c r="AR3061" s="75" t="s">
        <v>27664</v>
      </c>
      <c r="AS3061" s="70" t="s">
        <v>22525</v>
      </c>
      <c r="AT3061" s="70" t="s">
        <v>22816</v>
      </c>
      <c r="AU3061" s="70" t="s">
        <v>237</v>
      </c>
      <c r="AV3061" s="70" t="s">
        <v>27665</v>
      </c>
      <c r="AX3061" s="70">
        <v>0.0</v>
      </c>
      <c r="AY3061" s="70" t="s">
        <v>24</v>
      </c>
      <c r="AZ3061" s="70">
        <v>2132.0</v>
      </c>
    </row>
    <row r="3062" ht="22.5" customHeight="1">
      <c r="A3062" s="70" t="str">
        <f t="shared" si="1"/>
        <v>Excluded</v>
      </c>
      <c r="B3062" s="70">
        <f t="shared" si="2"/>
        <v>0</v>
      </c>
      <c r="C3062" s="70">
        <v>0.0</v>
      </c>
      <c r="D3062" s="70">
        <v>0.0</v>
      </c>
      <c r="E3062" s="70">
        <v>0.0</v>
      </c>
      <c r="F3062" s="70">
        <v>0.0</v>
      </c>
      <c r="G3062" s="70">
        <v>0.0</v>
      </c>
      <c r="H3062" s="70" t="s">
        <v>27494</v>
      </c>
      <c r="I3062" s="70">
        <v>2969.0</v>
      </c>
      <c r="J3062" s="70" t="s">
        <v>27492</v>
      </c>
      <c r="K3062" s="70" t="s">
        <v>27493</v>
      </c>
      <c r="W3062" s="70" t="s">
        <v>31380</v>
      </c>
      <c r="AA3062" s="70" t="s">
        <v>27496</v>
      </c>
      <c r="AI3062" s="70" t="s">
        <v>27497</v>
      </c>
      <c r="AJ3062" s="70" t="s">
        <v>27498</v>
      </c>
      <c r="AK3062" s="70">
        <v>2021.0</v>
      </c>
      <c r="AL3062" s="70" t="s">
        <v>23168</v>
      </c>
      <c r="AM3062" s="70">
        <v>8117.0</v>
      </c>
      <c r="AQ3062" s="70">
        <v>82.0</v>
      </c>
      <c r="AR3062" s="75" t="s">
        <v>27499</v>
      </c>
      <c r="AS3062" s="70" t="s">
        <v>22525</v>
      </c>
      <c r="AT3062" s="70" t="s">
        <v>22622</v>
      </c>
      <c r="AU3062" s="70" t="s">
        <v>237</v>
      </c>
      <c r="AV3062" s="70" t="s">
        <v>27500</v>
      </c>
      <c r="AZ3062" s="70">
        <v>764.0</v>
      </c>
    </row>
    <row r="3063" ht="22.5" customHeight="1">
      <c r="A3063" s="70" t="str">
        <f t="shared" si="1"/>
        <v>Excluded</v>
      </c>
      <c r="B3063" s="70">
        <f t="shared" si="2"/>
        <v>0</v>
      </c>
      <c r="C3063" s="70">
        <v>0.0</v>
      </c>
      <c r="D3063" s="70">
        <v>0.0</v>
      </c>
      <c r="E3063" s="70">
        <v>0.0</v>
      </c>
      <c r="F3063" s="70">
        <v>0.0</v>
      </c>
      <c r="G3063" s="70">
        <v>0.0</v>
      </c>
      <c r="H3063" s="70" t="s">
        <v>26651</v>
      </c>
      <c r="I3063" s="70">
        <v>2887.0</v>
      </c>
      <c r="J3063" s="70" t="s">
        <v>26649</v>
      </c>
      <c r="K3063" s="70" t="s">
        <v>26650</v>
      </c>
      <c r="W3063" s="70" t="s">
        <v>31381</v>
      </c>
      <c r="AA3063" s="70" t="s">
        <v>26653</v>
      </c>
      <c r="AI3063" s="70" t="s">
        <v>31382</v>
      </c>
      <c r="AJ3063" s="70" t="s">
        <v>26655</v>
      </c>
      <c r="AK3063" s="70">
        <v>2022.0</v>
      </c>
      <c r="AL3063" s="70" t="s">
        <v>23168</v>
      </c>
      <c r="AM3063" s="70">
        <v>6981.0</v>
      </c>
      <c r="AQ3063" s="70">
        <v>20.0</v>
      </c>
      <c r="AR3063" s="75" t="s">
        <v>26656</v>
      </c>
      <c r="AS3063" s="70" t="s">
        <v>22525</v>
      </c>
      <c r="AT3063" s="70" t="s">
        <v>22622</v>
      </c>
      <c r="AU3063" s="70" t="s">
        <v>237</v>
      </c>
      <c r="AV3063" s="70" t="s">
        <v>26657</v>
      </c>
      <c r="AX3063" s="70">
        <v>0.0</v>
      </c>
      <c r="AY3063" s="70" t="s">
        <v>24</v>
      </c>
      <c r="AZ3063" s="70">
        <v>2978.0</v>
      </c>
    </row>
    <row r="3064" ht="22.5" customHeight="1">
      <c r="A3064" s="70" t="str">
        <f t="shared" si="1"/>
        <v>Excluded</v>
      </c>
      <c r="B3064" s="70">
        <f t="shared" si="2"/>
        <v>0</v>
      </c>
      <c r="C3064" s="70">
        <v>0.0</v>
      </c>
      <c r="D3064" s="70">
        <v>0.0</v>
      </c>
      <c r="E3064" s="70">
        <v>0.0</v>
      </c>
      <c r="F3064" s="70">
        <v>0.0</v>
      </c>
      <c r="G3064" s="70">
        <v>0.0</v>
      </c>
      <c r="H3064" s="70" t="s">
        <v>25230</v>
      </c>
      <c r="I3064" s="70">
        <v>2749.0</v>
      </c>
      <c r="J3064" s="70" t="s">
        <v>31383</v>
      </c>
      <c r="K3064" s="70" t="s">
        <v>25229</v>
      </c>
      <c r="W3064" s="70" t="s">
        <v>31384</v>
      </c>
      <c r="AA3064" s="70" t="s">
        <v>25232</v>
      </c>
      <c r="AI3064" s="70" t="s">
        <v>31385</v>
      </c>
      <c r="AJ3064" s="70" t="s">
        <v>25234</v>
      </c>
      <c r="AK3064" s="70">
        <v>2023.0</v>
      </c>
      <c r="AL3064" s="70" t="s">
        <v>23168</v>
      </c>
      <c r="AM3064" s="70">
        <v>2972.0</v>
      </c>
      <c r="AQ3064" s="70">
        <v>8.0</v>
      </c>
      <c r="AR3064" s="75" t="s">
        <v>25235</v>
      </c>
      <c r="AS3064" s="70" t="s">
        <v>22525</v>
      </c>
      <c r="AT3064" s="70" t="s">
        <v>22622</v>
      </c>
      <c r="AU3064" s="70" t="s">
        <v>237</v>
      </c>
      <c r="AV3064" s="70" t="s">
        <v>25236</v>
      </c>
      <c r="AZ3064" s="70">
        <v>169.0</v>
      </c>
    </row>
    <row r="3065" ht="22.5" customHeight="1">
      <c r="A3065" s="70" t="str">
        <f t="shared" si="1"/>
        <v>Excluded</v>
      </c>
      <c r="B3065" s="70">
        <f t="shared" si="2"/>
        <v>0</v>
      </c>
      <c r="C3065" s="70">
        <v>0.0</v>
      </c>
      <c r="D3065" s="70">
        <v>0.0</v>
      </c>
      <c r="E3065" s="70">
        <v>0.0</v>
      </c>
      <c r="F3065" s="70">
        <v>0.0</v>
      </c>
      <c r="G3065" s="70">
        <v>0.0</v>
      </c>
      <c r="H3065" s="70" t="s">
        <v>24820</v>
      </c>
      <c r="I3065" s="70">
        <v>2709.0</v>
      </c>
      <c r="J3065" s="70" t="s">
        <v>24818</v>
      </c>
      <c r="K3065" s="70" t="s">
        <v>24819</v>
      </c>
      <c r="W3065" s="70" t="s">
        <v>31386</v>
      </c>
      <c r="AA3065" s="70" t="s">
        <v>24822</v>
      </c>
      <c r="AI3065" s="70" t="s">
        <v>24823</v>
      </c>
      <c r="AJ3065" s="70" t="s">
        <v>24824</v>
      </c>
      <c r="AK3065" s="70">
        <v>2023.0</v>
      </c>
      <c r="AL3065" s="70" t="s">
        <v>23168</v>
      </c>
      <c r="AM3065" s="70">
        <v>12635.0</v>
      </c>
      <c r="AQ3065" s="70">
        <v>1.0</v>
      </c>
      <c r="AR3065" s="75" t="s">
        <v>24825</v>
      </c>
      <c r="AS3065" s="70" t="s">
        <v>22525</v>
      </c>
      <c r="AT3065" s="70" t="s">
        <v>22643</v>
      </c>
      <c r="AU3065" s="70" t="s">
        <v>237</v>
      </c>
      <c r="AV3065" s="70" t="s">
        <v>24826</v>
      </c>
      <c r="AZ3065" s="70">
        <v>185.0</v>
      </c>
    </row>
    <row r="3066" ht="22.5" customHeight="1">
      <c r="A3066" s="70" t="str">
        <f t="shared" si="1"/>
        <v>Excluded</v>
      </c>
      <c r="B3066" s="70">
        <f t="shared" si="2"/>
        <v>0</v>
      </c>
      <c r="C3066" s="70">
        <v>0.0</v>
      </c>
      <c r="D3066" s="70">
        <v>0.0</v>
      </c>
      <c r="E3066" s="70">
        <v>0.0</v>
      </c>
      <c r="F3066" s="70">
        <v>0.0</v>
      </c>
      <c r="G3066" s="70">
        <v>0.0</v>
      </c>
      <c r="H3066" s="70" t="s">
        <v>24487</v>
      </c>
      <c r="I3066" s="70">
        <v>2677.0</v>
      </c>
      <c r="J3066" s="70" t="s">
        <v>24485</v>
      </c>
      <c r="K3066" s="70" t="s">
        <v>24486</v>
      </c>
      <c r="W3066" s="70" t="s">
        <v>31387</v>
      </c>
      <c r="AA3066" s="70" t="s">
        <v>24489</v>
      </c>
      <c r="AI3066" s="70" t="s">
        <v>24490</v>
      </c>
      <c r="AJ3066" s="70" t="s">
        <v>24491</v>
      </c>
      <c r="AK3066" s="70">
        <v>2024.0</v>
      </c>
      <c r="AL3066" s="70" t="s">
        <v>23168</v>
      </c>
      <c r="AM3066" s="70">
        <v>887.0</v>
      </c>
      <c r="AQ3066" s="70">
        <v>2.0</v>
      </c>
      <c r="AR3066" s="75" t="s">
        <v>24492</v>
      </c>
      <c r="AS3066" s="70" t="s">
        <v>22525</v>
      </c>
      <c r="AT3066" s="70" t="s">
        <v>22622</v>
      </c>
      <c r="AU3066" s="70" t="s">
        <v>237</v>
      </c>
      <c r="AV3066" s="70" t="s">
        <v>24493</v>
      </c>
      <c r="AX3066" s="70">
        <v>0.0</v>
      </c>
      <c r="AY3066" s="70" t="s">
        <v>24</v>
      </c>
      <c r="AZ3066" s="70">
        <v>2588.0</v>
      </c>
    </row>
    <row r="3067" ht="22.5" customHeight="1">
      <c r="A3067" s="70" t="str">
        <f t="shared" si="1"/>
        <v>Excluded</v>
      </c>
      <c r="B3067" s="70">
        <f t="shared" si="2"/>
        <v>0</v>
      </c>
      <c r="C3067" s="70">
        <v>0.0</v>
      </c>
      <c r="D3067" s="70">
        <v>0.0</v>
      </c>
      <c r="E3067" s="70">
        <v>0.0</v>
      </c>
      <c r="F3067" s="70">
        <v>0.0</v>
      </c>
      <c r="G3067" s="70">
        <v>0.0</v>
      </c>
      <c r="H3067" s="70" t="s">
        <v>23227</v>
      </c>
      <c r="I3067" s="70">
        <v>2555.0</v>
      </c>
      <c r="J3067" s="70" t="s">
        <v>23225</v>
      </c>
      <c r="K3067" s="70" t="s">
        <v>23226</v>
      </c>
      <c r="W3067" s="70" t="s">
        <v>31388</v>
      </c>
      <c r="AA3067" s="70" t="s">
        <v>23229</v>
      </c>
      <c r="AI3067" s="70" t="s">
        <v>23230</v>
      </c>
      <c r="AJ3067" s="70" t="s">
        <v>23231</v>
      </c>
      <c r="AK3067" s="70">
        <v>2024.0</v>
      </c>
      <c r="AL3067" s="70" t="s">
        <v>23168</v>
      </c>
      <c r="AM3067" s="70">
        <v>11834.0</v>
      </c>
      <c r="AQ3067" s="70">
        <v>0.0</v>
      </c>
      <c r="AR3067" s="75" t="s">
        <v>23232</v>
      </c>
      <c r="AS3067" s="70" t="s">
        <v>22525</v>
      </c>
      <c r="AT3067" s="70" t="s">
        <v>22622</v>
      </c>
      <c r="AU3067" s="70" t="s">
        <v>237</v>
      </c>
      <c r="AV3067" s="70" t="s">
        <v>23233</v>
      </c>
      <c r="AW3067" s="70" t="s">
        <v>23234</v>
      </c>
      <c r="AX3067" s="70">
        <v>0.0</v>
      </c>
      <c r="AY3067" s="70" t="s">
        <v>24</v>
      </c>
      <c r="AZ3067" s="70">
        <v>1752.0</v>
      </c>
    </row>
    <row r="3068" ht="22.5" customHeight="1">
      <c r="A3068" s="70" t="str">
        <f t="shared" si="1"/>
        <v>Excluded</v>
      </c>
      <c r="B3068" s="70">
        <f t="shared" si="2"/>
        <v>0</v>
      </c>
      <c r="C3068" s="70">
        <v>0.0</v>
      </c>
      <c r="D3068" s="70">
        <v>0.0</v>
      </c>
      <c r="E3068" s="70">
        <v>0.0</v>
      </c>
      <c r="F3068" s="70">
        <v>0.0</v>
      </c>
      <c r="G3068" s="70">
        <v>0.0</v>
      </c>
      <c r="H3068" s="70" t="s">
        <v>26023</v>
      </c>
      <c r="I3068" s="70">
        <v>2825.0</v>
      </c>
      <c r="J3068" s="70" t="s">
        <v>26021</v>
      </c>
      <c r="K3068" s="70" t="s">
        <v>26022</v>
      </c>
      <c r="W3068" s="70" t="s">
        <v>31389</v>
      </c>
      <c r="AA3068" s="70" t="s">
        <v>26025</v>
      </c>
      <c r="AI3068" s="70" t="s">
        <v>26026</v>
      </c>
      <c r="AJ3068" s="70" t="s">
        <v>26027</v>
      </c>
      <c r="AK3068" s="70">
        <v>2022.0</v>
      </c>
      <c r="AL3068" s="70" t="s">
        <v>22620</v>
      </c>
      <c r="AM3068" s="70">
        <v>1533.0</v>
      </c>
      <c r="AQ3068" s="70">
        <v>1.0</v>
      </c>
      <c r="AR3068" s="75" t="s">
        <v>26028</v>
      </c>
      <c r="AS3068" s="70" t="s">
        <v>22525</v>
      </c>
      <c r="AT3068" s="70" t="s">
        <v>22622</v>
      </c>
      <c r="AU3068" s="70" t="s">
        <v>237</v>
      </c>
      <c r="AV3068" s="70" t="s">
        <v>26029</v>
      </c>
      <c r="AZ3068" s="70">
        <v>895.0</v>
      </c>
    </row>
    <row r="3069" ht="22.5" customHeight="1">
      <c r="A3069" s="70" t="str">
        <f t="shared" si="1"/>
        <v>Excluded</v>
      </c>
      <c r="B3069" s="70">
        <f t="shared" si="2"/>
        <v>0</v>
      </c>
      <c r="C3069" s="70">
        <v>0.0</v>
      </c>
      <c r="D3069" s="70">
        <v>0.0</v>
      </c>
      <c r="E3069" s="70">
        <v>0.0</v>
      </c>
      <c r="F3069" s="70">
        <v>0.0</v>
      </c>
      <c r="G3069" s="70">
        <v>0.0</v>
      </c>
      <c r="H3069" s="70" t="s">
        <v>22615</v>
      </c>
      <c r="I3069" s="70">
        <v>2498.0</v>
      </c>
      <c r="J3069" s="70" t="s">
        <v>22613</v>
      </c>
      <c r="K3069" s="70" t="s">
        <v>22614</v>
      </c>
      <c r="W3069" s="70" t="s">
        <v>31390</v>
      </c>
      <c r="AA3069" s="70" t="s">
        <v>22617</v>
      </c>
      <c r="AI3069" s="70" t="s">
        <v>22618</v>
      </c>
      <c r="AJ3069" s="70" t="s">
        <v>22619</v>
      </c>
      <c r="AK3069" s="70">
        <v>2024.0</v>
      </c>
      <c r="AL3069" s="70" t="s">
        <v>22620</v>
      </c>
      <c r="AM3069" s="70">
        <v>2577.0</v>
      </c>
      <c r="AQ3069" s="70">
        <v>0.0</v>
      </c>
      <c r="AR3069" s="75" t="s">
        <v>22621</v>
      </c>
      <c r="AS3069" s="70" t="s">
        <v>22525</v>
      </c>
      <c r="AT3069" s="70" t="s">
        <v>22622</v>
      </c>
      <c r="AU3069" s="70" t="s">
        <v>237</v>
      </c>
      <c r="AV3069" s="70" t="s">
        <v>22623</v>
      </c>
      <c r="AW3069" s="70" t="s">
        <v>22624</v>
      </c>
      <c r="AZ3069" s="70">
        <v>313.0</v>
      </c>
    </row>
    <row r="3070" ht="22.5" customHeight="1">
      <c r="A3070" s="70" t="str">
        <f t="shared" si="1"/>
        <v>Excluded</v>
      </c>
      <c r="B3070" s="70">
        <f t="shared" si="2"/>
        <v>0</v>
      </c>
      <c r="C3070" s="70">
        <v>0.0</v>
      </c>
      <c r="D3070" s="70">
        <v>0.0</v>
      </c>
      <c r="E3070" s="70">
        <v>0.0</v>
      </c>
      <c r="F3070" s="70">
        <v>0.0</v>
      </c>
      <c r="G3070" s="70">
        <v>0.0</v>
      </c>
      <c r="H3070" s="70" t="s">
        <v>22734</v>
      </c>
      <c r="I3070" s="70">
        <v>2509.0</v>
      </c>
      <c r="J3070" s="70" t="s">
        <v>31391</v>
      </c>
      <c r="K3070" s="70" t="s">
        <v>22733</v>
      </c>
      <c r="W3070" s="70" t="s">
        <v>31392</v>
      </c>
      <c r="AA3070" s="70" t="s">
        <v>22736</v>
      </c>
      <c r="AI3070" s="70" t="s">
        <v>31393</v>
      </c>
      <c r="AJ3070" s="70">
        <v>1.63063824E10</v>
      </c>
      <c r="AK3070" s="70">
        <v>2024.0</v>
      </c>
      <c r="AL3070" s="70" t="s">
        <v>22620</v>
      </c>
      <c r="AM3070" s="70">
        <v>3851.0</v>
      </c>
      <c r="AQ3070" s="70">
        <v>1.0</v>
      </c>
      <c r="AR3070" s="75" t="s">
        <v>22738</v>
      </c>
      <c r="AS3070" s="70" t="s">
        <v>22525</v>
      </c>
      <c r="AT3070" s="70" t="s">
        <v>22622</v>
      </c>
      <c r="AU3070" s="70" t="s">
        <v>237</v>
      </c>
      <c r="AV3070" s="70" t="s">
        <v>22739</v>
      </c>
      <c r="AW3070" s="70" t="s">
        <v>22740</v>
      </c>
      <c r="AZ3070" s="70">
        <v>839.0</v>
      </c>
    </row>
    <row r="3071" ht="22.5" customHeight="1">
      <c r="A3071" s="70" t="str">
        <f t="shared" si="1"/>
        <v>Excluded</v>
      </c>
      <c r="B3071" s="70">
        <f t="shared" si="2"/>
        <v>0</v>
      </c>
      <c r="C3071" s="70">
        <v>0.0</v>
      </c>
      <c r="D3071" s="70">
        <v>0.0</v>
      </c>
      <c r="E3071" s="70">
        <v>0.0</v>
      </c>
      <c r="F3071" s="70">
        <v>0.0</v>
      </c>
      <c r="G3071" s="70">
        <v>0.0</v>
      </c>
      <c r="H3071" s="70" t="s">
        <v>25190</v>
      </c>
      <c r="I3071" s="70">
        <v>2745.0</v>
      </c>
      <c r="J3071" s="70" t="s">
        <v>25188</v>
      </c>
      <c r="K3071" s="70" t="s">
        <v>25189</v>
      </c>
      <c r="W3071" s="70" t="s">
        <v>31394</v>
      </c>
      <c r="AA3071" s="70" t="s">
        <v>25192</v>
      </c>
      <c r="AI3071" s="70" t="s">
        <v>25193</v>
      </c>
      <c r="AJ3071" s="70" t="s">
        <v>25194</v>
      </c>
      <c r="AK3071" s="70">
        <v>2023.0</v>
      </c>
      <c r="AL3071" s="70" t="s">
        <v>25195</v>
      </c>
      <c r="AM3071" s="70">
        <v>632.0</v>
      </c>
      <c r="AQ3071" s="70">
        <v>9.0</v>
      </c>
      <c r="AR3071" s="75" t="s">
        <v>25196</v>
      </c>
      <c r="AS3071" s="70" t="s">
        <v>22525</v>
      </c>
      <c r="AT3071" s="70" t="s">
        <v>22643</v>
      </c>
      <c r="AU3071" s="70" t="s">
        <v>237</v>
      </c>
      <c r="AV3071" s="70" t="s">
        <v>25197</v>
      </c>
      <c r="AZ3071" s="70">
        <v>1300.0</v>
      </c>
    </row>
    <row r="3072" ht="22.5" customHeight="1">
      <c r="A3072" s="70" t="str">
        <f t="shared" si="1"/>
        <v>Excluded</v>
      </c>
      <c r="B3072" s="70">
        <f t="shared" si="2"/>
        <v>0</v>
      </c>
      <c r="C3072" s="70">
        <v>0.0</v>
      </c>
      <c r="D3072" s="70">
        <v>0.0</v>
      </c>
      <c r="E3072" s="70">
        <v>0.0</v>
      </c>
      <c r="F3072" s="70">
        <v>0.0</v>
      </c>
      <c r="G3072" s="70">
        <v>0.0</v>
      </c>
      <c r="H3072" s="70" t="s">
        <v>26828</v>
      </c>
      <c r="I3072" s="70">
        <v>2904.0</v>
      </c>
      <c r="J3072" s="70" t="s">
        <v>26826</v>
      </c>
      <c r="K3072" s="70" t="s">
        <v>26827</v>
      </c>
      <c r="W3072" s="70" t="s">
        <v>31395</v>
      </c>
      <c r="AA3072" s="70" t="s">
        <v>26830</v>
      </c>
      <c r="AI3072" s="70" t="s">
        <v>26831</v>
      </c>
      <c r="AJ3072" s="70" t="s">
        <v>26832</v>
      </c>
      <c r="AK3072" s="70">
        <v>2022.0</v>
      </c>
      <c r="AL3072" s="70" t="s">
        <v>23242</v>
      </c>
      <c r="AM3072" s="70">
        <v>3982.0</v>
      </c>
      <c r="AQ3072" s="70">
        <v>8.0</v>
      </c>
      <c r="AR3072" s="75" t="s">
        <v>26833</v>
      </c>
      <c r="AS3072" s="70" t="s">
        <v>22525</v>
      </c>
      <c r="AT3072" s="70" t="s">
        <v>22643</v>
      </c>
      <c r="AU3072" s="70" t="s">
        <v>237</v>
      </c>
      <c r="AV3072" s="70" t="s">
        <v>26834</v>
      </c>
      <c r="AX3072" s="70">
        <v>0.0</v>
      </c>
      <c r="AY3072" s="70" t="s">
        <v>24</v>
      </c>
      <c r="AZ3072" s="70">
        <v>2872.0</v>
      </c>
    </row>
    <row r="3073" ht="22.5" customHeight="1">
      <c r="A3073" s="70" t="str">
        <f t="shared" si="1"/>
        <v>Excluded</v>
      </c>
      <c r="B3073" s="70">
        <f t="shared" si="2"/>
        <v>0</v>
      </c>
      <c r="C3073" s="70">
        <v>0.0</v>
      </c>
      <c r="D3073" s="70">
        <v>0.0</v>
      </c>
      <c r="E3073" s="70">
        <v>0.0</v>
      </c>
      <c r="F3073" s="70">
        <v>0.0</v>
      </c>
      <c r="G3073" s="70">
        <v>0.0</v>
      </c>
      <c r="H3073" s="70" t="s">
        <v>26042</v>
      </c>
      <c r="I3073" s="70">
        <v>2827.0</v>
      </c>
      <c r="J3073" s="70" t="s">
        <v>31396</v>
      </c>
      <c r="K3073" s="70" t="s">
        <v>31397</v>
      </c>
      <c r="W3073" s="70" t="s">
        <v>31398</v>
      </c>
      <c r="AA3073" s="70" t="s">
        <v>26044</v>
      </c>
      <c r="AI3073" s="70" t="s">
        <v>31399</v>
      </c>
      <c r="AJ3073" s="70" t="s">
        <v>26046</v>
      </c>
      <c r="AK3073" s="70">
        <v>2023.0</v>
      </c>
      <c r="AL3073" s="70" t="s">
        <v>23242</v>
      </c>
      <c r="AM3073" s="70">
        <v>75.0</v>
      </c>
      <c r="AQ3073" s="70">
        <v>1.0</v>
      </c>
      <c r="AR3073" s="75" t="s">
        <v>26047</v>
      </c>
      <c r="AS3073" s="70" t="s">
        <v>22525</v>
      </c>
      <c r="AT3073" s="70" t="s">
        <v>22643</v>
      </c>
      <c r="AU3073" s="70" t="s">
        <v>237</v>
      </c>
      <c r="AV3073" s="70" t="s">
        <v>26048</v>
      </c>
      <c r="AX3073" s="70">
        <v>0.0</v>
      </c>
      <c r="AY3073" s="70" t="s">
        <v>24</v>
      </c>
      <c r="AZ3073" s="70">
        <v>3033.0</v>
      </c>
    </row>
    <row r="3074" ht="22.5" customHeight="1">
      <c r="A3074" s="70" t="str">
        <f t="shared" si="1"/>
        <v>Excluded</v>
      </c>
      <c r="B3074" s="70">
        <f t="shared" si="2"/>
        <v>0</v>
      </c>
      <c r="C3074" s="70">
        <v>0.0</v>
      </c>
      <c r="D3074" s="70">
        <v>0.0</v>
      </c>
      <c r="E3074" s="70">
        <v>0.0</v>
      </c>
      <c r="F3074" s="70">
        <v>0.0</v>
      </c>
      <c r="G3074" s="70">
        <v>0.0</v>
      </c>
      <c r="H3074" s="70" t="s">
        <v>25764</v>
      </c>
      <c r="I3074" s="70">
        <v>2800.0</v>
      </c>
      <c r="J3074" s="70" t="s">
        <v>25762</v>
      </c>
      <c r="K3074" s="70" t="s">
        <v>25763</v>
      </c>
      <c r="W3074" s="70" t="s">
        <v>31400</v>
      </c>
      <c r="AA3074" s="70" t="s">
        <v>25766</v>
      </c>
      <c r="AI3074" s="70" t="s">
        <v>31401</v>
      </c>
      <c r="AJ3074" s="70" t="s">
        <v>25768</v>
      </c>
      <c r="AK3074" s="70">
        <v>2023.0</v>
      </c>
      <c r="AL3074" s="70" t="s">
        <v>23242</v>
      </c>
      <c r="AM3074" s="70">
        <v>3283.0</v>
      </c>
      <c r="AQ3074" s="70">
        <v>50.0</v>
      </c>
      <c r="AR3074" s="75" t="s">
        <v>25769</v>
      </c>
      <c r="AS3074" s="70" t="s">
        <v>22525</v>
      </c>
      <c r="AT3074" s="70" t="s">
        <v>22622</v>
      </c>
      <c r="AU3074" s="70" t="s">
        <v>237</v>
      </c>
      <c r="AV3074" s="70" t="s">
        <v>25770</v>
      </c>
      <c r="AZ3074" s="70">
        <v>255.0</v>
      </c>
    </row>
    <row r="3075" ht="22.5" customHeight="1">
      <c r="A3075" s="70" t="str">
        <f t="shared" si="1"/>
        <v>Excluded</v>
      </c>
      <c r="B3075" s="70">
        <f t="shared" si="2"/>
        <v>0</v>
      </c>
      <c r="C3075" s="70">
        <v>0.0</v>
      </c>
      <c r="D3075" s="70">
        <v>0.0</v>
      </c>
      <c r="E3075" s="70">
        <v>0.0</v>
      </c>
      <c r="F3075" s="70">
        <v>0.0</v>
      </c>
      <c r="G3075" s="70">
        <v>0.0</v>
      </c>
      <c r="H3075" s="70" t="s">
        <v>24478</v>
      </c>
      <c r="I3075" s="70">
        <v>2676.0</v>
      </c>
      <c r="J3075" s="70" t="s">
        <v>24476</v>
      </c>
      <c r="K3075" s="70" t="s">
        <v>24477</v>
      </c>
      <c r="W3075" s="70" t="s">
        <v>31402</v>
      </c>
      <c r="AA3075" s="70" t="s">
        <v>24480</v>
      </c>
      <c r="AI3075" s="70" t="s">
        <v>31403</v>
      </c>
      <c r="AJ3075" s="70" t="s">
        <v>24482</v>
      </c>
      <c r="AK3075" s="70">
        <v>2023.0</v>
      </c>
      <c r="AL3075" s="70" t="s">
        <v>23242</v>
      </c>
      <c r="AM3075" s="70">
        <v>4453.0</v>
      </c>
      <c r="AQ3075" s="70">
        <v>10.0</v>
      </c>
      <c r="AR3075" s="75" t="s">
        <v>24483</v>
      </c>
      <c r="AS3075" s="70" t="s">
        <v>22525</v>
      </c>
      <c r="AT3075" s="70" t="s">
        <v>22622</v>
      </c>
      <c r="AU3075" s="70" t="s">
        <v>237</v>
      </c>
      <c r="AV3075" s="70" t="s">
        <v>24484</v>
      </c>
      <c r="AX3075" s="70">
        <v>0.0</v>
      </c>
      <c r="AY3075" s="70" t="s">
        <v>24</v>
      </c>
      <c r="AZ3075" s="70">
        <v>1837.0</v>
      </c>
    </row>
    <row r="3076" ht="22.5" customHeight="1">
      <c r="A3076" s="70" t="str">
        <f t="shared" si="1"/>
        <v>Excluded</v>
      </c>
      <c r="B3076" s="70">
        <f t="shared" si="2"/>
        <v>0</v>
      </c>
      <c r="C3076" s="70">
        <v>0.0</v>
      </c>
      <c r="D3076" s="70">
        <v>0.0</v>
      </c>
      <c r="E3076" s="70">
        <v>0.0</v>
      </c>
      <c r="F3076" s="70">
        <v>0.0</v>
      </c>
      <c r="G3076" s="70">
        <v>0.0</v>
      </c>
      <c r="H3076" s="70" t="s">
        <v>24901</v>
      </c>
      <c r="I3076" s="70">
        <v>2717.0</v>
      </c>
      <c r="J3076" s="70" t="s">
        <v>31404</v>
      </c>
      <c r="K3076" s="70" t="s">
        <v>24900</v>
      </c>
      <c r="W3076" s="70" t="s">
        <v>31405</v>
      </c>
      <c r="AA3076" s="70" t="s">
        <v>24903</v>
      </c>
      <c r="AI3076" s="70" t="s">
        <v>31406</v>
      </c>
      <c r="AJ3076" s="70" t="s">
        <v>24905</v>
      </c>
      <c r="AK3076" s="70">
        <v>2023.0</v>
      </c>
      <c r="AL3076" s="70" t="s">
        <v>23242</v>
      </c>
      <c r="AM3076" s="70">
        <v>4935.0</v>
      </c>
      <c r="AQ3076" s="70">
        <v>4.0</v>
      </c>
      <c r="AR3076" s="75" t="s">
        <v>24906</v>
      </c>
      <c r="AS3076" s="70" t="s">
        <v>22525</v>
      </c>
      <c r="AT3076" s="70" t="s">
        <v>22622</v>
      </c>
      <c r="AU3076" s="70" t="s">
        <v>237</v>
      </c>
      <c r="AV3076" s="70" t="s">
        <v>24907</v>
      </c>
      <c r="AX3076" s="70">
        <v>0.0</v>
      </c>
      <c r="AY3076" s="70" t="s">
        <v>24</v>
      </c>
      <c r="AZ3076" s="70">
        <v>2476.0</v>
      </c>
    </row>
    <row r="3077" ht="22.5" customHeight="1">
      <c r="A3077" s="70" t="str">
        <f t="shared" si="1"/>
        <v>Excluded</v>
      </c>
      <c r="B3077" s="70">
        <f t="shared" si="2"/>
        <v>0</v>
      </c>
      <c r="C3077" s="70">
        <v>0.0</v>
      </c>
      <c r="D3077" s="70">
        <v>0.0</v>
      </c>
      <c r="E3077" s="70">
        <v>0.0</v>
      </c>
      <c r="F3077" s="70">
        <v>0.0</v>
      </c>
      <c r="G3077" s="70">
        <v>0.0</v>
      </c>
      <c r="H3077" s="70" t="s">
        <v>23237</v>
      </c>
      <c r="I3077" s="70">
        <v>2556.0</v>
      </c>
      <c r="J3077" s="70" t="s">
        <v>31407</v>
      </c>
      <c r="K3077" s="70" t="s">
        <v>23236</v>
      </c>
      <c r="W3077" s="70" t="s">
        <v>31408</v>
      </c>
      <c r="AA3077" s="70" t="s">
        <v>23239</v>
      </c>
      <c r="AI3077" s="70" t="s">
        <v>31409</v>
      </c>
      <c r="AJ3077" s="70" t="s">
        <v>23241</v>
      </c>
      <c r="AK3077" s="70">
        <v>2024.0</v>
      </c>
      <c r="AL3077" s="70" t="s">
        <v>23242</v>
      </c>
      <c r="AM3077" s="70">
        <v>2651.0</v>
      </c>
      <c r="AQ3077" s="70">
        <v>8.0</v>
      </c>
      <c r="AR3077" s="75" t="s">
        <v>23243</v>
      </c>
      <c r="AS3077" s="70" t="s">
        <v>22525</v>
      </c>
      <c r="AT3077" s="70" t="s">
        <v>22643</v>
      </c>
      <c r="AU3077" s="70" t="s">
        <v>237</v>
      </c>
      <c r="AV3077" s="70" t="s">
        <v>23244</v>
      </c>
      <c r="AX3077" s="70">
        <v>0.0</v>
      </c>
      <c r="AY3077" s="70" t="s">
        <v>24</v>
      </c>
      <c r="AZ3077" s="70">
        <v>2023.0</v>
      </c>
    </row>
    <row r="3078" ht="22.5" customHeight="1">
      <c r="A3078" s="70" t="str">
        <f t="shared" si="1"/>
        <v>Excluded</v>
      </c>
      <c r="B3078" s="70">
        <f t="shared" si="2"/>
        <v>0</v>
      </c>
      <c r="C3078" s="70">
        <v>0.0</v>
      </c>
      <c r="D3078" s="70">
        <v>0.0</v>
      </c>
      <c r="E3078" s="70">
        <v>0.0</v>
      </c>
      <c r="F3078" s="70">
        <v>0.0</v>
      </c>
      <c r="G3078" s="70">
        <v>0.0</v>
      </c>
      <c r="H3078" s="70" t="s">
        <v>23468</v>
      </c>
      <c r="I3078" s="70">
        <v>2578.0</v>
      </c>
      <c r="J3078" s="70" t="s">
        <v>23466</v>
      </c>
      <c r="K3078" s="70" t="s">
        <v>23467</v>
      </c>
      <c r="W3078" s="70" t="s">
        <v>31410</v>
      </c>
      <c r="AA3078" s="70" t="s">
        <v>23470</v>
      </c>
      <c r="AI3078" s="70" t="s">
        <v>23471</v>
      </c>
      <c r="AJ3078" s="70" t="s">
        <v>23472</v>
      </c>
      <c r="AK3078" s="70">
        <v>2024.0</v>
      </c>
      <c r="AL3078" s="70" t="s">
        <v>23242</v>
      </c>
      <c r="AM3078" s="70">
        <v>4462.0</v>
      </c>
      <c r="AQ3078" s="70">
        <v>0.0</v>
      </c>
      <c r="AR3078" s="75" t="s">
        <v>23473</v>
      </c>
      <c r="AS3078" s="70" t="s">
        <v>22525</v>
      </c>
      <c r="AT3078" s="70" t="s">
        <v>22622</v>
      </c>
      <c r="AU3078" s="70" t="s">
        <v>237</v>
      </c>
      <c r="AV3078" s="70" t="s">
        <v>23474</v>
      </c>
      <c r="AZ3078" s="70">
        <v>563.0</v>
      </c>
    </row>
    <row r="3079" ht="22.5" customHeight="1">
      <c r="A3079" s="70" t="str">
        <f t="shared" si="1"/>
        <v>Excluded</v>
      </c>
      <c r="B3079" s="70">
        <f t="shared" si="2"/>
        <v>0</v>
      </c>
      <c r="C3079" s="70">
        <v>0.0</v>
      </c>
      <c r="D3079" s="70">
        <v>0.0</v>
      </c>
      <c r="E3079" s="70">
        <v>0.0</v>
      </c>
      <c r="F3079" s="70">
        <v>0.0</v>
      </c>
      <c r="G3079" s="70">
        <v>0.0</v>
      </c>
      <c r="H3079" s="70" t="s">
        <v>28979</v>
      </c>
      <c r="I3079" s="70">
        <v>3114.0</v>
      </c>
      <c r="J3079" s="70" t="s">
        <v>28977</v>
      </c>
      <c r="K3079" s="70" t="s">
        <v>28978</v>
      </c>
      <c r="W3079" s="70" t="s">
        <v>31411</v>
      </c>
      <c r="AA3079" s="70" t="s">
        <v>28981</v>
      </c>
      <c r="AI3079" s="70" t="s">
        <v>28982</v>
      </c>
      <c r="AJ3079" s="70" t="s">
        <v>28983</v>
      </c>
      <c r="AK3079" s="70">
        <v>2019.0</v>
      </c>
      <c r="AL3079" s="70" t="s">
        <v>23242</v>
      </c>
      <c r="AM3079" s="70">
        <v>491.0</v>
      </c>
      <c r="AQ3079" s="70">
        <v>9.0</v>
      </c>
      <c r="AR3079" s="75" t="s">
        <v>28984</v>
      </c>
      <c r="AS3079" s="70" t="s">
        <v>22525</v>
      </c>
      <c r="AT3079" s="70" t="s">
        <v>22643</v>
      </c>
      <c r="AU3079" s="70" t="s">
        <v>237</v>
      </c>
      <c r="AV3079" s="70" t="s">
        <v>28985</v>
      </c>
      <c r="AX3079" s="70">
        <v>0.0</v>
      </c>
      <c r="AY3079" s="70" t="s">
        <v>24</v>
      </c>
      <c r="AZ3079" s="70">
        <v>2308.0</v>
      </c>
    </row>
    <row r="3080" ht="22.5" customHeight="1">
      <c r="A3080" s="70" t="str">
        <f t="shared" si="1"/>
        <v>Excluded</v>
      </c>
      <c r="B3080" s="70">
        <f t="shared" si="2"/>
        <v>0</v>
      </c>
      <c r="C3080" s="70">
        <v>0.0</v>
      </c>
      <c r="D3080" s="70">
        <v>0.0</v>
      </c>
      <c r="E3080" s="70">
        <v>0.0</v>
      </c>
      <c r="F3080" s="70">
        <v>0.0</v>
      </c>
      <c r="G3080" s="70">
        <v>0.0</v>
      </c>
      <c r="H3080" s="70" t="s">
        <v>28121</v>
      </c>
      <c r="I3080" s="70">
        <v>3030.0</v>
      </c>
      <c r="J3080" s="70" t="s">
        <v>28119</v>
      </c>
      <c r="K3080" s="70" t="s">
        <v>28120</v>
      </c>
      <c r="W3080" s="70" t="s">
        <v>31412</v>
      </c>
      <c r="AA3080" s="70" t="s">
        <v>28123</v>
      </c>
      <c r="AI3080" s="70" t="s">
        <v>28124</v>
      </c>
      <c r="AJ3080" s="70" t="s">
        <v>28125</v>
      </c>
      <c r="AK3080" s="70">
        <v>2020.0</v>
      </c>
      <c r="AL3080" s="70" t="s">
        <v>23242</v>
      </c>
      <c r="AM3080" s="70">
        <v>1660.0</v>
      </c>
      <c r="AN3080" s="70">
        <v>1.0</v>
      </c>
      <c r="AO3080" s="70">
        <v>19.0</v>
      </c>
      <c r="AP3080" s="70">
        <v>18.0</v>
      </c>
      <c r="AQ3080" s="70">
        <v>19.0</v>
      </c>
      <c r="AR3080" s="75" t="s">
        <v>28126</v>
      </c>
      <c r="AS3080" s="70" t="s">
        <v>22525</v>
      </c>
      <c r="AT3080" s="70" t="s">
        <v>22622</v>
      </c>
      <c r="AU3080" s="70" t="s">
        <v>237</v>
      </c>
      <c r="AV3080" s="70" t="s">
        <v>28127</v>
      </c>
      <c r="AZ3080" s="70">
        <v>662.0</v>
      </c>
    </row>
    <row r="3081" ht="22.5" customHeight="1">
      <c r="A3081" s="70" t="str">
        <f t="shared" si="1"/>
        <v>Excluded</v>
      </c>
      <c r="B3081" s="70">
        <f t="shared" si="2"/>
        <v>0</v>
      </c>
      <c r="C3081" s="70">
        <v>0.0</v>
      </c>
      <c r="D3081" s="70">
        <v>0.0</v>
      </c>
      <c r="E3081" s="70">
        <v>0.0</v>
      </c>
      <c r="F3081" s="70">
        <v>0.0</v>
      </c>
      <c r="G3081" s="70">
        <v>0.0</v>
      </c>
      <c r="H3081" s="70" t="s">
        <v>26404</v>
      </c>
      <c r="I3081" s="70">
        <v>2863.0</v>
      </c>
      <c r="J3081" s="70" t="s">
        <v>26402</v>
      </c>
      <c r="K3081" s="70" t="s">
        <v>26403</v>
      </c>
      <c r="W3081" s="70" t="s">
        <v>31413</v>
      </c>
      <c r="AA3081" s="70" t="s">
        <v>26406</v>
      </c>
      <c r="AI3081" s="70" t="s">
        <v>26407</v>
      </c>
      <c r="AJ3081" s="70" t="s">
        <v>26408</v>
      </c>
      <c r="AK3081" s="70">
        <v>2022.0</v>
      </c>
      <c r="AL3081" s="70" t="s">
        <v>25244</v>
      </c>
      <c r="AM3081" s="70">
        <v>6140.0</v>
      </c>
      <c r="AQ3081" s="70">
        <v>94.0</v>
      </c>
      <c r="AR3081" s="75" t="s">
        <v>26409</v>
      </c>
      <c r="AS3081" s="70" t="s">
        <v>22525</v>
      </c>
      <c r="AT3081" s="70" t="s">
        <v>22622</v>
      </c>
      <c r="AU3081" s="70" t="s">
        <v>237</v>
      </c>
      <c r="AV3081" s="70" t="s">
        <v>26410</v>
      </c>
      <c r="AW3081" s="70" t="s">
        <v>26411</v>
      </c>
      <c r="AX3081" s="70">
        <v>0.0</v>
      </c>
      <c r="AY3081" s="70" t="s">
        <v>24</v>
      </c>
      <c r="AZ3081" s="70">
        <v>2541.0</v>
      </c>
    </row>
    <row r="3082" ht="22.5" customHeight="1">
      <c r="A3082" s="70" t="str">
        <f t="shared" si="1"/>
        <v>Excluded</v>
      </c>
      <c r="B3082" s="70">
        <f t="shared" si="2"/>
        <v>0</v>
      </c>
      <c r="C3082" s="70">
        <v>0.0</v>
      </c>
      <c r="D3082" s="70">
        <v>0.0</v>
      </c>
      <c r="E3082" s="70">
        <v>0.0</v>
      </c>
      <c r="F3082" s="70">
        <v>0.0</v>
      </c>
      <c r="G3082" s="70">
        <v>0.0</v>
      </c>
      <c r="H3082" s="70" t="s">
        <v>25239</v>
      </c>
      <c r="I3082" s="70">
        <v>2750.0</v>
      </c>
      <c r="J3082" s="70" t="s">
        <v>25237</v>
      </c>
      <c r="K3082" s="70" t="s">
        <v>25238</v>
      </c>
      <c r="W3082" s="70" t="s">
        <v>31414</v>
      </c>
      <c r="AA3082" s="70" t="s">
        <v>25241</v>
      </c>
      <c r="AI3082" s="70" t="s">
        <v>25242</v>
      </c>
      <c r="AJ3082" s="70" t="s">
        <v>25243</v>
      </c>
      <c r="AK3082" s="70">
        <v>2023.0</v>
      </c>
      <c r="AL3082" s="70" t="s">
        <v>25244</v>
      </c>
      <c r="AM3082" s="70">
        <v>4878.0</v>
      </c>
      <c r="AQ3082" s="70">
        <v>7.0</v>
      </c>
      <c r="AR3082" s="75" t="s">
        <v>25245</v>
      </c>
      <c r="AS3082" s="70" t="s">
        <v>22525</v>
      </c>
      <c r="AT3082" s="70" t="s">
        <v>22622</v>
      </c>
      <c r="AU3082" s="70" t="s">
        <v>237</v>
      </c>
      <c r="AV3082" s="70" t="s">
        <v>25246</v>
      </c>
      <c r="AW3082" s="70" t="s">
        <v>25247</v>
      </c>
      <c r="AX3082" s="70">
        <v>0.0</v>
      </c>
      <c r="AY3082" s="70" t="s">
        <v>24</v>
      </c>
      <c r="AZ3082" s="70">
        <v>2294.0</v>
      </c>
    </row>
    <row r="3083" ht="22.5" customHeight="1">
      <c r="A3083" s="70" t="str">
        <f t="shared" si="1"/>
        <v>Excluded</v>
      </c>
      <c r="B3083" s="70">
        <f t="shared" si="2"/>
        <v>0</v>
      </c>
      <c r="C3083" s="70">
        <v>0.0</v>
      </c>
      <c r="D3083" s="70">
        <v>0.0</v>
      </c>
      <c r="E3083" s="70">
        <v>0.0</v>
      </c>
      <c r="F3083" s="70">
        <v>0.0</v>
      </c>
      <c r="G3083" s="70">
        <v>0.0</v>
      </c>
      <c r="H3083" s="70" t="s">
        <v>29260</v>
      </c>
      <c r="I3083" s="70">
        <v>3142.0</v>
      </c>
      <c r="J3083" s="70" t="s">
        <v>29258</v>
      </c>
      <c r="K3083" s="70" t="s">
        <v>29259</v>
      </c>
      <c r="W3083" s="70" t="s">
        <v>31415</v>
      </c>
      <c r="AA3083" s="70" t="s">
        <v>29262</v>
      </c>
      <c r="AI3083" s="70" t="s">
        <v>29263</v>
      </c>
      <c r="AJ3083" s="70">
        <v>6.603025677E9</v>
      </c>
      <c r="AK3083" s="70">
        <v>2019.0</v>
      </c>
      <c r="AL3083" s="70" t="s">
        <v>23398</v>
      </c>
      <c r="AM3083" s="70">
        <v>101.0</v>
      </c>
      <c r="AQ3083" s="70">
        <v>3.0</v>
      </c>
      <c r="AR3083" s="75" t="s">
        <v>29264</v>
      </c>
      <c r="AS3083" s="70" t="s">
        <v>22525</v>
      </c>
      <c r="AT3083" s="70" t="s">
        <v>22643</v>
      </c>
      <c r="AU3083" s="70" t="s">
        <v>237</v>
      </c>
      <c r="AV3083" s="70" t="s">
        <v>29265</v>
      </c>
      <c r="AW3083" s="70" t="s">
        <v>29266</v>
      </c>
      <c r="AX3083" s="70">
        <v>0.0</v>
      </c>
      <c r="AY3083" s="70" t="s">
        <v>24</v>
      </c>
      <c r="AZ3083" s="70">
        <v>2674.0</v>
      </c>
    </row>
    <row r="3084" ht="22.5" customHeight="1">
      <c r="A3084" s="70" t="str">
        <f t="shared" si="1"/>
        <v>Excluded</v>
      </c>
      <c r="B3084" s="70">
        <f t="shared" si="2"/>
        <v>0</v>
      </c>
      <c r="C3084" s="70">
        <v>0.0</v>
      </c>
      <c r="D3084" s="70">
        <v>0.0</v>
      </c>
      <c r="E3084" s="70">
        <v>0.0</v>
      </c>
      <c r="F3084" s="70">
        <v>0.0</v>
      </c>
      <c r="G3084" s="70">
        <v>0.0</v>
      </c>
      <c r="H3084" s="70" t="s">
        <v>28180</v>
      </c>
      <c r="I3084" s="70">
        <v>3036.0</v>
      </c>
      <c r="J3084" s="70" t="s">
        <v>31416</v>
      </c>
      <c r="K3084" s="70" t="s">
        <v>28179</v>
      </c>
      <c r="W3084" s="70" t="s">
        <v>31417</v>
      </c>
      <c r="AA3084" s="70" t="s">
        <v>28182</v>
      </c>
      <c r="AI3084" s="70" t="s">
        <v>31418</v>
      </c>
      <c r="AJ3084" s="70" t="s">
        <v>28184</v>
      </c>
      <c r="AK3084" s="70">
        <v>2020.0</v>
      </c>
      <c r="AL3084" s="70" t="s">
        <v>23398</v>
      </c>
      <c r="AM3084" s="70">
        <v>162.0</v>
      </c>
      <c r="AN3084" s="70">
        <v>1.0</v>
      </c>
      <c r="AO3084" s="70">
        <v>16.0</v>
      </c>
      <c r="AP3084" s="70">
        <v>15.0</v>
      </c>
      <c r="AQ3084" s="70">
        <v>9.0</v>
      </c>
      <c r="AR3084" s="75" t="s">
        <v>28185</v>
      </c>
      <c r="AS3084" s="70" t="s">
        <v>22525</v>
      </c>
      <c r="AT3084" s="70" t="s">
        <v>22622</v>
      </c>
      <c r="AU3084" s="70" t="s">
        <v>237</v>
      </c>
      <c r="AV3084" s="70" t="s">
        <v>28186</v>
      </c>
      <c r="AW3084" s="70" t="s">
        <v>28187</v>
      </c>
      <c r="AZ3084" s="70">
        <v>709.0</v>
      </c>
    </row>
    <row r="3085" ht="22.5" customHeight="1">
      <c r="A3085" s="70" t="str">
        <f t="shared" si="1"/>
        <v>Excluded</v>
      </c>
      <c r="B3085" s="70">
        <f t="shared" si="2"/>
        <v>0</v>
      </c>
      <c r="C3085" s="70">
        <v>0.0</v>
      </c>
      <c r="D3085" s="70">
        <v>0.0</v>
      </c>
      <c r="E3085" s="70">
        <v>0.0</v>
      </c>
      <c r="F3085" s="70">
        <v>0.0</v>
      </c>
      <c r="G3085" s="70">
        <v>0.0</v>
      </c>
      <c r="H3085" s="70" t="s">
        <v>25377</v>
      </c>
      <c r="I3085" s="70">
        <v>2763.0</v>
      </c>
      <c r="J3085" s="70" t="s">
        <v>25375</v>
      </c>
      <c r="K3085" s="70" t="s">
        <v>25376</v>
      </c>
      <c r="W3085" s="70" t="s">
        <v>31419</v>
      </c>
      <c r="AA3085" s="70" t="s">
        <v>25379</v>
      </c>
      <c r="AI3085" s="70" t="s">
        <v>25380</v>
      </c>
      <c r="AJ3085" s="70" t="s">
        <v>25381</v>
      </c>
      <c r="AK3085" s="70">
        <v>2023.0</v>
      </c>
      <c r="AL3085" s="70" t="s">
        <v>23398</v>
      </c>
      <c r="AM3085" s="70">
        <v>276.0</v>
      </c>
      <c r="AQ3085" s="70">
        <v>7.0</v>
      </c>
      <c r="AR3085" s="75" t="s">
        <v>25382</v>
      </c>
      <c r="AS3085" s="70" t="s">
        <v>22525</v>
      </c>
      <c r="AT3085" s="70" t="s">
        <v>22622</v>
      </c>
      <c r="AU3085" s="70" t="s">
        <v>237</v>
      </c>
      <c r="AV3085" s="70" t="s">
        <v>25383</v>
      </c>
      <c r="AW3085" s="70" t="s">
        <v>25384</v>
      </c>
      <c r="AZ3085" s="70">
        <v>174.0</v>
      </c>
    </row>
    <row r="3086" ht="22.5" customHeight="1">
      <c r="A3086" s="70" t="str">
        <f t="shared" si="1"/>
        <v>Excluded</v>
      </c>
      <c r="B3086" s="70">
        <f t="shared" si="2"/>
        <v>0</v>
      </c>
      <c r="C3086" s="70">
        <v>0.0</v>
      </c>
      <c r="D3086" s="70">
        <v>0.0</v>
      </c>
      <c r="E3086" s="70">
        <v>0.0</v>
      </c>
      <c r="F3086" s="70">
        <v>0.0</v>
      </c>
      <c r="G3086" s="70">
        <v>0.0</v>
      </c>
      <c r="H3086" s="70" t="s">
        <v>23425</v>
      </c>
      <c r="I3086" s="70">
        <v>2574.0</v>
      </c>
      <c r="J3086" s="70" t="s">
        <v>31420</v>
      </c>
      <c r="K3086" s="70" t="s">
        <v>23424</v>
      </c>
      <c r="W3086" s="70" t="s">
        <v>31421</v>
      </c>
      <c r="AA3086" s="70" t="s">
        <v>23427</v>
      </c>
      <c r="AI3086" s="70" t="s">
        <v>31422</v>
      </c>
      <c r="AJ3086" s="70" t="s">
        <v>23429</v>
      </c>
      <c r="AK3086" s="70">
        <v>2024.0</v>
      </c>
      <c r="AL3086" s="70" t="s">
        <v>23398</v>
      </c>
      <c r="AM3086" s="70">
        <v>248.0</v>
      </c>
      <c r="AQ3086" s="70">
        <v>0.0</v>
      </c>
      <c r="AR3086" s="75" t="s">
        <v>23430</v>
      </c>
      <c r="AS3086" s="70" t="s">
        <v>22525</v>
      </c>
      <c r="AT3086" s="70" t="s">
        <v>22622</v>
      </c>
      <c r="AU3086" s="70" t="s">
        <v>237</v>
      </c>
      <c r="AV3086" s="70" t="s">
        <v>23431</v>
      </c>
      <c r="AW3086" s="70" t="s">
        <v>23432</v>
      </c>
      <c r="AX3086" s="70">
        <v>0.0</v>
      </c>
      <c r="AY3086" s="70" t="s">
        <v>24</v>
      </c>
      <c r="AZ3086" s="70">
        <v>1883.0</v>
      </c>
    </row>
    <row r="3087" ht="22.5" customHeight="1">
      <c r="A3087" s="70" t="str">
        <f t="shared" si="1"/>
        <v>Excluded</v>
      </c>
      <c r="B3087" s="70">
        <f t="shared" si="2"/>
        <v>0</v>
      </c>
      <c r="C3087" s="70">
        <v>0.0</v>
      </c>
      <c r="D3087" s="70">
        <v>0.0</v>
      </c>
      <c r="E3087" s="70">
        <v>0.0</v>
      </c>
      <c r="F3087" s="70">
        <v>0.0</v>
      </c>
      <c r="G3087" s="70">
        <v>0.0</v>
      </c>
      <c r="H3087" s="70" t="s">
        <v>24129</v>
      </c>
      <c r="I3087" s="70">
        <v>2642.0</v>
      </c>
      <c r="J3087" s="70" t="s">
        <v>31423</v>
      </c>
      <c r="K3087" s="70" t="s">
        <v>24128</v>
      </c>
      <c r="W3087" s="70" t="s">
        <v>31424</v>
      </c>
      <c r="AA3087" s="70" t="s">
        <v>24131</v>
      </c>
      <c r="AI3087" s="70" t="s">
        <v>31425</v>
      </c>
      <c r="AJ3087" s="70" t="s">
        <v>24133</v>
      </c>
      <c r="AK3087" s="70">
        <v>2024.0</v>
      </c>
      <c r="AL3087" s="70" t="s">
        <v>24134</v>
      </c>
      <c r="AN3087" s="70">
        <v>66.0</v>
      </c>
      <c r="AO3087" s="70">
        <v>80.0</v>
      </c>
      <c r="AP3087" s="70">
        <v>14.0</v>
      </c>
      <c r="AQ3087" s="70">
        <v>2.0</v>
      </c>
      <c r="AR3087" s="75" t="s">
        <v>24135</v>
      </c>
      <c r="AS3087" s="70" t="s">
        <v>22525</v>
      </c>
      <c r="AT3087" s="70" t="s">
        <v>22622</v>
      </c>
      <c r="AU3087" s="70" t="s">
        <v>237</v>
      </c>
      <c r="AV3087" s="70" t="s">
        <v>24136</v>
      </c>
      <c r="AZ3087" s="70">
        <v>468.0</v>
      </c>
    </row>
    <row r="3088" ht="22.5" customHeight="1">
      <c r="A3088" s="70" t="str">
        <f t="shared" si="1"/>
        <v>Excluded</v>
      </c>
      <c r="B3088" s="70">
        <f t="shared" si="2"/>
        <v>0</v>
      </c>
      <c r="C3088" s="70">
        <v>0.0</v>
      </c>
      <c r="D3088" s="70">
        <v>0.0</v>
      </c>
      <c r="E3088" s="70">
        <v>0.0</v>
      </c>
      <c r="F3088" s="70">
        <v>0.0</v>
      </c>
      <c r="G3088" s="70">
        <v>0.0</v>
      </c>
      <c r="H3088" s="70" t="s">
        <v>28526</v>
      </c>
      <c r="I3088" s="70">
        <v>3070.0</v>
      </c>
      <c r="J3088" s="70" t="s">
        <v>28524</v>
      </c>
      <c r="K3088" s="70" t="s">
        <v>31426</v>
      </c>
      <c r="W3088" s="70" t="s">
        <v>31427</v>
      </c>
      <c r="AA3088" s="70" t="s">
        <v>28528</v>
      </c>
      <c r="AI3088" s="70" t="s">
        <v>28529</v>
      </c>
      <c r="AJ3088" s="70" t="s">
        <v>28530</v>
      </c>
      <c r="AK3088" s="70">
        <v>2021.0</v>
      </c>
      <c r="AL3088" s="70" t="s">
        <v>28531</v>
      </c>
      <c r="AM3088" s="70">
        <v>5800.0</v>
      </c>
      <c r="AQ3088" s="70">
        <v>16.0</v>
      </c>
      <c r="AR3088" s="75" t="s">
        <v>28532</v>
      </c>
      <c r="AS3088" s="70" t="s">
        <v>22525</v>
      </c>
      <c r="AT3088" s="70" t="s">
        <v>22643</v>
      </c>
      <c r="AU3088" s="70" t="s">
        <v>237</v>
      </c>
      <c r="AV3088" s="70" t="s">
        <v>28533</v>
      </c>
      <c r="AW3088" s="70" t="s">
        <v>28534</v>
      </c>
      <c r="AZ3088" s="70">
        <v>1114.0</v>
      </c>
    </row>
    <row r="3089" ht="22.5" customHeight="1">
      <c r="A3089" s="70" t="str">
        <f t="shared" si="1"/>
        <v>Excluded</v>
      </c>
      <c r="B3089" s="70">
        <f t="shared" si="2"/>
        <v>0</v>
      </c>
      <c r="C3089" s="70">
        <v>0.0</v>
      </c>
      <c r="D3089" s="70">
        <v>0.0</v>
      </c>
      <c r="E3089" s="70">
        <v>0.0</v>
      </c>
      <c r="F3089" s="70">
        <v>0.0</v>
      </c>
      <c r="G3089" s="70">
        <v>0.0</v>
      </c>
      <c r="H3089" s="70" t="s">
        <v>24932</v>
      </c>
      <c r="I3089" s="70">
        <v>2720.0</v>
      </c>
      <c r="J3089" s="70" t="s">
        <v>24930</v>
      </c>
      <c r="K3089" s="70" t="s">
        <v>24931</v>
      </c>
      <c r="W3089" s="70" t="s">
        <v>31428</v>
      </c>
      <c r="AA3089" s="70" t="s">
        <v>24934</v>
      </c>
      <c r="AI3089" s="70" t="s">
        <v>24935</v>
      </c>
      <c r="AJ3089" s="70" t="s">
        <v>24936</v>
      </c>
      <c r="AK3089" s="70">
        <v>2023.0</v>
      </c>
      <c r="AL3089" s="70" t="s">
        <v>24937</v>
      </c>
      <c r="AM3089" s="70">
        <v>619.0</v>
      </c>
      <c r="AQ3089" s="70">
        <v>4.0</v>
      </c>
      <c r="AR3089" s="75" t="s">
        <v>24938</v>
      </c>
      <c r="AS3089" s="70" t="s">
        <v>22525</v>
      </c>
      <c r="AT3089" s="70" t="s">
        <v>22622</v>
      </c>
      <c r="AU3089" s="70" t="s">
        <v>237</v>
      </c>
      <c r="AV3089" s="70" t="s">
        <v>24939</v>
      </c>
      <c r="AW3089" s="70" t="s">
        <v>24940</v>
      </c>
      <c r="AZ3089" s="70">
        <v>443.0</v>
      </c>
    </row>
    <row r="3090" ht="22.5" customHeight="1">
      <c r="A3090" s="70" t="str">
        <f t="shared" si="1"/>
        <v>Excluded</v>
      </c>
      <c r="B3090" s="70">
        <f t="shared" si="2"/>
        <v>0</v>
      </c>
      <c r="C3090" s="70">
        <v>0.0</v>
      </c>
      <c r="D3090" s="70">
        <v>0.0</v>
      </c>
      <c r="E3090" s="70">
        <v>0.0</v>
      </c>
      <c r="F3090" s="70">
        <v>0.0</v>
      </c>
      <c r="G3090" s="70">
        <v>0.0</v>
      </c>
      <c r="H3090" s="70" t="s">
        <v>26426</v>
      </c>
      <c r="I3090" s="70">
        <v>2865.0</v>
      </c>
      <c r="J3090" s="70" t="s">
        <v>31429</v>
      </c>
      <c r="K3090" s="70" t="s">
        <v>26425</v>
      </c>
      <c r="W3090" s="70" t="s">
        <v>31430</v>
      </c>
      <c r="AA3090" s="70" t="s">
        <v>26428</v>
      </c>
      <c r="AI3090" s="70" t="s">
        <v>31431</v>
      </c>
      <c r="AJ3090" s="70" t="s">
        <v>26430</v>
      </c>
      <c r="AK3090" s="70">
        <v>2022.0</v>
      </c>
      <c r="AL3090" s="70" t="s">
        <v>26431</v>
      </c>
      <c r="AM3090" s="70">
        <v>116.0</v>
      </c>
      <c r="AQ3090" s="70">
        <v>4.0</v>
      </c>
      <c r="AR3090" s="75" t="s">
        <v>26432</v>
      </c>
      <c r="AS3090" s="70" t="s">
        <v>22525</v>
      </c>
      <c r="AT3090" s="70" t="s">
        <v>22643</v>
      </c>
      <c r="AU3090" s="70" t="s">
        <v>237</v>
      </c>
      <c r="AV3090" s="70" t="s">
        <v>26433</v>
      </c>
      <c r="AZ3090" s="70">
        <v>674.0</v>
      </c>
    </row>
    <row r="3091" ht="22.5" customHeight="1">
      <c r="A3091" s="70" t="str">
        <f t="shared" si="1"/>
        <v>Excluded</v>
      </c>
      <c r="B3091" s="70">
        <f t="shared" si="2"/>
        <v>0</v>
      </c>
      <c r="C3091" s="70">
        <v>0.0</v>
      </c>
      <c r="D3091" s="70">
        <v>0.0</v>
      </c>
      <c r="E3091" s="70">
        <v>0.0</v>
      </c>
      <c r="F3091" s="70">
        <v>0.0</v>
      </c>
      <c r="G3091" s="70">
        <v>0.0</v>
      </c>
      <c r="H3091" s="70" t="s">
        <v>28017</v>
      </c>
      <c r="I3091" s="70">
        <v>3020.0</v>
      </c>
      <c r="J3091" s="70" t="s">
        <v>28015</v>
      </c>
      <c r="K3091" s="70" t="s">
        <v>31432</v>
      </c>
      <c r="W3091" s="70" t="s">
        <v>31433</v>
      </c>
      <c r="AA3091" s="70" t="s">
        <v>28019</v>
      </c>
      <c r="AI3091" s="70" t="s">
        <v>28020</v>
      </c>
      <c r="AJ3091" s="70" t="s">
        <v>28021</v>
      </c>
      <c r="AK3091" s="70">
        <v>2021.0</v>
      </c>
      <c r="AL3091" s="70" t="s">
        <v>28022</v>
      </c>
      <c r="AN3091" s="70">
        <v>92.0</v>
      </c>
      <c r="AO3091" s="70">
        <v>118.0</v>
      </c>
      <c r="AP3091" s="70">
        <v>26.0</v>
      </c>
      <c r="AQ3091" s="70">
        <v>89.0</v>
      </c>
      <c r="AR3091" s="75" t="s">
        <v>28023</v>
      </c>
      <c r="AS3091" s="70" t="s">
        <v>22525</v>
      </c>
      <c r="AT3091" s="70" t="s">
        <v>22643</v>
      </c>
      <c r="AU3091" s="70" t="s">
        <v>237</v>
      </c>
      <c r="AV3091" s="70" t="s">
        <v>28024</v>
      </c>
      <c r="AX3091" s="70">
        <v>0.0</v>
      </c>
      <c r="AY3091" s="70" t="s">
        <v>24</v>
      </c>
      <c r="AZ3091" s="70">
        <v>2813.0</v>
      </c>
    </row>
    <row r="3092" ht="22.5" customHeight="1">
      <c r="A3092" s="70" t="str">
        <f t="shared" si="1"/>
        <v>Excluded</v>
      </c>
      <c r="B3092" s="70">
        <f t="shared" si="2"/>
        <v>0</v>
      </c>
      <c r="C3092" s="70">
        <v>0.0</v>
      </c>
      <c r="D3092" s="70">
        <v>0.0</v>
      </c>
      <c r="E3092" s="70">
        <v>0.0</v>
      </c>
      <c r="F3092" s="70">
        <v>0.0</v>
      </c>
      <c r="G3092" s="70">
        <v>0.0</v>
      </c>
      <c r="H3092" s="70" t="s">
        <v>26385</v>
      </c>
      <c r="I3092" s="70">
        <v>2861.0</v>
      </c>
      <c r="J3092" s="70" t="s">
        <v>26383</v>
      </c>
      <c r="K3092" s="70" t="s">
        <v>26384</v>
      </c>
      <c r="W3092" s="70" t="s">
        <v>31434</v>
      </c>
      <c r="AA3092" s="70" t="s">
        <v>26387</v>
      </c>
      <c r="AI3092" s="70" t="s">
        <v>26388</v>
      </c>
      <c r="AJ3092" s="70" t="s">
        <v>26389</v>
      </c>
      <c r="AK3092" s="70">
        <v>2022.0</v>
      </c>
      <c r="AL3092" s="70" t="s">
        <v>23698</v>
      </c>
      <c r="AM3092" s="70">
        <v>1258.0</v>
      </c>
      <c r="AQ3092" s="70">
        <v>10.0</v>
      </c>
      <c r="AR3092" s="75" t="s">
        <v>26390</v>
      </c>
      <c r="AS3092" s="70" t="s">
        <v>22525</v>
      </c>
      <c r="AT3092" s="70" t="s">
        <v>22622</v>
      </c>
      <c r="AU3092" s="70" t="s">
        <v>237</v>
      </c>
      <c r="AV3092" s="70" t="s">
        <v>26391</v>
      </c>
      <c r="AX3092" s="70">
        <v>0.0</v>
      </c>
      <c r="AY3092" s="70" t="s">
        <v>24</v>
      </c>
      <c r="AZ3092" s="70">
        <v>2029.0</v>
      </c>
    </row>
    <row r="3093" ht="22.5" customHeight="1">
      <c r="A3093" s="70" t="str">
        <f t="shared" si="1"/>
        <v>Excluded</v>
      </c>
      <c r="B3093" s="70">
        <f t="shared" si="2"/>
        <v>0</v>
      </c>
      <c r="C3093" s="70">
        <v>0.0</v>
      </c>
      <c r="D3093" s="70">
        <v>0.0</v>
      </c>
      <c r="E3093" s="70">
        <v>0.0</v>
      </c>
      <c r="F3093" s="70">
        <v>0.0</v>
      </c>
      <c r="G3093" s="70">
        <v>0.0</v>
      </c>
      <c r="H3093" s="70" t="s">
        <v>23693</v>
      </c>
      <c r="I3093" s="70">
        <v>2600.0</v>
      </c>
      <c r="J3093" s="70" t="s">
        <v>23691</v>
      </c>
      <c r="K3093" s="70" t="s">
        <v>23692</v>
      </c>
      <c r="W3093" s="70" t="s">
        <v>31435</v>
      </c>
      <c r="AA3093" s="70" t="s">
        <v>23695</v>
      </c>
      <c r="AI3093" s="70" t="s">
        <v>23696</v>
      </c>
      <c r="AJ3093" s="70" t="s">
        <v>23697</v>
      </c>
      <c r="AK3093" s="70">
        <v>2024.0</v>
      </c>
      <c r="AL3093" s="70" t="s">
        <v>23698</v>
      </c>
      <c r="AM3093" s="70">
        <v>1301.0</v>
      </c>
      <c r="AQ3093" s="70">
        <v>1.0</v>
      </c>
      <c r="AR3093" s="75" t="s">
        <v>23699</v>
      </c>
      <c r="AS3093" s="70" t="s">
        <v>22525</v>
      </c>
      <c r="AT3093" s="70" t="s">
        <v>22622</v>
      </c>
      <c r="AU3093" s="70" t="s">
        <v>237</v>
      </c>
      <c r="AV3093" s="70" t="s">
        <v>23700</v>
      </c>
      <c r="AZ3093" s="70">
        <v>161.0</v>
      </c>
    </row>
    <row r="3094" ht="22.5" customHeight="1">
      <c r="A3094" s="70" t="str">
        <f t="shared" si="1"/>
        <v>Excluded</v>
      </c>
      <c r="B3094" s="70">
        <f t="shared" si="2"/>
        <v>0</v>
      </c>
      <c r="C3094" s="70">
        <v>0.0</v>
      </c>
      <c r="D3094" s="70">
        <v>0.0</v>
      </c>
      <c r="E3094" s="70">
        <v>0.0</v>
      </c>
      <c r="F3094" s="70">
        <v>0.0</v>
      </c>
      <c r="G3094" s="70">
        <v>0.0</v>
      </c>
      <c r="H3094" s="70" t="s">
        <v>26153</v>
      </c>
      <c r="I3094" s="70">
        <v>2838.0</v>
      </c>
      <c r="J3094" s="70" t="s">
        <v>31436</v>
      </c>
      <c r="K3094" s="70" t="s">
        <v>26152</v>
      </c>
      <c r="W3094" s="70" t="s">
        <v>31437</v>
      </c>
      <c r="AA3094" s="70" t="s">
        <v>26155</v>
      </c>
      <c r="AI3094" s="70" t="s">
        <v>31438</v>
      </c>
      <c r="AJ3094" s="70" t="s">
        <v>26157</v>
      </c>
      <c r="AK3094" s="70">
        <v>2022.0</v>
      </c>
      <c r="AL3094" s="70" t="s">
        <v>22900</v>
      </c>
      <c r="AM3094" s="70">
        <v>671.0</v>
      </c>
      <c r="AQ3094" s="70">
        <v>10.0</v>
      </c>
      <c r="AR3094" s="75" t="s">
        <v>26158</v>
      </c>
      <c r="AS3094" s="70" t="s">
        <v>22525</v>
      </c>
      <c r="AT3094" s="70" t="s">
        <v>22622</v>
      </c>
      <c r="AU3094" s="70" t="s">
        <v>237</v>
      </c>
      <c r="AV3094" s="70" t="s">
        <v>26159</v>
      </c>
      <c r="AZ3094" s="70">
        <v>364.0</v>
      </c>
    </row>
    <row r="3095" ht="22.5" customHeight="1">
      <c r="A3095" s="70" t="str">
        <f t="shared" si="1"/>
        <v>Excluded</v>
      </c>
      <c r="B3095" s="70">
        <f t="shared" si="2"/>
        <v>0</v>
      </c>
      <c r="C3095" s="70">
        <v>0.0</v>
      </c>
      <c r="D3095" s="70">
        <v>0.0</v>
      </c>
      <c r="E3095" s="70">
        <v>0.0</v>
      </c>
      <c r="F3095" s="70">
        <v>0.0</v>
      </c>
      <c r="G3095" s="70">
        <v>0.0</v>
      </c>
      <c r="H3095" s="70" t="s">
        <v>22895</v>
      </c>
      <c r="I3095" s="70">
        <v>2524.0</v>
      </c>
      <c r="J3095" s="70" t="s">
        <v>22893</v>
      </c>
      <c r="K3095" s="70" t="s">
        <v>22894</v>
      </c>
      <c r="W3095" s="70" t="s">
        <v>31439</v>
      </c>
      <c r="AA3095" s="70" t="s">
        <v>22897</v>
      </c>
      <c r="AI3095" s="70" t="s">
        <v>22898</v>
      </c>
      <c r="AJ3095" s="70" t="s">
        <v>22899</v>
      </c>
      <c r="AK3095" s="70">
        <v>2024.0</v>
      </c>
      <c r="AL3095" s="70" t="s">
        <v>22900</v>
      </c>
      <c r="AM3095" s="70">
        <v>1328.0</v>
      </c>
      <c r="AQ3095" s="70">
        <v>0.0</v>
      </c>
      <c r="AR3095" s="75" t="s">
        <v>22901</v>
      </c>
      <c r="AS3095" s="70" t="s">
        <v>22525</v>
      </c>
      <c r="AT3095" s="70" t="s">
        <v>22622</v>
      </c>
      <c r="AU3095" s="70" t="s">
        <v>237</v>
      </c>
      <c r="AV3095" s="70" t="s">
        <v>22902</v>
      </c>
      <c r="AW3095" s="70" t="s">
        <v>22903</v>
      </c>
      <c r="AZ3095" s="70">
        <v>262.0</v>
      </c>
    </row>
    <row r="3096" ht="22.5" customHeight="1">
      <c r="A3096" s="70" t="str">
        <f t="shared" si="1"/>
        <v>Excluded</v>
      </c>
      <c r="B3096" s="70">
        <f t="shared" si="2"/>
        <v>0</v>
      </c>
      <c r="C3096" s="70">
        <v>0.0</v>
      </c>
      <c r="D3096" s="70">
        <v>0.0</v>
      </c>
      <c r="E3096" s="70">
        <v>0.0</v>
      </c>
      <c r="F3096" s="70">
        <v>0.0</v>
      </c>
      <c r="G3096" s="70">
        <v>0.0</v>
      </c>
      <c r="H3096" s="70" t="s">
        <v>29100</v>
      </c>
      <c r="I3096" s="70">
        <v>3126.0</v>
      </c>
      <c r="J3096" s="70" t="s">
        <v>31440</v>
      </c>
      <c r="K3096" s="70" t="s">
        <v>29099</v>
      </c>
      <c r="W3096" s="70" t="s">
        <v>31441</v>
      </c>
      <c r="AA3096" s="70" t="s">
        <v>29102</v>
      </c>
      <c r="AI3096" s="70" t="s">
        <v>31442</v>
      </c>
      <c r="AJ3096" s="70" t="s">
        <v>29104</v>
      </c>
      <c r="AK3096" s="70">
        <v>2019.0</v>
      </c>
      <c r="AL3096" s="70" t="s">
        <v>27816</v>
      </c>
      <c r="AM3096" s="70">
        <v>1134.0</v>
      </c>
      <c r="AQ3096" s="70">
        <v>16.0</v>
      </c>
      <c r="AR3096" s="75" t="s">
        <v>29105</v>
      </c>
      <c r="AS3096" s="70" t="s">
        <v>22525</v>
      </c>
      <c r="AT3096" s="70" t="s">
        <v>22643</v>
      </c>
      <c r="AU3096" s="70" t="s">
        <v>237</v>
      </c>
      <c r="AV3096" s="70" t="s">
        <v>29106</v>
      </c>
      <c r="AW3096" s="70" t="s">
        <v>29107</v>
      </c>
      <c r="AX3096" s="70">
        <v>0.0</v>
      </c>
      <c r="AY3096" s="70" t="s">
        <v>24</v>
      </c>
      <c r="AZ3096" s="70">
        <v>2209.0</v>
      </c>
    </row>
    <row r="3097" ht="22.5" customHeight="1">
      <c r="A3097" s="70" t="str">
        <f t="shared" si="1"/>
        <v>Excluded</v>
      </c>
      <c r="B3097" s="70">
        <f t="shared" si="2"/>
        <v>0</v>
      </c>
      <c r="C3097" s="70">
        <v>0.0</v>
      </c>
      <c r="D3097" s="70">
        <v>0.0</v>
      </c>
      <c r="E3097" s="70">
        <v>0.0</v>
      </c>
      <c r="F3097" s="70">
        <v>0.0</v>
      </c>
      <c r="G3097" s="70">
        <v>0.0</v>
      </c>
      <c r="H3097" s="70" t="s">
        <v>28776</v>
      </c>
      <c r="I3097" s="70">
        <v>3094.0</v>
      </c>
      <c r="J3097" s="70" t="s">
        <v>28774</v>
      </c>
      <c r="K3097" s="70" t="s">
        <v>28775</v>
      </c>
      <c r="W3097" s="70" t="s">
        <v>31443</v>
      </c>
      <c r="AA3097" s="70" t="s">
        <v>28778</v>
      </c>
      <c r="AI3097" s="70" t="s">
        <v>28779</v>
      </c>
      <c r="AJ3097" s="70" t="s">
        <v>28780</v>
      </c>
      <c r="AK3097" s="70">
        <v>2019.0</v>
      </c>
      <c r="AL3097" s="70" t="s">
        <v>27816</v>
      </c>
      <c r="AM3097" s="70">
        <v>4375.0</v>
      </c>
      <c r="AQ3097" s="70">
        <v>75.0</v>
      </c>
      <c r="AR3097" s="75" t="s">
        <v>28781</v>
      </c>
      <c r="AS3097" s="70" t="s">
        <v>22525</v>
      </c>
      <c r="AT3097" s="70" t="s">
        <v>22643</v>
      </c>
      <c r="AU3097" s="70" t="s">
        <v>237</v>
      </c>
      <c r="AV3097" s="70" t="s">
        <v>28782</v>
      </c>
      <c r="AW3097" s="70" t="s">
        <v>28783</v>
      </c>
      <c r="AX3097" s="70">
        <v>0.0</v>
      </c>
      <c r="AY3097" s="70" t="s">
        <v>24</v>
      </c>
      <c r="AZ3097" s="70">
        <v>1913.0</v>
      </c>
    </row>
    <row r="3098" ht="22.5" customHeight="1">
      <c r="A3098" s="70" t="str">
        <f t="shared" si="1"/>
        <v>Excluded</v>
      </c>
      <c r="B3098" s="70">
        <f t="shared" si="2"/>
        <v>0</v>
      </c>
      <c r="C3098" s="70">
        <v>0.0</v>
      </c>
      <c r="D3098" s="70">
        <v>0.0</v>
      </c>
      <c r="E3098" s="70">
        <v>0.0</v>
      </c>
      <c r="F3098" s="70">
        <v>0.0</v>
      </c>
      <c r="G3098" s="70">
        <v>0.0</v>
      </c>
      <c r="H3098" s="70" t="s">
        <v>29168</v>
      </c>
      <c r="I3098" s="70">
        <v>3133.0</v>
      </c>
      <c r="J3098" s="70" t="s">
        <v>29166</v>
      </c>
      <c r="K3098" s="70" t="s">
        <v>29167</v>
      </c>
      <c r="W3098" s="70" t="s">
        <v>31444</v>
      </c>
      <c r="AA3098" s="70" t="s">
        <v>29170</v>
      </c>
      <c r="AI3098" s="70" t="s">
        <v>29171</v>
      </c>
      <c r="AJ3098" s="70" t="s">
        <v>29172</v>
      </c>
      <c r="AK3098" s="70">
        <v>2020.0</v>
      </c>
      <c r="AL3098" s="70" t="s">
        <v>27816</v>
      </c>
      <c r="AM3098" s="70">
        <v>2174.0</v>
      </c>
      <c r="AQ3098" s="70">
        <v>21.0</v>
      </c>
      <c r="AR3098" s="75" t="s">
        <v>29173</v>
      </c>
      <c r="AS3098" s="70" t="s">
        <v>22525</v>
      </c>
      <c r="AT3098" s="70" t="s">
        <v>22643</v>
      </c>
      <c r="AU3098" s="70" t="s">
        <v>237</v>
      </c>
      <c r="AV3098" s="70" t="s">
        <v>29174</v>
      </c>
      <c r="AW3098" s="70" t="s">
        <v>29175</v>
      </c>
      <c r="AZ3098" s="70">
        <v>206.0</v>
      </c>
    </row>
    <row r="3099" ht="22.5" customHeight="1">
      <c r="A3099" s="70" t="str">
        <f t="shared" si="1"/>
        <v>Excluded</v>
      </c>
      <c r="B3099" s="70">
        <f t="shared" si="2"/>
        <v>0</v>
      </c>
      <c r="C3099" s="70">
        <v>0.0</v>
      </c>
      <c r="D3099" s="70">
        <v>0.0</v>
      </c>
      <c r="E3099" s="70">
        <v>0.0</v>
      </c>
      <c r="F3099" s="70">
        <v>0.0</v>
      </c>
      <c r="G3099" s="70">
        <v>0.0</v>
      </c>
      <c r="H3099" s="70" t="s">
        <v>27811</v>
      </c>
      <c r="I3099" s="70">
        <v>3000.0</v>
      </c>
      <c r="J3099" s="70" t="s">
        <v>31445</v>
      </c>
      <c r="K3099" s="70" t="s">
        <v>31446</v>
      </c>
      <c r="W3099" s="70" t="s">
        <v>31447</v>
      </c>
      <c r="AA3099" s="70" t="s">
        <v>27813</v>
      </c>
      <c r="AI3099" s="70" t="s">
        <v>31448</v>
      </c>
      <c r="AJ3099" s="70" t="s">
        <v>27815</v>
      </c>
      <c r="AK3099" s="70">
        <v>2020.0</v>
      </c>
      <c r="AL3099" s="70" t="s">
        <v>27816</v>
      </c>
      <c r="AM3099" s="70">
        <v>3619.0</v>
      </c>
      <c r="AN3099" s="70">
        <v>1.0</v>
      </c>
      <c r="AO3099" s="70">
        <v>30.0</v>
      </c>
      <c r="AP3099" s="70">
        <v>29.0</v>
      </c>
      <c r="AQ3099" s="70">
        <v>89.0</v>
      </c>
      <c r="AR3099" s="75" t="s">
        <v>27817</v>
      </c>
      <c r="AS3099" s="70" t="s">
        <v>22525</v>
      </c>
      <c r="AT3099" s="70" t="s">
        <v>22643</v>
      </c>
      <c r="AU3099" s="70" t="s">
        <v>237</v>
      </c>
      <c r="AV3099" s="70" t="s">
        <v>27818</v>
      </c>
      <c r="AW3099" s="70" t="s">
        <v>27819</v>
      </c>
      <c r="AX3099" s="70">
        <v>0.0</v>
      </c>
      <c r="AY3099" s="70" t="s">
        <v>24</v>
      </c>
      <c r="AZ3099" s="70">
        <v>2266.0</v>
      </c>
    </row>
    <row r="3100" ht="22.5" customHeight="1">
      <c r="A3100" s="70" t="str">
        <f t="shared" si="1"/>
        <v>Excluded</v>
      </c>
      <c r="B3100" s="70">
        <f t="shared" si="2"/>
        <v>0</v>
      </c>
      <c r="C3100" s="70">
        <v>0.0</v>
      </c>
      <c r="D3100" s="70">
        <v>0.0</v>
      </c>
      <c r="E3100" s="70">
        <v>0.0</v>
      </c>
      <c r="F3100" s="70">
        <v>0.0</v>
      </c>
      <c r="G3100" s="70">
        <v>0.0</v>
      </c>
      <c r="H3100" s="70" t="s">
        <v>27638</v>
      </c>
      <c r="I3100" s="70">
        <v>2983.0</v>
      </c>
      <c r="J3100" s="70" t="s">
        <v>27636</v>
      </c>
      <c r="K3100" s="70" t="s">
        <v>27637</v>
      </c>
      <c r="W3100" s="70" t="s">
        <v>31449</v>
      </c>
      <c r="AA3100" s="70" t="s">
        <v>27640</v>
      </c>
      <c r="AI3100" s="70" t="s">
        <v>27641</v>
      </c>
      <c r="AJ3100" s="70" t="s">
        <v>27642</v>
      </c>
      <c r="AK3100" s="70">
        <v>2021.0</v>
      </c>
      <c r="AL3100" s="70" t="s">
        <v>22802</v>
      </c>
      <c r="AM3100" s="70">
        <v>4527.0</v>
      </c>
      <c r="AQ3100" s="70">
        <v>44.0</v>
      </c>
      <c r="AR3100" s="75" t="s">
        <v>27643</v>
      </c>
      <c r="AS3100" s="70" t="s">
        <v>22525</v>
      </c>
      <c r="AT3100" s="70" t="s">
        <v>22643</v>
      </c>
      <c r="AU3100" s="70" t="s">
        <v>237</v>
      </c>
      <c r="AV3100" s="70" t="s">
        <v>27644</v>
      </c>
      <c r="AW3100" s="70" t="s">
        <v>27645</v>
      </c>
      <c r="AX3100" s="70">
        <v>0.0</v>
      </c>
      <c r="AY3100" s="70" t="s">
        <v>24</v>
      </c>
      <c r="AZ3100" s="70">
        <v>1688.0</v>
      </c>
    </row>
    <row r="3101" ht="22.5" customHeight="1">
      <c r="A3101" s="70" t="str">
        <f t="shared" si="1"/>
        <v>Excluded</v>
      </c>
      <c r="B3101" s="70">
        <f t="shared" si="2"/>
        <v>0</v>
      </c>
      <c r="C3101" s="70">
        <v>0.0</v>
      </c>
      <c r="D3101" s="70">
        <v>0.0</v>
      </c>
      <c r="E3101" s="70">
        <v>0.0</v>
      </c>
      <c r="F3101" s="70">
        <v>0.0</v>
      </c>
      <c r="G3101" s="70">
        <v>0.0</v>
      </c>
      <c r="H3101" s="70" t="s">
        <v>27147</v>
      </c>
      <c r="I3101" s="70">
        <v>2935.0</v>
      </c>
      <c r="J3101" s="70" t="s">
        <v>27145</v>
      </c>
      <c r="K3101" s="70" t="s">
        <v>27146</v>
      </c>
      <c r="W3101" s="70" t="s">
        <v>31450</v>
      </c>
      <c r="AA3101" s="70" t="s">
        <v>27149</v>
      </c>
      <c r="AI3101" s="70" t="s">
        <v>27150</v>
      </c>
      <c r="AJ3101" s="70" t="s">
        <v>27151</v>
      </c>
      <c r="AK3101" s="70">
        <v>2021.0</v>
      </c>
      <c r="AL3101" s="70" t="s">
        <v>22802</v>
      </c>
      <c r="AM3101" s="70">
        <v>6972.0</v>
      </c>
      <c r="AQ3101" s="70">
        <v>13.0</v>
      </c>
      <c r="AR3101" s="75" t="s">
        <v>27152</v>
      </c>
      <c r="AS3101" s="70" t="s">
        <v>22525</v>
      </c>
      <c r="AT3101" s="70" t="s">
        <v>22643</v>
      </c>
      <c r="AU3101" s="70" t="s">
        <v>237</v>
      </c>
      <c r="AV3101" s="70" t="s">
        <v>27153</v>
      </c>
      <c r="AW3101" s="70" t="s">
        <v>27154</v>
      </c>
      <c r="AZ3101" s="70">
        <v>1112.0</v>
      </c>
    </row>
    <row r="3102" ht="22.5" customHeight="1">
      <c r="A3102" s="70" t="str">
        <f t="shared" si="1"/>
        <v>Excluded</v>
      </c>
      <c r="B3102" s="70">
        <f t="shared" si="2"/>
        <v>0</v>
      </c>
      <c r="C3102" s="70">
        <v>0.0</v>
      </c>
      <c r="D3102" s="70">
        <v>0.0</v>
      </c>
      <c r="E3102" s="70">
        <v>0.0</v>
      </c>
      <c r="F3102" s="70">
        <v>0.0</v>
      </c>
      <c r="G3102" s="70">
        <v>0.0</v>
      </c>
      <c r="H3102" s="70" t="s">
        <v>27157</v>
      </c>
      <c r="I3102" s="70">
        <v>2936.0</v>
      </c>
      <c r="J3102" s="70" t="s">
        <v>27155</v>
      </c>
      <c r="K3102" s="70" t="s">
        <v>27156</v>
      </c>
      <c r="W3102" s="70" t="s">
        <v>31451</v>
      </c>
      <c r="AA3102" s="70" t="s">
        <v>27159</v>
      </c>
      <c r="AI3102" s="70" t="s">
        <v>27160</v>
      </c>
      <c r="AJ3102" s="70" t="s">
        <v>27161</v>
      </c>
      <c r="AK3102" s="70">
        <v>2021.0</v>
      </c>
      <c r="AL3102" s="70" t="s">
        <v>22802</v>
      </c>
      <c r="AM3102" s="70">
        <v>7366.0</v>
      </c>
      <c r="AQ3102" s="70">
        <v>6.0</v>
      </c>
      <c r="AR3102" s="75" t="s">
        <v>27162</v>
      </c>
      <c r="AS3102" s="70" t="s">
        <v>22525</v>
      </c>
      <c r="AT3102" s="70" t="s">
        <v>22643</v>
      </c>
      <c r="AU3102" s="70" t="s">
        <v>237</v>
      </c>
      <c r="AV3102" s="70" t="s">
        <v>27163</v>
      </c>
      <c r="AW3102" s="70" t="s">
        <v>27164</v>
      </c>
      <c r="AZ3102" s="70">
        <v>1072.0</v>
      </c>
    </row>
    <row r="3103" ht="22.5" customHeight="1">
      <c r="A3103" s="70" t="str">
        <f t="shared" si="1"/>
        <v>Excluded</v>
      </c>
      <c r="B3103" s="70">
        <f t="shared" si="2"/>
        <v>0</v>
      </c>
      <c r="C3103" s="70">
        <v>0.0</v>
      </c>
      <c r="D3103" s="70">
        <v>0.0</v>
      </c>
      <c r="E3103" s="70">
        <v>0.0</v>
      </c>
      <c r="F3103" s="70">
        <v>0.0</v>
      </c>
      <c r="G3103" s="70">
        <v>0.0</v>
      </c>
      <c r="H3103" s="70" t="s">
        <v>26354</v>
      </c>
      <c r="I3103" s="70">
        <v>2858.0</v>
      </c>
      <c r="J3103" s="70" t="s">
        <v>26352</v>
      </c>
      <c r="K3103" s="70" t="s">
        <v>31452</v>
      </c>
      <c r="W3103" s="70" t="s">
        <v>31453</v>
      </c>
      <c r="AA3103" s="70" t="s">
        <v>26356</v>
      </c>
      <c r="AI3103" s="70" t="s">
        <v>26357</v>
      </c>
      <c r="AJ3103" s="70" t="s">
        <v>26358</v>
      </c>
      <c r="AK3103" s="70">
        <v>2022.0</v>
      </c>
      <c r="AL3103" s="70" t="s">
        <v>22802</v>
      </c>
      <c r="AM3103" s="70">
        <v>2445.0</v>
      </c>
      <c r="AQ3103" s="70">
        <v>35.0</v>
      </c>
      <c r="AR3103" s="75" t="s">
        <v>26359</v>
      </c>
      <c r="AS3103" s="70" t="s">
        <v>22525</v>
      </c>
      <c r="AT3103" s="70" t="s">
        <v>22643</v>
      </c>
      <c r="AU3103" s="70" t="s">
        <v>237</v>
      </c>
      <c r="AV3103" s="70" t="s">
        <v>26360</v>
      </c>
      <c r="AW3103" s="70" t="s">
        <v>26361</v>
      </c>
      <c r="AX3103" s="70">
        <v>0.0</v>
      </c>
      <c r="AY3103" s="70" t="s">
        <v>24</v>
      </c>
      <c r="AZ3103" s="70">
        <v>2094.0</v>
      </c>
    </row>
    <row r="3104" ht="22.5" customHeight="1">
      <c r="A3104" s="70" t="str">
        <f t="shared" si="1"/>
        <v>Excluded</v>
      </c>
      <c r="B3104" s="70">
        <f t="shared" si="2"/>
        <v>0</v>
      </c>
      <c r="C3104" s="70">
        <v>0.0</v>
      </c>
      <c r="D3104" s="70">
        <v>0.0</v>
      </c>
      <c r="E3104" s="70">
        <v>0.0</v>
      </c>
      <c r="F3104" s="70">
        <v>0.0</v>
      </c>
      <c r="G3104" s="70">
        <v>0.0</v>
      </c>
      <c r="H3104" s="70" t="s">
        <v>26132</v>
      </c>
      <c r="I3104" s="70">
        <v>2836.0</v>
      </c>
      <c r="J3104" s="70" t="s">
        <v>26130</v>
      </c>
      <c r="K3104" s="70" t="s">
        <v>26131</v>
      </c>
      <c r="W3104" s="70" t="s">
        <v>31454</v>
      </c>
      <c r="AA3104" s="70" t="s">
        <v>26134</v>
      </c>
      <c r="AI3104" s="70" t="s">
        <v>26135</v>
      </c>
      <c r="AJ3104" s="70" t="s">
        <v>26136</v>
      </c>
      <c r="AK3104" s="70">
        <v>2022.0</v>
      </c>
      <c r="AL3104" s="70" t="s">
        <v>22802</v>
      </c>
      <c r="AM3104" s="70">
        <v>5816.0</v>
      </c>
      <c r="AQ3104" s="70">
        <v>2.0</v>
      </c>
      <c r="AR3104" s="75" t="s">
        <v>26137</v>
      </c>
      <c r="AS3104" s="70" t="s">
        <v>22525</v>
      </c>
      <c r="AT3104" s="70" t="s">
        <v>22643</v>
      </c>
      <c r="AU3104" s="70" t="s">
        <v>237</v>
      </c>
      <c r="AV3104" s="70" t="s">
        <v>26138</v>
      </c>
      <c r="AW3104" s="70" t="s">
        <v>26139</v>
      </c>
      <c r="AZ3104" s="70">
        <v>421.0</v>
      </c>
    </row>
    <row r="3105" ht="22.5" customHeight="1">
      <c r="A3105" s="70" t="str">
        <f t="shared" si="1"/>
        <v>Excluded</v>
      </c>
      <c r="B3105" s="70">
        <f t="shared" si="2"/>
        <v>0</v>
      </c>
      <c r="C3105" s="70">
        <v>0.0</v>
      </c>
      <c r="D3105" s="70">
        <v>0.0</v>
      </c>
      <c r="E3105" s="70">
        <v>0.0</v>
      </c>
      <c r="F3105" s="70">
        <v>0.0</v>
      </c>
      <c r="G3105" s="70">
        <v>0.0</v>
      </c>
      <c r="H3105" s="70" t="s">
        <v>26621</v>
      </c>
      <c r="I3105" s="70">
        <v>2884.0</v>
      </c>
      <c r="J3105" s="70" t="s">
        <v>26619</v>
      </c>
      <c r="K3105" s="70" t="s">
        <v>26620</v>
      </c>
      <c r="W3105" s="70" t="s">
        <v>31455</v>
      </c>
      <c r="AA3105" s="70" t="s">
        <v>26623</v>
      </c>
      <c r="AI3105" s="70" t="s">
        <v>26624</v>
      </c>
      <c r="AJ3105" s="70" t="s">
        <v>26625</v>
      </c>
      <c r="AK3105" s="70">
        <v>2022.0</v>
      </c>
      <c r="AL3105" s="70" t="s">
        <v>22802</v>
      </c>
      <c r="AM3105" s="70">
        <v>6436.0</v>
      </c>
      <c r="AQ3105" s="70">
        <v>31.0</v>
      </c>
      <c r="AR3105" s="75" t="s">
        <v>26626</v>
      </c>
      <c r="AS3105" s="70" t="s">
        <v>22525</v>
      </c>
      <c r="AT3105" s="70" t="s">
        <v>22643</v>
      </c>
      <c r="AU3105" s="70" t="s">
        <v>237</v>
      </c>
      <c r="AV3105" s="70" t="s">
        <v>26627</v>
      </c>
      <c r="AW3105" s="70" t="s">
        <v>26628</v>
      </c>
      <c r="AX3105" s="70">
        <v>0.0</v>
      </c>
      <c r="AY3105" s="70" t="s">
        <v>24</v>
      </c>
      <c r="AZ3105" s="70">
        <v>2006.0</v>
      </c>
    </row>
    <row r="3106" ht="22.5" customHeight="1">
      <c r="A3106" s="70" t="str">
        <f t="shared" si="1"/>
        <v>Excluded</v>
      </c>
      <c r="B3106" s="70">
        <f t="shared" si="2"/>
        <v>0</v>
      </c>
      <c r="C3106" s="70">
        <v>0.0</v>
      </c>
      <c r="D3106" s="70">
        <v>0.0</v>
      </c>
      <c r="E3106" s="70">
        <v>0.0</v>
      </c>
      <c r="F3106" s="70">
        <v>0.0</v>
      </c>
      <c r="G3106" s="70">
        <v>0.0</v>
      </c>
      <c r="H3106" s="70" t="s">
        <v>26569</v>
      </c>
      <c r="I3106" s="70">
        <v>2879.0</v>
      </c>
      <c r="J3106" s="70" t="s">
        <v>26567</v>
      </c>
      <c r="K3106" s="70" t="s">
        <v>31456</v>
      </c>
      <c r="W3106" s="70" t="s">
        <v>31457</v>
      </c>
      <c r="AA3106" s="70" t="s">
        <v>31458</v>
      </c>
      <c r="AI3106" s="70" t="s">
        <v>31459</v>
      </c>
      <c r="AJ3106" s="70" t="s">
        <v>26573</v>
      </c>
      <c r="AK3106" s="70">
        <v>2022.0</v>
      </c>
      <c r="AL3106" s="70" t="s">
        <v>22802</v>
      </c>
      <c r="AM3106" s="70">
        <v>9003.0</v>
      </c>
      <c r="AQ3106" s="70">
        <v>19.0</v>
      </c>
      <c r="AR3106" s="75" t="s">
        <v>26574</v>
      </c>
      <c r="AS3106" s="70" t="s">
        <v>22525</v>
      </c>
      <c r="AT3106" s="70" t="s">
        <v>22643</v>
      </c>
      <c r="AU3106" s="70" t="s">
        <v>237</v>
      </c>
      <c r="AV3106" s="70" t="s">
        <v>26575</v>
      </c>
      <c r="AW3106" s="70" t="s">
        <v>31460</v>
      </c>
      <c r="AX3106" s="70">
        <v>0.0</v>
      </c>
      <c r="AY3106" s="70" t="s">
        <v>24</v>
      </c>
      <c r="AZ3106" s="70">
        <v>2522.0</v>
      </c>
    </row>
    <row r="3107" ht="22.5" customHeight="1">
      <c r="A3107" s="70" t="str">
        <f t="shared" si="1"/>
        <v>Excluded</v>
      </c>
      <c r="B3107" s="70">
        <f t="shared" si="2"/>
        <v>0</v>
      </c>
      <c r="C3107" s="70">
        <v>0.0</v>
      </c>
      <c r="D3107" s="70">
        <v>0.0</v>
      </c>
      <c r="E3107" s="70">
        <v>0.0</v>
      </c>
      <c r="F3107" s="70">
        <v>0.0</v>
      </c>
      <c r="G3107" s="70">
        <v>0.0</v>
      </c>
      <c r="H3107" s="70" t="s">
        <v>25868</v>
      </c>
      <c r="I3107" s="70">
        <v>2810.0</v>
      </c>
      <c r="J3107" s="70" t="s">
        <v>25866</v>
      </c>
      <c r="K3107" s="70" t="s">
        <v>25867</v>
      </c>
      <c r="W3107" s="70" t="s">
        <v>31461</v>
      </c>
      <c r="AA3107" s="70" t="s">
        <v>25870</v>
      </c>
      <c r="AI3107" s="70" t="s">
        <v>25871</v>
      </c>
      <c r="AJ3107" s="70" t="s">
        <v>22522</v>
      </c>
      <c r="AK3107" s="70">
        <v>2023.0</v>
      </c>
      <c r="AL3107" s="70" t="s">
        <v>22802</v>
      </c>
      <c r="AM3107" s="70">
        <v>6039.0</v>
      </c>
      <c r="AQ3107" s="70">
        <v>12.0</v>
      </c>
      <c r="AR3107" s="75" t="s">
        <v>25872</v>
      </c>
      <c r="AS3107" s="70" t="s">
        <v>22525</v>
      </c>
      <c r="AT3107" s="70" t="s">
        <v>22643</v>
      </c>
      <c r="AU3107" s="70" t="s">
        <v>237</v>
      </c>
      <c r="AV3107" s="70" t="s">
        <v>25873</v>
      </c>
      <c r="AW3107" s="70" t="s">
        <v>25874</v>
      </c>
      <c r="AX3107" s="70">
        <v>0.0</v>
      </c>
      <c r="AY3107" s="70" t="s">
        <v>24</v>
      </c>
      <c r="AZ3107" s="70">
        <v>1709.0</v>
      </c>
    </row>
    <row r="3108" ht="22.5" customHeight="1">
      <c r="A3108" s="70" t="str">
        <f t="shared" si="1"/>
        <v>Excluded</v>
      </c>
      <c r="B3108" s="70">
        <f t="shared" si="2"/>
        <v>0</v>
      </c>
      <c r="C3108" s="70">
        <v>0.0</v>
      </c>
      <c r="D3108" s="70">
        <v>0.0</v>
      </c>
      <c r="E3108" s="70">
        <v>0.0</v>
      </c>
      <c r="F3108" s="70">
        <v>0.0</v>
      </c>
      <c r="G3108" s="70">
        <v>0.0</v>
      </c>
      <c r="H3108" s="70" t="s">
        <v>25917</v>
      </c>
      <c r="I3108" s="70">
        <v>2815.0</v>
      </c>
      <c r="J3108" s="70" t="s">
        <v>25915</v>
      </c>
      <c r="K3108" s="70" t="s">
        <v>25916</v>
      </c>
      <c r="W3108" s="70" t="s">
        <v>31462</v>
      </c>
      <c r="AA3108" s="70" t="s">
        <v>25919</v>
      </c>
      <c r="AI3108" s="70" t="s">
        <v>25920</v>
      </c>
      <c r="AJ3108" s="70" t="s">
        <v>25921</v>
      </c>
      <c r="AK3108" s="70">
        <v>2023.0</v>
      </c>
      <c r="AL3108" s="70" t="s">
        <v>22802</v>
      </c>
      <c r="AM3108" s="70">
        <v>7697.0</v>
      </c>
      <c r="AQ3108" s="70">
        <v>9.0</v>
      </c>
      <c r="AR3108" s="75" t="s">
        <v>25922</v>
      </c>
      <c r="AS3108" s="70" t="s">
        <v>22525</v>
      </c>
      <c r="AT3108" s="70" t="s">
        <v>22643</v>
      </c>
      <c r="AU3108" s="70" t="s">
        <v>237</v>
      </c>
      <c r="AV3108" s="70" t="s">
        <v>25923</v>
      </c>
      <c r="AW3108" s="70" t="s">
        <v>25924</v>
      </c>
      <c r="AZ3108" s="70">
        <v>837.0</v>
      </c>
    </row>
    <row r="3109" ht="22.5" customHeight="1">
      <c r="A3109" s="70" t="str">
        <f t="shared" si="1"/>
        <v>Excluded</v>
      </c>
      <c r="B3109" s="70">
        <f t="shared" si="2"/>
        <v>0</v>
      </c>
      <c r="C3109" s="70">
        <v>0.0</v>
      </c>
      <c r="D3109" s="70">
        <v>0.0</v>
      </c>
      <c r="E3109" s="70">
        <v>0.0</v>
      </c>
      <c r="F3109" s="70">
        <v>0.0</v>
      </c>
      <c r="G3109" s="70">
        <v>0.0</v>
      </c>
      <c r="H3109" s="70" t="s">
        <v>25119</v>
      </c>
      <c r="I3109" s="70">
        <v>2738.0</v>
      </c>
      <c r="J3109" s="70" t="s">
        <v>25117</v>
      </c>
      <c r="K3109" s="70" t="s">
        <v>25118</v>
      </c>
      <c r="W3109" s="70" t="s">
        <v>31463</v>
      </c>
      <c r="AA3109" s="70" t="s">
        <v>25121</v>
      </c>
      <c r="AI3109" s="70" t="s">
        <v>25122</v>
      </c>
      <c r="AJ3109" s="70" t="s">
        <v>25123</v>
      </c>
      <c r="AK3109" s="70">
        <v>2023.0</v>
      </c>
      <c r="AL3109" s="70" t="s">
        <v>22802</v>
      </c>
      <c r="AM3109" s="70">
        <v>8953.0</v>
      </c>
      <c r="AQ3109" s="70">
        <v>2.0</v>
      </c>
      <c r="AR3109" s="75" t="s">
        <v>25124</v>
      </c>
      <c r="AS3109" s="70" t="s">
        <v>22525</v>
      </c>
      <c r="AT3109" s="70" t="s">
        <v>22643</v>
      </c>
      <c r="AU3109" s="70" t="s">
        <v>237</v>
      </c>
      <c r="AV3109" s="70" t="s">
        <v>25125</v>
      </c>
      <c r="AW3109" s="70" t="s">
        <v>25126</v>
      </c>
      <c r="AZ3109" s="70">
        <v>931.0</v>
      </c>
    </row>
    <row r="3110" ht="22.5" customHeight="1">
      <c r="A3110" s="70" t="str">
        <f t="shared" si="1"/>
        <v>Excluded</v>
      </c>
      <c r="B3110" s="70">
        <f t="shared" si="2"/>
        <v>0</v>
      </c>
      <c r="C3110" s="70">
        <v>0.0</v>
      </c>
      <c r="D3110" s="70">
        <v>0.0</v>
      </c>
      <c r="E3110" s="70">
        <v>0.0</v>
      </c>
      <c r="F3110" s="70">
        <v>0.0</v>
      </c>
      <c r="G3110" s="70">
        <v>0.0</v>
      </c>
      <c r="H3110" s="70" t="s">
        <v>24448</v>
      </c>
      <c r="I3110" s="70">
        <v>2673.0</v>
      </c>
      <c r="J3110" s="70" t="s">
        <v>24446</v>
      </c>
      <c r="K3110" s="70" t="s">
        <v>24447</v>
      </c>
      <c r="W3110" s="70" t="s">
        <v>31464</v>
      </c>
      <c r="AA3110" s="70" t="s">
        <v>24450</v>
      </c>
      <c r="AI3110" s="70" t="s">
        <v>24451</v>
      </c>
      <c r="AJ3110" s="70" t="s">
        <v>24452</v>
      </c>
      <c r="AK3110" s="70">
        <v>2023.0</v>
      </c>
      <c r="AL3110" s="70" t="s">
        <v>22802</v>
      </c>
      <c r="AM3110" s="70">
        <v>9656.0</v>
      </c>
      <c r="AQ3110" s="70">
        <v>2.0</v>
      </c>
      <c r="AR3110" s="75" t="s">
        <v>24453</v>
      </c>
      <c r="AS3110" s="70" t="s">
        <v>22525</v>
      </c>
      <c r="AT3110" s="70" t="s">
        <v>22643</v>
      </c>
      <c r="AU3110" s="70" t="s">
        <v>237</v>
      </c>
      <c r="AV3110" s="70" t="s">
        <v>24454</v>
      </c>
      <c r="AW3110" s="70" t="s">
        <v>24455</v>
      </c>
      <c r="AX3110" s="70">
        <v>0.0</v>
      </c>
      <c r="AY3110" s="70" t="s">
        <v>24</v>
      </c>
      <c r="AZ3110" s="70">
        <v>1886.0</v>
      </c>
    </row>
    <row r="3111" ht="22.5" customHeight="1">
      <c r="A3111" s="70" t="str">
        <f t="shared" si="1"/>
        <v>Excluded</v>
      </c>
      <c r="B3111" s="70">
        <f t="shared" si="2"/>
        <v>0</v>
      </c>
      <c r="C3111" s="70">
        <v>0.0</v>
      </c>
      <c r="D3111" s="70">
        <v>0.0</v>
      </c>
      <c r="E3111" s="70">
        <v>0.0</v>
      </c>
      <c r="F3111" s="70">
        <v>0.0</v>
      </c>
      <c r="G3111" s="70">
        <v>0.0</v>
      </c>
      <c r="H3111" s="70" t="s">
        <v>23930</v>
      </c>
      <c r="I3111" s="70">
        <v>2623.0</v>
      </c>
      <c r="J3111" s="70" t="s">
        <v>23928</v>
      </c>
      <c r="K3111" s="70" t="s">
        <v>23929</v>
      </c>
      <c r="W3111" s="70" t="s">
        <v>31465</v>
      </c>
      <c r="AA3111" s="70" t="s">
        <v>23932</v>
      </c>
      <c r="AI3111" s="70" t="s">
        <v>23933</v>
      </c>
      <c r="AJ3111" s="70" t="s">
        <v>23934</v>
      </c>
      <c r="AK3111" s="70">
        <v>2024.0</v>
      </c>
      <c r="AL3111" s="70" t="s">
        <v>22802</v>
      </c>
      <c r="AM3111" s="70">
        <v>968.0</v>
      </c>
      <c r="AQ3111" s="70">
        <v>20.0</v>
      </c>
      <c r="AR3111" s="75" t="s">
        <v>23935</v>
      </c>
      <c r="AS3111" s="70" t="s">
        <v>22525</v>
      </c>
      <c r="AT3111" s="70" t="s">
        <v>22643</v>
      </c>
      <c r="AU3111" s="70" t="s">
        <v>237</v>
      </c>
      <c r="AV3111" s="70" t="s">
        <v>23936</v>
      </c>
      <c r="AW3111" s="70" t="s">
        <v>23937</v>
      </c>
      <c r="AZ3111" s="70">
        <v>697.0</v>
      </c>
    </row>
    <row r="3112" ht="22.5" customHeight="1">
      <c r="A3112" s="70" t="str">
        <f t="shared" si="1"/>
        <v>Excluded</v>
      </c>
      <c r="B3112" s="70">
        <f t="shared" si="2"/>
        <v>0</v>
      </c>
      <c r="C3112" s="70">
        <v>0.0</v>
      </c>
      <c r="D3112" s="70">
        <v>0.0</v>
      </c>
      <c r="E3112" s="70">
        <v>0.0</v>
      </c>
      <c r="F3112" s="70">
        <v>0.0</v>
      </c>
      <c r="G3112" s="70">
        <v>0.0</v>
      </c>
      <c r="H3112" s="70" t="s">
        <v>24182</v>
      </c>
      <c r="I3112" s="70">
        <v>2647.0</v>
      </c>
      <c r="J3112" s="70" t="s">
        <v>24180</v>
      </c>
      <c r="K3112" s="70" t="s">
        <v>24181</v>
      </c>
      <c r="W3112" s="70" t="s">
        <v>31466</v>
      </c>
      <c r="AA3112" s="70" t="s">
        <v>24184</v>
      </c>
      <c r="AI3112" s="70" t="s">
        <v>24185</v>
      </c>
      <c r="AJ3112" s="70" t="s">
        <v>24186</v>
      </c>
      <c r="AK3112" s="70">
        <v>2024.0</v>
      </c>
      <c r="AL3112" s="70" t="s">
        <v>22802</v>
      </c>
      <c r="AM3112" s="70">
        <v>2381.0</v>
      </c>
      <c r="AQ3112" s="70">
        <v>4.0</v>
      </c>
      <c r="AR3112" s="75" t="s">
        <v>24187</v>
      </c>
      <c r="AS3112" s="70" t="s">
        <v>22525</v>
      </c>
      <c r="AT3112" s="70" t="s">
        <v>22622</v>
      </c>
      <c r="AU3112" s="70" t="s">
        <v>237</v>
      </c>
      <c r="AV3112" s="70" t="s">
        <v>24188</v>
      </c>
      <c r="AW3112" s="70" t="s">
        <v>24189</v>
      </c>
      <c r="AX3112" s="70">
        <v>0.0</v>
      </c>
      <c r="AY3112" s="70" t="s">
        <v>24</v>
      </c>
      <c r="AZ3112" s="70">
        <v>2530.0</v>
      </c>
    </row>
    <row r="3113" ht="22.5" customHeight="1">
      <c r="A3113" s="70" t="str">
        <f t="shared" si="1"/>
        <v>Excluded</v>
      </c>
      <c r="B3113" s="70">
        <f t="shared" si="2"/>
        <v>0</v>
      </c>
      <c r="C3113" s="70">
        <v>0.0</v>
      </c>
      <c r="D3113" s="70">
        <v>0.0</v>
      </c>
      <c r="E3113" s="70">
        <v>0.0</v>
      </c>
      <c r="F3113" s="70">
        <v>0.0</v>
      </c>
      <c r="G3113" s="70">
        <v>0.0</v>
      </c>
      <c r="H3113" s="70" t="s">
        <v>22797</v>
      </c>
      <c r="I3113" s="70">
        <v>2515.0</v>
      </c>
      <c r="J3113" s="70" t="s">
        <v>22795</v>
      </c>
      <c r="K3113" s="70" t="s">
        <v>22796</v>
      </c>
      <c r="W3113" s="70" t="s">
        <v>31467</v>
      </c>
      <c r="AA3113" s="70" t="s">
        <v>22799</v>
      </c>
      <c r="AI3113" s="70" t="s">
        <v>22800</v>
      </c>
      <c r="AJ3113" s="70" t="s">
        <v>22801</v>
      </c>
      <c r="AK3113" s="70">
        <v>2024.0</v>
      </c>
      <c r="AL3113" s="70" t="s">
        <v>22802</v>
      </c>
      <c r="AM3113" s="70">
        <v>5558.0</v>
      </c>
      <c r="AQ3113" s="70">
        <v>0.0</v>
      </c>
      <c r="AR3113" s="75" t="s">
        <v>22803</v>
      </c>
      <c r="AS3113" s="70" t="s">
        <v>22525</v>
      </c>
      <c r="AT3113" s="70" t="s">
        <v>22643</v>
      </c>
      <c r="AU3113" s="70" t="s">
        <v>237</v>
      </c>
      <c r="AV3113" s="70" t="s">
        <v>22804</v>
      </c>
      <c r="AW3113" s="70" t="s">
        <v>22805</v>
      </c>
      <c r="AX3113" s="70">
        <v>0.0</v>
      </c>
      <c r="AY3113" s="70" t="s">
        <v>24</v>
      </c>
      <c r="AZ3113" s="70">
        <v>1908.0</v>
      </c>
    </row>
    <row r="3114" ht="22.5" customHeight="1">
      <c r="A3114" s="70" t="str">
        <f t="shared" si="1"/>
        <v>Excluded</v>
      </c>
      <c r="B3114" s="70">
        <f t="shared" si="2"/>
        <v>0</v>
      </c>
      <c r="C3114" s="70">
        <v>0.0</v>
      </c>
      <c r="D3114" s="70">
        <v>0.0</v>
      </c>
      <c r="E3114" s="70">
        <v>0.0</v>
      </c>
      <c r="F3114" s="70">
        <v>0.0</v>
      </c>
      <c r="G3114" s="70">
        <v>0.0</v>
      </c>
      <c r="H3114" s="70" t="s">
        <v>26776</v>
      </c>
      <c r="I3114" s="70">
        <v>2899.0</v>
      </c>
      <c r="J3114" s="70" t="s">
        <v>26774</v>
      </c>
      <c r="K3114" s="70" t="s">
        <v>26775</v>
      </c>
      <c r="W3114" s="70" t="s">
        <v>31468</v>
      </c>
      <c r="AA3114" s="70" t="s">
        <v>26778</v>
      </c>
      <c r="AI3114" s="70" t="s">
        <v>26779</v>
      </c>
      <c r="AJ3114" s="70" t="s">
        <v>26780</v>
      </c>
      <c r="AK3114" s="70">
        <v>2022.0</v>
      </c>
      <c r="AL3114" s="70" t="s">
        <v>26781</v>
      </c>
      <c r="AN3114" s="70">
        <v>587.0</v>
      </c>
      <c r="AO3114" s="70">
        <v>610.0</v>
      </c>
      <c r="AP3114" s="70">
        <v>23.0</v>
      </c>
      <c r="AQ3114" s="70">
        <v>7.0</v>
      </c>
      <c r="AR3114" s="75" t="s">
        <v>26782</v>
      </c>
      <c r="AS3114" s="70" t="s">
        <v>22525</v>
      </c>
      <c r="AT3114" s="70" t="s">
        <v>22622</v>
      </c>
      <c r="AU3114" s="70" t="s">
        <v>237</v>
      </c>
      <c r="AV3114" s="70" t="s">
        <v>26783</v>
      </c>
      <c r="AX3114" s="70">
        <v>0.0</v>
      </c>
      <c r="AY3114" s="70" t="s">
        <v>24</v>
      </c>
      <c r="AZ3114" s="70">
        <v>2917.0</v>
      </c>
    </row>
    <row r="3115" ht="22.5" customHeight="1">
      <c r="A3115" s="70" t="str">
        <f t="shared" si="1"/>
        <v>Excluded</v>
      </c>
      <c r="B3115" s="70">
        <f t="shared" si="2"/>
        <v>0</v>
      </c>
      <c r="C3115" s="70">
        <v>0.0</v>
      </c>
      <c r="D3115" s="70">
        <v>0.0</v>
      </c>
      <c r="E3115" s="70">
        <v>0.0</v>
      </c>
      <c r="F3115" s="70">
        <v>0.0</v>
      </c>
      <c r="G3115" s="70">
        <v>0.0</v>
      </c>
      <c r="H3115" s="70" t="s">
        <v>26857</v>
      </c>
      <c r="I3115" s="70">
        <v>2907.0</v>
      </c>
      <c r="J3115" s="70" t="s">
        <v>26855</v>
      </c>
      <c r="K3115" s="70" t="s">
        <v>26856</v>
      </c>
      <c r="W3115" s="70" t="s">
        <v>31469</v>
      </c>
      <c r="AA3115" s="70" t="s">
        <v>26859</v>
      </c>
      <c r="AI3115" s="70" t="s">
        <v>26860</v>
      </c>
      <c r="AJ3115" s="70" t="s">
        <v>26861</v>
      </c>
      <c r="AK3115" s="70">
        <v>2021.0</v>
      </c>
      <c r="AL3115" s="70" t="s">
        <v>25285</v>
      </c>
      <c r="AM3115" s="70">
        <v>10057.0</v>
      </c>
      <c r="AQ3115" s="70">
        <v>53.0</v>
      </c>
      <c r="AR3115" s="75" t="s">
        <v>26862</v>
      </c>
      <c r="AS3115" s="70" t="s">
        <v>22525</v>
      </c>
      <c r="AT3115" s="70" t="s">
        <v>22643</v>
      </c>
      <c r="AU3115" s="70" t="s">
        <v>237</v>
      </c>
      <c r="AV3115" s="70" t="s">
        <v>26863</v>
      </c>
      <c r="AW3115" s="70" t="s">
        <v>26864</v>
      </c>
      <c r="AZ3115" s="70">
        <v>523.0</v>
      </c>
    </row>
    <row r="3116" ht="22.5" customHeight="1">
      <c r="A3116" s="70" t="str">
        <f t="shared" si="1"/>
        <v>Excluded</v>
      </c>
      <c r="B3116" s="70">
        <f t="shared" si="2"/>
        <v>0</v>
      </c>
      <c r="C3116" s="70">
        <v>0.0</v>
      </c>
      <c r="D3116" s="70">
        <v>0.0</v>
      </c>
      <c r="E3116" s="70">
        <v>0.0</v>
      </c>
      <c r="F3116" s="70">
        <v>0.0</v>
      </c>
      <c r="G3116" s="70">
        <v>0.0</v>
      </c>
      <c r="H3116" s="70" t="s">
        <v>26611</v>
      </c>
      <c r="I3116" s="70">
        <v>2883.0</v>
      </c>
      <c r="J3116" s="70" t="s">
        <v>26609</v>
      </c>
      <c r="K3116" s="70" t="s">
        <v>26610</v>
      </c>
      <c r="W3116" s="70" t="s">
        <v>31470</v>
      </c>
      <c r="AA3116" s="70" t="s">
        <v>26613</v>
      </c>
      <c r="AI3116" s="70" t="s">
        <v>26614</v>
      </c>
      <c r="AJ3116" s="70" t="s">
        <v>26615</v>
      </c>
      <c r="AK3116" s="70">
        <v>2022.0</v>
      </c>
      <c r="AL3116" s="70" t="s">
        <v>25285</v>
      </c>
      <c r="AM3116" s="70">
        <v>7267.0</v>
      </c>
      <c r="AQ3116" s="70">
        <v>41.0</v>
      </c>
      <c r="AR3116" s="75" t="s">
        <v>26616</v>
      </c>
      <c r="AS3116" s="70" t="s">
        <v>22525</v>
      </c>
      <c r="AT3116" s="70" t="s">
        <v>22622</v>
      </c>
      <c r="AU3116" s="70" t="s">
        <v>237</v>
      </c>
      <c r="AV3116" s="70" t="s">
        <v>26617</v>
      </c>
      <c r="AW3116" s="70" t="s">
        <v>26618</v>
      </c>
      <c r="AZ3116" s="70">
        <v>1004.0</v>
      </c>
    </row>
    <row r="3117" ht="22.5" customHeight="1">
      <c r="A3117" s="70" t="str">
        <f t="shared" si="1"/>
        <v>Excluded</v>
      </c>
      <c r="B3117" s="70">
        <f t="shared" si="2"/>
        <v>0</v>
      </c>
      <c r="C3117" s="70">
        <v>0.0</v>
      </c>
      <c r="D3117" s="70">
        <v>0.0</v>
      </c>
      <c r="E3117" s="70">
        <v>0.0</v>
      </c>
      <c r="F3117" s="70">
        <v>0.0</v>
      </c>
      <c r="G3117" s="70">
        <v>0.0</v>
      </c>
      <c r="H3117" s="70" t="s">
        <v>26172</v>
      </c>
      <c r="I3117" s="70">
        <v>2840.0</v>
      </c>
      <c r="J3117" s="70" t="s">
        <v>26170</v>
      </c>
      <c r="K3117" s="70" t="s">
        <v>26171</v>
      </c>
      <c r="W3117" s="70" t="s">
        <v>31471</v>
      </c>
      <c r="AA3117" s="70" t="s">
        <v>26174</v>
      </c>
      <c r="AI3117" s="70" t="s">
        <v>26175</v>
      </c>
      <c r="AJ3117" s="70" t="s">
        <v>26176</v>
      </c>
      <c r="AK3117" s="70">
        <v>2022.0</v>
      </c>
      <c r="AL3117" s="70" t="s">
        <v>25285</v>
      </c>
      <c r="AM3117" s="70">
        <v>7961.0</v>
      </c>
      <c r="AQ3117" s="70">
        <v>25.0</v>
      </c>
      <c r="AR3117" s="75" t="s">
        <v>26177</v>
      </c>
      <c r="AS3117" s="70" t="s">
        <v>22525</v>
      </c>
      <c r="AT3117" s="70" t="s">
        <v>22622</v>
      </c>
      <c r="AU3117" s="70" t="s">
        <v>237</v>
      </c>
      <c r="AV3117" s="70" t="s">
        <v>26178</v>
      </c>
      <c r="AW3117" s="70" t="s">
        <v>26179</v>
      </c>
      <c r="AX3117" s="70">
        <v>0.0</v>
      </c>
      <c r="AY3117" s="70" t="s">
        <v>24</v>
      </c>
      <c r="AZ3117" s="70">
        <v>2003.0</v>
      </c>
    </row>
    <row r="3118" ht="22.5" customHeight="1">
      <c r="A3118" s="70" t="str">
        <f t="shared" si="1"/>
        <v>Excluded</v>
      </c>
      <c r="B3118" s="70">
        <f t="shared" si="2"/>
        <v>0</v>
      </c>
      <c r="C3118" s="70">
        <v>0.0</v>
      </c>
      <c r="D3118" s="70">
        <v>0.0</v>
      </c>
      <c r="E3118" s="70">
        <v>0.0</v>
      </c>
      <c r="F3118" s="70">
        <v>0.0</v>
      </c>
      <c r="G3118" s="70">
        <v>0.0</v>
      </c>
      <c r="H3118" s="70" t="s">
        <v>25280</v>
      </c>
      <c r="I3118" s="70">
        <v>2754.0</v>
      </c>
      <c r="J3118" s="70" t="s">
        <v>25278</v>
      </c>
      <c r="K3118" s="70" t="s">
        <v>25279</v>
      </c>
      <c r="W3118" s="70" t="s">
        <v>31472</v>
      </c>
      <c r="AA3118" s="70" t="s">
        <v>25282</v>
      </c>
      <c r="AI3118" s="70" t="s">
        <v>25283</v>
      </c>
      <c r="AJ3118" s="70" t="s">
        <v>25284</v>
      </c>
      <c r="AK3118" s="70">
        <v>2023.0</v>
      </c>
      <c r="AL3118" s="70" t="s">
        <v>25285</v>
      </c>
      <c r="AM3118" s="70">
        <v>5983.0</v>
      </c>
      <c r="AQ3118" s="70">
        <v>18.0</v>
      </c>
      <c r="AR3118" s="75" t="s">
        <v>25286</v>
      </c>
      <c r="AS3118" s="70" t="s">
        <v>22525</v>
      </c>
      <c r="AT3118" s="70" t="s">
        <v>22643</v>
      </c>
      <c r="AU3118" s="70" t="s">
        <v>237</v>
      </c>
      <c r="AV3118" s="70" t="s">
        <v>25287</v>
      </c>
      <c r="AW3118" s="70" t="s">
        <v>25288</v>
      </c>
      <c r="AX3118" s="70">
        <v>0.0</v>
      </c>
      <c r="AY3118" s="70" t="s">
        <v>24</v>
      </c>
      <c r="AZ3118" s="70">
        <v>2272.0</v>
      </c>
    </row>
    <row r="3119" ht="22.5" customHeight="1">
      <c r="A3119" s="70" t="str">
        <f t="shared" si="1"/>
        <v>Excluded</v>
      </c>
      <c r="B3119" s="70">
        <f t="shared" si="2"/>
        <v>0</v>
      </c>
      <c r="C3119" s="70">
        <v>0.0</v>
      </c>
      <c r="D3119" s="70">
        <v>0.0</v>
      </c>
      <c r="E3119" s="70">
        <v>0.0</v>
      </c>
      <c r="F3119" s="70">
        <v>0.0</v>
      </c>
      <c r="G3119" s="70">
        <v>0.0</v>
      </c>
      <c r="H3119" s="70" t="s">
        <v>23745</v>
      </c>
      <c r="I3119" s="70">
        <v>2605.0</v>
      </c>
      <c r="J3119" s="70" t="s">
        <v>23743</v>
      </c>
      <c r="K3119" s="70" t="s">
        <v>23744</v>
      </c>
      <c r="W3119" s="70" t="s">
        <v>31473</v>
      </c>
      <c r="AA3119" s="70" t="s">
        <v>23747</v>
      </c>
      <c r="AI3119" s="70" t="s">
        <v>31474</v>
      </c>
      <c r="AJ3119" s="70" t="s">
        <v>23749</v>
      </c>
      <c r="AK3119" s="70">
        <v>2024.0</v>
      </c>
      <c r="AL3119" s="70" t="s">
        <v>25285</v>
      </c>
      <c r="AM3119" s="70">
        <v>2535.0</v>
      </c>
      <c r="AQ3119" s="70">
        <v>3.0</v>
      </c>
      <c r="AR3119" s="75" t="s">
        <v>23750</v>
      </c>
      <c r="AS3119" s="70" t="s">
        <v>22525</v>
      </c>
      <c r="AT3119" s="70" t="s">
        <v>22622</v>
      </c>
      <c r="AU3119" s="70" t="s">
        <v>237</v>
      </c>
      <c r="AV3119" s="70" t="s">
        <v>23751</v>
      </c>
      <c r="AW3119" s="70" t="s">
        <v>23752</v>
      </c>
      <c r="AX3119" s="70">
        <v>0.0</v>
      </c>
      <c r="AY3119" s="70" t="s">
        <v>24</v>
      </c>
      <c r="AZ3119" s="70">
        <v>2491.0</v>
      </c>
    </row>
    <row r="3120" ht="22.5" customHeight="1">
      <c r="A3120" s="70" t="str">
        <f t="shared" si="1"/>
        <v>Excluded</v>
      </c>
      <c r="B3120" s="70">
        <f t="shared" si="2"/>
        <v>0</v>
      </c>
      <c r="C3120" s="70">
        <v>0.0</v>
      </c>
      <c r="D3120" s="70">
        <v>0.0</v>
      </c>
      <c r="E3120" s="70">
        <v>0.0</v>
      </c>
      <c r="F3120" s="70">
        <v>0.0</v>
      </c>
      <c r="G3120" s="70">
        <v>0.0</v>
      </c>
      <c r="H3120" s="70" t="s">
        <v>28211</v>
      </c>
      <c r="I3120" s="70">
        <v>3039.0</v>
      </c>
      <c r="J3120" s="70" t="s">
        <v>28209</v>
      </c>
      <c r="K3120" s="70" t="s">
        <v>28210</v>
      </c>
      <c r="W3120" s="70" t="s">
        <v>31475</v>
      </c>
      <c r="AA3120" s="70" t="s">
        <v>28213</v>
      </c>
      <c r="AI3120" s="70" t="s">
        <v>28214</v>
      </c>
      <c r="AJ3120" s="70" t="s">
        <v>28215</v>
      </c>
      <c r="AK3120" s="70">
        <v>2021.0</v>
      </c>
      <c r="AL3120" s="70" t="s">
        <v>24968</v>
      </c>
      <c r="AM3120" s="70">
        <v>357.0</v>
      </c>
      <c r="AN3120" s="70">
        <v>1.0</v>
      </c>
      <c r="AO3120" s="70">
        <v>28.0</v>
      </c>
      <c r="AP3120" s="70">
        <v>27.0</v>
      </c>
      <c r="AQ3120" s="70">
        <v>52.0</v>
      </c>
      <c r="AR3120" s="75" t="s">
        <v>28216</v>
      </c>
      <c r="AS3120" s="70" t="s">
        <v>22525</v>
      </c>
      <c r="AT3120" s="70" t="s">
        <v>22622</v>
      </c>
      <c r="AU3120" s="70" t="s">
        <v>237</v>
      </c>
      <c r="AV3120" s="70" t="s">
        <v>28217</v>
      </c>
      <c r="AX3120" s="70">
        <v>0.0</v>
      </c>
      <c r="AY3120" s="70" t="s">
        <v>24</v>
      </c>
      <c r="AZ3120" s="70">
        <v>2947.0</v>
      </c>
    </row>
    <row r="3121" ht="22.5" customHeight="1">
      <c r="A3121" s="70" t="str">
        <f t="shared" si="1"/>
        <v>Excluded</v>
      </c>
      <c r="B3121" s="70">
        <f t="shared" si="2"/>
        <v>0</v>
      </c>
      <c r="C3121" s="70">
        <v>0.0</v>
      </c>
      <c r="D3121" s="70">
        <v>0.0</v>
      </c>
      <c r="E3121" s="70">
        <v>0.0</v>
      </c>
      <c r="F3121" s="70">
        <v>0.0</v>
      </c>
      <c r="G3121" s="70">
        <v>0.0</v>
      </c>
      <c r="H3121" s="70" t="s">
        <v>24963</v>
      </c>
      <c r="I3121" s="70">
        <v>2723.0</v>
      </c>
      <c r="J3121" s="70" t="s">
        <v>24961</v>
      </c>
      <c r="K3121" s="70" t="s">
        <v>24962</v>
      </c>
      <c r="W3121" s="70" t="s">
        <v>31476</v>
      </c>
      <c r="AA3121" s="70" t="s">
        <v>24965</v>
      </c>
      <c r="AI3121" s="70" t="s">
        <v>24966</v>
      </c>
      <c r="AJ3121" s="70" t="s">
        <v>24967</v>
      </c>
      <c r="AK3121" s="70">
        <v>2023.0</v>
      </c>
      <c r="AL3121" s="70" t="s">
        <v>24968</v>
      </c>
      <c r="AM3121" s="70">
        <v>2206.0</v>
      </c>
      <c r="AQ3121" s="70">
        <v>0.0</v>
      </c>
      <c r="AR3121" s="75" t="s">
        <v>24969</v>
      </c>
      <c r="AS3121" s="70" t="s">
        <v>22525</v>
      </c>
      <c r="AT3121" s="70" t="s">
        <v>22622</v>
      </c>
      <c r="AU3121" s="70" t="s">
        <v>237</v>
      </c>
      <c r="AV3121" s="70" t="s">
        <v>24970</v>
      </c>
      <c r="AX3121" s="70">
        <v>0.0</v>
      </c>
      <c r="AY3121" s="70" t="s">
        <v>24</v>
      </c>
      <c r="AZ3121" s="70">
        <v>3044.0</v>
      </c>
    </row>
    <row r="3122" ht="22.5" customHeight="1">
      <c r="A3122" s="70" t="str">
        <f t="shared" si="1"/>
        <v>Excluded</v>
      </c>
      <c r="B3122" s="70">
        <f t="shared" si="2"/>
        <v>0</v>
      </c>
      <c r="C3122" s="70">
        <v>0.0</v>
      </c>
      <c r="D3122" s="70">
        <v>0.0</v>
      </c>
      <c r="E3122" s="70">
        <v>0.0</v>
      </c>
      <c r="F3122" s="70">
        <v>0.0</v>
      </c>
      <c r="G3122" s="70">
        <v>0.0</v>
      </c>
      <c r="H3122" s="70" t="s">
        <v>25783</v>
      </c>
      <c r="I3122" s="70">
        <v>2802.0</v>
      </c>
      <c r="J3122" s="70" t="s">
        <v>25781</v>
      </c>
      <c r="K3122" s="70" t="s">
        <v>25782</v>
      </c>
      <c r="W3122" s="70" t="s">
        <v>31477</v>
      </c>
      <c r="AA3122" s="70" t="s">
        <v>25785</v>
      </c>
      <c r="AI3122" s="70" t="s">
        <v>25786</v>
      </c>
      <c r="AJ3122" s="70" t="s">
        <v>25787</v>
      </c>
      <c r="AK3122" s="70">
        <v>2023.0</v>
      </c>
      <c r="AL3122" s="70" t="s">
        <v>25788</v>
      </c>
      <c r="AM3122" s="70">
        <v>56.0</v>
      </c>
      <c r="AQ3122" s="70">
        <v>14.0</v>
      </c>
      <c r="AR3122" s="75" t="s">
        <v>25789</v>
      </c>
      <c r="AS3122" s="70" t="s">
        <v>22525</v>
      </c>
      <c r="AT3122" s="70" t="s">
        <v>22622</v>
      </c>
      <c r="AU3122" s="70" t="s">
        <v>237</v>
      </c>
      <c r="AV3122" s="70" t="s">
        <v>25790</v>
      </c>
      <c r="AX3122" s="70">
        <v>0.0</v>
      </c>
      <c r="AY3122" s="70" t="s">
        <v>24</v>
      </c>
      <c r="AZ3122" s="70">
        <v>2336.0</v>
      </c>
    </row>
    <row r="3123" ht="22.5" customHeight="1">
      <c r="A3123" s="70" t="str">
        <f t="shared" si="1"/>
        <v>Excluded</v>
      </c>
      <c r="B3123" s="70">
        <f t="shared" si="2"/>
        <v>0</v>
      </c>
      <c r="C3123" s="70">
        <v>0.0</v>
      </c>
      <c r="D3123" s="70">
        <v>0.0</v>
      </c>
      <c r="E3123" s="70">
        <v>0.0</v>
      </c>
      <c r="F3123" s="70">
        <v>0.0</v>
      </c>
      <c r="G3123" s="70">
        <v>0.0</v>
      </c>
      <c r="H3123" s="70" t="s">
        <v>25565</v>
      </c>
      <c r="I3123" s="70">
        <v>2781.0</v>
      </c>
      <c r="J3123" s="70" t="s">
        <v>25563</v>
      </c>
      <c r="K3123" s="70" t="s">
        <v>25564</v>
      </c>
      <c r="W3123" s="70" t="s">
        <v>31478</v>
      </c>
      <c r="AI3123" s="70" t="s">
        <v>25567</v>
      </c>
      <c r="AJ3123" s="70" t="s">
        <v>25568</v>
      </c>
      <c r="AK3123" s="70">
        <v>2023.0</v>
      </c>
      <c r="AL3123" s="70" t="s">
        <v>25569</v>
      </c>
      <c r="AQ3123" s="70">
        <v>4.0</v>
      </c>
      <c r="AR3123" s="75" t="s">
        <v>25570</v>
      </c>
      <c r="AS3123" s="70" t="s">
        <v>22525</v>
      </c>
      <c r="AT3123" s="70" t="s">
        <v>22656</v>
      </c>
      <c r="AU3123" s="70" t="s">
        <v>237</v>
      </c>
      <c r="AV3123" s="70" t="s">
        <v>25571</v>
      </c>
      <c r="AX3123" s="70">
        <v>0.0</v>
      </c>
      <c r="AY3123" s="70" t="s">
        <v>24</v>
      </c>
      <c r="AZ3123" s="70">
        <v>1990.0</v>
      </c>
    </row>
    <row r="3124" ht="22.5" customHeight="1">
      <c r="A3124" s="70" t="str">
        <f t="shared" si="1"/>
        <v>Excluded</v>
      </c>
      <c r="B3124" s="70">
        <f t="shared" si="2"/>
        <v>0</v>
      </c>
      <c r="C3124" s="70">
        <v>0.0</v>
      </c>
      <c r="D3124" s="70">
        <v>0.0</v>
      </c>
      <c r="E3124" s="70">
        <v>0.0</v>
      </c>
      <c r="F3124" s="70">
        <v>0.0</v>
      </c>
      <c r="G3124" s="70">
        <v>0.0</v>
      </c>
      <c r="H3124" s="70" t="s">
        <v>28999</v>
      </c>
      <c r="I3124" s="70">
        <v>3116.0</v>
      </c>
      <c r="J3124" s="70" t="s">
        <v>28997</v>
      </c>
      <c r="K3124" s="70" t="s">
        <v>28998</v>
      </c>
      <c r="W3124" s="70" t="s">
        <v>31479</v>
      </c>
      <c r="AA3124" s="70" t="s">
        <v>29001</v>
      </c>
      <c r="AI3124" s="70" t="s">
        <v>29002</v>
      </c>
      <c r="AJ3124" s="70" t="s">
        <v>29003</v>
      </c>
      <c r="AK3124" s="70">
        <v>2019.0</v>
      </c>
      <c r="AL3124" s="70" t="s">
        <v>29004</v>
      </c>
      <c r="AN3124" s="70">
        <v>765.0</v>
      </c>
      <c r="AO3124" s="70">
        <v>784.0</v>
      </c>
      <c r="AP3124" s="70">
        <v>19.0</v>
      </c>
      <c r="AQ3124" s="70">
        <v>49.0</v>
      </c>
      <c r="AR3124" s="75" t="s">
        <v>29005</v>
      </c>
      <c r="AS3124" s="70" t="s">
        <v>22525</v>
      </c>
      <c r="AU3124" s="70" t="s">
        <v>237</v>
      </c>
      <c r="AV3124" s="70" t="s">
        <v>29006</v>
      </c>
      <c r="AW3124" s="70" t="s">
        <v>29007</v>
      </c>
      <c r="AZ3124" s="70">
        <v>143.0</v>
      </c>
    </row>
    <row r="3125" ht="22.5" customHeight="1">
      <c r="A3125" s="70" t="str">
        <f t="shared" si="1"/>
        <v>Excluded</v>
      </c>
      <c r="B3125" s="70">
        <f t="shared" si="2"/>
        <v>0</v>
      </c>
      <c r="C3125" s="70">
        <v>0.0</v>
      </c>
      <c r="D3125" s="70">
        <v>0.0</v>
      </c>
      <c r="E3125" s="70">
        <v>0.0</v>
      </c>
      <c r="F3125" s="70">
        <v>0.0</v>
      </c>
      <c r="G3125" s="70">
        <v>0.0</v>
      </c>
      <c r="H3125" s="70" t="s">
        <v>22853</v>
      </c>
      <c r="I3125" s="70">
        <v>2520.0</v>
      </c>
      <c r="J3125" s="70" t="s">
        <v>22851</v>
      </c>
      <c r="K3125" s="70" t="s">
        <v>31480</v>
      </c>
      <c r="W3125" s="70" t="s">
        <v>31481</v>
      </c>
      <c r="AA3125" s="70" t="s">
        <v>22855</v>
      </c>
      <c r="AI3125" s="70" t="s">
        <v>22856</v>
      </c>
      <c r="AJ3125" s="70" t="s">
        <v>22857</v>
      </c>
      <c r="AK3125" s="70">
        <v>2024.0</v>
      </c>
      <c r="AL3125" s="70" t="s">
        <v>22858</v>
      </c>
      <c r="AN3125" s="70">
        <v>2551.0</v>
      </c>
      <c r="AO3125" s="70">
        <v>2572.0</v>
      </c>
      <c r="AP3125" s="70">
        <v>21.0</v>
      </c>
      <c r="AQ3125" s="70">
        <v>0.0</v>
      </c>
      <c r="AR3125" s="75" t="s">
        <v>22859</v>
      </c>
      <c r="AS3125" s="70" t="s">
        <v>22525</v>
      </c>
      <c r="AU3125" s="70" t="s">
        <v>237</v>
      </c>
      <c r="AV3125" s="70" t="s">
        <v>22860</v>
      </c>
      <c r="AX3125" s="70">
        <v>0.0</v>
      </c>
      <c r="AY3125" s="70" t="s">
        <v>24</v>
      </c>
      <c r="AZ3125" s="70">
        <v>2339.0</v>
      </c>
    </row>
    <row r="3126" ht="22.5" customHeight="1">
      <c r="A3126" s="70" t="str">
        <f t="shared" si="1"/>
        <v>Excluded</v>
      </c>
      <c r="B3126" s="70">
        <f t="shared" si="2"/>
        <v>0</v>
      </c>
      <c r="C3126" s="70">
        <v>0.0</v>
      </c>
      <c r="D3126" s="70">
        <v>0.0</v>
      </c>
      <c r="E3126" s="70">
        <v>0.0</v>
      </c>
      <c r="F3126" s="70">
        <v>0.0</v>
      </c>
      <c r="G3126" s="70">
        <v>0.0</v>
      </c>
      <c r="H3126" s="70" t="s">
        <v>23633</v>
      </c>
      <c r="I3126" s="70">
        <v>2594.0</v>
      </c>
      <c r="J3126" s="70" t="s">
        <v>23631</v>
      </c>
      <c r="K3126" s="70" t="s">
        <v>23632</v>
      </c>
      <c r="W3126" s="70" t="s">
        <v>31482</v>
      </c>
      <c r="AA3126" s="70" t="s">
        <v>23635</v>
      </c>
      <c r="AI3126" s="70" t="s">
        <v>23636</v>
      </c>
      <c r="AJ3126" s="70" t="s">
        <v>23637</v>
      </c>
      <c r="AK3126" s="70">
        <v>2024.0</v>
      </c>
      <c r="AL3126" s="70" t="s">
        <v>23638</v>
      </c>
      <c r="AN3126" s="70">
        <v>881.0</v>
      </c>
      <c r="AO3126" s="70">
        <v>902.0</v>
      </c>
      <c r="AP3126" s="70">
        <v>21.0</v>
      </c>
      <c r="AQ3126" s="70">
        <v>0.0</v>
      </c>
      <c r="AR3126" s="75" t="s">
        <v>23639</v>
      </c>
      <c r="AS3126" s="70" t="s">
        <v>22525</v>
      </c>
      <c r="AT3126" s="70" t="s">
        <v>22622</v>
      </c>
      <c r="AU3126" s="70" t="s">
        <v>237</v>
      </c>
      <c r="AV3126" s="70" t="s">
        <v>23640</v>
      </c>
      <c r="AW3126" s="70" t="s">
        <v>23641</v>
      </c>
      <c r="AX3126" s="70">
        <v>0.0</v>
      </c>
      <c r="AY3126" s="70" t="s">
        <v>24</v>
      </c>
      <c r="AZ3126" s="70">
        <v>2899.0</v>
      </c>
    </row>
    <row r="3127" ht="22.5" customHeight="1">
      <c r="A3127" s="70" t="str">
        <f t="shared" si="1"/>
        <v>Excluded</v>
      </c>
      <c r="B3127" s="70">
        <f t="shared" si="2"/>
        <v>0</v>
      </c>
      <c r="C3127" s="70">
        <v>0.0</v>
      </c>
      <c r="D3127" s="70">
        <v>0.0</v>
      </c>
      <c r="E3127" s="70">
        <v>0.0</v>
      </c>
      <c r="F3127" s="70">
        <v>0.0</v>
      </c>
      <c r="G3127" s="70">
        <v>0.0</v>
      </c>
      <c r="H3127" s="70" t="s">
        <v>26488</v>
      </c>
      <c r="I3127" s="70">
        <v>2871.0</v>
      </c>
      <c r="J3127" s="70" t="s">
        <v>26486</v>
      </c>
      <c r="K3127" s="70" t="s">
        <v>31483</v>
      </c>
      <c r="W3127" s="70" t="s">
        <v>31484</v>
      </c>
      <c r="AA3127" s="70" t="s">
        <v>26490</v>
      </c>
      <c r="AI3127" s="70" t="s">
        <v>26491</v>
      </c>
      <c r="AJ3127" s="70" t="s">
        <v>26492</v>
      </c>
      <c r="AK3127" s="70">
        <v>2022.0</v>
      </c>
      <c r="AL3127" s="70" t="s">
        <v>26493</v>
      </c>
      <c r="AN3127" s="70">
        <v>4158.0</v>
      </c>
      <c r="AO3127" s="70">
        <v>4174.0</v>
      </c>
      <c r="AP3127" s="70">
        <v>16.0</v>
      </c>
      <c r="AQ3127" s="70">
        <v>0.0</v>
      </c>
      <c r="AR3127" s="75" t="s">
        <v>26494</v>
      </c>
      <c r="AS3127" s="70" t="s">
        <v>22525</v>
      </c>
      <c r="AU3127" s="70" t="s">
        <v>237</v>
      </c>
      <c r="AV3127" s="70" t="s">
        <v>26495</v>
      </c>
      <c r="AW3127" s="70" t="s">
        <v>26496</v>
      </c>
      <c r="AX3127" s="70">
        <v>0.0</v>
      </c>
      <c r="AY3127" s="70" t="s">
        <v>24</v>
      </c>
      <c r="AZ3127" s="70">
        <v>2691.0</v>
      </c>
    </row>
    <row r="3128" ht="22.5" customHeight="1">
      <c r="A3128" s="70" t="str">
        <f t="shared" si="1"/>
        <v>Excluded</v>
      </c>
      <c r="B3128" s="70">
        <f t="shared" si="2"/>
        <v>0</v>
      </c>
      <c r="C3128" s="70">
        <v>0.0</v>
      </c>
      <c r="D3128" s="70">
        <v>0.0</v>
      </c>
      <c r="E3128" s="70">
        <v>0.0</v>
      </c>
      <c r="F3128" s="70">
        <v>0.0</v>
      </c>
      <c r="G3128" s="70">
        <v>0.0</v>
      </c>
      <c r="H3128" s="70" t="s">
        <v>28948</v>
      </c>
      <c r="I3128" s="70">
        <v>3111.0</v>
      </c>
      <c r="J3128" s="70" t="s">
        <v>28946</v>
      </c>
      <c r="K3128" s="70" t="s">
        <v>31485</v>
      </c>
      <c r="W3128" s="70" t="s">
        <v>31486</v>
      </c>
      <c r="AA3128" s="70" t="s">
        <v>28950</v>
      </c>
      <c r="AI3128" s="70" t="s">
        <v>28951</v>
      </c>
      <c r="AJ3128" s="70">
        <v>2.66435597E10</v>
      </c>
      <c r="AK3128" s="70">
        <v>2020.0</v>
      </c>
      <c r="AL3128" s="70" t="s">
        <v>28952</v>
      </c>
      <c r="AN3128" s="70">
        <v>209.0</v>
      </c>
      <c r="AO3128" s="70">
        <v>237.0</v>
      </c>
      <c r="AP3128" s="70">
        <v>28.0</v>
      </c>
      <c r="AQ3128" s="70">
        <v>0.0</v>
      </c>
      <c r="AR3128" s="75" t="s">
        <v>28953</v>
      </c>
      <c r="AS3128" s="70" t="s">
        <v>22525</v>
      </c>
      <c r="AU3128" s="70" t="s">
        <v>237</v>
      </c>
      <c r="AV3128" s="70" t="s">
        <v>28954</v>
      </c>
      <c r="AW3128" s="70" t="s">
        <v>28955</v>
      </c>
      <c r="AZ3128" s="70">
        <v>1386.0</v>
      </c>
    </row>
    <row r="3129" ht="22.5" customHeight="1">
      <c r="A3129" s="70" t="str">
        <f t="shared" si="1"/>
        <v>Excluded</v>
      </c>
      <c r="B3129" s="70">
        <f t="shared" si="2"/>
        <v>0</v>
      </c>
      <c r="C3129" s="70">
        <v>0.0</v>
      </c>
      <c r="D3129" s="70">
        <v>0.0</v>
      </c>
      <c r="E3129" s="70">
        <v>0.0</v>
      </c>
      <c r="F3129" s="70">
        <v>0.0</v>
      </c>
      <c r="G3129" s="70">
        <v>0.0</v>
      </c>
      <c r="H3129" s="70" t="s">
        <v>27472</v>
      </c>
      <c r="I3129" s="70">
        <v>2967.0</v>
      </c>
      <c r="J3129" s="70" t="s">
        <v>27470</v>
      </c>
      <c r="K3129" s="70" t="s">
        <v>27471</v>
      </c>
      <c r="W3129" s="70" t="s">
        <v>31487</v>
      </c>
      <c r="AA3129" s="70" t="s">
        <v>27474</v>
      </c>
      <c r="AI3129" s="70" t="s">
        <v>27475</v>
      </c>
      <c r="AJ3129" s="70" t="s">
        <v>27476</v>
      </c>
      <c r="AK3129" s="70">
        <v>2022.0</v>
      </c>
      <c r="AL3129" s="70" t="s">
        <v>27477</v>
      </c>
      <c r="AQ3129" s="70">
        <v>2.0</v>
      </c>
      <c r="AR3129" s="75" t="s">
        <v>27478</v>
      </c>
      <c r="AS3129" s="70" t="s">
        <v>22525</v>
      </c>
      <c r="AU3129" s="70" t="s">
        <v>237</v>
      </c>
      <c r="AV3129" s="70" t="s">
        <v>27479</v>
      </c>
      <c r="AW3129" s="70" t="s">
        <v>27480</v>
      </c>
      <c r="AZ3129" s="70">
        <v>1047.0</v>
      </c>
    </row>
    <row r="3130" ht="22.5" customHeight="1">
      <c r="A3130" s="70" t="str">
        <f t="shared" si="1"/>
        <v>Excluded</v>
      </c>
      <c r="B3130" s="70">
        <f t="shared" si="2"/>
        <v>0</v>
      </c>
      <c r="C3130" s="70">
        <v>0.0</v>
      </c>
      <c r="D3130" s="70">
        <v>0.0</v>
      </c>
      <c r="E3130" s="70">
        <v>0.0</v>
      </c>
      <c r="F3130" s="70">
        <v>0.0</v>
      </c>
      <c r="G3130" s="70">
        <v>0.0</v>
      </c>
      <c r="H3130" s="70" t="s">
        <v>2183</v>
      </c>
      <c r="I3130" s="70">
        <v>166.0</v>
      </c>
      <c r="J3130" s="70" t="s">
        <v>2179</v>
      </c>
      <c r="K3130" s="70" t="s">
        <v>2180</v>
      </c>
      <c r="L3130" s="70" t="s">
        <v>2181</v>
      </c>
      <c r="M3130" s="70" t="s">
        <v>2182</v>
      </c>
      <c r="O3130" s="75" t="s">
        <v>2184</v>
      </c>
      <c r="P3130" s="70">
        <v>2017.0</v>
      </c>
      <c r="Q3130" s="70" t="s">
        <v>2186</v>
      </c>
      <c r="U3130" s="70" t="s">
        <v>2187</v>
      </c>
      <c r="V3130" s="70" t="s">
        <v>2188</v>
      </c>
      <c r="W3130" s="70" t="s">
        <v>2190</v>
      </c>
      <c r="AW3130" s="70" t="s">
        <v>2191</v>
      </c>
      <c r="AX3130" s="70">
        <v>0.0</v>
      </c>
      <c r="AY3130" s="70" t="s">
        <v>24</v>
      </c>
      <c r="AZ3130" s="70">
        <v>3036.0</v>
      </c>
    </row>
    <row r="3131" ht="22.5" customHeight="1">
      <c r="A3131" s="70" t="str">
        <f t="shared" si="1"/>
        <v>Excluded</v>
      </c>
      <c r="B3131" s="70">
        <f t="shared" si="2"/>
        <v>0</v>
      </c>
      <c r="C3131" s="70">
        <v>0.0</v>
      </c>
      <c r="D3131" s="70">
        <v>0.0</v>
      </c>
      <c r="E3131" s="70">
        <v>0.0</v>
      </c>
      <c r="F3131" s="70">
        <v>0.0</v>
      </c>
      <c r="G3131" s="70">
        <v>0.0</v>
      </c>
      <c r="H3131" s="70" t="s">
        <v>28505</v>
      </c>
      <c r="I3131" s="70">
        <v>3068.0</v>
      </c>
      <c r="J3131" s="70" t="s">
        <v>28503</v>
      </c>
      <c r="K3131" s="70" t="s">
        <v>28504</v>
      </c>
      <c r="W3131" s="70" t="s">
        <v>31488</v>
      </c>
      <c r="AA3131" s="70" t="s">
        <v>28507</v>
      </c>
      <c r="AI3131" s="70" t="s">
        <v>28508</v>
      </c>
      <c r="AJ3131" s="70" t="s">
        <v>28509</v>
      </c>
      <c r="AK3131" s="70">
        <v>2021.0</v>
      </c>
      <c r="AL3131" s="70" t="s">
        <v>28510</v>
      </c>
      <c r="AM3131" s="70">
        <v>4.0</v>
      </c>
      <c r="AQ3131" s="70">
        <v>0.0</v>
      </c>
      <c r="AR3131" s="75" t="s">
        <v>28511</v>
      </c>
      <c r="AS3131" s="70" t="s">
        <v>22525</v>
      </c>
      <c r="AU3131" s="70" t="s">
        <v>237</v>
      </c>
      <c r="AV3131" s="70" t="s">
        <v>28512</v>
      </c>
      <c r="AW3131" s="70" t="s">
        <v>28513</v>
      </c>
      <c r="AX3131" s="70">
        <v>0.0</v>
      </c>
      <c r="AY3131" s="70" t="s">
        <v>24</v>
      </c>
      <c r="AZ3131" s="70">
        <v>2729.0</v>
      </c>
    </row>
    <row r="3132" ht="22.5" customHeight="1">
      <c r="A3132" s="70" t="str">
        <f t="shared" si="1"/>
        <v>Excluded</v>
      </c>
      <c r="B3132" s="70">
        <f t="shared" si="2"/>
        <v>0</v>
      </c>
      <c r="C3132" s="70">
        <v>0.0</v>
      </c>
      <c r="D3132" s="70">
        <v>0.0</v>
      </c>
      <c r="E3132" s="70">
        <v>0.0</v>
      </c>
      <c r="F3132" s="70">
        <v>0.0</v>
      </c>
      <c r="G3132" s="70">
        <v>0.0</v>
      </c>
      <c r="H3132" s="70" t="s">
        <v>29190</v>
      </c>
      <c r="I3132" s="70">
        <v>3135.0</v>
      </c>
      <c r="J3132" s="70" t="s">
        <v>29188</v>
      </c>
      <c r="K3132" s="70" t="s">
        <v>29189</v>
      </c>
      <c r="W3132" s="70" t="s">
        <v>29191</v>
      </c>
      <c r="AI3132" s="70" t="s">
        <v>29192</v>
      </c>
      <c r="AJ3132" s="70" t="s">
        <v>29193</v>
      </c>
      <c r="AK3132" s="70">
        <v>2019.0</v>
      </c>
      <c r="AL3132" s="70" t="s">
        <v>29194</v>
      </c>
      <c r="AN3132" s="70">
        <v>175.0</v>
      </c>
      <c r="AO3132" s="70">
        <v>187.0</v>
      </c>
      <c r="AP3132" s="70">
        <v>12.0</v>
      </c>
      <c r="AQ3132" s="70">
        <v>0.0</v>
      </c>
      <c r="AR3132" s="75" t="s">
        <v>29195</v>
      </c>
      <c r="AS3132" s="70" t="s">
        <v>22525</v>
      </c>
      <c r="AU3132" s="70" t="s">
        <v>237</v>
      </c>
      <c r="AV3132" s="70" t="s">
        <v>29196</v>
      </c>
      <c r="AZ3132" s="70">
        <v>1305.0</v>
      </c>
    </row>
    <row r="3133" ht="22.5" customHeight="1">
      <c r="A3133" s="70" t="str">
        <f t="shared" si="1"/>
        <v>Excluded</v>
      </c>
      <c r="B3133" s="70">
        <f t="shared" si="2"/>
        <v>0</v>
      </c>
      <c r="C3133" s="70">
        <v>0.0</v>
      </c>
      <c r="D3133" s="70">
        <v>0.0</v>
      </c>
      <c r="E3133" s="70">
        <v>0.0</v>
      </c>
      <c r="F3133" s="70">
        <v>0.0</v>
      </c>
      <c r="G3133" s="70">
        <v>0.0</v>
      </c>
      <c r="H3133" s="70" t="s">
        <v>24758</v>
      </c>
      <c r="I3133" s="70">
        <v>2703.0</v>
      </c>
      <c r="J3133" s="70" t="s">
        <v>31489</v>
      </c>
      <c r="K3133" s="70" t="s">
        <v>24757</v>
      </c>
      <c r="W3133" s="70" t="s">
        <v>31490</v>
      </c>
      <c r="AA3133" s="70" t="s">
        <v>24760</v>
      </c>
      <c r="AI3133" s="70" t="s">
        <v>31491</v>
      </c>
      <c r="AJ3133" s="70" t="s">
        <v>24762</v>
      </c>
      <c r="AK3133" s="70">
        <v>2024.0</v>
      </c>
      <c r="AL3133" s="70" t="s">
        <v>24763</v>
      </c>
      <c r="AN3133" s="70">
        <v>23.0</v>
      </c>
      <c r="AO3133" s="70">
        <v>32.0</v>
      </c>
      <c r="AP3133" s="70">
        <v>9.0</v>
      </c>
      <c r="AQ3133" s="70">
        <v>0.0</v>
      </c>
      <c r="AR3133" s="75" t="s">
        <v>24764</v>
      </c>
      <c r="AS3133" s="70" t="s">
        <v>22525</v>
      </c>
      <c r="AT3133" s="70" t="s">
        <v>22622</v>
      </c>
      <c r="AU3133" s="70" t="s">
        <v>237</v>
      </c>
      <c r="AV3133" s="70" t="s">
        <v>24765</v>
      </c>
      <c r="AX3133" s="70">
        <v>0.0</v>
      </c>
      <c r="AY3133" s="70" t="s">
        <v>24</v>
      </c>
      <c r="AZ3133" s="70">
        <v>2373.0</v>
      </c>
    </row>
    <row r="3134" ht="22.5" customHeight="1">
      <c r="A3134" s="70" t="str">
        <f t="shared" si="1"/>
        <v>Excluded</v>
      </c>
      <c r="B3134" s="70">
        <f t="shared" si="2"/>
        <v>0</v>
      </c>
      <c r="C3134" s="70">
        <v>0.0</v>
      </c>
      <c r="D3134" s="70">
        <v>0.0</v>
      </c>
      <c r="E3134" s="70">
        <v>0.0</v>
      </c>
      <c r="F3134" s="70">
        <v>0.0</v>
      </c>
      <c r="G3134" s="70">
        <v>0.0</v>
      </c>
      <c r="H3134" s="70" t="s">
        <v>29090</v>
      </c>
      <c r="I3134" s="70">
        <v>3125.0</v>
      </c>
      <c r="J3134" s="70" t="s">
        <v>29088</v>
      </c>
      <c r="K3134" s="70" t="s">
        <v>29089</v>
      </c>
      <c r="W3134" s="70" t="s">
        <v>31492</v>
      </c>
      <c r="AA3134" s="70" t="s">
        <v>29092</v>
      </c>
      <c r="AI3134" s="70" t="s">
        <v>29093</v>
      </c>
      <c r="AJ3134" s="70" t="s">
        <v>29094</v>
      </c>
      <c r="AK3134" s="70">
        <v>2019.0</v>
      </c>
      <c r="AL3134" s="70" t="s">
        <v>29095</v>
      </c>
      <c r="AP3134" s="70">
        <v>6.0</v>
      </c>
      <c r="AQ3134" s="70">
        <v>0.0</v>
      </c>
      <c r="AR3134" s="75" t="s">
        <v>29096</v>
      </c>
      <c r="AS3134" s="70" t="s">
        <v>22525</v>
      </c>
      <c r="AT3134" s="70" t="s">
        <v>22816</v>
      </c>
      <c r="AU3134" s="70" t="s">
        <v>237</v>
      </c>
      <c r="AV3134" s="70" t="s">
        <v>29097</v>
      </c>
      <c r="AX3134" s="70">
        <v>0.0</v>
      </c>
      <c r="AY3134" s="70" t="s">
        <v>24</v>
      </c>
      <c r="AZ3134" s="70">
        <v>2412.0</v>
      </c>
    </row>
    <row r="3135" ht="22.5" customHeight="1">
      <c r="A3135" s="70" t="str">
        <f t="shared" si="1"/>
        <v>Excluded</v>
      </c>
      <c r="B3135" s="70">
        <f t="shared" si="2"/>
        <v>0</v>
      </c>
      <c r="C3135" s="70">
        <v>0.0</v>
      </c>
      <c r="D3135" s="70">
        <v>0.0</v>
      </c>
      <c r="E3135" s="70">
        <v>0.0</v>
      </c>
      <c r="F3135" s="70">
        <v>0.0</v>
      </c>
      <c r="G3135" s="70">
        <v>0.0</v>
      </c>
      <c r="H3135" s="70" t="s">
        <v>28900</v>
      </c>
      <c r="I3135" s="70">
        <v>3106.0</v>
      </c>
      <c r="J3135" s="70" t="s">
        <v>28898</v>
      </c>
      <c r="K3135" s="70" t="s">
        <v>28899</v>
      </c>
      <c r="W3135" s="70" t="s">
        <v>31493</v>
      </c>
      <c r="AA3135" s="70" t="s">
        <v>28903</v>
      </c>
      <c r="AI3135" s="70" t="s">
        <v>28904</v>
      </c>
      <c r="AJ3135" s="70" t="s">
        <v>28905</v>
      </c>
      <c r="AK3135" s="70">
        <v>2018.0</v>
      </c>
      <c r="AL3135" s="70" t="s">
        <v>28906</v>
      </c>
      <c r="AN3135" s="70">
        <v>73.0</v>
      </c>
      <c r="AO3135" s="70">
        <v>84.0</v>
      </c>
      <c r="AP3135" s="70">
        <v>11.0</v>
      </c>
      <c r="AQ3135" s="70">
        <v>20.0</v>
      </c>
      <c r="AR3135" s="75" t="s">
        <v>28907</v>
      </c>
      <c r="AS3135" s="70" t="s">
        <v>22525</v>
      </c>
      <c r="AT3135" s="70" t="s">
        <v>23606</v>
      </c>
      <c r="AU3135" s="70" t="s">
        <v>237</v>
      </c>
      <c r="AV3135" s="70" t="s">
        <v>28908</v>
      </c>
      <c r="AW3135" s="70" t="s">
        <v>28909</v>
      </c>
      <c r="AX3135" s="70">
        <v>0.0</v>
      </c>
      <c r="AY3135" s="70" t="s">
        <v>24</v>
      </c>
      <c r="AZ3135" s="70">
        <v>2246.0</v>
      </c>
    </row>
    <row r="3136" ht="22.5" customHeight="1">
      <c r="A3136" s="70" t="str">
        <f t="shared" si="1"/>
        <v>Excluded</v>
      </c>
      <c r="B3136" s="70">
        <f t="shared" si="2"/>
        <v>0</v>
      </c>
      <c r="C3136" s="70">
        <v>0.0</v>
      </c>
      <c r="D3136" s="70">
        <v>0.0</v>
      </c>
      <c r="E3136" s="70">
        <v>0.0</v>
      </c>
      <c r="F3136" s="70">
        <v>0.0</v>
      </c>
      <c r="G3136" s="70">
        <v>0.0</v>
      </c>
      <c r="H3136" s="70" t="s">
        <v>27335</v>
      </c>
      <c r="I3136" s="70">
        <v>2953.0</v>
      </c>
      <c r="J3136" s="70" t="s">
        <v>27333</v>
      </c>
      <c r="K3136" s="70" t="s">
        <v>27334</v>
      </c>
      <c r="W3136" s="70" t="s">
        <v>31494</v>
      </c>
      <c r="AA3136" s="70" t="s">
        <v>27337</v>
      </c>
      <c r="AI3136" s="70" t="s">
        <v>31495</v>
      </c>
      <c r="AJ3136" s="70" t="s">
        <v>27339</v>
      </c>
      <c r="AK3136" s="70">
        <v>2022.0</v>
      </c>
      <c r="AL3136" s="70" t="s">
        <v>26748</v>
      </c>
      <c r="AN3136" s="70">
        <v>150.0</v>
      </c>
      <c r="AO3136" s="70">
        <v>161.0</v>
      </c>
      <c r="AP3136" s="70">
        <v>11.0</v>
      </c>
      <c r="AQ3136" s="70">
        <v>0.0</v>
      </c>
      <c r="AR3136" s="75" t="s">
        <v>27340</v>
      </c>
      <c r="AS3136" s="70" t="s">
        <v>22525</v>
      </c>
      <c r="AT3136" s="70" t="s">
        <v>22526</v>
      </c>
      <c r="AU3136" s="70" t="s">
        <v>237</v>
      </c>
      <c r="AV3136" s="70" t="s">
        <v>27341</v>
      </c>
      <c r="AW3136" s="70" t="s">
        <v>27342</v>
      </c>
      <c r="AZ3136" s="70">
        <v>587.0</v>
      </c>
    </row>
    <row r="3137" ht="22.5" customHeight="1">
      <c r="A3137" s="70" t="str">
        <f t="shared" si="1"/>
        <v>Excluded</v>
      </c>
      <c r="B3137" s="70">
        <f t="shared" si="2"/>
        <v>0</v>
      </c>
      <c r="C3137" s="70">
        <v>0.0</v>
      </c>
      <c r="D3137" s="70">
        <v>0.0</v>
      </c>
      <c r="E3137" s="70">
        <v>0.0</v>
      </c>
      <c r="F3137" s="70">
        <v>0.0</v>
      </c>
      <c r="G3137" s="70">
        <v>0.0</v>
      </c>
      <c r="H3137" s="70" t="s">
        <v>26742</v>
      </c>
      <c r="I3137" s="70">
        <v>2896.0</v>
      </c>
      <c r="J3137" s="70" t="s">
        <v>26740</v>
      </c>
      <c r="K3137" s="70" t="s">
        <v>26741</v>
      </c>
      <c r="W3137" s="70" t="s">
        <v>31496</v>
      </c>
      <c r="AA3137" s="70" t="s">
        <v>26745</v>
      </c>
      <c r="AI3137" s="70" t="s">
        <v>26746</v>
      </c>
      <c r="AJ3137" s="70" t="s">
        <v>26747</v>
      </c>
      <c r="AK3137" s="70">
        <v>2023.0</v>
      </c>
      <c r="AL3137" s="70" t="s">
        <v>26748</v>
      </c>
      <c r="AN3137" s="70">
        <v>444.0</v>
      </c>
      <c r="AO3137" s="70">
        <v>452.0</v>
      </c>
      <c r="AP3137" s="70">
        <v>8.0</v>
      </c>
      <c r="AQ3137" s="70">
        <v>3.0</v>
      </c>
      <c r="AR3137" s="75" t="s">
        <v>26749</v>
      </c>
      <c r="AS3137" s="70" t="s">
        <v>22525</v>
      </c>
      <c r="AT3137" s="70" t="s">
        <v>22526</v>
      </c>
      <c r="AU3137" s="70" t="s">
        <v>237</v>
      </c>
      <c r="AV3137" s="70" t="s">
        <v>26750</v>
      </c>
      <c r="AW3137" s="70" t="s">
        <v>26751</v>
      </c>
      <c r="AX3137" s="70">
        <v>0.0</v>
      </c>
      <c r="AY3137" s="70" t="s">
        <v>24</v>
      </c>
      <c r="AZ3137" s="70">
        <v>2506.0</v>
      </c>
    </row>
    <row r="3138" ht="22.5" customHeight="1">
      <c r="A3138" s="70" t="str">
        <f t="shared" si="1"/>
        <v>Excluded</v>
      </c>
      <c r="B3138" s="70">
        <f t="shared" si="2"/>
        <v>0</v>
      </c>
      <c r="C3138" s="70">
        <v>0.0</v>
      </c>
      <c r="D3138" s="70">
        <v>0.0</v>
      </c>
      <c r="E3138" s="70">
        <v>0.0</v>
      </c>
      <c r="F3138" s="70">
        <v>0.0</v>
      </c>
      <c r="G3138" s="70">
        <v>0.0</v>
      </c>
      <c r="H3138" s="70" t="s">
        <v>25981</v>
      </c>
      <c r="I3138" s="70">
        <v>2821.0</v>
      </c>
      <c r="J3138" s="70" t="s">
        <v>25979</v>
      </c>
      <c r="K3138" s="70" t="s">
        <v>25980</v>
      </c>
      <c r="W3138" s="70" t="s">
        <v>31497</v>
      </c>
      <c r="AA3138" s="70" t="s">
        <v>25983</v>
      </c>
      <c r="AI3138" s="70" t="s">
        <v>25984</v>
      </c>
      <c r="AJ3138" s="70" t="s">
        <v>25985</v>
      </c>
      <c r="AK3138" s="70">
        <v>2023.0</v>
      </c>
      <c r="AL3138" s="70" t="s">
        <v>25986</v>
      </c>
      <c r="AN3138" s="70">
        <v>121.0</v>
      </c>
      <c r="AO3138" s="70">
        <v>150.0</v>
      </c>
      <c r="AP3138" s="70">
        <v>29.0</v>
      </c>
      <c r="AQ3138" s="70">
        <v>3.0</v>
      </c>
      <c r="AR3138" s="75" t="s">
        <v>25987</v>
      </c>
      <c r="AS3138" s="70" t="s">
        <v>22525</v>
      </c>
      <c r="AT3138" s="70" t="s">
        <v>22622</v>
      </c>
      <c r="AU3138" s="70" t="s">
        <v>237</v>
      </c>
      <c r="AV3138" s="70" t="s">
        <v>25988</v>
      </c>
      <c r="AW3138" s="70" t="s">
        <v>25989</v>
      </c>
      <c r="AX3138" s="70">
        <v>0.0</v>
      </c>
      <c r="AY3138" s="70" t="s">
        <v>24</v>
      </c>
      <c r="AZ3138" s="70">
        <v>2137.0</v>
      </c>
    </row>
    <row r="3139" ht="22.5" customHeight="1">
      <c r="A3139" s="70" t="str">
        <f t="shared" si="1"/>
        <v>Excluded</v>
      </c>
      <c r="B3139" s="70">
        <f t="shared" si="2"/>
        <v>0</v>
      </c>
      <c r="C3139" s="70">
        <v>0.0</v>
      </c>
      <c r="D3139" s="70">
        <v>0.0</v>
      </c>
      <c r="E3139" s="70">
        <v>0.0</v>
      </c>
      <c r="F3139" s="70">
        <v>0.0</v>
      </c>
      <c r="G3139" s="70">
        <v>0.0</v>
      </c>
      <c r="H3139" s="70" t="s">
        <v>23320</v>
      </c>
      <c r="I3139" s="70">
        <v>2564.0</v>
      </c>
      <c r="J3139" s="70" t="s">
        <v>23318</v>
      </c>
      <c r="K3139" s="70" t="s">
        <v>23319</v>
      </c>
      <c r="W3139" s="70" t="s">
        <v>31498</v>
      </c>
      <c r="AA3139" s="70" t="s">
        <v>23322</v>
      </c>
      <c r="AI3139" s="70" t="s">
        <v>23323</v>
      </c>
      <c r="AJ3139" s="70" t="s">
        <v>23324</v>
      </c>
      <c r="AK3139" s="70">
        <v>2024.0</v>
      </c>
      <c r="AL3139" s="70" t="s">
        <v>23325</v>
      </c>
      <c r="AN3139" s="70">
        <v>1.0</v>
      </c>
      <c r="AO3139" s="70">
        <v>13.0</v>
      </c>
      <c r="AP3139" s="70">
        <v>12.0</v>
      </c>
      <c r="AQ3139" s="70">
        <v>0.0</v>
      </c>
      <c r="AR3139" s="75" t="s">
        <v>23326</v>
      </c>
      <c r="AS3139" s="70" t="s">
        <v>22525</v>
      </c>
      <c r="AU3139" s="70" t="s">
        <v>237</v>
      </c>
      <c r="AV3139" s="70" t="s">
        <v>23327</v>
      </c>
      <c r="AX3139" s="70">
        <v>0.0</v>
      </c>
      <c r="AY3139" s="70" t="s">
        <v>24</v>
      </c>
      <c r="AZ3139" s="70">
        <v>3074.0</v>
      </c>
    </row>
    <row r="3140" ht="22.5" customHeight="1">
      <c r="A3140" s="70" t="str">
        <f t="shared" si="1"/>
        <v>Excluded</v>
      </c>
      <c r="B3140" s="70">
        <f t="shared" si="2"/>
        <v>0</v>
      </c>
      <c r="C3140" s="70">
        <v>0.0</v>
      </c>
      <c r="D3140" s="70">
        <v>0.0</v>
      </c>
      <c r="E3140" s="70">
        <v>0.0</v>
      </c>
      <c r="F3140" s="70">
        <v>0.0</v>
      </c>
      <c r="G3140" s="70">
        <v>0.0</v>
      </c>
      <c r="H3140" s="70" t="s">
        <v>26786</v>
      </c>
      <c r="I3140" s="70">
        <v>2900.0</v>
      </c>
      <c r="J3140" s="70" t="s">
        <v>26784</v>
      </c>
      <c r="K3140" s="70" t="s">
        <v>26785</v>
      </c>
      <c r="W3140" s="70" t="s">
        <v>31499</v>
      </c>
      <c r="AA3140" s="70" t="s">
        <v>26788</v>
      </c>
      <c r="AI3140" s="70" t="s">
        <v>31500</v>
      </c>
      <c r="AJ3140" s="70" t="s">
        <v>26790</v>
      </c>
      <c r="AK3140" s="70">
        <v>2023.0</v>
      </c>
      <c r="AL3140" s="70" t="s">
        <v>26791</v>
      </c>
      <c r="AQ3140" s="70">
        <v>0.0</v>
      </c>
      <c r="AR3140" s="75" t="s">
        <v>26792</v>
      </c>
      <c r="AS3140" s="70" t="s">
        <v>22525</v>
      </c>
      <c r="AU3140" s="70" t="s">
        <v>237</v>
      </c>
      <c r="AV3140" s="70" t="s">
        <v>26793</v>
      </c>
      <c r="AW3140" s="70" t="s">
        <v>26794</v>
      </c>
      <c r="AX3140" s="70">
        <v>0.0</v>
      </c>
      <c r="AY3140" s="70" t="s">
        <v>24</v>
      </c>
      <c r="AZ3140" s="70">
        <v>2830.0</v>
      </c>
    </row>
    <row r="3141" ht="22.5" customHeight="1">
      <c r="A3141" s="70" t="str">
        <f t="shared" si="1"/>
        <v>Excluded</v>
      </c>
      <c r="B3141" s="70">
        <f t="shared" si="2"/>
        <v>0</v>
      </c>
      <c r="C3141" s="70">
        <v>0.0</v>
      </c>
      <c r="D3141" s="70">
        <v>0.0</v>
      </c>
      <c r="E3141" s="70">
        <v>0.0</v>
      </c>
      <c r="F3141" s="70">
        <v>0.0</v>
      </c>
      <c r="G3141" s="70">
        <v>0.0</v>
      </c>
      <c r="H3141" s="70" t="s">
        <v>24376</v>
      </c>
      <c r="I3141" s="70">
        <v>2666.0</v>
      </c>
      <c r="J3141" s="70" t="s">
        <v>24374</v>
      </c>
      <c r="K3141" s="70" t="s">
        <v>24375</v>
      </c>
      <c r="W3141" s="70" t="s">
        <v>31501</v>
      </c>
      <c r="AA3141" s="70" t="s">
        <v>24378</v>
      </c>
      <c r="AI3141" s="70" t="s">
        <v>24379</v>
      </c>
      <c r="AJ3141" s="70" t="s">
        <v>24380</v>
      </c>
      <c r="AK3141" s="70">
        <v>2024.0</v>
      </c>
      <c r="AL3141" s="70" t="s">
        <v>24381</v>
      </c>
      <c r="AM3141" s="70">
        <v>2023273.0</v>
      </c>
      <c r="AQ3141" s="70">
        <v>1.0</v>
      </c>
      <c r="AR3141" s="75" t="s">
        <v>24382</v>
      </c>
      <c r="AS3141" s="70" t="s">
        <v>22525</v>
      </c>
      <c r="AT3141" s="70" t="s">
        <v>22622</v>
      </c>
      <c r="AU3141" s="70" t="s">
        <v>237</v>
      </c>
      <c r="AV3141" s="70" t="s">
        <v>24383</v>
      </c>
      <c r="AX3141" s="70">
        <v>0.0</v>
      </c>
      <c r="AY3141" s="70" t="s">
        <v>24</v>
      </c>
      <c r="AZ3141" s="70">
        <v>2212.0</v>
      </c>
    </row>
    <row r="3142" ht="22.5" customHeight="1">
      <c r="A3142" s="70" t="str">
        <f t="shared" si="1"/>
        <v>Excluded</v>
      </c>
      <c r="B3142" s="70">
        <f t="shared" si="2"/>
        <v>0</v>
      </c>
      <c r="C3142" s="70">
        <v>0.0</v>
      </c>
      <c r="D3142" s="70">
        <v>0.0</v>
      </c>
      <c r="E3142" s="70">
        <v>0.0</v>
      </c>
      <c r="F3142" s="70">
        <v>0.0</v>
      </c>
      <c r="G3142" s="70">
        <v>0.0</v>
      </c>
      <c r="H3142" s="70" t="s">
        <v>24559</v>
      </c>
      <c r="I3142" s="70">
        <v>2684.0</v>
      </c>
      <c r="J3142" s="70" t="s">
        <v>24557</v>
      </c>
      <c r="K3142" s="70" t="s">
        <v>24558</v>
      </c>
      <c r="W3142" s="70" t="s">
        <v>31502</v>
      </c>
      <c r="AA3142" s="70" t="s">
        <v>24561</v>
      </c>
      <c r="AI3142" s="70" t="s">
        <v>24562</v>
      </c>
      <c r="AJ3142" s="70">
        <v>3.67165379E10</v>
      </c>
      <c r="AK3142" s="70">
        <v>2024.0</v>
      </c>
      <c r="AL3142" s="70" t="s">
        <v>24563</v>
      </c>
      <c r="AN3142" s="70">
        <v>609.0</v>
      </c>
      <c r="AO3142" s="70">
        <v>617.0</v>
      </c>
      <c r="AP3142" s="70">
        <v>8.0</v>
      </c>
      <c r="AQ3142" s="70">
        <v>0.0</v>
      </c>
      <c r="AR3142" s="75" t="s">
        <v>24564</v>
      </c>
      <c r="AS3142" s="70" t="s">
        <v>22525</v>
      </c>
      <c r="AT3142" s="70" t="s">
        <v>22526</v>
      </c>
      <c r="AU3142" s="70" t="s">
        <v>237</v>
      </c>
      <c r="AV3142" s="70" t="s">
        <v>24565</v>
      </c>
      <c r="AW3142" s="70" t="s">
        <v>24566</v>
      </c>
      <c r="AX3142" s="70">
        <v>0.0</v>
      </c>
      <c r="AY3142" s="70" t="s">
        <v>24</v>
      </c>
      <c r="AZ3142" s="70">
        <v>1735.0</v>
      </c>
    </row>
    <row r="3143" ht="22.5" customHeight="1">
      <c r="A3143" s="70" t="str">
        <f t="shared" si="1"/>
        <v>Excluded</v>
      </c>
      <c r="B3143" s="70">
        <f t="shared" si="2"/>
        <v>0</v>
      </c>
      <c r="C3143" s="70">
        <v>0.0</v>
      </c>
      <c r="D3143" s="70">
        <v>0.0</v>
      </c>
      <c r="E3143" s="70">
        <v>0.0</v>
      </c>
      <c r="F3143" s="70">
        <v>0.0</v>
      </c>
      <c r="G3143" s="70">
        <v>0.0</v>
      </c>
      <c r="H3143" s="70" t="s">
        <v>27768</v>
      </c>
      <c r="I3143" s="70">
        <v>2996.0</v>
      </c>
      <c r="J3143" s="70" t="s">
        <v>31503</v>
      </c>
      <c r="K3143" s="70" t="s">
        <v>31504</v>
      </c>
      <c r="W3143" s="70" t="s">
        <v>31505</v>
      </c>
      <c r="AA3143" s="70" t="s">
        <v>27770</v>
      </c>
      <c r="AI3143" s="70" t="s">
        <v>31506</v>
      </c>
      <c r="AJ3143" s="70" t="s">
        <v>27772</v>
      </c>
      <c r="AK3143" s="70">
        <v>2021.0</v>
      </c>
      <c r="AL3143" s="70" t="s">
        <v>27773</v>
      </c>
      <c r="AN3143" s="70">
        <v>87.0</v>
      </c>
      <c r="AO3143" s="70">
        <v>118.0</v>
      </c>
      <c r="AP3143" s="70">
        <v>31.0</v>
      </c>
      <c r="AQ3143" s="70">
        <v>2.0</v>
      </c>
      <c r="AR3143" s="75" t="s">
        <v>27774</v>
      </c>
      <c r="AS3143" s="70" t="s">
        <v>22525</v>
      </c>
      <c r="AT3143" s="70" t="s">
        <v>22622</v>
      </c>
      <c r="AU3143" s="70" t="s">
        <v>237</v>
      </c>
      <c r="AV3143" s="70" t="s">
        <v>27775</v>
      </c>
      <c r="AZ3143" s="70">
        <v>958.0</v>
      </c>
    </row>
    <row r="3144" ht="22.5" customHeight="1">
      <c r="A3144" s="70" t="str">
        <f t="shared" si="1"/>
        <v>Excluded</v>
      </c>
      <c r="B3144" s="70">
        <f t="shared" si="2"/>
        <v>0</v>
      </c>
      <c r="C3144" s="70">
        <v>0.0</v>
      </c>
      <c r="D3144" s="70">
        <v>0.0</v>
      </c>
      <c r="E3144" s="70">
        <v>0.0</v>
      </c>
      <c r="F3144" s="70">
        <v>0.0</v>
      </c>
      <c r="G3144" s="70">
        <v>0.0</v>
      </c>
      <c r="H3144" s="70" t="s">
        <v>26364</v>
      </c>
      <c r="I3144" s="70">
        <v>2859.0</v>
      </c>
      <c r="J3144" s="70" t="s">
        <v>26362</v>
      </c>
      <c r="K3144" s="70" t="s">
        <v>31507</v>
      </c>
      <c r="W3144" s="70" t="s">
        <v>31508</v>
      </c>
      <c r="AA3144" s="70" t="s">
        <v>26366</v>
      </c>
      <c r="AI3144" s="70" t="s">
        <v>26367</v>
      </c>
      <c r="AJ3144" s="70" t="s">
        <v>26368</v>
      </c>
      <c r="AK3144" s="70">
        <v>2022.0</v>
      </c>
      <c r="AL3144" s="70" t="s">
        <v>26369</v>
      </c>
      <c r="AN3144" s="70">
        <v>1.0</v>
      </c>
      <c r="AO3144" s="70">
        <v>10.0</v>
      </c>
      <c r="AP3144" s="70">
        <v>9.0</v>
      </c>
      <c r="AQ3144" s="70">
        <v>2.0</v>
      </c>
      <c r="AR3144" s="75" t="s">
        <v>26370</v>
      </c>
      <c r="AS3144" s="70" t="s">
        <v>22525</v>
      </c>
      <c r="AU3144" s="70" t="s">
        <v>237</v>
      </c>
      <c r="AV3144" s="70" t="s">
        <v>26371</v>
      </c>
      <c r="AW3144" s="70" t="s">
        <v>26372</v>
      </c>
      <c r="AZ3144" s="70">
        <v>985.0</v>
      </c>
    </row>
    <row r="3145" ht="22.5" customHeight="1">
      <c r="A3145" s="70" t="str">
        <f t="shared" si="1"/>
        <v>Excluded</v>
      </c>
      <c r="B3145" s="70">
        <f t="shared" si="2"/>
        <v>0</v>
      </c>
      <c r="C3145" s="70">
        <v>0.0</v>
      </c>
      <c r="D3145" s="70">
        <v>0.0</v>
      </c>
      <c r="E3145" s="70">
        <v>0.0</v>
      </c>
      <c r="F3145" s="70">
        <v>0.0</v>
      </c>
      <c r="G3145" s="70">
        <v>0.0</v>
      </c>
      <c r="H3145" s="70" t="s">
        <v>26915</v>
      </c>
      <c r="I3145" s="70">
        <v>2913.0</v>
      </c>
      <c r="J3145" s="70" t="s">
        <v>26913</v>
      </c>
      <c r="K3145" s="70" t="s">
        <v>26914</v>
      </c>
      <c r="W3145" s="70" t="s">
        <v>31509</v>
      </c>
      <c r="AA3145" s="70" t="s">
        <v>26917</v>
      </c>
      <c r="AI3145" s="70" t="s">
        <v>26918</v>
      </c>
      <c r="AJ3145" s="70" t="s">
        <v>26919</v>
      </c>
      <c r="AK3145" s="70">
        <v>2022.0</v>
      </c>
      <c r="AL3145" s="70" t="s">
        <v>26920</v>
      </c>
      <c r="AM3145" s="70" t="s">
        <v>26921</v>
      </c>
      <c r="AQ3145" s="70">
        <v>21.0</v>
      </c>
      <c r="AR3145" s="75" t="s">
        <v>26922</v>
      </c>
      <c r="AS3145" s="70" t="s">
        <v>22525</v>
      </c>
      <c r="AT3145" s="70" t="s">
        <v>22643</v>
      </c>
      <c r="AU3145" s="70" t="s">
        <v>237</v>
      </c>
      <c r="AV3145" s="70" t="s">
        <v>26923</v>
      </c>
      <c r="AW3145" s="70" t="s">
        <v>26924</v>
      </c>
      <c r="AX3145" s="70">
        <v>0.0</v>
      </c>
      <c r="AY3145" s="70" t="s">
        <v>24</v>
      </c>
      <c r="AZ3145" s="70">
        <v>2172.0</v>
      </c>
    </row>
    <row r="3146" ht="22.5" customHeight="1">
      <c r="A3146" s="70" t="str">
        <f t="shared" si="1"/>
        <v>Excluded</v>
      </c>
      <c r="B3146" s="70">
        <f t="shared" si="2"/>
        <v>0</v>
      </c>
      <c r="C3146" s="70">
        <v>0.0</v>
      </c>
      <c r="D3146" s="70">
        <v>0.0</v>
      </c>
      <c r="E3146" s="70">
        <v>0.0</v>
      </c>
      <c r="F3146" s="70">
        <v>0.0</v>
      </c>
      <c r="G3146" s="70">
        <v>0.0</v>
      </c>
      <c r="H3146" s="70" t="s">
        <v>24730</v>
      </c>
      <c r="I3146" s="70">
        <v>2700.0</v>
      </c>
      <c r="J3146" s="70" t="s">
        <v>24728</v>
      </c>
      <c r="K3146" s="70" t="s">
        <v>24729</v>
      </c>
      <c r="W3146" s="70" t="s">
        <v>31510</v>
      </c>
      <c r="AA3146" s="70" t="s">
        <v>24732</v>
      </c>
      <c r="AI3146" s="70" t="s">
        <v>24733</v>
      </c>
      <c r="AJ3146" s="70">
        <v>1.00426608E10</v>
      </c>
      <c r="AK3146" s="70">
        <v>2023.0</v>
      </c>
      <c r="AL3146" s="70" t="s">
        <v>23554</v>
      </c>
      <c r="AN3146" s="70">
        <v>1676.0</v>
      </c>
      <c r="AO3146" s="70">
        <v>1684.0</v>
      </c>
      <c r="AP3146" s="70">
        <v>8.0</v>
      </c>
      <c r="AQ3146" s="70">
        <v>0.0</v>
      </c>
      <c r="AR3146" s="75" t="s">
        <v>24734</v>
      </c>
      <c r="AS3146" s="70" t="s">
        <v>22525</v>
      </c>
      <c r="AU3146" s="70" t="s">
        <v>237</v>
      </c>
      <c r="AV3146" s="70" t="s">
        <v>24735</v>
      </c>
      <c r="AX3146" s="70">
        <v>0.0</v>
      </c>
      <c r="AY3146" s="70" t="s">
        <v>24</v>
      </c>
      <c r="AZ3146" s="70">
        <v>2877.0</v>
      </c>
    </row>
    <row r="3147" ht="22.5" customHeight="1">
      <c r="A3147" s="70" t="str">
        <f t="shared" si="1"/>
        <v>Excluded</v>
      </c>
      <c r="B3147" s="70">
        <f t="shared" si="2"/>
        <v>0</v>
      </c>
      <c r="C3147" s="70">
        <v>0.0</v>
      </c>
      <c r="D3147" s="70">
        <v>0.0</v>
      </c>
      <c r="E3147" s="70">
        <v>0.0</v>
      </c>
      <c r="F3147" s="70">
        <v>0.0</v>
      </c>
      <c r="G3147" s="70">
        <v>0.0</v>
      </c>
      <c r="H3147" s="70" t="s">
        <v>23549</v>
      </c>
      <c r="I3147" s="70">
        <v>2586.0</v>
      </c>
      <c r="J3147" s="70" t="s">
        <v>23547</v>
      </c>
      <c r="K3147" s="70" t="s">
        <v>23548</v>
      </c>
      <c r="W3147" s="70" t="s">
        <v>31511</v>
      </c>
      <c r="AA3147" s="70" t="s">
        <v>23551</v>
      </c>
      <c r="AI3147" s="70" t="s">
        <v>23552</v>
      </c>
      <c r="AJ3147" s="70" t="s">
        <v>23553</v>
      </c>
      <c r="AK3147" s="70">
        <v>2024.0</v>
      </c>
      <c r="AL3147" s="70" t="s">
        <v>23554</v>
      </c>
      <c r="AN3147" s="70">
        <v>453.0</v>
      </c>
      <c r="AO3147" s="70">
        <v>468.0</v>
      </c>
      <c r="AP3147" s="70">
        <v>15.0</v>
      </c>
      <c r="AQ3147" s="70">
        <v>0.0</v>
      </c>
      <c r="AR3147" s="75" t="s">
        <v>23555</v>
      </c>
      <c r="AS3147" s="70" t="s">
        <v>22525</v>
      </c>
      <c r="AU3147" s="70" t="s">
        <v>237</v>
      </c>
      <c r="AV3147" s="70" t="s">
        <v>23556</v>
      </c>
      <c r="AX3147" s="70">
        <v>0.0</v>
      </c>
      <c r="AY3147" s="70" t="s">
        <v>24</v>
      </c>
      <c r="AZ3147" s="70">
        <v>2275.0</v>
      </c>
    </row>
  </sheetData>
  <conditionalFormatting sqref="B2:B3147">
    <cfRule type="containsText" dxfId="7" priority="1" operator="containsText" text="Included">
      <formula>NOT(ISERROR(SEARCH(("Included"),(B2))))</formula>
    </cfRule>
  </conditionalFormatting>
  <conditionalFormatting sqref="B2:B3147">
    <cfRule type="containsText" dxfId="8" priority="2" operator="containsText" text="Excluded">
      <formula>NOT(ISERROR(SEARCH(("Excluded"),(B2))))</formula>
    </cfRule>
  </conditionalFormatting>
  <conditionalFormatting sqref="A2:A3147">
    <cfRule type="containsText" dxfId="7" priority="3" operator="containsText" text="Included">
      <formula>NOT(ISERROR(SEARCH(("Included"),(A2))))</formula>
    </cfRule>
  </conditionalFormatting>
  <conditionalFormatting sqref="A2:A3147">
    <cfRule type="containsText" dxfId="8" priority="4" operator="containsText" text="Excluded">
      <formula>NOT(ISERROR(SEARCH(("Excluded"),(A2))))</formula>
    </cfRule>
  </conditionalFormatting>
  <conditionalFormatting sqref="B2:G3147">
    <cfRule type="cellIs" dxfId="8" priority="5" operator="lessThan">
      <formula>1</formula>
    </cfRule>
  </conditionalFormatting>
  <conditionalFormatting sqref="B2:G3147">
    <cfRule type="cellIs" dxfId="7" priority="6" operator="greaterThanOrEqual">
      <formula>1</formula>
    </cfRule>
  </conditionalFormatting>
  <hyperlinks>
    <hyperlink r:id="rId1" ref="AR2"/>
    <hyperlink r:id="rId2" ref="AR3"/>
    <hyperlink r:id="rId3" ref="AR4"/>
    <hyperlink r:id="rId4" ref="O5"/>
    <hyperlink r:id="rId5" ref="AR6"/>
    <hyperlink r:id="rId6" ref="AR7"/>
    <hyperlink r:id="rId7" ref="O8"/>
    <hyperlink r:id="rId8" ref="O9"/>
    <hyperlink r:id="rId9" ref="O10"/>
    <hyperlink r:id="rId10" ref="O11"/>
    <hyperlink r:id="rId11" ref="O12"/>
    <hyperlink r:id="rId12" ref="AR13"/>
    <hyperlink r:id="rId13" ref="AR14"/>
    <hyperlink r:id="rId14" ref="AR15"/>
    <hyperlink r:id="rId15" ref="AR16"/>
    <hyperlink r:id="rId16" ref="AR17"/>
    <hyperlink r:id="rId17" ref="AR18"/>
    <hyperlink r:id="rId18" ref="AR19"/>
    <hyperlink r:id="rId19" ref="AR20"/>
    <hyperlink r:id="rId20" ref="AR21"/>
    <hyperlink r:id="rId21" ref="AR22"/>
    <hyperlink r:id="rId22" ref="AR23"/>
    <hyperlink r:id="rId23" ref="AR24"/>
    <hyperlink r:id="rId24" ref="AR25"/>
    <hyperlink r:id="rId25" ref="AR26"/>
    <hyperlink r:id="rId26" ref="AR27"/>
    <hyperlink r:id="rId27" ref="AR28"/>
    <hyperlink r:id="rId28" ref="AR29"/>
    <hyperlink r:id="rId29" ref="AR30"/>
    <hyperlink r:id="rId30" ref="AR31"/>
    <hyperlink r:id="rId31" ref="AR32"/>
    <hyperlink r:id="rId32" ref="AR33"/>
    <hyperlink r:id="rId33" ref="AR34"/>
    <hyperlink r:id="rId34" ref="AR35"/>
    <hyperlink r:id="rId35" ref="Z36"/>
    <hyperlink r:id="rId36" ref="AR37"/>
    <hyperlink r:id="rId37" ref="Z38"/>
    <hyperlink r:id="rId38" ref="Z39"/>
    <hyperlink r:id="rId39" ref="Z40"/>
    <hyperlink r:id="rId40" ref="AR41"/>
    <hyperlink r:id="rId41" ref="Z42"/>
    <hyperlink r:id="rId42" ref="Z43"/>
    <hyperlink r:id="rId43" ref="AR44"/>
    <hyperlink r:id="rId44" ref="Z45"/>
    <hyperlink r:id="rId45" ref="Z46"/>
    <hyperlink r:id="rId46" ref="Z47"/>
    <hyperlink r:id="rId47" ref="Z48"/>
    <hyperlink r:id="rId48" ref="Z49"/>
    <hyperlink r:id="rId49" ref="Z50"/>
    <hyperlink r:id="rId50" ref="Z51"/>
    <hyperlink r:id="rId51" ref="Z52"/>
    <hyperlink r:id="rId52" ref="Z53"/>
    <hyperlink r:id="rId53" ref="Z54"/>
    <hyperlink r:id="rId54" ref="Z55"/>
    <hyperlink r:id="rId55" ref="Z56"/>
    <hyperlink r:id="rId56" ref="Z57"/>
    <hyperlink r:id="rId57" ref="Z58"/>
    <hyperlink r:id="rId58" ref="Z59"/>
    <hyperlink r:id="rId59" ref="Z60"/>
    <hyperlink r:id="rId60" ref="Z61"/>
    <hyperlink r:id="rId61" ref="Z62"/>
    <hyperlink r:id="rId62" ref="Z63"/>
    <hyperlink r:id="rId63" ref="Z64"/>
    <hyperlink r:id="rId64" ref="Z65"/>
    <hyperlink r:id="rId65" ref="AR66"/>
    <hyperlink r:id="rId66" ref="Z67"/>
    <hyperlink r:id="rId67" ref="Z68"/>
    <hyperlink r:id="rId68" ref="Z69"/>
    <hyperlink r:id="rId69" ref="Z70"/>
    <hyperlink r:id="rId70" ref="Z71"/>
    <hyperlink r:id="rId71" ref="Z72"/>
    <hyperlink r:id="rId72" ref="Z73"/>
    <hyperlink r:id="rId73" ref="Z74"/>
    <hyperlink r:id="rId74" ref="Z75"/>
    <hyperlink r:id="rId75" ref="Z76"/>
    <hyperlink r:id="rId76" ref="Z77"/>
    <hyperlink r:id="rId77" ref="Z78"/>
    <hyperlink r:id="rId78" ref="Z79"/>
    <hyperlink r:id="rId79" ref="AR80"/>
    <hyperlink r:id="rId80" ref="Z81"/>
    <hyperlink r:id="rId81" ref="Z82"/>
    <hyperlink r:id="rId82" ref="Z83"/>
    <hyperlink r:id="rId83" ref="Z84"/>
    <hyperlink r:id="rId84" ref="Z85"/>
    <hyperlink r:id="rId85" ref="Z86"/>
    <hyperlink r:id="rId86" ref="Z87"/>
    <hyperlink r:id="rId87" ref="Z88"/>
    <hyperlink r:id="rId88" ref="AR89"/>
    <hyperlink r:id="rId89" ref="Z90"/>
    <hyperlink r:id="rId90" ref="Z91"/>
    <hyperlink r:id="rId91" ref="Z92"/>
    <hyperlink r:id="rId92" ref="Z93"/>
    <hyperlink r:id="rId93" ref="Z94"/>
    <hyperlink r:id="rId94" ref="Z95"/>
    <hyperlink r:id="rId95" ref="AR96"/>
    <hyperlink r:id="rId96" ref="Z97"/>
    <hyperlink r:id="rId97" ref="Z98"/>
    <hyperlink r:id="rId98" ref="Z99"/>
    <hyperlink r:id="rId99" ref="Z100"/>
    <hyperlink r:id="rId100" ref="Z101"/>
    <hyperlink r:id="rId101" ref="Z102"/>
    <hyperlink r:id="rId102" ref="Z103"/>
    <hyperlink r:id="rId103" ref="Z104"/>
    <hyperlink r:id="rId104" ref="Z105"/>
    <hyperlink r:id="rId105" ref="AR106"/>
    <hyperlink r:id="rId106" ref="Z107"/>
    <hyperlink r:id="rId107" ref="Z108"/>
    <hyperlink r:id="rId108" ref="AR109"/>
    <hyperlink r:id="rId109" ref="Z110"/>
    <hyperlink r:id="rId110" ref="Z111"/>
    <hyperlink r:id="rId111" ref="Z112"/>
    <hyperlink r:id="rId112" ref="Z113"/>
    <hyperlink r:id="rId113" ref="Z114"/>
    <hyperlink r:id="rId114" ref="Z115"/>
    <hyperlink r:id="rId115" ref="Z116"/>
    <hyperlink r:id="rId116" ref="Z117"/>
    <hyperlink r:id="rId117" ref="Z118"/>
    <hyperlink r:id="rId118" ref="Z119"/>
    <hyperlink r:id="rId119" ref="Z120"/>
    <hyperlink r:id="rId120" ref="Z121"/>
    <hyperlink r:id="rId121" ref="AR122"/>
    <hyperlink r:id="rId122" ref="Z123"/>
    <hyperlink r:id="rId123" ref="AR124"/>
    <hyperlink r:id="rId124" ref="Z125"/>
    <hyperlink r:id="rId125" ref="Z126"/>
    <hyperlink r:id="rId126" ref="Z127"/>
    <hyperlink r:id="rId127" ref="Z128"/>
    <hyperlink r:id="rId128" ref="Z129"/>
    <hyperlink r:id="rId129" ref="Z130"/>
    <hyperlink r:id="rId130" ref="O131"/>
    <hyperlink r:id="rId131" ref="O132"/>
    <hyperlink r:id="rId132" ref="O133"/>
    <hyperlink r:id="rId133" ref="Z134"/>
    <hyperlink r:id="rId134" ref="Z135"/>
    <hyperlink r:id="rId135" ref="Z136"/>
    <hyperlink r:id="rId136" ref="Z137"/>
    <hyperlink r:id="rId137" ref="Z138"/>
    <hyperlink r:id="rId138" ref="Z139"/>
    <hyperlink r:id="rId139" ref="Z140"/>
    <hyperlink r:id="rId140" ref="Z141"/>
    <hyperlink r:id="rId141" ref="AR142"/>
    <hyperlink r:id="rId142" ref="Z143"/>
    <hyperlink r:id="rId143" ref="Z144"/>
    <hyperlink r:id="rId144" ref="Z145"/>
    <hyperlink r:id="rId145" ref="Z146"/>
    <hyperlink r:id="rId146" ref="Z147"/>
    <hyperlink r:id="rId147" ref="Z148"/>
    <hyperlink r:id="rId148" ref="Z149"/>
    <hyperlink r:id="rId149" ref="Z150"/>
    <hyperlink r:id="rId150" ref="AR151"/>
    <hyperlink r:id="rId151" ref="Z152"/>
    <hyperlink r:id="rId152" ref="AR153"/>
    <hyperlink r:id="rId153" ref="Z154"/>
    <hyperlink r:id="rId154" ref="Z155"/>
    <hyperlink r:id="rId155" ref="Z156"/>
    <hyperlink r:id="rId156" ref="Z157"/>
    <hyperlink r:id="rId157" ref="Z158"/>
    <hyperlink r:id="rId158" ref="Z159"/>
    <hyperlink r:id="rId159" ref="Z160"/>
    <hyperlink r:id="rId160" ref="AR161"/>
    <hyperlink r:id="rId161" ref="O162"/>
    <hyperlink r:id="rId162" ref="O163"/>
    <hyperlink r:id="rId163" ref="O164"/>
    <hyperlink r:id="rId164" ref="O165"/>
    <hyperlink r:id="rId165" ref="O166"/>
    <hyperlink r:id="rId166" ref="O167"/>
    <hyperlink r:id="rId167" ref="O168"/>
    <hyperlink r:id="rId168" ref="O169"/>
    <hyperlink r:id="rId169" ref="O170"/>
    <hyperlink r:id="rId170" ref="O171"/>
    <hyperlink r:id="rId171" ref="O172"/>
    <hyperlink r:id="rId172" ref="O173"/>
    <hyperlink r:id="rId173" ref="O174"/>
    <hyperlink r:id="rId174" ref="O175"/>
    <hyperlink r:id="rId175" ref="O176"/>
    <hyperlink r:id="rId176" ref="O177"/>
    <hyperlink r:id="rId177" ref="O178"/>
    <hyperlink r:id="rId178" ref="O179"/>
    <hyperlink r:id="rId179" ref="O180"/>
    <hyperlink r:id="rId180" ref="O181"/>
    <hyperlink r:id="rId181" ref="O182"/>
    <hyperlink r:id="rId182" ref="O183"/>
    <hyperlink r:id="rId183" ref="O184"/>
    <hyperlink r:id="rId184" ref="O185"/>
    <hyperlink r:id="rId185" ref="O186"/>
    <hyperlink r:id="rId186" ref="AR187"/>
    <hyperlink r:id="rId187" ref="AR188"/>
    <hyperlink r:id="rId188" ref="AR189"/>
    <hyperlink r:id="rId189" ref="AR190"/>
    <hyperlink r:id="rId190" ref="AR191"/>
    <hyperlink r:id="rId191" ref="AR192"/>
    <hyperlink r:id="rId192" ref="AR193"/>
    <hyperlink r:id="rId193" ref="AR194"/>
    <hyperlink r:id="rId194" ref="Z195"/>
    <hyperlink r:id="rId195" ref="Z196"/>
    <hyperlink r:id="rId196" ref="AR197"/>
    <hyperlink r:id="rId197" ref="AR198"/>
    <hyperlink r:id="rId198" ref="Z199"/>
    <hyperlink r:id="rId199" ref="AR200"/>
    <hyperlink r:id="rId200" ref="AR201"/>
    <hyperlink r:id="rId201" ref="AR202"/>
    <hyperlink r:id="rId202" ref="AR203"/>
    <hyperlink r:id="rId203" ref="AR204"/>
    <hyperlink r:id="rId204" ref="AR205"/>
    <hyperlink r:id="rId205" ref="AR206"/>
    <hyperlink r:id="rId206" ref="AR207"/>
    <hyperlink r:id="rId207" ref="AR208"/>
    <hyperlink r:id="rId208" ref="AR209"/>
    <hyperlink r:id="rId209" ref="AR210"/>
    <hyperlink r:id="rId210" ref="AR211"/>
    <hyperlink r:id="rId211" ref="AR212"/>
    <hyperlink r:id="rId212" ref="AR213"/>
    <hyperlink r:id="rId213" ref="AR214"/>
    <hyperlink r:id="rId214" ref="AR215"/>
    <hyperlink r:id="rId215" ref="AR217"/>
    <hyperlink r:id="rId216" ref="AR218"/>
    <hyperlink r:id="rId217" ref="AR219"/>
    <hyperlink r:id="rId218" ref="AR220"/>
    <hyperlink r:id="rId219" ref="AR221"/>
    <hyperlink r:id="rId220" ref="AR222"/>
    <hyperlink r:id="rId221" ref="AR223"/>
    <hyperlink r:id="rId222" ref="AR224"/>
    <hyperlink r:id="rId223" ref="AR225"/>
    <hyperlink r:id="rId224" ref="AR226"/>
    <hyperlink r:id="rId225" ref="AR227"/>
    <hyperlink r:id="rId226" ref="AR228"/>
    <hyperlink r:id="rId227" ref="AR229"/>
    <hyperlink r:id="rId228" ref="AR230"/>
    <hyperlink r:id="rId229" ref="AR231"/>
    <hyperlink r:id="rId230" ref="AR232"/>
    <hyperlink r:id="rId231" ref="AR233"/>
    <hyperlink r:id="rId232" ref="AR234"/>
    <hyperlink r:id="rId233" ref="O235"/>
    <hyperlink r:id="rId234" ref="O236"/>
    <hyperlink r:id="rId235" ref="AR237"/>
    <hyperlink r:id="rId236" ref="O238"/>
    <hyperlink r:id="rId237" ref="O239"/>
    <hyperlink r:id="rId238" ref="O240"/>
    <hyperlink r:id="rId239" ref="O241"/>
    <hyperlink r:id="rId240" ref="O242"/>
    <hyperlink r:id="rId241" ref="O243"/>
    <hyperlink r:id="rId242" ref="O244"/>
    <hyperlink r:id="rId243" ref="O245"/>
    <hyperlink r:id="rId244" ref="O246"/>
    <hyperlink r:id="rId245" ref="O247"/>
    <hyperlink r:id="rId246" ref="O248"/>
    <hyperlink r:id="rId247" ref="O249"/>
    <hyperlink r:id="rId248" ref="O250"/>
    <hyperlink r:id="rId249" ref="AR251"/>
    <hyperlink r:id="rId250" ref="AR252"/>
    <hyperlink r:id="rId251" ref="O253"/>
    <hyperlink r:id="rId252" ref="O254"/>
    <hyperlink r:id="rId253" ref="O255"/>
    <hyperlink r:id="rId254" ref="O256"/>
    <hyperlink r:id="rId255" ref="O257"/>
    <hyperlink r:id="rId256" ref="O258"/>
    <hyperlink r:id="rId257" ref="O259"/>
    <hyperlink r:id="rId258" ref="O260"/>
    <hyperlink r:id="rId259" ref="AR261"/>
    <hyperlink r:id="rId260" ref="AR262"/>
    <hyperlink r:id="rId261" ref="O263"/>
    <hyperlink r:id="rId262" ref="O264"/>
    <hyperlink r:id="rId263" ref="AR265"/>
    <hyperlink r:id="rId264" ref="AR266"/>
    <hyperlink r:id="rId265" ref="O267"/>
    <hyperlink r:id="rId266" ref="AR268"/>
    <hyperlink r:id="rId267" ref="O269"/>
    <hyperlink r:id="rId268" ref="O270"/>
    <hyperlink r:id="rId269" ref="O271"/>
    <hyperlink r:id="rId270" ref="O272"/>
    <hyperlink r:id="rId271" ref="O273"/>
    <hyperlink r:id="rId272" ref="O274"/>
    <hyperlink r:id="rId273" ref="AR275"/>
    <hyperlink r:id="rId274" ref="O276"/>
    <hyperlink r:id="rId275" ref="O277"/>
    <hyperlink r:id="rId276" ref="O278"/>
    <hyperlink r:id="rId277" ref="AR279"/>
    <hyperlink r:id="rId278" ref="O280"/>
    <hyperlink r:id="rId279" ref="O281"/>
    <hyperlink r:id="rId280" ref="AR282"/>
    <hyperlink r:id="rId281" ref="O283"/>
    <hyperlink r:id="rId282" ref="O284"/>
    <hyperlink r:id="rId283" ref="O285"/>
    <hyperlink r:id="rId284" ref="O286"/>
    <hyperlink r:id="rId285" ref="O287"/>
    <hyperlink r:id="rId286" ref="O288"/>
    <hyperlink r:id="rId287" ref="O289"/>
    <hyperlink r:id="rId288" ref="O290"/>
    <hyperlink r:id="rId289" ref="O291"/>
    <hyperlink r:id="rId290" ref="O292"/>
    <hyperlink r:id="rId291" ref="O293"/>
    <hyperlink r:id="rId292" ref="O294"/>
    <hyperlink r:id="rId293" ref="O295"/>
    <hyperlink r:id="rId294" ref="O296"/>
    <hyperlink r:id="rId295" ref="O297"/>
    <hyperlink r:id="rId296" ref="O298"/>
    <hyperlink r:id="rId297" ref="O299"/>
    <hyperlink r:id="rId298" ref="O300"/>
    <hyperlink r:id="rId299" ref="O301"/>
    <hyperlink r:id="rId300" ref="O302"/>
    <hyperlink r:id="rId301" ref="AR303"/>
    <hyperlink r:id="rId302" ref="O304"/>
    <hyperlink r:id="rId303" ref="AR305"/>
    <hyperlink r:id="rId304" ref="O306"/>
    <hyperlink r:id="rId305" ref="AR307"/>
    <hyperlink r:id="rId306" ref="O308"/>
    <hyperlink r:id="rId307" ref="O309"/>
    <hyperlink r:id="rId308" ref="O310"/>
    <hyperlink r:id="rId309" ref="AR311"/>
    <hyperlink r:id="rId310" ref="AR312"/>
    <hyperlink r:id="rId311" ref="O313"/>
    <hyperlink r:id="rId312" ref="O314"/>
    <hyperlink r:id="rId313" ref="AR315"/>
    <hyperlink r:id="rId314" ref="AR316"/>
    <hyperlink r:id="rId315" ref="AR317"/>
    <hyperlink r:id="rId316" ref="AR318"/>
    <hyperlink r:id="rId317" ref="O319"/>
    <hyperlink r:id="rId318" ref="AR320"/>
    <hyperlink r:id="rId319" ref="AR321"/>
    <hyperlink r:id="rId320" ref="AR322"/>
    <hyperlink r:id="rId321" ref="AR323"/>
    <hyperlink r:id="rId322" ref="AR324"/>
    <hyperlink r:id="rId323" ref="AR325"/>
    <hyperlink r:id="rId324" ref="AR326"/>
    <hyperlink r:id="rId325" ref="AR327"/>
    <hyperlink r:id="rId326" ref="AR328"/>
    <hyperlink r:id="rId327" ref="AR329"/>
    <hyperlink r:id="rId328" ref="AR330"/>
    <hyperlink r:id="rId329" ref="AR331"/>
    <hyperlink r:id="rId330" ref="AR332"/>
    <hyperlink r:id="rId331" ref="AR333"/>
    <hyperlink r:id="rId332" ref="AR334"/>
    <hyperlink r:id="rId333" ref="AR335"/>
    <hyperlink r:id="rId334" ref="AR336"/>
    <hyperlink r:id="rId335" ref="AR337"/>
    <hyperlink r:id="rId336" ref="AR338"/>
    <hyperlink r:id="rId337" ref="AR339"/>
    <hyperlink r:id="rId338" ref="AR340"/>
    <hyperlink r:id="rId339" ref="AR341"/>
    <hyperlink r:id="rId340" ref="AR342"/>
    <hyperlink r:id="rId341" ref="AR343"/>
    <hyperlink r:id="rId342" ref="AR344"/>
    <hyperlink r:id="rId343" ref="AR345"/>
    <hyperlink r:id="rId344" ref="AR346"/>
    <hyperlink r:id="rId345" ref="AR347"/>
    <hyperlink r:id="rId346" ref="AR348"/>
    <hyperlink r:id="rId347" ref="AR349"/>
    <hyperlink r:id="rId348" ref="AR350"/>
    <hyperlink r:id="rId349" ref="AR351"/>
    <hyperlink r:id="rId350" ref="AR352"/>
    <hyperlink r:id="rId351" ref="AR353"/>
    <hyperlink r:id="rId352" ref="AR354"/>
    <hyperlink r:id="rId353" ref="AR355"/>
    <hyperlink r:id="rId354" ref="AR356"/>
    <hyperlink r:id="rId355" ref="AR357"/>
    <hyperlink r:id="rId356" ref="AR358"/>
    <hyperlink r:id="rId357" ref="AR359"/>
    <hyperlink r:id="rId358" ref="AR360"/>
    <hyperlink r:id="rId359" ref="AR361"/>
    <hyperlink r:id="rId360" ref="AR362"/>
    <hyperlink r:id="rId361" ref="AR363"/>
    <hyperlink r:id="rId362" ref="AR364"/>
    <hyperlink r:id="rId363" ref="AR365"/>
    <hyperlink r:id="rId364" ref="AR366"/>
    <hyperlink r:id="rId365" ref="AR367"/>
    <hyperlink r:id="rId366" ref="AR368"/>
    <hyperlink r:id="rId367" ref="AR369"/>
    <hyperlink r:id="rId368" ref="AR370"/>
    <hyperlink r:id="rId369" ref="AR371"/>
    <hyperlink r:id="rId370" ref="AR372"/>
    <hyperlink r:id="rId371" ref="AR373"/>
    <hyperlink r:id="rId372" ref="AR374"/>
    <hyperlink r:id="rId373" ref="AR375"/>
    <hyperlink r:id="rId374" ref="AR376"/>
    <hyperlink r:id="rId375" ref="AR377"/>
    <hyperlink r:id="rId376" ref="AR378"/>
    <hyperlink r:id="rId377" ref="AR379"/>
    <hyperlink r:id="rId378" ref="AR380"/>
    <hyperlink r:id="rId379" ref="AR381"/>
    <hyperlink r:id="rId380" ref="AR382"/>
    <hyperlink r:id="rId381" ref="AR383"/>
    <hyperlink r:id="rId382" ref="AR384"/>
    <hyperlink r:id="rId383" ref="AR385"/>
    <hyperlink r:id="rId384" ref="AR386"/>
    <hyperlink r:id="rId385" ref="AR387"/>
    <hyperlink r:id="rId386" ref="AR388"/>
    <hyperlink r:id="rId387" ref="AR389"/>
    <hyperlink r:id="rId388" ref="AR390"/>
    <hyperlink r:id="rId389" ref="AR391"/>
    <hyperlink r:id="rId390" ref="AR392"/>
    <hyperlink r:id="rId391" ref="AR393"/>
    <hyperlink r:id="rId392" ref="AR394"/>
    <hyperlink r:id="rId393" ref="AR395"/>
    <hyperlink r:id="rId394" ref="AR396"/>
    <hyperlink r:id="rId395" ref="AR397"/>
    <hyperlink r:id="rId396" ref="AR398"/>
    <hyperlink r:id="rId397" ref="AR399"/>
    <hyperlink r:id="rId398" ref="AR400"/>
    <hyperlink r:id="rId399" ref="AR401"/>
    <hyperlink r:id="rId400" ref="AR402"/>
    <hyperlink r:id="rId401" ref="AR403"/>
    <hyperlink r:id="rId402" ref="AR404"/>
    <hyperlink r:id="rId403" ref="AR405"/>
    <hyperlink r:id="rId404" ref="AR406"/>
    <hyperlink r:id="rId405" ref="AR407"/>
    <hyperlink r:id="rId406" ref="AR408"/>
    <hyperlink r:id="rId407" ref="AR409"/>
    <hyperlink r:id="rId408" ref="AR410"/>
    <hyperlink r:id="rId409" ref="AR411"/>
    <hyperlink r:id="rId410" ref="AR412"/>
    <hyperlink r:id="rId411" ref="AR413"/>
    <hyperlink r:id="rId412" ref="AR414"/>
    <hyperlink r:id="rId413" ref="AR415"/>
    <hyperlink r:id="rId414" ref="AR416"/>
    <hyperlink r:id="rId415" ref="AR417"/>
    <hyperlink r:id="rId416" ref="AR418"/>
    <hyperlink r:id="rId417" ref="AR419"/>
    <hyperlink r:id="rId418" ref="AR420"/>
    <hyperlink r:id="rId419" ref="AR421"/>
    <hyperlink r:id="rId420" ref="AR422"/>
    <hyperlink r:id="rId421" ref="AR423"/>
    <hyperlink r:id="rId422" ref="AR424"/>
    <hyperlink r:id="rId423" ref="AR425"/>
    <hyperlink r:id="rId424" ref="AR426"/>
    <hyperlink r:id="rId425" ref="AR427"/>
    <hyperlink r:id="rId426" ref="AR428"/>
    <hyperlink r:id="rId427" ref="AR429"/>
    <hyperlink r:id="rId428" ref="AR430"/>
    <hyperlink r:id="rId429" ref="AR431"/>
    <hyperlink r:id="rId430" ref="AR432"/>
    <hyperlink r:id="rId431" ref="AR433"/>
    <hyperlink r:id="rId432" ref="AR434"/>
    <hyperlink r:id="rId433" ref="AR435"/>
    <hyperlink r:id="rId434" ref="AR436"/>
    <hyperlink r:id="rId435" ref="AR437"/>
    <hyperlink r:id="rId436" ref="AR438"/>
    <hyperlink r:id="rId437" ref="AR439"/>
    <hyperlink r:id="rId438" ref="AR440"/>
    <hyperlink r:id="rId439" ref="AR441"/>
    <hyperlink r:id="rId440" ref="AR442"/>
    <hyperlink r:id="rId441" ref="AR443"/>
    <hyperlink r:id="rId442" ref="AR444"/>
    <hyperlink r:id="rId443" ref="AR445"/>
    <hyperlink r:id="rId444" ref="AR446"/>
    <hyperlink r:id="rId445" ref="AR447"/>
    <hyperlink r:id="rId446" ref="AR448"/>
    <hyperlink r:id="rId447" ref="AR449"/>
    <hyperlink r:id="rId448" ref="AR450"/>
    <hyperlink r:id="rId449" ref="AR451"/>
    <hyperlink r:id="rId450" ref="AR452"/>
    <hyperlink r:id="rId451" ref="AR453"/>
    <hyperlink r:id="rId452" ref="AR454"/>
    <hyperlink r:id="rId453" ref="AR455"/>
    <hyperlink r:id="rId454" ref="AR456"/>
    <hyperlink r:id="rId455" ref="AR457"/>
    <hyperlink r:id="rId456" ref="AR458"/>
    <hyperlink r:id="rId457" ref="AR459"/>
    <hyperlink r:id="rId458" ref="AR460"/>
    <hyperlink r:id="rId459" ref="AR461"/>
    <hyperlink r:id="rId460" ref="AR462"/>
    <hyperlink r:id="rId461" ref="AR463"/>
    <hyperlink r:id="rId462" ref="AR464"/>
    <hyperlink r:id="rId463" ref="AR465"/>
    <hyperlink r:id="rId464" ref="AR466"/>
    <hyperlink r:id="rId465" ref="AR467"/>
    <hyperlink r:id="rId466" ref="AR468"/>
    <hyperlink r:id="rId467" ref="AR469"/>
    <hyperlink r:id="rId468" ref="AR470"/>
    <hyperlink r:id="rId469" ref="AR471"/>
    <hyperlink r:id="rId470" ref="AR472"/>
    <hyperlink r:id="rId471" ref="AR473"/>
    <hyperlink r:id="rId472" ref="AR474"/>
    <hyperlink r:id="rId473" ref="AR475"/>
    <hyperlink r:id="rId474" ref="AR476"/>
    <hyperlink r:id="rId475" ref="AR477"/>
    <hyperlink r:id="rId476" ref="AR478"/>
    <hyperlink r:id="rId477" ref="AR479"/>
    <hyperlink r:id="rId478" ref="AR480"/>
    <hyperlink r:id="rId479" ref="AR481"/>
    <hyperlink r:id="rId480" ref="AR482"/>
    <hyperlink r:id="rId481" ref="AR483"/>
    <hyperlink r:id="rId482" ref="AR484"/>
    <hyperlink r:id="rId483" ref="AR485"/>
    <hyperlink r:id="rId484" ref="AR486"/>
    <hyperlink r:id="rId485" ref="AR487"/>
    <hyperlink r:id="rId486" ref="AR488"/>
    <hyperlink r:id="rId487" ref="AR489"/>
    <hyperlink r:id="rId488" ref="AR490"/>
    <hyperlink r:id="rId489" ref="AR491"/>
    <hyperlink r:id="rId490" ref="Z492"/>
    <hyperlink r:id="rId491" ref="Z493"/>
    <hyperlink r:id="rId492" ref="Z494"/>
    <hyperlink r:id="rId493" ref="Z495"/>
    <hyperlink r:id="rId494" ref="Z496"/>
    <hyperlink r:id="rId495" ref="Z497"/>
    <hyperlink r:id="rId496" ref="Z498"/>
    <hyperlink r:id="rId497" ref="Z499"/>
    <hyperlink r:id="rId498" ref="Z500"/>
    <hyperlink r:id="rId499" ref="Z501"/>
    <hyperlink r:id="rId500" ref="AR502"/>
    <hyperlink r:id="rId501" ref="AR503"/>
    <hyperlink r:id="rId502" ref="AR504"/>
    <hyperlink r:id="rId503" ref="AR505"/>
    <hyperlink r:id="rId504" ref="AR506"/>
    <hyperlink r:id="rId505" ref="AR507"/>
    <hyperlink r:id="rId506" ref="AR508"/>
    <hyperlink r:id="rId507" ref="AR509"/>
    <hyperlink r:id="rId508" ref="AR510"/>
    <hyperlink r:id="rId509" ref="AR511"/>
    <hyperlink r:id="rId510" ref="AR512"/>
    <hyperlink r:id="rId511" ref="AR513"/>
    <hyperlink r:id="rId512" ref="AR514"/>
    <hyperlink r:id="rId513" ref="AR515"/>
    <hyperlink r:id="rId514" ref="AR516"/>
    <hyperlink r:id="rId515" ref="AR517"/>
    <hyperlink r:id="rId516" ref="AR518"/>
    <hyperlink r:id="rId517" ref="AR519"/>
    <hyperlink r:id="rId518" ref="AR520"/>
    <hyperlink r:id="rId519" ref="AR521"/>
    <hyperlink r:id="rId520" ref="AR522"/>
    <hyperlink r:id="rId521" ref="Z523"/>
    <hyperlink r:id="rId522" ref="Z524"/>
    <hyperlink r:id="rId523" ref="Z525"/>
    <hyperlink r:id="rId524" ref="Z526"/>
    <hyperlink r:id="rId525" ref="Z527"/>
    <hyperlink r:id="rId526" ref="Z528"/>
    <hyperlink r:id="rId527" ref="Z529"/>
    <hyperlink r:id="rId528" ref="Z530"/>
    <hyperlink r:id="rId529" ref="Z531"/>
    <hyperlink r:id="rId530" ref="Z532"/>
    <hyperlink r:id="rId531" ref="Z533"/>
    <hyperlink r:id="rId532" ref="Z534"/>
    <hyperlink r:id="rId533" ref="Z535"/>
    <hyperlink r:id="rId534" ref="Z536"/>
    <hyperlink r:id="rId535" ref="Z537"/>
    <hyperlink r:id="rId536" ref="Z538"/>
    <hyperlink r:id="rId537" ref="Z539"/>
    <hyperlink r:id="rId538" ref="Z540"/>
    <hyperlink r:id="rId539" ref="Z541"/>
    <hyperlink r:id="rId540" ref="Z542"/>
    <hyperlink r:id="rId541" ref="AR543"/>
    <hyperlink r:id="rId542" ref="Z544"/>
    <hyperlink r:id="rId543" ref="Z545"/>
    <hyperlink r:id="rId544" ref="AR546"/>
    <hyperlink r:id="rId545" ref="AR547"/>
    <hyperlink r:id="rId546" ref="AR548"/>
    <hyperlink r:id="rId547" ref="Z549"/>
    <hyperlink r:id="rId548" ref="Z550"/>
    <hyperlink r:id="rId549" ref="AR551"/>
    <hyperlink r:id="rId550" ref="Z552"/>
    <hyperlink r:id="rId551" ref="Z553"/>
    <hyperlink r:id="rId552" ref="Z554"/>
    <hyperlink r:id="rId553" ref="Z555"/>
    <hyperlink r:id="rId554" ref="Z556"/>
    <hyperlink r:id="rId555" ref="Z557"/>
    <hyperlink r:id="rId556" ref="Z558"/>
    <hyperlink r:id="rId557" ref="Z559"/>
    <hyperlink r:id="rId558" ref="Z560"/>
    <hyperlink r:id="rId559" ref="Z561"/>
    <hyperlink r:id="rId560" ref="Z562"/>
    <hyperlink r:id="rId561" ref="AR563"/>
    <hyperlink r:id="rId562" ref="Z564"/>
    <hyperlink r:id="rId563" ref="Z565"/>
    <hyperlink r:id="rId564" ref="Z566"/>
    <hyperlink r:id="rId565" ref="Z567"/>
    <hyperlink r:id="rId566" ref="Z568"/>
    <hyperlink r:id="rId567" ref="Z569"/>
    <hyperlink r:id="rId568" ref="Z570"/>
    <hyperlink r:id="rId569" ref="Z571"/>
    <hyperlink r:id="rId570" ref="Z572"/>
    <hyperlink r:id="rId571" ref="Z573"/>
    <hyperlink r:id="rId572" ref="Z574"/>
    <hyperlink r:id="rId573" ref="Z575"/>
    <hyperlink r:id="rId574" ref="Z576"/>
    <hyperlink r:id="rId575" ref="AR577"/>
    <hyperlink r:id="rId576" ref="Z578"/>
    <hyperlink r:id="rId577" ref="Z579"/>
    <hyperlink r:id="rId578" ref="Z580"/>
    <hyperlink r:id="rId579" ref="Z581"/>
    <hyperlink r:id="rId580" ref="Z582"/>
    <hyperlink r:id="rId581" ref="Z583"/>
    <hyperlink r:id="rId582" ref="Z584"/>
    <hyperlink r:id="rId583" ref="Z585"/>
    <hyperlink r:id="rId584" ref="Z586"/>
    <hyperlink r:id="rId585" ref="Z587"/>
    <hyperlink r:id="rId586" ref="Z588"/>
    <hyperlink r:id="rId587" ref="Z589"/>
    <hyperlink r:id="rId588" ref="Z590"/>
    <hyperlink r:id="rId589" ref="Z591"/>
    <hyperlink r:id="rId590" ref="Z592"/>
    <hyperlink r:id="rId591" ref="Z593"/>
    <hyperlink r:id="rId592" ref="Z594"/>
    <hyperlink r:id="rId593" ref="Z595"/>
    <hyperlink r:id="rId594" ref="Z596"/>
    <hyperlink r:id="rId595" ref="Z597"/>
    <hyperlink r:id="rId596" ref="Z598"/>
    <hyperlink r:id="rId597" ref="AR599"/>
    <hyperlink r:id="rId598" ref="Z600"/>
    <hyperlink r:id="rId599" ref="Z601"/>
    <hyperlink r:id="rId600" ref="Z602"/>
    <hyperlink r:id="rId601" ref="Z603"/>
    <hyperlink r:id="rId602" ref="Z604"/>
    <hyperlink r:id="rId603" ref="Z605"/>
    <hyperlink r:id="rId604" ref="Z606"/>
    <hyperlink r:id="rId605" ref="Z607"/>
    <hyperlink r:id="rId606" ref="Z608"/>
    <hyperlink r:id="rId607" ref="Z609"/>
    <hyperlink r:id="rId608" ref="Z610"/>
    <hyperlink r:id="rId609" ref="Z611"/>
    <hyperlink r:id="rId610" ref="Z612"/>
    <hyperlink r:id="rId611" ref="Z613"/>
    <hyperlink r:id="rId612" ref="Z614"/>
    <hyperlink r:id="rId613" ref="Z615"/>
    <hyperlink r:id="rId614" ref="AR616"/>
    <hyperlink r:id="rId615" ref="Z617"/>
    <hyperlink r:id="rId616" ref="Z618"/>
    <hyperlink r:id="rId617" ref="Z619"/>
    <hyperlink r:id="rId618" ref="Z620"/>
    <hyperlink r:id="rId619" ref="Z621"/>
    <hyperlink r:id="rId620" ref="Z622"/>
    <hyperlink r:id="rId621" ref="AR623"/>
    <hyperlink r:id="rId622" ref="Z624"/>
    <hyperlink r:id="rId623" ref="Z625"/>
    <hyperlink r:id="rId624" ref="Z626"/>
    <hyperlink r:id="rId625" ref="Z627"/>
    <hyperlink r:id="rId626" ref="Z628"/>
    <hyperlink r:id="rId627" ref="Z629"/>
    <hyperlink r:id="rId628" ref="Z630"/>
    <hyperlink r:id="rId629" ref="Z631"/>
    <hyperlink r:id="rId630" ref="AR632"/>
    <hyperlink r:id="rId631" ref="AR633"/>
    <hyperlink r:id="rId632" ref="Z634"/>
    <hyperlink r:id="rId633" ref="Z635"/>
    <hyperlink r:id="rId634" ref="Z636"/>
    <hyperlink r:id="rId635" ref="Z637"/>
    <hyperlink r:id="rId636" ref="Z638"/>
    <hyperlink r:id="rId637" ref="Z639"/>
    <hyperlink r:id="rId638" ref="Z640"/>
    <hyperlink r:id="rId639" ref="Z641"/>
    <hyperlink r:id="rId640" ref="Z642"/>
    <hyperlink r:id="rId641" ref="AR643"/>
    <hyperlink r:id="rId642" ref="Z644"/>
    <hyperlink r:id="rId643" ref="Z645"/>
    <hyperlink r:id="rId644" ref="Z646"/>
    <hyperlink r:id="rId645" ref="Z647"/>
    <hyperlink r:id="rId646" ref="Z648"/>
    <hyperlink r:id="rId647" ref="Z649"/>
    <hyperlink r:id="rId648" ref="Z650"/>
    <hyperlink r:id="rId649" ref="Z651"/>
    <hyperlink r:id="rId650" ref="Z652"/>
    <hyperlink r:id="rId651" ref="Z653"/>
    <hyperlink r:id="rId652" ref="Z654"/>
    <hyperlink r:id="rId653" ref="Z655"/>
    <hyperlink r:id="rId654" ref="Z656"/>
    <hyperlink r:id="rId655" ref="Z657"/>
    <hyperlink r:id="rId656" ref="Z658"/>
    <hyperlink r:id="rId657" ref="Z659"/>
    <hyperlink r:id="rId658" ref="Z660"/>
    <hyperlink r:id="rId659" ref="Z661"/>
    <hyperlink r:id="rId660" ref="Z662"/>
    <hyperlink r:id="rId661" ref="Z663"/>
    <hyperlink r:id="rId662" ref="Z664"/>
    <hyperlink r:id="rId663" ref="Z665"/>
    <hyperlink r:id="rId664" ref="Z666"/>
    <hyperlink r:id="rId665" ref="Z667"/>
    <hyperlink r:id="rId666" ref="Z668"/>
    <hyperlink r:id="rId667" ref="Z669"/>
    <hyperlink r:id="rId668" ref="AR670"/>
    <hyperlink r:id="rId669" ref="Z671"/>
    <hyperlink r:id="rId670" ref="Z672"/>
    <hyperlink r:id="rId671" ref="Z673"/>
    <hyperlink r:id="rId672" ref="Z674"/>
    <hyperlink r:id="rId673" ref="Z675"/>
    <hyperlink r:id="rId674" ref="Z676"/>
    <hyperlink r:id="rId675" ref="Z677"/>
    <hyperlink r:id="rId676" ref="Z678"/>
    <hyperlink r:id="rId677" ref="Z679"/>
    <hyperlink r:id="rId678" ref="Z680"/>
    <hyperlink r:id="rId679" ref="Z681"/>
    <hyperlink r:id="rId680" ref="Z682"/>
    <hyperlink r:id="rId681" ref="Z683"/>
    <hyperlink r:id="rId682" ref="Z684"/>
    <hyperlink r:id="rId683" ref="Z685"/>
    <hyperlink r:id="rId684" ref="Z686"/>
    <hyperlink r:id="rId685" ref="Z687"/>
    <hyperlink r:id="rId686" ref="Z688"/>
    <hyperlink r:id="rId687" ref="Z689"/>
    <hyperlink r:id="rId688" ref="Z690"/>
    <hyperlink r:id="rId689" ref="Z691"/>
    <hyperlink r:id="rId690" ref="Z692"/>
    <hyperlink r:id="rId691" ref="Z693"/>
    <hyperlink r:id="rId692" ref="Z694"/>
    <hyperlink r:id="rId693" ref="Z695"/>
    <hyperlink r:id="rId694" ref="Z696"/>
    <hyperlink r:id="rId695" ref="AR697"/>
    <hyperlink r:id="rId696" ref="Z698"/>
    <hyperlink r:id="rId697" ref="AR699"/>
    <hyperlink r:id="rId698" ref="Z700"/>
    <hyperlink r:id="rId699" ref="Z701"/>
    <hyperlink r:id="rId700" ref="Z702"/>
    <hyperlink r:id="rId701" ref="Z703"/>
    <hyperlink r:id="rId702" ref="Z704"/>
    <hyperlink r:id="rId703" ref="Z705"/>
    <hyperlink r:id="rId704" ref="Z706"/>
    <hyperlink r:id="rId705" ref="Z707"/>
    <hyperlink r:id="rId706" ref="AR708"/>
    <hyperlink r:id="rId707" ref="Z709"/>
    <hyperlink r:id="rId708" ref="Z710"/>
    <hyperlink r:id="rId709" ref="Z711"/>
    <hyperlink r:id="rId710" ref="Z712"/>
    <hyperlink r:id="rId711" ref="Z713"/>
    <hyperlink r:id="rId712" ref="Z714"/>
    <hyperlink r:id="rId713" ref="Z715"/>
    <hyperlink r:id="rId714" ref="Z716"/>
    <hyperlink r:id="rId715" ref="AR717"/>
    <hyperlink r:id="rId716" ref="Z718"/>
    <hyperlink r:id="rId717" ref="Z719"/>
    <hyperlink r:id="rId718" ref="Z720"/>
    <hyperlink r:id="rId719" ref="Z721"/>
    <hyperlink r:id="rId720" ref="AR722"/>
    <hyperlink r:id="rId721" ref="Z723"/>
    <hyperlink r:id="rId722" ref="Z724"/>
    <hyperlink r:id="rId723" ref="Z725"/>
    <hyperlink r:id="rId724" ref="Z726"/>
    <hyperlink r:id="rId725" ref="Z727"/>
    <hyperlink r:id="rId726" ref="Z728"/>
    <hyperlink r:id="rId727" ref="Z729"/>
    <hyperlink r:id="rId728" ref="Z730"/>
    <hyperlink r:id="rId729" ref="Z731"/>
    <hyperlink r:id="rId730" ref="Z732"/>
    <hyperlink r:id="rId731" ref="Z733"/>
    <hyperlink r:id="rId732" ref="Z734"/>
    <hyperlink r:id="rId733" ref="Z735"/>
    <hyperlink r:id="rId734" ref="AR736"/>
    <hyperlink r:id="rId735" ref="Z737"/>
    <hyperlink r:id="rId736" ref="Z738"/>
    <hyperlink r:id="rId737" ref="AR739"/>
    <hyperlink r:id="rId738" ref="Z740"/>
    <hyperlink r:id="rId739" ref="Z741"/>
    <hyperlink r:id="rId740" ref="Z742"/>
    <hyperlink r:id="rId741" ref="Z743"/>
    <hyperlink r:id="rId742" ref="Z744"/>
    <hyperlink r:id="rId743" ref="Z745"/>
    <hyperlink r:id="rId744" ref="Z746"/>
    <hyperlink r:id="rId745" ref="Z747"/>
    <hyperlink r:id="rId746" ref="Z748"/>
    <hyperlink r:id="rId747" ref="AR749"/>
    <hyperlink r:id="rId748" ref="Z750"/>
    <hyperlink r:id="rId749" ref="Z751"/>
    <hyperlink r:id="rId750" ref="Z752"/>
    <hyperlink r:id="rId751" ref="Z753"/>
    <hyperlink r:id="rId752" ref="Z754"/>
    <hyperlink r:id="rId753" ref="Z755"/>
    <hyperlink r:id="rId754" ref="Z756"/>
    <hyperlink r:id="rId755" ref="AR757"/>
    <hyperlink r:id="rId756" ref="Z758"/>
    <hyperlink r:id="rId757" ref="Z759"/>
    <hyperlink r:id="rId758" ref="Z760"/>
    <hyperlink r:id="rId759" ref="Z761"/>
    <hyperlink r:id="rId760" ref="Z762"/>
    <hyperlink r:id="rId761" ref="Z763"/>
    <hyperlink r:id="rId762" ref="Z764"/>
    <hyperlink r:id="rId763" ref="Z765"/>
    <hyperlink r:id="rId764" ref="Z766"/>
    <hyperlink r:id="rId765" ref="Z767"/>
    <hyperlink r:id="rId766" ref="Z768"/>
    <hyperlink r:id="rId767" ref="Z769"/>
    <hyperlink r:id="rId768" ref="Z770"/>
    <hyperlink r:id="rId769" ref="Z771"/>
    <hyperlink r:id="rId770" ref="AR772"/>
    <hyperlink r:id="rId771" ref="AR773"/>
    <hyperlink r:id="rId772" ref="Z774"/>
    <hyperlink r:id="rId773" ref="Z775"/>
    <hyperlink r:id="rId774" ref="Z776"/>
    <hyperlink r:id="rId775" ref="Z777"/>
    <hyperlink r:id="rId776" ref="AR778"/>
    <hyperlink r:id="rId777" ref="Z779"/>
    <hyperlink r:id="rId778" ref="Z780"/>
    <hyperlink r:id="rId779" ref="Z781"/>
    <hyperlink r:id="rId780" ref="Z782"/>
    <hyperlink r:id="rId781" ref="Z783"/>
    <hyperlink r:id="rId782" ref="Z784"/>
    <hyperlink r:id="rId783" ref="Z785"/>
    <hyperlink r:id="rId784" ref="AR786"/>
    <hyperlink r:id="rId785" ref="Z787"/>
    <hyperlink r:id="rId786" ref="Z788"/>
    <hyperlink r:id="rId787" ref="Z789"/>
    <hyperlink r:id="rId788" ref="Z790"/>
    <hyperlink r:id="rId789" ref="Z791"/>
    <hyperlink r:id="rId790" ref="Z792"/>
    <hyperlink r:id="rId791" ref="Z793"/>
    <hyperlink r:id="rId792" ref="Z794"/>
    <hyperlink r:id="rId793" ref="Z795"/>
    <hyperlink r:id="rId794" ref="Z796"/>
    <hyperlink r:id="rId795" ref="Z797"/>
    <hyperlink r:id="rId796" ref="Z798"/>
    <hyperlink r:id="rId797" ref="Z799"/>
    <hyperlink r:id="rId798" ref="Z800"/>
    <hyperlink r:id="rId799" ref="Z801"/>
    <hyperlink r:id="rId800" ref="Z802"/>
    <hyperlink r:id="rId801" ref="Z803"/>
    <hyperlink r:id="rId802" ref="AR804"/>
    <hyperlink r:id="rId803" ref="AR805"/>
    <hyperlink r:id="rId804" ref="Z806"/>
    <hyperlink r:id="rId805" ref="Z807"/>
    <hyperlink r:id="rId806" ref="Z808"/>
    <hyperlink r:id="rId807" ref="Z809"/>
    <hyperlink r:id="rId808" ref="Z810"/>
    <hyperlink r:id="rId809" ref="Z811"/>
    <hyperlink r:id="rId810" ref="Z812"/>
    <hyperlink r:id="rId811" ref="Z813"/>
    <hyperlink r:id="rId812" ref="Z814"/>
    <hyperlink r:id="rId813" ref="Z815"/>
    <hyperlink r:id="rId814" ref="Z816"/>
    <hyperlink r:id="rId815" ref="Z817"/>
    <hyperlink r:id="rId816" ref="Z818"/>
    <hyperlink r:id="rId817" ref="AR819"/>
    <hyperlink r:id="rId818" ref="Z820"/>
    <hyperlink r:id="rId819" ref="AR821"/>
    <hyperlink r:id="rId820" ref="AR822"/>
    <hyperlink r:id="rId821" ref="Z823"/>
    <hyperlink r:id="rId822" ref="Z824"/>
    <hyperlink r:id="rId823" ref="Z825"/>
    <hyperlink r:id="rId824" ref="Z826"/>
    <hyperlink r:id="rId825" ref="Z827"/>
    <hyperlink r:id="rId826" ref="Z828"/>
    <hyperlink r:id="rId827" ref="Z829"/>
    <hyperlink r:id="rId828" ref="Z830"/>
    <hyperlink r:id="rId829" ref="Z831"/>
    <hyperlink r:id="rId830" ref="Z832"/>
    <hyperlink r:id="rId831" ref="Z833"/>
    <hyperlink r:id="rId832" ref="Z834"/>
    <hyperlink r:id="rId833" ref="Z835"/>
    <hyperlink r:id="rId834" ref="Z836"/>
    <hyperlink r:id="rId835" ref="Z837"/>
    <hyperlink r:id="rId836" ref="Z838"/>
    <hyperlink r:id="rId837" ref="Z839"/>
    <hyperlink r:id="rId838" ref="Z840"/>
    <hyperlink r:id="rId839" ref="Z841"/>
    <hyperlink r:id="rId840" ref="Z842"/>
    <hyperlink r:id="rId841" ref="Z843"/>
    <hyperlink r:id="rId842" ref="Z844"/>
    <hyperlink r:id="rId843" ref="Z845"/>
    <hyperlink r:id="rId844" ref="AR846"/>
    <hyperlink r:id="rId845" ref="Z847"/>
    <hyperlink r:id="rId846" ref="Z848"/>
    <hyperlink r:id="rId847" ref="Z849"/>
    <hyperlink r:id="rId848" ref="Z850"/>
    <hyperlink r:id="rId849" ref="Z851"/>
    <hyperlink r:id="rId850" ref="Z852"/>
    <hyperlink r:id="rId851" ref="Z853"/>
    <hyperlink r:id="rId852" ref="Z854"/>
    <hyperlink r:id="rId853" ref="Z855"/>
    <hyperlink r:id="rId854" ref="Z856"/>
    <hyperlink r:id="rId855" ref="Z857"/>
    <hyperlink r:id="rId856" ref="Z858"/>
    <hyperlink r:id="rId857" ref="Z859"/>
    <hyperlink r:id="rId858" ref="O860"/>
    <hyperlink r:id="rId859" ref="Z861"/>
    <hyperlink r:id="rId860" ref="Z862"/>
    <hyperlink r:id="rId861" ref="Z863"/>
    <hyperlink r:id="rId862" ref="Z864"/>
    <hyperlink r:id="rId863" ref="Z865"/>
    <hyperlink r:id="rId864" ref="Z866"/>
    <hyperlink r:id="rId865" ref="Z867"/>
    <hyperlink r:id="rId866" ref="Z868"/>
    <hyperlink r:id="rId867" ref="Z869"/>
    <hyperlink r:id="rId868" ref="Z870"/>
    <hyperlink r:id="rId869" ref="Z871"/>
    <hyperlink r:id="rId870" ref="Z872"/>
    <hyperlink r:id="rId871" ref="Z873"/>
    <hyperlink r:id="rId872" ref="Z874"/>
    <hyperlink r:id="rId873" ref="Z875"/>
    <hyperlink r:id="rId874" ref="Z876"/>
    <hyperlink r:id="rId875" ref="Z877"/>
    <hyperlink r:id="rId876" ref="Z878"/>
    <hyperlink r:id="rId877" ref="Z879"/>
    <hyperlink r:id="rId878" ref="Z880"/>
    <hyperlink r:id="rId879" ref="Z881"/>
    <hyperlink r:id="rId880" ref="Z882"/>
    <hyperlink r:id="rId881" ref="Z883"/>
    <hyperlink r:id="rId882" ref="Z884"/>
    <hyperlink r:id="rId883" ref="AR885"/>
    <hyperlink r:id="rId884" ref="Z886"/>
    <hyperlink r:id="rId885" ref="Z887"/>
    <hyperlink r:id="rId886" ref="Z888"/>
    <hyperlink r:id="rId887" ref="Z889"/>
    <hyperlink r:id="rId888" ref="Z890"/>
    <hyperlink r:id="rId889" ref="Z891"/>
    <hyperlink r:id="rId890" ref="Z892"/>
    <hyperlink r:id="rId891" ref="Z893"/>
    <hyperlink r:id="rId892" ref="Z894"/>
    <hyperlink r:id="rId893" ref="Z895"/>
    <hyperlink r:id="rId894" ref="Z896"/>
    <hyperlink r:id="rId895" ref="Z897"/>
    <hyperlink r:id="rId896" ref="Z898"/>
    <hyperlink r:id="rId897" ref="Z899"/>
    <hyperlink r:id="rId898" ref="Z900"/>
    <hyperlink r:id="rId899" ref="Z901"/>
    <hyperlink r:id="rId900" ref="Z902"/>
    <hyperlink r:id="rId901" ref="Z903"/>
    <hyperlink r:id="rId902" ref="Z904"/>
    <hyperlink r:id="rId903" ref="Z905"/>
    <hyperlink r:id="rId904" ref="Z906"/>
    <hyperlink r:id="rId905" ref="AR907"/>
    <hyperlink r:id="rId906" ref="Z908"/>
    <hyperlink r:id="rId907" ref="Z909"/>
    <hyperlink r:id="rId908" ref="Z910"/>
    <hyperlink r:id="rId909" ref="Z911"/>
    <hyperlink r:id="rId910" ref="Z912"/>
    <hyperlink r:id="rId911" ref="Z913"/>
    <hyperlink r:id="rId912" ref="Z914"/>
    <hyperlink r:id="rId913" ref="Z915"/>
    <hyperlink r:id="rId914" ref="Z916"/>
    <hyperlink r:id="rId915" ref="Z917"/>
    <hyperlink r:id="rId916" ref="Z918"/>
    <hyperlink r:id="rId917" ref="Z919"/>
    <hyperlink r:id="rId918" ref="Z920"/>
    <hyperlink r:id="rId919" ref="Z921"/>
    <hyperlink r:id="rId920" ref="Z922"/>
    <hyperlink r:id="rId921" ref="Z923"/>
    <hyperlink r:id="rId922" ref="Z924"/>
    <hyperlink r:id="rId923" ref="Z925"/>
    <hyperlink r:id="rId924" ref="Z926"/>
    <hyperlink r:id="rId925" ref="Z927"/>
    <hyperlink r:id="rId926" ref="Z928"/>
    <hyperlink r:id="rId927" ref="Z929"/>
    <hyperlink r:id="rId928" ref="Z930"/>
    <hyperlink r:id="rId929" ref="Z931"/>
    <hyperlink r:id="rId930" ref="Z932"/>
    <hyperlink r:id="rId931" ref="Z933"/>
    <hyperlink r:id="rId932" ref="Z934"/>
    <hyperlink r:id="rId933" ref="Z935"/>
    <hyperlink r:id="rId934" ref="Z936"/>
    <hyperlink r:id="rId935" ref="Z937"/>
    <hyperlink r:id="rId936" ref="Z938"/>
    <hyperlink r:id="rId937" ref="Z939"/>
    <hyperlink r:id="rId938" ref="Z940"/>
    <hyperlink r:id="rId939" ref="Z941"/>
    <hyperlink r:id="rId940" ref="Z942"/>
    <hyperlink r:id="rId941" ref="Z943"/>
    <hyperlink r:id="rId942" ref="Z944"/>
    <hyperlink r:id="rId943" ref="Z945"/>
    <hyperlink r:id="rId944" ref="Z946"/>
    <hyperlink r:id="rId945" ref="Z947"/>
    <hyperlink r:id="rId946" ref="Z948"/>
    <hyperlink r:id="rId947" ref="Z949"/>
    <hyperlink r:id="rId948" ref="Z950"/>
    <hyperlink r:id="rId949" ref="Z951"/>
    <hyperlink r:id="rId950" ref="Z952"/>
    <hyperlink r:id="rId951" ref="Z953"/>
    <hyperlink r:id="rId952" ref="Z954"/>
    <hyperlink r:id="rId953" ref="Z955"/>
    <hyperlink r:id="rId954" ref="Z956"/>
    <hyperlink r:id="rId955" ref="Z957"/>
    <hyperlink r:id="rId956" ref="AR958"/>
    <hyperlink r:id="rId957" ref="Z959"/>
    <hyperlink r:id="rId958" ref="AR960"/>
    <hyperlink r:id="rId959" ref="AR961"/>
    <hyperlink r:id="rId960" ref="Z962"/>
    <hyperlink r:id="rId961" ref="AR963"/>
    <hyperlink r:id="rId962" ref="Z964"/>
    <hyperlink r:id="rId963" ref="Z965"/>
    <hyperlink r:id="rId964" ref="Z966"/>
    <hyperlink r:id="rId965" ref="Z967"/>
    <hyperlink r:id="rId966" ref="Z968"/>
    <hyperlink r:id="rId967" ref="Z969"/>
    <hyperlink r:id="rId968" ref="Z970"/>
    <hyperlink r:id="rId969" ref="Z971"/>
    <hyperlink r:id="rId970" ref="Z972"/>
    <hyperlink r:id="rId971" ref="AR973"/>
    <hyperlink r:id="rId972" ref="Z974"/>
    <hyperlink r:id="rId973" ref="Z975"/>
    <hyperlink r:id="rId974" ref="Z976"/>
    <hyperlink r:id="rId975" ref="Z977"/>
    <hyperlink r:id="rId976" ref="Z978"/>
    <hyperlink r:id="rId977" ref="Z979"/>
    <hyperlink r:id="rId978" ref="Z980"/>
    <hyperlink r:id="rId979" ref="Z981"/>
    <hyperlink r:id="rId980" ref="Z982"/>
    <hyperlink r:id="rId981" ref="AR983"/>
    <hyperlink r:id="rId982" ref="Z984"/>
    <hyperlink r:id="rId983" ref="Z985"/>
    <hyperlink r:id="rId984" ref="Z986"/>
    <hyperlink r:id="rId985" ref="Z987"/>
    <hyperlink r:id="rId986" ref="Z988"/>
    <hyperlink r:id="rId987" ref="Z989"/>
    <hyperlink r:id="rId988" ref="Z990"/>
    <hyperlink r:id="rId989" ref="Z991"/>
    <hyperlink r:id="rId990" ref="Z992"/>
    <hyperlink r:id="rId991" ref="Z993"/>
    <hyperlink r:id="rId992" ref="Z994"/>
    <hyperlink r:id="rId993" ref="Z995"/>
    <hyperlink r:id="rId994" ref="Z996"/>
    <hyperlink r:id="rId995" ref="Z997"/>
    <hyperlink r:id="rId996" ref="Z998"/>
    <hyperlink r:id="rId997" ref="Z999"/>
    <hyperlink r:id="rId998" ref="Z1000"/>
    <hyperlink r:id="rId999" ref="Z1001"/>
    <hyperlink r:id="rId1000" ref="Z1002"/>
    <hyperlink r:id="rId1001" ref="Z1003"/>
    <hyperlink r:id="rId1002" ref="Z1004"/>
    <hyperlink r:id="rId1003" ref="Z1005"/>
    <hyperlink r:id="rId1004" ref="Z1006"/>
    <hyperlink r:id="rId1005" ref="Z1007"/>
    <hyperlink r:id="rId1006" ref="Z1008"/>
    <hyperlink r:id="rId1007" ref="Z1009"/>
    <hyperlink r:id="rId1008" ref="Z1010"/>
    <hyperlink r:id="rId1009" ref="Z1011"/>
    <hyperlink r:id="rId1010" ref="Z1012"/>
    <hyperlink r:id="rId1011" ref="Z1013"/>
    <hyperlink r:id="rId1012" ref="Z1014"/>
    <hyperlink r:id="rId1013" ref="Z1015"/>
    <hyperlink r:id="rId1014" ref="Z1016"/>
    <hyperlink r:id="rId1015" ref="Z1017"/>
    <hyperlink r:id="rId1016" ref="Z1018"/>
    <hyperlink r:id="rId1017" ref="Z1019"/>
    <hyperlink r:id="rId1018" ref="Z1020"/>
    <hyperlink r:id="rId1019" ref="Z1021"/>
    <hyperlink r:id="rId1020" ref="Z1022"/>
    <hyperlink r:id="rId1021" ref="Z1023"/>
    <hyperlink r:id="rId1022" ref="Z1024"/>
    <hyperlink r:id="rId1023" ref="Z1025"/>
    <hyperlink r:id="rId1024" ref="Z1026"/>
    <hyperlink r:id="rId1025" ref="Z1027"/>
    <hyperlink r:id="rId1026" ref="Z1028"/>
    <hyperlink r:id="rId1027" ref="Z1029"/>
    <hyperlink r:id="rId1028" ref="Z1030"/>
    <hyperlink r:id="rId1029" ref="Z1031"/>
    <hyperlink r:id="rId1030" ref="Z1032"/>
    <hyperlink r:id="rId1031" ref="Z1033"/>
    <hyperlink r:id="rId1032" ref="Z1034"/>
    <hyperlink r:id="rId1033" ref="Z1035"/>
    <hyperlink r:id="rId1034" ref="Z1036"/>
    <hyperlink r:id="rId1035" ref="Z1037"/>
    <hyperlink r:id="rId1036" ref="AR1038"/>
    <hyperlink r:id="rId1037" ref="AR1039"/>
    <hyperlink r:id="rId1038" ref="AR1040"/>
    <hyperlink r:id="rId1039" ref="Z1041"/>
    <hyperlink r:id="rId1040" ref="Z1042"/>
    <hyperlink r:id="rId1041" ref="Z1043"/>
    <hyperlink r:id="rId1042" ref="Z1044"/>
    <hyperlink r:id="rId1043" ref="Z1045"/>
    <hyperlink r:id="rId1044" ref="Z1046"/>
    <hyperlink r:id="rId1045" ref="Z1047"/>
    <hyperlink r:id="rId1046" ref="Z1048"/>
    <hyperlink r:id="rId1047" ref="Z1049"/>
    <hyperlink r:id="rId1048" ref="Z1050"/>
    <hyperlink r:id="rId1049" ref="Z1051"/>
    <hyperlink r:id="rId1050" ref="Z1052"/>
    <hyperlink r:id="rId1051" ref="Z1053"/>
    <hyperlink r:id="rId1052" ref="Z1054"/>
    <hyperlink r:id="rId1053" ref="Z1055"/>
    <hyperlink r:id="rId1054" ref="Z1056"/>
    <hyperlink r:id="rId1055" ref="Z1057"/>
    <hyperlink r:id="rId1056" ref="Z1058"/>
    <hyperlink r:id="rId1057" ref="Z1059"/>
    <hyperlink r:id="rId1058" ref="Z1060"/>
    <hyperlink r:id="rId1059" ref="Z1061"/>
    <hyperlink r:id="rId1060" ref="Z1062"/>
    <hyperlink r:id="rId1061" ref="Z1063"/>
    <hyperlink r:id="rId1062" ref="Z1064"/>
    <hyperlink r:id="rId1063" ref="AR1065"/>
    <hyperlink r:id="rId1064" ref="AR1066"/>
    <hyperlink r:id="rId1065" ref="AR1067"/>
    <hyperlink r:id="rId1066" ref="Z1068"/>
    <hyperlink r:id="rId1067" ref="Z1069"/>
    <hyperlink r:id="rId1068" ref="Z1070"/>
    <hyperlink r:id="rId1069" ref="Z1071"/>
    <hyperlink r:id="rId1070" ref="Z1072"/>
    <hyperlink r:id="rId1071" ref="Z1073"/>
    <hyperlink r:id="rId1072" ref="Z1074"/>
    <hyperlink r:id="rId1073" ref="Z1075"/>
    <hyperlink r:id="rId1074" ref="Z1076"/>
    <hyperlink r:id="rId1075" ref="Z1077"/>
    <hyperlink r:id="rId1076" ref="Z1078"/>
    <hyperlink r:id="rId1077" ref="Z1079"/>
    <hyperlink r:id="rId1078" ref="Z1080"/>
    <hyperlink r:id="rId1079" ref="Z1081"/>
    <hyperlink r:id="rId1080" ref="Z1082"/>
    <hyperlink r:id="rId1081" ref="Z1083"/>
    <hyperlink r:id="rId1082" ref="Z1084"/>
    <hyperlink r:id="rId1083" ref="Z1085"/>
    <hyperlink r:id="rId1084" ref="Z1086"/>
    <hyperlink r:id="rId1085" ref="Z1087"/>
    <hyperlink r:id="rId1086" ref="Z1088"/>
    <hyperlink r:id="rId1087" ref="Z1089"/>
    <hyperlink r:id="rId1088" ref="Z1090"/>
    <hyperlink r:id="rId1089" ref="Z1091"/>
    <hyperlink r:id="rId1090" ref="Z1092"/>
    <hyperlink r:id="rId1091" ref="AR1093"/>
    <hyperlink r:id="rId1092" ref="Z1094"/>
    <hyperlink r:id="rId1093" ref="Z1095"/>
    <hyperlink r:id="rId1094" ref="Z1096"/>
    <hyperlink r:id="rId1095" ref="Z1097"/>
    <hyperlink r:id="rId1096" ref="Z1098"/>
    <hyperlink r:id="rId1097" ref="Z1099"/>
    <hyperlink r:id="rId1098" ref="Z1100"/>
    <hyperlink r:id="rId1099" ref="Z1101"/>
    <hyperlink r:id="rId1100" ref="Z1102"/>
    <hyperlink r:id="rId1101" ref="Z1103"/>
    <hyperlink r:id="rId1102" ref="Z1104"/>
    <hyperlink r:id="rId1103" ref="Z1105"/>
    <hyperlink r:id="rId1104" ref="Z1106"/>
    <hyperlink r:id="rId1105" ref="Z1107"/>
    <hyperlink r:id="rId1106" ref="Z1108"/>
    <hyperlink r:id="rId1107" ref="AR1109"/>
    <hyperlink r:id="rId1108" ref="Z1110"/>
    <hyperlink r:id="rId1109" ref="Z1111"/>
    <hyperlink r:id="rId1110" ref="Z1112"/>
    <hyperlink r:id="rId1111" ref="Z1113"/>
    <hyperlink r:id="rId1112" ref="Z1114"/>
    <hyperlink r:id="rId1113" ref="Z1115"/>
    <hyperlink r:id="rId1114" ref="Z1116"/>
    <hyperlink r:id="rId1115" ref="Z1117"/>
    <hyperlink r:id="rId1116" ref="Z1118"/>
    <hyperlink r:id="rId1117" ref="Z1119"/>
    <hyperlink r:id="rId1118" ref="Z1120"/>
    <hyperlink r:id="rId1119" ref="Z1121"/>
    <hyperlink r:id="rId1120" ref="Z1122"/>
    <hyperlink r:id="rId1121" ref="Z1123"/>
    <hyperlink r:id="rId1122" ref="Z1124"/>
    <hyperlink r:id="rId1123" ref="Z1125"/>
    <hyperlink r:id="rId1124" ref="Z1126"/>
    <hyperlink r:id="rId1125" ref="Z1127"/>
    <hyperlink r:id="rId1126" ref="Z1128"/>
    <hyperlink r:id="rId1127" ref="AR1129"/>
    <hyperlink r:id="rId1128" ref="Z1130"/>
    <hyperlink r:id="rId1129" ref="Z1131"/>
    <hyperlink r:id="rId1130" ref="Z1132"/>
    <hyperlink r:id="rId1131" ref="Z1133"/>
    <hyperlink r:id="rId1132" ref="Z1134"/>
    <hyperlink r:id="rId1133" ref="Z1135"/>
    <hyperlink r:id="rId1134" ref="Z1136"/>
    <hyperlink r:id="rId1135" ref="Z1137"/>
    <hyperlink r:id="rId1136" ref="Z1138"/>
    <hyperlink r:id="rId1137" ref="AR1139"/>
    <hyperlink r:id="rId1138" ref="AR1140"/>
    <hyperlink r:id="rId1139" ref="Z1141"/>
    <hyperlink r:id="rId1140" ref="Z1142"/>
    <hyperlink r:id="rId1141" ref="Z1143"/>
    <hyperlink r:id="rId1142" ref="Z1144"/>
    <hyperlink r:id="rId1143" ref="Z1145"/>
    <hyperlink r:id="rId1144" ref="AR1146"/>
    <hyperlink r:id="rId1145" ref="Z1147"/>
    <hyperlink r:id="rId1146" ref="Z1148"/>
    <hyperlink r:id="rId1147" ref="Z1149"/>
    <hyperlink r:id="rId1148" ref="AR1150"/>
    <hyperlink r:id="rId1149" ref="Z1151"/>
    <hyperlink r:id="rId1150" ref="Z1152"/>
    <hyperlink r:id="rId1151" ref="Z1153"/>
    <hyperlink r:id="rId1152" ref="Z1154"/>
    <hyperlink r:id="rId1153" ref="Z1155"/>
    <hyperlink r:id="rId1154" ref="Z1156"/>
    <hyperlink r:id="rId1155" ref="Z1157"/>
    <hyperlink r:id="rId1156" ref="Z1158"/>
    <hyperlink r:id="rId1157" ref="Z1159"/>
    <hyperlink r:id="rId1158" ref="Z1160"/>
    <hyperlink r:id="rId1159" ref="Z1161"/>
    <hyperlink r:id="rId1160" ref="Z1162"/>
    <hyperlink r:id="rId1161" ref="Z1163"/>
    <hyperlink r:id="rId1162" ref="Z1164"/>
    <hyperlink r:id="rId1163" ref="Z1165"/>
    <hyperlink r:id="rId1164" ref="Z1166"/>
    <hyperlink r:id="rId1165" ref="Z1167"/>
    <hyperlink r:id="rId1166" ref="Z1168"/>
    <hyperlink r:id="rId1167" ref="Z1169"/>
    <hyperlink r:id="rId1168" ref="Z1170"/>
    <hyperlink r:id="rId1169" ref="Z1171"/>
    <hyperlink r:id="rId1170" ref="Z1172"/>
    <hyperlink r:id="rId1171" ref="Z1173"/>
    <hyperlink r:id="rId1172" ref="Z1174"/>
    <hyperlink r:id="rId1173" ref="Z1175"/>
    <hyperlink r:id="rId1174" ref="Z1176"/>
    <hyperlink r:id="rId1175" ref="Z1177"/>
    <hyperlink r:id="rId1176" ref="Z1178"/>
    <hyperlink r:id="rId1177" ref="Z1179"/>
    <hyperlink r:id="rId1178" ref="AR1180"/>
    <hyperlink r:id="rId1179" ref="Z1181"/>
    <hyperlink r:id="rId1180" ref="Z1182"/>
    <hyperlink r:id="rId1181" ref="Z1183"/>
    <hyperlink r:id="rId1182" ref="Z1184"/>
    <hyperlink r:id="rId1183" ref="Z1185"/>
    <hyperlink r:id="rId1184" ref="Z1186"/>
    <hyperlink r:id="rId1185" ref="Z1187"/>
    <hyperlink r:id="rId1186" ref="Z1188"/>
    <hyperlink r:id="rId1187" ref="Z1189"/>
    <hyperlink r:id="rId1188" ref="Z1190"/>
    <hyperlink r:id="rId1189" ref="Z1191"/>
    <hyperlink r:id="rId1190" ref="Z1192"/>
    <hyperlink r:id="rId1191" ref="Z1193"/>
    <hyperlink r:id="rId1192" ref="Z1194"/>
    <hyperlink r:id="rId1193" ref="Z1195"/>
    <hyperlink r:id="rId1194" ref="Z1196"/>
    <hyperlink r:id="rId1195" ref="Z1197"/>
    <hyperlink r:id="rId1196" ref="Z1198"/>
    <hyperlink r:id="rId1197" ref="Z1199"/>
    <hyperlink r:id="rId1198" ref="Z1200"/>
    <hyperlink r:id="rId1199" ref="Z1201"/>
    <hyperlink r:id="rId1200" ref="Z1202"/>
    <hyperlink r:id="rId1201" ref="Z1203"/>
    <hyperlink r:id="rId1202" ref="Z1204"/>
    <hyperlink r:id="rId1203" ref="Z1205"/>
    <hyperlink r:id="rId1204" ref="Z1206"/>
    <hyperlink r:id="rId1205" ref="Z1207"/>
    <hyperlink r:id="rId1206" ref="Z1208"/>
    <hyperlink r:id="rId1207" ref="Z1209"/>
    <hyperlink r:id="rId1208" ref="Z1210"/>
    <hyperlink r:id="rId1209" ref="Z1211"/>
    <hyperlink r:id="rId1210" ref="Z1212"/>
    <hyperlink r:id="rId1211" ref="Z1213"/>
    <hyperlink r:id="rId1212" ref="Z1214"/>
    <hyperlink r:id="rId1213" ref="Z1215"/>
    <hyperlink r:id="rId1214" ref="Z1216"/>
    <hyperlink r:id="rId1215" ref="Z1217"/>
    <hyperlink r:id="rId1216" ref="Z1218"/>
    <hyperlink r:id="rId1217" ref="Z1219"/>
    <hyperlink r:id="rId1218" ref="Z1220"/>
    <hyperlink r:id="rId1219" ref="Z1221"/>
    <hyperlink r:id="rId1220" ref="Z1222"/>
    <hyperlink r:id="rId1221" ref="Z1223"/>
    <hyperlink r:id="rId1222" ref="Z1224"/>
    <hyperlink r:id="rId1223" ref="Z1225"/>
    <hyperlink r:id="rId1224" ref="Z1226"/>
    <hyperlink r:id="rId1225" ref="Z1227"/>
    <hyperlink r:id="rId1226" ref="Z1228"/>
    <hyperlink r:id="rId1227" ref="Z1229"/>
    <hyperlink r:id="rId1228" ref="Z1230"/>
    <hyperlink r:id="rId1229" ref="Z1231"/>
    <hyperlink r:id="rId1230" ref="Z1232"/>
    <hyperlink r:id="rId1231" ref="Z1233"/>
    <hyperlink r:id="rId1232" ref="Z1234"/>
    <hyperlink r:id="rId1233" ref="Z1235"/>
    <hyperlink r:id="rId1234" ref="Z1236"/>
    <hyperlink r:id="rId1235" ref="Z1237"/>
    <hyperlink r:id="rId1236" ref="Z1238"/>
    <hyperlink r:id="rId1237" ref="Z1239"/>
    <hyperlink r:id="rId1238" ref="Z1240"/>
    <hyperlink r:id="rId1239" ref="Z1241"/>
    <hyperlink r:id="rId1240" ref="Z1242"/>
    <hyperlink r:id="rId1241" ref="Z1243"/>
    <hyperlink r:id="rId1242" ref="Z1244"/>
    <hyperlink r:id="rId1243" ref="Z1245"/>
    <hyperlink r:id="rId1244" ref="Z1246"/>
    <hyperlink r:id="rId1245" ref="Z1247"/>
    <hyperlink r:id="rId1246" ref="Z1248"/>
    <hyperlink r:id="rId1247" ref="Z1249"/>
    <hyperlink r:id="rId1248" ref="Z1250"/>
    <hyperlink r:id="rId1249" ref="Z1251"/>
    <hyperlink r:id="rId1250" ref="Z1252"/>
    <hyperlink r:id="rId1251" ref="Z1253"/>
    <hyperlink r:id="rId1252" ref="Z1254"/>
    <hyperlink r:id="rId1253" ref="Z1255"/>
    <hyperlink r:id="rId1254" ref="Z1256"/>
    <hyperlink r:id="rId1255" ref="Z1257"/>
    <hyperlink r:id="rId1256" ref="Z1258"/>
    <hyperlink r:id="rId1257" ref="Z1259"/>
    <hyperlink r:id="rId1258" ref="Z1260"/>
    <hyperlink r:id="rId1259" ref="Z1261"/>
    <hyperlink r:id="rId1260" ref="Z1262"/>
    <hyperlink r:id="rId1261" ref="Z1263"/>
    <hyperlink r:id="rId1262" ref="Z1264"/>
    <hyperlink r:id="rId1263" ref="Z1265"/>
    <hyperlink r:id="rId1264" ref="Z1266"/>
    <hyperlink r:id="rId1265" ref="Z1267"/>
    <hyperlink r:id="rId1266" ref="Z1268"/>
    <hyperlink r:id="rId1267" ref="Z1269"/>
    <hyperlink r:id="rId1268" ref="Z1270"/>
    <hyperlink r:id="rId1269" ref="Z1271"/>
    <hyperlink r:id="rId1270" ref="Z1272"/>
    <hyperlink r:id="rId1271" ref="Z1273"/>
    <hyperlink r:id="rId1272" ref="Z1274"/>
    <hyperlink r:id="rId1273" ref="Z1275"/>
    <hyperlink r:id="rId1274" ref="AR1276"/>
    <hyperlink r:id="rId1275" ref="Z1277"/>
    <hyperlink r:id="rId1276" ref="Z1278"/>
    <hyperlink r:id="rId1277" ref="Z1279"/>
    <hyperlink r:id="rId1278" ref="AR1280"/>
    <hyperlink r:id="rId1279" ref="AR1281"/>
    <hyperlink r:id="rId1280" ref="AR1282"/>
    <hyperlink r:id="rId1281" ref="Z1283"/>
    <hyperlink r:id="rId1282" ref="Z1284"/>
    <hyperlink r:id="rId1283" ref="Z1285"/>
    <hyperlink r:id="rId1284" ref="AR1286"/>
    <hyperlink r:id="rId1285" ref="Z1287"/>
    <hyperlink r:id="rId1286" ref="Z1288"/>
    <hyperlink r:id="rId1287" ref="Z1289"/>
    <hyperlink r:id="rId1288" ref="Z1290"/>
    <hyperlink r:id="rId1289" ref="Z1291"/>
    <hyperlink r:id="rId1290" ref="Z1292"/>
    <hyperlink r:id="rId1291" ref="Z1293"/>
    <hyperlink r:id="rId1292" ref="Z1294"/>
    <hyperlink r:id="rId1293" ref="Z1295"/>
    <hyperlink r:id="rId1294" ref="Z1296"/>
    <hyperlink r:id="rId1295" ref="Z1297"/>
    <hyperlink r:id="rId1296" ref="Z1298"/>
    <hyperlink r:id="rId1297" ref="Z1299"/>
    <hyperlink r:id="rId1298" ref="Z1300"/>
    <hyperlink r:id="rId1299" ref="Z1301"/>
    <hyperlink r:id="rId1300" ref="Z1302"/>
    <hyperlink r:id="rId1301" ref="Z1303"/>
    <hyperlink r:id="rId1302" ref="Z1304"/>
    <hyperlink r:id="rId1303" ref="Z1305"/>
    <hyperlink r:id="rId1304" ref="Z1306"/>
    <hyperlink r:id="rId1305" ref="Z1307"/>
    <hyperlink r:id="rId1306" ref="Z1308"/>
    <hyperlink r:id="rId1307" ref="Z1309"/>
    <hyperlink r:id="rId1308" ref="Z1310"/>
    <hyperlink r:id="rId1309" ref="Z1311"/>
    <hyperlink r:id="rId1310" ref="Z1312"/>
    <hyperlink r:id="rId1311" ref="Z1313"/>
    <hyperlink r:id="rId1312" ref="Z1314"/>
    <hyperlink r:id="rId1313" ref="Z1315"/>
    <hyperlink r:id="rId1314" ref="Z1316"/>
    <hyperlink r:id="rId1315" ref="Z1317"/>
    <hyperlink r:id="rId1316" ref="Z1318"/>
    <hyperlink r:id="rId1317" ref="Z1319"/>
    <hyperlink r:id="rId1318" ref="Z1320"/>
    <hyperlink r:id="rId1319" ref="Z1321"/>
    <hyperlink r:id="rId1320" ref="Z1322"/>
    <hyperlink r:id="rId1321" ref="Z1323"/>
    <hyperlink r:id="rId1322" ref="Z1324"/>
    <hyperlink r:id="rId1323" ref="Z1325"/>
    <hyperlink r:id="rId1324" ref="Z1326"/>
    <hyperlink r:id="rId1325" ref="Z1327"/>
    <hyperlink r:id="rId1326" ref="Z1328"/>
    <hyperlink r:id="rId1327" ref="Z1329"/>
    <hyperlink r:id="rId1328" ref="Z1330"/>
    <hyperlink r:id="rId1329" ref="Z1331"/>
    <hyperlink r:id="rId1330" ref="AR1332"/>
    <hyperlink r:id="rId1331" ref="AR1333"/>
    <hyperlink r:id="rId1332" ref="Z1334"/>
    <hyperlink r:id="rId1333" ref="Z1335"/>
    <hyperlink r:id="rId1334" ref="Z1336"/>
    <hyperlink r:id="rId1335" ref="Z1337"/>
    <hyperlink r:id="rId1336" ref="Z1338"/>
    <hyperlink r:id="rId1337" ref="Z1339"/>
    <hyperlink r:id="rId1338" ref="Z1340"/>
    <hyperlink r:id="rId1339" ref="Z1341"/>
    <hyperlink r:id="rId1340" ref="Z1342"/>
    <hyperlink r:id="rId1341" ref="Z1343"/>
    <hyperlink r:id="rId1342" ref="Z1344"/>
    <hyperlink r:id="rId1343" ref="Z1345"/>
    <hyperlink r:id="rId1344" ref="Z1346"/>
    <hyperlink r:id="rId1345" ref="Z1347"/>
    <hyperlink r:id="rId1346" ref="Z1348"/>
    <hyperlink r:id="rId1347" ref="Z1349"/>
    <hyperlink r:id="rId1348" ref="Z1350"/>
    <hyperlink r:id="rId1349" ref="Z1351"/>
    <hyperlink r:id="rId1350" ref="Z1352"/>
    <hyperlink r:id="rId1351" ref="Z1353"/>
    <hyperlink r:id="rId1352" ref="Z1354"/>
    <hyperlink r:id="rId1353" ref="AR1355"/>
    <hyperlink r:id="rId1354" ref="Z1356"/>
    <hyperlink r:id="rId1355" ref="Z1357"/>
    <hyperlink r:id="rId1356" ref="Z1358"/>
    <hyperlink r:id="rId1357" ref="Z1359"/>
    <hyperlink r:id="rId1358" ref="AR1360"/>
    <hyperlink r:id="rId1359" ref="Z1361"/>
    <hyperlink r:id="rId1360" ref="AR1362"/>
    <hyperlink r:id="rId1361" ref="Z1363"/>
    <hyperlink r:id="rId1362" ref="Z1364"/>
    <hyperlink r:id="rId1363" ref="Z1365"/>
    <hyperlink r:id="rId1364" ref="Z1366"/>
    <hyperlink r:id="rId1365" ref="Z1367"/>
    <hyperlink r:id="rId1366" ref="AR1368"/>
    <hyperlink r:id="rId1367" ref="Z1369"/>
    <hyperlink r:id="rId1368" ref="Z1370"/>
    <hyperlink r:id="rId1369" ref="Z1371"/>
    <hyperlink r:id="rId1370" ref="Z1372"/>
    <hyperlink r:id="rId1371" ref="Z1373"/>
    <hyperlink r:id="rId1372" ref="Z1374"/>
    <hyperlink r:id="rId1373" ref="Z1375"/>
    <hyperlink r:id="rId1374" ref="Z1376"/>
    <hyperlink r:id="rId1375" ref="Z1377"/>
    <hyperlink r:id="rId1376" ref="Z1378"/>
    <hyperlink r:id="rId1377" ref="AR1379"/>
    <hyperlink r:id="rId1378" ref="Z1380"/>
    <hyperlink r:id="rId1379" ref="Z1381"/>
    <hyperlink r:id="rId1380" ref="Z1382"/>
    <hyperlink r:id="rId1381" ref="Z1383"/>
    <hyperlink r:id="rId1382" ref="Z1384"/>
    <hyperlink r:id="rId1383" ref="Z1385"/>
    <hyperlink r:id="rId1384" ref="Z1386"/>
    <hyperlink r:id="rId1385" ref="Z1387"/>
    <hyperlink r:id="rId1386" ref="Z1388"/>
    <hyperlink r:id="rId1387" ref="Z1389"/>
    <hyperlink r:id="rId1388" ref="Z1390"/>
    <hyperlink r:id="rId1389" ref="Z1391"/>
    <hyperlink r:id="rId1390" ref="Z1392"/>
    <hyperlink r:id="rId1391" ref="Z1393"/>
    <hyperlink r:id="rId1392" ref="Z1394"/>
    <hyperlink r:id="rId1393" ref="Z1395"/>
    <hyperlink r:id="rId1394" ref="Z1396"/>
    <hyperlink r:id="rId1395" ref="Z1397"/>
    <hyperlink r:id="rId1396" ref="Z1398"/>
    <hyperlink r:id="rId1397" ref="Z1399"/>
    <hyperlink r:id="rId1398" ref="Z1400"/>
    <hyperlink r:id="rId1399" ref="Z1401"/>
    <hyperlink r:id="rId1400" ref="Z1402"/>
    <hyperlink r:id="rId1401" ref="Z1403"/>
    <hyperlink r:id="rId1402" ref="Z1404"/>
    <hyperlink r:id="rId1403" ref="Z1405"/>
    <hyperlink r:id="rId1404" ref="Z1406"/>
    <hyperlink r:id="rId1405" ref="AR1407"/>
    <hyperlink r:id="rId1406" ref="Z1408"/>
    <hyperlink r:id="rId1407" ref="Z1409"/>
    <hyperlink r:id="rId1408" ref="Z1410"/>
    <hyperlink r:id="rId1409" ref="Z1411"/>
    <hyperlink r:id="rId1410" ref="Z1412"/>
    <hyperlink r:id="rId1411" ref="Z1413"/>
    <hyperlink r:id="rId1412" ref="Z1414"/>
    <hyperlink r:id="rId1413" ref="Z1415"/>
    <hyperlink r:id="rId1414" ref="Z1416"/>
    <hyperlink r:id="rId1415" ref="Z1417"/>
    <hyperlink r:id="rId1416" ref="Z1418"/>
    <hyperlink r:id="rId1417" ref="Z1419"/>
    <hyperlink r:id="rId1418" ref="Z1420"/>
    <hyperlink r:id="rId1419" ref="Z1421"/>
    <hyperlink r:id="rId1420" ref="Z1422"/>
    <hyperlink r:id="rId1421" ref="Z1423"/>
    <hyperlink r:id="rId1422" ref="Z1424"/>
    <hyperlink r:id="rId1423" ref="Z1425"/>
    <hyperlink r:id="rId1424" ref="Z1426"/>
    <hyperlink r:id="rId1425" ref="Z1427"/>
    <hyperlink r:id="rId1426" ref="AR1428"/>
    <hyperlink r:id="rId1427" ref="AR1429"/>
    <hyperlink r:id="rId1428" ref="Z1430"/>
    <hyperlink r:id="rId1429" ref="Z1431"/>
    <hyperlink r:id="rId1430" ref="Z1432"/>
    <hyperlink r:id="rId1431" ref="Z1433"/>
    <hyperlink r:id="rId1432" ref="Z1434"/>
    <hyperlink r:id="rId1433" ref="Z1435"/>
    <hyperlink r:id="rId1434" ref="Z1436"/>
    <hyperlink r:id="rId1435" ref="AR1437"/>
    <hyperlink r:id="rId1436" ref="Z1438"/>
    <hyperlink r:id="rId1437" ref="AR1439"/>
    <hyperlink r:id="rId1438" ref="Z1440"/>
    <hyperlink r:id="rId1439" ref="Z1441"/>
    <hyperlink r:id="rId1440" ref="Z1442"/>
    <hyperlink r:id="rId1441" ref="Z1443"/>
    <hyperlink r:id="rId1442" ref="Z1444"/>
    <hyperlink r:id="rId1443" ref="Z1445"/>
    <hyperlink r:id="rId1444" ref="Z1446"/>
    <hyperlink r:id="rId1445" ref="Z1447"/>
    <hyperlink r:id="rId1446" ref="Z1448"/>
    <hyperlink r:id="rId1447" ref="Z1449"/>
    <hyperlink r:id="rId1448" ref="Z1450"/>
    <hyperlink r:id="rId1449" ref="Z1451"/>
    <hyperlink r:id="rId1450" ref="Z1452"/>
    <hyperlink r:id="rId1451" ref="Z1453"/>
    <hyperlink r:id="rId1452" ref="Z1454"/>
    <hyperlink r:id="rId1453" ref="Z1455"/>
    <hyperlink r:id="rId1454" ref="Z1456"/>
    <hyperlink r:id="rId1455" ref="Z1457"/>
    <hyperlink r:id="rId1456" ref="Z1458"/>
    <hyperlink r:id="rId1457" ref="Z1459"/>
    <hyperlink r:id="rId1458" ref="Z1460"/>
    <hyperlink r:id="rId1459" ref="Z1461"/>
    <hyperlink r:id="rId1460" ref="Z1462"/>
    <hyperlink r:id="rId1461" ref="Z1463"/>
    <hyperlink r:id="rId1462" ref="Z1464"/>
    <hyperlink r:id="rId1463" ref="Z1465"/>
    <hyperlink r:id="rId1464" ref="Z1466"/>
    <hyperlink r:id="rId1465" ref="Z1467"/>
    <hyperlink r:id="rId1466" ref="Z1468"/>
    <hyperlink r:id="rId1467" ref="Z1469"/>
    <hyperlink r:id="rId1468" ref="Z1470"/>
    <hyperlink r:id="rId1469" ref="Z1471"/>
    <hyperlink r:id="rId1470" ref="Z1472"/>
    <hyperlink r:id="rId1471" ref="Z1473"/>
    <hyperlink r:id="rId1472" ref="Z1474"/>
    <hyperlink r:id="rId1473" ref="Z1475"/>
    <hyperlink r:id="rId1474" ref="Z1476"/>
    <hyperlink r:id="rId1475" ref="Z1477"/>
    <hyperlink r:id="rId1476" ref="Z1478"/>
    <hyperlink r:id="rId1477" ref="Z1479"/>
    <hyperlink r:id="rId1478" ref="Z1480"/>
    <hyperlink r:id="rId1479" ref="Z1481"/>
    <hyperlink r:id="rId1480" ref="Z1482"/>
    <hyperlink r:id="rId1481" ref="Z1483"/>
    <hyperlink r:id="rId1482" ref="Z1484"/>
    <hyperlink r:id="rId1483" ref="Z1485"/>
    <hyperlink r:id="rId1484" ref="Z1486"/>
    <hyperlink r:id="rId1485" ref="Z1487"/>
    <hyperlink r:id="rId1486" ref="Z1488"/>
    <hyperlink r:id="rId1487" ref="AR1489"/>
    <hyperlink r:id="rId1488" ref="Z1490"/>
    <hyperlink r:id="rId1489" ref="Z1491"/>
    <hyperlink r:id="rId1490" ref="Z1492"/>
    <hyperlink r:id="rId1491" ref="Z1493"/>
    <hyperlink r:id="rId1492" ref="Z1494"/>
    <hyperlink r:id="rId1493" ref="Z1495"/>
    <hyperlink r:id="rId1494" ref="Z1496"/>
    <hyperlink r:id="rId1495" ref="Z1497"/>
    <hyperlink r:id="rId1496" ref="Z1498"/>
    <hyperlink r:id="rId1497" ref="Z1499"/>
    <hyperlink r:id="rId1498" ref="Z1500"/>
    <hyperlink r:id="rId1499" ref="AR1501"/>
    <hyperlink r:id="rId1500" ref="Z1502"/>
    <hyperlink r:id="rId1501" ref="Z1503"/>
    <hyperlink r:id="rId1502" ref="Z1504"/>
    <hyperlink r:id="rId1503" ref="Z1505"/>
    <hyperlink r:id="rId1504" ref="Z1506"/>
    <hyperlink r:id="rId1505" ref="Z1507"/>
    <hyperlink r:id="rId1506" ref="Z1508"/>
    <hyperlink r:id="rId1507" ref="Z1509"/>
    <hyperlink r:id="rId1508" ref="Z1510"/>
    <hyperlink r:id="rId1509" ref="Z1511"/>
    <hyperlink r:id="rId1510" ref="Z1512"/>
    <hyperlink r:id="rId1511" ref="Z1513"/>
    <hyperlink r:id="rId1512" ref="Z1514"/>
    <hyperlink r:id="rId1513" ref="Z1515"/>
    <hyperlink r:id="rId1514" ref="Z1516"/>
    <hyperlink r:id="rId1515" ref="Z1517"/>
    <hyperlink r:id="rId1516" ref="Z1518"/>
    <hyperlink r:id="rId1517" ref="Z1519"/>
    <hyperlink r:id="rId1518" ref="Z1520"/>
    <hyperlink r:id="rId1519" ref="Z1521"/>
    <hyperlink r:id="rId1520" ref="Z1522"/>
    <hyperlink r:id="rId1521" ref="Z1523"/>
    <hyperlink r:id="rId1522" ref="Z1524"/>
    <hyperlink r:id="rId1523" ref="Z1525"/>
    <hyperlink r:id="rId1524" ref="Z1526"/>
    <hyperlink r:id="rId1525" ref="Z1527"/>
    <hyperlink r:id="rId1526" ref="Z1528"/>
    <hyperlink r:id="rId1527" ref="Z1529"/>
    <hyperlink r:id="rId1528" ref="Z1530"/>
    <hyperlink r:id="rId1529" ref="Z1531"/>
    <hyperlink r:id="rId1530" ref="Z1532"/>
    <hyperlink r:id="rId1531" ref="Z1533"/>
    <hyperlink r:id="rId1532" ref="AR1534"/>
    <hyperlink r:id="rId1533" ref="AR1535"/>
    <hyperlink r:id="rId1534" ref="Z1536"/>
    <hyperlink r:id="rId1535" ref="Z1537"/>
    <hyperlink r:id="rId1536" ref="Z1538"/>
    <hyperlink r:id="rId1537" ref="Z1539"/>
    <hyperlink r:id="rId1538" ref="Z1540"/>
    <hyperlink r:id="rId1539" ref="Z1541"/>
    <hyperlink r:id="rId1540" ref="Z1542"/>
    <hyperlink r:id="rId1541" ref="Z1543"/>
    <hyperlink r:id="rId1542" ref="Z1544"/>
    <hyperlink r:id="rId1543" ref="Z1545"/>
    <hyperlink r:id="rId1544" ref="Z1546"/>
    <hyperlink r:id="rId1545" ref="Z1547"/>
    <hyperlink r:id="rId1546" ref="Z1548"/>
    <hyperlink r:id="rId1547" ref="Z1549"/>
    <hyperlink r:id="rId1548" ref="Z1550"/>
    <hyperlink r:id="rId1549" ref="Z1551"/>
    <hyperlink r:id="rId1550" ref="Z1552"/>
    <hyperlink r:id="rId1551" ref="Z1553"/>
    <hyperlink r:id="rId1552" ref="Z1554"/>
    <hyperlink r:id="rId1553" ref="Z1555"/>
    <hyperlink r:id="rId1554" ref="Z1556"/>
    <hyperlink r:id="rId1555" ref="Z1557"/>
    <hyperlink r:id="rId1556" ref="Z1558"/>
    <hyperlink r:id="rId1557" ref="Z1559"/>
    <hyperlink r:id="rId1558" ref="Z1560"/>
    <hyperlink r:id="rId1559" ref="Z1561"/>
    <hyperlink r:id="rId1560" ref="Z1562"/>
    <hyperlink r:id="rId1561" ref="AR1563"/>
    <hyperlink r:id="rId1562" ref="Z1564"/>
    <hyperlink r:id="rId1563" ref="Z1565"/>
    <hyperlink r:id="rId1564" ref="Z1566"/>
    <hyperlink r:id="rId1565" ref="Z1567"/>
    <hyperlink r:id="rId1566" ref="Z1568"/>
    <hyperlink r:id="rId1567" ref="Z1569"/>
    <hyperlink r:id="rId1568" ref="Z1570"/>
    <hyperlink r:id="rId1569" ref="Z1571"/>
    <hyperlink r:id="rId1570" ref="Z1572"/>
    <hyperlink r:id="rId1571" ref="Z1573"/>
    <hyperlink r:id="rId1572" ref="Z1574"/>
    <hyperlink r:id="rId1573" ref="Z1575"/>
    <hyperlink r:id="rId1574" ref="Z1576"/>
    <hyperlink r:id="rId1575" ref="Z1577"/>
    <hyperlink r:id="rId1576" ref="Z1578"/>
    <hyperlink r:id="rId1577" ref="Z1579"/>
    <hyperlink r:id="rId1578" ref="Z1580"/>
    <hyperlink r:id="rId1579" ref="Z1581"/>
    <hyperlink r:id="rId1580" ref="Z1582"/>
    <hyperlink r:id="rId1581" ref="Z1583"/>
    <hyperlink r:id="rId1582" ref="Z1584"/>
    <hyperlink r:id="rId1583" ref="Z1585"/>
    <hyperlink r:id="rId1584" ref="Z1586"/>
    <hyperlink r:id="rId1585" ref="Z1587"/>
    <hyperlink r:id="rId1586" ref="Z1588"/>
    <hyperlink r:id="rId1587" ref="Z1589"/>
    <hyperlink r:id="rId1588" ref="Z1590"/>
    <hyperlink r:id="rId1589" ref="Z1591"/>
    <hyperlink r:id="rId1590" ref="Z1592"/>
    <hyperlink r:id="rId1591" ref="Z1593"/>
    <hyperlink r:id="rId1592" ref="Z1594"/>
    <hyperlink r:id="rId1593" ref="Z1595"/>
    <hyperlink r:id="rId1594" ref="Z1596"/>
    <hyperlink r:id="rId1595" ref="O1597"/>
    <hyperlink r:id="rId1596" ref="Z1598"/>
    <hyperlink r:id="rId1597" ref="O1599"/>
    <hyperlink r:id="rId1598" ref="O1600"/>
    <hyperlink r:id="rId1599" ref="Z1601"/>
    <hyperlink r:id="rId1600" ref="Z1602"/>
    <hyperlink r:id="rId1601" ref="Z1603"/>
    <hyperlink r:id="rId1602" ref="Z1604"/>
    <hyperlink r:id="rId1603" ref="AR1605"/>
    <hyperlink r:id="rId1604" ref="Z1606"/>
    <hyperlink r:id="rId1605" ref="Z1607"/>
    <hyperlink r:id="rId1606" ref="Z1608"/>
    <hyperlink r:id="rId1607" ref="Z1609"/>
    <hyperlink r:id="rId1608" ref="Z1610"/>
    <hyperlink r:id="rId1609" ref="Z1611"/>
    <hyperlink r:id="rId1610" ref="Z1612"/>
    <hyperlink r:id="rId1611" ref="Z1613"/>
    <hyperlink r:id="rId1612" ref="Z1614"/>
    <hyperlink r:id="rId1613" ref="Z1615"/>
    <hyperlink r:id="rId1614" ref="Z1616"/>
    <hyperlink r:id="rId1615" ref="Z1617"/>
    <hyperlink r:id="rId1616" ref="Z1618"/>
    <hyperlink r:id="rId1617" ref="Z1619"/>
    <hyperlink r:id="rId1618" ref="Z1620"/>
    <hyperlink r:id="rId1619" ref="Z1621"/>
    <hyperlink r:id="rId1620" ref="Z1622"/>
    <hyperlink r:id="rId1621" ref="Z1623"/>
    <hyperlink r:id="rId1622" ref="Z1624"/>
    <hyperlink r:id="rId1623" ref="Z1625"/>
    <hyperlink r:id="rId1624" ref="Z1626"/>
    <hyperlink r:id="rId1625" ref="Z1627"/>
    <hyperlink r:id="rId1626" ref="Z1628"/>
    <hyperlink r:id="rId1627" ref="Z1629"/>
    <hyperlink r:id="rId1628" ref="Z1630"/>
    <hyperlink r:id="rId1629" ref="Z1631"/>
    <hyperlink r:id="rId1630" ref="Z1632"/>
    <hyperlink r:id="rId1631" ref="Z1633"/>
    <hyperlink r:id="rId1632" ref="Z1634"/>
    <hyperlink r:id="rId1633" ref="Z1635"/>
    <hyperlink r:id="rId1634" ref="Z1636"/>
    <hyperlink r:id="rId1635" ref="Z1637"/>
    <hyperlink r:id="rId1636" ref="Z1638"/>
    <hyperlink r:id="rId1637" ref="Z1639"/>
    <hyperlink r:id="rId1638" ref="Z1640"/>
    <hyperlink r:id="rId1639" ref="Z1641"/>
    <hyperlink r:id="rId1640" ref="Z1642"/>
    <hyperlink r:id="rId1641" ref="Z1643"/>
    <hyperlink r:id="rId1642" ref="Z1644"/>
    <hyperlink r:id="rId1643" ref="Z1645"/>
    <hyperlink r:id="rId1644" ref="Z1646"/>
    <hyperlink r:id="rId1645" ref="Z1647"/>
    <hyperlink r:id="rId1646" ref="Z1648"/>
    <hyperlink r:id="rId1647" ref="Z1649"/>
    <hyperlink r:id="rId1648" ref="Z1650"/>
    <hyperlink r:id="rId1649" ref="Z1651"/>
    <hyperlink r:id="rId1650" ref="Z1652"/>
    <hyperlink r:id="rId1651" ref="Z1653"/>
    <hyperlink r:id="rId1652" ref="Z1654"/>
    <hyperlink r:id="rId1653" ref="Z1655"/>
    <hyperlink r:id="rId1654" ref="Z1656"/>
    <hyperlink r:id="rId1655" ref="Z1657"/>
    <hyperlink r:id="rId1656" ref="Z1658"/>
    <hyperlink r:id="rId1657" ref="Z1659"/>
    <hyperlink r:id="rId1658" ref="Z1660"/>
    <hyperlink r:id="rId1659" ref="Z1661"/>
    <hyperlink r:id="rId1660" ref="Z1662"/>
    <hyperlink r:id="rId1661" ref="Z1663"/>
    <hyperlink r:id="rId1662" ref="Z1664"/>
    <hyperlink r:id="rId1663" ref="AR1665"/>
    <hyperlink r:id="rId1664" ref="Z1666"/>
    <hyperlink r:id="rId1665" ref="Z1667"/>
    <hyperlink r:id="rId1666" ref="Z1668"/>
    <hyperlink r:id="rId1667" ref="Z1669"/>
    <hyperlink r:id="rId1668" ref="Z1670"/>
    <hyperlink r:id="rId1669" ref="Z1671"/>
    <hyperlink r:id="rId1670" ref="Z1672"/>
    <hyperlink r:id="rId1671" ref="Z1673"/>
    <hyperlink r:id="rId1672" ref="Z1674"/>
    <hyperlink r:id="rId1673" ref="Z1675"/>
    <hyperlink r:id="rId1674" ref="Z1676"/>
    <hyperlink r:id="rId1675" ref="Z1677"/>
    <hyperlink r:id="rId1676" ref="Z1678"/>
    <hyperlink r:id="rId1677" ref="Z1679"/>
    <hyperlink r:id="rId1678" ref="Z1680"/>
    <hyperlink r:id="rId1679" ref="Z1681"/>
    <hyperlink r:id="rId1680" ref="Z1682"/>
    <hyperlink r:id="rId1681" ref="Z1683"/>
    <hyperlink r:id="rId1682" ref="Z1684"/>
    <hyperlink r:id="rId1683" ref="Z1685"/>
    <hyperlink r:id="rId1684" ref="Z1686"/>
    <hyperlink r:id="rId1685" ref="Z1687"/>
    <hyperlink r:id="rId1686" ref="Z1688"/>
    <hyperlink r:id="rId1687" ref="Z1689"/>
    <hyperlink r:id="rId1688" ref="Z1690"/>
    <hyperlink r:id="rId1689" ref="Z1691"/>
    <hyperlink r:id="rId1690" ref="Z1692"/>
    <hyperlink r:id="rId1691" ref="Z1693"/>
    <hyperlink r:id="rId1692" ref="Z1694"/>
    <hyperlink r:id="rId1693" ref="Z1695"/>
    <hyperlink r:id="rId1694" ref="Z1696"/>
    <hyperlink r:id="rId1695" ref="Z1697"/>
    <hyperlink r:id="rId1696" ref="Z1698"/>
    <hyperlink r:id="rId1697" ref="Z1699"/>
    <hyperlink r:id="rId1698" ref="Z1700"/>
    <hyperlink r:id="rId1699" ref="Z1701"/>
    <hyperlink r:id="rId1700" ref="Z1702"/>
    <hyperlink r:id="rId1701" ref="Z1703"/>
    <hyperlink r:id="rId1702" ref="Z1704"/>
    <hyperlink r:id="rId1703" ref="Z1705"/>
    <hyperlink r:id="rId1704" ref="Z1706"/>
    <hyperlink r:id="rId1705" ref="Z1707"/>
    <hyperlink r:id="rId1706" ref="Z1708"/>
    <hyperlink r:id="rId1707" ref="Z1709"/>
    <hyperlink r:id="rId1708" ref="Z1710"/>
    <hyperlink r:id="rId1709" ref="Z1711"/>
    <hyperlink r:id="rId1710" ref="Z1712"/>
    <hyperlink r:id="rId1711" ref="Z1713"/>
    <hyperlink r:id="rId1712" ref="Z1714"/>
    <hyperlink r:id="rId1713" ref="Z1715"/>
    <hyperlink r:id="rId1714" ref="Z1716"/>
    <hyperlink r:id="rId1715" ref="Z1717"/>
    <hyperlink r:id="rId1716" ref="Z1718"/>
    <hyperlink r:id="rId1717" ref="Z1719"/>
    <hyperlink r:id="rId1718" ref="Z1720"/>
    <hyperlink r:id="rId1719" ref="Z1721"/>
    <hyperlink r:id="rId1720" ref="Z1722"/>
    <hyperlink r:id="rId1721" ref="Z1723"/>
    <hyperlink r:id="rId1722" ref="Z1724"/>
    <hyperlink r:id="rId1723" ref="Z1725"/>
    <hyperlink r:id="rId1724" ref="Z1726"/>
    <hyperlink r:id="rId1725" ref="Z1727"/>
    <hyperlink r:id="rId1726" ref="Z1728"/>
    <hyperlink r:id="rId1727" ref="AR1729"/>
    <hyperlink r:id="rId1728" ref="Z1730"/>
    <hyperlink r:id="rId1729" ref="Z1731"/>
    <hyperlink r:id="rId1730" ref="Z1732"/>
    <hyperlink r:id="rId1731" ref="Z1733"/>
    <hyperlink r:id="rId1732" ref="AR1734"/>
    <hyperlink r:id="rId1733" ref="Z1735"/>
    <hyperlink r:id="rId1734" ref="Z1736"/>
    <hyperlink r:id="rId1735" ref="Z1737"/>
    <hyperlink r:id="rId1736" ref="Z1738"/>
    <hyperlink r:id="rId1737" ref="Z1739"/>
    <hyperlink r:id="rId1738" ref="Z1740"/>
    <hyperlink r:id="rId1739" ref="Z1741"/>
    <hyperlink r:id="rId1740" ref="Z1742"/>
    <hyperlink r:id="rId1741" ref="Z1743"/>
    <hyperlink r:id="rId1742" ref="Z1744"/>
    <hyperlink r:id="rId1743" ref="Z1745"/>
    <hyperlink r:id="rId1744" ref="Z1746"/>
    <hyperlink r:id="rId1745" ref="O1747"/>
    <hyperlink r:id="rId1746" ref="O1748"/>
    <hyperlink r:id="rId1747" ref="O1749"/>
    <hyperlink r:id="rId1748" ref="AR1750"/>
    <hyperlink r:id="rId1749" ref="AR1751"/>
    <hyperlink r:id="rId1750" ref="Z1752"/>
    <hyperlink r:id="rId1751" ref="Z1753"/>
    <hyperlink r:id="rId1752" ref="Z1754"/>
    <hyperlink r:id="rId1753" ref="Z1755"/>
    <hyperlink r:id="rId1754" ref="Z1756"/>
    <hyperlink r:id="rId1755" ref="Z1757"/>
    <hyperlink r:id="rId1756" ref="Z1758"/>
    <hyperlink r:id="rId1757" ref="Z1759"/>
    <hyperlink r:id="rId1758" ref="Z1760"/>
    <hyperlink r:id="rId1759" ref="Z1761"/>
    <hyperlink r:id="rId1760" ref="Z1762"/>
    <hyperlink r:id="rId1761" ref="Z1763"/>
    <hyperlink r:id="rId1762" ref="Z1764"/>
    <hyperlink r:id="rId1763" ref="Z1765"/>
    <hyperlink r:id="rId1764" ref="Z1766"/>
    <hyperlink r:id="rId1765" ref="Z1767"/>
    <hyperlink r:id="rId1766" ref="Z1768"/>
    <hyperlink r:id="rId1767" ref="Z1769"/>
    <hyperlink r:id="rId1768" ref="AR1770"/>
    <hyperlink r:id="rId1769" ref="Z1771"/>
    <hyperlink r:id="rId1770" ref="Z1772"/>
    <hyperlink r:id="rId1771" ref="Z1773"/>
    <hyperlink r:id="rId1772" ref="Z1774"/>
    <hyperlink r:id="rId1773" ref="Z1775"/>
    <hyperlink r:id="rId1774" ref="Z1776"/>
    <hyperlink r:id="rId1775" ref="Z1777"/>
    <hyperlink r:id="rId1776" ref="Z1778"/>
    <hyperlink r:id="rId1777" ref="Z1779"/>
    <hyperlink r:id="rId1778" ref="Z1780"/>
    <hyperlink r:id="rId1779" ref="Z1781"/>
    <hyperlink r:id="rId1780" ref="Z1782"/>
    <hyperlink r:id="rId1781" ref="Z1783"/>
    <hyperlink r:id="rId1782" ref="Z1784"/>
    <hyperlink r:id="rId1783" ref="Z1785"/>
    <hyperlink r:id="rId1784" ref="AR1786"/>
    <hyperlink r:id="rId1785" ref="Z1787"/>
    <hyperlink r:id="rId1786" ref="Z1788"/>
    <hyperlink r:id="rId1787" ref="Z1789"/>
    <hyperlink r:id="rId1788" ref="Z1790"/>
    <hyperlink r:id="rId1789" ref="Z1791"/>
    <hyperlink r:id="rId1790" ref="Z1792"/>
    <hyperlink r:id="rId1791" ref="Z1793"/>
    <hyperlink r:id="rId1792" ref="Z1794"/>
    <hyperlink r:id="rId1793" ref="Z1795"/>
    <hyperlink r:id="rId1794" ref="Z1796"/>
    <hyperlink r:id="rId1795" ref="Z1797"/>
    <hyperlink r:id="rId1796" ref="Z1798"/>
    <hyperlink r:id="rId1797" ref="Z1799"/>
    <hyperlink r:id="rId1798" ref="Z1800"/>
    <hyperlink r:id="rId1799" ref="Z1801"/>
    <hyperlink r:id="rId1800" ref="Z1802"/>
    <hyperlink r:id="rId1801" ref="Z1803"/>
    <hyperlink r:id="rId1802" ref="Z1804"/>
    <hyperlink r:id="rId1803" ref="Z1805"/>
    <hyperlink r:id="rId1804" ref="Z1806"/>
    <hyperlink r:id="rId1805" ref="Z1807"/>
    <hyperlink r:id="rId1806" ref="Z1808"/>
    <hyperlink r:id="rId1807" ref="Z1809"/>
    <hyperlink r:id="rId1808" ref="Z1810"/>
    <hyperlink r:id="rId1809" ref="Z1811"/>
    <hyperlink r:id="rId1810" ref="Z1812"/>
    <hyperlink r:id="rId1811" ref="Z1813"/>
    <hyperlink r:id="rId1812" ref="Z1814"/>
    <hyperlink r:id="rId1813" ref="Z1815"/>
    <hyperlink r:id="rId1814" ref="Z1816"/>
    <hyperlink r:id="rId1815" ref="Z1817"/>
    <hyperlink r:id="rId1816" ref="Z1818"/>
    <hyperlink r:id="rId1817" ref="Z1819"/>
    <hyperlink r:id="rId1818" ref="Z1820"/>
    <hyperlink r:id="rId1819" ref="Z1821"/>
    <hyperlink r:id="rId1820" ref="Z1822"/>
    <hyperlink r:id="rId1821" ref="Z1823"/>
    <hyperlink r:id="rId1822" ref="Z1824"/>
    <hyperlink r:id="rId1823" ref="Z1825"/>
    <hyperlink r:id="rId1824" ref="Z1826"/>
    <hyperlink r:id="rId1825" ref="Z1827"/>
    <hyperlink r:id="rId1826" ref="Z1828"/>
    <hyperlink r:id="rId1827" ref="Z1829"/>
    <hyperlink r:id="rId1828" ref="Z1830"/>
    <hyperlink r:id="rId1829" ref="Z1831"/>
    <hyperlink r:id="rId1830" ref="Z1832"/>
    <hyperlink r:id="rId1831" ref="Z1833"/>
    <hyperlink r:id="rId1832" ref="Z1834"/>
    <hyperlink r:id="rId1833" ref="Z1835"/>
    <hyperlink r:id="rId1834" ref="AR1836"/>
    <hyperlink r:id="rId1835" ref="Z1837"/>
    <hyperlink r:id="rId1836" ref="Z1838"/>
    <hyperlink r:id="rId1837" ref="Z1839"/>
    <hyperlink r:id="rId1838" ref="Z1840"/>
    <hyperlink r:id="rId1839" ref="Z1841"/>
    <hyperlink r:id="rId1840" ref="Z1842"/>
    <hyperlink r:id="rId1841" ref="Z1843"/>
    <hyperlink r:id="rId1842" ref="Z1844"/>
    <hyperlink r:id="rId1843" ref="Z1845"/>
    <hyperlink r:id="rId1844" ref="Z1846"/>
    <hyperlink r:id="rId1845" ref="Z1847"/>
    <hyperlink r:id="rId1846" ref="Z1848"/>
    <hyperlink r:id="rId1847" ref="Z1849"/>
    <hyperlink r:id="rId1848" ref="Z1850"/>
    <hyperlink r:id="rId1849" ref="Z1851"/>
    <hyperlink r:id="rId1850" ref="Z1852"/>
    <hyperlink r:id="rId1851" ref="Z1853"/>
    <hyperlink r:id="rId1852" ref="Z1854"/>
    <hyperlink r:id="rId1853" ref="AR1855"/>
    <hyperlink r:id="rId1854" ref="Z1856"/>
    <hyperlink r:id="rId1855" ref="Z1857"/>
    <hyperlink r:id="rId1856" ref="Z1858"/>
    <hyperlink r:id="rId1857" ref="Z1859"/>
    <hyperlink r:id="rId1858" ref="Z1860"/>
    <hyperlink r:id="rId1859" ref="Z1861"/>
    <hyperlink r:id="rId1860" ref="Z1862"/>
    <hyperlink r:id="rId1861" ref="Z1863"/>
    <hyperlink r:id="rId1862" ref="Z1864"/>
    <hyperlink r:id="rId1863" ref="Z1865"/>
    <hyperlink r:id="rId1864" ref="Z1866"/>
    <hyperlink r:id="rId1865" ref="Z1867"/>
    <hyperlink r:id="rId1866" ref="AR1868"/>
    <hyperlink r:id="rId1867" ref="Z1869"/>
    <hyperlink r:id="rId1868" ref="Z1870"/>
    <hyperlink r:id="rId1869" ref="Z1871"/>
    <hyperlink r:id="rId1870" ref="Z1872"/>
    <hyperlink r:id="rId1871" ref="Z1873"/>
    <hyperlink r:id="rId1872" ref="Z1874"/>
    <hyperlink r:id="rId1873" ref="Z1875"/>
    <hyperlink r:id="rId1874" ref="Z1876"/>
    <hyperlink r:id="rId1875" ref="Z1877"/>
    <hyperlink r:id="rId1876" ref="Z1878"/>
    <hyperlink r:id="rId1877" ref="Z1879"/>
    <hyperlink r:id="rId1878" ref="AR1880"/>
    <hyperlink r:id="rId1879" ref="Z1881"/>
    <hyperlink r:id="rId1880" ref="Z1882"/>
    <hyperlink r:id="rId1881" ref="AR1883"/>
    <hyperlink r:id="rId1882" ref="Z1884"/>
    <hyperlink r:id="rId1883" ref="Z1885"/>
    <hyperlink r:id="rId1884" ref="Z1886"/>
    <hyperlink r:id="rId1885" ref="Z1887"/>
    <hyperlink r:id="rId1886" ref="Z1888"/>
    <hyperlink r:id="rId1887" ref="Z1889"/>
    <hyperlink r:id="rId1888" ref="Z1890"/>
    <hyperlink r:id="rId1889" ref="Z1891"/>
    <hyperlink r:id="rId1890" ref="Z1892"/>
    <hyperlink r:id="rId1891" ref="Z1893"/>
    <hyperlink r:id="rId1892" ref="Z1894"/>
    <hyperlink r:id="rId1893" ref="Z1895"/>
    <hyperlink r:id="rId1894" ref="Z1896"/>
    <hyperlink r:id="rId1895" ref="Z1897"/>
    <hyperlink r:id="rId1896" ref="Z1898"/>
    <hyperlink r:id="rId1897" ref="Z1899"/>
    <hyperlink r:id="rId1898" ref="Z1900"/>
    <hyperlink r:id="rId1899" ref="Z1901"/>
    <hyperlink r:id="rId1900" ref="Z1902"/>
    <hyperlink r:id="rId1901" ref="Z1903"/>
    <hyperlink r:id="rId1902" ref="Z1904"/>
    <hyperlink r:id="rId1903" ref="Z1905"/>
    <hyperlink r:id="rId1904" ref="Z1906"/>
    <hyperlink r:id="rId1905" ref="Z1907"/>
    <hyperlink r:id="rId1906" ref="Z1908"/>
    <hyperlink r:id="rId1907" ref="Z1909"/>
    <hyperlink r:id="rId1908" ref="AR1910"/>
    <hyperlink r:id="rId1909" ref="Z1911"/>
    <hyperlink r:id="rId1910" ref="Z1912"/>
    <hyperlink r:id="rId1911" ref="Z1913"/>
    <hyperlink r:id="rId1912" ref="Z1914"/>
    <hyperlink r:id="rId1913" ref="AR1915"/>
    <hyperlink r:id="rId1914" ref="Z1916"/>
    <hyperlink r:id="rId1915" ref="Z1917"/>
    <hyperlink r:id="rId1916" ref="Z1918"/>
    <hyperlink r:id="rId1917" ref="Z1919"/>
    <hyperlink r:id="rId1918" ref="AR1920"/>
    <hyperlink r:id="rId1919" ref="Z1921"/>
    <hyperlink r:id="rId1920" ref="Z1922"/>
    <hyperlink r:id="rId1921" ref="Z1923"/>
    <hyperlink r:id="rId1922" ref="AR1924"/>
    <hyperlink r:id="rId1923" ref="Z1925"/>
    <hyperlink r:id="rId1924" ref="Z1926"/>
    <hyperlink r:id="rId1925" ref="Z1927"/>
    <hyperlink r:id="rId1926" ref="Z1928"/>
    <hyperlink r:id="rId1927" ref="Z1929"/>
    <hyperlink r:id="rId1928" ref="AR1930"/>
    <hyperlink r:id="rId1929" ref="Z1931"/>
    <hyperlink r:id="rId1930" ref="Z1932"/>
    <hyperlink r:id="rId1931" ref="Z1933"/>
    <hyperlink r:id="rId1932" ref="AR1934"/>
    <hyperlink r:id="rId1933" ref="Z1935"/>
    <hyperlink r:id="rId1934" ref="Z1936"/>
    <hyperlink r:id="rId1935" ref="Z1937"/>
    <hyperlink r:id="rId1936" ref="Z1938"/>
    <hyperlink r:id="rId1937" ref="AR1939"/>
    <hyperlink r:id="rId1938" ref="AR1940"/>
    <hyperlink r:id="rId1939" ref="Z1941"/>
    <hyperlink r:id="rId1940" ref="Z1942"/>
    <hyperlink r:id="rId1941" ref="Z1943"/>
    <hyperlink r:id="rId1942" ref="Z1944"/>
    <hyperlink r:id="rId1943" ref="Z1945"/>
    <hyperlink r:id="rId1944" ref="Z1946"/>
    <hyperlink r:id="rId1945" ref="Z1947"/>
    <hyperlink r:id="rId1946" ref="Z1948"/>
    <hyperlink r:id="rId1947" ref="Z1949"/>
    <hyperlink r:id="rId1948" ref="Z1950"/>
    <hyperlink r:id="rId1949" ref="Z1951"/>
    <hyperlink r:id="rId1950" ref="Z1952"/>
    <hyperlink r:id="rId1951" ref="Z1953"/>
    <hyperlink r:id="rId1952" ref="Z1954"/>
    <hyperlink r:id="rId1953" ref="Z1955"/>
    <hyperlink r:id="rId1954" ref="Z1956"/>
    <hyperlink r:id="rId1955" ref="Z1957"/>
    <hyperlink r:id="rId1956" ref="Z1958"/>
    <hyperlink r:id="rId1957" ref="Z1959"/>
    <hyperlink r:id="rId1958" ref="Z1960"/>
    <hyperlink r:id="rId1959" ref="Z1961"/>
    <hyperlink r:id="rId1960" ref="Z1962"/>
    <hyperlink r:id="rId1961" ref="Z1963"/>
    <hyperlink r:id="rId1962" ref="AR1964"/>
    <hyperlink r:id="rId1963" ref="Z1965"/>
    <hyperlink r:id="rId1964" ref="Z1966"/>
    <hyperlink r:id="rId1965" ref="AR1967"/>
    <hyperlink r:id="rId1966" ref="Z1968"/>
    <hyperlink r:id="rId1967" ref="AR1969"/>
    <hyperlink r:id="rId1968" ref="Z1970"/>
    <hyperlink r:id="rId1969" ref="Z1971"/>
    <hyperlink r:id="rId1970" ref="Z1972"/>
    <hyperlink r:id="rId1971" ref="Z1973"/>
    <hyperlink r:id="rId1972" ref="Z1974"/>
    <hyperlink r:id="rId1973" ref="Z1975"/>
    <hyperlink r:id="rId1974" ref="Z1976"/>
    <hyperlink r:id="rId1975" ref="AR1977"/>
    <hyperlink r:id="rId1976" ref="Z1978"/>
    <hyperlink r:id="rId1977" ref="Z1979"/>
    <hyperlink r:id="rId1978" ref="Z1980"/>
    <hyperlink r:id="rId1979" ref="Z1981"/>
    <hyperlink r:id="rId1980" ref="Z1982"/>
    <hyperlink r:id="rId1981" ref="Z1983"/>
    <hyperlink r:id="rId1982" ref="AR1984"/>
    <hyperlink r:id="rId1983" ref="Z1985"/>
    <hyperlink r:id="rId1984" ref="Z1986"/>
    <hyperlink r:id="rId1985" ref="Z1987"/>
    <hyperlink r:id="rId1986" ref="Z1988"/>
    <hyperlink r:id="rId1987" ref="Z1989"/>
    <hyperlink r:id="rId1988" ref="Z1990"/>
    <hyperlink r:id="rId1989" ref="Z1991"/>
    <hyperlink r:id="rId1990" ref="Z1992"/>
    <hyperlink r:id="rId1991" ref="Z1993"/>
    <hyperlink r:id="rId1992" ref="Z1994"/>
    <hyperlink r:id="rId1993" ref="Z1995"/>
    <hyperlink r:id="rId1994" ref="Z1996"/>
    <hyperlink r:id="rId1995" ref="Z1997"/>
    <hyperlink r:id="rId1996" ref="Z1998"/>
    <hyperlink r:id="rId1997" ref="Z1999"/>
    <hyperlink r:id="rId1998" ref="Z2000"/>
    <hyperlink r:id="rId1999" ref="Z2001"/>
    <hyperlink r:id="rId2000" ref="Z2002"/>
    <hyperlink r:id="rId2001" ref="AR2003"/>
    <hyperlink r:id="rId2002" ref="Z2004"/>
    <hyperlink r:id="rId2003" ref="Z2005"/>
    <hyperlink r:id="rId2004" ref="Z2006"/>
    <hyperlink r:id="rId2005" ref="Z2007"/>
    <hyperlink r:id="rId2006" ref="Z2008"/>
    <hyperlink r:id="rId2007" ref="Z2009"/>
    <hyperlink r:id="rId2008" ref="Z2010"/>
    <hyperlink r:id="rId2009" ref="AR2011"/>
    <hyperlink r:id="rId2010" ref="Z2012"/>
    <hyperlink r:id="rId2011" ref="Z2013"/>
    <hyperlink r:id="rId2012" ref="Z2014"/>
    <hyperlink r:id="rId2013" ref="Z2015"/>
    <hyperlink r:id="rId2014" ref="Z2016"/>
    <hyperlink r:id="rId2015" ref="Z2017"/>
    <hyperlink r:id="rId2016" ref="Z2018"/>
    <hyperlink r:id="rId2017" ref="Z2019"/>
    <hyperlink r:id="rId2018" ref="Z2020"/>
    <hyperlink r:id="rId2019" ref="Z2021"/>
    <hyperlink r:id="rId2020" ref="Z2022"/>
    <hyperlink r:id="rId2021" ref="Z2023"/>
    <hyperlink r:id="rId2022" ref="Z2024"/>
    <hyperlink r:id="rId2023" ref="Z2025"/>
    <hyperlink r:id="rId2024" ref="Z2026"/>
    <hyperlink r:id="rId2025" ref="Z2027"/>
    <hyperlink r:id="rId2026" ref="Z2028"/>
    <hyperlink r:id="rId2027" ref="Z2029"/>
    <hyperlink r:id="rId2028" ref="Z2030"/>
    <hyperlink r:id="rId2029" ref="Z2031"/>
    <hyperlink r:id="rId2030" ref="Z2032"/>
    <hyperlink r:id="rId2031" ref="AR2033"/>
    <hyperlink r:id="rId2032" ref="Z2034"/>
    <hyperlink r:id="rId2033" ref="AR2035"/>
    <hyperlink r:id="rId2034" ref="Z2036"/>
    <hyperlink r:id="rId2035" ref="Z2037"/>
    <hyperlink r:id="rId2036" ref="Z2038"/>
    <hyperlink r:id="rId2037" ref="Z2039"/>
    <hyperlink r:id="rId2038" ref="Z2040"/>
    <hyperlink r:id="rId2039" ref="Z2041"/>
    <hyperlink r:id="rId2040" ref="Z2042"/>
    <hyperlink r:id="rId2041" ref="Z2043"/>
    <hyperlink r:id="rId2042" ref="Z2044"/>
    <hyperlink r:id="rId2043" ref="Z2045"/>
    <hyperlink r:id="rId2044" ref="Z2046"/>
    <hyperlink r:id="rId2045" ref="Z2047"/>
    <hyperlink r:id="rId2046" ref="Z2048"/>
    <hyperlink r:id="rId2047" ref="Z2049"/>
    <hyperlink r:id="rId2048" ref="Z2050"/>
    <hyperlink r:id="rId2049" ref="Z2051"/>
    <hyperlink r:id="rId2050" ref="Z2052"/>
    <hyperlink r:id="rId2051" ref="AR2053"/>
    <hyperlink r:id="rId2052" ref="Z2054"/>
    <hyperlink r:id="rId2053" ref="Z2055"/>
    <hyperlink r:id="rId2054" ref="Z2056"/>
    <hyperlink r:id="rId2055" ref="Z2057"/>
    <hyperlink r:id="rId2056" ref="Z2058"/>
    <hyperlink r:id="rId2057" ref="Z2059"/>
    <hyperlink r:id="rId2058" ref="Z2060"/>
    <hyperlink r:id="rId2059" ref="Z2061"/>
    <hyperlink r:id="rId2060" ref="Z2062"/>
    <hyperlink r:id="rId2061" ref="Z2063"/>
    <hyperlink r:id="rId2062" ref="Z2064"/>
    <hyperlink r:id="rId2063" ref="AR2065"/>
    <hyperlink r:id="rId2064" ref="Z2066"/>
    <hyperlink r:id="rId2065" ref="Z2067"/>
    <hyperlink r:id="rId2066" ref="Z2068"/>
    <hyperlink r:id="rId2067" ref="Z2069"/>
    <hyperlink r:id="rId2068" ref="Z2070"/>
    <hyperlink r:id="rId2069" ref="Z2071"/>
    <hyperlink r:id="rId2070" ref="Z2072"/>
    <hyperlink r:id="rId2071" ref="Z2073"/>
    <hyperlink r:id="rId2072" ref="Z2074"/>
    <hyperlink r:id="rId2073" ref="Z2075"/>
    <hyperlink r:id="rId2074" ref="Z2076"/>
    <hyperlink r:id="rId2075" ref="Z2077"/>
    <hyperlink r:id="rId2076" ref="Z2078"/>
    <hyperlink r:id="rId2077" ref="Z2079"/>
    <hyperlink r:id="rId2078" ref="Z2080"/>
    <hyperlink r:id="rId2079" ref="Z2081"/>
    <hyperlink r:id="rId2080" ref="Z2082"/>
    <hyperlink r:id="rId2081" ref="Z2083"/>
    <hyperlink r:id="rId2082" ref="AR2084"/>
    <hyperlink r:id="rId2083" ref="Z2085"/>
    <hyperlink r:id="rId2084" ref="Z2086"/>
    <hyperlink r:id="rId2085" ref="Z2087"/>
    <hyperlink r:id="rId2086" ref="Z2088"/>
    <hyperlink r:id="rId2087" ref="Z2089"/>
    <hyperlink r:id="rId2088" ref="Z2090"/>
    <hyperlink r:id="rId2089" ref="Z2091"/>
    <hyperlink r:id="rId2090" ref="Z2092"/>
    <hyperlink r:id="rId2091" ref="Z2093"/>
    <hyperlink r:id="rId2092" ref="Z2094"/>
    <hyperlink r:id="rId2093" ref="Z2095"/>
    <hyperlink r:id="rId2094" ref="Z2096"/>
    <hyperlink r:id="rId2095" ref="Z2097"/>
    <hyperlink r:id="rId2096" ref="Z2098"/>
    <hyperlink r:id="rId2097" ref="Z2099"/>
    <hyperlink r:id="rId2098" ref="Z2100"/>
    <hyperlink r:id="rId2099" ref="Z2101"/>
    <hyperlink r:id="rId2100" ref="Z2102"/>
    <hyperlink r:id="rId2101" ref="Z2103"/>
    <hyperlink r:id="rId2102" ref="Z2104"/>
    <hyperlink r:id="rId2103" ref="AR2105"/>
    <hyperlink r:id="rId2104" ref="Z2106"/>
    <hyperlink r:id="rId2105" ref="Z2107"/>
    <hyperlink r:id="rId2106" ref="Z2108"/>
    <hyperlink r:id="rId2107" ref="Z2109"/>
    <hyperlink r:id="rId2108" ref="Z2110"/>
    <hyperlink r:id="rId2109" ref="AR2111"/>
    <hyperlink r:id="rId2110" ref="Z2112"/>
    <hyperlink r:id="rId2111" ref="Z2113"/>
    <hyperlink r:id="rId2112" ref="Z2114"/>
    <hyperlink r:id="rId2113" ref="Z2115"/>
    <hyperlink r:id="rId2114" ref="Z2116"/>
    <hyperlink r:id="rId2115" ref="AR2117"/>
    <hyperlink r:id="rId2116" ref="Z2118"/>
    <hyperlink r:id="rId2117" ref="Z2119"/>
    <hyperlink r:id="rId2118" ref="Z2120"/>
    <hyperlink r:id="rId2119" ref="Z2121"/>
    <hyperlink r:id="rId2120" ref="Z2122"/>
    <hyperlink r:id="rId2121" ref="Z2123"/>
    <hyperlink r:id="rId2122" ref="Z2124"/>
    <hyperlink r:id="rId2123" ref="Z2125"/>
    <hyperlink r:id="rId2124" ref="Z2126"/>
    <hyperlink r:id="rId2125" ref="Z2127"/>
    <hyperlink r:id="rId2126" ref="Z2128"/>
    <hyperlink r:id="rId2127" ref="Z2129"/>
    <hyperlink r:id="rId2128" ref="Z2130"/>
    <hyperlink r:id="rId2129" ref="Z2131"/>
    <hyperlink r:id="rId2130" ref="Z2132"/>
    <hyperlink r:id="rId2131" ref="Z2133"/>
    <hyperlink r:id="rId2132" ref="Z2134"/>
    <hyperlink r:id="rId2133" ref="Z2135"/>
    <hyperlink r:id="rId2134" ref="Z2136"/>
    <hyperlink r:id="rId2135" ref="Z2137"/>
    <hyperlink r:id="rId2136" ref="Z2138"/>
    <hyperlink r:id="rId2137" ref="Z2139"/>
    <hyperlink r:id="rId2138" ref="Z2140"/>
    <hyperlink r:id="rId2139" ref="Z2141"/>
    <hyperlink r:id="rId2140" ref="Z2142"/>
    <hyperlink r:id="rId2141" ref="Z2143"/>
    <hyperlink r:id="rId2142" ref="Z2144"/>
    <hyperlink r:id="rId2143" ref="Z2145"/>
    <hyperlink r:id="rId2144" ref="Z2146"/>
    <hyperlink r:id="rId2145" ref="Z2147"/>
    <hyperlink r:id="rId2146" ref="Z2148"/>
    <hyperlink r:id="rId2147" ref="Z2149"/>
    <hyperlink r:id="rId2148" ref="Z2150"/>
    <hyperlink r:id="rId2149" ref="Z2151"/>
    <hyperlink r:id="rId2150" ref="Z2152"/>
    <hyperlink r:id="rId2151" ref="Z2153"/>
    <hyperlink r:id="rId2152" ref="Z2154"/>
    <hyperlink r:id="rId2153" ref="Z2155"/>
    <hyperlink r:id="rId2154" ref="Z2156"/>
    <hyperlink r:id="rId2155" ref="Z2157"/>
    <hyperlink r:id="rId2156" ref="Z2158"/>
    <hyperlink r:id="rId2157" ref="AR2159"/>
    <hyperlink r:id="rId2158" ref="Z2160"/>
    <hyperlink r:id="rId2159" ref="Z2161"/>
    <hyperlink r:id="rId2160" ref="Z2162"/>
    <hyperlink r:id="rId2161" ref="Z2163"/>
    <hyperlink r:id="rId2162" ref="Z2164"/>
    <hyperlink r:id="rId2163" ref="Z2165"/>
    <hyperlink r:id="rId2164" ref="Z2166"/>
    <hyperlink r:id="rId2165" ref="Z2167"/>
    <hyperlink r:id="rId2166" ref="AR2168"/>
    <hyperlink r:id="rId2167" ref="Z2169"/>
    <hyperlink r:id="rId2168" ref="Z2170"/>
    <hyperlink r:id="rId2169" ref="Z2171"/>
    <hyperlink r:id="rId2170" ref="O2172"/>
    <hyperlink r:id="rId2171" ref="Z2173"/>
    <hyperlink r:id="rId2172" ref="Z2174"/>
    <hyperlink r:id="rId2173" ref="Z2175"/>
    <hyperlink r:id="rId2174" ref="Z2176"/>
    <hyperlink r:id="rId2175" ref="Z2177"/>
    <hyperlink r:id="rId2176" ref="Z2178"/>
    <hyperlink r:id="rId2177" ref="Z2179"/>
    <hyperlink r:id="rId2178" ref="Z2180"/>
    <hyperlink r:id="rId2179" ref="Z2181"/>
    <hyperlink r:id="rId2180" ref="O2182"/>
    <hyperlink r:id="rId2181" ref="O2183"/>
    <hyperlink r:id="rId2182" ref="Z2184"/>
    <hyperlink r:id="rId2183" ref="Z2185"/>
    <hyperlink r:id="rId2184" ref="Z2186"/>
    <hyperlink r:id="rId2185" ref="AR2187"/>
    <hyperlink r:id="rId2186" ref="Z2188"/>
    <hyperlink r:id="rId2187" ref="Z2189"/>
    <hyperlink r:id="rId2188" ref="Z2190"/>
    <hyperlink r:id="rId2189" ref="AR2191"/>
    <hyperlink r:id="rId2190" ref="Z2192"/>
    <hyperlink r:id="rId2191" ref="Z2193"/>
    <hyperlink r:id="rId2192" ref="Z2194"/>
    <hyperlink r:id="rId2193" ref="Z2195"/>
    <hyperlink r:id="rId2194" ref="Z2196"/>
    <hyperlink r:id="rId2195" ref="Z2197"/>
    <hyperlink r:id="rId2196" ref="Z2198"/>
    <hyperlink r:id="rId2197" ref="Z2199"/>
    <hyperlink r:id="rId2198" ref="O2200"/>
    <hyperlink r:id="rId2199" ref="Z2201"/>
    <hyperlink r:id="rId2200" ref="Z2202"/>
    <hyperlink r:id="rId2201" ref="Z2203"/>
    <hyperlink r:id="rId2202" ref="Z2204"/>
    <hyperlink r:id="rId2203" ref="Z2205"/>
    <hyperlink r:id="rId2204" ref="Z2206"/>
    <hyperlink r:id="rId2205" ref="Z2207"/>
    <hyperlink r:id="rId2206" ref="Z2208"/>
    <hyperlink r:id="rId2207" ref="Z2209"/>
    <hyperlink r:id="rId2208" ref="Z2210"/>
    <hyperlink r:id="rId2209" ref="Z2211"/>
    <hyperlink r:id="rId2210" ref="Z2212"/>
    <hyperlink r:id="rId2211" ref="Z2213"/>
    <hyperlink r:id="rId2212" ref="Z2214"/>
    <hyperlink r:id="rId2213" ref="Z2215"/>
    <hyperlink r:id="rId2214" ref="Z2216"/>
    <hyperlink r:id="rId2215" ref="Z2217"/>
    <hyperlink r:id="rId2216" ref="Z2218"/>
    <hyperlink r:id="rId2217" ref="AR2219"/>
    <hyperlink r:id="rId2218" ref="Z2220"/>
    <hyperlink r:id="rId2219" ref="Z2221"/>
    <hyperlink r:id="rId2220" ref="Z2222"/>
    <hyperlink r:id="rId2221" ref="Z2223"/>
    <hyperlink r:id="rId2222" ref="Z2224"/>
    <hyperlink r:id="rId2223" ref="Z2225"/>
    <hyperlink r:id="rId2224" ref="Z2226"/>
    <hyperlink r:id="rId2225" ref="Z2227"/>
    <hyperlink r:id="rId2226" ref="Z2228"/>
    <hyperlink r:id="rId2227" ref="Z2229"/>
    <hyperlink r:id="rId2228" ref="Z2230"/>
    <hyperlink r:id="rId2229" ref="Z2231"/>
    <hyperlink r:id="rId2230" ref="Z2232"/>
    <hyperlink r:id="rId2231" ref="Z2233"/>
    <hyperlink r:id="rId2232" ref="Z2234"/>
    <hyperlink r:id="rId2233" ref="Z2235"/>
    <hyperlink r:id="rId2234" ref="Z2236"/>
    <hyperlink r:id="rId2235" ref="Z2237"/>
    <hyperlink r:id="rId2236" ref="Z2238"/>
    <hyperlink r:id="rId2237" ref="Z2239"/>
    <hyperlink r:id="rId2238" ref="Z2240"/>
    <hyperlink r:id="rId2239" ref="Z2241"/>
    <hyperlink r:id="rId2240" ref="Z2242"/>
    <hyperlink r:id="rId2241" ref="Z2243"/>
    <hyperlink r:id="rId2242" ref="Z2244"/>
    <hyperlink r:id="rId2243" ref="Z2245"/>
    <hyperlink r:id="rId2244" ref="Z2246"/>
    <hyperlink r:id="rId2245" ref="Z2247"/>
    <hyperlink r:id="rId2246" ref="Z2248"/>
    <hyperlink r:id="rId2247" ref="Z2249"/>
    <hyperlink r:id="rId2248" ref="Z2250"/>
    <hyperlink r:id="rId2249" ref="Z2251"/>
    <hyperlink r:id="rId2250" ref="Z2252"/>
    <hyperlink r:id="rId2251" ref="Z2253"/>
    <hyperlink r:id="rId2252" ref="Z2254"/>
    <hyperlink r:id="rId2253" ref="Z2255"/>
    <hyperlink r:id="rId2254" ref="Z2256"/>
    <hyperlink r:id="rId2255" ref="Z2257"/>
    <hyperlink r:id="rId2256" ref="Z2258"/>
    <hyperlink r:id="rId2257" ref="Z2259"/>
    <hyperlink r:id="rId2258" ref="Z2260"/>
    <hyperlink r:id="rId2259" ref="Z2261"/>
    <hyperlink r:id="rId2260" ref="Z2262"/>
    <hyperlink r:id="rId2261" ref="Z2263"/>
    <hyperlink r:id="rId2262" ref="Z2264"/>
    <hyperlink r:id="rId2263" ref="AR2265"/>
    <hyperlink r:id="rId2264" ref="Z2266"/>
    <hyperlink r:id="rId2265" ref="Z2267"/>
    <hyperlink r:id="rId2266" ref="Z2268"/>
    <hyperlink r:id="rId2267" ref="AR2269"/>
    <hyperlink r:id="rId2268" ref="AR2270"/>
    <hyperlink r:id="rId2269" ref="Z2271"/>
    <hyperlink r:id="rId2270" ref="Z2272"/>
    <hyperlink r:id="rId2271" ref="Z2273"/>
    <hyperlink r:id="rId2272" ref="Z2274"/>
    <hyperlink r:id="rId2273" ref="Z2275"/>
    <hyperlink r:id="rId2274" ref="Z2276"/>
    <hyperlink r:id="rId2275" ref="AR2277"/>
    <hyperlink r:id="rId2276" ref="AR2278"/>
    <hyperlink r:id="rId2277" ref="AR2279"/>
    <hyperlink r:id="rId2278" ref="AR2280"/>
    <hyperlink r:id="rId2279" ref="AR2281"/>
    <hyperlink r:id="rId2280" ref="Z2282"/>
    <hyperlink r:id="rId2281" ref="Z2283"/>
    <hyperlink r:id="rId2282" ref="Z2284"/>
    <hyperlink r:id="rId2283" ref="Z2285"/>
    <hyperlink r:id="rId2284" ref="Z2286"/>
    <hyperlink r:id="rId2285" ref="Z2287"/>
    <hyperlink r:id="rId2286" ref="Z2288"/>
    <hyperlink r:id="rId2287" ref="Z2289"/>
    <hyperlink r:id="rId2288" ref="Z2290"/>
    <hyperlink r:id="rId2289" ref="AR2291"/>
    <hyperlink r:id="rId2290" ref="Z2292"/>
    <hyperlink r:id="rId2291" ref="AR2293"/>
    <hyperlink r:id="rId2292" ref="Z2294"/>
    <hyperlink r:id="rId2293" ref="Z2295"/>
    <hyperlink r:id="rId2294" ref="Z2296"/>
    <hyperlink r:id="rId2295" ref="AR2297"/>
    <hyperlink r:id="rId2296" ref="Z2298"/>
    <hyperlink r:id="rId2297" ref="AR2299"/>
    <hyperlink r:id="rId2298" ref="Z2300"/>
    <hyperlink r:id="rId2299" ref="Z2301"/>
    <hyperlink r:id="rId2300" ref="Z2302"/>
    <hyperlink r:id="rId2301" ref="Z2303"/>
    <hyperlink r:id="rId2302" ref="Z2304"/>
    <hyperlink r:id="rId2303" ref="Z2305"/>
    <hyperlink r:id="rId2304" ref="AR2306"/>
    <hyperlink r:id="rId2305" ref="AR2307"/>
    <hyperlink r:id="rId2306" ref="AR2308"/>
    <hyperlink r:id="rId2307" ref="AR2309"/>
    <hyperlink r:id="rId2308" ref="Z2310"/>
    <hyperlink r:id="rId2309" ref="Z2311"/>
    <hyperlink r:id="rId2310" ref="AR2312"/>
    <hyperlink r:id="rId2311" ref="Z2313"/>
    <hyperlink r:id="rId2312" ref="Z2314"/>
    <hyperlink r:id="rId2313" ref="Z2315"/>
    <hyperlink r:id="rId2314" ref="Z2316"/>
    <hyperlink r:id="rId2315" ref="Z2317"/>
    <hyperlink r:id="rId2316" ref="Z2318"/>
    <hyperlink r:id="rId2317" ref="Z2319"/>
    <hyperlink r:id="rId2318" ref="Z2320"/>
    <hyperlink r:id="rId2319" ref="Z2321"/>
    <hyperlink r:id="rId2320" ref="Z2322"/>
    <hyperlink r:id="rId2321" ref="Z2323"/>
    <hyperlink r:id="rId2322" ref="Z2324"/>
    <hyperlink r:id="rId2323" ref="Z2325"/>
    <hyperlink r:id="rId2324" ref="Z2326"/>
    <hyperlink r:id="rId2325" ref="Z2327"/>
    <hyperlink r:id="rId2326" ref="Z2328"/>
    <hyperlink r:id="rId2327" ref="Z2329"/>
    <hyperlink r:id="rId2328" ref="Z2330"/>
    <hyperlink r:id="rId2329" ref="Z2331"/>
    <hyperlink r:id="rId2330" ref="Z2332"/>
    <hyperlink r:id="rId2331" ref="Z2333"/>
    <hyperlink r:id="rId2332" ref="Z2334"/>
    <hyperlink r:id="rId2333" ref="Z2335"/>
    <hyperlink r:id="rId2334" ref="AR2336"/>
    <hyperlink r:id="rId2335" ref="AR2337"/>
    <hyperlink r:id="rId2336" ref="Z2338"/>
    <hyperlink r:id="rId2337" ref="Z2339"/>
    <hyperlink r:id="rId2338" ref="Z2340"/>
    <hyperlink r:id="rId2339" ref="Z2341"/>
    <hyperlink r:id="rId2340" ref="Z2342"/>
    <hyperlink r:id="rId2341" ref="Z2343"/>
    <hyperlink r:id="rId2342" ref="Z2344"/>
    <hyperlink r:id="rId2343" ref="Z2345"/>
    <hyperlink r:id="rId2344" ref="Z2346"/>
    <hyperlink r:id="rId2345" ref="Z2347"/>
    <hyperlink r:id="rId2346" ref="Z2348"/>
    <hyperlink r:id="rId2347" ref="Z2349"/>
    <hyperlink r:id="rId2348" ref="Z2350"/>
    <hyperlink r:id="rId2349" ref="Z2351"/>
    <hyperlink r:id="rId2350" ref="Z2352"/>
    <hyperlink r:id="rId2351" ref="Z2353"/>
    <hyperlink r:id="rId2352" ref="Z2354"/>
    <hyperlink r:id="rId2353" ref="Z2355"/>
    <hyperlink r:id="rId2354" ref="Z2356"/>
    <hyperlink r:id="rId2355" ref="Z2357"/>
    <hyperlink r:id="rId2356" ref="Z2358"/>
    <hyperlink r:id="rId2357" ref="Z2359"/>
    <hyperlink r:id="rId2358" ref="Z2360"/>
    <hyperlink r:id="rId2359" ref="Z2361"/>
    <hyperlink r:id="rId2360" ref="Z2362"/>
    <hyperlink r:id="rId2361" ref="Z2363"/>
    <hyperlink r:id="rId2362" ref="AR2364"/>
    <hyperlink r:id="rId2363" ref="Z2365"/>
    <hyperlink r:id="rId2364" ref="Z2366"/>
    <hyperlink r:id="rId2365" ref="Z2367"/>
    <hyperlink r:id="rId2366" ref="Z2368"/>
    <hyperlink r:id="rId2367" ref="Z2369"/>
    <hyperlink r:id="rId2368" ref="Z2370"/>
    <hyperlink r:id="rId2369" ref="Z2371"/>
    <hyperlink r:id="rId2370" ref="Z2372"/>
    <hyperlink r:id="rId2371" ref="Z2373"/>
    <hyperlink r:id="rId2372" ref="Z2374"/>
    <hyperlink r:id="rId2373" ref="Z2375"/>
    <hyperlink r:id="rId2374" ref="Z2376"/>
    <hyperlink r:id="rId2375" ref="AR2377"/>
    <hyperlink r:id="rId2376" ref="Z2378"/>
    <hyperlink r:id="rId2377" ref="Z2379"/>
    <hyperlink r:id="rId2378" ref="Z2380"/>
    <hyperlink r:id="rId2379" ref="Z2381"/>
    <hyperlink r:id="rId2380" ref="Z2382"/>
    <hyperlink r:id="rId2381" ref="Z2383"/>
    <hyperlink r:id="rId2382" ref="Z2384"/>
    <hyperlink r:id="rId2383" ref="AR2385"/>
    <hyperlink r:id="rId2384" ref="Z2386"/>
    <hyperlink r:id="rId2385" ref="Z2387"/>
    <hyperlink r:id="rId2386" ref="O2388"/>
    <hyperlink r:id="rId2387" ref="O2389"/>
    <hyperlink r:id="rId2388" ref="AR2390"/>
    <hyperlink r:id="rId2389" ref="AR2391"/>
    <hyperlink r:id="rId2390" ref="O2392"/>
    <hyperlink r:id="rId2391" ref="O2393"/>
    <hyperlink r:id="rId2392" ref="AR2394"/>
    <hyperlink r:id="rId2393" ref="Z2395"/>
    <hyperlink r:id="rId2394" ref="Z2396"/>
    <hyperlink r:id="rId2395" ref="Z2397"/>
    <hyperlink r:id="rId2396" ref="Z2398"/>
    <hyperlink r:id="rId2397" ref="Z2399"/>
    <hyperlink r:id="rId2398" ref="Z2400"/>
    <hyperlink r:id="rId2399" ref="AR2401"/>
    <hyperlink r:id="rId2400" ref="Z2402"/>
    <hyperlink r:id="rId2401" ref="Z2403"/>
    <hyperlink r:id="rId2402" ref="Z2404"/>
    <hyperlink r:id="rId2403" ref="Z2405"/>
    <hyperlink r:id="rId2404" ref="Z2406"/>
    <hyperlink r:id="rId2405" ref="Z2407"/>
    <hyperlink r:id="rId2406" ref="Z2408"/>
    <hyperlink r:id="rId2407" ref="AR2409"/>
    <hyperlink r:id="rId2408" ref="Z2410"/>
    <hyperlink r:id="rId2409" ref="Z2411"/>
    <hyperlink r:id="rId2410" ref="AR2412"/>
    <hyperlink r:id="rId2411" ref="Z2413"/>
    <hyperlink r:id="rId2412" ref="Z2414"/>
    <hyperlink r:id="rId2413" ref="AR2415"/>
    <hyperlink r:id="rId2414" ref="Z2416"/>
    <hyperlink r:id="rId2415" ref="AR2417"/>
    <hyperlink r:id="rId2416" ref="Z2418"/>
    <hyperlink r:id="rId2417" ref="Z2419"/>
    <hyperlink r:id="rId2418" ref="Z2420"/>
    <hyperlink r:id="rId2419" ref="Z2421"/>
    <hyperlink r:id="rId2420" ref="Z2422"/>
    <hyperlink r:id="rId2421" ref="AR2423"/>
    <hyperlink r:id="rId2422" ref="Z2424"/>
    <hyperlink r:id="rId2423" ref="Z2425"/>
    <hyperlink r:id="rId2424" ref="Z2426"/>
    <hyperlink r:id="rId2425" ref="Z2427"/>
    <hyperlink r:id="rId2426" ref="Z2428"/>
    <hyperlink r:id="rId2427" ref="Z2429"/>
    <hyperlink r:id="rId2428" ref="Z2430"/>
    <hyperlink r:id="rId2429" ref="Z2431"/>
    <hyperlink r:id="rId2430" ref="Z2432"/>
    <hyperlink r:id="rId2431" ref="Z2433"/>
    <hyperlink r:id="rId2432" ref="Z2434"/>
    <hyperlink r:id="rId2433" ref="Z2435"/>
    <hyperlink r:id="rId2434" ref="Z2436"/>
    <hyperlink r:id="rId2435" ref="Z2437"/>
    <hyperlink r:id="rId2436" ref="Z2438"/>
    <hyperlink r:id="rId2437" ref="AR2439"/>
    <hyperlink r:id="rId2438" ref="Z2440"/>
    <hyperlink r:id="rId2439" ref="Z2441"/>
    <hyperlink r:id="rId2440" ref="Z2442"/>
    <hyperlink r:id="rId2441" ref="Z2443"/>
    <hyperlink r:id="rId2442" ref="AR2444"/>
    <hyperlink r:id="rId2443" ref="Z2445"/>
    <hyperlink r:id="rId2444" ref="Z2446"/>
    <hyperlink r:id="rId2445" ref="Z2447"/>
    <hyperlink r:id="rId2446" ref="Z2448"/>
    <hyperlink r:id="rId2447" ref="AR2449"/>
    <hyperlink r:id="rId2448" ref="Z2450"/>
    <hyperlink r:id="rId2449" ref="Z2451"/>
    <hyperlink r:id="rId2450" ref="Z2452"/>
    <hyperlink r:id="rId2451" ref="AR2453"/>
    <hyperlink r:id="rId2452" ref="Z2454"/>
    <hyperlink r:id="rId2453" ref="Z2455"/>
    <hyperlink r:id="rId2454" ref="Z2456"/>
    <hyperlink r:id="rId2455" ref="AR2457"/>
    <hyperlink r:id="rId2456" ref="Z2458"/>
    <hyperlink r:id="rId2457" ref="Z2459"/>
    <hyperlink r:id="rId2458" ref="Z2460"/>
    <hyperlink r:id="rId2459" ref="Z2461"/>
    <hyperlink r:id="rId2460" ref="Z2462"/>
    <hyperlink r:id="rId2461" ref="Z2463"/>
    <hyperlink r:id="rId2462" ref="Z2464"/>
    <hyperlink r:id="rId2463" ref="Z2465"/>
    <hyperlink r:id="rId2464" ref="AR2466"/>
    <hyperlink r:id="rId2465" ref="Z2467"/>
    <hyperlink r:id="rId2466" ref="Z2468"/>
    <hyperlink r:id="rId2467" ref="Z2469"/>
    <hyperlink r:id="rId2468" ref="Z2470"/>
    <hyperlink r:id="rId2469" ref="Z2471"/>
    <hyperlink r:id="rId2470" ref="Z2472"/>
    <hyperlink r:id="rId2471" ref="Z2473"/>
    <hyperlink r:id="rId2472" ref="AR2474"/>
    <hyperlink r:id="rId2473" ref="Z2475"/>
    <hyperlink r:id="rId2474" ref="Z2476"/>
    <hyperlink r:id="rId2475" ref="Z2477"/>
    <hyperlink r:id="rId2476" ref="Z2478"/>
    <hyperlink r:id="rId2477" ref="Z2479"/>
    <hyperlink r:id="rId2478" ref="Z2480"/>
    <hyperlink r:id="rId2479" ref="Z2481"/>
    <hyperlink r:id="rId2480" ref="Z2482"/>
    <hyperlink r:id="rId2481" ref="AR2483"/>
    <hyperlink r:id="rId2482" ref="Z2484"/>
    <hyperlink r:id="rId2483" ref="Z2485"/>
    <hyperlink r:id="rId2484" ref="Z2486"/>
    <hyperlink r:id="rId2485" ref="Z2487"/>
    <hyperlink r:id="rId2486" ref="Z2488"/>
    <hyperlink r:id="rId2487" ref="Z2489"/>
    <hyperlink r:id="rId2488" ref="Z2490"/>
    <hyperlink r:id="rId2489" ref="Z2491"/>
    <hyperlink r:id="rId2490" ref="Z2492"/>
    <hyperlink r:id="rId2491" ref="Z2493"/>
    <hyperlink r:id="rId2492" ref="AR2494"/>
    <hyperlink r:id="rId2493" ref="AR2495"/>
    <hyperlink r:id="rId2494" ref="Z2496"/>
    <hyperlink r:id="rId2495" ref="Z2497"/>
    <hyperlink r:id="rId2496" ref="Z2498"/>
    <hyperlink r:id="rId2497" ref="Z2499"/>
    <hyperlink r:id="rId2498" ref="Z2500"/>
    <hyperlink r:id="rId2499" ref="AR2501"/>
    <hyperlink r:id="rId2500" ref="Z2502"/>
    <hyperlink r:id="rId2501" ref="AR2503"/>
    <hyperlink r:id="rId2502" ref="AR2504"/>
    <hyperlink r:id="rId2503" ref="Z2505"/>
    <hyperlink r:id="rId2504" ref="Z2506"/>
    <hyperlink r:id="rId2505" ref="Z2507"/>
    <hyperlink r:id="rId2506" ref="Z2508"/>
    <hyperlink r:id="rId2507" ref="Z2509"/>
    <hyperlink r:id="rId2508" ref="Z2510"/>
    <hyperlink r:id="rId2509" ref="Z2511"/>
    <hyperlink r:id="rId2510" ref="Z2512"/>
    <hyperlink r:id="rId2511" ref="AR2513"/>
    <hyperlink r:id="rId2512" ref="Z2514"/>
    <hyperlink r:id="rId2513" ref="Z2515"/>
    <hyperlink r:id="rId2514" ref="AR2516"/>
    <hyperlink r:id="rId2515" ref="Z2517"/>
    <hyperlink r:id="rId2516" ref="Z2518"/>
    <hyperlink r:id="rId2517" ref="Z2519"/>
    <hyperlink r:id="rId2518" ref="Z2520"/>
    <hyperlink r:id="rId2519" ref="Z2521"/>
    <hyperlink r:id="rId2520" ref="AR2522"/>
    <hyperlink r:id="rId2521" ref="Z2523"/>
    <hyperlink r:id="rId2522" ref="Z2524"/>
    <hyperlink r:id="rId2523" ref="Z2525"/>
    <hyperlink r:id="rId2524" ref="Z2526"/>
    <hyperlink r:id="rId2525" ref="Z2527"/>
    <hyperlink r:id="rId2526" ref="Z2528"/>
    <hyperlink r:id="rId2527" ref="Z2529"/>
    <hyperlink r:id="rId2528" ref="Z2530"/>
    <hyperlink r:id="rId2529" ref="AR2531"/>
    <hyperlink r:id="rId2530" ref="AR2532"/>
    <hyperlink r:id="rId2531" ref="Z2533"/>
    <hyperlink r:id="rId2532" ref="Z2534"/>
    <hyperlink r:id="rId2533" ref="Z2535"/>
    <hyperlink r:id="rId2534" ref="AR2536"/>
    <hyperlink r:id="rId2535" ref="Z2537"/>
    <hyperlink r:id="rId2536" ref="Z2538"/>
    <hyperlink r:id="rId2537" ref="Z2539"/>
    <hyperlink r:id="rId2538" ref="Z2540"/>
    <hyperlink r:id="rId2539" ref="Z2541"/>
    <hyperlink r:id="rId2540" ref="Z2542"/>
    <hyperlink r:id="rId2541" ref="Z2543"/>
    <hyperlink r:id="rId2542" ref="Z2544"/>
    <hyperlink r:id="rId2543" ref="Z2545"/>
    <hyperlink r:id="rId2544" ref="Z2546"/>
    <hyperlink r:id="rId2545" ref="Z2547"/>
    <hyperlink r:id="rId2546" ref="Z2548"/>
    <hyperlink r:id="rId2547" ref="Z2549"/>
    <hyperlink r:id="rId2548" ref="Z2550"/>
    <hyperlink r:id="rId2549" ref="AR2551"/>
    <hyperlink r:id="rId2550" ref="Z2552"/>
    <hyperlink r:id="rId2551" ref="Z2553"/>
    <hyperlink r:id="rId2552" ref="Z2554"/>
    <hyperlink r:id="rId2553" ref="Z2555"/>
    <hyperlink r:id="rId2554" ref="Z2556"/>
    <hyperlink r:id="rId2555" ref="Z2557"/>
    <hyperlink r:id="rId2556" ref="Z2558"/>
    <hyperlink r:id="rId2557" ref="Z2559"/>
    <hyperlink r:id="rId2558" ref="Z2560"/>
    <hyperlink r:id="rId2559" ref="Z2561"/>
    <hyperlink r:id="rId2560" ref="Z2562"/>
    <hyperlink r:id="rId2561" ref="Z2563"/>
    <hyperlink r:id="rId2562" ref="Z2564"/>
    <hyperlink r:id="rId2563" ref="Z2565"/>
    <hyperlink r:id="rId2564" ref="AR2566"/>
    <hyperlink r:id="rId2565" ref="Z2567"/>
    <hyperlink r:id="rId2566" ref="Z2568"/>
    <hyperlink r:id="rId2567" ref="Z2569"/>
    <hyperlink r:id="rId2568" ref="Z2570"/>
    <hyperlink r:id="rId2569" ref="Z2571"/>
    <hyperlink r:id="rId2570" ref="Z2572"/>
    <hyperlink r:id="rId2571" ref="Z2573"/>
    <hyperlink r:id="rId2572" ref="Z2574"/>
    <hyperlink r:id="rId2573" ref="Z2575"/>
    <hyperlink r:id="rId2574" ref="Z2576"/>
    <hyperlink r:id="rId2575" ref="Z2577"/>
    <hyperlink r:id="rId2576" ref="Z2578"/>
    <hyperlink r:id="rId2577" ref="Z2579"/>
    <hyperlink r:id="rId2578" ref="Z2580"/>
    <hyperlink r:id="rId2579" ref="Z2581"/>
    <hyperlink r:id="rId2580" ref="Z2582"/>
    <hyperlink r:id="rId2581" ref="O2583"/>
    <hyperlink r:id="rId2582" ref="O2584"/>
    <hyperlink r:id="rId2583" ref="O2585"/>
    <hyperlink r:id="rId2584" ref="O2586"/>
    <hyperlink r:id="rId2585" ref="O2587"/>
    <hyperlink r:id="rId2586" ref="O2588"/>
    <hyperlink r:id="rId2587" ref="O2589"/>
    <hyperlink r:id="rId2588" ref="O2590"/>
    <hyperlink r:id="rId2589" ref="O2591"/>
    <hyperlink r:id="rId2590" ref="O2592"/>
    <hyperlink r:id="rId2591" ref="O2593"/>
    <hyperlink r:id="rId2592" ref="O2594"/>
    <hyperlink r:id="rId2593" ref="AR2595"/>
    <hyperlink r:id="rId2594" ref="O2596"/>
    <hyperlink r:id="rId2595" ref="O2597"/>
    <hyperlink r:id="rId2596" ref="O2598"/>
    <hyperlink r:id="rId2597" ref="O2599"/>
    <hyperlink r:id="rId2598" ref="O2600"/>
    <hyperlink r:id="rId2599" ref="O2601"/>
    <hyperlink r:id="rId2600" ref="O2602"/>
    <hyperlink r:id="rId2601" ref="O2603"/>
    <hyperlink r:id="rId2602" ref="O2604"/>
    <hyperlink r:id="rId2603" ref="O2605"/>
    <hyperlink r:id="rId2604" ref="O2606"/>
    <hyperlink r:id="rId2605" ref="O2607"/>
    <hyperlink r:id="rId2606" ref="AR2608"/>
    <hyperlink r:id="rId2607" ref="O2609"/>
    <hyperlink r:id="rId2608" ref="O2610"/>
    <hyperlink r:id="rId2609" ref="O2611"/>
    <hyperlink r:id="rId2610" ref="O2612"/>
    <hyperlink r:id="rId2611" ref="O2613"/>
    <hyperlink r:id="rId2612" ref="O2614"/>
    <hyperlink r:id="rId2613" ref="O2615"/>
    <hyperlink r:id="rId2614" ref="O2616"/>
    <hyperlink r:id="rId2615" ref="O2617"/>
    <hyperlink r:id="rId2616" ref="O2618"/>
    <hyperlink r:id="rId2617" ref="O2619"/>
    <hyperlink r:id="rId2618" ref="O2620"/>
    <hyperlink r:id="rId2619" ref="O2621"/>
    <hyperlink r:id="rId2620" ref="O2622"/>
    <hyperlink r:id="rId2621" ref="AR2623"/>
    <hyperlink r:id="rId2622" ref="O2624"/>
    <hyperlink r:id="rId2623" ref="O2625"/>
    <hyperlink r:id="rId2624" ref="O2626"/>
    <hyperlink r:id="rId2625" ref="O2627"/>
    <hyperlink r:id="rId2626" ref="O2628"/>
    <hyperlink r:id="rId2627" ref="O2629"/>
    <hyperlink r:id="rId2628" ref="O2630"/>
    <hyperlink r:id="rId2629" ref="O2631"/>
    <hyperlink r:id="rId2630" ref="O2632"/>
    <hyperlink r:id="rId2631" ref="O2633"/>
    <hyperlink r:id="rId2632" ref="O2634"/>
    <hyperlink r:id="rId2633" ref="O2635"/>
    <hyperlink r:id="rId2634" ref="O2636"/>
    <hyperlink r:id="rId2635" ref="AR2637"/>
    <hyperlink r:id="rId2636" ref="O2638"/>
    <hyperlink r:id="rId2637" ref="O2639"/>
    <hyperlink r:id="rId2638" ref="O2640"/>
    <hyperlink r:id="rId2639" ref="O2641"/>
    <hyperlink r:id="rId2640" ref="O2642"/>
    <hyperlink r:id="rId2641" ref="O2643"/>
    <hyperlink r:id="rId2642" ref="O2644"/>
    <hyperlink r:id="rId2643" ref="O2645"/>
    <hyperlink r:id="rId2644" ref="O2646"/>
    <hyperlink r:id="rId2645" ref="O2647"/>
    <hyperlink r:id="rId2646" ref="O2648"/>
    <hyperlink r:id="rId2647" ref="O2649"/>
    <hyperlink r:id="rId2648" ref="O2650"/>
    <hyperlink r:id="rId2649" ref="O2651"/>
    <hyperlink r:id="rId2650" ref="O2652"/>
    <hyperlink r:id="rId2651" ref="O2653"/>
    <hyperlink r:id="rId2652" ref="O2654"/>
    <hyperlink r:id="rId2653" ref="AR2655"/>
    <hyperlink r:id="rId2654" ref="O2656"/>
    <hyperlink r:id="rId2655" ref="O2657"/>
    <hyperlink r:id="rId2656" ref="O2658"/>
    <hyperlink r:id="rId2657" ref="AR2659"/>
    <hyperlink r:id="rId2658" ref="O2660"/>
    <hyperlink r:id="rId2659" ref="O2661"/>
    <hyperlink r:id="rId2660" ref="O2662"/>
    <hyperlink r:id="rId2661" ref="AR2663"/>
    <hyperlink r:id="rId2662" ref="O2664"/>
    <hyperlink r:id="rId2663" ref="O2665"/>
    <hyperlink r:id="rId2664" ref="O2666"/>
    <hyperlink r:id="rId2665" ref="O2667"/>
    <hyperlink r:id="rId2666" ref="O2668"/>
    <hyperlink r:id="rId2667" ref="O2669"/>
    <hyperlink r:id="rId2668" ref="O2670"/>
    <hyperlink r:id="rId2669" ref="O2671"/>
    <hyperlink r:id="rId2670" ref="O2672"/>
    <hyperlink r:id="rId2671" ref="O2673"/>
    <hyperlink r:id="rId2672" ref="O2674"/>
    <hyperlink r:id="rId2673" ref="AR2675"/>
    <hyperlink r:id="rId2674" ref="O2676"/>
    <hyperlink r:id="rId2675" ref="O2677"/>
    <hyperlink r:id="rId2676" ref="O2678"/>
    <hyperlink r:id="rId2677" ref="O2679"/>
    <hyperlink r:id="rId2678" ref="O2680"/>
    <hyperlink r:id="rId2679" ref="O2681"/>
    <hyperlink r:id="rId2680" ref="O2682"/>
    <hyperlink r:id="rId2681" ref="O2683"/>
    <hyperlink r:id="rId2682" ref="O2684"/>
    <hyperlink r:id="rId2683" ref="O2685"/>
    <hyperlink r:id="rId2684" ref="O2686"/>
    <hyperlink r:id="rId2685" ref="O2687"/>
    <hyperlink r:id="rId2686" ref="O2688"/>
    <hyperlink r:id="rId2687" ref="O2689"/>
    <hyperlink r:id="rId2688" ref="O2690"/>
    <hyperlink r:id="rId2689" ref="O2691"/>
    <hyperlink r:id="rId2690" ref="O2692"/>
    <hyperlink r:id="rId2691" ref="O2693"/>
    <hyperlink r:id="rId2692" ref="O2694"/>
    <hyperlink r:id="rId2693" ref="O2695"/>
    <hyperlink r:id="rId2694" ref="O2696"/>
    <hyperlink r:id="rId2695" ref="O2697"/>
    <hyperlink r:id="rId2696" ref="O2698"/>
    <hyperlink r:id="rId2697" ref="O2699"/>
    <hyperlink r:id="rId2698" ref="O2700"/>
    <hyperlink r:id="rId2699" ref="O2701"/>
    <hyperlink r:id="rId2700" ref="O2702"/>
    <hyperlink r:id="rId2701" ref="O2703"/>
    <hyperlink r:id="rId2702" ref="O2704"/>
    <hyperlink r:id="rId2703" ref="O2705"/>
    <hyperlink r:id="rId2704" ref="O2706"/>
    <hyperlink r:id="rId2705" ref="Z2707"/>
    <hyperlink r:id="rId2706" ref="O2708"/>
    <hyperlink r:id="rId2707" ref="AR2709"/>
    <hyperlink r:id="rId2708" ref="O2710"/>
    <hyperlink r:id="rId2709" ref="O2711"/>
    <hyperlink r:id="rId2710" ref="O2712"/>
    <hyperlink r:id="rId2711" ref="O2713"/>
    <hyperlink r:id="rId2712" ref="O2714"/>
    <hyperlink r:id="rId2713" ref="O2715"/>
    <hyperlink r:id="rId2714" ref="O2716"/>
    <hyperlink r:id="rId2715" ref="O2717"/>
    <hyperlink r:id="rId2716" ref="O2718"/>
    <hyperlink r:id="rId2717" ref="O2719"/>
    <hyperlink r:id="rId2718" ref="O2720"/>
    <hyperlink r:id="rId2719" ref="O2721"/>
    <hyperlink r:id="rId2720" ref="O2722"/>
    <hyperlink r:id="rId2721" ref="AR2723"/>
    <hyperlink r:id="rId2722" ref="AR2724"/>
    <hyperlink r:id="rId2723" ref="O2725"/>
    <hyperlink r:id="rId2724" ref="O2726"/>
    <hyperlink r:id="rId2725" ref="AR2727"/>
    <hyperlink r:id="rId2726" ref="O2728"/>
    <hyperlink r:id="rId2727" ref="O2729"/>
    <hyperlink r:id="rId2728" ref="O2730"/>
    <hyperlink r:id="rId2729" ref="O2731"/>
    <hyperlink r:id="rId2730" ref="O2732"/>
    <hyperlink r:id="rId2731" ref="O2733"/>
    <hyperlink r:id="rId2732" ref="AR2734"/>
    <hyperlink r:id="rId2733" ref="O2735"/>
    <hyperlink r:id="rId2734" ref="O2736"/>
    <hyperlink r:id="rId2735" ref="O2737"/>
    <hyperlink r:id="rId2736" ref="O2738"/>
    <hyperlink r:id="rId2737" ref="O2739"/>
    <hyperlink r:id="rId2738" ref="O2740"/>
    <hyperlink r:id="rId2739" ref="O2741"/>
    <hyperlink r:id="rId2740" ref="O2742"/>
    <hyperlink r:id="rId2741" ref="O2743"/>
    <hyperlink r:id="rId2742" ref="O2744"/>
    <hyperlink r:id="rId2743" ref="O2745"/>
    <hyperlink r:id="rId2744" ref="O2746"/>
    <hyperlink r:id="rId2745" ref="O2747"/>
    <hyperlink r:id="rId2746" ref="O2748"/>
    <hyperlink r:id="rId2747" ref="O2749"/>
    <hyperlink r:id="rId2748" ref="AR2750"/>
    <hyperlink r:id="rId2749" ref="O2751"/>
    <hyperlink r:id="rId2750" ref="O2752"/>
    <hyperlink r:id="rId2751" ref="O2753"/>
    <hyperlink r:id="rId2752" ref="O2754"/>
    <hyperlink r:id="rId2753" ref="O2755"/>
    <hyperlink r:id="rId2754" ref="O2756"/>
    <hyperlink r:id="rId2755" ref="O2757"/>
    <hyperlink r:id="rId2756" ref="O2758"/>
    <hyperlink r:id="rId2757" ref="O2759"/>
    <hyperlink r:id="rId2758" ref="O2760"/>
    <hyperlink r:id="rId2759" ref="O2761"/>
    <hyperlink r:id="rId2760" ref="O2762"/>
    <hyperlink r:id="rId2761" ref="AR2763"/>
    <hyperlink r:id="rId2762" ref="O2764"/>
    <hyperlink r:id="rId2763" ref="O2765"/>
    <hyperlink r:id="rId2764" ref="O2766"/>
    <hyperlink r:id="rId2765" ref="O2767"/>
    <hyperlink r:id="rId2766" ref="O2768"/>
    <hyperlink r:id="rId2767" ref="AR2769"/>
    <hyperlink r:id="rId2768" ref="O2770"/>
    <hyperlink r:id="rId2769" ref="AR2771"/>
    <hyperlink r:id="rId2770" ref="O2772"/>
    <hyperlink r:id="rId2771" ref="O2773"/>
    <hyperlink r:id="rId2772" ref="O2774"/>
    <hyperlink r:id="rId2773" ref="O2775"/>
    <hyperlink r:id="rId2774" ref="O2776"/>
    <hyperlink r:id="rId2775" ref="O2777"/>
    <hyperlink r:id="rId2776" ref="O2778"/>
    <hyperlink r:id="rId2777" ref="O2779"/>
    <hyperlink r:id="rId2778" ref="O2780"/>
    <hyperlink r:id="rId2779" ref="O2781"/>
    <hyperlink r:id="rId2780" ref="O2782"/>
    <hyperlink r:id="rId2781" ref="AR2783"/>
    <hyperlink r:id="rId2782" ref="AR2784"/>
    <hyperlink r:id="rId2783" ref="O2785"/>
    <hyperlink r:id="rId2784" ref="O2786"/>
    <hyperlink r:id="rId2785" ref="AR2787"/>
    <hyperlink r:id="rId2786" ref="O2788"/>
    <hyperlink r:id="rId2787" ref="O2789"/>
    <hyperlink r:id="rId2788" ref="O2790"/>
    <hyperlink r:id="rId2789" ref="AR2791"/>
    <hyperlink r:id="rId2790" ref="O2792"/>
    <hyperlink r:id="rId2791" ref="AR2793"/>
    <hyperlink r:id="rId2792" ref="O2794"/>
    <hyperlink r:id="rId2793" ref="O2795"/>
    <hyperlink r:id="rId2794" ref="O2796"/>
    <hyperlink r:id="rId2795" ref="O2797"/>
    <hyperlink r:id="rId2796" ref="O2798"/>
    <hyperlink r:id="rId2797" ref="O2799"/>
    <hyperlink r:id="rId2798" ref="O2800"/>
    <hyperlink r:id="rId2799" ref="O2801"/>
    <hyperlink r:id="rId2800" ref="AR2802"/>
    <hyperlink r:id="rId2801" ref="O2803"/>
    <hyperlink r:id="rId2802" ref="O2804"/>
    <hyperlink r:id="rId2803" ref="O2805"/>
    <hyperlink r:id="rId2804" ref="O2806"/>
    <hyperlink r:id="rId2805" ref="O2807"/>
    <hyperlink r:id="rId2806" ref="O2808"/>
    <hyperlink r:id="rId2807" ref="O2809"/>
    <hyperlink r:id="rId2808" ref="O2810"/>
    <hyperlink r:id="rId2809" ref="O2811"/>
    <hyperlink r:id="rId2810" ref="AR2812"/>
    <hyperlink r:id="rId2811" ref="O2813"/>
    <hyperlink r:id="rId2812" ref="O2814"/>
    <hyperlink r:id="rId2813" ref="O2815"/>
    <hyperlink r:id="rId2814" ref="O2816"/>
    <hyperlink r:id="rId2815" ref="O2817"/>
    <hyperlink r:id="rId2816" ref="O2818"/>
    <hyperlink r:id="rId2817" ref="O2819"/>
    <hyperlink r:id="rId2818" ref="AR2820"/>
    <hyperlink r:id="rId2819" ref="O2821"/>
    <hyperlink r:id="rId2820" ref="O2822"/>
    <hyperlink r:id="rId2821" ref="O2823"/>
    <hyperlink r:id="rId2822" ref="O2824"/>
    <hyperlink r:id="rId2823" ref="O2825"/>
    <hyperlink r:id="rId2824" ref="O2826"/>
    <hyperlink r:id="rId2825" ref="O2827"/>
    <hyperlink r:id="rId2826" ref="O2828"/>
    <hyperlink r:id="rId2827" ref="O2829"/>
    <hyperlink r:id="rId2828" ref="O2830"/>
    <hyperlink r:id="rId2829" ref="O2831"/>
    <hyperlink r:id="rId2830" ref="O2832"/>
    <hyperlink r:id="rId2831" ref="O2833"/>
    <hyperlink r:id="rId2832" ref="AR2834"/>
    <hyperlink r:id="rId2833" ref="O2835"/>
    <hyperlink r:id="rId2834" ref="O2836"/>
    <hyperlink r:id="rId2835" ref="O2837"/>
    <hyperlink r:id="rId2836" ref="AR2838"/>
    <hyperlink r:id="rId2837" ref="O2839"/>
    <hyperlink r:id="rId2838" ref="O2840"/>
    <hyperlink r:id="rId2839" ref="O2841"/>
    <hyperlink r:id="rId2840" ref="O2842"/>
    <hyperlink r:id="rId2841" ref="O2843"/>
    <hyperlink r:id="rId2842" ref="O2844"/>
    <hyperlink r:id="rId2843" ref="O2845"/>
    <hyperlink r:id="rId2844" ref="O2846"/>
    <hyperlink r:id="rId2845" ref="O2847"/>
    <hyperlink r:id="rId2846" ref="O2848"/>
    <hyperlink r:id="rId2847" ref="O2849"/>
    <hyperlink r:id="rId2848" ref="O2850"/>
    <hyperlink r:id="rId2849" ref="O2851"/>
    <hyperlink r:id="rId2850" ref="O2852"/>
    <hyperlink r:id="rId2851" ref="O2853"/>
    <hyperlink r:id="rId2852" ref="O2854"/>
    <hyperlink r:id="rId2853" ref="O2855"/>
    <hyperlink r:id="rId2854" ref="O2856"/>
    <hyperlink r:id="rId2855" ref="O2857"/>
    <hyperlink r:id="rId2856" ref="O2858"/>
    <hyperlink r:id="rId2857" ref="O2859"/>
    <hyperlink r:id="rId2858" ref="O2860"/>
    <hyperlink r:id="rId2859" ref="O2861"/>
    <hyperlink r:id="rId2860" ref="O2862"/>
    <hyperlink r:id="rId2861" ref="O2863"/>
    <hyperlink r:id="rId2862" ref="O2864"/>
    <hyperlink r:id="rId2863" ref="O2865"/>
    <hyperlink r:id="rId2864" ref="O2866"/>
    <hyperlink r:id="rId2865" ref="O2867"/>
    <hyperlink r:id="rId2866" ref="AR2868"/>
    <hyperlink r:id="rId2867" ref="O2869"/>
    <hyperlink r:id="rId2868" ref="O2870"/>
    <hyperlink r:id="rId2869" ref="O2871"/>
    <hyperlink r:id="rId2870" ref="O2872"/>
    <hyperlink r:id="rId2871" ref="O2873"/>
    <hyperlink r:id="rId2872" ref="O2874"/>
    <hyperlink r:id="rId2873" ref="O2875"/>
    <hyperlink r:id="rId2874" ref="O2876"/>
    <hyperlink r:id="rId2875" ref="O2877"/>
    <hyperlink r:id="rId2876" ref="O2878"/>
    <hyperlink r:id="rId2877" ref="O2879"/>
    <hyperlink r:id="rId2878" ref="O2880"/>
    <hyperlink r:id="rId2879" ref="O2881"/>
    <hyperlink r:id="rId2880" ref="O2882"/>
    <hyperlink r:id="rId2881" ref="O2883"/>
    <hyperlink r:id="rId2882" ref="O2884"/>
    <hyperlink r:id="rId2883" ref="AR2885"/>
    <hyperlink r:id="rId2884" ref="O2886"/>
    <hyperlink r:id="rId2885" ref="O2887"/>
    <hyperlink r:id="rId2886" ref="O2888"/>
    <hyperlink r:id="rId2887" ref="O2889"/>
    <hyperlink r:id="rId2888" ref="O2890"/>
    <hyperlink r:id="rId2889" ref="O2891"/>
    <hyperlink r:id="rId2890" ref="O2892"/>
    <hyperlink r:id="rId2891" ref="O2893"/>
    <hyperlink r:id="rId2892" ref="O2894"/>
    <hyperlink r:id="rId2893" ref="O2895"/>
    <hyperlink r:id="rId2894" ref="O2896"/>
    <hyperlink r:id="rId2895" ref="O2897"/>
    <hyperlink r:id="rId2896" ref="O2898"/>
    <hyperlink r:id="rId2897" ref="AR2899"/>
    <hyperlink r:id="rId2898" ref="AR2900"/>
    <hyperlink r:id="rId2899" ref="O2901"/>
    <hyperlink r:id="rId2900" ref="O2902"/>
    <hyperlink r:id="rId2901" ref="O2903"/>
    <hyperlink r:id="rId2902" ref="O2904"/>
    <hyperlink r:id="rId2903" ref="O2905"/>
    <hyperlink r:id="rId2904" ref="O2906"/>
    <hyperlink r:id="rId2905" ref="O2907"/>
    <hyperlink r:id="rId2906" ref="O2908"/>
    <hyperlink r:id="rId2907" ref="O2909"/>
    <hyperlink r:id="rId2908" ref="O2910"/>
    <hyperlink r:id="rId2909" ref="O2911"/>
    <hyperlink r:id="rId2910" ref="O2912"/>
    <hyperlink r:id="rId2911" ref="O2913"/>
    <hyperlink r:id="rId2912" ref="O2914"/>
    <hyperlink r:id="rId2913" ref="O2915"/>
    <hyperlink r:id="rId2914" ref="O2916"/>
    <hyperlink r:id="rId2915" ref="O2917"/>
    <hyperlink r:id="rId2916" ref="O2918"/>
    <hyperlink r:id="rId2917" ref="O2919"/>
    <hyperlink r:id="rId2918" ref="O2920"/>
    <hyperlink r:id="rId2919" ref="AR2921"/>
    <hyperlink r:id="rId2920" ref="AR2922"/>
    <hyperlink r:id="rId2921" ref="AR2923"/>
    <hyperlink r:id="rId2922" ref="AR2924"/>
    <hyperlink r:id="rId2923" ref="AR2925"/>
    <hyperlink r:id="rId2924" ref="AR2926"/>
    <hyperlink r:id="rId2925" ref="AR2927"/>
    <hyperlink r:id="rId2926" ref="AR2928"/>
    <hyperlink r:id="rId2927" ref="AR2929"/>
    <hyperlink r:id="rId2928" ref="AR2930"/>
    <hyperlink r:id="rId2929" ref="AR2931"/>
    <hyperlink r:id="rId2930" ref="AR2932"/>
    <hyperlink r:id="rId2931" ref="AR2933"/>
    <hyperlink r:id="rId2932" ref="AR2934"/>
    <hyperlink r:id="rId2933" ref="AR2935"/>
    <hyperlink r:id="rId2934" ref="AR2936"/>
    <hyperlink r:id="rId2935" ref="AR2937"/>
    <hyperlink r:id="rId2936" ref="AR2938"/>
    <hyperlink r:id="rId2937" ref="AR2939"/>
    <hyperlink r:id="rId2938" ref="AR2940"/>
    <hyperlink r:id="rId2939" ref="AR2941"/>
    <hyperlink r:id="rId2940" ref="AR2942"/>
    <hyperlink r:id="rId2941" ref="AR2943"/>
    <hyperlink r:id="rId2942" ref="AR2944"/>
    <hyperlink r:id="rId2943" ref="Z2945"/>
    <hyperlink r:id="rId2944" ref="Z2946"/>
    <hyperlink r:id="rId2945" ref="Z2947"/>
    <hyperlink r:id="rId2946" ref="Z2948"/>
    <hyperlink r:id="rId2947" ref="AR2949"/>
    <hyperlink r:id="rId2948" ref="AR2950"/>
    <hyperlink r:id="rId2949" ref="AR2951"/>
    <hyperlink r:id="rId2950" ref="Z2952"/>
    <hyperlink r:id="rId2951" ref="Z2953"/>
    <hyperlink r:id="rId2952" ref="Z2954"/>
    <hyperlink r:id="rId2953" ref="Z2955"/>
    <hyperlink r:id="rId2954" ref="Z2956"/>
    <hyperlink r:id="rId2955" ref="AR2957"/>
    <hyperlink r:id="rId2956" ref="AR2958"/>
    <hyperlink r:id="rId2957" ref="AR2959"/>
    <hyperlink r:id="rId2958" ref="AR2960"/>
    <hyperlink r:id="rId2959" ref="O2961"/>
    <hyperlink r:id="rId2960" ref="O2962"/>
    <hyperlink r:id="rId2961" ref="O2963"/>
    <hyperlink r:id="rId2962" ref="AR2964"/>
    <hyperlink r:id="rId2963" ref="AR2965"/>
    <hyperlink r:id="rId2964" ref="AR2966"/>
    <hyperlink r:id="rId2965" ref="AR2967"/>
    <hyperlink r:id="rId2966" ref="AR2968"/>
    <hyperlink r:id="rId2967" ref="AR2969"/>
    <hyperlink r:id="rId2968" ref="AR2970"/>
    <hyperlink r:id="rId2969" ref="AR2971"/>
    <hyperlink r:id="rId2970" ref="AR2972"/>
    <hyperlink r:id="rId2971" ref="Z2973"/>
    <hyperlink r:id="rId2972" ref="Z2974"/>
    <hyperlink r:id="rId2973" ref="AR2975"/>
    <hyperlink r:id="rId2974" ref="AR2976"/>
    <hyperlink r:id="rId2975" ref="AR2977"/>
    <hyperlink r:id="rId2976" ref="AR2978"/>
    <hyperlink r:id="rId2977" ref="AR2979"/>
    <hyperlink r:id="rId2978" ref="AR2980"/>
    <hyperlink r:id="rId2979" ref="AR2981"/>
    <hyperlink r:id="rId2980" ref="AR2982"/>
    <hyperlink r:id="rId2981" ref="AR2983"/>
    <hyperlink r:id="rId2982" ref="AR2984"/>
    <hyperlink r:id="rId2983" ref="AR2985"/>
    <hyperlink r:id="rId2984" ref="AR2986"/>
    <hyperlink r:id="rId2985" ref="AR2987"/>
    <hyperlink r:id="rId2986" ref="AR2988"/>
    <hyperlink r:id="rId2987" ref="Z2989"/>
    <hyperlink r:id="rId2988" ref="Z2990"/>
    <hyperlink r:id="rId2989" ref="Z2991"/>
    <hyperlink r:id="rId2990" ref="Z2992"/>
    <hyperlink r:id="rId2991" ref="Z2993"/>
    <hyperlink r:id="rId2992" ref="Z2994"/>
    <hyperlink r:id="rId2993" ref="Z2995"/>
    <hyperlink r:id="rId2994" ref="Z2996"/>
    <hyperlink r:id="rId2995" ref="AR2997"/>
    <hyperlink r:id="rId2996" ref="Z2998"/>
    <hyperlink r:id="rId2997" ref="Z2999"/>
    <hyperlink r:id="rId2998" ref="AR3000"/>
    <hyperlink r:id="rId2999" ref="Z3001"/>
    <hyperlink r:id="rId3000" ref="Z3002"/>
    <hyperlink r:id="rId3001" ref="Z3003"/>
    <hyperlink r:id="rId3002" ref="Z3004"/>
    <hyperlink r:id="rId3003" ref="Z3005"/>
    <hyperlink r:id="rId3004" ref="Z3006"/>
    <hyperlink r:id="rId3005" ref="Z3007"/>
    <hyperlink r:id="rId3006" ref="Z3008"/>
    <hyperlink r:id="rId3007" ref="Z3009"/>
    <hyperlink r:id="rId3008" ref="Z3010"/>
    <hyperlink r:id="rId3009" ref="Z3011"/>
    <hyperlink r:id="rId3010" ref="Z3012"/>
    <hyperlink r:id="rId3011" ref="Z3013"/>
    <hyperlink r:id="rId3012" ref="Z3014"/>
    <hyperlink r:id="rId3013" ref="Z3015"/>
    <hyperlink r:id="rId3014" ref="Z3016"/>
    <hyperlink r:id="rId3015" ref="Z3017"/>
    <hyperlink r:id="rId3016" ref="Z3018"/>
    <hyperlink r:id="rId3017" ref="Z3019"/>
    <hyperlink r:id="rId3018" ref="Z3020"/>
    <hyperlink r:id="rId3019" ref="Z3021"/>
    <hyperlink r:id="rId3020" ref="Z3022"/>
    <hyperlink r:id="rId3021" ref="Z3023"/>
    <hyperlink r:id="rId3022" ref="Z3024"/>
    <hyperlink r:id="rId3023" ref="Z3025"/>
    <hyperlink r:id="rId3024" ref="Z3026"/>
    <hyperlink r:id="rId3025" ref="Z3027"/>
    <hyperlink r:id="rId3026" ref="Z3028"/>
    <hyperlink r:id="rId3027" ref="Z3029"/>
    <hyperlink r:id="rId3028" ref="Z3030"/>
    <hyperlink r:id="rId3029" ref="Z3031"/>
    <hyperlink r:id="rId3030" ref="Z3032"/>
    <hyperlink r:id="rId3031" ref="Z3033"/>
    <hyperlink r:id="rId3032" ref="Z3034"/>
    <hyperlink r:id="rId3033" ref="Z3035"/>
    <hyperlink r:id="rId3034" ref="Z3036"/>
    <hyperlink r:id="rId3035" ref="Z3037"/>
    <hyperlink r:id="rId3036" ref="Z3038"/>
    <hyperlink r:id="rId3037" ref="Z3039"/>
    <hyperlink r:id="rId3038" ref="Z3040"/>
    <hyperlink r:id="rId3039" ref="Z3041"/>
    <hyperlink r:id="rId3040" ref="Z3042"/>
    <hyperlink r:id="rId3041" ref="Z3043"/>
    <hyperlink r:id="rId3042" ref="Z3044"/>
    <hyperlink r:id="rId3043" ref="AR3045"/>
    <hyperlink r:id="rId3044" ref="AR3046"/>
    <hyperlink r:id="rId3045" ref="Z3047"/>
    <hyperlink r:id="rId3046" ref="Z3048"/>
    <hyperlink r:id="rId3047" ref="AR3049"/>
    <hyperlink r:id="rId3048" ref="AR3050"/>
    <hyperlink r:id="rId3049" ref="AR3051"/>
    <hyperlink r:id="rId3050" ref="AR3052"/>
    <hyperlink r:id="rId3051" ref="AR3053"/>
    <hyperlink r:id="rId3052" ref="AR3054"/>
    <hyperlink r:id="rId3053" ref="AR3055"/>
    <hyperlink r:id="rId3054" ref="AR3056"/>
    <hyperlink r:id="rId3055" ref="AR3057"/>
    <hyperlink r:id="rId3056" ref="AR3058"/>
    <hyperlink r:id="rId3057" ref="AR3059"/>
    <hyperlink r:id="rId3058" ref="AR3060"/>
    <hyperlink r:id="rId3059" ref="AR3061"/>
    <hyperlink r:id="rId3060" ref="AR3062"/>
    <hyperlink r:id="rId3061" ref="AR3063"/>
    <hyperlink r:id="rId3062" ref="AR3064"/>
    <hyperlink r:id="rId3063" ref="AR3065"/>
    <hyperlink r:id="rId3064" ref="AR3066"/>
    <hyperlink r:id="rId3065" ref="AR3067"/>
    <hyperlink r:id="rId3066" ref="AR3068"/>
    <hyperlink r:id="rId3067" ref="AR3069"/>
    <hyperlink r:id="rId3068" ref="AR3070"/>
    <hyperlink r:id="rId3069" ref="AR3071"/>
    <hyperlink r:id="rId3070" ref="AR3072"/>
    <hyperlink r:id="rId3071" ref="AR3073"/>
    <hyperlink r:id="rId3072" ref="AR3074"/>
    <hyperlink r:id="rId3073" ref="AR3075"/>
    <hyperlink r:id="rId3074" ref="AR3076"/>
    <hyperlink r:id="rId3075" ref="AR3077"/>
    <hyperlink r:id="rId3076" ref="AR3078"/>
    <hyperlink r:id="rId3077" ref="AR3079"/>
    <hyperlink r:id="rId3078" ref="AR3080"/>
    <hyperlink r:id="rId3079" ref="AR3081"/>
    <hyperlink r:id="rId3080" ref="AR3082"/>
    <hyperlink r:id="rId3081" ref="AR3083"/>
    <hyperlink r:id="rId3082" ref="AR3084"/>
    <hyperlink r:id="rId3083" ref="AR3085"/>
    <hyperlink r:id="rId3084" ref="AR3086"/>
    <hyperlink r:id="rId3085" ref="AR3087"/>
    <hyperlink r:id="rId3086" ref="AR3088"/>
    <hyperlink r:id="rId3087" ref="AR3089"/>
    <hyperlink r:id="rId3088" ref="AR3090"/>
    <hyperlink r:id="rId3089" ref="AR3091"/>
    <hyperlink r:id="rId3090" ref="AR3092"/>
    <hyperlink r:id="rId3091" ref="AR3093"/>
    <hyperlink r:id="rId3092" ref="AR3094"/>
    <hyperlink r:id="rId3093" ref="AR3095"/>
    <hyperlink r:id="rId3094" ref="AR3096"/>
    <hyperlink r:id="rId3095" ref="AR3097"/>
    <hyperlink r:id="rId3096" ref="AR3098"/>
    <hyperlink r:id="rId3097" ref="AR3099"/>
    <hyperlink r:id="rId3098" ref="AR3100"/>
    <hyperlink r:id="rId3099" ref="AR3101"/>
    <hyperlink r:id="rId3100" ref="AR3102"/>
    <hyperlink r:id="rId3101" ref="AR3103"/>
    <hyperlink r:id="rId3102" ref="AR3104"/>
    <hyperlink r:id="rId3103" ref="AR3105"/>
    <hyperlink r:id="rId3104" ref="AR3106"/>
    <hyperlink r:id="rId3105" ref="AR3107"/>
    <hyperlink r:id="rId3106" ref="AR3108"/>
    <hyperlink r:id="rId3107" ref="AR3109"/>
    <hyperlink r:id="rId3108" ref="AR3110"/>
    <hyperlink r:id="rId3109" ref="AR3111"/>
    <hyperlink r:id="rId3110" ref="AR3112"/>
    <hyperlink r:id="rId3111" ref="AR3113"/>
    <hyperlink r:id="rId3112" ref="AR3114"/>
    <hyperlink r:id="rId3113" ref="AR3115"/>
    <hyperlink r:id="rId3114" ref="AR3116"/>
    <hyperlink r:id="rId3115" ref="AR3117"/>
    <hyperlink r:id="rId3116" ref="AR3118"/>
    <hyperlink r:id="rId3117" ref="AR3119"/>
    <hyperlink r:id="rId3118" ref="AR3120"/>
    <hyperlink r:id="rId3119" ref="AR3121"/>
    <hyperlink r:id="rId3120" ref="AR3122"/>
    <hyperlink r:id="rId3121" ref="AR3123"/>
    <hyperlink r:id="rId3122" ref="AR3124"/>
    <hyperlink r:id="rId3123" ref="AR3125"/>
    <hyperlink r:id="rId3124" ref="AR3126"/>
    <hyperlink r:id="rId3125" ref="AR3127"/>
    <hyperlink r:id="rId3126" ref="AR3128"/>
    <hyperlink r:id="rId3127" ref="AR3129"/>
    <hyperlink r:id="rId3128" ref="O3130"/>
    <hyperlink r:id="rId3129" ref="AR3131"/>
    <hyperlink r:id="rId3130" ref="AR3132"/>
    <hyperlink r:id="rId3131" ref="AR3133"/>
    <hyperlink r:id="rId3132" ref="AR3134"/>
    <hyperlink r:id="rId3133" ref="AR3135"/>
    <hyperlink r:id="rId3134" ref="AR3136"/>
    <hyperlink r:id="rId3135" ref="AR3137"/>
    <hyperlink r:id="rId3136" ref="AR3138"/>
    <hyperlink r:id="rId3137" ref="AR3139"/>
    <hyperlink r:id="rId3138" ref="AR3140"/>
    <hyperlink r:id="rId3139" ref="AR3141"/>
    <hyperlink r:id="rId3140" ref="AR3142"/>
    <hyperlink r:id="rId3141" ref="AR3143"/>
    <hyperlink r:id="rId3142" ref="AR3144"/>
    <hyperlink r:id="rId3143" ref="AR3145"/>
    <hyperlink r:id="rId3144" ref="AR3146"/>
    <hyperlink r:id="rId3145" ref="AR3147"/>
  </hyperlinks>
  <drawing r:id="rId3146"/>
  <tableParts count="1">
    <tablePart r:id="rId3148"/>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2" width="11.14"/>
    <col customWidth="1" min="3" max="8" width="12.43"/>
    <col customWidth="1" min="9" max="10" width="26.0"/>
    <col customWidth="1" min="11" max="11" width="14.86"/>
    <col customWidth="1" min="12" max="12" width="38.0"/>
    <col customWidth="1" min="13" max="15" width="43.0"/>
    <col customWidth="1" min="21" max="21" width="20.0"/>
    <col customWidth="1" min="22" max="23" width="16.57"/>
    <col customWidth="1" min="24" max="24" width="15.0"/>
    <col customWidth="1" min="26" max="26" width="43.0"/>
    <col customWidth="1" min="27" max="27" width="20.14"/>
    <col customWidth="1" min="28" max="30" width="43.0"/>
    <col customWidth="1" min="31" max="31" width="18.29"/>
    <col customWidth="1" min="32" max="33" width="26.14"/>
    <col customWidth="1" min="34" max="34" width="21.71"/>
    <col customWidth="1" min="36" max="36" width="16.14"/>
    <col customWidth="1" min="37" max="37" width="18.71"/>
    <col customWidth="1" min="38" max="39" width="43.0"/>
    <col customWidth="1" min="41" max="41" width="43.0"/>
    <col customWidth="1" min="43" max="43" width="15.86"/>
    <col customWidth="1" min="44" max="44" width="15.0"/>
    <col customWidth="1" min="45" max="45" width="16.86"/>
    <col customWidth="1" min="47" max="47" width="43.0"/>
    <col customWidth="1" min="48" max="48" width="22.57"/>
    <col customWidth="1" min="49" max="49" width="36.86"/>
    <col customWidth="1" min="51" max="51" width="21.86"/>
    <col customWidth="1" min="52" max="52" width="43.0"/>
    <col customWidth="1" min="53" max="53" width="23.86"/>
    <col customWidth="1" min="54" max="54" width="22.29"/>
    <col customWidth="1" min="55" max="55" width="19.71"/>
  </cols>
  <sheetData>
    <row r="1" ht="22.5" customHeight="1">
      <c r="A1" s="83" t="s">
        <v>29298</v>
      </c>
      <c r="B1" s="84" t="s">
        <v>29299</v>
      </c>
      <c r="C1" s="69" t="s">
        <v>31512</v>
      </c>
      <c r="D1" s="69" t="s">
        <v>31513</v>
      </c>
      <c r="E1" s="69" t="s">
        <v>31514</v>
      </c>
      <c r="F1" s="85" t="s">
        <v>31515</v>
      </c>
      <c r="G1" s="85" t="s">
        <v>31516</v>
      </c>
      <c r="H1" s="85" t="s">
        <v>31517</v>
      </c>
      <c r="I1" s="69" t="s">
        <v>31518</v>
      </c>
      <c r="J1" s="69" t="s">
        <v>31519</v>
      </c>
      <c r="K1" s="69" t="s">
        <v>29305</v>
      </c>
      <c r="L1" s="69" t="s">
        <v>273</v>
      </c>
      <c r="M1" s="69" t="s">
        <v>268</v>
      </c>
      <c r="N1" s="69" t="s">
        <v>269</v>
      </c>
      <c r="O1" s="69" t="s">
        <v>270</v>
      </c>
      <c r="P1" s="69" t="s">
        <v>271</v>
      </c>
      <c r="Q1" s="69" t="s">
        <v>272</v>
      </c>
      <c r="R1" s="69" t="s">
        <v>274</v>
      </c>
      <c r="S1" s="69" t="s">
        <v>253</v>
      </c>
      <c r="T1" s="69" t="s">
        <v>285</v>
      </c>
      <c r="U1" s="69" t="s">
        <v>286</v>
      </c>
      <c r="V1" s="69" t="s">
        <v>287</v>
      </c>
      <c r="W1" s="69" t="s">
        <v>288</v>
      </c>
      <c r="X1" s="69" t="s">
        <v>289</v>
      </c>
      <c r="Y1" s="69" t="s">
        <v>290</v>
      </c>
      <c r="Z1" s="69" t="s">
        <v>351</v>
      </c>
      <c r="AA1" s="69" t="s">
        <v>352</v>
      </c>
      <c r="AB1" s="69" t="s">
        <v>353</v>
      </c>
      <c r="AC1" s="69" t="s">
        <v>354</v>
      </c>
      <c r="AD1" s="69" t="s">
        <v>355</v>
      </c>
      <c r="AE1" s="69" t="s">
        <v>356</v>
      </c>
      <c r="AF1" s="69" t="s">
        <v>357</v>
      </c>
      <c r="AG1" s="69" t="s">
        <v>358</v>
      </c>
      <c r="AH1" s="69" t="s">
        <v>359</v>
      </c>
      <c r="AI1" s="69" t="s">
        <v>360</v>
      </c>
      <c r="AJ1" s="69" t="s">
        <v>361</v>
      </c>
      <c r="AK1" s="69" t="s">
        <v>362</v>
      </c>
      <c r="AL1" s="69" t="s">
        <v>363</v>
      </c>
      <c r="AM1" s="69" t="s">
        <v>364</v>
      </c>
      <c r="AN1" s="69" t="s">
        <v>365</v>
      </c>
      <c r="AO1" s="69" t="s">
        <v>366</v>
      </c>
      <c r="AP1" s="69" t="s">
        <v>367</v>
      </c>
      <c r="AQ1" s="69" t="s">
        <v>368</v>
      </c>
      <c r="AR1" s="69" t="s">
        <v>369</v>
      </c>
      <c r="AS1" s="69" t="s">
        <v>370</v>
      </c>
      <c r="AT1" s="69" t="s">
        <v>371</v>
      </c>
      <c r="AU1" s="69" t="s">
        <v>372</v>
      </c>
      <c r="AV1" s="69" t="s">
        <v>373</v>
      </c>
      <c r="AW1" s="69" t="s">
        <v>374</v>
      </c>
      <c r="AX1" s="69" t="s">
        <v>375</v>
      </c>
      <c r="AY1" s="69" t="s">
        <v>376</v>
      </c>
      <c r="AZ1" s="69" t="s">
        <v>377</v>
      </c>
      <c r="BA1" s="69" t="s">
        <v>29307</v>
      </c>
      <c r="BB1" s="69" t="s">
        <v>29308</v>
      </c>
      <c r="BC1" s="69" t="s">
        <v>29306</v>
      </c>
    </row>
    <row r="2" ht="22.5" customHeight="1">
      <c r="A2" s="86" t="str">
        <f t="shared" ref="A2:A216" si="1">IF(B2&gt;0, "Included", "Excluded")</f>
        <v>Included</v>
      </c>
      <c r="B2" s="87">
        <f t="shared" ref="B2:B216" si="2">SUM(C2,E2,G2)</f>
        <v>3</v>
      </c>
      <c r="C2" s="70">
        <v>1.0</v>
      </c>
      <c r="E2" s="70">
        <f>IFERROR(__xludf.DUMMYFUNCTION("if(REGEXMATCH(I2,""INCLUDE""),1,0)"),1.0)</f>
        <v>1</v>
      </c>
      <c r="F2" s="70" t="str">
        <f>IFERROR(__xludf.DUMMYFUNCTION("index(SPLIT(I2, "" - ""),0,2)"),"IC5")</f>
        <v>IC5</v>
      </c>
      <c r="G2" s="70">
        <f>IFERROR(__xludf.DUMMYFUNCTION("if(REGEXMATCH(J2,""INCLUDE""),1,0)"),1.0)</f>
        <v>1</v>
      </c>
      <c r="H2" s="70" t="str">
        <f>IFERROR(__xludf.DUMMYFUNCTION("index(SPLIT(J2, "" - ""),0,2)"),"IC5")</f>
        <v>IC5</v>
      </c>
      <c r="I2" s="88" t="s">
        <v>31520</v>
      </c>
      <c r="J2" s="70" t="s">
        <v>31520</v>
      </c>
      <c r="K2" s="70">
        <v>95.0</v>
      </c>
      <c r="L2" s="70" t="s">
        <v>14880</v>
      </c>
      <c r="M2" s="70" t="s">
        <v>14877</v>
      </c>
      <c r="N2" s="70" t="s">
        <v>14878</v>
      </c>
      <c r="O2" s="70" t="s">
        <v>14879</v>
      </c>
      <c r="S2" s="77">
        <v>45566.0</v>
      </c>
      <c r="X2" s="70" t="s">
        <v>239</v>
      </c>
      <c r="Z2" s="70" t="s">
        <v>14882</v>
      </c>
      <c r="AA2" s="70" t="s">
        <v>14883</v>
      </c>
      <c r="AC2" s="75" t="s">
        <v>14884</v>
      </c>
      <c r="AD2" s="70" t="s">
        <v>14885</v>
      </c>
      <c r="AH2" s="70">
        <v>17.0</v>
      </c>
      <c r="AI2" s="70" t="s">
        <v>239</v>
      </c>
      <c r="AZ2" s="70" t="s">
        <v>14886</v>
      </c>
      <c r="BB2" s="70">
        <v>1.0</v>
      </c>
      <c r="BC2" s="70">
        <v>1.0</v>
      </c>
    </row>
    <row r="3" ht="22.5" customHeight="1">
      <c r="A3" s="86" t="str">
        <f t="shared" si="1"/>
        <v>Included</v>
      </c>
      <c r="B3" s="87">
        <f t="shared" si="2"/>
        <v>3</v>
      </c>
      <c r="C3" s="70">
        <v>1.0</v>
      </c>
      <c r="E3" s="70">
        <f>IFERROR(__xludf.DUMMYFUNCTION("if(REGEXMATCH(I3,""INCLUDE""),1,0)"),1.0)</f>
        <v>1</v>
      </c>
      <c r="F3" s="70" t="str">
        <f>IFERROR(__xludf.DUMMYFUNCTION("index(SPLIT(I3, "" - ""),0,2)"),"IC5")</f>
        <v>IC5</v>
      </c>
      <c r="G3" s="70">
        <f>IFERROR(__xludf.DUMMYFUNCTION("if(REGEXMATCH(J3,""INCLUDE""),1,0)"),1.0)</f>
        <v>1</v>
      </c>
      <c r="H3" s="70" t="str">
        <f>IFERROR(__xludf.DUMMYFUNCTION("index(SPLIT(J3, "" - ""),0,2)"),"IC5")</f>
        <v>IC5</v>
      </c>
      <c r="I3" s="88" t="s">
        <v>31520</v>
      </c>
      <c r="J3" s="70" t="s">
        <v>31520</v>
      </c>
      <c r="K3" s="70">
        <v>81.0</v>
      </c>
      <c r="L3" s="70" t="s">
        <v>14920</v>
      </c>
      <c r="M3" s="70" t="s">
        <v>14917</v>
      </c>
      <c r="N3" s="70" t="s">
        <v>14918</v>
      </c>
      <c r="O3" s="70" t="s">
        <v>14919</v>
      </c>
      <c r="Q3" s="70" t="s">
        <v>11141</v>
      </c>
      <c r="S3" s="76">
        <v>45610.0</v>
      </c>
      <c r="X3" s="70" t="s">
        <v>239</v>
      </c>
      <c r="Z3" s="70" t="s">
        <v>29396</v>
      </c>
      <c r="AA3" s="70" t="s">
        <v>14923</v>
      </c>
      <c r="AC3" s="75" t="s">
        <v>14924</v>
      </c>
      <c r="AD3" s="70" t="s">
        <v>14925</v>
      </c>
      <c r="AH3" s="70">
        <v>21.0</v>
      </c>
      <c r="AI3" s="70" t="s">
        <v>239</v>
      </c>
      <c r="AZ3" s="70" t="s">
        <v>14926</v>
      </c>
      <c r="BA3" s="70" t="s">
        <v>22</v>
      </c>
      <c r="BB3" s="70">
        <v>2.0</v>
      </c>
      <c r="BC3" s="70">
        <v>1.0</v>
      </c>
    </row>
    <row r="4" ht="22.5" customHeight="1">
      <c r="A4" s="86" t="str">
        <f t="shared" si="1"/>
        <v>Included</v>
      </c>
      <c r="B4" s="87">
        <f t="shared" si="2"/>
        <v>3</v>
      </c>
      <c r="C4" s="70">
        <v>1.0</v>
      </c>
      <c r="D4" s="70" t="s">
        <v>32</v>
      </c>
      <c r="E4" s="70">
        <f>IFERROR(__xludf.DUMMYFUNCTION("if(REGEXMATCH(I4,""INCLUDE""),1,0)"),1.0)</f>
        <v>1</v>
      </c>
      <c r="F4" s="70" t="str">
        <f>IFERROR(__xludf.DUMMYFUNCTION("index(SPLIT(I4, "" - ""),0,2)"),"IC5")</f>
        <v>IC5</v>
      </c>
      <c r="G4" s="70">
        <f>IFERROR(__xludf.DUMMYFUNCTION("if(REGEXMATCH(J4,""INCLUDE""),1,0)"),1.0)</f>
        <v>1</v>
      </c>
      <c r="H4" s="70" t="str">
        <f>IFERROR(__xludf.DUMMYFUNCTION("index(SPLIT(J4, "" - ""),0,2)"),"IC5")</f>
        <v>IC5</v>
      </c>
      <c r="I4" s="88" t="s">
        <v>31520</v>
      </c>
      <c r="J4" s="70" t="s">
        <v>31520</v>
      </c>
      <c r="K4" s="70">
        <v>80.0</v>
      </c>
      <c r="L4" s="70" t="s">
        <v>11142</v>
      </c>
      <c r="M4" s="70" t="s">
        <v>11138</v>
      </c>
      <c r="N4" s="70" t="s">
        <v>11139</v>
      </c>
      <c r="O4" s="70" t="s">
        <v>11140</v>
      </c>
      <c r="Q4" s="70" t="s">
        <v>11141</v>
      </c>
      <c r="S4" s="77">
        <v>45236.0</v>
      </c>
      <c r="X4" s="70" t="s">
        <v>239</v>
      </c>
      <c r="Z4" s="70" t="s">
        <v>11144</v>
      </c>
      <c r="AA4" s="70" t="s">
        <v>11145</v>
      </c>
      <c r="AC4" s="75" t="s">
        <v>11146</v>
      </c>
      <c r="AD4" s="70" t="s">
        <v>11147</v>
      </c>
      <c r="AF4" s="70">
        <v>6.0</v>
      </c>
      <c r="AH4" s="70">
        <v>26.0</v>
      </c>
      <c r="AI4" s="70" t="s">
        <v>239</v>
      </c>
      <c r="AZ4" s="70" t="s">
        <v>11148</v>
      </c>
      <c r="BA4" s="70" t="s">
        <v>22</v>
      </c>
      <c r="BB4" s="70">
        <v>3.0</v>
      </c>
      <c r="BC4" s="70">
        <v>0.0</v>
      </c>
    </row>
    <row r="5" ht="22.5" customHeight="1">
      <c r="A5" s="86" t="str">
        <f t="shared" si="1"/>
        <v>Included</v>
      </c>
      <c r="B5" s="87">
        <f t="shared" si="2"/>
        <v>3</v>
      </c>
      <c r="C5" s="70">
        <v>1.0</v>
      </c>
      <c r="D5" s="70" t="s">
        <v>32</v>
      </c>
      <c r="E5" s="70">
        <f>IFERROR(__xludf.DUMMYFUNCTION("if(REGEXMATCH(I5,""INCLUDE""),1,0)"),1.0)</f>
        <v>1</v>
      </c>
      <c r="F5" s="70" t="str">
        <f>IFERROR(__xludf.DUMMYFUNCTION("index(SPLIT(I5, "" - ""),0,2)"),"IC5")</f>
        <v>IC5</v>
      </c>
      <c r="G5" s="70">
        <f>IFERROR(__xludf.DUMMYFUNCTION("if(REGEXMATCH(J5,""INCLUDE""),1,0)"),1.0)</f>
        <v>1</v>
      </c>
      <c r="H5" s="70" t="str">
        <f>IFERROR(__xludf.DUMMYFUNCTION("index(SPLIT(J5, "" - ""),0,2)"),"IC5")</f>
        <v>IC5</v>
      </c>
      <c r="I5" s="88" t="s">
        <v>31520</v>
      </c>
      <c r="J5" s="70" t="s">
        <v>31520</v>
      </c>
      <c r="K5" s="70">
        <v>111.0</v>
      </c>
      <c r="L5" s="70" t="s">
        <v>13742</v>
      </c>
      <c r="M5" s="70" t="s">
        <v>13740</v>
      </c>
      <c r="N5" s="70" t="s">
        <v>13741</v>
      </c>
      <c r="O5" s="70" t="s">
        <v>12672</v>
      </c>
      <c r="Q5" s="70" t="s">
        <v>5351</v>
      </c>
      <c r="S5" s="76">
        <v>45596.0</v>
      </c>
      <c r="X5" s="70" t="s">
        <v>239</v>
      </c>
      <c r="Z5" s="70" t="s">
        <v>13744</v>
      </c>
      <c r="AA5" s="70" t="s">
        <v>12676</v>
      </c>
      <c r="AC5" s="75" t="s">
        <v>13745</v>
      </c>
      <c r="AD5" s="70" t="s">
        <v>13746</v>
      </c>
      <c r="AH5" s="70">
        <v>35.0</v>
      </c>
      <c r="AI5" s="70" t="s">
        <v>239</v>
      </c>
      <c r="AZ5" s="70" t="s">
        <v>13747</v>
      </c>
      <c r="BA5" s="70" t="s">
        <v>22</v>
      </c>
      <c r="BB5" s="70">
        <v>4.0</v>
      </c>
      <c r="BC5" s="70">
        <v>0.0</v>
      </c>
    </row>
    <row r="6" ht="22.5" customHeight="1">
      <c r="A6" s="86" t="str">
        <f t="shared" si="1"/>
        <v>Included</v>
      </c>
      <c r="B6" s="87">
        <f t="shared" si="2"/>
        <v>3</v>
      </c>
      <c r="C6" s="70">
        <v>1.0</v>
      </c>
      <c r="D6" s="70" t="s">
        <v>32</v>
      </c>
      <c r="E6" s="70">
        <f>IFERROR(__xludf.DUMMYFUNCTION("if(REGEXMATCH(I6,""INCLUDE""),1,0)"),1.0)</f>
        <v>1</v>
      </c>
      <c r="F6" s="70" t="str">
        <f>IFERROR(__xludf.DUMMYFUNCTION("index(SPLIT(I6, "" - ""),0,2)"),"IC5")</f>
        <v>IC5</v>
      </c>
      <c r="G6" s="70">
        <f>IFERROR(__xludf.DUMMYFUNCTION("if(REGEXMATCH(J6,""INCLUDE""),1,0)"),1.0)</f>
        <v>1</v>
      </c>
      <c r="H6" s="70" t="str">
        <f>IFERROR(__xludf.DUMMYFUNCTION("index(SPLIT(J6, "" - ""),0,2)"),"IC5")</f>
        <v>IC5</v>
      </c>
      <c r="I6" s="88" t="s">
        <v>31520</v>
      </c>
      <c r="J6" s="70" t="s">
        <v>31520</v>
      </c>
      <c r="K6" s="70">
        <v>146.0</v>
      </c>
      <c r="L6" s="70" t="s">
        <v>17734</v>
      </c>
      <c r="M6" s="70" t="s">
        <v>17732</v>
      </c>
      <c r="N6" s="70" t="s">
        <v>17733</v>
      </c>
      <c r="O6" s="70" t="s">
        <v>17654</v>
      </c>
      <c r="Q6" s="70" t="s">
        <v>17655</v>
      </c>
      <c r="S6" s="78">
        <v>45063.0</v>
      </c>
      <c r="X6" s="70" t="s">
        <v>239</v>
      </c>
      <c r="Z6" s="70" t="s">
        <v>29439</v>
      </c>
      <c r="AB6" s="70" t="s">
        <v>17737</v>
      </c>
      <c r="AC6" s="75" t="s">
        <v>17738</v>
      </c>
      <c r="AD6" s="70" t="s">
        <v>17739</v>
      </c>
      <c r="AF6" s="70">
        <v>35.0</v>
      </c>
      <c r="AH6" s="70">
        <v>25.0</v>
      </c>
      <c r="AI6" s="70" t="s">
        <v>239</v>
      </c>
      <c r="AZ6" s="70" t="s">
        <v>17740</v>
      </c>
      <c r="BA6" s="70" t="s">
        <v>22</v>
      </c>
      <c r="BB6" s="70">
        <v>5.0</v>
      </c>
      <c r="BC6" s="70">
        <v>0.0</v>
      </c>
    </row>
    <row r="7" ht="22.5" customHeight="1">
      <c r="A7" s="86" t="str">
        <f t="shared" si="1"/>
        <v>Included</v>
      </c>
      <c r="B7" s="87">
        <f t="shared" si="2"/>
        <v>3</v>
      </c>
      <c r="C7" s="70">
        <v>1.0</v>
      </c>
      <c r="D7" s="70" t="s">
        <v>28</v>
      </c>
      <c r="E7" s="70">
        <f>IFERROR(__xludf.DUMMYFUNCTION("if(REGEXMATCH(I7,""INCLUDE""),1,0)"),1.0)</f>
        <v>1</v>
      </c>
      <c r="F7" s="70" t="str">
        <f>IFERROR(__xludf.DUMMYFUNCTION("index(SPLIT(I7, "" - ""),0,2)"),"IC5")</f>
        <v>IC5</v>
      </c>
      <c r="G7" s="70">
        <f>IFERROR(__xludf.DUMMYFUNCTION("if(REGEXMATCH(J7,""INCLUDE""),1,0)"),1.0)</f>
        <v>1</v>
      </c>
      <c r="H7" s="70" t="str">
        <f>IFERROR(__xludf.DUMMYFUNCTION("index(SPLIT(J7, "" - ""),0,2)"),"IC5")</f>
        <v>IC5</v>
      </c>
      <c r="I7" s="88" t="s">
        <v>31520</v>
      </c>
      <c r="J7" s="70" t="s">
        <v>31520</v>
      </c>
      <c r="K7" s="70">
        <v>156.0</v>
      </c>
      <c r="L7" s="70" t="s">
        <v>14909</v>
      </c>
      <c r="M7" s="70" t="s">
        <v>14906</v>
      </c>
      <c r="N7" s="70" t="s">
        <v>14907</v>
      </c>
      <c r="O7" s="70" t="s">
        <v>14908</v>
      </c>
      <c r="S7" s="76">
        <v>45702.0</v>
      </c>
      <c r="X7" s="70" t="s">
        <v>239</v>
      </c>
      <c r="Z7" s="70" t="s">
        <v>14911</v>
      </c>
      <c r="AA7" s="70" t="s">
        <v>14912</v>
      </c>
      <c r="AB7" s="70" t="s">
        <v>29448</v>
      </c>
      <c r="AC7" s="75" t="s">
        <v>14914</v>
      </c>
      <c r="AD7" s="70" t="s">
        <v>14915</v>
      </c>
      <c r="AH7" s="70">
        <v>32.0</v>
      </c>
      <c r="AI7" s="70" t="s">
        <v>239</v>
      </c>
      <c r="AZ7" s="70" t="s">
        <v>14916</v>
      </c>
      <c r="BA7" s="70" t="s">
        <v>29449</v>
      </c>
      <c r="BB7" s="70">
        <v>6.0</v>
      </c>
      <c r="BC7" s="70">
        <v>0.0</v>
      </c>
    </row>
    <row r="8" ht="22.5" customHeight="1">
      <c r="A8" s="86" t="str">
        <f t="shared" si="1"/>
        <v>Included</v>
      </c>
      <c r="B8" s="87">
        <f t="shared" si="2"/>
        <v>3</v>
      </c>
      <c r="C8" s="70">
        <v>1.0</v>
      </c>
      <c r="D8" s="70" t="s">
        <v>28</v>
      </c>
      <c r="E8" s="70">
        <f>IFERROR(__xludf.DUMMYFUNCTION("if(REGEXMATCH(I8,""INCLUDE""),1,0)"),1.0)</f>
        <v>1</v>
      </c>
      <c r="F8" s="70" t="str">
        <f>IFERROR(__xludf.DUMMYFUNCTION("index(SPLIT(I8, "" - ""),0,2)"),"IC5")</f>
        <v>IC5</v>
      </c>
      <c r="G8" s="70">
        <f>IFERROR(__xludf.DUMMYFUNCTION("if(REGEXMATCH(J8,""INCLUDE""),1,0)"),1.0)</f>
        <v>1</v>
      </c>
      <c r="H8" s="70" t="str">
        <f>IFERROR(__xludf.DUMMYFUNCTION("index(SPLIT(J8, "" - ""),0,2)"),"IC5")</f>
        <v>IC5</v>
      </c>
      <c r="I8" s="88" t="s">
        <v>31520</v>
      </c>
      <c r="J8" s="70" t="s">
        <v>31520</v>
      </c>
      <c r="K8" s="70">
        <v>200.0</v>
      </c>
      <c r="L8" s="70" t="s">
        <v>23163</v>
      </c>
      <c r="M8" s="70" t="s">
        <v>23161</v>
      </c>
      <c r="N8" s="70" t="s">
        <v>23162</v>
      </c>
      <c r="Z8" s="70" t="s">
        <v>29489</v>
      </c>
      <c r="AD8" s="70" t="s">
        <v>23165</v>
      </c>
      <c r="AL8" s="70" t="s">
        <v>29490</v>
      </c>
      <c r="AM8" s="70" t="s">
        <v>23167</v>
      </c>
      <c r="AN8" s="70">
        <v>2024.0</v>
      </c>
      <c r="AO8" s="70" t="s">
        <v>23168</v>
      </c>
      <c r="AP8" s="70">
        <v>7456.0</v>
      </c>
      <c r="AT8" s="70">
        <v>1.0</v>
      </c>
      <c r="AU8" s="75" t="s">
        <v>23169</v>
      </c>
      <c r="AV8" s="70" t="s">
        <v>22525</v>
      </c>
      <c r="AW8" s="70" t="s">
        <v>22622</v>
      </c>
      <c r="AX8" s="70" t="s">
        <v>237</v>
      </c>
      <c r="AY8" s="70" t="s">
        <v>23170</v>
      </c>
      <c r="AZ8" s="70" t="s">
        <v>23171</v>
      </c>
      <c r="BA8" s="70" t="s">
        <v>29491</v>
      </c>
      <c r="BB8" s="70">
        <v>7.0</v>
      </c>
      <c r="BC8" s="70">
        <v>0.0</v>
      </c>
    </row>
    <row r="9" ht="22.5" customHeight="1">
      <c r="A9" s="86" t="str">
        <f t="shared" si="1"/>
        <v>Included</v>
      </c>
      <c r="B9" s="87">
        <f t="shared" si="2"/>
        <v>3</v>
      </c>
      <c r="C9" s="70">
        <v>1.0</v>
      </c>
      <c r="D9" s="70" t="s">
        <v>32</v>
      </c>
      <c r="E9" s="70">
        <f>IFERROR(__xludf.DUMMYFUNCTION("if(REGEXMATCH(I9,""INCLUDE""),1,0)"),1.0)</f>
        <v>1</v>
      </c>
      <c r="F9" s="70" t="str">
        <f>IFERROR(__xludf.DUMMYFUNCTION("index(SPLIT(I9, "" - ""),0,2)"),"IC6")</f>
        <v>IC6</v>
      </c>
      <c r="G9" s="70">
        <f>IFERROR(__xludf.DUMMYFUNCTION("if(REGEXMATCH(J9,""INCLUDE""),1,0)"),1.0)</f>
        <v>1</v>
      </c>
      <c r="H9" s="70" t="str">
        <f>IFERROR(__xludf.DUMMYFUNCTION("index(SPLIT(J9, "" - ""),0,2)"),"IC6")</f>
        <v>IC6</v>
      </c>
      <c r="I9" s="88" t="s">
        <v>31521</v>
      </c>
      <c r="J9" s="70" t="s">
        <v>31521</v>
      </c>
      <c r="K9" s="70">
        <v>40.0</v>
      </c>
      <c r="L9" s="70" t="s">
        <v>18363</v>
      </c>
      <c r="M9" s="70" t="s">
        <v>29364</v>
      </c>
      <c r="N9" s="70" t="s">
        <v>18362</v>
      </c>
      <c r="O9" s="70" t="s">
        <v>16436</v>
      </c>
      <c r="Q9" s="70" t="s">
        <v>16437</v>
      </c>
      <c r="S9" s="76">
        <v>44313.0</v>
      </c>
      <c r="X9" s="70" t="s">
        <v>239</v>
      </c>
      <c r="Z9" s="70" t="s">
        <v>18365</v>
      </c>
      <c r="AB9" s="70" t="s">
        <v>29365</v>
      </c>
      <c r="AC9" s="75" t="s">
        <v>18367</v>
      </c>
      <c r="AD9" s="70" t="s">
        <v>18368</v>
      </c>
      <c r="AF9" s="70">
        <v>22.0</v>
      </c>
      <c r="AH9" s="70">
        <v>54.0</v>
      </c>
      <c r="AI9" s="70" t="s">
        <v>16423</v>
      </c>
      <c r="AZ9" s="70" t="s">
        <v>18369</v>
      </c>
      <c r="BA9" s="70" t="s">
        <v>22</v>
      </c>
      <c r="BB9" s="70">
        <v>9.0</v>
      </c>
      <c r="BC9" s="70">
        <v>0.0</v>
      </c>
    </row>
    <row r="10" ht="22.5" customHeight="1">
      <c r="A10" s="86" t="str">
        <f t="shared" si="1"/>
        <v>Included</v>
      </c>
      <c r="B10" s="87">
        <f t="shared" si="2"/>
        <v>3</v>
      </c>
      <c r="C10" s="70">
        <v>1.0</v>
      </c>
      <c r="D10" s="70" t="s">
        <v>28</v>
      </c>
      <c r="E10" s="70">
        <f>IFERROR(__xludf.DUMMYFUNCTION("if(REGEXMATCH(I10,""INCLUDE""),1,0)"),1.0)</f>
        <v>1</v>
      </c>
      <c r="F10" s="70" t="str">
        <f>IFERROR(__xludf.DUMMYFUNCTION("index(SPLIT(I10, "" - ""),0,2)"),"IC5")</f>
        <v>IC5</v>
      </c>
      <c r="G10" s="70">
        <f>IFERROR(__xludf.DUMMYFUNCTION("if(REGEXMATCH(J10,""INCLUDE""),1,0)"),1.0)</f>
        <v>1</v>
      </c>
      <c r="H10" s="70" t="str">
        <f>IFERROR(__xludf.DUMMYFUNCTION("index(SPLIT(J10, "" - ""),0,2)"),"IC5")</f>
        <v>IC5</v>
      </c>
      <c r="I10" s="88" t="s">
        <v>31520</v>
      </c>
      <c r="J10" s="70" t="s">
        <v>31520</v>
      </c>
      <c r="K10" s="70">
        <v>213.0</v>
      </c>
      <c r="L10" s="70" t="s">
        <v>23069</v>
      </c>
      <c r="M10" s="70" t="s">
        <v>23067</v>
      </c>
      <c r="N10" s="70" t="s">
        <v>23068</v>
      </c>
      <c r="Z10" s="70" t="s">
        <v>29511</v>
      </c>
      <c r="AD10" s="70" t="s">
        <v>23071</v>
      </c>
      <c r="AL10" s="70" t="s">
        <v>23072</v>
      </c>
      <c r="AM10" s="70" t="s">
        <v>23073</v>
      </c>
      <c r="AN10" s="70">
        <v>2024.0</v>
      </c>
      <c r="AO10" s="70" t="s">
        <v>25285</v>
      </c>
      <c r="AP10" s="70">
        <v>5738.0</v>
      </c>
      <c r="AT10" s="70">
        <v>0.0</v>
      </c>
      <c r="AU10" s="75" t="s">
        <v>23075</v>
      </c>
      <c r="AV10" s="70" t="s">
        <v>22525</v>
      </c>
      <c r="AW10" s="70" t="s">
        <v>22622</v>
      </c>
      <c r="AX10" s="70" t="s">
        <v>237</v>
      </c>
      <c r="AY10" s="70" t="s">
        <v>23076</v>
      </c>
      <c r="AZ10" s="70" t="s">
        <v>23077</v>
      </c>
      <c r="BA10" s="70" t="s">
        <v>24</v>
      </c>
      <c r="BB10" s="70">
        <v>10.0</v>
      </c>
      <c r="BC10" s="70">
        <v>0.0</v>
      </c>
    </row>
    <row r="11" ht="22.5" customHeight="1">
      <c r="A11" s="86" t="str">
        <f t="shared" si="1"/>
        <v>Included</v>
      </c>
      <c r="B11" s="87">
        <f t="shared" si="2"/>
        <v>3</v>
      </c>
      <c r="C11" s="70">
        <v>1.0</v>
      </c>
      <c r="D11" s="70" t="s">
        <v>31522</v>
      </c>
      <c r="E11" s="70">
        <f>IFERROR(__xludf.DUMMYFUNCTION("if(REGEXMATCH(I11,""INCLUDE""),1,0)"),1.0)</f>
        <v>1</v>
      </c>
      <c r="F11" s="70" t="str">
        <f>IFERROR(__xludf.DUMMYFUNCTION("index(SPLIT(I11, "" - ""),0,2)"),"IC5")</f>
        <v>IC5</v>
      </c>
      <c r="G11" s="70">
        <f>IFERROR(__xludf.DUMMYFUNCTION("if(REGEXMATCH(J11,""INCLUDE""),1,0)"),1.0)</f>
        <v>1</v>
      </c>
      <c r="H11" s="70" t="str">
        <f>IFERROR(__xludf.DUMMYFUNCTION("index(SPLIT(J11, "" - ""),0,2)"),"IC5")</f>
        <v>IC5</v>
      </c>
      <c r="I11" s="88" t="s">
        <v>31520</v>
      </c>
      <c r="J11" s="70" t="s">
        <v>31520</v>
      </c>
      <c r="K11" s="70">
        <v>90.0</v>
      </c>
      <c r="L11" s="70" t="s">
        <v>13511</v>
      </c>
      <c r="M11" s="70" t="s">
        <v>13509</v>
      </c>
      <c r="N11" s="70" t="s">
        <v>13510</v>
      </c>
      <c r="O11" s="70" t="s">
        <v>11334</v>
      </c>
      <c r="Q11" s="70" t="s">
        <v>9205</v>
      </c>
      <c r="S11" s="76">
        <v>45012.0</v>
      </c>
      <c r="X11" s="70" t="s">
        <v>239</v>
      </c>
      <c r="Z11" s="70" t="s">
        <v>29401</v>
      </c>
      <c r="AA11" s="70" t="s">
        <v>11338</v>
      </c>
      <c r="AC11" s="75" t="s">
        <v>13514</v>
      </c>
      <c r="AD11" s="70" t="s">
        <v>13515</v>
      </c>
      <c r="AH11" s="70">
        <v>12.0</v>
      </c>
      <c r="AI11" s="70" t="s">
        <v>239</v>
      </c>
      <c r="AZ11" s="70" t="s">
        <v>13516</v>
      </c>
      <c r="BA11" s="70" t="s">
        <v>22</v>
      </c>
      <c r="BB11" s="70">
        <v>11.0</v>
      </c>
      <c r="BC11" s="70">
        <v>0.0</v>
      </c>
    </row>
    <row r="12" ht="22.5" customHeight="1">
      <c r="A12" s="86" t="str">
        <f t="shared" si="1"/>
        <v>Included</v>
      </c>
      <c r="B12" s="87">
        <f t="shared" si="2"/>
        <v>3</v>
      </c>
      <c r="C12" s="70">
        <v>1.0</v>
      </c>
      <c r="D12" s="70" t="s">
        <v>32</v>
      </c>
      <c r="E12" s="70">
        <f>IFERROR(__xludf.DUMMYFUNCTION("if(REGEXMATCH(I12,""INCLUDE""),1,0)"),1.0)</f>
        <v>1</v>
      </c>
      <c r="F12" s="70" t="str">
        <f>IFERROR(__xludf.DUMMYFUNCTION("index(SPLIT(I12, "" - ""),0,2)"),"IC5")</f>
        <v>IC5</v>
      </c>
      <c r="G12" s="70">
        <f>IFERROR(__xludf.DUMMYFUNCTION("if(REGEXMATCH(J12,""INCLUDE""),1,0)"),1.0)</f>
        <v>1</v>
      </c>
      <c r="H12" s="70" t="str">
        <f>IFERROR(__xludf.DUMMYFUNCTION("index(SPLIT(J12, "" - ""),0,2)"),"IC5")</f>
        <v>IC5</v>
      </c>
      <c r="I12" s="88" t="s">
        <v>31520</v>
      </c>
      <c r="J12" s="70" t="s">
        <v>31520</v>
      </c>
      <c r="K12" s="70">
        <v>198.0</v>
      </c>
      <c r="L12" s="70" t="s">
        <v>26092</v>
      </c>
      <c r="M12" s="70" t="s">
        <v>26090</v>
      </c>
      <c r="N12" s="70" t="s">
        <v>26091</v>
      </c>
      <c r="Z12" s="70" t="s">
        <v>29487</v>
      </c>
      <c r="AD12" s="70" t="s">
        <v>26094</v>
      </c>
      <c r="AL12" s="70" t="s">
        <v>26095</v>
      </c>
      <c r="AM12" s="70" t="s">
        <v>26096</v>
      </c>
      <c r="AN12" s="70">
        <v>2022.0</v>
      </c>
      <c r="AO12" s="70" t="s">
        <v>23168</v>
      </c>
      <c r="AP12" s="70">
        <v>5793.0</v>
      </c>
      <c r="AT12" s="70">
        <v>20.0</v>
      </c>
      <c r="AU12" s="75" t="s">
        <v>26097</v>
      </c>
      <c r="AV12" s="70" t="s">
        <v>22525</v>
      </c>
      <c r="AW12" s="70" t="s">
        <v>22622</v>
      </c>
      <c r="AX12" s="70" t="s">
        <v>237</v>
      </c>
      <c r="AY12" s="70" t="s">
        <v>26098</v>
      </c>
      <c r="BA12" s="70" t="s">
        <v>22</v>
      </c>
      <c r="BB12" s="70">
        <v>12.0</v>
      </c>
      <c r="BC12" s="70">
        <v>0.0</v>
      </c>
    </row>
    <row r="13" ht="22.5" customHeight="1">
      <c r="A13" s="86" t="str">
        <f t="shared" si="1"/>
        <v>Included</v>
      </c>
      <c r="B13" s="87">
        <f t="shared" si="2"/>
        <v>3</v>
      </c>
      <c r="C13" s="70">
        <v>1.0</v>
      </c>
      <c r="D13" s="70" t="s">
        <v>32</v>
      </c>
      <c r="E13" s="70">
        <f>IFERROR(__xludf.DUMMYFUNCTION("if(REGEXMATCH(I13,""INCLUDE""),1,0)"),1.0)</f>
        <v>1</v>
      </c>
      <c r="F13" s="70" t="str">
        <f>IFERROR(__xludf.DUMMYFUNCTION("index(SPLIT(I13, "" - ""),0,2)"),"IC5")</f>
        <v>IC5</v>
      </c>
      <c r="G13" s="70">
        <f>IFERROR(__xludf.DUMMYFUNCTION("if(REGEXMATCH(J13,""INCLUDE""),1,0)"),1.0)</f>
        <v>1</v>
      </c>
      <c r="H13" s="70" t="str">
        <f>IFERROR(__xludf.DUMMYFUNCTION("index(SPLIT(J13, "" - ""),0,2)"),"IC5")</f>
        <v>IC5</v>
      </c>
      <c r="I13" s="88" t="s">
        <v>31520</v>
      </c>
      <c r="J13" s="70" t="s">
        <v>31520</v>
      </c>
      <c r="K13" s="70">
        <v>29.0</v>
      </c>
      <c r="L13" s="70" t="s">
        <v>29209</v>
      </c>
      <c r="M13" s="70" t="s">
        <v>29207</v>
      </c>
      <c r="N13" s="70" t="s">
        <v>29208</v>
      </c>
      <c r="Z13" s="70" t="s">
        <v>29351</v>
      </c>
      <c r="AD13" s="70" t="s">
        <v>29211</v>
      </c>
      <c r="AL13" s="70" t="s">
        <v>29212</v>
      </c>
      <c r="AM13" s="70" t="s">
        <v>29213</v>
      </c>
      <c r="AN13" s="70">
        <v>2019.0</v>
      </c>
      <c r="AO13" s="70" t="s">
        <v>22609</v>
      </c>
      <c r="AP13" s="70">
        <v>102441.0</v>
      </c>
      <c r="AT13" s="70">
        <v>37.0</v>
      </c>
      <c r="AU13" s="75" t="s">
        <v>29214</v>
      </c>
      <c r="AV13" s="70" t="s">
        <v>22525</v>
      </c>
      <c r="AX13" s="70" t="s">
        <v>237</v>
      </c>
      <c r="AY13" s="70" t="s">
        <v>29215</v>
      </c>
      <c r="AZ13" s="70" t="s">
        <v>29216</v>
      </c>
      <c r="BA13" s="70" t="s">
        <v>22</v>
      </c>
      <c r="BB13" s="70">
        <v>13.0</v>
      </c>
      <c r="BC13" s="70">
        <v>0.0</v>
      </c>
    </row>
    <row r="14" ht="22.5" customHeight="1">
      <c r="A14" s="86" t="str">
        <f t="shared" si="1"/>
        <v>Included</v>
      </c>
      <c r="B14" s="87">
        <f t="shared" si="2"/>
        <v>3</v>
      </c>
      <c r="C14" s="70">
        <v>1.0</v>
      </c>
      <c r="D14" s="70" t="s">
        <v>31523</v>
      </c>
      <c r="E14" s="70">
        <f>IFERROR(__xludf.DUMMYFUNCTION("if(REGEXMATCH(I14,""INCLUDE""),1,0)"),1.0)</f>
        <v>1</v>
      </c>
      <c r="F14" s="70" t="str">
        <f>IFERROR(__xludf.DUMMYFUNCTION("index(SPLIT(I14, "" - ""),0,2)"),"IC5")</f>
        <v>IC5</v>
      </c>
      <c r="G14" s="70">
        <f>IFERROR(__xludf.DUMMYFUNCTION("if(REGEXMATCH(J14,""INCLUDE""),1,0)"),1.0)</f>
        <v>1</v>
      </c>
      <c r="H14" s="70" t="str">
        <f>IFERROR(__xludf.DUMMYFUNCTION("index(SPLIT(J14, "" - ""),0,2)"),"IC5")</f>
        <v>IC5</v>
      </c>
      <c r="I14" s="88" t="s">
        <v>31520</v>
      </c>
      <c r="J14" s="70" t="s">
        <v>31520</v>
      </c>
      <c r="K14" s="70">
        <v>50.0</v>
      </c>
      <c r="L14" s="70" t="s">
        <v>21363</v>
      </c>
      <c r="M14" s="70" t="s">
        <v>21361</v>
      </c>
      <c r="N14" s="70" t="s">
        <v>21362</v>
      </c>
      <c r="O14" s="70" t="s">
        <v>16436</v>
      </c>
      <c r="Q14" s="70" t="s">
        <v>16437</v>
      </c>
      <c r="S14" s="76">
        <v>45551.0</v>
      </c>
      <c r="X14" s="70" t="s">
        <v>239</v>
      </c>
      <c r="Z14" s="70" t="s">
        <v>29374</v>
      </c>
      <c r="AB14" s="70" t="s">
        <v>21366</v>
      </c>
      <c r="AC14" s="75" t="s">
        <v>21367</v>
      </c>
      <c r="AD14" s="70" t="s">
        <v>21368</v>
      </c>
      <c r="AF14" s="70">
        <v>1.0</v>
      </c>
      <c r="AH14" s="70">
        <v>32.0</v>
      </c>
      <c r="AI14" s="70" t="s">
        <v>16727</v>
      </c>
      <c r="AZ14" s="70" t="s">
        <v>21369</v>
      </c>
      <c r="BA14" s="70" t="s">
        <v>22</v>
      </c>
      <c r="BB14" s="70">
        <v>14.0</v>
      </c>
      <c r="BC14" s="70">
        <v>0.0</v>
      </c>
    </row>
    <row r="15" ht="22.5" customHeight="1">
      <c r="A15" s="86" t="str">
        <f t="shared" si="1"/>
        <v>Included</v>
      </c>
      <c r="B15" s="87">
        <f t="shared" si="2"/>
        <v>3</v>
      </c>
      <c r="C15" s="70">
        <v>1.0</v>
      </c>
      <c r="D15" s="70" t="s">
        <v>32</v>
      </c>
      <c r="E15" s="70">
        <f>IFERROR(__xludf.DUMMYFUNCTION("if(REGEXMATCH(I15,""INCLUDE""),1,0)"),1.0)</f>
        <v>1</v>
      </c>
      <c r="F15" s="70" t="str">
        <f>IFERROR(__xludf.DUMMYFUNCTION("index(SPLIT(I15, "" - ""),0,2)"),"IC5")</f>
        <v>IC5</v>
      </c>
      <c r="G15" s="70">
        <f>IFERROR(__xludf.DUMMYFUNCTION("if(REGEXMATCH(J15,""INCLUDE""),1,0)"),1.0)</f>
        <v>1</v>
      </c>
      <c r="H15" s="70" t="str">
        <f>IFERROR(__xludf.DUMMYFUNCTION("index(SPLIT(J15, "" - ""),0,2)"),"IC5")</f>
        <v>IC5</v>
      </c>
      <c r="I15" s="88" t="s">
        <v>31520</v>
      </c>
      <c r="J15" s="70" t="s">
        <v>31520</v>
      </c>
      <c r="K15" s="70">
        <v>140.0</v>
      </c>
      <c r="L15" s="70" t="s">
        <v>22753</v>
      </c>
      <c r="M15" s="70" t="s">
        <v>22751</v>
      </c>
      <c r="N15" s="70" t="s">
        <v>22752</v>
      </c>
      <c r="Z15" s="70" t="s">
        <v>29433</v>
      </c>
      <c r="AD15" s="70" t="s">
        <v>22755</v>
      </c>
      <c r="AL15" s="70" t="s">
        <v>22756</v>
      </c>
      <c r="AM15" s="70" t="s">
        <v>22757</v>
      </c>
      <c r="AN15" s="70">
        <v>2025.0</v>
      </c>
      <c r="AO15" s="70" t="s">
        <v>17228</v>
      </c>
      <c r="AT15" s="70">
        <v>0.0</v>
      </c>
      <c r="AU15" s="75" t="s">
        <v>22758</v>
      </c>
      <c r="AV15" s="70" t="s">
        <v>22588</v>
      </c>
      <c r="AX15" s="70" t="s">
        <v>237</v>
      </c>
      <c r="AY15" s="70" t="s">
        <v>22759</v>
      </c>
      <c r="AZ15" s="70" t="s">
        <v>22760</v>
      </c>
      <c r="BA15" s="70" t="s">
        <v>22</v>
      </c>
      <c r="BB15" s="70">
        <v>15.0</v>
      </c>
      <c r="BC15" s="70">
        <v>0.0</v>
      </c>
    </row>
    <row r="16" ht="22.5" customHeight="1">
      <c r="A16" s="86" t="str">
        <f t="shared" si="1"/>
        <v>Included</v>
      </c>
      <c r="B16" s="87">
        <f t="shared" si="2"/>
        <v>3</v>
      </c>
      <c r="C16" s="70">
        <v>1.0</v>
      </c>
      <c r="D16" s="70" t="s">
        <v>31524</v>
      </c>
      <c r="E16" s="70">
        <f>IFERROR(__xludf.DUMMYFUNCTION("if(REGEXMATCH(I16,""INCLUDE""),1,0)"),1.0)</f>
        <v>1</v>
      </c>
      <c r="F16" s="70" t="str">
        <f>IFERROR(__xludf.DUMMYFUNCTION("index(SPLIT(I16, "" - ""),0,2)"),"IC5")</f>
        <v>IC5</v>
      </c>
      <c r="G16" s="70">
        <f>IFERROR(__xludf.DUMMYFUNCTION("if(REGEXMATCH(J16,""INCLUDE""),1,0)"),1.0)</f>
        <v>1</v>
      </c>
      <c r="H16" s="70" t="str">
        <f>IFERROR(__xludf.DUMMYFUNCTION("index(SPLIT(J16, "" - ""),0,2)"),"IC5")</f>
        <v>IC5</v>
      </c>
      <c r="I16" s="88" t="s">
        <v>31520</v>
      </c>
      <c r="J16" s="70" t="s">
        <v>31520</v>
      </c>
      <c r="K16" s="70">
        <v>13.0</v>
      </c>
      <c r="L16" s="70" t="s">
        <v>29269</v>
      </c>
      <c r="M16" s="70" t="s">
        <v>29267</v>
      </c>
      <c r="N16" s="70" t="s">
        <v>29268</v>
      </c>
      <c r="Z16" s="70" t="s">
        <v>29326</v>
      </c>
      <c r="AD16" s="70" t="s">
        <v>29272</v>
      </c>
      <c r="AL16" s="70" t="s">
        <v>29273</v>
      </c>
      <c r="AM16" s="70" t="s">
        <v>29274</v>
      </c>
      <c r="AN16" s="70">
        <v>2017.0</v>
      </c>
      <c r="AO16" s="70" t="s">
        <v>24608</v>
      </c>
      <c r="AQ16" s="70">
        <v>206.0</v>
      </c>
      <c r="AR16" s="70">
        <v>220.0</v>
      </c>
      <c r="AS16" s="70">
        <v>14.0</v>
      </c>
      <c r="AT16" s="70">
        <v>18.0</v>
      </c>
      <c r="AU16" s="75" t="s">
        <v>29275</v>
      </c>
      <c r="AV16" s="70" t="s">
        <v>22525</v>
      </c>
      <c r="AX16" s="70" t="s">
        <v>237</v>
      </c>
      <c r="AY16" s="70" t="s">
        <v>29276</v>
      </c>
      <c r="AZ16" s="70" t="s">
        <v>29277</v>
      </c>
      <c r="BA16" s="70" t="s">
        <v>18</v>
      </c>
      <c r="BB16" s="70">
        <v>16.0</v>
      </c>
      <c r="BC16" s="70">
        <v>0.0</v>
      </c>
    </row>
    <row r="17" ht="22.5" customHeight="1">
      <c r="A17" s="86" t="str">
        <f t="shared" si="1"/>
        <v>Included</v>
      </c>
      <c r="B17" s="87">
        <f t="shared" si="2"/>
        <v>3</v>
      </c>
      <c r="C17" s="70">
        <v>1.0</v>
      </c>
      <c r="D17" s="70" t="s">
        <v>31525</v>
      </c>
      <c r="E17" s="70">
        <f>IFERROR(__xludf.DUMMYFUNCTION("if(REGEXMATCH(I17,""INCLUDE""),1,0)"),1.0)</f>
        <v>1</v>
      </c>
      <c r="F17" s="70" t="str">
        <f>IFERROR(__xludf.DUMMYFUNCTION("index(SPLIT(I17, "" - ""),0,2)"),"IC6")</f>
        <v>IC6</v>
      </c>
      <c r="G17" s="70">
        <f>IFERROR(__xludf.DUMMYFUNCTION("if(REGEXMATCH(J17,""INCLUDE""),1,0)"),1.0)</f>
        <v>1</v>
      </c>
      <c r="H17" s="70" t="str">
        <f>IFERROR(__xludf.DUMMYFUNCTION("index(SPLIT(J17, "" - ""),0,2)"),"IC6")</f>
        <v>IC6</v>
      </c>
      <c r="I17" s="88" t="s">
        <v>31521</v>
      </c>
      <c r="J17" s="70" t="s">
        <v>31521</v>
      </c>
      <c r="K17" s="70">
        <v>151.0</v>
      </c>
      <c r="L17" s="70" t="s">
        <v>29280</v>
      </c>
      <c r="M17" s="70" t="s">
        <v>29278</v>
      </c>
      <c r="N17" s="70" t="s">
        <v>29279</v>
      </c>
      <c r="Z17" s="70" t="s">
        <v>29444</v>
      </c>
      <c r="AD17" s="70" t="s">
        <v>29282</v>
      </c>
      <c r="AL17" s="70" t="s">
        <v>29283</v>
      </c>
      <c r="AM17" s="70" t="s">
        <v>29284</v>
      </c>
      <c r="AN17" s="70">
        <v>2016.0</v>
      </c>
      <c r="AO17" s="70" t="s">
        <v>18018</v>
      </c>
      <c r="AP17" s="70">
        <v>7836325.0</v>
      </c>
      <c r="AQ17" s="70">
        <v>40.0</v>
      </c>
      <c r="AR17" s="70">
        <v>43.0</v>
      </c>
      <c r="AS17" s="70">
        <v>3.0</v>
      </c>
      <c r="AT17" s="70">
        <v>30.0</v>
      </c>
      <c r="AU17" s="75" t="s">
        <v>29285</v>
      </c>
      <c r="AV17" s="70" t="s">
        <v>22525</v>
      </c>
      <c r="AW17" s="70" t="s">
        <v>22816</v>
      </c>
      <c r="AX17" s="70" t="s">
        <v>237</v>
      </c>
      <c r="AY17" s="70" t="s">
        <v>29286</v>
      </c>
      <c r="AZ17" s="70" t="s">
        <v>29287</v>
      </c>
      <c r="BA17" s="70" t="s">
        <v>18</v>
      </c>
      <c r="BB17" s="70">
        <v>17.0</v>
      </c>
      <c r="BC17" s="70">
        <v>0.0</v>
      </c>
    </row>
    <row r="18" ht="22.5" customHeight="1">
      <c r="A18" s="86" t="str">
        <f t="shared" si="1"/>
        <v>Included</v>
      </c>
      <c r="B18" s="87">
        <f t="shared" si="2"/>
        <v>3</v>
      </c>
      <c r="C18" s="70">
        <v>1.0</v>
      </c>
      <c r="D18" s="70" t="s">
        <v>32</v>
      </c>
      <c r="E18" s="70">
        <f>IFERROR(__xludf.DUMMYFUNCTION("if(REGEXMATCH(I18,""INCLUDE""),1,0)"),1.0)</f>
        <v>1</v>
      </c>
      <c r="F18" s="70" t="str">
        <f>IFERROR(__xludf.DUMMYFUNCTION("index(SPLIT(I18, "" - ""),0,2)"),"IC5")</f>
        <v>IC5</v>
      </c>
      <c r="G18" s="70">
        <f>IFERROR(__xludf.DUMMYFUNCTION("if(REGEXMATCH(J18,""INCLUDE""),1,0)"),1.0)</f>
        <v>1</v>
      </c>
      <c r="H18" s="70" t="str">
        <f>IFERROR(__xludf.DUMMYFUNCTION("index(SPLIT(J18, "" - ""),0,2)"),"IC5")</f>
        <v>IC5</v>
      </c>
      <c r="I18" s="88" t="s">
        <v>31520</v>
      </c>
      <c r="J18" s="70" t="s">
        <v>31520</v>
      </c>
      <c r="K18" s="70">
        <v>152.0</v>
      </c>
      <c r="L18" s="70" t="s">
        <v>18020</v>
      </c>
      <c r="M18" s="70" t="s">
        <v>18016</v>
      </c>
      <c r="N18" s="70" t="s">
        <v>18017</v>
      </c>
      <c r="O18" s="70" t="s">
        <v>18018</v>
      </c>
      <c r="Q18" s="70" t="s">
        <v>18019</v>
      </c>
      <c r="S18" s="76">
        <v>43157.0</v>
      </c>
      <c r="X18" s="70" t="s">
        <v>239</v>
      </c>
      <c r="Z18" s="70" t="s">
        <v>18022</v>
      </c>
      <c r="AB18" s="70" t="s">
        <v>29445</v>
      </c>
      <c r="AC18" s="75" t="s">
        <v>18024</v>
      </c>
      <c r="AD18" s="70" t="s">
        <v>18025</v>
      </c>
      <c r="AF18" s="70">
        <v>29.0</v>
      </c>
      <c r="AH18" s="70">
        <v>36.0</v>
      </c>
      <c r="AI18" s="70" t="s">
        <v>239</v>
      </c>
      <c r="AZ18" s="70" t="s">
        <v>18026</v>
      </c>
      <c r="BA18" s="70" t="s">
        <v>24</v>
      </c>
      <c r="BB18" s="70">
        <v>18.0</v>
      </c>
      <c r="BC18" s="70">
        <v>0.0</v>
      </c>
    </row>
    <row r="19" ht="22.5" customHeight="1">
      <c r="A19" s="86" t="str">
        <f t="shared" si="1"/>
        <v>Included</v>
      </c>
      <c r="B19" s="87">
        <f t="shared" si="2"/>
        <v>3</v>
      </c>
      <c r="C19" s="70">
        <v>1.0</v>
      </c>
      <c r="D19" s="70" t="s">
        <v>32</v>
      </c>
      <c r="E19" s="70">
        <f>IFERROR(__xludf.DUMMYFUNCTION("if(REGEXMATCH(I19,""INCLUDE""),1,0)"),1.0)</f>
        <v>1</v>
      </c>
      <c r="F19" s="70" t="str">
        <f>IFERROR(__xludf.DUMMYFUNCTION("index(SPLIT(I19, "" - ""),0,2)"),"IC6")</f>
        <v>IC6</v>
      </c>
      <c r="G19" s="70">
        <f>IFERROR(__xludf.DUMMYFUNCTION("if(REGEXMATCH(J19,""INCLUDE""),1,0)"),1.0)</f>
        <v>1</v>
      </c>
      <c r="H19" s="70" t="str">
        <f>IFERROR(__xludf.DUMMYFUNCTION("index(SPLIT(J19, "" - ""),0,2)"),"IC5")</f>
        <v>IC5</v>
      </c>
      <c r="I19" s="88" t="s">
        <v>31521</v>
      </c>
      <c r="J19" s="70" t="s">
        <v>31520</v>
      </c>
      <c r="K19" s="70">
        <v>120.0</v>
      </c>
      <c r="L19" s="70" t="s">
        <v>26316</v>
      </c>
      <c r="M19" s="70" t="s">
        <v>26314</v>
      </c>
      <c r="N19" s="70" t="s">
        <v>26315</v>
      </c>
      <c r="Z19" s="70" t="s">
        <v>29421</v>
      </c>
      <c r="AD19" s="70" t="s">
        <v>26318</v>
      </c>
      <c r="AL19" s="70" t="s">
        <v>26319</v>
      </c>
      <c r="AM19" s="70" t="s">
        <v>26320</v>
      </c>
      <c r="AN19" s="70">
        <v>2022.0</v>
      </c>
      <c r="AO19" s="70" t="s">
        <v>16538</v>
      </c>
      <c r="AQ19" s="70">
        <v>17513.0</v>
      </c>
      <c r="AR19" s="70">
        <v>17525.0</v>
      </c>
      <c r="AS19" s="70">
        <v>12.0</v>
      </c>
      <c r="AT19" s="70">
        <v>11.0</v>
      </c>
      <c r="AU19" s="75" t="s">
        <v>26321</v>
      </c>
      <c r="AV19" s="70" t="s">
        <v>22525</v>
      </c>
      <c r="AX19" s="70" t="s">
        <v>237</v>
      </c>
      <c r="AY19" s="70" t="s">
        <v>26322</v>
      </c>
      <c r="AZ19" s="70" t="s">
        <v>26323</v>
      </c>
      <c r="BA19" s="70" t="s">
        <v>22</v>
      </c>
      <c r="BB19" s="70">
        <v>19.0</v>
      </c>
      <c r="BC19" s="70">
        <v>0.0</v>
      </c>
    </row>
    <row r="20" ht="22.5" customHeight="1">
      <c r="A20" s="86" t="str">
        <f t="shared" si="1"/>
        <v>Included</v>
      </c>
      <c r="B20" s="87">
        <f t="shared" si="2"/>
        <v>3</v>
      </c>
      <c r="C20" s="70">
        <v>1.0</v>
      </c>
      <c r="D20" s="70" t="s">
        <v>31526</v>
      </c>
      <c r="E20" s="70">
        <f>IFERROR(__xludf.DUMMYFUNCTION("if(REGEXMATCH(I20,""INCLUDE""),1,0)"),1.0)</f>
        <v>1</v>
      </c>
      <c r="F20" s="70" t="str">
        <f>IFERROR(__xludf.DUMMYFUNCTION("index(SPLIT(I20, "" - ""),0,2)"),"IC5")</f>
        <v>IC5</v>
      </c>
      <c r="G20" s="70">
        <f>IFERROR(__xludf.DUMMYFUNCTION("if(REGEXMATCH(J20,""INCLUDE""),1,0)"),1.0)</f>
        <v>1</v>
      </c>
      <c r="H20" s="70" t="str">
        <f>IFERROR(__xludf.DUMMYFUNCTION("index(SPLIT(J20, "" - ""),0,2)"),"IC5")</f>
        <v>IC5</v>
      </c>
      <c r="I20" s="88" t="s">
        <v>31520</v>
      </c>
      <c r="J20" s="70" t="s">
        <v>31520</v>
      </c>
      <c r="K20" s="70">
        <v>82.0</v>
      </c>
      <c r="L20" s="70" t="s">
        <v>6943</v>
      </c>
      <c r="M20" s="70" t="s">
        <v>29397</v>
      </c>
      <c r="N20" s="70" t="s">
        <v>6942</v>
      </c>
      <c r="O20" s="70" t="s">
        <v>5632</v>
      </c>
      <c r="Q20" s="70" t="s">
        <v>5479</v>
      </c>
      <c r="S20" s="76">
        <v>43720.0</v>
      </c>
      <c r="X20" s="70" t="s">
        <v>239</v>
      </c>
      <c r="Z20" s="70" t="s">
        <v>6945</v>
      </c>
      <c r="AA20" s="70" t="s">
        <v>5636</v>
      </c>
      <c r="AC20" s="75" t="s">
        <v>6946</v>
      </c>
      <c r="AD20" s="70" t="s">
        <v>6947</v>
      </c>
      <c r="AF20" s="70">
        <v>5.0</v>
      </c>
      <c r="AH20" s="70">
        <v>38.0</v>
      </c>
      <c r="AI20" s="70" t="s">
        <v>239</v>
      </c>
      <c r="AZ20" s="70" t="s">
        <v>6948</v>
      </c>
      <c r="BA20" s="70" t="s">
        <v>22</v>
      </c>
      <c r="BB20" s="70">
        <v>20.0</v>
      </c>
      <c r="BC20" s="70">
        <v>0.0</v>
      </c>
    </row>
    <row r="21" ht="22.5" customHeight="1">
      <c r="A21" s="86" t="str">
        <f t="shared" si="1"/>
        <v>Included</v>
      </c>
      <c r="B21" s="87">
        <f t="shared" si="2"/>
        <v>3</v>
      </c>
      <c r="C21" s="70">
        <v>1.0</v>
      </c>
      <c r="D21" s="70" t="s">
        <v>32</v>
      </c>
      <c r="E21" s="70">
        <f>IFERROR(__xludf.DUMMYFUNCTION("if(REGEXMATCH(I21,""INCLUDE""),1,0)"),1.0)</f>
        <v>1</v>
      </c>
      <c r="F21" s="70" t="str">
        <f>IFERROR(__xludf.DUMMYFUNCTION("index(SPLIT(I21, "" - ""),0,2)"),"IC6")</f>
        <v>IC6</v>
      </c>
      <c r="G21" s="70">
        <f>IFERROR(__xludf.DUMMYFUNCTION("if(REGEXMATCH(J21,""INCLUDE""),1,0)"),1.0)</f>
        <v>1</v>
      </c>
      <c r="H21" s="70" t="str">
        <f>IFERROR(__xludf.DUMMYFUNCTION("index(SPLIT(J21, "" - ""),0,2)"),"IC6")</f>
        <v>IC6</v>
      </c>
      <c r="I21" s="88" t="s">
        <v>31521</v>
      </c>
      <c r="J21" s="70" t="s">
        <v>31521</v>
      </c>
      <c r="K21" s="70">
        <v>149.0</v>
      </c>
      <c r="L21" s="70" t="s">
        <v>24344</v>
      </c>
      <c r="M21" s="70" t="s">
        <v>24342</v>
      </c>
      <c r="N21" s="70" t="s">
        <v>24343</v>
      </c>
      <c r="Z21" s="70" t="s">
        <v>29443</v>
      </c>
      <c r="AD21" s="70" t="s">
        <v>24346</v>
      </c>
      <c r="AL21" s="70" t="s">
        <v>24347</v>
      </c>
      <c r="AM21" s="70" t="s">
        <v>24348</v>
      </c>
      <c r="AN21" s="70">
        <v>2024.0</v>
      </c>
      <c r="AO21" s="70" t="s">
        <v>16959</v>
      </c>
      <c r="AT21" s="70">
        <v>1.0</v>
      </c>
      <c r="AU21" s="75" t="s">
        <v>24349</v>
      </c>
      <c r="AV21" s="70" t="s">
        <v>22588</v>
      </c>
      <c r="AX21" s="70" t="s">
        <v>237</v>
      </c>
      <c r="AY21" s="70" t="s">
        <v>24350</v>
      </c>
      <c r="AZ21" s="70" t="s">
        <v>24351</v>
      </c>
      <c r="BA21" s="70" t="s">
        <v>22</v>
      </c>
      <c r="BB21" s="70">
        <v>21.0</v>
      </c>
      <c r="BC21" s="70">
        <v>0.0</v>
      </c>
    </row>
    <row r="22" ht="22.5" customHeight="1">
      <c r="A22" s="86" t="str">
        <f t="shared" si="1"/>
        <v>Included</v>
      </c>
      <c r="B22" s="87">
        <f t="shared" si="2"/>
        <v>3</v>
      </c>
      <c r="C22" s="70">
        <v>1.0</v>
      </c>
      <c r="D22" s="70" t="s">
        <v>32</v>
      </c>
      <c r="E22" s="70">
        <f>IFERROR(__xludf.DUMMYFUNCTION("if(REGEXMATCH(I22,""INCLUDE""),1,0)"),1.0)</f>
        <v>1</v>
      </c>
      <c r="F22" s="70" t="str">
        <f>IFERROR(__xludf.DUMMYFUNCTION("index(SPLIT(I22, "" - ""),0,2)"),"IC5")</f>
        <v>IC5</v>
      </c>
      <c r="G22" s="70">
        <f>IFERROR(__xludf.DUMMYFUNCTION("if(REGEXMATCH(J22,""INCLUDE""),1,0)"),1.0)</f>
        <v>1</v>
      </c>
      <c r="H22" s="70" t="str">
        <f>IFERROR(__xludf.DUMMYFUNCTION("index(SPLIT(J22, "" - ""),0,2)"),"IC5")</f>
        <v>IC5</v>
      </c>
      <c r="I22" s="88" t="s">
        <v>31520</v>
      </c>
      <c r="J22" s="70" t="s">
        <v>31520</v>
      </c>
      <c r="K22" s="70">
        <v>17.0</v>
      </c>
      <c r="L22" s="70" t="s">
        <v>23499</v>
      </c>
      <c r="M22" s="70" t="s">
        <v>23497</v>
      </c>
      <c r="N22" s="70" t="s">
        <v>23498</v>
      </c>
      <c r="Z22" s="70" t="s">
        <v>29332</v>
      </c>
      <c r="AD22" s="70" t="s">
        <v>23501</v>
      </c>
      <c r="AL22" s="70" t="s">
        <v>23502</v>
      </c>
      <c r="AM22" s="70" t="s">
        <v>23503</v>
      </c>
      <c r="AN22" s="70">
        <v>2025.0</v>
      </c>
      <c r="AO22" s="70" t="s">
        <v>23482</v>
      </c>
      <c r="AP22" s="70">
        <v>3.0</v>
      </c>
      <c r="AT22" s="70">
        <v>0.0</v>
      </c>
      <c r="AU22" s="75" t="s">
        <v>23504</v>
      </c>
      <c r="AV22" s="70" t="s">
        <v>22525</v>
      </c>
      <c r="AX22" s="70" t="s">
        <v>237</v>
      </c>
      <c r="AY22" s="70" t="s">
        <v>23505</v>
      </c>
      <c r="AZ22" s="70" t="s">
        <v>23506</v>
      </c>
      <c r="BA22" s="70" t="s">
        <v>22</v>
      </c>
      <c r="BB22" s="70">
        <v>22.0</v>
      </c>
      <c r="BC22" s="70">
        <v>0.0</v>
      </c>
    </row>
    <row r="23" ht="22.5" customHeight="1">
      <c r="A23" s="86" t="str">
        <f t="shared" si="1"/>
        <v>Included</v>
      </c>
      <c r="B23" s="87">
        <f t="shared" si="2"/>
        <v>3</v>
      </c>
      <c r="C23" s="70">
        <v>1.0</v>
      </c>
      <c r="D23" s="70" t="s">
        <v>32</v>
      </c>
      <c r="E23" s="70">
        <f>IFERROR(__xludf.DUMMYFUNCTION("if(REGEXMATCH(I23,""INCLUDE""),1,0)"),1.0)</f>
        <v>1</v>
      </c>
      <c r="F23" s="70" t="str">
        <f>IFERROR(__xludf.DUMMYFUNCTION("index(SPLIT(I23, "" - ""),0,2)"),"IC6")</f>
        <v>IC6</v>
      </c>
      <c r="G23" s="70">
        <f>IFERROR(__xludf.DUMMYFUNCTION("if(REGEXMATCH(J23,""INCLUDE""),1,0)"),1.0)</f>
        <v>1</v>
      </c>
      <c r="H23" s="70" t="str">
        <f>IFERROR(__xludf.DUMMYFUNCTION("index(SPLIT(J23, "" - ""),0,2)"),"IC6")</f>
        <v>IC6</v>
      </c>
      <c r="I23" s="88" t="s">
        <v>31521</v>
      </c>
      <c r="J23" s="70" t="s">
        <v>31521</v>
      </c>
      <c r="K23" s="70">
        <v>144.0</v>
      </c>
      <c r="L23" s="70" t="s">
        <v>22281</v>
      </c>
      <c r="M23" s="70" t="s">
        <v>22279</v>
      </c>
      <c r="N23" s="70" t="s">
        <v>22280</v>
      </c>
      <c r="O23" s="70" t="s">
        <v>17040</v>
      </c>
      <c r="Q23" s="70" t="s">
        <v>17041</v>
      </c>
      <c r="S23" s="77">
        <v>45474.0</v>
      </c>
      <c r="X23" s="70" t="s">
        <v>239</v>
      </c>
      <c r="Z23" s="70" t="s">
        <v>29436</v>
      </c>
      <c r="AB23" s="70" t="s">
        <v>29437</v>
      </c>
      <c r="AC23" s="75" t="s">
        <v>22285</v>
      </c>
      <c r="AD23" s="70" t="s">
        <v>22286</v>
      </c>
      <c r="AH23" s="70">
        <v>42.0</v>
      </c>
      <c r="AI23" s="70" t="s">
        <v>239</v>
      </c>
      <c r="AZ23" s="70" t="s">
        <v>22287</v>
      </c>
      <c r="BA23" s="70" t="s">
        <v>22</v>
      </c>
      <c r="BB23" s="70">
        <v>23.0</v>
      </c>
      <c r="BC23" s="70">
        <v>0.0</v>
      </c>
    </row>
    <row r="24" ht="22.5" customHeight="1">
      <c r="A24" s="86" t="str">
        <f t="shared" si="1"/>
        <v>Included</v>
      </c>
      <c r="B24" s="87">
        <f t="shared" si="2"/>
        <v>3</v>
      </c>
      <c r="C24" s="70">
        <v>1.0</v>
      </c>
      <c r="D24" s="70" t="s">
        <v>32</v>
      </c>
      <c r="E24" s="70">
        <f>IFERROR(__xludf.DUMMYFUNCTION("if(REGEXMATCH(I24,""INCLUDE""),1,0)"),1.0)</f>
        <v>1</v>
      </c>
      <c r="F24" s="70" t="str">
        <f>IFERROR(__xludf.DUMMYFUNCTION("index(SPLIT(I24, "" - ""),0,2)"),"IC5")</f>
        <v>IC5</v>
      </c>
      <c r="G24" s="70">
        <f>IFERROR(__xludf.DUMMYFUNCTION("if(REGEXMATCH(J24,""INCLUDE""),1,0)"),1.0)</f>
        <v>1</v>
      </c>
      <c r="H24" s="70" t="str">
        <f>IFERROR(__xludf.DUMMYFUNCTION("index(SPLIT(J24, "" - ""),0,2)"),"IC5")</f>
        <v>IC5</v>
      </c>
      <c r="I24" s="88" t="s">
        <v>31520</v>
      </c>
      <c r="J24" s="70" t="s">
        <v>31520</v>
      </c>
      <c r="K24" s="70">
        <v>211.0</v>
      </c>
      <c r="L24" s="70" t="s">
        <v>25323</v>
      </c>
      <c r="M24" s="70" t="s">
        <v>25321</v>
      </c>
      <c r="N24" s="70" t="s">
        <v>25322</v>
      </c>
      <c r="Z24" s="70" t="s">
        <v>29509</v>
      </c>
      <c r="AD24" s="70" t="s">
        <v>25325</v>
      </c>
      <c r="AL24" s="70" t="s">
        <v>25326</v>
      </c>
      <c r="AM24" s="70" t="s">
        <v>25327</v>
      </c>
      <c r="AN24" s="70">
        <v>2023.0</v>
      </c>
      <c r="AO24" s="70" t="s">
        <v>22802</v>
      </c>
      <c r="AP24" s="70">
        <v>7142.0</v>
      </c>
      <c r="AT24" s="70">
        <v>4.0</v>
      </c>
      <c r="AU24" s="75" t="s">
        <v>25328</v>
      </c>
      <c r="AV24" s="70" t="s">
        <v>22525</v>
      </c>
      <c r="AW24" s="70" t="s">
        <v>22643</v>
      </c>
      <c r="AX24" s="70" t="s">
        <v>237</v>
      </c>
      <c r="AY24" s="70" t="s">
        <v>25329</v>
      </c>
      <c r="AZ24" s="70" t="s">
        <v>25330</v>
      </c>
      <c r="BA24" s="70" t="s">
        <v>22</v>
      </c>
      <c r="BB24" s="70">
        <v>24.0</v>
      </c>
      <c r="BC24" s="70">
        <v>0.0</v>
      </c>
    </row>
    <row r="25" ht="22.5" customHeight="1">
      <c r="A25" s="86" t="str">
        <f t="shared" si="1"/>
        <v>Included</v>
      </c>
      <c r="B25" s="87">
        <f t="shared" si="2"/>
        <v>3</v>
      </c>
      <c r="C25" s="70">
        <v>1.0</v>
      </c>
      <c r="D25" s="70" t="s">
        <v>32</v>
      </c>
      <c r="E25" s="70">
        <f>IFERROR(__xludf.DUMMYFUNCTION("if(REGEXMATCH(I25,""INCLUDE""),1,0)"),1.0)</f>
        <v>1</v>
      </c>
      <c r="F25" s="70" t="str">
        <f>IFERROR(__xludf.DUMMYFUNCTION("index(SPLIT(I25, "" - ""),0,2)"),"IC5")</f>
        <v>IC5</v>
      </c>
      <c r="G25" s="70">
        <f>IFERROR(__xludf.DUMMYFUNCTION("if(REGEXMATCH(J25,""INCLUDE""),1,0)"),1.0)</f>
        <v>1</v>
      </c>
      <c r="H25" s="70" t="str">
        <f>IFERROR(__xludf.DUMMYFUNCTION("index(SPLIT(J25, "" - ""),0,2)"),"IC5")</f>
        <v>IC5</v>
      </c>
      <c r="I25" s="88" t="s">
        <v>31520</v>
      </c>
      <c r="J25" s="70" t="s">
        <v>31520</v>
      </c>
      <c r="K25" s="70">
        <v>116.0</v>
      </c>
      <c r="L25" s="70" t="s">
        <v>16915</v>
      </c>
      <c r="M25" s="70" t="s">
        <v>16913</v>
      </c>
      <c r="N25" s="70" t="s">
        <v>16914</v>
      </c>
      <c r="O25" s="70" t="s">
        <v>16538</v>
      </c>
      <c r="Q25" s="70" t="s">
        <v>16539</v>
      </c>
      <c r="S25" s="76">
        <v>43909.0</v>
      </c>
      <c r="X25" s="70" t="s">
        <v>239</v>
      </c>
      <c r="Z25" s="70" t="s">
        <v>16917</v>
      </c>
      <c r="AC25" s="75" t="s">
        <v>16918</v>
      </c>
      <c r="AD25" s="70" t="s">
        <v>16919</v>
      </c>
      <c r="AF25" s="70">
        <v>98.0</v>
      </c>
      <c r="AH25" s="70">
        <v>56.0</v>
      </c>
      <c r="AI25" s="70" t="s">
        <v>239</v>
      </c>
      <c r="AZ25" s="70" t="s">
        <v>16920</v>
      </c>
      <c r="BA25" s="70" t="s">
        <v>22</v>
      </c>
      <c r="BB25" s="70">
        <v>25.0</v>
      </c>
      <c r="BC25" s="70">
        <v>0.0</v>
      </c>
    </row>
    <row r="26" ht="22.5" customHeight="1">
      <c r="A26" s="86" t="str">
        <f t="shared" si="1"/>
        <v>Included</v>
      </c>
      <c r="B26" s="87">
        <f t="shared" si="2"/>
        <v>3</v>
      </c>
      <c r="C26" s="70">
        <v>1.0</v>
      </c>
      <c r="D26" s="70" t="s">
        <v>32</v>
      </c>
      <c r="E26" s="70">
        <f>IFERROR(__xludf.DUMMYFUNCTION("if(REGEXMATCH(I26,""INCLUDE""),1,0)"),1.0)</f>
        <v>1</v>
      </c>
      <c r="F26" s="70" t="str">
        <f>IFERROR(__xludf.DUMMYFUNCTION("index(SPLIT(I26, "" - ""),0,2)"),"IC6")</f>
        <v>IC6</v>
      </c>
      <c r="G26" s="70">
        <f>IFERROR(__xludf.DUMMYFUNCTION("if(REGEXMATCH(J26,""INCLUDE""),1,0)"),1.0)</f>
        <v>1</v>
      </c>
      <c r="H26" s="70" t="str">
        <f>IFERROR(__xludf.DUMMYFUNCTION("index(SPLIT(J26, "" - ""),0,2)"),"IC6")</f>
        <v>IC6</v>
      </c>
      <c r="I26" s="88" t="s">
        <v>31521</v>
      </c>
      <c r="J26" s="70" t="s">
        <v>31521</v>
      </c>
      <c r="K26" s="70">
        <v>46.0</v>
      </c>
      <c r="L26" s="70" t="s">
        <v>20550</v>
      </c>
      <c r="M26" s="70" t="s">
        <v>20548</v>
      </c>
      <c r="N26" s="70" t="s">
        <v>20549</v>
      </c>
      <c r="O26" s="70" t="s">
        <v>16436</v>
      </c>
      <c r="Q26" s="70" t="s">
        <v>16437</v>
      </c>
      <c r="S26" s="77">
        <v>45236.0</v>
      </c>
      <c r="X26" s="70" t="s">
        <v>239</v>
      </c>
      <c r="Z26" s="70" t="s">
        <v>20552</v>
      </c>
      <c r="AB26" s="70" t="s">
        <v>20553</v>
      </c>
      <c r="AC26" s="75" t="s">
        <v>20554</v>
      </c>
      <c r="AD26" s="70" t="s">
        <v>20555</v>
      </c>
      <c r="AF26" s="70">
        <v>3.0</v>
      </c>
      <c r="AH26" s="70">
        <v>29.0</v>
      </c>
      <c r="AI26" s="70" t="s">
        <v>16727</v>
      </c>
      <c r="AZ26" s="70" t="s">
        <v>20556</v>
      </c>
      <c r="BA26" s="70" t="s">
        <v>22</v>
      </c>
      <c r="BB26" s="70">
        <v>26.0</v>
      </c>
      <c r="BC26" s="70">
        <v>0.0</v>
      </c>
    </row>
    <row r="27" ht="22.5" customHeight="1">
      <c r="A27" s="86" t="str">
        <f t="shared" si="1"/>
        <v>Included</v>
      </c>
      <c r="B27" s="87">
        <f t="shared" si="2"/>
        <v>3</v>
      </c>
      <c r="C27" s="70">
        <v>1.0</v>
      </c>
      <c r="D27" s="70" t="s">
        <v>32</v>
      </c>
      <c r="E27" s="70">
        <f>IFERROR(__xludf.DUMMYFUNCTION("if(REGEXMATCH(I27,""INCLUDE""),1,0)"),1.0)</f>
        <v>1</v>
      </c>
      <c r="F27" s="70" t="str">
        <f>IFERROR(__xludf.DUMMYFUNCTION("index(SPLIT(I27, "" - ""),0,2)"),"IC6")</f>
        <v>IC6</v>
      </c>
      <c r="G27" s="70">
        <f>IFERROR(__xludf.DUMMYFUNCTION("if(REGEXMATCH(J27,""INCLUDE""),1,0)"),1.0)</f>
        <v>1</v>
      </c>
      <c r="H27" s="70" t="str">
        <f>IFERROR(__xludf.DUMMYFUNCTION("index(SPLIT(J27, "" - ""),0,2)"),"IC6")</f>
        <v>IC6</v>
      </c>
      <c r="I27" s="88" t="s">
        <v>31521</v>
      </c>
      <c r="J27" s="70" t="s">
        <v>31521</v>
      </c>
      <c r="K27" s="70">
        <v>65.0</v>
      </c>
      <c r="L27" s="70" t="s">
        <v>12460</v>
      </c>
      <c r="M27" s="70" t="s">
        <v>12458</v>
      </c>
      <c r="N27" s="70" t="s">
        <v>12459</v>
      </c>
      <c r="O27" s="70" t="s">
        <v>11571</v>
      </c>
      <c r="Q27" s="70" t="s">
        <v>11572</v>
      </c>
      <c r="S27" s="76">
        <v>44972.0</v>
      </c>
      <c r="X27" s="70" t="s">
        <v>239</v>
      </c>
      <c r="Z27" s="70" t="s">
        <v>12462</v>
      </c>
      <c r="AA27" s="70" t="s">
        <v>11576</v>
      </c>
      <c r="AC27" s="75" t="s">
        <v>12463</v>
      </c>
      <c r="AD27" s="70" t="s">
        <v>12464</v>
      </c>
      <c r="AF27" s="70">
        <v>1.0</v>
      </c>
      <c r="AH27" s="70">
        <v>18.0</v>
      </c>
      <c r="AI27" s="70" t="s">
        <v>239</v>
      </c>
      <c r="AZ27" s="70" t="s">
        <v>12465</v>
      </c>
      <c r="BA27" s="70" t="s">
        <v>22</v>
      </c>
      <c r="BB27" s="70">
        <v>27.0</v>
      </c>
      <c r="BC27" s="70">
        <v>0.0</v>
      </c>
    </row>
    <row r="28" ht="22.5" customHeight="1">
      <c r="A28" s="86" t="str">
        <f t="shared" si="1"/>
        <v>Included</v>
      </c>
      <c r="B28" s="87">
        <f t="shared" si="2"/>
        <v>3</v>
      </c>
      <c r="C28" s="70">
        <v>1.0</v>
      </c>
      <c r="D28" s="70" t="s">
        <v>28</v>
      </c>
      <c r="E28" s="70">
        <f>IFERROR(__xludf.DUMMYFUNCTION("if(REGEXMATCH(I28,""INCLUDE""),1,0)"),1.0)</f>
        <v>1</v>
      </c>
      <c r="F28" s="70" t="str">
        <f>IFERROR(__xludf.DUMMYFUNCTION("index(SPLIT(I28, "" - ""),0,2)"),"IC5")</f>
        <v>IC5</v>
      </c>
      <c r="G28" s="70">
        <f>IFERROR(__xludf.DUMMYFUNCTION("if(REGEXMATCH(J28,""INCLUDE""),1,0)"),1.0)</f>
        <v>1</v>
      </c>
      <c r="H28" s="70" t="str">
        <f>IFERROR(__xludf.DUMMYFUNCTION("index(SPLIT(J28, "" - ""),0,2)"),"IC5")</f>
        <v>IC5</v>
      </c>
      <c r="I28" s="88" t="s">
        <v>31520</v>
      </c>
      <c r="J28" s="70" t="s">
        <v>31520</v>
      </c>
      <c r="K28" s="70">
        <v>182.0</v>
      </c>
      <c r="L28" s="70" t="s">
        <v>657</v>
      </c>
      <c r="M28" s="70" t="s">
        <v>653</v>
      </c>
      <c r="N28" s="70" t="s">
        <v>654</v>
      </c>
      <c r="O28" s="70" t="s">
        <v>655</v>
      </c>
      <c r="P28" s="70" t="s">
        <v>656</v>
      </c>
      <c r="R28" s="75" t="s">
        <v>658</v>
      </c>
      <c r="S28" s="70">
        <v>2024.0</v>
      </c>
      <c r="T28" s="70" t="s">
        <v>659</v>
      </c>
      <c r="X28" s="70" t="s">
        <v>401</v>
      </c>
      <c r="Y28" s="70" t="s">
        <v>402</v>
      </c>
      <c r="Z28" s="70" t="s">
        <v>661</v>
      </c>
      <c r="BA28" s="70" t="s">
        <v>29316</v>
      </c>
      <c r="BB28" s="70">
        <v>28.0</v>
      </c>
      <c r="BC28" s="70">
        <v>0.0</v>
      </c>
    </row>
    <row r="29" ht="22.5" customHeight="1">
      <c r="A29" s="86" t="str">
        <f t="shared" si="1"/>
        <v>Included</v>
      </c>
      <c r="B29" s="87">
        <f t="shared" si="2"/>
        <v>3</v>
      </c>
      <c r="C29" s="70">
        <v>1.0</v>
      </c>
      <c r="D29" s="70" t="s">
        <v>32</v>
      </c>
      <c r="E29" s="70">
        <f>IFERROR(__xludf.DUMMYFUNCTION("if(REGEXMATCH(I29,""INCLUDE""),1,0)"),1.0)</f>
        <v>1</v>
      </c>
      <c r="F29" s="70" t="str">
        <f>IFERROR(__xludf.DUMMYFUNCTION("index(SPLIT(I29, "" - ""),0,2)"),"IC5")</f>
        <v>IC5</v>
      </c>
      <c r="G29" s="70">
        <f>IFERROR(__xludf.DUMMYFUNCTION("if(REGEXMATCH(J29,""INCLUDE""),1,0)"),1.0)</f>
        <v>1</v>
      </c>
      <c r="H29" s="70" t="str">
        <f>IFERROR(__xludf.DUMMYFUNCTION("index(SPLIT(J29, "" - ""),0,2)"),"IC5")</f>
        <v>IC5</v>
      </c>
      <c r="I29" s="88" t="s">
        <v>31520</v>
      </c>
      <c r="J29" s="70" t="s">
        <v>31520</v>
      </c>
      <c r="K29" s="70">
        <v>41.0</v>
      </c>
      <c r="L29" s="70" t="s">
        <v>18083</v>
      </c>
      <c r="M29" s="70" t="s">
        <v>18081</v>
      </c>
      <c r="N29" s="70" t="s">
        <v>18082</v>
      </c>
      <c r="O29" s="70" t="s">
        <v>16436</v>
      </c>
      <c r="Q29" s="70" t="s">
        <v>16437</v>
      </c>
      <c r="S29" s="76">
        <v>44679.0</v>
      </c>
      <c r="X29" s="70" t="s">
        <v>239</v>
      </c>
      <c r="Z29" s="70" t="s">
        <v>18085</v>
      </c>
      <c r="AB29" s="70" t="s">
        <v>18086</v>
      </c>
      <c r="AC29" s="75" t="s">
        <v>18087</v>
      </c>
      <c r="AD29" s="70" t="s">
        <v>18088</v>
      </c>
      <c r="AF29" s="70">
        <v>28.0</v>
      </c>
      <c r="AH29" s="70">
        <v>52.0</v>
      </c>
      <c r="AI29" s="70" t="s">
        <v>16423</v>
      </c>
      <c r="AZ29" s="70" t="s">
        <v>18089</v>
      </c>
      <c r="BA29" s="70" t="s">
        <v>18</v>
      </c>
      <c r="BB29" s="70">
        <v>29.0</v>
      </c>
      <c r="BC29" s="70">
        <v>0.0</v>
      </c>
    </row>
    <row r="30" ht="22.5" customHeight="1">
      <c r="A30" s="86" t="str">
        <f t="shared" si="1"/>
        <v>Included</v>
      </c>
      <c r="B30" s="87">
        <f t="shared" si="2"/>
        <v>3</v>
      </c>
      <c r="C30" s="70">
        <v>1.0</v>
      </c>
      <c r="D30" s="70" t="s">
        <v>32</v>
      </c>
      <c r="E30" s="70">
        <f>IFERROR(__xludf.DUMMYFUNCTION("if(REGEXMATCH(I30,""INCLUDE""),1,0)"),1.0)</f>
        <v>1</v>
      </c>
      <c r="F30" s="70" t="str">
        <f>IFERROR(__xludf.DUMMYFUNCTION("index(SPLIT(I30, "" - ""),0,2)"),"IC5")</f>
        <v>IC5</v>
      </c>
      <c r="G30" s="70">
        <f>IFERROR(__xludf.DUMMYFUNCTION("if(REGEXMATCH(J30,""INCLUDE""),1,0)"),1.0)</f>
        <v>1</v>
      </c>
      <c r="H30" s="70" t="str">
        <f>IFERROR(__xludf.DUMMYFUNCTION("index(SPLIT(J30, "" - ""),0,2)"),"IC5")</f>
        <v>IC5</v>
      </c>
      <c r="I30" s="88" t="s">
        <v>31520</v>
      </c>
      <c r="J30" s="70" t="s">
        <v>31520</v>
      </c>
      <c r="K30" s="70">
        <v>174.0</v>
      </c>
      <c r="L30" s="70" t="s">
        <v>940</v>
      </c>
      <c r="M30" s="70" t="s">
        <v>936</v>
      </c>
      <c r="N30" s="70" t="s">
        <v>937</v>
      </c>
      <c r="O30" s="70" t="s">
        <v>938</v>
      </c>
      <c r="P30" s="70" t="s">
        <v>939</v>
      </c>
      <c r="R30" s="75" t="s">
        <v>941</v>
      </c>
      <c r="S30" s="70">
        <v>2022.0</v>
      </c>
      <c r="T30" s="70" t="s">
        <v>943</v>
      </c>
      <c r="X30" s="70" t="s">
        <v>401</v>
      </c>
      <c r="Y30" s="70" t="s">
        <v>402</v>
      </c>
      <c r="Z30" s="70" t="s">
        <v>944</v>
      </c>
      <c r="AZ30" s="70" t="s">
        <v>945</v>
      </c>
      <c r="BA30" s="70" t="s">
        <v>22</v>
      </c>
      <c r="BB30" s="70">
        <v>30.0</v>
      </c>
      <c r="BC30" s="70">
        <v>0.0</v>
      </c>
    </row>
    <row r="31" ht="22.5" customHeight="1">
      <c r="A31" s="86" t="str">
        <f t="shared" si="1"/>
        <v>Included</v>
      </c>
      <c r="B31" s="87">
        <f t="shared" si="2"/>
        <v>3</v>
      </c>
      <c r="C31" s="70">
        <v>1.0</v>
      </c>
      <c r="D31" s="70" t="s">
        <v>32</v>
      </c>
      <c r="E31" s="70">
        <f>IFERROR(__xludf.DUMMYFUNCTION("if(REGEXMATCH(I31,""INCLUDE""),1,0)"),1.0)</f>
        <v>1</v>
      </c>
      <c r="F31" s="70" t="str">
        <f>IFERROR(__xludf.DUMMYFUNCTION("index(SPLIT(I31, "" - ""),0,2)"),"IC5")</f>
        <v>IC5</v>
      </c>
      <c r="G31" s="70">
        <f>IFERROR(__xludf.DUMMYFUNCTION("if(REGEXMATCH(J31,""INCLUDE""),1,0)"),1.0)</f>
        <v>1</v>
      </c>
      <c r="H31" s="70" t="str">
        <f>IFERROR(__xludf.DUMMYFUNCTION("index(SPLIT(J31, "" - ""),0,2)"),"IC5")</f>
        <v>IC5</v>
      </c>
      <c r="I31" s="88" t="s">
        <v>31520</v>
      </c>
      <c r="J31" s="70" t="s">
        <v>31520</v>
      </c>
      <c r="K31" s="70">
        <v>94.0</v>
      </c>
      <c r="L31" s="70" t="s">
        <v>24397</v>
      </c>
      <c r="M31" s="70" t="s">
        <v>24395</v>
      </c>
      <c r="N31" s="70" t="s">
        <v>24396</v>
      </c>
      <c r="Z31" s="70" t="s">
        <v>29403</v>
      </c>
      <c r="AD31" s="70" t="s">
        <v>24399</v>
      </c>
      <c r="AL31" s="70" t="s">
        <v>24400</v>
      </c>
      <c r="AM31" s="70" t="s">
        <v>24401</v>
      </c>
      <c r="AN31" s="70">
        <v>2024.0</v>
      </c>
      <c r="AO31" s="70" t="s">
        <v>24402</v>
      </c>
      <c r="AQ31" s="70">
        <v>34.0</v>
      </c>
      <c r="AR31" s="70">
        <v>45.0</v>
      </c>
      <c r="AS31" s="70">
        <v>11.0</v>
      </c>
      <c r="AT31" s="70">
        <v>1.0</v>
      </c>
      <c r="AU31" s="75" t="s">
        <v>24403</v>
      </c>
      <c r="AV31" s="70" t="s">
        <v>22525</v>
      </c>
      <c r="AW31" s="70" t="s">
        <v>22816</v>
      </c>
      <c r="AX31" s="70" t="s">
        <v>237</v>
      </c>
      <c r="AY31" s="70" t="s">
        <v>24404</v>
      </c>
      <c r="AZ31" s="70" t="s">
        <v>24405</v>
      </c>
      <c r="BA31" s="70" t="s">
        <v>22</v>
      </c>
      <c r="BB31" s="70">
        <v>31.0</v>
      </c>
      <c r="BC31" s="70">
        <v>0.0</v>
      </c>
    </row>
    <row r="32" ht="22.5" customHeight="1">
      <c r="A32" s="86" t="str">
        <f t="shared" si="1"/>
        <v>Included</v>
      </c>
      <c r="B32" s="87">
        <f t="shared" si="2"/>
        <v>3</v>
      </c>
      <c r="C32" s="70">
        <v>1.0</v>
      </c>
      <c r="D32" s="70" t="s">
        <v>28</v>
      </c>
      <c r="E32" s="70">
        <f>IFERROR(__xludf.DUMMYFUNCTION("if(REGEXMATCH(I32,""INCLUDE""),1,0)"),1.0)</f>
        <v>1</v>
      </c>
      <c r="F32" s="70" t="str">
        <f>IFERROR(__xludf.DUMMYFUNCTION("index(SPLIT(I32, "" - ""),0,2)"),"IC5")</f>
        <v>IC5</v>
      </c>
      <c r="G32" s="70">
        <f>IFERROR(__xludf.DUMMYFUNCTION("if(REGEXMATCH(J32,""INCLUDE""),1,0)"),1.0)</f>
        <v>1</v>
      </c>
      <c r="H32" s="70" t="str">
        <f>IFERROR(__xludf.DUMMYFUNCTION("index(SPLIT(J32, "" - ""),0,2)"),"IC5")</f>
        <v>IC5</v>
      </c>
      <c r="I32" s="88" t="s">
        <v>31520</v>
      </c>
      <c r="J32" s="70" t="s">
        <v>31520</v>
      </c>
      <c r="K32" s="70">
        <v>122.0</v>
      </c>
      <c r="L32" s="70" t="s">
        <v>23889</v>
      </c>
      <c r="M32" s="70" t="s">
        <v>23887</v>
      </c>
      <c r="N32" s="70" t="s">
        <v>23888</v>
      </c>
      <c r="Z32" s="70" t="s">
        <v>29422</v>
      </c>
      <c r="AD32" s="70" t="s">
        <v>23891</v>
      </c>
      <c r="AL32" s="70" t="s">
        <v>23892</v>
      </c>
      <c r="AM32" s="70" t="s">
        <v>23893</v>
      </c>
      <c r="AN32" s="70">
        <v>2024.0</v>
      </c>
      <c r="AO32" s="70" t="s">
        <v>16538</v>
      </c>
      <c r="AT32" s="70">
        <v>1.0</v>
      </c>
      <c r="AU32" s="75" t="s">
        <v>23894</v>
      </c>
      <c r="AV32" s="70" t="s">
        <v>22588</v>
      </c>
      <c r="AX32" s="70" t="s">
        <v>237</v>
      </c>
      <c r="AY32" s="70" t="s">
        <v>23895</v>
      </c>
      <c r="AZ32" s="70" t="s">
        <v>23896</v>
      </c>
      <c r="BA32" s="70" t="s">
        <v>24</v>
      </c>
      <c r="BB32" s="70">
        <v>33.0</v>
      </c>
      <c r="BC32" s="70">
        <v>0.0</v>
      </c>
    </row>
    <row r="33" ht="22.5" customHeight="1">
      <c r="A33" s="86" t="str">
        <f t="shared" si="1"/>
        <v>Included</v>
      </c>
      <c r="B33" s="87">
        <f t="shared" si="2"/>
        <v>3</v>
      </c>
      <c r="C33" s="70">
        <v>1.0</v>
      </c>
      <c r="D33" s="70" t="s">
        <v>32</v>
      </c>
      <c r="E33" s="70">
        <f>IFERROR(__xludf.DUMMYFUNCTION("if(REGEXMATCH(I33,""INCLUDE""),1,0)"),1.0)</f>
        <v>1</v>
      </c>
      <c r="F33" s="70" t="str">
        <f>IFERROR(__xludf.DUMMYFUNCTION("index(SPLIT(I33, "" - ""),0,2)"),"IC6")</f>
        <v>IC6</v>
      </c>
      <c r="G33" s="70">
        <f>IFERROR(__xludf.DUMMYFUNCTION("if(REGEXMATCH(J33,""INCLUDE""),1,0)"),1.0)</f>
        <v>1</v>
      </c>
      <c r="H33" s="70" t="str">
        <f>IFERROR(__xludf.DUMMYFUNCTION("index(SPLIT(J33, "" - ""),0,2)"),"IC6")</f>
        <v>IC6</v>
      </c>
      <c r="I33" s="88" t="s">
        <v>31521</v>
      </c>
      <c r="J33" s="70" t="s">
        <v>31521</v>
      </c>
      <c r="K33" s="70">
        <v>166.0</v>
      </c>
      <c r="L33" s="70" t="s">
        <v>468</v>
      </c>
      <c r="M33" s="70" t="s">
        <v>464</v>
      </c>
      <c r="N33" s="70" t="s">
        <v>465</v>
      </c>
      <c r="O33" s="70" t="s">
        <v>466</v>
      </c>
      <c r="P33" s="70" t="s">
        <v>467</v>
      </c>
      <c r="R33" s="75" t="s">
        <v>469</v>
      </c>
      <c r="S33" s="70">
        <v>2021.0</v>
      </c>
      <c r="T33" s="70" t="s">
        <v>471</v>
      </c>
      <c r="X33" s="70" t="s">
        <v>401</v>
      </c>
      <c r="Y33" s="70" t="s">
        <v>402</v>
      </c>
      <c r="Z33" s="70" t="s">
        <v>473</v>
      </c>
      <c r="AZ33" s="70" t="s">
        <v>474</v>
      </c>
      <c r="BA33" s="70" t="s">
        <v>22</v>
      </c>
      <c r="BB33" s="70">
        <v>34.0</v>
      </c>
      <c r="BC33" s="70">
        <v>0.0</v>
      </c>
    </row>
    <row r="34" ht="22.5" customHeight="1">
      <c r="A34" s="86" t="str">
        <f t="shared" si="1"/>
        <v>Included</v>
      </c>
      <c r="B34" s="87">
        <f t="shared" si="2"/>
        <v>3</v>
      </c>
      <c r="C34" s="70">
        <v>1.0</v>
      </c>
      <c r="D34" s="70" t="s">
        <v>32</v>
      </c>
      <c r="E34" s="70">
        <f>IFERROR(__xludf.DUMMYFUNCTION("if(REGEXMATCH(I34,""INCLUDE""),1,0)"),1.0)</f>
        <v>1</v>
      </c>
      <c r="F34" s="70" t="str">
        <f>IFERROR(__xludf.DUMMYFUNCTION("index(SPLIT(I34, "" - ""),0,2)"),"IC5")</f>
        <v>IC5</v>
      </c>
      <c r="G34" s="70">
        <f>IFERROR(__xludf.DUMMYFUNCTION("if(REGEXMATCH(J34,""INCLUDE""),1,0)"),1.0)</f>
        <v>1</v>
      </c>
      <c r="H34" s="70" t="str">
        <f>IFERROR(__xludf.DUMMYFUNCTION("index(SPLIT(J34, "" - ""),0,2)"),"IC5")</f>
        <v>IC5</v>
      </c>
      <c r="I34" s="88" t="s">
        <v>31520</v>
      </c>
      <c r="J34" s="70" t="s">
        <v>31520</v>
      </c>
      <c r="K34" s="70">
        <v>159.0</v>
      </c>
      <c r="L34" s="70" t="s">
        <v>25149</v>
      </c>
      <c r="M34" s="70" t="s">
        <v>25147</v>
      </c>
      <c r="N34" s="70" t="s">
        <v>25148</v>
      </c>
      <c r="Z34" s="70" t="s">
        <v>29453</v>
      </c>
      <c r="AD34" s="70" t="s">
        <v>25151</v>
      </c>
      <c r="AL34" s="70" t="s">
        <v>25152</v>
      </c>
      <c r="AM34" s="70" t="s">
        <v>25153</v>
      </c>
      <c r="AN34" s="70">
        <v>2024.0</v>
      </c>
      <c r="AO34" s="70" t="s">
        <v>25154</v>
      </c>
      <c r="AP34" s="70" t="s">
        <v>25155</v>
      </c>
      <c r="AT34" s="70">
        <v>0.0</v>
      </c>
      <c r="AU34" s="75" t="s">
        <v>25156</v>
      </c>
      <c r="AV34" s="70" t="s">
        <v>22525</v>
      </c>
      <c r="AX34" s="70" t="s">
        <v>237</v>
      </c>
      <c r="AY34" s="70" t="s">
        <v>25157</v>
      </c>
      <c r="AZ34" s="70" t="s">
        <v>25158</v>
      </c>
      <c r="BB34" s="70">
        <v>35.0</v>
      </c>
      <c r="BC34" s="70">
        <v>0.0</v>
      </c>
    </row>
    <row r="35" ht="22.5" customHeight="1">
      <c r="A35" s="86" t="str">
        <f t="shared" si="1"/>
        <v>Included</v>
      </c>
      <c r="B35" s="87">
        <f t="shared" si="2"/>
        <v>3</v>
      </c>
      <c r="C35" s="70">
        <v>1.0</v>
      </c>
      <c r="D35" s="70" t="s">
        <v>32</v>
      </c>
      <c r="E35" s="70">
        <f>IFERROR(__xludf.DUMMYFUNCTION("if(REGEXMATCH(I35,""INCLUDE""),1,0)"),1.0)</f>
        <v>1</v>
      </c>
      <c r="F35" s="70" t="str">
        <f>IFERROR(__xludf.DUMMYFUNCTION("index(SPLIT(I35, "" - ""),0,2)"),"IC5")</f>
        <v>IC5</v>
      </c>
      <c r="G35" s="70">
        <f>IFERROR(__xludf.DUMMYFUNCTION("if(REGEXMATCH(J35,""INCLUDE""),1,0)"),1.0)</f>
        <v>1</v>
      </c>
      <c r="H35" s="70" t="str">
        <f>IFERROR(__xludf.DUMMYFUNCTION("index(SPLIT(J35, "" - ""),0,2)"),"IC5")</f>
        <v>IC5</v>
      </c>
      <c r="I35" s="88" t="s">
        <v>31520</v>
      </c>
      <c r="J35" s="70" t="s">
        <v>31520</v>
      </c>
      <c r="K35" s="70">
        <v>167.0</v>
      </c>
      <c r="L35" s="70" t="s">
        <v>3657</v>
      </c>
      <c r="M35" s="70" t="s">
        <v>3653</v>
      </c>
      <c r="N35" s="70" t="s">
        <v>3654</v>
      </c>
      <c r="O35" s="70" t="s">
        <v>3655</v>
      </c>
      <c r="Q35" s="70" t="s">
        <v>3656</v>
      </c>
      <c r="R35" s="75" t="s">
        <v>3658</v>
      </c>
      <c r="S35" s="80">
        <v>44136.0</v>
      </c>
      <c r="Z35" s="70" t="s">
        <v>29458</v>
      </c>
      <c r="AZ35" s="70" t="s">
        <v>3661</v>
      </c>
      <c r="BA35" s="70" t="s">
        <v>29459</v>
      </c>
      <c r="BB35" s="70">
        <v>36.0</v>
      </c>
      <c r="BC35" s="70">
        <v>0.0</v>
      </c>
    </row>
    <row r="36" ht="22.5" customHeight="1">
      <c r="A36" s="86" t="str">
        <f t="shared" si="1"/>
        <v>Included</v>
      </c>
      <c r="B36" s="87">
        <f t="shared" si="2"/>
        <v>3</v>
      </c>
      <c r="C36" s="70">
        <v>1.0</v>
      </c>
      <c r="D36" s="70" t="s">
        <v>32</v>
      </c>
      <c r="E36" s="70">
        <f>IFERROR(__xludf.DUMMYFUNCTION("if(REGEXMATCH(I36,""INCLUDE""),1,0)"),1.0)</f>
        <v>1</v>
      </c>
      <c r="F36" s="70" t="str">
        <f>IFERROR(__xludf.DUMMYFUNCTION("index(SPLIT(I36, "" - ""),0,2)"),"IC5")</f>
        <v>IC5</v>
      </c>
      <c r="G36" s="70">
        <f>IFERROR(__xludf.DUMMYFUNCTION("if(REGEXMATCH(J36,""INCLUDE""),1,0)"),1.0)</f>
        <v>1</v>
      </c>
      <c r="H36" s="70" t="str">
        <f>IFERROR(__xludf.DUMMYFUNCTION("index(SPLIT(J36, "" - ""),0,2)"),"IC5")</f>
        <v>IC5</v>
      </c>
      <c r="I36" s="88" t="s">
        <v>31520</v>
      </c>
      <c r="J36" s="70" t="s">
        <v>31520</v>
      </c>
      <c r="K36" s="70">
        <v>105.0</v>
      </c>
      <c r="L36" s="70" t="s">
        <v>12159</v>
      </c>
      <c r="M36" s="70" t="s">
        <v>29410</v>
      </c>
      <c r="N36" s="70" t="s">
        <v>12157</v>
      </c>
      <c r="O36" s="70" t="s">
        <v>12158</v>
      </c>
      <c r="S36" s="76">
        <v>45499.0</v>
      </c>
      <c r="X36" s="70" t="s">
        <v>239</v>
      </c>
      <c r="Z36" s="70" t="s">
        <v>12161</v>
      </c>
      <c r="AA36" s="70" t="s">
        <v>12162</v>
      </c>
      <c r="AC36" s="75" t="s">
        <v>12163</v>
      </c>
      <c r="AD36" s="70" t="s">
        <v>12164</v>
      </c>
      <c r="AF36" s="70">
        <v>1.0</v>
      </c>
      <c r="AH36" s="70">
        <v>34.0</v>
      </c>
      <c r="AI36" s="70" t="s">
        <v>239</v>
      </c>
      <c r="AZ36" s="70" t="s">
        <v>12165</v>
      </c>
      <c r="BA36" s="70" t="s">
        <v>24</v>
      </c>
      <c r="BB36" s="70">
        <v>37.0</v>
      </c>
      <c r="BC36" s="70">
        <v>0.0</v>
      </c>
    </row>
    <row r="37" ht="22.5" customHeight="1">
      <c r="A37" s="86" t="str">
        <f t="shared" si="1"/>
        <v>Included</v>
      </c>
      <c r="B37" s="87">
        <f t="shared" si="2"/>
        <v>3</v>
      </c>
      <c r="C37" s="70">
        <v>1.0</v>
      </c>
      <c r="D37" s="70" t="s">
        <v>32</v>
      </c>
      <c r="E37" s="70">
        <f>IFERROR(__xludf.DUMMYFUNCTION("if(REGEXMATCH(I37,""INCLUDE""),1,0)"),1.0)</f>
        <v>1</v>
      </c>
      <c r="F37" s="70" t="str">
        <f>IFERROR(__xludf.DUMMYFUNCTION("index(SPLIT(I37, "" - ""),0,2)"),"IC5")</f>
        <v>IC5</v>
      </c>
      <c r="G37" s="70">
        <f>IFERROR(__xludf.DUMMYFUNCTION("if(REGEXMATCH(J37,""INCLUDE""),1,0)"),1.0)</f>
        <v>1</v>
      </c>
      <c r="H37" s="70" t="str">
        <f>IFERROR(__xludf.DUMMYFUNCTION("index(SPLIT(J37, "" - ""),0,2)"),"IC5")</f>
        <v>IC5</v>
      </c>
      <c r="I37" s="88" t="s">
        <v>31520</v>
      </c>
      <c r="J37" s="70" t="s">
        <v>31520</v>
      </c>
      <c r="K37" s="70">
        <v>10.0</v>
      </c>
      <c r="L37" s="70" t="s">
        <v>541</v>
      </c>
      <c r="M37" s="70" t="s">
        <v>537</v>
      </c>
      <c r="N37" s="70" t="s">
        <v>538</v>
      </c>
      <c r="O37" s="70" t="s">
        <v>29320</v>
      </c>
      <c r="P37" s="70" t="s">
        <v>540</v>
      </c>
      <c r="R37" s="75" t="s">
        <v>542</v>
      </c>
      <c r="S37" s="70">
        <v>2023.0</v>
      </c>
      <c r="X37" s="70" t="s">
        <v>387</v>
      </c>
      <c r="Y37" s="70" t="s">
        <v>388</v>
      </c>
      <c r="Z37" s="70" t="s">
        <v>545</v>
      </c>
      <c r="BA37" s="70" t="s">
        <v>22</v>
      </c>
      <c r="BB37" s="70">
        <v>38.0</v>
      </c>
      <c r="BC37" s="70">
        <v>0.0</v>
      </c>
    </row>
    <row r="38" ht="22.5" customHeight="1">
      <c r="A38" s="86" t="str">
        <f t="shared" si="1"/>
        <v>Included</v>
      </c>
      <c r="B38" s="87">
        <f t="shared" si="2"/>
        <v>3</v>
      </c>
      <c r="C38" s="70">
        <v>1.0</v>
      </c>
      <c r="D38" s="70" t="s">
        <v>32</v>
      </c>
      <c r="E38" s="70">
        <f>IFERROR(__xludf.DUMMYFUNCTION("if(REGEXMATCH(I38,""INCLUDE""),1,0)"),1.0)</f>
        <v>1</v>
      </c>
      <c r="F38" s="70" t="str">
        <f>IFERROR(__xludf.DUMMYFUNCTION("index(SPLIT(I38, "" - ""),0,2)"),"IC5")</f>
        <v>IC5</v>
      </c>
      <c r="G38" s="70">
        <f>IFERROR(__xludf.DUMMYFUNCTION("if(REGEXMATCH(J38,""INCLUDE""),1,0)"),1.0)</f>
        <v>1</v>
      </c>
      <c r="H38" s="70" t="str">
        <f>IFERROR(__xludf.DUMMYFUNCTION("index(SPLIT(J38, "" - ""),0,2)"),"IC5")</f>
        <v>IC5</v>
      </c>
      <c r="I38" s="88" t="s">
        <v>31520</v>
      </c>
      <c r="J38" s="70" t="s">
        <v>31520</v>
      </c>
      <c r="K38" s="70">
        <v>14.0</v>
      </c>
      <c r="L38" s="70" t="s">
        <v>29151</v>
      </c>
      <c r="M38" s="70" t="s">
        <v>29149</v>
      </c>
      <c r="N38" s="70" t="s">
        <v>29150</v>
      </c>
      <c r="Z38" s="70" t="s">
        <v>29327</v>
      </c>
      <c r="AD38" s="70" t="s">
        <v>29153</v>
      </c>
      <c r="AL38" s="70" t="s">
        <v>29154</v>
      </c>
      <c r="AM38" s="70" t="s">
        <v>29155</v>
      </c>
      <c r="AN38" s="70">
        <v>2020.0</v>
      </c>
      <c r="AO38" s="70" t="s">
        <v>22557</v>
      </c>
      <c r="AQ38" s="70">
        <v>105.0</v>
      </c>
      <c r="AR38" s="70">
        <v>139.0</v>
      </c>
      <c r="AS38" s="70">
        <v>34.0</v>
      </c>
      <c r="AT38" s="70">
        <v>41.0</v>
      </c>
      <c r="AU38" s="75" t="s">
        <v>29156</v>
      </c>
      <c r="AV38" s="70" t="s">
        <v>22525</v>
      </c>
      <c r="AX38" s="70" t="s">
        <v>237</v>
      </c>
      <c r="AY38" s="70" t="s">
        <v>29157</v>
      </c>
      <c r="AZ38" s="70" t="s">
        <v>29158</v>
      </c>
      <c r="BA38" s="70" t="s">
        <v>18</v>
      </c>
      <c r="BB38" s="70">
        <v>39.0</v>
      </c>
      <c r="BC38" s="70">
        <v>0.0</v>
      </c>
    </row>
    <row r="39" ht="22.5" customHeight="1">
      <c r="A39" s="86" t="str">
        <f t="shared" si="1"/>
        <v>Included</v>
      </c>
      <c r="B39" s="87">
        <f t="shared" si="2"/>
        <v>3</v>
      </c>
      <c r="C39" s="70">
        <v>1.0</v>
      </c>
      <c r="D39" s="70" t="s">
        <v>32</v>
      </c>
      <c r="E39" s="70">
        <f>IFERROR(__xludf.DUMMYFUNCTION("if(REGEXMATCH(I39,""INCLUDE""),1,0)"),1.0)</f>
        <v>1</v>
      </c>
      <c r="F39" s="70" t="str">
        <f>IFERROR(__xludf.DUMMYFUNCTION("index(SPLIT(I39, "" - ""),0,2)"),"IC5")</f>
        <v>IC5</v>
      </c>
      <c r="G39" s="70">
        <f>IFERROR(__xludf.DUMMYFUNCTION("if(REGEXMATCH(J39,""INCLUDE""),1,0)"),1.0)</f>
        <v>1</v>
      </c>
      <c r="H39" s="70" t="str">
        <f>IFERROR(__xludf.DUMMYFUNCTION("index(SPLIT(J39, "" - ""),0,2)"),"IC5")</f>
        <v>IC5</v>
      </c>
      <c r="I39" s="88" t="s">
        <v>31520</v>
      </c>
      <c r="J39" s="70" t="s">
        <v>31520</v>
      </c>
      <c r="K39" s="70">
        <v>33.0</v>
      </c>
      <c r="L39" s="70" t="s">
        <v>22863</v>
      </c>
      <c r="M39" s="70" t="s">
        <v>29356</v>
      </c>
      <c r="N39" s="70" t="s">
        <v>22862</v>
      </c>
      <c r="Z39" s="70" t="s">
        <v>29357</v>
      </c>
      <c r="AD39" s="70" t="s">
        <v>22865</v>
      </c>
      <c r="AL39" s="70" t="s">
        <v>29358</v>
      </c>
      <c r="AM39" s="70" t="s">
        <v>22867</v>
      </c>
      <c r="AN39" s="70">
        <v>2025.0</v>
      </c>
      <c r="AO39" s="70" t="s">
        <v>22868</v>
      </c>
      <c r="AP39" s="70">
        <v>101088.0</v>
      </c>
      <c r="AT39" s="70">
        <v>0.0</v>
      </c>
      <c r="AU39" s="75" t="s">
        <v>22869</v>
      </c>
      <c r="AV39" s="70" t="s">
        <v>22525</v>
      </c>
      <c r="AX39" s="70" t="s">
        <v>237</v>
      </c>
      <c r="AY39" s="70" t="s">
        <v>22870</v>
      </c>
      <c r="AZ39" s="70" t="s">
        <v>22871</v>
      </c>
      <c r="BA39" s="70" t="s">
        <v>22</v>
      </c>
      <c r="BB39" s="70">
        <v>40.0</v>
      </c>
      <c r="BC39" s="70">
        <v>0.0</v>
      </c>
    </row>
    <row r="40" ht="22.5" customHeight="1">
      <c r="A40" s="86" t="str">
        <f t="shared" si="1"/>
        <v>Included</v>
      </c>
      <c r="B40" s="87">
        <f t="shared" si="2"/>
        <v>3</v>
      </c>
      <c r="C40" s="70">
        <v>1.0</v>
      </c>
      <c r="D40" s="70" t="s">
        <v>32</v>
      </c>
      <c r="E40" s="70">
        <f>IFERROR(__xludf.DUMMYFUNCTION("if(REGEXMATCH(I40,""INCLUDE""),1,0)"),1.0)</f>
        <v>1</v>
      </c>
      <c r="F40" s="70" t="str">
        <f>IFERROR(__xludf.DUMMYFUNCTION("index(SPLIT(I40, "" - ""),0,2)"),"IC5")</f>
        <v>IC5</v>
      </c>
      <c r="G40" s="70">
        <f>IFERROR(__xludf.DUMMYFUNCTION("if(REGEXMATCH(J40,""INCLUDE""),1,0)"),1.0)</f>
        <v>1</v>
      </c>
      <c r="H40" s="70" t="str">
        <f>IFERROR(__xludf.DUMMYFUNCTION("index(SPLIT(J40, "" - ""),0,2)"),"IC5")</f>
        <v>IC5</v>
      </c>
      <c r="I40" s="88" t="s">
        <v>31520</v>
      </c>
      <c r="J40" s="70" t="s">
        <v>31520</v>
      </c>
      <c r="K40" s="70">
        <v>184.0</v>
      </c>
      <c r="L40" s="70" t="s">
        <v>3675</v>
      </c>
      <c r="M40" s="70" t="s">
        <v>3671</v>
      </c>
      <c r="N40" s="70" t="s">
        <v>3672</v>
      </c>
      <c r="O40" s="70" t="s">
        <v>3673</v>
      </c>
      <c r="Q40" s="70" t="s">
        <v>3674</v>
      </c>
      <c r="R40" s="75" t="s">
        <v>3676</v>
      </c>
      <c r="S40" s="81">
        <v>45658.0</v>
      </c>
      <c r="Z40" s="70" t="s">
        <v>3678</v>
      </c>
      <c r="AZ40" s="70" t="s">
        <v>3679</v>
      </c>
      <c r="BA40" s="70" t="s">
        <v>22</v>
      </c>
      <c r="BB40" s="70">
        <v>41.0</v>
      </c>
      <c r="BC40" s="70">
        <v>0.0</v>
      </c>
    </row>
    <row r="41" ht="22.5" customHeight="1">
      <c r="A41" s="86" t="str">
        <f t="shared" si="1"/>
        <v>Included</v>
      </c>
      <c r="B41" s="87">
        <f t="shared" si="2"/>
        <v>3</v>
      </c>
      <c r="C41" s="70">
        <v>1.0</v>
      </c>
      <c r="D41" s="70" t="s">
        <v>32</v>
      </c>
      <c r="E41" s="70">
        <f>IFERROR(__xludf.DUMMYFUNCTION("if(REGEXMATCH(I41,""INCLUDE""),1,0)"),1.0)</f>
        <v>1</v>
      </c>
      <c r="F41" s="70" t="str">
        <f>IFERROR(__xludf.DUMMYFUNCTION("index(SPLIT(I41, "" - ""),0,2)"),"IC5")</f>
        <v>IC5</v>
      </c>
      <c r="G41" s="70">
        <f>IFERROR(__xludf.DUMMYFUNCTION("if(REGEXMATCH(J41,""INCLUDE""),1,0)"),1.0)</f>
        <v>1</v>
      </c>
      <c r="H41" s="70" t="str">
        <f>IFERROR(__xludf.DUMMYFUNCTION("index(SPLIT(J41, "" - ""),0,2)"),"IC5")</f>
        <v>IC5</v>
      </c>
      <c r="I41" s="88" t="s">
        <v>31520</v>
      </c>
      <c r="J41" s="70" t="s">
        <v>31520</v>
      </c>
      <c r="K41" s="70">
        <v>183.0</v>
      </c>
      <c r="L41" s="70" t="s">
        <v>3683</v>
      </c>
      <c r="M41" s="70" t="s">
        <v>3681</v>
      </c>
      <c r="N41" s="70" t="s">
        <v>3682</v>
      </c>
      <c r="O41" s="70" t="s">
        <v>3655</v>
      </c>
      <c r="Q41" s="70" t="s">
        <v>3656</v>
      </c>
      <c r="R41" s="75" t="s">
        <v>3684</v>
      </c>
      <c r="S41" s="80">
        <v>45597.0</v>
      </c>
      <c r="Z41" s="70" t="s">
        <v>29469</v>
      </c>
      <c r="AZ41" s="70" t="s">
        <v>3687</v>
      </c>
      <c r="BA41" s="70" t="s">
        <v>22</v>
      </c>
      <c r="BB41" s="70">
        <v>42.0</v>
      </c>
      <c r="BC41" s="70">
        <v>0.0</v>
      </c>
    </row>
    <row r="42" ht="22.5" customHeight="1">
      <c r="A42" s="86" t="str">
        <f t="shared" si="1"/>
        <v>Included</v>
      </c>
      <c r="B42" s="87">
        <f t="shared" si="2"/>
        <v>3</v>
      </c>
      <c r="C42" s="70">
        <v>1.0</v>
      </c>
      <c r="D42" s="70" t="s">
        <v>32</v>
      </c>
      <c r="E42" s="70">
        <f>IFERROR(__xludf.DUMMYFUNCTION("if(REGEXMATCH(I42,""INCLUDE""),1,0)"),1.0)</f>
        <v>1</v>
      </c>
      <c r="F42" s="70" t="str">
        <f>IFERROR(__xludf.DUMMYFUNCTION("index(SPLIT(I42, "" - ""),0,2)"),"IC5")</f>
        <v>IC5</v>
      </c>
      <c r="G42" s="70">
        <f>IFERROR(__xludf.DUMMYFUNCTION("if(REGEXMATCH(J42,""INCLUDE""),1,0)"),1.0)</f>
        <v>1</v>
      </c>
      <c r="H42" s="70" t="str">
        <f>IFERROR(__xludf.DUMMYFUNCTION("index(SPLIT(J42, "" - ""),0,2)"),"IC5")</f>
        <v>IC5</v>
      </c>
      <c r="I42" s="88" t="s">
        <v>31520</v>
      </c>
      <c r="J42" s="70" t="s">
        <v>31520</v>
      </c>
      <c r="K42" s="70">
        <v>168.0</v>
      </c>
      <c r="L42" s="70" t="s">
        <v>1275</v>
      </c>
      <c r="M42" s="70" t="s">
        <v>1271</v>
      </c>
      <c r="N42" s="70" t="s">
        <v>1272</v>
      </c>
      <c r="O42" s="70" t="s">
        <v>1273</v>
      </c>
      <c r="P42" s="70" t="s">
        <v>1274</v>
      </c>
      <c r="R42" s="75" t="s">
        <v>1276</v>
      </c>
      <c r="S42" s="70">
        <v>2020.0</v>
      </c>
      <c r="T42" s="70" t="s">
        <v>1278</v>
      </c>
      <c r="X42" s="70" t="s">
        <v>401</v>
      </c>
      <c r="Y42" s="70" t="s">
        <v>402</v>
      </c>
      <c r="Z42" s="70" t="s">
        <v>29460</v>
      </c>
      <c r="AZ42" s="70" t="s">
        <v>1280</v>
      </c>
      <c r="BA42" s="70" t="s">
        <v>22</v>
      </c>
      <c r="BB42" s="70">
        <v>43.0</v>
      </c>
      <c r="BC42" s="70">
        <v>0.0</v>
      </c>
    </row>
    <row r="43" ht="22.5" customHeight="1">
      <c r="A43" s="86" t="str">
        <f t="shared" si="1"/>
        <v>Included</v>
      </c>
      <c r="B43" s="87">
        <f t="shared" si="2"/>
        <v>3</v>
      </c>
      <c r="C43" s="70">
        <v>1.0</v>
      </c>
      <c r="D43" s="70" t="s">
        <v>28</v>
      </c>
      <c r="E43" s="70">
        <f>IFERROR(__xludf.DUMMYFUNCTION("if(REGEXMATCH(I43,""INCLUDE""),1,0)"),1.0)</f>
        <v>1</v>
      </c>
      <c r="F43" s="70" t="str">
        <f>IFERROR(__xludf.DUMMYFUNCTION("index(SPLIT(I43, "" - ""),0,2)"),"IC5")</f>
        <v>IC5</v>
      </c>
      <c r="G43" s="70">
        <f>IFERROR(__xludf.DUMMYFUNCTION("if(REGEXMATCH(J43,""INCLUDE""),1,0)"),1.0)</f>
        <v>1</v>
      </c>
      <c r="H43" s="70" t="str">
        <f>IFERROR(__xludf.DUMMYFUNCTION("index(SPLIT(J43, "" - ""),0,2)"),"IC5")</f>
        <v>IC5</v>
      </c>
      <c r="I43" s="88" t="s">
        <v>31520</v>
      </c>
      <c r="J43" s="70" t="s">
        <v>31520</v>
      </c>
      <c r="K43" s="70">
        <v>19.0</v>
      </c>
      <c r="L43" s="70" t="s">
        <v>25211</v>
      </c>
      <c r="M43" s="70" t="s">
        <v>29336</v>
      </c>
      <c r="N43" s="70" t="s">
        <v>25210</v>
      </c>
      <c r="Z43" s="70" t="s">
        <v>29337</v>
      </c>
      <c r="AD43" s="70" t="s">
        <v>25213</v>
      </c>
      <c r="AL43" s="70" t="s">
        <v>29338</v>
      </c>
      <c r="AM43" s="70" t="s">
        <v>25215</v>
      </c>
      <c r="AN43" s="70">
        <v>2023.0</v>
      </c>
      <c r="AO43" s="70" t="s">
        <v>22535</v>
      </c>
      <c r="AQ43" s="70">
        <v>13766.0</v>
      </c>
      <c r="AR43" s="70">
        <v>13793.0</v>
      </c>
      <c r="AS43" s="70">
        <v>27.0</v>
      </c>
      <c r="AT43" s="70">
        <v>2.0</v>
      </c>
      <c r="AU43" s="75" t="s">
        <v>25216</v>
      </c>
      <c r="AV43" s="70" t="s">
        <v>22525</v>
      </c>
      <c r="AW43" s="70" t="s">
        <v>23606</v>
      </c>
      <c r="AX43" s="70" t="s">
        <v>237</v>
      </c>
      <c r="AY43" s="70" t="s">
        <v>25217</v>
      </c>
      <c r="AZ43" s="70" t="s">
        <v>25218</v>
      </c>
      <c r="BA43" s="70" t="s">
        <v>22</v>
      </c>
      <c r="BB43" s="70">
        <v>44.0</v>
      </c>
      <c r="BC43" s="70">
        <v>0.0</v>
      </c>
    </row>
    <row r="44" ht="22.5" customHeight="1">
      <c r="A44" s="86" t="str">
        <f t="shared" si="1"/>
        <v>Included</v>
      </c>
      <c r="B44" s="87">
        <f t="shared" si="2"/>
        <v>3</v>
      </c>
      <c r="C44" s="70">
        <v>1.0</v>
      </c>
      <c r="D44" s="70" t="s">
        <v>32</v>
      </c>
      <c r="E44" s="70">
        <f>IFERROR(__xludf.DUMMYFUNCTION("if(REGEXMATCH(I44,""INCLUDE""),1,0)"),1.0)</f>
        <v>1</v>
      </c>
      <c r="F44" s="70" t="str">
        <f>IFERROR(__xludf.DUMMYFUNCTION("index(SPLIT(I44, "" - ""),0,2)"),"IC5")</f>
        <v>IC5</v>
      </c>
      <c r="G44" s="70">
        <f>IFERROR(__xludf.DUMMYFUNCTION("if(REGEXMATCH(J44,""INCLUDE""),1,0)"),1.0)</f>
        <v>1</v>
      </c>
      <c r="H44" s="70" t="str">
        <f>IFERROR(__xludf.DUMMYFUNCTION("index(SPLIT(J44, "" - ""),0,2)"),"IC6")</f>
        <v>IC6</v>
      </c>
      <c r="I44" s="88" t="s">
        <v>31520</v>
      </c>
      <c r="J44" s="70" t="s">
        <v>31521</v>
      </c>
      <c r="K44" s="70">
        <v>44.0</v>
      </c>
      <c r="L44" s="70" t="s">
        <v>19476</v>
      </c>
      <c r="M44" s="70" t="s">
        <v>19474</v>
      </c>
      <c r="N44" s="70" t="s">
        <v>19475</v>
      </c>
      <c r="O44" s="70" t="s">
        <v>16436</v>
      </c>
      <c r="Q44" s="70" t="s">
        <v>16437</v>
      </c>
      <c r="S44" s="78">
        <v>45076.0</v>
      </c>
      <c r="X44" s="70" t="s">
        <v>239</v>
      </c>
      <c r="Z44" s="70" t="s">
        <v>29369</v>
      </c>
      <c r="AC44" s="75" t="s">
        <v>19479</v>
      </c>
      <c r="AD44" s="70" t="s">
        <v>19480</v>
      </c>
      <c r="AF44" s="70">
        <v>10.0</v>
      </c>
      <c r="AH44" s="70">
        <v>60.0</v>
      </c>
      <c r="AI44" s="70" t="s">
        <v>16423</v>
      </c>
      <c r="AZ44" s="70" t="s">
        <v>19481</v>
      </c>
      <c r="BA44" s="70" t="s">
        <v>22</v>
      </c>
      <c r="BB44" s="70">
        <v>45.0</v>
      </c>
      <c r="BC44" s="70">
        <v>0.0</v>
      </c>
    </row>
    <row r="45" ht="22.5" customHeight="1">
      <c r="A45" s="86" t="str">
        <f t="shared" si="1"/>
        <v>Included</v>
      </c>
      <c r="B45" s="87">
        <f t="shared" si="2"/>
        <v>3</v>
      </c>
      <c r="C45" s="70">
        <v>1.0</v>
      </c>
      <c r="D45" s="70" t="s">
        <v>32</v>
      </c>
      <c r="E45" s="70">
        <f>IFERROR(__xludf.DUMMYFUNCTION("if(REGEXMATCH(I45,""INCLUDE""),1,0)"),1.0)</f>
        <v>1</v>
      </c>
      <c r="F45" s="70" t="str">
        <f>IFERROR(__xludf.DUMMYFUNCTION("index(SPLIT(I45, "" - ""),0,2)"),"IC5")</f>
        <v>IC5</v>
      </c>
      <c r="G45" s="70">
        <f>IFERROR(__xludf.DUMMYFUNCTION("if(REGEXMATCH(J45,""INCLUDE""),1,0)"),1.0)</f>
        <v>1</v>
      </c>
      <c r="H45" s="70" t="str">
        <f>IFERROR(__xludf.DUMMYFUNCTION("index(SPLIT(J45, "" - ""),0,2)"),"IC5")</f>
        <v>IC5</v>
      </c>
      <c r="I45" s="88" t="s">
        <v>31520</v>
      </c>
      <c r="J45" s="70" t="s">
        <v>31520</v>
      </c>
      <c r="K45" s="70">
        <v>134.0</v>
      </c>
      <c r="L45" s="70" t="s">
        <v>11233</v>
      </c>
      <c r="M45" s="70" t="s">
        <v>11230</v>
      </c>
      <c r="N45" s="70" t="s">
        <v>11231</v>
      </c>
      <c r="O45" s="70" t="s">
        <v>11232</v>
      </c>
      <c r="Q45" s="70" t="s">
        <v>6872</v>
      </c>
      <c r="S45" s="76">
        <v>45120.0</v>
      </c>
      <c r="X45" s="70" t="s">
        <v>239</v>
      </c>
      <c r="Z45" s="70" t="s">
        <v>11235</v>
      </c>
      <c r="AA45" s="70" t="s">
        <v>11236</v>
      </c>
      <c r="AB45" s="70" t="s">
        <v>29431</v>
      </c>
      <c r="AC45" s="75" t="s">
        <v>11238</v>
      </c>
      <c r="AD45" s="70" t="s">
        <v>11239</v>
      </c>
      <c r="AF45" s="70">
        <v>5.0</v>
      </c>
      <c r="AH45" s="70">
        <v>16.0</v>
      </c>
      <c r="AI45" s="70" t="s">
        <v>239</v>
      </c>
      <c r="AZ45" s="70" t="s">
        <v>11240</v>
      </c>
      <c r="BA45" s="70" t="s">
        <v>22</v>
      </c>
      <c r="BB45" s="70">
        <v>46.0</v>
      </c>
      <c r="BC45" s="70">
        <v>0.0</v>
      </c>
    </row>
    <row r="46" ht="22.5" customHeight="1">
      <c r="A46" s="86" t="str">
        <f t="shared" si="1"/>
        <v>Included</v>
      </c>
      <c r="B46" s="87">
        <f t="shared" si="2"/>
        <v>3</v>
      </c>
      <c r="C46" s="70">
        <v>1.0</v>
      </c>
      <c r="D46" s="70" t="s">
        <v>32</v>
      </c>
      <c r="E46" s="70">
        <f>IFERROR(__xludf.DUMMYFUNCTION("if(REGEXMATCH(I46,""INCLUDE""),1,0)"),1.0)</f>
        <v>1</v>
      </c>
      <c r="F46" s="70" t="str">
        <f>IFERROR(__xludf.DUMMYFUNCTION("index(SPLIT(I46, "" - ""),0,2)"),"IC5")</f>
        <v>IC5</v>
      </c>
      <c r="G46" s="70">
        <f>IFERROR(__xludf.DUMMYFUNCTION("if(REGEXMATCH(J46,""INCLUDE""),1,0)"),1.0)</f>
        <v>1</v>
      </c>
      <c r="H46" s="70" t="str">
        <f>IFERROR(__xludf.DUMMYFUNCTION("index(SPLIT(J46, "" - ""),0,2)"),"IC5")</f>
        <v>IC5</v>
      </c>
      <c r="I46" s="88" t="s">
        <v>31520</v>
      </c>
      <c r="J46" s="70" t="s">
        <v>31520</v>
      </c>
      <c r="K46" s="70">
        <v>64.0</v>
      </c>
      <c r="L46" s="70" t="s">
        <v>25948</v>
      </c>
      <c r="M46" s="70" t="s">
        <v>25946</v>
      </c>
      <c r="N46" s="70" t="s">
        <v>25947</v>
      </c>
      <c r="Z46" s="70" t="s">
        <v>29383</v>
      </c>
      <c r="AD46" s="70" t="s">
        <v>25950</v>
      </c>
      <c r="AL46" s="70" t="s">
        <v>25951</v>
      </c>
      <c r="AM46" s="70" t="s">
        <v>25952</v>
      </c>
      <c r="AN46" s="70">
        <v>2023.0</v>
      </c>
      <c r="AO46" s="70" t="s">
        <v>25953</v>
      </c>
      <c r="AQ46" s="70">
        <v>505.0</v>
      </c>
      <c r="AR46" s="70">
        <v>515.0</v>
      </c>
      <c r="AS46" s="70">
        <v>10.0</v>
      </c>
      <c r="AT46" s="70">
        <v>3.0</v>
      </c>
      <c r="AU46" s="75" t="s">
        <v>25954</v>
      </c>
      <c r="AV46" s="70" t="s">
        <v>22525</v>
      </c>
      <c r="AW46" s="70" t="s">
        <v>22816</v>
      </c>
      <c r="AX46" s="70" t="s">
        <v>237</v>
      </c>
      <c r="AY46" s="70" t="s">
        <v>25955</v>
      </c>
      <c r="AZ46" s="70" t="s">
        <v>25956</v>
      </c>
      <c r="BA46" s="70" t="s">
        <v>22</v>
      </c>
      <c r="BB46" s="70">
        <v>47.0</v>
      </c>
      <c r="BC46" s="70">
        <v>0.0</v>
      </c>
    </row>
    <row r="47" ht="22.5" customHeight="1">
      <c r="A47" s="86" t="str">
        <f t="shared" si="1"/>
        <v>Included</v>
      </c>
      <c r="B47" s="87">
        <f t="shared" si="2"/>
        <v>3</v>
      </c>
      <c r="C47" s="70">
        <v>1.0</v>
      </c>
      <c r="D47" s="70" t="s">
        <v>32</v>
      </c>
      <c r="E47" s="70">
        <f>IFERROR(__xludf.DUMMYFUNCTION("if(REGEXMATCH(I47,""INCLUDE""),1,0)"),1.0)</f>
        <v>1</v>
      </c>
      <c r="F47" s="70" t="str">
        <f>IFERROR(__xludf.DUMMYFUNCTION("index(SPLIT(I47, "" - ""),0,2)"),"IC5")</f>
        <v>IC5</v>
      </c>
      <c r="G47" s="70">
        <f>IFERROR(__xludf.DUMMYFUNCTION("if(REGEXMATCH(J47,""INCLUDE""),1,0)"),1.0)</f>
        <v>1</v>
      </c>
      <c r="H47" s="70" t="str">
        <f>IFERROR(__xludf.DUMMYFUNCTION("index(SPLIT(J47, "" - ""),0,2)"),"IC5")</f>
        <v>IC5</v>
      </c>
      <c r="I47" s="88" t="s">
        <v>31520</v>
      </c>
      <c r="J47" s="70" t="s">
        <v>31520</v>
      </c>
      <c r="K47" s="70">
        <v>104.0</v>
      </c>
      <c r="L47" s="70" t="s">
        <v>28712</v>
      </c>
      <c r="M47" s="70" t="s">
        <v>28710</v>
      </c>
      <c r="N47" s="70" t="s">
        <v>28711</v>
      </c>
      <c r="Z47" s="70" t="s">
        <v>29409</v>
      </c>
      <c r="AD47" s="70" t="s">
        <v>28714</v>
      </c>
      <c r="AL47" s="70" t="s">
        <v>28715</v>
      </c>
      <c r="AM47" s="70" t="s">
        <v>28716</v>
      </c>
      <c r="AN47" s="70">
        <v>2019.0</v>
      </c>
      <c r="AO47" s="70" t="s">
        <v>28717</v>
      </c>
      <c r="AP47" s="70">
        <v>8939237.0</v>
      </c>
      <c r="AQ47" s="70">
        <v>79.0</v>
      </c>
      <c r="AR47" s="70">
        <v>86.0</v>
      </c>
      <c r="AS47" s="70">
        <v>7.0</v>
      </c>
      <c r="AT47" s="70">
        <v>5.0</v>
      </c>
      <c r="AU47" s="75" t="s">
        <v>28718</v>
      </c>
      <c r="AV47" s="70" t="s">
        <v>22525</v>
      </c>
      <c r="AW47" s="70" t="s">
        <v>22816</v>
      </c>
      <c r="AX47" s="70" t="s">
        <v>237</v>
      </c>
      <c r="AY47" s="70" t="s">
        <v>28719</v>
      </c>
      <c r="AZ47" s="70" t="s">
        <v>28720</v>
      </c>
      <c r="BB47" s="70">
        <v>48.0</v>
      </c>
      <c r="BC47" s="70">
        <v>0.0</v>
      </c>
    </row>
    <row r="48" ht="22.5" customHeight="1">
      <c r="A48" s="86" t="str">
        <f t="shared" si="1"/>
        <v>Included</v>
      </c>
      <c r="B48" s="87">
        <f t="shared" si="2"/>
        <v>3</v>
      </c>
      <c r="C48" s="70">
        <v>1.0</v>
      </c>
      <c r="D48" s="70" t="s">
        <v>28</v>
      </c>
      <c r="E48" s="70">
        <f>IFERROR(__xludf.DUMMYFUNCTION("if(REGEXMATCH(I48,""INCLUDE""),1,0)"),1.0)</f>
        <v>1</v>
      </c>
      <c r="F48" s="70" t="str">
        <f>IFERROR(__xludf.DUMMYFUNCTION("index(SPLIT(I48, "" - ""),0,2)"),"IC5")</f>
        <v>IC5</v>
      </c>
      <c r="G48" s="70">
        <f>IFERROR(__xludf.DUMMYFUNCTION("if(REGEXMATCH(J48,""INCLUDE""),1,0)"),1.0)</f>
        <v>1</v>
      </c>
      <c r="H48" s="70" t="str">
        <f>IFERROR(__xludf.DUMMYFUNCTION("index(SPLIT(J48, "" - ""),0,2)"),"IC5")</f>
        <v>IC5</v>
      </c>
      <c r="I48" s="88" t="s">
        <v>31520</v>
      </c>
      <c r="J48" s="70" t="s">
        <v>31520</v>
      </c>
      <c r="K48" s="70">
        <v>8.0</v>
      </c>
      <c r="L48" s="70" t="s">
        <v>890</v>
      </c>
      <c r="M48" s="70" t="s">
        <v>886</v>
      </c>
      <c r="N48" s="70" t="s">
        <v>887</v>
      </c>
      <c r="O48" s="70" t="s">
        <v>29318</v>
      </c>
      <c r="P48" s="70" t="s">
        <v>889</v>
      </c>
      <c r="R48" s="75" t="s">
        <v>891</v>
      </c>
      <c r="S48" s="70">
        <v>2022.0</v>
      </c>
      <c r="X48" s="70" t="s">
        <v>387</v>
      </c>
      <c r="Y48" s="70" t="s">
        <v>388</v>
      </c>
      <c r="Z48" s="70" t="s">
        <v>893</v>
      </c>
      <c r="BA48" s="70" t="s">
        <v>24</v>
      </c>
      <c r="BB48" s="70">
        <v>49.0</v>
      </c>
      <c r="BC48" s="70">
        <v>0.0</v>
      </c>
    </row>
    <row r="49" ht="22.5" customHeight="1">
      <c r="A49" s="86" t="str">
        <f t="shared" si="1"/>
        <v>Included</v>
      </c>
      <c r="B49" s="87">
        <f t="shared" si="2"/>
        <v>3</v>
      </c>
      <c r="C49" s="70">
        <v>1.0</v>
      </c>
      <c r="D49" s="70" t="s">
        <v>32</v>
      </c>
      <c r="E49" s="70">
        <f>IFERROR(__xludf.DUMMYFUNCTION("if(REGEXMATCH(I49,""INCLUDE""),1,0)"),1.0)</f>
        <v>1</v>
      </c>
      <c r="F49" s="70" t="str">
        <f>IFERROR(__xludf.DUMMYFUNCTION("index(SPLIT(I49, "" - ""),0,2)"),"IC5")</f>
        <v>IC5</v>
      </c>
      <c r="G49" s="70">
        <f>IFERROR(__xludf.DUMMYFUNCTION("if(REGEXMATCH(J49,""INCLUDE""),1,0)"),1.0)</f>
        <v>1</v>
      </c>
      <c r="H49" s="70" t="str">
        <f>IFERROR(__xludf.DUMMYFUNCTION("index(SPLIT(J49, "" - ""),0,2)"),"IC5")</f>
        <v>IC5</v>
      </c>
      <c r="I49" s="88" t="s">
        <v>31520</v>
      </c>
      <c r="J49" s="70" t="s">
        <v>31520</v>
      </c>
      <c r="K49" s="70">
        <v>106.0</v>
      </c>
      <c r="L49" s="70" t="s">
        <v>12920</v>
      </c>
      <c r="M49" s="70" t="s">
        <v>29411</v>
      </c>
      <c r="N49" s="70" t="s">
        <v>12919</v>
      </c>
      <c r="O49" s="70" t="s">
        <v>11429</v>
      </c>
      <c r="S49" s="77">
        <v>45505.0</v>
      </c>
      <c r="X49" s="70" t="s">
        <v>239</v>
      </c>
      <c r="Z49" s="70" t="s">
        <v>12922</v>
      </c>
      <c r="AA49" s="70" t="s">
        <v>11433</v>
      </c>
      <c r="AC49" s="75" t="s">
        <v>12923</v>
      </c>
      <c r="AH49" s="70">
        <v>102.0</v>
      </c>
      <c r="AI49" s="70" t="s">
        <v>239</v>
      </c>
      <c r="AZ49" s="70" t="s">
        <v>12924</v>
      </c>
      <c r="BA49" s="70" t="s">
        <v>22</v>
      </c>
      <c r="BB49" s="70">
        <v>50.0</v>
      </c>
      <c r="BC49" s="70">
        <v>0.0</v>
      </c>
    </row>
    <row r="50" ht="22.5" customHeight="1">
      <c r="A50" s="86" t="str">
        <f t="shared" si="1"/>
        <v>Included</v>
      </c>
      <c r="B50" s="87">
        <f t="shared" si="2"/>
        <v>3</v>
      </c>
      <c r="C50" s="70">
        <v>1.0</v>
      </c>
      <c r="D50" s="70" t="s">
        <v>32</v>
      </c>
      <c r="E50" s="70">
        <f>IFERROR(__xludf.DUMMYFUNCTION("if(REGEXMATCH(I50,""INCLUDE""),1,0)"),1.0)</f>
        <v>1</v>
      </c>
      <c r="F50" s="70" t="str">
        <f>IFERROR(__xludf.DUMMYFUNCTION("index(SPLIT(I50, "" - ""),0,2)"),"IC5")</f>
        <v>IC5</v>
      </c>
      <c r="G50" s="70">
        <f>IFERROR(__xludf.DUMMYFUNCTION("if(REGEXMATCH(J50,""INCLUDE""),1,0)"),1.0)</f>
        <v>1</v>
      </c>
      <c r="H50" s="70" t="str">
        <f>IFERROR(__xludf.DUMMYFUNCTION("index(SPLIT(J50, "" - ""),0,2)"),"IC5")</f>
        <v>IC5</v>
      </c>
      <c r="I50" s="88" t="s">
        <v>31520</v>
      </c>
      <c r="J50" s="70" t="s">
        <v>31520</v>
      </c>
      <c r="K50" s="70">
        <v>98.0</v>
      </c>
      <c r="L50" s="70" t="s">
        <v>15741</v>
      </c>
      <c r="M50" s="70" t="s">
        <v>15739</v>
      </c>
      <c r="N50" s="70" t="s">
        <v>15740</v>
      </c>
      <c r="O50" s="70" t="s">
        <v>14183</v>
      </c>
      <c r="Q50" s="70" t="s">
        <v>11472</v>
      </c>
      <c r="S50" s="76">
        <v>45580.0</v>
      </c>
      <c r="X50" s="70" t="s">
        <v>239</v>
      </c>
      <c r="Z50" s="70" t="s">
        <v>15743</v>
      </c>
      <c r="AA50" s="70" t="s">
        <v>14187</v>
      </c>
      <c r="AC50" s="75" t="s">
        <v>15744</v>
      </c>
      <c r="AD50" s="70" t="s">
        <v>15745</v>
      </c>
      <c r="AH50" s="70">
        <v>42.0</v>
      </c>
      <c r="AI50" s="70" t="s">
        <v>239</v>
      </c>
      <c r="AZ50" s="70" t="s">
        <v>15746</v>
      </c>
      <c r="BB50" s="70">
        <v>51.0</v>
      </c>
      <c r="BC50" s="70">
        <v>0.0</v>
      </c>
    </row>
    <row r="51" ht="22.5" customHeight="1">
      <c r="A51" s="86" t="str">
        <f t="shared" si="1"/>
        <v>Included</v>
      </c>
      <c r="B51" s="87">
        <f t="shared" si="2"/>
        <v>3</v>
      </c>
      <c r="C51" s="70">
        <v>1.0</v>
      </c>
      <c r="D51" s="70" t="s">
        <v>32</v>
      </c>
      <c r="E51" s="70">
        <f>IFERROR(__xludf.DUMMYFUNCTION("if(REGEXMATCH(I51,""INCLUDE""),1,0)"),1.0)</f>
        <v>1</v>
      </c>
      <c r="F51" s="70" t="str">
        <f>IFERROR(__xludf.DUMMYFUNCTION("index(SPLIT(I51, "" - ""),0,2)"),"IC6")</f>
        <v>IC6</v>
      </c>
      <c r="G51" s="70">
        <f>IFERROR(__xludf.DUMMYFUNCTION("if(REGEXMATCH(J51,""INCLUDE""),1,0)"),1.0)</f>
        <v>1</v>
      </c>
      <c r="H51" s="70" t="str">
        <f>IFERROR(__xludf.DUMMYFUNCTION("index(SPLIT(J51, "" - ""),0,2)"),"IC6")</f>
        <v>IC6</v>
      </c>
      <c r="I51" s="88" t="s">
        <v>31521</v>
      </c>
      <c r="J51" s="70" t="s">
        <v>31521</v>
      </c>
      <c r="K51" s="70">
        <v>169.0</v>
      </c>
      <c r="L51" s="70" t="s">
        <v>1974</v>
      </c>
      <c r="M51" s="70" t="s">
        <v>1970</v>
      </c>
      <c r="N51" s="70" t="s">
        <v>1971</v>
      </c>
      <c r="O51" s="70" t="s">
        <v>1972</v>
      </c>
      <c r="P51" s="70" t="s">
        <v>1973</v>
      </c>
      <c r="R51" s="75" t="s">
        <v>1975</v>
      </c>
      <c r="S51" s="70">
        <v>2021.0</v>
      </c>
      <c r="T51" s="70" t="s">
        <v>1977</v>
      </c>
      <c r="X51" s="70" t="s">
        <v>401</v>
      </c>
      <c r="Y51" s="70" t="s">
        <v>402</v>
      </c>
      <c r="Z51" s="70" t="s">
        <v>1979</v>
      </c>
      <c r="AZ51" s="70" t="s">
        <v>1280</v>
      </c>
      <c r="BA51" s="70" t="s">
        <v>22</v>
      </c>
      <c r="BB51" s="70">
        <v>52.0</v>
      </c>
      <c r="BC51" s="70">
        <v>0.0</v>
      </c>
    </row>
    <row r="52" ht="22.5" customHeight="1">
      <c r="A52" s="86" t="str">
        <f t="shared" si="1"/>
        <v>Included</v>
      </c>
      <c r="B52" s="87">
        <f t="shared" si="2"/>
        <v>3</v>
      </c>
      <c r="C52" s="70">
        <v>1.0</v>
      </c>
      <c r="D52" s="70" t="s">
        <v>32</v>
      </c>
      <c r="E52" s="70">
        <f>IFERROR(__xludf.DUMMYFUNCTION("if(REGEXMATCH(I52,""INCLUDE""),1,0)"),1.0)</f>
        <v>1</v>
      </c>
      <c r="F52" s="70" t="str">
        <f>IFERROR(__xludf.DUMMYFUNCTION("index(SPLIT(I52, "" - ""),0,2)"),"IC5")</f>
        <v>IC5</v>
      </c>
      <c r="G52" s="70">
        <f>IFERROR(__xludf.DUMMYFUNCTION("if(REGEXMATCH(J52,""INCLUDE""),1,0)"),1.0)</f>
        <v>1</v>
      </c>
      <c r="H52" s="70" t="str">
        <f>IFERROR(__xludf.DUMMYFUNCTION("index(SPLIT(J52, "" - ""),0,2)"),"IC5")</f>
        <v>IC5</v>
      </c>
      <c r="I52" s="88" t="s">
        <v>31520</v>
      </c>
      <c r="J52" s="70" t="s">
        <v>31520</v>
      </c>
      <c r="K52" s="70">
        <v>30.0</v>
      </c>
      <c r="L52" s="70" t="s">
        <v>22604</v>
      </c>
      <c r="M52" s="70" t="s">
        <v>22602</v>
      </c>
      <c r="N52" s="70" t="s">
        <v>22603</v>
      </c>
      <c r="Z52" s="70" t="s">
        <v>29352</v>
      </c>
      <c r="AD52" s="70" t="s">
        <v>22606</v>
      </c>
      <c r="AL52" s="70" t="s">
        <v>22607</v>
      </c>
      <c r="AM52" s="70" t="s">
        <v>22608</v>
      </c>
      <c r="AN52" s="70">
        <v>2025.0</v>
      </c>
      <c r="AO52" s="70" t="s">
        <v>22609</v>
      </c>
      <c r="AP52" s="70">
        <v>104037.0</v>
      </c>
      <c r="AT52" s="70">
        <v>2.0</v>
      </c>
      <c r="AU52" s="75" t="s">
        <v>22610</v>
      </c>
      <c r="AV52" s="70" t="s">
        <v>22525</v>
      </c>
      <c r="AX52" s="70" t="s">
        <v>237</v>
      </c>
      <c r="AY52" s="70" t="s">
        <v>22611</v>
      </c>
      <c r="AZ52" s="70" t="s">
        <v>22612</v>
      </c>
      <c r="BA52" s="70" t="s">
        <v>22</v>
      </c>
      <c r="BB52" s="70">
        <v>53.0</v>
      </c>
      <c r="BC52" s="70">
        <v>0.0</v>
      </c>
    </row>
    <row r="53" ht="22.5" customHeight="1">
      <c r="A53" s="86" t="str">
        <f t="shared" si="1"/>
        <v>Included</v>
      </c>
      <c r="B53" s="87">
        <f t="shared" si="2"/>
        <v>3</v>
      </c>
      <c r="C53" s="70">
        <v>1.0</v>
      </c>
      <c r="D53" s="70" t="s">
        <v>32</v>
      </c>
      <c r="E53" s="70">
        <f>IFERROR(__xludf.DUMMYFUNCTION("if(REGEXMATCH(I53,""INCLUDE""),1,0)"),1.0)</f>
        <v>1</v>
      </c>
      <c r="F53" s="70" t="str">
        <f>IFERROR(__xludf.DUMMYFUNCTION("index(SPLIT(I53, "" - ""),0,2)"),"IC6")</f>
        <v>IC6</v>
      </c>
      <c r="G53" s="70">
        <f>IFERROR(__xludf.DUMMYFUNCTION("if(REGEXMATCH(J53,""INCLUDE""),1,0)"),1.0)</f>
        <v>1</v>
      </c>
      <c r="H53" s="70" t="str">
        <f>IFERROR(__xludf.DUMMYFUNCTION("index(SPLIT(J53, "" - ""),0,2)"),"IC6")</f>
        <v>IC6</v>
      </c>
      <c r="I53" s="88" t="s">
        <v>31521</v>
      </c>
      <c r="J53" s="70" t="s">
        <v>31521</v>
      </c>
      <c r="K53" s="70">
        <v>51.0</v>
      </c>
      <c r="L53" s="70" t="s">
        <v>22060</v>
      </c>
      <c r="M53" s="70" t="s">
        <v>22058</v>
      </c>
      <c r="N53" s="70" t="s">
        <v>22059</v>
      </c>
      <c r="O53" s="70" t="s">
        <v>16436</v>
      </c>
      <c r="Q53" s="70" t="s">
        <v>16437</v>
      </c>
      <c r="S53" s="76">
        <v>45553.0</v>
      </c>
      <c r="X53" s="70" t="s">
        <v>239</v>
      </c>
      <c r="Z53" s="70" t="s">
        <v>22062</v>
      </c>
      <c r="AB53" s="70" t="s">
        <v>22063</v>
      </c>
      <c r="AC53" s="75" t="s">
        <v>22064</v>
      </c>
      <c r="AD53" s="70" t="s">
        <v>22065</v>
      </c>
      <c r="AH53" s="70">
        <v>32.0</v>
      </c>
      <c r="AI53" s="70" t="s">
        <v>16727</v>
      </c>
      <c r="AZ53" s="70" t="s">
        <v>22066</v>
      </c>
      <c r="BA53" s="70" t="s">
        <v>22</v>
      </c>
      <c r="BB53" s="70">
        <v>54.0</v>
      </c>
      <c r="BC53" s="70">
        <v>0.0</v>
      </c>
    </row>
    <row r="54" ht="22.5" customHeight="1">
      <c r="A54" s="86" t="str">
        <f t="shared" si="1"/>
        <v>Included</v>
      </c>
      <c r="B54" s="87">
        <f t="shared" si="2"/>
        <v>3</v>
      </c>
      <c r="C54" s="70">
        <v>1.0</v>
      </c>
      <c r="D54" s="70" t="s">
        <v>32</v>
      </c>
      <c r="E54" s="70">
        <f>IFERROR(__xludf.DUMMYFUNCTION("if(REGEXMATCH(I54,""INCLUDE""),1,0)"),1.0)</f>
        <v>1</v>
      </c>
      <c r="F54" s="70" t="str">
        <f>IFERROR(__xludf.DUMMYFUNCTION("index(SPLIT(I54, "" - ""),0,2)"),"IC5")</f>
        <v>IC5</v>
      </c>
      <c r="G54" s="70">
        <f>IFERROR(__xludf.DUMMYFUNCTION("if(REGEXMATCH(J54,""INCLUDE""),1,0)"),1.0)</f>
        <v>1</v>
      </c>
      <c r="H54" s="70" t="str">
        <f>IFERROR(__xludf.DUMMYFUNCTION("index(SPLIT(J54, "" - ""),0,2)"),"IC5")</f>
        <v>IC5</v>
      </c>
      <c r="I54" s="88" t="s">
        <v>31520</v>
      </c>
      <c r="J54" s="70" t="s">
        <v>31520</v>
      </c>
      <c r="K54" s="70">
        <v>155.0</v>
      </c>
      <c r="L54" s="70" t="s">
        <v>6064</v>
      </c>
      <c r="M54" s="70" t="s">
        <v>6060</v>
      </c>
      <c r="N54" s="70" t="s">
        <v>6061</v>
      </c>
      <c r="O54" s="70" t="s">
        <v>6062</v>
      </c>
      <c r="Q54" s="70" t="s">
        <v>6063</v>
      </c>
      <c r="S54" s="77">
        <v>44228.0</v>
      </c>
      <c r="X54" s="70" t="s">
        <v>239</v>
      </c>
      <c r="Z54" s="70" t="s">
        <v>29447</v>
      </c>
      <c r="AA54" s="70" t="s">
        <v>6067</v>
      </c>
      <c r="AC54" s="75" t="s">
        <v>6068</v>
      </c>
      <c r="AD54" s="70" t="s">
        <v>6069</v>
      </c>
      <c r="AF54" s="70">
        <v>8.0</v>
      </c>
      <c r="AH54" s="70">
        <v>29.0</v>
      </c>
      <c r="AI54" s="70" t="s">
        <v>239</v>
      </c>
      <c r="AZ54" s="70" t="s">
        <v>6070</v>
      </c>
      <c r="BA54" s="70" t="s">
        <v>22</v>
      </c>
      <c r="BB54" s="70">
        <v>55.0</v>
      </c>
      <c r="BC54" s="70">
        <v>0.0</v>
      </c>
    </row>
    <row r="55" ht="22.5" customHeight="1">
      <c r="A55" s="86" t="str">
        <f t="shared" si="1"/>
        <v>Included</v>
      </c>
      <c r="B55" s="87">
        <f t="shared" si="2"/>
        <v>3</v>
      </c>
      <c r="C55" s="70">
        <v>1.0</v>
      </c>
      <c r="D55" s="70" t="s">
        <v>32</v>
      </c>
      <c r="E55" s="70">
        <f>IFERROR(__xludf.DUMMYFUNCTION("if(REGEXMATCH(I55,""INCLUDE""),1,0)"),1.0)</f>
        <v>1</v>
      </c>
      <c r="F55" s="70" t="str">
        <f>IFERROR(__xludf.DUMMYFUNCTION("index(SPLIT(I55, "" - ""),0,2)"),"IC6")</f>
        <v>IC6</v>
      </c>
      <c r="G55" s="70">
        <f>IFERROR(__xludf.DUMMYFUNCTION("if(REGEXMATCH(J55,""INCLUDE""),1,0)"),1.0)</f>
        <v>1</v>
      </c>
      <c r="H55" s="70" t="str">
        <f>IFERROR(__xludf.DUMMYFUNCTION("index(SPLIT(J55, "" - ""),0,2)"),"IC6")</f>
        <v>IC6</v>
      </c>
      <c r="I55" s="88" t="s">
        <v>31521</v>
      </c>
      <c r="J55" s="70" t="s">
        <v>31521</v>
      </c>
      <c r="K55" s="70">
        <v>100.0</v>
      </c>
      <c r="L55" s="70" t="s">
        <v>9163</v>
      </c>
      <c r="M55" s="70" t="s">
        <v>9159</v>
      </c>
      <c r="N55" s="70" t="s">
        <v>9160</v>
      </c>
      <c r="O55" s="70" t="s">
        <v>9161</v>
      </c>
      <c r="Q55" s="70" t="s">
        <v>9162</v>
      </c>
      <c r="S55" s="76">
        <v>44757.0</v>
      </c>
      <c r="X55" s="70" t="s">
        <v>239</v>
      </c>
      <c r="Z55" s="70" t="s">
        <v>29406</v>
      </c>
      <c r="AA55" s="70" t="s">
        <v>9166</v>
      </c>
      <c r="AC55" s="75" t="s">
        <v>9167</v>
      </c>
      <c r="AD55" s="70" t="s">
        <v>6069</v>
      </c>
      <c r="AF55" s="70">
        <v>1.0</v>
      </c>
      <c r="AH55" s="70">
        <v>10.0</v>
      </c>
      <c r="AI55" s="70" t="s">
        <v>239</v>
      </c>
      <c r="AZ55" s="70" t="s">
        <v>9168</v>
      </c>
      <c r="BA55" s="70" t="s">
        <v>22</v>
      </c>
      <c r="BB55" s="70">
        <v>56.0</v>
      </c>
      <c r="BC55" s="70">
        <v>0.0</v>
      </c>
    </row>
    <row r="56" ht="22.5" customHeight="1">
      <c r="A56" s="86" t="str">
        <f t="shared" si="1"/>
        <v>Included</v>
      </c>
      <c r="B56" s="87">
        <f t="shared" si="2"/>
        <v>3</v>
      </c>
      <c r="C56" s="70">
        <v>1.0</v>
      </c>
      <c r="D56" s="70" t="s">
        <v>32</v>
      </c>
      <c r="E56" s="70">
        <f>IFERROR(__xludf.DUMMYFUNCTION("if(REGEXMATCH(I56,""INCLUDE""),1,0)"),1.0)</f>
        <v>1</v>
      </c>
      <c r="F56" s="70" t="str">
        <f>IFERROR(__xludf.DUMMYFUNCTION("index(SPLIT(I56, "" - ""),0,2)"),"IC5")</f>
        <v>IC5</v>
      </c>
      <c r="G56" s="70">
        <f>IFERROR(__xludf.DUMMYFUNCTION("if(REGEXMATCH(J56,""INCLUDE""),1,0)"),1.0)</f>
        <v>1</v>
      </c>
      <c r="H56" s="70" t="str">
        <f>IFERROR(__xludf.DUMMYFUNCTION("index(SPLIT(J56, "" - ""),0,2)"),"IC5")</f>
        <v>IC5</v>
      </c>
      <c r="I56" s="88" t="s">
        <v>31520</v>
      </c>
      <c r="J56" s="70" t="s">
        <v>31520</v>
      </c>
      <c r="K56" s="70">
        <v>164.0</v>
      </c>
      <c r="L56" s="70" t="s">
        <v>909</v>
      </c>
      <c r="M56" s="70" t="s">
        <v>905</v>
      </c>
      <c r="N56" s="70" t="s">
        <v>906</v>
      </c>
      <c r="O56" s="70" t="s">
        <v>907</v>
      </c>
      <c r="P56" s="70" t="s">
        <v>908</v>
      </c>
      <c r="R56" s="75" t="s">
        <v>910</v>
      </c>
      <c r="S56" s="70">
        <v>2019.0</v>
      </c>
      <c r="T56" s="70" t="s">
        <v>912</v>
      </c>
      <c r="X56" s="70" t="s">
        <v>401</v>
      </c>
      <c r="Y56" s="70" t="s">
        <v>402</v>
      </c>
      <c r="Z56" s="70" t="s">
        <v>29456</v>
      </c>
      <c r="AZ56" s="70" t="s">
        <v>915</v>
      </c>
      <c r="BA56" s="70" t="s">
        <v>22</v>
      </c>
      <c r="BB56" s="70">
        <v>57.0</v>
      </c>
      <c r="BC56" s="70">
        <v>0.0</v>
      </c>
    </row>
    <row r="57" ht="22.5" customHeight="1">
      <c r="A57" s="86" t="str">
        <f t="shared" si="1"/>
        <v>Included</v>
      </c>
      <c r="B57" s="87">
        <f t="shared" si="2"/>
        <v>3</v>
      </c>
      <c r="C57" s="70">
        <v>1.0</v>
      </c>
      <c r="D57" s="70" t="s">
        <v>28</v>
      </c>
      <c r="E57" s="70">
        <f>IFERROR(__xludf.DUMMYFUNCTION("if(REGEXMATCH(I57,""INCLUDE""),1,0)"),1.0)</f>
        <v>1</v>
      </c>
      <c r="F57" s="70" t="str">
        <f>IFERROR(__xludf.DUMMYFUNCTION("index(SPLIT(I57, "" - ""),0,2)"),"IC5")</f>
        <v>IC5</v>
      </c>
      <c r="G57" s="70">
        <f>IFERROR(__xludf.DUMMYFUNCTION("if(REGEXMATCH(J57,""INCLUDE""),1,0)"),1.0)</f>
        <v>1</v>
      </c>
      <c r="H57" s="70" t="str">
        <f>IFERROR(__xludf.DUMMYFUNCTION("index(SPLIT(J57, "" - ""),0,2)"),"IC5")</f>
        <v>IC5</v>
      </c>
      <c r="I57" s="88" t="s">
        <v>31520</v>
      </c>
      <c r="J57" s="70" t="s">
        <v>31520</v>
      </c>
      <c r="K57" s="70">
        <v>47.0</v>
      </c>
      <c r="L57" s="70" t="s">
        <v>21455</v>
      </c>
      <c r="M57" s="70" t="s">
        <v>29371</v>
      </c>
      <c r="N57" s="70" t="s">
        <v>21454</v>
      </c>
      <c r="O57" s="70" t="s">
        <v>16436</v>
      </c>
      <c r="Q57" s="70" t="s">
        <v>16437</v>
      </c>
      <c r="S57" s="77">
        <v>45267.0</v>
      </c>
      <c r="X57" s="70" t="s">
        <v>239</v>
      </c>
      <c r="Z57" s="70" t="s">
        <v>29372</v>
      </c>
      <c r="AB57" s="70" t="s">
        <v>21296</v>
      </c>
      <c r="AC57" s="75" t="s">
        <v>21458</v>
      </c>
      <c r="AD57" s="70" t="s">
        <v>21459</v>
      </c>
      <c r="AF57" s="70">
        <v>1.0</v>
      </c>
      <c r="AH57" s="70">
        <v>47.0</v>
      </c>
      <c r="AI57" s="70" t="s">
        <v>16727</v>
      </c>
      <c r="AZ57" s="70" t="s">
        <v>21460</v>
      </c>
      <c r="BA57" s="70" t="s">
        <v>22</v>
      </c>
      <c r="BB57" s="70">
        <v>58.0</v>
      </c>
      <c r="BC57" s="70">
        <v>0.0</v>
      </c>
    </row>
    <row r="58" ht="22.5" customHeight="1">
      <c r="A58" s="86" t="str">
        <f t="shared" si="1"/>
        <v>Included</v>
      </c>
      <c r="B58" s="87">
        <f t="shared" si="2"/>
        <v>3</v>
      </c>
      <c r="C58" s="70">
        <v>1.0</v>
      </c>
      <c r="D58" s="70" t="s">
        <v>28</v>
      </c>
      <c r="E58" s="70">
        <f>IFERROR(__xludf.DUMMYFUNCTION("if(REGEXMATCH(I58,""INCLUDE""),1,0)"),1.0)</f>
        <v>1</v>
      </c>
      <c r="F58" s="70" t="str">
        <f>IFERROR(__xludf.DUMMYFUNCTION("index(SPLIT(I58, "" - ""),0,2)"),"IC5")</f>
        <v>IC5</v>
      </c>
      <c r="G58" s="70">
        <f>IFERROR(__xludf.DUMMYFUNCTION("if(REGEXMATCH(J58,""INCLUDE""),1,0)"),1.0)</f>
        <v>1</v>
      </c>
      <c r="H58" s="70" t="str">
        <f>IFERROR(__xludf.DUMMYFUNCTION("index(SPLIT(J58, "" - ""),0,2)"),"IC5")</f>
        <v>IC5</v>
      </c>
      <c r="I58" s="88" t="s">
        <v>31520</v>
      </c>
      <c r="J58" s="70" t="s">
        <v>31520</v>
      </c>
      <c r="K58" s="70">
        <v>12.0</v>
      </c>
      <c r="L58" s="70" t="s">
        <v>28933</v>
      </c>
      <c r="M58" s="70" t="s">
        <v>28931</v>
      </c>
      <c r="N58" s="70" t="s">
        <v>28932</v>
      </c>
      <c r="Z58" s="70" t="s">
        <v>29325</v>
      </c>
      <c r="AD58" s="70" t="s">
        <v>28935</v>
      </c>
      <c r="AL58" s="70" t="s">
        <v>28936</v>
      </c>
      <c r="AM58" s="70" t="s">
        <v>28937</v>
      </c>
      <c r="AN58" s="70">
        <v>2017.0</v>
      </c>
      <c r="AO58" s="70" t="s">
        <v>24360</v>
      </c>
      <c r="AQ58" s="70">
        <v>230.0</v>
      </c>
      <c r="AR58" s="70">
        <v>250.0</v>
      </c>
      <c r="AS58" s="70">
        <v>20.0</v>
      </c>
      <c r="AT58" s="70">
        <v>0.0</v>
      </c>
      <c r="AU58" s="75" t="s">
        <v>28938</v>
      </c>
      <c r="AV58" s="70" t="s">
        <v>22525</v>
      </c>
      <c r="AX58" s="70" t="s">
        <v>237</v>
      </c>
      <c r="AY58" s="70" t="s">
        <v>28939</v>
      </c>
      <c r="AZ58" s="70" t="s">
        <v>28940</v>
      </c>
      <c r="BA58" s="70" t="s">
        <v>18</v>
      </c>
      <c r="BB58" s="70">
        <v>59.0</v>
      </c>
      <c r="BC58" s="70">
        <v>0.0</v>
      </c>
    </row>
    <row r="59" ht="22.5" customHeight="1">
      <c r="A59" s="86" t="str">
        <f t="shared" si="1"/>
        <v>Included</v>
      </c>
      <c r="B59" s="87">
        <f t="shared" si="2"/>
        <v>3</v>
      </c>
      <c r="C59" s="70">
        <v>1.0</v>
      </c>
      <c r="D59" s="70" t="s">
        <v>32</v>
      </c>
      <c r="E59" s="70">
        <f>IFERROR(__xludf.DUMMYFUNCTION("if(REGEXMATCH(I59,""INCLUDE""),1,0)"),1.0)</f>
        <v>1</v>
      </c>
      <c r="F59" s="70" t="str">
        <f>IFERROR(__xludf.DUMMYFUNCTION("index(SPLIT(I59, "" - ""),0,2)"),"IC5")</f>
        <v>IC5</v>
      </c>
      <c r="G59" s="70">
        <f>IFERROR(__xludf.DUMMYFUNCTION("if(REGEXMATCH(J59,""INCLUDE""),1,0)"),1.0)</f>
        <v>1</v>
      </c>
      <c r="H59" s="70" t="str">
        <f>IFERROR(__xludf.DUMMYFUNCTION("index(SPLIT(J59, "" - ""),0,2)"),"IC6")</f>
        <v>IC6</v>
      </c>
      <c r="I59" s="88" t="s">
        <v>31520</v>
      </c>
      <c r="J59" s="70" t="s">
        <v>31521</v>
      </c>
      <c r="K59" s="70">
        <v>132.0</v>
      </c>
      <c r="L59" s="70" t="s">
        <v>13872</v>
      </c>
      <c r="M59" s="70" t="s">
        <v>29429</v>
      </c>
      <c r="N59" s="70" t="s">
        <v>13871</v>
      </c>
      <c r="O59" s="70" t="s">
        <v>13201</v>
      </c>
      <c r="Q59" s="70" t="s">
        <v>13202</v>
      </c>
      <c r="S59" s="77">
        <v>45629.0</v>
      </c>
      <c r="X59" s="70" t="s">
        <v>239</v>
      </c>
      <c r="Z59" s="70" t="s">
        <v>13874</v>
      </c>
      <c r="AA59" s="70" t="s">
        <v>13206</v>
      </c>
      <c r="AB59" s="70" t="s">
        <v>13875</v>
      </c>
      <c r="AC59" s="75" t="s">
        <v>13876</v>
      </c>
      <c r="AD59" s="70" t="s">
        <v>13877</v>
      </c>
      <c r="AH59" s="70">
        <v>91.0</v>
      </c>
      <c r="AI59" s="70" t="s">
        <v>239</v>
      </c>
      <c r="AZ59" s="70" t="s">
        <v>13878</v>
      </c>
      <c r="BA59" s="70" t="s">
        <v>24</v>
      </c>
      <c r="BB59" s="70">
        <v>60.0</v>
      </c>
      <c r="BC59" s="70">
        <v>0.0</v>
      </c>
    </row>
    <row r="60" ht="22.5" customHeight="1">
      <c r="A60" s="86" t="str">
        <f t="shared" si="1"/>
        <v>Included</v>
      </c>
      <c r="B60" s="87">
        <f t="shared" si="2"/>
        <v>3</v>
      </c>
      <c r="C60" s="70">
        <v>1.0</v>
      </c>
      <c r="D60" s="70" t="s">
        <v>32</v>
      </c>
      <c r="E60" s="70">
        <f>IFERROR(__xludf.DUMMYFUNCTION("if(REGEXMATCH(I60,""INCLUDE""),1,0)"),1.0)</f>
        <v>1</v>
      </c>
      <c r="F60" s="70" t="str">
        <f>IFERROR(__xludf.DUMMYFUNCTION("index(SPLIT(I60, "" - ""),0,2)"),"IC5")</f>
        <v>IC5</v>
      </c>
      <c r="G60" s="70">
        <f>IFERROR(__xludf.DUMMYFUNCTION("if(REGEXMATCH(J60,""INCLUDE""),1,0)"),1.0)</f>
        <v>1</v>
      </c>
      <c r="H60" s="70" t="str">
        <f>IFERROR(__xludf.DUMMYFUNCTION("index(SPLIT(J60, "" - ""),0,2)"),"IC5")</f>
        <v>IC5</v>
      </c>
      <c r="I60" s="88" t="s">
        <v>31520</v>
      </c>
      <c r="J60" s="70" t="s">
        <v>31520</v>
      </c>
      <c r="K60" s="70">
        <v>195.0</v>
      </c>
      <c r="L60" s="70" t="s">
        <v>23869</v>
      </c>
      <c r="M60" s="70" t="s">
        <v>29482</v>
      </c>
      <c r="N60" s="70" t="s">
        <v>23868</v>
      </c>
      <c r="Z60" s="70" t="s">
        <v>29483</v>
      </c>
      <c r="AD60" s="70" t="s">
        <v>23871</v>
      </c>
      <c r="AL60" s="70" t="s">
        <v>29484</v>
      </c>
      <c r="AM60" s="70" t="s">
        <v>23873</v>
      </c>
      <c r="AN60" s="70">
        <v>2024.0</v>
      </c>
      <c r="AO60" s="70" t="s">
        <v>23874</v>
      </c>
      <c r="AQ60" s="70">
        <v>1089.0</v>
      </c>
      <c r="AR60" s="70">
        <v>1098.0</v>
      </c>
      <c r="AS60" s="70">
        <v>9.0</v>
      </c>
      <c r="AT60" s="70">
        <v>0.0</v>
      </c>
      <c r="AU60" s="75" t="s">
        <v>23875</v>
      </c>
      <c r="AV60" s="70" t="s">
        <v>22525</v>
      </c>
      <c r="AW60" s="70" t="s">
        <v>22622</v>
      </c>
      <c r="AX60" s="70" t="s">
        <v>237</v>
      </c>
      <c r="AY60" s="70" t="s">
        <v>23876</v>
      </c>
      <c r="AZ60" s="70" t="s">
        <v>23877</v>
      </c>
      <c r="BA60" s="70" t="s">
        <v>22</v>
      </c>
      <c r="BB60" s="70">
        <v>61.0</v>
      </c>
      <c r="BC60" s="70">
        <v>0.0</v>
      </c>
    </row>
    <row r="61" ht="22.5" customHeight="1">
      <c r="A61" s="86" t="str">
        <f t="shared" si="1"/>
        <v>Included</v>
      </c>
      <c r="B61" s="87">
        <f t="shared" si="2"/>
        <v>3</v>
      </c>
      <c r="C61" s="70">
        <v>1.0</v>
      </c>
      <c r="D61" s="70" t="s">
        <v>28</v>
      </c>
      <c r="E61" s="70">
        <f>IFERROR(__xludf.DUMMYFUNCTION("if(REGEXMATCH(I61,""INCLUDE""),1,0)"),1.0)</f>
        <v>1</v>
      </c>
      <c r="F61" s="70" t="str">
        <f>IFERROR(__xludf.DUMMYFUNCTION("index(SPLIT(I61, "" - ""),0,2)"),"IC5")</f>
        <v>IC5</v>
      </c>
      <c r="G61" s="70">
        <f>IFERROR(__xludf.DUMMYFUNCTION("if(REGEXMATCH(J61,""INCLUDE""),1,0)"),1.0)</f>
        <v>1</v>
      </c>
      <c r="H61" s="70" t="str">
        <f>IFERROR(__xludf.DUMMYFUNCTION("index(SPLIT(J61, "" - ""),0,2)"),"IC5")</f>
        <v>IC5</v>
      </c>
      <c r="I61" s="88" t="s">
        <v>31520</v>
      </c>
      <c r="J61" s="70" t="s">
        <v>31520</v>
      </c>
      <c r="K61" s="70">
        <v>154.0</v>
      </c>
      <c r="L61" s="70" t="s">
        <v>5422</v>
      </c>
      <c r="M61" s="70" t="s">
        <v>5419</v>
      </c>
      <c r="N61" s="70" t="s">
        <v>5420</v>
      </c>
      <c r="O61" s="70" t="s">
        <v>5421</v>
      </c>
      <c r="S61" s="76">
        <v>43787.0</v>
      </c>
      <c r="X61" s="70" t="s">
        <v>239</v>
      </c>
      <c r="Z61" s="70" t="s">
        <v>5424</v>
      </c>
      <c r="AA61" s="70" t="s">
        <v>5425</v>
      </c>
      <c r="AC61" s="75" t="s">
        <v>5426</v>
      </c>
      <c r="AD61" s="70" t="s">
        <v>5427</v>
      </c>
      <c r="AF61" s="70">
        <v>12.0</v>
      </c>
      <c r="AH61" s="70">
        <v>13.0</v>
      </c>
      <c r="AI61" s="70" t="s">
        <v>239</v>
      </c>
      <c r="AZ61" s="70" t="s">
        <v>5428</v>
      </c>
      <c r="BA61" s="70" t="s">
        <v>22</v>
      </c>
      <c r="BB61" s="70">
        <v>62.0</v>
      </c>
      <c r="BC61" s="70">
        <v>0.0</v>
      </c>
    </row>
    <row r="62" ht="22.5" customHeight="1">
      <c r="A62" s="86" t="str">
        <f t="shared" si="1"/>
        <v>Included</v>
      </c>
      <c r="B62" s="87">
        <f t="shared" si="2"/>
        <v>3</v>
      </c>
      <c r="C62" s="70">
        <v>1.0</v>
      </c>
      <c r="D62" s="70" t="s">
        <v>32</v>
      </c>
      <c r="E62" s="70">
        <f>IFERROR(__xludf.DUMMYFUNCTION("if(REGEXMATCH(I62,""INCLUDE""),1,0)"),1.0)</f>
        <v>1</v>
      </c>
      <c r="F62" s="70" t="str">
        <f>IFERROR(__xludf.DUMMYFUNCTION("index(SPLIT(I62, "" - ""),0,2)"),"IC5")</f>
        <v>IC5</v>
      </c>
      <c r="G62" s="70">
        <f>IFERROR(__xludf.DUMMYFUNCTION("if(REGEXMATCH(J62,""INCLUDE""),1,0)"),1.0)</f>
        <v>1</v>
      </c>
      <c r="H62" s="70" t="str">
        <f>IFERROR(__xludf.DUMMYFUNCTION("index(SPLIT(J62, "" - ""),0,2)"),"IC5")</f>
        <v>IC5</v>
      </c>
      <c r="I62" s="88" t="s">
        <v>31520</v>
      </c>
      <c r="J62" s="70" t="s">
        <v>31520</v>
      </c>
      <c r="K62" s="70">
        <v>145.0</v>
      </c>
      <c r="L62" s="70" t="s">
        <v>18515</v>
      </c>
      <c r="M62" s="70" t="s">
        <v>18513</v>
      </c>
      <c r="N62" s="70" t="s">
        <v>18514</v>
      </c>
      <c r="O62" s="70" t="s">
        <v>17654</v>
      </c>
      <c r="Q62" s="70" t="s">
        <v>17655</v>
      </c>
      <c r="S62" s="76">
        <v>44466.0</v>
      </c>
      <c r="X62" s="70" t="s">
        <v>239</v>
      </c>
      <c r="Z62" s="70" t="s">
        <v>29438</v>
      </c>
      <c r="AC62" s="75" t="s">
        <v>18518</v>
      </c>
      <c r="AD62" s="70" t="s">
        <v>18519</v>
      </c>
      <c r="AF62" s="70">
        <v>20.0</v>
      </c>
      <c r="AH62" s="70">
        <v>28.0</v>
      </c>
      <c r="AI62" s="70" t="s">
        <v>239</v>
      </c>
      <c r="AZ62" s="70" t="s">
        <v>18520</v>
      </c>
      <c r="BA62" s="70" t="s">
        <v>22</v>
      </c>
      <c r="BB62" s="70">
        <v>63.0</v>
      </c>
      <c r="BC62" s="70">
        <v>0.0</v>
      </c>
    </row>
    <row r="63" ht="22.5" customHeight="1">
      <c r="A63" s="86" t="str">
        <f t="shared" si="1"/>
        <v>Included</v>
      </c>
      <c r="B63" s="87">
        <f t="shared" si="2"/>
        <v>3</v>
      </c>
      <c r="C63" s="70">
        <v>1.0</v>
      </c>
      <c r="D63" s="70" t="s">
        <v>28</v>
      </c>
      <c r="E63" s="70">
        <f>IFERROR(__xludf.DUMMYFUNCTION("if(REGEXMATCH(I63,""INCLUDE""),1,0)"),1.0)</f>
        <v>1</v>
      </c>
      <c r="F63" s="70" t="str">
        <f>IFERROR(__xludf.DUMMYFUNCTION("index(SPLIT(I63, "" - ""),0,2)"),"IC5")</f>
        <v>IC5</v>
      </c>
      <c r="G63" s="70">
        <f>IFERROR(__xludf.DUMMYFUNCTION("if(REGEXMATCH(J63,""INCLUDE""),1,0)"),1.0)</f>
        <v>1</v>
      </c>
      <c r="H63" s="70" t="str">
        <f>IFERROR(__xludf.DUMMYFUNCTION("index(SPLIT(J63, "" - ""),0,2)"),"IC5")</f>
        <v>IC5</v>
      </c>
      <c r="I63" s="88" t="s">
        <v>31520</v>
      </c>
      <c r="J63" s="70" t="s">
        <v>31520</v>
      </c>
      <c r="K63" s="70">
        <v>52.0</v>
      </c>
      <c r="L63" s="70" t="s">
        <v>21869</v>
      </c>
      <c r="M63" s="70" t="s">
        <v>29375</v>
      </c>
      <c r="N63" s="70" t="s">
        <v>21868</v>
      </c>
      <c r="O63" s="70" t="s">
        <v>16436</v>
      </c>
      <c r="Q63" s="70" t="s">
        <v>16437</v>
      </c>
      <c r="S63" s="76">
        <v>45593.0</v>
      </c>
      <c r="X63" s="70" t="s">
        <v>239</v>
      </c>
      <c r="Z63" s="70" t="s">
        <v>29376</v>
      </c>
      <c r="AC63" s="75" t="s">
        <v>21872</v>
      </c>
      <c r="AD63" s="70" t="s">
        <v>21873</v>
      </c>
      <c r="AH63" s="70">
        <v>44.0</v>
      </c>
      <c r="AI63" s="70" t="s">
        <v>16727</v>
      </c>
      <c r="AZ63" s="70" t="s">
        <v>21874</v>
      </c>
      <c r="BA63" s="70" t="s">
        <v>22</v>
      </c>
      <c r="BB63" s="70">
        <v>64.0</v>
      </c>
      <c r="BC63" s="70">
        <v>0.0</v>
      </c>
    </row>
    <row r="64" ht="22.5" customHeight="1">
      <c r="A64" s="86" t="str">
        <f t="shared" si="1"/>
        <v>Included</v>
      </c>
      <c r="B64" s="87">
        <f t="shared" si="2"/>
        <v>3</v>
      </c>
      <c r="C64" s="70">
        <v>1.0</v>
      </c>
      <c r="D64" s="70" t="s">
        <v>32</v>
      </c>
      <c r="E64" s="70">
        <f>IFERROR(__xludf.DUMMYFUNCTION("if(REGEXMATCH(I64,""INCLUDE""),1,0)"),1.0)</f>
        <v>1</v>
      </c>
      <c r="F64" s="70" t="str">
        <f>IFERROR(__xludf.DUMMYFUNCTION("index(SPLIT(I64, "" - ""),0,2)"),"IC5")</f>
        <v>IC5</v>
      </c>
      <c r="G64" s="70">
        <f>IFERROR(__xludf.DUMMYFUNCTION("if(REGEXMATCH(J64,""INCLUDE""),1,0)"),1.0)</f>
        <v>1</v>
      </c>
      <c r="H64" s="70" t="str">
        <f>IFERROR(__xludf.DUMMYFUNCTION("index(SPLIT(J64, "" - ""),0,2)"),"IC5")</f>
        <v>IC5</v>
      </c>
      <c r="I64" s="88" t="s">
        <v>31520</v>
      </c>
      <c r="J64" s="70" t="s">
        <v>31520</v>
      </c>
      <c r="K64" s="70">
        <v>77.0</v>
      </c>
      <c r="L64" s="70" t="s">
        <v>4881</v>
      </c>
      <c r="M64" s="70" t="s">
        <v>4877</v>
      </c>
      <c r="N64" s="70" t="s">
        <v>29391</v>
      </c>
      <c r="O64" s="70" t="s">
        <v>4879</v>
      </c>
      <c r="Q64" s="70" t="s">
        <v>4880</v>
      </c>
      <c r="S64" s="76">
        <v>43552.0</v>
      </c>
      <c r="X64" s="70" t="s">
        <v>239</v>
      </c>
      <c r="Z64" s="70" t="s">
        <v>29392</v>
      </c>
      <c r="AA64" s="70" t="s">
        <v>4884</v>
      </c>
      <c r="AC64" s="75" t="s">
        <v>4885</v>
      </c>
      <c r="AD64" s="70" t="s">
        <v>4886</v>
      </c>
      <c r="AF64" s="70">
        <v>30.0</v>
      </c>
      <c r="AH64" s="70">
        <v>57.0</v>
      </c>
      <c r="AI64" s="70" t="s">
        <v>239</v>
      </c>
      <c r="AZ64" s="70" t="s">
        <v>4887</v>
      </c>
      <c r="BA64" s="70" t="s">
        <v>22</v>
      </c>
      <c r="BB64" s="70">
        <v>65.0</v>
      </c>
      <c r="BC64" s="70">
        <v>0.0</v>
      </c>
    </row>
    <row r="65" ht="22.5" customHeight="1">
      <c r="A65" s="86" t="str">
        <f t="shared" si="1"/>
        <v>Included</v>
      </c>
      <c r="B65" s="87">
        <f t="shared" si="2"/>
        <v>3</v>
      </c>
      <c r="C65" s="70">
        <v>1.0</v>
      </c>
      <c r="D65" s="70" t="s">
        <v>32</v>
      </c>
      <c r="E65" s="70">
        <f>IFERROR(__xludf.DUMMYFUNCTION("if(REGEXMATCH(I65,""INCLUDE""),1,0)"),1.0)</f>
        <v>1</v>
      </c>
      <c r="F65" s="70" t="str">
        <f>IFERROR(__xludf.DUMMYFUNCTION("index(SPLIT(I65, "" - ""),0,2)"),"IC6")</f>
        <v>IC6</v>
      </c>
      <c r="G65" s="70">
        <f>IFERROR(__xludf.DUMMYFUNCTION("if(REGEXMATCH(J65,""INCLUDE""),1,0)"),1.0)</f>
        <v>1</v>
      </c>
      <c r="H65" s="70" t="str">
        <f>IFERROR(__xludf.DUMMYFUNCTION("index(SPLIT(J65, "" - ""),0,2)"),"IC6")</f>
        <v>IC6</v>
      </c>
      <c r="I65" s="88" t="s">
        <v>31521</v>
      </c>
      <c r="J65" s="70" t="s">
        <v>31521</v>
      </c>
      <c r="K65" s="70">
        <v>32.0</v>
      </c>
      <c r="L65" s="70" t="s">
        <v>29050</v>
      </c>
      <c r="M65" s="70" t="s">
        <v>29048</v>
      </c>
      <c r="N65" s="70" t="s">
        <v>29049</v>
      </c>
      <c r="Z65" s="70" t="s">
        <v>29355</v>
      </c>
      <c r="AD65" s="70" t="s">
        <v>29052</v>
      </c>
      <c r="AL65" s="70" t="s">
        <v>29053</v>
      </c>
      <c r="AM65" s="70" t="s">
        <v>29054</v>
      </c>
      <c r="AN65" s="70">
        <v>2018.0</v>
      </c>
      <c r="AO65" s="70" t="s">
        <v>27034</v>
      </c>
      <c r="AQ65" s="70">
        <v>223.0</v>
      </c>
      <c r="AR65" s="70">
        <v>230.0</v>
      </c>
      <c r="AS65" s="70">
        <v>7.0</v>
      </c>
      <c r="AT65" s="70">
        <v>7.0</v>
      </c>
      <c r="AU65" s="75" t="s">
        <v>29055</v>
      </c>
      <c r="AV65" s="70" t="s">
        <v>22525</v>
      </c>
      <c r="AW65" s="70" t="s">
        <v>22622</v>
      </c>
      <c r="AX65" s="70" t="s">
        <v>237</v>
      </c>
      <c r="AY65" s="70" t="s">
        <v>29056</v>
      </c>
      <c r="AZ65" s="70" t="s">
        <v>29057</v>
      </c>
      <c r="BB65" s="70">
        <v>66.0</v>
      </c>
      <c r="BC65" s="70">
        <v>0.0</v>
      </c>
    </row>
    <row r="66" ht="22.5" customHeight="1">
      <c r="A66" s="86" t="str">
        <f t="shared" si="1"/>
        <v>Included</v>
      </c>
      <c r="B66" s="87">
        <f t="shared" si="2"/>
        <v>3</v>
      </c>
      <c r="C66" s="70">
        <v>1.0</v>
      </c>
      <c r="D66" s="70" t="s">
        <v>28</v>
      </c>
      <c r="E66" s="70">
        <f>IFERROR(__xludf.DUMMYFUNCTION("if(REGEXMATCH(I66,""INCLUDE""),1,0)"),1.0)</f>
        <v>1</v>
      </c>
      <c r="F66" s="70" t="str">
        <f>IFERROR(__xludf.DUMMYFUNCTION("index(SPLIT(I66, "" - ""),0,2)"),"IC5")</f>
        <v>IC5</v>
      </c>
      <c r="G66" s="70">
        <f>IFERROR(__xludf.DUMMYFUNCTION("if(REGEXMATCH(J66,""INCLUDE""),1,0)"),1.0)</f>
        <v>1</v>
      </c>
      <c r="H66" s="70" t="str">
        <f>IFERROR(__xludf.DUMMYFUNCTION("index(SPLIT(J66, "" - ""),0,2)"),"IC5")</f>
        <v>IC5</v>
      </c>
      <c r="I66" s="88" t="s">
        <v>31520</v>
      </c>
      <c r="J66" s="70" t="s">
        <v>31520</v>
      </c>
      <c r="K66" s="70">
        <v>6.0</v>
      </c>
      <c r="L66" s="70" t="s">
        <v>788</v>
      </c>
      <c r="M66" s="70" t="s">
        <v>784</v>
      </c>
      <c r="N66" s="70" t="s">
        <v>785</v>
      </c>
      <c r="O66" s="70" t="s">
        <v>29315</v>
      </c>
      <c r="P66" s="70" t="s">
        <v>787</v>
      </c>
      <c r="R66" s="75" t="s">
        <v>789</v>
      </c>
      <c r="S66" s="70">
        <v>2022.0</v>
      </c>
      <c r="X66" s="70" t="s">
        <v>387</v>
      </c>
      <c r="Y66" s="70" t="s">
        <v>388</v>
      </c>
      <c r="Z66" s="70" t="s">
        <v>792</v>
      </c>
      <c r="AZ66" s="70" t="s">
        <v>793</v>
      </c>
      <c r="BA66" s="70" t="s">
        <v>29316</v>
      </c>
      <c r="BB66" s="70">
        <v>67.0</v>
      </c>
      <c r="BC66" s="70">
        <v>0.0</v>
      </c>
    </row>
    <row r="67" ht="22.5" customHeight="1">
      <c r="A67" s="86" t="str">
        <f t="shared" si="1"/>
        <v>Included</v>
      </c>
      <c r="B67" s="87">
        <f t="shared" si="2"/>
        <v>3</v>
      </c>
      <c r="C67" s="70">
        <v>1.0</v>
      </c>
      <c r="D67" s="70" t="s">
        <v>28</v>
      </c>
      <c r="E67" s="70">
        <f>IFERROR(__xludf.DUMMYFUNCTION("if(REGEXMATCH(I67,""INCLUDE""),1,0)"),1.0)</f>
        <v>1</v>
      </c>
      <c r="F67" s="70" t="str">
        <f>IFERROR(__xludf.DUMMYFUNCTION("index(SPLIT(I67, "" - ""),0,2)"),"IC5")</f>
        <v>IC5</v>
      </c>
      <c r="G67" s="70">
        <f>IFERROR(__xludf.DUMMYFUNCTION("if(REGEXMATCH(J67,""INCLUDE""),1,0)"),1.0)</f>
        <v>1</v>
      </c>
      <c r="H67" s="70" t="str">
        <f>IFERROR(__xludf.DUMMYFUNCTION("index(SPLIT(J67, "" - ""),0,2)"),"IC5")</f>
        <v>IC5</v>
      </c>
      <c r="I67" s="88" t="s">
        <v>31520</v>
      </c>
      <c r="J67" s="70" t="s">
        <v>31520</v>
      </c>
      <c r="K67" s="70">
        <v>11.0</v>
      </c>
      <c r="L67" s="70" t="s">
        <v>24354</v>
      </c>
      <c r="M67" s="70" t="s">
        <v>24352</v>
      </c>
      <c r="N67" s="70" t="s">
        <v>29321</v>
      </c>
      <c r="Z67" s="70" t="s">
        <v>29322</v>
      </c>
      <c r="AD67" s="70" t="s">
        <v>29323</v>
      </c>
      <c r="AL67" s="70" t="s">
        <v>24358</v>
      </c>
      <c r="AM67" s="70" t="s">
        <v>24359</v>
      </c>
      <c r="AN67" s="70">
        <v>2024.0</v>
      </c>
      <c r="AO67" s="70" t="s">
        <v>24360</v>
      </c>
      <c r="AQ67" s="70">
        <v>22.0</v>
      </c>
      <c r="AR67" s="70">
        <v>35.0</v>
      </c>
      <c r="AS67" s="70">
        <v>13.0</v>
      </c>
      <c r="AT67" s="70">
        <v>0.0</v>
      </c>
      <c r="AU67" s="75" t="s">
        <v>24361</v>
      </c>
      <c r="AV67" s="70" t="s">
        <v>22525</v>
      </c>
      <c r="AX67" s="70" t="s">
        <v>237</v>
      </c>
      <c r="AY67" s="70" t="s">
        <v>24362</v>
      </c>
      <c r="AZ67" s="70" t="s">
        <v>29324</v>
      </c>
      <c r="BA67" s="70" t="s">
        <v>24</v>
      </c>
      <c r="BB67" s="70">
        <v>68.0</v>
      </c>
      <c r="BC67" s="70">
        <v>0.0</v>
      </c>
    </row>
    <row r="68" ht="22.5" customHeight="1">
      <c r="A68" s="86" t="str">
        <f t="shared" si="1"/>
        <v>Included</v>
      </c>
      <c r="B68" s="87">
        <f t="shared" si="2"/>
        <v>3</v>
      </c>
      <c r="C68" s="70">
        <v>1.0</v>
      </c>
      <c r="D68" s="70" t="s">
        <v>28</v>
      </c>
      <c r="E68" s="70">
        <f>IFERROR(__xludf.DUMMYFUNCTION("if(REGEXMATCH(I68,""INCLUDE""),1,0)"),1.0)</f>
        <v>1</v>
      </c>
      <c r="F68" s="70" t="str">
        <f>IFERROR(__xludf.DUMMYFUNCTION("index(SPLIT(I68, "" - ""),0,2)"),"IC5")</f>
        <v>IC5</v>
      </c>
      <c r="G68" s="70">
        <f>IFERROR(__xludf.DUMMYFUNCTION("if(REGEXMATCH(J68,""INCLUDE""),1,0)"),1.0)</f>
        <v>1</v>
      </c>
      <c r="H68" s="70" t="str">
        <f>IFERROR(__xludf.DUMMYFUNCTION("index(SPLIT(J68, "" - ""),0,2)"),"IC5")</f>
        <v>IC5</v>
      </c>
      <c r="I68" s="88" t="s">
        <v>31520</v>
      </c>
      <c r="J68" s="70" t="s">
        <v>31520</v>
      </c>
      <c r="K68" s="70">
        <v>79.0</v>
      </c>
      <c r="L68" s="70" t="s">
        <v>15707</v>
      </c>
      <c r="M68" s="70" t="s">
        <v>15705</v>
      </c>
      <c r="N68" s="70" t="s">
        <v>15706</v>
      </c>
      <c r="O68" s="70" t="s">
        <v>11140</v>
      </c>
      <c r="Q68" s="70" t="s">
        <v>11141</v>
      </c>
      <c r="S68" s="77">
        <v>45236.0</v>
      </c>
      <c r="X68" s="70" t="s">
        <v>239</v>
      </c>
      <c r="Z68" s="70" t="s">
        <v>15709</v>
      </c>
      <c r="AA68" s="70" t="s">
        <v>11145</v>
      </c>
      <c r="AC68" s="75" t="s">
        <v>15710</v>
      </c>
      <c r="AD68" s="70" t="s">
        <v>15711</v>
      </c>
      <c r="AH68" s="70">
        <v>51.0</v>
      </c>
      <c r="AI68" s="70" t="s">
        <v>239</v>
      </c>
      <c r="AZ68" s="70" t="s">
        <v>15712</v>
      </c>
      <c r="BA68" s="70" t="s">
        <v>29395</v>
      </c>
      <c r="BB68" s="70">
        <v>70.0</v>
      </c>
      <c r="BC68" s="70">
        <v>0.0</v>
      </c>
    </row>
    <row r="69" ht="22.5" customHeight="1">
      <c r="A69" s="86" t="str">
        <f t="shared" si="1"/>
        <v>Included</v>
      </c>
      <c r="B69" s="87">
        <f t="shared" si="2"/>
        <v>3</v>
      </c>
      <c r="C69" s="70">
        <v>1.0</v>
      </c>
      <c r="D69" s="70" t="s">
        <v>28</v>
      </c>
      <c r="E69" s="70">
        <f>IFERROR(__xludf.DUMMYFUNCTION("if(REGEXMATCH(I69,""INCLUDE""),1,0)"),1.0)</f>
        <v>1</v>
      </c>
      <c r="F69" s="70" t="str">
        <f>IFERROR(__xludf.DUMMYFUNCTION("index(SPLIT(I69, "" - ""),0,2)"),"IC5")</f>
        <v>IC5</v>
      </c>
      <c r="G69" s="70">
        <f>IFERROR(__xludf.DUMMYFUNCTION("if(REGEXMATCH(J69,""INCLUDE""),1,0)"),1.0)</f>
        <v>1</v>
      </c>
      <c r="H69" s="70" t="str">
        <f>IFERROR(__xludf.DUMMYFUNCTION("index(SPLIT(J69, "" - ""),0,2)"),"IC5")</f>
        <v>IC5</v>
      </c>
      <c r="I69" s="88" t="s">
        <v>31520</v>
      </c>
      <c r="J69" s="70" t="s">
        <v>31520</v>
      </c>
      <c r="K69" s="70">
        <v>36.0</v>
      </c>
      <c r="L69" s="70" t="s">
        <v>17965</v>
      </c>
      <c r="M69" s="70" t="s">
        <v>17963</v>
      </c>
      <c r="N69" s="70" t="s">
        <v>29360</v>
      </c>
      <c r="O69" s="70" t="s">
        <v>16436</v>
      </c>
      <c r="Q69" s="70" t="s">
        <v>16437</v>
      </c>
      <c r="S69" s="76">
        <v>43200.0</v>
      </c>
      <c r="X69" s="70" t="s">
        <v>239</v>
      </c>
      <c r="Z69" s="70" t="s">
        <v>29361</v>
      </c>
      <c r="AB69" s="70" t="s">
        <v>29362</v>
      </c>
      <c r="AC69" s="75" t="s">
        <v>17969</v>
      </c>
      <c r="AD69" s="70" t="s">
        <v>17970</v>
      </c>
      <c r="AF69" s="70">
        <v>29.0</v>
      </c>
      <c r="AH69" s="70">
        <v>52.0</v>
      </c>
      <c r="AI69" s="70" t="s">
        <v>16444</v>
      </c>
      <c r="AZ69" s="70" t="s">
        <v>17971</v>
      </c>
      <c r="BB69" s="70">
        <v>71.0</v>
      </c>
      <c r="BC69" s="70">
        <v>0.0</v>
      </c>
    </row>
    <row r="70" ht="22.5" customHeight="1">
      <c r="A70" s="86" t="str">
        <f t="shared" si="1"/>
        <v>Included</v>
      </c>
      <c r="B70" s="87">
        <f t="shared" si="2"/>
        <v>3</v>
      </c>
      <c r="C70" s="70">
        <v>1.0</v>
      </c>
      <c r="D70" s="70" t="s">
        <v>32</v>
      </c>
      <c r="E70" s="70">
        <f>IFERROR(__xludf.DUMMYFUNCTION("if(REGEXMATCH(I70,""INCLUDE""),1,0)"),1.0)</f>
        <v>1</v>
      </c>
      <c r="F70" s="70" t="str">
        <f>IFERROR(__xludf.DUMMYFUNCTION("index(SPLIT(I70, "" - ""),0,2)"),"IC5")</f>
        <v>IC5</v>
      </c>
      <c r="G70" s="70">
        <f>IFERROR(__xludf.DUMMYFUNCTION("if(REGEXMATCH(J70,""INCLUDE""),1,0)"),1.0)</f>
        <v>1</v>
      </c>
      <c r="H70" s="70" t="str">
        <f>IFERROR(__xludf.DUMMYFUNCTION("index(SPLIT(J70, "" - ""),0,2)"),"IC5")</f>
        <v>IC5</v>
      </c>
      <c r="I70" s="88" t="s">
        <v>31520</v>
      </c>
      <c r="J70" s="70" t="s">
        <v>31520</v>
      </c>
      <c r="K70" s="70">
        <v>127.0</v>
      </c>
      <c r="L70" s="70" t="s">
        <v>4661</v>
      </c>
      <c r="M70" s="70" t="s">
        <v>4657</v>
      </c>
      <c r="N70" s="70" t="s">
        <v>4658</v>
      </c>
      <c r="O70" s="70" t="s">
        <v>4659</v>
      </c>
      <c r="Q70" s="70" t="s">
        <v>4660</v>
      </c>
      <c r="S70" s="77">
        <v>43412.0</v>
      </c>
      <c r="X70" s="70" t="s">
        <v>239</v>
      </c>
      <c r="Z70" s="70" t="s">
        <v>4663</v>
      </c>
      <c r="AA70" s="70" t="s">
        <v>4664</v>
      </c>
      <c r="AC70" s="75" t="s">
        <v>4665</v>
      </c>
      <c r="AD70" s="70" t="s">
        <v>4666</v>
      </c>
      <c r="AF70" s="70">
        <v>72.0</v>
      </c>
      <c r="AH70" s="70">
        <v>61.0</v>
      </c>
      <c r="AI70" s="70" t="s">
        <v>239</v>
      </c>
      <c r="AZ70" s="70" t="s">
        <v>4667</v>
      </c>
      <c r="BA70" s="70" t="s">
        <v>22</v>
      </c>
      <c r="BB70" s="70">
        <v>72.0</v>
      </c>
      <c r="BC70" s="70">
        <v>0.0</v>
      </c>
    </row>
    <row r="71" ht="22.5" customHeight="1">
      <c r="A71" s="86" t="str">
        <f t="shared" si="1"/>
        <v>Included</v>
      </c>
      <c r="B71" s="87">
        <f t="shared" si="2"/>
        <v>3</v>
      </c>
      <c r="C71" s="70">
        <v>1.0</v>
      </c>
      <c r="D71" s="70" t="s">
        <v>28</v>
      </c>
      <c r="E71" s="70">
        <f>IFERROR(__xludf.DUMMYFUNCTION("if(REGEXMATCH(I71,""INCLUDE""),1,0)"),1.0)</f>
        <v>1</v>
      </c>
      <c r="F71" s="70" t="str">
        <f>IFERROR(__xludf.DUMMYFUNCTION("index(SPLIT(I71, "" - ""),0,2)"),"IC5")</f>
        <v>IC5</v>
      </c>
      <c r="G71" s="70">
        <f>IFERROR(__xludf.DUMMYFUNCTION("if(REGEXMATCH(J71,""INCLUDE""),1,0)"),1.0)</f>
        <v>1</v>
      </c>
      <c r="H71" s="70" t="str">
        <f>IFERROR(__xludf.DUMMYFUNCTION("index(SPLIT(J71, "" - ""),0,2)"),"IC5")</f>
        <v>IC5</v>
      </c>
      <c r="I71" s="88" t="s">
        <v>31520</v>
      </c>
      <c r="J71" s="70" t="s">
        <v>31520</v>
      </c>
      <c r="K71" s="70">
        <v>61.0</v>
      </c>
      <c r="L71" s="70" t="s">
        <v>14804</v>
      </c>
      <c r="M71" s="70" t="s">
        <v>14802</v>
      </c>
      <c r="N71" s="70" t="s">
        <v>14803</v>
      </c>
      <c r="O71" s="70" t="s">
        <v>14121</v>
      </c>
      <c r="S71" s="76">
        <v>45674.0</v>
      </c>
      <c r="X71" s="70" t="s">
        <v>239</v>
      </c>
      <c r="Z71" s="70" t="s">
        <v>14806</v>
      </c>
      <c r="AA71" s="70" t="s">
        <v>14125</v>
      </c>
      <c r="AB71" s="70" t="s">
        <v>29382</v>
      </c>
      <c r="AC71" s="75" t="s">
        <v>14808</v>
      </c>
      <c r="AD71" s="70" t="s">
        <v>14809</v>
      </c>
      <c r="AH71" s="70">
        <v>17.0</v>
      </c>
      <c r="AI71" s="70" t="s">
        <v>239</v>
      </c>
      <c r="AZ71" s="70" t="s">
        <v>14810</v>
      </c>
      <c r="BA71" s="70" t="s">
        <v>22</v>
      </c>
      <c r="BB71" s="70">
        <v>73.0</v>
      </c>
      <c r="BC71" s="70">
        <v>0.0</v>
      </c>
    </row>
    <row r="72" ht="22.5" customHeight="1">
      <c r="A72" s="86" t="str">
        <f t="shared" si="1"/>
        <v>Included</v>
      </c>
      <c r="B72" s="87">
        <f t="shared" si="2"/>
        <v>3</v>
      </c>
      <c r="C72" s="70">
        <v>1.0</v>
      </c>
      <c r="D72" s="70" t="s">
        <v>32</v>
      </c>
      <c r="E72" s="70">
        <f>IFERROR(__xludf.DUMMYFUNCTION("if(REGEXMATCH(I72,""INCLUDE""),1,0)"),1.0)</f>
        <v>1</v>
      </c>
      <c r="F72" s="70" t="str">
        <f>IFERROR(__xludf.DUMMYFUNCTION("index(SPLIT(I72, "" - ""),0,2)"),"IC5")</f>
        <v>IC5</v>
      </c>
      <c r="G72" s="70">
        <f>IFERROR(__xludf.DUMMYFUNCTION("if(REGEXMATCH(J72,""INCLUDE""),1,0)"),1.0)</f>
        <v>1</v>
      </c>
      <c r="H72" s="70" t="str">
        <f>IFERROR(__xludf.DUMMYFUNCTION("index(SPLIT(J72, "" - ""),0,2)"),"IC5")</f>
        <v>IC5</v>
      </c>
      <c r="I72" s="88" t="s">
        <v>31520</v>
      </c>
      <c r="J72" s="70" t="s">
        <v>31520</v>
      </c>
      <c r="K72" s="70">
        <v>4.0</v>
      </c>
      <c r="L72" s="70" t="s">
        <v>28170</v>
      </c>
      <c r="M72" s="70" t="s">
        <v>28168</v>
      </c>
      <c r="N72" s="70" t="s">
        <v>28169</v>
      </c>
      <c r="Z72" s="70" t="s">
        <v>29313</v>
      </c>
      <c r="AD72" s="70" t="s">
        <v>28172</v>
      </c>
      <c r="AL72" s="70" t="s">
        <v>28173</v>
      </c>
      <c r="AM72" s="70" t="s">
        <v>28174</v>
      </c>
      <c r="AN72" s="70">
        <v>2021.0</v>
      </c>
      <c r="AO72" s="70" t="s">
        <v>24360</v>
      </c>
      <c r="AQ72" s="70">
        <v>65.0</v>
      </c>
      <c r="AR72" s="70">
        <v>72.0</v>
      </c>
      <c r="AS72" s="70">
        <v>7.0</v>
      </c>
      <c r="AT72" s="70">
        <v>6.0</v>
      </c>
      <c r="AU72" s="75" t="s">
        <v>28175</v>
      </c>
      <c r="AV72" s="70" t="s">
        <v>22525</v>
      </c>
      <c r="AX72" s="70" t="s">
        <v>237</v>
      </c>
      <c r="AY72" s="70" t="s">
        <v>28176</v>
      </c>
      <c r="AZ72" s="70" t="s">
        <v>28177</v>
      </c>
      <c r="BA72" s="70" t="s">
        <v>22</v>
      </c>
      <c r="BB72" s="70">
        <v>74.0</v>
      </c>
      <c r="BC72" s="70">
        <v>0.0</v>
      </c>
    </row>
    <row r="73" ht="22.5" customHeight="1">
      <c r="A73" s="86" t="str">
        <f t="shared" si="1"/>
        <v>Included</v>
      </c>
      <c r="B73" s="87">
        <f t="shared" si="2"/>
        <v>3</v>
      </c>
      <c r="C73" s="70">
        <v>1.0</v>
      </c>
      <c r="D73" s="70" t="s">
        <v>32</v>
      </c>
      <c r="E73" s="70">
        <f>IFERROR(__xludf.DUMMYFUNCTION("if(REGEXMATCH(I73,""INCLUDE""),1,0)"),1.0)</f>
        <v>1</v>
      </c>
      <c r="F73" s="70" t="str">
        <f>IFERROR(__xludf.DUMMYFUNCTION("index(SPLIT(I73, "" - ""),0,2)"),"IC5")</f>
        <v>IC5</v>
      </c>
      <c r="G73" s="70">
        <f>IFERROR(__xludf.DUMMYFUNCTION("if(REGEXMATCH(J73,""INCLUDE""),1,0)"),1.0)</f>
        <v>1</v>
      </c>
      <c r="H73" s="70" t="str">
        <f>IFERROR(__xludf.DUMMYFUNCTION("index(SPLIT(J73, "" - ""),0,2)"),"IC5")</f>
        <v>IC5</v>
      </c>
      <c r="I73" s="88" t="s">
        <v>31520</v>
      </c>
      <c r="J73" s="70" t="s">
        <v>31520</v>
      </c>
      <c r="K73" s="70">
        <v>147.0</v>
      </c>
      <c r="L73" s="70" t="s">
        <v>19710</v>
      </c>
      <c r="M73" s="70" t="s">
        <v>29440</v>
      </c>
      <c r="N73" s="70" t="s">
        <v>19709</v>
      </c>
      <c r="O73" s="70" t="s">
        <v>16959</v>
      </c>
      <c r="Q73" s="70" t="s">
        <v>16960</v>
      </c>
      <c r="S73" s="76">
        <v>44510.0</v>
      </c>
      <c r="X73" s="70" t="s">
        <v>239</v>
      </c>
      <c r="Z73" s="70" t="s">
        <v>19712</v>
      </c>
      <c r="AB73" s="70" t="s">
        <v>29441</v>
      </c>
      <c r="AC73" s="75" t="s">
        <v>19714</v>
      </c>
      <c r="AD73" s="70" t="s">
        <v>19715</v>
      </c>
      <c r="AF73" s="70">
        <v>8.0</v>
      </c>
      <c r="AH73" s="70">
        <v>112.0</v>
      </c>
      <c r="AI73" s="70" t="s">
        <v>239</v>
      </c>
      <c r="AZ73" s="70" t="s">
        <v>19716</v>
      </c>
      <c r="BA73" s="70" t="s">
        <v>22</v>
      </c>
      <c r="BB73" s="70">
        <v>75.0</v>
      </c>
      <c r="BC73" s="70">
        <v>0.0</v>
      </c>
    </row>
    <row r="74" ht="22.5" customHeight="1">
      <c r="A74" s="86" t="str">
        <f t="shared" si="1"/>
        <v>Included</v>
      </c>
      <c r="B74" s="87">
        <f t="shared" si="2"/>
        <v>3</v>
      </c>
      <c r="C74" s="70">
        <v>1.0</v>
      </c>
      <c r="D74" s="70" t="s">
        <v>28</v>
      </c>
      <c r="E74" s="70">
        <f>IFERROR(__xludf.DUMMYFUNCTION("if(REGEXMATCH(I74,""INCLUDE""),1,0)"),1.0)</f>
        <v>1</v>
      </c>
      <c r="F74" s="70" t="str">
        <f>IFERROR(__xludf.DUMMYFUNCTION("index(SPLIT(I74, "" - ""),0,2)"),"IC5")</f>
        <v>IC5</v>
      </c>
      <c r="G74" s="70">
        <f>IFERROR(__xludf.DUMMYFUNCTION("if(REGEXMATCH(J74,""INCLUDE""),1,0)"),1.0)</f>
        <v>1</v>
      </c>
      <c r="H74" s="70" t="str">
        <f>IFERROR(__xludf.DUMMYFUNCTION("index(SPLIT(J74, "" - ""),0,2)"),"IC5")</f>
        <v>IC5</v>
      </c>
      <c r="I74" s="88" t="s">
        <v>31520</v>
      </c>
      <c r="J74" s="70" t="s">
        <v>31520</v>
      </c>
      <c r="K74" s="70">
        <v>109.0</v>
      </c>
      <c r="L74" s="70" t="s">
        <v>7518</v>
      </c>
      <c r="M74" s="70" t="s">
        <v>7515</v>
      </c>
      <c r="N74" s="70" t="s">
        <v>7516</v>
      </c>
      <c r="O74" s="70" t="s">
        <v>7517</v>
      </c>
      <c r="Q74" s="70" t="s">
        <v>5351</v>
      </c>
      <c r="S74" s="76">
        <v>44853.0</v>
      </c>
      <c r="X74" s="70" t="s">
        <v>239</v>
      </c>
      <c r="Z74" s="70" t="s">
        <v>7520</v>
      </c>
      <c r="AA74" s="70" t="s">
        <v>7521</v>
      </c>
      <c r="AC74" s="75" t="s">
        <v>7522</v>
      </c>
      <c r="AD74" s="70" t="s">
        <v>7523</v>
      </c>
      <c r="AF74" s="70">
        <v>3.0</v>
      </c>
      <c r="AH74" s="70">
        <v>18.0</v>
      </c>
      <c r="AI74" s="70" t="s">
        <v>239</v>
      </c>
      <c r="AZ74" s="70" t="s">
        <v>7524</v>
      </c>
      <c r="BA74" s="70" t="s">
        <v>24</v>
      </c>
      <c r="BB74" s="70">
        <v>76.0</v>
      </c>
      <c r="BC74" s="70">
        <v>0.0</v>
      </c>
    </row>
    <row r="75" ht="22.5" customHeight="1">
      <c r="A75" s="86" t="str">
        <f t="shared" si="1"/>
        <v>Included</v>
      </c>
      <c r="B75" s="87">
        <f t="shared" si="2"/>
        <v>3</v>
      </c>
      <c r="C75" s="70">
        <v>1.0</v>
      </c>
      <c r="D75" s="70" t="s">
        <v>28</v>
      </c>
      <c r="E75" s="70">
        <f>IFERROR(__xludf.DUMMYFUNCTION("if(REGEXMATCH(I75,""INCLUDE""),1,0)"),1.0)</f>
        <v>1</v>
      </c>
      <c r="F75" s="70" t="str">
        <f>IFERROR(__xludf.DUMMYFUNCTION("index(SPLIT(I75, "" - ""),0,2)"),"IC5")</f>
        <v>IC5</v>
      </c>
      <c r="G75" s="70">
        <f>IFERROR(__xludf.DUMMYFUNCTION("if(REGEXMATCH(J75,""INCLUDE""),1,0)"),1.0)</f>
        <v>1</v>
      </c>
      <c r="H75" s="70" t="str">
        <f>IFERROR(__xludf.DUMMYFUNCTION("index(SPLIT(J75, "" - ""),0,2)"),"IC5")</f>
        <v>IC5</v>
      </c>
      <c r="I75" s="88" t="s">
        <v>31520</v>
      </c>
      <c r="J75" s="70" t="s">
        <v>31520</v>
      </c>
      <c r="K75" s="70">
        <v>161.0</v>
      </c>
      <c r="L75" s="70" t="s">
        <v>720</v>
      </c>
      <c r="M75" s="70" t="s">
        <v>29455</v>
      </c>
      <c r="N75" s="70" t="s">
        <v>717</v>
      </c>
      <c r="O75" s="70" t="s">
        <v>718</v>
      </c>
      <c r="P75" s="70" t="s">
        <v>719</v>
      </c>
      <c r="R75" s="75" t="s">
        <v>721</v>
      </c>
      <c r="S75" s="70">
        <v>2017.0</v>
      </c>
      <c r="T75" s="70" t="s">
        <v>723</v>
      </c>
      <c r="X75" s="70" t="s">
        <v>401</v>
      </c>
      <c r="Y75" s="70" t="s">
        <v>402</v>
      </c>
      <c r="Z75" s="70" t="s">
        <v>725</v>
      </c>
      <c r="AZ75" s="70" t="s">
        <v>726</v>
      </c>
      <c r="BA75" s="70" t="s">
        <v>29354</v>
      </c>
      <c r="BB75" s="70">
        <v>77.0</v>
      </c>
      <c r="BC75" s="70">
        <v>0.0</v>
      </c>
    </row>
    <row r="76" ht="22.5" customHeight="1">
      <c r="A76" s="86" t="str">
        <f t="shared" si="1"/>
        <v>Included</v>
      </c>
      <c r="B76" s="87">
        <f t="shared" si="2"/>
        <v>3</v>
      </c>
      <c r="C76" s="70">
        <v>1.0</v>
      </c>
      <c r="D76" s="70" t="s">
        <v>32</v>
      </c>
      <c r="E76" s="70">
        <f>IFERROR(__xludf.DUMMYFUNCTION("if(REGEXMATCH(I76,""INCLUDE""),1,0)"),1.0)</f>
        <v>1</v>
      </c>
      <c r="F76" s="70" t="str">
        <f>IFERROR(__xludf.DUMMYFUNCTION("index(SPLIT(I76, "" - ""),0,2)"),"IC5")</f>
        <v>IC5</v>
      </c>
      <c r="G76" s="70">
        <f>IFERROR(__xludf.DUMMYFUNCTION("if(REGEXMATCH(J76,""INCLUDE""),1,0)"),1.0)</f>
        <v>1</v>
      </c>
      <c r="H76" s="70" t="str">
        <f>IFERROR(__xludf.DUMMYFUNCTION("index(SPLIT(J76, "" - ""),0,2)"),"IC5")</f>
        <v>IC5</v>
      </c>
      <c r="I76" s="88" t="s">
        <v>31520</v>
      </c>
      <c r="J76" s="70" t="s">
        <v>31520</v>
      </c>
      <c r="K76" s="70">
        <v>110.0</v>
      </c>
      <c r="L76" s="70" t="s">
        <v>15634</v>
      </c>
      <c r="M76" s="70" t="s">
        <v>29413</v>
      </c>
      <c r="N76" s="70" t="s">
        <v>15633</v>
      </c>
      <c r="O76" s="70" t="s">
        <v>12672</v>
      </c>
      <c r="Q76" s="70" t="s">
        <v>5351</v>
      </c>
      <c r="S76" s="76">
        <v>45596.0</v>
      </c>
      <c r="X76" s="70" t="s">
        <v>239</v>
      </c>
      <c r="Z76" s="70" t="s">
        <v>15636</v>
      </c>
      <c r="AA76" s="70" t="s">
        <v>12676</v>
      </c>
      <c r="AB76" s="70" t="s">
        <v>29414</v>
      </c>
      <c r="AC76" s="75" t="s">
        <v>15638</v>
      </c>
      <c r="AD76" s="70" t="s">
        <v>15639</v>
      </c>
      <c r="AH76" s="70">
        <v>31.0</v>
      </c>
      <c r="AI76" s="70" t="s">
        <v>239</v>
      </c>
      <c r="AZ76" s="70" t="s">
        <v>15640</v>
      </c>
      <c r="BB76" s="70">
        <v>78.0</v>
      </c>
      <c r="BC76" s="70">
        <v>0.0</v>
      </c>
    </row>
    <row r="77" ht="22.5" customHeight="1">
      <c r="A77" s="86" t="str">
        <f t="shared" si="1"/>
        <v>Included</v>
      </c>
      <c r="B77" s="87">
        <f t="shared" si="2"/>
        <v>3</v>
      </c>
      <c r="C77" s="70">
        <v>1.0</v>
      </c>
      <c r="D77" s="70" t="s">
        <v>32</v>
      </c>
      <c r="E77" s="70">
        <f>IFERROR(__xludf.DUMMYFUNCTION("if(REGEXMATCH(I77,""INCLUDE""),1,0)"),1.0)</f>
        <v>1</v>
      </c>
      <c r="F77" s="70" t="str">
        <f>IFERROR(__xludf.DUMMYFUNCTION("index(SPLIT(I77, "" - ""),0,2)"),"IC6")</f>
        <v>IC6</v>
      </c>
      <c r="G77" s="70">
        <f>IFERROR(__xludf.DUMMYFUNCTION("if(REGEXMATCH(J77,""INCLUDE""),1,0)"),1.0)</f>
        <v>1</v>
      </c>
      <c r="H77" s="70" t="str">
        <f>IFERROR(__xludf.DUMMYFUNCTION("index(SPLIT(J77, "" - ""),0,2)"),"IC6")</f>
        <v>IC6</v>
      </c>
      <c r="I77" s="88" t="s">
        <v>31521</v>
      </c>
      <c r="J77" s="70" t="s">
        <v>31521</v>
      </c>
      <c r="K77" s="70">
        <v>18.0</v>
      </c>
      <c r="L77" s="70" t="s">
        <v>23372</v>
      </c>
      <c r="M77" s="70" t="s">
        <v>29333</v>
      </c>
      <c r="N77" s="70" t="s">
        <v>23371</v>
      </c>
      <c r="Z77" s="70" t="s">
        <v>29334</v>
      </c>
      <c r="AD77" s="70" t="s">
        <v>23374</v>
      </c>
      <c r="AL77" s="70" t="s">
        <v>29335</v>
      </c>
      <c r="AM77" s="70" t="s">
        <v>23376</v>
      </c>
      <c r="AN77" s="70">
        <v>2024.0</v>
      </c>
      <c r="AO77" s="70" t="s">
        <v>23377</v>
      </c>
      <c r="AP77" s="70">
        <v>53.0</v>
      </c>
      <c r="AT77" s="70">
        <v>2.0</v>
      </c>
      <c r="AU77" s="75" t="s">
        <v>23378</v>
      </c>
      <c r="AV77" s="70" t="s">
        <v>22525</v>
      </c>
      <c r="AW77" s="70" t="s">
        <v>22526</v>
      </c>
      <c r="AX77" s="70" t="s">
        <v>237</v>
      </c>
      <c r="AY77" s="70" t="s">
        <v>23379</v>
      </c>
      <c r="AZ77" s="70" t="s">
        <v>23380</v>
      </c>
      <c r="BA77" s="70" t="s">
        <v>22</v>
      </c>
      <c r="BB77" s="70">
        <v>79.0</v>
      </c>
      <c r="BC77" s="70">
        <v>0.0</v>
      </c>
    </row>
    <row r="78" ht="22.5" customHeight="1">
      <c r="A78" s="86" t="str">
        <f t="shared" si="1"/>
        <v>Included</v>
      </c>
      <c r="B78" s="87">
        <f t="shared" si="2"/>
        <v>3</v>
      </c>
      <c r="C78" s="70">
        <v>1.0</v>
      </c>
      <c r="D78" s="70" t="s">
        <v>32</v>
      </c>
      <c r="E78" s="70">
        <f>IFERROR(__xludf.DUMMYFUNCTION("if(REGEXMATCH(I78,""INCLUDE""),1,0)"),1.0)</f>
        <v>1</v>
      </c>
      <c r="F78" s="70" t="str">
        <f>IFERROR(__xludf.DUMMYFUNCTION("index(SPLIT(I78, "" - ""),0,2)"),"IC5")</f>
        <v>IC5</v>
      </c>
      <c r="G78" s="70">
        <f>IFERROR(__xludf.DUMMYFUNCTION("if(REGEXMATCH(J78,""INCLUDE""),1,0)"),1.0)</f>
        <v>1</v>
      </c>
      <c r="H78" s="70" t="str">
        <f>IFERROR(__xludf.DUMMYFUNCTION("index(SPLIT(J78, "" - ""),0,2)"),"IC5")</f>
        <v>IC5</v>
      </c>
      <c r="I78" s="88" t="s">
        <v>31520</v>
      </c>
      <c r="J78" s="70" t="s">
        <v>31520</v>
      </c>
      <c r="K78" s="70">
        <v>27.0</v>
      </c>
      <c r="L78" s="70" t="s">
        <v>22573</v>
      </c>
      <c r="M78" s="70" t="s">
        <v>29347</v>
      </c>
      <c r="N78" s="70" t="s">
        <v>22572</v>
      </c>
      <c r="Z78" s="70" t="s">
        <v>29348</v>
      </c>
      <c r="AD78" s="70" t="s">
        <v>22575</v>
      </c>
      <c r="AL78" s="70" t="s">
        <v>29349</v>
      </c>
      <c r="AM78" s="70" t="s">
        <v>22577</v>
      </c>
      <c r="AN78" s="70">
        <v>2025.0</v>
      </c>
      <c r="AO78" s="70" t="s">
        <v>22523</v>
      </c>
      <c r="AP78" s="70">
        <v>101463.0</v>
      </c>
      <c r="AT78" s="70">
        <v>0.0</v>
      </c>
      <c r="AU78" s="75" t="s">
        <v>22578</v>
      </c>
      <c r="AV78" s="70" t="s">
        <v>22525</v>
      </c>
      <c r="AX78" s="70" t="s">
        <v>237</v>
      </c>
      <c r="AY78" s="70" t="s">
        <v>22579</v>
      </c>
      <c r="BA78" s="70" t="s">
        <v>22</v>
      </c>
      <c r="BB78" s="70">
        <v>80.0</v>
      </c>
      <c r="BC78" s="70">
        <v>0.0</v>
      </c>
    </row>
    <row r="79" ht="22.5" customHeight="1">
      <c r="A79" s="86" t="str">
        <f t="shared" si="1"/>
        <v>Included</v>
      </c>
      <c r="B79" s="87">
        <f t="shared" si="2"/>
        <v>1</v>
      </c>
      <c r="C79" s="70">
        <v>1.0</v>
      </c>
      <c r="D79" s="70" t="s">
        <v>28</v>
      </c>
      <c r="E79" s="70">
        <f>IFERROR(__xludf.DUMMYFUNCTION("if(REGEXMATCH(I79,""INCLUDE""),1,0)"),0.0)</f>
        <v>0</v>
      </c>
      <c r="F79" s="70" t="str">
        <f>IFERROR(__xludf.DUMMYFUNCTION("index(SPLIT(I79, "" - ""),0,2)"),"EC4")</f>
        <v>EC4</v>
      </c>
      <c r="G79" s="70">
        <f>IFERROR(__xludf.DUMMYFUNCTION("if(REGEXMATCH(J79,""INCLUDE""),1,0)"),0.0)</f>
        <v>0</v>
      </c>
      <c r="H79" s="70" t="str">
        <f>IFERROR(__xludf.DUMMYFUNCTION("index(SPLIT(J79, "" - ""),0,2)"),"EC4")</f>
        <v>EC4</v>
      </c>
      <c r="I79" s="88" t="s">
        <v>31527</v>
      </c>
      <c r="J79" s="70" t="s">
        <v>31527</v>
      </c>
      <c r="K79" s="70">
        <v>107.0</v>
      </c>
      <c r="L79" s="70" t="s">
        <v>24591</v>
      </c>
      <c r="M79" s="70" t="s">
        <v>24589</v>
      </c>
      <c r="N79" s="70" t="s">
        <v>24590</v>
      </c>
      <c r="Z79" s="70" t="s">
        <v>29412</v>
      </c>
      <c r="AD79" s="70" t="s">
        <v>24593</v>
      </c>
      <c r="AL79" s="70" t="s">
        <v>24594</v>
      </c>
      <c r="AM79" s="70" t="s">
        <v>24595</v>
      </c>
      <c r="AN79" s="70">
        <v>2024.0</v>
      </c>
      <c r="AO79" s="70" t="s">
        <v>24596</v>
      </c>
      <c r="AQ79" s="70">
        <v>452.0</v>
      </c>
      <c r="AR79" s="70">
        <v>470.0</v>
      </c>
      <c r="AS79" s="70">
        <v>18.0</v>
      </c>
      <c r="AT79" s="70">
        <v>9.0</v>
      </c>
      <c r="AU79" s="75" t="s">
        <v>24597</v>
      </c>
      <c r="AV79" s="70" t="s">
        <v>22525</v>
      </c>
      <c r="AX79" s="70" t="s">
        <v>237</v>
      </c>
      <c r="AY79" s="70" t="s">
        <v>24598</v>
      </c>
      <c r="AZ79" s="70" t="s">
        <v>24599</v>
      </c>
      <c r="BA79" s="70" t="s">
        <v>24</v>
      </c>
      <c r="BB79" s="70">
        <v>8.0</v>
      </c>
      <c r="BC79" s="70">
        <v>0.0</v>
      </c>
    </row>
    <row r="80" ht="22.5" customHeight="1">
      <c r="A80" s="86" t="str">
        <f t="shared" si="1"/>
        <v>Included</v>
      </c>
      <c r="B80" s="87">
        <f t="shared" si="2"/>
        <v>1</v>
      </c>
      <c r="C80" s="70">
        <v>1.0</v>
      </c>
      <c r="D80" s="70" t="s">
        <v>32</v>
      </c>
      <c r="E80" s="70">
        <f>IFERROR(__xludf.DUMMYFUNCTION("if(REGEXMATCH(I80,""INCLUDE""),1,0)"),0.0)</f>
        <v>0</v>
      </c>
      <c r="F80" s="70" t="str">
        <f>IFERROR(__xludf.DUMMYFUNCTION("index(SPLIT(I80, "" - ""),0,2)"),"EC4")</f>
        <v>EC4</v>
      </c>
      <c r="G80" s="70">
        <f>IFERROR(__xludf.DUMMYFUNCTION("if(REGEXMATCH(J80,""INCLUDE""),1,0)"),0.0)</f>
        <v>0</v>
      </c>
      <c r="H80" s="70" t="str">
        <f>IFERROR(__xludf.DUMMYFUNCTION("index(SPLIT(J80, "" - ""),0,2)"),"EC4")</f>
        <v>EC4</v>
      </c>
      <c r="I80" s="88" t="s">
        <v>31527</v>
      </c>
      <c r="J80" s="70" t="s">
        <v>31527</v>
      </c>
      <c r="K80" s="70">
        <v>22.0</v>
      </c>
      <c r="L80" s="70" t="s">
        <v>23267</v>
      </c>
      <c r="M80" s="70" t="s">
        <v>23265</v>
      </c>
      <c r="N80" s="70" t="s">
        <v>23266</v>
      </c>
      <c r="Z80" s="70" t="s">
        <v>29342</v>
      </c>
      <c r="AD80" s="70" t="s">
        <v>23269</v>
      </c>
      <c r="AL80" s="70" t="s">
        <v>23270</v>
      </c>
      <c r="AM80" s="70" t="s">
        <v>23271</v>
      </c>
      <c r="AN80" s="70">
        <v>2025.0</v>
      </c>
      <c r="AO80" s="70" t="s">
        <v>23179</v>
      </c>
      <c r="AP80" s="70">
        <v>111158.0</v>
      </c>
      <c r="AT80" s="70">
        <v>0.0</v>
      </c>
      <c r="AU80" s="75" t="s">
        <v>23272</v>
      </c>
      <c r="AV80" s="70" t="s">
        <v>22525</v>
      </c>
      <c r="AX80" s="70" t="s">
        <v>237</v>
      </c>
      <c r="AY80" s="70" t="s">
        <v>23273</v>
      </c>
      <c r="AZ80" s="70" t="s">
        <v>23274</v>
      </c>
      <c r="BA80" s="70" t="s">
        <v>22</v>
      </c>
      <c r="BB80" s="70">
        <v>32.0</v>
      </c>
      <c r="BC80" s="70">
        <v>0.0</v>
      </c>
    </row>
    <row r="81" ht="22.5" customHeight="1">
      <c r="A81" s="86" t="str">
        <f t="shared" si="1"/>
        <v>Included</v>
      </c>
      <c r="B81" s="87">
        <f t="shared" si="2"/>
        <v>1</v>
      </c>
      <c r="C81" s="70">
        <v>1.0</v>
      </c>
      <c r="D81" s="70" t="s">
        <v>28</v>
      </c>
      <c r="E81" s="70">
        <f>IFERROR(__xludf.DUMMYFUNCTION("if(REGEXMATCH(I81,""INCLUDE""),1,0)"),0.0)</f>
        <v>0</v>
      </c>
      <c r="F81" s="70" t="str">
        <f>IFERROR(__xludf.DUMMYFUNCTION("index(SPLIT(I81, "" - ""),0,2)"),"EC4")</f>
        <v>EC4</v>
      </c>
      <c r="G81" s="70">
        <f>IFERROR(__xludf.DUMMYFUNCTION("if(REGEXMATCH(J81,""INCLUDE""),1,0)"),0.0)</f>
        <v>0</v>
      </c>
      <c r="H81" s="70" t="str">
        <f>IFERROR(__xludf.DUMMYFUNCTION("index(SPLIT(J81, "" - ""),0,2)"),"EC4")</f>
        <v>EC4</v>
      </c>
      <c r="I81" s="88" t="s">
        <v>31527</v>
      </c>
      <c r="J81" s="70" t="s">
        <v>31527</v>
      </c>
      <c r="K81" s="70">
        <v>128.0</v>
      </c>
      <c r="L81" s="70" t="s">
        <v>6279</v>
      </c>
      <c r="M81" s="70" t="s">
        <v>6277</v>
      </c>
      <c r="N81" s="70" t="s">
        <v>6278</v>
      </c>
      <c r="O81" s="70" t="s">
        <v>4690</v>
      </c>
      <c r="S81" s="76">
        <v>44146.0</v>
      </c>
      <c r="X81" s="70" t="s">
        <v>239</v>
      </c>
      <c r="Z81" s="70" t="s">
        <v>29425</v>
      </c>
      <c r="AA81" s="70" t="s">
        <v>4694</v>
      </c>
      <c r="AC81" s="75" t="s">
        <v>6282</v>
      </c>
      <c r="AD81" s="70" t="s">
        <v>6283</v>
      </c>
      <c r="AF81" s="70">
        <v>7.0</v>
      </c>
      <c r="AH81" s="70">
        <v>101.0</v>
      </c>
      <c r="AI81" s="70" t="s">
        <v>239</v>
      </c>
      <c r="AZ81" s="70" t="s">
        <v>6284</v>
      </c>
      <c r="BB81" s="70">
        <v>69.0</v>
      </c>
      <c r="BC81" s="70">
        <v>0.0</v>
      </c>
    </row>
    <row r="82" ht="22.5" customHeight="1">
      <c r="A82" s="86" t="str">
        <f t="shared" si="1"/>
        <v>Included</v>
      </c>
      <c r="B82" s="87">
        <f t="shared" si="2"/>
        <v>2</v>
      </c>
      <c r="C82" s="70">
        <v>0.0</v>
      </c>
      <c r="D82" s="70" t="s">
        <v>34</v>
      </c>
      <c r="E82" s="70">
        <f>IFERROR(__xludf.DUMMYFUNCTION("if(REGEXMATCH(I82,""INCLUDE""),1,0)"),1.0)</f>
        <v>1</v>
      </c>
      <c r="F82" s="70" t="str">
        <f>IFERROR(__xludf.DUMMYFUNCTION("index(SPLIT(I82, "" - ""),0,2)"),"IC5")</f>
        <v>IC5</v>
      </c>
      <c r="G82" s="70">
        <f>IFERROR(__xludf.DUMMYFUNCTION("if(REGEXMATCH(J82,""INCLUDE""),1,0)"),1.0)</f>
        <v>1</v>
      </c>
      <c r="H82" s="70" t="str">
        <f>IFERROR(__xludf.DUMMYFUNCTION("index(SPLIT(J82, "" - ""),0,2)"),"IC5")</f>
        <v>IC5</v>
      </c>
      <c r="I82" s="88" t="s">
        <v>31520</v>
      </c>
      <c r="J82" s="70" t="s">
        <v>31520</v>
      </c>
      <c r="K82" s="70">
        <v>117.0</v>
      </c>
      <c r="L82" s="70" t="s">
        <v>17673</v>
      </c>
      <c r="M82" s="70" t="s">
        <v>17671</v>
      </c>
      <c r="N82" s="70" t="s">
        <v>17672</v>
      </c>
      <c r="O82" s="70" t="s">
        <v>16538</v>
      </c>
      <c r="Q82" s="70" t="s">
        <v>16539</v>
      </c>
      <c r="S82" s="76">
        <v>44033.0</v>
      </c>
      <c r="X82" s="70" t="s">
        <v>239</v>
      </c>
      <c r="Z82" s="70" t="s">
        <v>17675</v>
      </c>
      <c r="AB82" s="70" t="s">
        <v>29418</v>
      </c>
      <c r="AC82" s="75" t="s">
        <v>17677</v>
      </c>
      <c r="AD82" s="70" t="s">
        <v>17678</v>
      </c>
      <c r="AF82" s="70">
        <v>36.0</v>
      </c>
      <c r="AH82" s="70">
        <v>52.0</v>
      </c>
      <c r="AI82" s="70" t="s">
        <v>239</v>
      </c>
      <c r="AZ82" s="70" t="s">
        <v>17679</v>
      </c>
      <c r="BA82" s="70" t="s">
        <v>22</v>
      </c>
      <c r="BB82" s="70">
        <v>85.0</v>
      </c>
      <c r="BC82" s="70">
        <v>0.0</v>
      </c>
    </row>
    <row r="83" ht="22.5" customHeight="1">
      <c r="A83" s="86" t="str">
        <f t="shared" si="1"/>
        <v>Included</v>
      </c>
      <c r="B83" s="87">
        <f t="shared" si="2"/>
        <v>2</v>
      </c>
      <c r="C83" s="70">
        <v>0.0</v>
      </c>
      <c r="D83" s="70" t="s">
        <v>34</v>
      </c>
      <c r="E83" s="70">
        <f>IFERROR(__xludf.DUMMYFUNCTION("if(REGEXMATCH(I83,""INCLUDE""),1,0)"),1.0)</f>
        <v>1</v>
      </c>
      <c r="F83" s="70" t="str">
        <f>IFERROR(__xludf.DUMMYFUNCTION("index(SPLIT(I83, "" - ""),0,2)"),"IC6")</f>
        <v>IC6</v>
      </c>
      <c r="G83" s="70">
        <f>IFERROR(__xludf.DUMMYFUNCTION("if(REGEXMATCH(J83,""INCLUDE""),1,0)"),1.0)</f>
        <v>1</v>
      </c>
      <c r="H83" s="70" t="str">
        <f>IFERROR(__xludf.DUMMYFUNCTION("index(SPLIT(J83, "" - ""),0,2)"),"IC6")</f>
        <v>IC6</v>
      </c>
      <c r="I83" s="88" t="s">
        <v>31521</v>
      </c>
      <c r="J83" s="70" t="s">
        <v>31521</v>
      </c>
      <c r="K83" s="70">
        <v>163.0</v>
      </c>
      <c r="L83" s="70" t="s">
        <v>834</v>
      </c>
      <c r="M83" s="70" t="s">
        <v>830</v>
      </c>
      <c r="N83" s="70" t="s">
        <v>831</v>
      </c>
      <c r="O83" s="70" t="s">
        <v>832</v>
      </c>
      <c r="P83" s="70" t="s">
        <v>833</v>
      </c>
      <c r="R83" s="75" t="s">
        <v>835</v>
      </c>
      <c r="S83" s="70">
        <v>2017.0</v>
      </c>
      <c r="T83" s="70" t="s">
        <v>837</v>
      </c>
      <c r="X83" s="70" t="s">
        <v>401</v>
      </c>
      <c r="Y83" s="70" t="s">
        <v>402</v>
      </c>
      <c r="Z83" s="70" t="s">
        <v>839</v>
      </c>
      <c r="AZ83" s="70" t="s">
        <v>840</v>
      </c>
      <c r="BA83" s="70" t="s">
        <v>18</v>
      </c>
      <c r="BB83" s="70">
        <v>93.0</v>
      </c>
      <c r="BC83" s="70">
        <v>0.0</v>
      </c>
    </row>
    <row r="84" ht="22.5" customHeight="1">
      <c r="A84" s="86" t="str">
        <f t="shared" si="1"/>
        <v>Included</v>
      </c>
      <c r="B84" s="87">
        <f t="shared" si="2"/>
        <v>2</v>
      </c>
      <c r="C84" s="70">
        <v>0.0</v>
      </c>
      <c r="D84" s="70" t="s">
        <v>30</v>
      </c>
      <c r="E84" s="70">
        <f>IFERROR(__xludf.DUMMYFUNCTION("if(REGEXMATCH(I84,""INCLUDE""),1,0)"),1.0)</f>
        <v>1</v>
      </c>
      <c r="F84" s="70" t="str">
        <f>IFERROR(__xludf.DUMMYFUNCTION("index(SPLIT(I84, "" - ""),0,2)"),"IC5")</f>
        <v>IC5</v>
      </c>
      <c r="G84" s="70">
        <f>IFERROR(__xludf.DUMMYFUNCTION("if(REGEXMATCH(J84,""INCLUDE""),1,0)"),1.0)</f>
        <v>1</v>
      </c>
      <c r="H84" s="70" t="str">
        <f>IFERROR(__xludf.DUMMYFUNCTION("index(SPLIT(J84, "" - ""),0,2)"),"IC5")</f>
        <v>IC5</v>
      </c>
      <c r="I84" s="88" t="s">
        <v>31520</v>
      </c>
      <c r="J84" s="70" t="s">
        <v>31520</v>
      </c>
      <c r="K84" s="70">
        <v>214.0</v>
      </c>
      <c r="M84" s="70" t="s">
        <v>499</v>
      </c>
      <c r="N84" s="70" t="s">
        <v>500</v>
      </c>
      <c r="O84" s="70" t="s">
        <v>501</v>
      </c>
      <c r="S84" s="70">
        <v>2023.0</v>
      </c>
      <c r="T84" s="70" t="s">
        <v>503</v>
      </c>
      <c r="X84" s="70" t="s">
        <v>401</v>
      </c>
      <c r="Y84" s="70" t="s">
        <v>402</v>
      </c>
      <c r="Z84" s="70" t="s">
        <v>505</v>
      </c>
      <c r="AZ84" s="70" t="s">
        <v>506</v>
      </c>
      <c r="BA84" s="70" t="s">
        <v>22</v>
      </c>
      <c r="BB84" s="70">
        <v>103.0</v>
      </c>
      <c r="BC84" s="70">
        <v>0.0</v>
      </c>
    </row>
    <row r="85" ht="22.5" customHeight="1">
      <c r="A85" s="86" t="str">
        <f t="shared" si="1"/>
        <v>Included</v>
      </c>
      <c r="B85" s="87">
        <f t="shared" si="2"/>
        <v>2</v>
      </c>
      <c r="C85" s="70">
        <v>0.0</v>
      </c>
      <c r="D85" s="70" t="s">
        <v>30</v>
      </c>
      <c r="E85" s="70">
        <f>IFERROR(__xludf.DUMMYFUNCTION("if(REGEXMATCH(I85,""INCLUDE""),1,0)"),1.0)</f>
        <v>1</v>
      </c>
      <c r="F85" s="70" t="str">
        <f>IFERROR(__xludf.DUMMYFUNCTION("index(SPLIT(I85, "" - ""),0,2)"),"IC5")</f>
        <v>IC5</v>
      </c>
      <c r="G85" s="70">
        <f>IFERROR(__xludf.DUMMYFUNCTION("if(REGEXMATCH(J85,""INCLUDE""),1,0)"),1.0)</f>
        <v>1</v>
      </c>
      <c r="H85" s="70" t="str">
        <f>IFERROR(__xludf.DUMMYFUNCTION("index(SPLIT(J85, "" - ""),0,2)"),"IC5")</f>
        <v>IC5</v>
      </c>
      <c r="I85" s="88" t="s">
        <v>31520</v>
      </c>
      <c r="J85" s="70" t="s">
        <v>31520</v>
      </c>
      <c r="K85" s="70">
        <v>76.0</v>
      </c>
      <c r="L85" s="70" t="s">
        <v>7146</v>
      </c>
      <c r="M85" s="70" t="s">
        <v>7144</v>
      </c>
      <c r="N85" s="70" t="s">
        <v>7145</v>
      </c>
      <c r="O85" s="70" t="s">
        <v>5002</v>
      </c>
      <c r="Q85" s="70" t="s">
        <v>5003</v>
      </c>
      <c r="S85" s="76">
        <v>43888.0</v>
      </c>
      <c r="X85" s="70" t="s">
        <v>239</v>
      </c>
      <c r="Z85" s="70" t="s">
        <v>7148</v>
      </c>
      <c r="AA85" s="70" t="s">
        <v>5007</v>
      </c>
      <c r="AC85" s="75" t="s">
        <v>7149</v>
      </c>
      <c r="AF85" s="70">
        <v>4.0</v>
      </c>
      <c r="AH85" s="70">
        <v>16.0</v>
      </c>
      <c r="AI85" s="70" t="s">
        <v>239</v>
      </c>
      <c r="AZ85" s="70" t="s">
        <v>7150</v>
      </c>
      <c r="BA85" s="70" t="s">
        <v>22</v>
      </c>
      <c r="BB85" s="70">
        <v>107.0</v>
      </c>
      <c r="BC85" s="70">
        <v>0.0</v>
      </c>
    </row>
    <row r="86" ht="22.5" customHeight="1">
      <c r="A86" s="86" t="str">
        <f t="shared" si="1"/>
        <v>Included</v>
      </c>
      <c r="B86" s="87">
        <f t="shared" si="2"/>
        <v>2</v>
      </c>
      <c r="C86" s="70">
        <v>0.0</v>
      </c>
      <c r="D86" s="70" t="s">
        <v>30</v>
      </c>
      <c r="E86" s="70">
        <f>IFERROR(__xludf.DUMMYFUNCTION("if(REGEXMATCH(I86,""INCLUDE""),1,0)"),1.0)</f>
        <v>1</v>
      </c>
      <c r="F86" s="70" t="str">
        <f>IFERROR(__xludf.DUMMYFUNCTION("index(SPLIT(I86, "" - ""),0,2)"),"IC5")</f>
        <v>IC5</v>
      </c>
      <c r="G86" s="70">
        <f>IFERROR(__xludf.DUMMYFUNCTION("if(REGEXMATCH(J86,""INCLUDE""),1,0)"),1.0)</f>
        <v>1</v>
      </c>
      <c r="H86" s="70" t="str">
        <f>IFERROR(__xludf.DUMMYFUNCTION("index(SPLIT(J86, "" - ""),0,2)"),"IC5")</f>
        <v>IC5</v>
      </c>
      <c r="I86" s="88" t="s">
        <v>31520</v>
      </c>
      <c r="J86" s="70" t="s">
        <v>31520</v>
      </c>
      <c r="K86" s="70">
        <v>63.0</v>
      </c>
      <c r="L86" s="70" t="s">
        <v>5432</v>
      </c>
      <c r="M86" s="70" t="s">
        <v>5429</v>
      </c>
      <c r="N86" s="70" t="s">
        <v>5430</v>
      </c>
      <c r="O86" s="70" t="s">
        <v>5431</v>
      </c>
      <c r="S86" s="76">
        <v>42726.0</v>
      </c>
      <c r="X86" s="70" t="s">
        <v>239</v>
      </c>
      <c r="Z86" s="70" t="s">
        <v>5434</v>
      </c>
      <c r="AA86" s="70" t="s">
        <v>5435</v>
      </c>
      <c r="AC86" s="75" t="s">
        <v>5436</v>
      </c>
      <c r="AD86" s="70" t="s">
        <v>5437</v>
      </c>
      <c r="AF86" s="70">
        <v>12.0</v>
      </c>
      <c r="AH86" s="70">
        <v>34.0</v>
      </c>
      <c r="AI86" s="70" t="s">
        <v>239</v>
      </c>
      <c r="AZ86" s="70" t="s">
        <v>5438</v>
      </c>
      <c r="BA86" s="70" t="s">
        <v>24</v>
      </c>
      <c r="BB86" s="70">
        <v>110.0</v>
      </c>
      <c r="BC86" s="70">
        <v>0.0</v>
      </c>
    </row>
    <row r="87" ht="22.5" customHeight="1">
      <c r="A87" s="86" t="str">
        <f t="shared" si="1"/>
        <v>Included</v>
      </c>
      <c r="B87" s="87">
        <f t="shared" si="2"/>
        <v>2</v>
      </c>
      <c r="C87" s="70">
        <v>0.0</v>
      </c>
      <c r="D87" s="70" t="s">
        <v>34</v>
      </c>
      <c r="E87" s="70">
        <f>IFERROR(__xludf.DUMMYFUNCTION("if(REGEXMATCH(I87,""INCLUDE""),1,0)"),1.0)</f>
        <v>1</v>
      </c>
      <c r="F87" s="70" t="str">
        <f>IFERROR(__xludf.DUMMYFUNCTION("index(SPLIT(I87, "" - ""),0,2)"),"IC5")</f>
        <v>IC5</v>
      </c>
      <c r="G87" s="70">
        <f>IFERROR(__xludf.DUMMYFUNCTION("if(REGEXMATCH(J87,""INCLUDE""),1,0)"),1.0)</f>
        <v>1</v>
      </c>
      <c r="H87" s="70" t="str">
        <f>IFERROR(__xludf.DUMMYFUNCTION("index(SPLIT(J87, "" - ""),0,2)"),"IC5")</f>
        <v>IC5</v>
      </c>
      <c r="I87" s="88" t="s">
        <v>31520</v>
      </c>
      <c r="J87" s="70" t="s">
        <v>31520</v>
      </c>
      <c r="K87" s="70">
        <v>35.0</v>
      </c>
      <c r="L87" s="70" t="s">
        <v>28239</v>
      </c>
      <c r="M87" s="70" t="s">
        <v>28237</v>
      </c>
      <c r="N87" s="70" t="s">
        <v>28238</v>
      </c>
      <c r="Z87" s="70" t="s">
        <v>29359</v>
      </c>
      <c r="AL87" s="70" t="s">
        <v>28241</v>
      </c>
      <c r="AM87" s="70" t="s">
        <v>28242</v>
      </c>
      <c r="AN87" s="70">
        <v>2020.0</v>
      </c>
      <c r="AO87" s="70" t="s">
        <v>24237</v>
      </c>
      <c r="AP87" s="70">
        <v>12020.0</v>
      </c>
      <c r="AT87" s="70">
        <v>4.0</v>
      </c>
      <c r="AU87" s="75" t="s">
        <v>28243</v>
      </c>
      <c r="AV87" s="70" t="s">
        <v>22525</v>
      </c>
      <c r="AW87" s="70" t="s">
        <v>22622</v>
      </c>
      <c r="AX87" s="70" t="s">
        <v>237</v>
      </c>
      <c r="AY87" s="70" t="s">
        <v>28244</v>
      </c>
      <c r="AZ87" s="70" t="s">
        <v>28245</v>
      </c>
      <c r="BA87" s="70" t="s">
        <v>24</v>
      </c>
      <c r="BB87" s="70">
        <v>116.0</v>
      </c>
      <c r="BC87" s="70">
        <v>0.0</v>
      </c>
    </row>
    <row r="88" ht="22.5" customHeight="1">
      <c r="A88" s="86" t="str">
        <f t="shared" si="1"/>
        <v>Included</v>
      </c>
      <c r="B88" s="87">
        <f t="shared" si="2"/>
        <v>2</v>
      </c>
      <c r="C88" s="70">
        <v>0.0</v>
      </c>
      <c r="D88" s="70" t="s">
        <v>30</v>
      </c>
      <c r="E88" s="70">
        <f>IFERROR(__xludf.DUMMYFUNCTION("if(REGEXMATCH(I88,""INCLUDE""),1,0)"),1.0)</f>
        <v>1</v>
      </c>
      <c r="F88" s="70" t="str">
        <f>IFERROR(__xludf.DUMMYFUNCTION("index(SPLIT(I88, "" - ""),0,2)"),"IC6")</f>
        <v>IC6</v>
      </c>
      <c r="G88" s="70">
        <f>IFERROR(__xludf.DUMMYFUNCTION("if(REGEXMATCH(J88,""INCLUDE""),1,0)"),1.0)</f>
        <v>1</v>
      </c>
      <c r="H88" s="70" t="str">
        <f>IFERROR(__xludf.DUMMYFUNCTION("index(SPLIT(J88, "" - ""),0,2)"),"IC5")</f>
        <v>IC5</v>
      </c>
      <c r="I88" s="88" t="s">
        <v>31521</v>
      </c>
      <c r="J88" s="70" t="s">
        <v>31520</v>
      </c>
      <c r="K88" s="70">
        <v>129.0</v>
      </c>
      <c r="L88" s="70" t="s">
        <v>551</v>
      </c>
      <c r="M88" s="70" t="s">
        <v>547</v>
      </c>
      <c r="N88" s="70" t="s">
        <v>548</v>
      </c>
      <c r="O88" s="70" t="s">
        <v>549</v>
      </c>
      <c r="P88" s="70" t="s">
        <v>550</v>
      </c>
      <c r="R88" s="75" t="s">
        <v>552</v>
      </c>
      <c r="S88" s="70">
        <v>2023.0</v>
      </c>
      <c r="T88" s="70" t="s">
        <v>554</v>
      </c>
      <c r="X88" s="70" t="s">
        <v>555</v>
      </c>
      <c r="Y88" s="70" t="s">
        <v>556</v>
      </c>
      <c r="Z88" s="70" t="s">
        <v>29426</v>
      </c>
      <c r="AZ88" s="70" t="s">
        <v>558</v>
      </c>
      <c r="BA88" s="70" t="s">
        <v>22</v>
      </c>
      <c r="BB88" s="70">
        <v>118.0</v>
      </c>
      <c r="BC88" s="70">
        <v>0.0</v>
      </c>
    </row>
    <row r="89" ht="22.5" customHeight="1">
      <c r="A89" s="86" t="str">
        <f t="shared" si="1"/>
        <v>Included</v>
      </c>
      <c r="B89" s="87">
        <f t="shared" si="2"/>
        <v>2</v>
      </c>
      <c r="C89" s="70">
        <v>0.0</v>
      </c>
      <c r="D89" s="70" t="s">
        <v>30</v>
      </c>
      <c r="E89" s="70">
        <f>IFERROR(__xludf.DUMMYFUNCTION("if(REGEXMATCH(I89,""INCLUDE""),1,0)"),1.0)</f>
        <v>1</v>
      </c>
      <c r="F89" s="70" t="str">
        <f>IFERROR(__xludf.DUMMYFUNCTION("index(SPLIT(I89, "" - ""),0,2)"),"IC5")</f>
        <v>IC5</v>
      </c>
      <c r="G89" s="70">
        <f>IFERROR(__xludf.DUMMYFUNCTION("if(REGEXMATCH(J89,""INCLUDE""),1,0)"),1.0)</f>
        <v>1</v>
      </c>
      <c r="H89" s="70" t="str">
        <f>IFERROR(__xludf.DUMMYFUNCTION("index(SPLIT(J89, "" - ""),0,2)"),"IC5")</f>
        <v>IC5</v>
      </c>
      <c r="I89" s="88" t="s">
        <v>31520</v>
      </c>
      <c r="J89" s="70" t="s">
        <v>31520</v>
      </c>
      <c r="K89" s="70">
        <v>3.0</v>
      </c>
      <c r="L89" s="70" t="s">
        <v>1477</v>
      </c>
      <c r="M89" s="70" t="s">
        <v>1473</v>
      </c>
      <c r="N89" s="70" t="s">
        <v>1474</v>
      </c>
      <c r="O89" s="70" t="s">
        <v>29312</v>
      </c>
      <c r="P89" s="70" t="s">
        <v>1476</v>
      </c>
      <c r="R89" s="75" t="s">
        <v>1478</v>
      </c>
      <c r="S89" s="70">
        <v>2020.0</v>
      </c>
      <c r="X89" s="70" t="s">
        <v>387</v>
      </c>
      <c r="Y89" s="70" t="s">
        <v>388</v>
      </c>
      <c r="Z89" s="70" t="s">
        <v>1480</v>
      </c>
      <c r="AZ89" s="70" t="s">
        <v>1481</v>
      </c>
      <c r="BA89" s="70" t="s">
        <v>22</v>
      </c>
      <c r="BB89" s="70">
        <v>119.0</v>
      </c>
      <c r="BC89" s="70">
        <v>0.0</v>
      </c>
    </row>
    <row r="90" ht="22.5" customHeight="1">
      <c r="A90" s="86" t="str">
        <f t="shared" si="1"/>
        <v>Included</v>
      </c>
      <c r="B90" s="87">
        <f t="shared" si="2"/>
        <v>2</v>
      </c>
      <c r="C90" s="70">
        <v>0.0</v>
      </c>
      <c r="D90" s="70" t="s">
        <v>30</v>
      </c>
      <c r="E90" s="70">
        <f>IFERROR(__xludf.DUMMYFUNCTION("if(REGEXMATCH(I90,""INCLUDE""),1,0)"),1.0)</f>
        <v>1</v>
      </c>
      <c r="F90" s="70" t="str">
        <f>IFERROR(__xludf.DUMMYFUNCTION("index(SPLIT(I90, "" - ""),0,2)"),"IC5")</f>
        <v>IC5</v>
      </c>
      <c r="G90" s="70">
        <f>IFERROR(__xludf.DUMMYFUNCTION("if(REGEXMATCH(J90,""INCLUDE""),1,0)"),1.0)</f>
        <v>1</v>
      </c>
      <c r="H90" s="70" t="str">
        <f>IFERROR(__xludf.DUMMYFUNCTION("index(SPLIT(J90, "" - ""),0,2)"),"IC5")</f>
        <v>IC5</v>
      </c>
      <c r="I90" s="88" t="s">
        <v>31520</v>
      </c>
      <c r="J90" s="70" t="s">
        <v>31520</v>
      </c>
      <c r="K90" s="70">
        <v>103.0</v>
      </c>
      <c r="L90" s="70" t="s">
        <v>9651</v>
      </c>
      <c r="M90" s="70" t="s">
        <v>9647</v>
      </c>
      <c r="N90" s="70" t="s">
        <v>9648</v>
      </c>
      <c r="O90" s="70" t="s">
        <v>9649</v>
      </c>
      <c r="Q90" s="70" t="s">
        <v>9650</v>
      </c>
      <c r="S90" s="76">
        <v>43482.0</v>
      </c>
      <c r="X90" s="70" t="s">
        <v>239</v>
      </c>
      <c r="Z90" s="70" t="s">
        <v>9653</v>
      </c>
      <c r="AA90" s="70" t="s">
        <v>9654</v>
      </c>
      <c r="AC90" s="75" t="s">
        <v>9655</v>
      </c>
      <c r="AD90" s="70" t="s">
        <v>9656</v>
      </c>
      <c r="AH90" s="70">
        <v>18.0</v>
      </c>
      <c r="AI90" s="70" t="s">
        <v>239</v>
      </c>
      <c r="AZ90" s="70" t="s">
        <v>9657</v>
      </c>
      <c r="BA90" s="70" t="s">
        <v>22</v>
      </c>
      <c r="BB90" s="70">
        <v>123.0</v>
      </c>
      <c r="BC90" s="70">
        <v>0.0</v>
      </c>
    </row>
    <row r="91" ht="22.5" customHeight="1">
      <c r="A91" s="86" t="str">
        <f t="shared" si="1"/>
        <v>Included</v>
      </c>
      <c r="B91" s="87">
        <f t="shared" si="2"/>
        <v>2</v>
      </c>
      <c r="C91" s="70">
        <v>0.0</v>
      </c>
      <c r="D91" s="70" t="s">
        <v>34</v>
      </c>
      <c r="E91" s="70">
        <f>IFERROR(__xludf.DUMMYFUNCTION("if(REGEXMATCH(I91,""INCLUDE""),1,0)"),1.0)</f>
        <v>1</v>
      </c>
      <c r="F91" s="70" t="str">
        <f>IFERROR(__xludf.DUMMYFUNCTION("index(SPLIT(I91, "" - ""),0,2)"),"IC5")</f>
        <v>IC5</v>
      </c>
      <c r="G91" s="70">
        <f>IFERROR(__xludf.DUMMYFUNCTION("if(REGEXMATCH(J91,""INCLUDE""),1,0)"),1.0)</f>
        <v>1</v>
      </c>
      <c r="H91" s="70" t="str">
        <f>IFERROR(__xludf.DUMMYFUNCTION("index(SPLIT(J91, "" - ""),0,2)"),"IC5")</f>
        <v>IC5</v>
      </c>
      <c r="I91" s="88" t="s">
        <v>31520</v>
      </c>
      <c r="J91" s="70" t="s">
        <v>31520</v>
      </c>
      <c r="K91" s="70">
        <v>192.0</v>
      </c>
      <c r="L91" s="70" t="s">
        <v>29160</v>
      </c>
      <c r="M91" s="70" t="s">
        <v>28931</v>
      </c>
      <c r="N91" s="70" t="s">
        <v>29159</v>
      </c>
      <c r="Z91" s="70" t="s">
        <v>29478</v>
      </c>
      <c r="AL91" s="70" t="s">
        <v>28936</v>
      </c>
      <c r="AM91" s="70" t="s">
        <v>28937</v>
      </c>
      <c r="AN91" s="70">
        <v>2017.0</v>
      </c>
      <c r="AO91" s="70" t="s">
        <v>29162</v>
      </c>
      <c r="AP91" s="70">
        <v>8065706.0</v>
      </c>
      <c r="AQ91" s="70">
        <v>24.0</v>
      </c>
      <c r="AR91" s="70">
        <v>29.0</v>
      </c>
      <c r="AS91" s="70">
        <v>5.0</v>
      </c>
      <c r="AT91" s="70">
        <v>6.0</v>
      </c>
      <c r="AU91" s="75" t="s">
        <v>29163</v>
      </c>
      <c r="AV91" s="70" t="s">
        <v>22525</v>
      </c>
      <c r="AX91" s="70" t="s">
        <v>237</v>
      </c>
      <c r="AY91" s="70" t="s">
        <v>29164</v>
      </c>
      <c r="AZ91" s="70" t="s">
        <v>29165</v>
      </c>
      <c r="BA91" s="70" t="s">
        <v>24</v>
      </c>
      <c r="BB91" s="70">
        <v>127.0</v>
      </c>
      <c r="BC91" s="70">
        <v>0.0</v>
      </c>
    </row>
    <row r="92" ht="22.5" customHeight="1">
      <c r="A92" s="86" t="str">
        <f t="shared" si="1"/>
        <v>Included</v>
      </c>
      <c r="B92" s="87">
        <f t="shared" si="2"/>
        <v>2</v>
      </c>
      <c r="C92" s="70">
        <v>0.0</v>
      </c>
      <c r="D92" s="70" t="s">
        <v>34</v>
      </c>
      <c r="E92" s="70">
        <f>IFERROR(__xludf.DUMMYFUNCTION("if(REGEXMATCH(I92,""INCLUDE""),1,0)"),1.0)</f>
        <v>1</v>
      </c>
      <c r="F92" s="70" t="str">
        <f>IFERROR(__xludf.DUMMYFUNCTION("index(SPLIT(I92, "" - ""),0,2)"),"IC5")</f>
        <v>IC5</v>
      </c>
      <c r="G92" s="70">
        <f>IFERROR(__xludf.DUMMYFUNCTION("if(REGEXMATCH(J92,""INCLUDE""),1,0)"),1.0)</f>
        <v>1</v>
      </c>
      <c r="H92" s="70" t="str">
        <f>IFERROR(__xludf.DUMMYFUNCTION("index(SPLIT(J92, "" - ""),0,2)"),"IC5")</f>
        <v>IC5</v>
      </c>
      <c r="I92" s="88" t="s">
        <v>31520</v>
      </c>
      <c r="J92" s="70" t="s">
        <v>31520</v>
      </c>
      <c r="K92" s="70">
        <v>141.0</v>
      </c>
      <c r="L92" s="70" t="s">
        <v>5878</v>
      </c>
      <c r="M92" s="70" t="s">
        <v>5875</v>
      </c>
      <c r="N92" s="70" t="s">
        <v>5876</v>
      </c>
      <c r="O92" s="70" t="s">
        <v>5877</v>
      </c>
      <c r="S92" s="79">
        <v>43958.0</v>
      </c>
      <c r="X92" s="70" t="s">
        <v>239</v>
      </c>
      <c r="Z92" s="70" t="s">
        <v>5880</v>
      </c>
      <c r="AA92" s="70" t="s">
        <v>5881</v>
      </c>
      <c r="AC92" s="75" t="s">
        <v>5882</v>
      </c>
      <c r="AD92" s="70" t="s">
        <v>29434</v>
      </c>
      <c r="AF92" s="70">
        <v>9.0</v>
      </c>
      <c r="AH92" s="70">
        <v>12.0</v>
      </c>
      <c r="AI92" s="70" t="s">
        <v>239</v>
      </c>
      <c r="BA92" s="70" t="s">
        <v>22</v>
      </c>
      <c r="BB92" s="70">
        <v>128.0</v>
      </c>
      <c r="BC92" s="70">
        <v>0.0</v>
      </c>
    </row>
    <row r="93" ht="22.5" customHeight="1">
      <c r="A93" s="86" t="str">
        <f t="shared" si="1"/>
        <v>Included</v>
      </c>
      <c r="B93" s="87">
        <f t="shared" si="2"/>
        <v>2</v>
      </c>
      <c r="C93" s="70">
        <v>0.0</v>
      </c>
      <c r="D93" s="70" t="s">
        <v>34</v>
      </c>
      <c r="E93" s="70">
        <f>IFERROR(__xludf.DUMMYFUNCTION("if(REGEXMATCH(I93,""INCLUDE""),1,0)"),1.0)</f>
        <v>1</v>
      </c>
      <c r="F93" s="70" t="str">
        <f>IFERROR(__xludf.DUMMYFUNCTION("index(SPLIT(I93, "" - ""),0,2)"),"IC5")</f>
        <v>IC5</v>
      </c>
      <c r="G93" s="70">
        <f>IFERROR(__xludf.DUMMYFUNCTION("if(REGEXMATCH(J93,""INCLUDE""),1,0)"),1.0)</f>
        <v>1</v>
      </c>
      <c r="H93" s="70" t="str">
        <f>IFERROR(__xludf.DUMMYFUNCTION("index(SPLIT(J93, "" - ""),0,2)"),"IC5")</f>
        <v>IC5</v>
      </c>
      <c r="I93" s="88" t="s">
        <v>31520</v>
      </c>
      <c r="J93" s="70" t="s">
        <v>31520</v>
      </c>
      <c r="K93" s="70">
        <v>97.0</v>
      </c>
      <c r="L93" s="70" t="s">
        <v>14307</v>
      </c>
      <c r="M93" s="70" t="s">
        <v>14305</v>
      </c>
      <c r="N93" s="70" t="s">
        <v>14306</v>
      </c>
      <c r="O93" s="70" t="s">
        <v>14183</v>
      </c>
      <c r="Q93" s="70" t="s">
        <v>11472</v>
      </c>
      <c r="S93" s="76">
        <v>45580.0</v>
      </c>
      <c r="X93" s="70" t="s">
        <v>239</v>
      </c>
      <c r="Z93" s="70" t="s">
        <v>29405</v>
      </c>
      <c r="AA93" s="70" t="s">
        <v>14187</v>
      </c>
      <c r="AC93" s="75" t="s">
        <v>14310</v>
      </c>
      <c r="AD93" s="70" t="s">
        <v>14311</v>
      </c>
      <c r="AH93" s="70">
        <v>39.0</v>
      </c>
      <c r="AI93" s="70" t="s">
        <v>239</v>
      </c>
      <c r="AZ93" s="70" t="s">
        <v>14312</v>
      </c>
      <c r="BB93" s="70">
        <v>129.0</v>
      </c>
      <c r="BC93" s="70">
        <v>0.0</v>
      </c>
    </row>
    <row r="94" ht="22.5" customHeight="1">
      <c r="A94" s="86" t="str">
        <f t="shared" si="1"/>
        <v>Included</v>
      </c>
      <c r="B94" s="87">
        <f t="shared" si="2"/>
        <v>2</v>
      </c>
      <c r="C94" s="70">
        <v>0.0</v>
      </c>
      <c r="D94" s="70" t="s">
        <v>34</v>
      </c>
      <c r="E94" s="70">
        <f>IFERROR(__xludf.DUMMYFUNCTION("if(REGEXMATCH(I94,""INCLUDE""),1,0)"),1.0)</f>
        <v>1</v>
      </c>
      <c r="F94" s="70" t="str">
        <f>IFERROR(__xludf.DUMMYFUNCTION("index(SPLIT(I94, "" - ""),0,2)"),"IC5")</f>
        <v>IC5</v>
      </c>
      <c r="G94" s="70">
        <f>IFERROR(__xludf.DUMMYFUNCTION("if(REGEXMATCH(J94,""INCLUDE""),1,0)"),1.0)</f>
        <v>1</v>
      </c>
      <c r="H94" s="70" t="str">
        <f>IFERROR(__xludf.DUMMYFUNCTION("index(SPLIT(J94, "" - ""),0,2)"),"IC5")</f>
        <v>IC5</v>
      </c>
      <c r="I94" s="88" t="s">
        <v>31520</v>
      </c>
      <c r="J94" s="70" t="s">
        <v>31520</v>
      </c>
      <c r="K94" s="70">
        <v>125.0</v>
      </c>
      <c r="L94" s="70" t="s">
        <v>22227</v>
      </c>
      <c r="M94" s="70" t="s">
        <v>22225</v>
      </c>
      <c r="N94" s="70" t="s">
        <v>22226</v>
      </c>
      <c r="O94" s="70" t="s">
        <v>17051</v>
      </c>
      <c r="Q94" s="70" t="s">
        <v>17052</v>
      </c>
      <c r="S94" s="76">
        <v>45621.0</v>
      </c>
      <c r="X94" s="70" t="s">
        <v>239</v>
      </c>
      <c r="Z94" s="70" t="s">
        <v>22229</v>
      </c>
      <c r="AB94" s="70" t="s">
        <v>22230</v>
      </c>
      <c r="AC94" s="75" t="s">
        <v>22231</v>
      </c>
      <c r="AD94" s="70" t="s">
        <v>22232</v>
      </c>
      <c r="AH94" s="70">
        <v>41.0</v>
      </c>
      <c r="AI94" s="70" t="s">
        <v>16423</v>
      </c>
      <c r="AZ94" s="70" t="s">
        <v>22233</v>
      </c>
      <c r="BA94" s="70" t="s">
        <v>22</v>
      </c>
      <c r="BB94" s="70">
        <v>132.0</v>
      </c>
      <c r="BC94" s="70">
        <v>0.0</v>
      </c>
    </row>
    <row r="95" ht="22.5" customHeight="1">
      <c r="A95" s="86" t="str">
        <f t="shared" si="1"/>
        <v>Included</v>
      </c>
      <c r="B95" s="87">
        <f t="shared" si="2"/>
        <v>2</v>
      </c>
      <c r="C95" s="70">
        <v>0.0</v>
      </c>
      <c r="D95" s="70" t="s">
        <v>34</v>
      </c>
      <c r="E95" s="70">
        <f>IFERROR(__xludf.DUMMYFUNCTION("if(REGEXMATCH(I95,""INCLUDE""),1,0)"),1.0)</f>
        <v>1</v>
      </c>
      <c r="F95" s="70" t="str">
        <f>IFERROR(__xludf.DUMMYFUNCTION("index(SPLIT(I95, "" - ""),0,2)"),"IC5")</f>
        <v>IC5</v>
      </c>
      <c r="G95" s="70">
        <f>IFERROR(__xludf.DUMMYFUNCTION("if(REGEXMATCH(J95,""INCLUDE""),1,0)"),1.0)</f>
        <v>1</v>
      </c>
      <c r="H95" s="70" t="str">
        <f>IFERROR(__xludf.DUMMYFUNCTION("index(SPLIT(J95, "" - ""),0,2)"),"IC5")</f>
        <v>IC5</v>
      </c>
      <c r="I95" s="88" t="s">
        <v>31520</v>
      </c>
      <c r="J95" s="70" t="s">
        <v>31520</v>
      </c>
      <c r="K95" s="70">
        <v>175.0</v>
      </c>
      <c r="L95" s="70" t="s">
        <v>1453</v>
      </c>
      <c r="M95" s="70" t="s">
        <v>1449</v>
      </c>
      <c r="N95" s="70" t="s">
        <v>1450</v>
      </c>
      <c r="O95" s="70" t="s">
        <v>1451</v>
      </c>
      <c r="P95" s="70" t="s">
        <v>1452</v>
      </c>
      <c r="R95" s="75" t="s">
        <v>1454</v>
      </c>
      <c r="S95" s="70">
        <v>2023.0</v>
      </c>
      <c r="T95" s="70" t="s">
        <v>1456</v>
      </c>
      <c r="X95" s="70" t="s">
        <v>401</v>
      </c>
      <c r="Y95" s="70" t="s">
        <v>402</v>
      </c>
      <c r="Z95" s="70" t="s">
        <v>29464</v>
      </c>
      <c r="AZ95" s="70" t="s">
        <v>1459</v>
      </c>
      <c r="BA95" s="70" t="s">
        <v>22</v>
      </c>
      <c r="BB95" s="70">
        <v>134.0</v>
      </c>
      <c r="BC95" s="70">
        <v>0.0</v>
      </c>
    </row>
    <row r="96" ht="22.5" customHeight="1">
      <c r="A96" s="86" t="str">
        <f t="shared" si="1"/>
        <v>Included</v>
      </c>
      <c r="B96" s="87">
        <f t="shared" si="2"/>
        <v>2</v>
      </c>
      <c r="C96" s="70">
        <v>0.0</v>
      </c>
      <c r="D96" s="70" t="s">
        <v>34</v>
      </c>
      <c r="E96" s="70">
        <f>IFERROR(__xludf.DUMMYFUNCTION("if(REGEXMATCH(I96,""INCLUDE""),1,0)"),1.0)</f>
        <v>1</v>
      </c>
      <c r="F96" s="70" t="str">
        <f>IFERROR(__xludf.DUMMYFUNCTION("index(SPLIT(I96, "" - ""),0,2)"),"IC5")</f>
        <v>IC5</v>
      </c>
      <c r="G96" s="70">
        <f>IFERROR(__xludf.DUMMYFUNCTION("if(REGEXMATCH(J96,""INCLUDE""),1,0)"),1.0)</f>
        <v>1</v>
      </c>
      <c r="H96" s="70" t="str">
        <f>IFERROR(__xludf.DUMMYFUNCTION("index(SPLIT(J96, "" - ""),0,2)"),"IC5")</f>
        <v>IC5</v>
      </c>
      <c r="I96" s="88" t="s">
        <v>31520</v>
      </c>
      <c r="J96" s="70" t="s">
        <v>31520</v>
      </c>
      <c r="K96" s="70">
        <v>138.0</v>
      </c>
      <c r="L96" s="70" t="s">
        <v>15105</v>
      </c>
      <c r="M96" s="70" t="s">
        <v>15102</v>
      </c>
      <c r="N96" s="70" t="s">
        <v>15103</v>
      </c>
      <c r="O96" s="70" t="s">
        <v>15104</v>
      </c>
      <c r="S96" s="76">
        <v>45706.0</v>
      </c>
      <c r="X96" s="70" t="s">
        <v>239</v>
      </c>
      <c r="Z96" s="70" t="s">
        <v>15107</v>
      </c>
      <c r="AA96" s="70" t="s">
        <v>15108</v>
      </c>
      <c r="AC96" s="75" t="s">
        <v>15109</v>
      </c>
      <c r="AD96" s="70" t="s">
        <v>15110</v>
      </c>
      <c r="AH96" s="70">
        <v>14.0</v>
      </c>
      <c r="AI96" s="70" t="s">
        <v>239</v>
      </c>
      <c r="AZ96" s="70" t="s">
        <v>15111</v>
      </c>
      <c r="BA96" s="70" t="s">
        <v>22</v>
      </c>
      <c r="BB96" s="70">
        <v>140.0</v>
      </c>
      <c r="BC96" s="70">
        <v>0.0</v>
      </c>
    </row>
    <row r="97" ht="22.5" customHeight="1">
      <c r="A97" s="86" t="str">
        <f t="shared" si="1"/>
        <v>Included</v>
      </c>
      <c r="B97" s="87">
        <f t="shared" si="2"/>
        <v>2</v>
      </c>
      <c r="C97" s="70">
        <v>0.0</v>
      </c>
      <c r="D97" s="70" t="s">
        <v>34</v>
      </c>
      <c r="E97" s="70">
        <f>IFERROR(__xludf.DUMMYFUNCTION("if(REGEXMATCH(I97,""INCLUDE""),1,0)"),1.0)</f>
        <v>1</v>
      </c>
      <c r="F97" s="70" t="str">
        <f>IFERROR(__xludf.DUMMYFUNCTION("index(SPLIT(I97, "" - ""),0,2)"),"IC6")</f>
        <v>IC6</v>
      </c>
      <c r="G97" s="70">
        <f>IFERROR(__xludf.DUMMYFUNCTION("if(REGEXMATCH(J97,""INCLUDE""),1,0)"),1.0)</f>
        <v>1</v>
      </c>
      <c r="H97" s="70" t="str">
        <f>IFERROR(__xludf.DUMMYFUNCTION("index(SPLIT(J97, "" - ""),0,2)"),"IC6")</f>
        <v>IC6</v>
      </c>
      <c r="I97" s="88" t="s">
        <v>31521</v>
      </c>
      <c r="J97" s="70" t="s">
        <v>31521</v>
      </c>
      <c r="K97" s="70">
        <v>1.0</v>
      </c>
      <c r="L97" s="70" t="s">
        <v>23457</v>
      </c>
      <c r="M97" s="70" t="s">
        <v>23455</v>
      </c>
      <c r="N97" s="70" t="s">
        <v>23456</v>
      </c>
      <c r="Z97" s="70" t="s">
        <v>29310</v>
      </c>
      <c r="AD97" s="70" t="s">
        <v>23459</v>
      </c>
      <c r="AL97" s="70" t="s">
        <v>23460</v>
      </c>
      <c r="AM97" s="70" t="s">
        <v>23461</v>
      </c>
      <c r="AN97" s="70">
        <v>2024.0</v>
      </c>
      <c r="AO97" s="70" t="s">
        <v>23462</v>
      </c>
      <c r="AQ97" s="70">
        <v>1596.0</v>
      </c>
      <c r="AR97" s="70">
        <v>1620.0</v>
      </c>
      <c r="AS97" s="70">
        <v>24.0</v>
      </c>
      <c r="AT97" s="70">
        <v>5.0</v>
      </c>
      <c r="AU97" s="75" t="s">
        <v>23463</v>
      </c>
      <c r="AV97" s="70" t="s">
        <v>22525</v>
      </c>
      <c r="AX97" s="70" t="s">
        <v>237</v>
      </c>
      <c r="AY97" s="70" t="s">
        <v>23464</v>
      </c>
      <c r="AZ97" s="70" t="s">
        <v>23465</v>
      </c>
      <c r="BA97" s="70" t="s">
        <v>22</v>
      </c>
      <c r="BB97" s="70">
        <v>142.0</v>
      </c>
      <c r="BC97" s="70">
        <v>0.0</v>
      </c>
    </row>
    <row r="98" ht="22.5" customHeight="1">
      <c r="A98" s="86" t="str">
        <f t="shared" si="1"/>
        <v>Included</v>
      </c>
      <c r="B98" s="87">
        <f t="shared" si="2"/>
        <v>2</v>
      </c>
      <c r="C98" s="70">
        <v>0.0</v>
      </c>
      <c r="D98" s="70" t="s">
        <v>34</v>
      </c>
      <c r="E98" s="70">
        <f>IFERROR(__xludf.DUMMYFUNCTION("if(REGEXMATCH(I98,""INCLUDE""),1,0)"),1.0)</f>
        <v>1</v>
      </c>
      <c r="F98" s="70" t="str">
        <f>IFERROR(__xludf.DUMMYFUNCTION("index(SPLIT(I98, "" - ""),0,2)"),"IC5")</f>
        <v>IC5</v>
      </c>
      <c r="G98" s="70">
        <f>IFERROR(__xludf.DUMMYFUNCTION("if(REGEXMATCH(J98,""INCLUDE""),1,0)"),1.0)</f>
        <v>1</v>
      </c>
      <c r="H98" s="70" t="str">
        <f>IFERROR(__xludf.DUMMYFUNCTION("index(SPLIT(J98, "" - ""),0,2)"),"IC5")</f>
        <v>IC5</v>
      </c>
      <c r="I98" s="88" t="s">
        <v>31520</v>
      </c>
      <c r="J98" s="70" t="s">
        <v>31520</v>
      </c>
      <c r="K98" s="70">
        <v>54.0</v>
      </c>
      <c r="L98" s="70" t="s">
        <v>21568</v>
      </c>
      <c r="M98" s="70" t="s">
        <v>21566</v>
      </c>
      <c r="N98" s="70" t="s">
        <v>21567</v>
      </c>
      <c r="O98" s="70" t="s">
        <v>16436</v>
      </c>
      <c r="Q98" s="70" t="s">
        <v>16437</v>
      </c>
      <c r="S98" s="77">
        <v>45597.0</v>
      </c>
      <c r="X98" s="70" t="s">
        <v>239</v>
      </c>
      <c r="Z98" s="70" t="s">
        <v>21570</v>
      </c>
      <c r="AB98" s="70" t="s">
        <v>29378</v>
      </c>
      <c r="AC98" s="75" t="s">
        <v>21572</v>
      </c>
      <c r="AD98" s="70" t="s">
        <v>21573</v>
      </c>
      <c r="AH98" s="70">
        <v>64.0</v>
      </c>
      <c r="AI98" s="70" t="s">
        <v>16423</v>
      </c>
      <c r="AZ98" s="70" t="s">
        <v>21574</v>
      </c>
      <c r="BA98" s="70" t="s">
        <v>22</v>
      </c>
      <c r="BB98" s="70">
        <v>143.0</v>
      </c>
      <c r="BC98" s="70">
        <v>0.0</v>
      </c>
    </row>
    <row r="99" ht="22.5" customHeight="1">
      <c r="A99" s="86" t="str">
        <f t="shared" si="1"/>
        <v>Included</v>
      </c>
      <c r="B99" s="87">
        <f t="shared" si="2"/>
        <v>2</v>
      </c>
      <c r="C99" s="70">
        <v>0.0</v>
      </c>
      <c r="D99" s="70" t="s">
        <v>30</v>
      </c>
      <c r="E99" s="70">
        <f>IFERROR(__xludf.DUMMYFUNCTION("if(REGEXMATCH(I99,""INCLUDE""),1,0)"),1.0)</f>
        <v>1</v>
      </c>
      <c r="F99" s="70" t="str">
        <f>IFERROR(__xludf.DUMMYFUNCTION("index(SPLIT(I99, "" - ""),0,2)"),"IC5")</f>
        <v>IC5</v>
      </c>
      <c r="G99" s="70">
        <f>IFERROR(__xludf.DUMMYFUNCTION("if(REGEXMATCH(J99,""INCLUDE""),1,0)"),1.0)</f>
        <v>1</v>
      </c>
      <c r="H99" s="70" t="str">
        <f>IFERROR(__xludf.DUMMYFUNCTION("index(SPLIT(J99, "" - ""),0,2)"),"IC5")</f>
        <v>IC5</v>
      </c>
      <c r="I99" s="88" t="s">
        <v>31520</v>
      </c>
      <c r="J99" s="70" t="s">
        <v>31520</v>
      </c>
      <c r="K99" s="70">
        <v>102.0</v>
      </c>
      <c r="L99" s="70" t="s">
        <v>12513</v>
      </c>
      <c r="M99" s="70" t="s">
        <v>29408</v>
      </c>
      <c r="N99" s="70" t="s">
        <v>12510</v>
      </c>
      <c r="O99" s="70" t="s">
        <v>12511</v>
      </c>
      <c r="Q99" s="70" t="s">
        <v>12512</v>
      </c>
      <c r="S99" s="76">
        <v>45517.0</v>
      </c>
      <c r="X99" s="70" t="s">
        <v>239</v>
      </c>
      <c r="Z99" s="70" t="s">
        <v>12515</v>
      </c>
      <c r="AA99" s="70" t="s">
        <v>12516</v>
      </c>
      <c r="AC99" s="75" t="s">
        <v>12517</v>
      </c>
      <c r="AD99" s="70" t="s">
        <v>12518</v>
      </c>
      <c r="AH99" s="70">
        <v>29.0</v>
      </c>
      <c r="AI99" s="70" t="s">
        <v>239</v>
      </c>
      <c r="AZ99" s="70" t="s">
        <v>12519</v>
      </c>
      <c r="BA99" s="70" t="s">
        <v>22</v>
      </c>
      <c r="BB99" s="70">
        <v>145.0</v>
      </c>
      <c r="BC99" s="70">
        <v>0.0</v>
      </c>
    </row>
    <row r="100" ht="22.5" customHeight="1">
      <c r="A100" s="86" t="str">
        <f t="shared" si="1"/>
        <v>Included</v>
      </c>
      <c r="B100" s="87">
        <f t="shared" si="2"/>
        <v>2</v>
      </c>
      <c r="C100" s="70">
        <v>0.0</v>
      </c>
      <c r="D100" s="70" t="s">
        <v>34</v>
      </c>
      <c r="E100" s="70">
        <f>IFERROR(__xludf.DUMMYFUNCTION("if(REGEXMATCH(I100,""INCLUDE""),1,0)"),1.0)</f>
        <v>1</v>
      </c>
      <c r="F100" s="70" t="str">
        <f>IFERROR(__xludf.DUMMYFUNCTION("index(SPLIT(I100, "" - ""),0,2)"),"IC5")</f>
        <v>IC5</v>
      </c>
      <c r="G100" s="70">
        <f>IFERROR(__xludf.DUMMYFUNCTION("if(REGEXMATCH(J100,""INCLUDE""),1,0)"),1.0)</f>
        <v>1</v>
      </c>
      <c r="H100" s="70" t="str">
        <f>IFERROR(__xludf.DUMMYFUNCTION("index(SPLIT(J100, "" - ""),0,2)"),"IC5")</f>
        <v>IC5</v>
      </c>
      <c r="I100" s="88" t="s">
        <v>31520</v>
      </c>
      <c r="J100" s="70" t="s">
        <v>31520</v>
      </c>
      <c r="K100" s="70">
        <v>126.0</v>
      </c>
      <c r="L100" s="70" t="s">
        <v>6785</v>
      </c>
      <c r="M100" s="70" t="s">
        <v>6782</v>
      </c>
      <c r="N100" s="70" t="s">
        <v>6783</v>
      </c>
      <c r="O100" s="70" t="s">
        <v>6784</v>
      </c>
      <c r="S100" s="76">
        <v>43097.0</v>
      </c>
      <c r="X100" s="70" t="s">
        <v>239</v>
      </c>
      <c r="Z100" s="70" t="s">
        <v>6787</v>
      </c>
      <c r="AA100" s="70" t="s">
        <v>6788</v>
      </c>
      <c r="AC100" s="75" t="s">
        <v>6789</v>
      </c>
      <c r="AF100" s="70">
        <v>5.0</v>
      </c>
      <c r="AH100" s="70">
        <v>19.0</v>
      </c>
      <c r="AI100" s="70" t="s">
        <v>239</v>
      </c>
      <c r="AZ100" s="70" t="s">
        <v>6790</v>
      </c>
      <c r="BA100" s="70" t="s">
        <v>29424</v>
      </c>
      <c r="BB100" s="70">
        <v>146.0</v>
      </c>
      <c r="BC100" s="70">
        <v>0.0</v>
      </c>
    </row>
    <row r="101" ht="22.5" customHeight="1">
      <c r="A101" s="86" t="str">
        <f t="shared" si="1"/>
        <v>Included</v>
      </c>
      <c r="B101" s="87">
        <f t="shared" si="2"/>
        <v>2</v>
      </c>
      <c r="C101" s="70">
        <v>0.0</v>
      </c>
      <c r="D101" s="70" t="s">
        <v>30</v>
      </c>
      <c r="E101" s="70">
        <f>IFERROR(__xludf.DUMMYFUNCTION("if(REGEXMATCH(I101,""INCLUDE""),1,0)"),1.0)</f>
        <v>1</v>
      </c>
      <c r="F101" s="70" t="str">
        <f>IFERROR(__xludf.DUMMYFUNCTION("index(SPLIT(I101, "" - ""),0,2)"),"IC5")</f>
        <v>IC5</v>
      </c>
      <c r="G101" s="70">
        <f>IFERROR(__xludf.DUMMYFUNCTION("if(REGEXMATCH(J101,""INCLUDE""),1,0)"),1.0)</f>
        <v>1</v>
      </c>
      <c r="H101" s="70" t="str">
        <f>IFERROR(__xludf.DUMMYFUNCTION("index(SPLIT(J101, "" - ""),0,2)"),"IC5")</f>
        <v>IC5</v>
      </c>
      <c r="I101" s="88" t="s">
        <v>31520</v>
      </c>
      <c r="J101" s="70" t="s">
        <v>31520</v>
      </c>
      <c r="K101" s="70">
        <v>194.0</v>
      </c>
      <c r="L101" s="70" t="s">
        <v>5763</v>
      </c>
      <c r="M101" s="70" t="s">
        <v>29480</v>
      </c>
      <c r="N101" s="70" t="s">
        <v>5760</v>
      </c>
      <c r="O101" s="70" t="s">
        <v>5761</v>
      </c>
      <c r="Q101" s="70" t="s">
        <v>5762</v>
      </c>
      <c r="S101" s="76">
        <v>44890.0</v>
      </c>
      <c r="X101" s="70" t="s">
        <v>239</v>
      </c>
      <c r="Z101" s="70" t="s">
        <v>5765</v>
      </c>
      <c r="AA101" s="70" t="s">
        <v>5766</v>
      </c>
      <c r="AB101" s="70" t="s">
        <v>29481</v>
      </c>
      <c r="AC101" s="75" t="s">
        <v>5768</v>
      </c>
      <c r="AD101" s="70" t="s">
        <v>5769</v>
      </c>
      <c r="AF101" s="70">
        <v>9.0</v>
      </c>
      <c r="AH101" s="70">
        <v>8.0</v>
      </c>
      <c r="AZ101" s="70" t="s">
        <v>5770</v>
      </c>
      <c r="BA101" s="70" t="s">
        <v>22</v>
      </c>
      <c r="BB101" s="70">
        <v>155.0</v>
      </c>
      <c r="BC101" s="70">
        <v>0.0</v>
      </c>
    </row>
    <row r="102" ht="22.5" customHeight="1">
      <c r="A102" s="86" t="str">
        <f t="shared" si="1"/>
        <v>Included</v>
      </c>
      <c r="B102" s="87">
        <f t="shared" si="2"/>
        <v>2</v>
      </c>
      <c r="C102" s="70">
        <v>0.0</v>
      </c>
      <c r="D102" s="70" t="s">
        <v>30</v>
      </c>
      <c r="E102" s="70">
        <f>IFERROR(__xludf.DUMMYFUNCTION("if(REGEXMATCH(I102,""INCLUDE""),1,0)"),1.0)</f>
        <v>1</v>
      </c>
      <c r="F102" s="70" t="str">
        <f>IFERROR(__xludf.DUMMYFUNCTION("index(SPLIT(I102, "" - ""),0,2)"),"IC5")</f>
        <v>IC5</v>
      </c>
      <c r="G102" s="70">
        <f>IFERROR(__xludf.DUMMYFUNCTION("if(REGEXMATCH(J102,""INCLUDE""),1,0)"),1.0)</f>
        <v>1</v>
      </c>
      <c r="H102" s="70" t="str">
        <f>IFERROR(__xludf.DUMMYFUNCTION("index(SPLIT(J102, "" - ""),0,2)"),"IC5")</f>
        <v>IC5</v>
      </c>
      <c r="I102" s="88" t="s">
        <v>31520</v>
      </c>
      <c r="J102" s="70" t="s">
        <v>31520</v>
      </c>
      <c r="K102" s="70">
        <v>2.0</v>
      </c>
      <c r="L102" s="70" t="s">
        <v>29199</v>
      </c>
      <c r="M102" s="70" t="s">
        <v>29197</v>
      </c>
      <c r="N102" s="70" t="s">
        <v>29198</v>
      </c>
      <c r="Z102" s="70" t="s">
        <v>29311</v>
      </c>
      <c r="AD102" s="70" t="s">
        <v>29201</v>
      </c>
      <c r="AL102" s="70" t="s">
        <v>29202</v>
      </c>
      <c r="AM102" s="70" t="s">
        <v>29203</v>
      </c>
      <c r="AN102" s="70">
        <v>2019.0</v>
      </c>
      <c r="AO102" s="70" t="s">
        <v>24360</v>
      </c>
      <c r="AQ102" s="70">
        <v>90.0</v>
      </c>
      <c r="AR102" s="70">
        <v>115.0</v>
      </c>
      <c r="AS102" s="70">
        <v>25.0</v>
      </c>
      <c r="AT102" s="70">
        <v>0.0</v>
      </c>
      <c r="AU102" s="75" t="s">
        <v>29204</v>
      </c>
      <c r="AV102" s="70" t="s">
        <v>22525</v>
      </c>
      <c r="AX102" s="70" t="s">
        <v>237</v>
      </c>
      <c r="AY102" s="70" t="s">
        <v>29205</v>
      </c>
      <c r="AZ102" s="70" t="s">
        <v>29206</v>
      </c>
      <c r="BA102" s="70" t="s">
        <v>24</v>
      </c>
      <c r="BB102" s="70">
        <v>164.0</v>
      </c>
      <c r="BC102" s="70">
        <v>0.0</v>
      </c>
    </row>
    <row r="103" ht="22.5" customHeight="1">
      <c r="A103" s="86" t="str">
        <f t="shared" si="1"/>
        <v>Included</v>
      </c>
      <c r="B103" s="87">
        <f t="shared" si="2"/>
        <v>2</v>
      </c>
      <c r="C103" s="70">
        <v>0.0</v>
      </c>
      <c r="D103" s="70" t="s">
        <v>30</v>
      </c>
      <c r="E103" s="70">
        <f>IFERROR(__xludf.DUMMYFUNCTION("if(REGEXMATCH(I103,""INCLUDE""),1,0)"),1.0)</f>
        <v>1</v>
      </c>
      <c r="F103" s="70" t="str">
        <f>IFERROR(__xludf.DUMMYFUNCTION("index(SPLIT(I103, "" - ""),0,2)"),"IC6")</f>
        <v>IC6</v>
      </c>
      <c r="G103" s="70">
        <f>IFERROR(__xludf.DUMMYFUNCTION("if(REGEXMATCH(J103,""INCLUDE""),1,0)"),1.0)</f>
        <v>1</v>
      </c>
      <c r="H103" s="70" t="str">
        <f>IFERROR(__xludf.DUMMYFUNCTION("index(SPLIT(J103, "" - ""),0,2)"),"IC6")</f>
        <v>IC6</v>
      </c>
      <c r="I103" s="88" t="s">
        <v>31521</v>
      </c>
      <c r="J103" s="70" t="s">
        <v>31521</v>
      </c>
      <c r="K103" s="70">
        <v>9.0</v>
      </c>
      <c r="L103" s="70" t="s">
        <v>480</v>
      </c>
      <c r="M103" s="70" t="s">
        <v>476</v>
      </c>
      <c r="N103" s="70" t="s">
        <v>477</v>
      </c>
      <c r="O103" s="70" t="s">
        <v>29319</v>
      </c>
      <c r="P103" s="70" t="s">
        <v>479</v>
      </c>
      <c r="R103" s="75" t="s">
        <v>481</v>
      </c>
      <c r="S103" s="70">
        <v>2023.0</v>
      </c>
      <c r="X103" s="70" t="s">
        <v>387</v>
      </c>
      <c r="Y103" s="70" t="s">
        <v>388</v>
      </c>
      <c r="Z103" s="70" t="s">
        <v>484</v>
      </c>
      <c r="AZ103" s="70" t="s">
        <v>485</v>
      </c>
      <c r="BA103" s="70" t="s">
        <v>22</v>
      </c>
      <c r="BB103" s="70">
        <v>167.0</v>
      </c>
      <c r="BC103" s="70">
        <v>0.0</v>
      </c>
    </row>
    <row r="104" ht="22.5" customHeight="1">
      <c r="A104" s="86" t="str">
        <f t="shared" si="1"/>
        <v>Included</v>
      </c>
      <c r="B104" s="87">
        <f t="shared" si="2"/>
        <v>2</v>
      </c>
      <c r="C104" s="70">
        <v>0.0</v>
      </c>
      <c r="D104" s="70" t="s">
        <v>30</v>
      </c>
      <c r="E104" s="70">
        <f>IFERROR(__xludf.DUMMYFUNCTION("if(REGEXMATCH(I104,""INCLUDE""),1,0)"),1.0)</f>
        <v>1</v>
      </c>
      <c r="F104" s="70" t="str">
        <f>IFERROR(__xludf.DUMMYFUNCTION("index(SPLIT(I104, "" - ""),0,2)"),"IC5")</f>
        <v>IC5</v>
      </c>
      <c r="G104" s="70">
        <f>IFERROR(__xludf.DUMMYFUNCTION("if(REGEXMATCH(J104,""INCLUDE""),1,0)"),1.0)</f>
        <v>1</v>
      </c>
      <c r="H104" s="70" t="str">
        <f>IFERROR(__xludf.DUMMYFUNCTION("index(SPLIT(J104, "" - ""),0,2)"),"IC5")</f>
        <v>IC5</v>
      </c>
      <c r="I104" s="88" t="s">
        <v>31520</v>
      </c>
      <c r="J104" s="70" t="s">
        <v>31520</v>
      </c>
      <c r="K104" s="70">
        <v>119.0</v>
      </c>
      <c r="L104" s="70" t="s">
        <v>20533</v>
      </c>
      <c r="M104" s="70" t="s">
        <v>20531</v>
      </c>
      <c r="N104" s="70" t="s">
        <v>20532</v>
      </c>
      <c r="O104" s="70" t="s">
        <v>16538</v>
      </c>
      <c r="Q104" s="70" t="s">
        <v>16539</v>
      </c>
      <c r="S104" s="77">
        <v>44350.0</v>
      </c>
      <c r="X104" s="70" t="s">
        <v>239</v>
      </c>
      <c r="Z104" s="70" t="s">
        <v>29420</v>
      </c>
      <c r="AB104" s="70" t="s">
        <v>20536</v>
      </c>
      <c r="AC104" s="75" t="s">
        <v>20537</v>
      </c>
      <c r="AD104" s="70" t="s">
        <v>20538</v>
      </c>
      <c r="AF104" s="70">
        <v>4.0</v>
      </c>
      <c r="AH104" s="70">
        <v>29.0</v>
      </c>
      <c r="AI104" s="70" t="s">
        <v>239</v>
      </c>
      <c r="AZ104" s="70" t="s">
        <v>20539</v>
      </c>
      <c r="BB104" s="70">
        <v>170.0</v>
      </c>
      <c r="BC104" s="70">
        <v>0.0</v>
      </c>
    </row>
    <row r="105" ht="22.5" customHeight="1">
      <c r="A105" s="86" t="str">
        <f t="shared" si="1"/>
        <v>Included</v>
      </c>
      <c r="B105" s="87">
        <f t="shared" si="2"/>
        <v>2</v>
      </c>
      <c r="C105" s="70">
        <v>0.0</v>
      </c>
      <c r="D105" s="70" t="s">
        <v>34</v>
      </c>
      <c r="E105" s="70">
        <f>IFERROR(__xludf.DUMMYFUNCTION("if(REGEXMATCH(I105,""INCLUDE""),1,0)"),1.0)</f>
        <v>1</v>
      </c>
      <c r="F105" s="70" t="str">
        <f>IFERROR(__xludf.DUMMYFUNCTION("index(SPLIT(I105, "" - ""),0,2)"),"IC5")</f>
        <v>IC5</v>
      </c>
      <c r="G105" s="70">
        <f>IFERROR(__xludf.DUMMYFUNCTION("if(REGEXMATCH(J105,""INCLUDE""),1,0)"),1.0)</f>
        <v>1</v>
      </c>
      <c r="H105" s="70" t="str">
        <f>IFERROR(__xludf.DUMMYFUNCTION("index(SPLIT(J105, "" - ""),0,2)"),"IC5")</f>
        <v>IC5</v>
      </c>
      <c r="I105" s="88" t="s">
        <v>31520</v>
      </c>
      <c r="J105" s="70" t="s">
        <v>31520</v>
      </c>
      <c r="K105" s="70">
        <v>43.0</v>
      </c>
      <c r="L105" s="70" t="s">
        <v>19754</v>
      </c>
      <c r="M105" s="70" t="s">
        <v>19752</v>
      </c>
      <c r="N105" s="70" t="s">
        <v>19753</v>
      </c>
      <c r="O105" s="70" t="s">
        <v>16436</v>
      </c>
      <c r="Q105" s="70" t="s">
        <v>16437</v>
      </c>
      <c r="S105" s="76">
        <v>44847.0</v>
      </c>
      <c r="X105" s="70" t="s">
        <v>239</v>
      </c>
      <c r="Z105" s="70" t="s">
        <v>29367</v>
      </c>
      <c r="AB105" s="70" t="s">
        <v>29368</v>
      </c>
      <c r="AC105" s="75" t="s">
        <v>19758</v>
      </c>
      <c r="AD105" s="70" t="s">
        <v>19759</v>
      </c>
      <c r="AF105" s="70">
        <v>8.0</v>
      </c>
      <c r="AH105" s="70">
        <v>33.0</v>
      </c>
      <c r="AI105" s="70" t="s">
        <v>16423</v>
      </c>
      <c r="AZ105" s="70" t="s">
        <v>19760</v>
      </c>
      <c r="BA105" s="70" t="s">
        <v>22</v>
      </c>
      <c r="BB105" s="70">
        <v>171.0</v>
      </c>
      <c r="BC105" s="70">
        <v>0.0</v>
      </c>
    </row>
    <row r="106" ht="22.5" customHeight="1">
      <c r="A106" s="86" t="str">
        <f t="shared" si="1"/>
        <v>Included</v>
      </c>
      <c r="B106" s="87">
        <f t="shared" si="2"/>
        <v>2</v>
      </c>
      <c r="C106" s="70">
        <v>0.0</v>
      </c>
      <c r="D106" s="70" t="s">
        <v>34</v>
      </c>
      <c r="E106" s="70">
        <f>IFERROR(__xludf.DUMMYFUNCTION("if(REGEXMATCH(I106,""INCLUDE""),1,0)"),1.0)</f>
        <v>1</v>
      </c>
      <c r="F106" s="70" t="str">
        <f>IFERROR(__xludf.DUMMYFUNCTION("index(SPLIT(I106, "" - ""),0,2)"),"IC5")</f>
        <v>IC5</v>
      </c>
      <c r="G106" s="70">
        <f>IFERROR(__xludf.DUMMYFUNCTION("if(REGEXMATCH(J106,""INCLUDE""),1,0)"),1.0)</f>
        <v>1</v>
      </c>
      <c r="H106" s="70" t="str">
        <f>IFERROR(__xludf.DUMMYFUNCTION("index(SPLIT(J106, "" - ""),0,2)"),"IC5")</f>
        <v>IC5</v>
      </c>
      <c r="I106" s="88" t="s">
        <v>31520</v>
      </c>
      <c r="J106" s="70" t="s">
        <v>31520</v>
      </c>
      <c r="K106" s="70">
        <v>26.0</v>
      </c>
      <c r="L106" s="70" t="s">
        <v>26818</v>
      </c>
      <c r="M106" s="70" t="s">
        <v>26816</v>
      </c>
      <c r="N106" s="70" t="s">
        <v>26817</v>
      </c>
      <c r="Z106" s="70" t="s">
        <v>29346</v>
      </c>
      <c r="AD106" s="70" t="s">
        <v>26820</v>
      </c>
      <c r="AL106" s="70" t="s">
        <v>26821</v>
      </c>
      <c r="AM106" s="70" t="s">
        <v>26822</v>
      </c>
      <c r="AN106" s="70">
        <v>2022.0</v>
      </c>
      <c r="AO106" s="70" t="s">
        <v>23116</v>
      </c>
      <c r="AQ106" s="70">
        <v>204.0</v>
      </c>
      <c r="AR106" s="70">
        <v>218.0</v>
      </c>
      <c r="AS106" s="70">
        <v>14.0</v>
      </c>
      <c r="AT106" s="70">
        <v>9.0</v>
      </c>
      <c r="AU106" s="75" t="s">
        <v>26823</v>
      </c>
      <c r="AV106" s="70" t="s">
        <v>22525</v>
      </c>
      <c r="AX106" s="70" t="s">
        <v>237</v>
      </c>
      <c r="AY106" s="70" t="s">
        <v>26824</v>
      </c>
      <c r="AZ106" s="70" t="s">
        <v>26825</v>
      </c>
      <c r="BA106" s="70" t="s">
        <v>22</v>
      </c>
      <c r="BB106" s="70">
        <v>172.0</v>
      </c>
      <c r="BC106" s="70">
        <v>0.0</v>
      </c>
    </row>
    <row r="107" ht="22.5" customHeight="1">
      <c r="A107" s="86" t="str">
        <f t="shared" si="1"/>
        <v>Included</v>
      </c>
      <c r="B107" s="87">
        <f t="shared" si="2"/>
        <v>2</v>
      </c>
      <c r="C107" s="70">
        <v>0.0</v>
      </c>
      <c r="D107" s="70" t="s">
        <v>30</v>
      </c>
      <c r="E107" s="70">
        <f>IFERROR(__xludf.DUMMYFUNCTION("if(REGEXMATCH(I107,""INCLUDE""),1,0)"),1.0)</f>
        <v>1</v>
      </c>
      <c r="F107" s="70" t="str">
        <f>IFERROR(__xludf.DUMMYFUNCTION("index(SPLIT(I107, "" - ""),0,2)"),"IC5")</f>
        <v>IC5</v>
      </c>
      <c r="G107" s="70">
        <f>IFERROR(__xludf.DUMMYFUNCTION("if(REGEXMATCH(J107,""INCLUDE""),1,0)"),1.0)</f>
        <v>1</v>
      </c>
      <c r="H107" s="70" t="str">
        <f>IFERROR(__xludf.DUMMYFUNCTION("index(SPLIT(J107, "" - ""),0,2)"),"IC5")</f>
        <v>IC5</v>
      </c>
      <c r="I107" s="88" t="s">
        <v>31520</v>
      </c>
      <c r="J107" s="70" t="s">
        <v>31520</v>
      </c>
      <c r="K107" s="70">
        <v>16.0</v>
      </c>
      <c r="L107" s="70" t="s">
        <v>22552</v>
      </c>
      <c r="M107" s="70" t="s">
        <v>29329</v>
      </c>
      <c r="N107" s="70" t="s">
        <v>22551</v>
      </c>
      <c r="Z107" s="70" t="s">
        <v>29330</v>
      </c>
      <c r="AD107" s="70" t="s">
        <v>22554</v>
      </c>
      <c r="AL107" s="70" t="s">
        <v>29331</v>
      </c>
      <c r="AM107" s="70" t="s">
        <v>22556</v>
      </c>
      <c r="AN107" s="70">
        <v>2024.0</v>
      </c>
      <c r="AO107" s="70" t="s">
        <v>22557</v>
      </c>
      <c r="AQ107" s="70">
        <v>2737.0</v>
      </c>
      <c r="AR107" s="70">
        <v>2783.0</v>
      </c>
      <c r="AS107" s="70">
        <v>46.0</v>
      </c>
      <c r="AT107" s="70">
        <v>2.0</v>
      </c>
      <c r="AU107" s="75" t="s">
        <v>22558</v>
      </c>
      <c r="AV107" s="70" t="s">
        <v>22525</v>
      </c>
      <c r="AX107" s="70" t="s">
        <v>237</v>
      </c>
      <c r="AY107" s="70" t="s">
        <v>22559</v>
      </c>
      <c r="AZ107" s="70" t="s">
        <v>22560</v>
      </c>
      <c r="BA107" s="70" t="s">
        <v>22</v>
      </c>
      <c r="BB107" s="70">
        <v>174.0</v>
      </c>
      <c r="BC107" s="70">
        <v>0.0</v>
      </c>
    </row>
    <row r="108" ht="22.5" customHeight="1">
      <c r="A108" s="86" t="str">
        <f t="shared" si="1"/>
        <v>Included</v>
      </c>
      <c r="B108" s="87">
        <f t="shared" si="2"/>
        <v>2</v>
      </c>
      <c r="C108" s="70">
        <v>0.0</v>
      </c>
      <c r="D108" s="70" t="s">
        <v>34</v>
      </c>
      <c r="E108" s="70">
        <f>IFERROR(__xludf.DUMMYFUNCTION("if(REGEXMATCH(I108,""INCLUDE""),1,0)"),1.0)</f>
        <v>1</v>
      </c>
      <c r="F108" s="70" t="str">
        <f>IFERROR(__xludf.DUMMYFUNCTION("index(SPLIT(I108, "" - ""),0,2)"),"IC5")</f>
        <v>IC5</v>
      </c>
      <c r="G108" s="70">
        <f>IFERROR(__xludf.DUMMYFUNCTION("if(REGEXMATCH(J108,""INCLUDE""),1,0)"),1.0)</f>
        <v>1</v>
      </c>
      <c r="H108" s="70" t="str">
        <f>IFERROR(__xludf.DUMMYFUNCTION("index(SPLIT(J108, "" - ""),0,2)"),"IC5")</f>
        <v>IC5</v>
      </c>
      <c r="I108" s="88" t="s">
        <v>31520</v>
      </c>
      <c r="J108" s="70" t="s">
        <v>31520</v>
      </c>
      <c r="K108" s="70">
        <v>31.0</v>
      </c>
      <c r="L108" s="70" t="s">
        <v>22821</v>
      </c>
      <c r="M108" s="70" t="s">
        <v>22819</v>
      </c>
      <c r="N108" s="70" t="s">
        <v>22820</v>
      </c>
      <c r="Z108" s="70" t="s">
        <v>29353</v>
      </c>
      <c r="AD108" s="70" t="s">
        <v>22823</v>
      </c>
      <c r="AL108" s="70" t="s">
        <v>22824</v>
      </c>
      <c r="AM108" s="70" t="s">
        <v>22825</v>
      </c>
      <c r="AN108" s="70">
        <v>2024.0</v>
      </c>
      <c r="AO108" s="70" t="s">
        <v>22826</v>
      </c>
      <c r="AP108" s="70">
        <v>112183.0</v>
      </c>
      <c r="AT108" s="70">
        <v>1.0</v>
      </c>
      <c r="AU108" s="75" t="s">
        <v>22827</v>
      </c>
      <c r="AV108" s="70" t="s">
        <v>22525</v>
      </c>
      <c r="AX108" s="70" t="s">
        <v>237</v>
      </c>
      <c r="AY108" s="70" t="s">
        <v>22828</v>
      </c>
      <c r="AZ108" s="70" t="s">
        <v>22829</v>
      </c>
      <c r="BA108" s="70" t="s">
        <v>29354</v>
      </c>
      <c r="BB108" s="70">
        <v>181.0</v>
      </c>
      <c r="BC108" s="70">
        <v>0.0</v>
      </c>
    </row>
    <row r="109" ht="22.5" customHeight="1">
      <c r="A109" s="86" t="str">
        <f t="shared" si="1"/>
        <v>Included</v>
      </c>
      <c r="B109" s="87">
        <f t="shared" si="2"/>
        <v>2</v>
      </c>
      <c r="C109" s="70">
        <v>0.0</v>
      </c>
      <c r="D109" s="70" t="s">
        <v>30</v>
      </c>
      <c r="E109" s="70">
        <f>IFERROR(__xludf.DUMMYFUNCTION("if(REGEXMATCH(I109,""INCLUDE""),1,0)"),1.0)</f>
        <v>1</v>
      </c>
      <c r="F109" s="70" t="str">
        <f>IFERROR(__xludf.DUMMYFUNCTION("index(SPLIT(I109, "" - ""),0,2)"),"IC5")</f>
        <v>IC5</v>
      </c>
      <c r="G109" s="70">
        <f>IFERROR(__xludf.DUMMYFUNCTION("if(REGEXMATCH(J109,""INCLUDE""),1,0)"),1.0)</f>
        <v>1</v>
      </c>
      <c r="H109" s="70" t="str">
        <f>IFERROR(__xludf.DUMMYFUNCTION("index(SPLIT(J109, "" - ""),0,2)"),"IC5")</f>
        <v>IC5</v>
      </c>
      <c r="I109" s="88" t="s">
        <v>31520</v>
      </c>
      <c r="J109" s="70" t="s">
        <v>31520</v>
      </c>
      <c r="K109" s="70">
        <v>123.0</v>
      </c>
      <c r="L109" s="70" t="s">
        <v>19263</v>
      </c>
      <c r="M109" s="70" t="s">
        <v>19261</v>
      </c>
      <c r="N109" s="70" t="s">
        <v>19262</v>
      </c>
      <c r="O109" s="70" t="s">
        <v>16835</v>
      </c>
      <c r="Q109" s="70" t="s">
        <v>16836</v>
      </c>
      <c r="S109" s="77">
        <v>44258.0</v>
      </c>
      <c r="X109" s="70" t="s">
        <v>239</v>
      </c>
      <c r="Z109" s="70" t="s">
        <v>19265</v>
      </c>
      <c r="AB109" s="70" t="s">
        <v>29423</v>
      </c>
      <c r="AC109" s="75" t="s">
        <v>19267</v>
      </c>
      <c r="AD109" s="70" t="s">
        <v>19268</v>
      </c>
      <c r="AF109" s="70">
        <v>12.0</v>
      </c>
      <c r="AH109" s="70">
        <v>49.0</v>
      </c>
      <c r="AI109" s="70" t="s">
        <v>239</v>
      </c>
      <c r="AZ109" s="70" t="s">
        <v>19269</v>
      </c>
      <c r="BA109" s="70" t="s">
        <v>22</v>
      </c>
      <c r="BB109" s="70">
        <v>191.0</v>
      </c>
      <c r="BC109" s="70">
        <v>0.0</v>
      </c>
    </row>
    <row r="110" ht="22.5" customHeight="1">
      <c r="A110" s="86" t="str">
        <f t="shared" si="1"/>
        <v>Included</v>
      </c>
      <c r="B110" s="87">
        <f t="shared" si="2"/>
        <v>2</v>
      </c>
      <c r="C110" s="70">
        <v>0.0</v>
      </c>
      <c r="D110" s="70" t="s">
        <v>30</v>
      </c>
      <c r="E110" s="70">
        <f>IFERROR(__xludf.DUMMYFUNCTION("if(REGEXMATCH(I110,""INCLUDE""),1,0)"),1.0)</f>
        <v>1</v>
      </c>
      <c r="F110" s="70" t="str">
        <f>IFERROR(__xludf.DUMMYFUNCTION("index(SPLIT(I110, "" - ""),0,2)"),"IC5")</f>
        <v>IC5</v>
      </c>
      <c r="G110" s="70">
        <f>IFERROR(__xludf.DUMMYFUNCTION("if(REGEXMATCH(J110,""INCLUDE""),1,0)"),1.0)</f>
        <v>1</v>
      </c>
      <c r="H110" s="70" t="str">
        <f>IFERROR(__xludf.DUMMYFUNCTION("index(SPLIT(J110, "" - ""),0,2)"),"IC5")</f>
        <v>IC5</v>
      </c>
      <c r="I110" s="88" t="s">
        <v>31520</v>
      </c>
      <c r="J110" s="70" t="s">
        <v>31520</v>
      </c>
      <c r="K110" s="70">
        <v>172.0</v>
      </c>
      <c r="L110" s="70" t="s">
        <v>765</v>
      </c>
      <c r="M110" s="70" t="s">
        <v>29462</v>
      </c>
      <c r="N110" s="70" t="s">
        <v>762</v>
      </c>
      <c r="O110" s="70" t="s">
        <v>763</v>
      </c>
      <c r="P110" s="70" t="s">
        <v>764</v>
      </c>
      <c r="R110" s="75" t="s">
        <v>766</v>
      </c>
      <c r="S110" s="70">
        <v>2022.0</v>
      </c>
      <c r="T110" s="70" t="s">
        <v>768</v>
      </c>
      <c r="X110" s="70" t="s">
        <v>401</v>
      </c>
      <c r="Y110" s="70" t="s">
        <v>402</v>
      </c>
      <c r="Z110" s="70" t="s">
        <v>770</v>
      </c>
      <c r="AZ110" s="70" t="s">
        <v>771</v>
      </c>
      <c r="BA110" s="70" t="s">
        <v>22</v>
      </c>
      <c r="BB110" s="70">
        <v>201.0</v>
      </c>
      <c r="BC110" s="70">
        <v>0.0</v>
      </c>
    </row>
    <row r="111" ht="22.5" customHeight="1">
      <c r="A111" s="86" t="str">
        <f t="shared" si="1"/>
        <v>Included</v>
      </c>
      <c r="B111" s="87">
        <f t="shared" si="2"/>
        <v>2</v>
      </c>
      <c r="C111" s="70">
        <v>0.0</v>
      </c>
      <c r="D111" s="70" t="s">
        <v>30</v>
      </c>
      <c r="E111" s="70">
        <f>IFERROR(__xludf.DUMMYFUNCTION("if(REGEXMATCH(I111,""INCLUDE""),1,0)"),1.0)</f>
        <v>1</v>
      </c>
      <c r="F111" s="70" t="str">
        <f>IFERROR(__xludf.DUMMYFUNCTION("index(SPLIT(I111, "" - ""),0,2)"),"IC5")</f>
        <v>IC5</v>
      </c>
      <c r="G111" s="70">
        <f>IFERROR(__xludf.DUMMYFUNCTION("if(REGEXMATCH(J111,""INCLUDE""),1,0)"),1.0)</f>
        <v>1</v>
      </c>
      <c r="H111" s="70" t="str">
        <f>IFERROR(__xludf.DUMMYFUNCTION("index(SPLIT(J111, "" - ""),0,2)"),"IC5")</f>
        <v>IC5</v>
      </c>
      <c r="I111" s="88" t="s">
        <v>31520</v>
      </c>
      <c r="J111" s="70" t="s">
        <v>31520</v>
      </c>
      <c r="K111" s="70">
        <v>205.0</v>
      </c>
      <c r="L111" s="70" t="s">
        <v>23393</v>
      </c>
      <c r="M111" s="70" t="s">
        <v>23391</v>
      </c>
      <c r="N111" s="70" t="s">
        <v>23392</v>
      </c>
      <c r="Z111" s="70" t="s">
        <v>29498</v>
      </c>
      <c r="AD111" s="70" t="s">
        <v>23395</v>
      </c>
      <c r="AL111" s="70" t="s">
        <v>23396</v>
      </c>
      <c r="AM111" s="70" t="s">
        <v>23397</v>
      </c>
      <c r="AN111" s="70">
        <v>2024.0</v>
      </c>
      <c r="AO111" s="70" t="s">
        <v>23398</v>
      </c>
      <c r="AP111" s="70">
        <v>296.0</v>
      </c>
      <c r="AT111" s="70">
        <v>1.0</v>
      </c>
      <c r="AU111" s="75" t="s">
        <v>23399</v>
      </c>
      <c r="AV111" s="70" t="s">
        <v>22525</v>
      </c>
      <c r="AX111" s="70" t="s">
        <v>237</v>
      </c>
      <c r="AY111" s="70" t="s">
        <v>23400</v>
      </c>
      <c r="AZ111" s="70" t="s">
        <v>23401</v>
      </c>
      <c r="BA111" s="70" t="s">
        <v>22</v>
      </c>
      <c r="BB111" s="70">
        <v>202.0</v>
      </c>
      <c r="BC111" s="70">
        <v>0.0</v>
      </c>
    </row>
    <row r="112" ht="22.5" customHeight="1">
      <c r="A112" s="86" t="str">
        <f t="shared" si="1"/>
        <v>Included</v>
      </c>
      <c r="B112" s="87">
        <f t="shared" si="2"/>
        <v>2</v>
      </c>
      <c r="C112" s="70">
        <v>0.0</v>
      </c>
      <c r="D112" s="70" t="s">
        <v>34</v>
      </c>
      <c r="E112" s="70">
        <f>IFERROR(__xludf.DUMMYFUNCTION("if(REGEXMATCH(I112,""INCLUDE""),1,0)"),1.0)</f>
        <v>1</v>
      </c>
      <c r="F112" s="70" t="str">
        <f>IFERROR(__xludf.DUMMYFUNCTION("index(SPLIT(I112, "" - ""),0,2)"),"IC5")</f>
        <v>IC5</v>
      </c>
      <c r="G112" s="70">
        <f>IFERROR(__xludf.DUMMYFUNCTION("if(REGEXMATCH(J112,""INCLUDE""),1,0)"),1.0)</f>
        <v>1</v>
      </c>
      <c r="H112" s="70" t="str">
        <f>IFERROR(__xludf.DUMMYFUNCTION("index(SPLIT(J112, "" - ""),0,2)"),"IC5")</f>
        <v>IC5</v>
      </c>
      <c r="I112" s="88" t="s">
        <v>31520</v>
      </c>
      <c r="J112" s="70" t="s">
        <v>31520</v>
      </c>
      <c r="K112" s="70">
        <v>188.0</v>
      </c>
      <c r="L112" s="70" t="s">
        <v>28130</v>
      </c>
      <c r="M112" s="70" t="s">
        <v>28128</v>
      </c>
      <c r="N112" s="70" t="s">
        <v>28129</v>
      </c>
      <c r="Z112" s="70" t="s">
        <v>29474</v>
      </c>
      <c r="AD112" s="70" t="s">
        <v>28132</v>
      </c>
      <c r="AL112" s="70" t="s">
        <v>28133</v>
      </c>
      <c r="AM112" s="70" t="s">
        <v>28134</v>
      </c>
      <c r="AN112" s="70">
        <v>2021.0</v>
      </c>
      <c r="AO112" s="70" t="s">
        <v>26726</v>
      </c>
      <c r="AQ112" s="70">
        <v>594.0</v>
      </c>
      <c r="AR112" s="70">
        <v>601.0</v>
      </c>
      <c r="AS112" s="70">
        <v>7.0</v>
      </c>
      <c r="AT112" s="70">
        <v>33.0</v>
      </c>
      <c r="AU112" s="75" t="s">
        <v>28135</v>
      </c>
      <c r="AV112" s="70" t="s">
        <v>22525</v>
      </c>
      <c r="AW112" s="70" t="s">
        <v>22643</v>
      </c>
      <c r="AX112" s="70" t="s">
        <v>237</v>
      </c>
      <c r="AY112" s="70" t="s">
        <v>28136</v>
      </c>
      <c r="AZ112" s="70" t="s">
        <v>28137</v>
      </c>
      <c r="BA112" s="70" t="s">
        <v>22</v>
      </c>
      <c r="BB112" s="70">
        <v>206.0</v>
      </c>
      <c r="BC112" s="70">
        <v>0.0</v>
      </c>
    </row>
    <row r="113" ht="22.5" customHeight="1">
      <c r="A113" s="86" t="str">
        <f t="shared" si="1"/>
        <v>Included</v>
      </c>
      <c r="B113" s="87">
        <f t="shared" si="2"/>
        <v>2</v>
      </c>
      <c r="C113" s="70">
        <v>0.0</v>
      </c>
      <c r="D113" s="70" t="s">
        <v>30</v>
      </c>
      <c r="E113" s="70">
        <f>IFERROR(__xludf.DUMMYFUNCTION("if(REGEXMATCH(I113,""INCLUDE""),1,0)"),1.0)</f>
        <v>1</v>
      </c>
      <c r="F113" s="70" t="str">
        <f>IFERROR(__xludf.DUMMYFUNCTION("index(SPLIT(I113, "" - ""),0,2)"),"IC5")</f>
        <v>IC5</v>
      </c>
      <c r="G113" s="70">
        <f>IFERROR(__xludf.DUMMYFUNCTION("if(REGEXMATCH(J113,""INCLUDE""),1,0)"),1.0)</f>
        <v>1</v>
      </c>
      <c r="H113" s="70" t="str">
        <f>IFERROR(__xludf.DUMMYFUNCTION("index(SPLIT(J113, "" - ""),0,2)"),"IC5")</f>
        <v>IC5</v>
      </c>
      <c r="I113" s="88" t="s">
        <v>31520</v>
      </c>
      <c r="J113" s="70" t="s">
        <v>31520</v>
      </c>
      <c r="K113" s="70">
        <v>25.0</v>
      </c>
      <c r="L113" s="70" t="s">
        <v>23807</v>
      </c>
      <c r="M113" s="70" t="s">
        <v>23805</v>
      </c>
      <c r="N113" s="70" t="s">
        <v>23806</v>
      </c>
      <c r="Z113" s="70" t="s">
        <v>29345</v>
      </c>
      <c r="AD113" s="70" t="s">
        <v>23809</v>
      </c>
      <c r="AL113" s="70" t="s">
        <v>23810</v>
      </c>
      <c r="AM113" s="70" t="s">
        <v>23811</v>
      </c>
      <c r="AN113" s="70">
        <v>2024.0</v>
      </c>
      <c r="AO113" s="70" t="s">
        <v>23812</v>
      </c>
      <c r="AP113" s="70">
        <v>118270.0</v>
      </c>
      <c r="AT113" s="70">
        <v>13.0</v>
      </c>
      <c r="AU113" s="75" t="s">
        <v>23813</v>
      </c>
      <c r="AV113" s="70" t="s">
        <v>22525</v>
      </c>
      <c r="AX113" s="70" t="s">
        <v>237</v>
      </c>
      <c r="AY113" s="70" t="s">
        <v>23814</v>
      </c>
      <c r="AZ113" s="70" t="s">
        <v>23815</v>
      </c>
      <c r="BA113" s="70" t="s">
        <v>22</v>
      </c>
      <c r="BB113" s="70">
        <v>208.0</v>
      </c>
      <c r="BC113" s="70">
        <v>0.0</v>
      </c>
    </row>
    <row r="114" ht="22.5" customHeight="1">
      <c r="A114" s="86" t="str">
        <f t="shared" si="1"/>
        <v>Included</v>
      </c>
      <c r="B114" s="87">
        <f t="shared" si="2"/>
        <v>2</v>
      </c>
      <c r="C114" s="70">
        <v>0.0</v>
      </c>
      <c r="D114" s="70" t="s">
        <v>34</v>
      </c>
      <c r="E114" s="70">
        <f>IFERROR(__xludf.DUMMYFUNCTION("if(REGEXMATCH(I114,""INCLUDE""),1,0)"),1.0)</f>
        <v>1</v>
      </c>
      <c r="F114" s="70" t="str">
        <f>IFERROR(__xludf.DUMMYFUNCTION("index(SPLIT(I114, "" - ""),0,2)"),"IC5")</f>
        <v>IC5</v>
      </c>
      <c r="G114" s="70">
        <f>IFERROR(__xludf.DUMMYFUNCTION("if(REGEXMATCH(J114,""INCLUDE""),1,0)"),1.0)</f>
        <v>1</v>
      </c>
      <c r="H114" s="70" t="str">
        <f>IFERROR(__xludf.DUMMYFUNCTION("index(SPLIT(J114, "" - ""),0,2)"),"IC5")</f>
        <v>IC5</v>
      </c>
      <c r="I114" s="88" t="s">
        <v>31520</v>
      </c>
      <c r="J114" s="70" t="s">
        <v>31520</v>
      </c>
      <c r="K114" s="70">
        <v>60.0</v>
      </c>
      <c r="L114" s="70" t="s">
        <v>13589</v>
      </c>
      <c r="M114" s="70" t="s">
        <v>13587</v>
      </c>
      <c r="N114" s="70" t="s">
        <v>13588</v>
      </c>
      <c r="O114" s="70" t="s">
        <v>12562</v>
      </c>
      <c r="Q114" s="70" t="s">
        <v>12563</v>
      </c>
      <c r="S114" s="76">
        <v>45673.0</v>
      </c>
      <c r="X114" s="70" t="s">
        <v>239</v>
      </c>
      <c r="Z114" s="70" t="s">
        <v>13591</v>
      </c>
      <c r="AA114" s="70" t="s">
        <v>12567</v>
      </c>
      <c r="AC114" s="75" t="s">
        <v>13592</v>
      </c>
      <c r="AD114" s="70" t="s">
        <v>13593</v>
      </c>
      <c r="AH114" s="70">
        <v>31.0</v>
      </c>
      <c r="AI114" s="70" t="s">
        <v>239</v>
      </c>
      <c r="AZ114" s="70" t="s">
        <v>13594</v>
      </c>
      <c r="BA114" s="70" t="s">
        <v>29381</v>
      </c>
      <c r="BB114" s="70">
        <v>211.0</v>
      </c>
      <c r="BC114" s="70">
        <v>0.0</v>
      </c>
    </row>
    <row r="115" ht="22.5" customHeight="1">
      <c r="A115" s="86" t="str">
        <f t="shared" si="1"/>
        <v>Included</v>
      </c>
      <c r="B115" s="87">
        <f t="shared" si="2"/>
        <v>2</v>
      </c>
      <c r="C115" s="70">
        <v>0.0</v>
      </c>
      <c r="D115" s="70" t="s">
        <v>30</v>
      </c>
      <c r="E115" s="70">
        <f>IFERROR(__xludf.DUMMYFUNCTION("if(REGEXMATCH(I115,""INCLUDE""),1,0)"),1.0)</f>
        <v>1</v>
      </c>
      <c r="F115" s="70" t="str">
        <f>IFERROR(__xludf.DUMMYFUNCTION("index(SPLIT(I115, "" - ""),0,2)"),"IC5")</f>
        <v>IC5</v>
      </c>
      <c r="G115" s="70">
        <f>IFERROR(__xludf.DUMMYFUNCTION("if(REGEXMATCH(J115,""INCLUDE""),1,0)"),1.0)</f>
        <v>1</v>
      </c>
      <c r="H115" s="70" t="str">
        <f>IFERROR(__xludf.DUMMYFUNCTION("index(SPLIT(J115, "" - ""),0,2)"),"IC5")</f>
        <v>IC5</v>
      </c>
      <c r="I115" s="88" t="s">
        <v>31520</v>
      </c>
      <c r="J115" s="70" t="s">
        <v>31520</v>
      </c>
      <c r="K115" s="70">
        <v>114.0</v>
      </c>
      <c r="L115" s="70" t="s">
        <v>15177</v>
      </c>
      <c r="M115" s="70" t="s">
        <v>29415</v>
      </c>
      <c r="N115" s="70" t="s">
        <v>15175</v>
      </c>
      <c r="O115" s="70" t="s">
        <v>15176</v>
      </c>
      <c r="Q115" s="70" t="s">
        <v>6861</v>
      </c>
      <c r="S115" s="76">
        <v>45169.0</v>
      </c>
      <c r="X115" s="70" t="s">
        <v>239</v>
      </c>
      <c r="Z115" s="70" t="s">
        <v>29416</v>
      </c>
      <c r="AA115" s="70" t="s">
        <v>15180</v>
      </c>
      <c r="AB115" s="70" t="s">
        <v>29417</v>
      </c>
      <c r="AC115" s="75" t="s">
        <v>15182</v>
      </c>
      <c r="AD115" s="70" t="s">
        <v>15183</v>
      </c>
      <c r="AH115" s="70">
        <v>14.0</v>
      </c>
      <c r="AI115" s="70" t="s">
        <v>239</v>
      </c>
      <c r="AZ115" s="70" t="s">
        <v>15184</v>
      </c>
      <c r="BA115" s="70" t="s">
        <v>22</v>
      </c>
      <c r="BB115" s="70">
        <v>214.0</v>
      </c>
      <c r="BC115" s="70">
        <v>0.0</v>
      </c>
    </row>
    <row r="116" ht="22.5" customHeight="1">
      <c r="A116" s="86" t="str">
        <f t="shared" si="1"/>
        <v>Included</v>
      </c>
      <c r="B116" s="87">
        <f t="shared" si="2"/>
        <v>1</v>
      </c>
      <c r="C116" s="70">
        <v>0.0</v>
      </c>
      <c r="D116" s="70" t="s">
        <v>34</v>
      </c>
      <c r="E116" s="70">
        <f>IFERROR(__xludf.DUMMYFUNCTION("if(REGEXMATCH(I116,""INCLUDE""),1,0)"),0.0)</f>
        <v>0</v>
      </c>
      <c r="F116" s="70" t="str">
        <f>IFERROR(__xludf.DUMMYFUNCTION("index(SPLIT(I116, "" - ""),0,2)"),"EC4")</f>
        <v>EC4</v>
      </c>
      <c r="G116" s="70">
        <f>IFERROR(__xludf.DUMMYFUNCTION("if(REGEXMATCH(J116,""INCLUDE""),1,0)"),1.0)</f>
        <v>1</v>
      </c>
      <c r="H116" s="70" t="str">
        <f>IFERROR(__xludf.DUMMYFUNCTION("index(SPLIT(J116, "" - ""),0,2)"),"IC5")</f>
        <v>IC5</v>
      </c>
      <c r="I116" s="88" t="s">
        <v>31527</v>
      </c>
      <c r="J116" s="70" t="s">
        <v>31520</v>
      </c>
      <c r="K116" s="70">
        <v>210.0</v>
      </c>
      <c r="L116" s="70" t="s">
        <v>25493</v>
      </c>
      <c r="M116" s="70" t="s">
        <v>25491</v>
      </c>
      <c r="N116" s="70" t="s">
        <v>25492</v>
      </c>
      <c r="Z116" s="70" t="s">
        <v>29508</v>
      </c>
      <c r="AD116" s="70" t="s">
        <v>25495</v>
      </c>
      <c r="AL116" s="70" t="s">
        <v>25496</v>
      </c>
      <c r="AM116" s="70" t="s">
        <v>25497</v>
      </c>
      <c r="AN116" s="70">
        <v>2023.0</v>
      </c>
      <c r="AO116" s="70" t="s">
        <v>22802</v>
      </c>
      <c r="AP116" s="70">
        <v>6117.0</v>
      </c>
      <c r="AT116" s="70">
        <v>27.0</v>
      </c>
      <c r="AU116" s="75" t="s">
        <v>25498</v>
      </c>
      <c r="AV116" s="70" t="s">
        <v>22525</v>
      </c>
      <c r="AW116" s="70" t="s">
        <v>22643</v>
      </c>
      <c r="AX116" s="70" t="s">
        <v>237</v>
      </c>
      <c r="AY116" s="70" t="s">
        <v>25499</v>
      </c>
      <c r="AZ116" s="70" t="s">
        <v>25500</v>
      </c>
      <c r="BA116" s="70" t="s">
        <v>24</v>
      </c>
      <c r="BB116" s="70">
        <v>87.0</v>
      </c>
      <c r="BC116" s="70">
        <v>0.0</v>
      </c>
    </row>
    <row r="117" ht="22.5" customHeight="1">
      <c r="A117" s="86" t="str">
        <f t="shared" si="1"/>
        <v>Included</v>
      </c>
      <c r="B117" s="87">
        <f t="shared" si="2"/>
        <v>1</v>
      </c>
      <c r="C117" s="70">
        <v>0.0</v>
      </c>
      <c r="D117" s="70" t="s">
        <v>34</v>
      </c>
      <c r="E117" s="70">
        <f>IFERROR(__xludf.DUMMYFUNCTION("if(REGEXMATCH(I117,""INCLUDE""),1,0)"),1.0)</f>
        <v>1</v>
      </c>
      <c r="F117" s="70" t="str">
        <f>IFERROR(__xludf.DUMMYFUNCTION("index(SPLIT(I117, "" - ""),0,2)"),"IC5")</f>
        <v>IC5</v>
      </c>
      <c r="G117" s="70">
        <f>IFERROR(__xludf.DUMMYFUNCTION("if(REGEXMATCH(J117,""INCLUDE""),1,0)"),0.0)</f>
        <v>0</v>
      </c>
      <c r="H117" s="70" t="str">
        <f>IFERROR(__xludf.DUMMYFUNCTION("index(SPLIT(J117, "" - ""),0,2)"),"EC4")</f>
        <v>EC4</v>
      </c>
      <c r="I117" s="88" t="s">
        <v>31520</v>
      </c>
      <c r="J117" s="70" t="s">
        <v>31527</v>
      </c>
      <c r="K117" s="70">
        <v>78.0</v>
      </c>
      <c r="L117" s="70" t="s">
        <v>26600</v>
      </c>
      <c r="M117" s="70" t="s">
        <v>26598</v>
      </c>
      <c r="N117" s="70" t="s">
        <v>29393</v>
      </c>
      <c r="Z117" s="70" t="s">
        <v>29394</v>
      </c>
      <c r="AD117" s="70" t="s">
        <v>26603</v>
      </c>
      <c r="AL117" s="70" t="s">
        <v>26604</v>
      </c>
      <c r="AM117" s="70" t="s">
        <v>26605</v>
      </c>
      <c r="AN117" s="70">
        <v>2023.0</v>
      </c>
      <c r="AO117" s="70" t="s">
        <v>24521</v>
      </c>
      <c r="AQ117" s="70">
        <v>499.0</v>
      </c>
      <c r="AR117" s="70">
        <v>515.0</v>
      </c>
      <c r="AS117" s="70">
        <v>16.0</v>
      </c>
      <c r="AT117" s="70">
        <v>19.0</v>
      </c>
      <c r="AU117" s="75" t="s">
        <v>26606</v>
      </c>
      <c r="AV117" s="70" t="s">
        <v>22525</v>
      </c>
      <c r="AX117" s="70" t="s">
        <v>237</v>
      </c>
      <c r="AY117" s="70" t="s">
        <v>26607</v>
      </c>
      <c r="AZ117" s="70" t="s">
        <v>26608</v>
      </c>
      <c r="BA117" s="70" t="s">
        <v>24</v>
      </c>
      <c r="BB117" s="70">
        <v>94.0</v>
      </c>
      <c r="BC117" s="70">
        <v>0.0</v>
      </c>
    </row>
    <row r="118" ht="22.5" customHeight="1">
      <c r="A118" s="86" t="str">
        <f t="shared" si="1"/>
        <v>Included</v>
      </c>
      <c r="B118" s="87">
        <f t="shared" si="2"/>
        <v>1</v>
      </c>
      <c r="C118" s="70">
        <v>0.0</v>
      </c>
      <c r="D118" s="70" t="s">
        <v>34</v>
      </c>
      <c r="E118" s="70">
        <f>IFERROR(__xludf.DUMMYFUNCTION("if(REGEXMATCH(I118,""INCLUDE""),1,0)"),0.0)</f>
        <v>0</v>
      </c>
      <c r="F118" s="70" t="str">
        <f>IFERROR(__xludf.DUMMYFUNCTION("index(SPLIT(I118, "" - ""),0,2)"),"EC4")</f>
        <v>EC4</v>
      </c>
      <c r="G118" s="70">
        <f>IFERROR(__xludf.DUMMYFUNCTION("if(REGEXMATCH(J118,""INCLUDE""),1,0)"),1.0)</f>
        <v>1</v>
      </c>
      <c r="H118" s="70" t="str">
        <f>IFERROR(__xludf.DUMMYFUNCTION("index(SPLIT(J118, "" - ""),0,2)"),"IC5")</f>
        <v>IC5</v>
      </c>
      <c r="I118" s="88" t="s">
        <v>31527</v>
      </c>
      <c r="J118" s="70" t="s">
        <v>31520</v>
      </c>
      <c r="K118" s="70">
        <v>173.0</v>
      </c>
      <c r="L118" s="70" t="s">
        <v>3753</v>
      </c>
      <c r="M118" s="70" t="s">
        <v>29463</v>
      </c>
      <c r="N118" s="70" t="s">
        <v>3752</v>
      </c>
      <c r="O118" s="70" t="s">
        <v>3635</v>
      </c>
      <c r="Q118" s="70" t="s">
        <v>3636</v>
      </c>
      <c r="R118" s="75" t="s">
        <v>3754</v>
      </c>
      <c r="S118" s="80">
        <v>44896.0</v>
      </c>
      <c r="Z118" s="70" t="s">
        <v>3756</v>
      </c>
      <c r="AZ118" s="70" t="s">
        <v>3757</v>
      </c>
      <c r="BA118" s="70" t="s">
        <v>22</v>
      </c>
      <c r="BB118" s="70">
        <v>121.0</v>
      </c>
      <c r="BC118" s="70">
        <v>0.0</v>
      </c>
    </row>
    <row r="119" ht="22.5" customHeight="1">
      <c r="A119" s="86" t="str">
        <f t="shared" si="1"/>
        <v>Excluded</v>
      </c>
      <c r="B119" s="87">
        <f t="shared" si="2"/>
        <v>0</v>
      </c>
      <c r="C119" s="70">
        <v>0.0</v>
      </c>
      <c r="E119" s="70">
        <f>IFERROR(__xludf.DUMMYFUNCTION("if(REGEXMATCH(I119,""INCLUDE""),1,0)"),0.0)</f>
        <v>0</v>
      </c>
      <c r="F119" s="70" t="str">
        <f>IFERROR(__xludf.DUMMYFUNCTION("index(SPLIT(I119, "" - ""),0,2)"),"EC4")</f>
        <v>EC4</v>
      </c>
      <c r="G119" s="70">
        <f>IFERROR(__xludf.DUMMYFUNCTION("if(REGEXMATCH(J119,""INCLUDE""),1,0)"),0.0)</f>
        <v>0</v>
      </c>
      <c r="H119" s="70" t="str">
        <f>IFERROR(__xludf.DUMMYFUNCTION("index(SPLIT(J119, "" - ""),0,2)"),"EC4")</f>
        <v>EC4</v>
      </c>
      <c r="I119" s="88" t="s">
        <v>31527</v>
      </c>
      <c r="J119" s="70" t="s">
        <v>31527</v>
      </c>
      <c r="K119" s="70">
        <v>23.0</v>
      </c>
      <c r="L119" s="70" t="s">
        <v>26447</v>
      </c>
      <c r="M119" s="70" t="s">
        <v>26445</v>
      </c>
      <c r="N119" s="70" t="s">
        <v>26446</v>
      </c>
      <c r="Z119" s="70" t="s">
        <v>29343</v>
      </c>
      <c r="AD119" s="70" t="s">
        <v>26449</v>
      </c>
      <c r="AL119" s="70" t="s">
        <v>26450</v>
      </c>
      <c r="AM119" s="70" t="s">
        <v>26451</v>
      </c>
      <c r="AN119" s="70">
        <v>2022.0</v>
      </c>
      <c r="AO119" s="70" t="s">
        <v>26452</v>
      </c>
      <c r="AP119" s="70">
        <v>106897.0</v>
      </c>
      <c r="AT119" s="70">
        <v>16.0</v>
      </c>
      <c r="AU119" s="75" t="s">
        <v>26453</v>
      </c>
      <c r="AV119" s="70" t="s">
        <v>22525</v>
      </c>
      <c r="AX119" s="70" t="s">
        <v>237</v>
      </c>
      <c r="AY119" s="70" t="s">
        <v>26454</v>
      </c>
      <c r="AZ119" s="70" t="s">
        <v>26455</v>
      </c>
      <c r="BB119" s="70">
        <v>81.0</v>
      </c>
      <c r="BC119" s="70">
        <v>1.0</v>
      </c>
    </row>
    <row r="120" ht="22.5" customHeight="1">
      <c r="A120" s="86" t="str">
        <f t="shared" si="1"/>
        <v>Excluded</v>
      </c>
      <c r="B120" s="87">
        <f t="shared" si="2"/>
        <v>0</v>
      </c>
      <c r="C120" s="70">
        <v>0.0</v>
      </c>
      <c r="E120" s="70">
        <f>IFERROR(__xludf.DUMMYFUNCTION("if(REGEXMATCH(I120,""INCLUDE""),1,0)"),0.0)</f>
        <v>0</v>
      </c>
      <c r="F120" s="70" t="str">
        <f>IFERROR(__xludf.DUMMYFUNCTION("index(SPLIT(I120, "" - ""),0,2)"),"EC4")</f>
        <v>EC4</v>
      </c>
      <c r="G120" s="70">
        <f>IFERROR(__xludf.DUMMYFUNCTION("if(REGEXMATCH(J120,""INCLUDE""),1,0)"),0.0)</f>
        <v>0</v>
      </c>
      <c r="H120" s="70" t="str">
        <f>IFERROR(__xludf.DUMMYFUNCTION("index(SPLIT(J120, "" - ""),0,2)"),"EC4")</f>
        <v>EC4</v>
      </c>
      <c r="I120" s="88" t="s">
        <v>31527</v>
      </c>
      <c r="J120" s="70" t="s">
        <v>31527</v>
      </c>
      <c r="K120" s="70">
        <v>142.0</v>
      </c>
      <c r="L120" s="70" t="s">
        <v>14244</v>
      </c>
      <c r="M120" s="70" t="s">
        <v>14241</v>
      </c>
      <c r="N120" s="70" t="s">
        <v>14242</v>
      </c>
      <c r="O120" s="70" t="s">
        <v>14243</v>
      </c>
      <c r="Q120" s="70" t="s">
        <v>9428</v>
      </c>
      <c r="S120" s="77">
        <v>45721.0</v>
      </c>
      <c r="X120" s="70" t="s">
        <v>239</v>
      </c>
      <c r="Z120" s="70" t="s">
        <v>14246</v>
      </c>
      <c r="AA120" s="70" t="s">
        <v>14247</v>
      </c>
      <c r="AC120" s="75" t="s">
        <v>14248</v>
      </c>
      <c r="AD120" s="70" t="s">
        <v>14249</v>
      </c>
      <c r="AH120" s="70">
        <v>10.0</v>
      </c>
      <c r="AI120" s="70" t="s">
        <v>239</v>
      </c>
      <c r="AZ120" s="70" t="s">
        <v>14250</v>
      </c>
      <c r="BA120" s="70" t="s">
        <v>29435</v>
      </c>
      <c r="BB120" s="70">
        <v>82.0</v>
      </c>
      <c r="BC120" s="70">
        <v>1.0</v>
      </c>
    </row>
    <row r="121" ht="22.5" customHeight="1">
      <c r="A121" s="86" t="str">
        <f t="shared" si="1"/>
        <v>Excluded</v>
      </c>
      <c r="B121" s="87">
        <f t="shared" si="2"/>
        <v>0</v>
      </c>
      <c r="C121" s="70">
        <v>0.0</v>
      </c>
      <c r="D121" s="70" t="s">
        <v>34</v>
      </c>
      <c r="E121" s="70">
        <f>IFERROR(__xludf.DUMMYFUNCTION("if(REGEXMATCH(I121,""INCLUDE""),1,0)"),0.0)</f>
        <v>0</v>
      </c>
      <c r="F121" s="70" t="str">
        <f>IFERROR(__xludf.DUMMYFUNCTION("index(SPLIT(I121, "" - ""),0,2)"),"EC4")</f>
        <v>EC4</v>
      </c>
      <c r="G121" s="70">
        <f>IFERROR(__xludf.DUMMYFUNCTION("if(REGEXMATCH(J121,""INCLUDE""),1,0)"),0.0)</f>
        <v>0</v>
      </c>
      <c r="H121" s="70" t="str">
        <f>IFERROR(__xludf.DUMMYFUNCTION("index(SPLIT(J121, "" - ""),0,2)"),"EC4")</f>
        <v>EC4</v>
      </c>
      <c r="I121" s="88" t="s">
        <v>31527</v>
      </c>
      <c r="J121" s="70" t="s">
        <v>31527</v>
      </c>
      <c r="K121" s="70">
        <v>7.0</v>
      </c>
      <c r="L121" s="70" t="s">
        <v>2814</v>
      </c>
      <c r="M121" s="70" t="s">
        <v>2810</v>
      </c>
      <c r="N121" s="70" t="s">
        <v>2811</v>
      </c>
      <c r="O121" s="70" t="s">
        <v>29317</v>
      </c>
      <c r="P121" s="70" t="s">
        <v>2813</v>
      </c>
      <c r="R121" s="75" t="s">
        <v>2815</v>
      </c>
      <c r="S121" s="70">
        <v>2022.0</v>
      </c>
      <c r="X121" s="70" t="s">
        <v>387</v>
      </c>
      <c r="Y121" s="70" t="s">
        <v>388</v>
      </c>
      <c r="Z121" s="70" t="s">
        <v>2817</v>
      </c>
      <c r="AZ121" s="70" t="s">
        <v>2818</v>
      </c>
      <c r="BB121" s="70">
        <v>83.0</v>
      </c>
      <c r="BC121" s="70">
        <v>0.0</v>
      </c>
    </row>
    <row r="122" ht="22.5" customHeight="1">
      <c r="A122" s="86" t="str">
        <f t="shared" si="1"/>
        <v>Excluded</v>
      </c>
      <c r="B122" s="87">
        <f t="shared" si="2"/>
        <v>0</v>
      </c>
      <c r="C122" s="70">
        <v>0.0</v>
      </c>
      <c r="D122" s="70" t="s">
        <v>34</v>
      </c>
      <c r="E122" s="70">
        <f>IFERROR(__xludf.DUMMYFUNCTION("if(REGEXMATCH(I122,""INCLUDE""),1,0)"),0.0)</f>
        <v>0</v>
      </c>
      <c r="F122" s="70" t="str">
        <f>IFERROR(__xludf.DUMMYFUNCTION("index(SPLIT(I122, "" - ""),0,2)"),"EC4")</f>
        <v>EC4</v>
      </c>
      <c r="G122" s="70">
        <f>IFERROR(__xludf.DUMMYFUNCTION("if(REGEXMATCH(J122,""INCLUDE""),1,0)"),0.0)</f>
        <v>0</v>
      </c>
      <c r="H122" s="70" t="str">
        <f>IFERROR(__xludf.DUMMYFUNCTION("index(SPLIT(J122, "" - ""),0,2)"),"EC4")</f>
        <v>EC4</v>
      </c>
      <c r="I122" s="88" t="s">
        <v>31527</v>
      </c>
      <c r="J122" s="70" t="s">
        <v>31527</v>
      </c>
      <c r="K122" s="70">
        <v>68.0</v>
      </c>
      <c r="L122" s="70" t="s">
        <v>11243</v>
      </c>
      <c r="M122" s="70" t="s">
        <v>29388</v>
      </c>
      <c r="N122" s="70" t="s">
        <v>11242</v>
      </c>
      <c r="O122" s="70" t="s">
        <v>11101</v>
      </c>
      <c r="Q122" s="70" t="s">
        <v>4868</v>
      </c>
      <c r="S122" s="77">
        <v>45170.0</v>
      </c>
      <c r="X122" s="70" t="s">
        <v>239</v>
      </c>
      <c r="Z122" s="70" t="s">
        <v>11245</v>
      </c>
      <c r="AA122" s="70" t="s">
        <v>11105</v>
      </c>
      <c r="AB122" s="70" t="s">
        <v>29380</v>
      </c>
      <c r="AC122" s="75" t="s">
        <v>11247</v>
      </c>
      <c r="AD122" s="70" t="s">
        <v>11248</v>
      </c>
      <c r="AF122" s="70">
        <v>5.0</v>
      </c>
      <c r="AH122" s="70">
        <v>32.0</v>
      </c>
      <c r="AI122" s="70" t="s">
        <v>239</v>
      </c>
      <c r="AZ122" s="70" t="s">
        <v>11249</v>
      </c>
      <c r="BA122" s="70" t="s">
        <v>22</v>
      </c>
      <c r="BB122" s="70">
        <v>84.0</v>
      </c>
      <c r="BC122" s="70">
        <v>0.0</v>
      </c>
    </row>
    <row r="123" ht="22.5" customHeight="1">
      <c r="A123" s="86" t="str">
        <f t="shared" si="1"/>
        <v>Excluded</v>
      </c>
      <c r="B123" s="87">
        <f t="shared" si="2"/>
        <v>0</v>
      </c>
      <c r="C123" s="70">
        <v>0.0</v>
      </c>
      <c r="D123" s="70" t="s">
        <v>34</v>
      </c>
      <c r="E123" s="70">
        <f>IFERROR(__xludf.DUMMYFUNCTION("if(REGEXMATCH(I123,""INCLUDE""),1,0)"),0.0)</f>
        <v>0</v>
      </c>
      <c r="F123" s="70" t="str">
        <f>IFERROR(__xludf.DUMMYFUNCTION("index(SPLIT(I123, "" - ""),0,2)"),"EC4")</f>
        <v>EC4</v>
      </c>
      <c r="G123" s="70">
        <f>IFERROR(__xludf.DUMMYFUNCTION("if(REGEXMATCH(J123,""INCLUDE""),1,0)"),0.0)</f>
        <v>0</v>
      </c>
      <c r="H123" s="70" t="str">
        <f>IFERROR(__xludf.DUMMYFUNCTION("index(SPLIT(J123, "" - ""),0,2)"),"EC4")</f>
        <v>EC4</v>
      </c>
      <c r="I123" s="88" t="s">
        <v>31527</v>
      </c>
      <c r="J123" s="70" t="s">
        <v>31527</v>
      </c>
      <c r="K123" s="70">
        <v>202.0</v>
      </c>
      <c r="L123" s="70" t="s">
        <v>26345</v>
      </c>
      <c r="M123" s="70" t="s">
        <v>26343</v>
      </c>
      <c r="N123" s="70" t="s">
        <v>26344</v>
      </c>
      <c r="Z123" s="70" t="s">
        <v>29493</v>
      </c>
      <c r="AD123" s="70" t="s">
        <v>26347</v>
      </c>
      <c r="AL123" s="70" t="s">
        <v>26348</v>
      </c>
      <c r="AM123" s="70" t="s">
        <v>26349</v>
      </c>
      <c r="AN123" s="70">
        <v>2023.0</v>
      </c>
      <c r="AO123" s="70" t="s">
        <v>23242</v>
      </c>
      <c r="AP123" s="70">
        <v>17.0</v>
      </c>
      <c r="AT123" s="70">
        <v>8.0</v>
      </c>
      <c r="AU123" s="75" t="s">
        <v>26350</v>
      </c>
      <c r="AV123" s="70" t="s">
        <v>22525</v>
      </c>
      <c r="AW123" s="70" t="s">
        <v>22622</v>
      </c>
      <c r="AX123" s="70" t="s">
        <v>237</v>
      </c>
      <c r="AY123" s="70" t="s">
        <v>26351</v>
      </c>
      <c r="BA123" s="70" t="s">
        <v>24</v>
      </c>
      <c r="BB123" s="70">
        <v>86.0</v>
      </c>
      <c r="BC123" s="70">
        <v>0.0</v>
      </c>
    </row>
    <row r="124" ht="22.5" customHeight="1">
      <c r="A124" s="86" t="str">
        <f t="shared" si="1"/>
        <v>Excluded</v>
      </c>
      <c r="B124" s="87">
        <f t="shared" si="2"/>
        <v>0</v>
      </c>
      <c r="C124" s="70">
        <v>0.0</v>
      </c>
      <c r="D124" s="70" t="s">
        <v>34</v>
      </c>
      <c r="E124" s="70">
        <f>IFERROR(__xludf.DUMMYFUNCTION("if(REGEXMATCH(I124,""INCLUDE""),1,0)"),0.0)</f>
        <v>0</v>
      </c>
      <c r="F124" s="70" t="str">
        <f>IFERROR(__xludf.DUMMYFUNCTION("index(SPLIT(I124, "" - ""),0,2)"),"EC4")</f>
        <v>EC4</v>
      </c>
      <c r="G124" s="70">
        <f>IFERROR(__xludf.DUMMYFUNCTION("if(REGEXMATCH(J124,""INCLUDE""),1,0)"),0.0)</f>
        <v>0</v>
      </c>
      <c r="H124" s="70" t="str">
        <f>IFERROR(__xludf.DUMMYFUNCTION("index(SPLIT(J124, "" - ""),0,2)"),"EC4")</f>
        <v>EC4</v>
      </c>
      <c r="I124" s="88" t="s">
        <v>31527</v>
      </c>
      <c r="J124" s="70" t="s">
        <v>31527</v>
      </c>
      <c r="K124" s="70">
        <v>136.0</v>
      </c>
      <c r="L124" s="70" t="s">
        <v>9265</v>
      </c>
      <c r="M124" s="70" t="s">
        <v>9261</v>
      </c>
      <c r="N124" s="70" t="s">
        <v>9262</v>
      </c>
      <c r="O124" s="70" t="s">
        <v>9263</v>
      </c>
      <c r="Q124" s="70" t="s">
        <v>9264</v>
      </c>
      <c r="S124" s="76">
        <v>44406.0</v>
      </c>
      <c r="X124" s="70" t="s">
        <v>239</v>
      </c>
      <c r="Z124" s="70" t="s">
        <v>9267</v>
      </c>
      <c r="AA124" s="70" t="s">
        <v>9268</v>
      </c>
      <c r="AC124" s="75" t="s">
        <v>9269</v>
      </c>
      <c r="AD124" s="70" t="s">
        <v>9270</v>
      </c>
      <c r="AF124" s="70">
        <v>1.0</v>
      </c>
      <c r="AH124" s="70">
        <v>10.0</v>
      </c>
      <c r="AI124" s="70" t="s">
        <v>239</v>
      </c>
      <c r="AZ124" s="70" t="s">
        <v>9271</v>
      </c>
      <c r="BA124" s="70" t="s">
        <v>24</v>
      </c>
      <c r="BB124" s="70">
        <v>88.0</v>
      </c>
      <c r="BC124" s="70">
        <v>0.0</v>
      </c>
    </row>
    <row r="125" ht="22.5" customHeight="1">
      <c r="A125" s="86" t="str">
        <f t="shared" si="1"/>
        <v>Excluded</v>
      </c>
      <c r="B125" s="87">
        <f t="shared" si="2"/>
        <v>0</v>
      </c>
      <c r="C125" s="70">
        <v>0.0</v>
      </c>
      <c r="D125" s="70" t="s">
        <v>34</v>
      </c>
      <c r="E125" s="70">
        <f>IFERROR(__xludf.DUMMYFUNCTION("if(REGEXMATCH(I125,""INCLUDE""),1,0)"),0.0)</f>
        <v>0</v>
      </c>
      <c r="F125" s="70" t="str">
        <f>IFERROR(__xludf.DUMMYFUNCTION("index(SPLIT(I125, "" - ""),0,2)"),"EC4")</f>
        <v>EC4</v>
      </c>
      <c r="G125" s="70">
        <f>IFERROR(__xludf.DUMMYFUNCTION("if(REGEXMATCH(J125,""INCLUDE""),1,0)"),0.0)</f>
        <v>0</v>
      </c>
      <c r="H125" s="70" t="str">
        <f>IFERROR(__xludf.DUMMYFUNCTION("index(SPLIT(J125, "" - ""),0,2)"),"EC4")</f>
        <v>EC4</v>
      </c>
      <c r="I125" s="88" t="s">
        <v>31527</v>
      </c>
      <c r="J125" s="70" t="s">
        <v>31527</v>
      </c>
      <c r="K125" s="70">
        <v>113.0</v>
      </c>
      <c r="L125" s="70" t="s">
        <v>11895</v>
      </c>
      <c r="M125" s="70" t="s">
        <v>11892</v>
      </c>
      <c r="N125" s="70" t="s">
        <v>11893</v>
      </c>
      <c r="O125" s="70" t="s">
        <v>11894</v>
      </c>
      <c r="S125" s="76">
        <v>45321.0</v>
      </c>
      <c r="X125" s="70" t="s">
        <v>239</v>
      </c>
      <c r="Z125" s="70" t="s">
        <v>11897</v>
      </c>
      <c r="AA125" s="70" t="s">
        <v>11898</v>
      </c>
      <c r="AC125" s="75" t="s">
        <v>11899</v>
      </c>
      <c r="AD125" s="70" t="s">
        <v>11900</v>
      </c>
      <c r="AF125" s="70">
        <v>1.0</v>
      </c>
      <c r="AH125" s="70">
        <v>27.0</v>
      </c>
      <c r="AI125" s="70" t="s">
        <v>239</v>
      </c>
      <c r="AZ125" s="70" t="s">
        <v>11901</v>
      </c>
      <c r="BB125" s="70">
        <v>89.0</v>
      </c>
      <c r="BC125" s="70">
        <v>0.0</v>
      </c>
    </row>
    <row r="126" ht="22.5" customHeight="1">
      <c r="A126" s="86" t="str">
        <f t="shared" si="1"/>
        <v>Excluded</v>
      </c>
      <c r="B126" s="87">
        <f t="shared" si="2"/>
        <v>0</v>
      </c>
      <c r="C126" s="70">
        <v>0.0</v>
      </c>
      <c r="D126" s="70" t="s">
        <v>34</v>
      </c>
      <c r="E126" s="70">
        <f>IFERROR(__xludf.DUMMYFUNCTION("if(REGEXMATCH(I126,""INCLUDE""),1,0)"),0.0)</f>
        <v>0</v>
      </c>
      <c r="F126" s="70" t="str">
        <f>IFERROR(__xludf.DUMMYFUNCTION("index(SPLIT(I126, "" - ""),0,2)"),"EC5")</f>
        <v>EC5</v>
      </c>
      <c r="G126" s="70">
        <f>IFERROR(__xludf.DUMMYFUNCTION("if(REGEXMATCH(J126,""INCLUDE""),1,0)"),0.0)</f>
        <v>0</v>
      </c>
      <c r="H126" s="70" t="str">
        <f>IFERROR(__xludf.DUMMYFUNCTION("index(SPLIT(J126, "" - ""),0,2)"),"EC5")</f>
        <v>EC5</v>
      </c>
      <c r="I126" s="88" t="s">
        <v>31528</v>
      </c>
      <c r="J126" s="70" t="s">
        <v>31528</v>
      </c>
      <c r="K126" s="70">
        <v>70.0</v>
      </c>
      <c r="L126" s="70" t="s">
        <v>8906</v>
      </c>
      <c r="M126" s="70" t="s">
        <v>8903</v>
      </c>
      <c r="N126" s="70" t="s">
        <v>8904</v>
      </c>
      <c r="O126" s="70" t="s">
        <v>8905</v>
      </c>
      <c r="S126" s="76">
        <v>44242.0</v>
      </c>
      <c r="X126" s="70" t="s">
        <v>239</v>
      </c>
      <c r="Z126" s="70" t="s">
        <v>8908</v>
      </c>
      <c r="AA126" s="70" t="s">
        <v>8909</v>
      </c>
      <c r="AC126" s="75" t="s">
        <v>8910</v>
      </c>
      <c r="AD126" s="70" t="s">
        <v>8911</v>
      </c>
      <c r="AF126" s="70">
        <v>1.0</v>
      </c>
      <c r="AH126" s="70">
        <v>12.0</v>
      </c>
      <c r="AI126" s="70" t="s">
        <v>239</v>
      </c>
      <c r="AZ126" s="70" t="s">
        <v>8912</v>
      </c>
      <c r="BA126" s="70" t="s">
        <v>22</v>
      </c>
      <c r="BB126" s="70">
        <v>90.0</v>
      </c>
      <c r="BC126" s="70">
        <v>0.0</v>
      </c>
    </row>
    <row r="127" ht="22.5" customHeight="1">
      <c r="A127" s="86" t="str">
        <f t="shared" si="1"/>
        <v>Excluded</v>
      </c>
      <c r="B127" s="87">
        <f t="shared" si="2"/>
        <v>0</v>
      </c>
      <c r="C127" s="70">
        <v>0.0</v>
      </c>
      <c r="D127" s="70" t="s">
        <v>34</v>
      </c>
      <c r="E127" s="70">
        <f>IFERROR(__xludf.DUMMYFUNCTION("if(REGEXMATCH(I127,""INCLUDE""),1,0)"),0.0)</f>
        <v>0</v>
      </c>
      <c r="F127" s="70" t="str">
        <f>IFERROR(__xludf.DUMMYFUNCTION("index(SPLIT(I127, "" - ""),0,2)"),"EC4")</f>
        <v>EC4</v>
      </c>
      <c r="G127" s="70">
        <f>IFERROR(__xludf.DUMMYFUNCTION("if(REGEXMATCH(J127,""INCLUDE""),1,0)"),0.0)</f>
        <v>0</v>
      </c>
      <c r="H127" s="70" t="str">
        <f>IFERROR(__xludf.DUMMYFUNCTION("index(SPLIT(J127, "" - ""),0,2)"),"EC4")</f>
        <v>EC4</v>
      </c>
      <c r="I127" s="88" t="s">
        <v>31527</v>
      </c>
      <c r="J127" s="70" t="s">
        <v>31527</v>
      </c>
      <c r="K127" s="70">
        <v>133.0</v>
      </c>
      <c r="L127" s="70" t="s">
        <v>9970</v>
      </c>
      <c r="M127" s="70" t="s">
        <v>9967</v>
      </c>
      <c r="N127" s="70" t="s">
        <v>9968</v>
      </c>
      <c r="O127" s="70" t="s">
        <v>9969</v>
      </c>
      <c r="S127" s="77">
        <v>43468.0</v>
      </c>
      <c r="X127" s="70" t="s">
        <v>239</v>
      </c>
      <c r="Z127" s="70" t="s">
        <v>29430</v>
      </c>
      <c r="AA127" s="70" t="s">
        <v>9973</v>
      </c>
      <c r="AC127" s="75" t="s">
        <v>9974</v>
      </c>
      <c r="AH127" s="70">
        <v>13.0</v>
      </c>
      <c r="AI127" s="70" t="s">
        <v>239</v>
      </c>
      <c r="AZ127" s="70" t="s">
        <v>9975</v>
      </c>
      <c r="BA127" s="70" t="s">
        <v>24</v>
      </c>
      <c r="BB127" s="70">
        <v>91.0</v>
      </c>
      <c r="BC127" s="70">
        <v>0.0</v>
      </c>
    </row>
    <row r="128" ht="22.5" customHeight="1">
      <c r="A128" s="86" t="str">
        <f t="shared" si="1"/>
        <v>Excluded</v>
      </c>
      <c r="B128" s="87">
        <f t="shared" si="2"/>
        <v>0</v>
      </c>
      <c r="C128" s="70">
        <v>0.0</v>
      </c>
      <c r="D128" s="70" t="s">
        <v>34</v>
      </c>
      <c r="E128" s="70">
        <f>IFERROR(__xludf.DUMMYFUNCTION("if(REGEXMATCH(I128,""INCLUDE""),1,0)"),0.0)</f>
        <v>0</v>
      </c>
      <c r="F128" s="70" t="str">
        <f>IFERROR(__xludf.DUMMYFUNCTION("index(SPLIT(I128, "" - ""),0,2)"),"EC4")</f>
        <v>EC4</v>
      </c>
      <c r="G128" s="70">
        <f>IFERROR(__xludf.DUMMYFUNCTION("if(REGEXMATCH(J128,""INCLUDE""),1,0)"),0.0)</f>
        <v>0</v>
      </c>
      <c r="H128" s="70" t="str">
        <f>IFERROR(__xludf.DUMMYFUNCTION("index(SPLIT(J128, "" - ""),0,2)"),"EC4")</f>
        <v>EC4</v>
      </c>
      <c r="I128" s="88" t="s">
        <v>31527</v>
      </c>
      <c r="J128" s="70" t="s">
        <v>31527</v>
      </c>
      <c r="K128" s="70">
        <v>189.0</v>
      </c>
      <c r="L128" s="70" t="s">
        <v>29131</v>
      </c>
      <c r="M128" s="70" t="s">
        <v>29129</v>
      </c>
      <c r="N128" s="70" t="s">
        <v>29130</v>
      </c>
      <c r="Z128" s="70" t="s">
        <v>29475</v>
      </c>
      <c r="AD128" s="70" t="s">
        <v>29133</v>
      </c>
      <c r="AL128" s="70" t="s">
        <v>29134</v>
      </c>
      <c r="AM128" s="70" t="s">
        <v>29135</v>
      </c>
      <c r="AN128" s="70">
        <v>2019.0</v>
      </c>
      <c r="AO128" s="70" t="s">
        <v>29136</v>
      </c>
      <c r="AQ128" s="70">
        <v>561.0</v>
      </c>
      <c r="AR128" s="70">
        <v>570.0</v>
      </c>
      <c r="AS128" s="70">
        <v>9.0</v>
      </c>
      <c r="AT128" s="70">
        <v>2.0</v>
      </c>
      <c r="AU128" s="75" t="s">
        <v>29137</v>
      </c>
      <c r="AV128" s="70" t="s">
        <v>22525</v>
      </c>
      <c r="AW128" s="70" t="s">
        <v>22622</v>
      </c>
      <c r="AX128" s="70" t="s">
        <v>237</v>
      </c>
      <c r="AY128" s="70" t="s">
        <v>29138</v>
      </c>
      <c r="BA128" s="70" t="s">
        <v>22</v>
      </c>
      <c r="BB128" s="70">
        <v>92.0</v>
      </c>
      <c r="BC128" s="70">
        <v>0.0</v>
      </c>
    </row>
    <row r="129" ht="22.5" customHeight="1">
      <c r="A129" s="86" t="str">
        <f t="shared" si="1"/>
        <v>Excluded</v>
      </c>
      <c r="B129" s="87">
        <f t="shared" si="2"/>
        <v>0</v>
      </c>
      <c r="C129" s="70">
        <v>0.0</v>
      </c>
      <c r="D129" s="70" t="s">
        <v>34</v>
      </c>
      <c r="E129" s="70">
        <f>IFERROR(__xludf.DUMMYFUNCTION("if(REGEXMATCH(I129,""INCLUDE""),1,0)"),0.0)</f>
        <v>0</v>
      </c>
      <c r="F129" s="70" t="str">
        <f>IFERROR(__xludf.DUMMYFUNCTION("index(SPLIT(I129, "" - ""),0,2)"),"EC4")</f>
        <v>EC4</v>
      </c>
      <c r="G129" s="70">
        <f>IFERROR(__xludf.DUMMYFUNCTION("if(REGEXMATCH(J129,""INCLUDE""),1,0)"),0.0)</f>
        <v>0</v>
      </c>
      <c r="H129" s="70" t="str">
        <f>IFERROR(__xludf.DUMMYFUNCTION("index(SPLIT(J129, "" - ""),0,2)"),"EC4")</f>
        <v>EC4</v>
      </c>
      <c r="I129" s="88" t="s">
        <v>31527</v>
      </c>
      <c r="J129" s="70" t="s">
        <v>31527</v>
      </c>
      <c r="K129" s="70">
        <v>157.0</v>
      </c>
      <c r="L129" s="70" t="s">
        <v>12058</v>
      </c>
      <c r="M129" s="70" t="s">
        <v>12054</v>
      </c>
      <c r="N129" s="70" t="s">
        <v>12055</v>
      </c>
      <c r="O129" s="70" t="s">
        <v>12056</v>
      </c>
      <c r="Q129" s="70" t="s">
        <v>12057</v>
      </c>
      <c r="S129" s="78">
        <v>45442.0</v>
      </c>
      <c r="X129" s="70" t="s">
        <v>239</v>
      </c>
      <c r="Z129" s="70" t="s">
        <v>12060</v>
      </c>
      <c r="AA129" s="70" t="s">
        <v>12061</v>
      </c>
      <c r="AB129" s="70" t="s">
        <v>29450</v>
      </c>
      <c r="AC129" s="75" t="s">
        <v>12063</v>
      </c>
      <c r="AD129" s="70" t="s">
        <v>12064</v>
      </c>
      <c r="AF129" s="70">
        <v>1.0</v>
      </c>
      <c r="AH129" s="70">
        <v>18.0</v>
      </c>
      <c r="AI129" s="70" t="s">
        <v>239</v>
      </c>
      <c r="AZ129" s="70" t="s">
        <v>12065</v>
      </c>
      <c r="BA129" s="70" t="s">
        <v>22</v>
      </c>
      <c r="BB129" s="70">
        <v>95.0</v>
      </c>
      <c r="BC129" s="70">
        <v>0.0</v>
      </c>
    </row>
    <row r="130" ht="22.5" customHeight="1">
      <c r="A130" s="86" t="str">
        <f t="shared" si="1"/>
        <v>Excluded</v>
      </c>
      <c r="B130" s="87">
        <f t="shared" si="2"/>
        <v>0</v>
      </c>
      <c r="C130" s="70">
        <v>0.0</v>
      </c>
      <c r="D130" s="70" t="s">
        <v>30</v>
      </c>
      <c r="E130" s="70">
        <f>IFERROR(__xludf.DUMMYFUNCTION("if(REGEXMATCH(I130,""INCLUDE""),1,0)"),0.0)</f>
        <v>0</v>
      </c>
      <c r="F130" s="70" t="str">
        <f>IFERROR(__xludf.DUMMYFUNCTION("index(SPLIT(I130, "" - ""),0,2)"),"EC4")</f>
        <v>EC4</v>
      </c>
      <c r="G130" s="70">
        <f>IFERROR(__xludf.DUMMYFUNCTION("if(REGEXMATCH(J130,""INCLUDE""),1,0)"),0.0)</f>
        <v>0</v>
      </c>
      <c r="H130" s="70" t="str">
        <f>IFERROR(__xludf.DUMMYFUNCTION("index(SPLIT(J130, "" - ""),0,2)"),"EC4")</f>
        <v>EC4</v>
      </c>
      <c r="I130" s="88" t="s">
        <v>31527</v>
      </c>
      <c r="J130" s="70" t="s">
        <v>31527</v>
      </c>
      <c r="K130" s="70">
        <v>91.0</v>
      </c>
      <c r="L130" s="70" t="s">
        <v>12481</v>
      </c>
      <c r="M130" s="70" t="s">
        <v>12477</v>
      </c>
      <c r="N130" s="70" t="s">
        <v>12478</v>
      </c>
      <c r="O130" s="70" t="s">
        <v>12479</v>
      </c>
      <c r="Q130" s="70" t="s">
        <v>12480</v>
      </c>
      <c r="S130" s="78">
        <v>45426.0</v>
      </c>
      <c r="X130" s="70" t="s">
        <v>239</v>
      </c>
      <c r="Z130" s="70" t="s">
        <v>12483</v>
      </c>
      <c r="AA130" s="70" t="s">
        <v>12484</v>
      </c>
      <c r="AC130" s="75" t="s">
        <v>12485</v>
      </c>
      <c r="AD130" s="70" t="s">
        <v>12486</v>
      </c>
      <c r="AF130" s="70">
        <v>1.0</v>
      </c>
      <c r="AH130" s="70">
        <v>20.0</v>
      </c>
      <c r="AI130" s="70" t="s">
        <v>239</v>
      </c>
      <c r="AZ130" s="70" t="s">
        <v>12487</v>
      </c>
      <c r="BA130" s="70" t="s">
        <v>24</v>
      </c>
      <c r="BB130" s="70">
        <v>96.0</v>
      </c>
      <c r="BC130" s="70">
        <v>0.0</v>
      </c>
    </row>
    <row r="131" ht="22.5" customHeight="1">
      <c r="A131" s="86" t="str">
        <f t="shared" si="1"/>
        <v>Excluded</v>
      </c>
      <c r="B131" s="87">
        <f t="shared" si="2"/>
        <v>0</v>
      </c>
      <c r="C131" s="70">
        <v>0.0</v>
      </c>
      <c r="D131" s="70" t="s">
        <v>30</v>
      </c>
      <c r="E131" s="70">
        <f>IFERROR(__xludf.DUMMYFUNCTION("if(REGEXMATCH(I131,""INCLUDE""),1,0)"),0.0)</f>
        <v>0</v>
      </c>
      <c r="F131" s="70" t="str">
        <f>IFERROR(__xludf.DUMMYFUNCTION("index(SPLIT(I131, "" - ""),0,2)"),"EC4")</f>
        <v>EC4</v>
      </c>
      <c r="G131" s="70">
        <f>IFERROR(__xludf.DUMMYFUNCTION("if(REGEXMATCH(J131,""INCLUDE""),1,0)"),0.0)</f>
        <v>0</v>
      </c>
      <c r="H131" s="70" t="str">
        <f>IFERROR(__xludf.DUMMYFUNCTION("index(SPLIT(J131, "" - ""),0,2)"),"EC4")</f>
        <v>EC4</v>
      </c>
      <c r="I131" s="88" t="s">
        <v>31527</v>
      </c>
      <c r="J131" s="70" t="s">
        <v>31527</v>
      </c>
      <c r="K131" s="70">
        <v>87.0</v>
      </c>
      <c r="L131" s="70" t="s">
        <v>28100</v>
      </c>
      <c r="M131" s="70" t="s">
        <v>28098</v>
      </c>
      <c r="N131" s="70" t="s">
        <v>28099</v>
      </c>
      <c r="Z131" s="70" t="s">
        <v>29399</v>
      </c>
      <c r="AD131" s="70" t="s">
        <v>28102</v>
      </c>
      <c r="AL131" s="70" t="s">
        <v>28103</v>
      </c>
      <c r="AM131" s="70" t="s">
        <v>28104</v>
      </c>
      <c r="AN131" s="70">
        <v>2020.0</v>
      </c>
      <c r="AO131" s="70" t="s">
        <v>28105</v>
      </c>
      <c r="AP131" s="70">
        <v>9238096.0</v>
      </c>
      <c r="AT131" s="70">
        <v>9.0</v>
      </c>
      <c r="AU131" s="75" t="s">
        <v>28106</v>
      </c>
      <c r="AV131" s="70" t="s">
        <v>22525</v>
      </c>
      <c r="AX131" s="70" t="s">
        <v>237</v>
      </c>
      <c r="AY131" s="70" t="s">
        <v>28107</v>
      </c>
      <c r="AZ131" s="70" t="s">
        <v>28108</v>
      </c>
      <c r="BA131" s="70" t="s">
        <v>22</v>
      </c>
      <c r="BB131" s="70">
        <v>97.0</v>
      </c>
      <c r="BC131" s="70">
        <v>0.0</v>
      </c>
    </row>
    <row r="132" ht="22.5" customHeight="1">
      <c r="A132" s="86" t="str">
        <f t="shared" si="1"/>
        <v>Excluded</v>
      </c>
      <c r="B132" s="87">
        <f t="shared" si="2"/>
        <v>0</v>
      </c>
      <c r="C132" s="70">
        <v>0.0</v>
      </c>
      <c r="D132" s="70" t="s">
        <v>34</v>
      </c>
      <c r="E132" s="70">
        <f>IFERROR(__xludf.DUMMYFUNCTION("if(REGEXMATCH(I132,""INCLUDE""),1,0)"),0.0)</f>
        <v>0</v>
      </c>
      <c r="F132" s="70" t="str">
        <f>IFERROR(__xludf.DUMMYFUNCTION("index(SPLIT(I132, "" - ""),0,2)"),"EC4")</f>
        <v>EC4</v>
      </c>
      <c r="G132" s="70">
        <f>IFERROR(__xludf.DUMMYFUNCTION("if(REGEXMATCH(J132,""INCLUDE""),1,0)"),0.0)</f>
        <v>0</v>
      </c>
      <c r="H132" s="70" t="str">
        <f>IFERROR(__xludf.DUMMYFUNCTION("index(SPLIT(J132, "" - ""),0,2)"),"EC4")</f>
        <v>EC4</v>
      </c>
      <c r="I132" s="88" t="s">
        <v>31527</v>
      </c>
      <c r="J132" s="70" t="s">
        <v>31527</v>
      </c>
      <c r="K132" s="70">
        <v>96.0</v>
      </c>
      <c r="L132" s="70" t="s">
        <v>7649</v>
      </c>
      <c r="M132" s="70" t="s">
        <v>29404</v>
      </c>
      <c r="N132" s="70" t="s">
        <v>7646</v>
      </c>
      <c r="O132" s="70" t="s">
        <v>7647</v>
      </c>
      <c r="Q132" s="70" t="s">
        <v>7648</v>
      </c>
      <c r="S132" s="76">
        <v>43769.0</v>
      </c>
      <c r="X132" s="70" t="s">
        <v>239</v>
      </c>
      <c r="Z132" s="70" t="s">
        <v>7651</v>
      </c>
      <c r="AA132" s="70" t="s">
        <v>7652</v>
      </c>
      <c r="AC132" s="75" t="s">
        <v>7653</v>
      </c>
      <c r="AD132" s="70" t="s">
        <v>7654</v>
      </c>
      <c r="AF132" s="70">
        <v>3.0</v>
      </c>
      <c r="AH132" s="70">
        <v>35.0</v>
      </c>
      <c r="AI132" s="70" t="s">
        <v>239</v>
      </c>
      <c r="AZ132" s="70" t="s">
        <v>7655</v>
      </c>
      <c r="BA132" s="70" t="s">
        <v>24</v>
      </c>
      <c r="BB132" s="70">
        <v>98.0</v>
      </c>
      <c r="BC132" s="70">
        <v>0.0</v>
      </c>
    </row>
    <row r="133" ht="22.5" customHeight="1">
      <c r="A133" s="86" t="str">
        <f t="shared" si="1"/>
        <v>Excluded</v>
      </c>
      <c r="B133" s="87">
        <f t="shared" si="2"/>
        <v>0</v>
      </c>
      <c r="C133" s="70">
        <v>0.0</v>
      </c>
      <c r="D133" s="70" t="s">
        <v>34</v>
      </c>
      <c r="E133" s="70">
        <f>IFERROR(__xludf.DUMMYFUNCTION("if(REGEXMATCH(I133,""INCLUDE""),1,0)"),0.0)</f>
        <v>0</v>
      </c>
      <c r="F133" s="70" t="str">
        <f>IFERROR(__xludf.DUMMYFUNCTION("index(SPLIT(I133, "" - ""),0,2)"),"EC4")</f>
        <v>EC4</v>
      </c>
      <c r="G133" s="70">
        <f>IFERROR(__xludf.DUMMYFUNCTION("if(REGEXMATCH(J133,""INCLUDE""),1,0)"),0.0)</f>
        <v>0</v>
      </c>
      <c r="H133" s="70" t="str">
        <f>IFERROR(__xludf.DUMMYFUNCTION("index(SPLIT(J133, "" - ""),0,2)"),"EC4")</f>
        <v>EC4</v>
      </c>
      <c r="I133" s="88" t="s">
        <v>31527</v>
      </c>
      <c r="J133" s="70" t="s">
        <v>31527</v>
      </c>
      <c r="K133" s="70">
        <v>150.0</v>
      </c>
      <c r="L133" s="70" t="s">
        <v>17534</v>
      </c>
      <c r="M133" s="70" t="s">
        <v>17532</v>
      </c>
      <c r="N133" s="70" t="s">
        <v>17533</v>
      </c>
      <c r="O133" s="70" t="s">
        <v>17090</v>
      </c>
      <c r="Q133" s="70" t="s">
        <v>17091</v>
      </c>
      <c r="S133" s="76">
        <v>44615.0</v>
      </c>
      <c r="X133" s="70" t="s">
        <v>239</v>
      </c>
      <c r="Z133" s="70" t="s">
        <v>17536</v>
      </c>
      <c r="AB133" s="70" t="s">
        <v>17537</v>
      </c>
      <c r="AC133" s="75" t="s">
        <v>17538</v>
      </c>
      <c r="AD133" s="70" t="s">
        <v>17539</v>
      </c>
      <c r="AF133" s="70">
        <v>42.0</v>
      </c>
      <c r="AH133" s="70">
        <v>44.0</v>
      </c>
      <c r="AI133" s="70" t="s">
        <v>239</v>
      </c>
      <c r="AZ133" s="70" t="s">
        <v>17540</v>
      </c>
      <c r="BA133" s="70" t="s">
        <v>24</v>
      </c>
      <c r="BB133" s="70">
        <v>99.0</v>
      </c>
      <c r="BC133" s="70">
        <v>0.0</v>
      </c>
    </row>
    <row r="134" ht="22.5" customHeight="1">
      <c r="A134" s="86" t="str">
        <f t="shared" si="1"/>
        <v>Excluded</v>
      </c>
      <c r="B134" s="87">
        <f t="shared" si="2"/>
        <v>0</v>
      </c>
      <c r="C134" s="70">
        <v>0.0</v>
      </c>
      <c r="D134" s="70" t="s">
        <v>34</v>
      </c>
      <c r="E134" s="70">
        <f>IFERROR(__xludf.DUMMYFUNCTION("if(REGEXMATCH(I134,""INCLUDE""),1,0)"),0.0)</f>
        <v>0</v>
      </c>
      <c r="F134" s="70" t="str">
        <f>IFERROR(__xludf.DUMMYFUNCTION("index(SPLIT(I134, "" - ""),0,2)"),"EC4")</f>
        <v>EC4</v>
      </c>
      <c r="G134" s="70">
        <f>IFERROR(__xludf.DUMMYFUNCTION("if(REGEXMATCH(J134,""INCLUDE""),1,0)"),0.0)</f>
        <v>0</v>
      </c>
      <c r="H134" s="70" t="str">
        <f>IFERROR(__xludf.DUMMYFUNCTION("index(SPLIT(J134, "" - ""),0,2)"),"EC4")</f>
        <v>EC4</v>
      </c>
      <c r="I134" s="88" t="s">
        <v>31527</v>
      </c>
      <c r="J134" s="70" t="s">
        <v>31527</v>
      </c>
      <c r="K134" s="70">
        <v>38.0</v>
      </c>
      <c r="L134" s="70" t="s">
        <v>18468</v>
      </c>
      <c r="M134" s="70" t="s">
        <v>18466</v>
      </c>
      <c r="N134" s="70" t="s">
        <v>18467</v>
      </c>
      <c r="O134" s="70" t="s">
        <v>16436</v>
      </c>
      <c r="Q134" s="70" t="s">
        <v>16437</v>
      </c>
      <c r="S134" s="77">
        <v>43804.0</v>
      </c>
      <c r="X134" s="70" t="s">
        <v>239</v>
      </c>
      <c r="Z134" s="70" t="s">
        <v>18470</v>
      </c>
      <c r="AB134" s="70" t="s">
        <v>18471</v>
      </c>
      <c r="AC134" s="75" t="s">
        <v>18472</v>
      </c>
      <c r="AD134" s="70" t="s">
        <v>18473</v>
      </c>
      <c r="AF134" s="70">
        <v>21.0</v>
      </c>
      <c r="AH134" s="70">
        <v>58.0</v>
      </c>
      <c r="AI134" s="70" t="s">
        <v>16423</v>
      </c>
      <c r="AZ134" s="70" t="s">
        <v>18474</v>
      </c>
      <c r="BB134" s="70">
        <v>100.0</v>
      </c>
      <c r="BC134" s="70">
        <v>0.0</v>
      </c>
    </row>
    <row r="135" ht="22.5" customHeight="1">
      <c r="A135" s="86" t="str">
        <f t="shared" si="1"/>
        <v>Excluded</v>
      </c>
      <c r="B135" s="87">
        <f t="shared" si="2"/>
        <v>0</v>
      </c>
      <c r="C135" s="70">
        <v>0.0</v>
      </c>
      <c r="D135" s="70" t="s">
        <v>34</v>
      </c>
      <c r="E135" s="70">
        <f>IFERROR(__xludf.DUMMYFUNCTION("if(REGEXMATCH(I135,""INCLUDE""),1,0)"),0.0)</f>
        <v>0</v>
      </c>
      <c r="F135" s="70" t="str">
        <f>IFERROR(__xludf.DUMMYFUNCTION("index(SPLIT(I135, "" - ""),0,2)"),"EC4")</f>
        <v>EC4</v>
      </c>
      <c r="G135" s="70">
        <f>IFERROR(__xludf.DUMMYFUNCTION("if(REGEXMATCH(J135,""INCLUDE""),1,0)"),0.0)</f>
        <v>0</v>
      </c>
      <c r="H135" s="70" t="str">
        <f>IFERROR(__xludf.DUMMYFUNCTION("index(SPLIT(J135, "" - ""),0,2)"),"EC5")</f>
        <v>EC5</v>
      </c>
      <c r="I135" s="88" t="s">
        <v>31527</v>
      </c>
      <c r="J135" s="70" t="s">
        <v>31528</v>
      </c>
      <c r="K135" s="70">
        <v>59.0</v>
      </c>
      <c r="L135" s="70" t="s">
        <v>12002</v>
      </c>
      <c r="M135" s="70" t="s">
        <v>11999</v>
      </c>
      <c r="N135" s="70" t="s">
        <v>12000</v>
      </c>
      <c r="O135" s="70" t="s">
        <v>12001</v>
      </c>
      <c r="S135" s="76">
        <v>45313.0</v>
      </c>
      <c r="X135" s="70" t="s">
        <v>239</v>
      </c>
      <c r="Z135" s="70" t="s">
        <v>12004</v>
      </c>
      <c r="AA135" s="70" t="s">
        <v>12005</v>
      </c>
      <c r="AB135" s="70" t="s">
        <v>29380</v>
      </c>
      <c r="AC135" s="75" t="s">
        <v>12006</v>
      </c>
      <c r="AD135" s="70" t="s">
        <v>12007</v>
      </c>
      <c r="AF135" s="70">
        <v>1.0</v>
      </c>
      <c r="AH135" s="70">
        <v>36.0</v>
      </c>
      <c r="AI135" s="70" t="s">
        <v>239</v>
      </c>
      <c r="AZ135" s="70" t="s">
        <v>12008</v>
      </c>
      <c r="BB135" s="70">
        <v>101.0</v>
      </c>
      <c r="BC135" s="70">
        <v>0.0</v>
      </c>
    </row>
    <row r="136" ht="22.5" customHeight="1">
      <c r="A136" s="86" t="str">
        <f t="shared" si="1"/>
        <v>Excluded</v>
      </c>
      <c r="B136" s="87">
        <f t="shared" si="2"/>
        <v>0</v>
      </c>
      <c r="C136" s="70">
        <v>0.0</v>
      </c>
      <c r="D136" s="70" t="s">
        <v>34</v>
      </c>
      <c r="E136" s="70">
        <f>IFERROR(__xludf.DUMMYFUNCTION("if(REGEXMATCH(I136,""INCLUDE""),1,0)"),0.0)</f>
        <v>0</v>
      </c>
      <c r="F136" s="70" t="str">
        <f>IFERROR(__xludf.DUMMYFUNCTION("index(SPLIT(I136, "" - ""),0,2)"),"EC4")</f>
        <v>EC4</v>
      </c>
      <c r="G136" s="70">
        <f>IFERROR(__xludf.DUMMYFUNCTION("if(REGEXMATCH(J136,""INCLUDE""),1,0)"),0.0)</f>
        <v>0</v>
      </c>
      <c r="H136" s="70" t="str">
        <f>IFERROR(__xludf.DUMMYFUNCTION("index(SPLIT(J136, "" - ""),0,2)"),"EC4")</f>
        <v>EC4</v>
      </c>
      <c r="I136" s="88" t="s">
        <v>31527</v>
      </c>
      <c r="J136" s="70" t="s">
        <v>31527</v>
      </c>
      <c r="K136" s="70">
        <v>112.0</v>
      </c>
      <c r="L136" s="70" t="s">
        <v>6486</v>
      </c>
      <c r="M136" s="70" t="s">
        <v>6483</v>
      </c>
      <c r="N136" s="70" t="s">
        <v>6484</v>
      </c>
      <c r="O136" s="70" t="s">
        <v>6485</v>
      </c>
      <c r="S136" s="76">
        <v>44893.0</v>
      </c>
      <c r="X136" s="70" t="s">
        <v>239</v>
      </c>
      <c r="Z136" s="70" t="s">
        <v>6488</v>
      </c>
      <c r="AA136" s="70" t="s">
        <v>6489</v>
      </c>
      <c r="AC136" s="75" t="s">
        <v>6490</v>
      </c>
      <c r="AD136" s="70" t="s">
        <v>6491</v>
      </c>
      <c r="AF136" s="70">
        <v>6.0</v>
      </c>
      <c r="AH136" s="70">
        <v>15.0</v>
      </c>
      <c r="AI136" s="70" t="s">
        <v>239</v>
      </c>
      <c r="AZ136" s="70" t="s">
        <v>6492</v>
      </c>
      <c r="BB136" s="70">
        <v>102.0</v>
      </c>
      <c r="BC136" s="70">
        <v>0.0</v>
      </c>
    </row>
    <row r="137" ht="22.5" customHeight="1">
      <c r="A137" s="86" t="str">
        <f t="shared" si="1"/>
        <v>Excluded</v>
      </c>
      <c r="B137" s="87">
        <f t="shared" si="2"/>
        <v>0</v>
      </c>
      <c r="C137" s="70">
        <v>0.0</v>
      </c>
      <c r="D137" s="70" t="s">
        <v>34</v>
      </c>
      <c r="E137" s="70">
        <f>IFERROR(__xludf.DUMMYFUNCTION("if(REGEXMATCH(I137,""INCLUDE""),1,0)"),0.0)</f>
        <v>0</v>
      </c>
      <c r="F137" s="70" t="str">
        <f>IFERROR(__xludf.DUMMYFUNCTION("index(SPLIT(I137, "" - ""),0,2)"),"EC4")</f>
        <v>EC4</v>
      </c>
      <c r="G137" s="70">
        <f>IFERROR(__xludf.DUMMYFUNCTION("if(REGEXMATCH(J137,""INCLUDE""),1,0)"),0.0)</f>
        <v>0</v>
      </c>
      <c r="H137" s="70" t="str">
        <f>IFERROR(__xludf.DUMMYFUNCTION("index(SPLIT(J137, "" - ""),0,2)"),"EC4")</f>
        <v>EC4</v>
      </c>
      <c r="I137" s="88" t="s">
        <v>31527</v>
      </c>
      <c r="J137" s="70" t="s">
        <v>31527</v>
      </c>
      <c r="K137" s="70">
        <v>193.0</v>
      </c>
      <c r="L137" s="70" t="s">
        <v>9197</v>
      </c>
      <c r="M137" s="70" t="s">
        <v>29479</v>
      </c>
      <c r="N137" s="70" t="s">
        <v>9196</v>
      </c>
      <c r="O137" s="70" t="s">
        <v>4761</v>
      </c>
      <c r="S137" s="76">
        <v>42929.0</v>
      </c>
      <c r="X137" s="70" t="s">
        <v>239</v>
      </c>
      <c r="Z137" s="70" t="s">
        <v>9199</v>
      </c>
      <c r="AA137" s="70" t="s">
        <v>4765</v>
      </c>
      <c r="AC137" s="75" t="s">
        <v>9200</v>
      </c>
      <c r="AF137" s="70">
        <v>1.0</v>
      </c>
      <c r="AH137" s="70">
        <v>25.0</v>
      </c>
      <c r="AZ137" s="70" t="s">
        <v>9201</v>
      </c>
      <c r="BA137" s="70" t="s">
        <v>22</v>
      </c>
      <c r="BB137" s="70">
        <v>104.0</v>
      </c>
      <c r="BC137" s="70">
        <v>0.0</v>
      </c>
    </row>
    <row r="138" ht="22.5" customHeight="1">
      <c r="A138" s="86" t="str">
        <f t="shared" si="1"/>
        <v>Excluded</v>
      </c>
      <c r="B138" s="87">
        <f t="shared" si="2"/>
        <v>0</v>
      </c>
      <c r="C138" s="70">
        <v>0.0</v>
      </c>
      <c r="D138" s="70" t="s">
        <v>34</v>
      </c>
      <c r="E138" s="70">
        <f>IFERROR(__xludf.DUMMYFUNCTION("if(REGEXMATCH(I138,""INCLUDE""),1,0)"),0.0)</f>
        <v>0</v>
      </c>
      <c r="F138" s="70" t="str">
        <f>IFERROR(__xludf.DUMMYFUNCTION("index(SPLIT(I138, "" - ""),0,2)"),"EC4")</f>
        <v>EC4</v>
      </c>
      <c r="G138" s="70">
        <f>IFERROR(__xludf.DUMMYFUNCTION("if(REGEXMATCH(J138,""INCLUDE""),1,0)"),0.0)</f>
        <v>0</v>
      </c>
      <c r="H138" s="70" t="str">
        <f>IFERROR(__xludf.DUMMYFUNCTION("index(SPLIT(J138, "" - ""),0,2)"),"EC4")</f>
        <v>EC4</v>
      </c>
      <c r="I138" s="88" t="s">
        <v>31527</v>
      </c>
      <c r="J138" s="70" t="s">
        <v>31527</v>
      </c>
      <c r="K138" s="70">
        <v>185.0</v>
      </c>
      <c r="L138" s="70" t="s">
        <v>25503</v>
      </c>
      <c r="M138" s="70" t="s">
        <v>25501</v>
      </c>
      <c r="N138" s="70" t="s">
        <v>25502</v>
      </c>
      <c r="Z138" s="70" t="s">
        <v>29470</v>
      </c>
      <c r="AL138" s="70" t="s">
        <v>25505</v>
      </c>
      <c r="AM138" s="70" t="s">
        <v>25506</v>
      </c>
      <c r="AN138" s="70">
        <v>2023.0</v>
      </c>
      <c r="AO138" s="70" t="s">
        <v>25507</v>
      </c>
      <c r="AP138" s="70">
        <v>6641563.0</v>
      </c>
      <c r="AT138" s="70">
        <v>2.0</v>
      </c>
      <c r="AU138" s="75" t="s">
        <v>25508</v>
      </c>
      <c r="AV138" s="70" t="s">
        <v>22525</v>
      </c>
      <c r="AW138" s="70" t="s">
        <v>22622</v>
      </c>
      <c r="AX138" s="70" t="s">
        <v>237</v>
      </c>
      <c r="AY138" s="70" t="s">
        <v>25509</v>
      </c>
      <c r="AZ138" s="70" t="s">
        <v>25510</v>
      </c>
      <c r="BB138" s="70">
        <v>105.0</v>
      </c>
      <c r="BC138" s="70">
        <v>0.0</v>
      </c>
    </row>
    <row r="139" ht="22.5" customHeight="1">
      <c r="A139" s="86" t="str">
        <f t="shared" si="1"/>
        <v>Excluded</v>
      </c>
      <c r="B139" s="87">
        <f t="shared" si="2"/>
        <v>0</v>
      </c>
      <c r="C139" s="70">
        <v>0.0</v>
      </c>
      <c r="D139" s="70" t="s">
        <v>34</v>
      </c>
      <c r="E139" s="70">
        <f>IFERROR(__xludf.DUMMYFUNCTION("if(REGEXMATCH(I139,""INCLUDE""),1,0)"),0.0)</f>
        <v>0</v>
      </c>
      <c r="F139" s="70" t="str">
        <f>IFERROR(__xludf.DUMMYFUNCTION("index(SPLIT(I139, "" - ""),0,2)"),"EC4")</f>
        <v>EC4</v>
      </c>
      <c r="G139" s="70">
        <f>IFERROR(__xludf.DUMMYFUNCTION("if(REGEXMATCH(J139,""INCLUDE""),1,0)"),0.0)</f>
        <v>0</v>
      </c>
      <c r="H139" s="70" t="str">
        <f>IFERROR(__xludf.DUMMYFUNCTION("index(SPLIT(J139, "" - ""),0,2)"),"EC4")</f>
        <v>EC4</v>
      </c>
      <c r="I139" s="88" t="s">
        <v>31527</v>
      </c>
      <c r="J139" s="70" t="s">
        <v>31527</v>
      </c>
      <c r="K139" s="70">
        <v>88.0</v>
      </c>
      <c r="L139" s="70" t="s">
        <v>7296</v>
      </c>
      <c r="M139" s="70" t="s">
        <v>7293</v>
      </c>
      <c r="N139" s="70" t="s">
        <v>7294</v>
      </c>
      <c r="O139" s="70" t="s">
        <v>7295</v>
      </c>
      <c r="S139" s="77">
        <v>43255.0</v>
      </c>
      <c r="X139" s="70" t="s">
        <v>239</v>
      </c>
      <c r="Z139" s="70" t="s">
        <v>7298</v>
      </c>
      <c r="AA139" s="70" t="s">
        <v>7299</v>
      </c>
      <c r="AC139" s="75" t="s">
        <v>7300</v>
      </c>
      <c r="AD139" s="70" t="s">
        <v>7301</v>
      </c>
      <c r="AF139" s="70">
        <v>4.0</v>
      </c>
      <c r="AH139" s="70">
        <v>20.0</v>
      </c>
      <c r="AI139" s="70" t="s">
        <v>239</v>
      </c>
      <c r="AZ139" s="70" t="s">
        <v>7302</v>
      </c>
      <c r="BA139" s="70" t="s">
        <v>24</v>
      </c>
      <c r="BB139" s="70">
        <v>106.0</v>
      </c>
      <c r="BC139" s="70">
        <v>0.0</v>
      </c>
    </row>
    <row r="140" ht="22.5" customHeight="1">
      <c r="A140" s="86" t="str">
        <f t="shared" si="1"/>
        <v>Excluded</v>
      </c>
      <c r="B140" s="87">
        <f t="shared" si="2"/>
        <v>0</v>
      </c>
      <c r="C140" s="70">
        <v>0.0</v>
      </c>
      <c r="D140" s="70" t="s">
        <v>34</v>
      </c>
      <c r="E140" s="70">
        <f>IFERROR(__xludf.DUMMYFUNCTION("if(REGEXMATCH(I140,""INCLUDE""),1,0)"),0.0)</f>
        <v>0</v>
      </c>
      <c r="F140" s="70" t="str">
        <f>IFERROR(__xludf.DUMMYFUNCTION("index(SPLIT(I140, "" - ""),0,2)"),"EC5")</f>
        <v>EC5</v>
      </c>
      <c r="G140" s="70">
        <f>IFERROR(__xludf.DUMMYFUNCTION("if(REGEXMATCH(J140,""INCLUDE""),1,0)"),0.0)</f>
        <v>0</v>
      </c>
      <c r="H140" s="70" t="str">
        <f>IFERROR(__xludf.DUMMYFUNCTION("index(SPLIT(J140, "" - ""),0,2)"),"EC5")</f>
        <v>EC5</v>
      </c>
      <c r="I140" s="88" t="s">
        <v>31528</v>
      </c>
      <c r="J140" s="70" t="s">
        <v>31528</v>
      </c>
      <c r="K140" s="70">
        <v>53.0</v>
      </c>
      <c r="L140" s="70" t="s">
        <v>22139</v>
      </c>
      <c r="M140" s="70" t="s">
        <v>22137</v>
      </c>
      <c r="N140" s="70" t="s">
        <v>22138</v>
      </c>
      <c r="O140" s="70" t="s">
        <v>16436</v>
      </c>
      <c r="Q140" s="70" t="s">
        <v>16437</v>
      </c>
      <c r="S140" s="76">
        <v>45594.0</v>
      </c>
      <c r="X140" s="70" t="s">
        <v>239</v>
      </c>
      <c r="Z140" s="70" t="s">
        <v>29377</v>
      </c>
      <c r="AB140" s="70" t="s">
        <v>22142</v>
      </c>
      <c r="AC140" s="75" t="s">
        <v>22143</v>
      </c>
      <c r="AD140" s="70" t="s">
        <v>22144</v>
      </c>
      <c r="AH140" s="70">
        <v>39.0</v>
      </c>
      <c r="AI140" s="70" t="s">
        <v>16727</v>
      </c>
      <c r="AZ140" s="70" t="s">
        <v>22145</v>
      </c>
      <c r="BA140" s="70" t="s">
        <v>22</v>
      </c>
      <c r="BB140" s="70">
        <v>108.0</v>
      </c>
      <c r="BC140" s="70">
        <v>0.0</v>
      </c>
    </row>
    <row r="141" ht="22.5" customHeight="1">
      <c r="A141" s="86" t="str">
        <f t="shared" si="1"/>
        <v>Excluded</v>
      </c>
      <c r="B141" s="87">
        <f t="shared" si="2"/>
        <v>0</v>
      </c>
      <c r="C141" s="70">
        <v>0.0</v>
      </c>
      <c r="D141" s="70" t="s">
        <v>34</v>
      </c>
      <c r="E141" s="70">
        <f>IFERROR(__xludf.DUMMYFUNCTION("if(REGEXMATCH(I141,""INCLUDE""),1,0)"),0.0)</f>
        <v>0</v>
      </c>
      <c r="F141" s="70" t="str">
        <f>IFERROR(__xludf.DUMMYFUNCTION("index(SPLIT(I141, "" - ""),0,2)"),"EC4")</f>
        <v>EC4</v>
      </c>
      <c r="G141" s="70">
        <f>IFERROR(__xludf.DUMMYFUNCTION("if(REGEXMATCH(J141,""INCLUDE""),1,0)"),0.0)</f>
        <v>0</v>
      </c>
      <c r="H141" s="70" t="str">
        <f>IFERROR(__xludf.DUMMYFUNCTION("index(SPLIT(J141, "" - ""),0,2)"),"EC4")</f>
        <v>EC4</v>
      </c>
      <c r="I141" s="88" t="s">
        <v>31527</v>
      </c>
      <c r="J141" s="70" t="s">
        <v>31527</v>
      </c>
      <c r="K141" s="70">
        <v>73.0</v>
      </c>
      <c r="L141" s="70" t="s">
        <v>13925</v>
      </c>
      <c r="M141" s="70" t="s">
        <v>13924</v>
      </c>
      <c r="N141" s="70" t="s">
        <v>10418</v>
      </c>
      <c r="O141" s="70" t="s">
        <v>11864</v>
      </c>
      <c r="Q141" s="70" t="s">
        <v>6726</v>
      </c>
      <c r="S141" s="78">
        <v>45425.0</v>
      </c>
      <c r="X141" s="70" t="s">
        <v>239</v>
      </c>
      <c r="Z141" s="70" t="s">
        <v>29390</v>
      </c>
      <c r="AA141" s="70" t="s">
        <v>11868</v>
      </c>
      <c r="AC141" s="75" t="s">
        <v>13928</v>
      </c>
      <c r="AH141" s="70">
        <v>47.0</v>
      </c>
      <c r="AI141" s="70" t="s">
        <v>239</v>
      </c>
      <c r="AZ141" s="70" t="s">
        <v>13929</v>
      </c>
      <c r="BA141" s="70" t="s">
        <v>24</v>
      </c>
      <c r="BB141" s="70">
        <v>109.0</v>
      </c>
      <c r="BC141" s="70">
        <v>0.0</v>
      </c>
    </row>
    <row r="142" ht="22.5" customHeight="1">
      <c r="A142" s="86" t="str">
        <f t="shared" si="1"/>
        <v>Excluded</v>
      </c>
      <c r="B142" s="87">
        <f t="shared" si="2"/>
        <v>0</v>
      </c>
      <c r="C142" s="70">
        <v>0.0</v>
      </c>
      <c r="D142" s="70" t="s">
        <v>34</v>
      </c>
      <c r="E142" s="70">
        <f>IFERROR(__xludf.DUMMYFUNCTION("if(REGEXMATCH(I142,""INCLUDE""),1,0)"),0.0)</f>
        <v>0</v>
      </c>
      <c r="F142" s="70" t="str">
        <f>IFERROR(__xludf.DUMMYFUNCTION("index(SPLIT(I142, "" - ""),0,2)"),"EC5")</f>
        <v>EC5</v>
      </c>
      <c r="G142" s="70">
        <f>IFERROR(__xludf.DUMMYFUNCTION("if(REGEXMATCH(J142,""INCLUDE""),1,0)"),0.0)</f>
        <v>0</v>
      </c>
      <c r="H142" s="70" t="str">
        <f>IFERROR(__xludf.DUMMYFUNCTION("index(SPLIT(J142, "" - ""),0,2)"),"EC5")</f>
        <v>EC5</v>
      </c>
      <c r="I142" s="88" t="s">
        <v>31528</v>
      </c>
      <c r="J142" s="70" t="s">
        <v>31528</v>
      </c>
      <c r="K142" s="70">
        <v>62.0</v>
      </c>
      <c r="L142" s="70" t="s">
        <v>15115</v>
      </c>
      <c r="M142" s="70" t="s">
        <v>15112</v>
      </c>
      <c r="N142" s="70" t="s">
        <v>15113</v>
      </c>
      <c r="O142" s="70" t="s">
        <v>15114</v>
      </c>
      <c r="S142" s="76">
        <v>45671.0</v>
      </c>
      <c r="X142" s="70" t="s">
        <v>239</v>
      </c>
      <c r="Z142" s="70" t="s">
        <v>15117</v>
      </c>
      <c r="AA142" s="70" t="s">
        <v>15118</v>
      </c>
      <c r="AC142" s="75" t="s">
        <v>15119</v>
      </c>
      <c r="AD142" s="70" t="s">
        <v>15120</v>
      </c>
      <c r="AH142" s="70">
        <v>12.0</v>
      </c>
      <c r="AI142" s="70" t="s">
        <v>239</v>
      </c>
      <c r="AZ142" s="70" t="s">
        <v>15121</v>
      </c>
      <c r="BA142" s="70" t="s">
        <v>22</v>
      </c>
      <c r="BB142" s="70">
        <v>111.0</v>
      </c>
      <c r="BC142" s="70">
        <v>0.0</v>
      </c>
    </row>
    <row r="143" ht="22.5" customHeight="1">
      <c r="A143" s="86" t="str">
        <f t="shared" si="1"/>
        <v>Excluded</v>
      </c>
      <c r="B143" s="87">
        <f t="shared" si="2"/>
        <v>0</v>
      </c>
      <c r="C143" s="70">
        <v>0.0</v>
      </c>
      <c r="D143" s="70" t="s">
        <v>34</v>
      </c>
      <c r="E143" s="70">
        <f>IFERROR(__xludf.DUMMYFUNCTION("if(REGEXMATCH(I143,""INCLUDE""),1,0)"),0.0)</f>
        <v>0</v>
      </c>
      <c r="F143" s="70" t="str">
        <f>IFERROR(__xludf.DUMMYFUNCTION("index(SPLIT(I143, "" - ""),0,2)"),"EC4")</f>
        <v>EC4</v>
      </c>
      <c r="G143" s="70">
        <f>IFERROR(__xludf.DUMMYFUNCTION("if(REGEXMATCH(J143,""INCLUDE""),1,0)"),0.0)</f>
        <v>0</v>
      </c>
      <c r="H143" s="70" t="str">
        <f>IFERROR(__xludf.DUMMYFUNCTION("index(SPLIT(J143, "" - ""),0,2)"),"EC4")</f>
        <v>EC4</v>
      </c>
      <c r="I143" s="88" t="s">
        <v>31527</v>
      </c>
      <c r="J143" s="70" t="s">
        <v>31527</v>
      </c>
      <c r="K143" s="70">
        <v>86.0</v>
      </c>
      <c r="L143" s="70" t="s">
        <v>13402</v>
      </c>
      <c r="M143" s="70" t="s">
        <v>13399</v>
      </c>
      <c r="N143" s="70" t="s">
        <v>13400</v>
      </c>
      <c r="O143" s="70" t="s">
        <v>13401</v>
      </c>
      <c r="S143" s="77">
        <v>45720.0</v>
      </c>
      <c r="X143" s="70" t="s">
        <v>239</v>
      </c>
      <c r="Z143" s="70" t="s">
        <v>13404</v>
      </c>
      <c r="AA143" s="70" t="s">
        <v>13405</v>
      </c>
      <c r="AC143" s="75" t="s">
        <v>13406</v>
      </c>
      <c r="AD143" s="70" t="s">
        <v>13407</v>
      </c>
      <c r="AH143" s="70">
        <v>11.0</v>
      </c>
      <c r="AI143" s="70" t="s">
        <v>239</v>
      </c>
      <c r="AZ143" s="70" t="s">
        <v>13408</v>
      </c>
      <c r="BA143" s="70" t="s">
        <v>24</v>
      </c>
      <c r="BB143" s="70">
        <v>112.0</v>
      </c>
      <c r="BC143" s="70">
        <v>0.0</v>
      </c>
    </row>
    <row r="144" ht="22.5" customHeight="1">
      <c r="A144" s="86" t="str">
        <f t="shared" si="1"/>
        <v>Excluded</v>
      </c>
      <c r="B144" s="87">
        <f t="shared" si="2"/>
        <v>0</v>
      </c>
      <c r="C144" s="70">
        <v>0.0</v>
      </c>
      <c r="D144" s="70" t="s">
        <v>34</v>
      </c>
      <c r="E144" s="70">
        <f>IFERROR(__xludf.DUMMYFUNCTION("if(REGEXMATCH(I144,""INCLUDE""),1,0)"),0.0)</f>
        <v>0</v>
      </c>
      <c r="F144" s="70" t="str">
        <f>IFERROR(__xludf.DUMMYFUNCTION("index(SPLIT(I144, "" - ""),0,2)"),"EC4")</f>
        <v>EC4</v>
      </c>
      <c r="G144" s="70">
        <f>IFERROR(__xludf.DUMMYFUNCTION("if(REGEXMATCH(J144,""INCLUDE""),1,0)"),0.0)</f>
        <v>0</v>
      </c>
      <c r="H144" s="70" t="str">
        <f>IFERROR(__xludf.DUMMYFUNCTION("index(SPLIT(J144, "" - ""),0,2)"),"EC4")</f>
        <v>EC4</v>
      </c>
      <c r="I144" s="88" t="s">
        <v>31527</v>
      </c>
      <c r="J144" s="70" t="s">
        <v>31527</v>
      </c>
      <c r="K144" s="70">
        <v>135.0</v>
      </c>
      <c r="L144" s="70" t="s">
        <v>7390</v>
      </c>
      <c r="M144" s="70" t="s">
        <v>7387</v>
      </c>
      <c r="N144" s="70" t="s">
        <v>7388</v>
      </c>
      <c r="O144" s="70" t="s">
        <v>7389</v>
      </c>
      <c r="S144" s="76">
        <v>44146.0</v>
      </c>
      <c r="X144" s="70" t="s">
        <v>239</v>
      </c>
      <c r="Z144" s="70" t="s">
        <v>7392</v>
      </c>
      <c r="AA144" s="70" t="s">
        <v>7393</v>
      </c>
      <c r="AC144" s="75" t="s">
        <v>7394</v>
      </c>
      <c r="AD144" s="70" t="s">
        <v>7395</v>
      </c>
      <c r="AF144" s="70">
        <v>3.0</v>
      </c>
      <c r="AH144" s="70">
        <v>25.0</v>
      </c>
      <c r="AI144" s="70" t="s">
        <v>239</v>
      </c>
      <c r="AZ144" s="70" t="s">
        <v>7396</v>
      </c>
      <c r="BA144" s="70" t="s">
        <v>24</v>
      </c>
      <c r="BB144" s="70">
        <v>113.0</v>
      </c>
      <c r="BC144" s="70">
        <v>0.0</v>
      </c>
    </row>
    <row r="145" ht="22.5" customHeight="1">
      <c r="A145" s="86" t="str">
        <f t="shared" si="1"/>
        <v>Excluded</v>
      </c>
      <c r="B145" s="87">
        <f t="shared" si="2"/>
        <v>0</v>
      </c>
      <c r="C145" s="70">
        <v>0.0</v>
      </c>
      <c r="D145" s="70" t="s">
        <v>34</v>
      </c>
      <c r="E145" s="70">
        <f>IFERROR(__xludf.DUMMYFUNCTION("if(REGEXMATCH(I145,""INCLUDE""),1,0)"),0.0)</f>
        <v>0</v>
      </c>
      <c r="F145" s="70" t="str">
        <f>IFERROR(__xludf.DUMMYFUNCTION("index(SPLIT(I145, "" - ""),0,2)"),"EC4")</f>
        <v>EC4</v>
      </c>
      <c r="G145" s="70">
        <f>IFERROR(__xludf.DUMMYFUNCTION("if(REGEXMATCH(J145,""INCLUDE""),1,0)"),0.0)</f>
        <v>0</v>
      </c>
      <c r="H145" s="70" t="str">
        <f>IFERROR(__xludf.DUMMYFUNCTION("index(SPLIT(J145, "" - ""),0,2)"),"EC4")</f>
        <v>EC4</v>
      </c>
      <c r="I145" s="88" t="s">
        <v>31527</v>
      </c>
      <c r="J145" s="70" t="s">
        <v>31527</v>
      </c>
      <c r="K145" s="70">
        <v>45.0</v>
      </c>
      <c r="L145" s="70" t="s">
        <v>19728</v>
      </c>
      <c r="M145" s="70" t="s">
        <v>19726</v>
      </c>
      <c r="N145" s="70" t="s">
        <v>19727</v>
      </c>
      <c r="O145" s="70" t="s">
        <v>16436</v>
      </c>
      <c r="Q145" s="70" t="s">
        <v>16437</v>
      </c>
      <c r="S145" s="76">
        <v>45218.0</v>
      </c>
      <c r="X145" s="70" t="s">
        <v>239</v>
      </c>
      <c r="Z145" s="70" t="s">
        <v>19730</v>
      </c>
      <c r="AB145" s="70" t="s">
        <v>29370</v>
      </c>
      <c r="AC145" s="75" t="s">
        <v>19732</v>
      </c>
      <c r="AD145" s="70" t="s">
        <v>19733</v>
      </c>
      <c r="AF145" s="70">
        <v>8.0</v>
      </c>
      <c r="AH145" s="70">
        <v>102.0</v>
      </c>
      <c r="AI145" s="70" t="s">
        <v>16423</v>
      </c>
      <c r="AZ145" s="70" t="s">
        <v>19734</v>
      </c>
      <c r="BA145" s="70" t="s">
        <v>22</v>
      </c>
      <c r="BB145" s="70">
        <v>114.0</v>
      </c>
      <c r="BC145" s="70">
        <v>0.0</v>
      </c>
    </row>
    <row r="146" ht="22.5" customHeight="1">
      <c r="A146" s="86" t="str">
        <f t="shared" si="1"/>
        <v>Excluded</v>
      </c>
      <c r="B146" s="87">
        <f t="shared" si="2"/>
        <v>0</v>
      </c>
      <c r="C146" s="70">
        <v>0.0</v>
      </c>
      <c r="D146" s="70" t="s">
        <v>34</v>
      </c>
      <c r="E146" s="70">
        <f>IFERROR(__xludf.DUMMYFUNCTION("if(REGEXMATCH(I146,""INCLUDE""),1,0)"),0.0)</f>
        <v>0</v>
      </c>
      <c r="F146" s="70" t="str">
        <f>IFERROR(__xludf.DUMMYFUNCTION("index(SPLIT(I146, "" - ""),0,2)"),"EC4")</f>
        <v>EC4</v>
      </c>
      <c r="G146" s="70">
        <f>IFERROR(__xludf.DUMMYFUNCTION("if(REGEXMATCH(J146,""INCLUDE""),1,0)"),0.0)</f>
        <v>0</v>
      </c>
      <c r="H146" s="70" t="str">
        <f>IFERROR(__xludf.DUMMYFUNCTION("index(SPLIT(J146, "" - ""),0,2)"),"EC4")</f>
        <v>EC4</v>
      </c>
      <c r="I146" s="88" t="s">
        <v>31527</v>
      </c>
      <c r="J146" s="70" t="s">
        <v>31527</v>
      </c>
      <c r="K146" s="70">
        <v>196.0</v>
      </c>
      <c r="L146" s="70" t="s">
        <v>29240</v>
      </c>
      <c r="M146" s="70" t="s">
        <v>29238</v>
      </c>
      <c r="N146" s="70" t="s">
        <v>29239</v>
      </c>
      <c r="Z146" s="70" t="s">
        <v>29485</v>
      </c>
      <c r="AD146" s="70" t="s">
        <v>29242</v>
      </c>
      <c r="AL146" s="70" t="s">
        <v>29243</v>
      </c>
      <c r="AM146" s="70" t="s">
        <v>29244</v>
      </c>
      <c r="AN146" s="70">
        <v>2018.0</v>
      </c>
      <c r="AO146" s="70" t="s">
        <v>29245</v>
      </c>
      <c r="AQ146" s="70">
        <v>95.0</v>
      </c>
      <c r="AR146" s="70">
        <v>106.0</v>
      </c>
      <c r="AS146" s="70">
        <v>11.0</v>
      </c>
      <c r="AT146" s="70">
        <v>0.0</v>
      </c>
      <c r="AU146" s="75" t="s">
        <v>29246</v>
      </c>
      <c r="AV146" s="70" t="s">
        <v>22525</v>
      </c>
      <c r="AW146" s="70" t="s">
        <v>22656</v>
      </c>
      <c r="AX146" s="70" t="s">
        <v>237</v>
      </c>
      <c r="AY146" s="70" t="s">
        <v>29247</v>
      </c>
      <c r="BA146" s="70" t="s">
        <v>29381</v>
      </c>
      <c r="BB146" s="70">
        <v>115.0</v>
      </c>
      <c r="BC146" s="70">
        <v>0.0</v>
      </c>
    </row>
    <row r="147" ht="22.5" customHeight="1">
      <c r="A147" s="86" t="str">
        <f t="shared" si="1"/>
        <v>Excluded</v>
      </c>
      <c r="B147" s="87">
        <f t="shared" si="2"/>
        <v>0</v>
      </c>
      <c r="C147" s="70">
        <v>0.0</v>
      </c>
      <c r="D147" s="70" t="s">
        <v>34</v>
      </c>
      <c r="E147" s="70">
        <f>IFERROR(__xludf.DUMMYFUNCTION("if(REGEXMATCH(I147,""INCLUDE""),1,0)"),0.0)</f>
        <v>0</v>
      </c>
      <c r="F147" s="70" t="str">
        <f>IFERROR(__xludf.DUMMYFUNCTION("index(SPLIT(I147, "" - ""),0,2)"),"EC4")</f>
        <v>EC4</v>
      </c>
      <c r="G147" s="70">
        <f>IFERROR(__xludf.DUMMYFUNCTION("if(REGEXMATCH(J147,""INCLUDE""),1,0)"),0.0)</f>
        <v>0</v>
      </c>
      <c r="H147" s="70" t="str">
        <f>IFERROR(__xludf.DUMMYFUNCTION("index(SPLIT(J147, "" - ""),0,2)"),"EC4")</f>
        <v>EC4</v>
      </c>
      <c r="I147" s="88" t="s">
        <v>31527</v>
      </c>
      <c r="J147" s="70" t="s">
        <v>31527</v>
      </c>
      <c r="K147" s="70">
        <v>176.0</v>
      </c>
      <c r="L147" s="70" t="s">
        <v>1835</v>
      </c>
      <c r="M147" s="70" t="s">
        <v>1831</v>
      </c>
      <c r="N147" s="70" t="s">
        <v>1832</v>
      </c>
      <c r="O147" s="70" t="s">
        <v>1833</v>
      </c>
      <c r="P147" s="70" t="s">
        <v>1834</v>
      </c>
      <c r="R147" s="75" t="s">
        <v>1836</v>
      </c>
      <c r="S147" s="70">
        <v>2023.0</v>
      </c>
      <c r="T147" s="70" t="s">
        <v>1838</v>
      </c>
      <c r="X147" s="70" t="s">
        <v>401</v>
      </c>
      <c r="Y147" s="70" t="s">
        <v>402</v>
      </c>
      <c r="Z147" s="70" t="s">
        <v>1840</v>
      </c>
      <c r="AZ147" s="70" t="s">
        <v>1841</v>
      </c>
      <c r="BA147" s="70" t="s">
        <v>24</v>
      </c>
      <c r="BB147" s="70">
        <v>117.0</v>
      </c>
      <c r="BC147" s="70">
        <v>0.0</v>
      </c>
    </row>
    <row r="148" ht="22.5" customHeight="1">
      <c r="A148" s="86" t="str">
        <f t="shared" si="1"/>
        <v>Excluded</v>
      </c>
      <c r="B148" s="87">
        <f t="shared" si="2"/>
        <v>0</v>
      </c>
      <c r="C148" s="70">
        <v>0.0</v>
      </c>
      <c r="D148" s="70" t="s">
        <v>34</v>
      </c>
      <c r="E148" s="70">
        <f>IFERROR(__xludf.DUMMYFUNCTION("if(REGEXMATCH(I148,""INCLUDE""),1,0)"),0.0)</f>
        <v>0</v>
      </c>
      <c r="F148" s="70" t="str">
        <f>IFERROR(__xludf.DUMMYFUNCTION("index(SPLIT(I148, "" - ""),0,2)"),"EC4")</f>
        <v>EC4</v>
      </c>
      <c r="G148" s="70">
        <f>IFERROR(__xludf.DUMMYFUNCTION("if(REGEXMATCH(J148,""INCLUDE""),1,0)"),0.0)</f>
        <v>0</v>
      </c>
      <c r="H148" s="70" t="str">
        <f>IFERROR(__xludf.DUMMYFUNCTION("index(SPLIT(J148, "" - ""),0,2)"),"EC4")</f>
        <v>EC4</v>
      </c>
      <c r="I148" s="88" t="s">
        <v>31527</v>
      </c>
      <c r="J148" s="70" t="s">
        <v>31527</v>
      </c>
      <c r="K148" s="70">
        <v>69.0</v>
      </c>
      <c r="L148" s="70" t="s">
        <v>14235</v>
      </c>
      <c r="M148" s="70" t="s">
        <v>29389</v>
      </c>
      <c r="N148" s="70" t="s">
        <v>14234</v>
      </c>
      <c r="O148" s="70" t="s">
        <v>12966</v>
      </c>
      <c r="Q148" s="70" t="s">
        <v>12967</v>
      </c>
      <c r="S148" s="76">
        <v>45616.0</v>
      </c>
      <c r="X148" s="70" t="s">
        <v>239</v>
      </c>
      <c r="Z148" s="70" t="s">
        <v>14237</v>
      </c>
      <c r="AA148" s="70" t="s">
        <v>12971</v>
      </c>
      <c r="AC148" s="75" t="s">
        <v>14238</v>
      </c>
      <c r="AD148" s="70" t="s">
        <v>14239</v>
      </c>
      <c r="AH148" s="70">
        <v>10.0</v>
      </c>
      <c r="AI148" s="70" t="s">
        <v>239</v>
      </c>
      <c r="AZ148" s="70" t="s">
        <v>14240</v>
      </c>
      <c r="BA148" s="70" t="s">
        <v>24</v>
      </c>
      <c r="BB148" s="70">
        <v>120.0</v>
      </c>
      <c r="BC148" s="70">
        <v>0.0</v>
      </c>
    </row>
    <row r="149" ht="22.5" customHeight="1">
      <c r="A149" s="86" t="str">
        <f t="shared" si="1"/>
        <v>Excluded</v>
      </c>
      <c r="B149" s="87">
        <f t="shared" si="2"/>
        <v>0</v>
      </c>
      <c r="C149" s="70">
        <v>0.0</v>
      </c>
      <c r="D149" s="70" t="s">
        <v>34</v>
      </c>
      <c r="E149" s="70">
        <f>IFERROR(__xludf.DUMMYFUNCTION("if(REGEXMATCH(I149,""INCLUDE""),1,0)"),0.0)</f>
        <v>0</v>
      </c>
      <c r="F149" s="70" t="str">
        <f>IFERROR(__xludf.DUMMYFUNCTION("index(SPLIT(I149, "" - ""),0,2)"),"EC4")</f>
        <v>EC4</v>
      </c>
      <c r="G149" s="70">
        <f>IFERROR(__xludf.DUMMYFUNCTION("if(REGEXMATCH(J149,""INCLUDE""),1,0)"),0.0)</f>
        <v>0</v>
      </c>
      <c r="H149" s="70" t="str">
        <f>IFERROR(__xludf.DUMMYFUNCTION("index(SPLIT(J149, "" - ""),0,2)"),"EC4")</f>
        <v>EC4</v>
      </c>
      <c r="I149" s="88" t="s">
        <v>31527</v>
      </c>
      <c r="J149" s="70" t="s">
        <v>31527</v>
      </c>
      <c r="K149" s="70">
        <v>57.0</v>
      </c>
      <c r="L149" s="70" t="s">
        <v>7870</v>
      </c>
      <c r="M149" s="70" t="s">
        <v>7866</v>
      </c>
      <c r="N149" s="70" t="s">
        <v>7867</v>
      </c>
      <c r="O149" s="70" t="s">
        <v>7868</v>
      </c>
      <c r="Q149" s="70" t="s">
        <v>7869</v>
      </c>
      <c r="S149" s="76">
        <v>44575.0</v>
      </c>
      <c r="X149" s="70" t="s">
        <v>239</v>
      </c>
      <c r="Z149" s="70" t="s">
        <v>7872</v>
      </c>
      <c r="AA149" s="70" t="s">
        <v>7873</v>
      </c>
      <c r="AC149" s="75" t="s">
        <v>7874</v>
      </c>
      <c r="AD149" s="70" t="s">
        <v>7875</v>
      </c>
      <c r="AF149" s="70">
        <v>2.0</v>
      </c>
      <c r="AH149" s="70">
        <v>12.0</v>
      </c>
      <c r="AI149" s="70" t="s">
        <v>239</v>
      </c>
      <c r="AZ149" s="70" t="s">
        <v>7876</v>
      </c>
      <c r="BA149" s="70" t="s">
        <v>22</v>
      </c>
      <c r="BB149" s="70">
        <v>122.0</v>
      </c>
      <c r="BC149" s="70">
        <v>0.0</v>
      </c>
    </row>
    <row r="150" ht="22.5" customHeight="1">
      <c r="A150" s="86" t="str">
        <f t="shared" si="1"/>
        <v>Excluded</v>
      </c>
      <c r="B150" s="87">
        <f t="shared" si="2"/>
        <v>0</v>
      </c>
      <c r="C150" s="70">
        <v>0.0</v>
      </c>
      <c r="D150" s="70" t="s">
        <v>22</v>
      </c>
      <c r="E150" s="70">
        <f>IFERROR(__xludf.DUMMYFUNCTION("if(REGEXMATCH(I150,""INCLUDE""),1,0)"),0.0)</f>
        <v>0</v>
      </c>
      <c r="F150" s="70" t="str">
        <f>IFERROR(__xludf.DUMMYFUNCTION("index(SPLIT(I150, "" - ""),0,2)"),"EC4")</f>
        <v>EC4</v>
      </c>
      <c r="G150" s="70">
        <f>IFERROR(__xludf.DUMMYFUNCTION("if(REGEXMATCH(J150,""INCLUDE""),1,0)"),0.0)</f>
        <v>0</v>
      </c>
      <c r="H150" s="70" t="str">
        <f>IFERROR(__xludf.DUMMYFUNCTION("index(SPLIT(J150, "" - ""),0,2)"),"EC4")</f>
        <v>EC4</v>
      </c>
      <c r="I150" s="88" t="s">
        <v>31527</v>
      </c>
      <c r="J150" s="70" t="s">
        <v>31527</v>
      </c>
      <c r="K150" s="70">
        <v>101.0</v>
      </c>
      <c r="L150" s="70" t="s">
        <v>13115</v>
      </c>
      <c r="M150" s="70" t="s">
        <v>13113</v>
      </c>
      <c r="N150" s="70" t="s">
        <v>13114</v>
      </c>
      <c r="O150" s="70" t="s">
        <v>11461</v>
      </c>
      <c r="S150" s="76">
        <v>45275.0</v>
      </c>
      <c r="X150" s="70" t="s">
        <v>239</v>
      </c>
      <c r="Z150" s="70" t="s">
        <v>13117</v>
      </c>
      <c r="AA150" s="70" t="s">
        <v>11465</v>
      </c>
      <c r="AB150" s="70" t="s">
        <v>29407</v>
      </c>
      <c r="AC150" s="75" t="s">
        <v>13119</v>
      </c>
      <c r="AD150" s="70" t="s">
        <v>13120</v>
      </c>
      <c r="AH150" s="70">
        <v>33.0</v>
      </c>
      <c r="AI150" s="70" t="s">
        <v>239</v>
      </c>
      <c r="AZ150" s="70" t="s">
        <v>13121</v>
      </c>
      <c r="BA150" s="70" t="s">
        <v>22</v>
      </c>
      <c r="BB150" s="70">
        <v>124.0</v>
      </c>
      <c r="BC150" s="70">
        <v>0.0</v>
      </c>
    </row>
    <row r="151" ht="22.5" customHeight="1">
      <c r="A151" s="86" t="str">
        <f t="shared" si="1"/>
        <v>Excluded</v>
      </c>
      <c r="B151" s="87">
        <f t="shared" si="2"/>
        <v>0</v>
      </c>
      <c r="C151" s="70">
        <v>0.0</v>
      </c>
      <c r="D151" s="70" t="s">
        <v>34</v>
      </c>
      <c r="E151" s="70">
        <f>IFERROR(__xludf.DUMMYFUNCTION("if(REGEXMATCH(I151,""INCLUDE""),1,0)"),0.0)</f>
        <v>0</v>
      </c>
      <c r="F151" s="70" t="str">
        <f>IFERROR(__xludf.DUMMYFUNCTION("index(SPLIT(I151, "" - ""),0,2)"),"EC4")</f>
        <v>EC4</v>
      </c>
      <c r="G151" s="70">
        <f>IFERROR(__xludf.DUMMYFUNCTION("if(REGEXMATCH(J151,""INCLUDE""),1,0)"),0.0)</f>
        <v>0</v>
      </c>
      <c r="H151" s="70" t="str">
        <f>IFERROR(__xludf.DUMMYFUNCTION("index(SPLIT(J151, "" - ""),0,2)"),"EC4")</f>
        <v>EC4</v>
      </c>
      <c r="I151" s="88" t="s">
        <v>31527</v>
      </c>
      <c r="J151" s="70" t="s">
        <v>31527</v>
      </c>
      <c r="K151" s="70">
        <v>83.0</v>
      </c>
      <c r="L151" s="70" t="s">
        <v>13881</v>
      </c>
      <c r="M151" s="70" t="s">
        <v>13879</v>
      </c>
      <c r="N151" s="70" t="s">
        <v>13880</v>
      </c>
      <c r="O151" s="70" t="s">
        <v>12594</v>
      </c>
      <c r="Q151" s="70" t="s">
        <v>6638</v>
      </c>
      <c r="S151" s="76">
        <v>45524.0</v>
      </c>
      <c r="X151" s="70" t="s">
        <v>239</v>
      </c>
      <c r="Z151" s="70" t="s">
        <v>13883</v>
      </c>
      <c r="AA151" s="70" t="s">
        <v>12598</v>
      </c>
      <c r="AB151" s="70" t="s">
        <v>29398</v>
      </c>
      <c r="AC151" s="75" t="s">
        <v>13885</v>
      </c>
      <c r="AD151" s="70" t="s">
        <v>13886</v>
      </c>
      <c r="AH151" s="70">
        <v>40.0</v>
      </c>
      <c r="AI151" s="70" t="s">
        <v>239</v>
      </c>
      <c r="AZ151" s="70" t="s">
        <v>13887</v>
      </c>
      <c r="BA151" s="70" t="s">
        <v>29395</v>
      </c>
      <c r="BB151" s="70">
        <v>125.0</v>
      </c>
      <c r="BC151" s="70">
        <v>0.0</v>
      </c>
    </row>
    <row r="152" ht="22.5" customHeight="1">
      <c r="A152" s="86" t="str">
        <f t="shared" si="1"/>
        <v>Excluded</v>
      </c>
      <c r="B152" s="87">
        <f t="shared" si="2"/>
        <v>0</v>
      </c>
      <c r="C152" s="70">
        <v>0.0</v>
      </c>
      <c r="D152" s="70" t="s">
        <v>30</v>
      </c>
      <c r="E152" s="70">
        <f>IFERROR(__xludf.DUMMYFUNCTION("if(REGEXMATCH(I152,""INCLUDE""),1,0)"),0.0)</f>
        <v>0</v>
      </c>
      <c r="F152" s="70" t="str">
        <f>IFERROR(__xludf.DUMMYFUNCTION("index(SPLIT(I152, "" - ""),0,2)"),"EC4")</f>
        <v>EC4</v>
      </c>
      <c r="G152" s="70">
        <f>IFERROR(__xludf.DUMMYFUNCTION("if(REGEXMATCH(J152,""INCLUDE""),1,0)"),0.0)</f>
        <v>0</v>
      </c>
      <c r="H152" s="70" t="str">
        <f>IFERROR(__xludf.DUMMYFUNCTION("index(SPLIT(J152, "" - ""),0,2)"),"EC4")</f>
        <v>EC4</v>
      </c>
      <c r="I152" s="88" t="s">
        <v>31527</v>
      </c>
      <c r="J152" s="70" t="s">
        <v>31527</v>
      </c>
      <c r="K152" s="70">
        <v>131.0</v>
      </c>
      <c r="L152" s="70" t="s">
        <v>919</v>
      </c>
      <c r="M152" s="70" t="s">
        <v>917</v>
      </c>
      <c r="N152" s="70" t="s">
        <v>918</v>
      </c>
      <c r="O152" s="70" t="s">
        <v>549</v>
      </c>
      <c r="P152" s="70" t="s">
        <v>550</v>
      </c>
      <c r="R152" s="75" t="s">
        <v>920</v>
      </c>
      <c r="S152" s="70">
        <v>2023.0</v>
      </c>
      <c r="T152" s="70" t="s">
        <v>554</v>
      </c>
      <c r="X152" s="70" t="s">
        <v>555</v>
      </c>
      <c r="Y152" s="70" t="s">
        <v>556</v>
      </c>
      <c r="Z152" s="70" t="s">
        <v>29428</v>
      </c>
      <c r="BA152" s="70" t="s">
        <v>22</v>
      </c>
      <c r="BB152" s="70">
        <v>126.0</v>
      </c>
      <c r="BC152" s="70">
        <v>0.0</v>
      </c>
    </row>
    <row r="153" ht="22.5" customHeight="1">
      <c r="A153" s="86" t="str">
        <f t="shared" si="1"/>
        <v>Excluded</v>
      </c>
      <c r="B153" s="87">
        <f t="shared" si="2"/>
        <v>0</v>
      </c>
      <c r="C153" s="70">
        <v>0.0</v>
      </c>
      <c r="D153" s="70" t="s">
        <v>34</v>
      </c>
      <c r="E153" s="70">
        <f>IFERROR(__xludf.DUMMYFUNCTION("if(REGEXMATCH(I153,""INCLUDE""),1,0)"),0.0)</f>
        <v>0</v>
      </c>
      <c r="F153" s="70" t="str">
        <f>IFERROR(__xludf.DUMMYFUNCTION("index(SPLIT(I153, "" - ""),0,2)"),"EC5")</f>
        <v>EC5</v>
      </c>
      <c r="G153" s="70">
        <f>IFERROR(__xludf.DUMMYFUNCTION("if(REGEXMATCH(J153,""INCLUDE""),1,0)"),0.0)</f>
        <v>0</v>
      </c>
      <c r="H153" s="70" t="str">
        <f>IFERROR(__xludf.DUMMYFUNCTION("index(SPLIT(J153, "" - ""),0,2)"),"EC5")</f>
        <v>EC5</v>
      </c>
      <c r="I153" s="88" t="s">
        <v>31528</v>
      </c>
      <c r="J153" s="70" t="s">
        <v>31528</v>
      </c>
      <c r="K153" s="70">
        <v>197.0</v>
      </c>
      <c r="L153" s="70" t="s">
        <v>21200</v>
      </c>
      <c r="M153" s="70" t="s">
        <v>21198</v>
      </c>
      <c r="N153" s="70" t="s">
        <v>21199</v>
      </c>
      <c r="O153" s="70" t="s">
        <v>19901</v>
      </c>
      <c r="Q153" s="70" t="s">
        <v>19902</v>
      </c>
      <c r="S153" s="76">
        <v>45546.0</v>
      </c>
      <c r="X153" s="70" t="s">
        <v>19904</v>
      </c>
      <c r="Z153" s="70" t="s">
        <v>21202</v>
      </c>
      <c r="AB153" s="70" t="s">
        <v>29486</v>
      </c>
      <c r="AC153" s="75" t="s">
        <v>21204</v>
      </c>
      <c r="AD153" s="70" t="s">
        <v>21205</v>
      </c>
      <c r="AF153" s="70">
        <v>1.0</v>
      </c>
      <c r="AH153" s="70">
        <v>117.0</v>
      </c>
      <c r="AZ153" s="70" t="s">
        <v>21206</v>
      </c>
      <c r="BA153" s="70" t="s">
        <v>22</v>
      </c>
      <c r="BB153" s="70">
        <v>130.0</v>
      </c>
      <c r="BC153" s="70">
        <v>0.0</v>
      </c>
    </row>
    <row r="154" ht="22.5" customHeight="1">
      <c r="A154" s="86" t="str">
        <f t="shared" si="1"/>
        <v>Excluded</v>
      </c>
      <c r="B154" s="87">
        <f t="shared" si="2"/>
        <v>0</v>
      </c>
      <c r="C154" s="70">
        <v>0.0</v>
      </c>
      <c r="D154" s="70" t="s">
        <v>36</v>
      </c>
      <c r="E154" s="70">
        <f>IFERROR(__xludf.DUMMYFUNCTION("if(REGEXMATCH(I154,""INCLUDE""),1,0)"),0.0)</f>
        <v>0</v>
      </c>
      <c r="F154" s="70" t="str">
        <f>IFERROR(__xludf.DUMMYFUNCTION("index(SPLIT(I154, "" - ""),0,2)"),"EC4")</f>
        <v>EC4</v>
      </c>
      <c r="G154" s="70">
        <f>IFERROR(__xludf.DUMMYFUNCTION("if(REGEXMATCH(J154,""INCLUDE""),1,0)"),0.0)</f>
        <v>0</v>
      </c>
      <c r="H154" s="70" t="str">
        <f>IFERROR(__xludf.DUMMYFUNCTION("index(SPLIT(J154, "" - ""),0,2)"),"EC4")</f>
        <v>EC4</v>
      </c>
      <c r="I154" s="88" t="s">
        <v>31527</v>
      </c>
      <c r="J154" s="70" t="s">
        <v>31527</v>
      </c>
      <c r="K154" s="70">
        <v>121.0</v>
      </c>
      <c r="L154" s="70" t="s">
        <v>20978</v>
      </c>
      <c r="M154" s="70" t="s">
        <v>20976</v>
      </c>
      <c r="N154" s="70" t="s">
        <v>20977</v>
      </c>
      <c r="O154" s="70" t="s">
        <v>16538</v>
      </c>
      <c r="Q154" s="70" t="s">
        <v>16539</v>
      </c>
      <c r="S154" s="76">
        <v>45530.0</v>
      </c>
      <c r="X154" s="70" t="s">
        <v>239</v>
      </c>
      <c r="Z154" s="70" t="s">
        <v>20980</v>
      </c>
      <c r="AC154" s="75" t="s">
        <v>20981</v>
      </c>
      <c r="AD154" s="70" t="s">
        <v>20982</v>
      </c>
      <c r="AF154" s="70">
        <v>2.0</v>
      </c>
      <c r="AH154" s="70">
        <v>135.0</v>
      </c>
      <c r="AI154" s="70" t="s">
        <v>239</v>
      </c>
      <c r="AZ154" s="70" t="s">
        <v>20983</v>
      </c>
      <c r="BB154" s="70">
        <v>131.0</v>
      </c>
      <c r="BC154" s="70">
        <v>0.0</v>
      </c>
    </row>
    <row r="155" ht="22.5" customHeight="1">
      <c r="A155" s="86" t="str">
        <f t="shared" si="1"/>
        <v>Excluded</v>
      </c>
      <c r="B155" s="87">
        <f t="shared" si="2"/>
        <v>0</v>
      </c>
      <c r="C155" s="70">
        <v>0.0</v>
      </c>
      <c r="D155" s="70" t="s">
        <v>34</v>
      </c>
      <c r="E155" s="70">
        <f>IFERROR(__xludf.DUMMYFUNCTION("if(REGEXMATCH(I155,""INCLUDE""),1,0)"),0.0)</f>
        <v>0</v>
      </c>
      <c r="F155" s="70" t="str">
        <f>IFERROR(__xludf.DUMMYFUNCTION("index(SPLIT(I155, "" - ""),0,2)"),"EC4")</f>
        <v>EC4</v>
      </c>
      <c r="G155" s="70">
        <f>IFERROR(__xludf.DUMMYFUNCTION("if(REGEXMATCH(J155,""INCLUDE""),1,0)"),0.0)</f>
        <v>0</v>
      </c>
      <c r="H155" s="70" t="str">
        <f>IFERROR(__xludf.DUMMYFUNCTION("index(SPLIT(J155, "" - ""),0,2)"),"EC4")</f>
        <v>EC4</v>
      </c>
      <c r="I155" s="88" t="s">
        <v>31527</v>
      </c>
      <c r="J155" s="70" t="s">
        <v>31527</v>
      </c>
      <c r="K155" s="70">
        <v>71.0</v>
      </c>
      <c r="L155" s="70" t="s">
        <v>6379</v>
      </c>
      <c r="M155" s="70" t="s">
        <v>6376</v>
      </c>
      <c r="N155" s="70" t="s">
        <v>6377</v>
      </c>
      <c r="O155" s="70" t="s">
        <v>6378</v>
      </c>
      <c r="S155" s="76">
        <v>43069.0</v>
      </c>
      <c r="X155" s="70" t="s">
        <v>239</v>
      </c>
      <c r="Z155" s="70" t="s">
        <v>6381</v>
      </c>
      <c r="AA155" s="70" t="s">
        <v>6382</v>
      </c>
      <c r="AC155" s="75" t="s">
        <v>6383</v>
      </c>
      <c r="AD155" s="70" t="s">
        <v>6384</v>
      </c>
      <c r="AF155" s="70">
        <v>6.0</v>
      </c>
      <c r="AH155" s="70">
        <v>14.0</v>
      </c>
      <c r="AI155" s="70" t="s">
        <v>239</v>
      </c>
      <c r="AZ155" s="70" t="s">
        <v>6385</v>
      </c>
      <c r="BA155" s="70" t="s">
        <v>22</v>
      </c>
      <c r="BB155" s="70">
        <v>133.0</v>
      </c>
      <c r="BC155" s="70">
        <v>0.0</v>
      </c>
    </row>
    <row r="156" ht="22.5" customHeight="1">
      <c r="A156" s="86" t="str">
        <f t="shared" si="1"/>
        <v>Excluded</v>
      </c>
      <c r="B156" s="87">
        <f t="shared" si="2"/>
        <v>0</v>
      </c>
      <c r="C156" s="70">
        <v>0.0</v>
      </c>
      <c r="D156" s="70" t="s">
        <v>34</v>
      </c>
      <c r="E156" s="70">
        <f>IFERROR(__xludf.DUMMYFUNCTION("if(REGEXMATCH(I156,""INCLUDE""),1,0)"),0.0)</f>
        <v>0</v>
      </c>
      <c r="F156" s="70" t="str">
        <f>IFERROR(__xludf.DUMMYFUNCTION("index(SPLIT(I156, "" - ""),0,2)"),"EC4")</f>
        <v>EC4</v>
      </c>
      <c r="G156" s="70">
        <f>IFERROR(__xludf.DUMMYFUNCTION("if(REGEXMATCH(J156,""INCLUDE""),1,0)"),0.0)</f>
        <v>0</v>
      </c>
      <c r="H156" s="70" t="str">
        <f>IFERROR(__xludf.DUMMYFUNCTION("index(SPLIT(J156, "" - ""),0,2)"),"EC4")</f>
        <v>EC4</v>
      </c>
      <c r="I156" s="88" t="s">
        <v>31527</v>
      </c>
      <c r="J156" s="70" t="s">
        <v>31527</v>
      </c>
      <c r="K156" s="70">
        <v>24.0</v>
      </c>
      <c r="L156" s="70" t="s">
        <v>23059</v>
      </c>
      <c r="M156" s="70" t="s">
        <v>23057</v>
      </c>
      <c r="N156" s="70" t="s">
        <v>23058</v>
      </c>
      <c r="Z156" s="70" t="s">
        <v>29344</v>
      </c>
      <c r="AD156" s="70" t="s">
        <v>23061</v>
      </c>
      <c r="AL156" s="70" t="s">
        <v>23062</v>
      </c>
      <c r="AM156" s="70" t="s">
        <v>23063</v>
      </c>
      <c r="AN156" s="70">
        <v>2025.0</v>
      </c>
      <c r="AO156" s="70" t="s">
        <v>23064</v>
      </c>
      <c r="AP156" s="70">
        <v>100449.0</v>
      </c>
      <c r="AT156" s="70">
        <v>0.0</v>
      </c>
      <c r="AU156" s="75" t="s">
        <v>23065</v>
      </c>
      <c r="AV156" s="70" t="s">
        <v>22525</v>
      </c>
      <c r="AW156" s="70" t="s">
        <v>22622</v>
      </c>
      <c r="AX156" s="70" t="s">
        <v>237</v>
      </c>
      <c r="AY156" s="70" t="s">
        <v>23066</v>
      </c>
      <c r="BA156" s="70" t="s">
        <v>24</v>
      </c>
      <c r="BB156" s="70">
        <v>135.0</v>
      </c>
      <c r="BC156" s="70">
        <v>0.0</v>
      </c>
    </row>
    <row r="157" ht="22.5" customHeight="1">
      <c r="A157" s="86" t="str">
        <f t="shared" si="1"/>
        <v>Excluded</v>
      </c>
      <c r="B157" s="87">
        <f t="shared" si="2"/>
        <v>0</v>
      </c>
      <c r="C157" s="70">
        <v>0.0</v>
      </c>
      <c r="D157" s="70" t="s">
        <v>34</v>
      </c>
      <c r="E157" s="70">
        <f>IFERROR(__xludf.DUMMYFUNCTION("if(REGEXMATCH(I157,""INCLUDE""),1,0)"),0.0)</f>
        <v>0</v>
      </c>
      <c r="F157" s="70" t="str">
        <f>IFERROR(__xludf.DUMMYFUNCTION("index(SPLIT(I157, "" - ""),0,2)"),"EC4")</f>
        <v>EC4</v>
      </c>
      <c r="G157" s="70">
        <f>IFERROR(__xludf.DUMMYFUNCTION("if(REGEXMATCH(J157,""INCLUDE""),1,0)"),0.0)</f>
        <v>0</v>
      </c>
      <c r="H157" s="70" t="str">
        <f>IFERROR(__xludf.DUMMYFUNCTION("index(SPLIT(J157, "" - ""),0,2)"),"EC4")</f>
        <v>EC4</v>
      </c>
      <c r="I157" s="88" t="s">
        <v>31527</v>
      </c>
      <c r="J157" s="70" t="s">
        <v>31527</v>
      </c>
      <c r="K157" s="70">
        <v>124.0</v>
      </c>
      <c r="L157" s="70" t="s">
        <v>18065</v>
      </c>
      <c r="M157" s="70" t="s">
        <v>18063</v>
      </c>
      <c r="N157" s="70" t="s">
        <v>18064</v>
      </c>
      <c r="O157" s="70" t="s">
        <v>16923</v>
      </c>
      <c r="Q157" s="70" t="s">
        <v>16924</v>
      </c>
      <c r="S157" s="76">
        <v>45258.0</v>
      </c>
      <c r="X157" s="70" t="s">
        <v>239</v>
      </c>
      <c r="Z157" s="70" t="s">
        <v>18067</v>
      </c>
      <c r="AB157" s="70" t="s">
        <v>18068</v>
      </c>
      <c r="AC157" s="75" t="s">
        <v>18069</v>
      </c>
      <c r="AD157" s="70" t="s">
        <v>18070</v>
      </c>
      <c r="AF157" s="70">
        <v>28.0</v>
      </c>
      <c r="AH157" s="70">
        <v>153.0</v>
      </c>
      <c r="AI157" s="70" t="s">
        <v>239</v>
      </c>
      <c r="AZ157" s="70" t="s">
        <v>18071</v>
      </c>
      <c r="BB157" s="70">
        <v>136.0</v>
      </c>
      <c r="BC157" s="70">
        <v>0.0</v>
      </c>
    </row>
    <row r="158" ht="22.5" customHeight="1">
      <c r="A158" s="86" t="str">
        <f t="shared" si="1"/>
        <v>Excluded</v>
      </c>
      <c r="B158" s="87">
        <f t="shared" si="2"/>
        <v>0</v>
      </c>
      <c r="C158" s="70">
        <v>0.0</v>
      </c>
      <c r="D158" s="70" t="s">
        <v>34</v>
      </c>
      <c r="E158" s="70">
        <f>IFERROR(__xludf.DUMMYFUNCTION("if(REGEXMATCH(I158,""INCLUDE""),1,0)"),0.0)</f>
        <v>0</v>
      </c>
      <c r="F158" s="70" t="str">
        <f>IFERROR(__xludf.DUMMYFUNCTION("index(SPLIT(I158, "" - ""),0,2)"),"EC5")</f>
        <v>EC5</v>
      </c>
      <c r="G158" s="70">
        <f>IFERROR(__xludf.DUMMYFUNCTION("if(REGEXMATCH(J158,""INCLUDE""),1,0)"),0.0)</f>
        <v>0</v>
      </c>
      <c r="H158" s="70" t="str">
        <f>IFERROR(__xludf.DUMMYFUNCTION("index(SPLIT(J158, "" - ""),0,2)"),"EC5")</f>
        <v>EC5</v>
      </c>
      <c r="I158" s="88" t="s">
        <v>31528</v>
      </c>
      <c r="J158" s="70" t="s">
        <v>31528</v>
      </c>
      <c r="K158" s="70">
        <v>20.0</v>
      </c>
      <c r="L158" s="70" t="s">
        <v>28465</v>
      </c>
      <c r="M158" s="70" t="s">
        <v>28463</v>
      </c>
      <c r="N158" s="70" t="s">
        <v>28464</v>
      </c>
      <c r="Z158" s="70" t="s">
        <v>29339</v>
      </c>
      <c r="AD158" s="70" t="s">
        <v>28467</v>
      </c>
      <c r="AL158" s="70" t="s">
        <v>28468</v>
      </c>
      <c r="AM158" s="70" t="s">
        <v>28469</v>
      </c>
      <c r="AN158" s="70">
        <v>2021.0</v>
      </c>
      <c r="AO158" s="70" t="s">
        <v>23668</v>
      </c>
      <c r="AQ158" s="70">
        <v>97.0</v>
      </c>
      <c r="AR158" s="70">
        <v>107.0</v>
      </c>
      <c r="AS158" s="70">
        <v>10.0</v>
      </c>
      <c r="AT158" s="70">
        <v>3.0</v>
      </c>
      <c r="AU158" s="75" t="s">
        <v>28470</v>
      </c>
      <c r="AV158" s="70" t="s">
        <v>22525</v>
      </c>
      <c r="AX158" s="70" t="s">
        <v>237</v>
      </c>
      <c r="AY158" s="70" t="s">
        <v>28471</v>
      </c>
      <c r="AZ158" s="70" t="s">
        <v>28472</v>
      </c>
      <c r="BA158" s="70" t="s">
        <v>22</v>
      </c>
      <c r="BB158" s="70">
        <v>137.0</v>
      </c>
      <c r="BC158" s="70">
        <v>0.0</v>
      </c>
    </row>
    <row r="159" ht="22.5" customHeight="1">
      <c r="A159" s="86" t="str">
        <f t="shared" si="1"/>
        <v>Excluded</v>
      </c>
      <c r="B159" s="87">
        <f t="shared" si="2"/>
        <v>0</v>
      </c>
      <c r="C159" s="70">
        <v>0.0</v>
      </c>
      <c r="D159" s="70" t="s">
        <v>34</v>
      </c>
      <c r="E159" s="70">
        <f>IFERROR(__xludf.DUMMYFUNCTION("if(REGEXMATCH(I159,""INCLUDE""),1,0)"),0.0)</f>
        <v>0</v>
      </c>
      <c r="F159" s="70" t="str">
        <f>IFERROR(__xludf.DUMMYFUNCTION("index(SPLIT(I159, "" - ""),0,2)"),"EC4")</f>
        <v>EC4</v>
      </c>
      <c r="G159" s="70">
        <f>IFERROR(__xludf.DUMMYFUNCTION("if(REGEXMATCH(J159,""INCLUDE""),1,0)"),0.0)</f>
        <v>0</v>
      </c>
      <c r="H159" s="70" t="str">
        <f>IFERROR(__xludf.DUMMYFUNCTION("index(SPLIT(J159, "" - ""),0,2)"),"EC4")</f>
        <v>EC4</v>
      </c>
      <c r="I159" s="88" t="s">
        <v>31527</v>
      </c>
      <c r="J159" s="70" t="s">
        <v>31527</v>
      </c>
      <c r="K159" s="70">
        <v>58.0</v>
      </c>
      <c r="L159" s="70" t="s">
        <v>7488</v>
      </c>
      <c r="M159" s="70" t="s">
        <v>7485</v>
      </c>
      <c r="N159" s="70" t="s">
        <v>29379</v>
      </c>
      <c r="O159" s="70" t="s">
        <v>7487</v>
      </c>
      <c r="S159" s="76">
        <v>45012.0</v>
      </c>
      <c r="X159" s="70" t="s">
        <v>239</v>
      </c>
      <c r="Z159" s="70" t="s">
        <v>7490</v>
      </c>
      <c r="AA159" s="70" t="s">
        <v>7491</v>
      </c>
      <c r="AC159" s="75" t="s">
        <v>7492</v>
      </c>
      <c r="AD159" s="70" t="s">
        <v>7493</v>
      </c>
      <c r="AF159" s="70">
        <v>3.0</v>
      </c>
      <c r="AH159" s="70">
        <v>17.0</v>
      </c>
      <c r="AI159" s="70" t="s">
        <v>239</v>
      </c>
      <c r="AZ159" s="70" t="s">
        <v>7494</v>
      </c>
      <c r="BB159" s="70">
        <v>138.0</v>
      </c>
      <c r="BC159" s="70">
        <v>0.0</v>
      </c>
    </row>
    <row r="160" ht="22.5" customHeight="1">
      <c r="A160" s="86" t="str">
        <f t="shared" si="1"/>
        <v>Excluded</v>
      </c>
      <c r="B160" s="87">
        <f t="shared" si="2"/>
        <v>0</v>
      </c>
      <c r="C160" s="70">
        <v>0.0</v>
      </c>
      <c r="D160" s="70" t="s">
        <v>36</v>
      </c>
      <c r="E160" s="70">
        <f>IFERROR(__xludf.DUMMYFUNCTION("if(REGEXMATCH(I160,""INCLUDE""),1,0)"),0.0)</f>
        <v>0</v>
      </c>
      <c r="F160" s="70" t="str">
        <f>IFERROR(__xludf.DUMMYFUNCTION("index(SPLIT(I160, "" - ""),0,2)"),"EC4")</f>
        <v>EC4</v>
      </c>
      <c r="G160" s="70">
        <f>IFERROR(__xludf.DUMMYFUNCTION("if(REGEXMATCH(J160,""INCLUDE""),1,0)"),0.0)</f>
        <v>0</v>
      </c>
      <c r="H160" s="70" t="str">
        <f>IFERROR(__xludf.DUMMYFUNCTION("index(SPLIT(J160, "" - ""),0,2)"),"EC4")</f>
        <v>EC4</v>
      </c>
      <c r="I160" s="88" t="s">
        <v>31527</v>
      </c>
      <c r="J160" s="70" t="s">
        <v>31527</v>
      </c>
      <c r="K160" s="70">
        <v>37.0</v>
      </c>
      <c r="L160" s="70" t="s">
        <v>17119</v>
      </c>
      <c r="M160" s="70" t="s">
        <v>17117</v>
      </c>
      <c r="N160" s="70" t="s">
        <v>17118</v>
      </c>
      <c r="O160" s="70" t="s">
        <v>16436</v>
      </c>
      <c r="Q160" s="70" t="s">
        <v>16437</v>
      </c>
      <c r="S160" s="77">
        <v>43745.0</v>
      </c>
      <c r="X160" s="70" t="s">
        <v>239</v>
      </c>
      <c r="Z160" s="70" t="s">
        <v>17121</v>
      </c>
      <c r="AC160" s="75" t="s">
        <v>17122</v>
      </c>
      <c r="AD160" s="70" t="s">
        <v>17123</v>
      </c>
      <c r="AF160" s="70">
        <v>72.0</v>
      </c>
      <c r="AH160" s="70">
        <v>138.0</v>
      </c>
      <c r="AI160" s="70" t="s">
        <v>16423</v>
      </c>
      <c r="AZ160" s="70" t="s">
        <v>17124</v>
      </c>
      <c r="BA160" s="70" t="s">
        <v>24</v>
      </c>
      <c r="BB160" s="70">
        <v>139.0</v>
      </c>
      <c r="BC160" s="70">
        <v>0.0</v>
      </c>
    </row>
    <row r="161" ht="22.5" customHeight="1">
      <c r="A161" s="86" t="str">
        <f t="shared" si="1"/>
        <v>Excluded</v>
      </c>
      <c r="B161" s="87">
        <f t="shared" si="2"/>
        <v>0</v>
      </c>
      <c r="C161" s="70">
        <v>0.0</v>
      </c>
      <c r="D161" s="70" t="s">
        <v>34</v>
      </c>
      <c r="E161" s="70">
        <f>IFERROR(__xludf.DUMMYFUNCTION("if(REGEXMATCH(I161,""INCLUDE""),1,0)"),0.0)</f>
        <v>0</v>
      </c>
      <c r="F161" s="70" t="str">
        <f>IFERROR(__xludf.DUMMYFUNCTION("index(SPLIT(I161, "" - ""),0,2)"),"EC4")</f>
        <v>EC4</v>
      </c>
      <c r="G161" s="70">
        <f>IFERROR(__xludf.DUMMYFUNCTION("if(REGEXMATCH(J161,""INCLUDE""),1,0)"),0.0)</f>
        <v>0</v>
      </c>
      <c r="H161" s="70" t="str">
        <f>IFERROR(__xludf.DUMMYFUNCTION("index(SPLIT(J161, "" - ""),0,2)"),"EC4")</f>
        <v>EC4</v>
      </c>
      <c r="I161" s="88" t="s">
        <v>31527</v>
      </c>
      <c r="J161" s="70" t="s">
        <v>31527</v>
      </c>
      <c r="K161" s="70">
        <v>0.0</v>
      </c>
      <c r="L161" s="70" t="s">
        <v>22808</v>
      </c>
      <c r="M161" s="70" t="s">
        <v>22806</v>
      </c>
      <c r="N161" s="70" t="s">
        <v>22807</v>
      </c>
      <c r="Z161" s="70" t="s">
        <v>29309</v>
      </c>
      <c r="AD161" s="70" t="s">
        <v>22810</v>
      </c>
      <c r="AL161" s="70" t="s">
        <v>22811</v>
      </c>
      <c r="AM161" s="70" t="s">
        <v>22812</v>
      </c>
      <c r="AN161" s="70">
        <v>2025.0</v>
      </c>
      <c r="AO161" s="70" t="s">
        <v>22813</v>
      </c>
      <c r="AP161" s="70" t="s">
        <v>22814</v>
      </c>
      <c r="AT161" s="70">
        <v>11.0</v>
      </c>
      <c r="AU161" s="75" t="s">
        <v>22815</v>
      </c>
      <c r="AV161" s="70" t="s">
        <v>22525</v>
      </c>
      <c r="AW161" s="70" t="s">
        <v>22816</v>
      </c>
      <c r="AX161" s="70" t="s">
        <v>237</v>
      </c>
      <c r="AY161" s="70" t="s">
        <v>22817</v>
      </c>
      <c r="AZ161" s="70" t="s">
        <v>22818</v>
      </c>
      <c r="BA161" s="70" t="s">
        <v>22</v>
      </c>
      <c r="BB161" s="70">
        <v>141.0</v>
      </c>
      <c r="BC161" s="70">
        <v>0.0</v>
      </c>
    </row>
    <row r="162" ht="22.5" customHeight="1">
      <c r="A162" s="86" t="str">
        <f t="shared" si="1"/>
        <v>Excluded</v>
      </c>
      <c r="B162" s="87">
        <f t="shared" si="2"/>
        <v>0</v>
      </c>
      <c r="C162" s="70">
        <v>0.0</v>
      </c>
      <c r="D162" s="70" t="s">
        <v>34</v>
      </c>
      <c r="E162" s="70">
        <f>IFERROR(__xludf.DUMMYFUNCTION("if(REGEXMATCH(I162,""INCLUDE""),1,0)"),0.0)</f>
        <v>0</v>
      </c>
      <c r="F162" s="70" t="str">
        <f>IFERROR(__xludf.DUMMYFUNCTION("index(SPLIT(I162, "" - ""),0,2)"),"EC4")</f>
        <v>EC4</v>
      </c>
      <c r="G162" s="70">
        <f>IFERROR(__xludf.DUMMYFUNCTION("if(REGEXMATCH(J162,""INCLUDE""),1,0)"),0.0)</f>
        <v>0</v>
      </c>
      <c r="H162" s="70" t="str">
        <f>IFERROR(__xludf.DUMMYFUNCTION("index(SPLIT(J162, "" - ""),0,2)"),"EC4")</f>
        <v>EC4</v>
      </c>
      <c r="I162" s="88" t="s">
        <v>31527</v>
      </c>
      <c r="J162" s="70" t="s">
        <v>31527</v>
      </c>
      <c r="K162" s="70">
        <v>139.0</v>
      </c>
      <c r="L162" s="70" t="s">
        <v>7428</v>
      </c>
      <c r="M162" s="70" t="s">
        <v>7425</v>
      </c>
      <c r="N162" s="70" t="s">
        <v>7426</v>
      </c>
      <c r="O162" s="70" t="s">
        <v>7427</v>
      </c>
      <c r="S162" s="76">
        <v>44182.0</v>
      </c>
      <c r="X162" s="70" t="s">
        <v>239</v>
      </c>
      <c r="Z162" s="70" t="s">
        <v>7430</v>
      </c>
      <c r="AA162" s="70" t="s">
        <v>7431</v>
      </c>
      <c r="AC162" s="75" t="s">
        <v>7432</v>
      </c>
      <c r="AD162" s="70" t="s">
        <v>7433</v>
      </c>
      <c r="AF162" s="70">
        <v>3.0</v>
      </c>
      <c r="AH162" s="70">
        <v>22.0</v>
      </c>
      <c r="AI162" s="70" t="s">
        <v>239</v>
      </c>
      <c r="AZ162" s="70" t="s">
        <v>7434</v>
      </c>
      <c r="BA162" s="70" t="s">
        <v>22</v>
      </c>
      <c r="BB162" s="70">
        <v>144.0</v>
      </c>
      <c r="BC162" s="70">
        <v>0.0</v>
      </c>
    </row>
    <row r="163" ht="22.5" customHeight="1">
      <c r="A163" s="86" t="str">
        <f t="shared" si="1"/>
        <v>Excluded</v>
      </c>
      <c r="B163" s="87">
        <f t="shared" si="2"/>
        <v>0</v>
      </c>
      <c r="C163" s="70">
        <v>0.0</v>
      </c>
      <c r="D163" s="70" t="s">
        <v>36</v>
      </c>
      <c r="E163" s="70">
        <f>IFERROR(__xludf.DUMMYFUNCTION("if(REGEXMATCH(I163,""INCLUDE""),1,0)"),0.0)</f>
        <v>0</v>
      </c>
      <c r="F163" s="70" t="str">
        <f>IFERROR(__xludf.DUMMYFUNCTION("index(SPLIT(I163, "" - ""),0,2)"),"EC4")</f>
        <v>EC4</v>
      </c>
      <c r="G163" s="70">
        <f>IFERROR(__xludf.DUMMYFUNCTION("if(REGEXMATCH(J163,""INCLUDE""),1,0)"),0.0)</f>
        <v>0</v>
      </c>
      <c r="H163" s="70" t="str">
        <f>IFERROR(__xludf.DUMMYFUNCTION("index(SPLIT(J163, "" - ""),0,2)"),"EC4")</f>
        <v>EC4</v>
      </c>
      <c r="I163" s="88" t="s">
        <v>31527</v>
      </c>
      <c r="J163" s="70" t="s">
        <v>31527</v>
      </c>
      <c r="K163" s="70">
        <v>148.0</v>
      </c>
      <c r="L163" s="70" t="s">
        <v>17991</v>
      </c>
      <c r="M163" s="70" t="s">
        <v>17989</v>
      </c>
      <c r="N163" s="70" t="s">
        <v>17990</v>
      </c>
      <c r="O163" s="70" t="s">
        <v>16959</v>
      </c>
      <c r="Q163" s="70" t="s">
        <v>16960</v>
      </c>
      <c r="S163" s="76">
        <v>45016.0</v>
      </c>
      <c r="X163" s="70" t="s">
        <v>239</v>
      </c>
      <c r="Z163" s="70" t="s">
        <v>29442</v>
      </c>
      <c r="AB163" s="70" t="s">
        <v>17994</v>
      </c>
      <c r="AC163" s="75" t="s">
        <v>17995</v>
      </c>
      <c r="AD163" s="70" t="s">
        <v>17996</v>
      </c>
      <c r="AF163" s="70">
        <v>29.0</v>
      </c>
      <c r="AH163" s="70">
        <v>165.0</v>
      </c>
      <c r="AI163" s="70" t="s">
        <v>16423</v>
      </c>
      <c r="AZ163" s="70" t="s">
        <v>17997</v>
      </c>
      <c r="BA163" s="70" t="s">
        <v>22</v>
      </c>
      <c r="BB163" s="70">
        <v>147.0</v>
      </c>
      <c r="BC163" s="70">
        <v>0.0</v>
      </c>
    </row>
    <row r="164" ht="22.5" customHeight="1">
      <c r="A164" s="86" t="str">
        <f t="shared" si="1"/>
        <v>Excluded</v>
      </c>
      <c r="B164" s="87">
        <f t="shared" si="2"/>
        <v>0</v>
      </c>
      <c r="C164" s="70">
        <v>0.0</v>
      </c>
      <c r="D164" s="70" t="s">
        <v>34</v>
      </c>
      <c r="E164" s="70">
        <f>IFERROR(__xludf.DUMMYFUNCTION("if(REGEXMATCH(I164,""INCLUDE""),1,0)"),0.0)</f>
        <v>0</v>
      </c>
      <c r="F164" s="70" t="str">
        <f>IFERROR(__xludf.DUMMYFUNCTION("index(SPLIT(I164, "" - ""),0,2)"),"EC5")</f>
        <v>EC5</v>
      </c>
      <c r="G164" s="70">
        <f>IFERROR(__xludf.DUMMYFUNCTION("if(REGEXMATCH(J164,""INCLUDE""),1,0)"),0.0)</f>
        <v>0</v>
      </c>
      <c r="H164" s="70" t="str">
        <f>IFERROR(__xludf.DUMMYFUNCTION("index(SPLIT(J164, "" - ""),0,2)"),"EC5")</f>
        <v>EC5</v>
      </c>
      <c r="I164" s="88" t="s">
        <v>31528</v>
      </c>
      <c r="J164" s="70" t="s">
        <v>31528</v>
      </c>
      <c r="K164" s="70">
        <v>153.0</v>
      </c>
      <c r="L164" s="70" t="s">
        <v>18441</v>
      </c>
      <c r="M164" s="70" t="s">
        <v>18439</v>
      </c>
      <c r="N164" s="70" t="s">
        <v>18440</v>
      </c>
      <c r="O164" s="70" t="s">
        <v>18018</v>
      </c>
      <c r="Q164" s="70" t="s">
        <v>18019</v>
      </c>
      <c r="S164" s="76">
        <v>43553.0</v>
      </c>
      <c r="X164" s="70" t="s">
        <v>239</v>
      </c>
      <c r="Z164" s="70" t="s">
        <v>18443</v>
      </c>
      <c r="AB164" s="70" t="s">
        <v>29446</v>
      </c>
      <c r="AC164" s="75" t="s">
        <v>18445</v>
      </c>
      <c r="AD164" s="70" t="s">
        <v>18446</v>
      </c>
      <c r="AF164" s="70">
        <v>21.0</v>
      </c>
      <c r="AH164" s="70">
        <v>56.0</v>
      </c>
      <c r="AI164" s="70" t="s">
        <v>239</v>
      </c>
      <c r="AZ164" s="70" t="s">
        <v>18447</v>
      </c>
      <c r="BA164" s="70" t="s">
        <v>22</v>
      </c>
      <c r="BB164" s="70">
        <v>148.0</v>
      </c>
      <c r="BC164" s="70">
        <v>0.0</v>
      </c>
    </row>
    <row r="165" ht="22.5" customHeight="1">
      <c r="A165" s="86" t="str">
        <f t="shared" si="1"/>
        <v>Excluded</v>
      </c>
      <c r="B165" s="87">
        <f t="shared" si="2"/>
        <v>0</v>
      </c>
      <c r="C165" s="70">
        <v>0.0</v>
      </c>
      <c r="D165" s="70" t="s">
        <v>34</v>
      </c>
      <c r="E165" s="70">
        <f>IFERROR(__xludf.DUMMYFUNCTION("if(REGEXMATCH(I165,""INCLUDE""),1,0)"),0.0)</f>
        <v>0</v>
      </c>
      <c r="F165" s="70" t="str">
        <f>IFERROR(__xludf.DUMMYFUNCTION("index(SPLIT(I165, "" - ""),0,2)"),"EC5")</f>
        <v>EC5</v>
      </c>
      <c r="G165" s="70">
        <f>IFERROR(__xludf.DUMMYFUNCTION("if(REGEXMATCH(J165,""INCLUDE""),1,0)"),0.0)</f>
        <v>0</v>
      </c>
      <c r="H165" s="70" t="str">
        <f>IFERROR(__xludf.DUMMYFUNCTION("index(SPLIT(J165, "" - ""),0,2)"),"EC4")</f>
        <v>EC4</v>
      </c>
      <c r="I165" s="88" t="s">
        <v>31528</v>
      </c>
      <c r="J165" s="70" t="s">
        <v>31527</v>
      </c>
      <c r="K165" s="70">
        <v>181.0</v>
      </c>
      <c r="L165" s="70" t="s">
        <v>645</v>
      </c>
      <c r="M165" s="70" t="s">
        <v>641</v>
      </c>
      <c r="N165" s="70" t="s">
        <v>642</v>
      </c>
      <c r="O165" s="70" t="s">
        <v>643</v>
      </c>
      <c r="P165" s="70" t="s">
        <v>644</v>
      </c>
      <c r="R165" s="75" t="s">
        <v>646</v>
      </c>
      <c r="S165" s="70">
        <v>2024.0</v>
      </c>
      <c r="T165" s="70" t="s">
        <v>648</v>
      </c>
      <c r="X165" s="70" t="s">
        <v>401</v>
      </c>
      <c r="Y165" s="70" t="s">
        <v>402</v>
      </c>
      <c r="Z165" s="70" t="s">
        <v>29468</v>
      </c>
      <c r="AZ165" s="70" t="s">
        <v>651</v>
      </c>
      <c r="BB165" s="70">
        <v>149.0</v>
      </c>
      <c r="BC165" s="70">
        <v>0.0</v>
      </c>
    </row>
    <row r="166" ht="22.5" customHeight="1">
      <c r="A166" s="86" t="str">
        <f t="shared" si="1"/>
        <v>Excluded</v>
      </c>
      <c r="B166" s="87">
        <f t="shared" si="2"/>
        <v>0</v>
      </c>
      <c r="C166" s="70">
        <v>0.0</v>
      </c>
      <c r="D166" s="70" t="s">
        <v>34</v>
      </c>
      <c r="E166" s="70">
        <f>IFERROR(__xludf.DUMMYFUNCTION("if(REGEXMATCH(I166,""INCLUDE""),1,0)"),0.0)</f>
        <v>0</v>
      </c>
      <c r="F166" s="70" t="str">
        <f>IFERROR(__xludf.DUMMYFUNCTION("index(SPLIT(I166, "" - ""),0,2)"),"EC4")</f>
        <v>EC4</v>
      </c>
      <c r="G166" s="70">
        <f>IFERROR(__xludf.DUMMYFUNCTION("if(REGEXMATCH(J166,""INCLUDE""),1,0)"),0.0)</f>
        <v>0</v>
      </c>
      <c r="H166" s="70" t="str">
        <f>IFERROR(__xludf.DUMMYFUNCTION("index(SPLIT(J166, "" - ""),0,2)"),"EC4")</f>
        <v>EC4</v>
      </c>
      <c r="I166" s="88" t="s">
        <v>31527</v>
      </c>
      <c r="J166" s="70" t="s">
        <v>31527</v>
      </c>
      <c r="K166" s="70">
        <v>67.0</v>
      </c>
      <c r="L166" s="70" t="s">
        <v>5372</v>
      </c>
      <c r="M166" s="70" t="s">
        <v>5368</v>
      </c>
      <c r="N166" s="70" t="s">
        <v>5369</v>
      </c>
      <c r="O166" s="70" t="s">
        <v>5370</v>
      </c>
      <c r="Q166" s="70" t="s">
        <v>5371</v>
      </c>
      <c r="S166" s="77">
        <v>44718.0</v>
      </c>
      <c r="X166" s="70" t="s">
        <v>239</v>
      </c>
      <c r="Z166" s="70" t="s">
        <v>29386</v>
      </c>
      <c r="AA166" s="70" t="s">
        <v>5375</v>
      </c>
      <c r="AB166" s="70" t="s">
        <v>29387</v>
      </c>
      <c r="AC166" s="75" t="s">
        <v>5377</v>
      </c>
      <c r="AF166" s="70">
        <v>13.0</v>
      </c>
      <c r="AH166" s="70">
        <v>20.0</v>
      </c>
      <c r="AI166" s="70" t="s">
        <v>239</v>
      </c>
      <c r="AZ166" s="70" t="s">
        <v>5378</v>
      </c>
      <c r="BA166" s="70" t="s">
        <v>24</v>
      </c>
      <c r="BB166" s="70">
        <v>150.0</v>
      </c>
      <c r="BC166" s="70">
        <v>0.0</v>
      </c>
    </row>
    <row r="167" ht="22.5" customHeight="1">
      <c r="A167" s="86" t="str">
        <f t="shared" si="1"/>
        <v>Excluded</v>
      </c>
      <c r="B167" s="87">
        <f t="shared" si="2"/>
        <v>0</v>
      </c>
      <c r="C167" s="70">
        <v>0.0</v>
      </c>
      <c r="D167" s="70" t="s">
        <v>34</v>
      </c>
      <c r="E167" s="70">
        <f>IFERROR(__xludf.DUMMYFUNCTION("if(REGEXMATCH(I167,""INCLUDE""),1,0)"),0.0)</f>
        <v>0</v>
      </c>
      <c r="F167" s="70" t="str">
        <f>IFERROR(__xludf.DUMMYFUNCTION("index(SPLIT(I167, "" - ""),0,2)"),"EC4")</f>
        <v>EC4</v>
      </c>
      <c r="G167" s="70">
        <f>IFERROR(__xludf.DUMMYFUNCTION("if(REGEXMATCH(J167,""INCLUDE""),1,0)"),0.0)</f>
        <v>0</v>
      </c>
      <c r="H167" s="70" t="str">
        <f>IFERROR(__xludf.DUMMYFUNCTION("index(SPLIT(J167, "" - ""),0,2)"),"EC4")</f>
        <v>EC4</v>
      </c>
      <c r="I167" s="88" t="s">
        <v>31527</v>
      </c>
      <c r="J167" s="70" t="s">
        <v>31527</v>
      </c>
      <c r="K167" s="70">
        <v>162.0</v>
      </c>
      <c r="L167" s="70" t="s">
        <v>4583</v>
      </c>
      <c r="M167" s="70" t="s">
        <v>4581</v>
      </c>
      <c r="N167" s="70" t="s">
        <v>4582</v>
      </c>
      <c r="O167" s="70" t="s">
        <v>3673</v>
      </c>
      <c r="Q167" s="70" t="s">
        <v>3674</v>
      </c>
      <c r="R167" s="75" t="s">
        <v>4584</v>
      </c>
      <c r="S167" s="80">
        <v>43040.0</v>
      </c>
      <c r="Z167" s="70" t="s">
        <v>4585</v>
      </c>
      <c r="AZ167" s="70" t="s">
        <v>4586</v>
      </c>
      <c r="BA167" s="70" t="s">
        <v>24</v>
      </c>
      <c r="BB167" s="70">
        <v>151.0</v>
      </c>
      <c r="BC167" s="70">
        <v>0.0</v>
      </c>
    </row>
    <row r="168" ht="22.5" customHeight="1">
      <c r="A168" s="86" t="str">
        <f t="shared" si="1"/>
        <v>Excluded</v>
      </c>
      <c r="B168" s="87">
        <f t="shared" si="2"/>
        <v>0</v>
      </c>
      <c r="C168" s="70">
        <v>0.0</v>
      </c>
      <c r="D168" s="70" t="s">
        <v>34</v>
      </c>
      <c r="E168" s="70">
        <f>IFERROR(__xludf.DUMMYFUNCTION("if(REGEXMATCH(I168,""INCLUDE""),1,0)"),0.0)</f>
        <v>0</v>
      </c>
      <c r="F168" s="70" t="str">
        <f>IFERROR(__xludf.DUMMYFUNCTION("index(SPLIT(I168, "" - ""),0,2)"),"EC4")</f>
        <v>EC4</v>
      </c>
      <c r="G168" s="70">
        <f>IFERROR(__xludf.DUMMYFUNCTION("if(REGEXMATCH(J168,""INCLUDE""),1,0)"),0.0)</f>
        <v>0</v>
      </c>
      <c r="H168" s="70" t="str">
        <f>IFERROR(__xludf.DUMMYFUNCTION("index(SPLIT(J168, "" - ""),0,2)"),"EC4")</f>
        <v>EC4</v>
      </c>
      <c r="I168" s="88" t="s">
        <v>31527</v>
      </c>
      <c r="J168" s="70" t="s">
        <v>31527</v>
      </c>
      <c r="K168" s="70">
        <v>28.0</v>
      </c>
      <c r="L168" s="70" t="s">
        <v>22518</v>
      </c>
      <c r="M168" s="70" t="s">
        <v>22516</v>
      </c>
      <c r="N168" s="70" t="s">
        <v>22517</v>
      </c>
      <c r="Z168" s="70" t="s">
        <v>29350</v>
      </c>
      <c r="AD168" s="70" t="s">
        <v>22520</v>
      </c>
      <c r="AL168" s="70" t="s">
        <v>22521</v>
      </c>
      <c r="AM168" s="70" t="s">
        <v>22522</v>
      </c>
      <c r="AN168" s="70">
        <v>2025.0</v>
      </c>
      <c r="AO168" s="70" t="s">
        <v>22523</v>
      </c>
      <c r="AP168" s="70">
        <v>101515.0</v>
      </c>
      <c r="AT168" s="70">
        <v>0.0</v>
      </c>
      <c r="AU168" s="75" t="s">
        <v>22524</v>
      </c>
      <c r="AV168" s="70" t="s">
        <v>22525</v>
      </c>
      <c r="AW168" s="70" t="s">
        <v>22526</v>
      </c>
      <c r="AX168" s="70" t="s">
        <v>237</v>
      </c>
      <c r="AY168" s="70" t="s">
        <v>22527</v>
      </c>
      <c r="BA168" s="70" t="s">
        <v>24</v>
      </c>
      <c r="BB168" s="70">
        <v>152.0</v>
      </c>
      <c r="BC168" s="70">
        <v>0.0</v>
      </c>
    </row>
    <row r="169" ht="22.5" customHeight="1">
      <c r="A169" s="86" t="str">
        <f t="shared" si="1"/>
        <v>Excluded</v>
      </c>
      <c r="B169" s="87">
        <f t="shared" si="2"/>
        <v>0</v>
      </c>
      <c r="C169" s="70">
        <v>0.0</v>
      </c>
      <c r="D169" s="70" t="s">
        <v>34</v>
      </c>
      <c r="E169" s="70">
        <f>IFERROR(__xludf.DUMMYFUNCTION("if(REGEXMATCH(I169,""INCLUDE""),1,0)"),0.0)</f>
        <v>0</v>
      </c>
      <c r="F169" s="70" t="str">
        <f>IFERROR(__xludf.DUMMYFUNCTION("index(SPLIT(I169, "" - ""),0,2)"),"EC4")</f>
        <v>EC4</v>
      </c>
      <c r="G169" s="70">
        <f>IFERROR(__xludf.DUMMYFUNCTION("if(REGEXMATCH(J169,""INCLUDE""),1,0)"),0.0)</f>
        <v>0</v>
      </c>
      <c r="H169" s="70" t="str">
        <f>IFERROR(__xludf.DUMMYFUNCTION("index(SPLIT(J169, "" - ""),0,2)"),"EC4")</f>
        <v>EC4</v>
      </c>
      <c r="I169" s="88" t="s">
        <v>31527</v>
      </c>
      <c r="J169" s="70" t="s">
        <v>31527</v>
      </c>
      <c r="K169" s="70">
        <v>55.0</v>
      </c>
      <c r="L169" s="70" t="s">
        <v>9756</v>
      </c>
      <c r="M169" s="70" t="s">
        <v>9753</v>
      </c>
      <c r="N169" s="70" t="s">
        <v>9754</v>
      </c>
      <c r="O169" s="70" t="s">
        <v>9755</v>
      </c>
      <c r="S169" s="76">
        <v>44104.0</v>
      </c>
      <c r="X169" s="70" t="s">
        <v>239</v>
      </c>
      <c r="Z169" s="70" t="s">
        <v>9758</v>
      </c>
      <c r="AA169" s="70" t="s">
        <v>9759</v>
      </c>
      <c r="AC169" s="75" t="s">
        <v>9760</v>
      </c>
      <c r="AD169" s="70" t="s">
        <v>9761</v>
      </c>
      <c r="AH169" s="70">
        <v>27.0</v>
      </c>
      <c r="AI169" s="70" t="s">
        <v>239</v>
      </c>
      <c r="AZ169" s="70" t="s">
        <v>9762</v>
      </c>
      <c r="BA169" s="70" t="s">
        <v>24</v>
      </c>
      <c r="BB169" s="70">
        <v>153.0</v>
      </c>
      <c r="BC169" s="70">
        <v>0.0</v>
      </c>
    </row>
    <row r="170" ht="22.5" customHeight="1">
      <c r="A170" s="86" t="str">
        <f t="shared" si="1"/>
        <v>Excluded</v>
      </c>
      <c r="B170" s="87">
        <f t="shared" si="2"/>
        <v>0</v>
      </c>
      <c r="C170" s="70">
        <v>0.0</v>
      </c>
      <c r="D170" s="70" t="s">
        <v>30</v>
      </c>
      <c r="E170" s="70">
        <f>IFERROR(__xludf.DUMMYFUNCTION("if(REGEXMATCH(I170,""INCLUDE""),1,0)"),0.0)</f>
        <v>0</v>
      </c>
      <c r="F170" s="70" t="str">
        <f>IFERROR(__xludf.DUMMYFUNCTION("index(SPLIT(I170, "" - ""),0,2)"),"EC4")</f>
        <v>EC4</v>
      </c>
      <c r="G170" s="70">
        <f>IFERROR(__xludf.DUMMYFUNCTION("if(REGEXMATCH(J170,""INCLUDE""),1,0)"),0.0)</f>
        <v>0</v>
      </c>
      <c r="H170" s="70" t="str">
        <f>IFERROR(__xludf.DUMMYFUNCTION("index(SPLIT(J170, "" - ""),0,2)"),"EC4")</f>
        <v>EC4</v>
      </c>
      <c r="I170" s="88" t="s">
        <v>31527</v>
      </c>
      <c r="J170" s="70" t="s">
        <v>31527</v>
      </c>
      <c r="K170" s="70">
        <v>201.0</v>
      </c>
      <c r="L170" s="70" t="s">
        <v>28414</v>
      </c>
      <c r="M170" s="70" t="s">
        <v>28412</v>
      </c>
      <c r="N170" s="70" t="s">
        <v>28413</v>
      </c>
      <c r="Z170" s="70" t="s">
        <v>29492</v>
      </c>
      <c r="AD170" s="70" t="s">
        <v>28416</v>
      </c>
      <c r="AL170" s="70" t="s">
        <v>28417</v>
      </c>
      <c r="AM170" s="70" t="s">
        <v>28418</v>
      </c>
      <c r="AN170" s="70">
        <v>2021.0</v>
      </c>
      <c r="AO170" s="70" t="s">
        <v>23242</v>
      </c>
      <c r="AP170" s="70">
        <v>1460.0</v>
      </c>
      <c r="AT170" s="70">
        <v>7.0</v>
      </c>
      <c r="AU170" s="75" t="s">
        <v>28419</v>
      </c>
      <c r="AV170" s="70" t="s">
        <v>22525</v>
      </c>
      <c r="AW170" s="70" t="s">
        <v>22622</v>
      </c>
      <c r="AX170" s="70" t="s">
        <v>237</v>
      </c>
      <c r="AY170" s="70" t="s">
        <v>28420</v>
      </c>
      <c r="BA170" s="70" t="s">
        <v>22</v>
      </c>
      <c r="BB170" s="70">
        <v>154.0</v>
      </c>
      <c r="BC170" s="70">
        <v>0.0</v>
      </c>
    </row>
    <row r="171" ht="22.5" customHeight="1">
      <c r="A171" s="86" t="str">
        <f t="shared" si="1"/>
        <v>Excluded</v>
      </c>
      <c r="B171" s="87">
        <f t="shared" si="2"/>
        <v>0</v>
      </c>
      <c r="C171" s="70">
        <v>0.0</v>
      </c>
      <c r="D171" s="70" t="s">
        <v>34</v>
      </c>
      <c r="E171" s="70">
        <f>IFERROR(__xludf.DUMMYFUNCTION("if(REGEXMATCH(I171,""INCLUDE""),1,0)"),0.0)</f>
        <v>0</v>
      </c>
      <c r="F171" s="70" t="str">
        <f>IFERROR(__xludf.DUMMYFUNCTION("index(SPLIT(I171, "" - ""),0,2)"),"EC4")</f>
        <v>EC4</v>
      </c>
      <c r="G171" s="70">
        <f>IFERROR(__xludf.DUMMYFUNCTION("if(REGEXMATCH(J171,""INCLUDE""),1,0)"),0.0)</f>
        <v>0</v>
      </c>
      <c r="H171" s="70" t="str">
        <f>IFERROR(__xludf.DUMMYFUNCTION("index(SPLIT(J171, "" - ""),0,2)"),"EC4")</f>
        <v>EC4</v>
      </c>
      <c r="I171" s="88" t="s">
        <v>31527</v>
      </c>
      <c r="J171" s="70" t="s">
        <v>31527</v>
      </c>
      <c r="K171" s="70">
        <v>158.0</v>
      </c>
      <c r="L171" s="70" t="s">
        <v>7557</v>
      </c>
      <c r="M171" s="70" t="s">
        <v>7554</v>
      </c>
      <c r="N171" s="70" t="s">
        <v>7555</v>
      </c>
      <c r="O171" s="70" t="s">
        <v>7556</v>
      </c>
      <c r="Q171" s="70" t="s">
        <v>5818</v>
      </c>
      <c r="S171" s="76">
        <v>44949.0</v>
      </c>
      <c r="X171" s="70" t="s">
        <v>239</v>
      </c>
      <c r="Z171" s="70" t="s">
        <v>29451</v>
      </c>
      <c r="AA171" s="70" t="s">
        <v>7560</v>
      </c>
      <c r="AB171" s="70" t="s">
        <v>29452</v>
      </c>
      <c r="AC171" s="75" t="s">
        <v>7562</v>
      </c>
      <c r="AF171" s="70">
        <v>3.0</v>
      </c>
      <c r="AH171" s="70">
        <v>23.0</v>
      </c>
      <c r="AI171" s="70" t="s">
        <v>239</v>
      </c>
      <c r="AZ171" s="70" t="s">
        <v>7563</v>
      </c>
      <c r="BB171" s="70">
        <v>156.0</v>
      </c>
      <c r="BC171" s="70">
        <v>0.0</v>
      </c>
    </row>
    <row r="172" ht="22.5" customHeight="1">
      <c r="A172" s="86" t="str">
        <f t="shared" si="1"/>
        <v>Excluded</v>
      </c>
      <c r="B172" s="87">
        <f t="shared" si="2"/>
        <v>0</v>
      </c>
      <c r="C172" s="70">
        <v>0.0</v>
      </c>
      <c r="D172" s="70" t="s">
        <v>34</v>
      </c>
      <c r="E172" s="70">
        <f>IFERROR(__xludf.DUMMYFUNCTION("if(REGEXMATCH(I172,""INCLUDE""),1,0)"),0.0)</f>
        <v>0</v>
      </c>
      <c r="F172" s="70" t="str">
        <f>IFERROR(__xludf.DUMMYFUNCTION("index(SPLIT(I172, "" - ""),0,2)"),"EC4")</f>
        <v>EC4</v>
      </c>
      <c r="G172" s="70">
        <f>IFERROR(__xludf.DUMMYFUNCTION("if(REGEXMATCH(J172,""INCLUDE""),1,0)"),0.0)</f>
        <v>0</v>
      </c>
      <c r="H172" s="70" t="str">
        <f>IFERROR(__xludf.DUMMYFUNCTION("index(SPLIT(J172, "" - ""),0,2)"),"EC4")</f>
        <v>EC4</v>
      </c>
      <c r="I172" s="88" t="s">
        <v>31527</v>
      </c>
      <c r="J172" s="70" t="s">
        <v>31527</v>
      </c>
      <c r="K172" s="70">
        <v>49.0</v>
      </c>
      <c r="L172" s="70" t="s">
        <v>21735</v>
      </c>
      <c r="M172" s="70" t="s">
        <v>21733</v>
      </c>
      <c r="N172" s="70" t="s">
        <v>21734</v>
      </c>
      <c r="O172" s="70" t="s">
        <v>16436</v>
      </c>
      <c r="Q172" s="70" t="s">
        <v>16437</v>
      </c>
      <c r="S172" s="77">
        <v>45539.0</v>
      </c>
      <c r="X172" s="70" t="s">
        <v>239</v>
      </c>
      <c r="Z172" s="70" t="s">
        <v>21737</v>
      </c>
      <c r="AC172" s="75" t="s">
        <v>21738</v>
      </c>
      <c r="AD172" s="70" t="s">
        <v>21739</v>
      </c>
      <c r="AH172" s="70">
        <v>43.0</v>
      </c>
      <c r="AI172" s="70" t="s">
        <v>16727</v>
      </c>
      <c r="AZ172" s="70" t="s">
        <v>21740</v>
      </c>
      <c r="BA172" s="70" t="s">
        <v>22</v>
      </c>
      <c r="BB172" s="70">
        <v>157.0</v>
      </c>
      <c r="BC172" s="70">
        <v>0.0</v>
      </c>
    </row>
    <row r="173" ht="22.5" customHeight="1">
      <c r="A173" s="86" t="str">
        <f t="shared" si="1"/>
        <v>Excluded</v>
      </c>
      <c r="B173" s="87">
        <f t="shared" si="2"/>
        <v>0</v>
      </c>
      <c r="C173" s="70">
        <v>0.0</v>
      </c>
      <c r="D173" s="70" t="s">
        <v>34</v>
      </c>
      <c r="E173" s="70">
        <f>IFERROR(__xludf.DUMMYFUNCTION("if(REGEXMATCH(I173,""INCLUDE""),1,0)"),0.0)</f>
        <v>0</v>
      </c>
      <c r="F173" s="70" t="str">
        <f>IFERROR(__xludf.DUMMYFUNCTION("index(SPLIT(I173, "" - ""),0,2)"),"EC4")</f>
        <v>EC4</v>
      </c>
      <c r="G173" s="70">
        <f>IFERROR(__xludf.DUMMYFUNCTION("if(REGEXMATCH(J173,""INCLUDE""),1,0)"),0.0)</f>
        <v>0</v>
      </c>
      <c r="H173" s="70" t="str">
        <f>IFERROR(__xludf.DUMMYFUNCTION("index(SPLIT(J173, "" - ""),0,2)"),"EC4")</f>
        <v>EC4</v>
      </c>
      <c r="I173" s="88" t="s">
        <v>31527</v>
      </c>
      <c r="J173" s="70" t="s">
        <v>31527</v>
      </c>
      <c r="K173" s="70">
        <v>206.0</v>
      </c>
      <c r="L173" s="70" t="s">
        <v>27668</v>
      </c>
      <c r="M173" s="70" t="s">
        <v>27666</v>
      </c>
      <c r="N173" s="70" t="s">
        <v>27667</v>
      </c>
      <c r="Z173" s="70" t="s">
        <v>29499</v>
      </c>
      <c r="AD173" s="70" t="s">
        <v>27670</v>
      </c>
      <c r="AL173" s="70" t="s">
        <v>29500</v>
      </c>
      <c r="AM173" s="70" t="s">
        <v>27672</v>
      </c>
      <c r="AN173" s="70">
        <v>2021.0</v>
      </c>
      <c r="AO173" s="70" t="s">
        <v>22900</v>
      </c>
      <c r="AP173" s="70">
        <v>1611.0</v>
      </c>
      <c r="AT173" s="70">
        <v>27.0</v>
      </c>
      <c r="AU173" s="75" t="s">
        <v>27673</v>
      </c>
      <c r="AV173" s="70" t="s">
        <v>22525</v>
      </c>
      <c r="AW173" s="70" t="s">
        <v>22643</v>
      </c>
      <c r="AX173" s="70" t="s">
        <v>237</v>
      </c>
      <c r="AY173" s="70" t="s">
        <v>27674</v>
      </c>
      <c r="BB173" s="70">
        <v>158.0</v>
      </c>
      <c r="BC173" s="70">
        <v>0.0</v>
      </c>
    </row>
    <row r="174" ht="22.5" customHeight="1">
      <c r="A174" s="86" t="str">
        <f t="shared" si="1"/>
        <v>Excluded</v>
      </c>
      <c r="B174" s="87">
        <f t="shared" si="2"/>
        <v>0</v>
      </c>
      <c r="C174" s="70">
        <v>0.0</v>
      </c>
      <c r="D174" s="70" t="s">
        <v>34</v>
      </c>
      <c r="E174" s="70">
        <f>IFERROR(__xludf.DUMMYFUNCTION("if(REGEXMATCH(I174,""INCLUDE""),1,0)"),0.0)</f>
        <v>0</v>
      </c>
      <c r="F174" s="70" t="str">
        <f>IFERROR(__xludf.DUMMYFUNCTION("index(SPLIT(I174, "" - ""),0,2)"),"EC4")</f>
        <v>EC4</v>
      </c>
      <c r="G174" s="70">
        <f>IFERROR(__xludf.DUMMYFUNCTION("if(REGEXMATCH(J174,""INCLUDE""),1,0)"),0.0)</f>
        <v>0</v>
      </c>
      <c r="H174" s="70" t="str">
        <f>IFERROR(__xludf.DUMMYFUNCTION("index(SPLIT(J174, "" - ""),0,2)"),"EC4")</f>
        <v>EC4</v>
      </c>
      <c r="I174" s="88" t="s">
        <v>31527</v>
      </c>
      <c r="J174" s="70" t="s">
        <v>31527</v>
      </c>
      <c r="K174" s="70">
        <v>208.0</v>
      </c>
      <c r="L174" s="70" t="s">
        <v>28495</v>
      </c>
      <c r="M174" s="70" t="s">
        <v>28493</v>
      </c>
      <c r="N174" s="70" t="s">
        <v>28494</v>
      </c>
      <c r="Z174" s="70" t="s">
        <v>29504</v>
      </c>
      <c r="AD174" s="70" t="s">
        <v>28497</v>
      </c>
      <c r="AL174" s="70" t="s">
        <v>28498</v>
      </c>
      <c r="AM174" s="70" t="s">
        <v>28499</v>
      </c>
      <c r="AN174" s="70">
        <v>2021.0</v>
      </c>
      <c r="AO174" s="70" t="s">
        <v>22802</v>
      </c>
      <c r="AP174" s="70">
        <v>3349.0</v>
      </c>
      <c r="AT174" s="70">
        <v>36.0</v>
      </c>
      <c r="AU174" s="75" t="s">
        <v>28500</v>
      </c>
      <c r="AV174" s="70" t="s">
        <v>22525</v>
      </c>
      <c r="AW174" s="70" t="s">
        <v>22643</v>
      </c>
      <c r="AX174" s="70" t="s">
        <v>237</v>
      </c>
      <c r="AY174" s="70" t="s">
        <v>28501</v>
      </c>
      <c r="AZ174" s="70" t="s">
        <v>28502</v>
      </c>
      <c r="BA174" s="70" t="s">
        <v>24</v>
      </c>
      <c r="BB174" s="70">
        <v>159.0</v>
      </c>
      <c r="BC174" s="70">
        <v>0.0</v>
      </c>
    </row>
    <row r="175" ht="22.5" customHeight="1">
      <c r="A175" s="86" t="str">
        <f t="shared" si="1"/>
        <v>Excluded</v>
      </c>
      <c r="B175" s="87">
        <f t="shared" si="2"/>
        <v>0</v>
      </c>
      <c r="C175" s="70">
        <v>0.0</v>
      </c>
      <c r="D175" s="70" t="s">
        <v>34</v>
      </c>
      <c r="E175" s="70">
        <f>IFERROR(__xludf.DUMMYFUNCTION("if(REGEXMATCH(I175,""INCLUDE""),1,0)"),0.0)</f>
        <v>0</v>
      </c>
      <c r="F175" s="70" t="str">
        <f>IFERROR(__xludf.DUMMYFUNCTION("index(SPLIT(I175, "" - ""),0,2)"),"EC4")</f>
        <v>EC4</v>
      </c>
      <c r="G175" s="70">
        <f>IFERROR(__xludf.DUMMYFUNCTION("if(REGEXMATCH(J175,""INCLUDE""),1,0)"),0.0)</f>
        <v>0</v>
      </c>
      <c r="H175" s="70" t="str">
        <f>IFERROR(__xludf.DUMMYFUNCTION("index(SPLIT(J175, "" - ""),0,2)"),"EC4")</f>
        <v>EC4</v>
      </c>
      <c r="I175" s="88" t="s">
        <v>31527</v>
      </c>
      <c r="J175" s="70" t="s">
        <v>31527</v>
      </c>
      <c r="K175" s="70">
        <v>56.0</v>
      </c>
      <c r="L175" s="70" t="s">
        <v>8591</v>
      </c>
      <c r="M175" s="70" t="s">
        <v>8588</v>
      </c>
      <c r="N175" s="70" t="s">
        <v>8589</v>
      </c>
      <c r="O175" s="70" t="s">
        <v>8590</v>
      </c>
      <c r="S175" s="77">
        <v>44713.0</v>
      </c>
      <c r="X175" s="70" t="s">
        <v>239</v>
      </c>
      <c r="Z175" s="70" t="s">
        <v>8593</v>
      </c>
      <c r="AA175" s="70" t="s">
        <v>8594</v>
      </c>
      <c r="AC175" s="75" t="s">
        <v>8595</v>
      </c>
      <c r="AD175" s="70" t="s">
        <v>8596</v>
      </c>
      <c r="AF175" s="70">
        <v>1.0</v>
      </c>
      <c r="AH175" s="70">
        <v>10.0</v>
      </c>
      <c r="AI175" s="70" t="s">
        <v>239</v>
      </c>
      <c r="AZ175" s="70" t="s">
        <v>8597</v>
      </c>
      <c r="BA175" s="70" t="s">
        <v>22</v>
      </c>
      <c r="BB175" s="70">
        <v>160.0</v>
      </c>
      <c r="BC175" s="70">
        <v>0.0</v>
      </c>
    </row>
    <row r="176" ht="22.5" customHeight="1">
      <c r="A176" s="86" t="str">
        <f t="shared" si="1"/>
        <v>Excluded</v>
      </c>
      <c r="B176" s="87">
        <f t="shared" si="2"/>
        <v>0</v>
      </c>
      <c r="C176" s="70">
        <v>0.0</v>
      </c>
      <c r="D176" s="70" t="s">
        <v>34</v>
      </c>
      <c r="E176" s="70">
        <f>IFERROR(__xludf.DUMMYFUNCTION("if(REGEXMATCH(I176,""INCLUDE""),1,0)"),0.0)</f>
        <v>0</v>
      </c>
      <c r="F176" s="70" t="str">
        <f>IFERROR(__xludf.DUMMYFUNCTION("index(SPLIT(I176, "" - ""),0,2)"),"EC5")</f>
        <v>EC5</v>
      </c>
      <c r="G176" s="70">
        <f>IFERROR(__xludf.DUMMYFUNCTION("if(REGEXMATCH(J176,""INCLUDE""),1,0)"),0.0)</f>
        <v>0</v>
      </c>
      <c r="H176" s="70" t="str">
        <f>IFERROR(__xludf.DUMMYFUNCTION("index(SPLIT(J176, "" - ""),0,2)"),"EC5")</f>
        <v>EC5</v>
      </c>
      <c r="I176" s="88" t="s">
        <v>31528</v>
      </c>
      <c r="J176" s="70" t="s">
        <v>31528</v>
      </c>
      <c r="K176" s="70">
        <v>137.0</v>
      </c>
      <c r="L176" s="70" t="s">
        <v>7658</v>
      </c>
      <c r="M176" s="70" t="s">
        <v>7656</v>
      </c>
      <c r="N176" s="70" t="s">
        <v>7657</v>
      </c>
      <c r="O176" s="70" t="s">
        <v>6418</v>
      </c>
      <c r="Q176" s="70" t="s">
        <v>5392</v>
      </c>
      <c r="S176" s="76">
        <v>44515.0</v>
      </c>
      <c r="X176" s="70" t="s">
        <v>239</v>
      </c>
      <c r="Z176" s="70" t="s">
        <v>7660</v>
      </c>
      <c r="AA176" s="70" t="s">
        <v>6422</v>
      </c>
      <c r="AC176" s="75" t="s">
        <v>7661</v>
      </c>
      <c r="AD176" s="70" t="s">
        <v>7662</v>
      </c>
      <c r="AF176" s="70">
        <v>3.0</v>
      </c>
      <c r="AH176" s="70">
        <v>19.0</v>
      </c>
      <c r="AI176" s="70" t="s">
        <v>239</v>
      </c>
      <c r="AZ176" s="70" t="s">
        <v>7663</v>
      </c>
      <c r="BA176" s="70" t="s">
        <v>29432</v>
      </c>
      <c r="BB176" s="70">
        <v>161.0</v>
      </c>
      <c r="BC176" s="70">
        <v>0.0</v>
      </c>
    </row>
    <row r="177" ht="22.5" customHeight="1">
      <c r="A177" s="86" t="str">
        <f t="shared" si="1"/>
        <v>Excluded</v>
      </c>
      <c r="B177" s="87">
        <f t="shared" si="2"/>
        <v>0</v>
      </c>
      <c r="C177" s="70">
        <v>0.0</v>
      </c>
      <c r="D177" s="70" t="s">
        <v>34</v>
      </c>
      <c r="E177" s="70">
        <f>IFERROR(__xludf.DUMMYFUNCTION("if(REGEXMATCH(I177,""INCLUDE""),1,0)"),0.0)</f>
        <v>0</v>
      </c>
      <c r="F177" s="70" t="str">
        <f>IFERROR(__xludf.DUMMYFUNCTION("index(SPLIT(I177, "" - ""),0,2)"),"EC4")</f>
        <v>EC4</v>
      </c>
      <c r="G177" s="70">
        <f>IFERROR(__xludf.DUMMYFUNCTION("if(REGEXMATCH(J177,""INCLUDE""),1,0)"),0.0)</f>
        <v>0</v>
      </c>
      <c r="H177" s="70" t="str">
        <f>IFERROR(__xludf.DUMMYFUNCTION("index(SPLIT(J177, "" - ""),0,2)"),"EC4")</f>
        <v>EC4</v>
      </c>
      <c r="I177" s="88" t="s">
        <v>31527</v>
      </c>
      <c r="J177" s="70" t="s">
        <v>31527</v>
      </c>
      <c r="K177" s="70">
        <v>89.0</v>
      </c>
      <c r="L177" s="70" t="s">
        <v>15560</v>
      </c>
      <c r="M177" s="70" t="s">
        <v>29400</v>
      </c>
      <c r="N177" s="70" t="s">
        <v>15558</v>
      </c>
      <c r="O177" s="70" t="s">
        <v>15559</v>
      </c>
      <c r="S177" s="77">
        <v>45628.0</v>
      </c>
      <c r="X177" s="70" t="s">
        <v>239</v>
      </c>
      <c r="Z177" s="70" t="s">
        <v>15562</v>
      </c>
      <c r="AA177" s="70" t="s">
        <v>15563</v>
      </c>
      <c r="AC177" s="75" t="s">
        <v>15564</v>
      </c>
      <c r="AD177" s="70" t="s">
        <v>15565</v>
      </c>
      <c r="AH177" s="70">
        <v>75.0</v>
      </c>
      <c r="AI177" s="70" t="s">
        <v>239</v>
      </c>
      <c r="AZ177" s="70" t="s">
        <v>15566</v>
      </c>
      <c r="BB177" s="70">
        <v>162.0</v>
      </c>
      <c r="BC177" s="70">
        <v>0.0</v>
      </c>
    </row>
    <row r="178" ht="22.5" customHeight="1">
      <c r="A178" s="86" t="str">
        <f t="shared" si="1"/>
        <v>Excluded</v>
      </c>
      <c r="B178" s="87">
        <f t="shared" si="2"/>
        <v>0</v>
      </c>
      <c r="C178" s="70">
        <v>0.0</v>
      </c>
      <c r="D178" s="70" t="s">
        <v>34</v>
      </c>
      <c r="E178" s="70">
        <f>IFERROR(__xludf.DUMMYFUNCTION("if(REGEXMATCH(I178,""INCLUDE""),1,0)"),0.0)</f>
        <v>0</v>
      </c>
      <c r="F178" s="70" t="str">
        <f>IFERROR(__xludf.DUMMYFUNCTION("index(SPLIT(I178, "" - ""),0,2)"),"EC4")</f>
        <v>EC4</v>
      </c>
      <c r="G178" s="70">
        <f>IFERROR(__xludf.DUMMYFUNCTION("if(REGEXMATCH(J178,""INCLUDE""),1,0)"),0.0)</f>
        <v>0</v>
      </c>
      <c r="H178" s="70" t="str">
        <f>IFERROR(__xludf.DUMMYFUNCTION("index(SPLIT(J178, "" - ""),0,2)"),"EC4")</f>
        <v>EC4</v>
      </c>
      <c r="I178" s="88" t="s">
        <v>31527</v>
      </c>
      <c r="J178" s="70" t="s">
        <v>31527</v>
      </c>
      <c r="K178" s="70">
        <v>171.0</v>
      </c>
      <c r="L178" s="70" t="s">
        <v>1510</v>
      </c>
      <c r="M178" s="70" t="s">
        <v>1506</v>
      </c>
      <c r="N178" s="70" t="s">
        <v>1507</v>
      </c>
      <c r="O178" s="70" t="s">
        <v>1508</v>
      </c>
      <c r="P178" s="70" t="s">
        <v>1509</v>
      </c>
      <c r="R178" s="75" t="s">
        <v>1511</v>
      </c>
      <c r="S178" s="70">
        <v>2022.0</v>
      </c>
      <c r="T178" s="70" t="s">
        <v>1513</v>
      </c>
      <c r="X178" s="70" t="s">
        <v>401</v>
      </c>
      <c r="Y178" s="70" t="s">
        <v>402</v>
      </c>
      <c r="Z178" s="70" t="s">
        <v>1515</v>
      </c>
      <c r="AZ178" s="70" t="s">
        <v>1516</v>
      </c>
      <c r="BB178" s="70">
        <v>163.0</v>
      </c>
      <c r="BC178" s="70">
        <v>0.0</v>
      </c>
    </row>
    <row r="179" ht="22.5" customHeight="1">
      <c r="A179" s="86" t="str">
        <f t="shared" si="1"/>
        <v>Excluded</v>
      </c>
      <c r="B179" s="87">
        <f t="shared" si="2"/>
        <v>0</v>
      </c>
      <c r="C179" s="70">
        <v>0.0</v>
      </c>
      <c r="D179" s="70" t="s">
        <v>36</v>
      </c>
      <c r="E179" s="70">
        <f>IFERROR(__xludf.DUMMYFUNCTION("if(REGEXMATCH(I179,""INCLUDE""),1,0)"),0.0)</f>
        <v>0</v>
      </c>
      <c r="F179" s="70" t="str">
        <f>IFERROR(__xludf.DUMMYFUNCTION("index(SPLIT(I179, "" - ""),0,2)"),"EC4")</f>
        <v>EC4</v>
      </c>
      <c r="G179" s="70">
        <f>IFERROR(__xludf.DUMMYFUNCTION("if(REGEXMATCH(J179,""INCLUDE""),1,0)"),0.0)</f>
        <v>0</v>
      </c>
      <c r="H179" s="70" t="str">
        <f>IFERROR(__xludf.DUMMYFUNCTION("index(SPLIT(J179, "" - ""),0,2)"),"EC4")</f>
        <v>EC4</v>
      </c>
      <c r="I179" s="88" t="s">
        <v>31527</v>
      </c>
      <c r="J179" s="70" t="s">
        <v>31527</v>
      </c>
      <c r="K179" s="70">
        <v>165.0</v>
      </c>
      <c r="L179" s="70" t="s">
        <v>3665</v>
      </c>
      <c r="M179" s="70" t="s">
        <v>3663</v>
      </c>
      <c r="N179" s="70" t="s">
        <v>3664</v>
      </c>
      <c r="O179" s="70" t="s">
        <v>3635</v>
      </c>
      <c r="Q179" s="70" t="s">
        <v>3636</v>
      </c>
      <c r="R179" s="75" t="s">
        <v>3666</v>
      </c>
      <c r="S179" s="81">
        <v>44075.0</v>
      </c>
      <c r="Z179" s="70" t="s">
        <v>29457</v>
      </c>
      <c r="AZ179" s="70" t="s">
        <v>3669</v>
      </c>
      <c r="BA179" s="70" t="s">
        <v>22</v>
      </c>
      <c r="BB179" s="70">
        <v>165.0</v>
      </c>
      <c r="BC179" s="70">
        <v>0.0</v>
      </c>
    </row>
    <row r="180" ht="22.5" customHeight="1">
      <c r="A180" s="86" t="str">
        <f t="shared" si="1"/>
        <v>Excluded</v>
      </c>
      <c r="B180" s="87">
        <f t="shared" si="2"/>
        <v>0</v>
      </c>
      <c r="C180" s="70">
        <v>0.0</v>
      </c>
      <c r="D180" s="70" t="s">
        <v>34</v>
      </c>
      <c r="E180" s="70">
        <f>IFERROR(__xludf.DUMMYFUNCTION("if(REGEXMATCH(I180,""INCLUDE""),1,0)"),0.0)</f>
        <v>0</v>
      </c>
      <c r="F180" s="70" t="str">
        <f>IFERROR(__xludf.DUMMYFUNCTION("index(SPLIT(I180, "" - ""),0,2)"),"EC4")</f>
        <v>EC4</v>
      </c>
      <c r="G180" s="70">
        <f>IFERROR(__xludf.DUMMYFUNCTION("if(REGEXMATCH(J180,""INCLUDE""),1,0)"),0.0)</f>
        <v>0</v>
      </c>
      <c r="H180" s="70" t="str">
        <f>IFERROR(__xludf.DUMMYFUNCTION("index(SPLIT(J180, "" - ""),0,2)"),"EC4")</f>
        <v>EC4</v>
      </c>
      <c r="I180" s="88" t="s">
        <v>31527</v>
      </c>
      <c r="J180" s="70" t="s">
        <v>31527</v>
      </c>
      <c r="K180" s="70">
        <v>209.0</v>
      </c>
      <c r="L180" s="70" t="s">
        <v>27345</v>
      </c>
      <c r="M180" s="70" t="s">
        <v>29505</v>
      </c>
      <c r="N180" s="70" t="s">
        <v>27344</v>
      </c>
      <c r="Z180" s="70" t="s">
        <v>29506</v>
      </c>
      <c r="AD180" s="70" t="s">
        <v>27347</v>
      </c>
      <c r="AL180" s="70" t="s">
        <v>29507</v>
      </c>
      <c r="AM180" s="70" t="s">
        <v>27349</v>
      </c>
      <c r="AN180" s="70">
        <v>2021.0</v>
      </c>
      <c r="AO180" s="70" t="s">
        <v>22802</v>
      </c>
      <c r="AP180" s="70">
        <v>8061.0</v>
      </c>
      <c r="AT180" s="70">
        <v>16.0</v>
      </c>
      <c r="AU180" s="75" t="s">
        <v>27350</v>
      </c>
      <c r="AV180" s="70" t="s">
        <v>22525</v>
      </c>
      <c r="AW180" s="70" t="s">
        <v>22643</v>
      </c>
      <c r="AX180" s="70" t="s">
        <v>237</v>
      </c>
      <c r="AY180" s="70" t="s">
        <v>27351</v>
      </c>
      <c r="AZ180" s="70" t="s">
        <v>27352</v>
      </c>
      <c r="BA180" s="70" t="s">
        <v>24</v>
      </c>
      <c r="BB180" s="70">
        <v>166.0</v>
      </c>
      <c r="BC180" s="70">
        <v>0.0</v>
      </c>
    </row>
    <row r="181" ht="22.5" customHeight="1">
      <c r="A181" s="86" t="str">
        <f t="shared" si="1"/>
        <v>Excluded</v>
      </c>
      <c r="B181" s="87">
        <f t="shared" si="2"/>
        <v>0</v>
      </c>
      <c r="C181" s="70">
        <v>0.0</v>
      </c>
      <c r="D181" s="70" t="s">
        <v>30</v>
      </c>
      <c r="E181" s="70">
        <f>IFERROR(__xludf.DUMMYFUNCTION("if(REGEXMATCH(I181,""INCLUDE""),1,0)"),0.0)</f>
        <v>0</v>
      </c>
      <c r="F181" s="70" t="str">
        <f>IFERROR(__xludf.DUMMYFUNCTION("index(SPLIT(I181, "" - ""),0,2)"),"EC4")</f>
        <v>EC4</v>
      </c>
      <c r="G181" s="70">
        <f>IFERROR(__xludf.DUMMYFUNCTION("if(REGEXMATCH(J181,""INCLUDE""),1,0)"),0.0)</f>
        <v>0</v>
      </c>
      <c r="H181" s="70" t="str">
        <f>IFERROR(__xludf.DUMMYFUNCTION("index(SPLIT(J181, "" - ""),0,2)"),"EC4")</f>
        <v>EC4</v>
      </c>
      <c r="I181" s="88" t="s">
        <v>31527</v>
      </c>
      <c r="J181" s="70" t="s">
        <v>31527</v>
      </c>
      <c r="K181" s="70">
        <v>5.0</v>
      </c>
      <c r="L181" s="70" t="s">
        <v>26906</v>
      </c>
      <c r="M181" s="70" t="s">
        <v>26904</v>
      </c>
      <c r="N181" s="70" t="s">
        <v>26905</v>
      </c>
      <c r="Z181" s="70" t="s">
        <v>29314</v>
      </c>
      <c r="AD181" s="70" t="s">
        <v>26908</v>
      </c>
      <c r="AL181" s="70" t="s">
        <v>26909</v>
      </c>
      <c r="AM181" s="70" t="s">
        <v>26910</v>
      </c>
      <c r="AN181" s="70">
        <v>2022.0</v>
      </c>
      <c r="AO181" s="70" t="s">
        <v>23905</v>
      </c>
      <c r="AQ181" s="70">
        <v>209.0</v>
      </c>
      <c r="AR181" s="70">
        <v>228.0</v>
      </c>
      <c r="AS181" s="70">
        <v>19.0</v>
      </c>
      <c r="AT181" s="70">
        <v>0.0</v>
      </c>
      <c r="AU181" s="75" t="s">
        <v>26911</v>
      </c>
      <c r="AV181" s="70" t="s">
        <v>22525</v>
      </c>
      <c r="AX181" s="70" t="s">
        <v>237</v>
      </c>
      <c r="AY181" s="70" t="s">
        <v>26912</v>
      </c>
      <c r="BA181" s="70" t="s">
        <v>22</v>
      </c>
      <c r="BB181" s="70">
        <v>168.0</v>
      </c>
      <c r="BC181" s="70">
        <v>0.0</v>
      </c>
    </row>
    <row r="182" ht="22.5" customHeight="1">
      <c r="A182" s="86" t="str">
        <f t="shared" si="1"/>
        <v>Excluded</v>
      </c>
      <c r="B182" s="87">
        <f t="shared" si="2"/>
        <v>0</v>
      </c>
      <c r="C182" s="70">
        <v>0.0</v>
      </c>
      <c r="D182" s="70" t="s">
        <v>36</v>
      </c>
      <c r="E182" s="70">
        <f>IFERROR(__xludf.DUMMYFUNCTION("if(REGEXMATCH(I182,""INCLUDE""),1,0)"),0.0)</f>
        <v>0</v>
      </c>
      <c r="F182" s="70" t="str">
        <f>IFERROR(__xludf.DUMMYFUNCTION("index(SPLIT(I182, "" - ""),0,2)"),"EC4")</f>
        <v>EC4</v>
      </c>
      <c r="G182" s="70">
        <f>IFERROR(__xludf.DUMMYFUNCTION("if(REGEXMATCH(J182,""INCLUDE""),1,0)"),0.0)</f>
        <v>0</v>
      </c>
      <c r="H182" s="70" t="str">
        <f>IFERROR(__xludf.DUMMYFUNCTION("index(SPLIT(J182, "" - ""),0,2)"),"EC4")</f>
        <v>EC4</v>
      </c>
      <c r="I182" s="88" t="s">
        <v>31527</v>
      </c>
      <c r="J182" s="70" t="s">
        <v>31527</v>
      </c>
      <c r="K182" s="70">
        <v>118.0</v>
      </c>
      <c r="L182" s="70" t="s">
        <v>17509</v>
      </c>
      <c r="M182" s="70" t="s">
        <v>17507</v>
      </c>
      <c r="N182" s="70" t="s">
        <v>17508</v>
      </c>
      <c r="O182" s="70" t="s">
        <v>16538</v>
      </c>
      <c r="Q182" s="70" t="s">
        <v>16539</v>
      </c>
      <c r="S182" s="76">
        <v>44312.0</v>
      </c>
      <c r="X182" s="70" t="s">
        <v>239</v>
      </c>
      <c r="Z182" s="70" t="s">
        <v>17511</v>
      </c>
      <c r="AB182" s="70" t="s">
        <v>29419</v>
      </c>
      <c r="AC182" s="75" t="s">
        <v>17513</v>
      </c>
      <c r="AD182" s="70" t="s">
        <v>17514</v>
      </c>
      <c r="AF182" s="70">
        <v>44.0</v>
      </c>
      <c r="AH182" s="70">
        <v>156.0</v>
      </c>
      <c r="AI182" s="70" t="s">
        <v>239</v>
      </c>
      <c r="AZ182" s="70" t="s">
        <v>17515</v>
      </c>
      <c r="BA182" s="70" t="s">
        <v>24</v>
      </c>
      <c r="BB182" s="70">
        <v>169.0</v>
      </c>
      <c r="BC182" s="70">
        <v>0.0</v>
      </c>
    </row>
    <row r="183" ht="22.5" customHeight="1">
      <c r="A183" s="86" t="str">
        <f t="shared" si="1"/>
        <v>Excluded</v>
      </c>
      <c r="B183" s="87">
        <f t="shared" si="2"/>
        <v>0</v>
      </c>
      <c r="C183" s="70">
        <v>0.0</v>
      </c>
      <c r="D183" s="70" t="s">
        <v>34</v>
      </c>
      <c r="E183" s="70">
        <f>IFERROR(__xludf.DUMMYFUNCTION("if(REGEXMATCH(I183,""INCLUDE""),1,0)"),0.0)</f>
        <v>0</v>
      </c>
      <c r="F183" s="70" t="str">
        <f>IFERROR(__xludf.DUMMYFUNCTION("index(SPLIT(I183, "" - ""),0,2)"),"EC4")</f>
        <v>EC4</v>
      </c>
      <c r="G183" s="70">
        <f>IFERROR(__xludf.DUMMYFUNCTION("if(REGEXMATCH(J183,""INCLUDE""),1,0)"),0.0)</f>
        <v>0</v>
      </c>
      <c r="H183" s="70" t="str">
        <f>IFERROR(__xludf.DUMMYFUNCTION("index(SPLIT(J183, "" - ""),0,2)"),"EC4")</f>
        <v>EC4</v>
      </c>
      <c r="I183" s="88" t="s">
        <v>31527</v>
      </c>
      <c r="J183" s="70" t="s">
        <v>31527</v>
      </c>
      <c r="K183" s="70">
        <v>74.0</v>
      </c>
      <c r="L183" s="70" t="s">
        <v>13539</v>
      </c>
      <c r="M183" s="70" t="s">
        <v>13535</v>
      </c>
      <c r="N183" s="70" t="s">
        <v>13536</v>
      </c>
      <c r="O183" s="70" t="s">
        <v>13537</v>
      </c>
      <c r="Q183" s="70" t="s">
        <v>13538</v>
      </c>
      <c r="S183" s="77">
        <v>45604.0</v>
      </c>
      <c r="X183" s="70" t="s">
        <v>239</v>
      </c>
      <c r="Z183" s="70" t="s">
        <v>13541</v>
      </c>
      <c r="AA183" s="70" t="s">
        <v>13542</v>
      </c>
      <c r="AC183" s="75" t="s">
        <v>13543</v>
      </c>
      <c r="AD183" s="70" t="s">
        <v>13544</v>
      </c>
      <c r="AH183" s="70">
        <v>23.0</v>
      </c>
      <c r="AI183" s="70" t="s">
        <v>239</v>
      </c>
      <c r="AZ183" s="70" t="s">
        <v>13545</v>
      </c>
      <c r="BA183" s="70" t="s">
        <v>24</v>
      </c>
      <c r="BB183" s="70">
        <v>173.0</v>
      </c>
      <c r="BC183" s="70">
        <v>0.0</v>
      </c>
    </row>
    <row r="184" ht="22.5" customHeight="1">
      <c r="A184" s="86" t="str">
        <f t="shared" si="1"/>
        <v>Excluded</v>
      </c>
      <c r="B184" s="87">
        <f t="shared" si="2"/>
        <v>0</v>
      </c>
      <c r="C184" s="70">
        <v>0.0</v>
      </c>
      <c r="D184" s="70" t="s">
        <v>34</v>
      </c>
      <c r="E184" s="70">
        <f>IFERROR(__xludf.DUMMYFUNCTION("if(REGEXMATCH(I184,""INCLUDE""),1,0)"),0.0)</f>
        <v>0</v>
      </c>
      <c r="F184" s="70" t="str">
        <f>IFERROR(__xludf.DUMMYFUNCTION("index(SPLIT(I184, "" - ""),0,2)"),"EC4")</f>
        <v>EC4</v>
      </c>
      <c r="G184" s="70">
        <f>IFERROR(__xludf.DUMMYFUNCTION("if(REGEXMATCH(J184,""INCLUDE""),1,0)"),0.0)</f>
        <v>0</v>
      </c>
      <c r="H184" s="70" t="str">
        <f>IFERROR(__xludf.DUMMYFUNCTION("index(SPLIT(J184, "" - ""),0,2)"),"EC4")</f>
        <v>EC4</v>
      </c>
      <c r="I184" s="88" t="s">
        <v>31527</v>
      </c>
      <c r="J184" s="70" t="s">
        <v>31527</v>
      </c>
      <c r="K184" s="70">
        <v>190.0</v>
      </c>
      <c r="L184" s="70" t="s">
        <v>25180</v>
      </c>
      <c r="M184" s="70" t="s">
        <v>25178</v>
      </c>
      <c r="N184" s="70" t="s">
        <v>25179</v>
      </c>
      <c r="Z184" s="70" t="s">
        <v>29476</v>
      </c>
      <c r="AD184" s="70" t="s">
        <v>25182</v>
      </c>
      <c r="AL184" s="70" t="s">
        <v>25183</v>
      </c>
      <c r="AM184" s="70" t="s">
        <v>25184</v>
      </c>
      <c r="AN184" s="70">
        <v>2023.0</v>
      </c>
      <c r="AO184" s="70" t="s">
        <v>25185</v>
      </c>
      <c r="AQ184" s="70">
        <v>2388.0</v>
      </c>
      <c r="AR184" s="70">
        <v>2396.0</v>
      </c>
      <c r="AS184" s="70">
        <v>8.0</v>
      </c>
      <c r="AT184" s="70">
        <v>5.0</v>
      </c>
      <c r="AU184" s="75" t="s">
        <v>25186</v>
      </c>
      <c r="AV184" s="70" t="s">
        <v>22525</v>
      </c>
      <c r="AW184" s="70" t="s">
        <v>22526</v>
      </c>
      <c r="AX184" s="70" t="s">
        <v>237</v>
      </c>
      <c r="AY184" s="70" t="s">
        <v>25187</v>
      </c>
      <c r="BA184" s="70" t="s">
        <v>24</v>
      </c>
      <c r="BB184" s="70">
        <v>175.0</v>
      </c>
      <c r="BC184" s="70">
        <v>0.0</v>
      </c>
    </row>
    <row r="185" ht="22.5" customHeight="1">
      <c r="A185" s="86" t="str">
        <f t="shared" si="1"/>
        <v>Excluded</v>
      </c>
      <c r="B185" s="87">
        <f t="shared" si="2"/>
        <v>0</v>
      </c>
      <c r="C185" s="70">
        <v>0.0</v>
      </c>
      <c r="D185" s="70" t="s">
        <v>30</v>
      </c>
      <c r="E185" s="70">
        <f>IFERROR(__xludf.DUMMYFUNCTION("if(REGEXMATCH(I185,""INCLUDE""),1,0)"),0.0)</f>
        <v>0</v>
      </c>
      <c r="F185" s="70" t="str">
        <f>IFERROR(__xludf.DUMMYFUNCTION("index(SPLIT(I185, "" - ""),0,2)"),"EC4")</f>
        <v>EC4</v>
      </c>
      <c r="G185" s="70">
        <f>IFERROR(__xludf.DUMMYFUNCTION("if(REGEXMATCH(J185,""INCLUDE""),1,0)"),0.0)</f>
        <v>0</v>
      </c>
      <c r="H185" s="70" t="str">
        <f>IFERROR(__xludf.DUMMYFUNCTION("index(SPLIT(J185, "" - ""),0,2)"),"EC4")</f>
        <v>EC4</v>
      </c>
      <c r="I185" s="88" t="s">
        <v>31527</v>
      </c>
      <c r="J185" s="70" t="s">
        <v>31527</v>
      </c>
      <c r="K185" s="70">
        <v>130.0</v>
      </c>
      <c r="L185" s="70" t="s">
        <v>1182</v>
      </c>
      <c r="M185" s="70" t="s">
        <v>1180</v>
      </c>
      <c r="N185" s="70" t="s">
        <v>1181</v>
      </c>
      <c r="O185" s="70" t="s">
        <v>549</v>
      </c>
      <c r="P185" s="70" t="s">
        <v>550</v>
      </c>
      <c r="R185" s="75" t="s">
        <v>1183</v>
      </c>
      <c r="S185" s="70">
        <v>2023.0</v>
      </c>
      <c r="T185" s="70" t="s">
        <v>554</v>
      </c>
      <c r="X185" s="70" t="s">
        <v>555</v>
      </c>
      <c r="Y185" s="70" t="s">
        <v>556</v>
      </c>
      <c r="Z185" s="70" t="s">
        <v>29427</v>
      </c>
      <c r="BA185" s="70" t="s">
        <v>24</v>
      </c>
      <c r="BB185" s="70">
        <v>176.0</v>
      </c>
      <c r="BC185" s="70">
        <v>0.0</v>
      </c>
    </row>
    <row r="186" ht="22.5" customHeight="1">
      <c r="A186" s="86" t="str">
        <f t="shared" si="1"/>
        <v>Excluded</v>
      </c>
      <c r="B186" s="87">
        <f t="shared" si="2"/>
        <v>0</v>
      </c>
      <c r="C186" s="70">
        <v>0.0</v>
      </c>
      <c r="D186" s="70" t="s">
        <v>34</v>
      </c>
      <c r="E186" s="70">
        <f>IFERROR(__xludf.DUMMYFUNCTION("if(REGEXMATCH(I186,""INCLUDE""),1,0)"),0.0)</f>
        <v>0</v>
      </c>
      <c r="F186" s="70" t="str">
        <f>IFERROR(__xludf.DUMMYFUNCTION("index(SPLIT(I186, "" - ""),0,2)"),"EC4")</f>
        <v>EC4</v>
      </c>
      <c r="G186" s="70">
        <f>IFERROR(__xludf.DUMMYFUNCTION("if(REGEXMATCH(J186,""INCLUDE""),1,0)"),0.0)</f>
        <v>0</v>
      </c>
      <c r="H186" s="70" t="str">
        <f>IFERROR(__xludf.DUMMYFUNCTION("index(SPLIT(J186, "" - ""),0,2)"),"EC4")</f>
        <v>EC4</v>
      </c>
      <c r="I186" s="88" t="s">
        <v>31527</v>
      </c>
      <c r="J186" s="70" t="s">
        <v>31527</v>
      </c>
      <c r="K186" s="70">
        <v>99.0</v>
      </c>
      <c r="L186" s="70" t="s">
        <v>15431</v>
      </c>
      <c r="M186" s="70" t="s">
        <v>15428</v>
      </c>
      <c r="N186" s="70" t="s">
        <v>15429</v>
      </c>
      <c r="O186" s="70" t="s">
        <v>15430</v>
      </c>
      <c r="S186" s="76">
        <v>45526.0</v>
      </c>
      <c r="X186" s="70" t="s">
        <v>239</v>
      </c>
      <c r="Z186" s="70" t="s">
        <v>15433</v>
      </c>
      <c r="AA186" s="70" t="s">
        <v>15434</v>
      </c>
      <c r="AC186" s="75" t="s">
        <v>15435</v>
      </c>
      <c r="AD186" s="70" t="s">
        <v>15436</v>
      </c>
      <c r="AH186" s="70">
        <v>12.0</v>
      </c>
      <c r="AI186" s="70" t="s">
        <v>239</v>
      </c>
      <c r="AZ186" s="70" t="s">
        <v>15437</v>
      </c>
      <c r="BB186" s="70">
        <v>177.0</v>
      </c>
      <c r="BC186" s="70">
        <v>0.0</v>
      </c>
    </row>
    <row r="187" ht="22.5" customHeight="1">
      <c r="A187" s="86" t="str">
        <f t="shared" si="1"/>
        <v>Excluded</v>
      </c>
      <c r="B187" s="87">
        <f t="shared" si="2"/>
        <v>0</v>
      </c>
      <c r="C187" s="70">
        <v>0.0</v>
      </c>
      <c r="D187" s="70" t="s">
        <v>36</v>
      </c>
      <c r="E187" s="70">
        <f>IFERROR(__xludf.DUMMYFUNCTION("if(REGEXMATCH(I187,""INCLUDE""),1,0)"),0.0)</f>
        <v>0</v>
      </c>
      <c r="F187" s="70" t="str">
        <f>IFERROR(__xludf.DUMMYFUNCTION("index(SPLIT(I187, "" - ""),0,2)"),"EC4")</f>
        <v>EC4</v>
      </c>
      <c r="G187" s="70">
        <f>IFERROR(__xludf.DUMMYFUNCTION("if(REGEXMATCH(J187,""INCLUDE""),1,0)"),0.0)</f>
        <v>0</v>
      </c>
      <c r="H187" s="70" t="str">
        <f>IFERROR(__xludf.DUMMYFUNCTION("index(SPLIT(J187, "" - ""),0,2)"),"EC4")</f>
        <v>EC4</v>
      </c>
      <c r="I187" s="88" t="s">
        <v>31527</v>
      </c>
      <c r="J187" s="70" t="s">
        <v>31527</v>
      </c>
      <c r="K187" s="70">
        <v>42.0</v>
      </c>
      <c r="L187" s="70" t="s">
        <v>26966</v>
      </c>
      <c r="M187" s="70" t="s">
        <v>26964</v>
      </c>
      <c r="N187" s="70" t="s">
        <v>26965</v>
      </c>
      <c r="Z187" s="70" t="s">
        <v>29366</v>
      </c>
      <c r="AD187" s="70" t="s">
        <v>26968</v>
      </c>
      <c r="AL187" s="70" t="s">
        <v>26969</v>
      </c>
      <c r="AM187" s="70" t="s">
        <v>26970</v>
      </c>
      <c r="AN187" s="70">
        <v>2022.0</v>
      </c>
      <c r="AO187" s="70" t="s">
        <v>16436</v>
      </c>
      <c r="AQ187" s="70">
        <v>84853.0</v>
      </c>
      <c r="AR187" s="70">
        <v>84881.0</v>
      </c>
      <c r="AS187" s="70">
        <v>28.0</v>
      </c>
      <c r="AT187" s="70">
        <v>26.0</v>
      </c>
      <c r="AU187" s="75" t="s">
        <v>26971</v>
      </c>
      <c r="AV187" s="70" t="s">
        <v>22525</v>
      </c>
      <c r="AW187" s="70" t="s">
        <v>22622</v>
      </c>
      <c r="AX187" s="70" t="s">
        <v>237</v>
      </c>
      <c r="AY187" s="70" t="s">
        <v>26972</v>
      </c>
      <c r="AZ187" s="70" t="s">
        <v>26973</v>
      </c>
      <c r="BB187" s="70">
        <v>178.0</v>
      </c>
      <c r="BC187" s="70">
        <v>0.0</v>
      </c>
    </row>
    <row r="188" ht="22.5" customHeight="1">
      <c r="A188" s="86" t="str">
        <f t="shared" si="1"/>
        <v>Excluded</v>
      </c>
      <c r="B188" s="87">
        <f t="shared" si="2"/>
        <v>0</v>
      </c>
      <c r="C188" s="70">
        <v>0.0</v>
      </c>
      <c r="D188" s="70" t="s">
        <v>36</v>
      </c>
      <c r="E188" s="70">
        <f>IFERROR(__xludf.DUMMYFUNCTION("if(REGEXMATCH(I188,""INCLUDE""),1,0)"),0.0)</f>
        <v>0</v>
      </c>
      <c r="F188" s="70" t="str">
        <f>IFERROR(__xludf.DUMMYFUNCTION("index(SPLIT(I188, "" - ""),0,2)"),"EC6")</f>
        <v>EC6</v>
      </c>
      <c r="G188" s="70">
        <f>IFERROR(__xludf.DUMMYFUNCTION("if(REGEXMATCH(J188,""INCLUDE""),1,0)"),0.0)</f>
        <v>0</v>
      </c>
      <c r="H188" s="70" t="str">
        <f>IFERROR(__xludf.DUMMYFUNCTION("index(SPLIT(J188, "" - ""),0,2)"),"EC6")</f>
        <v>EC6</v>
      </c>
      <c r="I188" s="88" t="s">
        <v>31529</v>
      </c>
      <c r="J188" s="70" t="s">
        <v>31529</v>
      </c>
      <c r="K188" s="70">
        <v>48.0</v>
      </c>
      <c r="L188" s="70" t="s">
        <v>21293</v>
      </c>
      <c r="M188" s="70" t="s">
        <v>29373</v>
      </c>
      <c r="N188" s="70" t="s">
        <v>21292</v>
      </c>
      <c r="O188" s="70" t="s">
        <v>16436</v>
      </c>
      <c r="Q188" s="70" t="s">
        <v>16437</v>
      </c>
      <c r="S188" s="76">
        <v>45397.0</v>
      </c>
      <c r="X188" s="70" t="s">
        <v>239</v>
      </c>
      <c r="Z188" s="70" t="s">
        <v>21295</v>
      </c>
      <c r="AB188" s="70" t="s">
        <v>21296</v>
      </c>
      <c r="AC188" s="75" t="s">
        <v>21297</v>
      </c>
      <c r="AD188" s="70" t="s">
        <v>21298</v>
      </c>
      <c r="AF188" s="70">
        <v>1.0</v>
      </c>
      <c r="AH188" s="70">
        <v>66.0</v>
      </c>
      <c r="AI188" s="70" t="s">
        <v>16727</v>
      </c>
      <c r="AZ188" s="70" t="s">
        <v>21299</v>
      </c>
      <c r="BB188" s="70">
        <v>179.0</v>
      </c>
      <c r="BC188" s="70">
        <v>0.0</v>
      </c>
    </row>
    <row r="189" ht="22.5" customHeight="1">
      <c r="A189" s="86" t="str">
        <f t="shared" si="1"/>
        <v>Excluded</v>
      </c>
      <c r="B189" s="87">
        <f t="shared" si="2"/>
        <v>0</v>
      </c>
      <c r="C189" s="70">
        <v>0.0</v>
      </c>
      <c r="D189" s="70" t="s">
        <v>34</v>
      </c>
      <c r="E189" s="70">
        <f>IFERROR(__xludf.DUMMYFUNCTION("if(REGEXMATCH(I189,""INCLUDE""),1,0)"),0.0)</f>
        <v>0</v>
      </c>
      <c r="F189" s="70" t="str">
        <f>IFERROR(__xludf.DUMMYFUNCTION("index(SPLIT(I189, "" - ""),0,2)"),"EC4")</f>
        <v>EC4</v>
      </c>
      <c r="G189" s="70">
        <f>IFERROR(__xludf.DUMMYFUNCTION("if(REGEXMATCH(J189,""INCLUDE""),1,0)"),0.0)</f>
        <v>0</v>
      </c>
      <c r="H189" s="70" t="str">
        <f>IFERROR(__xludf.DUMMYFUNCTION("index(SPLIT(J189, "" - ""),0,2)"),"EC4")</f>
        <v>EC4</v>
      </c>
      <c r="I189" s="88" t="s">
        <v>31527</v>
      </c>
      <c r="J189" s="70" t="s">
        <v>31527</v>
      </c>
      <c r="K189" s="70">
        <v>191.0</v>
      </c>
      <c r="L189" s="70" t="s">
        <v>27412</v>
      </c>
      <c r="M189" s="70" t="s">
        <v>27410</v>
      </c>
      <c r="N189" s="70" t="s">
        <v>27411</v>
      </c>
      <c r="Z189" s="70" t="s">
        <v>29477</v>
      </c>
      <c r="AD189" s="70" t="s">
        <v>27414</v>
      </c>
      <c r="AL189" s="70" t="s">
        <v>27415</v>
      </c>
      <c r="AM189" s="70">
        <v>5.7203517108E10</v>
      </c>
      <c r="AN189" s="70">
        <v>2021.0</v>
      </c>
      <c r="AO189" s="70" t="s">
        <v>27416</v>
      </c>
      <c r="AQ189" s="70">
        <v>3691.0</v>
      </c>
      <c r="AR189" s="70">
        <v>3697.0</v>
      </c>
      <c r="AS189" s="70">
        <v>6.0</v>
      </c>
      <c r="AT189" s="70">
        <v>1.0</v>
      </c>
      <c r="AU189" s="75" t="s">
        <v>27417</v>
      </c>
      <c r="AV189" s="70" t="s">
        <v>22525</v>
      </c>
      <c r="AW189" s="70" t="s">
        <v>22622</v>
      </c>
      <c r="AX189" s="70" t="s">
        <v>237</v>
      </c>
      <c r="AY189" s="70" t="s">
        <v>27418</v>
      </c>
      <c r="BB189" s="70">
        <v>180.0</v>
      </c>
      <c r="BC189" s="70">
        <v>0.0</v>
      </c>
    </row>
    <row r="190" ht="22.5" customHeight="1">
      <c r="A190" s="86" t="str">
        <f t="shared" si="1"/>
        <v>Excluded</v>
      </c>
      <c r="B190" s="87">
        <f t="shared" si="2"/>
        <v>0</v>
      </c>
      <c r="C190" s="70">
        <v>0.0</v>
      </c>
      <c r="D190" s="70" t="s">
        <v>34</v>
      </c>
      <c r="E190" s="70">
        <f>IFERROR(__xludf.DUMMYFUNCTION("if(REGEXMATCH(I190,""INCLUDE""),1,0)"),0.0)</f>
        <v>0</v>
      </c>
      <c r="F190" s="70" t="str">
        <f>IFERROR(__xludf.DUMMYFUNCTION("index(SPLIT(I190, "" - ""),0,2)"),"EC5")</f>
        <v>EC5</v>
      </c>
      <c r="G190" s="70">
        <f>IFERROR(__xludf.DUMMYFUNCTION("if(REGEXMATCH(J190,""INCLUDE""),1,0)"),0.0)</f>
        <v>0</v>
      </c>
      <c r="H190" s="70" t="str">
        <f>IFERROR(__xludf.DUMMYFUNCTION("index(SPLIT(J190, "" - ""),0,2)"),"EC5")</f>
        <v>EC5</v>
      </c>
      <c r="I190" s="88" t="s">
        <v>31528</v>
      </c>
      <c r="J190" s="70" t="s">
        <v>31528</v>
      </c>
      <c r="K190" s="70">
        <v>92.0</v>
      </c>
      <c r="L190" s="70" t="s">
        <v>12088</v>
      </c>
      <c r="M190" s="70" t="s">
        <v>29402</v>
      </c>
      <c r="N190" s="70" t="s">
        <v>12087</v>
      </c>
      <c r="O190" s="70" t="s">
        <v>11492</v>
      </c>
      <c r="Q190" s="70" t="s">
        <v>11493</v>
      </c>
      <c r="S190" s="76">
        <v>45040.0</v>
      </c>
      <c r="X190" s="70" t="s">
        <v>239</v>
      </c>
      <c r="Z190" s="70" t="s">
        <v>12090</v>
      </c>
      <c r="AA190" s="70" t="s">
        <v>11497</v>
      </c>
      <c r="AC190" s="75" t="s">
        <v>12091</v>
      </c>
      <c r="AD190" s="70" t="s">
        <v>12092</v>
      </c>
      <c r="AF190" s="70">
        <v>1.0</v>
      </c>
      <c r="AH190" s="70">
        <v>17.0</v>
      </c>
      <c r="AI190" s="70" t="s">
        <v>239</v>
      </c>
      <c r="AZ190" s="70" t="s">
        <v>12093</v>
      </c>
      <c r="BA190" s="70" t="s">
        <v>29385</v>
      </c>
      <c r="BB190" s="70">
        <v>182.0</v>
      </c>
      <c r="BC190" s="70">
        <v>0.0</v>
      </c>
    </row>
    <row r="191" ht="22.5" customHeight="1">
      <c r="A191" s="86" t="str">
        <f t="shared" si="1"/>
        <v>Excluded</v>
      </c>
      <c r="B191" s="87">
        <f t="shared" si="2"/>
        <v>0</v>
      </c>
      <c r="C191" s="70">
        <v>0.0</v>
      </c>
      <c r="D191" s="70" t="s">
        <v>36</v>
      </c>
      <c r="E191" s="70">
        <f>IFERROR(__xludf.DUMMYFUNCTION("if(REGEXMATCH(I191,""INCLUDE""),1,0)"),0.0)</f>
        <v>0</v>
      </c>
      <c r="F191" s="70" t="str">
        <f>IFERROR(__xludf.DUMMYFUNCTION("index(SPLIT(I191, "" - ""),0,2)"),"EC4")</f>
        <v>EC4</v>
      </c>
      <c r="G191" s="70">
        <f>IFERROR(__xludf.DUMMYFUNCTION("if(REGEXMATCH(J191,""INCLUDE""),1,0)"),0.0)</f>
        <v>0</v>
      </c>
      <c r="H191" s="70" t="str">
        <f>IFERROR(__xludf.DUMMYFUNCTION("index(SPLIT(J191, "" - ""),0,2)"),"EC4")</f>
        <v>EC4</v>
      </c>
      <c r="I191" s="88" t="s">
        <v>31527</v>
      </c>
      <c r="J191" s="70" t="s">
        <v>31527</v>
      </c>
      <c r="K191" s="70">
        <v>170.0</v>
      </c>
      <c r="L191" s="70" t="s">
        <v>3646</v>
      </c>
      <c r="M191" s="70" t="s">
        <v>3644</v>
      </c>
      <c r="N191" s="70" t="s">
        <v>3645</v>
      </c>
      <c r="O191" s="70" t="s">
        <v>3635</v>
      </c>
      <c r="Q191" s="70" t="s">
        <v>3636</v>
      </c>
      <c r="R191" s="75" t="s">
        <v>3647</v>
      </c>
      <c r="S191" s="81">
        <v>44805.0</v>
      </c>
      <c r="Z191" s="70" t="s">
        <v>29461</v>
      </c>
      <c r="AZ191" s="70" t="s">
        <v>3651</v>
      </c>
      <c r="BA191" s="70" t="s">
        <v>22</v>
      </c>
      <c r="BB191" s="70">
        <v>183.0</v>
      </c>
      <c r="BC191" s="70">
        <v>0.0</v>
      </c>
    </row>
    <row r="192" ht="22.5" customHeight="1">
      <c r="A192" s="86" t="str">
        <f t="shared" si="1"/>
        <v>Excluded</v>
      </c>
      <c r="B192" s="87">
        <f t="shared" si="2"/>
        <v>0</v>
      </c>
      <c r="C192" s="70">
        <v>0.0</v>
      </c>
      <c r="D192" s="70" t="s">
        <v>34</v>
      </c>
      <c r="E192" s="70">
        <f>IFERROR(__xludf.DUMMYFUNCTION("if(REGEXMATCH(I192,""INCLUDE""),1,0)"),0.0)</f>
        <v>0</v>
      </c>
      <c r="F192" s="70" t="str">
        <f>IFERROR(__xludf.DUMMYFUNCTION("index(SPLIT(I192, "" - ""),0,2)"),"EC4")</f>
        <v>EC4</v>
      </c>
      <c r="G192" s="70">
        <f>IFERROR(__xludf.DUMMYFUNCTION("if(REGEXMATCH(J192,""INCLUDE""),1,0)"),0.0)</f>
        <v>0</v>
      </c>
      <c r="H192" s="70" t="str">
        <f>IFERROR(__xludf.DUMMYFUNCTION("index(SPLIT(J192, "" - ""),0,2)"),"EC4")</f>
        <v>EC4</v>
      </c>
      <c r="I192" s="88" t="s">
        <v>31527</v>
      </c>
      <c r="J192" s="70" t="s">
        <v>31527</v>
      </c>
      <c r="K192" s="70">
        <v>178.0</v>
      </c>
      <c r="L192" s="70" t="s">
        <v>822</v>
      </c>
      <c r="M192" s="70" t="s">
        <v>29466</v>
      </c>
      <c r="N192" s="70" t="s">
        <v>819</v>
      </c>
      <c r="O192" s="70" t="s">
        <v>820</v>
      </c>
      <c r="P192" s="70" t="s">
        <v>821</v>
      </c>
      <c r="R192" s="75" t="s">
        <v>823</v>
      </c>
      <c r="S192" s="70">
        <v>2023.0</v>
      </c>
      <c r="T192" s="70" t="s">
        <v>825</v>
      </c>
      <c r="X192" s="70" t="s">
        <v>401</v>
      </c>
      <c r="Y192" s="70" t="s">
        <v>402</v>
      </c>
      <c r="Z192" s="70" t="s">
        <v>29467</v>
      </c>
      <c r="AZ192" s="70" t="s">
        <v>828</v>
      </c>
      <c r="BB192" s="70">
        <v>184.0</v>
      </c>
      <c r="BC192" s="70">
        <v>0.0</v>
      </c>
    </row>
    <row r="193" ht="22.5" customHeight="1">
      <c r="A193" s="86" t="str">
        <f t="shared" si="1"/>
        <v>Excluded</v>
      </c>
      <c r="B193" s="87">
        <f t="shared" si="2"/>
        <v>0</v>
      </c>
      <c r="C193" s="70">
        <v>0.0</v>
      </c>
      <c r="D193" s="70" t="s">
        <v>34</v>
      </c>
      <c r="E193" s="70">
        <f>IFERROR(__xludf.DUMMYFUNCTION("if(REGEXMATCH(I193,""INCLUDE""),1,0)"),0.0)</f>
        <v>0</v>
      </c>
      <c r="F193" s="70" t="str">
        <f>IFERROR(__xludf.DUMMYFUNCTION("index(SPLIT(I193, "" - ""),0,2)"),"EC4")</f>
        <v>EC4</v>
      </c>
      <c r="G193" s="70">
        <f>IFERROR(__xludf.DUMMYFUNCTION("if(REGEXMATCH(J193,""INCLUDE""),1,0)"),0.0)</f>
        <v>0</v>
      </c>
      <c r="H193" s="70" t="str">
        <f>IFERROR(__xludf.DUMMYFUNCTION("index(SPLIT(J193, "" - ""),0,2)"),"EC4")</f>
        <v>EC4</v>
      </c>
      <c r="I193" s="88" t="s">
        <v>31527</v>
      </c>
      <c r="J193" s="70" t="s">
        <v>31527</v>
      </c>
      <c r="K193" s="70">
        <v>39.0</v>
      </c>
      <c r="L193" s="70" t="s">
        <v>28140</v>
      </c>
      <c r="M193" s="70" t="s">
        <v>28138</v>
      </c>
      <c r="N193" s="70" t="s">
        <v>28139</v>
      </c>
      <c r="Z193" s="70" t="s">
        <v>29363</v>
      </c>
      <c r="AD193" s="70" t="s">
        <v>28142</v>
      </c>
      <c r="AL193" s="70" t="s">
        <v>28143</v>
      </c>
      <c r="AM193" s="70" t="s">
        <v>28144</v>
      </c>
      <c r="AN193" s="70">
        <v>2021.0</v>
      </c>
      <c r="AO193" s="70" t="s">
        <v>16436</v>
      </c>
      <c r="AP193" s="70">
        <v>9358144.0</v>
      </c>
      <c r="AQ193" s="70">
        <v>39193.0</v>
      </c>
      <c r="AR193" s="70">
        <v>39217.0</v>
      </c>
      <c r="AS193" s="70">
        <v>24.0</v>
      </c>
      <c r="AT193" s="70">
        <v>178.0</v>
      </c>
      <c r="AU193" s="75" t="s">
        <v>28145</v>
      </c>
      <c r="AV193" s="70" t="s">
        <v>22525</v>
      </c>
      <c r="AW193" s="70" t="s">
        <v>22622</v>
      </c>
      <c r="AX193" s="70" t="s">
        <v>237</v>
      </c>
      <c r="AY193" s="70" t="s">
        <v>28146</v>
      </c>
      <c r="AZ193" s="70" t="s">
        <v>28147</v>
      </c>
      <c r="BA193" s="70" t="s">
        <v>24</v>
      </c>
      <c r="BB193" s="70">
        <v>185.0</v>
      </c>
      <c r="BC193" s="70">
        <v>0.0</v>
      </c>
    </row>
    <row r="194" ht="22.5" customHeight="1">
      <c r="A194" s="86" t="str">
        <f t="shared" si="1"/>
        <v>Excluded</v>
      </c>
      <c r="B194" s="87">
        <f t="shared" si="2"/>
        <v>0</v>
      </c>
      <c r="C194" s="70">
        <v>0.0</v>
      </c>
      <c r="D194" s="70" t="s">
        <v>34</v>
      </c>
      <c r="E194" s="70">
        <f>IFERROR(__xludf.DUMMYFUNCTION("if(REGEXMATCH(I194,""INCLUDE""),1,0)"),0.0)</f>
        <v>0</v>
      </c>
      <c r="F194" s="70" t="str">
        <f>IFERROR(__xludf.DUMMYFUNCTION("index(SPLIT(I194, "" - ""),0,2)"),"EC4")</f>
        <v>EC4</v>
      </c>
      <c r="G194" s="70">
        <f>IFERROR(__xludf.DUMMYFUNCTION("if(REGEXMATCH(J194,""INCLUDE""),1,0)"),0.0)</f>
        <v>0</v>
      </c>
      <c r="H194" s="70" t="str">
        <f>IFERROR(__xludf.DUMMYFUNCTION("index(SPLIT(J194, "" - ""),0,2)"),"EC4")</f>
        <v>EC4</v>
      </c>
      <c r="I194" s="88" t="s">
        <v>31527</v>
      </c>
      <c r="J194" s="70" t="s">
        <v>31527</v>
      </c>
      <c r="K194" s="70">
        <v>204.0</v>
      </c>
      <c r="L194" s="70" t="s">
        <v>26509</v>
      </c>
      <c r="M194" s="70" t="s">
        <v>29495</v>
      </c>
      <c r="N194" s="70" t="s">
        <v>26508</v>
      </c>
      <c r="Z194" s="70" t="s">
        <v>29496</v>
      </c>
      <c r="AD194" s="70" t="s">
        <v>26511</v>
      </c>
      <c r="AL194" s="70" t="s">
        <v>29497</v>
      </c>
      <c r="AM194" s="70" t="s">
        <v>26513</v>
      </c>
      <c r="AN194" s="70">
        <v>2022.0</v>
      </c>
      <c r="AO194" s="70" t="s">
        <v>25244</v>
      </c>
      <c r="AP194" s="70">
        <v>5516.0</v>
      </c>
      <c r="AT194" s="70">
        <v>7.0</v>
      </c>
      <c r="AU194" s="75" t="s">
        <v>26514</v>
      </c>
      <c r="AV194" s="70" t="s">
        <v>22525</v>
      </c>
      <c r="AW194" s="70" t="s">
        <v>22622</v>
      </c>
      <c r="AX194" s="70" t="s">
        <v>237</v>
      </c>
      <c r="AY194" s="70" t="s">
        <v>26515</v>
      </c>
      <c r="AZ194" s="70" t="s">
        <v>26516</v>
      </c>
      <c r="BA194" s="70" t="s">
        <v>24</v>
      </c>
      <c r="BB194" s="70">
        <v>186.0</v>
      </c>
      <c r="BC194" s="70">
        <v>0.0</v>
      </c>
    </row>
    <row r="195" ht="22.5" customHeight="1">
      <c r="A195" s="86" t="str">
        <f t="shared" si="1"/>
        <v>Excluded</v>
      </c>
      <c r="B195" s="87">
        <f t="shared" si="2"/>
        <v>0</v>
      </c>
      <c r="C195" s="70">
        <v>0.0</v>
      </c>
      <c r="D195" s="70" t="s">
        <v>30</v>
      </c>
      <c r="E195" s="70">
        <f>IFERROR(__xludf.DUMMYFUNCTION("if(REGEXMATCH(I195,""INCLUDE""),1,0)"),0.0)</f>
        <v>0</v>
      </c>
      <c r="F195" s="70" t="str">
        <f>IFERROR(__xludf.DUMMYFUNCTION("index(SPLIT(I195, "" - ""),0,2)"),"EC4")</f>
        <v>EC4</v>
      </c>
      <c r="G195" s="70">
        <f>IFERROR(__xludf.DUMMYFUNCTION("if(REGEXMATCH(J195,""INCLUDE""),1,0)"),0.0)</f>
        <v>0</v>
      </c>
      <c r="H195" s="70" t="str">
        <f>IFERROR(__xludf.DUMMYFUNCTION("index(SPLIT(J195, "" - ""),0,2)"),"EC4")</f>
        <v>EC4</v>
      </c>
      <c r="I195" s="88" t="s">
        <v>31527</v>
      </c>
      <c r="J195" s="70" t="s">
        <v>31527</v>
      </c>
      <c r="K195" s="70">
        <v>186.0</v>
      </c>
      <c r="L195" s="70" t="s">
        <v>22593</v>
      </c>
      <c r="M195" s="70" t="s">
        <v>22591</v>
      </c>
      <c r="N195" s="70" t="s">
        <v>29471</v>
      </c>
      <c r="Z195" s="70" t="s">
        <v>29472</v>
      </c>
      <c r="AD195" s="70" t="s">
        <v>22595</v>
      </c>
      <c r="AL195" s="70" t="s">
        <v>22596</v>
      </c>
      <c r="AM195" s="70" t="s">
        <v>22597</v>
      </c>
      <c r="AN195" s="70">
        <v>2024.0</v>
      </c>
      <c r="AO195" s="70" t="s">
        <v>22598</v>
      </c>
      <c r="AQ195" s="70">
        <v>3324.0</v>
      </c>
      <c r="AR195" s="70">
        <v>3338.0</v>
      </c>
      <c r="AS195" s="70">
        <v>14.0</v>
      </c>
      <c r="AT195" s="70">
        <v>0.0</v>
      </c>
      <c r="AU195" s="75" t="s">
        <v>22599</v>
      </c>
      <c r="AV195" s="70" t="s">
        <v>22525</v>
      </c>
      <c r="AX195" s="70" t="s">
        <v>237</v>
      </c>
      <c r="AY195" s="70" t="s">
        <v>22600</v>
      </c>
      <c r="AZ195" s="70" t="s">
        <v>22601</v>
      </c>
      <c r="BA195" s="70" t="s">
        <v>22</v>
      </c>
      <c r="BB195" s="70">
        <v>187.0</v>
      </c>
      <c r="BC195" s="70">
        <v>0.0</v>
      </c>
    </row>
    <row r="196" ht="22.5" customHeight="1">
      <c r="A196" s="86" t="str">
        <f t="shared" si="1"/>
        <v>Excluded</v>
      </c>
      <c r="B196" s="87">
        <f t="shared" si="2"/>
        <v>0</v>
      </c>
      <c r="C196" s="70">
        <v>0.0</v>
      </c>
      <c r="D196" s="70" t="s">
        <v>34</v>
      </c>
      <c r="E196" s="70">
        <f>IFERROR(__xludf.DUMMYFUNCTION("if(REGEXMATCH(I196,""INCLUDE""),1,0)"),0.0)</f>
        <v>0</v>
      </c>
      <c r="F196" s="70" t="str">
        <f>IFERROR(__xludf.DUMMYFUNCTION("index(SPLIT(I196, "" - ""),0,2)"),"EC4")</f>
        <v>EC4</v>
      </c>
      <c r="G196" s="70">
        <f>IFERROR(__xludf.DUMMYFUNCTION("if(REGEXMATCH(J196,""INCLUDE""),1,0)"),0.0)</f>
        <v>0</v>
      </c>
      <c r="H196" s="70" t="str">
        <f>IFERROR(__xludf.DUMMYFUNCTION("index(SPLIT(J196, "" - ""),0,2)"),"EC4")</f>
        <v>EC4</v>
      </c>
      <c r="I196" s="88" t="s">
        <v>31527</v>
      </c>
      <c r="J196" s="70" t="s">
        <v>31527</v>
      </c>
      <c r="K196" s="70">
        <v>21.0</v>
      </c>
      <c r="L196" s="70" t="s">
        <v>25098</v>
      </c>
      <c r="M196" s="70" t="s">
        <v>25096</v>
      </c>
      <c r="N196" s="70" t="s">
        <v>25097</v>
      </c>
      <c r="Z196" s="70" t="s">
        <v>29340</v>
      </c>
      <c r="AD196" s="70" t="s">
        <v>25100</v>
      </c>
      <c r="AL196" s="70" t="s">
        <v>29341</v>
      </c>
      <c r="AM196" s="70" t="s">
        <v>25102</v>
      </c>
      <c r="AN196" s="70">
        <v>2024.0</v>
      </c>
      <c r="AO196" s="70" t="s">
        <v>25103</v>
      </c>
      <c r="AP196" s="70">
        <v>122192.0</v>
      </c>
      <c r="AT196" s="70">
        <v>10.0</v>
      </c>
      <c r="AU196" s="75" t="s">
        <v>25104</v>
      </c>
      <c r="AV196" s="70" t="s">
        <v>22525</v>
      </c>
      <c r="AW196" s="70" t="s">
        <v>22526</v>
      </c>
      <c r="AX196" s="70" t="s">
        <v>237</v>
      </c>
      <c r="AY196" s="70" t="s">
        <v>25105</v>
      </c>
      <c r="AZ196" s="70" t="s">
        <v>25106</v>
      </c>
      <c r="BA196" s="70" t="s">
        <v>22</v>
      </c>
      <c r="BB196" s="70">
        <v>188.0</v>
      </c>
      <c r="BC196" s="70">
        <v>0.0</v>
      </c>
    </row>
    <row r="197" ht="22.5" customHeight="1">
      <c r="A197" s="86" t="str">
        <f t="shared" si="1"/>
        <v>Excluded</v>
      </c>
      <c r="B197" s="87">
        <f t="shared" si="2"/>
        <v>0</v>
      </c>
      <c r="C197" s="70">
        <v>0.0</v>
      </c>
      <c r="D197" s="70" t="s">
        <v>34</v>
      </c>
      <c r="E197" s="70">
        <f>IFERROR(__xludf.DUMMYFUNCTION("if(REGEXMATCH(I197,""INCLUDE""),1,0)"),0.0)</f>
        <v>0</v>
      </c>
      <c r="F197" s="70" t="str">
        <f>IFERROR(__xludf.DUMMYFUNCTION("index(SPLIT(I197, "" - ""),0,2)"),"EC4")</f>
        <v>EC4</v>
      </c>
      <c r="G197" s="70">
        <f>IFERROR(__xludf.DUMMYFUNCTION("if(REGEXMATCH(J197,""INCLUDE""),1,0)"),0.0)</f>
        <v>0</v>
      </c>
      <c r="H197" s="70" t="str">
        <f>IFERROR(__xludf.DUMMYFUNCTION("index(SPLIT(J197, "" - ""),0,2)"),"EC4")</f>
        <v>EC4</v>
      </c>
      <c r="I197" s="88" t="s">
        <v>31527</v>
      </c>
      <c r="J197" s="70" t="s">
        <v>31527</v>
      </c>
      <c r="K197" s="70">
        <v>187.0</v>
      </c>
      <c r="L197" s="70" t="s">
        <v>28301</v>
      </c>
      <c r="M197" s="70" t="s">
        <v>28128</v>
      </c>
      <c r="N197" s="70" t="s">
        <v>28300</v>
      </c>
      <c r="Z197" s="70" t="s">
        <v>29473</v>
      </c>
      <c r="AD197" s="70" t="s">
        <v>28303</v>
      </c>
      <c r="AL197" s="70" t="s">
        <v>28133</v>
      </c>
      <c r="AM197" s="70" t="s">
        <v>28134</v>
      </c>
      <c r="AN197" s="70">
        <v>2021.0</v>
      </c>
      <c r="AO197" s="70" t="s">
        <v>26726</v>
      </c>
      <c r="AQ197" s="70">
        <v>586.0</v>
      </c>
      <c r="AR197" s="70">
        <v>593.0</v>
      </c>
      <c r="AS197" s="70">
        <v>7.0</v>
      </c>
      <c r="AT197" s="70">
        <v>15.0</v>
      </c>
      <c r="AU197" s="75" t="s">
        <v>28304</v>
      </c>
      <c r="AV197" s="70" t="s">
        <v>22525</v>
      </c>
      <c r="AW197" s="70" t="s">
        <v>22643</v>
      </c>
      <c r="AX197" s="70" t="s">
        <v>237</v>
      </c>
      <c r="AY197" s="70" t="s">
        <v>28305</v>
      </c>
      <c r="AZ197" s="70" t="s">
        <v>28306</v>
      </c>
      <c r="BA197" s="70" t="s">
        <v>22</v>
      </c>
      <c r="BB197" s="70">
        <v>189.0</v>
      </c>
      <c r="BC197" s="70">
        <v>0.0</v>
      </c>
    </row>
    <row r="198" ht="22.5" customHeight="1">
      <c r="A198" s="86" t="str">
        <f t="shared" si="1"/>
        <v>Excluded</v>
      </c>
      <c r="B198" s="87">
        <f t="shared" si="2"/>
        <v>0</v>
      </c>
      <c r="C198" s="70">
        <v>0.0</v>
      </c>
      <c r="D198" s="70" t="s">
        <v>30</v>
      </c>
      <c r="E198" s="70">
        <f>IFERROR(__xludf.DUMMYFUNCTION("if(REGEXMATCH(I198,""INCLUDE""),1,0)"),0.0)</f>
        <v>0</v>
      </c>
      <c r="F198" s="70" t="str">
        <f>IFERROR(__xludf.DUMMYFUNCTION("index(SPLIT(I198, "" - ""),0,2)"),"EC4")</f>
        <v>EC4</v>
      </c>
      <c r="G198" s="70">
        <f>IFERROR(__xludf.DUMMYFUNCTION("if(REGEXMATCH(J198,""INCLUDE""),1,0)"),0.0)</f>
        <v>0</v>
      </c>
      <c r="H198" s="70" t="str">
        <f>IFERROR(__xludf.DUMMYFUNCTION("index(SPLIT(J198, "" - ""),0,2)"),"EC4")</f>
        <v>EC4</v>
      </c>
      <c r="I198" s="88" t="s">
        <v>31527</v>
      </c>
      <c r="J198" s="70" t="s">
        <v>31527</v>
      </c>
      <c r="K198" s="70">
        <v>177.0</v>
      </c>
      <c r="L198" s="70" t="s">
        <v>2321</v>
      </c>
      <c r="M198" s="70" t="s">
        <v>2317</v>
      </c>
      <c r="N198" s="70" t="s">
        <v>2318</v>
      </c>
      <c r="O198" s="70" t="s">
        <v>2319</v>
      </c>
      <c r="P198" s="70" t="s">
        <v>2320</v>
      </c>
      <c r="R198" s="75" t="s">
        <v>2322</v>
      </c>
      <c r="S198" s="70">
        <v>2024.0</v>
      </c>
      <c r="T198" s="70" t="s">
        <v>2324</v>
      </c>
      <c r="X198" s="70" t="s">
        <v>401</v>
      </c>
      <c r="Y198" s="70" t="s">
        <v>402</v>
      </c>
      <c r="Z198" s="70" t="s">
        <v>29465</v>
      </c>
      <c r="AZ198" s="70" t="s">
        <v>2327</v>
      </c>
      <c r="BA198" s="70" t="s">
        <v>24</v>
      </c>
      <c r="BB198" s="70">
        <v>190.0</v>
      </c>
      <c r="BC198" s="70">
        <v>0.0</v>
      </c>
    </row>
    <row r="199" ht="22.5" customHeight="1">
      <c r="A199" s="86" t="str">
        <f t="shared" si="1"/>
        <v>Excluded</v>
      </c>
      <c r="B199" s="87">
        <f t="shared" si="2"/>
        <v>0</v>
      </c>
      <c r="C199" s="70">
        <v>0.0</v>
      </c>
      <c r="D199" s="70" t="s">
        <v>34</v>
      </c>
      <c r="E199" s="70">
        <f>IFERROR(__xludf.DUMMYFUNCTION("if(REGEXMATCH(I199,""INCLUDE""),1,0)"),0.0)</f>
        <v>0</v>
      </c>
      <c r="F199" s="70" t="str">
        <f>IFERROR(__xludf.DUMMYFUNCTION("index(SPLIT(I199, "" - ""),0,2)"),"EC5")</f>
        <v>EC5</v>
      </c>
      <c r="G199" s="70">
        <f>IFERROR(__xludf.DUMMYFUNCTION("if(REGEXMATCH(J199,""INCLUDE""),1,0)"),0.0)</f>
        <v>0</v>
      </c>
      <c r="H199" s="70" t="str">
        <f>IFERROR(__xludf.DUMMYFUNCTION("index(SPLIT(J199, "" - ""),0,2)"),"EC5")</f>
        <v>EC5</v>
      </c>
      <c r="I199" s="88" t="s">
        <v>31528</v>
      </c>
      <c r="J199" s="70" t="s">
        <v>31528</v>
      </c>
      <c r="K199" s="70">
        <v>93.0</v>
      </c>
      <c r="L199" s="70" t="s">
        <v>11543</v>
      </c>
      <c r="M199" s="70" t="s">
        <v>11541</v>
      </c>
      <c r="N199" s="70" t="s">
        <v>11542</v>
      </c>
      <c r="O199" s="70" t="s">
        <v>11409</v>
      </c>
      <c r="S199" s="76">
        <v>45040.0</v>
      </c>
      <c r="X199" s="70" t="s">
        <v>239</v>
      </c>
      <c r="Z199" s="70" t="s">
        <v>11545</v>
      </c>
      <c r="AA199" s="70" t="s">
        <v>11413</v>
      </c>
      <c r="AC199" s="75" t="s">
        <v>11546</v>
      </c>
      <c r="AD199" s="70" t="s">
        <v>11547</v>
      </c>
      <c r="AF199" s="70">
        <v>3.0</v>
      </c>
      <c r="AH199" s="70">
        <v>60.0</v>
      </c>
      <c r="AI199" s="70" t="s">
        <v>239</v>
      </c>
      <c r="AZ199" s="70" t="s">
        <v>11548</v>
      </c>
      <c r="BA199" s="70" t="s">
        <v>29385</v>
      </c>
      <c r="BB199" s="70">
        <v>192.0</v>
      </c>
      <c r="BC199" s="70">
        <v>0.0</v>
      </c>
    </row>
    <row r="200" ht="22.5" customHeight="1">
      <c r="A200" s="86" t="str">
        <f t="shared" si="1"/>
        <v>Excluded</v>
      </c>
      <c r="B200" s="87">
        <f t="shared" si="2"/>
        <v>0</v>
      </c>
      <c r="C200" s="70">
        <v>0.0</v>
      </c>
      <c r="D200" s="70" t="s">
        <v>30</v>
      </c>
      <c r="E200" s="70">
        <f>IFERROR(__xludf.DUMMYFUNCTION("if(REGEXMATCH(I200,""INCLUDE""),1,0)"),0.0)</f>
        <v>0</v>
      </c>
      <c r="F200" s="70" t="str">
        <f>IFERROR(__xludf.DUMMYFUNCTION("index(SPLIT(I200, "" - ""),0,2)"),"EC4")</f>
        <v>EC4</v>
      </c>
      <c r="G200" s="70">
        <f>IFERROR(__xludf.DUMMYFUNCTION("if(REGEXMATCH(J200,""INCLUDE""),1,0)"),0.0)</f>
        <v>0</v>
      </c>
      <c r="H200" s="70" t="str">
        <f>IFERROR(__xludf.DUMMYFUNCTION("index(SPLIT(J200, "" - ""),0,2)"),"EC4")</f>
        <v>EC4</v>
      </c>
      <c r="I200" s="88" t="s">
        <v>31527</v>
      </c>
      <c r="J200" s="70" t="s">
        <v>31527</v>
      </c>
      <c r="K200" s="70">
        <v>75.0</v>
      </c>
      <c r="L200" s="70" t="s">
        <v>8191</v>
      </c>
      <c r="M200" s="70" t="s">
        <v>8188</v>
      </c>
      <c r="N200" s="70" t="s">
        <v>8189</v>
      </c>
      <c r="O200" s="70" t="s">
        <v>8190</v>
      </c>
      <c r="S200" s="76">
        <v>43485.0</v>
      </c>
      <c r="X200" s="70" t="s">
        <v>239</v>
      </c>
      <c r="Z200" s="70" t="s">
        <v>8193</v>
      </c>
      <c r="AA200" s="70" t="s">
        <v>8194</v>
      </c>
      <c r="AC200" s="75" t="s">
        <v>8195</v>
      </c>
      <c r="AD200" s="70" t="s">
        <v>8196</v>
      </c>
      <c r="AF200" s="70">
        <v>2.0</v>
      </c>
      <c r="AH200" s="70">
        <v>21.0</v>
      </c>
      <c r="AI200" s="70" t="s">
        <v>239</v>
      </c>
      <c r="AZ200" s="70" t="s">
        <v>8197</v>
      </c>
      <c r="BA200" s="70" t="s">
        <v>24</v>
      </c>
      <c r="BB200" s="70">
        <v>193.0</v>
      </c>
      <c r="BC200" s="70">
        <v>0.0</v>
      </c>
    </row>
    <row r="201" ht="22.5" customHeight="1">
      <c r="A201" s="86" t="str">
        <f t="shared" si="1"/>
        <v>Excluded</v>
      </c>
      <c r="B201" s="87">
        <f t="shared" si="2"/>
        <v>0</v>
      </c>
      <c r="C201" s="70">
        <v>0.0</v>
      </c>
      <c r="D201" s="70" t="s">
        <v>34</v>
      </c>
      <c r="E201" s="70">
        <f>IFERROR(__xludf.DUMMYFUNCTION("if(REGEXMATCH(I201,""INCLUDE""),1,0)"),0.0)</f>
        <v>0</v>
      </c>
      <c r="F201" s="70" t="str">
        <f>IFERROR(__xludf.DUMMYFUNCTION("index(SPLIT(I201, "" - ""),0,2)"),"EC4")</f>
        <v>EC4</v>
      </c>
      <c r="G201" s="70">
        <f>IFERROR(__xludf.DUMMYFUNCTION("if(REGEXMATCH(J201,""INCLUDE""),1,0)"),0.0)</f>
        <v>0</v>
      </c>
      <c r="H201" s="70" t="str">
        <f>IFERROR(__xludf.DUMMYFUNCTION("index(SPLIT(J201, "" - ""),0,2)"),"EC4")</f>
        <v>EC4</v>
      </c>
      <c r="I201" s="88" t="s">
        <v>31527</v>
      </c>
      <c r="J201" s="70" t="s">
        <v>31527</v>
      </c>
      <c r="K201" s="70">
        <v>34.0</v>
      </c>
      <c r="L201" s="70" t="s">
        <v>15470</v>
      </c>
      <c r="M201" s="70" t="s">
        <v>15468</v>
      </c>
      <c r="N201" s="70" t="s">
        <v>15469</v>
      </c>
      <c r="O201" s="70" t="s">
        <v>12653</v>
      </c>
      <c r="S201" s="76">
        <v>45198.0</v>
      </c>
      <c r="X201" s="70" t="s">
        <v>9527</v>
      </c>
      <c r="Z201" s="70" t="s">
        <v>15472</v>
      </c>
      <c r="AA201" s="70" t="s">
        <v>12657</v>
      </c>
      <c r="AC201" s="75" t="s">
        <v>15473</v>
      </c>
      <c r="BB201" s="70">
        <v>194.0</v>
      </c>
      <c r="BC201" s="70">
        <v>0.0</v>
      </c>
    </row>
    <row r="202" ht="22.5" customHeight="1">
      <c r="A202" s="86" t="str">
        <f t="shared" si="1"/>
        <v>Excluded</v>
      </c>
      <c r="B202" s="87">
        <f t="shared" si="2"/>
        <v>0</v>
      </c>
      <c r="C202" s="70">
        <v>0.0</v>
      </c>
      <c r="D202" s="70" t="s">
        <v>34</v>
      </c>
      <c r="E202" s="70">
        <f>IFERROR(__xludf.DUMMYFUNCTION("if(REGEXMATCH(I202,""INCLUDE""),1,0)"),0.0)</f>
        <v>0</v>
      </c>
      <c r="F202" s="70" t="str">
        <f>IFERROR(__xludf.DUMMYFUNCTION("index(SPLIT(I202, "" - ""),0,2)"),"EC4")</f>
        <v>EC4</v>
      </c>
      <c r="G202" s="70">
        <f>IFERROR(__xludf.DUMMYFUNCTION("if(REGEXMATCH(J202,""INCLUDE""),1,0)"),0.0)</f>
        <v>0</v>
      </c>
      <c r="H202" s="70" t="str">
        <f>IFERROR(__xludf.DUMMYFUNCTION("index(SPLIT(J202, "" - ""),0,2)"),"EC4")</f>
        <v>EC4</v>
      </c>
      <c r="I202" s="88" t="s">
        <v>31527</v>
      </c>
      <c r="J202" s="70" t="s">
        <v>31527</v>
      </c>
      <c r="K202" s="70">
        <v>108.0</v>
      </c>
      <c r="L202" s="70" t="s">
        <v>6317</v>
      </c>
      <c r="M202" s="70" t="s">
        <v>6315</v>
      </c>
      <c r="N202" s="70" t="s">
        <v>6316</v>
      </c>
      <c r="O202" s="70" t="s">
        <v>5350</v>
      </c>
      <c r="Q202" s="70" t="s">
        <v>5351</v>
      </c>
      <c r="S202" s="76">
        <v>43857.0</v>
      </c>
      <c r="X202" s="70" t="s">
        <v>239</v>
      </c>
      <c r="Z202" s="70" t="s">
        <v>6319</v>
      </c>
      <c r="AA202" s="70" t="s">
        <v>5355</v>
      </c>
      <c r="AC202" s="75" t="s">
        <v>6320</v>
      </c>
      <c r="AD202" s="70" t="s">
        <v>6321</v>
      </c>
      <c r="AF202" s="70">
        <v>7.0</v>
      </c>
      <c r="AH202" s="70">
        <v>29.0</v>
      </c>
      <c r="AI202" s="70" t="s">
        <v>239</v>
      </c>
      <c r="AZ202" s="70" t="s">
        <v>6322</v>
      </c>
      <c r="BA202" s="70" t="s">
        <v>22</v>
      </c>
      <c r="BB202" s="70">
        <v>195.0</v>
      </c>
      <c r="BC202" s="70">
        <v>0.0</v>
      </c>
    </row>
    <row r="203" ht="22.5" customHeight="1">
      <c r="A203" s="86" t="str">
        <f t="shared" si="1"/>
        <v>Excluded</v>
      </c>
      <c r="B203" s="87">
        <f t="shared" si="2"/>
        <v>0</v>
      </c>
      <c r="C203" s="70">
        <v>0.0</v>
      </c>
      <c r="D203" s="70" t="s">
        <v>34</v>
      </c>
      <c r="E203" s="70">
        <f>IFERROR(__xludf.DUMMYFUNCTION("if(REGEXMATCH(I203,""INCLUDE""),1,0)"),0.0)</f>
        <v>0</v>
      </c>
      <c r="F203" s="70" t="str">
        <f>IFERROR(__xludf.DUMMYFUNCTION("index(SPLIT(I203, "" - ""),0,2)"),"EC4")</f>
        <v>EC4</v>
      </c>
      <c r="G203" s="70">
        <f>IFERROR(__xludf.DUMMYFUNCTION("if(REGEXMATCH(J203,""INCLUDE""),1,0)"),0.0)</f>
        <v>0</v>
      </c>
      <c r="H203" s="70" t="str">
        <f>IFERROR(__xludf.DUMMYFUNCTION("index(SPLIT(J203, "" - ""),0,2)"),"EC4")</f>
        <v>EC4</v>
      </c>
      <c r="I203" s="88" t="s">
        <v>31527</v>
      </c>
      <c r="J203" s="70" t="s">
        <v>31527</v>
      </c>
      <c r="K203" s="70">
        <v>84.0</v>
      </c>
      <c r="L203" s="70" t="s">
        <v>13812</v>
      </c>
      <c r="M203" s="70" t="s">
        <v>13808</v>
      </c>
      <c r="N203" s="70" t="s">
        <v>13809</v>
      </c>
      <c r="O203" s="70" t="s">
        <v>13810</v>
      </c>
      <c r="Q203" s="70" t="s">
        <v>13811</v>
      </c>
      <c r="S203" s="77">
        <v>45600.0</v>
      </c>
      <c r="X203" s="70" t="s">
        <v>239</v>
      </c>
      <c r="Z203" s="70" t="s">
        <v>13814</v>
      </c>
      <c r="AA203" s="70" t="s">
        <v>13815</v>
      </c>
      <c r="AC203" s="75" t="s">
        <v>13816</v>
      </c>
      <c r="AD203" s="70" t="s">
        <v>13817</v>
      </c>
      <c r="AH203" s="70">
        <v>16.0</v>
      </c>
      <c r="AI203" s="70" t="s">
        <v>239</v>
      </c>
      <c r="AZ203" s="70" t="s">
        <v>13818</v>
      </c>
      <c r="BA203" s="70" t="s">
        <v>22</v>
      </c>
      <c r="BB203" s="70">
        <v>196.0</v>
      </c>
      <c r="BC203" s="70">
        <v>0.0</v>
      </c>
    </row>
    <row r="204" ht="22.5" customHeight="1">
      <c r="A204" s="86" t="str">
        <f t="shared" si="1"/>
        <v>Excluded</v>
      </c>
      <c r="B204" s="87">
        <f t="shared" si="2"/>
        <v>0</v>
      </c>
      <c r="C204" s="70">
        <v>0.0</v>
      </c>
      <c r="D204" s="70" t="s">
        <v>34</v>
      </c>
      <c r="E204" s="70">
        <f>IFERROR(__xludf.DUMMYFUNCTION("if(REGEXMATCH(I204,""INCLUDE""),1,0)"),0.0)</f>
        <v>0</v>
      </c>
      <c r="F204" s="70" t="str">
        <f>IFERROR(__xludf.DUMMYFUNCTION("index(SPLIT(I204, "" - ""),0,2)"),"EC5")</f>
        <v>EC5</v>
      </c>
      <c r="G204" s="70">
        <f>IFERROR(__xludf.DUMMYFUNCTION("if(REGEXMATCH(J204,""INCLUDE""),1,0)"),0.0)</f>
        <v>0</v>
      </c>
      <c r="H204" s="70" t="str">
        <f>IFERROR(__xludf.DUMMYFUNCTION("index(SPLIT(J204, "" - ""),0,2)"),"EC5")</f>
        <v>EC5</v>
      </c>
      <c r="I204" s="88" t="s">
        <v>31528</v>
      </c>
      <c r="J204" s="70" t="s">
        <v>31528</v>
      </c>
      <c r="K204" s="70">
        <v>179.0</v>
      </c>
      <c r="L204" s="70" t="s">
        <v>491</v>
      </c>
      <c r="M204" s="70" t="s">
        <v>487</v>
      </c>
      <c r="N204" s="70" t="s">
        <v>488</v>
      </c>
      <c r="O204" s="70" t="s">
        <v>489</v>
      </c>
      <c r="P204" s="70" t="s">
        <v>490</v>
      </c>
      <c r="R204" s="75" t="s">
        <v>492</v>
      </c>
      <c r="S204" s="70">
        <v>2024.0</v>
      </c>
      <c r="T204" s="70" t="s">
        <v>494</v>
      </c>
      <c r="X204" s="70" t="s">
        <v>401</v>
      </c>
      <c r="Y204" s="70" t="s">
        <v>402</v>
      </c>
      <c r="Z204" s="70" t="s">
        <v>496</v>
      </c>
      <c r="AZ204" s="70" t="s">
        <v>497</v>
      </c>
      <c r="BA204" s="70" t="s">
        <v>22</v>
      </c>
      <c r="BB204" s="70">
        <v>197.0</v>
      </c>
      <c r="BC204" s="70">
        <v>0.0</v>
      </c>
    </row>
    <row r="205" ht="22.5" customHeight="1">
      <c r="A205" s="86" t="str">
        <f t="shared" si="1"/>
        <v>Excluded</v>
      </c>
      <c r="B205" s="87">
        <f t="shared" si="2"/>
        <v>0</v>
      </c>
      <c r="C205" s="70">
        <v>0.0</v>
      </c>
      <c r="D205" s="70" t="s">
        <v>34</v>
      </c>
      <c r="E205" s="70">
        <f>IFERROR(__xludf.DUMMYFUNCTION("if(REGEXMATCH(I205,""INCLUDE""),1,0)"),0.0)</f>
        <v>0</v>
      </c>
      <c r="F205" s="70" t="str">
        <f>IFERROR(__xludf.DUMMYFUNCTION("index(SPLIT(I205, "" - ""),0,2)"),"EC4")</f>
        <v>EC4</v>
      </c>
      <c r="G205" s="70">
        <f>IFERROR(__xludf.DUMMYFUNCTION("if(REGEXMATCH(J205,""INCLUDE""),1,0)"),0.0)</f>
        <v>0</v>
      </c>
      <c r="H205" s="70" t="str">
        <f>IFERROR(__xludf.DUMMYFUNCTION("index(SPLIT(J205, "" - ""),0,2)"),"EC4")</f>
        <v>EC4</v>
      </c>
      <c r="I205" s="88" t="s">
        <v>31527</v>
      </c>
      <c r="J205" s="70" t="s">
        <v>31527</v>
      </c>
      <c r="K205" s="70">
        <v>15.0</v>
      </c>
      <c r="L205" s="70" t="s">
        <v>25451</v>
      </c>
      <c r="M205" s="70" t="s">
        <v>25449</v>
      </c>
      <c r="N205" s="70" t="s">
        <v>25450</v>
      </c>
      <c r="Z205" s="70" t="s">
        <v>29328</v>
      </c>
      <c r="AD205" s="70" t="s">
        <v>25453</v>
      </c>
      <c r="AL205" s="70" t="s">
        <v>25454</v>
      </c>
      <c r="AM205" s="70" t="s">
        <v>25455</v>
      </c>
      <c r="AN205" s="70">
        <v>2023.0</v>
      </c>
      <c r="AO205" s="70" t="s">
        <v>22557</v>
      </c>
      <c r="AQ205" s="70">
        <v>1745.0</v>
      </c>
      <c r="AR205" s="70">
        <v>1768.0</v>
      </c>
      <c r="AS205" s="70">
        <v>23.0</v>
      </c>
      <c r="AT205" s="70">
        <v>4.0</v>
      </c>
      <c r="AU205" s="75" t="s">
        <v>25456</v>
      </c>
      <c r="AV205" s="70" t="s">
        <v>22525</v>
      </c>
      <c r="AW205" s="70" t="s">
        <v>22526</v>
      </c>
      <c r="AX205" s="70" t="s">
        <v>237</v>
      </c>
      <c r="AY205" s="70" t="s">
        <v>25457</v>
      </c>
      <c r="AZ205" s="70" t="s">
        <v>25458</v>
      </c>
      <c r="BA205" s="70" t="s">
        <v>22</v>
      </c>
      <c r="BB205" s="70">
        <v>198.0</v>
      </c>
      <c r="BC205" s="70">
        <v>0.0</v>
      </c>
    </row>
    <row r="206" ht="22.5" customHeight="1">
      <c r="A206" s="86" t="str">
        <f t="shared" si="1"/>
        <v>Excluded</v>
      </c>
      <c r="B206" s="87">
        <f t="shared" si="2"/>
        <v>0</v>
      </c>
      <c r="C206" s="70">
        <v>0.0</v>
      </c>
      <c r="D206" s="70" t="s">
        <v>34</v>
      </c>
      <c r="E206" s="70">
        <f>IFERROR(__xludf.DUMMYFUNCTION("if(REGEXMATCH(I206,""INCLUDE""),1,0)"),0.0)</f>
        <v>0</v>
      </c>
      <c r="F206" s="70" t="str">
        <f>IFERROR(__xludf.DUMMYFUNCTION("index(SPLIT(I206, "" - ""),0,2)"),"EC4")</f>
        <v>EC4</v>
      </c>
      <c r="G206" s="70">
        <f>IFERROR(__xludf.DUMMYFUNCTION("if(REGEXMATCH(J206,""INCLUDE""),1,0)"),0.0)</f>
        <v>0</v>
      </c>
      <c r="H206" s="70" t="str">
        <f>IFERROR(__xludf.DUMMYFUNCTION("index(SPLIT(J206, "" - ""),0,2)"),"EC4")</f>
        <v>EC4</v>
      </c>
      <c r="I206" s="88" t="s">
        <v>31527</v>
      </c>
      <c r="J206" s="70" t="s">
        <v>31527</v>
      </c>
      <c r="K206" s="70">
        <v>143.0</v>
      </c>
      <c r="L206" s="70" t="s">
        <v>9053</v>
      </c>
      <c r="M206" s="70" t="s">
        <v>9050</v>
      </c>
      <c r="N206" s="70" t="s">
        <v>9051</v>
      </c>
      <c r="O206" s="70" t="s">
        <v>9052</v>
      </c>
      <c r="S206" s="76">
        <v>44558.0</v>
      </c>
      <c r="X206" s="70" t="s">
        <v>239</v>
      </c>
      <c r="Z206" s="70" t="s">
        <v>9055</v>
      </c>
      <c r="AA206" s="70" t="s">
        <v>9056</v>
      </c>
      <c r="AC206" s="75" t="s">
        <v>9057</v>
      </c>
      <c r="AD206" s="70" t="s">
        <v>9058</v>
      </c>
      <c r="AF206" s="70">
        <v>1.0</v>
      </c>
      <c r="AH206" s="70">
        <v>24.0</v>
      </c>
      <c r="AI206" s="70" t="s">
        <v>239</v>
      </c>
      <c r="AZ206" s="70" t="s">
        <v>9059</v>
      </c>
      <c r="BA206" s="70" t="s">
        <v>24</v>
      </c>
      <c r="BB206" s="70">
        <v>199.0</v>
      </c>
      <c r="BC206" s="70">
        <v>0.0</v>
      </c>
    </row>
    <row r="207" ht="22.5" customHeight="1">
      <c r="A207" s="86" t="str">
        <f t="shared" si="1"/>
        <v>Excluded</v>
      </c>
      <c r="B207" s="87">
        <f t="shared" si="2"/>
        <v>0</v>
      </c>
      <c r="C207" s="70">
        <v>0.0</v>
      </c>
      <c r="D207" s="70" t="s">
        <v>34</v>
      </c>
      <c r="E207" s="70">
        <f>IFERROR(__xludf.DUMMYFUNCTION("if(REGEXMATCH(I207,""INCLUDE""),1,0)"),0.0)</f>
        <v>0</v>
      </c>
      <c r="F207" s="70" t="str">
        <f>IFERROR(__xludf.DUMMYFUNCTION("index(SPLIT(I207, "" - ""),0,2)"),"EC4")</f>
        <v>EC4</v>
      </c>
      <c r="G207" s="70">
        <f>IFERROR(__xludf.DUMMYFUNCTION("if(REGEXMATCH(J207,""INCLUDE""),1,0)"),0.0)</f>
        <v>0</v>
      </c>
      <c r="H207" s="70" t="str">
        <f>IFERROR(__xludf.DUMMYFUNCTION("index(SPLIT(J207, "" - ""),0,2)"),"EC4")</f>
        <v>EC4</v>
      </c>
      <c r="I207" s="88" t="s">
        <v>31527</v>
      </c>
      <c r="J207" s="70" t="s">
        <v>31527</v>
      </c>
      <c r="K207" s="70">
        <v>85.0</v>
      </c>
      <c r="L207" s="70" t="s">
        <v>8629</v>
      </c>
      <c r="M207" s="70" t="s">
        <v>8626</v>
      </c>
      <c r="N207" s="70" t="s">
        <v>8627</v>
      </c>
      <c r="O207" s="70" t="s">
        <v>8628</v>
      </c>
      <c r="S207" s="77">
        <v>44291.0</v>
      </c>
      <c r="X207" s="70" t="s">
        <v>239</v>
      </c>
      <c r="Z207" s="70" t="s">
        <v>8631</v>
      </c>
      <c r="AA207" s="70" t="s">
        <v>8632</v>
      </c>
      <c r="AC207" s="75" t="s">
        <v>8633</v>
      </c>
      <c r="AD207" s="70" t="s">
        <v>8634</v>
      </c>
      <c r="AF207" s="70">
        <v>1.0</v>
      </c>
      <c r="AH207" s="70">
        <v>9.0</v>
      </c>
      <c r="AI207" s="70" t="s">
        <v>239</v>
      </c>
      <c r="AZ207" s="70" t="s">
        <v>8635</v>
      </c>
      <c r="BB207" s="70">
        <v>200.0</v>
      </c>
      <c r="BC207" s="70">
        <v>0.0</v>
      </c>
    </row>
    <row r="208" ht="22.5" customHeight="1">
      <c r="A208" s="86" t="str">
        <f t="shared" si="1"/>
        <v>Excluded</v>
      </c>
      <c r="B208" s="87">
        <f t="shared" si="2"/>
        <v>0</v>
      </c>
      <c r="C208" s="70">
        <v>0.0</v>
      </c>
      <c r="D208" s="70" t="s">
        <v>34</v>
      </c>
      <c r="E208" s="70">
        <f>IFERROR(__xludf.DUMMYFUNCTION("if(REGEXMATCH(I208,""INCLUDE""),1,0)"),0.0)</f>
        <v>0</v>
      </c>
      <c r="F208" s="70" t="str">
        <f>IFERROR(__xludf.DUMMYFUNCTION("index(SPLIT(I208, "" - ""),0,2)"),"EC4")</f>
        <v>EC4</v>
      </c>
      <c r="G208" s="70">
        <f>IFERROR(__xludf.DUMMYFUNCTION("if(REGEXMATCH(J208,""INCLUDE""),1,0)"),0.0)</f>
        <v>0</v>
      </c>
      <c r="H208" s="70" t="str">
        <f>IFERROR(__xludf.DUMMYFUNCTION("index(SPLIT(J208, "" - ""),0,2)"),"EC4")</f>
        <v>EC4</v>
      </c>
      <c r="I208" s="88" t="s">
        <v>31527</v>
      </c>
      <c r="J208" s="70" t="s">
        <v>31527</v>
      </c>
      <c r="K208" s="70">
        <v>160.0</v>
      </c>
      <c r="L208" s="70" t="s">
        <v>2758</v>
      </c>
      <c r="M208" s="70" t="s">
        <v>2754</v>
      </c>
      <c r="N208" s="70" t="s">
        <v>2755</v>
      </c>
      <c r="O208" s="70" t="s">
        <v>2756</v>
      </c>
      <c r="P208" s="70" t="s">
        <v>2757</v>
      </c>
      <c r="R208" s="75" t="s">
        <v>2759</v>
      </c>
      <c r="S208" s="70">
        <v>2017.0</v>
      </c>
      <c r="T208" s="70" t="s">
        <v>2761</v>
      </c>
      <c r="X208" s="70" t="s">
        <v>401</v>
      </c>
      <c r="Y208" s="70" t="s">
        <v>402</v>
      </c>
      <c r="Z208" s="70" t="s">
        <v>2763</v>
      </c>
      <c r="AZ208" s="70" t="s">
        <v>2764</v>
      </c>
      <c r="BA208" s="70" t="s">
        <v>29454</v>
      </c>
      <c r="BB208" s="70">
        <v>203.0</v>
      </c>
      <c r="BC208" s="70">
        <v>0.0</v>
      </c>
    </row>
    <row r="209" ht="22.5" customHeight="1">
      <c r="A209" s="86" t="str">
        <f t="shared" si="1"/>
        <v>Excluded</v>
      </c>
      <c r="B209" s="87">
        <f t="shared" si="2"/>
        <v>0</v>
      </c>
      <c r="C209" s="70">
        <v>0.0</v>
      </c>
      <c r="D209" s="70" t="s">
        <v>34</v>
      </c>
      <c r="E209" s="70">
        <f>IFERROR(__xludf.DUMMYFUNCTION("if(REGEXMATCH(I209,""INCLUDE""),1,0)"),0.0)</f>
        <v>0</v>
      </c>
      <c r="F209" s="70" t="str">
        <f>IFERROR(__xludf.DUMMYFUNCTION("index(SPLIT(I209, "" - ""),0,2)"),"EC4")</f>
        <v>EC4</v>
      </c>
      <c r="G209" s="70">
        <f>IFERROR(__xludf.DUMMYFUNCTION("if(REGEXMATCH(J209,""INCLUDE""),1,0)"),0.0)</f>
        <v>0</v>
      </c>
      <c r="H209" s="70" t="str">
        <f>IFERROR(__xludf.DUMMYFUNCTION("index(SPLIT(J209, "" - ""),0,2)"),"EC4")</f>
        <v>EC4</v>
      </c>
      <c r="I209" s="88" t="s">
        <v>31527</v>
      </c>
      <c r="J209" s="70" t="s">
        <v>31527</v>
      </c>
      <c r="K209" s="70">
        <v>115.0</v>
      </c>
      <c r="L209" s="70" t="s">
        <v>14848</v>
      </c>
      <c r="M209" s="70" t="s">
        <v>14845</v>
      </c>
      <c r="N209" s="70" t="s">
        <v>14846</v>
      </c>
      <c r="O209" s="70" t="s">
        <v>14847</v>
      </c>
      <c r="S209" s="77">
        <v>45293.0</v>
      </c>
      <c r="X209" s="70" t="s">
        <v>239</v>
      </c>
      <c r="Z209" s="70" t="s">
        <v>14850</v>
      </c>
      <c r="AA209" s="70" t="s">
        <v>14851</v>
      </c>
      <c r="AC209" s="75" t="s">
        <v>14852</v>
      </c>
      <c r="AD209" s="70" t="s">
        <v>14853</v>
      </c>
      <c r="AH209" s="70">
        <v>11.0</v>
      </c>
      <c r="AI209" s="70" t="s">
        <v>239</v>
      </c>
      <c r="AZ209" s="70" t="s">
        <v>14854</v>
      </c>
      <c r="BA209" s="70" t="s">
        <v>24</v>
      </c>
      <c r="BB209" s="70">
        <v>204.0</v>
      </c>
      <c r="BC209" s="70">
        <v>0.0</v>
      </c>
    </row>
    <row r="210" ht="22.5" customHeight="1">
      <c r="A210" s="86" t="str">
        <f t="shared" si="1"/>
        <v>Excluded</v>
      </c>
      <c r="B210" s="87">
        <f t="shared" si="2"/>
        <v>0</v>
      </c>
      <c r="C210" s="70">
        <v>0.0</v>
      </c>
      <c r="D210" s="70" t="s">
        <v>34</v>
      </c>
      <c r="E210" s="70">
        <f>IFERROR(__xludf.DUMMYFUNCTION("if(REGEXMATCH(I210,""INCLUDE""),1,0)"),0.0)</f>
        <v>0</v>
      </c>
      <c r="F210" s="70" t="str">
        <f>IFERROR(__xludf.DUMMYFUNCTION("index(SPLIT(I210, "" - ""),0,2)"),"EC4")</f>
        <v>EC4</v>
      </c>
      <c r="G210" s="70">
        <f>IFERROR(__xludf.DUMMYFUNCTION("if(REGEXMATCH(J210,""INCLUDE""),1,0)"),0.0)</f>
        <v>0</v>
      </c>
      <c r="H210" s="70" t="str">
        <f>IFERROR(__xludf.DUMMYFUNCTION("index(SPLIT(J210, "" - ""),0,2)"),"EC4")</f>
        <v>EC4</v>
      </c>
      <c r="I210" s="88" t="s">
        <v>31527</v>
      </c>
      <c r="J210" s="70" t="s">
        <v>31527</v>
      </c>
      <c r="K210" s="70">
        <v>72.0</v>
      </c>
      <c r="L210" s="70" t="s">
        <v>7277</v>
      </c>
      <c r="M210" s="70" t="s">
        <v>7274</v>
      </c>
      <c r="N210" s="70" t="s">
        <v>7275</v>
      </c>
      <c r="O210" s="70" t="s">
        <v>7276</v>
      </c>
      <c r="S210" s="76">
        <v>43692.0</v>
      </c>
      <c r="X210" s="70" t="s">
        <v>239</v>
      </c>
      <c r="Z210" s="70" t="s">
        <v>7279</v>
      </c>
      <c r="AA210" s="70" t="s">
        <v>7280</v>
      </c>
      <c r="AC210" s="75" t="s">
        <v>7281</v>
      </c>
      <c r="AD210" s="70" t="s">
        <v>7282</v>
      </c>
      <c r="AF210" s="70">
        <v>4.0</v>
      </c>
      <c r="AH210" s="70">
        <v>19.0</v>
      </c>
      <c r="AI210" s="70" t="s">
        <v>239</v>
      </c>
      <c r="BA210" s="70" t="s">
        <v>22</v>
      </c>
      <c r="BB210" s="70">
        <v>205.0</v>
      </c>
      <c r="BC210" s="70">
        <v>0.0</v>
      </c>
    </row>
    <row r="211" ht="22.5" customHeight="1">
      <c r="A211" s="86" t="str">
        <f t="shared" si="1"/>
        <v>Excluded</v>
      </c>
      <c r="B211" s="87">
        <f t="shared" si="2"/>
        <v>0</v>
      </c>
      <c r="C211" s="70">
        <v>0.0</v>
      </c>
      <c r="D211" s="70" t="s">
        <v>34</v>
      </c>
      <c r="E211" s="70">
        <f>IFERROR(__xludf.DUMMYFUNCTION("if(REGEXMATCH(I211,""INCLUDE""),1,0)"),0.0)</f>
        <v>0</v>
      </c>
      <c r="F211" s="70" t="str">
        <f>IFERROR(__xludf.DUMMYFUNCTION("index(SPLIT(I211, "" - ""),0,2)"),"EC4")</f>
        <v>EC4</v>
      </c>
      <c r="G211" s="70">
        <f>IFERROR(__xludf.DUMMYFUNCTION("if(REGEXMATCH(J211,""INCLUDE""),1,0)"),0.0)</f>
        <v>0</v>
      </c>
      <c r="H211" s="70" t="str">
        <f>IFERROR(__xludf.DUMMYFUNCTION("index(SPLIT(J211, "" - ""),0,2)"),"EC4")</f>
        <v>EC4</v>
      </c>
      <c r="I211" s="88" t="s">
        <v>31527</v>
      </c>
      <c r="J211" s="70" t="s">
        <v>31527</v>
      </c>
      <c r="K211" s="70">
        <v>207.0</v>
      </c>
      <c r="L211" s="70" t="s">
        <v>28890</v>
      </c>
      <c r="M211" s="70" t="s">
        <v>29501</v>
      </c>
      <c r="N211" s="70" t="s">
        <v>28889</v>
      </c>
      <c r="Z211" s="70" t="s">
        <v>29502</v>
      </c>
      <c r="AD211" s="70" t="s">
        <v>28892</v>
      </c>
      <c r="AL211" s="70" t="s">
        <v>29503</v>
      </c>
      <c r="AM211" s="70" t="s">
        <v>28894</v>
      </c>
      <c r="AN211" s="70">
        <v>2020.0</v>
      </c>
      <c r="AO211" s="70" t="s">
        <v>27816</v>
      </c>
      <c r="AP211" s="70">
        <v>2418.0</v>
      </c>
      <c r="AT211" s="70">
        <v>71.0</v>
      </c>
      <c r="AU211" s="75" t="s">
        <v>28895</v>
      </c>
      <c r="AV211" s="70" t="s">
        <v>22525</v>
      </c>
      <c r="AW211" s="70" t="s">
        <v>22643</v>
      </c>
      <c r="AX211" s="70" t="s">
        <v>237</v>
      </c>
      <c r="AY211" s="70" t="s">
        <v>28896</v>
      </c>
      <c r="AZ211" s="70" t="s">
        <v>28897</v>
      </c>
      <c r="BA211" s="70" t="s">
        <v>22</v>
      </c>
      <c r="BB211" s="70">
        <v>207.0</v>
      </c>
      <c r="BC211" s="70">
        <v>0.0</v>
      </c>
    </row>
    <row r="212" ht="22.5" customHeight="1">
      <c r="A212" s="86" t="str">
        <f t="shared" si="1"/>
        <v>Excluded</v>
      </c>
      <c r="B212" s="87">
        <f t="shared" si="2"/>
        <v>0</v>
      </c>
      <c r="C212" s="70">
        <v>0.0</v>
      </c>
      <c r="D212" s="70" t="s">
        <v>30</v>
      </c>
      <c r="E212" s="70">
        <f>IFERROR(__xludf.DUMMYFUNCTION("if(REGEXMATCH(I212,""INCLUDE""),1,0)"),0.0)</f>
        <v>0</v>
      </c>
      <c r="F212" s="70" t="str">
        <f>IFERROR(__xludf.DUMMYFUNCTION("index(SPLIT(I212, "" - ""),0,2)"),"EC4")</f>
        <v>EC4</v>
      </c>
      <c r="G212" s="70">
        <f>IFERROR(__xludf.DUMMYFUNCTION("if(REGEXMATCH(J212,""INCLUDE""),1,0)"),0.0)</f>
        <v>0</v>
      </c>
      <c r="H212" s="70" t="str">
        <f>IFERROR(__xludf.DUMMYFUNCTION("index(SPLIT(J212, "" - ""),0,2)"),"EC4")</f>
        <v>EC4</v>
      </c>
      <c r="I212" s="88" t="s">
        <v>31527</v>
      </c>
      <c r="J212" s="70" t="s">
        <v>31527</v>
      </c>
      <c r="K212" s="70">
        <v>203.0</v>
      </c>
      <c r="L212" s="70" t="s">
        <v>28733</v>
      </c>
      <c r="M212" s="70" t="s">
        <v>28731</v>
      </c>
      <c r="N212" s="70" t="s">
        <v>28732</v>
      </c>
      <c r="Z212" s="70" t="s">
        <v>29494</v>
      </c>
      <c r="AD212" s="70" t="s">
        <v>28735</v>
      </c>
      <c r="AL212" s="70" t="s">
        <v>28736</v>
      </c>
      <c r="AM212" s="70" t="s">
        <v>28737</v>
      </c>
      <c r="AN212" s="70">
        <v>2019.0</v>
      </c>
      <c r="AO212" s="70" t="s">
        <v>25244</v>
      </c>
      <c r="AP212" s="70">
        <v>360.0</v>
      </c>
      <c r="AT212" s="70">
        <v>6.0</v>
      </c>
      <c r="AU212" s="75" t="s">
        <v>28738</v>
      </c>
      <c r="AV212" s="70" t="s">
        <v>22525</v>
      </c>
      <c r="AW212" s="70" t="s">
        <v>22622</v>
      </c>
      <c r="AX212" s="70" t="s">
        <v>237</v>
      </c>
      <c r="AY212" s="70" t="s">
        <v>28739</v>
      </c>
      <c r="AZ212" s="70" t="s">
        <v>28740</v>
      </c>
      <c r="BA212" s="70" t="s">
        <v>22</v>
      </c>
      <c r="BB212" s="70">
        <v>209.0</v>
      </c>
      <c r="BC212" s="70">
        <v>0.0</v>
      </c>
    </row>
    <row r="213" ht="22.5" customHeight="1">
      <c r="A213" s="86" t="str">
        <f t="shared" si="1"/>
        <v>Excluded</v>
      </c>
      <c r="B213" s="87">
        <f t="shared" si="2"/>
        <v>0</v>
      </c>
      <c r="C213" s="70">
        <v>0.0</v>
      </c>
      <c r="D213" s="70" t="s">
        <v>34</v>
      </c>
      <c r="E213" s="70">
        <f>IFERROR(__xludf.DUMMYFUNCTION("if(REGEXMATCH(I213,""INCLUDE""),1,0)"),0.0)</f>
        <v>0</v>
      </c>
      <c r="F213" s="70" t="str">
        <f>IFERROR(__xludf.DUMMYFUNCTION("index(SPLIT(I213, "" - ""),0,2)"),"EC4")</f>
        <v>EC4</v>
      </c>
      <c r="G213" s="70">
        <f>IFERROR(__xludf.DUMMYFUNCTION("if(REGEXMATCH(J213,""INCLUDE""),1,0)"),0.0)</f>
        <v>0</v>
      </c>
      <c r="H213" s="70" t="str">
        <f>IFERROR(__xludf.DUMMYFUNCTION("index(SPLIT(J213, "" - ""),0,2)"),"EC4")</f>
        <v>EC4</v>
      </c>
      <c r="I213" s="88" t="s">
        <v>31527</v>
      </c>
      <c r="J213" s="70" t="s">
        <v>31527</v>
      </c>
      <c r="K213" s="70">
        <v>199.0</v>
      </c>
      <c r="L213" s="70" t="s">
        <v>26326</v>
      </c>
      <c r="M213" s="70" t="s">
        <v>26324</v>
      </c>
      <c r="N213" s="70" t="s">
        <v>26325</v>
      </c>
      <c r="Z213" s="70" t="s">
        <v>29488</v>
      </c>
      <c r="AD213" s="70" t="s">
        <v>26328</v>
      </c>
      <c r="AL213" s="70" t="s">
        <v>26329</v>
      </c>
      <c r="AM213" s="70" t="s">
        <v>26330</v>
      </c>
      <c r="AN213" s="70">
        <v>2022.0</v>
      </c>
      <c r="AO213" s="70" t="s">
        <v>23168</v>
      </c>
      <c r="AP213" s="70">
        <v>11650.0</v>
      </c>
      <c r="AT213" s="70">
        <v>10.0</v>
      </c>
      <c r="AU213" s="75" t="s">
        <v>26331</v>
      </c>
      <c r="AV213" s="70" t="s">
        <v>22525</v>
      </c>
      <c r="AW213" s="70" t="s">
        <v>22622</v>
      </c>
      <c r="AX213" s="70" t="s">
        <v>237</v>
      </c>
      <c r="AY213" s="70" t="s">
        <v>26332</v>
      </c>
      <c r="BA213" s="70" t="s">
        <v>22</v>
      </c>
      <c r="BB213" s="70">
        <v>210.0</v>
      </c>
      <c r="BC213" s="70">
        <v>0.0</v>
      </c>
    </row>
    <row r="214" ht="22.5" customHeight="1">
      <c r="A214" s="86" t="str">
        <f t="shared" si="1"/>
        <v>Excluded</v>
      </c>
      <c r="B214" s="87">
        <f t="shared" si="2"/>
        <v>0</v>
      </c>
      <c r="C214" s="70">
        <v>0.0</v>
      </c>
      <c r="D214" s="70" t="s">
        <v>34</v>
      </c>
      <c r="E214" s="70">
        <f>IFERROR(__xludf.DUMMYFUNCTION("if(REGEXMATCH(I214,""INCLUDE""),1,0)"),0.0)</f>
        <v>0</v>
      </c>
      <c r="F214" s="70" t="str">
        <f>IFERROR(__xludf.DUMMYFUNCTION("index(SPLIT(I214, "" - ""),0,2)"),"EC4")</f>
        <v>EC4</v>
      </c>
      <c r="G214" s="70">
        <f>IFERROR(__xludf.DUMMYFUNCTION("if(REGEXMATCH(J214,""INCLUDE""),1,0)"),0.0)</f>
        <v>0</v>
      </c>
      <c r="H214" s="70" t="str">
        <f>IFERROR(__xludf.DUMMYFUNCTION("index(SPLIT(J214, "" - ""),0,2)"),"EC4")</f>
        <v>EC4</v>
      </c>
      <c r="I214" s="88" t="s">
        <v>31527</v>
      </c>
      <c r="J214" s="70" t="s">
        <v>31527</v>
      </c>
      <c r="K214" s="70">
        <v>212.0</v>
      </c>
      <c r="L214" s="70" t="s">
        <v>24099</v>
      </c>
      <c r="M214" s="70" t="s">
        <v>24097</v>
      </c>
      <c r="N214" s="70" t="s">
        <v>24098</v>
      </c>
      <c r="Z214" s="70" t="s">
        <v>29510</v>
      </c>
      <c r="AD214" s="70" t="s">
        <v>24101</v>
      </c>
      <c r="AL214" s="70" t="s">
        <v>24102</v>
      </c>
      <c r="AM214" s="70" t="s">
        <v>24103</v>
      </c>
      <c r="AN214" s="70">
        <v>2024.0</v>
      </c>
      <c r="AO214" s="70" t="s">
        <v>22802</v>
      </c>
      <c r="AP214" s="70">
        <v>2435.0</v>
      </c>
      <c r="AT214" s="70">
        <v>3.0</v>
      </c>
      <c r="AU214" s="75" t="s">
        <v>24104</v>
      </c>
      <c r="AV214" s="70" t="s">
        <v>22525</v>
      </c>
      <c r="AW214" s="70" t="s">
        <v>22643</v>
      </c>
      <c r="AX214" s="70" t="s">
        <v>237</v>
      </c>
      <c r="AY214" s="70" t="s">
        <v>24105</v>
      </c>
      <c r="AZ214" s="70" t="s">
        <v>24106</v>
      </c>
      <c r="BA214" s="70" t="s">
        <v>24</v>
      </c>
      <c r="BB214" s="70">
        <v>212.0</v>
      </c>
      <c r="BC214" s="70">
        <v>0.0</v>
      </c>
    </row>
    <row r="215" ht="22.5" customHeight="1">
      <c r="A215" s="86" t="str">
        <f t="shared" si="1"/>
        <v>Excluded</v>
      </c>
      <c r="B215" s="87">
        <f t="shared" si="2"/>
        <v>0</v>
      </c>
      <c r="C215" s="70">
        <v>0.0</v>
      </c>
      <c r="D215" s="70" t="s">
        <v>36</v>
      </c>
      <c r="E215" s="70">
        <f>IFERROR(__xludf.DUMMYFUNCTION("if(REGEXMATCH(I215,""INCLUDE""),1,0)"),0.0)</f>
        <v>0</v>
      </c>
      <c r="F215" s="70" t="str">
        <f>IFERROR(__xludf.DUMMYFUNCTION("index(SPLIT(I215, "" - ""),0,2)"),"EC6")</f>
        <v>EC6</v>
      </c>
      <c r="G215" s="70">
        <f>IFERROR(__xludf.DUMMYFUNCTION("if(REGEXMATCH(J215,""INCLUDE""),1,0)"),0.0)</f>
        <v>0</v>
      </c>
      <c r="H215" s="70" t="str">
        <f>IFERROR(__xludf.DUMMYFUNCTION("index(SPLIT(J215, "" - ""),0,2)"),"EC6")</f>
        <v>EC6</v>
      </c>
      <c r="I215" s="88" t="s">
        <v>31529</v>
      </c>
      <c r="J215" s="70" t="s">
        <v>31529</v>
      </c>
      <c r="K215" s="70">
        <v>66.0</v>
      </c>
      <c r="L215" s="70" t="s">
        <v>5829</v>
      </c>
      <c r="M215" s="70" t="s">
        <v>29384</v>
      </c>
      <c r="N215" s="70" t="s">
        <v>5827</v>
      </c>
      <c r="O215" s="70" t="s">
        <v>5828</v>
      </c>
      <c r="S215" s="77">
        <v>43984.0</v>
      </c>
      <c r="X215" s="70" t="s">
        <v>239</v>
      </c>
      <c r="Z215" s="70" t="s">
        <v>5831</v>
      </c>
      <c r="AA215" s="70" t="s">
        <v>5832</v>
      </c>
      <c r="AC215" s="75" t="s">
        <v>5833</v>
      </c>
      <c r="AD215" s="70" t="s">
        <v>5834</v>
      </c>
      <c r="AF215" s="70">
        <v>9.0</v>
      </c>
      <c r="AH215" s="70">
        <v>31.0</v>
      </c>
      <c r="AI215" s="70" t="s">
        <v>239</v>
      </c>
      <c r="BA215" s="70" t="s">
        <v>29385</v>
      </c>
      <c r="BB215" s="70">
        <v>213.0</v>
      </c>
      <c r="BC215" s="70">
        <v>0.0</v>
      </c>
    </row>
    <row r="216" ht="22.5" customHeight="1">
      <c r="A216" s="86" t="str">
        <f t="shared" si="1"/>
        <v>Excluded</v>
      </c>
      <c r="B216" s="87">
        <f t="shared" si="2"/>
        <v>0</v>
      </c>
      <c r="C216" s="70">
        <v>0.0</v>
      </c>
      <c r="D216" s="70" t="s">
        <v>30</v>
      </c>
      <c r="E216" s="70">
        <f>IFERROR(__xludf.DUMMYFUNCTION("if(REGEXMATCH(I216,""INCLUDE""),1,0)"),0.0)</f>
        <v>0</v>
      </c>
      <c r="F216" s="70" t="str">
        <f>IFERROR(__xludf.DUMMYFUNCTION("index(SPLIT(I216, "" - ""),0,2)"),"EC4")</f>
        <v>EC4</v>
      </c>
      <c r="G216" s="70">
        <f>IFERROR(__xludf.DUMMYFUNCTION("if(REGEXMATCH(J216,""INCLUDE""),1,0)"),0.0)</f>
        <v>0</v>
      </c>
      <c r="H216" s="70" t="str">
        <f>IFERROR(__xludf.DUMMYFUNCTION("index(SPLIT(J216, "" - ""),0,2)"),"EC4")</f>
        <v>EC4</v>
      </c>
      <c r="I216" s="88" t="s">
        <v>31527</v>
      </c>
      <c r="J216" s="70" t="s">
        <v>31527</v>
      </c>
      <c r="K216" s="70">
        <v>180.0</v>
      </c>
      <c r="L216" s="70" t="s">
        <v>576</v>
      </c>
      <c r="M216" s="70" t="s">
        <v>572</v>
      </c>
      <c r="N216" s="70" t="s">
        <v>573</v>
      </c>
      <c r="O216" s="70" t="s">
        <v>574</v>
      </c>
      <c r="P216" s="70" t="s">
        <v>575</v>
      </c>
      <c r="R216" s="75" t="s">
        <v>577</v>
      </c>
      <c r="S216" s="70">
        <v>2024.0</v>
      </c>
      <c r="T216" s="70" t="s">
        <v>579</v>
      </c>
      <c r="X216" s="70" t="s">
        <v>401</v>
      </c>
      <c r="Y216" s="70" t="s">
        <v>402</v>
      </c>
      <c r="Z216" s="70" t="s">
        <v>581</v>
      </c>
      <c r="AZ216" s="70" t="s">
        <v>582</v>
      </c>
      <c r="BB216" s="70">
        <v>215.0</v>
      </c>
      <c r="BC216" s="70">
        <v>0.0</v>
      </c>
    </row>
  </sheetData>
  <conditionalFormatting sqref="A2:A216">
    <cfRule type="containsText" dxfId="7" priority="1" operator="containsText" text="Included">
      <formula>NOT(ISERROR(SEARCH(("Included"),(A2))))</formula>
    </cfRule>
  </conditionalFormatting>
  <conditionalFormatting sqref="A2:A216">
    <cfRule type="containsText" dxfId="8" priority="2" operator="containsText" text="Excluded">
      <formula>NOT(ISERROR(SEARCH(("Excluded"),(A2))))</formula>
    </cfRule>
  </conditionalFormatting>
  <conditionalFormatting sqref="B2:B216 C2:C216 E2:E216 G2:G216">
    <cfRule type="cellIs" dxfId="7" priority="3" operator="greaterThan">
      <formula>0</formula>
    </cfRule>
  </conditionalFormatting>
  <conditionalFormatting sqref="B2:B216 C2:C216 E2:E216 G2:G216">
    <cfRule type="cellIs" dxfId="8" priority="4" operator="lessThan">
      <formula>1</formula>
    </cfRule>
  </conditionalFormatting>
  <hyperlinks>
    <hyperlink r:id="rId1" ref="AC2"/>
    <hyperlink r:id="rId2" ref="AC3"/>
    <hyperlink r:id="rId3" ref="AC4"/>
    <hyperlink r:id="rId4" ref="AC5"/>
    <hyperlink r:id="rId5" ref="AC6"/>
    <hyperlink r:id="rId6" ref="AC7"/>
    <hyperlink r:id="rId7" ref="AU8"/>
    <hyperlink r:id="rId8" ref="AC9"/>
    <hyperlink r:id="rId9" ref="AU10"/>
    <hyperlink r:id="rId10" ref="AC11"/>
    <hyperlink r:id="rId11" ref="AU12"/>
    <hyperlink r:id="rId12" ref="AU13"/>
    <hyperlink r:id="rId13" ref="AC14"/>
    <hyperlink r:id="rId14" ref="AU15"/>
    <hyperlink r:id="rId15" ref="AU16"/>
    <hyperlink r:id="rId16" ref="AU17"/>
    <hyperlink r:id="rId17" ref="AC18"/>
    <hyperlink r:id="rId18" ref="AU19"/>
    <hyperlink r:id="rId19" ref="AC20"/>
    <hyperlink r:id="rId20" ref="AU21"/>
    <hyperlink r:id="rId21" ref="AU22"/>
    <hyperlink r:id="rId22" ref="AC23"/>
    <hyperlink r:id="rId23" ref="AU24"/>
    <hyperlink r:id="rId24" ref="AC25"/>
    <hyperlink r:id="rId25" ref="AC26"/>
    <hyperlink r:id="rId26" ref="AC27"/>
    <hyperlink r:id="rId27" ref="R28"/>
    <hyperlink r:id="rId28" ref="AC29"/>
    <hyperlink r:id="rId29" ref="R30"/>
    <hyperlink r:id="rId30" ref="AU31"/>
    <hyperlink r:id="rId31" ref="AU32"/>
    <hyperlink r:id="rId32" ref="R33"/>
    <hyperlink r:id="rId33" ref="AU34"/>
    <hyperlink r:id="rId34" ref="R35"/>
    <hyperlink r:id="rId35" ref="AC36"/>
    <hyperlink r:id="rId36" ref="R37"/>
    <hyperlink r:id="rId37" ref="AU38"/>
    <hyperlink r:id="rId38" ref="AU39"/>
    <hyperlink r:id="rId39" ref="R40"/>
    <hyperlink r:id="rId40" ref="R41"/>
    <hyperlink r:id="rId41" ref="R42"/>
    <hyperlink r:id="rId42" ref="AU43"/>
    <hyperlink r:id="rId43" ref="AC44"/>
    <hyperlink r:id="rId44" ref="AC45"/>
    <hyperlink r:id="rId45" ref="AU46"/>
    <hyperlink r:id="rId46" ref="AU47"/>
    <hyperlink r:id="rId47" ref="R48"/>
    <hyperlink r:id="rId48" ref="AC49"/>
    <hyperlink r:id="rId49" ref="AC50"/>
    <hyperlink r:id="rId50" ref="R51"/>
    <hyperlink r:id="rId51" ref="AU52"/>
    <hyperlink r:id="rId52" ref="AC53"/>
    <hyperlink r:id="rId53" ref="AC54"/>
    <hyperlink r:id="rId54" ref="AC55"/>
    <hyperlink r:id="rId55" ref="R56"/>
    <hyperlink r:id="rId56" ref="AC57"/>
    <hyperlink r:id="rId57" ref="AU58"/>
    <hyperlink r:id="rId58" ref="AC59"/>
    <hyperlink r:id="rId59" ref="AU60"/>
    <hyperlink r:id="rId60" ref="AC61"/>
    <hyperlink r:id="rId61" ref="AC62"/>
    <hyperlink r:id="rId62" ref="AC63"/>
    <hyperlink r:id="rId63" ref="AC64"/>
    <hyperlink r:id="rId64" ref="AU65"/>
    <hyperlink r:id="rId65" ref="R66"/>
    <hyperlink r:id="rId66" ref="AU67"/>
    <hyperlink r:id="rId67" ref="AC68"/>
    <hyperlink r:id="rId68" ref="AC69"/>
    <hyperlink r:id="rId69" ref="AC70"/>
    <hyperlink r:id="rId70" ref="AC71"/>
    <hyperlink r:id="rId71" ref="AU72"/>
    <hyperlink r:id="rId72" ref="AC73"/>
    <hyperlink r:id="rId73" ref="AC74"/>
    <hyperlink r:id="rId74" ref="R75"/>
    <hyperlink r:id="rId75" ref="AC76"/>
    <hyperlink r:id="rId76" ref="AU77"/>
    <hyperlink r:id="rId77" ref="AU78"/>
    <hyperlink r:id="rId78" ref="AU79"/>
    <hyperlink r:id="rId79" ref="AU80"/>
    <hyperlink r:id="rId80" ref="AC81"/>
    <hyperlink r:id="rId81" ref="AC82"/>
    <hyperlink r:id="rId82" ref="R83"/>
    <hyperlink r:id="rId83" ref="AC85"/>
    <hyperlink r:id="rId84" ref="AC86"/>
    <hyperlink r:id="rId85" ref="AU87"/>
    <hyperlink r:id="rId86" ref="R88"/>
    <hyperlink r:id="rId87" ref="R89"/>
    <hyperlink r:id="rId88" ref="AC90"/>
    <hyperlink r:id="rId89" ref="AU91"/>
    <hyperlink r:id="rId90" ref="AC92"/>
    <hyperlink r:id="rId91" ref="AC93"/>
    <hyperlink r:id="rId92" ref="AC94"/>
    <hyperlink r:id="rId93" ref="R95"/>
    <hyperlink r:id="rId94" ref="AC96"/>
    <hyperlink r:id="rId95" ref="AU97"/>
    <hyperlink r:id="rId96" ref="AC98"/>
    <hyperlink r:id="rId97" ref="AC99"/>
    <hyperlink r:id="rId98" ref="AC100"/>
    <hyperlink r:id="rId99" ref="AC101"/>
    <hyperlink r:id="rId100" ref="AU102"/>
    <hyperlink r:id="rId101" ref="R103"/>
    <hyperlink r:id="rId102" ref="AC104"/>
    <hyperlink r:id="rId103" ref="AC105"/>
    <hyperlink r:id="rId104" ref="AU106"/>
    <hyperlink r:id="rId105" ref="AU107"/>
    <hyperlink r:id="rId106" ref="AU108"/>
    <hyperlink r:id="rId107" ref="AC109"/>
    <hyperlink r:id="rId108" ref="R110"/>
    <hyperlink r:id="rId109" ref="AU111"/>
    <hyperlink r:id="rId110" ref="AU112"/>
    <hyperlink r:id="rId111" ref="AU113"/>
    <hyperlink r:id="rId112" ref="AC114"/>
    <hyperlink r:id="rId113" ref="AC115"/>
    <hyperlink r:id="rId114" ref="AU116"/>
    <hyperlink r:id="rId115" ref="AU117"/>
    <hyperlink r:id="rId116" ref="R118"/>
    <hyperlink r:id="rId117" ref="AU119"/>
    <hyperlink r:id="rId118" ref="AC120"/>
    <hyperlink r:id="rId119" ref="R121"/>
    <hyperlink r:id="rId120" ref="AC122"/>
    <hyperlink r:id="rId121" ref="AU123"/>
    <hyperlink r:id="rId122" ref="AC124"/>
    <hyperlink r:id="rId123" ref="AC125"/>
    <hyperlink r:id="rId124" ref="AC126"/>
    <hyperlink r:id="rId125" ref="AC127"/>
    <hyperlink r:id="rId126" ref="AU128"/>
    <hyperlink r:id="rId127" ref="AC129"/>
    <hyperlink r:id="rId128" ref="AC130"/>
    <hyperlink r:id="rId129" ref="AU131"/>
    <hyperlink r:id="rId130" ref="AC132"/>
    <hyperlink r:id="rId131" ref="AC133"/>
    <hyperlink r:id="rId132" ref="AC134"/>
    <hyperlink r:id="rId133" ref="AC135"/>
    <hyperlink r:id="rId134" ref="AC136"/>
    <hyperlink r:id="rId135" ref="AC137"/>
    <hyperlink r:id="rId136" ref="AU138"/>
    <hyperlink r:id="rId137" ref="AC139"/>
    <hyperlink r:id="rId138" ref="AC140"/>
    <hyperlink r:id="rId139" ref="AC141"/>
    <hyperlink r:id="rId140" ref="AC142"/>
    <hyperlink r:id="rId141" ref="AC143"/>
    <hyperlink r:id="rId142" ref="AC144"/>
    <hyperlink r:id="rId143" ref="AC145"/>
    <hyperlink r:id="rId144" ref="AU146"/>
    <hyperlink r:id="rId145" ref="R147"/>
    <hyperlink r:id="rId146" ref="AC148"/>
    <hyperlink r:id="rId147" ref="AC149"/>
    <hyperlink r:id="rId148" ref="AC150"/>
    <hyperlink r:id="rId149" ref="AC151"/>
    <hyperlink r:id="rId150" ref="R152"/>
    <hyperlink r:id="rId151" ref="AC153"/>
    <hyperlink r:id="rId152" ref="AC154"/>
    <hyperlink r:id="rId153" ref="AC155"/>
    <hyperlink r:id="rId154" ref="AU156"/>
    <hyperlink r:id="rId155" ref="AC157"/>
    <hyperlink r:id="rId156" ref="AU158"/>
    <hyperlink r:id="rId157" ref="AC159"/>
    <hyperlink r:id="rId158" ref="AC160"/>
    <hyperlink r:id="rId159" ref="AU161"/>
    <hyperlink r:id="rId160" ref="AC162"/>
    <hyperlink r:id="rId161" ref="AC163"/>
    <hyperlink r:id="rId162" ref="AC164"/>
    <hyperlink r:id="rId163" ref="R165"/>
    <hyperlink r:id="rId164" ref="AC166"/>
    <hyperlink r:id="rId165" ref="R167"/>
    <hyperlink r:id="rId166" ref="AU168"/>
    <hyperlink r:id="rId167" ref="AC169"/>
    <hyperlink r:id="rId168" ref="AU170"/>
    <hyperlink r:id="rId169" ref="AC171"/>
    <hyperlink r:id="rId170" ref="AC172"/>
    <hyperlink r:id="rId171" ref="AU173"/>
    <hyperlink r:id="rId172" ref="AU174"/>
    <hyperlink r:id="rId173" ref="AC175"/>
    <hyperlink r:id="rId174" ref="AC176"/>
    <hyperlink r:id="rId175" ref="AC177"/>
    <hyperlink r:id="rId176" ref="R178"/>
    <hyperlink r:id="rId177" ref="R179"/>
    <hyperlink r:id="rId178" ref="AU180"/>
    <hyperlink r:id="rId179" ref="AU181"/>
    <hyperlink r:id="rId180" ref="AC182"/>
    <hyperlink r:id="rId181" ref="AC183"/>
    <hyperlink r:id="rId182" ref="AU184"/>
    <hyperlink r:id="rId183" ref="R185"/>
    <hyperlink r:id="rId184" ref="AC186"/>
    <hyperlink r:id="rId185" ref="AU187"/>
    <hyperlink r:id="rId186" ref="AC188"/>
    <hyperlink r:id="rId187" ref="AU189"/>
    <hyperlink r:id="rId188" ref="AC190"/>
    <hyperlink r:id="rId189" ref="R191"/>
    <hyperlink r:id="rId190" ref="R192"/>
    <hyperlink r:id="rId191" ref="AU193"/>
    <hyperlink r:id="rId192" ref="AU194"/>
    <hyperlink r:id="rId193" ref="AU195"/>
    <hyperlink r:id="rId194" ref="AU196"/>
    <hyperlink r:id="rId195" ref="AU197"/>
    <hyperlink r:id="rId196" ref="R198"/>
    <hyperlink r:id="rId197" ref="AC199"/>
    <hyperlink r:id="rId198" ref="AC200"/>
    <hyperlink r:id="rId199" ref="AC201"/>
    <hyperlink r:id="rId200" ref="AC202"/>
    <hyperlink r:id="rId201" ref="AC203"/>
    <hyperlink r:id="rId202" ref="R204"/>
    <hyperlink r:id="rId203" ref="AU205"/>
    <hyperlink r:id="rId204" ref="AC206"/>
    <hyperlink r:id="rId205" ref="AC207"/>
    <hyperlink r:id="rId206" ref="R208"/>
    <hyperlink r:id="rId207" ref="AC209"/>
    <hyperlink r:id="rId208" ref="AC210"/>
    <hyperlink r:id="rId209" ref="AU211"/>
    <hyperlink r:id="rId210" ref="AU212"/>
    <hyperlink r:id="rId211" ref="AU213"/>
    <hyperlink r:id="rId212" ref="AU214"/>
    <hyperlink r:id="rId213" ref="AC215"/>
    <hyperlink r:id="rId214" ref="R216"/>
  </hyperlinks>
  <drawing r:id="rId215"/>
  <tableParts count="1">
    <tablePart r:id="rId217"/>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7.86"/>
    <col customWidth="1" min="2" max="3" width="43.0"/>
    <col customWidth="1" min="4" max="4" width="18.57"/>
    <col customWidth="1" min="5" max="5" width="22.86"/>
    <col customWidth="1" min="6" max="6" width="42.0"/>
    <col customWidth="1" min="7" max="8" width="43.0"/>
    <col customWidth="1" min="9" max="9" width="12.43"/>
    <col customWidth="1" min="10" max="10" width="37.71"/>
    <col customWidth="1" min="11" max="12" width="43.0"/>
    <col customWidth="1" min="13" max="13" width="20.14"/>
    <col customWidth="1" min="14" max="14" width="38.0"/>
    <col customWidth="1" min="15" max="16" width="43.0"/>
    <col customWidth="1" min="17" max="17" width="26.0"/>
    <col customWidth="1" min="21" max="21" width="20.0"/>
    <col customWidth="1" min="22" max="23" width="16.57"/>
    <col customWidth="1" min="24" max="24" width="15.0"/>
    <col customWidth="1" min="26" max="26" width="43.0"/>
    <col customWidth="1" min="27" max="27" width="20.14"/>
    <col customWidth="1" min="28" max="30" width="43.0"/>
    <col customWidth="1" min="31" max="31" width="18.29"/>
    <col customWidth="1" min="32" max="33" width="26.14"/>
    <col customWidth="1" min="34" max="34" width="21.71"/>
    <col customWidth="1" min="36" max="36" width="16.14"/>
    <col customWidth="1" min="37" max="37" width="18.71"/>
    <col customWidth="1" min="38" max="39" width="43.0"/>
    <col customWidth="1" min="41" max="41" width="43.0"/>
    <col customWidth="1" min="43" max="43" width="15.86"/>
    <col customWidth="1" min="44" max="44" width="15.0"/>
    <col customWidth="1" min="45" max="45" width="16.86"/>
    <col customWidth="1" min="47" max="47" width="43.0"/>
    <col customWidth="1" min="48" max="48" width="22.57"/>
    <col customWidth="1" min="49" max="49" width="36.86"/>
    <col customWidth="1" min="51" max="51" width="21.86"/>
    <col customWidth="1" min="52" max="52" width="43.0"/>
    <col customWidth="1" min="53" max="53" width="23.86"/>
    <col customWidth="1" min="54" max="54" width="22.29"/>
    <col customWidth="1" min="55" max="55" width="19.71"/>
  </cols>
  <sheetData>
    <row r="1" ht="22.5" customHeight="1">
      <c r="A1" s="69" t="s">
        <v>31530</v>
      </c>
      <c r="B1" s="69" t="s">
        <v>29307</v>
      </c>
      <c r="C1" s="69" t="s">
        <v>31531</v>
      </c>
      <c r="D1" s="69" t="s">
        <v>29305</v>
      </c>
      <c r="E1" s="69" t="s">
        <v>31532</v>
      </c>
      <c r="F1" s="69" t="s">
        <v>31533</v>
      </c>
      <c r="G1" s="69" t="s">
        <v>31534</v>
      </c>
      <c r="H1" s="69" t="s">
        <v>31535</v>
      </c>
      <c r="I1" s="69" t="s">
        <v>31536</v>
      </c>
      <c r="J1" s="69" t="s">
        <v>31537</v>
      </c>
      <c r="K1" s="69" t="s">
        <v>31538</v>
      </c>
      <c r="L1" s="69" t="s">
        <v>31539</v>
      </c>
      <c r="M1" s="69" t="s">
        <v>31540</v>
      </c>
      <c r="N1" s="69" t="s">
        <v>31541</v>
      </c>
      <c r="O1" s="69" t="s">
        <v>31542</v>
      </c>
      <c r="P1" s="69" t="s">
        <v>29306</v>
      </c>
      <c r="Q1" s="69" t="s">
        <v>29308</v>
      </c>
      <c r="R1" s="89"/>
      <c r="S1" s="89"/>
      <c r="T1" s="89"/>
      <c r="U1" s="89"/>
      <c r="V1" s="89"/>
      <c r="W1" s="89"/>
      <c r="X1" s="89"/>
      <c r="Y1" s="89"/>
      <c r="Z1" s="89"/>
      <c r="AA1" s="89"/>
      <c r="AB1" s="89"/>
      <c r="AC1" s="89"/>
      <c r="AD1" s="89"/>
      <c r="AE1" s="89"/>
      <c r="AF1" s="89"/>
      <c r="AG1" s="89"/>
      <c r="AH1" s="89"/>
      <c r="AI1" s="89"/>
      <c r="AJ1" s="89"/>
      <c r="AK1" s="89"/>
      <c r="AL1" s="89"/>
      <c r="AM1" s="89"/>
      <c r="AN1" s="89"/>
      <c r="AO1" s="89"/>
      <c r="AP1" s="89"/>
      <c r="AQ1" s="89"/>
      <c r="AR1" s="89"/>
      <c r="AS1" s="89"/>
      <c r="AT1" s="89"/>
      <c r="AU1" s="89"/>
      <c r="AV1" s="89"/>
      <c r="AW1" s="89"/>
      <c r="AX1" s="89"/>
      <c r="AY1" s="89"/>
      <c r="AZ1" s="89"/>
      <c r="BA1" s="89"/>
      <c r="BB1" s="89"/>
      <c r="BC1" s="89"/>
    </row>
    <row r="2" ht="22.5" customHeight="1">
      <c r="A2" s="90">
        <v>1.0</v>
      </c>
      <c r="B2" s="91" t="s">
        <v>44</v>
      </c>
      <c r="C2" s="70" t="s">
        <v>3672</v>
      </c>
      <c r="D2" s="90">
        <v>38.0</v>
      </c>
      <c r="E2" s="70" t="s">
        <v>31543</v>
      </c>
      <c r="F2" s="70" t="s">
        <v>3675</v>
      </c>
      <c r="G2" s="70" t="s">
        <v>31544</v>
      </c>
      <c r="H2" s="70" t="s">
        <v>3673</v>
      </c>
      <c r="I2" s="81">
        <v>45658.0</v>
      </c>
      <c r="J2" s="92"/>
      <c r="K2" s="70" t="s">
        <v>3678</v>
      </c>
      <c r="L2" s="70" t="s">
        <v>31545</v>
      </c>
      <c r="M2" s="70" t="s">
        <v>3674</v>
      </c>
      <c r="N2" s="93"/>
      <c r="O2" s="70" t="s">
        <v>31546</v>
      </c>
      <c r="P2" s="90">
        <v>1.0</v>
      </c>
      <c r="Q2" s="90">
        <v>1.0</v>
      </c>
      <c r="R2" s="89"/>
      <c r="S2" s="89"/>
      <c r="T2" s="89"/>
      <c r="U2" s="89"/>
      <c r="V2" s="89"/>
      <c r="W2" s="89"/>
      <c r="X2" s="89"/>
      <c r="Y2" s="89"/>
      <c r="Z2" s="89"/>
      <c r="AA2" s="89"/>
      <c r="AB2" s="89"/>
      <c r="AC2" s="89"/>
      <c r="AD2" s="89"/>
      <c r="AE2" s="89"/>
      <c r="AF2" s="89"/>
      <c r="AG2" s="89"/>
      <c r="AH2" s="89"/>
      <c r="AI2" s="89"/>
      <c r="AJ2" s="89"/>
      <c r="AK2" s="89"/>
      <c r="AL2" s="89"/>
      <c r="AM2" s="89"/>
      <c r="AN2" s="89"/>
      <c r="AO2" s="89"/>
      <c r="AP2" s="89"/>
      <c r="AQ2" s="89"/>
      <c r="AR2" s="89"/>
      <c r="AS2" s="89"/>
      <c r="AT2" s="89"/>
      <c r="AU2" s="89"/>
      <c r="AV2" s="89"/>
      <c r="AW2" s="89"/>
      <c r="AX2" s="89"/>
      <c r="AY2" s="89"/>
      <c r="AZ2" s="89"/>
      <c r="BA2" s="89"/>
      <c r="BB2" s="89"/>
      <c r="BC2" s="89"/>
    </row>
    <row r="3" ht="22.5" customHeight="1">
      <c r="A3" s="90">
        <v>1.0</v>
      </c>
      <c r="B3" s="91" t="s">
        <v>31547</v>
      </c>
      <c r="C3" s="70" t="s">
        <v>25322</v>
      </c>
      <c r="D3" s="90">
        <v>22.0</v>
      </c>
      <c r="E3" s="70" t="s">
        <v>31543</v>
      </c>
      <c r="F3" s="70" t="s">
        <v>25323</v>
      </c>
      <c r="G3" s="70" t="s">
        <v>31548</v>
      </c>
      <c r="H3" s="70" t="s">
        <v>22802</v>
      </c>
      <c r="I3" s="92"/>
      <c r="J3" s="92"/>
      <c r="K3" s="70" t="s">
        <v>29509</v>
      </c>
      <c r="L3" s="70" t="s">
        <v>31549</v>
      </c>
      <c r="M3" s="92"/>
      <c r="N3" s="90">
        <v>2023.0</v>
      </c>
      <c r="O3" s="92"/>
      <c r="P3" s="90">
        <v>0.0</v>
      </c>
      <c r="Q3" s="90">
        <v>2.0</v>
      </c>
      <c r="R3" s="89"/>
      <c r="S3" s="89"/>
      <c r="T3" s="89"/>
      <c r="U3" s="89"/>
      <c r="V3" s="89"/>
      <c r="W3" s="89"/>
      <c r="X3" s="89"/>
      <c r="Y3" s="89"/>
      <c r="Z3" s="89"/>
      <c r="AA3" s="89"/>
      <c r="AB3" s="89"/>
      <c r="AC3" s="89"/>
      <c r="AD3" s="89"/>
      <c r="AE3" s="89"/>
      <c r="AF3" s="89"/>
      <c r="AG3" s="89"/>
      <c r="AH3" s="89"/>
      <c r="AI3" s="89"/>
      <c r="AJ3" s="89"/>
      <c r="AK3" s="89"/>
      <c r="AL3" s="89"/>
      <c r="AM3" s="89"/>
      <c r="AN3" s="89"/>
      <c r="AO3" s="89"/>
      <c r="AP3" s="89"/>
      <c r="AQ3" s="89"/>
      <c r="AR3" s="89"/>
      <c r="AS3" s="89"/>
      <c r="AT3" s="89"/>
      <c r="AU3" s="89"/>
      <c r="AV3" s="89"/>
      <c r="AW3" s="89"/>
      <c r="AX3" s="89"/>
      <c r="AY3" s="89"/>
      <c r="AZ3" s="89"/>
      <c r="BA3" s="89"/>
      <c r="BB3" s="89"/>
      <c r="BC3" s="89"/>
    </row>
    <row r="4" ht="22.5" customHeight="1">
      <c r="A4" s="90">
        <v>1.0</v>
      </c>
      <c r="B4" s="91" t="s">
        <v>32</v>
      </c>
      <c r="C4" s="70" t="s">
        <v>23456</v>
      </c>
      <c r="D4" s="90">
        <v>95.0</v>
      </c>
      <c r="E4" s="70" t="s">
        <v>31543</v>
      </c>
      <c r="F4" s="70" t="s">
        <v>23457</v>
      </c>
      <c r="G4" s="70" t="s">
        <v>31550</v>
      </c>
      <c r="H4" s="70" t="s">
        <v>23462</v>
      </c>
      <c r="I4" s="92"/>
      <c r="J4" s="92"/>
      <c r="K4" s="70" t="s">
        <v>29310</v>
      </c>
      <c r="L4" s="70" t="s">
        <v>31551</v>
      </c>
      <c r="M4" s="92"/>
      <c r="N4" s="90">
        <v>2024.0</v>
      </c>
      <c r="O4" s="92"/>
      <c r="P4" s="90">
        <v>0.0</v>
      </c>
      <c r="Q4" s="90">
        <v>3.0</v>
      </c>
      <c r="R4" s="89"/>
      <c r="S4" s="89"/>
      <c r="T4" s="89"/>
      <c r="U4" s="89"/>
      <c r="V4" s="89"/>
      <c r="W4" s="89"/>
      <c r="X4" s="89"/>
      <c r="Y4" s="89"/>
      <c r="Z4" s="89"/>
      <c r="AA4" s="89"/>
      <c r="AB4" s="89"/>
      <c r="AC4" s="89"/>
      <c r="AD4" s="89"/>
      <c r="AE4" s="89"/>
      <c r="AF4" s="89"/>
      <c r="AG4" s="89"/>
      <c r="AH4" s="89"/>
      <c r="AI4" s="89"/>
      <c r="AJ4" s="89"/>
      <c r="AK4" s="89"/>
      <c r="AL4" s="89"/>
      <c r="AM4" s="89"/>
      <c r="AN4" s="89"/>
      <c r="AO4" s="89"/>
      <c r="AP4" s="89"/>
      <c r="AQ4" s="89"/>
      <c r="AR4" s="89"/>
      <c r="AS4" s="89"/>
      <c r="AT4" s="89"/>
      <c r="AU4" s="89"/>
      <c r="AV4" s="89"/>
      <c r="AW4" s="89"/>
      <c r="AX4" s="89"/>
      <c r="AY4" s="89"/>
      <c r="AZ4" s="89"/>
      <c r="BA4" s="89"/>
      <c r="BB4" s="89"/>
      <c r="BC4" s="89"/>
    </row>
    <row r="5" ht="22.5" customHeight="1">
      <c r="A5" s="90">
        <v>1.0</v>
      </c>
      <c r="B5" s="91" t="s">
        <v>48</v>
      </c>
      <c r="C5" s="70" t="s">
        <v>7145</v>
      </c>
      <c r="D5" s="90">
        <v>83.0</v>
      </c>
      <c r="E5" s="70" t="s">
        <v>31543</v>
      </c>
      <c r="F5" s="70" t="s">
        <v>7146</v>
      </c>
      <c r="G5" s="70" t="s">
        <v>31552</v>
      </c>
      <c r="H5" s="70" t="s">
        <v>5002</v>
      </c>
      <c r="I5" s="76">
        <v>43888.0</v>
      </c>
      <c r="J5" s="70" t="s">
        <v>239</v>
      </c>
      <c r="K5" s="70" t="s">
        <v>7148</v>
      </c>
      <c r="L5" s="70" t="s">
        <v>31553</v>
      </c>
      <c r="M5" s="70" t="s">
        <v>5003</v>
      </c>
      <c r="N5" s="93"/>
      <c r="O5" s="92"/>
      <c r="P5" s="90">
        <v>0.0</v>
      </c>
      <c r="Q5" s="90">
        <v>4.0</v>
      </c>
      <c r="R5" s="89"/>
      <c r="S5" s="89"/>
      <c r="T5" s="89"/>
      <c r="U5" s="89"/>
      <c r="V5" s="89"/>
      <c r="W5" s="89"/>
      <c r="X5" s="89"/>
      <c r="Y5" s="89"/>
      <c r="Z5" s="89"/>
      <c r="AA5" s="89"/>
      <c r="AB5" s="89"/>
      <c r="AC5" s="89"/>
      <c r="AD5" s="89"/>
      <c r="AE5" s="89"/>
      <c r="AF5" s="89"/>
      <c r="AG5" s="89"/>
      <c r="AH5" s="89"/>
      <c r="AI5" s="89"/>
      <c r="AJ5" s="89"/>
      <c r="AK5" s="89"/>
      <c r="AL5" s="89"/>
      <c r="AM5" s="89"/>
      <c r="AN5" s="89"/>
      <c r="AO5" s="89"/>
      <c r="AP5" s="89"/>
      <c r="AQ5" s="89"/>
      <c r="AR5" s="89"/>
      <c r="AS5" s="89"/>
      <c r="AT5" s="89"/>
      <c r="AU5" s="89"/>
      <c r="AV5" s="89"/>
      <c r="AW5" s="89"/>
      <c r="AX5" s="89"/>
      <c r="AY5" s="89"/>
      <c r="AZ5" s="89"/>
      <c r="BA5" s="89"/>
      <c r="BB5" s="89"/>
      <c r="BC5" s="89"/>
    </row>
    <row r="6" ht="22.5" customHeight="1">
      <c r="A6" s="90">
        <v>1.0</v>
      </c>
      <c r="B6" s="91" t="s">
        <v>48</v>
      </c>
      <c r="C6" s="70" t="s">
        <v>17733</v>
      </c>
      <c r="D6" s="90">
        <v>4.0</v>
      </c>
      <c r="E6" s="70" t="s">
        <v>31543</v>
      </c>
      <c r="F6" s="70" t="s">
        <v>17734</v>
      </c>
      <c r="G6" s="70" t="s">
        <v>31554</v>
      </c>
      <c r="H6" s="70" t="s">
        <v>17654</v>
      </c>
      <c r="I6" s="78">
        <v>45063.0</v>
      </c>
      <c r="J6" s="70" t="s">
        <v>239</v>
      </c>
      <c r="K6" s="70" t="s">
        <v>29439</v>
      </c>
      <c r="L6" s="70" t="s">
        <v>31555</v>
      </c>
      <c r="M6" s="70" t="s">
        <v>17655</v>
      </c>
      <c r="N6" s="93"/>
      <c r="O6" s="92"/>
      <c r="P6" s="90">
        <v>0.0</v>
      </c>
      <c r="Q6" s="90">
        <v>5.0</v>
      </c>
      <c r="R6" s="89"/>
      <c r="S6" s="89"/>
      <c r="T6" s="89"/>
      <c r="U6" s="89"/>
      <c r="V6" s="89"/>
      <c r="W6" s="89"/>
      <c r="X6" s="89"/>
      <c r="Y6" s="89"/>
      <c r="Z6" s="89"/>
      <c r="AA6" s="89"/>
      <c r="AB6" s="89"/>
      <c r="AC6" s="89"/>
      <c r="AD6" s="89"/>
      <c r="AE6" s="89"/>
      <c r="AF6" s="89"/>
      <c r="AG6" s="89"/>
      <c r="AH6" s="89"/>
      <c r="AI6" s="89"/>
      <c r="AJ6" s="89"/>
      <c r="AK6" s="89"/>
      <c r="AL6" s="89"/>
      <c r="AM6" s="89"/>
      <c r="AN6" s="89"/>
      <c r="AO6" s="89"/>
      <c r="AP6" s="89"/>
      <c r="AQ6" s="89"/>
      <c r="AR6" s="89"/>
      <c r="AS6" s="89"/>
      <c r="AT6" s="89"/>
      <c r="AU6" s="89"/>
      <c r="AV6" s="89"/>
      <c r="AW6" s="89"/>
      <c r="AX6" s="89"/>
      <c r="AY6" s="89"/>
      <c r="AZ6" s="89"/>
      <c r="BA6" s="89"/>
      <c r="BB6" s="89"/>
      <c r="BC6" s="89"/>
    </row>
    <row r="7" ht="22.5" customHeight="1">
      <c r="A7" s="90">
        <v>1.0</v>
      </c>
      <c r="B7" s="91" t="s">
        <v>44</v>
      </c>
      <c r="C7" s="70" t="s">
        <v>21362</v>
      </c>
      <c r="D7" s="90">
        <v>12.0</v>
      </c>
      <c r="E7" s="70" t="s">
        <v>31543</v>
      </c>
      <c r="F7" s="70" t="s">
        <v>21363</v>
      </c>
      <c r="G7" s="70" t="s">
        <v>31556</v>
      </c>
      <c r="H7" s="70" t="s">
        <v>16436</v>
      </c>
      <c r="I7" s="76">
        <v>45551.0</v>
      </c>
      <c r="J7" s="70" t="s">
        <v>239</v>
      </c>
      <c r="K7" s="70" t="s">
        <v>29374</v>
      </c>
      <c r="L7" s="70" t="s">
        <v>31557</v>
      </c>
      <c r="M7" s="70" t="s">
        <v>16437</v>
      </c>
      <c r="N7" s="93"/>
      <c r="O7" s="92"/>
      <c r="P7" s="90">
        <v>0.0</v>
      </c>
      <c r="Q7" s="90">
        <v>6.0</v>
      </c>
      <c r="R7" s="89"/>
      <c r="S7" s="89"/>
      <c r="T7" s="89"/>
      <c r="U7" s="89"/>
      <c r="V7" s="89"/>
      <c r="W7" s="89"/>
      <c r="X7" s="89"/>
      <c r="Y7" s="89"/>
      <c r="Z7" s="89"/>
      <c r="AA7" s="89"/>
      <c r="AB7" s="89"/>
      <c r="AC7" s="89"/>
      <c r="AD7" s="89"/>
      <c r="AE7" s="89"/>
      <c r="AF7" s="89"/>
      <c r="AG7" s="89"/>
      <c r="AH7" s="89"/>
      <c r="AI7" s="89"/>
      <c r="AJ7" s="89"/>
      <c r="AK7" s="89"/>
      <c r="AL7" s="89"/>
      <c r="AM7" s="89"/>
      <c r="AN7" s="89"/>
      <c r="AO7" s="89"/>
      <c r="AP7" s="89"/>
      <c r="AQ7" s="89"/>
      <c r="AR7" s="89"/>
      <c r="AS7" s="89"/>
      <c r="AT7" s="89"/>
      <c r="AU7" s="89"/>
      <c r="AV7" s="89"/>
      <c r="AW7" s="89"/>
      <c r="AX7" s="89"/>
      <c r="AY7" s="89"/>
      <c r="AZ7" s="89"/>
      <c r="BA7" s="89"/>
      <c r="BB7" s="89"/>
      <c r="BC7" s="89"/>
    </row>
    <row r="8" ht="22.5" customHeight="1">
      <c r="A8" s="90">
        <v>1.0</v>
      </c>
      <c r="B8" s="91" t="s">
        <v>40</v>
      </c>
      <c r="C8" s="70" t="s">
        <v>29208</v>
      </c>
      <c r="D8" s="90">
        <v>11.0</v>
      </c>
      <c r="E8" s="70" t="s">
        <v>31543</v>
      </c>
      <c r="F8" s="70" t="s">
        <v>29209</v>
      </c>
      <c r="G8" s="70" t="s">
        <v>31558</v>
      </c>
      <c r="H8" s="70" t="s">
        <v>22609</v>
      </c>
      <c r="I8" s="92"/>
      <c r="J8" s="92"/>
      <c r="K8" s="70" t="s">
        <v>29351</v>
      </c>
      <c r="L8" s="70" t="s">
        <v>31559</v>
      </c>
      <c r="M8" s="92"/>
      <c r="N8" s="90">
        <v>2019.0</v>
      </c>
      <c r="O8" s="92"/>
      <c r="P8" s="90">
        <v>0.0</v>
      </c>
      <c r="Q8" s="90">
        <v>7.0</v>
      </c>
      <c r="R8" s="89"/>
      <c r="S8" s="89"/>
      <c r="T8" s="89"/>
      <c r="U8" s="89"/>
      <c r="V8" s="89"/>
      <c r="W8" s="89"/>
      <c r="X8" s="89"/>
      <c r="Y8" s="89"/>
      <c r="Z8" s="89"/>
      <c r="AA8" s="89"/>
      <c r="AB8" s="89"/>
      <c r="AC8" s="89"/>
      <c r="AD8" s="89"/>
      <c r="AE8" s="89"/>
      <c r="AF8" s="89"/>
      <c r="AG8" s="89"/>
      <c r="AH8" s="89"/>
      <c r="AI8" s="89"/>
      <c r="AJ8" s="89"/>
      <c r="AK8" s="89"/>
      <c r="AL8" s="89"/>
      <c r="AM8" s="89"/>
      <c r="AN8" s="89"/>
      <c r="AO8" s="89"/>
      <c r="AP8" s="89"/>
      <c r="AQ8" s="89"/>
      <c r="AR8" s="89"/>
      <c r="AS8" s="89"/>
      <c r="AT8" s="89"/>
      <c r="AU8" s="89"/>
      <c r="AV8" s="89"/>
      <c r="AW8" s="89"/>
      <c r="AX8" s="89"/>
      <c r="AY8" s="89"/>
      <c r="AZ8" s="89"/>
      <c r="BA8" s="89"/>
      <c r="BB8" s="89"/>
      <c r="BC8" s="89"/>
    </row>
    <row r="9" ht="22.5" customHeight="1">
      <c r="A9" s="90">
        <v>1.0</v>
      </c>
      <c r="B9" s="91" t="s">
        <v>48</v>
      </c>
      <c r="C9" s="70" t="s">
        <v>22752</v>
      </c>
      <c r="D9" s="90">
        <v>13.0</v>
      </c>
      <c r="E9" s="70" t="s">
        <v>31543</v>
      </c>
      <c r="F9" s="70" t="s">
        <v>22753</v>
      </c>
      <c r="G9" s="70" t="s">
        <v>31560</v>
      </c>
      <c r="H9" s="70" t="s">
        <v>17228</v>
      </c>
      <c r="I9" s="92"/>
      <c r="J9" s="92"/>
      <c r="K9" s="70" t="s">
        <v>29433</v>
      </c>
      <c r="L9" s="70" t="s">
        <v>31561</v>
      </c>
      <c r="M9" s="92"/>
      <c r="N9" s="90">
        <v>2025.0</v>
      </c>
      <c r="O9" s="92"/>
      <c r="P9" s="90">
        <v>0.0</v>
      </c>
      <c r="Q9" s="90">
        <v>8.0</v>
      </c>
      <c r="R9" s="89"/>
      <c r="S9" s="89"/>
      <c r="T9" s="89"/>
      <c r="U9" s="89"/>
      <c r="V9" s="89"/>
      <c r="W9" s="89"/>
      <c r="X9" s="89"/>
      <c r="Y9" s="89"/>
      <c r="Z9" s="89"/>
      <c r="AA9" s="89"/>
      <c r="AB9" s="89"/>
      <c r="AC9" s="89"/>
      <c r="AD9" s="89"/>
      <c r="AE9" s="89"/>
      <c r="AF9" s="89"/>
      <c r="AG9" s="89"/>
      <c r="AH9" s="89"/>
      <c r="AI9" s="89"/>
      <c r="AJ9" s="89"/>
      <c r="AK9" s="89"/>
      <c r="AL9" s="89"/>
      <c r="AM9" s="89"/>
      <c r="AN9" s="89"/>
      <c r="AO9" s="89"/>
      <c r="AP9" s="89"/>
      <c r="AQ9" s="89"/>
      <c r="AR9" s="89"/>
      <c r="AS9" s="89"/>
      <c r="AT9" s="89"/>
      <c r="AU9" s="89"/>
      <c r="AV9" s="89"/>
      <c r="AW9" s="89"/>
      <c r="AX9" s="89"/>
      <c r="AY9" s="89"/>
      <c r="AZ9" s="89"/>
      <c r="BA9" s="89"/>
      <c r="BB9" s="89"/>
      <c r="BC9" s="89"/>
    </row>
    <row r="10" ht="22.5" customHeight="1">
      <c r="A10" s="90">
        <v>1.0</v>
      </c>
      <c r="B10" s="91" t="s">
        <v>48</v>
      </c>
      <c r="C10" s="70" t="s">
        <v>26315</v>
      </c>
      <c r="D10" s="90">
        <v>17.0</v>
      </c>
      <c r="E10" s="70" t="s">
        <v>31543</v>
      </c>
      <c r="F10" s="70" t="s">
        <v>26316</v>
      </c>
      <c r="G10" s="70" t="s">
        <v>31562</v>
      </c>
      <c r="H10" s="70" t="s">
        <v>16538</v>
      </c>
      <c r="I10" s="92"/>
      <c r="J10" s="92"/>
      <c r="K10" s="70" t="s">
        <v>29421</v>
      </c>
      <c r="L10" s="70" t="s">
        <v>31563</v>
      </c>
      <c r="M10" s="92"/>
      <c r="N10" s="90">
        <v>2022.0</v>
      </c>
      <c r="O10" s="92"/>
      <c r="P10" s="90">
        <v>0.0</v>
      </c>
      <c r="Q10" s="90">
        <v>9.0</v>
      </c>
      <c r="R10" s="89"/>
      <c r="S10" s="89"/>
      <c r="T10" s="89"/>
      <c r="U10" s="89"/>
      <c r="V10" s="89"/>
      <c r="W10" s="89"/>
      <c r="X10" s="89"/>
      <c r="Y10" s="89"/>
      <c r="Z10" s="89"/>
      <c r="AA10" s="89"/>
      <c r="AB10" s="89"/>
      <c r="AC10" s="89"/>
      <c r="AD10" s="89"/>
      <c r="AE10" s="89"/>
      <c r="AF10" s="89"/>
      <c r="AG10" s="89"/>
      <c r="AH10" s="89"/>
      <c r="AI10" s="89"/>
      <c r="AJ10" s="89"/>
      <c r="AK10" s="89"/>
      <c r="AL10" s="89"/>
      <c r="AM10" s="89"/>
      <c r="AN10" s="89"/>
      <c r="AO10" s="89"/>
      <c r="AP10" s="89"/>
      <c r="AQ10" s="89"/>
      <c r="AR10" s="89"/>
      <c r="AS10" s="89"/>
      <c r="AT10" s="89"/>
      <c r="AU10" s="89"/>
      <c r="AV10" s="89"/>
      <c r="AW10" s="89"/>
      <c r="AX10" s="89"/>
      <c r="AY10" s="89"/>
      <c r="AZ10" s="89"/>
      <c r="BA10" s="89"/>
      <c r="BB10" s="89"/>
      <c r="BC10" s="89"/>
    </row>
    <row r="11" ht="22.5" customHeight="1">
      <c r="A11" s="90">
        <v>1.0</v>
      </c>
      <c r="B11" s="91" t="s">
        <v>48</v>
      </c>
      <c r="C11" s="70" t="s">
        <v>24343</v>
      </c>
      <c r="D11" s="90">
        <v>19.0</v>
      </c>
      <c r="E11" s="70" t="s">
        <v>31543</v>
      </c>
      <c r="F11" s="70" t="s">
        <v>24344</v>
      </c>
      <c r="G11" s="70" t="s">
        <v>31564</v>
      </c>
      <c r="H11" s="70" t="s">
        <v>16959</v>
      </c>
      <c r="I11" s="92"/>
      <c r="J11" s="92"/>
      <c r="K11" s="70" t="s">
        <v>29443</v>
      </c>
      <c r="L11" s="70" t="s">
        <v>31565</v>
      </c>
      <c r="M11" s="92"/>
      <c r="N11" s="90">
        <v>2024.0</v>
      </c>
      <c r="O11" s="92"/>
      <c r="P11" s="90">
        <v>0.0</v>
      </c>
      <c r="Q11" s="90">
        <v>10.0</v>
      </c>
      <c r="R11" s="89"/>
      <c r="S11" s="89"/>
      <c r="T11" s="89"/>
      <c r="U11" s="89"/>
      <c r="V11" s="89"/>
      <c r="W11" s="89"/>
      <c r="X11" s="89"/>
      <c r="Y11" s="89"/>
      <c r="Z11" s="89"/>
      <c r="AA11" s="89"/>
      <c r="AB11" s="89"/>
      <c r="AC11" s="89"/>
      <c r="AD11" s="89"/>
      <c r="AE11" s="89"/>
      <c r="AF11" s="89"/>
      <c r="AG11" s="89"/>
      <c r="AH11" s="89"/>
      <c r="AI11" s="89"/>
      <c r="AJ11" s="89"/>
      <c r="AK11" s="89"/>
      <c r="AL11" s="89"/>
      <c r="AM11" s="89"/>
      <c r="AN11" s="89"/>
      <c r="AO11" s="89"/>
      <c r="AP11" s="89"/>
      <c r="AQ11" s="89"/>
      <c r="AR11" s="89"/>
      <c r="AS11" s="89"/>
      <c r="AT11" s="89"/>
      <c r="AU11" s="89"/>
      <c r="AV11" s="89"/>
      <c r="AW11" s="89"/>
      <c r="AX11" s="89"/>
      <c r="AY11" s="89"/>
      <c r="AZ11" s="89"/>
      <c r="BA11" s="89"/>
      <c r="BB11" s="89"/>
      <c r="BC11" s="89"/>
    </row>
    <row r="12" ht="22.5" customHeight="1">
      <c r="A12" s="90">
        <v>1.0</v>
      </c>
      <c r="B12" s="91" t="s">
        <v>48</v>
      </c>
      <c r="C12" s="70" t="s">
        <v>17672</v>
      </c>
      <c r="D12" s="90">
        <v>80.0</v>
      </c>
      <c r="E12" s="70" t="s">
        <v>31543</v>
      </c>
      <c r="F12" s="70" t="s">
        <v>17673</v>
      </c>
      <c r="G12" s="70" t="s">
        <v>31566</v>
      </c>
      <c r="H12" s="70" t="s">
        <v>16538</v>
      </c>
      <c r="I12" s="76">
        <v>44033.0</v>
      </c>
      <c r="J12" s="70" t="s">
        <v>239</v>
      </c>
      <c r="K12" s="70" t="s">
        <v>17675</v>
      </c>
      <c r="L12" s="70" t="s">
        <v>31567</v>
      </c>
      <c r="M12" s="70" t="s">
        <v>16539</v>
      </c>
      <c r="N12" s="93"/>
      <c r="O12" s="92"/>
      <c r="P12" s="90">
        <v>0.0</v>
      </c>
      <c r="Q12" s="90">
        <v>11.0</v>
      </c>
      <c r="R12" s="89"/>
      <c r="S12" s="89"/>
      <c r="T12" s="89"/>
      <c r="U12" s="89"/>
      <c r="V12" s="89"/>
      <c r="W12" s="89"/>
      <c r="X12" s="89"/>
      <c r="Y12" s="89"/>
      <c r="Z12" s="89"/>
      <c r="AA12" s="89"/>
      <c r="AB12" s="89"/>
      <c r="AC12" s="89"/>
      <c r="AD12" s="89"/>
      <c r="AE12" s="89"/>
      <c r="AF12" s="89"/>
      <c r="AG12" s="89"/>
      <c r="AH12" s="89"/>
      <c r="AI12" s="89"/>
      <c r="AJ12" s="89"/>
      <c r="AK12" s="89"/>
      <c r="AL12" s="89"/>
      <c r="AM12" s="89"/>
      <c r="AN12" s="89"/>
      <c r="AO12" s="89"/>
      <c r="AP12" s="89"/>
      <c r="AQ12" s="89"/>
      <c r="AR12" s="89"/>
      <c r="AS12" s="89"/>
      <c r="AT12" s="89"/>
      <c r="AU12" s="89"/>
      <c r="AV12" s="89"/>
      <c r="AW12" s="89"/>
      <c r="AX12" s="89"/>
      <c r="AY12" s="89"/>
      <c r="AZ12" s="89"/>
      <c r="BA12" s="89"/>
      <c r="BB12" s="89"/>
      <c r="BC12" s="89"/>
    </row>
    <row r="13" ht="22.5" customHeight="1">
      <c r="A13" s="90">
        <v>1.0</v>
      </c>
      <c r="B13" s="91" t="s">
        <v>40</v>
      </c>
      <c r="C13" s="70" t="s">
        <v>13510</v>
      </c>
      <c r="D13" s="90">
        <v>9.0</v>
      </c>
      <c r="E13" s="70" t="s">
        <v>31543</v>
      </c>
      <c r="F13" s="70" t="s">
        <v>13511</v>
      </c>
      <c r="G13" s="70" t="s">
        <v>31568</v>
      </c>
      <c r="H13" s="70" t="s">
        <v>11334</v>
      </c>
      <c r="I13" s="76">
        <v>45012.0</v>
      </c>
      <c r="J13" s="70" t="s">
        <v>239</v>
      </c>
      <c r="K13" s="70" t="s">
        <v>29401</v>
      </c>
      <c r="L13" s="70" t="s">
        <v>31569</v>
      </c>
      <c r="M13" s="70" t="s">
        <v>9205</v>
      </c>
      <c r="N13" s="93"/>
      <c r="O13" s="92"/>
      <c r="P13" s="90">
        <v>0.0</v>
      </c>
      <c r="Q13" s="90">
        <v>12.0</v>
      </c>
      <c r="R13" s="89"/>
      <c r="S13" s="89"/>
      <c r="T13" s="89"/>
      <c r="U13" s="89"/>
      <c r="V13" s="89"/>
      <c r="W13" s="89"/>
      <c r="X13" s="89"/>
      <c r="Y13" s="89"/>
      <c r="Z13" s="89"/>
      <c r="AA13" s="89"/>
      <c r="AB13" s="89"/>
      <c r="AC13" s="89"/>
      <c r="AD13" s="89"/>
      <c r="AE13" s="89"/>
      <c r="AF13" s="89"/>
      <c r="AG13" s="89"/>
      <c r="AH13" s="89"/>
      <c r="AI13" s="89"/>
      <c r="AJ13" s="89"/>
      <c r="AK13" s="89"/>
      <c r="AL13" s="89"/>
      <c r="AM13" s="89"/>
      <c r="AN13" s="89"/>
      <c r="AO13" s="89"/>
      <c r="AP13" s="89"/>
      <c r="AQ13" s="89"/>
      <c r="AR13" s="89"/>
      <c r="AS13" s="89"/>
      <c r="AT13" s="89"/>
      <c r="AU13" s="89"/>
      <c r="AV13" s="89"/>
      <c r="AW13" s="89"/>
      <c r="AX13" s="89"/>
      <c r="AY13" s="89"/>
      <c r="AZ13" s="89"/>
      <c r="BA13" s="89"/>
      <c r="BB13" s="89"/>
      <c r="BC13" s="89"/>
    </row>
    <row r="14" ht="22.5" customHeight="1">
      <c r="A14" s="90">
        <v>1.0</v>
      </c>
      <c r="B14" s="91" t="s">
        <v>48</v>
      </c>
      <c r="C14" s="70" t="s">
        <v>1272</v>
      </c>
      <c r="D14" s="90">
        <v>40.0</v>
      </c>
      <c r="E14" s="70" t="s">
        <v>31543</v>
      </c>
      <c r="F14" s="70" t="s">
        <v>1275</v>
      </c>
      <c r="G14" s="70" t="s">
        <v>31570</v>
      </c>
      <c r="H14" s="70" t="s">
        <v>1273</v>
      </c>
      <c r="I14" s="70">
        <v>2020.0</v>
      </c>
      <c r="J14" s="70" t="s">
        <v>401</v>
      </c>
      <c r="K14" s="70" t="s">
        <v>29460</v>
      </c>
      <c r="L14" s="70" t="s">
        <v>31571</v>
      </c>
      <c r="M14" s="70" t="s">
        <v>1274</v>
      </c>
      <c r="N14" s="93"/>
      <c r="O14" s="70" t="s">
        <v>31572</v>
      </c>
      <c r="P14" s="90">
        <v>0.0</v>
      </c>
      <c r="Q14" s="90">
        <v>13.0</v>
      </c>
      <c r="R14" s="89"/>
      <c r="S14" s="89"/>
      <c r="T14" s="89"/>
      <c r="U14" s="89"/>
      <c r="V14" s="89"/>
      <c r="W14" s="89"/>
      <c r="X14" s="89"/>
      <c r="Y14" s="89"/>
      <c r="Z14" s="89"/>
      <c r="AA14" s="89"/>
      <c r="AB14" s="89"/>
      <c r="AC14" s="89"/>
      <c r="AD14" s="89"/>
      <c r="AE14" s="89"/>
      <c r="AF14" s="89"/>
      <c r="AG14" s="89"/>
      <c r="AH14" s="89"/>
      <c r="AI14" s="89"/>
      <c r="AJ14" s="89"/>
      <c r="AK14" s="89"/>
      <c r="AL14" s="89"/>
      <c r="AM14" s="89"/>
      <c r="AN14" s="89"/>
      <c r="AO14" s="89"/>
      <c r="AP14" s="89"/>
      <c r="AQ14" s="89"/>
      <c r="AR14" s="89"/>
      <c r="AS14" s="89"/>
      <c r="AT14" s="89"/>
      <c r="AU14" s="89"/>
      <c r="AV14" s="89"/>
      <c r="AW14" s="89"/>
      <c r="AX14" s="89"/>
      <c r="AY14" s="89"/>
      <c r="AZ14" s="89"/>
      <c r="BA14" s="89"/>
      <c r="BB14" s="89"/>
      <c r="BC14" s="89"/>
    </row>
    <row r="15" ht="22.5" customHeight="1">
      <c r="A15" s="90">
        <v>1.0</v>
      </c>
      <c r="B15" s="91" t="s">
        <v>48</v>
      </c>
      <c r="C15" s="70" t="s">
        <v>1971</v>
      </c>
      <c r="D15" s="90">
        <v>49.0</v>
      </c>
      <c r="E15" s="70" t="s">
        <v>31543</v>
      </c>
      <c r="F15" s="70" t="s">
        <v>1974</v>
      </c>
      <c r="G15" s="70" t="s">
        <v>31573</v>
      </c>
      <c r="H15" s="70" t="s">
        <v>1972</v>
      </c>
      <c r="I15" s="70">
        <v>2021.0</v>
      </c>
      <c r="J15" s="70" t="s">
        <v>401</v>
      </c>
      <c r="K15" s="70" t="s">
        <v>1979</v>
      </c>
      <c r="L15" s="70" t="s">
        <v>31571</v>
      </c>
      <c r="M15" s="70" t="s">
        <v>1973</v>
      </c>
      <c r="N15" s="93"/>
      <c r="O15" s="70" t="s">
        <v>31574</v>
      </c>
      <c r="P15" s="90">
        <v>0.0</v>
      </c>
      <c r="Q15" s="90">
        <v>14.0</v>
      </c>
      <c r="R15" s="89"/>
      <c r="S15" s="89"/>
      <c r="T15" s="89"/>
      <c r="U15" s="89"/>
      <c r="V15" s="89"/>
      <c r="W15" s="89"/>
      <c r="X15" s="89"/>
      <c r="Y15" s="89"/>
      <c r="Z15" s="89"/>
      <c r="AA15" s="89"/>
      <c r="AB15" s="89"/>
      <c r="AC15" s="89"/>
      <c r="AD15" s="89"/>
      <c r="AE15" s="89"/>
      <c r="AF15" s="89"/>
      <c r="AG15" s="89"/>
      <c r="AH15" s="89"/>
      <c r="AI15" s="89"/>
      <c r="AJ15" s="89"/>
      <c r="AK15" s="89"/>
      <c r="AL15" s="89"/>
      <c r="AM15" s="89"/>
      <c r="AN15" s="89"/>
      <c r="AO15" s="89"/>
      <c r="AP15" s="89"/>
      <c r="AQ15" s="89"/>
      <c r="AR15" s="89"/>
      <c r="AS15" s="89"/>
      <c r="AT15" s="89"/>
      <c r="AU15" s="89"/>
      <c r="AV15" s="89"/>
      <c r="AW15" s="89"/>
      <c r="AX15" s="89"/>
      <c r="AY15" s="89"/>
      <c r="AZ15" s="89"/>
      <c r="BA15" s="89"/>
      <c r="BB15" s="89"/>
      <c r="BC15" s="89"/>
    </row>
    <row r="16" ht="22.5" customHeight="1">
      <c r="A16" s="90">
        <v>1.0</v>
      </c>
      <c r="B16" s="91" t="s">
        <v>48</v>
      </c>
      <c r="C16" s="70" t="s">
        <v>18362</v>
      </c>
      <c r="D16" s="90">
        <v>7.0</v>
      </c>
      <c r="E16" s="70" t="s">
        <v>31543</v>
      </c>
      <c r="F16" s="70" t="s">
        <v>18363</v>
      </c>
      <c r="G16" s="70" t="s">
        <v>31575</v>
      </c>
      <c r="H16" s="70" t="s">
        <v>16436</v>
      </c>
      <c r="I16" s="76">
        <v>44313.0</v>
      </c>
      <c r="J16" s="70" t="s">
        <v>239</v>
      </c>
      <c r="K16" s="70" t="s">
        <v>18365</v>
      </c>
      <c r="L16" s="70" t="s">
        <v>31576</v>
      </c>
      <c r="M16" s="70" t="s">
        <v>16437</v>
      </c>
      <c r="N16" s="93"/>
      <c r="O16" s="92"/>
      <c r="P16" s="90">
        <v>0.0</v>
      </c>
      <c r="Q16" s="90">
        <v>15.0</v>
      </c>
      <c r="R16" s="89"/>
      <c r="S16" s="89"/>
      <c r="T16" s="89"/>
      <c r="U16" s="89"/>
      <c r="V16" s="89"/>
      <c r="W16" s="89"/>
      <c r="X16" s="89"/>
      <c r="Y16" s="89"/>
      <c r="Z16" s="89"/>
      <c r="AA16" s="89"/>
      <c r="AB16" s="89"/>
      <c r="AC16" s="89"/>
      <c r="AD16" s="89"/>
      <c r="AE16" s="89"/>
      <c r="AF16" s="89"/>
      <c r="AG16" s="89"/>
      <c r="AH16" s="89"/>
      <c r="AI16" s="89"/>
      <c r="AJ16" s="89"/>
      <c r="AK16" s="89"/>
      <c r="AL16" s="89"/>
      <c r="AM16" s="89"/>
      <c r="AN16" s="89"/>
      <c r="AO16" s="89"/>
      <c r="AP16" s="89"/>
      <c r="AQ16" s="89"/>
      <c r="AR16" s="89"/>
      <c r="AS16" s="89"/>
      <c r="AT16" s="89"/>
      <c r="AU16" s="89"/>
      <c r="AV16" s="89"/>
      <c r="AW16" s="89"/>
      <c r="AX16" s="89"/>
      <c r="AY16" s="89"/>
      <c r="AZ16" s="89"/>
      <c r="BA16" s="89"/>
      <c r="BB16" s="89"/>
      <c r="BC16" s="89"/>
    </row>
    <row r="17" ht="22.5" customHeight="1">
      <c r="A17" s="90">
        <v>1.0</v>
      </c>
      <c r="B17" s="91" t="s">
        <v>44</v>
      </c>
      <c r="C17" s="70" t="s">
        <v>6942</v>
      </c>
      <c r="D17" s="90">
        <v>18.0</v>
      </c>
      <c r="E17" s="70" t="s">
        <v>31543</v>
      </c>
      <c r="F17" s="70" t="s">
        <v>6943</v>
      </c>
      <c r="G17" s="70" t="s">
        <v>31577</v>
      </c>
      <c r="H17" s="70" t="s">
        <v>5632</v>
      </c>
      <c r="I17" s="76">
        <v>43720.0</v>
      </c>
      <c r="J17" s="70" t="s">
        <v>239</v>
      </c>
      <c r="K17" s="70" t="s">
        <v>6945</v>
      </c>
      <c r="L17" s="70" t="s">
        <v>31578</v>
      </c>
      <c r="M17" s="70" t="s">
        <v>5479</v>
      </c>
      <c r="N17" s="93"/>
      <c r="O17" s="92"/>
      <c r="P17" s="90">
        <v>0.0</v>
      </c>
      <c r="Q17" s="90">
        <v>16.0</v>
      </c>
      <c r="R17" s="89"/>
      <c r="S17" s="89"/>
      <c r="T17" s="89"/>
      <c r="U17" s="89"/>
      <c r="V17" s="89"/>
      <c r="W17" s="89"/>
      <c r="X17" s="89"/>
      <c r="Y17" s="89"/>
      <c r="Z17" s="89"/>
      <c r="AA17" s="89"/>
      <c r="AB17" s="89"/>
      <c r="AC17" s="89"/>
      <c r="AD17" s="89"/>
      <c r="AE17" s="89"/>
      <c r="AF17" s="89"/>
      <c r="AG17" s="89"/>
      <c r="AH17" s="89"/>
      <c r="AI17" s="89"/>
      <c r="AJ17" s="89"/>
      <c r="AK17" s="89"/>
      <c r="AL17" s="89"/>
      <c r="AM17" s="89"/>
      <c r="AN17" s="89"/>
      <c r="AO17" s="89"/>
      <c r="AP17" s="89"/>
      <c r="AQ17" s="89"/>
      <c r="AR17" s="89"/>
      <c r="AS17" s="89"/>
      <c r="AT17" s="89"/>
      <c r="AU17" s="89"/>
      <c r="AV17" s="89"/>
      <c r="AW17" s="89"/>
      <c r="AX17" s="89"/>
      <c r="AY17" s="89"/>
      <c r="AZ17" s="89"/>
      <c r="BA17" s="89"/>
      <c r="BB17" s="89"/>
      <c r="BC17" s="89"/>
    </row>
    <row r="18" ht="22.5" customHeight="1">
      <c r="A18" s="90">
        <v>1.0</v>
      </c>
      <c r="B18" s="91" t="s">
        <v>48</v>
      </c>
      <c r="C18" s="70" t="s">
        <v>26091</v>
      </c>
      <c r="D18" s="90">
        <v>10.0</v>
      </c>
      <c r="E18" s="70" t="s">
        <v>31543</v>
      </c>
      <c r="F18" s="70" t="s">
        <v>26092</v>
      </c>
      <c r="G18" s="70" t="s">
        <v>31579</v>
      </c>
      <c r="H18" s="70" t="s">
        <v>23168</v>
      </c>
      <c r="I18" s="92"/>
      <c r="J18" s="92"/>
      <c r="K18" s="70" t="s">
        <v>29487</v>
      </c>
      <c r="L18" s="70" t="s">
        <v>31580</v>
      </c>
      <c r="M18" s="92"/>
      <c r="N18" s="90">
        <v>2022.0</v>
      </c>
      <c r="O18" s="92"/>
      <c r="P18" s="90">
        <v>0.0</v>
      </c>
      <c r="Q18" s="90">
        <v>17.0</v>
      </c>
      <c r="R18" s="89"/>
      <c r="S18" s="89"/>
      <c r="T18" s="89"/>
      <c r="U18" s="89"/>
      <c r="V18" s="89"/>
      <c r="W18" s="89"/>
      <c r="X18" s="89"/>
      <c r="Y18" s="89"/>
      <c r="Z18" s="89"/>
      <c r="AA18" s="89"/>
      <c r="AB18" s="89"/>
      <c r="AC18" s="89"/>
      <c r="AD18" s="89"/>
      <c r="AE18" s="89"/>
      <c r="AF18" s="89"/>
      <c r="AG18" s="89"/>
      <c r="AH18" s="89"/>
      <c r="AI18" s="89"/>
      <c r="AJ18" s="89"/>
      <c r="AK18" s="89"/>
      <c r="AL18" s="89"/>
      <c r="AM18" s="89"/>
      <c r="AN18" s="89"/>
      <c r="AO18" s="89"/>
      <c r="AP18" s="89"/>
      <c r="AQ18" s="89"/>
      <c r="AR18" s="89"/>
      <c r="AS18" s="89"/>
      <c r="AT18" s="89"/>
      <c r="AU18" s="89"/>
      <c r="AV18" s="89"/>
      <c r="AW18" s="89"/>
      <c r="AX18" s="89"/>
      <c r="AY18" s="89"/>
      <c r="AZ18" s="89"/>
      <c r="BA18" s="89"/>
      <c r="BB18" s="89"/>
      <c r="BC18" s="89"/>
    </row>
    <row r="19" ht="22.5" customHeight="1">
      <c r="A19" s="90">
        <v>1.0</v>
      </c>
      <c r="B19" s="91" t="s">
        <v>44</v>
      </c>
      <c r="C19" s="70" t="s">
        <v>22280</v>
      </c>
      <c r="D19" s="90">
        <v>21.0</v>
      </c>
      <c r="E19" s="70" t="s">
        <v>31543</v>
      </c>
      <c r="F19" s="70" t="s">
        <v>22281</v>
      </c>
      <c r="G19" s="70" t="s">
        <v>31581</v>
      </c>
      <c r="H19" s="70" t="s">
        <v>17040</v>
      </c>
      <c r="I19" s="77">
        <v>45474.0</v>
      </c>
      <c r="J19" s="70" t="s">
        <v>239</v>
      </c>
      <c r="K19" s="70" t="s">
        <v>29436</v>
      </c>
      <c r="L19" s="70" t="s">
        <v>31582</v>
      </c>
      <c r="M19" s="70" t="s">
        <v>17041</v>
      </c>
      <c r="N19" s="93"/>
      <c r="O19" s="92"/>
      <c r="P19" s="90">
        <v>0.0</v>
      </c>
      <c r="Q19" s="90">
        <v>18.0</v>
      </c>
      <c r="R19" s="89"/>
      <c r="S19" s="89"/>
      <c r="T19" s="89"/>
      <c r="U19" s="89"/>
      <c r="V19" s="89"/>
      <c r="W19" s="89"/>
      <c r="X19" s="89"/>
      <c r="Y19" s="89"/>
      <c r="Z19" s="89"/>
      <c r="AA19" s="89"/>
      <c r="AB19" s="89"/>
      <c r="AC19" s="89"/>
      <c r="AD19" s="89"/>
      <c r="AE19" s="89"/>
      <c r="AF19" s="89"/>
      <c r="AG19" s="89"/>
      <c r="AH19" s="89"/>
      <c r="AI19" s="89"/>
      <c r="AJ19" s="89"/>
      <c r="AK19" s="89"/>
      <c r="AL19" s="89"/>
      <c r="AM19" s="89"/>
      <c r="AN19" s="89"/>
      <c r="AO19" s="89"/>
      <c r="AP19" s="89"/>
      <c r="AQ19" s="89"/>
      <c r="AR19" s="89"/>
      <c r="AS19" s="89"/>
      <c r="AT19" s="89"/>
      <c r="AU19" s="89"/>
      <c r="AV19" s="89"/>
      <c r="AW19" s="89"/>
      <c r="AX19" s="89"/>
      <c r="AY19" s="89"/>
      <c r="AZ19" s="89"/>
      <c r="BA19" s="89"/>
      <c r="BB19" s="89"/>
      <c r="BC19" s="89"/>
    </row>
    <row r="20" ht="22.5" customHeight="1">
      <c r="A20" s="90">
        <v>1.0</v>
      </c>
      <c r="B20" s="91" t="s">
        <v>44</v>
      </c>
      <c r="C20" s="70" t="s">
        <v>23498</v>
      </c>
      <c r="D20" s="90">
        <v>20.0</v>
      </c>
      <c r="E20" s="70" t="s">
        <v>31543</v>
      </c>
      <c r="F20" s="70" t="s">
        <v>23499</v>
      </c>
      <c r="G20" s="70" t="s">
        <v>31583</v>
      </c>
      <c r="H20" s="70" t="s">
        <v>23482</v>
      </c>
      <c r="I20" s="92"/>
      <c r="J20" s="92"/>
      <c r="K20" s="70" t="s">
        <v>29332</v>
      </c>
      <c r="L20" s="70" t="s">
        <v>31584</v>
      </c>
      <c r="M20" s="92"/>
      <c r="N20" s="90">
        <v>2025.0</v>
      </c>
      <c r="O20" s="92"/>
      <c r="P20" s="90">
        <v>0.0</v>
      </c>
      <c r="Q20" s="90">
        <v>19.0</v>
      </c>
      <c r="R20" s="89"/>
      <c r="S20" s="89"/>
      <c r="T20" s="89"/>
      <c r="U20" s="89"/>
      <c r="V20" s="89"/>
      <c r="W20" s="89"/>
      <c r="X20" s="89"/>
      <c r="Y20" s="89"/>
      <c r="Z20" s="89"/>
      <c r="AA20" s="89"/>
      <c r="AB20" s="89"/>
      <c r="AC20" s="89"/>
      <c r="AD20" s="89"/>
      <c r="AE20" s="89"/>
      <c r="AF20" s="89"/>
      <c r="AG20" s="89"/>
      <c r="AH20" s="89"/>
      <c r="AI20" s="89"/>
      <c r="AJ20" s="89"/>
      <c r="AK20" s="89"/>
      <c r="AL20" s="89"/>
      <c r="AM20" s="89"/>
      <c r="AN20" s="89"/>
      <c r="AO20" s="89"/>
      <c r="AP20" s="89"/>
      <c r="AQ20" s="89"/>
      <c r="AR20" s="89"/>
      <c r="AS20" s="89"/>
      <c r="AT20" s="89"/>
      <c r="AU20" s="89"/>
      <c r="AV20" s="89"/>
      <c r="AW20" s="89"/>
      <c r="AX20" s="89"/>
      <c r="AY20" s="89"/>
      <c r="AZ20" s="89"/>
      <c r="BA20" s="89"/>
      <c r="BB20" s="89"/>
      <c r="BC20" s="89"/>
    </row>
    <row r="21" ht="22.5" customHeight="1">
      <c r="A21" s="90">
        <v>1.0</v>
      </c>
      <c r="B21" s="91" t="s">
        <v>48</v>
      </c>
      <c r="C21" s="70" t="s">
        <v>18017</v>
      </c>
      <c r="D21" s="90">
        <v>16.0</v>
      </c>
      <c r="E21" s="70" t="s">
        <v>31543</v>
      </c>
      <c r="F21" s="70" t="s">
        <v>18020</v>
      </c>
      <c r="G21" s="70" t="s">
        <v>31585</v>
      </c>
      <c r="H21" s="70" t="s">
        <v>18018</v>
      </c>
      <c r="I21" s="76">
        <v>43157.0</v>
      </c>
      <c r="J21" s="70" t="s">
        <v>239</v>
      </c>
      <c r="K21" s="70" t="s">
        <v>18022</v>
      </c>
      <c r="L21" s="70" t="s">
        <v>31586</v>
      </c>
      <c r="M21" s="70" t="s">
        <v>18019</v>
      </c>
      <c r="N21" s="93"/>
      <c r="O21" s="92"/>
      <c r="P21" s="90">
        <v>0.0</v>
      </c>
      <c r="Q21" s="90">
        <v>20.0</v>
      </c>
      <c r="R21" s="89"/>
      <c r="S21" s="89"/>
      <c r="T21" s="89"/>
      <c r="U21" s="89"/>
      <c r="V21" s="89"/>
      <c r="W21" s="89"/>
      <c r="X21" s="89"/>
      <c r="Y21" s="89"/>
      <c r="Z21" s="89"/>
      <c r="AA21" s="89"/>
      <c r="AB21" s="89"/>
      <c r="AC21" s="89"/>
      <c r="AD21" s="89"/>
      <c r="AE21" s="89"/>
      <c r="AF21" s="89"/>
      <c r="AG21" s="89"/>
      <c r="AH21" s="89"/>
      <c r="AI21" s="89"/>
      <c r="AJ21" s="89"/>
      <c r="AK21" s="89"/>
      <c r="AL21" s="89"/>
      <c r="AM21" s="89"/>
      <c r="AN21" s="89"/>
      <c r="AO21" s="89"/>
      <c r="AP21" s="89"/>
      <c r="AQ21" s="89"/>
      <c r="AR21" s="89"/>
      <c r="AS21" s="89"/>
      <c r="AT21" s="89"/>
      <c r="AU21" s="89"/>
      <c r="AV21" s="89"/>
      <c r="AW21" s="89"/>
      <c r="AX21" s="89"/>
      <c r="AY21" s="89"/>
      <c r="AZ21" s="89"/>
      <c r="BA21" s="89"/>
      <c r="BB21" s="89"/>
      <c r="BC21" s="89"/>
    </row>
    <row r="22" ht="22.5" customHeight="1">
      <c r="A22" s="90">
        <v>1.0</v>
      </c>
      <c r="B22" s="91" t="s">
        <v>44</v>
      </c>
      <c r="C22" s="70" t="s">
        <v>12459</v>
      </c>
      <c r="D22" s="90">
        <v>25.0</v>
      </c>
      <c r="E22" s="70" t="s">
        <v>31543</v>
      </c>
      <c r="F22" s="70" t="s">
        <v>12460</v>
      </c>
      <c r="G22" s="70" t="s">
        <v>31587</v>
      </c>
      <c r="H22" s="70" t="s">
        <v>11571</v>
      </c>
      <c r="I22" s="76">
        <v>44972.0</v>
      </c>
      <c r="J22" s="70" t="s">
        <v>239</v>
      </c>
      <c r="K22" s="70" t="s">
        <v>12462</v>
      </c>
      <c r="L22" s="70" t="s">
        <v>31588</v>
      </c>
      <c r="M22" s="70" t="s">
        <v>11572</v>
      </c>
      <c r="N22" s="93"/>
      <c r="O22" s="92"/>
      <c r="P22" s="90">
        <v>0.0</v>
      </c>
      <c r="Q22" s="90">
        <v>21.0</v>
      </c>
      <c r="R22" s="89"/>
      <c r="S22" s="89"/>
      <c r="T22" s="89"/>
      <c r="U22" s="89"/>
      <c r="V22" s="89"/>
      <c r="W22" s="89"/>
      <c r="X22" s="89"/>
      <c r="Y22" s="89"/>
      <c r="Z22" s="89"/>
      <c r="AA22" s="89"/>
      <c r="AB22" s="89"/>
      <c r="AC22" s="89"/>
      <c r="AD22" s="89"/>
      <c r="AE22" s="89"/>
      <c r="AF22" s="89"/>
      <c r="AG22" s="89"/>
      <c r="AH22" s="89"/>
      <c r="AI22" s="89"/>
      <c r="AJ22" s="89"/>
      <c r="AK22" s="89"/>
      <c r="AL22" s="89"/>
      <c r="AM22" s="89"/>
      <c r="AN22" s="89"/>
      <c r="AO22" s="89"/>
      <c r="AP22" s="89"/>
      <c r="AQ22" s="89"/>
      <c r="AR22" s="89"/>
      <c r="AS22" s="89"/>
      <c r="AT22" s="89"/>
      <c r="AU22" s="89"/>
      <c r="AV22" s="89"/>
      <c r="AW22" s="89"/>
      <c r="AX22" s="89"/>
      <c r="AY22" s="89"/>
      <c r="AZ22" s="89"/>
      <c r="BA22" s="89"/>
      <c r="BB22" s="89"/>
      <c r="BC22" s="89"/>
    </row>
    <row r="23" ht="22.5" customHeight="1">
      <c r="A23" s="90">
        <v>1.0</v>
      </c>
      <c r="B23" s="91" t="s">
        <v>48</v>
      </c>
      <c r="C23" s="70" t="s">
        <v>29279</v>
      </c>
      <c r="D23" s="90">
        <v>15.0</v>
      </c>
      <c r="E23" s="70" t="s">
        <v>31543</v>
      </c>
      <c r="F23" s="70" t="s">
        <v>29280</v>
      </c>
      <c r="G23" s="70" t="s">
        <v>31589</v>
      </c>
      <c r="H23" s="70" t="s">
        <v>18018</v>
      </c>
      <c r="I23" s="92"/>
      <c r="J23" s="92"/>
      <c r="K23" s="70" t="s">
        <v>29444</v>
      </c>
      <c r="L23" s="70" t="s">
        <v>31590</v>
      </c>
      <c r="M23" s="92"/>
      <c r="N23" s="90">
        <v>2016.0</v>
      </c>
      <c r="O23" s="92"/>
      <c r="P23" s="90">
        <v>0.0</v>
      </c>
      <c r="Q23" s="90">
        <v>22.0</v>
      </c>
      <c r="R23" s="89"/>
      <c r="S23" s="89"/>
      <c r="T23" s="89"/>
      <c r="U23" s="89"/>
      <c r="V23" s="89"/>
      <c r="W23" s="89"/>
      <c r="X23" s="89"/>
      <c r="Y23" s="89"/>
      <c r="Z23" s="89"/>
      <c r="AA23" s="89"/>
      <c r="AB23" s="89"/>
      <c r="AC23" s="89"/>
      <c r="AD23" s="89"/>
      <c r="AE23" s="89"/>
      <c r="AF23" s="89"/>
      <c r="AG23" s="89"/>
      <c r="AH23" s="89"/>
      <c r="AI23" s="89"/>
      <c r="AJ23" s="89"/>
      <c r="AK23" s="89"/>
      <c r="AL23" s="89"/>
      <c r="AM23" s="89"/>
      <c r="AN23" s="89"/>
      <c r="AO23" s="89"/>
      <c r="AP23" s="89"/>
      <c r="AQ23" s="89"/>
      <c r="AR23" s="89"/>
      <c r="AS23" s="89"/>
      <c r="AT23" s="89"/>
      <c r="AU23" s="89"/>
      <c r="AV23" s="89"/>
      <c r="AW23" s="89"/>
      <c r="AX23" s="89"/>
      <c r="AY23" s="89"/>
      <c r="AZ23" s="89"/>
      <c r="BA23" s="89"/>
      <c r="BB23" s="89"/>
      <c r="BC23" s="89"/>
    </row>
    <row r="24" ht="22.5" customHeight="1">
      <c r="A24" s="90">
        <v>1.0</v>
      </c>
      <c r="B24" s="91" t="s">
        <v>48</v>
      </c>
      <c r="C24" s="70" t="s">
        <v>29268</v>
      </c>
      <c r="D24" s="90">
        <v>14.0</v>
      </c>
      <c r="E24" s="70" t="s">
        <v>31543</v>
      </c>
      <c r="F24" s="70" t="s">
        <v>29269</v>
      </c>
      <c r="G24" s="70" t="s">
        <v>31591</v>
      </c>
      <c r="H24" s="70" t="s">
        <v>24608</v>
      </c>
      <c r="I24" s="92"/>
      <c r="J24" s="92"/>
      <c r="K24" s="70" t="s">
        <v>29326</v>
      </c>
      <c r="L24" s="70" t="s">
        <v>31592</v>
      </c>
      <c r="M24" s="92"/>
      <c r="N24" s="90">
        <v>2017.0</v>
      </c>
      <c r="O24" s="92"/>
      <c r="P24" s="90">
        <v>0.0</v>
      </c>
      <c r="Q24" s="90">
        <v>23.0</v>
      </c>
      <c r="R24" s="89"/>
      <c r="S24" s="89"/>
      <c r="T24" s="89"/>
      <c r="U24" s="89"/>
      <c r="V24" s="89"/>
      <c r="W24" s="89"/>
      <c r="X24" s="89"/>
      <c r="Y24" s="89"/>
      <c r="Z24" s="89"/>
      <c r="AA24" s="89"/>
      <c r="AB24" s="89"/>
      <c r="AC24" s="89"/>
      <c r="AD24" s="89"/>
      <c r="AE24" s="89"/>
      <c r="AF24" s="89"/>
      <c r="AG24" s="89"/>
      <c r="AH24" s="89"/>
      <c r="AI24" s="89"/>
      <c r="AJ24" s="89"/>
      <c r="AK24" s="89"/>
      <c r="AL24" s="89"/>
      <c r="AM24" s="89"/>
      <c r="AN24" s="89"/>
      <c r="AO24" s="89"/>
      <c r="AP24" s="89"/>
      <c r="AQ24" s="89"/>
      <c r="AR24" s="89"/>
      <c r="AS24" s="89"/>
      <c r="AT24" s="89"/>
      <c r="AU24" s="89"/>
      <c r="AV24" s="89"/>
      <c r="AW24" s="89"/>
      <c r="AX24" s="89"/>
      <c r="AY24" s="89"/>
      <c r="AZ24" s="89"/>
      <c r="BA24" s="89"/>
      <c r="BB24" s="89"/>
      <c r="BC24" s="89"/>
    </row>
    <row r="25" ht="22.5" customHeight="1">
      <c r="A25" s="90">
        <v>1.0</v>
      </c>
      <c r="B25" s="91" t="s">
        <v>40</v>
      </c>
      <c r="C25" s="70" t="s">
        <v>14918</v>
      </c>
      <c r="D25" s="90">
        <v>1.0</v>
      </c>
      <c r="E25" s="70" t="s">
        <v>31543</v>
      </c>
      <c r="F25" s="70" t="s">
        <v>14920</v>
      </c>
      <c r="G25" s="70" t="s">
        <v>31593</v>
      </c>
      <c r="H25" s="70" t="s">
        <v>14919</v>
      </c>
      <c r="I25" s="76">
        <v>45610.0</v>
      </c>
      <c r="J25" s="70" t="s">
        <v>239</v>
      </c>
      <c r="K25" s="70" t="s">
        <v>29396</v>
      </c>
      <c r="L25" s="70" t="s">
        <v>31594</v>
      </c>
      <c r="M25" s="70" t="s">
        <v>11141</v>
      </c>
      <c r="N25" s="93"/>
      <c r="O25" s="92"/>
      <c r="P25" s="90">
        <v>0.0</v>
      </c>
      <c r="Q25" s="90">
        <v>24.0</v>
      </c>
      <c r="R25" s="89"/>
      <c r="S25" s="89"/>
      <c r="T25" s="89"/>
      <c r="U25" s="89"/>
      <c r="V25" s="89"/>
      <c r="W25" s="89"/>
      <c r="X25" s="89"/>
      <c r="Y25" s="89"/>
      <c r="Z25" s="89"/>
      <c r="AA25" s="89"/>
      <c r="AB25" s="89"/>
      <c r="AC25" s="89"/>
      <c r="AD25" s="89"/>
      <c r="AE25" s="89"/>
      <c r="AF25" s="89"/>
      <c r="AG25" s="89"/>
      <c r="AH25" s="89"/>
      <c r="AI25" s="89"/>
      <c r="AJ25" s="89"/>
      <c r="AK25" s="89"/>
      <c r="AL25" s="89"/>
      <c r="AM25" s="89"/>
      <c r="AN25" s="89"/>
      <c r="AO25" s="89"/>
      <c r="AP25" s="89"/>
      <c r="AQ25" s="89"/>
      <c r="AR25" s="89"/>
      <c r="AS25" s="89"/>
      <c r="AT25" s="89"/>
      <c r="AU25" s="89"/>
      <c r="AV25" s="89"/>
      <c r="AW25" s="89"/>
      <c r="AX25" s="89"/>
      <c r="AY25" s="89"/>
      <c r="AZ25" s="89"/>
      <c r="BA25" s="89"/>
      <c r="BB25" s="89"/>
      <c r="BC25" s="89"/>
    </row>
    <row r="26" ht="22.5" customHeight="1">
      <c r="A26" s="90">
        <v>1.0</v>
      </c>
      <c r="B26" s="91" t="s">
        <v>44</v>
      </c>
      <c r="C26" s="70" t="s">
        <v>22862</v>
      </c>
      <c r="D26" s="90">
        <v>37.0</v>
      </c>
      <c r="E26" s="70" t="s">
        <v>31543</v>
      </c>
      <c r="F26" s="70" t="s">
        <v>22863</v>
      </c>
      <c r="G26" s="70" t="s">
        <v>31595</v>
      </c>
      <c r="H26" s="70" t="s">
        <v>22868</v>
      </c>
      <c r="I26" s="92"/>
      <c r="J26" s="92"/>
      <c r="K26" s="70" t="s">
        <v>29357</v>
      </c>
      <c r="L26" s="70" t="s">
        <v>31596</v>
      </c>
      <c r="M26" s="92"/>
      <c r="N26" s="90">
        <v>2025.0</v>
      </c>
      <c r="O26" s="92"/>
      <c r="P26" s="90">
        <v>0.0</v>
      </c>
      <c r="Q26" s="90">
        <v>25.0</v>
      </c>
      <c r="R26" s="89"/>
      <c r="S26" s="89"/>
      <c r="T26" s="89"/>
      <c r="U26" s="89"/>
      <c r="V26" s="89"/>
      <c r="W26" s="89"/>
      <c r="X26" s="89"/>
      <c r="Y26" s="89"/>
      <c r="Z26" s="89"/>
      <c r="AA26" s="89"/>
      <c r="AB26" s="89"/>
      <c r="AC26" s="89"/>
      <c r="AD26" s="89"/>
      <c r="AE26" s="89"/>
      <c r="AF26" s="89"/>
      <c r="AG26" s="89"/>
      <c r="AH26" s="89"/>
      <c r="AI26" s="89"/>
      <c r="AJ26" s="89"/>
      <c r="AK26" s="89"/>
      <c r="AL26" s="89"/>
      <c r="AM26" s="89"/>
      <c r="AN26" s="89"/>
      <c r="AO26" s="89"/>
      <c r="AP26" s="89"/>
      <c r="AQ26" s="89"/>
      <c r="AR26" s="89"/>
      <c r="AS26" s="89"/>
      <c r="AT26" s="89"/>
      <c r="AU26" s="89"/>
      <c r="AV26" s="89"/>
      <c r="AW26" s="89"/>
      <c r="AX26" s="89"/>
      <c r="AY26" s="89"/>
      <c r="AZ26" s="89"/>
      <c r="BA26" s="89"/>
      <c r="BB26" s="89"/>
      <c r="BC26" s="89"/>
    </row>
    <row r="27" ht="22.5" customHeight="1">
      <c r="A27" s="90">
        <v>1.0</v>
      </c>
      <c r="B27" s="91" t="s">
        <v>44</v>
      </c>
      <c r="C27" s="70" t="s">
        <v>13741</v>
      </c>
      <c r="D27" s="90">
        <v>3.0</v>
      </c>
      <c r="E27" s="70" t="s">
        <v>31543</v>
      </c>
      <c r="F27" s="70" t="s">
        <v>13742</v>
      </c>
      <c r="G27" s="70" t="s">
        <v>31597</v>
      </c>
      <c r="H27" s="70" t="s">
        <v>12672</v>
      </c>
      <c r="I27" s="76">
        <v>45596.0</v>
      </c>
      <c r="J27" s="70" t="s">
        <v>239</v>
      </c>
      <c r="K27" s="70" t="s">
        <v>13744</v>
      </c>
      <c r="L27" s="70" t="s">
        <v>31598</v>
      </c>
      <c r="M27" s="70" t="s">
        <v>5351</v>
      </c>
      <c r="N27" s="93"/>
      <c r="O27" s="92"/>
      <c r="P27" s="90">
        <v>0.0</v>
      </c>
      <c r="Q27" s="90">
        <v>26.0</v>
      </c>
      <c r="R27" s="89"/>
      <c r="S27" s="89"/>
      <c r="T27" s="89"/>
      <c r="U27" s="89"/>
      <c r="V27" s="89"/>
      <c r="W27" s="89"/>
      <c r="X27" s="89"/>
      <c r="Y27" s="89"/>
      <c r="Z27" s="89"/>
      <c r="AA27" s="89"/>
      <c r="AB27" s="89"/>
      <c r="AC27" s="89"/>
      <c r="AD27" s="89"/>
      <c r="AE27" s="89"/>
      <c r="AF27" s="89"/>
      <c r="AG27" s="89"/>
      <c r="AH27" s="89"/>
      <c r="AI27" s="89"/>
      <c r="AJ27" s="89"/>
      <c r="AK27" s="89"/>
      <c r="AL27" s="89"/>
      <c r="AM27" s="89"/>
      <c r="AN27" s="89"/>
      <c r="AO27" s="89"/>
      <c r="AP27" s="89"/>
      <c r="AQ27" s="89"/>
      <c r="AR27" s="89"/>
      <c r="AS27" s="89"/>
      <c r="AT27" s="89"/>
      <c r="AU27" s="89"/>
      <c r="AV27" s="89"/>
      <c r="AW27" s="89"/>
      <c r="AX27" s="89"/>
      <c r="AY27" s="89"/>
      <c r="AZ27" s="89"/>
      <c r="BA27" s="89"/>
      <c r="BB27" s="89"/>
      <c r="BC27" s="89"/>
    </row>
    <row r="28" ht="22.5" customHeight="1">
      <c r="A28" s="90">
        <v>1.0</v>
      </c>
      <c r="B28" s="91" t="s">
        <v>44</v>
      </c>
      <c r="C28" s="70" t="s">
        <v>20549</v>
      </c>
      <c r="D28" s="90">
        <v>24.0</v>
      </c>
      <c r="E28" s="70" t="s">
        <v>31543</v>
      </c>
      <c r="F28" s="70" t="s">
        <v>20550</v>
      </c>
      <c r="G28" s="70" t="s">
        <v>31599</v>
      </c>
      <c r="H28" s="70" t="s">
        <v>16436</v>
      </c>
      <c r="I28" s="77">
        <v>45236.0</v>
      </c>
      <c r="J28" s="70" t="s">
        <v>239</v>
      </c>
      <c r="K28" s="70" t="s">
        <v>20552</v>
      </c>
      <c r="L28" s="70" t="s">
        <v>31600</v>
      </c>
      <c r="M28" s="70" t="s">
        <v>16437</v>
      </c>
      <c r="N28" s="93"/>
      <c r="O28" s="92"/>
      <c r="P28" s="90">
        <v>0.0</v>
      </c>
      <c r="Q28" s="90">
        <v>27.0</v>
      </c>
      <c r="R28" s="89"/>
      <c r="S28" s="89"/>
      <c r="T28" s="89"/>
      <c r="U28" s="89"/>
      <c r="V28" s="89"/>
      <c r="W28" s="89"/>
      <c r="X28" s="89"/>
      <c r="Y28" s="89"/>
      <c r="Z28" s="89"/>
      <c r="AA28" s="89"/>
      <c r="AB28" s="89"/>
      <c r="AC28" s="89"/>
      <c r="AD28" s="89"/>
      <c r="AE28" s="89"/>
      <c r="AF28" s="89"/>
      <c r="AG28" s="89"/>
      <c r="AH28" s="89"/>
      <c r="AI28" s="89"/>
      <c r="AJ28" s="89"/>
      <c r="AK28" s="89"/>
      <c r="AL28" s="89"/>
      <c r="AM28" s="89"/>
      <c r="AN28" s="89"/>
      <c r="AO28" s="89"/>
      <c r="AP28" s="89"/>
      <c r="AQ28" s="89"/>
      <c r="AR28" s="89"/>
      <c r="AS28" s="89"/>
      <c r="AT28" s="89"/>
      <c r="AU28" s="89"/>
      <c r="AV28" s="89"/>
      <c r="AW28" s="89"/>
      <c r="AX28" s="89"/>
      <c r="AY28" s="89"/>
      <c r="AZ28" s="89"/>
      <c r="BA28" s="89"/>
      <c r="BB28" s="89"/>
      <c r="BC28" s="89"/>
    </row>
    <row r="29" ht="22.5" customHeight="1">
      <c r="A29" s="90">
        <v>1.0</v>
      </c>
      <c r="B29" s="91" t="s">
        <v>48</v>
      </c>
      <c r="C29" s="70" t="s">
        <v>465</v>
      </c>
      <c r="D29" s="90">
        <v>31.0</v>
      </c>
      <c r="E29" s="70" t="s">
        <v>31543</v>
      </c>
      <c r="F29" s="70" t="s">
        <v>468</v>
      </c>
      <c r="G29" s="70" t="s">
        <v>31601</v>
      </c>
      <c r="H29" s="70" t="s">
        <v>466</v>
      </c>
      <c r="I29" s="70">
        <v>2021.0</v>
      </c>
      <c r="J29" s="70" t="s">
        <v>401</v>
      </c>
      <c r="K29" s="70" t="s">
        <v>473</v>
      </c>
      <c r="L29" s="70" t="s">
        <v>31602</v>
      </c>
      <c r="M29" s="70" t="s">
        <v>467</v>
      </c>
      <c r="N29" s="93"/>
      <c r="O29" s="70" t="s">
        <v>31603</v>
      </c>
      <c r="P29" s="90">
        <v>0.0</v>
      </c>
      <c r="Q29" s="90">
        <v>28.0</v>
      </c>
      <c r="R29" s="89"/>
      <c r="S29" s="89"/>
      <c r="T29" s="89"/>
      <c r="U29" s="89"/>
      <c r="V29" s="89"/>
      <c r="W29" s="89"/>
      <c r="X29" s="89"/>
      <c r="Y29" s="89"/>
      <c r="Z29" s="89"/>
      <c r="AA29" s="89"/>
      <c r="AB29" s="89"/>
      <c r="AC29" s="89"/>
      <c r="AD29" s="89"/>
      <c r="AE29" s="89"/>
      <c r="AF29" s="89"/>
      <c r="AG29" s="89"/>
      <c r="AH29" s="89"/>
      <c r="AI29" s="89"/>
      <c r="AJ29" s="89"/>
      <c r="AK29" s="89"/>
      <c r="AL29" s="89"/>
      <c r="AM29" s="89"/>
      <c r="AN29" s="89"/>
      <c r="AO29" s="89"/>
      <c r="AP29" s="89"/>
      <c r="AQ29" s="89"/>
      <c r="AR29" s="89"/>
      <c r="AS29" s="89"/>
      <c r="AT29" s="89"/>
      <c r="AU29" s="89"/>
      <c r="AV29" s="89"/>
      <c r="AW29" s="89"/>
      <c r="AX29" s="89"/>
      <c r="AY29" s="89"/>
      <c r="AZ29" s="89"/>
      <c r="BA29" s="89"/>
      <c r="BB29" s="89"/>
      <c r="BC29" s="89"/>
    </row>
    <row r="30" ht="22.5" customHeight="1">
      <c r="A30" s="90">
        <v>1.0</v>
      </c>
      <c r="B30" s="91" t="s">
        <v>48</v>
      </c>
      <c r="C30" s="70" t="s">
        <v>22059</v>
      </c>
      <c r="D30" s="90">
        <v>51.0</v>
      </c>
      <c r="E30" s="70" t="s">
        <v>31543</v>
      </c>
      <c r="F30" s="70" t="s">
        <v>22060</v>
      </c>
      <c r="G30" s="70" t="s">
        <v>31604</v>
      </c>
      <c r="H30" s="70" t="s">
        <v>16436</v>
      </c>
      <c r="I30" s="76">
        <v>45553.0</v>
      </c>
      <c r="J30" s="70" t="s">
        <v>239</v>
      </c>
      <c r="K30" s="70" t="s">
        <v>22062</v>
      </c>
      <c r="L30" s="70" t="s">
        <v>31605</v>
      </c>
      <c r="M30" s="70" t="s">
        <v>16437</v>
      </c>
      <c r="N30" s="93"/>
      <c r="O30" s="92"/>
      <c r="P30" s="90">
        <v>0.0</v>
      </c>
      <c r="Q30" s="90">
        <v>29.0</v>
      </c>
      <c r="R30" s="89"/>
      <c r="S30" s="89"/>
      <c r="T30" s="89"/>
      <c r="U30" s="89"/>
      <c r="V30" s="89"/>
      <c r="W30" s="89"/>
      <c r="X30" s="89"/>
      <c r="Y30" s="89"/>
      <c r="Z30" s="89"/>
      <c r="AA30" s="89"/>
      <c r="AB30" s="89"/>
      <c r="AC30" s="89"/>
      <c r="AD30" s="89"/>
      <c r="AE30" s="89"/>
      <c r="AF30" s="89"/>
      <c r="AG30" s="89"/>
      <c r="AH30" s="89"/>
      <c r="AI30" s="89"/>
      <c r="AJ30" s="89"/>
      <c r="AK30" s="89"/>
      <c r="AL30" s="89"/>
      <c r="AM30" s="89"/>
      <c r="AN30" s="89"/>
      <c r="AO30" s="89"/>
      <c r="AP30" s="89"/>
      <c r="AQ30" s="89"/>
      <c r="AR30" s="89"/>
      <c r="AS30" s="89"/>
      <c r="AT30" s="89"/>
      <c r="AU30" s="89"/>
      <c r="AV30" s="89"/>
      <c r="AW30" s="89"/>
      <c r="AX30" s="89"/>
      <c r="AY30" s="89"/>
      <c r="AZ30" s="89"/>
      <c r="BA30" s="89"/>
      <c r="BB30" s="89"/>
      <c r="BC30" s="89"/>
    </row>
    <row r="31" ht="22.5" customHeight="1">
      <c r="A31" s="90">
        <v>1.0</v>
      </c>
      <c r="B31" s="91" t="s">
        <v>40</v>
      </c>
      <c r="C31" s="70" t="s">
        <v>28169</v>
      </c>
      <c r="D31" s="90">
        <v>70.0</v>
      </c>
      <c r="E31" s="70" t="s">
        <v>31543</v>
      </c>
      <c r="F31" s="70" t="s">
        <v>28170</v>
      </c>
      <c r="G31" s="70" t="s">
        <v>31606</v>
      </c>
      <c r="H31" s="70" t="s">
        <v>24360</v>
      </c>
      <c r="I31" s="92"/>
      <c r="J31" s="92"/>
      <c r="K31" s="70" t="s">
        <v>29313</v>
      </c>
      <c r="L31" s="70" t="s">
        <v>31607</v>
      </c>
      <c r="M31" s="92"/>
      <c r="N31" s="90">
        <v>2021.0</v>
      </c>
      <c r="O31" s="92"/>
      <c r="P31" s="90">
        <v>0.0</v>
      </c>
      <c r="Q31" s="90">
        <v>30.0</v>
      </c>
      <c r="R31" s="89"/>
      <c r="S31" s="89"/>
      <c r="T31" s="89"/>
      <c r="U31" s="89"/>
      <c r="V31" s="89"/>
      <c r="W31" s="89"/>
      <c r="X31" s="89"/>
      <c r="Y31" s="89"/>
      <c r="Z31" s="89"/>
      <c r="AA31" s="89"/>
      <c r="AB31" s="89"/>
      <c r="AC31" s="89"/>
      <c r="AD31" s="89"/>
      <c r="AE31" s="89"/>
      <c r="AF31" s="89"/>
      <c r="AG31" s="89"/>
      <c r="AH31" s="89"/>
      <c r="AI31" s="89"/>
      <c r="AJ31" s="89"/>
      <c r="AK31" s="89"/>
      <c r="AL31" s="89"/>
      <c r="AM31" s="89"/>
      <c r="AN31" s="89"/>
      <c r="AO31" s="89"/>
      <c r="AP31" s="89"/>
      <c r="AQ31" s="89"/>
      <c r="AR31" s="89"/>
      <c r="AS31" s="89"/>
      <c r="AT31" s="89"/>
      <c r="AU31" s="89"/>
      <c r="AV31" s="89"/>
      <c r="AW31" s="89"/>
      <c r="AX31" s="89"/>
      <c r="AY31" s="89"/>
      <c r="AZ31" s="89"/>
      <c r="BA31" s="89"/>
      <c r="BB31" s="89"/>
      <c r="BC31" s="89"/>
    </row>
    <row r="32" ht="22.5" customHeight="1">
      <c r="A32" s="90">
        <v>1.0</v>
      </c>
      <c r="B32" s="91" t="s">
        <v>44</v>
      </c>
      <c r="C32" s="70" t="s">
        <v>24396</v>
      </c>
      <c r="D32" s="90">
        <v>29.0</v>
      </c>
      <c r="E32" s="70" t="s">
        <v>31543</v>
      </c>
      <c r="F32" s="70" t="s">
        <v>24397</v>
      </c>
      <c r="G32" s="70" t="s">
        <v>31608</v>
      </c>
      <c r="H32" s="70" t="s">
        <v>24402</v>
      </c>
      <c r="I32" s="92"/>
      <c r="J32" s="92"/>
      <c r="K32" s="70" t="s">
        <v>29403</v>
      </c>
      <c r="L32" s="70" t="s">
        <v>31609</v>
      </c>
      <c r="M32" s="92"/>
      <c r="N32" s="90">
        <v>2024.0</v>
      </c>
      <c r="O32" s="92"/>
      <c r="P32" s="90">
        <v>0.0</v>
      </c>
      <c r="Q32" s="90">
        <v>31.0</v>
      </c>
      <c r="R32" s="89"/>
      <c r="S32" s="89"/>
      <c r="T32" s="89"/>
      <c r="U32" s="89"/>
      <c r="V32" s="89"/>
      <c r="W32" s="89"/>
      <c r="X32" s="89"/>
      <c r="Y32" s="89"/>
      <c r="Z32" s="89"/>
      <c r="AA32" s="89"/>
      <c r="AB32" s="89"/>
      <c r="AC32" s="89"/>
      <c r="AD32" s="89"/>
      <c r="AE32" s="89"/>
      <c r="AF32" s="89"/>
      <c r="AG32" s="89"/>
      <c r="AH32" s="89"/>
      <c r="AI32" s="89"/>
      <c r="AJ32" s="89"/>
      <c r="AK32" s="89"/>
      <c r="AL32" s="89"/>
      <c r="AM32" s="89"/>
      <c r="AN32" s="89"/>
      <c r="AO32" s="89"/>
      <c r="AP32" s="89"/>
      <c r="AQ32" s="89"/>
      <c r="AR32" s="89"/>
      <c r="AS32" s="89"/>
      <c r="AT32" s="89"/>
      <c r="AU32" s="89"/>
      <c r="AV32" s="89"/>
      <c r="AW32" s="89"/>
      <c r="AX32" s="89"/>
      <c r="AY32" s="89"/>
      <c r="AZ32" s="89"/>
      <c r="BA32" s="89"/>
      <c r="BB32" s="89"/>
      <c r="BC32" s="89"/>
    </row>
    <row r="33" ht="22.5" customHeight="1">
      <c r="A33" s="90">
        <v>1.0</v>
      </c>
      <c r="B33" s="91" t="s">
        <v>44</v>
      </c>
      <c r="C33" s="70" t="s">
        <v>3654</v>
      </c>
      <c r="D33" s="90">
        <v>33.0</v>
      </c>
      <c r="E33" s="70" t="s">
        <v>31543</v>
      </c>
      <c r="F33" s="70" t="s">
        <v>3657</v>
      </c>
      <c r="G33" s="70" t="s">
        <v>31610</v>
      </c>
      <c r="H33" s="70" t="s">
        <v>3655</v>
      </c>
      <c r="I33" s="80">
        <v>44136.0</v>
      </c>
      <c r="J33" s="92"/>
      <c r="K33" s="70" t="s">
        <v>29458</v>
      </c>
      <c r="L33" s="70" t="s">
        <v>31611</v>
      </c>
      <c r="M33" s="70" t="s">
        <v>3656</v>
      </c>
      <c r="N33" s="93"/>
      <c r="O33" s="70" t="s">
        <v>31612</v>
      </c>
      <c r="P33" s="90">
        <v>0.0</v>
      </c>
      <c r="Q33" s="90">
        <v>32.0</v>
      </c>
      <c r="R33" s="89"/>
      <c r="S33" s="89"/>
      <c r="T33" s="89"/>
      <c r="U33" s="89"/>
      <c r="V33" s="89"/>
      <c r="W33" s="89"/>
      <c r="X33" s="89"/>
      <c r="Y33" s="89"/>
      <c r="Z33" s="89"/>
      <c r="AA33" s="89"/>
      <c r="AB33" s="89"/>
      <c r="AC33" s="89"/>
      <c r="AD33" s="89"/>
      <c r="AE33" s="89"/>
      <c r="AF33" s="89"/>
      <c r="AG33" s="89"/>
      <c r="AH33" s="89"/>
      <c r="AI33" s="89"/>
      <c r="AJ33" s="89"/>
      <c r="AK33" s="89"/>
      <c r="AL33" s="89"/>
      <c r="AM33" s="89"/>
      <c r="AN33" s="89"/>
      <c r="AO33" s="89"/>
      <c r="AP33" s="89"/>
      <c r="AQ33" s="89"/>
      <c r="AR33" s="89"/>
      <c r="AS33" s="89"/>
      <c r="AT33" s="89"/>
      <c r="AU33" s="89"/>
      <c r="AV33" s="89"/>
      <c r="AW33" s="89"/>
      <c r="AX33" s="89"/>
      <c r="AY33" s="89"/>
      <c r="AZ33" s="89"/>
      <c r="BA33" s="89"/>
      <c r="BB33" s="89"/>
      <c r="BC33" s="89"/>
    </row>
    <row r="34" ht="22.5" customHeight="1">
      <c r="A34" s="90">
        <v>1.0</v>
      </c>
      <c r="B34" s="91" t="s">
        <v>44</v>
      </c>
      <c r="C34" s="70" t="s">
        <v>6061</v>
      </c>
      <c r="D34" s="90">
        <v>52.0</v>
      </c>
      <c r="E34" s="70" t="s">
        <v>31543</v>
      </c>
      <c r="F34" s="70" t="s">
        <v>6064</v>
      </c>
      <c r="G34" s="70" t="s">
        <v>31613</v>
      </c>
      <c r="H34" s="70" t="s">
        <v>6062</v>
      </c>
      <c r="I34" s="77">
        <v>44228.0</v>
      </c>
      <c r="J34" s="70" t="s">
        <v>239</v>
      </c>
      <c r="K34" s="70" t="s">
        <v>29447</v>
      </c>
      <c r="L34" s="70" t="s">
        <v>31614</v>
      </c>
      <c r="M34" s="70" t="s">
        <v>6063</v>
      </c>
      <c r="N34" s="93"/>
      <c r="O34" s="92"/>
      <c r="P34" s="90">
        <v>0.0</v>
      </c>
      <c r="Q34" s="90">
        <v>33.0</v>
      </c>
      <c r="R34" s="89"/>
      <c r="S34" s="89"/>
      <c r="T34" s="89"/>
      <c r="U34" s="89"/>
      <c r="V34" s="89"/>
      <c r="W34" s="89"/>
      <c r="X34" s="89"/>
      <c r="Y34" s="89"/>
      <c r="Z34" s="89"/>
      <c r="AA34" s="89"/>
      <c r="AB34" s="89"/>
      <c r="AC34" s="89"/>
      <c r="AD34" s="89"/>
      <c r="AE34" s="89"/>
      <c r="AF34" s="89"/>
      <c r="AG34" s="89"/>
      <c r="AH34" s="89"/>
      <c r="AI34" s="89"/>
      <c r="AJ34" s="89"/>
      <c r="AK34" s="89"/>
      <c r="AL34" s="89"/>
      <c r="AM34" s="89"/>
      <c r="AN34" s="89"/>
      <c r="AO34" s="89"/>
      <c r="AP34" s="89"/>
      <c r="AQ34" s="89"/>
      <c r="AR34" s="89"/>
      <c r="AS34" s="89"/>
      <c r="AT34" s="89"/>
      <c r="AU34" s="89"/>
      <c r="AV34" s="89"/>
      <c r="AW34" s="89"/>
      <c r="AX34" s="89"/>
      <c r="AY34" s="89"/>
      <c r="AZ34" s="89"/>
      <c r="BA34" s="89"/>
      <c r="BB34" s="89"/>
      <c r="BC34" s="89"/>
    </row>
    <row r="35" ht="22.5" customHeight="1">
      <c r="A35" s="90">
        <v>1.0</v>
      </c>
      <c r="B35" s="91" t="s">
        <v>44</v>
      </c>
      <c r="C35" s="70" t="s">
        <v>9160</v>
      </c>
      <c r="D35" s="90">
        <v>53.0</v>
      </c>
      <c r="E35" s="70" t="s">
        <v>31543</v>
      </c>
      <c r="F35" s="70" t="s">
        <v>9163</v>
      </c>
      <c r="G35" s="70" t="s">
        <v>31615</v>
      </c>
      <c r="H35" s="70" t="s">
        <v>9161</v>
      </c>
      <c r="I35" s="76">
        <v>44757.0</v>
      </c>
      <c r="J35" s="70" t="s">
        <v>239</v>
      </c>
      <c r="K35" s="70" t="s">
        <v>29406</v>
      </c>
      <c r="L35" s="70" t="s">
        <v>31616</v>
      </c>
      <c r="M35" s="70" t="s">
        <v>9162</v>
      </c>
      <c r="N35" s="93"/>
      <c r="O35" s="92"/>
      <c r="P35" s="90">
        <v>0.0</v>
      </c>
      <c r="Q35" s="90">
        <v>34.0</v>
      </c>
      <c r="R35" s="89"/>
      <c r="S35" s="89"/>
      <c r="T35" s="89"/>
      <c r="U35" s="89"/>
      <c r="V35" s="89"/>
      <c r="W35" s="89"/>
      <c r="X35" s="89"/>
      <c r="Y35" s="89"/>
      <c r="Z35" s="89"/>
      <c r="AA35" s="89"/>
      <c r="AB35" s="89"/>
      <c r="AC35" s="89"/>
      <c r="AD35" s="89"/>
      <c r="AE35" s="89"/>
      <c r="AF35" s="89"/>
      <c r="AG35" s="89"/>
      <c r="AH35" s="89"/>
      <c r="AI35" s="89"/>
      <c r="AJ35" s="89"/>
      <c r="AK35" s="89"/>
      <c r="AL35" s="89"/>
      <c r="AM35" s="89"/>
      <c r="AN35" s="89"/>
      <c r="AO35" s="89"/>
      <c r="AP35" s="89"/>
      <c r="AQ35" s="89"/>
      <c r="AR35" s="89"/>
      <c r="AS35" s="89"/>
      <c r="AT35" s="89"/>
      <c r="AU35" s="89"/>
      <c r="AV35" s="89"/>
      <c r="AW35" s="89"/>
      <c r="AX35" s="89"/>
      <c r="AY35" s="89"/>
      <c r="AZ35" s="89"/>
      <c r="BA35" s="89"/>
      <c r="BB35" s="89"/>
      <c r="BC35" s="89"/>
    </row>
    <row r="36" ht="22.5" customHeight="1">
      <c r="A36" s="90">
        <v>1.0</v>
      </c>
      <c r="B36" s="91" t="s">
        <v>48</v>
      </c>
      <c r="C36" s="70" t="s">
        <v>937</v>
      </c>
      <c r="D36" s="90">
        <v>28.0</v>
      </c>
      <c r="E36" s="70" t="s">
        <v>31543</v>
      </c>
      <c r="F36" s="70" t="s">
        <v>940</v>
      </c>
      <c r="G36" s="70" t="s">
        <v>31617</v>
      </c>
      <c r="H36" s="70" t="s">
        <v>938</v>
      </c>
      <c r="I36" s="70">
        <v>2022.0</v>
      </c>
      <c r="J36" s="70" t="s">
        <v>401</v>
      </c>
      <c r="K36" s="70" t="s">
        <v>944</v>
      </c>
      <c r="L36" s="70" t="s">
        <v>31618</v>
      </c>
      <c r="M36" s="70" t="s">
        <v>939</v>
      </c>
      <c r="N36" s="93"/>
      <c r="O36" s="70" t="s">
        <v>31619</v>
      </c>
      <c r="P36" s="90">
        <v>0.0</v>
      </c>
      <c r="Q36" s="90">
        <v>35.0</v>
      </c>
      <c r="R36" s="89"/>
      <c r="S36" s="89"/>
      <c r="T36" s="89"/>
      <c r="U36" s="89"/>
      <c r="V36" s="89"/>
      <c r="W36" s="89"/>
      <c r="X36" s="89"/>
      <c r="Y36" s="89"/>
      <c r="Z36" s="89"/>
      <c r="AA36" s="89"/>
      <c r="AB36" s="89"/>
      <c r="AC36" s="89"/>
      <c r="AD36" s="89"/>
      <c r="AE36" s="89"/>
      <c r="AF36" s="89"/>
      <c r="AG36" s="89"/>
      <c r="AH36" s="89"/>
      <c r="AI36" s="89"/>
      <c r="AJ36" s="89"/>
      <c r="AK36" s="89"/>
      <c r="AL36" s="89"/>
      <c r="AM36" s="89"/>
      <c r="AN36" s="89"/>
      <c r="AO36" s="89"/>
      <c r="AP36" s="89"/>
      <c r="AQ36" s="89"/>
      <c r="AR36" s="89"/>
      <c r="AS36" s="89"/>
      <c r="AT36" s="89"/>
      <c r="AU36" s="89"/>
      <c r="AV36" s="89"/>
      <c r="AW36" s="89"/>
      <c r="AX36" s="89"/>
      <c r="AY36" s="89"/>
      <c r="AZ36" s="89"/>
      <c r="BA36" s="89"/>
      <c r="BB36" s="89"/>
      <c r="BC36" s="89"/>
    </row>
    <row r="37" ht="22.5" customHeight="1">
      <c r="A37" s="90">
        <v>1.0</v>
      </c>
      <c r="B37" s="91" t="s">
        <v>48</v>
      </c>
      <c r="C37" s="70" t="s">
        <v>19709</v>
      </c>
      <c r="D37" s="90">
        <v>71.0</v>
      </c>
      <c r="E37" s="70" t="s">
        <v>31543</v>
      </c>
      <c r="F37" s="70" t="s">
        <v>19710</v>
      </c>
      <c r="G37" s="70" t="s">
        <v>31620</v>
      </c>
      <c r="H37" s="70" t="s">
        <v>16959</v>
      </c>
      <c r="I37" s="76">
        <v>44510.0</v>
      </c>
      <c r="J37" s="70" t="s">
        <v>239</v>
      </c>
      <c r="K37" s="70" t="s">
        <v>19712</v>
      </c>
      <c r="L37" s="70" t="s">
        <v>31621</v>
      </c>
      <c r="M37" s="70" t="s">
        <v>16960</v>
      </c>
      <c r="N37" s="93"/>
      <c r="O37" s="92"/>
      <c r="P37" s="90">
        <v>0.0</v>
      </c>
      <c r="Q37" s="90">
        <v>36.0</v>
      </c>
      <c r="R37" s="89"/>
      <c r="S37" s="89"/>
      <c r="T37" s="89"/>
      <c r="U37" s="89"/>
      <c r="V37" s="89"/>
      <c r="W37" s="89"/>
      <c r="X37" s="89"/>
      <c r="Y37" s="89"/>
      <c r="Z37" s="89"/>
      <c r="AA37" s="89"/>
      <c r="AB37" s="89"/>
      <c r="AC37" s="89"/>
      <c r="AD37" s="89"/>
      <c r="AE37" s="89"/>
      <c r="AF37" s="89"/>
      <c r="AG37" s="89"/>
      <c r="AH37" s="89"/>
      <c r="AI37" s="89"/>
      <c r="AJ37" s="89"/>
      <c r="AK37" s="89"/>
      <c r="AL37" s="89"/>
      <c r="AM37" s="89"/>
      <c r="AN37" s="89"/>
      <c r="AO37" s="89"/>
      <c r="AP37" s="89"/>
      <c r="AQ37" s="89"/>
      <c r="AR37" s="89"/>
      <c r="AS37" s="89"/>
      <c r="AT37" s="89"/>
      <c r="AU37" s="89"/>
      <c r="AV37" s="89"/>
      <c r="AW37" s="89"/>
      <c r="AX37" s="89"/>
      <c r="AY37" s="89"/>
      <c r="AZ37" s="89"/>
      <c r="BA37" s="89"/>
      <c r="BB37" s="89"/>
      <c r="BC37" s="89"/>
    </row>
    <row r="38" ht="22.5" customHeight="1">
      <c r="A38" s="90">
        <v>1.0</v>
      </c>
      <c r="B38" s="91" t="s">
        <v>40</v>
      </c>
      <c r="C38" s="70" t="s">
        <v>12510</v>
      </c>
      <c r="D38" s="90">
        <v>97.0</v>
      </c>
      <c r="E38" s="70" t="s">
        <v>31543</v>
      </c>
      <c r="F38" s="70" t="s">
        <v>12513</v>
      </c>
      <c r="G38" s="70" t="s">
        <v>31622</v>
      </c>
      <c r="H38" s="70" t="s">
        <v>12511</v>
      </c>
      <c r="I38" s="76">
        <v>45517.0</v>
      </c>
      <c r="J38" s="70" t="s">
        <v>239</v>
      </c>
      <c r="K38" s="70" t="s">
        <v>12515</v>
      </c>
      <c r="L38" s="70" t="s">
        <v>31623</v>
      </c>
      <c r="M38" s="70" t="s">
        <v>12512</v>
      </c>
      <c r="N38" s="93"/>
      <c r="O38" s="92"/>
      <c r="P38" s="90">
        <v>0.0</v>
      </c>
      <c r="Q38" s="90">
        <v>37.0</v>
      </c>
      <c r="R38" s="89"/>
      <c r="S38" s="89"/>
      <c r="T38" s="89"/>
      <c r="U38" s="89"/>
      <c r="V38" s="89"/>
      <c r="W38" s="89"/>
      <c r="X38" s="89"/>
      <c r="Y38" s="89"/>
      <c r="Z38" s="89"/>
      <c r="AA38" s="89"/>
      <c r="AB38" s="89"/>
      <c r="AC38" s="89"/>
      <c r="AD38" s="89"/>
      <c r="AE38" s="89"/>
      <c r="AF38" s="89"/>
      <c r="AG38" s="89"/>
      <c r="AH38" s="89"/>
      <c r="AI38" s="89"/>
      <c r="AJ38" s="89"/>
      <c r="AK38" s="89"/>
      <c r="AL38" s="89"/>
      <c r="AM38" s="89"/>
      <c r="AN38" s="89"/>
      <c r="AO38" s="89"/>
      <c r="AP38" s="89"/>
      <c r="AQ38" s="89"/>
      <c r="AR38" s="89"/>
      <c r="AS38" s="89"/>
      <c r="AT38" s="89"/>
      <c r="AU38" s="89"/>
      <c r="AV38" s="89"/>
      <c r="AW38" s="89"/>
      <c r="AX38" s="89"/>
      <c r="AY38" s="89"/>
      <c r="AZ38" s="89"/>
      <c r="BA38" s="89"/>
      <c r="BB38" s="89"/>
      <c r="BC38" s="89"/>
    </row>
    <row r="39" ht="22.5" customHeight="1">
      <c r="A39" s="90">
        <v>1.0</v>
      </c>
      <c r="B39" s="91" t="s">
        <v>48</v>
      </c>
      <c r="C39" s="70" t="s">
        <v>23266</v>
      </c>
      <c r="D39" s="90">
        <v>78.0</v>
      </c>
      <c r="E39" s="70" t="s">
        <v>31543</v>
      </c>
      <c r="F39" s="70" t="s">
        <v>23267</v>
      </c>
      <c r="G39" s="70" t="s">
        <v>31624</v>
      </c>
      <c r="H39" s="70" t="s">
        <v>23179</v>
      </c>
      <c r="I39" s="92"/>
      <c r="J39" s="92"/>
      <c r="K39" s="70" t="s">
        <v>29342</v>
      </c>
      <c r="L39" s="70" t="s">
        <v>31625</v>
      </c>
      <c r="M39" s="92"/>
      <c r="N39" s="90">
        <v>2025.0</v>
      </c>
      <c r="O39" s="92"/>
      <c r="P39" s="90">
        <v>0.0</v>
      </c>
      <c r="Q39" s="90">
        <v>38.0</v>
      </c>
      <c r="R39" s="89"/>
      <c r="S39" s="89"/>
      <c r="T39" s="89"/>
      <c r="U39" s="89"/>
      <c r="V39" s="89"/>
      <c r="W39" s="89"/>
      <c r="X39" s="89"/>
      <c r="Y39" s="89"/>
      <c r="Z39" s="89"/>
      <c r="AA39" s="89"/>
      <c r="AB39" s="89"/>
      <c r="AC39" s="89"/>
      <c r="AD39" s="89"/>
      <c r="AE39" s="89"/>
      <c r="AF39" s="89"/>
      <c r="AG39" s="89"/>
      <c r="AH39" s="89"/>
      <c r="AI39" s="89"/>
      <c r="AJ39" s="89"/>
      <c r="AK39" s="89"/>
      <c r="AL39" s="89"/>
      <c r="AM39" s="89"/>
      <c r="AN39" s="89"/>
      <c r="AO39" s="89"/>
      <c r="AP39" s="89"/>
      <c r="AQ39" s="89"/>
      <c r="AR39" s="89"/>
      <c r="AS39" s="89"/>
      <c r="AT39" s="89"/>
      <c r="AU39" s="89"/>
      <c r="AV39" s="89"/>
      <c r="AW39" s="89"/>
      <c r="AX39" s="89"/>
      <c r="AY39" s="89"/>
      <c r="AZ39" s="89"/>
      <c r="BA39" s="89"/>
      <c r="BB39" s="89"/>
      <c r="BC39" s="89"/>
    </row>
    <row r="40" ht="22.5" customHeight="1">
      <c r="A40" s="90">
        <v>1.0</v>
      </c>
      <c r="B40" s="91" t="s">
        <v>44</v>
      </c>
      <c r="C40" s="70" t="s">
        <v>22572</v>
      </c>
      <c r="D40" s="90">
        <v>76.0</v>
      </c>
      <c r="E40" s="70" t="s">
        <v>31543</v>
      </c>
      <c r="F40" s="70" t="s">
        <v>22573</v>
      </c>
      <c r="G40" s="70" t="s">
        <v>31626</v>
      </c>
      <c r="H40" s="70" t="s">
        <v>22523</v>
      </c>
      <c r="I40" s="92"/>
      <c r="J40" s="92"/>
      <c r="K40" s="70" t="s">
        <v>29348</v>
      </c>
      <c r="L40" s="70" t="s">
        <v>31627</v>
      </c>
      <c r="M40" s="92"/>
      <c r="N40" s="90">
        <v>2025.0</v>
      </c>
      <c r="O40" s="92"/>
      <c r="P40" s="90">
        <v>0.0</v>
      </c>
      <c r="Q40" s="90">
        <v>39.0</v>
      </c>
      <c r="R40" s="89"/>
      <c r="S40" s="89"/>
      <c r="T40" s="89"/>
      <c r="U40" s="89"/>
      <c r="V40" s="89"/>
      <c r="W40" s="89"/>
      <c r="X40" s="89"/>
      <c r="Y40" s="89"/>
      <c r="Z40" s="89"/>
      <c r="AA40" s="89"/>
      <c r="AB40" s="89"/>
      <c r="AC40" s="89"/>
      <c r="AD40" s="89"/>
      <c r="AE40" s="89"/>
      <c r="AF40" s="89"/>
      <c r="AG40" s="89"/>
      <c r="AH40" s="89"/>
      <c r="AI40" s="89"/>
      <c r="AJ40" s="89"/>
      <c r="AK40" s="89"/>
      <c r="AL40" s="89"/>
      <c r="AM40" s="89"/>
      <c r="AN40" s="89"/>
      <c r="AO40" s="89"/>
      <c r="AP40" s="89"/>
      <c r="AQ40" s="89"/>
      <c r="AR40" s="89"/>
      <c r="AS40" s="89"/>
      <c r="AT40" s="89"/>
      <c r="AU40" s="89"/>
      <c r="AV40" s="89"/>
      <c r="AW40" s="89"/>
      <c r="AX40" s="89"/>
      <c r="AY40" s="89"/>
      <c r="AZ40" s="89"/>
      <c r="BA40" s="89"/>
      <c r="BB40" s="89"/>
      <c r="BC40" s="89"/>
    </row>
    <row r="41" ht="22.5" customHeight="1">
      <c r="A41" s="90">
        <v>1.0</v>
      </c>
      <c r="B41" s="91" t="s">
        <v>48</v>
      </c>
      <c r="C41" s="70" t="s">
        <v>5760</v>
      </c>
      <c r="D41" s="90">
        <v>99.0</v>
      </c>
      <c r="E41" s="70" t="s">
        <v>31543</v>
      </c>
      <c r="F41" s="70" t="s">
        <v>5763</v>
      </c>
      <c r="G41" s="70" t="s">
        <v>31628</v>
      </c>
      <c r="H41" s="70" t="s">
        <v>5761</v>
      </c>
      <c r="I41" s="76">
        <v>44890.0</v>
      </c>
      <c r="J41" s="70" t="s">
        <v>239</v>
      </c>
      <c r="K41" s="70" t="s">
        <v>5765</v>
      </c>
      <c r="L41" s="70" t="s">
        <v>31629</v>
      </c>
      <c r="M41" s="70" t="s">
        <v>5762</v>
      </c>
      <c r="N41" s="93"/>
      <c r="O41" s="92"/>
      <c r="P41" s="90">
        <v>0.0</v>
      </c>
      <c r="Q41" s="90">
        <v>40.0</v>
      </c>
      <c r="R41" s="89"/>
      <c r="S41" s="89"/>
      <c r="T41" s="89"/>
      <c r="U41" s="89"/>
      <c r="V41" s="89"/>
      <c r="W41" s="89"/>
      <c r="X41" s="89"/>
      <c r="Y41" s="89"/>
      <c r="Z41" s="89"/>
      <c r="AA41" s="89"/>
      <c r="AB41" s="89"/>
      <c r="AC41" s="89"/>
      <c r="AD41" s="89"/>
      <c r="AE41" s="89"/>
      <c r="AF41" s="89"/>
      <c r="AG41" s="89"/>
      <c r="AH41" s="89"/>
      <c r="AI41" s="89"/>
      <c r="AJ41" s="89"/>
      <c r="AK41" s="89"/>
      <c r="AL41" s="89"/>
      <c r="AM41" s="89"/>
      <c r="AN41" s="89"/>
      <c r="AO41" s="89"/>
      <c r="AP41" s="89"/>
      <c r="AQ41" s="89"/>
      <c r="AR41" s="89"/>
      <c r="AS41" s="89"/>
      <c r="AT41" s="89"/>
      <c r="AU41" s="89"/>
      <c r="AV41" s="89"/>
      <c r="AW41" s="89"/>
      <c r="AX41" s="89"/>
      <c r="AY41" s="89"/>
      <c r="AZ41" s="89"/>
      <c r="BA41" s="89"/>
      <c r="BB41" s="89"/>
      <c r="BC41" s="89"/>
    </row>
    <row r="42" ht="22.5" customHeight="1">
      <c r="A42" s="90">
        <v>1.0</v>
      </c>
      <c r="B42" s="91" t="s">
        <v>48</v>
      </c>
      <c r="C42" s="70" t="s">
        <v>23371</v>
      </c>
      <c r="D42" s="90">
        <v>75.0</v>
      </c>
      <c r="E42" s="70" t="s">
        <v>31543</v>
      </c>
      <c r="F42" s="70" t="s">
        <v>23372</v>
      </c>
      <c r="G42" s="70" t="s">
        <v>31630</v>
      </c>
      <c r="H42" s="70" t="s">
        <v>23377</v>
      </c>
      <c r="I42" s="92"/>
      <c r="J42" s="92"/>
      <c r="K42" s="70" t="s">
        <v>29334</v>
      </c>
      <c r="L42" s="70" t="s">
        <v>31631</v>
      </c>
      <c r="M42" s="92"/>
      <c r="N42" s="90">
        <v>2024.0</v>
      </c>
      <c r="O42" s="92"/>
      <c r="P42" s="90">
        <v>0.0</v>
      </c>
      <c r="Q42" s="90">
        <v>41.0</v>
      </c>
      <c r="R42" s="89"/>
      <c r="S42" s="89"/>
      <c r="T42" s="89"/>
      <c r="U42" s="89"/>
      <c r="V42" s="89"/>
      <c r="W42" s="89"/>
      <c r="X42" s="89"/>
      <c r="Y42" s="89"/>
      <c r="Z42" s="89"/>
      <c r="AA42" s="89"/>
      <c r="AB42" s="89"/>
      <c r="AC42" s="89"/>
      <c r="AD42" s="89"/>
      <c r="AE42" s="89"/>
      <c r="AF42" s="89"/>
      <c r="AG42" s="89"/>
      <c r="AH42" s="89"/>
      <c r="AI42" s="89"/>
      <c r="AJ42" s="89"/>
      <c r="AK42" s="89"/>
      <c r="AL42" s="89"/>
      <c r="AM42" s="89"/>
      <c r="AN42" s="89"/>
      <c r="AO42" s="89"/>
      <c r="AP42" s="89"/>
      <c r="AQ42" s="89"/>
      <c r="AR42" s="89"/>
      <c r="AS42" s="89"/>
      <c r="AT42" s="89"/>
      <c r="AU42" s="89"/>
      <c r="AV42" s="89"/>
      <c r="AW42" s="89"/>
      <c r="AX42" s="89"/>
      <c r="AY42" s="89"/>
      <c r="AZ42" s="89"/>
      <c r="BA42" s="89"/>
      <c r="BB42" s="89"/>
      <c r="BC42" s="89"/>
    </row>
    <row r="43" ht="22.5" customHeight="1">
      <c r="A43" s="90">
        <v>1.0</v>
      </c>
      <c r="B43" s="91" t="s">
        <v>44</v>
      </c>
      <c r="C43" s="70" t="s">
        <v>21868</v>
      </c>
      <c r="D43" s="90">
        <v>61.0</v>
      </c>
      <c r="E43" s="70" t="s">
        <v>31543</v>
      </c>
      <c r="F43" s="70" t="s">
        <v>21869</v>
      </c>
      <c r="G43" s="70" t="s">
        <v>31632</v>
      </c>
      <c r="H43" s="70" t="s">
        <v>16436</v>
      </c>
      <c r="I43" s="76">
        <v>45593.0</v>
      </c>
      <c r="J43" s="70" t="s">
        <v>239</v>
      </c>
      <c r="K43" s="70" t="s">
        <v>29376</v>
      </c>
      <c r="L43" s="70" t="s">
        <v>31633</v>
      </c>
      <c r="M43" s="70" t="s">
        <v>16437</v>
      </c>
      <c r="N43" s="93"/>
      <c r="O43" s="92"/>
      <c r="P43" s="90">
        <v>0.0</v>
      </c>
      <c r="Q43" s="90">
        <v>42.0</v>
      </c>
      <c r="R43" s="89"/>
      <c r="S43" s="89"/>
      <c r="T43" s="89"/>
      <c r="U43" s="89"/>
      <c r="V43" s="89"/>
      <c r="W43" s="89"/>
      <c r="X43" s="89"/>
      <c r="Y43" s="89"/>
      <c r="Z43" s="89"/>
      <c r="AA43" s="89"/>
      <c r="AB43" s="89"/>
      <c r="AC43" s="89"/>
      <c r="AD43" s="89"/>
      <c r="AE43" s="89"/>
      <c r="AF43" s="89"/>
      <c r="AG43" s="89"/>
      <c r="AH43" s="89"/>
      <c r="AI43" s="89"/>
      <c r="AJ43" s="89"/>
      <c r="AK43" s="89"/>
      <c r="AL43" s="89"/>
      <c r="AM43" s="89"/>
      <c r="AN43" s="89"/>
      <c r="AO43" s="89"/>
      <c r="AP43" s="89"/>
      <c r="AQ43" s="89"/>
      <c r="AR43" s="89"/>
      <c r="AS43" s="89"/>
      <c r="AT43" s="89"/>
      <c r="AU43" s="89"/>
      <c r="AV43" s="89"/>
      <c r="AW43" s="89"/>
      <c r="AX43" s="89"/>
      <c r="AY43" s="89"/>
      <c r="AZ43" s="89"/>
      <c r="BA43" s="89"/>
      <c r="BB43" s="89"/>
      <c r="BC43" s="89"/>
    </row>
    <row r="44" ht="22.5" customHeight="1">
      <c r="A44" s="90">
        <v>1.0</v>
      </c>
      <c r="B44" s="91" t="s">
        <v>40</v>
      </c>
      <c r="C44" s="70" t="s">
        <v>785</v>
      </c>
      <c r="D44" s="90">
        <v>64.0</v>
      </c>
      <c r="E44" s="70" t="s">
        <v>31543</v>
      </c>
      <c r="F44" s="70" t="s">
        <v>788</v>
      </c>
      <c r="G44" s="70" t="s">
        <v>31634</v>
      </c>
      <c r="H44" s="70" t="s">
        <v>29315</v>
      </c>
      <c r="I44" s="70">
        <v>2022.0</v>
      </c>
      <c r="J44" s="70" t="s">
        <v>387</v>
      </c>
      <c r="K44" s="70" t="s">
        <v>792</v>
      </c>
      <c r="L44" s="70" t="s">
        <v>31635</v>
      </c>
      <c r="M44" s="70" t="s">
        <v>787</v>
      </c>
      <c r="N44" s="93"/>
      <c r="O44" s="70" t="s">
        <v>31636</v>
      </c>
      <c r="P44" s="90">
        <v>0.0</v>
      </c>
      <c r="Q44" s="90">
        <v>43.0</v>
      </c>
      <c r="R44" s="89"/>
      <c r="S44" s="89"/>
      <c r="T44" s="89"/>
      <c r="U44" s="89"/>
      <c r="V44" s="89"/>
      <c r="W44" s="89"/>
      <c r="X44" s="89"/>
      <c r="Y44" s="89"/>
      <c r="Z44" s="89"/>
      <c r="AA44" s="89"/>
      <c r="AB44" s="89"/>
      <c r="AC44" s="89"/>
      <c r="AD44" s="89"/>
      <c r="AE44" s="89"/>
      <c r="AF44" s="89"/>
      <c r="AG44" s="89"/>
      <c r="AH44" s="89"/>
      <c r="AI44" s="89"/>
      <c r="AJ44" s="89"/>
      <c r="AK44" s="89"/>
      <c r="AL44" s="89"/>
      <c r="AM44" s="89"/>
      <c r="AN44" s="89"/>
      <c r="AO44" s="89"/>
      <c r="AP44" s="89"/>
      <c r="AQ44" s="89"/>
      <c r="AR44" s="89"/>
      <c r="AS44" s="89"/>
      <c r="AT44" s="89"/>
      <c r="AU44" s="89"/>
      <c r="AV44" s="89"/>
      <c r="AW44" s="89"/>
      <c r="AX44" s="89"/>
      <c r="AY44" s="89"/>
      <c r="AZ44" s="89"/>
      <c r="BA44" s="89"/>
      <c r="BB44" s="89"/>
      <c r="BC44" s="89"/>
    </row>
    <row r="45" ht="22.5" customHeight="1">
      <c r="A45" s="90">
        <v>1.0</v>
      </c>
      <c r="B45" s="91" t="s">
        <v>40</v>
      </c>
      <c r="C45" s="70" t="s">
        <v>15706</v>
      </c>
      <c r="D45" s="90">
        <v>66.0</v>
      </c>
      <c r="E45" s="70" t="s">
        <v>31543</v>
      </c>
      <c r="F45" s="70" t="s">
        <v>15707</v>
      </c>
      <c r="G45" s="70" t="s">
        <v>31637</v>
      </c>
      <c r="H45" s="70" t="s">
        <v>11140</v>
      </c>
      <c r="I45" s="77">
        <v>45236.0</v>
      </c>
      <c r="J45" s="70" t="s">
        <v>239</v>
      </c>
      <c r="K45" s="70" t="s">
        <v>15709</v>
      </c>
      <c r="L45" s="70" t="s">
        <v>31638</v>
      </c>
      <c r="M45" s="70" t="s">
        <v>11141</v>
      </c>
      <c r="N45" s="93"/>
      <c r="O45" s="92"/>
      <c r="P45" s="90">
        <v>0.0</v>
      </c>
      <c r="Q45" s="90">
        <v>44.0</v>
      </c>
      <c r="R45" s="89"/>
      <c r="S45" s="89"/>
      <c r="T45" s="89"/>
      <c r="U45" s="89"/>
      <c r="V45" s="89"/>
      <c r="W45" s="89"/>
      <c r="X45" s="89"/>
      <c r="Y45" s="89"/>
      <c r="Z45" s="89"/>
      <c r="AA45" s="89"/>
      <c r="AB45" s="89"/>
      <c r="AC45" s="89"/>
      <c r="AD45" s="89"/>
      <c r="AE45" s="89"/>
      <c r="AF45" s="89"/>
      <c r="AG45" s="89"/>
      <c r="AH45" s="89"/>
      <c r="AI45" s="89"/>
      <c r="AJ45" s="89"/>
      <c r="AK45" s="89"/>
      <c r="AL45" s="89"/>
      <c r="AM45" s="89"/>
      <c r="AN45" s="89"/>
      <c r="AO45" s="89"/>
      <c r="AP45" s="89"/>
      <c r="AQ45" s="89"/>
      <c r="AR45" s="89"/>
      <c r="AS45" s="89"/>
      <c r="AT45" s="89"/>
      <c r="AU45" s="89"/>
      <c r="AV45" s="89"/>
      <c r="AW45" s="89"/>
      <c r="AX45" s="89"/>
      <c r="AY45" s="89"/>
      <c r="AZ45" s="89"/>
      <c r="BA45" s="89"/>
      <c r="BB45" s="89"/>
      <c r="BC45" s="89"/>
    </row>
    <row r="46" ht="22.5" customHeight="1">
      <c r="A46" s="90">
        <v>1.0</v>
      </c>
      <c r="B46" s="91" t="s">
        <v>44</v>
      </c>
      <c r="C46" s="70" t="s">
        <v>21454</v>
      </c>
      <c r="D46" s="90">
        <v>55.0</v>
      </c>
      <c r="E46" s="70" t="s">
        <v>31543</v>
      </c>
      <c r="F46" s="70" t="s">
        <v>21455</v>
      </c>
      <c r="G46" s="70" t="s">
        <v>31639</v>
      </c>
      <c r="H46" s="70" t="s">
        <v>16436</v>
      </c>
      <c r="I46" s="77">
        <v>45267.0</v>
      </c>
      <c r="J46" s="70" t="s">
        <v>239</v>
      </c>
      <c r="K46" s="70" t="s">
        <v>29372</v>
      </c>
      <c r="L46" s="70" t="s">
        <v>31640</v>
      </c>
      <c r="M46" s="70" t="s">
        <v>16437</v>
      </c>
      <c r="N46" s="93"/>
      <c r="O46" s="92"/>
      <c r="P46" s="90">
        <v>0.0</v>
      </c>
      <c r="Q46" s="90">
        <v>45.0</v>
      </c>
      <c r="R46" s="89"/>
      <c r="S46" s="89"/>
      <c r="T46" s="89"/>
      <c r="U46" s="89"/>
      <c r="V46" s="89"/>
      <c r="W46" s="89"/>
      <c r="X46" s="89"/>
      <c r="Y46" s="89"/>
      <c r="Z46" s="89"/>
      <c r="AA46" s="89"/>
      <c r="AB46" s="89"/>
      <c r="AC46" s="89"/>
      <c r="AD46" s="89"/>
      <c r="AE46" s="89"/>
      <c r="AF46" s="89"/>
      <c r="AG46" s="89"/>
      <c r="AH46" s="89"/>
      <c r="AI46" s="89"/>
      <c r="AJ46" s="89"/>
      <c r="AK46" s="89"/>
      <c r="AL46" s="89"/>
      <c r="AM46" s="89"/>
      <c r="AN46" s="89"/>
      <c r="AO46" s="89"/>
      <c r="AP46" s="89"/>
      <c r="AQ46" s="89"/>
      <c r="AR46" s="89"/>
      <c r="AS46" s="89"/>
      <c r="AT46" s="89"/>
      <c r="AU46" s="89"/>
      <c r="AV46" s="89"/>
      <c r="AW46" s="89"/>
      <c r="AX46" s="89"/>
      <c r="AY46" s="89"/>
      <c r="AZ46" s="89"/>
      <c r="BA46" s="89"/>
      <c r="BB46" s="89"/>
      <c r="BC46" s="89"/>
    </row>
    <row r="47" ht="22.5" customHeight="1">
      <c r="A47" s="90">
        <v>1.0</v>
      </c>
      <c r="B47" s="91" t="s">
        <v>44</v>
      </c>
      <c r="C47" s="70" t="s">
        <v>4658</v>
      </c>
      <c r="D47" s="90">
        <v>68.0</v>
      </c>
      <c r="E47" s="70" t="s">
        <v>31543</v>
      </c>
      <c r="F47" s="70" t="s">
        <v>4661</v>
      </c>
      <c r="G47" s="70" t="s">
        <v>31641</v>
      </c>
      <c r="H47" s="70" t="s">
        <v>4659</v>
      </c>
      <c r="I47" s="77">
        <v>43412.0</v>
      </c>
      <c r="J47" s="70" t="s">
        <v>239</v>
      </c>
      <c r="K47" s="70" t="s">
        <v>4663</v>
      </c>
      <c r="L47" s="70" t="s">
        <v>31642</v>
      </c>
      <c r="M47" s="70" t="s">
        <v>4660</v>
      </c>
      <c r="N47" s="93"/>
      <c r="O47" s="92"/>
      <c r="P47" s="90">
        <v>0.0</v>
      </c>
      <c r="Q47" s="90">
        <v>46.0</v>
      </c>
      <c r="R47" s="89"/>
      <c r="S47" s="89"/>
      <c r="T47" s="89"/>
      <c r="U47" s="89"/>
      <c r="V47" s="89"/>
      <c r="W47" s="89"/>
      <c r="X47" s="89"/>
      <c r="Y47" s="89"/>
      <c r="Z47" s="89"/>
      <c r="AA47" s="89"/>
      <c r="AB47" s="89"/>
      <c r="AC47" s="89"/>
      <c r="AD47" s="89"/>
      <c r="AE47" s="89"/>
      <c r="AF47" s="89"/>
      <c r="AG47" s="89"/>
      <c r="AH47" s="89"/>
      <c r="AI47" s="89"/>
      <c r="AJ47" s="89"/>
      <c r="AK47" s="89"/>
      <c r="AL47" s="89"/>
      <c r="AM47" s="89"/>
      <c r="AN47" s="89"/>
      <c r="AO47" s="89"/>
      <c r="AP47" s="89"/>
      <c r="AQ47" s="89"/>
      <c r="AR47" s="89"/>
      <c r="AS47" s="89"/>
      <c r="AT47" s="89"/>
      <c r="AU47" s="89"/>
      <c r="AV47" s="89"/>
      <c r="AW47" s="89"/>
      <c r="AX47" s="89"/>
      <c r="AY47" s="89"/>
      <c r="AZ47" s="89"/>
      <c r="BA47" s="89"/>
      <c r="BB47" s="89"/>
      <c r="BC47" s="89"/>
    </row>
    <row r="48" ht="22.5" customHeight="1">
      <c r="A48" s="90">
        <v>1.0</v>
      </c>
      <c r="B48" s="91" t="s">
        <v>44</v>
      </c>
      <c r="C48" s="70" t="s">
        <v>12919</v>
      </c>
      <c r="D48" s="90">
        <v>47.0</v>
      </c>
      <c r="E48" s="70" t="s">
        <v>31543</v>
      </c>
      <c r="F48" s="70" t="s">
        <v>12920</v>
      </c>
      <c r="G48" s="70" t="s">
        <v>31643</v>
      </c>
      <c r="H48" s="70" t="s">
        <v>11429</v>
      </c>
      <c r="I48" s="77">
        <v>45505.0</v>
      </c>
      <c r="J48" s="70" t="s">
        <v>239</v>
      </c>
      <c r="K48" s="70" t="s">
        <v>12922</v>
      </c>
      <c r="L48" s="70" t="s">
        <v>31644</v>
      </c>
      <c r="M48" s="92"/>
      <c r="N48" s="93"/>
      <c r="O48" s="92"/>
      <c r="P48" s="90">
        <v>0.0</v>
      </c>
      <c r="Q48" s="90">
        <v>47.0</v>
      </c>
      <c r="R48" s="89"/>
      <c r="S48" s="89"/>
      <c r="T48" s="89"/>
      <c r="U48" s="89"/>
      <c r="V48" s="89"/>
      <c r="W48" s="89"/>
      <c r="X48" s="89"/>
      <c r="Y48" s="89"/>
      <c r="Z48" s="89"/>
      <c r="AA48" s="89"/>
      <c r="AB48" s="89"/>
      <c r="AC48" s="89"/>
      <c r="AD48" s="89"/>
      <c r="AE48" s="89"/>
      <c r="AF48" s="89"/>
      <c r="AG48" s="89"/>
      <c r="AH48" s="89"/>
      <c r="AI48" s="89"/>
      <c r="AJ48" s="89"/>
      <c r="AK48" s="89"/>
      <c r="AL48" s="89"/>
      <c r="AM48" s="89"/>
      <c r="AN48" s="89"/>
      <c r="AO48" s="89"/>
      <c r="AP48" s="89"/>
      <c r="AQ48" s="89"/>
      <c r="AR48" s="89"/>
      <c r="AS48" s="89"/>
      <c r="AT48" s="89"/>
      <c r="AU48" s="89"/>
      <c r="AV48" s="89"/>
      <c r="AW48" s="89"/>
      <c r="AX48" s="89"/>
      <c r="AY48" s="89"/>
      <c r="AZ48" s="89"/>
      <c r="BA48" s="89"/>
      <c r="BB48" s="89"/>
      <c r="BC48" s="89"/>
    </row>
    <row r="49" ht="22.5" customHeight="1">
      <c r="A49" s="90">
        <v>1.0</v>
      </c>
      <c r="B49" s="91" t="s">
        <v>48</v>
      </c>
      <c r="C49" s="70" t="s">
        <v>14878</v>
      </c>
      <c r="D49" s="90">
        <v>0.0</v>
      </c>
      <c r="E49" s="70" t="s">
        <v>31543</v>
      </c>
      <c r="F49" s="70" t="s">
        <v>14880</v>
      </c>
      <c r="G49" s="70" t="s">
        <v>31645</v>
      </c>
      <c r="H49" s="70" t="s">
        <v>14879</v>
      </c>
      <c r="I49" s="77">
        <v>45566.0</v>
      </c>
      <c r="J49" s="70" t="s">
        <v>239</v>
      </c>
      <c r="K49" s="70" t="s">
        <v>14882</v>
      </c>
      <c r="L49" s="70" t="s">
        <v>31646</v>
      </c>
      <c r="M49" s="92"/>
      <c r="N49" s="93"/>
      <c r="O49" s="92"/>
      <c r="P49" s="90">
        <v>0.0</v>
      </c>
      <c r="Q49" s="90">
        <v>48.0</v>
      </c>
      <c r="R49" s="89"/>
      <c r="S49" s="89"/>
      <c r="T49" s="89"/>
      <c r="U49" s="89"/>
      <c r="V49" s="89"/>
      <c r="W49" s="89"/>
      <c r="X49" s="89"/>
      <c r="Y49" s="89"/>
      <c r="Z49" s="89"/>
      <c r="AA49" s="89"/>
      <c r="AB49" s="89"/>
      <c r="AC49" s="89"/>
      <c r="AD49" s="89"/>
      <c r="AE49" s="89"/>
      <c r="AF49" s="89"/>
      <c r="AG49" s="89"/>
      <c r="AH49" s="89"/>
      <c r="AI49" s="89"/>
      <c r="AJ49" s="89"/>
      <c r="AK49" s="89"/>
      <c r="AL49" s="89"/>
      <c r="AM49" s="89"/>
      <c r="AN49" s="89"/>
      <c r="AO49" s="89"/>
      <c r="AP49" s="89"/>
      <c r="AQ49" s="89"/>
      <c r="AR49" s="89"/>
      <c r="AS49" s="89"/>
      <c r="AT49" s="89"/>
      <c r="AU49" s="89"/>
      <c r="AV49" s="89"/>
      <c r="AW49" s="89"/>
      <c r="AX49" s="89"/>
      <c r="AY49" s="89"/>
      <c r="AZ49" s="89"/>
      <c r="BA49" s="89"/>
      <c r="BB49" s="89"/>
      <c r="BC49" s="89"/>
    </row>
    <row r="50" ht="22.5" customHeight="1">
      <c r="A50" s="90">
        <v>1.0</v>
      </c>
      <c r="B50" s="91" t="s">
        <v>40</v>
      </c>
      <c r="C50" s="70" t="s">
        <v>906</v>
      </c>
      <c r="D50" s="90">
        <v>54.0</v>
      </c>
      <c r="E50" s="70" t="s">
        <v>31543</v>
      </c>
      <c r="F50" s="70" t="s">
        <v>909</v>
      </c>
      <c r="G50" s="70" t="s">
        <v>31647</v>
      </c>
      <c r="H50" s="70" t="s">
        <v>907</v>
      </c>
      <c r="I50" s="70">
        <v>2019.0</v>
      </c>
      <c r="J50" s="70" t="s">
        <v>401</v>
      </c>
      <c r="K50" s="70" t="s">
        <v>29456</v>
      </c>
      <c r="L50" s="70" t="s">
        <v>31648</v>
      </c>
      <c r="M50" s="70" t="s">
        <v>908</v>
      </c>
      <c r="N50" s="93"/>
      <c r="O50" s="70" t="s">
        <v>31649</v>
      </c>
      <c r="P50" s="90">
        <v>0.0</v>
      </c>
      <c r="Q50" s="90">
        <v>49.0</v>
      </c>
      <c r="R50" s="89"/>
      <c r="S50" s="89"/>
      <c r="T50" s="89"/>
      <c r="U50" s="89"/>
      <c r="V50" s="89"/>
      <c r="W50" s="89"/>
      <c r="X50" s="89"/>
      <c r="Y50" s="89"/>
      <c r="Z50" s="89"/>
      <c r="AA50" s="89"/>
      <c r="AB50" s="89"/>
      <c r="AC50" s="89"/>
      <c r="AD50" s="89"/>
      <c r="AE50" s="89"/>
      <c r="AF50" s="89"/>
      <c r="AG50" s="89"/>
      <c r="AH50" s="89"/>
      <c r="AI50" s="89"/>
      <c r="AJ50" s="89"/>
      <c r="AK50" s="89"/>
      <c r="AL50" s="89"/>
      <c r="AM50" s="89"/>
      <c r="AN50" s="89"/>
      <c r="AO50" s="89"/>
      <c r="AP50" s="89"/>
      <c r="AQ50" s="89"/>
      <c r="AR50" s="89"/>
      <c r="AS50" s="89"/>
      <c r="AT50" s="89"/>
      <c r="AU50" s="89"/>
      <c r="AV50" s="89"/>
      <c r="AW50" s="89"/>
      <c r="AX50" s="89"/>
      <c r="AY50" s="89"/>
      <c r="AZ50" s="89"/>
      <c r="BA50" s="89"/>
      <c r="BB50" s="89"/>
      <c r="BC50" s="89"/>
    </row>
    <row r="51" ht="22.5" customHeight="1">
      <c r="A51" s="90">
        <v>1.0</v>
      </c>
      <c r="B51" s="91" t="s">
        <v>44</v>
      </c>
      <c r="C51" s="70" t="s">
        <v>538</v>
      </c>
      <c r="D51" s="90">
        <v>35.0</v>
      </c>
      <c r="E51" s="70" t="s">
        <v>31543</v>
      </c>
      <c r="F51" s="70" t="s">
        <v>541</v>
      </c>
      <c r="G51" s="70" t="s">
        <v>31650</v>
      </c>
      <c r="H51" s="70" t="s">
        <v>29320</v>
      </c>
      <c r="I51" s="70">
        <v>2023.0</v>
      </c>
      <c r="J51" s="70" t="s">
        <v>387</v>
      </c>
      <c r="K51" s="70" t="s">
        <v>545</v>
      </c>
      <c r="L51" s="92"/>
      <c r="M51" s="70" t="s">
        <v>540</v>
      </c>
      <c r="N51" s="93"/>
      <c r="O51" s="70" t="s">
        <v>31651</v>
      </c>
      <c r="P51" s="90">
        <v>0.0</v>
      </c>
      <c r="Q51" s="90">
        <v>50.0</v>
      </c>
      <c r="R51" s="89"/>
      <c r="S51" s="89"/>
      <c r="T51" s="89"/>
      <c r="U51" s="89"/>
      <c r="V51" s="89"/>
      <c r="W51" s="89"/>
      <c r="X51" s="89"/>
      <c r="Y51" s="89"/>
      <c r="Z51" s="89"/>
      <c r="AA51" s="89"/>
      <c r="AB51" s="89"/>
      <c r="AC51" s="89"/>
      <c r="AD51" s="89"/>
      <c r="AE51" s="89"/>
      <c r="AF51" s="89"/>
      <c r="AG51" s="89"/>
      <c r="AH51" s="89"/>
      <c r="AI51" s="89"/>
      <c r="AJ51" s="89"/>
      <c r="AK51" s="89"/>
      <c r="AL51" s="89"/>
      <c r="AM51" s="89"/>
      <c r="AN51" s="89"/>
      <c r="AO51" s="89"/>
      <c r="AP51" s="89"/>
      <c r="AQ51" s="89"/>
      <c r="AR51" s="89"/>
      <c r="AS51" s="89"/>
      <c r="AT51" s="89"/>
      <c r="AU51" s="89"/>
      <c r="AV51" s="89"/>
      <c r="AW51" s="89"/>
      <c r="AX51" s="89"/>
      <c r="AY51" s="89"/>
      <c r="AZ51" s="89"/>
      <c r="BA51" s="89"/>
      <c r="BB51" s="89"/>
      <c r="BC51" s="89"/>
    </row>
    <row r="52" ht="22.5" customHeight="1">
      <c r="A52" s="90">
        <v>1.0</v>
      </c>
      <c r="B52" s="91" t="s">
        <v>44</v>
      </c>
      <c r="C52" s="70" t="s">
        <v>15740</v>
      </c>
      <c r="D52" s="90">
        <v>48.0</v>
      </c>
      <c r="E52" s="70" t="s">
        <v>31543</v>
      </c>
      <c r="F52" s="70" t="s">
        <v>15741</v>
      </c>
      <c r="G52" s="70" t="s">
        <v>31652</v>
      </c>
      <c r="H52" s="70" t="s">
        <v>14183</v>
      </c>
      <c r="I52" s="76">
        <v>45580.0</v>
      </c>
      <c r="J52" s="70" t="s">
        <v>239</v>
      </c>
      <c r="K52" s="70" t="s">
        <v>15743</v>
      </c>
      <c r="L52" s="70" t="s">
        <v>31653</v>
      </c>
      <c r="M52" s="70" t="s">
        <v>11472</v>
      </c>
      <c r="N52" s="93"/>
      <c r="O52" s="92"/>
      <c r="P52" s="90">
        <v>0.0</v>
      </c>
      <c r="Q52" s="90">
        <v>51.0</v>
      </c>
      <c r="R52" s="89"/>
      <c r="S52" s="89"/>
      <c r="T52" s="89"/>
      <c r="U52" s="89"/>
      <c r="V52" s="89"/>
      <c r="W52" s="89"/>
      <c r="X52" s="89"/>
      <c r="Y52" s="89"/>
      <c r="Z52" s="89"/>
      <c r="AA52" s="89"/>
      <c r="AB52" s="89"/>
      <c r="AC52" s="89"/>
      <c r="AD52" s="89"/>
      <c r="AE52" s="89"/>
      <c r="AF52" s="89"/>
      <c r="AG52" s="89"/>
      <c r="AH52" s="89"/>
      <c r="AI52" s="89"/>
      <c r="AJ52" s="89"/>
      <c r="AK52" s="89"/>
      <c r="AL52" s="89"/>
      <c r="AM52" s="89"/>
      <c r="AN52" s="89"/>
      <c r="AO52" s="89"/>
      <c r="AP52" s="89"/>
      <c r="AQ52" s="89"/>
      <c r="AR52" s="89"/>
      <c r="AS52" s="89"/>
      <c r="AT52" s="89"/>
      <c r="AU52" s="89"/>
      <c r="AV52" s="89"/>
      <c r="AW52" s="89"/>
      <c r="AX52" s="89"/>
      <c r="AY52" s="89"/>
      <c r="AZ52" s="89"/>
      <c r="BA52" s="89"/>
      <c r="BB52" s="89"/>
      <c r="BC52" s="89"/>
    </row>
    <row r="53" ht="22.5" customHeight="1">
      <c r="A53" s="90">
        <v>1.0</v>
      </c>
      <c r="B53" s="91" t="s">
        <v>44</v>
      </c>
      <c r="C53" s="70" t="s">
        <v>23392</v>
      </c>
      <c r="D53" s="90">
        <v>109.0</v>
      </c>
      <c r="E53" s="70" t="s">
        <v>31543</v>
      </c>
      <c r="F53" s="70" t="s">
        <v>23393</v>
      </c>
      <c r="G53" s="70" t="s">
        <v>31654</v>
      </c>
      <c r="H53" s="70" t="s">
        <v>23398</v>
      </c>
      <c r="I53" s="92"/>
      <c r="J53" s="92"/>
      <c r="K53" s="70" t="s">
        <v>29498</v>
      </c>
      <c r="L53" s="70" t="s">
        <v>31655</v>
      </c>
      <c r="M53" s="92"/>
      <c r="N53" s="90">
        <v>2024.0</v>
      </c>
      <c r="O53" s="92"/>
      <c r="P53" s="90">
        <v>0.0</v>
      </c>
      <c r="Q53" s="90">
        <v>52.0</v>
      </c>
      <c r="R53" s="89"/>
      <c r="S53" s="89"/>
      <c r="T53" s="89"/>
      <c r="U53" s="89"/>
      <c r="V53" s="89"/>
      <c r="W53" s="89"/>
      <c r="X53" s="89"/>
      <c r="Y53" s="89"/>
      <c r="Z53" s="89"/>
      <c r="AA53" s="89"/>
      <c r="AB53" s="89"/>
      <c r="AC53" s="89"/>
      <c r="AD53" s="89"/>
      <c r="AE53" s="89"/>
      <c r="AF53" s="89"/>
      <c r="AG53" s="89"/>
      <c r="AH53" s="89"/>
      <c r="AI53" s="89"/>
      <c r="AJ53" s="89"/>
      <c r="AK53" s="89"/>
      <c r="AL53" s="89"/>
      <c r="AM53" s="89"/>
      <c r="AN53" s="89"/>
      <c r="AO53" s="89"/>
      <c r="AP53" s="89"/>
      <c r="AQ53" s="89"/>
      <c r="AR53" s="89"/>
      <c r="AS53" s="89"/>
      <c r="AT53" s="89"/>
      <c r="AU53" s="89"/>
      <c r="AV53" s="89"/>
      <c r="AW53" s="89"/>
      <c r="AX53" s="89"/>
      <c r="AY53" s="89"/>
      <c r="AZ53" s="89"/>
      <c r="BA53" s="89"/>
      <c r="BB53" s="89"/>
      <c r="BC53" s="89"/>
    </row>
    <row r="54" ht="22.5" customHeight="1">
      <c r="A54" s="90">
        <v>1.0</v>
      </c>
      <c r="B54" s="91" t="s">
        <v>44</v>
      </c>
      <c r="C54" s="70" t="s">
        <v>14306</v>
      </c>
      <c r="D54" s="90">
        <v>91.0</v>
      </c>
      <c r="E54" s="70" t="s">
        <v>31543</v>
      </c>
      <c r="F54" s="70" t="s">
        <v>14307</v>
      </c>
      <c r="G54" s="70" t="s">
        <v>31656</v>
      </c>
      <c r="H54" s="70" t="s">
        <v>14183</v>
      </c>
      <c r="I54" s="76">
        <v>45580.0</v>
      </c>
      <c r="J54" s="70" t="s">
        <v>239</v>
      </c>
      <c r="K54" s="70" t="s">
        <v>29405</v>
      </c>
      <c r="L54" s="70" t="s">
        <v>31657</v>
      </c>
      <c r="M54" s="70" t="s">
        <v>11472</v>
      </c>
      <c r="N54" s="93"/>
      <c r="O54" s="92"/>
      <c r="P54" s="90">
        <v>0.0</v>
      </c>
      <c r="Q54" s="90">
        <v>53.0</v>
      </c>
      <c r="R54" s="89"/>
      <c r="S54" s="89"/>
      <c r="T54" s="89"/>
      <c r="U54" s="89"/>
      <c r="V54" s="89"/>
      <c r="W54" s="89"/>
      <c r="X54" s="89"/>
      <c r="Y54" s="89"/>
      <c r="Z54" s="89"/>
      <c r="AA54" s="89"/>
      <c r="AB54" s="89"/>
      <c r="AC54" s="89"/>
      <c r="AD54" s="89"/>
      <c r="AE54" s="89"/>
      <c r="AF54" s="89"/>
      <c r="AG54" s="89"/>
      <c r="AH54" s="89"/>
      <c r="AI54" s="89"/>
      <c r="AJ54" s="89"/>
      <c r="AK54" s="89"/>
      <c r="AL54" s="89"/>
      <c r="AM54" s="89"/>
      <c r="AN54" s="89"/>
      <c r="AO54" s="89"/>
      <c r="AP54" s="89"/>
      <c r="AQ54" s="89"/>
      <c r="AR54" s="89"/>
      <c r="AS54" s="89"/>
      <c r="AT54" s="89"/>
      <c r="AU54" s="89"/>
      <c r="AV54" s="89"/>
      <c r="AW54" s="89"/>
      <c r="AX54" s="89"/>
      <c r="AY54" s="89"/>
      <c r="AZ54" s="89"/>
      <c r="BA54" s="89"/>
      <c r="BB54" s="89"/>
      <c r="BC54" s="89"/>
    </row>
    <row r="55" ht="22.5" customHeight="1">
      <c r="A55" s="90">
        <v>1.0</v>
      </c>
      <c r="B55" s="91" t="s">
        <v>44</v>
      </c>
      <c r="C55" s="70" t="s">
        <v>28129</v>
      </c>
      <c r="D55" s="90">
        <v>110.0</v>
      </c>
      <c r="E55" s="70" t="s">
        <v>31543</v>
      </c>
      <c r="F55" s="70" t="s">
        <v>28130</v>
      </c>
      <c r="G55" s="70" t="s">
        <v>31658</v>
      </c>
      <c r="H55" s="70" t="s">
        <v>26726</v>
      </c>
      <c r="I55" s="92"/>
      <c r="J55" s="92"/>
      <c r="K55" s="70" t="s">
        <v>31659</v>
      </c>
      <c r="L55" s="70" t="s">
        <v>31660</v>
      </c>
      <c r="M55" s="92"/>
      <c r="N55" s="90">
        <v>2021.0</v>
      </c>
      <c r="O55" s="92"/>
      <c r="P55" s="90">
        <v>0.0</v>
      </c>
      <c r="Q55" s="90">
        <v>54.0</v>
      </c>
      <c r="R55" s="89"/>
      <c r="S55" s="89"/>
      <c r="T55" s="89"/>
      <c r="U55" s="89"/>
      <c r="V55" s="89"/>
      <c r="W55" s="89"/>
      <c r="X55" s="89"/>
      <c r="Y55" s="89"/>
      <c r="Z55" s="89"/>
      <c r="AA55" s="89"/>
      <c r="AB55" s="89"/>
      <c r="AC55" s="89"/>
      <c r="AD55" s="89"/>
      <c r="AE55" s="89"/>
      <c r="AF55" s="89"/>
      <c r="AG55" s="89"/>
      <c r="AH55" s="89"/>
      <c r="AI55" s="89"/>
      <c r="AJ55" s="89"/>
      <c r="AK55" s="89"/>
      <c r="AL55" s="89"/>
      <c r="AM55" s="89"/>
      <c r="AN55" s="89"/>
      <c r="AO55" s="89"/>
      <c r="AP55" s="89"/>
      <c r="AQ55" s="89"/>
      <c r="AR55" s="89"/>
      <c r="AS55" s="89"/>
      <c r="AT55" s="89"/>
      <c r="AU55" s="89"/>
      <c r="AV55" s="89"/>
      <c r="AW55" s="89"/>
      <c r="AX55" s="89"/>
      <c r="AY55" s="89"/>
      <c r="AZ55" s="89"/>
      <c r="BA55" s="89"/>
      <c r="BB55" s="89"/>
      <c r="BC55" s="89"/>
    </row>
    <row r="56" ht="22.5" customHeight="1">
      <c r="A56" s="90">
        <v>1.0</v>
      </c>
      <c r="B56" s="91" t="s">
        <v>40</v>
      </c>
      <c r="C56" s="70" t="s">
        <v>14907</v>
      </c>
      <c r="D56" s="90">
        <v>5.0</v>
      </c>
      <c r="E56" s="70" t="s">
        <v>31543</v>
      </c>
      <c r="F56" s="70" t="s">
        <v>14909</v>
      </c>
      <c r="G56" s="70" t="s">
        <v>31661</v>
      </c>
      <c r="H56" s="70" t="s">
        <v>14908</v>
      </c>
      <c r="I56" s="76">
        <v>45702.0</v>
      </c>
      <c r="J56" s="70" t="s">
        <v>239</v>
      </c>
      <c r="K56" s="70" t="s">
        <v>14911</v>
      </c>
      <c r="L56" s="70" t="s">
        <v>31662</v>
      </c>
      <c r="M56" s="92"/>
      <c r="N56" s="93"/>
      <c r="O56" s="92"/>
      <c r="P56" s="90">
        <v>0.0</v>
      </c>
      <c r="Q56" s="90">
        <v>103.0</v>
      </c>
      <c r="R56" s="89"/>
      <c r="S56" s="89"/>
      <c r="T56" s="89"/>
      <c r="U56" s="89"/>
      <c r="V56" s="89"/>
      <c r="W56" s="89"/>
      <c r="X56" s="89"/>
      <c r="Y56" s="89"/>
      <c r="Z56" s="89"/>
      <c r="AA56" s="89"/>
      <c r="AB56" s="89"/>
      <c r="AC56" s="89"/>
      <c r="AD56" s="89"/>
      <c r="AE56" s="89"/>
      <c r="AF56" s="89"/>
      <c r="AG56" s="89"/>
      <c r="AH56" s="89"/>
      <c r="AI56" s="89"/>
      <c r="AJ56" s="89"/>
      <c r="AK56" s="89"/>
      <c r="AL56" s="89"/>
      <c r="AM56" s="89"/>
      <c r="AN56" s="89"/>
      <c r="AO56" s="89"/>
      <c r="AP56" s="89"/>
      <c r="AQ56" s="89"/>
      <c r="AR56" s="89"/>
      <c r="AS56" s="89"/>
      <c r="AT56" s="89"/>
      <c r="AU56" s="89"/>
      <c r="AV56" s="89"/>
      <c r="AW56" s="89"/>
      <c r="AX56" s="89"/>
      <c r="AY56" s="89"/>
      <c r="AZ56" s="89"/>
      <c r="BA56" s="89"/>
      <c r="BB56" s="89"/>
      <c r="BC56" s="89"/>
    </row>
    <row r="57" ht="22.5" customHeight="1">
      <c r="A57" s="90">
        <v>0.0</v>
      </c>
      <c r="B57" s="91" t="s">
        <v>34</v>
      </c>
      <c r="C57" s="70" t="s">
        <v>13588</v>
      </c>
      <c r="D57" s="90">
        <v>112.0</v>
      </c>
      <c r="E57" s="70" t="s">
        <v>31543</v>
      </c>
      <c r="F57" s="70" t="s">
        <v>13589</v>
      </c>
      <c r="G57" s="70" t="s">
        <v>31663</v>
      </c>
      <c r="H57" s="70" t="s">
        <v>12562</v>
      </c>
      <c r="I57" s="76">
        <v>45673.0</v>
      </c>
      <c r="J57" s="70" t="s">
        <v>239</v>
      </c>
      <c r="K57" s="70" t="s">
        <v>13591</v>
      </c>
      <c r="L57" s="70" t="s">
        <v>31664</v>
      </c>
      <c r="M57" s="70" t="s">
        <v>12563</v>
      </c>
      <c r="N57" s="93"/>
      <c r="O57" s="92"/>
      <c r="P57" s="90">
        <v>1.0</v>
      </c>
      <c r="Q57" s="90">
        <v>55.0</v>
      </c>
      <c r="R57" s="89"/>
      <c r="S57" s="89"/>
      <c r="T57" s="89"/>
      <c r="U57" s="89"/>
      <c r="V57" s="89"/>
      <c r="W57" s="89"/>
      <c r="X57" s="89"/>
      <c r="Y57" s="89"/>
      <c r="Z57" s="89"/>
      <c r="AA57" s="89"/>
      <c r="AB57" s="89"/>
      <c r="AC57" s="89"/>
      <c r="AD57" s="89"/>
      <c r="AE57" s="89"/>
      <c r="AF57" s="89"/>
      <c r="AG57" s="89"/>
      <c r="AH57" s="89"/>
      <c r="AI57" s="89"/>
      <c r="AJ57" s="89"/>
      <c r="AK57" s="89"/>
      <c r="AL57" s="89"/>
      <c r="AM57" s="89"/>
      <c r="AN57" s="89"/>
      <c r="AO57" s="89"/>
      <c r="AP57" s="89"/>
      <c r="AQ57" s="89"/>
      <c r="AR57" s="89"/>
      <c r="AS57" s="89"/>
      <c r="AT57" s="89"/>
      <c r="AU57" s="89"/>
      <c r="AV57" s="89"/>
      <c r="AW57" s="89"/>
      <c r="AX57" s="89"/>
      <c r="AY57" s="89"/>
      <c r="AZ57" s="89"/>
      <c r="BA57" s="89"/>
      <c r="BB57" s="89"/>
      <c r="BC57" s="89"/>
    </row>
    <row r="58" ht="22.5" customHeight="1">
      <c r="A58" s="90">
        <v>0.0</v>
      </c>
      <c r="B58" s="91" t="s">
        <v>34</v>
      </c>
      <c r="C58" s="70" t="s">
        <v>16914</v>
      </c>
      <c r="D58" s="90">
        <v>23.0</v>
      </c>
      <c r="E58" s="70" t="s">
        <v>31543</v>
      </c>
      <c r="F58" s="70" t="s">
        <v>16915</v>
      </c>
      <c r="G58" s="70" t="s">
        <v>31665</v>
      </c>
      <c r="H58" s="70" t="s">
        <v>16538</v>
      </c>
      <c r="I58" s="76">
        <v>43909.0</v>
      </c>
      <c r="J58" s="70" t="s">
        <v>239</v>
      </c>
      <c r="K58" s="70" t="s">
        <v>16917</v>
      </c>
      <c r="L58" s="70" t="s">
        <v>31666</v>
      </c>
      <c r="M58" s="70" t="s">
        <v>16539</v>
      </c>
      <c r="N58" s="93"/>
      <c r="O58" s="92"/>
      <c r="P58" s="90">
        <v>0.0</v>
      </c>
      <c r="Q58" s="90">
        <v>56.0</v>
      </c>
      <c r="R58" s="89"/>
      <c r="S58" s="89"/>
      <c r="T58" s="89"/>
      <c r="U58" s="89"/>
      <c r="V58" s="89"/>
      <c r="W58" s="89"/>
      <c r="X58" s="89"/>
      <c r="Y58" s="89"/>
      <c r="Z58" s="89"/>
      <c r="AA58" s="89"/>
      <c r="AB58" s="89"/>
      <c r="AC58" s="89"/>
      <c r="AD58" s="89"/>
      <c r="AE58" s="89"/>
      <c r="AF58" s="89"/>
      <c r="AG58" s="89"/>
      <c r="AH58" s="89"/>
      <c r="AI58" s="89"/>
      <c r="AJ58" s="89"/>
      <c r="AK58" s="89"/>
      <c r="AL58" s="89"/>
      <c r="AM58" s="89"/>
      <c r="AN58" s="89"/>
      <c r="AO58" s="89"/>
      <c r="AP58" s="89"/>
      <c r="AQ58" s="89"/>
      <c r="AR58" s="89"/>
      <c r="AS58" s="89"/>
      <c r="AT58" s="89"/>
      <c r="AU58" s="89"/>
      <c r="AV58" s="89"/>
      <c r="AW58" s="89"/>
      <c r="AX58" s="89"/>
      <c r="AY58" s="89"/>
      <c r="AZ58" s="89"/>
      <c r="BA58" s="89"/>
      <c r="BB58" s="89"/>
      <c r="BC58" s="89"/>
    </row>
    <row r="59" ht="22.5" customHeight="1">
      <c r="A59" s="90">
        <v>0.0</v>
      </c>
      <c r="B59" s="91" t="s">
        <v>34</v>
      </c>
      <c r="C59" s="70" t="s">
        <v>22603</v>
      </c>
      <c r="D59" s="90">
        <v>50.0</v>
      </c>
      <c r="E59" s="70" t="s">
        <v>31543</v>
      </c>
      <c r="F59" s="70" t="s">
        <v>22604</v>
      </c>
      <c r="G59" s="70" t="s">
        <v>31667</v>
      </c>
      <c r="H59" s="70" t="s">
        <v>22609</v>
      </c>
      <c r="I59" s="92"/>
      <c r="J59" s="92"/>
      <c r="K59" s="70" t="s">
        <v>29352</v>
      </c>
      <c r="L59" s="70" t="s">
        <v>31668</v>
      </c>
      <c r="M59" s="92"/>
      <c r="N59" s="90">
        <v>2025.0</v>
      </c>
      <c r="O59" s="92"/>
      <c r="P59" s="90">
        <v>0.0</v>
      </c>
      <c r="Q59" s="90">
        <v>57.0</v>
      </c>
      <c r="R59" s="89"/>
      <c r="S59" s="89"/>
      <c r="T59" s="89"/>
      <c r="U59" s="89"/>
      <c r="V59" s="89"/>
      <c r="W59" s="89"/>
      <c r="X59" s="89"/>
      <c r="Y59" s="89"/>
      <c r="Z59" s="89"/>
      <c r="AA59" s="89"/>
      <c r="AB59" s="89"/>
      <c r="AC59" s="89"/>
      <c r="AD59" s="89"/>
      <c r="AE59" s="89"/>
      <c r="AF59" s="89"/>
      <c r="AG59" s="89"/>
      <c r="AH59" s="89"/>
      <c r="AI59" s="89"/>
      <c r="AJ59" s="89"/>
      <c r="AK59" s="89"/>
      <c r="AL59" s="89"/>
      <c r="AM59" s="89"/>
      <c r="AN59" s="89"/>
      <c r="AO59" s="89"/>
      <c r="AP59" s="89"/>
      <c r="AQ59" s="89"/>
      <c r="AR59" s="89"/>
      <c r="AS59" s="89"/>
      <c r="AT59" s="89"/>
      <c r="AU59" s="89"/>
      <c r="AV59" s="89"/>
      <c r="AW59" s="89"/>
      <c r="AX59" s="89"/>
      <c r="AY59" s="89"/>
      <c r="AZ59" s="89"/>
      <c r="BA59" s="89"/>
      <c r="BB59" s="89"/>
      <c r="BC59" s="89"/>
    </row>
    <row r="60" ht="22.5" customHeight="1">
      <c r="A60" s="90">
        <v>0.0</v>
      </c>
      <c r="B60" s="91" t="s">
        <v>34</v>
      </c>
      <c r="C60" s="70" t="s">
        <v>5420</v>
      </c>
      <c r="D60" s="90">
        <v>59.0</v>
      </c>
      <c r="E60" s="70" t="s">
        <v>31543</v>
      </c>
      <c r="F60" s="70" t="s">
        <v>5422</v>
      </c>
      <c r="G60" s="70" t="s">
        <v>31669</v>
      </c>
      <c r="H60" s="70" t="s">
        <v>5421</v>
      </c>
      <c r="I60" s="76">
        <v>43787.0</v>
      </c>
      <c r="J60" s="70" t="s">
        <v>239</v>
      </c>
      <c r="K60" s="70" t="s">
        <v>5424</v>
      </c>
      <c r="L60" s="70" t="s">
        <v>31670</v>
      </c>
      <c r="M60" s="92"/>
      <c r="N60" s="93"/>
      <c r="O60" s="92"/>
      <c r="P60" s="90">
        <v>0.0</v>
      </c>
      <c r="Q60" s="90">
        <v>58.0</v>
      </c>
      <c r="R60" s="89"/>
      <c r="S60" s="89"/>
      <c r="T60" s="89"/>
      <c r="U60" s="89"/>
      <c r="V60" s="89"/>
      <c r="W60" s="89"/>
      <c r="X60" s="89"/>
      <c r="Y60" s="89"/>
      <c r="Z60" s="89"/>
      <c r="AA60" s="89"/>
      <c r="AB60" s="89"/>
      <c r="AC60" s="89"/>
      <c r="AD60" s="89"/>
      <c r="AE60" s="89"/>
      <c r="AF60" s="89"/>
      <c r="AG60" s="89"/>
      <c r="AH60" s="89"/>
      <c r="AI60" s="89"/>
      <c r="AJ60" s="89"/>
      <c r="AK60" s="89"/>
      <c r="AL60" s="89"/>
      <c r="AM60" s="89"/>
      <c r="AN60" s="89"/>
      <c r="AO60" s="89"/>
      <c r="AP60" s="89"/>
      <c r="AQ60" s="89"/>
      <c r="AR60" s="89"/>
      <c r="AS60" s="89"/>
      <c r="AT60" s="89"/>
      <c r="AU60" s="89"/>
      <c r="AV60" s="89"/>
      <c r="AW60" s="89"/>
      <c r="AX60" s="89"/>
      <c r="AY60" s="89"/>
      <c r="AZ60" s="89"/>
      <c r="BA60" s="89"/>
      <c r="BB60" s="89"/>
      <c r="BC60" s="89"/>
    </row>
    <row r="61" ht="22.5" customHeight="1">
      <c r="A61" s="90">
        <v>0.0</v>
      </c>
      <c r="B61" s="91" t="s">
        <v>34</v>
      </c>
      <c r="C61" s="70" t="s">
        <v>29150</v>
      </c>
      <c r="D61" s="90">
        <v>36.0</v>
      </c>
      <c r="E61" s="70" t="s">
        <v>31543</v>
      </c>
      <c r="F61" s="70" t="s">
        <v>29151</v>
      </c>
      <c r="G61" s="70" t="s">
        <v>31671</v>
      </c>
      <c r="H61" s="70" t="s">
        <v>22557</v>
      </c>
      <c r="I61" s="92"/>
      <c r="J61" s="92"/>
      <c r="K61" s="70" t="s">
        <v>29327</v>
      </c>
      <c r="L61" s="70" t="s">
        <v>31672</v>
      </c>
      <c r="M61" s="92"/>
      <c r="N61" s="90">
        <v>2020.0</v>
      </c>
      <c r="O61" s="92"/>
      <c r="P61" s="90">
        <v>0.0</v>
      </c>
      <c r="Q61" s="90">
        <v>59.0</v>
      </c>
      <c r="R61" s="89"/>
      <c r="S61" s="89"/>
      <c r="T61" s="89"/>
      <c r="U61" s="89"/>
      <c r="V61" s="89"/>
      <c r="W61" s="89"/>
      <c r="X61" s="89"/>
      <c r="Y61" s="89"/>
      <c r="Z61" s="89"/>
      <c r="AA61" s="89"/>
      <c r="AB61" s="89"/>
      <c r="AC61" s="89"/>
      <c r="AD61" s="89"/>
      <c r="AE61" s="89"/>
      <c r="AF61" s="89"/>
      <c r="AG61" s="89"/>
      <c r="AH61" s="89"/>
      <c r="AI61" s="89"/>
      <c r="AJ61" s="89"/>
      <c r="AK61" s="89"/>
      <c r="AL61" s="89"/>
      <c r="AM61" s="89"/>
      <c r="AN61" s="89"/>
      <c r="AO61" s="89"/>
      <c r="AP61" s="89"/>
      <c r="AQ61" s="89"/>
      <c r="AR61" s="89"/>
      <c r="AS61" s="89"/>
      <c r="AT61" s="89"/>
      <c r="AU61" s="89"/>
      <c r="AV61" s="89"/>
      <c r="AW61" s="89"/>
      <c r="AX61" s="89"/>
      <c r="AY61" s="89"/>
      <c r="AZ61" s="89"/>
      <c r="BA61" s="89"/>
      <c r="BB61" s="89"/>
      <c r="BC61" s="89"/>
    </row>
    <row r="62" ht="22.5" customHeight="1">
      <c r="A62" s="90">
        <v>0.0</v>
      </c>
      <c r="B62" s="91" t="s">
        <v>34</v>
      </c>
      <c r="C62" s="70" t="s">
        <v>500</v>
      </c>
      <c r="D62" s="90">
        <v>82.0</v>
      </c>
      <c r="E62" s="70" t="s">
        <v>31543</v>
      </c>
      <c r="F62" s="92"/>
      <c r="G62" s="70" t="s">
        <v>31673</v>
      </c>
      <c r="H62" s="70" t="s">
        <v>501</v>
      </c>
      <c r="I62" s="70">
        <v>2023.0</v>
      </c>
      <c r="J62" s="70" t="s">
        <v>401</v>
      </c>
      <c r="K62" s="70" t="s">
        <v>505</v>
      </c>
      <c r="L62" s="70" t="s">
        <v>31674</v>
      </c>
      <c r="M62" s="92"/>
      <c r="N62" s="93"/>
      <c r="O62" s="92"/>
      <c r="P62" s="90">
        <v>0.0</v>
      </c>
      <c r="Q62" s="90">
        <v>60.0</v>
      </c>
      <c r="R62" s="89"/>
      <c r="S62" s="89"/>
      <c r="T62" s="89"/>
      <c r="U62" s="89"/>
      <c r="V62" s="89"/>
      <c r="W62" s="89"/>
      <c r="X62" s="89"/>
      <c r="Y62" s="89"/>
      <c r="Z62" s="89"/>
      <c r="AA62" s="89"/>
      <c r="AB62" s="89"/>
      <c r="AC62" s="89"/>
      <c r="AD62" s="89"/>
      <c r="AE62" s="89"/>
      <c r="AF62" s="89"/>
      <c r="AG62" s="89"/>
      <c r="AH62" s="89"/>
      <c r="AI62" s="89"/>
      <c r="AJ62" s="89"/>
      <c r="AK62" s="89"/>
      <c r="AL62" s="89"/>
      <c r="AM62" s="89"/>
      <c r="AN62" s="89"/>
      <c r="AO62" s="89"/>
      <c r="AP62" s="89"/>
      <c r="AQ62" s="89"/>
      <c r="AR62" s="89"/>
      <c r="AS62" s="89"/>
      <c r="AT62" s="89"/>
      <c r="AU62" s="89"/>
      <c r="AV62" s="89"/>
      <c r="AW62" s="89"/>
      <c r="AX62" s="89"/>
      <c r="AY62" s="89"/>
      <c r="AZ62" s="89"/>
      <c r="BA62" s="89"/>
      <c r="BB62" s="89"/>
      <c r="BC62" s="89"/>
    </row>
    <row r="63" ht="22.5" customHeight="1">
      <c r="A63" s="90">
        <v>0.0</v>
      </c>
      <c r="B63" s="91" t="s">
        <v>34</v>
      </c>
      <c r="C63" s="70" t="s">
        <v>1474</v>
      </c>
      <c r="D63" s="90">
        <v>87.0</v>
      </c>
      <c r="E63" s="70" t="s">
        <v>31543</v>
      </c>
      <c r="F63" s="70" t="s">
        <v>1477</v>
      </c>
      <c r="G63" s="70" t="s">
        <v>31675</v>
      </c>
      <c r="H63" s="70" t="s">
        <v>29312</v>
      </c>
      <c r="I63" s="70">
        <v>2020.0</v>
      </c>
      <c r="J63" s="70" t="s">
        <v>387</v>
      </c>
      <c r="K63" s="70" t="s">
        <v>1480</v>
      </c>
      <c r="L63" s="70" t="s">
        <v>31676</v>
      </c>
      <c r="M63" s="70" t="s">
        <v>1476</v>
      </c>
      <c r="N63" s="93"/>
      <c r="O63" s="70" t="s">
        <v>31677</v>
      </c>
      <c r="P63" s="90">
        <v>0.0</v>
      </c>
      <c r="Q63" s="90">
        <v>61.0</v>
      </c>
      <c r="R63" s="89"/>
      <c r="S63" s="89"/>
      <c r="T63" s="89"/>
      <c r="U63" s="89"/>
      <c r="V63" s="89"/>
      <c r="W63" s="89"/>
      <c r="X63" s="89"/>
      <c r="Y63" s="89"/>
      <c r="Z63" s="89"/>
      <c r="AA63" s="89"/>
      <c r="AB63" s="89"/>
      <c r="AC63" s="89"/>
      <c r="AD63" s="89"/>
      <c r="AE63" s="89"/>
      <c r="AF63" s="89"/>
      <c r="AG63" s="89"/>
      <c r="AH63" s="89"/>
      <c r="AI63" s="89"/>
      <c r="AJ63" s="89"/>
      <c r="AK63" s="89"/>
      <c r="AL63" s="89"/>
      <c r="AM63" s="89"/>
      <c r="AN63" s="89"/>
      <c r="AO63" s="89"/>
      <c r="AP63" s="89"/>
      <c r="AQ63" s="89"/>
      <c r="AR63" s="89"/>
      <c r="AS63" s="89"/>
      <c r="AT63" s="89"/>
      <c r="AU63" s="89"/>
      <c r="AV63" s="89"/>
      <c r="AW63" s="89"/>
      <c r="AX63" s="89"/>
      <c r="AY63" s="89"/>
      <c r="AZ63" s="89"/>
      <c r="BA63" s="89"/>
      <c r="BB63" s="89"/>
      <c r="BC63" s="89"/>
    </row>
    <row r="64" ht="22.5" customHeight="1">
      <c r="A64" s="90">
        <v>0.0</v>
      </c>
      <c r="B64" s="91" t="s">
        <v>34</v>
      </c>
      <c r="C64" s="70" t="s">
        <v>18082</v>
      </c>
      <c r="D64" s="90">
        <v>27.0</v>
      </c>
      <c r="E64" s="70" t="s">
        <v>31543</v>
      </c>
      <c r="F64" s="70" t="s">
        <v>18083</v>
      </c>
      <c r="G64" s="70" t="s">
        <v>31678</v>
      </c>
      <c r="H64" s="70" t="s">
        <v>16436</v>
      </c>
      <c r="I64" s="76">
        <v>44679.0</v>
      </c>
      <c r="J64" s="70" t="s">
        <v>239</v>
      </c>
      <c r="K64" s="70" t="s">
        <v>18085</v>
      </c>
      <c r="L64" s="70" t="s">
        <v>31679</v>
      </c>
      <c r="M64" s="70" t="s">
        <v>16437</v>
      </c>
      <c r="N64" s="93"/>
      <c r="O64" s="92"/>
      <c r="P64" s="90">
        <v>0.0</v>
      </c>
      <c r="Q64" s="90">
        <v>62.0</v>
      </c>
      <c r="R64" s="89"/>
      <c r="S64" s="89"/>
      <c r="T64" s="89"/>
      <c r="U64" s="89"/>
      <c r="V64" s="89"/>
      <c r="W64" s="89"/>
      <c r="X64" s="89"/>
      <c r="Y64" s="89"/>
      <c r="Z64" s="89"/>
      <c r="AA64" s="89"/>
      <c r="AB64" s="89"/>
      <c r="AC64" s="89"/>
      <c r="AD64" s="89"/>
      <c r="AE64" s="89"/>
      <c r="AF64" s="89"/>
      <c r="AG64" s="89"/>
      <c r="AH64" s="89"/>
      <c r="AI64" s="89"/>
      <c r="AJ64" s="89"/>
      <c r="AK64" s="89"/>
      <c r="AL64" s="89"/>
      <c r="AM64" s="89"/>
      <c r="AN64" s="89"/>
      <c r="AO64" s="89"/>
      <c r="AP64" s="89"/>
      <c r="AQ64" s="89"/>
      <c r="AR64" s="89"/>
      <c r="AS64" s="89"/>
      <c r="AT64" s="89"/>
      <c r="AU64" s="89"/>
      <c r="AV64" s="89"/>
      <c r="AW64" s="89"/>
      <c r="AX64" s="89"/>
      <c r="AY64" s="89"/>
      <c r="AZ64" s="89"/>
      <c r="BA64" s="89"/>
      <c r="BB64" s="89"/>
      <c r="BC64" s="89"/>
    </row>
    <row r="65" ht="22.5" customHeight="1">
      <c r="A65" s="90">
        <v>0.0</v>
      </c>
      <c r="B65" s="91" t="s">
        <v>34</v>
      </c>
      <c r="C65" s="70" t="s">
        <v>11231</v>
      </c>
      <c r="D65" s="90">
        <v>43.0</v>
      </c>
      <c r="E65" s="70" t="s">
        <v>31543</v>
      </c>
      <c r="F65" s="70" t="s">
        <v>11233</v>
      </c>
      <c r="G65" s="70" t="s">
        <v>31680</v>
      </c>
      <c r="H65" s="70" t="s">
        <v>11232</v>
      </c>
      <c r="I65" s="76">
        <v>45120.0</v>
      </c>
      <c r="J65" s="70" t="s">
        <v>239</v>
      </c>
      <c r="K65" s="70" t="s">
        <v>11235</v>
      </c>
      <c r="L65" s="70" t="s">
        <v>31681</v>
      </c>
      <c r="M65" s="70" t="s">
        <v>6872</v>
      </c>
      <c r="N65" s="93"/>
      <c r="O65" s="92"/>
      <c r="P65" s="90">
        <v>0.0</v>
      </c>
      <c r="Q65" s="90">
        <v>63.0</v>
      </c>
      <c r="R65" s="89"/>
      <c r="S65" s="89"/>
      <c r="T65" s="89"/>
      <c r="U65" s="89"/>
      <c r="V65" s="89"/>
      <c r="W65" s="89"/>
      <c r="X65" s="89"/>
      <c r="Y65" s="89"/>
      <c r="Z65" s="89"/>
      <c r="AA65" s="89"/>
      <c r="AB65" s="89"/>
      <c r="AC65" s="89"/>
      <c r="AD65" s="89"/>
      <c r="AE65" s="89"/>
      <c r="AF65" s="89"/>
      <c r="AG65" s="89"/>
      <c r="AH65" s="89"/>
      <c r="AI65" s="89"/>
      <c r="AJ65" s="89"/>
      <c r="AK65" s="89"/>
      <c r="AL65" s="89"/>
      <c r="AM65" s="89"/>
      <c r="AN65" s="89"/>
      <c r="AO65" s="89"/>
      <c r="AP65" s="89"/>
      <c r="AQ65" s="89"/>
      <c r="AR65" s="89"/>
      <c r="AS65" s="89"/>
      <c r="AT65" s="89"/>
      <c r="AU65" s="89"/>
      <c r="AV65" s="89"/>
      <c r="AW65" s="89"/>
      <c r="AX65" s="89"/>
      <c r="AY65" s="89"/>
      <c r="AZ65" s="89"/>
      <c r="BA65" s="89"/>
      <c r="BB65" s="89"/>
      <c r="BC65" s="89"/>
    </row>
    <row r="66" ht="22.5" customHeight="1">
      <c r="A66" s="90">
        <v>0.0</v>
      </c>
      <c r="B66" s="91" t="s">
        <v>34</v>
      </c>
      <c r="C66" s="70" t="s">
        <v>11139</v>
      </c>
      <c r="D66" s="90">
        <v>2.0</v>
      </c>
      <c r="E66" s="70" t="s">
        <v>31543</v>
      </c>
      <c r="F66" s="70" t="s">
        <v>11142</v>
      </c>
      <c r="G66" s="70" t="s">
        <v>31682</v>
      </c>
      <c r="H66" s="70" t="s">
        <v>11140</v>
      </c>
      <c r="I66" s="77">
        <v>45236.0</v>
      </c>
      <c r="J66" s="70" t="s">
        <v>239</v>
      </c>
      <c r="K66" s="70" t="s">
        <v>11144</v>
      </c>
      <c r="L66" s="70" t="s">
        <v>31683</v>
      </c>
      <c r="M66" s="70" t="s">
        <v>11141</v>
      </c>
      <c r="N66" s="93"/>
      <c r="O66" s="92"/>
      <c r="P66" s="90">
        <v>0.0</v>
      </c>
      <c r="Q66" s="90">
        <v>64.0</v>
      </c>
      <c r="R66" s="89"/>
      <c r="S66" s="89"/>
      <c r="T66" s="89"/>
      <c r="U66" s="89"/>
      <c r="V66" s="89"/>
      <c r="W66" s="89"/>
      <c r="X66" s="89"/>
      <c r="Y66" s="89"/>
      <c r="Z66" s="89"/>
      <c r="AA66" s="89"/>
      <c r="AB66" s="89"/>
      <c r="AC66" s="89"/>
      <c r="AD66" s="89"/>
      <c r="AE66" s="89"/>
      <c r="AF66" s="89"/>
      <c r="AG66" s="89"/>
      <c r="AH66" s="89"/>
      <c r="AI66" s="89"/>
      <c r="AJ66" s="89"/>
      <c r="AK66" s="89"/>
      <c r="AL66" s="89"/>
      <c r="AM66" s="89"/>
      <c r="AN66" s="89"/>
      <c r="AO66" s="89"/>
      <c r="AP66" s="89"/>
      <c r="AQ66" s="89"/>
      <c r="AR66" s="89"/>
      <c r="AS66" s="89"/>
      <c r="AT66" s="89"/>
      <c r="AU66" s="89"/>
      <c r="AV66" s="89"/>
      <c r="AW66" s="89"/>
      <c r="AX66" s="89"/>
      <c r="AY66" s="89"/>
      <c r="AZ66" s="89"/>
      <c r="BA66" s="89"/>
      <c r="BB66" s="89"/>
      <c r="BC66" s="89"/>
    </row>
    <row r="67" ht="22.5" customHeight="1">
      <c r="A67" s="90">
        <v>0.0</v>
      </c>
      <c r="B67" s="91" t="s">
        <v>34</v>
      </c>
      <c r="C67" s="70" t="s">
        <v>29391</v>
      </c>
      <c r="D67" s="90">
        <v>62.0</v>
      </c>
      <c r="E67" s="70" t="s">
        <v>31543</v>
      </c>
      <c r="F67" s="70" t="s">
        <v>4881</v>
      </c>
      <c r="G67" s="70" t="s">
        <v>31684</v>
      </c>
      <c r="H67" s="70" t="s">
        <v>4879</v>
      </c>
      <c r="I67" s="76">
        <v>43552.0</v>
      </c>
      <c r="J67" s="70" t="s">
        <v>239</v>
      </c>
      <c r="K67" s="70" t="s">
        <v>29392</v>
      </c>
      <c r="L67" s="70" t="s">
        <v>31685</v>
      </c>
      <c r="M67" s="70" t="s">
        <v>4880</v>
      </c>
      <c r="N67" s="93"/>
      <c r="O67" s="92"/>
      <c r="P67" s="90">
        <v>0.0</v>
      </c>
      <c r="Q67" s="90">
        <v>65.0</v>
      </c>
      <c r="R67" s="89"/>
      <c r="S67" s="89"/>
      <c r="T67" s="89"/>
      <c r="U67" s="89"/>
      <c r="V67" s="89"/>
      <c r="W67" s="89"/>
      <c r="X67" s="89"/>
      <c r="Y67" s="89"/>
      <c r="Z67" s="89"/>
      <c r="AA67" s="89"/>
      <c r="AB67" s="89"/>
      <c r="AC67" s="89"/>
      <c r="AD67" s="89"/>
      <c r="AE67" s="89"/>
      <c r="AF67" s="89"/>
      <c r="AG67" s="89"/>
      <c r="AH67" s="89"/>
      <c r="AI67" s="89"/>
      <c r="AJ67" s="89"/>
      <c r="AK67" s="89"/>
      <c r="AL67" s="89"/>
      <c r="AM67" s="89"/>
      <c r="AN67" s="89"/>
      <c r="AO67" s="89"/>
      <c r="AP67" s="89"/>
      <c r="AQ67" s="89"/>
      <c r="AR67" s="89"/>
      <c r="AS67" s="89"/>
      <c r="AT67" s="89"/>
      <c r="AU67" s="89"/>
      <c r="AV67" s="89"/>
      <c r="AW67" s="89"/>
      <c r="AX67" s="89"/>
      <c r="AY67" s="89"/>
      <c r="AZ67" s="89"/>
      <c r="BA67" s="89"/>
      <c r="BB67" s="89"/>
      <c r="BC67" s="89"/>
    </row>
    <row r="68" ht="22.5" customHeight="1">
      <c r="A68" s="90">
        <v>0.0</v>
      </c>
      <c r="B68" s="91" t="s">
        <v>34</v>
      </c>
      <c r="C68" s="70" t="s">
        <v>25947</v>
      </c>
      <c r="D68" s="90">
        <v>44.0</v>
      </c>
      <c r="E68" s="70" t="s">
        <v>31543</v>
      </c>
      <c r="F68" s="70" t="s">
        <v>25948</v>
      </c>
      <c r="G68" s="70" t="s">
        <v>31686</v>
      </c>
      <c r="H68" s="70" t="s">
        <v>25953</v>
      </c>
      <c r="I68" s="92"/>
      <c r="J68" s="92"/>
      <c r="K68" s="70" t="s">
        <v>29383</v>
      </c>
      <c r="L68" s="70" t="s">
        <v>31687</v>
      </c>
      <c r="M68" s="92"/>
      <c r="N68" s="90">
        <v>2023.0</v>
      </c>
      <c r="O68" s="92"/>
      <c r="P68" s="90">
        <v>0.0</v>
      </c>
      <c r="Q68" s="90">
        <v>66.0</v>
      </c>
      <c r="R68" s="89"/>
      <c r="S68" s="89"/>
      <c r="T68" s="89"/>
      <c r="U68" s="89"/>
      <c r="V68" s="89"/>
      <c r="W68" s="89"/>
      <c r="X68" s="89"/>
      <c r="Y68" s="89"/>
      <c r="Z68" s="89"/>
      <c r="AA68" s="89"/>
      <c r="AB68" s="89"/>
      <c r="AC68" s="89"/>
      <c r="AD68" s="89"/>
      <c r="AE68" s="89"/>
      <c r="AF68" s="89"/>
      <c r="AG68" s="89"/>
      <c r="AH68" s="89"/>
      <c r="AI68" s="89"/>
      <c r="AJ68" s="89"/>
      <c r="AK68" s="89"/>
      <c r="AL68" s="89"/>
      <c r="AM68" s="89"/>
      <c r="AN68" s="89"/>
      <c r="AO68" s="89"/>
      <c r="AP68" s="89"/>
      <c r="AQ68" s="89"/>
      <c r="AR68" s="89"/>
      <c r="AS68" s="89"/>
      <c r="AT68" s="89"/>
      <c r="AU68" s="89"/>
      <c r="AV68" s="89"/>
      <c r="AW68" s="89"/>
      <c r="AX68" s="89"/>
      <c r="AY68" s="89"/>
      <c r="AZ68" s="89"/>
      <c r="BA68" s="89"/>
      <c r="BB68" s="89"/>
      <c r="BC68" s="89"/>
    </row>
    <row r="69" ht="22.5" customHeight="1">
      <c r="A69" s="90">
        <v>0.0</v>
      </c>
      <c r="B69" s="91" t="s">
        <v>34</v>
      </c>
      <c r="C69" s="70" t="s">
        <v>22226</v>
      </c>
      <c r="D69" s="90">
        <v>92.0</v>
      </c>
      <c r="E69" s="70" t="s">
        <v>31543</v>
      </c>
      <c r="F69" s="70" t="s">
        <v>22227</v>
      </c>
      <c r="G69" s="70" t="s">
        <v>31688</v>
      </c>
      <c r="H69" s="70" t="s">
        <v>17051</v>
      </c>
      <c r="I69" s="76">
        <v>45621.0</v>
      </c>
      <c r="J69" s="70" t="s">
        <v>239</v>
      </c>
      <c r="K69" s="70" t="s">
        <v>22229</v>
      </c>
      <c r="L69" s="70" t="s">
        <v>31689</v>
      </c>
      <c r="M69" s="70" t="s">
        <v>17052</v>
      </c>
      <c r="N69" s="93"/>
      <c r="O69" s="92"/>
      <c r="P69" s="90">
        <v>0.0</v>
      </c>
      <c r="Q69" s="90">
        <v>67.0</v>
      </c>
      <c r="R69" s="89"/>
      <c r="S69" s="89"/>
      <c r="T69" s="89"/>
      <c r="U69" s="89"/>
      <c r="V69" s="89"/>
      <c r="W69" s="89"/>
      <c r="X69" s="89"/>
      <c r="Y69" s="89"/>
      <c r="Z69" s="89"/>
      <c r="AA69" s="89"/>
      <c r="AB69" s="89"/>
      <c r="AC69" s="89"/>
      <c r="AD69" s="89"/>
      <c r="AE69" s="89"/>
      <c r="AF69" s="89"/>
      <c r="AG69" s="89"/>
      <c r="AH69" s="89"/>
      <c r="AI69" s="89"/>
      <c r="AJ69" s="89"/>
      <c r="AK69" s="89"/>
      <c r="AL69" s="89"/>
      <c r="AM69" s="89"/>
      <c r="AN69" s="89"/>
      <c r="AO69" s="89"/>
      <c r="AP69" s="89"/>
      <c r="AQ69" s="89"/>
      <c r="AR69" s="89"/>
      <c r="AS69" s="89"/>
      <c r="AT69" s="89"/>
      <c r="AU69" s="89"/>
      <c r="AV69" s="89"/>
      <c r="AW69" s="89"/>
      <c r="AX69" s="89"/>
      <c r="AY69" s="89"/>
      <c r="AZ69" s="89"/>
      <c r="BA69" s="89"/>
      <c r="BB69" s="89"/>
      <c r="BC69" s="89"/>
    </row>
    <row r="70" ht="22.5" customHeight="1">
      <c r="A70" s="90">
        <v>0.0</v>
      </c>
      <c r="B70" s="91" t="s">
        <v>34</v>
      </c>
      <c r="C70" s="70" t="s">
        <v>19475</v>
      </c>
      <c r="D70" s="90">
        <v>42.0</v>
      </c>
      <c r="E70" s="70" t="s">
        <v>31543</v>
      </c>
      <c r="F70" s="70" t="s">
        <v>19476</v>
      </c>
      <c r="G70" s="70" t="s">
        <v>31690</v>
      </c>
      <c r="H70" s="70" t="s">
        <v>16436</v>
      </c>
      <c r="I70" s="78">
        <v>45076.0</v>
      </c>
      <c r="J70" s="70" t="s">
        <v>239</v>
      </c>
      <c r="K70" s="70" t="s">
        <v>29369</v>
      </c>
      <c r="L70" s="70" t="s">
        <v>31691</v>
      </c>
      <c r="M70" s="70" t="s">
        <v>16437</v>
      </c>
      <c r="N70" s="93"/>
      <c r="O70" s="92"/>
      <c r="P70" s="90">
        <v>0.0</v>
      </c>
      <c r="Q70" s="90">
        <v>68.0</v>
      </c>
      <c r="R70" s="89"/>
      <c r="S70" s="89"/>
      <c r="T70" s="89"/>
      <c r="U70" s="89"/>
      <c r="V70" s="89"/>
      <c r="W70" s="89"/>
      <c r="X70" s="89"/>
      <c r="Y70" s="89"/>
      <c r="Z70" s="89"/>
      <c r="AA70" s="89"/>
      <c r="AB70" s="89"/>
      <c r="AC70" s="89"/>
      <c r="AD70" s="89"/>
      <c r="AE70" s="89"/>
      <c r="AF70" s="89"/>
      <c r="AG70" s="89"/>
      <c r="AH70" s="89"/>
      <c r="AI70" s="89"/>
      <c r="AJ70" s="89"/>
      <c r="AK70" s="89"/>
      <c r="AL70" s="89"/>
      <c r="AM70" s="89"/>
      <c r="AN70" s="89"/>
      <c r="AO70" s="89"/>
      <c r="AP70" s="89"/>
      <c r="AQ70" s="89"/>
      <c r="AR70" s="89"/>
      <c r="AS70" s="89"/>
      <c r="AT70" s="89"/>
      <c r="AU70" s="89"/>
      <c r="AV70" s="89"/>
      <c r="AW70" s="89"/>
      <c r="AX70" s="89"/>
      <c r="AY70" s="89"/>
      <c r="AZ70" s="89"/>
      <c r="BA70" s="89"/>
      <c r="BB70" s="89"/>
      <c r="BC70" s="89"/>
    </row>
    <row r="71" ht="22.5" customHeight="1">
      <c r="A71" s="90">
        <v>0.0</v>
      </c>
      <c r="B71" s="91" t="s">
        <v>34</v>
      </c>
      <c r="C71" s="70" t="s">
        <v>3752</v>
      </c>
      <c r="D71" s="90">
        <v>116.0</v>
      </c>
      <c r="E71" s="70" t="s">
        <v>31543</v>
      </c>
      <c r="F71" s="70" t="s">
        <v>3753</v>
      </c>
      <c r="G71" s="70" t="s">
        <v>31692</v>
      </c>
      <c r="H71" s="70" t="s">
        <v>3635</v>
      </c>
      <c r="I71" s="80">
        <v>44896.0</v>
      </c>
      <c r="J71" s="92"/>
      <c r="K71" s="70" t="s">
        <v>3756</v>
      </c>
      <c r="L71" s="70" t="s">
        <v>31693</v>
      </c>
      <c r="M71" s="70" t="s">
        <v>3636</v>
      </c>
      <c r="N71" s="93"/>
      <c r="O71" s="70" t="s">
        <v>31694</v>
      </c>
      <c r="P71" s="90">
        <v>0.0</v>
      </c>
      <c r="Q71" s="90">
        <v>69.0</v>
      </c>
      <c r="R71" s="89"/>
      <c r="S71" s="89"/>
      <c r="T71" s="89"/>
      <c r="U71" s="89"/>
      <c r="V71" s="89"/>
      <c r="W71" s="89"/>
      <c r="X71" s="89"/>
      <c r="Y71" s="89"/>
      <c r="Z71" s="89"/>
      <c r="AA71" s="89"/>
      <c r="AB71" s="89"/>
      <c r="AC71" s="89"/>
      <c r="AD71" s="89"/>
      <c r="AE71" s="89"/>
      <c r="AF71" s="89"/>
      <c r="AG71" s="89"/>
      <c r="AH71" s="89"/>
      <c r="AI71" s="89"/>
      <c r="AJ71" s="89"/>
      <c r="AK71" s="89"/>
      <c r="AL71" s="89"/>
      <c r="AM71" s="89"/>
      <c r="AN71" s="89"/>
      <c r="AO71" s="89"/>
      <c r="AP71" s="89"/>
      <c r="AQ71" s="89"/>
      <c r="AR71" s="89"/>
      <c r="AS71" s="89"/>
      <c r="AT71" s="89"/>
      <c r="AU71" s="89"/>
      <c r="AV71" s="89"/>
      <c r="AW71" s="89"/>
      <c r="AX71" s="89"/>
      <c r="AY71" s="89"/>
      <c r="AZ71" s="89"/>
      <c r="BA71" s="89"/>
      <c r="BB71" s="89"/>
      <c r="BC71" s="89"/>
    </row>
    <row r="72" ht="22.5" customHeight="1">
      <c r="A72" s="90">
        <v>0.0</v>
      </c>
      <c r="B72" s="91" t="s">
        <v>34</v>
      </c>
      <c r="C72" s="70" t="s">
        <v>29159</v>
      </c>
      <c r="D72" s="90">
        <v>89.0</v>
      </c>
      <c r="E72" s="70" t="s">
        <v>31543</v>
      </c>
      <c r="F72" s="70" t="s">
        <v>29160</v>
      </c>
      <c r="G72" s="70" t="s">
        <v>31695</v>
      </c>
      <c r="H72" s="70" t="s">
        <v>29162</v>
      </c>
      <c r="I72" s="92"/>
      <c r="J72" s="92"/>
      <c r="K72" s="70" t="s">
        <v>29478</v>
      </c>
      <c r="L72" s="70" t="s">
        <v>31696</v>
      </c>
      <c r="M72" s="92"/>
      <c r="N72" s="90">
        <v>2017.0</v>
      </c>
      <c r="O72" s="92"/>
      <c r="P72" s="90">
        <v>0.0</v>
      </c>
      <c r="Q72" s="90">
        <v>70.0</v>
      </c>
      <c r="R72" s="89"/>
      <c r="S72" s="89"/>
      <c r="T72" s="89"/>
      <c r="U72" s="89"/>
      <c r="V72" s="89"/>
      <c r="W72" s="89"/>
      <c r="X72" s="89"/>
      <c r="Y72" s="89"/>
      <c r="Z72" s="89"/>
      <c r="AA72" s="89"/>
      <c r="AB72" s="89"/>
      <c r="AC72" s="89"/>
      <c r="AD72" s="89"/>
      <c r="AE72" s="89"/>
      <c r="AF72" s="89"/>
      <c r="AG72" s="89"/>
      <c r="AH72" s="89"/>
      <c r="AI72" s="89"/>
      <c r="AJ72" s="89"/>
      <c r="AK72" s="89"/>
      <c r="AL72" s="89"/>
      <c r="AM72" s="89"/>
      <c r="AN72" s="89"/>
      <c r="AO72" s="89"/>
      <c r="AP72" s="89"/>
      <c r="AQ72" s="89"/>
      <c r="AR72" s="89"/>
      <c r="AS72" s="89"/>
      <c r="AT72" s="89"/>
      <c r="AU72" s="89"/>
      <c r="AV72" s="89"/>
      <c r="AW72" s="89"/>
      <c r="AX72" s="89"/>
      <c r="AY72" s="89"/>
      <c r="AZ72" s="89"/>
      <c r="BA72" s="89"/>
      <c r="BB72" s="89"/>
      <c r="BC72" s="89"/>
    </row>
    <row r="73" ht="22.5" customHeight="1">
      <c r="A73" s="90">
        <v>0.0</v>
      </c>
      <c r="B73" s="91" t="s">
        <v>36</v>
      </c>
      <c r="C73" s="70" t="s">
        <v>28932</v>
      </c>
      <c r="D73" s="90">
        <v>56.0</v>
      </c>
      <c r="E73" s="70" t="s">
        <v>31543</v>
      </c>
      <c r="F73" s="70" t="s">
        <v>28933</v>
      </c>
      <c r="G73" s="70" t="s">
        <v>31695</v>
      </c>
      <c r="H73" s="70" t="s">
        <v>24360</v>
      </c>
      <c r="I73" s="92"/>
      <c r="J73" s="92"/>
      <c r="K73" s="70" t="s">
        <v>29325</v>
      </c>
      <c r="L73" s="70" t="s">
        <v>31697</v>
      </c>
      <c r="M73" s="92"/>
      <c r="N73" s="90">
        <v>2017.0</v>
      </c>
      <c r="O73" s="92"/>
      <c r="P73" s="90">
        <v>0.0</v>
      </c>
      <c r="Q73" s="90">
        <v>71.0</v>
      </c>
      <c r="R73" s="89"/>
      <c r="S73" s="89"/>
      <c r="T73" s="89"/>
      <c r="U73" s="89"/>
      <c r="V73" s="89"/>
      <c r="W73" s="89"/>
      <c r="X73" s="89"/>
      <c r="Y73" s="89"/>
      <c r="Z73" s="89"/>
      <c r="AA73" s="89"/>
      <c r="AB73" s="89"/>
      <c r="AC73" s="89"/>
      <c r="AD73" s="89"/>
      <c r="AE73" s="89"/>
      <c r="AF73" s="89"/>
      <c r="AG73" s="89"/>
      <c r="AH73" s="89"/>
      <c r="AI73" s="89"/>
      <c r="AJ73" s="89"/>
      <c r="AK73" s="89"/>
      <c r="AL73" s="89"/>
      <c r="AM73" s="89"/>
      <c r="AN73" s="89"/>
      <c r="AO73" s="89"/>
      <c r="AP73" s="89"/>
      <c r="AQ73" s="89"/>
      <c r="AR73" s="89"/>
      <c r="AS73" s="89"/>
      <c r="AT73" s="89"/>
      <c r="AU73" s="89"/>
      <c r="AV73" s="89"/>
      <c r="AW73" s="89"/>
      <c r="AX73" s="89"/>
      <c r="AY73" s="89"/>
      <c r="AZ73" s="89"/>
      <c r="BA73" s="89"/>
      <c r="BB73" s="89"/>
      <c r="BC73" s="89"/>
    </row>
    <row r="74" ht="22.5" customHeight="1">
      <c r="A74" s="90">
        <v>0.0</v>
      </c>
      <c r="B74" s="91" t="s">
        <v>34</v>
      </c>
      <c r="C74" s="70" t="s">
        <v>13871</v>
      </c>
      <c r="D74" s="90">
        <v>57.0</v>
      </c>
      <c r="E74" s="70" t="s">
        <v>31543</v>
      </c>
      <c r="F74" s="70" t="s">
        <v>13872</v>
      </c>
      <c r="G74" s="70" t="s">
        <v>31698</v>
      </c>
      <c r="H74" s="70" t="s">
        <v>13201</v>
      </c>
      <c r="I74" s="77">
        <v>45629.0</v>
      </c>
      <c r="J74" s="70" t="s">
        <v>239</v>
      </c>
      <c r="K74" s="70" t="s">
        <v>13874</v>
      </c>
      <c r="L74" s="70" t="s">
        <v>31699</v>
      </c>
      <c r="M74" s="70" t="s">
        <v>13202</v>
      </c>
      <c r="N74" s="93"/>
      <c r="O74" s="92"/>
      <c r="P74" s="90">
        <v>0.0</v>
      </c>
      <c r="Q74" s="90">
        <v>72.0</v>
      </c>
      <c r="R74" s="89"/>
      <c r="S74" s="89"/>
      <c r="T74" s="89"/>
      <c r="U74" s="89"/>
      <c r="V74" s="89"/>
      <c r="W74" s="89"/>
      <c r="X74" s="89"/>
      <c r="Y74" s="89"/>
      <c r="Z74" s="89"/>
      <c r="AA74" s="89"/>
      <c r="AB74" s="89"/>
      <c r="AC74" s="89"/>
      <c r="AD74" s="89"/>
      <c r="AE74" s="89"/>
      <c r="AF74" s="89"/>
      <c r="AG74" s="89"/>
      <c r="AH74" s="89"/>
      <c r="AI74" s="89"/>
      <c r="AJ74" s="89"/>
      <c r="AK74" s="89"/>
      <c r="AL74" s="89"/>
      <c r="AM74" s="89"/>
      <c r="AN74" s="89"/>
      <c r="AO74" s="89"/>
      <c r="AP74" s="89"/>
      <c r="AQ74" s="89"/>
      <c r="AR74" s="89"/>
      <c r="AS74" s="89"/>
      <c r="AT74" s="89"/>
      <c r="AU74" s="89"/>
      <c r="AV74" s="89"/>
      <c r="AW74" s="89"/>
      <c r="AX74" s="89"/>
      <c r="AY74" s="89"/>
      <c r="AZ74" s="89"/>
      <c r="BA74" s="89"/>
      <c r="BB74" s="89"/>
      <c r="BC74" s="89"/>
    </row>
    <row r="75" ht="22.5" customHeight="1">
      <c r="A75" s="90">
        <v>0.0</v>
      </c>
      <c r="B75" s="91" t="s">
        <v>34</v>
      </c>
      <c r="C75" s="70" t="s">
        <v>831</v>
      </c>
      <c r="D75" s="90">
        <v>81.0</v>
      </c>
      <c r="E75" s="70" t="s">
        <v>31543</v>
      </c>
      <c r="F75" s="70" t="s">
        <v>834</v>
      </c>
      <c r="G75" s="70" t="s">
        <v>31700</v>
      </c>
      <c r="H75" s="70" t="s">
        <v>832</v>
      </c>
      <c r="I75" s="70">
        <v>2017.0</v>
      </c>
      <c r="J75" s="70" t="s">
        <v>401</v>
      </c>
      <c r="K75" s="70" t="s">
        <v>839</v>
      </c>
      <c r="L75" s="70" t="s">
        <v>31701</v>
      </c>
      <c r="M75" s="70" t="s">
        <v>833</v>
      </c>
      <c r="N75" s="93"/>
      <c r="O75" s="70" t="s">
        <v>31702</v>
      </c>
      <c r="P75" s="90">
        <v>0.0</v>
      </c>
      <c r="Q75" s="90">
        <v>73.0</v>
      </c>
      <c r="R75" s="89"/>
      <c r="S75" s="89"/>
      <c r="T75" s="89"/>
      <c r="U75" s="89"/>
      <c r="V75" s="89"/>
      <c r="W75" s="89"/>
      <c r="X75" s="89"/>
      <c r="Y75" s="89"/>
      <c r="Z75" s="89"/>
      <c r="AA75" s="89"/>
      <c r="AB75" s="89"/>
      <c r="AC75" s="89"/>
      <c r="AD75" s="89"/>
      <c r="AE75" s="89"/>
      <c r="AF75" s="89"/>
      <c r="AG75" s="89"/>
      <c r="AH75" s="89"/>
      <c r="AI75" s="89"/>
      <c r="AJ75" s="89"/>
      <c r="AK75" s="89"/>
      <c r="AL75" s="89"/>
      <c r="AM75" s="89"/>
      <c r="AN75" s="89"/>
      <c r="AO75" s="89"/>
      <c r="AP75" s="89"/>
      <c r="AQ75" s="89"/>
      <c r="AR75" s="89"/>
      <c r="AS75" s="89"/>
      <c r="AT75" s="89"/>
      <c r="AU75" s="89"/>
      <c r="AV75" s="89"/>
      <c r="AW75" s="89"/>
      <c r="AX75" s="89"/>
      <c r="AY75" s="89"/>
      <c r="AZ75" s="89"/>
      <c r="BA75" s="89"/>
      <c r="BB75" s="89"/>
      <c r="BC75" s="89"/>
    </row>
    <row r="76" ht="22.5" customHeight="1">
      <c r="A76" s="90">
        <v>0.0</v>
      </c>
      <c r="B76" s="91" t="s">
        <v>34</v>
      </c>
      <c r="C76" s="70" t="s">
        <v>12157</v>
      </c>
      <c r="D76" s="90">
        <v>34.0</v>
      </c>
      <c r="E76" s="70" t="s">
        <v>31543</v>
      </c>
      <c r="F76" s="70" t="s">
        <v>12159</v>
      </c>
      <c r="G76" s="70" t="s">
        <v>31703</v>
      </c>
      <c r="H76" s="70" t="s">
        <v>12158</v>
      </c>
      <c r="I76" s="76">
        <v>45499.0</v>
      </c>
      <c r="J76" s="70" t="s">
        <v>239</v>
      </c>
      <c r="K76" s="70" t="s">
        <v>12161</v>
      </c>
      <c r="L76" s="70" t="s">
        <v>31704</v>
      </c>
      <c r="M76" s="92"/>
      <c r="N76" s="93"/>
      <c r="O76" s="92"/>
      <c r="P76" s="90">
        <v>0.0</v>
      </c>
      <c r="Q76" s="90">
        <v>74.0</v>
      </c>
      <c r="R76" s="89"/>
      <c r="S76" s="89"/>
      <c r="T76" s="89"/>
      <c r="U76" s="89"/>
      <c r="V76" s="89"/>
      <c r="W76" s="89"/>
      <c r="X76" s="89"/>
      <c r="Y76" s="89"/>
      <c r="Z76" s="89"/>
      <c r="AA76" s="89"/>
      <c r="AB76" s="89"/>
      <c r="AC76" s="89"/>
      <c r="AD76" s="89"/>
      <c r="AE76" s="89"/>
      <c r="AF76" s="89"/>
      <c r="AG76" s="89"/>
      <c r="AH76" s="89"/>
      <c r="AI76" s="89"/>
      <c r="AJ76" s="89"/>
      <c r="AK76" s="89"/>
      <c r="AL76" s="89"/>
      <c r="AM76" s="89"/>
      <c r="AN76" s="89"/>
      <c r="AO76" s="89"/>
      <c r="AP76" s="89"/>
      <c r="AQ76" s="89"/>
      <c r="AR76" s="89"/>
      <c r="AS76" s="89"/>
      <c r="AT76" s="89"/>
      <c r="AU76" s="89"/>
      <c r="AV76" s="89"/>
      <c r="AW76" s="89"/>
      <c r="AX76" s="89"/>
      <c r="AY76" s="89"/>
      <c r="AZ76" s="89"/>
      <c r="BA76" s="89"/>
      <c r="BB76" s="89"/>
      <c r="BC76" s="89"/>
    </row>
    <row r="77" ht="22.5" customHeight="1">
      <c r="A77" s="90">
        <v>0.0</v>
      </c>
      <c r="B77" s="91" t="s">
        <v>34</v>
      </c>
      <c r="C77" s="70" t="s">
        <v>26817</v>
      </c>
      <c r="D77" s="90">
        <v>104.0</v>
      </c>
      <c r="E77" s="70" t="s">
        <v>31543</v>
      </c>
      <c r="F77" s="70" t="s">
        <v>26818</v>
      </c>
      <c r="G77" s="70" t="s">
        <v>31705</v>
      </c>
      <c r="H77" s="70" t="s">
        <v>23116</v>
      </c>
      <c r="I77" s="92"/>
      <c r="J77" s="92"/>
      <c r="K77" s="70" t="s">
        <v>29346</v>
      </c>
      <c r="L77" s="70" t="s">
        <v>31706</v>
      </c>
      <c r="M77" s="92"/>
      <c r="N77" s="90">
        <v>2022.0</v>
      </c>
      <c r="O77" s="92"/>
      <c r="P77" s="90">
        <v>0.0</v>
      </c>
      <c r="Q77" s="90">
        <v>75.0</v>
      </c>
      <c r="R77" s="89"/>
      <c r="S77" s="89"/>
      <c r="T77" s="89"/>
      <c r="U77" s="89"/>
      <c r="V77" s="89"/>
      <c r="W77" s="89"/>
      <c r="X77" s="89"/>
      <c r="Y77" s="89"/>
      <c r="Z77" s="89"/>
      <c r="AA77" s="89"/>
      <c r="AB77" s="89"/>
      <c r="AC77" s="89"/>
      <c r="AD77" s="89"/>
      <c r="AE77" s="89"/>
      <c r="AF77" s="89"/>
      <c r="AG77" s="89"/>
      <c r="AH77" s="89"/>
      <c r="AI77" s="89"/>
      <c r="AJ77" s="89"/>
      <c r="AK77" s="89"/>
      <c r="AL77" s="89"/>
      <c r="AM77" s="89"/>
      <c r="AN77" s="89"/>
      <c r="AO77" s="89"/>
      <c r="AP77" s="89"/>
      <c r="AQ77" s="89"/>
      <c r="AR77" s="89"/>
      <c r="AS77" s="89"/>
      <c r="AT77" s="89"/>
      <c r="AU77" s="89"/>
      <c r="AV77" s="89"/>
      <c r="AW77" s="89"/>
      <c r="AX77" s="89"/>
      <c r="AY77" s="89"/>
      <c r="AZ77" s="89"/>
      <c r="BA77" s="89"/>
      <c r="BB77" s="89"/>
      <c r="BC77" s="89"/>
    </row>
    <row r="78" ht="22.5" customHeight="1">
      <c r="A78" s="90">
        <v>0.0</v>
      </c>
      <c r="B78" s="91" t="s">
        <v>34</v>
      </c>
      <c r="C78" s="70" t="s">
        <v>24590</v>
      </c>
      <c r="D78" s="90">
        <v>77.0</v>
      </c>
      <c r="E78" s="70" t="s">
        <v>31543</v>
      </c>
      <c r="F78" s="70" t="s">
        <v>24591</v>
      </c>
      <c r="G78" s="70" t="s">
        <v>31707</v>
      </c>
      <c r="H78" s="70" t="s">
        <v>24596</v>
      </c>
      <c r="I78" s="92"/>
      <c r="J78" s="92"/>
      <c r="K78" s="70" t="s">
        <v>29412</v>
      </c>
      <c r="L78" s="70" t="s">
        <v>31708</v>
      </c>
      <c r="M78" s="92"/>
      <c r="N78" s="90">
        <v>2024.0</v>
      </c>
      <c r="O78" s="92"/>
      <c r="P78" s="90">
        <v>0.0</v>
      </c>
      <c r="Q78" s="90">
        <v>76.0</v>
      </c>
      <c r="R78" s="89"/>
      <c r="S78" s="89"/>
      <c r="T78" s="89"/>
      <c r="U78" s="89"/>
      <c r="V78" s="89"/>
      <c r="W78" s="89"/>
      <c r="X78" s="89"/>
      <c r="Y78" s="89"/>
      <c r="Z78" s="89"/>
      <c r="AA78" s="89"/>
      <c r="AB78" s="89"/>
      <c r="AC78" s="89"/>
      <c r="AD78" s="89"/>
      <c r="AE78" s="89"/>
      <c r="AF78" s="89"/>
      <c r="AG78" s="89"/>
      <c r="AH78" s="89"/>
      <c r="AI78" s="89"/>
      <c r="AJ78" s="89"/>
      <c r="AK78" s="89"/>
      <c r="AL78" s="89"/>
      <c r="AM78" s="89"/>
      <c r="AN78" s="89"/>
      <c r="AO78" s="89"/>
      <c r="AP78" s="89"/>
      <c r="AQ78" s="89"/>
      <c r="AR78" s="89"/>
      <c r="AS78" s="89"/>
      <c r="AT78" s="89"/>
      <c r="AU78" s="89"/>
      <c r="AV78" s="89"/>
      <c r="AW78" s="89"/>
      <c r="AX78" s="89"/>
      <c r="AY78" s="89"/>
      <c r="AZ78" s="89"/>
      <c r="BA78" s="89"/>
      <c r="BB78" s="89"/>
      <c r="BC78" s="89"/>
    </row>
    <row r="79" ht="22.5" customHeight="1">
      <c r="A79" s="90">
        <v>0.0</v>
      </c>
      <c r="B79" s="91" t="s">
        <v>34</v>
      </c>
      <c r="C79" s="70" t="s">
        <v>28238</v>
      </c>
      <c r="D79" s="90">
        <v>85.0</v>
      </c>
      <c r="E79" s="70" t="s">
        <v>31543</v>
      </c>
      <c r="F79" s="70" t="s">
        <v>28239</v>
      </c>
      <c r="G79" s="70" t="s">
        <v>31709</v>
      </c>
      <c r="H79" s="70" t="s">
        <v>24237</v>
      </c>
      <c r="I79" s="92"/>
      <c r="J79" s="92"/>
      <c r="K79" s="70" t="s">
        <v>29359</v>
      </c>
      <c r="L79" s="70" t="s">
        <v>31710</v>
      </c>
      <c r="M79" s="92"/>
      <c r="N79" s="90">
        <v>2020.0</v>
      </c>
      <c r="O79" s="92"/>
      <c r="P79" s="90">
        <v>0.0</v>
      </c>
      <c r="Q79" s="90">
        <v>77.0</v>
      </c>
      <c r="R79" s="89"/>
      <c r="S79" s="89"/>
      <c r="T79" s="89"/>
      <c r="U79" s="89"/>
      <c r="V79" s="89"/>
      <c r="W79" s="89"/>
      <c r="X79" s="89"/>
      <c r="Y79" s="89"/>
      <c r="Z79" s="89"/>
      <c r="AA79" s="89"/>
      <c r="AB79" s="89"/>
      <c r="AC79" s="89"/>
      <c r="AD79" s="89"/>
      <c r="AE79" s="89"/>
      <c r="AF79" s="89"/>
      <c r="AG79" s="89"/>
      <c r="AH79" s="89"/>
      <c r="AI79" s="89"/>
      <c r="AJ79" s="89"/>
      <c r="AK79" s="89"/>
      <c r="AL79" s="89"/>
      <c r="AM79" s="89"/>
      <c r="AN79" s="89"/>
      <c r="AO79" s="89"/>
      <c r="AP79" s="89"/>
      <c r="AQ79" s="89"/>
      <c r="AR79" s="89"/>
      <c r="AS79" s="89"/>
      <c r="AT79" s="89"/>
      <c r="AU79" s="89"/>
      <c r="AV79" s="89"/>
      <c r="AW79" s="89"/>
      <c r="AX79" s="89"/>
      <c r="AY79" s="89"/>
      <c r="AZ79" s="89"/>
      <c r="BA79" s="89"/>
      <c r="BB79" s="89"/>
      <c r="BC79" s="89"/>
    </row>
    <row r="80" ht="22.5" customHeight="1">
      <c r="A80" s="90">
        <v>0.0</v>
      </c>
      <c r="B80" s="91" t="s">
        <v>36</v>
      </c>
      <c r="C80" s="70" t="s">
        <v>25148</v>
      </c>
      <c r="D80" s="90">
        <v>32.0</v>
      </c>
      <c r="E80" s="70" t="s">
        <v>31543</v>
      </c>
      <c r="F80" s="70" t="s">
        <v>25149</v>
      </c>
      <c r="G80" s="70" t="s">
        <v>31711</v>
      </c>
      <c r="H80" s="70" t="s">
        <v>25154</v>
      </c>
      <c r="I80" s="92"/>
      <c r="J80" s="92"/>
      <c r="K80" s="70" t="s">
        <v>29453</v>
      </c>
      <c r="L80" s="70" t="s">
        <v>31712</v>
      </c>
      <c r="M80" s="92"/>
      <c r="N80" s="90">
        <v>2024.0</v>
      </c>
      <c r="O80" s="92"/>
      <c r="P80" s="90">
        <v>0.0</v>
      </c>
      <c r="Q80" s="90">
        <v>78.0</v>
      </c>
      <c r="R80" s="89"/>
      <c r="S80" s="89"/>
      <c r="T80" s="89"/>
      <c r="U80" s="89"/>
      <c r="V80" s="89"/>
      <c r="W80" s="89"/>
      <c r="X80" s="89"/>
      <c r="Y80" s="89"/>
      <c r="Z80" s="89"/>
      <c r="AA80" s="89"/>
      <c r="AB80" s="89"/>
      <c r="AC80" s="89"/>
      <c r="AD80" s="89"/>
      <c r="AE80" s="89"/>
      <c r="AF80" s="89"/>
      <c r="AG80" s="89"/>
      <c r="AH80" s="89"/>
      <c r="AI80" s="89"/>
      <c r="AJ80" s="89"/>
      <c r="AK80" s="89"/>
      <c r="AL80" s="89"/>
      <c r="AM80" s="89"/>
      <c r="AN80" s="89"/>
      <c r="AO80" s="89"/>
      <c r="AP80" s="89"/>
      <c r="AQ80" s="89"/>
      <c r="AR80" s="89"/>
      <c r="AS80" s="89"/>
      <c r="AT80" s="89"/>
      <c r="AU80" s="89"/>
      <c r="AV80" s="89"/>
      <c r="AW80" s="89"/>
      <c r="AX80" s="89"/>
      <c r="AY80" s="89"/>
      <c r="AZ80" s="89"/>
      <c r="BA80" s="89"/>
      <c r="BB80" s="89"/>
      <c r="BC80" s="89"/>
    </row>
    <row r="81" ht="22.5" customHeight="1">
      <c r="A81" s="90">
        <v>0.0</v>
      </c>
      <c r="B81" s="91" t="s">
        <v>34</v>
      </c>
      <c r="C81" s="70" t="s">
        <v>23868</v>
      </c>
      <c r="D81" s="90">
        <v>58.0</v>
      </c>
      <c r="E81" s="70" t="s">
        <v>31543</v>
      </c>
      <c r="F81" s="70" t="s">
        <v>23869</v>
      </c>
      <c r="G81" s="70" t="s">
        <v>31713</v>
      </c>
      <c r="H81" s="70" t="s">
        <v>23874</v>
      </c>
      <c r="I81" s="92"/>
      <c r="J81" s="92"/>
      <c r="K81" s="70" t="s">
        <v>29483</v>
      </c>
      <c r="L81" s="70" t="s">
        <v>31714</v>
      </c>
      <c r="M81" s="92"/>
      <c r="N81" s="90">
        <v>2024.0</v>
      </c>
      <c r="O81" s="92"/>
      <c r="P81" s="90">
        <v>0.0</v>
      </c>
      <c r="Q81" s="90">
        <v>79.0</v>
      </c>
      <c r="R81" s="89"/>
      <c r="S81" s="89"/>
      <c r="T81" s="89"/>
      <c r="U81" s="89"/>
      <c r="V81" s="89"/>
      <c r="W81" s="89"/>
      <c r="X81" s="89"/>
      <c r="Y81" s="89"/>
      <c r="Z81" s="89"/>
      <c r="AA81" s="89"/>
      <c r="AB81" s="89"/>
      <c r="AC81" s="89"/>
      <c r="AD81" s="89"/>
      <c r="AE81" s="89"/>
      <c r="AF81" s="89"/>
      <c r="AG81" s="89"/>
      <c r="AH81" s="89"/>
      <c r="AI81" s="89"/>
      <c r="AJ81" s="89"/>
      <c r="AK81" s="89"/>
      <c r="AL81" s="89"/>
      <c r="AM81" s="89"/>
      <c r="AN81" s="89"/>
      <c r="AO81" s="89"/>
      <c r="AP81" s="89"/>
      <c r="AQ81" s="89"/>
      <c r="AR81" s="89"/>
      <c r="AS81" s="89"/>
      <c r="AT81" s="89"/>
      <c r="AU81" s="89"/>
      <c r="AV81" s="89"/>
      <c r="AW81" s="89"/>
      <c r="AX81" s="89"/>
      <c r="AY81" s="89"/>
      <c r="AZ81" s="89"/>
      <c r="BA81" s="89"/>
      <c r="BB81" s="89"/>
      <c r="BC81" s="89"/>
    </row>
    <row r="82" ht="22.5" customHeight="1">
      <c r="A82" s="90">
        <v>0.0</v>
      </c>
      <c r="B82" s="91" t="s">
        <v>34</v>
      </c>
      <c r="C82" s="70" t="s">
        <v>3682</v>
      </c>
      <c r="D82" s="90">
        <v>39.0</v>
      </c>
      <c r="E82" s="70" t="s">
        <v>31543</v>
      </c>
      <c r="F82" s="70" t="s">
        <v>3683</v>
      </c>
      <c r="G82" s="70" t="s">
        <v>31715</v>
      </c>
      <c r="H82" s="70" t="s">
        <v>3655</v>
      </c>
      <c r="I82" s="80">
        <v>45597.0</v>
      </c>
      <c r="J82" s="92"/>
      <c r="K82" s="70" t="s">
        <v>29469</v>
      </c>
      <c r="L82" s="70" t="s">
        <v>31716</v>
      </c>
      <c r="M82" s="70" t="s">
        <v>3656</v>
      </c>
      <c r="N82" s="93"/>
      <c r="O82" s="70" t="s">
        <v>31717</v>
      </c>
      <c r="P82" s="90">
        <v>0.0</v>
      </c>
      <c r="Q82" s="90">
        <v>80.0</v>
      </c>
      <c r="R82" s="89"/>
      <c r="S82" s="89"/>
      <c r="T82" s="89"/>
      <c r="U82" s="89"/>
      <c r="V82" s="89"/>
      <c r="W82" s="89"/>
      <c r="X82" s="89"/>
      <c r="Y82" s="89"/>
      <c r="Z82" s="89"/>
      <c r="AA82" s="89"/>
      <c r="AB82" s="89"/>
      <c r="AC82" s="89"/>
      <c r="AD82" s="89"/>
      <c r="AE82" s="89"/>
      <c r="AF82" s="89"/>
      <c r="AG82" s="89"/>
      <c r="AH82" s="89"/>
      <c r="AI82" s="89"/>
      <c r="AJ82" s="89"/>
      <c r="AK82" s="89"/>
      <c r="AL82" s="89"/>
      <c r="AM82" s="89"/>
      <c r="AN82" s="89"/>
      <c r="AO82" s="89"/>
      <c r="AP82" s="89"/>
      <c r="AQ82" s="89"/>
      <c r="AR82" s="89"/>
      <c r="AS82" s="89"/>
      <c r="AT82" s="89"/>
      <c r="AU82" s="89"/>
      <c r="AV82" s="89"/>
      <c r="AW82" s="89"/>
      <c r="AX82" s="89"/>
      <c r="AY82" s="89"/>
      <c r="AZ82" s="89"/>
      <c r="BA82" s="89"/>
      <c r="BB82" s="89"/>
      <c r="BC82" s="89"/>
    </row>
    <row r="83" ht="22.5" customHeight="1">
      <c r="A83" s="90">
        <v>0.0</v>
      </c>
      <c r="B83" s="91" t="s">
        <v>34</v>
      </c>
      <c r="C83" s="70" t="s">
        <v>887</v>
      </c>
      <c r="D83" s="90">
        <v>46.0</v>
      </c>
      <c r="E83" s="70" t="s">
        <v>31543</v>
      </c>
      <c r="F83" s="70" t="s">
        <v>890</v>
      </c>
      <c r="G83" s="70" t="s">
        <v>31718</v>
      </c>
      <c r="H83" s="70" t="s">
        <v>29318</v>
      </c>
      <c r="I83" s="70">
        <v>2022.0</v>
      </c>
      <c r="J83" s="70" t="s">
        <v>387</v>
      </c>
      <c r="K83" s="70" t="s">
        <v>893</v>
      </c>
      <c r="L83" s="92"/>
      <c r="M83" s="70" t="s">
        <v>889</v>
      </c>
      <c r="N83" s="93"/>
      <c r="O83" s="70" t="s">
        <v>31719</v>
      </c>
      <c r="P83" s="90">
        <v>0.0</v>
      </c>
      <c r="Q83" s="90">
        <v>81.0</v>
      </c>
      <c r="R83" s="89"/>
      <c r="S83" s="89"/>
      <c r="T83" s="89"/>
      <c r="U83" s="89"/>
      <c r="V83" s="89"/>
      <c r="W83" s="89"/>
      <c r="X83" s="89"/>
      <c r="Y83" s="89"/>
      <c r="Z83" s="89"/>
      <c r="AA83" s="89"/>
      <c r="AB83" s="89"/>
      <c r="AC83" s="89"/>
      <c r="AD83" s="89"/>
      <c r="AE83" s="89"/>
      <c r="AF83" s="89"/>
      <c r="AG83" s="89"/>
      <c r="AH83" s="89"/>
      <c r="AI83" s="89"/>
      <c r="AJ83" s="89"/>
      <c r="AK83" s="89"/>
      <c r="AL83" s="89"/>
      <c r="AM83" s="89"/>
      <c r="AN83" s="89"/>
      <c r="AO83" s="89"/>
      <c r="AP83" s="89"/>
      <c r="AQ83" s="89"/>
      <c r="AR83" s="89"/>
      <c r="AS83" s="89"/>
      <c r="AT83" s="89"/>
      <c r="AU83" s="89"/>
      <c r="AV83" s="89"/>
      <c r="AW83" s="89"/>
      <c r="AX83" s="89"/>
      <c r="AY83" s="89"/>
      <c r="AZ83" s="89"/>
      <c r="BA83" s="89"/>
      <c r="BB83" s="89"/>
      <c r="BC83" s="89"/>
    </row>
    <row r="84" ht="22.5" customHeight="1">
      <c r="A84" s="90">
        <v>0.0</v>
      </c>
      <c r="B84" s="91" t="s">
        <v>34</v>
      </c>
      <c r="C84" s="70" t="s">
        <v>654</v>
      </c>
      <c r="D84" s="90">
        <v>26.0</v>
      </c>
      <c r="E84" s="70" t="s">
        <v>31543</v>
      </c>
      <c r="F84" s="70" t="s">
        <v>657</v>
      </c>
      <c r="G84" s="70" t="s">
        <v>31720</v>
      </c>
      <c r="H84" s="70" t="s">
        <v>655</v>
      </c>
      <c r="I84" s="70">
        <v>2024.0</v>
      </c>
      <c r="J84" s="70" t="s">
        <v>401</v>
      </c>
      <c r="K84" s="70" t="s">
        <v>661</v>
      </c>
      <c r="L84" s="92"/>
      <c r="M84" s="70" t="s">
        <v>656</v>
      </c>
      <c r="N84" s="93"/>
      <c r="O84" s="70" t="s">
        <v>31721</v>
      </c>
      <c r="P84" s="90">
        <v>0.0</v>
      </c>
      <c r="Q84" s="90">
        <v>82.0</v>
      </c>
      <c r="R84" s="89"/>
      <c r="S84" s="89"/>
      <c r="T84" s="89"/>
      <c r="U84" s="89"/>
      <c r="V84" s="89"/>
      <c r="W84" s="89"/>
      <c r="X84" s="89"/>
      <c r="Y84" s="89"/>
      <c r="Z84" s="89"/>
      <c r="AA84" s="89"/>
      <c r="AB84" s="89"/>
      <c r="AC84" s="89"/>
      <c r="AD84" s="89"/>
      <c r="AE84" s="89"/>
      <c r="AF84" s="89"/>
      <c r="AG84" s="89"/>
      <c r="AH84" s="89"/>
      <c r="AI84" s="89"/>
      <c r="AJ84" s="89"/>
      <c r="AK84" s="89"/>
      <c r="AL84" s="89"/>
      <c r="AM84" s="89"/>
      <c r="AN84" s="89"/>
      <c r="AO84" s="89"/>
      <c r="AP84" s="89"/>
      <c r="AQ84" s="89"/>
      <c r="AR84" s="89"/>
      <c r="AS84" s="89"/>
      <c r="AT84" s="89"/>
      <c r="AU84" s="89"/>
      <c r="AV84" s="89"/>
      <c r="AW84" s="89"/>
      <c r="AX84" s="89"/>
      <c r="AY84" s="89"/>
      <c r="AZ84" s="89"/>
      <c r="BA84" s="89"/>
      <c r="BB84" s="89"/>
      <c r="BC84" s="89"/>
    </row>
    <row r="85" ht="22.5" customHeight="1">
      <c r="A85" s="90">
        <v>0.0</v>
      </c>
      <c r="B85" s="91" t="s">
        <v>34</v>
      </c>
      <c r="C85" s="70" t="s">
        <v>29321</v>
      </c>
      <c r="D85" s="90">
        <v>65.0</v>
      </c>
      <c r="E85" s="70" t="s">
        <v>31543</v>
      </c>
      <c r="F85" s="70" t="s">
        <v>24354</v>
      </c>
      <c r="G85" s="70" t="s">
        <v>31722</v>
      </c>
      <c r="H85" s="70" t="s">
        <v>24360</v>
      </c>
      <c r="I85" s="92"/>
      <c r="J85" s="92"/>
      <c r="K85" s="70" t="s">
        <v>29322</v>
      </c>
      <c r="L85" s="70" t="s">
        <v>31723</v>
      </c>
      <c r="M85" s="92"/>
      <c r="N85" s="90">
        <v>2024.0</v>
      </c>
      <c r="O85" s="92"/>
      <c r="P85" s="90">
        <v>0.0</v>
      </c>
      <c r="Q85" s="90">
        <v>83.0</v>
      </c>
      <c r="R85" s="89"/>
      <c r="S85" s="89"/>
      <c r="T85" s="89"/>
      <c r="U85" s="89"/>
      <c r="V85" s="89"/>
      <c r="W85" s="89"/>
      <c r="X85" s="89"/>
      <c r="Y85" s="89"/>
      <c r="Z85" s="89"/>
      <c r="AA85" s="89"/>
      <c r="AB85" s="89"/>
      <c r="AC85" s="89"/>
      <c r="AD85" s="89"/>
      <c r="AE85" s="89"/>
      <c r="AF85" s="89"/>
      <c r="AG85" s="89"/>
      <c r="AH85" s="89"/>
      <c r="AI85" s="89"/>
      <c r="AJ85" s="89"/>
      <c r="AK85" s="89"/>
      <c r="AL85" s="89"/>
      <c r="AM85" s="89"/>
      <c r="AN85" s="89"/>
      <c r="AO85" s="89"/>
      <c r="AP85" s="89"/>
      <c r="AQ85" s="89"/>
      <c r="AR85" s="89"/>
      <c r="AS85" s="89"/>
      <c r="AT85" s="89"/>
      <c r="AU85" s="89"/>
      <c r="AV85" s="89"/>
      <c r="AW85" s="89"/>
      <c r="AX85" s="89"/>
      <c r="AY85" s="89"/>
      <c r="AZ85" s="89"/>
      <c r="BA85" s="89"/>
      <c r="BB85" s="89"/>
      <c r="BC85" s="89"/>
    </row>
    <row r="86" ht="22.5" customHeight="1">
      <c r="A86" s="90">
        <v>0.0</v>
      </c>
      <c r="B86" s="91" t="s">
        <v>34</v>
      </c>
      <c r="C86" s="70" t="s">
        <v>18514</v>
      </c>
      <c r="D86" s="90">
        <v>60.0</v>
      </c>
      <c r="E86" s="70" t="s">
        <v>31543</v>
      </c>
      <c r="F86" s="70" t="s">
        <v>18515</v>
      </c>
      <c r="G86" s="70" t="s">
        <v>31724</v>
      </c>
      <c r="H86" s="70" t="s">
        <v>17654</v>
      </c>
      <c r="I86" s="76">
        <v>44466.0</v>
      </c>
      <c r="J86" s="70" t="s">
        <v>239</v>
      </c>
      <c r="K86" s="70" t="s">
        <v>29438</v>
      </c>
      <c r="L86" s="70" t="s">
        <v>31725</v>
      </c>
      <c r="M86" s="70" t="s">
        <v>17655</v>
      </c>
      <c r="N86" s="93"/>
      <c r="O86" s="92"/>
      <c r="P86" s="90">
        <v>0.0</v>
      </c>
      <c r="Q86" s="90">
        <v>84.0</v>
      </c>
      <c r="R86" s="89"/>
      <c r="S86" s="89"/>
      <c r="T86" s="89"/>
      <c r="U86" s="89"/>
      <c r="V86" s="89"/>
      <c r="W86" s="89"/>
      <c r="X86" s="89"/>
      <c r="Y86" s="89"/>
      <c r="Z86" s="89"/>
      <c r="AA86" s="89"/>
      <c r="AB86" s="89"/>
      <c r="AC86" s="89"/>
      <c r="AD86" s="89"/>
      <c r="AE86" s="89"/>
      <c r="AF86" s="89"/>
      <c r="AG86" s="89"/>
      <c r="AH86" s="89"/>
      <c r="AI86" s="89"/>
      <c r="AJ86" s="89"/>
      <c r="AK86" s="89"/>
      <c r="AL86" s="89"/>
      <c r="AM86" s="89"/>
      <c r="AN86" s="89"/>
      <c r="AO86" s="89"/>
      <c r="AP86" s="89"/>
      <c r="AQ86" s="89"/>
      <c r="AR86" s="89"/>
      <c r="AS86" s="89"/>
      <c r="AT86" s="89"/>
      <c r="AU86" s="89"/>
      <c r="AV86" s="89"/>
      <c r="AW86" s="89"/>
      <c r="AX86" s="89"/>
      <c r="AY86" s="89"/>
      <c r="AZ86" s="89"/>
      <c r="BA86" s="89"/>
      <c r="BB86" s="89"/>
      <c r="BC86" s="89"/>
    </row>
    <row r="87" ht="22.5" customHeight="1">
      <c r="A87" s="90">
        <v>0.0</v>
      </c>
      <c r="B87" s="91" t="s">
        <v>34</v>
      </c>
      <c r="C87" s="70" t="s">
        <v>19753</v>
      </c>
      <c r="D87" s="90">
        <v>103.0</v>
      </c>
      <c r="E87" s="70" t="s">
        <v>31543</v>
      </c>
      <c r="F87" s="70" t="s">
        <v>19754</v>
      </c>
      <c r="G87" s="70" t="s">
        <v>31726</v>
      </c>
      <c r="H87" s="70" t="s">
        <v>16436</v>
      </c>
      <c r="I87" s="76">
        <v>44847.0</v>
      </c>
      <c r="J87" s="70" t="s">
        <v>239</v>
      </c>
      <c r="K87" s="70" t="s">
        <v>29367</v>
      </c>
      <c r="L87" s="70" t="s">
        <v>31727</v>
      </c>
      <c r="M87" s="70" t="s">
        <v>16437</v>
      </c>
      <c r="N87" s="93"/>
      <c r="O87" s="92"/>
      <c r="P87" s="90">
        <v>0.0</v>
      </c>
      <c r="Q87" s="90">
        <v>85.0</v>
      </c>
      <c r="R87" s="89"/>
      <c r="S87" s="89"/>
      <c r="T87" s="89"/>
      <c r="U87" s="89"/>
      <c r="V87" s="89"/>
      <c r="W87" s="89"/>
      <c r="X87" s="89"/>
      <c r="Y87" s="89"/>
      <c r="Z87" s="89"/>
      <c r="AA87" s="89"/>
      <c r="AB87" s="89"/>
      <c r="AC87" s="89"/>
      <c r="AD87" s="89"/>
      <c r="AE87" s="89"/>
      <c r="AF87" s="89"/>
      <c r="AG87" s="89"/>
      <c r="AH87" s="89"/>
      <c r="AI87" s="89"/>
      <c r="AJ87" s="89"/>
      <c r="AK87" s="89"/>
      <c r="AL87" s="89"/>
      <c r="AM87" s="89"/>
      <c r="AN87" s="89"/>
      <c r="AO87" s="89"/>
      <c r="AP87" s="89"/>
      <c r="AQ87" s="89"/>
      <c r="AR87" s="89"/>
      <c r="AS87" s="89"/>
      <c r="AT87" s="89"/>
      <c r="AU87" s="89"/>
      <c r="AV87" s="89"/>
      <c r="AW87" s="89"/>
      <c r="AX87" s="89"/>
      <c r="AY87" s="89"/>
      <c r="AZ87" s="89"/>
      <c r="BA87" s="89"/>
      <c r="BB87" s="89"/>
      <c r="BC87" s="89"/>
    </row>
    <row r="88" ht="22.5" customHeight="1">
      <c r="A88" s="90">
        <v>0.0</v>
      </c>
      <c r="B88" s="91" t="s">
        <v>34</v>
      </c>
      <c r="C88" s="70" t="s">
        <v>28711</v>
      </c>
      <c r="D88" s="90">
        <v>45.0</v>
      </c>
      <c r="E88" s="70" t="s">
        <v>31543</v>
      </c>
      <c r="F88" s="70" t="s">
        <v>28712</v>
      </c>
      <c r="G88" s="70" t="s">
        <v>31728</v>
      </c>
      <c r="H88" s="70" t="s">
        <v>28717</v>
      </c>
      <c r="I88" s="92"/>
      <c r="J88" s="92"/>
      <c r="K88" s="70" t="s">
        <v>29409</v>
      </c>
      <c r="L88" s="70" t="s">
        <v>31729</v>
      </c>
      <c r="M88" s="92"/>
      <c r="N88" s="90">
        <v>2019.0</v>
      </c>
      <c r="O88" s="92"/>
      <c r="P88" s="90">
        <v>0.0</v>
      </c>
      <c r="Q88" s="90">
        <v>86.0</v>
      </c>
      <c r="R88" s="89"/>
      <c r="S88" s="89"/>
      <c r="T88" s="89"/>
      <c r="U88" s="89"/>
      <c r="V88" s="89"/>
      <c r="W88" s="89"/>
      <c r="X88" s="89"/>
      <c r="Y88" s="89"/>
      <c r="Z88" s="89"/>
      <c r="AA88" s="89"/>
      <c r="AB88" s="89"/>
      <c r="AC88" s="89"/>
      <c r="AD88" s="89"/>
      <c r="AE88" s="89"/>
      <c r="AF88" s="89"/>
      <c r="AG88" s="89"/>
      <c r="AH88" s="89"/>
      <c r="AI88" s="89"/>
      <c r="AJ88" s="89"/>
      <c r="AK88" s="89"/>
      <c r="AL88" s="89"/>
      <c r="AM88" s="89"/>
      <c r="AN88" s="89"/>
      <c r="AO88" s="89"/>
      <c r="AP88" s="89"/>
      <c r="AQ88" s="89"/>
      <c r="AR88" s="89"/>
      <c r="AS88" s="89"/>
      <c r="AT88" s="89"/>
      <c r="AU88" s="89"/>
      <c r="AV88" s="89"/>
      <c r="AW88" s="89"/>
      <c r="AX88" s="89"/>
      <c r="AY88" s="89"/>
      <c r="AZ88" s="89"/>
      <c r="BA88" s="89"/>
      <c r="BB88" s="89"/>
      <c r="BC88" s="89"/>
    </row>
    <row r="89" ht="22.5" customHeight="1">
      <c r="A89" s="90">
        <v>0.0</v>
      </c>
      <c r="B89" s="91" t="s">
        <v>34</v>
      </c>
      <c r="C89" s="70" t="s">
        <v>29049</v>
      </c>
      <c r="D89" s="90">
        <v>63.0</v>
      </c>
      <c r="E89" s="70" t="s">
        <v>31543</v>
      </c>
      <c r="F89" s="70" t="s">
        <v>29050</v>
      </c>
      <c r="G89" s="70" t="s">
        <v>31730</v>
      </c>
      <c r="H89" s="70" t="s">
        <v>27034</v>
      </c>
      <c r="I89" s="92"/>
      <c r="J89" s="92"/>
      <c r="K89" s="70" t="s">
        <v>29355</v>
      </c>
      <c r="L89" s="70" t="s">
        <v>31731</v>
      </c>
      <c r="M89" s="92"/>
      <c r="N89" s="90">
        <v>2018.0</v>
      </c>
      <c r="O89" s="92"/>
      <c r="P89" s="90">
        <v>0.0</v>
      </c>
      <c r="Q89" s="90">
        <v>87.0</v>
      </c>
      <c r="R89" s="89"/>
      <c r="S89" s="89"/>
      <c r="T89" s="89"/>
      <c r="U89" s="89"/>
      <c r="V89" s="89"/>
      <c r="W89" s="89"/>
      <c r="X89" s="89"/>
      <c r="Y89" s="89"/>
      <c r="Z89" s="89"/>
      <c r="AA89" s="89"/>
      <c r="AB89" s="89"/>
      <c r="AC89" s="89"/>
      <c r="AD89" s="89"/>
      <c r="AE89" s="89"/>
      <c r="AF89" s="89"/>
      <c r="AG89" s="89"/>
      <c r="AH89" s="89"/>
      <c r="AI89" s="89"/>
      <c r="AJ89" s="89"/>
      <c r="AK89" s="89"/>
      <c r="AL89" s="89"/>
      <c r="AM89" s="89"/>
      <c r="AN89" s="89"/>
      <c r="AO89" s="89"/>
      <c r="AP89" s="89"/>
      <c r="AQ89" s="89"/>
      <c r="AR89" s="89"/>
      <c r="AS89" s="89"/>
      <c r="AT89" s="89"/>
      <c r="AU89" s="89"/>
      <c r="AV89" s="89"/>
      <c r="AW89" s="89"/>
      <c r="AX89" s="89"/>
      <c r="AY89" s="89"/>
      <c r="AZ89" s="89"/>
      <c r="BA89" s="89"/>
      <c r="BB89" s="89"/>
      <c r="BC89" s="89"/>
    </row>
    <row r="90" ht="22.5" customHeight="1">
      <c r="A90" s="90">
        <v>0.0</v>
      </c>
      <c r="B90" s="91" t="s">
        <v>34</v>
      </c>
      <c r="C90" s="70" t="s">
        <v>25210</v>
      </c>
      <c r="D90" s="90">
        <v>41.0</v>
      </c>
      <c r="E90" s="70" t="s">
        <v>31543</v>
      </c>
      <c r="F90" s="70" t="s">
        <v>25211</v>
      </c>
      <c r="G90" s="70" t="s">
        <v>31732</v>
      </c>
      <c r="H90" s="70" t="s">
        <v>22535</v>
      </c>
      <c r="I90" s="92"/>
      <c r="J90" s="92"/>
      <c r="K90" s="70" t="s">
        <v>29337</v>
      </c>
      <c r="L90" s="70" t="s">
        <v>31733</v>
      </c>
      <c r="M90" s="92"/>
      <c r="N90" s="90">
        <v>2023.0</v>
      </c>
      <c r="O90" s="92"/>
      <c r="P90" s="90">
        <v>0.0</v>
      </c>
      <c r="Q90" s="90">
        <v>88.0</v>
      </c>
      <c r="R90" s="89"/>
      <c r="S90" s="89"/>
      <c r="T90" s="89"/>
      <c r="U90" s="89"/>
      <c r="V90" s="89"/>
      <c r="W90" s="89"/>
      <c r="X90" s="89"/>
      <c r="Y90" s="89"/>
      <c r="Z90" s="89"/>
      <c r="AA90" s="89"/>
      <c r="AB90" s="89"/>
      <c r="AC90" s="89"/>
      <c r="AD90" s="89"/>
      <c r="AE90" s="89"/>
      <c r="AF90" s="89"/>
      <c r="AG90" s="89"/>
      <c r="AH90" s="89"/>
      <c r="AI90" s="89"/>
      <c r="AJ90" s="89"/>
      <c r="AK90" s="89"/>
      <c r="AL90" s="89"/>
      <c r="AM90" s="89"/>
      <c r="AN90" s="89"/>
      <c r="AO90" s="89"/>
      <c r="AP90" s="89"/>
      <c r="AQ90" s="89"/>
      <c r="AR90" s="89"/>
      <c r="AS90" s="89"/>
      <c r="AT90" s="89"/>
      <c r="AU90" s="89"/>
      <c r="AV90" s="89"/>
      <c r="AW90" s="89"/>
      <c r="AX90" s="89"/>
      <c r="AY90" s="89"/>
      <c r="AZ90" s="89"/>
      <c r="BA90" s="89"/>
      <c r="BB90" s="89"/>
      <c r="BC90" s="89"/>
    </row>
    <row r="91" ht="22.5" customHeight="1">
      <c r="A91" s="90">
        <v>0.0</v>
      </c>
      <c r="B91" s="91" t="s">
        <v>34</v>
      </c>
      <c r="C91" s="70" t="s">
        <v>15103</v>
      </c>
      <c r="D91" s="90">
        <v>94.0</v>
      </c>
      <c r="E91" s="70" t="s">
        <v>31543</v>
      </c>
      <c r="F91" s="70" t="s">
        <v>15105</v>
      </c>
      <c r="G91" s="70" t="s">
        <v>31734</v>
      </c>
      <c r="H91" s="70" t="s">
        <v>15104</v>
      </c>
      <c r="I91" s="76">
        <v>45706.0</v>
      </c>
      <c r="J91" s="70" t="s">
        <v>239</v>
      </c>
      <c r="K91" s="70" t="s">
        <v>15107</v>
      </c>
      <c r="L91" s="70" t="s">
        <v>31735</v>
      </c>
      <c r="M91" s="92"/>
      <c r="N91" s="93"/>
      <c r="O91" s="92"/>
      <c r="P91" s="90">
        <v>0.0</v>
      </c>
      <c r="Q91" s="90">
        <v>89.0</v>
      </c>
      <c r="R91" s="89"/>
      <c r="S91" s="89"/>
      <c r="T91" s="89"/>
      <c r="U91" s="89"/>
      <c r="V91" s="89"/>
      <c r="W91" s="89"/>
      <c r="X91" s="89"/>
      <c r="Y91" s="89"/>
      <c r="Z91" s="89"/>
      <c r="AA91" s="89"/>
      <c r="AB91" s="89"/>
      <c r="AC91" s="89"/>
      <c r="AD91" s="89"/>
      <c r="AE91" s="89"/>
      <c r="AF91" s="89"/>
      <c r="AG91" s="89"/>
      <c r="AH91" s="89"/>
      <c r="AI91" s="89"/>
      <c r="AJ91" s="89"/>
      <c r="AK91" s="89"/>
      <c r="AL91" s="89"/>
      <c r="AM91" s="89"/>
      <c r="AN91" s="89"/>
      <c r="AO91" s="89"/>
      <c r="AP91" s="89"/>
      <c r="AQ91" s="89"/>
      <c r="AR91" s="89"/>
      <c r="AS91" s="89"/>
      <c r="AT91" s="89"/>
      <c r="AU91" s="89"/>
      <c r="AV91" s="89"/>
      <c r="AW91" s="89"/>
      <c r="AX91" s="89"/>
      <c r="AY91" s="89"/>
      <c r="AZ91" s="89"/>
      <c r="BA91" s="89"/>
      <c r="BB91" s="89"/>
      <c r="BC91" s="89"/>
    </row>
    <row r="92" ht="22.5" customHeight="1">
      <c r="A92" s="90">
        <v>0.0</v>
      </c>
      <c r="B92" s="91" t="s">
        <v>34</v>
      </c>
      <c r="C92" s="70" t="s">
        <v>25492</v>
      </c>
      <c r="D92" s="90">
        <v>114.0</v>
      </c>
      <c r="E92" s="70" t="s">
        <v>31543</v>
      </c>
      <c r="F92" s="70" t="s">
        <v>25493</v>
      </c>
      <c r="G92" s="70" t="s">
        <v>31736</v>
      </c>
      <c r="H92" s="70" t="s">
        <v>22802</v>
      </c>
      <c r="I92" s="92"/>
      <c r="J92" s="92"/>
      <c r="K92" s="70" t="s">
        <v>29508</v>
      </c>
      <c r="L92" s="70" t="s">
        <v>31737</v>
      </c>
      <c r="M92" s="92"/>
      <c r="N92" s="90">
        <v>2023.0</v>
      </c>
      <c r="O92" s="92"/>
      <c r="P92" s="90">
        <v>0.0</v>
      </c>
      <c r="Q92" s="90">
        <v>90.0</v>
      </c>
      <c r="R92" s="89"/>
      <c r="S92" s="89"/>
      <c r="T92" s="89"/>
      <c r="U92" s="89"/>
      <c r="V92" s="89"/>
      <c r="W92" s="89"/>
      <c r="X92" s="89"/>
      <c r="Y92" s="89"/>
      <c r="Z92" s="89"/>
      <c r="AA92" s="89"/>
      <c r="AB92" s="89"/>
      <c r="AC92" s="89"/>
      <c r="AD92" s="89"/>
      <c r="AE92" s="89"/>
      <c r="AF92" s="89"/>
      <c r="AG92" s="89"/>
      <c r="AH92" s="89"/>
      <c r="AI92" s="89"/>
      <c r="AJ92" s="89"/>
      <c r="AK92" s="89"/>
      <c r="AL92" s="89"/>
      <c r="AM92" s="89"/>
      <c r="AN92" s="89"/>
      <c r="AO92" s="89"/>
      <c r="AP92" s="89"/>
      <c r="AQ92" s="89"/>
      <c r="AR92" s="89"/>
      <c r="AS92" s="89"/>
      <c r="AT92" s="89"/>
      <c r="AU92" s="89"/>
      <c r="AV92" s="89"/>
      <c r="AW92" s="89"/>
      <c r="AX92" s="89"/>
      <c r="AY92" s="89"/>
      <c r="AZ92" s="89"/>
      <c r="BA92" s="89"/>
      <c r="BB92" s="89"/>
      <c r="BC92" s="89"/>
    </row>
    <row r="93" ht="22.5" customHeight="1">
      <c r="A93" s="90">
        <v>0.0</v>
      </c>
      <c r="B93" s="91" t="s">
        <v>34</v>
      </c>
      <c r="C93" s="70" t="s">
        <v>23888</v>
      </c>
      <c r="D93" s="90">
        <v>30.0</v>
      </c>
      <c r="E93" s="70" t="s">
        <v>31543</v>
      </c>
      <c r="F93" s="70" t="s">
        <v>23889</v>
      </c>
      <c r="G93" s="70" t="s">
        <v>31738</v>
      </c>
      <c r="H93" s="70" t="s">
        <v>16538</v>
      </c>
      <c r="I93" s="92"/>
      <c r="J93" s="92"/>
      <c r="K93" s="70" t="s">
        <v>29422</v>
      </c>
      <c r="L93" s="70" t="s">
        <v>31739</v>
      </c>
      <c r="M93" s="92"/>
      <c r="N93" s="90">
        <v>2024.0</v>
      </c>
      <c r="O93" s="92"/>
      <c r="P93" s="90">
        <v>0.0</v>
      </c>
      <c r="Q93" s="90">
        <v>91.0</v>
      </c>
      <c r="R93" s="89"/>
      <c r="S93" s="89"/>
      <c r="T93" s="89"/>
      <c r="U93" s="89"/>
      <c r="V93" s="89"/>
      <c r="W93" s="89"/>
      <c r="X93" s="89"/>
      <c r="Y93" s="89"/>
      <c r="Z93" s="89"/>
      <c r="AA93" s="89"/>
      <c r="AB93" s="89"/>
      <c r="AC93" s="89"/>
      <c r="AD93" s="89"/>
      <c r="AE93" s="89"/>
      <c r="AF93" s="89"/>
      <c r="AG93" s="89"/>
      <c r="AH93" s="89"/>
      <c r="AI93" s="89"/>
      <c r="AJ93" s="89"/>
      <c r="AK93" s="89"/>
      <c r="AL93" s="89"/>
      <c r="AM93" s="89"/>
      <c r="AN93" s="89"/>
      <c r="AO93" s="89"/>
      <c r="AP93" s="89"/>
      <c r="AQ93" s="89"/>
      <c r="AR93" s="89"/>
      <c r="AS93" s="89"/>
      <c r="AT93" s="89"/>
      <c r="AU93" s="89"/>
      <c r="AV93" s="89"/>
      <c r="AW93" s="89"/>
      <c r="AX93" s="89"/>
      <c r="AY93" s="89"/>
      <c r="AZ93" s="89"/>
      <c r="BA93" s="89"/>
      <c r="BB93" s="89"/>
      <c r="BC93" s="89"/>
    </row>
    <row r="94" ht="22.5" customHeight="1">
      <c r="A94" s="90">
        <v>0.0</v>
      </c>
      <c r="B94" s="91" t="s">
        <v>34</v>
      </c>
      <c r="C94" s="70" t="s">
        <v>5430</v>
      </c>
      <c r="D94" s="90">
        <v>84.0</v>
      </c>
      <c r="E94" s="70" t="s">
        <v>31543</v>
      </c>
      <c r="F94" s="70" t="s">
        <v>5432</v>
      </c>
      <c r="G94" s="70" t="s">
        <v>31740</v>
      </c>
      <c r="H94" s="70" t="s">
        <v>5431</v>
      </c>
      <c r="I94" s="76">
        <v>42726.0</v>
      </c>
      <c r="J94" s="70" t="s">
        <v>239</v>
      </c>
      <c r="K94" s="70" t="s">
        <v>5434</v>
      </c>
      <c r="L94" s="70" t="s">
        <v>31741</v>
      </c>
      <c r="M94" s="92"/>
      <c r="N94" s="93"/>
      <c r="O94" s="92"/>
      <c r="P94" s="90">
        <v>0.0</v>
      </c>
      <c r="Q94" s="90">
        <v>92.0</v>
      </c>
      <c r="R94" s="89"/>
      <c r="S94" s="89"/>
      <c r="T94" s="89"/>
      <c r="U94" s="89"/>
      <c r="V94" s="89"/>
      <c r="W94" s="89"/>
      <c r="X94" s="89"/>
      <c r="Y94" s="89"/>
      <c r="Z94" s="89"/>
      <c r="AA94" s="89"/>
      <c r="AB94" s="89"/>
      <c r="AC94" s="89"/>
      <c r="AD94" s="89"/>
      <c r="AE94" s="89"/>
      <c r="AF94" s="89"/>
      <c r="AG94" s="89"/>
      <c r="AH94" s="89"/>
      <c r="AI94" s="89"/>
      <c r="AJ94" s="89"/>
      <c r="AK94" s="89"/>
      <c r="AL94" s="89"/>
      <c r="AM94" s="89"/>
      <c r="AN94" s="89"/>
      <c r="AO94" s="89"/>
      <c r="AP94" s="89"/>
      <c r="AQ94" s="89"/>
      <c r="AR94" s="89"/>
      <c r="AS94" s="89"/>
      <c r="AT94" s="89"/>
      <c r="AU94" s="89"/>
      <c r="AV94" s="89"/>
      <c r="AW94" s="89"/>
      <c r="AX94" s="89"/>
      <c r="AY94" s="89"/>
      <c r="AZ94" s="89"/>
      <c r="BA94" s="89"/>
      <c r="BB94" s="89"/>
      <c r="BC94" s="89"/>
    </row>
    <row r="95" ht="22.5" customHeight="1">
      <c r="A95" s="90">
        <v>0.0</v>
      </c>
      <c r="B95" s="91" t="s">
        <v>34</v>
      </c>
      <c r="C95" s="70" t="s">
        <v>15633</v>
      </c>
      <c r="D95" s="90">
        <v>74.0</v>
      </c>
      <c r="E95" s="70" t="s">
        <v>31543</v>
      </c>
      <c r="F95" s="70" t="s">
        <v>15634</v>
      </c>
      <c r="G95" s="70" t="s">
        <v>31742</v>
      </c>
      <c r="H95" s="70" t="s">
        <v>12672</v>
      </c>
      <c r="I95" s="76">
        <v>45596.0</v>
      </c>
      <c r="J95" s="70" t="s">
        <v>239</v>
      </c>
      <c r="K95" s="70" t="s">
        <v>15636</v>
      </c>
      <c r="L95" s="70" t="s">
        <v>31743</v>
      </c>
      <c r="M95" s="70" t="s">
        <v>5351</v>
      </c>
      <c r="N95" s="93"/>
      <c r="O95" s="92"/>
      <c r="P95" s="90">
        <v>0.0</v>
      </c>
      <c r="Q95" s="90">
        <v>93.0</v>
      </c>
      <c r="R95" s="89"/>
      <c r="S95" s="89"/>
      <c r="T95" s="89"/>
      <c r="U95" s="89"/>
      <c r="V95" s="89"/>
      <c r="W95" s="89"/>
      <c r="X95" s="89"/>
      <c r="Y95" s="89"/>
      <c r="Z95" s="89"/>
      <c r="AA95" s="89"/>
      <c r="AB95" s="89"/>
      <c r="AC95" s="89"/>
      <c r="AD95" s="89"/>
      <c r="AE95" s="89"/>
      <c r="AF95" s="89"/>
      <c r="AG95" s="89"/>
      <c r="AH95" s="89"/>
      <c r="AI95" s="89"/>
      <c r="AJ95" s="89"/>
      <c r="AK95" s="89"/>
      <c r="AL95" s="89"/>
      <c r="AM95" s="89"/>
      <c r="AN95" s="89"/>
      <c r="AO95" s="89"/>
      <c r="AP95" s="89"/>
      <c r="AQ95" s="89"/>
      <c r="AR95" s="89"/>
      <c r="AS95" s="89"/>
      <c r="AT95" s="89"/>
      <c r="AU95" s="89"/>
      <c r="AV95" s="89"/>
      <c r="AW95" s="89"/>
      <c r="AX95" s="89"/>
      <c r="AY95" s="89"/>
      <c r="AZ95" s="89"/>
      <c r="BA95" s="89"/>
      <c r="BB95" s="89"/>
      <c r="BC95" s="89"/>
    </row>
    <row r="96" ht="22.5" customHeight="1">
      <c r="A96" s="90">
        <v>0.0</v>
      </c>
      <c r="B96" s="91" t="s">
        <v>34</v>
      </c>
      <c r="C96" s="70" t="s">
        <v>22820</v>
      </c>
      <c r="D96" s="90">
        <v>106.0</v>
      </c>
      <c r="E96" s="70" t="s">
        <v>31543</v>
      </c>
      <c r="F96" s="70" t="s">
        <v>22821</v>
      </c>
      <c r="G96" s="70" t="s">
        <v>31744</v>
      </c>
      <c r="H96" s="70" t="s">
        <v>22826</v>
      </c>
      <c r="I96" s="92"/>
      <c r="J96" s="92"/>
      <c r="K96" s="70" t="s">
        <v>29353</v>
      </c>
      <c r="L96" s="70" t="s">
        <v>31745</v>
      </c>
      <c r="M96" s="92"/>
      <c r="N96" s="90">
        <v>2024.0</v>
      </c>
      <c r="O96" s="92"/>
      <c r="P96" s="90">
        <v>0.0</v>
      </c>
      <c r="Q96" s="90">
        <v>94.0</v>
      </c>
      <c r="R96" s="89"/>
      <c r="S96" s="89"/>
      <c r="T96" s="89"/>
      <c r="U96" s="89"/>
      <c r="V96" s="89"/>
      <c r="W96" s="89"/>
      <c r="X96" s="89"/>
      <c r="Y96" s="89"/>
      <c r="Z96" s="89"/>
      <c r="AA96" s="89"/>
      <c r="AB96" s="89"/>
      <c r="AC96" s="89"/>
      <c r="AD96" s="89"/>
      <c r="AE96" s="89"/>
      <c r="AF96" s="89"/>
      <c r="AG96" s="89"/>
      <c r="AH96" s="89"/>
      <c r="AI96" s="89"/>
      <c r="AJ96" s="89"/>
      <c r="AK96" s="89"/>
      <c r="AL96" s="89"/>
      <c r="AM96" s="89"/>
      <c r="AN96" s="89"/>
      <c r="AO96" s="89"/>
      <c r="AP96" s="89"/>
      <c r="AQ96" s="89"/>
      <c r="AR96" s="89"/>
      <c r="AS96" s="89"/>
      <c r="AT96" s="89"/>
      <c r="AU96" s="89"/>
      <c r="AV96" s="89"/>
      <c r="AW96" s="89"/>
      <c r="AX96" s="89"/>
      <c r="AY96" s="89"/>
      <c r="AZ96" s="89"/>
      <c r="BA96" s="89"/>
      <c r="BB96" s="89"/>
      <c r="BC96" s="89"/>
    </row>
    <row r="97" ht="22.5" customHeight="1">
      <c r="A97" s="90">
        <v>0.0</v>
      </c>
      <c r="B97" s="91" t="s">
        <v>34</v>
      </c>
      <c r="C97" s="70" t="s">
        <v>19262</v>
      </c>
      <c r="D97" s="90">
        <v>107.0</v>
      </c>
      <c r="E97" s="70" t="s">
        <v>31543</v>
      </c>
      <c r="F97" s="70" t="s">
        <v>19263</v>
      </c>
      <c r="G97" s="70" t="s">
        <v>31746</v>
      </c>
      <c r="H97" s="70" t="s">
        <v>16835</v>
      </c>
      <c r="I97" s="77">
        <v>44258.0</v>
      </c>
      <c r="J97" s="70" t="s">
        <v>239</v>
      </c>
      <c r="K97" s="70" t="s">
        <v>19265</v>
      </c>
      <c r="L97" s="70" t="s">
        <v>31747</v>
      </c>
      <c r="M97" s="70" t="s">
        <v>16836</v>
      </c>
      <c r="N97" s="93"/>
      <c r="O97" s="92"/>
      <c r="P97" s="90">
        <v>0.0</v>
      </c>
      <c r="Q97" s="90">
        <v>95.0</v>
      </c>
      <c r="R97" s="89"/>
      <c r="S97" s="89"/>
      <c r="T97" s="89"/>
      <c r="U97" s="89"/>
      <c r="V97" s="89"/>
      <c r="W97" s="89"/>
      <c r="X97" s="89"/>
      <c r="Y97" s="89"/>
      <c r="Z97" s="89"/>
      <c r="AA97" s="89"/>
      <c r="AB97" s="89"/>
      <c r="AC97" s="89"/>
      <c r="AD97" s="89"/>
      <c r="AE97" s="89"/>
      <c r="AF97" s="89"/>
      <c r="AG97" s="89"/>
      <c r="AH97" s="89"/>
      <c r="AI97" s="89"/>
      <c r="AJ97" s="89"/>
      <c r="AK97" s="89"/>
      <c r="AL97" s="89"/>
      <c r="AM97" s="89"/>
      <c r="AN97" s="89"/>
      <c r="AO97" s="89"/>
      <c r="AP97" s="89"/>
      <c r="AQ97" s="89"/>
      <c r="AR97" s="89"/>
      <c r="AS97" s="89"/>
      <c r="AT97" s="89"/>
      <c r="AU97" s="89"/>
      <c r="AV97" s="89"/>
      <c r="AW97" s="89"/>
      <c r="AX97" s="89"/>
      <c r="AY97" s="89"/>
      <c r="AZ97" s="89"/>
      <c r="BA97" s="89"/>
      <c r="BB97" s="89"/>
      <c r="BC97" s="89"/>
    </row>
    <row r="98" ht="22.5" customHeight="1">
      <c r="A98" s="90">
        <v>0.0</v>
      </c>
      <c r="B98" s="91" t="s">
        <v>34</v>
      </c>
      <c r="C98" s="70" t="s">
        <v>14803</v>
      </c>
      <c r="D98" s="90">
        <v>69.0</v>
      </c>
      <c r="E98" s="70" t="s">
        <v>31543</v>
      </c>
      <c r="F98" s="70" t="s">
        <v>14804</v>
      </c>
      <c r="G98" s="70" t="s">
        <v>31748</v>
      </c>
      <c r="H98" s="70" t="s">
        <v>14121</v>
      </c>
      <c r="I98" s="76">
        <v>45674.0</v>
      </c>
      <c r="J98" s="70" t="s">
        <v>239</v>
      </c>
      <c r="K98" s="70" t="s">
        <v>14806</v>
      </c>
      <c r="L98" s="70" t="s">
        <v>31749</v>
      </c>
      <c r="M98" s="92"/>
      <c r="N98" s="93"/>
      <c r="O98" s="92"/>
      <c r="P98" s="90">
        <v>0.0</v>
      </c>
      <c r="Q98" s="90">
        <v>96.0</v>
      </c>
      <c r="R98" s="89"/>
      <c r="S98" s="89"/>
      <c r="T98" s="89"/>
      <c r="U98" s="89"/>
      <c r="V98" s="89"/>
      <c r="W98" s="89"/>
      <c r="X98" s="89"/>
      <c r="Y98" s="89"/>
      <c r="Z98" s="89"/>
      <c r="AA98" s="89"/>
      <c r="AB98" s="89"/>
      <c r="AC98" s="89"/>
      <c r="AD98" s="89"/>
      <c r="AE98" s="89"/>
      <c r="AF98" s="89"/>
      <c r="AG98" s="89"/>
      <c r="AH98" s="89"/>
      <c r="AI98" s="89"/>
      <c r="AJ98" s="89"/>
      <c r="AK98" s="89"/>
      <c r="AL98" s="89"/>
      <c r="AM98" s="89"/>
      <c r="AN98" s="89"/>
      <c r="AO98" s="89"/>
      <c r="AP98" s="89"/>
      <c r="AQ98" s="89"/>
      <c r="AR98" s="89"/>
      <c r="AS98" s="89"/>
      <c r="AT98" s="89"/>
      <c r="AU98" s="89"/>
      <c r="AV98" s="89"/>
      <c r="AW98" s="89"/>
      <c r="AX98" s="89"/>
      <c r="AY98" s="89"/>
      <c r="AZ98" s="89"/>
      <c r="BA98" s="89"/>
      <c r="BB98" s="89"/>
      <c r="BC98" s="89"/>
    </row>
    <row r="99" ht="22.5" customHeight="1">
      <c r="A99" s="90">
        <v>0.0</v>
      </c>
      <c r="B99" s="91" t="s">
        <v>34</v>
      </c>
      <c r="C99" s="70" t="s">
        <v>477</v>
      </c>
      <c r="D99" s="90">
        <v>101.0</v>
      </c>
      <c r="E99" s="70" t="s">
        <v>31543</v>
      </c>
      <c r="F99" s="70" t="s">
        <v>480</v>
      </c>
      <c r="G99" s="70" t="s">
        <v>31750</v>
      </c>
      <c r="H99" s="70" t="s">
        <v>29319</v>
      </c>
      <c r="I99" s="70">
        <v>2023.0</v>
      </c>
      <c r="J99" s="70" t="s">
        <v>387</v>
      </c>
      <c r="K99" s="70" t="s">
        <v>484</v>
      </c>
      <c r="L99" s="70" t="s">
        <v>31751</v>
      </c>
      <c r="M99" s="70" t="s">
        <v>479</v>
      </c>
      <c r="N99" s="93"/>
      <c r="O99" s="70" t="s">
        <v>31752</v>
      </c>
      <c r="P99" s="90">
        <v>0.0</v>
      </c>
      <c r="Q99" s="90">
        <v>97.0</v>
      </c>
      <c r="R99" s="89"/>
      <c r="S99" s="89"/>
      <c r="T99" s="89"/>
      <c r="U99" s="89"/>
      <c r="V99" s="89"/>
      <c r="W99" s="89"/>
      <c r="X99" s="89"/>
      <c r="Y99" s="89"/>
      <c r="Z99" s="89"/>
      <c r="AA99" s="89"/>
      <c r="AB99" s="89"/>
      <c r="AC99" s="89"/>
      <c r="AD99" s="89"/>
      <c r="AE99" s="89"/>
      <c r="AF99" s="89"/>
      <c r="AG99" s="89"/>
      <c r="AH99" s="89"/>
      <c r="AI99" s="89"/>
      <c r="AJ99" s="89"/>
      <c r="AK99" s="89"/>
      <c r="AL99" s="89"/>
      <c r="AM99" s="89"/>
      <c r="AN99" s="89"/>
      <c r="AO99" s="89"/>
      <c r="AP99" s="89"/>
      <c r="AQ99" s="89"/>
      <c r="AR99" s="89"/>
      <c r="AS99" s="89"/>
      <c r="AT99" s="89"/>
      <c r="AU99" s="89"/>
      <c r="AV99" s="89"/>
      <c r="AW99" s="89"/>
      <c r="AX99" s="89"/>
      <c r="AY99" s="89"/>
      <c r="AZ99" s="89"/>
      <c r="BA99" s="89"/>
      <c r="BB99" s="89"/>
      <c r="BC99" s="89"/>
    </row>
    <row r="100" ht="22.5" customHeight="1">
      <c r="A100" s="90">
        <v>0.0</v>
      </c>
      <c r="B100" s="91" t="s">
        <v>34</v>
      </c>
      <c r="C100" s="70" t="s">
        <v>21567</v>
      </c>
      <c r="D100" s="90">
        <v>96.0</v>
      </c>
      <c r="E100" s="70" t="s">
        <v>31543</v>
      </c>
      <c r="F100" s="70" t="s">
        <v>21568</v>
      </c>
      <c r="G100" s="70" t="s">
        <v>31753</v>
      </c>
      <c r="H100" s="70" t="s">
        <v>16436</v>
      </c>
      <c r="I100" s="77">
        <v>45597.0</v>
      </c>
      <c r="J100" s="70" t="s">
        <v>239</v>
      </c>
      <c r="K100" s="70" t="s">
        <v>21570</v>
      </c>
      <c r="L100" s="70" t="s">
        <v>31754</v>
      </c>
      <c r="M100" s="70" t="s">
        <v>16437</v>
      </c>
      <c r="N100" s="93"/>
      <c r="O100" s="92"/>
      <c r="P100" s="90">
        <v>0.0</v>
      </c>
      <c r="Q100" s="90">
        <v>98.0</v>
      </c>
      <c r="R100" s="89"/>
      <c r="S100" s="89"/>
      <c r="T100" s="89"/>
      <c r="U100" s="89"/>
      <c r="V100" s="89"/>
      <c r="W100" s="89"/>
      <c r="X100" s="89"/>
      <c r="Y100" s="89"/>
      <c r="Z100" s="89"/>
      <c r="AA100" s="89"/>
      <c r="AB100" s="89"/>
      <c r="AC100" s="89"/>
      <c r="AD100" s="89"/>
      <c r="AE100" s="89"/>
      <c r="AF100" s="89"/>
      <c r="AG100" s="89"/>
      <c r="AH100" s="89"/>
      <c r="AI100" s="89"/>
      <c r="AJ100" s="89"/>
      <c r="AK100" s="89"/>
      <c r="AL100" s="89"/>
      <c r="AM100" s="89"/>
      <c r="AN100" s="89"/>
      <c r="AO100" s="89"/>
      <c r="AP100" s="89"/>
      <c r="AQ100" s="89"/>
      <c r="AR100" s="89"/>
      <c r="AS100" s="89"/>
      <c r="AT100" s="89"/>
      <c r="AU100" s="89"/>
      <c r="AV100" s="89"/>
      <c r="AW100" s="89"/>
      <c r="AX100" s="89"/>
      <c r="AY100" s="89"/>
      <c r="AZ100" s="89"/>
      <c r="BA100" s="89"/>
      <c r="BB100" s="89"/>
      <c r="BC100" s="89"/>
    </row>
    <row r="101" ht="22.5" customHeight="1">
      <c r="A101" s="90">
        <v>0.0</v>
      </c>
      <c r="B101" s="91" t="s">
        <v>34</v>
      </c>
      <c r="C101" s="70" t="s">
        <v>22551</v>
      </c>
      <c r="D101" s="90">
        <v>105.0</v>
      </c>
      <c r="E101" s="70" t="s">
        <v>31543</v>
      </c>
      <c r="F101" s="70" t="s">
        <v>22552</v>
      </c>
      <c r="G101" s="70" t="s">
        <v>31755</v>
      </c>
      <c r="H101" s="70" t="s">
        <v>22557</v>
      </c>
      <c r="I101" s="92"/>
      <c r="J101" s="92"/>
      <c r="K101" s="70" t="s">
        <v>29330</v>
      </c>
      <c r="L101" s="70" t="s">
        <v>31756</v>
      </c>
      <c r="M101" s="92"/>
      <c r="N101" s="90">
        <v>2024.0</v>
      </c>
      <c r="O101" s="92"/>
      <c r="P101" s="90">
        <v>0.0</v>
      </c>
      <c r="Q101" s="90">
        <v>99.0</v>
      </c>
      <c r="R101" s="89"/>
      <c r="S101" s="89"/>
      <c r="T101" s="89"/>
      <c r="U101" s="89"/>
      <c r="V101" s="89"/>
      <c r="W101" s="89"/>
      <c r="X101" s="89"/>
      <c r="Y101" s="89"/>
      <c r="Z101" s="89"/>
      <c r="AA101" s="89"/>
      <c r="AB101" s="89"/>
      <c r="AC101" s="89"/>
      <c r="AD101" s="89"/>
      <c r="AE101" s="89"/>
      <c r="AF101" s="89"/>
      <c r="AG101" s="89"/>
      <c r="AH101" s="89"/>
      <c r="AI101" s="89"/>
      <c r="AJ101" s="89"/>
      <c r="AK101" s="89"/>
      <c r="AL101" s="89"/>
      <c r="AM101" s="89"/>
      <c r="AN101" s="89"/>
      <c r="AO101" s="89"/>
      <c r="AP101" s="89"/>
      <c r="AQ101" s="89"/>
      <c r="AR101" s="89"/>
      <c r="AS101" s="89"/>
      <c r="AT101" s="89"/>
      <c r="AU101" s="89"/>
      <c r="AV101" s="89"/>
      <c r="AW101" s="89"/>
      <c r="AX101" s="89"/>
      <c r="AY101" s="89"/>
      <c r="AZ101" s="89"/>
      <c r="BA101" s="89"/>
      <c r="BB101" s="89"/>
      <c r="BC101" s="89"/>
    </row>
    <row r="102" ht="22.5" customHeight="1">
      <c r="A102" s="90">
        <v>0.0</v>
      </c>
      <c r="B102" s="91" t="s">
        <v>34</v>
      </c>
      <c r="C102" s="70" t="s">
        <v>23068</v>
      </c>
      <c r="D102" s="90">
        <v>8.0</v>
      </c>
      <c r="E102" s="70" t="s">
        <v>31543</v>
      </c>
      <c r="F102" s="70" t="s">
        <v>23069</v>
      </c>
      <c r="G102" s="70" t="s">
        <v>31757</v>
      </c>
      <c r="H102" s="70" t="s">
        <v>25285</v>
      </c>
      <c r="I102" s="92"/>
      <c r="J102" s="92"/>
      <c r="K102" s="70" t="s">
        <v>29511</v>
      </c>
      <c r="L102" s="70" t="s">
        <v>31758</v>
      </c>
      <c r="M102" s="92"/>
      <c r="N102" s="90">
        <v>2024.0</v>
      </c>
      <c r="O102" s="92"/>
      <c r="P102" s="90">
        <v>0.0</v>
      </c>
      <c r="Q102" s="90">
        <v>100.0</v>
      </c>
      <c r="R102" s="89"/>
      <c r="S102" s="89"/>
      <c r="T102" s="89"/>
      <c r="U102" s="89"/>
      <c r="V102" s="89"/>
      <c r="W102" s="89"/>
      <c r="X102" s="89"/>
      <c r="Y102" s="89"/>
      <c r="Z102" s="89"/>
      <c r="AA102" s="89"/>
      <c r="AB102" s="89"/>
      <c r="AC102" s="89"/>
      <c r="AD102" s="89"/>
      <c r="AE102" s="89"/>
      <c r="AF102" s="89"/>
      <c r="AG102" s="89"/>
      <c r="AH102" s="89"/>
      <c r="AI102" s="89"/>
      <c r="AJ102" s="89"/>
      <c r="AK102" s="89"/>
      <c r="AL102" s="89"/>
      <c r="AM102" s="89"/>
      <c r="AN102" s="89"/>
      <c r="AO102" s="89"/>
      <c r="AP102" s="89"/>
      <c r="AQ102" s="89"/>
      <c r="AR102" s="89"/>
      <c r="AS102" s="89"/>
      <c r="AT102" s="89"/>
      <c r="AU102" s="89"/>
      <c r="AV102" s="89"/>
      <c r="AW102" s="89"/>
      <c r="AX102" s="89"/>
      <c r="AY102" s="89"/>
      <c r="AZ102" s="89"/>
      <c r="BA102" s="89"/>
      <c r="BB102" s="89"/>
      <c r="BC102" s="89"/>
    </row>
    <row r="103" ht="22.5" customHeight="1">
      <c r="A103" s="90">
        <v>0.0</v>
      </c>
      <c r="B103" s="91" t="s">
        <v>34</v>
      </c>
      <c r="C103" s="70" t="s">
        <v>548</v>
      </c>
      <c r="D103" s="90">
        <v>86.0</v>
      </c>
      <c r="E103" s="70" t="s">
        <v>31543</v>
      </c>
      <c r="F103" s="70" t="s">
        <v>551</v>
      </c>
      <c r="G103" s="70" t="s">
        <v>31759</v>
      </c>
      <c r="H103" s="70" t="s">
        <v>549</v>
      </c>
      <c r="I103" s="70">
        <v>2023.0</v>
      </c>
      <c r="J103" s="70" t="s">
        <v>555</v>
      </c>
      <c r="K103" s="70" t="s">
        <v>29426</v>
      </c>
      <c r="L103" s="70" t="s">
        <v>31760</v>
      </c>
      <c r="M103" s="70" t="s">
        <v>550</v>
      </c>
      <c r="N103" s="93"/>
      <c r="O103" s="70" t="s">
        <v>31761</v>
      </c>
      <c r="P103" s="90">
        <v>0.0</v>
      </c>
      <c r="Q103" s="90">
        <v>101.0</v>
      </c>
      <c r="R103" s="89"/>
      <c r="S103" s="89"/>
      <c r="T103" s="89"/>
      <c r="U103" s="89"/>
      <c r="V103" s="89"/>
      <c r="W103" s="89"/>
      <c r="X103" s="89"/>
      <c r="Y103" s="89"/>
      <c r="Z103" s="89"/>
      <c r="AA103" s="89"/>
      <c r="AB103" s="89"/>
      <c r="AC103" s="89"/>
      <c r="AD103" s="89"/>
      <c r="AE103" s="89"/>
      <c r="AF103" s="89"/>
      <c r="AG103" s="89"/>
      <c r="AH103" s="89"/>
      <c r="AI103" s="89"/>
      <c r="AJ103" s="89"/>
      <c r="AK103" s="89"/>
      <c r="AL103" s="89"/>
      <c r="AM103" s="89"/>
      <c r="AN103" s="89"/>
      <c r="AO103" s="89"/>
      <c r="AP103" s="89"/>
      <c r="AQ103" s="89"/>
      <c r="AR103" s="89"/>
      <c r="AS103" s="89"/>
      <c r="AT103" s="89"/>
      <c r="AU103" s="89"/>
      <c r="AV103" s="89"/>
      <c r="AW103" s="89"/>
      <c r="AX103" s="89"/>
      <c r="AY103" s="89"/>
      <c r="AZ103" s="89"/>
      <c r="BA103" s="89"/>
      <c r="BB103" s="89"/>
      <c r="BC103" s="89"/>
    </row>
    <row r="104" ht="22.5" customHeight="1">
      <c r="A104" s="90">
        <v>0.0</v>
      </c>
      <c r="B104" s="91" t="s">
        <v>34</v>
      </c>
      <c r="C104" s="70" t="s">
        <v>7516</v>
      </c>
      <c r="D104" s="90">
        <v>72.0</v>
      </c>
      <c r="E104" s="70" t="s">
        <v>31543</v>
      </c>
      <c r="F104" s="70" t="s">
        <v>7518</v>
      </c>
      <c r="G104" s="70" t="s">
        <v>31762</v>
      </c>
      <c r="H104" s="70" t="s">
        <v>7517</v>
      </c>
      <c r="I104" s="76">
        <v>44853.0</v>
      </c>
      <c r="J104" s="70" t="s">
        <v>239</v>
      </c>
      <c r="K104" s="70" t="s">
        <v>7520</v>
      </c>
      <c r="L104" s="70" t="s">
        <v>31763</v>
      </c>
      <c r="M104" s="70" t="s">
        <v>5351</v>
      </c>
      <c r="N104" s="93"/>
      <c r="O104" s="92"/>
      <c r="P104" s="90">
        <v>0.0</v>
      </c>
      <c r="Q104" s="90">
        <v>102.0</v>
      </c>
      <c r="R104" s="89"/>
      <c r="S104" s="89"/>
      <c r="T104" s="89"/>
      <c r="U104" s="89"/>
      <c r="V104" s="89"/>
      <c r="W104" s="89"/>
      <c r="X104" s="89"/>
      <c r="Y104" s="89"/>
      <c r="Z104" s="89"/>
      <c r="AA104" s="89"/>
      <c r="AB104" s="89"/>
      <c r="AC104" s="89"/>
      <c r="AD104" s="89"/>
      <c r="AE104" s="89"/>
      <c r="AF104" s="89"/>
      <c r="AG104" s="89"/>
      <c r="AH104" s="89"/>
      <c r="AI104" s="89"/>
      <c r="AJ104" s="89"/>
      <c r="AK104" s="89"/>
      <c r="AL104" s="89"/>
      <c r="AM104" s="89"/>
      <c r="AN104" s="89"/>
      <c r="AO104" s="89"/>
      <c r="AP104" s="89"/>
      <c r="AQ104" s="89"/>
      <c r="AR104" s="89"/>
      <c r="AS104" s="89"/>
      <c r="AT104" s="89"/>
      <c r="AU104" s="89"/>
      <c r="AV104" s="89"/>
      <c r="AW104" s="89"/>
      <c r="AX104" s="89"/>
      <c r="AY104" s="89"/>
      <c r="AZ104" s="89"/>
      <c r="BA104" s="89"/>
      <c r="BB104" s="89"/>
      <c r="BC104" s="89"/>
    </row>
    <row r="105" ht="22.5" customHeight="1">
      <c r="A105" s="90">
        <v>0.0</v>
      </c>
      <c r="B105" s="91" t="s">
        <v>34</v>
      </c>
      <c r="C105" s="70" t="s">
        <v>23162</v>
      </c>
      <c r="D105" s="90">
        <v>6.0</v>
      </c>
      <c r="E105" s="70" t="s">
        <v>31543</v>
      </c>
      <c r="F105" s="70" t="s">
        <v>23163</v>
      </c>
      <c r="G105" s="70" t="s">
        <v>31764</v>
      </c>
      <c r="H105" s="70" t="s">
        <v>23168</v>
      </c>
      <c r="I105" s="92"/>
      <c r="J105" s="92"/>
      <c r="K105" s="70" t="s">
        <v>29489</v>
      </c>
      <c r="L105" s="70" t="s">
        <v>31765</v>
      </c>
      <c r="M105" s="92"/>
      <c r="N105" s="90">
        <v>2024.0</v>
      </c>
      <c r="O105" s="92"/>
      <c r="P105" s="90">
        <v>0.0</v>
      </c>
      <c r="Q105" s="90">
        <v>104.0</v>
      </c>
      <c r="R105" s="89"/>
      <c r="S105" s="89"/>
      <c r="T105" s="89"/>
      <c r="U105" s="89"/>
      <c r="V105" s="89"/>
      <c r="W105" s="89"/>
      <c r="X105" s="89"/>
      <c r="Y105" s="89"/>
      <c r="Z105" s="89"/>
      <c r="AA105" s="89"/>
      <c r="AB105" s="89"/>
      <c r="AC105" s="89"/>
      <c r="AD105" s="89"/>
      <c r="AE105" s="89"/>
      <c r="AF105" s="89"/>
      <c r="AG105" s="89"/>
      <c r="AH105" s="89"/>
      <c r="AI105" s="89"/>
      <c r="AJ105" s="89"/>
      <c r="AK105" s="89"/>
      <c r="AL105" s="89"/>
      <c r="AM105" s="89"/>
      <c r="AN105" s="89"/>
      <c r="AO105" s="89"/>
      <c r="AP105" s="89"/>
      <c r="AQ105" s="89"/>
      <c r="AR105" s="89"/>
      <c r="AS105" s="89"/>
      <c r="AT105" s="89"/>
      <c r="AU105" s="89"/>
      <c r="AV105" s="89"/>
      <c r="AW105" s="89"/>
      <c r="AX105" s="89"/>
      <c r="AY105" s="89"/>
      <c r="AZ105" s="89"/>
      <c r="BA105" s="89"/>
      <c r="BB105" s="89"/>
      <c r="BC105" s="89"/>
    </row>
    <row r="106" ht="22.5" customHeight="1">
      <c r="A106" s="90">
        <v>0.0</v>
      </c>
      <c r="B106" s="91" t="s">
        <v>34</v>
      </c>
      <c r="C106" s="70" t="s">
        <v>20532</v>
      </c>
      <c r="D106" s="90">
        <v>102.0</v>
      </c>
      <c r="E106" s="70" t="s">
        <v>31543</v>
      </c>
      <c r="F106" s="70" t="s">
        <v>20533</v>
      </c>
      <c r="G106" s="70" t="s">
        <v>31766</v>
      </c>
      <c r="H106" s="70" t="s">
        <v>16538</v>
      </c>
      <c r="I106" s="77">
        <v>44350.0</v>
      </c>
      <c r="J106" s="70" t="s">
        <v>239</v>
      </c>
      <c r="K106" s="70" t="s">
        <v>29420</v>
      </c>
      <c r="L106" s="70" t="s">
        <v>31767</v>
      </c>
      <c r="M106" s="70" t="s">
        <v>16539</v>
      </c>
      <c r="N106" s="93"/>
      <c r="O106" s="92"/>
      <c r="P106" s="90">
        <v>0.0</v>
      </c>
      <c r="Q106" s="90">
        <v>105.0</v>
      </c>
      <c r="R106" s="89"/>
      <c r="S106" s="89"/>
      <c r="T106" s="89"/>
      <c r="U106" s="89"/>
      <c r="V106" s="89"/>
      <c r="W106" s="89"/>
      <c r="X106" s="89"/>
      <c r="Y106" s="89"/>
      <c r="Z106" s="89"/>
      <c r="AA106" s="89"/>
      <c r="AB106" s="89"/>
      <c r="AC106" s="89"/>
      <c r="AD106" s="89"/>
      <c r="AE106" s="89"/>
      <c r="AF106" s="89"/>
      <c r="AG106" s="89"/>
      <c r="AH106" s="89"/>
      <c r="AI106" s="89"/>
      <c r="AJ106" s="89"/>
      <c r="AK106" s="89"/>
      <c r="AL106" s="89"/>
      <c r="AM106" s="89"/>
      <c r="AN106" s="89"/>
      <c r="AO106" s="89"/>
      <c r="AP106" s="89"/>
      <c r="AQ106" s="89"/>
      <c r="AR106" s="89"/>
      <c r="AS106" s="89"/>
      <c r="AT106" s="89"/>
      <c r="AU106" s="89"/>
      <c r="AV106" s="89"/>
      <c r="AW106" s="89"/>
      <c r="AX106" s="89"/>
      <c r="AY106" s="89"/>
      <c r="AZ106" s="89"/>
      <c r="BA106" s="89"/>
      <c r="BB106" s="89"/>
      <c r="BC106" s="89"/>
    </row>
    <row r="107" ht="22.5" customHeight="1">
      <c r="A107" s="90">
        <v>0.0</v>
      </c>
      <c r="B107" s="91" t="s">
        <v>34</v>
      </c>
      <c r="C107" s="70" t="s">
        <v>762</v>
      </c>
      <c r="D107" s="90">
        <v>108.0</v>
      </c>
      <c r="E107" s="70" t="s">
        <v>31543</v>
      </c>
      <c r="F107" s="70" t="s">
        <v>765</v>
      </c>
      <c r="G107" s="70" t="s">
        <v>31768</v>
      </c>
      <c r="H107" s="70" t="s">
        <v>763</v>
      </c>
      <c r="I107" s="70">
        <v>2022.0</v>
      </c>
      <c r="J107" s="70" t="s">
        <v>401</v>
      </c>
      <c r="K107" s="70" t="s">
        <v>770</v>
      </c>
      <c r="L107" s="70" t="s">
        <v>31769</v>
      </c>
      <c r="M107" s="70" t="s">
        <v>764</v>
      </c>
      <c r="N107" s="93"/>
      <c r="O107" s="70" t="s">
        <v>31770</v>
      </c>
      <c r="P107" s="90">
        <v>0.0</v>
      </c>
      <c r="Q107" s="90">
        <v>106.0</v>
      </c>
      <c r="R107" s="89"/>
      <c r="S107" s="89"/>
      <c r="T107" s="89"/>
      <c r="U107" s="89"/>
      <c r="V107" s="89"/>
      <c r="W107" s="89"/>
      <c r="X107" s="89"/>
      <c r="Y107" s="89"/>
      <c r="Z107" s="89"/>
      <c r="AA107" s="89"/>
      <c r="AB107" s="89"/>
      <c r="AC107" s="89"/>
      <c r="AD107" s="89"/>
      <c r="AE107" s="89"/>
      <c r="AF107" s="89"/>
      <c r="AG107" s="89"/>
      <c r="AH107" s="89"/>
      <c r="AI107" s="89"/>
      <c r="AJ107" s="89"/>
      <c r="AK107" s="89"/>
      <c r="AL107" s="89"/>
      <c r="AM107" s="89"/>
      <c r="AN107" s="89"/>
      <c r="AO107" s="89"/>
      <c r="AP107" s="89"/>
      <c r="AQ107" s="89"/>
      <c r="AR107" s="89"/>
      <c r="AS107" s="89"/>
      <c r="AT107" s="89"/>
      <c r="AU107" s="89"/>
      <c r="AV107" s="89"/>
      <c r="AW107" s="89"/>
      <c r="AX107" s="89"/>
      <c r="AY107" s="89"/>
      <c r="AZ107" s="89"/>
      <c r="BA107" s="89"/>
      <c r="BB107" s="89"/>
      <c r="BC107" s="89"/>
    </row>
    <row r="108" ht="22.5" customHeight="1">
      <c r="A108" s="90">
        <v>0.0</v>
      </c>
      <c r="B108" s="91" t="s">
        <v>34</v>
      </c>
      <c r="C108" s="70" t="s">
        <v>9648</v>
      </c>
      <c r="D108" s="90">
        <v>88.0</v>
      </c>
      <c r="E108" s="70" t="s">
        <v>31543</v>
      </c>
      <c r="F108" s="70" t="s">
        <v>9651</v>
      </c>
      <c r="G108" s="70" t="s">
        <v>31771</v>
      </c>
      <c r="H108" s="70" t="s">
        <v>9649</v>
      </c>
      <c r="I108" s="76">
        <v>43482.0</v>
      </c>
      <c r="J108" s="70" t="s">
        <v>239</v>
      </c>
      <c r="K108" s="70" t="s">
        <v>9653</v>
      </c>
      <c r="L108" s="70" t="s">
        <v>31772</v>
      </c>
      <c r="M108" s="70" t="s">
        <v>9650</v>
      </c>
      <c r="N108" s="93"/>
      <c r="O108" s="92"/>
      <c r="P108" s="90">
        <v>0.0</v>
      </c>
      <c r="Q108" s="90">
        <v>107.0</v>
      </c>
      <c r="R108" s="89"/>
      <c r="S108" s="89"/>
      <c r="T108" s="89"/>
      <c r="U108" s="89"/>
      <c r="V108" s="89"/>
      <c r="W108" s="89"/>
      <c r="X108" s="89"/>
      <c r="Y108" s="89"/>
      <c r="Z108" s="89"/>
      <c r="AA108" s="89"/>
      <c r="AB108" s="89"/>
      <c r="AC108" s="89"/>
      <c r="AD108" s="89"/>
      <c r="AE108" s="89"/>
      <c r="AF108" s="89"/>
      <c r="AG108" s="89"/>
      <c r="AH108" s="89"/>
      <c r="AI108" s="89"/>
      <c r="AJ108" s="89"/>
      <c r="AK108" s="89"/>
      <c r="AL108" s="89"/>
      <c r="AM108" s="89"/>
      <c r="AN108" s="89"/>
      <c r="AO108" s="89"/>
      <c r="AP108" s="89"/>
      <c r="AQ108" s="89"/>
      <c r="AR108" s="89"/>
      <c r="AS108" s="89"/>
      <c r="AT108" s="89"/>
      <c r="AU108" s="89"/>
      <c r="AV108" s="89"/>
      <c r="AW108" s="89"/>
      <c r="AX108" s="89"/>
      <c r="AY108" s="89"/>
      <c r="AZ108" s="89"/>
      <c r="BA108" s="89"/>
      <c r="BB108" s="89"/>
      <c r="BC108" s="89"/>
    </row>
    <row r="109" ht="22.5" customHeight="1">
      <c r="A109" s="90">
        <v>0.0</v>
      </c>
      <c r="B109" s="91" t="s">
        <v>34</v>
      </c>
      <c r="C109" s="70" t="s">
        <v>5876</v>
      </c>
      <c r="D109" s="90">
        <v>90.0</v>
      </c>
      <c r="E109" s="70" t="s">
        <v>31543</v>
      </c>
      <c r="F109" s="70" t="s">
        <v>5878</v>
      </c>
      <c r="G109" s="70" t="s">
        <v>31773</v>
      </c>
      <c r="H109" s="70" t="s">
        <v>5877</v>
      </c>
      <c r="I109" s="79">
        <v>43958.0</v>
      </c>
      <c r="J109" s="70" t="s">
        <v>239</v>
      </c>
      <c r="K109" s="70" t="s">
        <v>5880</v>
      </c>
      <c r="L109" s="70" t="s">
        <v>31774</v>
      </c>
      <c r="M109" s="92"/>
      <c r="N109" s="93"/>
      <c r="O109" s="92"/>
      <c r="P109" s="90">
        <v>0.0</v>
      </c>
      <c r="Q109" s="90">
        <v>108.0</v>
      </c>
      <c r="R109" s="89"/>
      <c r="S109" s="89"/>
      <c r="T109" s="89"/>
      <c r="U109" s="89"/>
      <c r="V109" s="89"/>
      <c r="W109" s="89"/>
      <c r="X109" s="89"/>
      <c r="Y109" s="89"/>
      <c r="Z109" s="89"/>
      <c r="AA109" s="89"/>
      <c r="AB109" s="89"/>
      <c r="AC109" s="89"/>
      <c r="AD109" s="89"/>
      <c r="AE109" s="89"/>
      <c r="AF109" s="89"/>
      <c r="AG109" s="89"/>
      <c r="AH109" s="89"/>
      <c r="AI109" s="89"/>
      <c r="AJ109" s="89"/>
      <c r="AK109" s="89"/>
      <c r="AL109" s="89"/>
      <c r="AM109" s="89"/>
      <c r="AN109" s="89"/>
      <c r="AO109" s="89"/>
      <c r="AP109" s="89"/>
      <c r="AQ109" s="89"/>
      <c r="AR109" s="89"/>
      <c r="AS109" s="89"/>
      <c r="AT109" s="89"/>
      <c r="AU109" s="89"/>
      <c r="AV109" s="89"/>
      <c r="AW109" s="89"/>
      <c r="AX109" s="89"/>
      <c r="AY109" s="89"/>
      <c r="AZ109" s="89"/>
      <c r="BA109" s="89"/>
      <c r="BB109" s="89"/>
      <c r="BC109" s="89"/>
    </row>
    <row r="110" ht="22.5" customHeight="1">
      <c r="A110" s="90">
        <v>0.0</v>
      </c>
      <c r="B110" s="91" t="s">
        <v>34</v>
      </c>
      <c r="C110" s="70" t="s">
        <v>717</v>
      </c>
      <c r="D110" s="90">
        <v>73.0</v>
      </c>
      <c r="E110" s="70" t="s">
        <v>31543</v>
      </c>
      <c r="F110" s="70" t="s">
        <v>720</v>
      </c>
      <c r="G110" s="70" t="s">
        <v>31775</v>
      </c>
      <c r="H110" s="70" t="s">
        <v>718</v>
      </c>
      <c r="I110" s="70">
        <v>2017.0</v>
      </c>
      <c r="J110" s="70" t="s">
        <v>401</v>
      </c>
      <c r="K110" s="70" t="s">
        <v>725</v>
      </c>
      <c r="L110" s="70" t="s">
        <v>31776</v>
      </c>
      <c r="M110" s="70" t="s">
        <v>719</v>
      </c>
      <c r="N110" s="93"/>
      <c r="O110" s="70" t="s">
        <v>31777</v>
      </c>
      <c r="P110" s="90">
        <v>0.0</v>
      </c>
      <c r="Q110" s="90">
        <v>109.0</v>
      </c>
      <c r="R110" s="89"/>
      <c r="S110" s="89"/>
      <c r="T110" s="89"/>
      <c r="U110" s="89"/>
      <c r="V110" s="89"/>
      <c r="W110" s="89"/>
      <c r="X110" s="89"/>
      <c r="Y110" s="89"/>
      <c r="Z110" s="89"/>
      <c r="AA110" s="89"/>
      <c r="AB110" s="89"/>
      <c r="AC110" s="89"/>
      <c r="AD110" s="89"/>
      <c r="AE110" s="89"/>
      <c r="AF110" s="89"/>
      <c r="AG110" s="89"/>
      <c r="AH110" s="89"/>
      <c r="AI110" s="89"/>
      <c r="AJ110" s="89"/>
      <c r="AK110" s="89"/>
      <c r="AL110" s="89"/>
      <c r="AM110" s="89"/>
      <c r="AN110" s="89"/>
      <c r="AO110" s="89"/>
      <c r="AP110" s="89"/>
      <c r="AQ110" s="89"/>
      <c r="AR110" s="89"/>
      <c r="AS110" s="89"/>
      <c r="AT110" s="89"/>
      <c r="AU110" s="89"/>
      <c r="AV110" s="89"/>
      <c r="AW110" s="89"/>
      <c r="AX110" s="89"/>
      <c r="AY110" s="89"/>
      <c r="AZ110" s="89"/>
      <c r="BA110" s="89"/>
      <c r="BB110" s="89"/>
      <c r="BC110" s="89"/>
    </row>
    <row r="111" ht="22.5" customHeight="1">
      <c r="A111" s="90">
        <v>0.0</v>
      </c>
      <c r="B111" s="91" t="s">
        <v>34</v>
      </c>
      <c r="C111" s="70" t="s">
        <v>29393</v>
      </c>
      <c r="D111" s="90">
        <v>115.0</v>
      </c>
      <c r="E111" s="70" t="s">
        <v>31543</v>
      </c>
      <c r="F111" s="70" t="s">
        <v>26600</v>
      </c>
      <c r="G111" s="70" t="s">
        <v>31778</v>
      </c>
      <c r="H111" s="70" t="s">
        <v>24521</v>
      </c>
      <c r="I111" s="92"/>
      <c r="J111" s="92"/>
      <c r="K111" s="70" t="s">
        <v>29394</v>
      </c>
      <c r="L111" s="70" t="s">
        <v>31779</v>
      </c>
      <c r="M111" s="92"/>
      <c r="N111" s="90">
        <v>2023.0</v>
      </c>
      <c r="O111" s="92"/>
      <c r="P111" s="90">
        <v>0.0</v>
      </c>
      <c r="Q111" s="90">
        <v>110.0</v>
      </c>
      <c r="R111" s="89"/>
      <c r="S111" s="89"/>
      <c r="T111" s="89"/>
      <c r="U111" s="89"/>
      <c r="V111" s="89"/>
      <c r="W111" s="89"/>
      <c r="X111" s="89"/>
      <c r="Y111" s="89"/>
      <c r="Z111" s="89"/>
      <c r="AA111" s="89"/>
      <c r="AB111" s="89"/>
      <c r="AC111" s="89"/>
      <c r="AD111" s="89"/>
      <c r="AE111" s="89"/>
      <c r="AF111" s="89"/>
      <c r="AG111" s="89"/>
      <c r="AH111" s="89"/>
      <c r="AI111" s="89"/>
      <c r="AJ111" s="89"/>
      <c r="AK111" s="89"/>
      <c r="AL111" s="89"/>
      <c r="AM111" s="89"/>
      <c r="AN111" s="89"/>
      <c r="AO111" s="89"/>
      <c r="AP111" s="89"/>
      <c r="AQ111" s="89"/>
      <c r="AR111" s="89"/>
      <c r="AS111" s="89"/>
      <c r="AT111" s="89"/>
      <c r="AU111" s="89"/>
      <c r="AV111" s="89"/>
      <c r="AW111" s="89"/>
      <c r="AX111" s="89"/>
      <c r="AY111" s="89"/>
      <c r="AZ111" s="89"/>
      <c r="BA111" s="89"/>
      <c r="BB111" s="89"/>
      <c r="BC111" s="89"/>
    </row>
    <row r="112" ht="22.5" customHeight="1">
      <c r="A112" s="90">
        <v>0.0</v>
      </c>
      <c r="B112" s="91" t="s">
        <v>34</v>
      </c>
      <c r="C112" s="70" t="s">
        <v>15175</v>
      </c>
      <c r="D112" s="90">
        <v>113.0</v>
      </c>
      <c r="E112" s="70" t="s">
        <v>31543</v>
      </c>
      <c r="F112" s="70" t="s">
        <v>15177</v>
      </c>
      <c r="G112" s="70" t="s">
        <v>31780</v>
      </c>
      <c r="H112" s="70" t="s">
        <v>15176</v>
      </c>
      <c r="I112" s="76">
        <v>45169.0</v>
      </c>
      <c r="J112" s="70" t="s">
        <v>239</v>
      </c>
      <c r="K112" s="70" t="s">
        <v>29416</v>
      </c>
      <c r="L112" s="70" t="s">
        <v>31781</v>
      </c>
      <c r="M112" s="70" t="s">
        <v>6861</v>
      </c>
      <c r="N112" s="93"/>
      <c r="O112" s="92"/>
      <c r="P112" s="90">
        <v>0.0</v>
      </c>
      <c r="Q112" s="90">
        <v>111.0</v>
      </c>
      <c r="R112" s="89"/>
      <c r="S112" s="89"/>
      <c r="T112" s="89"/>
      <c r="U112" s="89"/>
      <c r="V112" s="89"/>
      <c r="W112" s="89"/>
      <c r="X112" s="89"/>
      <c r="Y112" s="89"/>
      <c r="Z112" s="89"/>
      <c r="AA112" s="89"/>
      <c r="AB112" s="89"/>
      <c r="AC112" s="89"/>
      <c r="AD112" s="89"/>
      <c r="AE112" s="89"/>
      <c r="AF112" s="89"/>
      <c r="AG112" s="89"/>
      <c r="AH112" s="89"/>
      <c r="AI112" s="89"/>
      <c r="AJ112" s="89"/>
      <c r="AK112" s="89"/>
      <c r="AL112" s="89"/>
      <c r="AM112" s="89"/>
      <c r="AN112" s="89"/>
      <c r="AO112" s="89"/>
      <c r="AP112" s="89"/>
      <c r="AQ112" s="89"/>
      <c r="AR112" s="89"/>
      <c r="AS112" s="89"/>
      <c r="AT112" s="89"/>
      <c r="AU112" s="89"/>
      <c r="AV112" s="89"/>
      <c r="AW112" s="89"/>
      <c r="AX112" s="89"/>
      <c r="AY112" s="89"/>
      <c r="AZ112" s="89"/>
      <c r="BA112" s="89"/>
      <c r="BB112" s="89"/>
      <c r="BC112" s="89"/>
    </row>
    <row r="113" ht="22.5" customHeight="1">
      <c r="A113" s="90">
        <v>0.0</v>
      </c>
      <c r="B113" s="91" t="s">
        <v>34</v>
      </c>
      <c r="C113" s="70" t="s">
        <v>1450</v>
      </c>
      <c r="D113" s="90">
        <v>93.0</v>
      </c>
      <c r="E113" s="70" t="s">
        <v>31543</v>
      </c>
      <c r="F113" s="70" t="s">
        <v>1453</v>
      </c>
      <c r="G113" s="70" t="s">
        <v>31782</v>
      </c>
      <c r="H113" s="70" t="s">
        <v>1451</v>
      </c>
      <c r="I113" s="70">
        <v>2023.0</v>
      </c>
      <c r="J113" s="70" t="s">
        <v>401</v>
      </c>
      <c r="K113" s="70" t="s">
        <v>29464</v>
      </c>
      <c r="L113" s="70" t="s">
        <v>31783</v>
      </c>
      <c r="M113" s="70" t="s">
        <v>1452</v>
      </c>
      <c r="N113" s="93"/>
      <c r="O113" s="70" t="s">
        <v>31784</v>
      </c>
      <c r="P113" s="90">
        <v>0.0</v>
      </c>
      <c r="Q113" s="90">
        <v>112.0</v>
      </c>
      <c r="R113" s="89"/>
      <c r="S113" s="89"/>
      <c r="T113" s="89"/>
      <c r="U113" s="89"/>
      <c r="V113" s="89"/>
      <c r="W113" s="89"/>
      <c r="X113" s="89"/>
      <c r="Y113" s="89"/>
      <c r="Z113" s="89"/>
      <c r="AA113" s="89"/>
      <c r="AB113" s="89"/>
      <c r="AC113" s="89"/>
      <c r="AD113" s="89"/>
      <c r="AE113" s="89"/>
      <c r="AF113" s="89"/>
      <c r="AG113" s="89"/>
      <c r="AH113" s="89"/>
      <c r="AI113" s="89"/>
      <c r="AJ113" s="89"/>
      <c r="AK113" s="89"/>
      <c r="AL113" s="89"/>
      <c r="AM113" s="89"/>
      <c r="AN113" s="89"/>
      <c r="AO113" s="89"/>
      <c r="AP113" s="89"/>
      <c r="AQ113" s="89"/>
      <c r="AR113" s="89"/>
      <c r="AS113" s="89"/>
      <c r="AT113" s="89"/>
      <c r="AU113" s="89"/>
      <c r="AV113" s="89"/>
      <c r="AW113" s="89"/>
      <c r="AX113" s="89"/>
      <c r="AY113" s="89"/>
      <c r="AZ113" s="89"/>
      <c r="BA113" s="89"/>
      <c r="BB113" s="89"/>
      <c r="BC113" s="89"/>
    </row>
    <row r="114" ht="22.5" customHeight="1">
      <c r="A114" s="90">
        <v>0.0</v>
      </c>
      <c r="B114" s="91" t="s">
        <v>34</v>
      </c>
      <c r="C114" s="70" t="s">
        <v>23806</v>
      </c>
      <c r="D114" s="90">
        <v>111.0</v>
      </c>
      <c r="E114" s="70" t="s">
        <v>31543</v>
      </c>
      <c r="F114" s="70" t="s">
        <v>23807</v>
      </c>
      <c r="G114" s="70" t="s">
        <v>31785</v>
      </c>
      <c r="H114" s="70" t="s">
        <v>23812</v>
      </c>
      <c r="I114" s="92"/>
      <c r="J114" s="92"/>
      <c r="K114" s="70" t="s">
        <v>29345</v>
      </c>
      <c r="L114" s="70" t="s">
        <v>31786</v>
      </c>
      <c r="M114" s="92"/>
      <c r="N114" s="90">
        <v>2024.0</v>
      </c>
      <c r="O114" s="92"/>
      <c r="P114" s="90">
        <v>0.0</v>
      </c>
      <c r="Q114" s="90">
        <v>113.0</v>
      </c>
      <c r="R114" s="89"/>
      <c r="S114" s="89"/>
      <c r="T114" s="89"/>
      <c r="U114" s="89"/>
      <c r="V114" s="89"/>
      <c r="W114" s="89"/>
      <c r="X114" s="89"/>
      <c r="Y114" s="89"/>
      <c r="Z114" s="89"/>
      <c r="AA114" s="89"/>
      <c r="AB114" s="89"/>
      <c r="AC114" s="89"/>
      <c r="AD114" s="89"/>
      <c r="AE114" s="89"/>
      <c r="AF114" s="89"/>
      <c r="AG114" s="89"/>
      <c r="AH114" s="89"/>
      <c r="AI114" s="89"/>
      <c r="AJ114" s="89"/>
      <c r="AK114" s="89"/>
      <c r="AL114" s="89"/>
      <c r="AM114" s="89"/>
      <c r="AN114" s="89"/>
      <c r="AO114" s="89"/>
      <c r="AP114" s="89"/>
      <c r="AQ114" s="89"/>
      <c r="AR114" s="89"/>
      <c r="AS114" s="89"/>
      <c r="AT114" s="89"/>
      <c r="AU114" s="89"/>
      <c r="AV114" s="89"/>
      <c r="AW114" s="89"/>
      <c r="AX114" s="89"/>
      <c r="AY114" s="89"/>
      <c r="AZ114" s="89"/>
      <c r="BA114" s="89"/>
      <c r="BB114" s="89"/>
      <c r="BC114" s="89"/>
    </row>
    <row r="115" ht="22.5" customHeight="1">
      <c r="A115" s="90">
        <v>0.0</v>
      </c>
      <c r="B115" s="91" t="s">
        <v>34</v>
      </c>
      <c r="C115" s="70" t="s">
        <v>6278</v>
      </c>
      <c r="D115" s="90">
        <v>79.0</v>
      </c>
      <c r="E115" s="70" t="s">
        <v>31543</v>
      </c>
      <c r="F115" s="70" t="s">
        <v>6279</v>
      </c>
      <c r="G115" s="70" t="s">
        <v>31787</v>
      </c>
      <c r="H115" s="70" t="s">
        <v>4690</v>
      </c>
      <c r="I115" s="76">
        <v>44146.0</v>
      </c>
      <c r="J115" s="70" t="s">
        <v>239</v>
      </c>
      <c r="K115" s="70" t="s">
        <v>29425</v>
      </c>
      <c r="L115" s="70" t="s">
        <v>31788</v>
      </c>
      <c r="M115" s="92"/>
      <c r="N115" s="93"/>
      <c r="O115" s="92"/>
      <c r="P115" s="90">
        <v>0.0</v>
      </c>
      <c r="Q115" s="90">
        <v>114.0</v>
      </c>
      <c r="R115" s="89"/>
      <c r="S115" s="89"/>
      <c r="T115" s="89"/>
      <c r="U115" s="89"/>
      <c r="V115" s="89"/>
      <c r="W115" s="89"/>
      <c r="X115" s="89"/>
      <c r="Y115" s="89"/>
      <c r="Z115" s="89"/>
      <c r="AA115" s="89"/>
      <c r="AB115" s="89"/>
      <c r="AC115" s="89"/>
      <c r="AD115" s="89"/>
      <c r="AE115" s="89"/>
      <c r="AF115" s="89"/>
      <c r="AG115" s="89"/>
      <c r="AH115" s="89"/>
      <c r="AI115" s="89"/>
      <c r="AJ115" s="89"/>
      <c r="AK115" s="89"/>
      <c r="AL115" s="89"/>
      <c r="AM115" s="89"/>
      <c r="AN115" s="89"/>
      <c r="AO115" s="89"/>
      <c r="AP115" s="89"/>
      <c r="AQ115" s="89"/>
      <c r="AR115" s="89"/>
      <c r="AS115" s="89"/>
      <c r="AT115" s="89"/>
      <c r="AU115" s="89"/>
      <c r="AV115" s="89"/>
      <c r="AW115" s="89"/>
      <c r="AX115" s="89"/>
      <c r="AY115" s="89"/>
      <c r="AZ115" s="89"/>
      <c r="BA115" s="89"/>
      <c r="BB115" s="89"/>
      <c r="BC115" s="89"/>
    </row>
    <row r="116" ht="22.5" customHeight="1">
      <c r="A116" s="90">
        <v>0.0</v>
      </c>
      <c r="B116" s="91" t="s">
        <v>34</v>
      </c>
      <c r="C116" s="70" t="s">
        <v>6783</v>
      </c>
      <c r="D116" s="90">
        <v>98.0</v>
      </c>
      <c r="E116" s="70" t="s">
        <v>31543</v>
      </c>
      <c r="F116" s="70" t="s">
        <v>6785</v>
      </c>
      <c r="G116" s="70" t="s">
        <v>31789</v>
      </c>
      <c r="H116" s="70" t="s">
        <v>6784</v>
      </c>
      <c r="I116" s="76">
        <v>43097.0</v>
      </c>
      <c r="J116" s="70" t="s">
        <v>239</v>
      </c>
      <c r="K116" s="70" t="s">
        <v>6787</v>
      </c>
      <c r="L116" s="70" t="s">
        <v>31790</v>
      </c>
      <c r="M116" s="92"/>
      <c r="N116" s="93"/>
      <c r="O116" s="92"/>
      <c r="P116" s="90">
        <v>0.0</v>
      </c>
      <c r="Q116" s="90">
        <v>115.0</v>
      </c>
      <c r="R116" s="89"/>
      <c r="S116" s="89"/>
      <c r="T116" s="89"/>
      <c r="U116" s="89"/>
      <c r="V116" s="89"/>
      <c r="W116" s="89"/>
      <c r="X116" s="89"/>
      <c r="Y116" s="89"/>
      <c r="Z116" s="89"/>
      <c r="AA116" s="89"/>
      <c r="AB116" s="89"/>
      <c r="AC116" s="89"/>
      <c r="AD116" s="89"/>
      <c r="AE116" s="89"/>
      <c r="AF116" s="89"/>
      <c r="AG116" s="89"/>
      <c r="AH116" s="89"/>
      <c r="AI116" s="89"/>
      <c r="AJ116" s="89"/>
      <c r="AK116" s="89"/>
      <c r="AL116" s="89"/>
      <c r="AM116" s="89"/>
      <c r="AN116" s="89"/>
      <c r="AO116" s="89"/>
      <c r="AP116" s="89"/>
      <c r="AQ116" s="89"/>
      <c r="AR116" s="89"/>
      <c r="AS116" s="89"/>
      <c r="AT116" s="89"/>
      <c r="AU116" s="89"/>
      <c r="AV116" s="89"/>
      <c r="AW116" s="89"/>
      <c r="AX116" s="89"/>
      <c r="AY116" s="89"/>
      <c r="AZ116" s="89"/>
      <c r="BA116" s="89"/>
      <c r="BB116" s="89"/>
      <c r="BC116" s="89"/>
    </row>
    <row r="117" ht="22.5" customHeight="1">
      <c r="A117" s="90">
        <v>0.0</v>
      </c>
      <c r="B117" s="91" t="s">
        <v>34</v>
      </c>
      <c r="C117" s="70" t="s">
        <v>29360</v>
      </c>
      <c r="D117" s="90">
        <v>67.0</v>
      </c>
      <c r="E117" s="70" t="s">
        <v>31543</v>
      </c>
      <c r="F117" s="70" t="s">
        <v>17965</v>
      </c>
      <c r="G117" s="70" t="s">
        <v>31791</v>
      </c>
      <c r="H117" s="70" t="s">
        <v>16436</v>
      </c>
      <c r="I117" s="76">
        <v>43200.0</v>
      </c>
      <c r="J117" s="70" t="s">
        <v>239</v>
      </c>
      <c r="K117" s="70" t="s">
        <v>29361</v>
      </c>
      <c r="L117" s="70" t="s">
        <v>31792</v>
      </c>
      <c r="M117" s="70" t="s">
        <v>16437</v>
      </c>
      <c r="N117" s="93"/>
      <c r="O117" s="92"/>
      <c r="P117" s="90">
        <v>0.0</v>
      </c>
      <c r="Q117" s="90">
        <v>116.0</v>
      </c>
      <c r="R117" s="89"/>
      <c r="S117" s="89"/>
      <c r="T117" s="89"/>
      <c r="U117" s="89"/>
      <c r="V117" s="89"/>
      <c r="W117" s="89"/>
      <c r="X117" s="89"/>
      <c r="Y117" s="89"/>
      <c r="Z117" s="89"/>
      <c r="AA117" s="89"/>
      <c r="AB117" s="89"/>
      <c r="AC117" s="89"/>
      <c r="AD117" s="89"/>
      <c r="AE117" s="89"/>
      <c r="AF117" s="89"/>
      <c r="AG117" s="89"/>
      <c r="AH117" s="89"/>
      <c r="AI117" s="89"/>
      <c r="AJ117" s="89"/>
      <c r="AK117" s="89"/>
      <c r="AL117" s="89"/>
      <c r="AM117" s="89"/>
      <c r="AN117" s="89"/>
      <c r="AO117" s="89"/>
      <c r="AP117" s="89"/>
      <c r="AQ117" s="89"/>
      <c r="AR117" s="89"/>
      <c r="AS117" s="89"/>
      <c r="AT117" s="89"/>
      <c r="AU117" s="89"/>
      <c r="AV117" s="89"/>
      <c r="AW117" s="89"/>
      <c r="AX117" s="89"/>
      <c r="AY117" s="89"/>
      <c r="AZ117" s="89"/>
      <c r="BA117" s="89"/>
      <c r="BB117" s="89"/>
      <c r="BC117" s="89"/>
    </row>
    <row r="118" ht="22.5" customHeight="1">
      <c r="A118" s="90">
        <v>0.0</v>
      </c>
      <c r="B118" s="91" t="s">
        <v>36</v>
      </c>
      <c r="C118" s="70" t="s">
        <v>29198</v>
      </c>
      <c r="D118" s="90">
        <v>100.0</v>
      </c>
      <c r="E118" s="70" t="s">
        <v>31543</v>
      </c>
      <c r="F118" s="70" t="s">
        <v>29199</v>
      </c>
      <c r="G118" s="70" t="s">
        <v>31793</v>
      </c>
      <c r="H118" s="70" t="s">
        <v>24360</v>
      </c>
      <c r="I118" s="92"/>
      <c r="J118" s="92"/>
      <c r="K118" s="70" t="s">
        <v>29311</v>
      </c>
      <c r="L118" s="70" t="s">
        <v>31794</v>
      </c>
      <c r="M118" s="92"/>
      <c r="N118" s="90">
        <v>2019.0</v>
      </c>
      <c r="O118" s="92"/>
      <c r="P118" s="90">
        <v>0.0</v>
      </c>
      <c r="Q118" s="90">
        <v>117.0</v>
      </c>
      <c r="R118" s="89"/>
      <c r="S118" s="89"/>
      <c r="T118" s="89"/>
      <c r="U118" s="89"/>
      <c r="V118" s="89"/>
      <c r="W118" s="89"/>
      <c r="X118" s="89"/>
      <c r="Y118" s="89"/>
      <c r="Z118" s="89"/>
      <c r="AA118" s="89"/>
      <c r="AB118" s="89"/>
      <c r="AC118" s="89"/>
      <c r="AD118" s="89"/>
      <c r="AE118" s="89"/>
      <c r="AF118" s="89"/>
      <c r="AG118" s="89"/>
      <c r="AH118" s="89"/>
      <c r="AI118" s="89"/>
      <c r="AJ118" s="89"/>
      <c r="AK118" s="89"/>
      <c r="AL118" s="89"/>
      <c r="AM118" s="89"/>
      <c r="AN118" s="89"/>
      <c r="AO118" s="89"/>
      <c r="AP118" s="89"/>
      <c r="AQ118" s="89"/>
      <c r="AR118" s="89"/>
      <c r="AS118" s="89"/>
      <c r="AT118" s="89"/>
      <c r="AU118" s="89"/>
      <c r="AV118" s="89"/>
      <c r="AW118" s="89"/>
      <c r="AX118" s="89"/>
      <c r="AY118" s="89"/>
      <c r="AZ118" s="89"/>
      <c r="BA118" s="89"/>
      <c r="BB118" s="89"/>
      <c r="BC118" s="89"/>
    </row>
    <row r="119">
      <c r="A119" s="89"/>
      <c r="B119" s="89"/>
      <c r="C119" s="89"/>
      <c r="D119" s="89"/>
      <c r="E119" s="89"/>
      <c r="F119" s="89"/>
      <c r="G119" s="89"/>
      <c r="H119" s="89"/>
      <c r="I119" s="89"/>
      <c r="J119" s="89"/>
      <c r="K119" s="89"/>
      <c r="L119" s="89"/>
      <c r="M119" s="89"/>
      <c r="N119" s="89"/>
      <c r="O119" s="89"/>
      <c r="P119" s="89"/>
      <c r="Q119" s="89"/>
      <c r="R119" s="89"/>
      <c r="S119" s="89"/>
      <c r="T119" s="89"/>
      <c r="U119" s="89"/>
      <c r="V119" s="89"/>
      <c r="W119" s="89"/>
      <c r="X119" s="89"/>
      <c r="Y119" s="89"/>
      <c r="Z119" s="89"/>
      <c r="AA119" s="89"/>
      <c r="AB119" s="89"/>
      <c r="AC119" s="89"/>
      <c r="AD119" s="89"/>
      <c r="AE119" s="89"/>
      <c r="AF119" s="89"/>
      <c r="AG119" s="89"/>
      <c r="AH119" s="89"/>
      <c r="AI119" s="89"/>
      <c r="AJ119" s="89"/>
      <c r="AK119" s="89"/>
      <c r="AL119" s="89"/>
      <c r="AM119" s="89"/>
      <c r="AN119" s="89"/>
      <c r="AO119" s="89"/>
      <c r="AP119" s="89"/>
      <c r="AQ119" s="89"/>
      <c r="AR119" s="89"/>
      <c r="AS119" s="89"/>
      <c r="AT119" s="89"/>
      <c r="AU119" s="89"/>
      <c r="AV119" s="89"/>
      <c r="AW119" s="89"/>
      <c r="AX119" s="89"/>
      <c r="AY119" s="89"/>
      <c r="AZ119" s="89"/>
      <c r="BA119" s="89"/>
      <c r="BB119" s="89"/>
      <c r="BC119" s="89"/>
    </row>
    <row r="120">
      <c r="A120" s="89"/>
      <c r="B120" s="89"/>
      <c r="C120" s="89"/>
      <c r="D120" s="89"/>
      <c r="E120" s="89"/>
      <c r="F120" s="89"/>
      <c r="G120" s="89"/>
      <c r="H120" s="89"/>
      <c r="I120" s="89"/>
      <c r="J120" s="89"/>
      <c r="K120" s="89"/>
      <c r="L120" s="89"/>
      <c r="M120" s="89"/>
      <c r="N120" s="89"/>
      <c r="O120" s="89"/>
      <c r="P120" s="89"/>
      <c r="Q120" s="89"/>
      <c r="R120" s="89"/>
      <c r="S120" s="89"/>
      <c r="T120" s="89"/>
      <c r="U120" s="89"/>
      <c r="V120" s="89"/>
      <c r="W120" s="89"/>
      <c r="X120" s="89"/>
      <c r="Y120" s="89"/>
      <c r="Z120" s="89"/>
      <c r="AA120" s="89"/>
      <c r="AB120" s="89"/>
      <c r="AC120" s="89"/>
      <c r="AD120" s="89"/>
      <c r="AE120" s="89"/>
      <c r="AF120" s="89"/>
      <c r="AG120" s="89"/>
      <c r="AH120" s="89"/>
      <c r="AI120" s="89"/>
      <c r="AJ120" s="89"/>
      <c r="AK120" s="89"/>
      <c r="AL120" s="89"/>
      <c r="AM120" s="89"/>
      <c r="AN120" s="89"/>
      <c r="AO120" s="89"/>
      <c r="AP120" s="89"/>
      <c r="AQ120" s="89"/>
      <c r="AR120" s="89"/>
      <c r="AS120" s="89"/>
      <c r="AT120" s="89"/>
      <c r="AU120" s="89"/>
      <c r="AV120" s="89"/>
      <c r="AW120" s="89"/>
      <c r="AX120" s="89"/>
      <c r="AY120" s="89"/>
      <c r="AZ120" s="89"/>
      <c r="BA120" s="89"/>
      <c r="BB120" s="89"/>
      <c r="BC120" s="89"/>
    </row>
    <row r="121">
      <c r="A121" s="89"/>
      <c r="B121" s="89"/>
      <c r="C121" s="89"/>
      <c r="D121" s="89"/>
      <c r="E121" s="89"/>
      <c r="F121" s="89"/>
      <c r="G121" s="89"/>
      <c r="H121" s="89"/>
      <c r="I121" s="89"/>
      <c r="J121" s="89"/>
      <c r="K121" s="89"/>
      <c r="L121" s="89"/>
      <c r="M121" s="89"/>
      <c r="N121" s="89"/>
      <c r="O121" s="89"/>
      <c r="P121" s="89"/>
      <c r="Q121" s="89"/>
      <c r="R121" s="89"/>
      <c r="S121" s="89"/>
      <c r="T121" s="89"/>
      <c r="U121" s="89"/>
      <c r="V121" s="89"/>
      <c r="W121" s="89"/>
      <c r="X121" s="89"/>
      <c r="Y121" s="89"/>
      <c r="Z121" s="89"/>
      <c r="AA121" s="89"/>
      <c r="AB121" s="89"/>
      <c r="AC121" s="89"/>
      <c r="AD121" s="89"/>
      <c r="AE121" s="89"/>
      <c r="AF121" s="89"/>
      <c r="AG121" s="89"/>
      <c r="AH121" s="89"/>
      <c r="AI121" s="89"/>
      <c r="AJ121" s="89"/>
      <c r="AK121" s="89"/>
      <c r="AL121" s="89"/>
      <c r="AM121" s="89"/>
      <c r="AN121" s="89"/>
      <c r="AO121" s="89"/>
      <c r="AP121" s="89"/>
      <c r="AQ121" s="89"/>
      <c r="AR121" s="89"/>
      <c r="AS121" s="89"/>
      <c r="AT121" s="89"/>
      <c r="AU121" s="89"/>
      <c r="AV121" s="89"/>
      <c r="AW121" s="89"/>
      <c r="AX121" s="89"/>
      <c r="AY121" s="89"/>
      <c r="AZ121" s="89"/>
      <c r="BA121" s="89"/>
      <c r="BB121" s="89"/>
      <c r="BC121" s="89"/>
    </row>
    <row r="122">
      <c r="A122" s="89"/>
      <c r="B122" s="89"/>
      <c r="C122" s="89"/>
      <c r="D122" s="89"/>
      <c r="E122" s="89"/>
      <c r="F122" s="89"/>
      <c r="G122" s="89"/>
      <c r="H122" s="89"/>
      <c r="I122" s="89"/>
      <c r="J122" s="89"/>
      <c r="K122" s="89"/>
      <c r="L122" s="89"/>
      <c r="M122" s="89"/>
      <c r="N122" s="89"/>
      <c r="O122" s="89"/>
      <c r="P122" s="89"/>
      <c r="Q122" s="89"/>
      <c r="R122" s="89"/>
      <c r="S122" s="89"/>
      <c r="T122" s="89"/>
      <c r="U122" s="89"/>
      <c r="V122" s="89"/>
      <c r="W122" s="89"/>
      <c r="X122" s="89"/>
      <c r="Y122" s="89"/>
      <c r="Z122" s="89"/>
      <c r="AA122" s="89"/>
      <c r="AB122" s="89"/>
      <c r="AC122" s="89"/>
      <c r="AD122" s="89"/>
      <c r="AE122" s="89"/>
      <c r="AF122" s="89"/>
      <c r="AG122" s="89"/>
      <c r="AH122" s="89"/>
      <c r="AI122" s="89"/>
      <c r="AJ122" s="89"/>
      <c r="AK122" s="89"/>
      <c r="AL122" s="89"/>
      <c r="AM122" s="89"/>
      <c r="AN122" s="89"/>
      <c r="AO122" s="89"/>
      <c r="AP122" s="89"/>
      <c r="AQ122" s="89"/>
      <c r="AR122" s="89"/>
      <c r="AS122" s="89"/>
      <c r="AT122" s="89"/>
      <c r="AU122" s="89"/>
      <c r="AV122" s="89"/>
      <c r="AW122" s="89"/>
      <c r="AX122" s="89"/>
      <c r="AY122" s="89"/>
      <c r="AZ122" s="89"/>
      <c r="BA122" s="89"/>
      <c r="BB122" s="89"/>
      <c r="BC122" s="89"/>
    </row>
    <row r="123">
      <c r="A123" s="89"/>
      <c r="B123" s="89"/>
      <c r="C123" s="89"/>
      <c r="D123" s="89"/>
      <c r="E123" s="89"/>
      <c r="F123" s="89"/>
      <c r="G123" s="89"/>
      <c r="H123" s="89"/>
      <c r="I123" s="89"/>
      <c r="J123" s="89"/>
      <c r="K123" s="89"/>
      <c r="L123" s="89"/>
      <c r="M123" s="89"/>
      <c r="N123" s="89"/>
      <c r="O123" s="89"/>
      <c r="P123" s="89"/>
      <c r="Q123" s="89"/>
      <c r="R123" s="89"/>
      <c r="S123" s="89"/>
      <c r="T123" s="89"/>
      <c r="U123" s="89"/>
      <c r="V123" s="89"/>
      <c r="W123" s="89"/>
      <c r="X123" s="89"/>
      <c r="Y123" s="89"/>
      <c r="Z123" s="89"/>
      <c r="AA123" s="89"/>
      <c r="AB123" s="89"/>
      <c r="AC123" s="89"/>
      <c r="AD123" s="89"/>
      <c r="AE123" s="89"/>
      <c r="AF123" s="89"/>
      <c r="AG123" s="89"/>
      <c r="AH123" s="89"/>
      <c r="AI123" s="89"/>
      <c r="AJ123" s="89"/>
      <c r="AK123" s="89"/>
      <c r="AL123" s="89"/>
      <c r="AM123" s="89"/>
      <c r="AN123" s="89"/>
      <c r="AO123" s="89"/>
      <c r="AP123" s="89"/>
      <c r="AQ123" s="89"/>
      <c r="AR123" s="89"/>
      <c r="AS123" s="89"/>
      <c r="AT123" s="89"/>
      <c r="AU123" s="89"/>
      <c r="AV123" s="89"/>
      <c r="AW123" s="89"/>
      <c r="AX123" s="89"/>
      <c r="AY123" s="89"/>
      <c r="AZ123" s="89"/>
      <c r="BA123" s="89"/>
      <c r="BB123" s="89"/>
      <c r="BC123" s="89"/>
    </row>
    <row r="124">
      <c r="A124" s="89"/>
      <c r="B124" s="89"/>
      <c r="C124" s="89"/>
      <c r="D124" s="89"/>
      <c r="E124" s="89"/>
      <c r="F124" s="89"/>
      <c r="G124" s="89"/>
      <c r="H124" s="89"/>
      <c r="I124" s="89"/>
      <c r="J124" s="89"/>
      <c r="K124" s="89"/>
      <c r="L124" s="89"/>
      <c r="M124" s="89"/>
      <c r="N124" s="89"/>
      <c r="O124" s="89"/>
      <c r="P124" s="89"/>
      <c r="Q124" s="89"/>
      <c r="R124" s="89"/>
      <c r="S124" s="89"/>
      <c r="T124" s="89"/>
      <c r="U124" s="89"/>
      <c r="V124" s="89"/>
      <c r="W124" s="89"/>
      <c r="X124" s="89"/>
      <c r="Y124" s="89"/>
      <c r="Z124" s="89"/>
      <c r="AA124" s="89"/>
      <c r="AB124" s="89"/>
      <c r="AC124" s="89"/>
      <c r="AD124" s="89"/>
      <c r="AE124" s="89"/>
      <c r="AF124" s="89"/>
      <c r="AG124" s="89"/>
      <c r="AH124" s="89"/>
      <c r="AI124" s="89"/>
      <c r="AJ124" s="89"/>
      <c r="AK124" s="89"/>
      <c r="AL124" s="89"/>
      <c r="AM124" s="89"/>
      <c r="AN124" s="89"/>
      <c r="AO124" s="89"/>
      <c r="AP124" s="89"/>
      <c r="AQ124" s="89"/>
      <c r="AR124" s="89"/>
      <c r="AS124" s="89"/>
      <c r="AT124" s="89"/>
      <c r="AU124" s="89"/>
      <c r="AV124" s="89"/>
      <c r="AW124" s="89"/>
      <c r="AX124" s="89"/>
      <c r="AY124" s="89"/>
      <c r="AZ124" s="89"/>
      <c r="BA124" s="89"/>
      <c r="BB124" s="89"/>
      <c r="BC124" s="89"/>
    </row>
    <row r="125">
      <c r="A125" s="89"/>
      <c r="B125" s="89"/>
      <c r="C125" s="89"/>
      <c r="D125" s="89"/>
      <c r="E125" s="89"/>
      <c r="F125" s="89"/>
      <c r="G125" s="89"/>
      <c r="H125" s="89"/>
      <c r="I125" s="89"/>
      <c r="J125" s="89"/>
      <c r="K125" s="89"/>
      <c r="L125" s="89"/>
      <c r="M125" s="89"/>
      <c r="N125" s="89"/>
      <c r="O125" s="89"/>
      <c r="P125" s="89"/>
      <c r="Q125" s="89"/>
      <c r="R125" s="89"/>
      <c r="S125" s="89"/>
      <c r="T125" s="89"/>
      <c r="U125" s="89"/>
      <c r="V125" s="89"/>
      <c r="W125" s="89"/>
      <c r="X125" s="89"/>
      <c r="Y125" s="89"/>
      <c r="Z125" s="89"/>
      <c r="AA125" s="89"/>
      <c r="AB125" s="89"/>
      <c r="AC125" s="89"/>
      <c r="AD125" s="89"/>
      <c r="AE125" s="89"/>
      <c r="AF125" s="89"/>
      <c r="AG125" s="89"/>
      <c r="AH125" s="89"/>
      <c r="AI125" s="89"/>
      <c r="AJ125" s="89"/>
      <c r="AK125" s="89"/>
      <c r="AL125" s="89"/>
      <c r="AM125" s="89"/>
      <c r="AN125" s="89"/>
      <c r="AO125" s="89"/>
      <c r="AP125" s="89"/>
      <c r="AQ125" s="89"/>
      <c r="AR125" s="89"/>
      <c r="AS125" s="89"/>
      <c r="AT125" s="89"/>
      <c r="AU125" s="89"/>
      <c r="AV125" s="89"/>
      <c r="AW125" s="89"/>
      <c r="AX125" s="89"/>
      <c r="AY125" s="89"/>
      <c r="AZ125" s="89"/>
      <c r="BA125" s="89"/>
      <c r="BB125" s="89"/>
      <c r="BC125" s="89"/>
    </row>
    <row r="126">
      <c r="A126" s="89"/>
      <c r="B126" s="89"/>
      <c r="C126" s="89"/>
      <c r="D126" s="89"/>
      <c r="E126" s="89"/>
      <c r="F126" s="89"/>
      <c r="G126" s="89"/>
      <c r="H126" s="89"/>
      <c r="I126" s="89"/>
      <c r="J126" s="89"/>
      <c r="K126" s="89"/>
      <c r="L126" s="89"/>
      <c r="M126" s="89"/>
      <c r="N126" s="89"/>
      <c r="O126" s="89"/>
      <c r="P126" s="89"/>
      <c r="Q126" s="89"/>
      <c r="R126" s="89"/>
      <c r="S126" s="89"/>
      <c r="T126" s="89"/>
      <c r="U126" s="89"/>
      <c r="V126" s="89"/>
      <c r="W126" s="89"/>
      <c r="X126" s="89"/>
      <c r="Y126" s="89"/>
      <c r="Z126" s="89"/>
      <c r="AA126" s="89"/>
      <c r="AB126" s="89"/>
      <c r="AC126" s="89"/>
      <c r="AD126" s="89"/>
      <c r="AE126" s="89"/>
      <c r="AF126" s="89"/>
      <c r="AG126" s="89"/>
      <c r="AH126" s="89"/>
      <c r="AI126" s="89"/>
      <c r="AJ126" s="89"/>
      <c r="AK126" s="89"/>
      <c r="AL126" s="89"/>
      <c r="AM126" s="89"/>
      <c r="AN126" s="89"/>
      <c r="AO126" s="89"/>
      <c r="AP126" s="89"/>
      <c r="AQ126" s="89"/>
      <c r="AR126" s="89"/>
      <c r="AS126" s="89"/>
      <c r="AT126" s="89"/>
      <c r="AU126" s="89"/>
      <c r="AV126" s="89"/>
      <c r="AW126" s="89"/>
      <c r="AX126" s="89"/>
      <c r="AY126" s="89"/>
      <c r="AZ126" s="89"/>
      <c r="BA126" s="89"/>
      <c r="BB126" s="89"/>
      <c r="BC126" s="89"/>
    </row>
    <row r="127">
      <c r="A127" s="89"/>
      <c r="B127" s="89"/>
      <c r="C127" s="89"/>
      <c r="D127" s="89"/>
      <c r="E127" s="89"/>
      <c r="F127" s="89"/>
      <c r="G127" s="89"/>
      <c r="H127" s="89"/>
      <c r="I127" s="89"/>
      <c r="J127" s="89"/>
      <c r="K127" s="89"/>
      <c r="L127" s="89"/>
      <c r="M127" s="89"/>
      <c r="N127" s="89"/>
      <c r="O127" s="89"/>
      <c r="P127" s="89"/>
      <c r="Q127" s="89"/>
      <c r="R127" s="89"/>
      <c r="S127" s="89"/>
      <c r="T127" s="89"/>
      <c r="U127" s="89"/>
      <c r="V127" s="89"/>
      <c r="W127" s="89"/>
      <c r="X127" s="89"/>
      <c r="Y127" s="89"/>
      <c r="Z127" s="89"/>
      <c r="AA127" s="89"/>
      <c r="AB127" s="89"/>
      <c r="AC127" s="89"/>
      <c r="AD127" s="89"/>
      <c r="AE127" s="89"/>
      <c r="AF127" s="89"/>
      <c r="AG127" s="89"/>
      <c r="AH127" s="89"/>
      <c r="AI127" s="89"/>
      <c r="AJ127" s="89"/>
      <c r="AK127" s="89"/>
      <c r="AL127" s="89"/>
      <c r="AM127" s="89"/>
      <c r="AN127" s="89"/>
      <c r="AO127" s="89"/>
      <c r="AP127" s="89"/>
      <c r="AQ127" s="89"/>
      <c r="AR127" s="89"/>
      <c r="AS127" s="89"/>
      <c r="AT127" s="89"/>
      <c r="AU127" s="89"/>
      <c r="AV127" s="89"/>
      <c r="AW127" s="89"/>
      <c r="AX127" s="89"/>
      <c r="AY127" s="89"/>
      <c r="AZ127" s="89"/>
      <c r="BA127" s="89"/>
      <c r="BB127" s="89"/>
      <c r="BC127" s="89"/>
    </row>
    <row r="128">
      <c r="A128" s="89"/>
      <c r="B128" s="89"/>
      <c r="C128" s="89"/>
      <c r="D128" s="89"/>
      <c r="E128" s="89"/>
      <c r="F128" s="89"/>
      <c r="G128" s="89"/>
      <c r="H128" s="89"/>
      <c r="I128" s="89"/>
      <c r="J128" s="89"/>
      <c r="K128" s="89"/>
      <c r="L128" s="89"/>
      <c r="M128" s="89"/>
      <c r="N128" s="89"/>
      <c r="O128" s="89"/>
      <c r="P128" s="89"/>
      <c r="Q128" s="89"/>
      <c r="R128" s="89"/>
      <c r="S128" s="89"/>
      <c r="T128" s="89"/>
      <c r="U128" s="89"/>
      <c r="V128" s="89"/>
      <c r="W128" s="89"/>
      <c r="X128" s="89"/>
      <c r="Y128" s="89"/>
      <c r="Z128" s="89"/>
      <c r="AA128" s="89"/>
      <c r="AB128" s="89"/>
      <c r="AC128" s="89"/>
      <c r="AD128" s="89"/>
      <c r="AE128" s="89"/>
      <c r="AF128" s="89"/>
      <c r="AG128" s="89"/>
      <c r="AH128" s="89"/>
      <c r="AI128" s="89"/>
      <c r="AJ128" s="89"/>
      <c r="AK128" s="89"/>
      <c r="AL128" s="89"/>
      <c r="AM128" s="89"/>
      <c r="AN128" s="89"/>
      <c r="AO128" s="89"/>
      <c r="AP128" s="89"/>
      <c r="AQ128" s="89"/>
      <c r="AR128" s="89"/>
      <c r="AS128" s="89"/>
      <c r="AT128" s="89"/>
      <c r="AU128" s="89"/>
      <c r="AV128" s="89"/>
      <c r="AW128" s="89"/>
      <c r="AX128" s="89"/>
      <c r="AY128" s="89"/>
      <c r="AZ128" s="89"/>
      <c r="BA128" s="89"/>
      <c r="BB128" s="89"/>
      <c r="BC128" s="89"/>
    </row>
    <row r="129">
      <c r="A129" s="89"/>
      <c r="B129" s="89"/>
      <c r="C129" s="89"/>
      <c r="D129" s="89"/>
      <c r="E129" s="89"/>
      <c r="F129" s="89"/>
      <c r="G129" s="89"/>
      <c r="H129" s="89"/>
      <c r="I129" s="89"/>
      <c r="J129" s="89"/>
      <c r="K129" s="89"/>
      <c r="L129" s="89"/>
      <c r="M129" s="89"/>
      <c r="N129" s="89"/>
      <c r="O129" s="89"/>
      <c r="P129" s="89"/>
      <c r="Q129" s="89"/>
      <c r="R129" s="89"/>
      <c r="S129" s="89"/>
      <c r="T129" s="89"/>
      <c r="U129" s="89"/>
      <c r="V129" s="89"/>
      <c r="W129" s="89"/>
      <c r="X129" s="89"/>
      <c r="Y129" s="89"/>
      <c r="Z129" s="89"/>
      <c r="AA129" s="89"/>
      <c r="AB129" s="89"/>
      <c r="AC129" s="89"/>
      <c r="AD129" s="89"/>
      <c r="AE129" s="89"/>
      <c r="AF129" s="89"/>
      <c r="AG129" s="89"/>
      <c r="AH129" s="89"/>
      <c r="AI129" s="89"/>
      <c r="AJ129" s="89"/>
      <c r="AK129" s="89"/>
      <c r="AL129" s="89"/>
      <c r="AM129" s="89"/>
      <c r="AN129" s="89"/>
      <c r="AO129" s="89"/>
      <c r="AP129" s="89"/>
      <c r="AQ129" s="89"/>
      <c r="AR129" s="89"/>
      <c r="AS129" s="89"/>
      <c r="AT129" s="89"/>
      <c r="AU129" s="89"/>
      <c r="AV129" s="89"/>
      <c r="AW129" s="89"/>
      <c r="AX129" s="89"/>
      <c r="AY129" s="89"/>
      <c r="AZ129" s="89"/>
      <c r="BA129" s="89"/>
      <c r="BB129" s="89"/>
      <c r="BC129" s="89"/>
    </row>
    <row r="130">
      <c r="A130" s="89"/>
      <c r="B130" s="89"/>
      <c r="C130" s="89"/>
      <c r="D130" s="89"/>
      <c r="E130" s="89"/>
      <c r="F130" s="89"/>
      <c r="G130" s="89"/>
      <c r="H130" s="89"/>
      <c r="I130" s="89"/>
      <c r="J130" s="89"/>
      <c r="K130" s="89"/>
      <c r="L130" s="89"/>
      <c r="M130" s="89"/>
      <c r="N130" s="89"/>
      <c r="O130" s="89"/>
      <c r="P130" s="89"/>
      <c r="Q130" s="89"/>
      <c r="R130" s="89"/>
      <c r="S130" s="89"/>
      <c r="T130" s="89"/>
      <c r="U130" s="89"/>
      <c r="V130" s="89"/>
      <c r="W130" s="89"/>
      <c r="X130" s="89"/>
      <c r="Y130" s="89"/>
      <c r="Z130" s="89"/>
      <c r="AA130" s="89"/>
      <c r="AB130" s="89"/>
      <c r="AC130" s="89"/>
      <c r="AD130" s="89"/>
      <c r="AE130" s="89"/>
      <c r="AF130" s="89"/>
      <c r="AG130" s="89"/>
      <c r="AH130" s="89"/>
      <c r="AI130" s="89"/>
      <c r="AJ130" s="89"/>
      <c r="AK130" s="89"/>
      <c r="AL130" s="89"/>
      <c r="AM130" s="89"/>
      <c r="AN130" s="89"/>
      <c r="AO130" s="89"/>
      <c r="AP130" s="89"/>
      <c r="AQ130" s="89"/>
      <c r="AR130" s="89"/>
      <c r="AS130" s="89"/>
      <c r="AT130" s="89"/>
      <c r="AU130" s="89"/>
      <c r="AV130" s="89"/>
      <c r="AW130" s="89"/>
      <c r="AX130" s="89"/>
      <c r="AY130" s="89"/>
      <c r="AZ130" s="89"/>
      <c r="BA130" s="89"/>
      <c r="BB130" s="89"/>
      <c r="BC130" s="89"/>
    </row>
    <row r="131">
      <c r="A131" s="89"/>
      <c r="B131" s="89"/>
      <c r="C131" s="89"/>
      <c r="D131" s="89"/>
      <c r="E131" s="89"/>
      <c r="F131" s="89"/>
      <c r="G131" s="89"/>
      <c r="H131" s="89"/>
      <c r="I131" s="89"/>
      <c r="J131" s="89"/>
      <c r="K131" s="89"/>
      <c r="L131" s="89"/>
      <c r="M131" s="89"/>
      <c r="N131" s="89"/>
      <c r="O131" s="89"/>
      <c r="P131" s="89"/>
      <c r="Q131" s="89"/>
      <c r="R131" s="89"/>
      <c r="S131" s="89"/>
      <c r="T131" s="89"/>
      <c r="U131" s="89"/>
      <c r="V131" s="89"/>
      <c r="W131" s="89"/>
      <c r="X131" s="89"/>
      <c r="Y131" s="89"/>
      <c r="Z131" s="89"/>
      <c r="AA131" s="89"/>
      <c r="AB131" s="89"/>
      <c r="AC131" s="89"/>
      <c r="AD131" s="89"/>
      <c r="AE131" s="89"/>
      <c r="AF131" s="89"/>
      <c r="AG131" s="89"/>
      <c r="AH131" s="89"/>
      <c r="AI131" s="89"/>
      <c r="AJ131" s="89"/>
      <c r="AK131" s="89"/>
      <c r="AL131" s="89"/>
      <c r="AM131" s="89"/>
      <c r="AN131" s="89"/>
      <c r="AO131" s="89"/>
      <c r="AP131" s="89"/>
      <c r="AQ131" s="89"/>
      <c r="AR131" s="89"/>
      <c r="AS131" s="89"/>
      <c r="AT131" s="89"/>
      <c r="AU131" s="89"/>
      <c r="AV131" s="89"/>
      <c r="AW131" s="89"/>
      <c r="AX131" s="89"/>
      <c r="AY131" s="89"/>
      <c r="AZ131" s="89"/>
      <c r="BA131" s="89"/>
      <c r="BB131" s="89"/>
      <c r="BC131" s="89"/>
    </row>
    <row r="132">
      <c r="A132" s="89"/>
      <c r="B132" s="89"/>
      <c r="C132" s="89"/>
      <c r="D132" s="89"/>
      <c r="E132" s="89"/>
      <c r="F132" s="89"/>
      <c r="G132" s="89"/>
      <c r="H132" s="89"/>
      <c r="I132" s="89"/>
      <c r="J132" s="89"/>
      <c r="K132" s="89"/>
      <c r="L132" s="89"/>
      <c r="M132" s="89"/>
      <c r="N132" s="89"/>
      <c r="O132" s="89"/>
      <c r="P132" s="89"/>
      <c r="Q132" s="89"/>
      <c r="R132" s="89"/>
      <c r="S132" s="89"/>
      <c r="T132" s="89"/>
      <c r="U132" s="89"/>
      <c r="V132" s="89"/>
      <c r="W132" s="89"/>
      <c r="X132" s="89"/>
      <c r="Y132" s="89"/>
      <c r="Z132" s="89"/>
      <c r="AA132" s="89"/>
      <c r="AB132" s="89"/>
      <c r="AC132" s="89"/>
      <c r="AD132" s="89"/>
      <c r="AE132" s="89"/>
      <c r="AF132" s="89"/>
      <c r="AG132" s="89"/>
      <c r="AH132" s="89"/>
      <c r="AI132" s="89"/>
      <c r="AJ132" s="89"/>
      <c r="AK132" s="89"/>
      <c r="AL132" s="89"/>
      <c r="AM132" s="89"/>
      <c r="AN132" s="89"/>
      <c r="AO132" s="89"/>
      <c r="AP132" s="89"/>
      <c r="AQ132" s="89"/>
      <c r="AR132" s="89"/>
      <c r="AS132" s="89"/>
      <c r="AT132" s="89"/>
      <c r="AU132" s="89"/>
      <c r="AV132" s="89"/>
      <c r="AW132" s="89"/>
      <c r="AX132" s="89"/>
      <c r="AY132" s="89"/>
      <c r="AZ132" s="89"/>
      <c r="BA132" s="89"/>
      <c r="BB132" s="89"/>
      <c r="BC132" s="89"/>
    </row>
    <row r="133">
      <c r="A133" s="89"/>
      <c r="B133" s="89"/>
      <c r="C133" s="89"/>
      <c r="D133" s="89"/>
      <c r="E133" s="89"/>
      <c r="F133" s="89"/>
      <c r="G133" s="89"/>
      <c r="H133" s="89"/>
      <c r="I133" s="89"/>
      <c r="J133" s="89"/>
      <c r="K133" s="89"/>
      <c r="L133" s="89"/>
      <c r="M133" s="89"/>
      <c r="N133" s="89"/>
      <c r="O133" s="89"/>
      <c r="P133" s="89"/>
      <c r="Q133" s="89"/>
      <c r="R133" s="89"/>
      <c r="S133" s="89"/>
      <c r="T133" s="89"/>
      <c r="U133" s="89"/>
      <c r="V133" s="89"/>
      <c r="W133" s="89"/>
      <c r="X133" s="89"/>
      <c r="Y133" s="89"/>
      <c r="Z133" s="89"/>
      <c r="AA133" s="89"/>
      <c r="AB133" s="89"/>
      <c r="AC133" s="89"/>
      <c r="AD133" s="89"/>
      <c r="AE133" s="89"/>
      <c r="AF133" s="89"/>
      <c r="AG133" s="89"/>
      <c r="AH133" s="89"/>
      <c r="AI133" s="89"/>
      <c r="AJ133" s="89"/>
      <c r="AK133" s="89"/>
      <c r="AL133" s="89"/>
      <c r="AM133" s="89"/>
      <c r="AN133" s="89"/>
      <c r="AO133" s="89"/>
      <c r="AP133" s="89"/>
      <c r="AQ133" s="89"/>
      <c r="AR133" s="89"/>
      <c r="AS133" s="89"/>
      <c r="AT133" s="89"/>
      <c r="AU133" s="89"/>
      <c r="AV133" s="89"/>
      <c r="AW133" s="89"/>
      <c r="AX133" s="89"/>
      <c r="AY133" s="89"/>
      <c r="AZ133" s="89"/>
      <c r="BA133" s="89"/>
      <c r="BB133" s="89"/>
      <c r="BC133" s="89"/>
    </row>
    <row r="134">
      <c r="A134" s="89"/>
      <c r="B134" s="89"/>
      <c r="C134" s="89"/>
      <c r="D134" s="89"/>
      <c r="E134" s="89"/>
      <c r="F134" s="89"/>
      <c r="G134" s="89"/>
      <c r="H134" s="89"/>
      <c r="I134" s="89"/>
      <c r="J134" s="89"/>
      <c r="K134" s="89"/>
      <c r="L134" s="89"/>
      <c r="M134" s="89"/>
      <c r="N134" s="89"/>
      <c r="O134" s="89"/>
      <c r="P134" s="89"/>
      <c r="Q134" s="89"/>
      <c r="R134" s="89"/>
      <c r="S134" s="89"/>
      <c r="T134" s="89"/>
      <c r="U134" s="89"/>
      <c r="V134" s="89"/>
      <c r="W134" s="89"/>
      <c r="X134" s="89"/>
      <c r="Y134" s="89"/>
      <c r="Z134" s="89"/>
      <c r="AA134" s="89"/>
      <c r="AB134" s="89"/>
      <c r="AC134" s="89"/>
      <c r="AD134" s="89"/>
      <c r="AE134" s="89"/>
      <c r="AF134" s="89"/>
      <c r="AG134" s="89"/>
      <c r="AH134" s="89"/>
      <c r="AI134" s="89"/>
      <c r="AJ134" s="89"/>
      <c r="AK134" s="89"/>
      <c r="AL134" s="89"/>
      <c r="AM134" s="89"/>
      <c r="AN134" s="89"/>
      <c r="AO134" s="89"/>
      <c r="AP134" s="89"/>
      <c r="AQ134" s="89"/>
      <c r="AR134" s="89"/>
      <c r="AS134" s="89"/>
      <c r="AT134" s="89"/>
      <c r="AU134" s="89"/>
      <c r="AV134" s="89"/>
      <c r="AW134" s="89"/>
      <c r="AX134" s="89"/>
      <c r="AY134" s="89"/>
      <c r="AZ134" s="89"/>
      <c r="BA134" s="89"/>
      <c r="BB134" s="89"/>
      <c r="BC134" s="89"/>
    </row>
    <row r="135">
      <c r="A135" s="89"/>
      <c r="B135" s="89"/>
      <c r="C135" s="89"/>
      <c r="D135" s="89"/>
      <c r="E135" s="89"/>
      <c r="F135" s="89"/>
      <c r="G135" s="89"/>
      <c r="H135" s="89"/>
      <c r="I135" s="89"/>
      <c r="J135" s="89"/>
      <c r="K135" s="89"/>
      <c r="L135" s="89"/>
      <c r="M135" s="89"/>
      <c r="N135" s="89"/>
      <c r="O135" s="89"/>
      <c r="P135" s="89"/>
      <c r="Q135" s="89"/>
      <c r="R135" s="89"/>
      <c r="S135" s="89"/>
      <c r="T135" s="89"/>
      <c r="U135" s="89"/>
      <c r="V135" s="89"/>
      <c r="W135" s="89"/>
      <c r="X135" s="89"/>
      <c r="Y135" s="89"/>
      <c r="Z135" s="89"/>
      <c r="AA135" s="89"/>
      <c r="AB135" s="89"/>
      <c r="AC135" s="89"/>
      <c r="AD135" s="89"/>
      <c r="AE135" s="89"/>
      <c r="AF135" s="89"/>
      <c r="AG135" s="89"/>
      <c r="AH135" s="89"/>
      <c r="AI135" s="89"/>
      <c r="AJ135" s="89"/>
      <c r="AK135" s="89"/>
      <c r="AL135" s="89"/>
      <c r="AM135" s="89"/>
      <c r="AN135" s="89"/>
      <c r="AO135" s="89"/>
      <c r="AP135" s="89"/>
      <c r="AQ135" s="89"/>
      <c r="AR135" s="89"/>
      <c r="AS135" s="89"/>
      <c r="AT135" s="89"/>
      <c r="AU135" s="89"/>
      <c r="AV135" s="89"/>
      <c r="AW135" s="89"/>
      <c r="AX135" s="89"/>
      <c r="AY135" s="89"/>
      <c r="AZ135" s="89"/>
      <c r="BA135" s="89"/>
      <c r="BB135" s="89"/>
      <c r="BC135" s="89"/>
    </row>
    <row r="136">
      <c r="A136" s="89"/>
      <c r="B136" s="89"/>
      <c r="C136" s="89"/>
      <c r="D136" s="89"/>
      <c r="E136" s="89"/>
      <c r="F136" s="89"/>
      <c r="G136" s="89"/>
      <c r="H136" s="89"/>
      <c r="I136" s="89"/>
      <c r="J136" s="89"/>
      <c r="K136" s="89"/>
      <c r="L136" s="89"/>
      <c r="M136" s="89"/>
      <c r="N136" s="89"/>
      <c r="O136" s="89"/>
      <c r="P136" s="89"/>
      <c r="Q136" s="89"/>
      <c r="R136" s="89"/>
      <c r="S136" s="89"/>
      <c r="T136" s="89"/>
      <c r="U136" s="89"/>
      <c r="V136" s="89"/>
      <c r="W136" s="89"/>
      <c r="X136" s="89"/>
      <c r="Y136" s="89"/>
      <c r="Z136" s="89"/>
      <c r="AA136" s="89"/>
      <c r="AB136" s="89"/>
      <c r="AC136" s="89"/>
      <c r="AD136" s="89"/>
      <c r="AE136" s="89"/>
      <c r="AF136" s="89"/>
      <c r="AG136" s="89"/>
      <c r="AH136" s="89"/>
      <c r="AI136" s="89"/>
      <c r="AJ136" s="89"/>
      <c r="AK136" s="89"/>
      <c r="AL136" s="89"/>
      <c r="AM136" s="89"/>
      <c r="AN136" s="89"/>
      <c r="AO136" s="89"/>
      <c r="AP136" s="89"/>
      <c r="AQ136" s="89"/>
      <c r="AR136" s="89"/>
      <c r="AS136" s="89"/>
      <c r="AT136" s="89"/>
      <c r="AU136" s="89"/>
      <c r="AV136" s="89"/>
      <c r="AW136" s="89"/>
      <c r="AX136" s="89"/>
      <c r="AY136" s="89"/>
      <c r="AZ136" s="89"/>
      <c r="BA136" s="89"/>
      <c r="BB136" s="89"/>
      <c r="BC136" s="89"/>
    </row>
    <row r="137">
      <c r="A137" s="89"/>
      <c r="B137" s="89"/>
      <c r="C137" s="89"/>
      <c r="D137" s="89"/>
      <c r="E137" s="89"/>
      <c r="F137" s="89"/>
      <c r="G137" s="89"/>
      <c r="H137" s="89"/>
      <c r="I137" s="89"/>
      <c r="J137" s="89"/>
      <c r="K137" s="89"/>
      <c r="L137" s="89"/>
      <c r="M137" s="89"/>
      <c r="N137" s="89"/>
      <c r="O137" s="89"/>
      <c r="P137" s="89"/>
      <c r="Q137" s="89"/>
      <c r="R137" s="89"/>
      <c r="S137" s="89"/>
      <c r="T137" s="89"/>
      <c r="U137" s="89"/>
      <c r="V137" s="89"/>
      <c r="W137" s="89"/>
      <c r="X137" s="89"/>
      <c r="Y137" s="89"/>
      <c r="Z137" s="89"/>
      <c r="AA137" s="89"/>
      <c r="AB137" s="89"/>
      <c r="AC137" s="89"/>
      <c r="AD137" s="89"/>
      <c r="AE137" s="89"/>
      <c r="AF137" s="89"/>
      <c r="AG137" s="89"/>
      <c r="AH137" s="89"/>
      <c r="AI137" s="89"/>
      <c r="AJ137" s="89"/>
      <c r="AK137" s="89"/>
      <c r="AL137" s="89"/>
      <c r="AM137" s="89"/>
      <c r="AN137" s="89"/>
      <c r="AO137" s="89"/>
      <c r="AP137" s="89"/>
      <c r="AQ137" s="89"/>
      <c r="AR137" s="89"/>
      <c r="AS137" s="89"/>
      <c r="AT137" s="89"/>
      <c r="AU137" s="89"/>
      <c r="AV137" s="89"/>
      <c r="AW137" s="89"/>
      <c r="AX137" s="89"/>
      <c r="AY137" s="89"/>
      <c r="AZ137" s="89"/>
      <c r="BA137" s="89"/>
      <c r="BB137" s="89"/>
      <c r="BC137" s="89"/>
    </row>
    <row r="138">
      <c r="A138" s="89"/>
      <c r="B138" s="89"/>
      <c r="C138" s="89"/>
      <c r="D138" s="89"/>
      <c r="E138" s="89"/>
      <c r="F138" s="89"/>
      <c r="G138" s="89"/>
      <c r="H138" s="89"/>
      <c r="I138" s="89"/>
      <c r="J138" s="89"/>
      <c r="K138" s="89"/>
      <c r="L138" s="89"/>
      <c r="M138" s="89"/>
      <c r="N138" s="89"/>
      <c r="O138" s="89"/>
      <c r="P138" s="89"/>
      <c r="Q138" s="89"/>
      <c r="R138" s="89"/>
      <c r="S138" s="89"/>
      <c r="T138" s="89"/>
      <c r="U138" s="89"/>
      <c r="V138" s="89"/>
      <c r="W138" s="89"/>
      <c r="X138" s="89"/>
      <c r="Y138" s="89"/>
      <c r="Z138" s="89"/>
      <c r="AA138" s="89"/>
      <c r="AB138" s="89"/>
      <c r="AC138" s="89"/>
      <c r="AD138" s="89"/>
      <c r="AE138" s="89"/>
      <c r="AF138" s="89"/>
      <c r="AG138" s="89"/>
      <c r="AH138" s="89"/>
      <c r="AI138" s="89"/>
      <c r="AJ138" s="89"/>
      <c r="AK138" s="89"/>
      <c r="AL138" s="89"/>
      <c r="AM138" s="89"/>
      <c r="AN138" s="89"/>
      <c r="AO138" s="89"/>
      <c r="AP138" s="89"/>
      <c r="AQ138" s="89"/>
      <c r="AR138" s="89"/>
      <c r="AS138" s="89"/>
      <c r="AT138" s="89"/>
      <c r="AU138" s="89"/>
      <c r="AV138" s="89"/>
      <c r="AW138" s="89"/>
      <c r="AX138" s="89"/>
      <c r="AY138" s="89"/>
      <c r="AZ138" s="89"/>
      <c r="BA138" s="89"/>
      <c r="BB138" s="89"/>
      <c r="BC138" s="89"/>
    </row>
    <row r="139">
      <c r="A139" s="89"/>
      <c r="B139" s="89"/>
      <c r="C139" s="89"/>
      <c r="D139" s="89"/>
      <c r="E139" s="89"/>
      <c r="F139" s="89"/>
      <c r="G139" s="89"/>
      <c r="H139" s="89"/>
      <c r="I139" s="89"/>
      <c r="J139" s="89"/>
      <c r="K139" s="89"/>
      <c r="L139" s="89"/>
      <c r="M139" s="89"/>
      <c r="N139" s="89"/>
      <c r="O139" s="89"/>
      <c r="P139" s="89"/>
      <c r="Q139" s="89"/>
      <c r="R139" s="89"/>
      <c r="S139" s="89"/>
      <c r="T139" s="89"/>
      <c r="U139" s="89"/>
      <c r="V139" s="89"/>
      <c r="W139" s="89"/>
      <c r="X139" s="89"/>
      <c r="Y139" s="89"/>
      <c r="Z139" s="89"/>
      <c r="AA139" s="89"/>
      <c r="AB139" s="89"/>
      <c r="AC139" s="89"/>
      <c r="AD139" s="89"/>
      <c r="AE139" s="89"/>
      <c r="AF139" s="89"/>
      <c r="AG139" s="89"/>
      <c r="AH139" s="89"/>
      <c r="AI139" s="89"/>
      <c r="AJ139" s="89"/>
      <c r="AK139" s="89"/>
      <c r="AL139" s="89"/>
      <c r="AM139" s="89"/>
      <c r="AN139" s="89"/>
      <c r="AO139" s="89"/>
      <c r="AP139" s="89"/>
      <c r="AQ139" s="89"/>
      <c r="AR139" s="89"/>
      <c r="AS139" s="89"/>
      <c r="AT139" s="89"/>
      <c r="AU139" s="89"/>
      <c r="AV139" s="89"/>
      <c r="AW139" s="89"/>
      <c r="AX139" s="89"/>
      <c r="AY139" s="89"/>
      <c r="AZ139" s="89"/>
      <c r="BA139" s="89"/>
      <c r="BB139" s="89"/>
      <c r="BC139" s="89"/>
    </row>
    <row r="140">
      <c r="A140" s="89"/>
      <c r="B140" s="89"/>
      <c r="C140" s="89"/>
      <c r="D140" s="89"/>
      <c r="E140" s="89"/>
      <c r="F140" s="89"/>
      <c r="G140" s="89"/>
      <c r="H140" s="89"/>
      <c r="I140" s="89"/>
      <c r="J140" s="89"/>
      <c r="K140" s="89"/>
      <c r="L140" s="89"/>
      <c r="M140" s="89"/>
      <c r="N140" s="89"/>
      <c r="O140" s="89"/>
      <c r="P140" s="89"/>
      <c r="Q140" s="89"/>
      <c r="R140" s="89"/>
      <c r="S140" s="89"/>
      <c r="T140" s="89"/>
      <c r="U140" s="89"/>
      <c r="V140" s="89"/>
      <c r="W140" s="89"/>
      <c r="X140" s="89"/>
      <c r="Y140" s="89"/>
      <c r="Z140" s="89"/>
      <c r="AA140" s="89"/>
      <c r="AB140" s="89"/>
      <c r="AC140" s="89"/>
      <c r="AD140" s="89"/>
      <c r="AE140" s="89"/>
      <c r="AF140" s="89"/>
      <c r="AG140" s="89"/>
      <c r="AH140" s="89"/>
      <c r="AI140" s="89"/>
      <c r="AJ140" s="89"/>
      <c r="AK140" s="89"/>
      <c r="AL140" s="89"/>
      <c r="AM140" s="89"/>
      <c r="AN140" s="89"/>
      <c r="AO140" s="89"/>
      <c r="AP140" s="89"/>
      <c r="AQ140" s="89"/>
      <c r="AR140" s="89"/>
      <c r="AS140" s="89"/>
      <c r="AT140" s="89"/>
      <c r="AU140" s="89"/>
      <c r="AV140" s="89"/>
      <c r="AW140" s="89"/>
      <c r="AX140" s="89"/>
      <c r="AY140" s="89"/>
      <c r="AZ140" s="89"/>
      <c r="BA140" s="89"/>
      <c r="BB140" s="89"/>
      <c r="BC140" s="89"/>
    </row>
    <row r="141">
      <c r="A141" s="89"/>
      <c r="B141" s="89"/>
      <c r="C141" s="89"/>
      <c r="D141" s="89"/>
      <c r="E141" s="89"/>
      <c r="F141" s="89"/>
      <c r="G141" s="89"/>
      <c r="H141" s="89"/>
      <c r="I141" s="89"/>
      <c r="J141" s="89"/>
      <c r="K141" s="89"/>
      <c r="L141" s="89"/>
      <c r="M141" s="89"/>
      <c r="N141" s="89"/>
      <c r="O141" s="89"/>
      <c r="P141" s="89"/>
      <c r="Q141" s="89"/>
      <c r="R141" s="89"/>
      <c r="S141" s="89"/>
      <c r="T141" s="89"/>
      <c r="U141" s="89"/>
      <c r="V141" s="89"/>
      <c r="W141" s="89"/>
      <c r="X141" s="89"/>
      <c r="Y141" s="89"/>
      <c r="Z141" s="89"/>
      <c r="AA141" s="89"/>
      <c r="AB141" s="89"/>
      <c r="AC141" s="89"/>
      <c r="AD141" s="89"/>
      <c r="AE141" s="89"/>
      <c r="AF141" s="89"/>
      <c r="AG141" s="89"/>
      <c r="AH141" s="89"/>
      <c r="AI141" s="89"/>
      <c r="AJ141" s="89"/>
      <c r="AK141" s="89"/>
      <c r="AL141" s="89"/>
      <c r="AM141" s="89"/>
      <c r="AN141" s="89"/>
      <c r="AO141" s="89"/>
      <c r="AP141" s="89"/>
      <c r="AQ141" s="89"/>
      <c r="AR141" s="89"/>
      <c r="AS141" s="89"/>
      <c r="AT141" s="89"/>
      <c r="AU141" s="89"/>
      <c r="AV141" s="89"/>
      <c r="AW141" s="89"/>
      <c r="AX141" s="89"/>
      <c r="AY141" s="89"/>
      <c r="AZ141" s="89"/>
      <c r="BA141" s="89"/>
      <c r="BB141" s="89"/>
      <c r="BC141" s="89"/>
    </row>
    <row r="142">
      <c r="A142" s="89"/>
      <c r="B142" s="89"/>
      <c r="C142" s="89"/>
      <c r="D142" s="89"/>
      <c r="E142" s="89"/>
      <c r="F142" s="89"/>
      <c r="G142" s="89"/>
      <c r="H142" s="89"/>
      <c r="I142" s="89"/>
      <c r="J142" s="89"/>
      <c r="K142" s="89"/>
      <c r="L142" s="89"/>
      <c r="M142" s="89"/>
      <c r="N142" s="89"/>
      <c r="O142" s="89"/>
      <c r="P142" s="89"/>
      <c r="Q142" s="89"/>
      <c r="R142" s="89"/>
      <c r="S142" s="89"/>
      <c r="T142" s="89"/>
      <c r="U142" s="89"/>
      <c r="V142" s="89"/>
      <c r="W142" s="89"/>
      <c r="X142" s="89"/>
      <c r="Y142" s="89"/>
      <c r="Z142" s="89"/>
      <c r="AA142" s="89"/>
      <c r="AB142" s="89"/>
      <c r="AC142" s="89"/>
      <c r="AD142" s="89"/>
      <c r="AE142" s="89"/>
      <c r="AF142" s="89"/>
      <c r="AG142" s="89"/>
      <c r="AH142" s="89"/>
      <c r="AI142" s="89"/>
      <c r="AJ142" s="89"/>
      <c r="AK142" s="89"/>
      <c r="AL142" s="89"/>
      <c r="AM142" s="89"/>
      <c r="AN142" s="89"/>
      <c r="AO142" s="89"/>
      <c r="AP142" s="89"/>
      <c r="AQ142" s="89"/>
      <c r="AR142" s="89"/>
      <c r="AS142" s="89"/>
      <c r="AT142" s="89"/>
      <c r="AU142" s="89"/>
      <c r="AV142" s="89"/>
      <c r="AW142" s="89"/>
      <c r="AX142" s="89"/>
      <c r="AY142" s="89"/>
      <c r="AZ142" s="89"/>
      <c r="BA142" s="89"/>
      <c r="BB142" s="89"/>
      <c r="BC142" s="89"/>
    </row>
    <row r="143">
      <c r="A143" s="89"/>
      <c r="B143" s="89"/>
      <c r="C143" s="89"/>
      <c r="D143" s="89"/>
      <c r="E143" s="89"/>
      <c r="F143" s="89"/>
      <c r="G143" s="89"/>
      <c r="H143" s="89"/>
      <c r="I143" s="89"/>
      <c r="J143" s="89"/>
      <c r="K143" s="89"/>
      <c r="L143" s="89"/>
      <c r="M143" s="89"/>
      <c r="N143" s="89"/>
      <c r="O143" s="89"/>
      <c r="P143" s="89"/>
      <c r="Q143" s="89"/>
      <c r="R143" s="89"/>
      <c r="S143" s="89"/>
      <c r="T143" s="89"/>
      <c r="U143" s="89"/>
      <c r="V143" s="89"/>
      <c r="W143" s="89"/>
      <c r="X143" s="89"/>
      <c r="Y143" s="89"/>
      <c r="Z143" s="89"/>
      <c r="AA143" s="89"/>
      <c r="AB143" s="89"/>
      <c r="AC143" s="89"/>
      <c r="AD143" s="89"/>
      <c r="AE143" s="89"/>
      <c r="AF143" s="89"/>
      <c r="AG143" s="89"/>
      <c r="AH143" s="89"/>
      <c r="AI143" s="89"/>
      <c r="AJ143" s="89"/>
      <c r="AK143" s="89"/>
      <c r="AL143" s="89"/>
      <c r="AM143" s="89"/>
      <c r="AN143" s="89"/>
      <c r="AO143" s="89"/>
      <c r="AP143" s="89"/>
      <c r="AQ143" s="89"/>
      <c r="AR143" s="89"/>
      <c r="AS143" s="89"/>
      <c r="AT143" s="89"/>
      <c r="AU143" s="89"/>
      <c r="AV143" s="89"/>
      <c r="AW143" s="89"/>
      <c r="AX143" s="89"/>
      <c r="AY143" s="89"/>
      <c r="AZ143" s="89"/>
      <c r="BA143" s="89"/>
      <c r="BB143" s="89"/>
      <c r="BC143" s="89"/>
    </row>
    <row r="144">
      <c r="A144" s="89"/>
      <c r="B144" s="89"/>
      <c r="C144" s="89"/>
      <c r="D144" s="89"/>
      <c r="E144" s="89"/>
      <c r="F144" s="89"/>
      <c r="G144" s="89"/>
      <c r="H144" s="89"/>
      <c r="I144" s="89"/>
      <c r="J144" s="89"/>
      <c r="K144" s="89"/>
      <c r="L144" s="89"/>
      <c r="M144" s="89"/>
      <c r="N144" s="89"/>
      <c r="O144" s="89"/>
      <c r="P144" s="89"/>
      <c r="Q144" s="89"/>
      <c r="R144" s="89"/>
      <c r="S144" s="89"/>
      <c r="T144" s="89"/>
      <c r="U144" s="89"/>
      <c r="V144" s="89"/>
      <c r="W144" s="89"/>
      <c r="X144" s="89"/>
      <c r="Y144" s="89"/>
      <c r="Z144" s="89"/>
      <c r="AA144" s="89"/>
      <c r="AB144" s="89"/>
      <c r="AC144" s="89"/>
      <c r="AD144" s="89"/>
      <c r="AE144" s="89"/>
      <c r="AF144" s="89"/>
      <c r="AG144" s="89"/>
      <c r="AH144" s="89"/>
      <c r="AI144" s="89"/>
      <c r="AJ144" s="89"/>
      <c r="AK144" s="89"/>
      <c r="AL144" s="89"/>
      <c r="AM144" s="89"/>
      <c r="AN144" s="89"/>
      <c r="AO144" s="89"/>
      <c r="AP144" s="89"/>
      <c r="AQ144" s="89"/>
      <c r="AR144" s="89"/>
      <c r="AS144" s="89"/>
      <c r="AT144" s="89"/>
      <c r="AU144" s="89"/>
      <c r="AV144" s="89"/>
      <c r="AW144" s="89"/>
      <c r="AX144" s="89"/>
      <c r="AY144" s="89"/>
      <c r="AZ144" s="89"/>
      <c r="BA144" s="89"/>
      <c r="BB144" s="89"/>
      <c r="BC144" s="89"/>
    </row>
    <row r="145">
      <c r="A145" s="89"/>
      <c r="B145" s="89"/>
      <c r="C145" s="89"/>
      <c r="D145" s="89"/>
      <c r="E145" s="89"/>
      <c r="F145" s="89"/>
      <c r="G145" s="89"/>
      <c r="H145" s="89"/>
      <c r="I145" s="89"/>
      <c r="J145" s="89"/>
      <c r="K145" s="89"/>
      <c r="L145" s="89"/>
      <c r="M145" s="89"/>
      <c r="N145" s="89"/>
      <c r="O145" s="89"/>
      <c r="P145" s="89"/>
      <c r="Q145" s="89"/>
      <c r="R145" s="89"/>
      <c r="S145" s="89"/>
      <c r="T145" s="89"/>
      <c r="U145" s="89"/>
      <c r="V145" s="89"/>
      <c r="W145" s="89"/>
      <c r="X145" s="89"/>
      <c r="Y145" s="89"/>
      <c r="Z145" s="89"/>
      <c r="AA145" s="89"/>
      <c r="AB145" s="89"/>
      <c r="AC145" s="89"/>
      <c r="AD145" s="89"/>
      <c r="AE145" s="89"/>
      <c r="AF145" s="89"/>
      <c r="AG145" s="89"/>
      <c r="AH145" s="89"/>
      <c r="AI145" s="89"/>
      <c r="AJ145" s="89"/>
      <c r="AK145" s="89"/>
      <c r="AL145" s="89"/>
      <c r="AM145" s="89"/>
      <c r="AN145" s="89"/>
      <c r="AO145" s="89"/>
      <c r="AP145" s="89"/>
      <c r="AQ145" s="89"/>
      <c r="AR145" s="89"/>
      <c r="AS145" s="89"/>
      <c r="AT145" s="89"/>
      <c r="AU145" s="89"/>
      <c r="AV145" s="89"/>
      <c r="AW145" s="89"/>
      <c r="AX145" s="89"/>
      <c r="AY145" s="89"/>
      <c r="AZ145" s="89"/>
      <c r="BA145" s="89"/>
      <c r="BB145" s="89"/>
      <c r="BC145" s="89"/>
    </row>
    <row r="146">
      <c r="A146" s="89"/>
      <c r="B146" s="89"/>
      <c r="C146" s="89"/>
      <c r="D146" s="89"/>
      <c r="E146" s="89"/>
      <c r="F146" s="89"/>
      <c r="G146" s="89"/>
      <c r="H146" s="89"/>
      <c r="I146" s="89"/>
      <c r="J146" s="89"/>
      <c r="K146" s="89"/>
      <c r="L146" s="89"/>
      <c r="M146" s="89"/>
      <c r="N146" s="89"/>
      <c r="O146" s="89"/>
      <c r="P146" s="89"/>
      <c r="Q146" s="89"/>
      <c r="R146" s="89"/>
      <c r="S146" s="89"/>
      <c r="T146" s="89"/>
      <c r="U146" s="89"/>
      <c r="V146" s="89"/>
      <c r="W146" s="89"/>
      <c r="X146" s="89"/>
      <c r="Y146" s="89"/>
      <c r="Z146" s="89"/>
      <c r="AA146" s="89"/>
      <c r="AB146" s="89"/>
      <c r="AC146" s="89"/>
      <c r="AD146" s="89"/>
      <c r="AE146" s="89"/>
      <c r="AF146" s="89"/>
      <c r="AG146" s="89"/>
      <c r="AH146" s="89"/>
      <c r="AI146" s="89"/>
      <c r="AJ146" s="89"/>
      <c r="AK146" s="89"/>
      <c r="AL146" s="89"/>
      <c r="AM146" s="89"/>
      <c r="AN146" s="89"/>
      <c r="AO146" s="89"/>
      <c r="AP146" s="89"/>
      <c r="AQ146" s="89"/>
      <c r="AR146" s="89"/>
      <c r="AS146" s="89"/>
      <c r="AT146" s="89"/>
      <c r="AU146" s="89"/>
      <c r="AV146" s="89"/>
      <c r="AW146" s="89"/>
      <c r="AX146" s="89"/>
      <c r="AY146" s="89"/>
      <c r="AZ146" s="89"/>
      <c r="BA146" s="89"/>
      <c r="BB146" s="89"/>
      <c r="BC146" s="89"/>
    </row>
    <row r="147">
      <c r="A147" s="89"/>
      <c r="B147" s="89"/>
      <c r="C147" s="89"/>
      <c r="D147" s="89"/>
      <c r="E147" s="89"/>
      <c r="F147" s="89"/>
      <c r="G147" s="89"/>
      <c r="H147" s="89"/>
      <c r="I147" s="89"/>
      <c r="J147" s="89"/>
      <c r="K147" s="89"/>
      <c r="L147" s="89"/>
      <c r="M147" s="89"/>
      <c r="N147" s="89"/>
      <c r="O147" s="89"/>
      <c r="P147" s="89"/>
      <c r="Q147" s="89"/>
      <c r="R147" s="89"/>
      <c r="S147" s="89"/>
      <c r="T147" s="89"/>
      <c r="U147" s="89"/>
      <c r="V147" s="89"/>
      <c r="W147" s="89"/>
      <c r="X147" s="89"/>
      <c r="Y147" s="89"/>
      <c r="Z147" s="89"/>
      <c r="AA147" s="89"/>
      <c r="AB147" s="89"/>
      <c r="AC147" s="89"/>
      <c r="AD147" s="89"/>
      <c r="AE147" s="89"/>
      <c r="AF147" s="89"/>
      <c r="AG147" s="89"/>
      <c r="AH147" s="89"/>
      <c r="AI147" s="89"/>
      <c r="AJ147" s="89"/>
      <c r="AK147" s="89"/>
      <c r="AL147" s="89"/>
      <c r="AM147" s="89"/>
      <c r="AN147" s="89"/>
      <c r="AO147" s="89"/>
      <c r="AP147" s="89"/>
      <c r="AQ147" s="89"/>
      <c r="AR147" s="89"/>
      <c r="AS147" s="89"/>
      <c r="AT147" s="89"/>
      <c r="AU147" s="89"/>
      <c r="AV147" s="89"/>
      <c r="AW147" s="89"/>
      <c r="AX147" s="89"/>
      <c r="AY147" s="89"/>
      <c r="AZ147" s="89"/>
      <c r="BA147" s="89"/>
      <c r="BB147" s="89"/>
      <c r="BC147" s="89"/>
    </row>
    <row r="148">
      <c r="A148" s="89"/>
      <c r="B148" s="89"/>
      <c r="C148" s="89"/>
      <c r="D148" s="89"/>
      <c r="E148" s="89"/>
      <c r="F148" s="89"/>
      <c r="G148" s="89"/>
      <c r="H148" s="89"/>
      <c r="I148" s="89"/>
      <c r="J148" s="89"/>
      <c r="K148" s="89"/>
      <c r="L148" s="89"/>
      <c r="M148" s="89"/>
      <c r="N148" s="89"/>
      <c r="O148" s="89"/>
      <c r="P148" s="89"/>
      <c r="Q148" s="89"/>
      <c r="R148" s="89"/>
      <c r="S148" s="89"/>
      <c r="T148" s="89"/>
      <c r="U148" s="89"/>
      <c r="V148" s="89"/>
      <c r="W148" s="89"/>
      <c r="X148" s="89"/>
      <c r="Y148" s="89"/>
      <c r="Z148" s="89"/>
      <c r="AA148" s="89"/>
      <c r="AB148" s="89"/>
      <c r="AC148" s="89"/>
      <c r="AD148" s="89"/>
      <c r="AE148" s="89"/>
      <c r="AF148" s="89"/>
      <c r="AG148" s="89"/>
      <c r="AH148" s="89"/>
      <c r="AI148" s="89"/>
      <c r="AJ148" s="89"/>
      <c r="AK148" s="89"/>
      <c r="AL148" s="89"/>
      <c r="AM148" s="89"/>
      <c r="AN148" s="89"/>
      <c r="AO148" s="89"/>
      <c r="AP148" s="89"/>
      <c r="AQ148" s="89"/>
      <c r="AR148" s="89"/>
      <c r="AS148" s="89"/>
      <c r="AT148" s="89"/>
      <c r="AU148" s="89"/>
      <c r="AV148" s="89"/>
      <c r="AW148" s="89"/>
      <c r="AX148" s="89"/>
      <c r="AY148" s="89"/>
      <c r="AZ148" s="89"/>
      <c r="BA148" s="89"/>
      <c r="BB148" s="89"/>
      <c r="BC148" s="89"/>
    </row>
    <row r="149">
      <c r="A149" s="89"/>
      <c r="B149" s="89"/>
      <c r="C149" s="89"/>
      <c r="D149" s="89"/>
      <c r="E149" s="89"/>
      <c r="F149" s="89"/>
      <c r="G149" s="89"/>
      <c r="H149" s="89"/>
      <c r="I149" s="89"/>
      <c r="J149" s="89"/>
      <c r="K149" s="89"/>
      <c r="L149" s="89"/>
      <c r="M149" s="89"/>
      <c r="N149" s="89"/>
      <c r="O149" s="89"/>
      <c r="P149" s="89"/>
      <c r="Q149" s="89"/>
      <c r="R149" s="89"/>
      <c r="S149" s="89"/>
      <c r="T149" s="89"/>
      <c r="U149" s="89"/>
      <c r="V149" s="89"/>
      <c r="W149" s="89"/>
      <c r="X149" s="89"/>
      <c r="Y149" s="89"/>
      <c r="Z149" s="89"/>
      <c r="AA149" s="89"/>
      <c r="AB149" s="89"/>
      <c r="AC149" s="89"/>
      <c r="AD149" s="89"/>
      <c r="AE149" s="89"/>
      <c r="AF149" s="89"/>
      <c r="AG149" s="89"/>
      <c r="AH149" s="89"/>
      <c r="AI149" s="89"/>
      <c r="AJ149" s="89"/>
      <c r="AK149" s="89"/>
      <c r="AL149" s="89"/>
      <c r="AM149" s="89"/>
      <c r="AN149" s="89"/>
      <c r="AO149" s="89"/>
      <c r="AP149" s="89"/>
      <c r="AQ149" s="89"/>
      <c r="AR149" s="89"/>
      <c r="AS149" s="89"/>
      <c r="AT149" s="89"/>
      <c r="AU149" s="89"/>
      <c r="AV149" s="89"/>
      <c r="AW149" s="89"/>
      <c r="AX149" s="89"/>
      <c r="AY149" s="89"/>
      <c r="AZ149" s="89"/>
      <c r="BA149" s="89"/>
      <c r="BB149" s="89"/>
      <c r="BC149" s="89"/>
    </row>
    <row r="150">
      <c r="A150" s="89"/>
      <c r="B150" s="89"/>
      <c r="C150" s="89"/>
      <c r="D150" s="89"/>
      <c r="E150" s="89"/>
      <c r="F150" s="89"/>
      <c r="G150" s="89"/>
      <c r="H150" s="89"/>
      <c r="I150" s="89"/>
      <c r="J150" s="89"/>
      <c r="K150" s="89"/>
      <c r="L150" s="89"/>
      <c r="M150" s="89"/>
      <c r="N150" s="89"/>
      <c r="O150" s="89"/>
      <c r="P150" s="89"/>
      <c r="Q150" s="89"/>
      <c r="R150" s="89"/>
      <c r="S150" s="89"/>
      <c r="T150" s="89"/>
      <c r="U150" s="89"/>
      <c r="V150" s="89"/>
      <c r="W150" s="89"/>
      <c r="X150" s="89"/>
      <c r="Y150" s="89"/>
      <c r="Z150" s="89"/>
      <c r="AA150" s="89"/>
      <c r="AB150" s="89"/>
      <c r="AC150" s="89"/>
      <c r="AD150" s="89"/>
      <c r="AE150" s="89"/>
      <c r="AF150" s="89"/>
      <c r="AG150" s="89"/>
      <c r="AH150" s="89"/>
      <c r="AI150" s="89"/>
      <c r="AJ150" s="89"/>
      <c r="AK150" s="89"/>
      <c r="AL150" s="89"/>
      <c r="AM150" s="89"/>
      <c r="AN150" s="89"/>
      <c r="AO150" s="89"/>
      <c r="AP150" s="89"/>
      <c r="AQ150" s="89"/>
      <c r="AR150" s="89"/>
      <c r="AS150" s="89"/>
      <c r="AT150" s="89"/>
      <c r="AU150" s="89"/>
      <c r="AV150" s="89"/>
      <c r="AW150" s="89"/>
      <c r="AX150" s="89"/>
      <c r="AY150" s="89"/>
      <c r="AZ150" s="89"/>
      <c r="BA150" s="89"/>
      <c r="BB150" s="89"/>
      <c r="BC150" s="89"/>
    </row>
    <row r="151">
      <c r="A151" s="89"/>
      <c r="B151" s="89"/>
      <c r="C151" s="89"/>
      <c r="D151" s="89"/>
      <c r="E151" s="89"/>
      <c r="F151" s="89"/>
      <c r="G151" s="89"/>
      <c r="H151" s="89"/>
      <c r="I151" s="89"/>
      <c r="J151" s="89"/>
      <c r="K151" s="89"/>
      <c r="L151" s="89"/>
      <c r="M151" s="89"/>
      <c r="N151" s="89"/>
      <c r="O151" s="89"/>
      <c r="P151" s="89"/>
      <c r="Q151" s="89"/>
      <c r="R151" s="89"/>
      <c r="S151" s="89"/>
      <c r="T151" s="89"/>
      <c r="U151" s="89"/>
      <c r="V151" s="89"/>
      <c r="W151" s="89"/>
      <c r="X151" s="89"/>
      <c r="Y151" s="89"/>
      <c r="Z151" s="89"/>
      <c r="AA151" s="89"/>
      <c r="AB151" s="89"/>
      <c r="AC151" s="89"/>
      <c r="AD151" s="89"/>
      <c r="AE151" s="89"/>
      <c r="AF151" s="89"/>
      <c r="AG151" s="89"/>
      <c r="AH151" s="89"/>
      <c r="AI151" s="89"/>
      <c r="AJ151" s="89"/>
      <c r="AK151" s="89"/>
      <c r="AL151" s="89"/>
      <c r="AM151" s="89"/>
      <c r="AN151" s="89"/>
      <c r="AO151" s="89"/>
      <c r="AP151" s="89"/>
      <c r="AQ151" s="89"/>
      <c r="AR151" s="89"/>
      <c r="AS151" s="89"/>
      <c r="AT151" s="89"/>
      <c r="AU151" s="89"/>
      <c r="AV151" s="89"/>
      <c r="AW151" s="89"/>
      <c r="AX151" s="89"/>
      <c r="AY151" s="89"/>
      <c r="AZ151" s="89"/>
      <c r="BA151" s="89"/>
      <c r="BB151" s="89"/>
      <c r="BC151" s="89"/>
    </row>
    <row r="152">
      <c r="A152" s="89"/>
      <c r="B152" s="89"/>
      <c r="C152" s="89"/>
      <c r="D152" s="89"/>
      <c r="E152" s="89"/>
      <c r="F152" s="89"/>
      <c r="G152" s="89"/>
      <c r="H152" s="89"/>
      <c r="I152" s="89"/>
      <c r="J152" s="89"/>
      <c r="K152" s="89"/>
      <c r="L152" s="89"/>
      <c r="M152" s="89"/>
      <c r="N152" s="89"/>
      <c r="O152" s="89"/>
      <c r="P152" s="89"/>
      <c r="Q152" s="89"/>
      <c r="R152" s="89"/>
      <c r="S152" s="89"/>
      <c r="T152" s="89"/>
      <c r="U152" s="89"/>
      <c r="V152" s="89"/>
      <c r="W152" s="89"/>
      <c r="X152" s="89"/>
      <c r="Y152" s="89"/>
      <c r="Z152" s="89"/>
      <c r="AA152" s="89"/>
      <c r="AB152" s="89"/>
      <c r="AC152" s="89"/>
      <c r="AD152" s="89"/>
      <c r="AE152" s="89"/>
      <c r="AF152" s="89"/>
      <c r="AG152" s="89"/>
      <c r="AH152" s="89"/>
      <c r="AI152" s="89"/>
      <c r="AJ152" s="89"/>
      <c r="AK152" s="89"/>
      <c r="AL152" s="89"/>
      <c r="AM152" s="89"/>
      <c r="AN152" s="89"/>
      <c r="AO152" s="89"/>
      <c r="AP152" s="89"/>
      <c r="AQ152" s="89"/>
      <c r="AR152" s="89"/>
      <c r="AS152" s="89"/>
      <c r="AT152" s="89"/>
      <c r="AU152" s="89"/>
      <c r="AV152" s="89"/>
      <c r="AW152" s="89"/>
      <c r="AX152" s="89"/>
      <c r="AY152" s="89"/>
      <c r="AZ152" s="89"/>
      <c r="BA152" s="89"/>
      <c r="BB152" s="89"/>
      <c r="BC152" s="89"/>
    </row>
    <row r="153">
      <c r="A153" s="89"/>
      <c r="B153" s="89"/>
      <c r="C153" s="89"/>
      <c r="D153" s="89"/>
      <c r="E153" s="89"/>
      <c r="F153" s="89"/>
      <c r="G153" s="89"/>
      <c r="H153" s="89"/>
      <c r="I153" s="89"/>
      <c r="J153" s="89"/>
      <c r="K153" s="89"/>
      <c r="L153" s="89"/>
      <c r="M153" s="89"/>
      <c r="N153" s="89"/>
      <c r="O153" s="89"/>
      <c r="P153" s="89"/>
      <c r="Q153" s="89"/>
      <c r="R153" s="89"/>
      <c r="S153" s="89"/>
      <c r="T153" s="89"/>
      <c r="U153" s="89"/>
      <c r="V153" s="89"/>
      <c r="W153" s="89"/>
      <c r="X153" s="89"/>
      <c r="Y153" s="89"/>
      <c r="Z153" s="89"/>
      <c r="AA153" s="89"/>
      <c r="AB153" s="89"/>
      <c r="AC153" s="89"/>
      <c r="AD153" s="89"/>
      <c r="AE153" s="89"/>
      <c r="AF153" s="89"/>
      <c r="AG153" s="89"/>
      <c r="AH153" s="89"/>
      <c r="AI153" s="89"/>
      <c r="AJ153" s="89"/>
      <c r="AK153" s="89"/>
      <c r="AL153" s="89"/>
      <c r="AM153" s="89"/>
      <c r="AN153" s="89"/>
      <c r="AO153" s="89"/>
      <c r="AP153" s="89"/>
      <c r="AQ153" s="89"/>
      <c r="AR153" s="89"/>
      <c r="AS153" s="89"/>
      <c r="AT153" s="89"/>
      <c r="AU153" s="89"/>
      <c r="AV153" s="89"/>
      <c r="AW153" s="89"/>
      <c r="AX153" s="89"/>
      <c r="AY153" s="89"/>
      <c r="AZ153" s="89"/>
      <c r="BA153" s="89"/>
      <c r="BB153" s="89"/>
      <c r="BC153" s="89"/>
    </row>
    <row r="154">
      <c r="A154" s="89"/>
      <c r="B154" s="89"/>
      <c r="C154" s="89"/>
      <c r="D154" s="89"/>
      <c r="E154" s="89"/>
      <c r="F154" s="89"/>
      <c r="G154" s="89"/>
      <c r="H154" s="89"/>
      <c r="I154" s="89"/>
      <c r="J154" s="89"/>
      <c r="K154" s="89"/>
      <c r="L154" s="89"/>
      <c r="M154" s="89"/>
      <c r="N154" s="89"/>
      <c r="O154" s="89"/>
      <c r="P154" s="89"/>
      <c r="Q154" s="89"/>
      <c r="R154" s="89"/>
      <c r="S154" s="89"/>
      <c r="T154" s="89"/>
      <c r="U154" s="89"/>
      <c r="V154" s="89"/>
      <c r="W154" s="89"/>
      <c r="X154" s="89"/>
      <c r="Y154" s="89"/>
      <c r="Z154" s="89"/>
      <c r="AA154" s="89"/>
      <c r="AB154" s="89"/>
      <c r="AC154" s="89"/>
      <c r="AD154" s="89"/>
      <c r="AE154" s="89"/>
      <c r="AF154" s="89"/>
      <c r="AG154" s="89"/>
      <c r="AH154" s="89"/>
      <c r="AI154" s="89"/>
      <c r="AJ154" s="89"/>
      <c r="AK154" s="89"/>
      <c r="AL154" s="89"/>
      <c r="AM154" s="89"/>
      <c r="AN154" s="89"/>
      <c r="AO154" s="89"/>
      <c r="AP154" s="89"/>
      <c r="AQ154" s="89"/>
      <c r="AR154" s="89"/>
      <c r="AS154" s="89"/>
      <c r="AT154" s="89"/>
      <c r="AU154" s="89"/>
      <c r="AV154" s="89"/>
      <c r="AW154" s="89"/>
      <c r="AX154" s="89"/>
      <c r="AY154" s="89"/>
      <c r="AZ154" s="89"/>
      <c r="BA154" s="89"/>
      <c r="BB154" s="89"/>
      <c r="BC154" s="89"/>
    </row>
    <row r="155">
      <c r="A155" s="89"/>
      <c r="B155" s="89"/>
      <c r="C155" s="89"/>
      <c r="D155" s="89"/>
      <c r="E155" s="89"/>
      <c r="F155" s="89"/>
      <c r="G155" s="89"/>
      <c r="H155" s="89"/>
      <c r="I155" s="89"/>
      <c r="J155" s="89"/>
      <c r="K155" s="89"/>
      <c r="L155" s="89"/>
      <c r="M155" s="89"/>
      <c r="N155" s="89"/>
      <c r="O155" s="89"/>
      <c r="P155" s="89"/>
      <c r="Q155" s="89"/>
      <c r="R155" s="89"/>
      <c r="S155" s="89"/>
      <c r="T155" s="89"/>
      <c r="U155" s="89"/>
      <c r="V155" s="89"/>
      <c r="W155" s="89"/>
      <c r="X155" s="89"/>
      <c r="Y155" s="89"/>
      <c r="Z155" s="89"/>
      <c r="AA155" s="89"/>
      <c r="AB155" s="89"/>
      <c r="AC155" s="89"/>
      <c r="AD155" s="89"/>
      <c r="AE155" s="89"/>
      <c r="AF155" s="89"/>
      <c r="AG155" s="89"/>
      <c r="AH155" s="89"/>
      <c r="AI155" s="89"/>
      <c r="AJ155" s="89"/>
      <c r="AK155" s="89"/>
      <c r="AL155" s="89"/>
      <c r="AM155" s="89"/>
      <c r="AN155" s="89"/>
      <c r="AO155" s="89"/>
      <c r="AP155" s="89"/>
      <c r="AQ155" s="89"/>
      <c r="AR155" s="89"/>
      <c r="AS155" s="89"/>
      <c r="AT155" s="89"/>
      <c r="AU155" s="89"/>
      <c r="AV155" s="89"/>
      <c r="AW155" s="89"/>
      <c r="AX155" s="89"/>
      <c r="AY155" s="89"/>
      <c r="AZ155" s="89"/>
      <c r="BA155" s="89"/>
      <c r="BB155" s="89"/>
      <c r="BC155" s="89"/>
    </row>
    <row r="156">
      <c r="A156" s="89"/>
      <c r="B156" s="89"/>
      <c r="C156" s="89"/>
      <c r="D156" s="89"/>
      <c r="E156" s="89"/>
      <c r="F156" s="89"/>
      <c r="G156" s="89"/>
      <c r="H156" s="89"/>
      <c r="I156" s="89"/>
      <c r="J156" s="89"/>
      <c r="K156" s="89"/>
      <c r="L156" s="89"/>
      <c r="M156" s="89"/>
      <c r="N156" s="89"/>
      <c r="O156" s="89"/>
      <c r="P156" s="89"/>
      <c r="Q156" s="89"/>
      <c r="R156" s="89"/>
      <c r="S156" s="89"/>
      <c r="T156" s="89"/>
      <c r="U156" s="89"/>
      <c r="V156" s="89"/>
      <c r="W156" s="89"/>
      <c r="X156" s="89"/>
      <c r="Y156" s="89"/>
      <c r="Z156" s="89"/>
      <c r="AA156" s="89"/>
      <c r="AB156" s="89"/>
      <c r="AC156" s="89"/>
      <c r="AD156" s="89"/>
      <c r="AE156" s="89"/>
      <c r="AF156" s="89"/>
      <c r="AG156" s="89"/>
      <c r="AH156" s="89"/>
      <c r="AI156" s="89"/>
      <c r="AJ156" s="89"/>
      <c r="AK156" s="89"/>
      <c r="AL156" s="89"/>
      <c r="AM156" s="89"/>
      <c r="AN156" s="89"/>
      <c r="AO156" s="89"/>
      <c r="AP156" s="89"/>
      <c r="AQ156" s="89"/>
      <c r="AR156" s="89"/>
      <c r="AS156" s="89"/>
      <c r="AT156" s="89"/>
      <c r="AU156" s="89"/>
      <c r="AV156" s="89"/>
      <c r="AW156" s="89"/>
      <c r="AX156" s="89"/>
      <c r="AY156" s="89"/>
      <c r="AZ156" s="89"/>
      <c r="BA156" s="89"/>
      <c r="BB156" s="89"/>
      <c r="BC156" s="89"/>
    </row>
    <row r="157">
      <c r="A157" s="89"/>
      <c r="B157" s="89"/>
      <c r="C157" s="89"/>
      <c r="D157" s="89"/>
      <c r="E157" s="89"/>
      <c r="F157" s="89"/>
      <c r="G157" s="89"/>
      <c r="H157" s="89"/>
      <c r="I157" s="89"/>
      <c r="J157" s="89"/>
      <c r="K157" s="89"/>
      <c r="L157" s="89"/>
      <c r="M157" s="89"/>
      <c r="N157" s="89"/>
      <c r="O157" s="89"/>
      <c r="P157" s="89"/>
      <c r="Q157" s="89"/>
      <c r="R157" s="89"/>
      <c r="S157" s="89"/>
      <c r="T157" s="89"/>
      <c r="U157" s="89"/>
      <c r="V157" s="89"/>
      <c r="W157" s="89"/>
      <c r="X157" s="89"/>
      <c r="Y157" s="89"/>
      <c r="Z157" s="89"/>
      <c r="AA157" s="89"/>
      <c r="AB157" s="89"/>
      <c r="AC157" s="89"/>
      <c r="AD157" s="89"/>
      <c r="AE157" s="89"/>
      <c r="AF157" s="89"/>
      <c r="AG157" s="89"/>
      <c r="AH157" s="89"/>
      <c r="AI157" s="89"/>
      <c r="AJ157" s="89"/>
      <c r="AK157" s="89"/>
      <c r="AL157" s="89"/>
      <c r="AM157" s="89"/>
      <c r="AN157" s="89"/>
      <c r="AO157" s="89"/>
      <c r="AP157" s="89"/>
      <c r="AQ157" s="89"/>
      <c r="AR157" s="89"/>
      <c r="AS157" s="89"/>
      <c r="AT157" s="89"/>
      <c r="AU157" s="89"/>
      <c r="AV157" s="89"/>
      <c r="AW157" s="89"/>
      <c r="AX157" s="89"/>
      <c r="AY157" s="89"/>
      <c r="AZ157" s="89"/>
      <c r="BA157" s="89"/>
      <c r="BB157" s="89"/>
      <c r="BC157" s="89"/>
    </row>
    <row r="158">
      <c r="A158" s="89"/>
      <c r="B158" s="89"/>
      <c r="C158" s="89"/>
      <c r="D158" s="89"/>
      <c r="E158" s="89"/>
      <c r="F158" s="89"/>
      <c r="G158" s="89"/>
      <c r="H158" s="89"/>
      <c r="I158" s="89"/>
      <c r="J158" s="89"/>
      <c r="K158" s="89"/>
      <c r="L158" s="89"/>
      <c r="M158" s="89"/>
      <c r="N158" s="89"/>
      <c r="O158" s="89"/>
      <c r="P158" s="89"/>
      <c r="Q158" s="89"/>
      <c r="R158" s="89"/>
      <c r="S158" s="89"/>
      <c r="T158" s="89"/>
      <c r="U158" s="89"/>
      <c r="V158" s="89"/>
      <c r="W158" s="89"/>
      <c r="X158" s="89"/>
      <c r="Y158" s="89"/>
      <c r="Z158" s="89"/>
      <c r="AA158" s="89"/>
      <c r="AB158" s="89"/>
      <c r="AC158" s="89"/>
      <c r="AD158" s="89"/>
      <c r="AE158" s="89"/>
      <c r="AF158" s="89"/>
      <c r="AG158" s="89"/>
      <c r="AH158" s="89"/>
      <c r="AI158" s="89"/>
      <c r="AJ158" s="89"/>
      <c r="AK158" s="89"/>
      <c r="AL158" s="89"/>
      <c r="AM158" s="89"/>
      <c r="AN158" s="89"/>
      <c r="AO158" s="89"/>
      <c r="AP158" s="89"/>
      <c r="AQ158" s="89"/>
      <c r="AR158" s="89"/>
      <c r="AS158" s="89"/>
      <c r="AT158" s="89"/>
      <c r="AU158" s="89"/>
      <c r="AV158" s="89"/>
      <c r="AW158" s="89"/>
      <c r="AX158" s="89"/>
      <c r="AY158" s="89"/>
      <c r="AZ158" s="89"/>
      <c r="BA158" s="89"/>
      <c r="BB158" s="89"/>
      <c r="BC158" s="89"/>
    </row>
    <row r="159">
      <c r="A159" s="89"/>
      <c r="B159" s="89"/>
      <c r="C159" s="89"/>
      <c r="D159" s="89"/>
      <c r="E159" s="89"/>
      <c r="F159" s="89"/>
      <c r="G159" s="89"/>
      <c r="H159" s="89"/>
      <c r="I159" s="89"/>
      <c r="J159" s="89"/>
      <c r="K159" s="89"/>
      <c r="L159" s="89"/>
      <c r="M159" s="89"/>
      <c r="N159" s="89"/>
      <c r="O159" s="89"/>
      <c r="P159" s="89"/>
      <c r="Q159" s="89"/>
      <c r="R159" s="89"/>
      <c r="S159" s="89"/>
      <c r="T159" s="89"/>
      <c r="U159" s="89"/>
      <c r="V159" s="89"/>
      <c r="W159" s="89"/>
      <c r="X159" s="89"/>
      <c r="Y159" s="89"/>
      <c r="Z159" s="89"/>
      <c r="AA159" s="89"/>
      <c r="AB159" s="89"/>
      <c r="AC159" s="89"/>
      <c r="AD159" s="89"/>
      <c r="AE159" s="89"/>
      <c r="AF159" s="89"/>
      <c r="AG159" s="89"/>
      <c r="AH159" s="89"/>
      <c r="AI159" s="89"/>
      <c r="AJ159" s="89"/>
      <c r="AK159" s="89"/>
      <c r="AL159" s="89"/>
      <c r="AM159" s="89"/>
      <c r="AN159" s="89"/>
      <c r="AO159" s="89"/>
      <c r="AP159" s="89"/>
      <c r="AQ159" s="89"/>
      <c r="AR159" s="89"/>
      <c r="AS159" s="89"/>
      <c r="AT159" s="89"/>
      <c r="AU159" s="89"/>
      <c r="AV159" s="89"/>
      <c r="AW159" s="89"/>
      <c r="AX159" s="89"/>
      <c r="AY159" s="89"/>
      <c r="AZ159" s="89"/>
      <c r="BA159" s="89"/>
      <c r="BB159" s="89"/>
      <c r="BC159" s="89"/>
    </row>
    <row r="160">
      <c r="A160" s="89"/>
      <c r="B160" s="89"/>
      <c r="C160" s="89"/>
      <c r="D160" s="89"/>
      <c r="E160" s="89"/>
      <c r="F160" s="89"/>
      <c r="G160" s="89"/>
      <c r="H160" s="89"/>
      <c r="I160" s="89"/>
      <c r="J160" s="89"/>
      <c r="K160" s="89"/>
      <c r="L160" s="89"/>
      <c r="M160" s="89"/>
      <c r="N160" s="89"/>
      <c r="O160" s="89"/>
      <c r="P160" s="89"/>
      <c r="Q160" s="89"/>
      <c r="R160" s="89"/>
      <c r="S160" s="89"/>
      <c r="T160" s="89"/>
      <c r="U160" s="89"/>
      <c r="V160" s="89"/>
      <c r="W160" s="89"/>
      <c r="X160" s="89"/>
      <c r="Y160" s="89"/>
      <c r="Z160" s="89"/>
      <c r="AA160" s="89"/>
      <c r="AB160" s="89"/>
      <c r="AC160" s="89"/>
      <c r="AD160" s="89"/>
      <c r="AE160" s="89"/>
      <c r="AF160" s="89"/>
      <c r="AG160" s="89"/>
      <c r="AH160" s="89"/>
      <c r="AI160" s="89"/>
      <c r="AJ160" s="89"/>
      <c r="AK160" s="89"/>
      <c r="AL160" s="89"/>
      <c r="AM160" s="89"/>
      <c r="AN160" s="89"/>
      <c r="AO160" s="89"/>
      <c r="AP160" s="89"/>
      <c r="AQ160" s="89"/>
      <c r="AR160" s="89"/>
      <c r="AS160" s="89"/>
      <c r="AT160" s="89"/>
      <c r="AU160" s="89"/>
      <c r="AV160" s="89"/>
      <c r="AW160" s="89"/>
      <c r="AX160" s="89"/>
      <c r="AY160" s="89"/>
      <c r="AZ160" s="89"/>
      <c r="BA160" s="89"/>
      <c r="BB160" s="89"/>
      <c r="BC160" s="89"/>
    </row>
    <row r="161">
      <c r="A161" s="89"/>
      <c r="B161" s="89"/>
      <c r="C161" s="89"/>
      <c r="D161" s="89"/>
      <c r="E161" s="89"/>
      <c r="F161" s="89"/>
      <c r="G161" s="89"/>
      <c r="H161" s="89"/>
      <c r="I161" s="89"/>
      <c r="J161" s="89"/>
      <c r="K161" s="89"/>
      <c r="L161" s="89"/>
      <c r="M161" s="89"/>
      <c r="N161" s="89"/>
      <c r="O161" s="89"/>
      <c r="P161" s="89"/>
      <c r="Q161" s="89"/>
      <c r="R161" s="89"/>
      <c r="S161" s="89"/>
      <c r="T161" s="89"/>
      <c r="U161" s="89"/>
      <c r="V161" s="89"/>
      <c r="W161" s="89"/>
      <c r="X161" s="89"/>
      <c r="Y161" s="89"/>
      <c r="Z161" s="89"/>
      <c r="AA161" s="89"/>
      <c r="AB161" s="89"/>
      <c r="AC161" s="89"/>
      <c r="AD161" s="89"/>
      <c r="AE161" s="89"/>
      <c r="AF161" s="89"/>
      <c r="AG161" s="89"/>
      <c r="AH161" s="89"/>
      <c r="AI161" s="89"/>
      <c r="AJ161" s="89"/>
      <c r="AK161" s="89"/>
      <c r="AL161" s="89"/>
      <c r="AM161" s="89"/>
      <c r="AN161" s="89"/>
      <c r="AO161" s="89"/>
      <c r="AP161" s="89"/>
      <c r="AQ161" s="89"/>
      <c r="AR161" s="89"/>
      <c r="AS161" s="89"/>
      <c r="AT161" s="89"/>
      <c r="AU161" s="89"/>
      <c r="AV161" s="89"/>
      <c r="AW161" s="89"/>
      <c r="AX161" s="89"/>
      <c r="AY161" s="89"/>
      <c r="AZ161" s="89"/>
      <c r="BA161" s="89"/>
      <c r="BB161" s="89"/>
      <c r="BC161" s="89"/>
    </row>
    <row r="162">
      <c r="A162" s="89"/>
      <c r="B162" s="89"/>
      <c r="C162" s="89"/>
      <c r="D162" s="89"/>
      <c r="E162" s="89"/>
      <c r="F162" s="89"/>
      <c r="G162" s="89"/>
      <c r="H162" s="89"/>
      <c r="I162" s="89"/>
      <c r="J162" s="89"/>
      <c r="K162" s="89"/>
      <c r="L162" s="89"/>
      <c r="M162" s="89"/>
      <c r="N162" s="89"/>
      <c r="O162" s="89"/>
      <c r="P162" s="89"/>
      <c r="Q162" s="89"/>
      <c r="R162" s="89"/>
      <c r="S162" s="89"/>
      <c r="T162" s="89"/>
      <c r="U162" s="89"/>
      <c r="V162" s="89"/>
      <c r="W162" s="89"/>
      <c r="X162" s="89"/>
      <c r="Y162" s="89"/>
      <c r="Z162" s="89"/>
      <c r="AA162" s="89"/>
      <c r="AB162" s="89"/>
      <c r="AC162" s="89"/>
      <c r="AD162" s="89"/>
      <c r="AE162" s="89"/>
      <c r="AF162" s="89"/>
      <c r="AG162" s="89"/>
      <c r="AH162" s="89"/>
      <c r="AI162" s="89"/>
      <c r="AJ162" s="89"/>
      <c r="AK162" s="89"/>
      <c r="AL162" s="89"/>
      <c r="AM162" s="89"/>
      <c r="AN162" s="89"/>
      <c r="AO162" s="89"/>
      <c r="AP162" s="89"/>
      <c r="AQ162" s="89"/>
      <c r="AR162" s="89"/>
      <c r="AS162" s="89"/>
      <c r="AT162" s="89"/>
      <c r="AU162" s="89"/>
      <c r="AV162" s="89"/>
      <c r="AW162" s="89"/>
      <c r="AX162" s="89"/>
      <c r="AY162" s="89"/>
      <c r="AZ162" s="89"/>
      <c r="BA162" s="89"/>
      <c r="BB162" s="89"/>
      <c r="BC162" s="89"/>
    </row>
    <row r="163">
      <c r="A163" s="89"/>
      <c r="B163" s="89"/>
      <c r="C163" s="89"/>
      <c r="D163" s="89"/>
      <c r="E163" s="89"/>
      <c r="F163" s="89"/>
      <c r="G163" s="89"/>
      <c r="H163" s="89"/>
      <c r="I163" s="89"/>
      <c r="J163" s="89"/>
      <c r="K163" s="89"/>
      <c r="L163" s="89"/>
      <c r="M163" s="89"/>
      <c r="N163" s="89"/>
      <c r="O163" s="89"/>
      <c r="P163" s="89"/>
      <c r="Q163" s="89"/>
      <c r="R163" s="89"/>
      <c r="S163" s="89"/>
      <c r="T163" s="89"/>
      <c r="U163" s="89"/>
      <c r="V163" s="89"/>
      <c r="W163" s="89"/>
      <c r="X163" s="89"/>
      <c r="Y163" s="89"/>
      <c r="Z163" s="89"/>
      <c r="AA163" s="89"/>
      <c r="AB163" s="89"/>
      <c r="AC163" s="89"/>
      <c r="AD163" s="89"/>
      <c r="AE163" s="89"/>
      <c r="AF163" s="89"/>
      <c r="AG163" s="89"/>
      <c r="AH163" s="89"/>
      <c r="AI163" s="89"/>
      <c r="AJ163" s="89"/>
      <c r="AK163" s="89"/>
      <c r="AL163" s="89"/>
      <c r="AM163" s="89"/>
      <c r="AN163" s="89"/>
      <c r="AO163" s="89"/>
      <c r="AP163" s="89"/>
      <c r="AQ163" s="89"/>
      <c r="AR163" s="89"/>
      <c r="AS163" s="89"/>
      <c r="AT163" s="89"/>
      <c r="AU163" s="89"/>
      <c r="AV163" s="89"/>
      <c r="AW163" s="89"/>
      <c r="AX163" s="89"/>
      <c r="AY163" s="89"/>
      <c r="AZ163" s="89"/>
      <c r="BA163" s="89"/>
      <c r="BB163" s="89"/>
      <c r="BC163" s="89"/>
    </row>
    <row r="164">
      <c r="A164" s="89"/>
      <c r="B164" s="89"/>
      <c r="C164" s="89"/>
      <c r="D164" s="89"/>
      <c r="E164" s="89"/>
      <c r="F164" s="89"/>
      <c r="G164" s="89"/>
      <c r="H164" s="89"/>
      <c r="I164" s="89"/>
      <c r="J164" s="89"/>
      <c r="K164" s="89"/>
      <c r="L164" s="89"/>
      <c r="M164" s="89"/>
      <c r="N164" s="89"/>
      <c r="O164" s="89"/>
      <c r="P164" s="89"/>
      <c r="Q164" s="89"/>
      <c r="R164" s="89"/>
      <c r="S164" s="89"/>
      <c r="T164" s="89"/>
      <c r="U164" s="89"/>
      <c r="V164" s="89"/>
      <c r="W164" s="89"/>
      <c r="X164" s="89"/>
      <c r="Y164" s="89"/>
      <c r="Z164" s="89"/>
      <c r="AA164" s="89"/>
      <c r="AB164" s="89"/>
      <c r="AC164" s="89"/>
      <c r="AD164" s="89"/>
      <c r="AE164" s="89"/>
      <c r="AF164" s="89"/>
      <c r="AG164" s="89"/>
      <c r="AH164" s="89"/>
      <c r="AI164" s="89"/>
      <c r="AJ164" s="89"/>
      <c r="AK164" s="89"/>
      <c r="AL164" s="89"/>
      <c r="AM164" s="89"/>
      <c r="AN164" s="89"/>
      <c r="AO164" s="89"/>
      <c r="AP164" s="89"/>
      <c r="AQ164" s="89"/>
      <c r="AR164" s="89"/>
      <c r="AS164" s="89"/>
      <c r="AT164" s="89"/>
      <c r="AU164" s="89"/>
      <c r="AV164" s="89"/>
      <c r="AW164" s="89"/>
      <c r="AX164" s="89"/>
      <c r="AY164" s="89"/>
      <c r="AZ164" s="89"/>
      <c r="BA164" s="89"/>
      <c r="BB164" s="89"/>
      <c r="BC164" s="89"/>
    </row>
    <row r="165">
      <c r="A165" s="89"/>
      <c r="B165" s="89"/>
      <c r="C165" s="89"/>
      <c r="D165" s="89"/>
      <c r="E165" s="89"/>
      <c r="F165" s="89"/>
      <c r="G165" s="89"/>
      <c r="H165" s="89"/>
      <c r="I165" s="89"/>
      <c r="J165" s="89"/>
      <c r="K165" s="89"/>
      <c r="L165" s="89"/>
      <c r="M165" s="89"/>
      <c r="N165" s="89"/>
      <c r="O165" s="89"/>
      <c r="P165" s="89"/>
      <c r="Q165" s="89"/>
      <c r="R165" s="89"/>
      <c r="S165" s="89"/>
      <c r="T165" s="89"/>
      <c r="U165" s="89"/>
      <c r="V165" s="89"/>
      <c r="W165" s="89"/>
      <c r="X165" s="89"/>
      <c r="Y165" s="89"/>
      <c r="Z165" s="89"/>
      <c r="AA165" s="89"/>
      <c r="AB165" s="89"/>
      <c r="AC165" s="89"/>
      <c r="AD165" s="89"/>
      <c r="AE165" s="89"/>
      <c r="AF165" s="89"/>
      <c r="AG165" s="89"/>
      <c r="AH165" s="89"/>
      <c r="AI165" s="89"/>
      <c r="AJ165" s="89"/>
      <c r="AK165" s="89"/>
      <c r="AL165" s="89"/>
      <c r="AM165" s="89"/>
      <c r="AN165" s="89"/>
      <c r="AO165" s="89"/>
      <c r="AP165" s="89"/>
      <c r="AQ165" s="89"/>
      <c r="AR165" s="89"/>
      <c r="AS165" s="89"/>
      <c r="AT165" s="89"/>
      <c r="AU165" s="89"/>
      <c r="AV165" s="89"/>
      <c r="AW165" s="89"/>
      <c r="AX165" s="89"/>
      <c r="AY165" s="89"/>
      <c r="AZ165" s="89"/>
      <c r="BA165" s="89"/>
      <c r="BB165" s="89"/>
      <c r="BC165" s="89"/>
    </row>
    <row r="166">
      <c r="A166" s="89"/>
      <c r="B166" s="89"/>
      <c r="C166" s="89"/>
      <c r="D166" s="89"/>
      <c r="E166" s="89"/>
      <c r="F166" s="89"/>
      <c r="G166" s="89"/>
      <c r="H166" s="89"/>
      <c r="I166" s="89"/>
      <c r="J166" s="89"/>
      <c r="K166" s="89"/>
      <c r="L166" s="89"/>
      <c r="M166" s="89"/>
      <c r="N166" s="89"/>
      <c r="O166" s="89"/>
      <c r="P166" s="89"/>
      <c r="Q166" s="89"/>
      <c r="R166" s="89"/>
      <c r="S166" s="89"/>
      <c r="T166" s="89"/>
      <c r="U166" s="89"/>
      <c r="V166" s="89"/>
      <c r="W166" s="89"/>
      <c r="X166" s="89"/>
      <c r="Y166" s="89"/>
      <c r="Z166" s="89"/>
      <c r="AA166" s="89"/>
      <c r="AB166" s="89"/>
      <c r="AC166" s="89"/>
      <c r="AD166" s="89"/>
      <c r="AE166" s="89"/>
      <c r="AF166" s="89"/>
      <c r="AG166" s="89"/>
      <c r="AH166" s="89"/>
      <c r="AI166" s="89"/>
      <c r="AJ166" s="89"/>
      <c r="AK166" s="89"/>
      <c r="AL166" s="89"/>
      <c r="AM166" s="89"/>
      <c r="AN166" s="89"/>
      <c r="AO166" s="89"/>
      <c r="AP166" s="89"/>
      <c r="AQ166" s="89"/>
      <c r="AR166" s="89"/>
      <c r="AS166" s="89"/>
      <c r="AT166" s="89"/>
      <c r="AU166" s="89"/>
      <c r="AV166" s="89"/>
      <c r="AW166" s="89"/>
      <c r="AX166" s="89"/>
      <c r="AY166" s="89"/>
      <c r="AZ166" s="89"/>
      <c r="BA166" s="89"/>
      <c r="BB166" s="89"/>
      <c r="BC166" s="89"/>
    </row>
    <row r="167">
      <c r="A167" s="89"/>
      <c r="B167" s="89"/>
      <c r="C167" s="89"/>
      <c r="D167" s="89"/>
      <c r="E167" s="89"/>
      <c r="F167" s="89"/>
      <c r="G167" s="89"/>
      <c r="H167" s="89"/>
      <c r="I167" s="89"/>
      <c r="J167" s="89"/>
      <c r="K167" s="89"/>
      <c r="L167" s="89"/>
      <c r="M167" s="89"/>
      <c r="N167" s="89"/>
      <c r="O167" s="89"/>
      <c r="P167" s="89"/>
      <c r="Q167" s="89"/>
      <c r="R167" s="89"/>
      <c r="S167" s="89"/>
      <c r="T167" s="89"/>
      <c r="U167" s="89"/>
      <c r="V167" s="89"/>
      <c r="W167" s="89"/>
      <c r="X167" s="89"/>
      <c r="Y167" s="89"/>
      <c r="Z167" s="89"/>
      <c r="AA167" s="89"/>
      <c r="AB167" s="89"/>
      <c r="AC167" s="89"/>
      <c r="AD167" s="89"/>
      <c r="AE167" s="89"/>
      <c r="AF167" s="89"/>
      <c r="AG167" s="89"/>
      <c r="AH167" s="89"/>
      <c r="AI167" s="89"/>
      <c r="AJ167" s="89"/>
      <c r="AK167" s="89"/>
      <c r="AL167" s="89"/>
      <c r="AM167" s="89"/>
      <c r="AN167" s="89"/>
      <c r="AO167" s="89"/>
      <c r="AP167" s="89"/>
      <c r="AQ167" s="89"/>
      <c r="AR167" s="89"/>
      <c r="AS167" s="89"/>
      <c r="AT167" s="89"/>
      <c r="AU167" s="89"/>
      <c r="AV167" s="89"/>
      <c r="AW167" s="89"/>
      <c r="AX167" s="89"/>
      <c r="AY167" s="89"/>
      <c r="AZ167" s="89"/>
      <c r="BA167" s="89"/>
      <c r="BB167" s="89"/>
      <c r="BC167" s="89"/>
    </row>
    <row r="168">
      <c r="A168" s="89"/>
      <c r="B168" s="89"/>
      <c r="C168" s="89"/>
      <c r="D168" s="89"/>
      <c r="E168" s="89"/>
      <c r="F168" s="89"/>
      <c r="G168" s="89"/>
      <c r="H168" s="89"/>
      <c r="I168" s="89"/>
      <c r="J168" s="89"/>
      <c r="K168" s="89"/>
      <c r="L168" s="89"/>
      <c r="M168" s="89"/>
      <c r="N168" s="89"/>
      <c r="O168" s="89"/>
      <c r="P168" s="89"/>
      <c r="Q168" s="89"/>
      <c r="R168" s="89"/>
      <c r="S168" s="89"/>
      <c r="T168" s="89"/>
      <c r="U168" s="89"/>
      <c r="V168" s="89"/>
      <c r="W168" s="89"/>
      <c r="X168" s="89"/>
      <c r="Y168" s="89"/>
      <c r="Z168" s="89"/>
      <c r="AA168" s="89"/>
      <c r="AB168" s="89"/>
      <c r="AC168" s="89"/>
      <c r="AD168" s="89"/>
      <c r="AE168" s="89"/>
      <c r="AF168" s="89"/>
      <c r="AG168" s="89"/>
      <c r="AH168" s="89"/>
      <c r="AI168" s="89"/>
      <c r="AJ168" s="89"/>
      <c r="AK168" s="89"/>
      <c r="AL168" s="89"/>
      <c r="AM168" s="89"/>
      <c r="AN168" s="89"/>
      <c r="AO168" s="89"/>
      <c r="AP168" s="89"/>
      <c r="AQ168" s="89"/>
      <c r="AR168" s="89"/>
      <c r="AS168" s="89"/>
      <c r="AT168" s="89"/>
      <c r="AU168" s="89"/>
      <c r="AV168" s="89"/>
      <c r="AW168" s="89"/>
      <c r="AX168" s="89"/>
      <c r="AY168" s="89"/>
      <c r="AZ168" s="89"/>
      <c r="BA168" s="89"/>
      <c r="BB168" s="89"/>
      <c r="BC168" s="89"/>
    </row>
    <row r="169">
      <c r="A169" s="89"/>
      <c r="B169" s="89"/>
      <c r="C169" s="89"/>
      <c r="D169" s="89"/>
      <c r="E169" s="89"/>
      <c r="F169" s="89"/>
      <c r="G169" s="89"/>
      <c r="H169" s="89"/>
      <c r="I169" s="89"/>
      <c r="J169" s="89"/>
      <c r="K169" s="89"/>
      <c r="L169" s="89"/>
      <c r="M169" s="89"/>
      <c r="N169" s="89"/>
      <c r="O169" s="89"/>
      <c r="P169" s="89"/>
      <c r="Q169" s="89"/>
      <c r="R169" s="89"/>
      <c r="S169" s="89"/>
      <c r="T169" s="89"/>
      <c r="U169" s="89"/>
      <c r="V169" s="89"/>
      <c r="W169" s="89"/>
      <c r="X169" s="89"/>
      <c r="Y169" s="89"/>
      <c r="Z169" s="89"/>
      <c r="AA169" s="89"/>
      <c r="AB169" s="89"/>
      <c r="AC169" s="89"/>
      <c r="AD169" s="89"/>
      <c r="AE169" s="89"/>
      <c r="AF169" s="89"/>
      <c r="AG169" s="89"/>
      <c r="AH169" s="89"/>
      <c r="AI169" s="89"/>
      <c r="AJ169" s="89"/>
      <c r="AK169" s="89"/>
      <c r="AL169" s="89"/>
      <c r="AM169" s="89"/>
      <c r="AN169" s="89"/>
      <c r="AO169" s="89"/>
      <c r="AP169" s="89"/>
      <c r="AQ169" s="89"/>
      <c r="AR169" s="89"/>
      <c r="AS169" s="89"/>
      <c r="AT169" s="89"/>
      <c r="AU169" s="89"/>
      <c r="AV169" s="89"/>
      <c r="AW169" s="89"/>
      <c r="AX169" s="89"/>
      <c r="AY169" s="89"/>
      <c r="AZ169" s="89"/>
      <c r="BA169" s="89"/>
      <c r="BB169" s="89"/>
      <c r="BC169" s="89"/>
    </row>
    <row r="170">
      <c r="A170" s="89"/>
      <c r="B170" s="89"/>
      <c r="C170" s="89"/>
      <c r="D170" s="89"/>
      <c r="E170" s="89"/>
      <c r="F170" s="89"/>
      <c r="G170" s="89"/>
      <c r="H170" s="89"/>
      <c r="I170" s="89"/>
      <c r="J170" s="89"/>
      <c r="K170" s="89"/>
      <c r="L170" s="89"/>
      <c r="M170" s="89"/>
      <c r="N170" s="89"/>
      <c r="O170" s="89"/>
      <c r="P170" s="89"/>
      <c r="Q170" s="89"/>
      <c r="R170" s="89"/>
      <c r="S170" s="89"/>
      <c r="T170" s="89"/>
      <c r="U170" s="89"/>
      <c r="V170" s="89"/>
      <c r="W170" s="89"/>
      <c r="X170" s="89"/>
      <c r="Y170" s="89"/>
      <c r="Z170" s="89"/>
      <c r="AA170" s="89"/>
      <c r="AB170" s="89"/>
      <c r="AC170" s="89"/>
      <c r="AD170" s="89"/>
      <c r="AE170" s="89"/>
      <c r="AF170" s="89"/>
      <c r="AG170" s="89"/>
      <c r="AH170" s="89"/>
      <c r="AI170" s="89"/>
      <c r="AJ170" s="89"/>
      <c r="AK170" s="89"/>
      <c r="AL170" s="89"/>
      <c r="AM170" s="89"/>
      <c r="AN170" s="89"/>
      <c r="AO170" s="89"/>
      <c r="AP170" s="89"/>
      <c r="AQ170" s="89"/>
      <c r="AR170" s="89"/>
      <c r="AS170" s="89"/>
      <c r="AT170" s="89"/>
      <c r="AU170" s="89"/>
      <c r="AV170" s="89"/>
      <c r="AW170" s="89"/>
      <c r="AX170" s="89"/>
      <c r="AY170" s="89"/>
      <c r="AZ170" s="89"/>
      <c r="BA170" s="89"/>
      <c r="BB170" s="89"/>
      <c r="BC170" s="89"/>
    </row>
    <row r="171">
      <c r="A171" s="89"/>
      <c r="B171" s="89"/>
      <c r="C171" s="89"/>
      <c r="D171" s="89"/>
      <c r="E171" s="89"/>
      <c r="F171" s="89"/>
      <c r="G171" s="89"/>
      <c r="H171" s="89"/>
      <c r="I171" s="89"/>
      <c r="J171" s="89"/>
      <c r="K171" s="89"/>
      <c r="L171" s="89"/>
      <c r="M171" s="89"/>
      <c r="N171" s="89"/>
      <c r="O171" s="89"/>
      <c r="P171" s="89"/>
      <c r="Q171" s="89"/>
      <c r="R171" s="89"/>
      <c r="S171" s="89"/>
      <c r="T171" s="89"/>
      <c r="U171" s="89"/>
      <c r="V171" s="89"/>
      <c r="W171" s="89"/>
      <c r="X171" s="89"/>
      <c r="Y171" s="89"/>
      <c r="Z171" s="89"/>
      <c r="AA171" s="89"/>
      <c r="AB171" s="89"/>
      <c r="AC171" s="89"/>
      <c r="AD171" s="89"/>
      <c r="AE171" s="89"/>
      <c r="AF171" s="89"/>
      <c r="AG171" s="89"/>
      <c r="AH171" s="89"/>
      <c r="AI171" s="89"/>
      <c r="AJ171" s="89"/>
      <c r="AK171" s="89"/>
      <c r="AL171" s="89"/>
      <c r="AM171" s="89"/>
      <c r="AN171" s="89"/>
      <c r="AO171" s="89"/>
      <c r="AP171" s="89"/>
      <c r="AQ171" s="89"/>
      <c r="AR171" s="89"/>
      <c r="AS171" s="89"/>
      <c r="AT171" s="89"/>
      <c r="AU171" s="89"/>
      <c r="AV171" s="89"/>
      <c r="AW171" s="89"/>
      <c r="AX171" s="89"/>
      <c r="AY171" s="89"/>
      <c r="AZ171" s="89"/>
      <c r="BA171" s="89"/>
      <c r="BB171" s="89"/>
      <c r="BC171" s="89"/>
    </row>
    <row r="172">
      <c r="A172" s="89"/>
      <c r="B172" s="89"/>
      <c r="C172" s="89"/>
      <c r="D172" s="89"/>
      <c r="E172" s="89"/>
      <c r="F172" s="89"/>
      <c r="G172" s="89"/>
      <c r="H172" s="89"/>
      <c r="I172" s="89"/>
      <c r="J172" s="89"/>
      <c r="K172" s="89"/>
      <c r="L172" s="89"/>
      <c r="M172" s="89"/>
      <c r="N172" s="89"/>
      <c r="O172" s="89"/>
      <c r="P172" s="89"/>
      <c r="Q172" s="89"/>
      <c r="R172" s="89"/>
      <c r="S172" s="89"/>
      <c r="T172" s="89"/>
      <c r="U172" s="89"/>
      <c r="V172" s="89"/>
      <c r="W172" s="89"/>
      <c r="X172" s="89"/>
      <c r="Y172" s="89"/>
      <c r="Z172" s="89"/>
      <c r="AA172" s="89"/>
      <c r="AB172" s="89"/>
      <c r="AC172" s="89"/>
      <c r="AD172" s="89"/>
      <c r="AE172" s="89"/>
      <c r="AF172" s="89"/>
      <c r="AG172" s="89"/>
      <c r="AH172" s="89"/>
      <c r="AI172" s="89"/>
      <c r="AJ172" s="89"/>
      <c r="AK172" s="89"/>
      <c r="AL172" s="89"/>
      <c r="AM172" s="89"/>
      <c r="AN172" s="89"/>
      <c r="AO172" s="89"/>
      <c r="AP172" s="89"/>
      <c r="AQ172" s="89"/>
      <c r="AR172" s="89"/>
      <c r="AS172" s="89"/>
      <c r="AT172" s="89"/>
      <c r="AU172" s="89"/>
      <c r="AV172" s="89"/>
      <c r="AW172" s="89"/>
      <c r="AX172" s="89"/>
      <c r="AY172" s="89"/>
      <c r="AZ172" s="89"/>
      <c r="BA172" s="89"/>
      <c r="BB172" s="89"/>
      <c r="BC172" s="89"/>
    </row>
    <row r="173">
      <c r="A173" s="89"/>
      <c r="B173" s="89"/>
      <c r="C173" s="89"/>
      <c r="D173" s="89"/>
      <c r="E173" s="89"/>
      <c r="F173" s="89"/>
      <c r="G173" s="89"/>
      <c r="H173" s="89"/>
      <c r="I173" s="89"/>
      <c r="J173" s="89"/>
      <c r="K173" s="89"/>
      <c r="L173" s="89"/>
      <c r="M173" s="89"/>
      <c r="N173" s="89"/>
      <c r="O173" s="89"/>
      <c r="P173" s="89"/>
      <c r="Q173" s="89"/>
      <c r="R173" s="89"/>
      <c r="S173" s="89"/>
      <c r="T173" s="89"/>
      <c r="U173" s="89"/>
      <c r="V173" s="89"/>
      <c r="W173" s="89"/>
      <c r="X173" s="89"/>
      <c r="Y173" s="89"/>
      <c r="Z173" s="89"/>
      <c r="AA173" s="89"/>
      <c r="AB173" s="89"/>
      <c r="AC173" s="89"/>
      <c r="AD173" s="89"/>
      <c r="AE173" s="89"/>
      <c r="AF173" s="89"/>
      <c r="AG173" s="89"/>
      <c r="AH173" s="89"/>
      <c r="AI173" s="89"/>
      <c r="AJ173" s="89"/>
      <c r="AK173" s="89"/>
      <c r="AL173" s="89"/>
      <c r="AM173" s="89"/>
      <c r="AN173" s="89"/>
      <c r="AO173" s="89"/>
      <c r="AP173" s="89"/>
      <c r="AQ173" s="89"/>
      <c r="AR173" s="89"/>
      <c r="AS173" s="89"/>
      <c r="AT173" s="89"/>
      <c r="AU173" s="89"/>
      <c r="AV173" s="89"/>
      <c r="AW173" s="89"/>
      <c r="AX173" s="89"/>
      <c r="AY173" s="89"/>
      <c r="AZ173" s="89"/>
      <c r="BA173" s="89"/>
      <c r="BB173" s="89"/>
      <c r="BC173" s="89"/>
    </row>
    <row r="174">
      <c r="A174" s="89"/>
      <c r="B174" s="89"/>
      <c r="C174" s="89"/>
      <c r="D174" s="89"/>
      <c r="E174" s="89"/>
      <c r="F174" s="89"/>
      <c r="G174" s="89"/>
      <c r="H174" s="89"/>
      <c r="I174" s="89"/>
      <c r="J174" s="89"/>
      <c r="K174" s="89"/>
      <c r="L174" s="89"/>
      <c r="M174" s="89"/>
      <c r="N174" s="89"/>
      <c r="O174" s="89"/>
      <c r="P174" s="89"/>
      <c r="Q174" s="89"/>
      <c r="R174" s="89"/>
      <c r="S174" s="89"/>
      <c r="T174" s="89"/>
      <c r="U174" s="89"/>
      <c r="V174" s="89"/>
      <c r="W174" s="89"/>
      <c r="X174" s="89"/>
      <c r="Y174" s="89"/>
      <c r="Z174" s="89"/>
      <c r="AA174" s="89"/>
      <c r="AB174" s="89"/>
      <c r="AC174" s="89"/>
      <c r="AD174" s="89"/>
      <c r="AE174" s="89"/>
      <c r="AF174" s="89"/>
      <c r="AG174" s="89"/>
      <c r="AH174" s="89"/>
      <c r="AI174" s="89"/>
      <c r="AJ174" s="89"/>
      <c r="AK174" s="89"/>
      <c r="AL174" s="89"/>
      <c r="AM174" s="89"/>
      <c r="AN174" s="89"/>
      <c r="AO174" s="89"/>
      <c r="AP174" s="89"/>
      <c r="AQ174" s="89"/>
      <c r="AR174" s="89"/>
      <c r="AS174" s="89"/>
      <c r="AT174" s="89"/>
      <c r="AU174" s="89"/>
      <c r="AV174" s="89"/>
      <c r="AW174" s="89"/>
      <c r="AX174" s="89"/>
      <c r="AY174" s="89"/>
      <c r="AZ174" s="89"/>
      <c r="BA174" s="89"/>
      <c r="BB174" s="89"/>
      <c r="BC174" s="89"/>
    </row>
    <row r="175">
      <c r="A175" s="89"/>
      <c r="B175" s="89"/>
      <c r="C175" s="89"/>
      <c r="D175" s="89"/>
      <c r="E175" s="89"/>
      <c r="F175" s="89"/>
      <c r="G175" s="89"/>
      <c r="H175" s="89"/>
      <c r="I175" s="89"/>
      <c r="J175" s="89"/>
      <c r="K175" s="89"/>
      <c r="L175" s="89"/>
      <c r="M175" s="89"/>
      <c r="N175" s="89"/>
      <c r="O175" s="89"/>
      <c r="P175" s="89"/>
      <c r="Q175" s="89"/>
      <c r="R175" s="89"/>
      <c r="S175" s="89"/>
      <c r="T175" s="89"/>
      <c r="U175" s="89"/>
      <c r="V175" s="89"/>
      <c r="W175" s="89"/>
      <c r="X175" s="89"/>
      <c r="Y175" s="89"/>
      <c r="Z175" s="89"/>
      <c r="AA175" s="89"/>
      <c r="AB175" s="89"/>
      <c r="AC175" s="89"/>
      <c r="AD175" s="89"/>
      <c r="AE175" s="89"/>
      <c r="AF175" s="89"/>
      <c r="AG175" s="89"/>
      <c r="AH175" s="89"/>
      <c r="AI175" s="89"/>
      <c r="AJ175" s="89"/>
      <c r="AK175" s="89"/>
      <c r="AL175" s="89"/>
      <c r="AM175" s="89"/>
      <c r="AN175" s="89"/>
      <c r="AO175" s="89"/>
      <c r="AP175" s="89"/>
      <c r="AQ175" s="89"/>
      <c r="AR175" s="89"/>
      <c r="AS175" s="89"/>
      <c r="AT175" s="89"/>
      <c r="AU175" s="89"/>
      <c r="AV175" s="89"/>
      <c r="AW175" s="89"/>
      <c r="AX175" s="89"/>
      <c r="AY175" s="89"/>
      <c r="AZ175" s="89"/>
      <c r="BA175" s="89"/>
      <c r="BB175" s="89"/>
      <c r="BC175" s="89"/>
    </row>
    <row r="176">
      <c r="A176" s="89"/>
      <c r="B176" s="89"/>
      <c r="C176" s="89"/>
      <c r="D176" s="89"/>
      <c r="E176" s="89"/>
      <c r="F176" s="89"/>
      <c r="G176" s="89"/>
      <c r="H176" s="89"/>
      <c r="I176" s="89"/>
      <c r="J176" s="89"/>
      <c r="K176" s="89"/>
      <c r="L176" s="89"/>
      <c r="M176" s="89"/>
      <c r="N176" s="89"/>
      <c r="O176" s="89"/>
      <c r="P176" s="89"/>
      <c r="Q176" s="89"/>
      <c r="R176" s="89"/>
      <c r="S176" s="89"/>
      <c r="T176" s="89"/>
      <c r="U176" s="89"/>
      <c r="V176" s="89"/>
      <c r="W176" s="89"/>
      <c r="X176" s="89"/>
      <c r="Y176" s="89"/>
      <c r="Z176" s="89"/>
      <c r="AA176" s="89"/>
      <c r="AB176" s="89"/>
      <c r="AC176" s="89"/>
      <c r="AD176" s="89"/>
      <c r="AE176" s="89"/>
      <c r="AF176" s="89"/>
      <c r="AG176" s="89"/>
      <c r="AH176" s="89"/>
      <c r="AI176" s="89"/>
      <c r="AJ176" s="89"/>
      <c r="AK176" s="89"/>
      <c r="AL176" s="89"/>
      <c r="AM176" s="89"/>
      <c r="AN176" s="89"/>
      <c r="AO176" s="89"/>
      <c r="AP176" s="89"/>
      <c r="AQ176" s="89"/>
      <c r="AR176" s="89"/>
      <c r="AS176" s="89"/>
      <c r="AT176" s="89"/>
      <c r="AU176" s="89"/>
      <c r="AV176" s="89"/>
      <c r="AW176" s="89"/>
      <c r="AX176" s="89"/>
      <c r="AY176" s="89"/>
      <c r="AZ176" s="89"/>
      <c r="BA176" s="89"/>
      <c r="BB176" s="89"/>
      <c r="BC176" s="89"/>
    </row>
    <row r="177">
      <c r="A177" s="89"/>
      <c r="B177" s="89"/>
      <c r="C177" s="89"/>
      <c r="D177" s="89"/>
      <c r="E177" s="89"/>
      <c r="F177" s="89"/>
      <c r="G177" s="89"/>
      <c r="H177" s="89"/>
      <c r="I177" s="89"/>
      <c r="J177" s="89"/>
      <c r="K177" s="89"/>
      <c r="L177" s="89"/>
      <c r="M177" s="89"/>
      <c r="N177" s="89"/>
      <c r="O177" s="89"/>
      <c r="P177" s="89"/>
      <c r="Q177" s="89"/>
      <c r="R177" s="89"/>
      <c r="S177" s="89"/>
      <c r="T177" s="89"/>
      <c r="U177" s="89"/>
      <c r="V177" s="89"/>
      <c r="W177" s="89"/>
      <c r="X177" s="89"/>
      <c r="Y177" s="89"/>
      <c r="Z177" s="89"/>
      <c r="AA177" s="89"/>
      <c r="AB177" s="89"/>
      <c r="AC177" s="89"/>
      <c r="AD177" s="89"/>
      <c r="AE177" s="89"/>
      <c r="AF177" s="89"/>
      <c r="AG177" s="89"/>
      <c r="AH177" s="89"/>
      <c r="AI177" s="89"/>
      <c r="AJ177" s="89"/>
      <c r="AK177" s="89"/>
      <c r="AL177" s="89"/>
      <c r="AM177" s="89"/>
      <c r="AN177" s="89"/>
      <c r="AO177" s="89"/>
      <c r="AP177" s="89"/>
      <c r="AQ177" s="89"/>
      <c r="AR177" s="89"/>
      <c r="AS177" s="89"/>
      <c r="AT177" s="89"/>
      <c r="AU177" s="89"/>
      <c r="AV177" s="89"/>
      <c r="AW177" s="89"/>
      <c r="AX177" s="89"/>
      <c r="AY177" s="89"/>
      <c r="AZ177" s="89"/>
      <c r="BA177" s="89"/>
      <c r="BB177" s="89"/>
      <c r="BC177" s="89"/>
    </row>
    <row r="178">
      <c r="A178" s="89"/>
      <c r="B178" s="89"/>
      <c r="C178" s="89"/>
      <c r="D178" s="89"/>
      <c r="E178" s="89"/>
      <c r="F178" s="89"/>
      <c r="G178" s="89"/>
      <c r="H178" s="89"/>
      <c r="I178" s="89"/>
      <c r="J178" s="89"/>
      <c r="K178" s="89"/>
      <c r="L178" s="89"/>
      <c r="M178" s="89"/>
      <c r="N178" s="89"/>
      <c r="O178" s="89"/>
      <c r="P178" s="89"/>
      <c r="Q178" s="89"/>
      <c r="R178" s="89"/>
      <c r="S178" s="89"/>
      <c r="T178" s="89"/>
      <c r="U178" s="89"/>
      <c r="V178" s="89"/>
      <c r="W178" s="89"/>
      <c r="X178" s="89"/>
      <c r="Y178" s="89"/>
      <c r="Z178" s="89"/>
      <c r="AA178" s="89"/>
      <c r="AB178" s="89"/>
      <c r="AC178" s="89"/>
      <c r="AD178" s="89"/>
      <c r="AE178" s="89"/>
      <c r="AF178" s="89"/>
      <c r="AG178" s="89"/>
      <c r="AH178" s="89"/>
      <c r="AI178" s="89"/>
      <c r="AJ178" s="89"/>
      <c r="AK178" s="89"/>
      <c r="AL178" s="89"/>
      <c r="AM178" s="89"/>
      <c r="AN178" s="89"/>
      <c r="AO178" s="89"/>
      <c r="AP178" s="89"/>
      <c r="AQ178" s="89"/>
      <c r="AR178" s="89"/>
      <c r="AS178" s="89"/>
      <c r="AT178" s="89"/>
      <c r="AU178" s="89"/>
      <c r="AV178" s="89"/>
      <c r="AW178" s="89"/>
      <c r="AX178" s="89"/>
      <c r="AY178" s="89"/>
      <c r="AZ178" s="89"/>
      <c r="BA178" s="89"/>
      <c r="BB178" s="89"/>
      <c r="BC178" s="89"/>
    </row>
    <row r="179">
      <c r="A179" s="89"/>
      <c r="B179" s="89"/>
      <c r="C179" s="89"/>
      <c r="D179" s="89"/>
      <c r="E179" s="89"/>
      <c r="F179" s="89"/>
      <c r="G179" s="89"/>
      <c r="H179" s="89"/>
      <c r="I179" s="89"/>
      <c r="J179" s="89"/>
      <c r="K179" s="89"/>
      <c r="L179" s="89"/>
      <c r="M179" s="89"/>
      <c r="N179" s="89"/>
      <c r="O179" s="89"/>
      <c r="P179" s="89"/>
      <c r="Q179" s="89"/>
      <c r="R179" s="89"/>
      <c r="S179" s="89"/>
      <c r="T179" s="89"/>
      <c r="U179" s="89"/>
      <c r="V179" s="89"/>
      <c r="W179" s="89"/>
      <c r="X179" s="89"/>
      <c r="Y179" s="89"/>
      <c r="Z179" s="89"/>
      <c r="AA179" s="89"/>
      <c r="AB179" s="89"/>
      <c r="AC179" s="89"/>
      <c r="AD179" s="89"/>
      <c r="AE179" s="89"/>
      <c r="AF179" s="89"/>
      <c r="AG179" s="89"/>
      <c r="AH179" s="89"/>
      <c r="AI179" s="89"/>
      <c r="AJ179" s="89"/>
      <c r="AK179" s="89"/>
      <c r="AL179" s="89"/>
      <c r="AM179" s="89"/>
      <c r="AN179" s="89"/>
      <c r="AO179" s="89"/>
      <c r="AP179" s="89"/>
      <c r="AQ179" s="89"/>
      <c r="AR179" s="89"/>
      <c r="AS179" s="89"/>
      <c r="AT179" s="89"/>
      <c r="AU179" s="89"/>
      <c r="AV179" s="89"/>
      <c r="AW179" s="89"/>
      <c r="AX179" s="89"/>
      <c r="AY179" s="89"/>
      <c r="AZ179" s="89"/>
      <c r="BA179" s="89"/>
      <c r="BB179" s="89"/>
      <c r="BC179" s="89"/>
    </row>
    <row r="180">
      <c r="A180" s="89"/>
      <c r="B180" s="89"/>
      <c r="C180" s="89"/>
      <c r="D180" s="89"/>
      <c r="E180" s="89"/>
      <c r="F180" s="89"/>
      <c r="G180" s="89"/>
      <c r="H180" s="89"/>
      <c r="I180" s="89"/>
      <c r="J180" s="89"/>
      <c r="K180" s="89"/>
      <c r="L180" s="89"/>
      <c r="M180" s="89"/>
      <c r="N180" s="89"/>
      <c r="O180" s="89"/>
      <c r="P180" s="89"/>
      <c r="Q180" s="89"/>
      <c r="R180" s="89"/>
      <c r="S180" s="89"/>
      <c r="T180" s="89"/>
      <c r="U180" s="89"/>
      <c r="V180" s="89"/>
      <c r="W180" s="89"/>
      <c r="X180" s="89"/>
      <c r="Y180" s="89"/>
      <c r="Z180" s="89"/>
      <c r="AA180" s="89"/>
      <c r="AB180" s="89"/>
      <c r="AC180" s="89"/>
      <c r="AD180" s="89"/>
      <c r="AE180" s="89"/>
      <c r="AF180" s="89"/>
      <c r="AG180" s="89"/>
      <c r="AH180" s="89"/>
      <c r="AI180" s="89"/>
      <c r="AJ180" s="89"/>
      <c r="AK180" s="89"/>
      <c r="AL180" s="89"/>
      <c r="AM180" s="89"/>
      <c r="AN180" s="89"/>
      <c r="AO180" s="89"/>
      <c r="AP180" s="89"/>
      <c r="AQ180" s="89"/>
      <c r="AR180" s="89"/>
      <c r="AS180" s="89"/>
      <c r="AT180" s="89"/>
      <c r="AU180" s="89"/>
      <c r="AV180" s="89"/>
      <c r="AW180" s="89"/>
      <c r="AX180" s="89"/>
      <c r="AY180" s="89"/>
      <c r="AZ180" s="89"/>
      <c r="BA180" s="89"/>
      <c r="BB180" s="89"/>
      <c r="BC180" s="89"/>
    </row>
    <row r="181">
      <c r="A181" s="89"/>
      <c r="B181" s="89"/>
      <c r="C181" s="89"/>
      <c r="D181" s="89"/>
      <c r="E181" s="89"/>
      <c r="F181" s="89"/>
      <c r="G181" s="89"/>
      <c r="H181" s="89"/>
      <c r="I181" s="89"/>
      <c r="J181" s="89"/>
      <c r="K181" s="89"/>
      <c r="L181" s="89"/>
      <c r="M181" s="89"/>
      <c r="N181" s="89"/>
      <c r="O181" s="89"/>
      <c r="P181" s="89"/>
      <c r="Q181" s="89"/>
      <c r="R181" s="89"/>
      <c r="S181" s="89"/>
      <c r="T181" s="89"/>
      <c r="U181" s="89"/>
      <c r="V181" s="89"/>
      <c r="W181" s="89"/>
      <c r="X181" s="89"/>
      <c r="Y181" s="89"/>
      <c r="Z181" s="89"/>
      <c r="AA181" s="89"/>
      <c r="AB181" s="89"/>
      <c r="AC181" s="89"/>
      <c r="AD181" s="89"/>
      <c r="AE181" s="89"/>
      <c r="AF181" s="89"/>
      <c r="AG181" s="89"/>
      <c r="AH181" s="89"/>
      <c r="AI181" s="89"/>
      <c r="AJ181" s="89"/>
      <c r="AK181" s="89"/>
      <c r="AL181" s="89"/>
      <c r="AM181" s="89"/>
      <c r="AN181" s="89"/>
      <c r="AO181" s="89"/>
      <c r="AP181" s="89"/>
      <c r="AQ181" s="89"/>
      <c r="AR181" s="89"/>
      <c r="AS181" s="89"/>
      <c r="AT181" s="89"/>
      <c r="AU181" s="89"/>
      <c r="AV181" s="89"/>
      <c r="AW181" s="89"/>
      <c r="AX181" s="89"/>
      <c r="AY181" s="89"/>
      <c r="AZ181" s="89"/>
      <c r="BA181" s="89"/>
      <c r="BB181" s="89"/>
      <c r="BC181" s="89"/>
    </row>
    <row r="182">
      <c r="A182" s="89"/>
      <c r="B182" s="89"/>
      <c r="C182" s="89"/>
      <c r="D182" s="89"/>
      <c r="E182" s="89"/>
      <c r="F182" s="89"/>
      <c r="G182" s="89"/>
      <c r="H182" s="89"/>
      <c r="I182" s="89"/>
      <c r="J182" s="89"/>
      <c r="K182" s="89"/>
      <c r="L182" s="89"/>
      <c r="M182" s="89"/>
      <c r="N182" s="89"/>
      <c r="O182" s="89"/>
      <c r="P182" s="89"/>
      <c r="Q182" s="89"/>
      <c r="R182" s="89"/>
      <c r="S182" s="89"/>
      <c r="T182" s="89"/>
      <c r="U182" s="89"/>
      <c r="V182" s="89"/>
      <c r="W182" s="89"/>
      <c r="X182" s="89"/>
      <c r="Y182" s="89"/>
      <c r="Z182" s="89"/>
      <c r="AA182" s="89"/>
      <c r="AB182" s="89"/>
      <c r="AC182" s="89"/>
      <c r="AD182" s="89"/>
      <c r="AE182" s="89"/>
      <c r="AF182" s="89"/>
      <c r="AG182" s="89"/>
      <c r="AH182" s="89"/>
      <c r="AI182" s="89"/>
      <c r="AJ182" s="89"/>
      <c r="AK182" s="89"/>
      <c r="AL182" s="89"/>
      <c r="AM182" s="89"/>
      <c r="AN182" s="89"/>
      <c r="AO182" s="89"/>
      <c r="AP182" s="89"/>
      <c r="AQ182" s="89"/>
      <c r="AR182" s="89"/>
      <c r="AS182" s="89"/>
      <c r="AT182" s="89"/>
      <c r="AU182" s="89"/>
      <c r="AV182" s="89"/>
      <c r="AW182" s="89"/>
      <c r="AX182" s="89"/>
      <c r="AY182" s="89"/>
      <c r="AZ182" s="89"/>
      <c r="BA182" s="89"/>
      <c r="BB182" s="89"/>
      <c r="BC182" s="89"/>
    </row>
    <row r="183">
      <c r="A183" s="89"/>
      <c r="B183" s="89"/>
      <c r="C183" s="89"/>
      <c r="D183" s="89"/>
      <c r="E183" s="89"/>
      <c r="F183" s="89"/>
      <c r="G183" s="89"/>
      <c r="H183" s="89"/>
      <c r="I183" s="89"/>
      <c r="J183" s="89"/>
      <c r="K183" s="89"/>
      <c r="L183" s="89"/>
      <c r="M183" s="89"/>
      <c r="N183" s="89"/>
      <c r="O183" s="89"/>
      <c r="P183" s="89"/>
      <c r="Q183" s="89"/>
      <c r="R183" s="89"/>
      <c r="S183" s="89"/>
      <c r="T183" s="89"/>
      <c r="U183" s="89"/>
      <c r="V183" s="89"/>
      <c r="W183" s="89"/>
      <c r="X183" s="89"/>
      <c r="Y183" s="89"/>
      <c r="Z183" s="89"/>
      <c r="AA183" s="89"/>
      <c r="AB183" s="89"/>
      <c r="AC183" s="89"/>
      <c r="AD183" s="89"/>
      <c r="AE183" s="89"/>
      <c r="AF183" s="89"/>
      <c r="AG183" s="89"/>
      <c r="AH183" s="89"/>
      <c r="AI183" s="89"/>
      <c r="AJ183" s="89"/>
      <c r="AK183" s="89"/>
      <c r="AL183" s="89"/>
      <c r="AM183" s="89"/>
      <c r="AN183" s="89"/>
      <c r="AO183" s="89"/>
      <c r="AP183" s="89"/>
      <c r="AQ183" s="89"/>
      <c r="AR183" s="89"/>
      <c r="AS183" s="89"/>
      <c r="AT183" s="89"/>
      <c r="AU183" s="89"/>
      <c r="AV183" s="89"/>
      <c r="AW183" s="89"/>
      <c r="AX183" s="89"/>
      <c r="AY183" s="89"/>
      <c r="AZ183" s="89"/>
      <c r="BA183" s="89"/>
      <c r="BB183" s="89"/>
      <c r="BC183" s="89"/>
    </row>
    <row r="184">
      <c r="A184" s="89"/>
      <c r="B184" s="89"/>
      <c r="C184" s="89"/>
      <c r="D184" s="89"/>
      <c r="E184" s="89"/>
      <c r="F184" s="89"/>
      <c r="G184" s="89"/>
      <c r="H184" s="89"/>
      <c r="I184" s="89"/>
      <c r="J184" s="89"/>
      <c r="K184" s="89"/>
      <c r="L184" s="89"/>
      <c r="M184" s="89"/>
      <c r="N184" s="89"/>
      <c r="O184" s="89"/>
      <c r="P184" s="89"/>
      <c r="Q184" s="89"/>
      <c r="R184" s="89"/>
      <c r="S184" s="89"/>
      <c r="T184" s="89"/>
      <c r="U184" s="89"/>
      <c r="V184" s="89"/>
      <c r="W184" s="89"/>
      <c r="X184" s="89"/>
      <c r="Y184" s="89"/>
      <c r="Z184" s="89"/>
      <c r="AA184" s="89"/>
      <c r="AB184" s="89"/>
      <c r="AC184" s="89"/>
      <c r="AD184" s="89"/>
      <c r="AE184" s="89"/>
      <c r="AF184" s="89"/>
      <c r="AG184" s="89"/>
      <c r="AH184" s="89"/>
      <c r="AI184" s="89"/>
      <c r="AJ184" s="89"/>
      <c r="AK184" s="89"/>
      <c r="AL184" s="89"/>
      <c r="AM184" s="89"/>
      <c r="AN184" s="89"/>
      <c r="AO184" s="89"/>
      <c r="AP184" s="89"/>
      <c r="AQ184" s="89"/>
      <c r="AR184" s="89"/>
      <c r="AS184" s="89"/>
      <c r="AT184" s="89"/>
      <c r="AU184" s="89"/>
      <c r="AV184" s="89"/>
      <c r="AW184" s="89"/>
      <c r="AX184" s="89"/>
      <c r="AY184" s="89"/>
      <c r="AZ184" s="89"/>
      <c r="BA184" s="89"/>
      <c r="BB184" s="89"/>
      <c r="BC184" s="89"/>
    </row>
    <row r="185">
      <c r="A185" s="89"/>
      <c r="B185" s="89"/>
      <c r="C185" s="89"/>
      <c r="D185" s="89"/>
      <c r="E185" s="89"/>
      <c r="F185" s="89"/>
      <c r="G185" s="89"/>
      <c r="H185" s="89"/>
      <c r="I185" s="89"/>
      <c r="J185" s="89"/>
      <c r="K185" s="89"/>
      <c r="L185" s="89"/>
      <c r="M185" s="89"/>
      <c r="N185" s="89"/>
      <c r="O185" s="89"/>
      <c r="P185" s="89"/>
      <c r="Q185" s="89"/>
      <c r="R185" s="89"/>
      <c r="S185" s="89"/>
      <c r="T185" s="89"/>
      <c r="U185" s="89"/>
      <c r="V185" s="89"/>
      <c r="W185" s="89"/>
      <c r="X185" s="89"/>
      <c r="Y185" s="89"/>
      <c r="Z185" s="89"/>
      <c r="AA185" s="89"/>
      <c r="AB185" s="89"/>
      <c r="AC185" s="89"/>
      <c r="AD185" s="89"/>
      <c r="AE185" s="89"/>
      <c r="AF185" s="89"/>
      <c r="AG185" s="89"/>
      <c r="AH185" s="89"/>
      <c r="AI185" s="89"/>
      <c r="AJ185" s="89"/>
      <c r="AK185" s="89"/>
      <c r="AL185" s="89"/>
      <c r="AM185" s="89"/>
      <c r="AN185" s="89"/>
      <c r="AO185" s="89"/>
      <c r="AP185" s="89"/>
      <c r="AQ185" s="89"/>
      <c r="AR185" s="89"/>
      <c r="AS185" s="89"/>
      <c r="AT185" s="89"/>
      <c r="AU185" s="89"/>
      <c r="AV185" s="89"/>
      <c r="AW185" s="89"/>
      <c r="AX185" s="89"/>
      <c r="AY185" s="89"/>
      <c r="AZ185" s="89"/>
      <c r="BA185" s="89"/>
      <c r="BB185" s="89"/>
      <c r="BC185" s="89"/>
    </row>
    <row r="186">
      <c r="A186" s="89"/>
      <c r="B186" s="89"/>
      <c r="C186" s="89"/>
      <c r="D186" s="89"/>
      <c r="E186" s="89"/>
      <c r="F186" s="89"/>
      <c r="G186" s="89"/>
      <c r="H186" s="89"/>
      <c r="I186" s="89"/>
      <c r="J186" s="89"/>
      <c r="K186" s="89"/>
      <c r="L186" s="89"/>
      <c r="M186" s="89"/>
      <c r="N186" s="89"/>
      <c r="O186" s="89"/>
      <c r="P186" s="89"/>
      <c r="Q186" s="89"/>
      <c r="R186" s="89"/>
      <c r="S186" s="89"/>
      <c r="T186" s="89"/>
      <c r="U186" s="89"/>
      <c r="V186" s="89"/>
      <c r="W186" s="89"/>
      <c r="X186" s="89"/>
      <c r="Y186" s="89"/>
      <c r="Z186" s="89"/>
      <c r="AA186" s="89"/>
      <c r="AB186" s="89"/>
      <c r="AC186" s="89"/>
      <c r="AD186" s="89"/>
      <c r="AE186" s="89"/>
      <c r="AF186" s="89"/>
      <c r="AG186" s="89"/>
      <c r="AH186" s="89"/>
      <c r="AI186" s="89"/>
      <c r="AJ186" s="89"/>
      <c r="AK186" s="89"/>
      <c r="AL186" s="89"/>
      <c r="AM186" s="89"/>
      <c r="AN186" s="89"/>
      <c r="AO186" s="89"/>
      <c r="AP186" s="89"/>
      <c r="AQ186" s="89"/>
      <c r="AR186" s="89"/>
      <c r="AS186" s="89"/>
      <c r="AT186" s="89"/>
      <c r="AU186" s="89"/>
      <c r="AV186" s="89"/>
      <c r="AW186" s="89"/>
      <c r="AX186" s="89"/>
      <c r="AY186" s="89"/>
      <c r="AZ186" s="89"/>
      <c r="BA186" s="89"/>
      <c r="BB186" s="89"/>
      <c r="BC186" s="89"/>
    </row>
    <row r="187">
      <c r="A187" s="89"/>
      <c r="B187" s="89"/>
      <c r="C187" s="89"/>
      <c r="D187" s="89"/>
      <c r="E187" s="89"/>
      <c r="F187" s="89"/>
      <c r="G187" s="89"/>
      <c r="H187" s="89"/>
      <c r="I187" s="89"/>
      <c r="J187" s="89"/>
      <c r="K187" s="89"/>
      <c r="L187" s="89"/>
      <c r="M187" s="89"/>
      <c r="N187" s="89"/>
      <c r="O187" s="89"/>
      <c r="P187" s="89"/>
      <c r="Q187" s="89"/>
      <c r="R187" s="89"/>
      <c r="S187" s="89"/>
      <c r="T187" s="89"/>
      <c r="U187" s="89"/>
      <c r="V187" s="89"/>
      <c r="W187" s="89"/>
      <c r="X187" s="89"/>
      <c r="Y187" s="89"/>
      <c r="Z187" s="89"/>
      <c r="AA187" s="89"/>
      <c r="AB187" s="89"/>
      <c r="AC187" s="89"/>
      <c r="AD187" s="89"/>
      <c r="AE187" s="89"/>
      <c r="AF187" s="89"/>
      <c r="AG187" s="89"/>
      <c r="AH187" s="89"/>
      <c r="AI187" s="89"/>
      <c r="AJ187" s="89"/>
      <c r="AK187" s="89"/>
      <c r="AL187" s="89"/>
      <c r="AM187" s="89"/>
      <c r="AN187" s="89"/>
      <c r="AO187" s="89"/>
      <c r="AP187" s="89"/>
      <c r="AQ187" s="89"/>
      <c r="AR187" s="89"/>
      <c r="AS187" s="89"/>
      <c r="AT187" s="89"/>
      <c r="AU187" s="89"/>
      <c r="AV187" s="89"/>
      <c r="AW187" s="89"/>
      <c r="AX187" s="89"/>
      <c r="AY187" s="89"/>
      <c r="AZ187" s="89"/>
      <c r="BA187" s="89"/>
      <c r="BB187" s="89"/>
      <c r="BC187" s="89"/>
    </row>
    <row r="188">
      <c r="A188" s="89"/>
      <c r="B188" s="89"/>
      <c r="C188" s="89"/>
      <c r="D188" s="89"/>
      <c r="E188" s="89"/>
      <c r="F188" s="89"/>
      <c r="G188" s="89"/>
      <c r="H188" s="89"/>
      <c r="I188" s="89"/>
      <c r="J188" s="89"/>
      <c r="K188" s="89"/>
      <c r="L188" s="89"/>
      <c r="M188" s="89"/>
      <c r="N188" s="89"/>
      <c r="O188" s="89"/>
      <c r="P188" s="89"/>
      <c r="Q188" s="89"/>
      <c r="R188" s="89"/>
      <c r="S188" s="89"/>
      <c r="T188" s="89"/>
      <c r="U188" s="89"/>
      <c r="V188" s="89"/>
      <c r="W188" s="89"/>
      <c r="X188" s="89"/>
      <c r="Y188" s="89"/>
      <c r="Z188" s="89"/>
      <c r="AA188" s="89"/>
      <c r="AB188" s="89"/>
      <c r="AC188" s="89"/>
      <c r="AD188" s="89"/>
      <c r="AE188" s="89"/>
      <c r="AF188" s="89"/>
      <c r="AG188" s="89"/>
      <c r="AH188" s="89"/>
      <c r="AI188" s="89"/>
      <c r="AJ188" s="89"/>
      <c r="AK188" s="89"/>
      <c r="AL188" s="89"/>
      <c r="AM188" s="89"/>
      <c r="AN188" s="89"/>
      <c r="AO188" s="89"/>
      <c r="AP188" s="89"/>
      <c r="AQ188" s="89"/>
      <c r="AR188" s="89"/>
      <c r="AS188" s="89"/>
      <c r="AT188" s="89"/>
      <c r="AU188" s="89"/>
      <c r="AV188" s="89"/>
      <c r="AW188" s="89"/>
      <c r="AX188" s="89"/>
      <c r="AY188" s="89"/>
      <c r="AZ188" s="89"/>
      <c r="BA188" s="89"/>
      <c r="BB188" s="89"/>
      <c r="BC188" s="89"/>
    </row>
    <row r="189">
      <c r="A189" s="89"/>
      <c r="B189" s="89"/>
      <c r="C189" s="89"/>
      <c r="D189" s="89"/>
      <c r="E189" s="89"/>
      <c r="F189" s="89"/>
      <c r="G189" s="89"/>
      <c r="H189" s="89"/>
      <c r="I189" s="89"/>
      <c r="J189" s="89"/>
      <c r="K189" s="89"/>
      <c r="L189" s="89"/>
      <c r="M189" s="89"/>
      <c r="N189" s="89"/>
      <c r="O189" s="89"/>
      <c r="P189" s="89"/>
      <c r="Q189" s="89"/>
      <c r="R189" s="89"/>
      <c r="S189" s="89"/>
      <c r="T189" s="89"/>
      <c r="U189" s="89"/>
      <c r="V189" s="89"/>
      <c r="W189" s="89"/>
      <c r="X189" s="89"/>
      <c r="Y189" s="89"/>
      <c r="Z189" s="89"/>
      <c r="AA189" s="89"/>
      <c r="AB189" s="89"/>
      <c r="AC189" s="89"/>
      <c r="AD189" s="89"/>
      <c r="AE189" s="89"/>
      <c r="AF189" s="89"/>
      <c r="AG189" s="89"/>
      <c r="AH189" s="89"/>
      <c r="AI189" s="89"/>
      <c r="AJ189" s="89"/>
      <c r="AK189" s="89"/>
      <c r="AL189" s="89"/>
      <c r="AM189" s="89"/>
      <c r="AN189" s="89"/>
      <c r="AO189" s="89"/>
      <c r="AP189" s="89"/>
      <c r="AQ189" s="89"/>
      <c r="AR189" s="89"/>
      <c r="AS189" s="89"/>
      <c r="AT189" s="89"/>
      <c r="AU189" s="89"/>
      <c r="AV189" s="89"/>
      <c r="AW189" s="89"/>
      <c r="AX189" s="89"/>
      <c r="AY189" s="89"/>
      <c r="AZ189" s="89"/>
      <c r="BA189" s="89"/>
      <c r="BB189" s="89"/>
      <c r="BC189" s="89"/>
    </row>
    <row r="190">
      <c r="A190" s="89"/>
      <c r="B190" s="89"/>
      <c r="C190" s="89"/>
      <c r="D190" s="89"/>
      <c r="E190" s="89"/>
      <c r="F190" s="89"/>
      <c r="G190" s="89"/>
      <c r="H190" s="89"/>
      <c r="I190" s="89"/>
      <c r="J190" s="89"/>
      <c r="K190" s="89"/>
      <c r="L190" s="89"/>
      <c r="M190" s="89"/>
      <c r="N190" s="89"/>
      <c r="O190" s="89"/>
      <c r="P190" s="89"/>
      <c r="Q190" s="89"/>
      <c r="R190" s="89"/>
      <c r="S190" s="89"/>
      <c r="T190" s="89"/>
      <c r="U190" s="89"/>
      <c r="V190" s="89"/>
      <c r="W190" s="89"/>
      <c r="X190" s="89"/>
      <c r="Y190" s="89"/>
      <c r="Z190" s="89"/>
      <c r="AA190" s="89"/>
      <c r="AB190" s="89"/>
      <c r="AC190" s="89"/>
      <c r="AD190" s="89"/>
      <c r="AE190" s="89"/>
      <c r="AF190" s="89"/>
      <c r="AG190" s="89"/>
      <c r="AH190" s="89"/>
      <c r="AI190" s="89"/>
      <c r="AJ190" s="89"/>
      <c r="AK190" s="89"/>
      <c r="AL190" s="89"/>
      <c r="AM190" s="89"/>
      <c r="AN190" s="89"/>
      <c r="AO190" s="89"/>
      <c r="AP190" s="89"/>
      <c r="AQ190" s="89"/>
      <c r="AR190" s="89"/>
      <c r="AS190" s="89"/>
      <c r="AT190" s="89"/>
      <c r="AU190" s="89"/>
      <c r="AV190" s="89"/>
      <c r="AW190" s="89"/>
      <c r="AX190" s="89"/>
      <c r="AY190" s="89"/>
      <c r="AZ190" s="89"/>
      <c r="BA190" s="89"/>
      <c r="BB190" s="89"/>
      <c r="BC190" s="89"/>
    </row>
    <row r="191">
      <c r="A191" s="89"/>
      <c r="B191" s="89"/>
      <c r="C191" s="89"/>
      <c r="D191" s="89"/>
      <c r="E191" s="89"/>
      <c r="F191" s="89"/>
      <c r="G191" s="89"/>
      <c r="H191" s="89"/>
      <c r="I191" s="89"/>
      <c r="J191" s="89"/>
      <c r="K191" s="89"/>
      <c r="L191" s="89"/>
      <c r="M191" s="89"/>
      <c r="N191" s="89"/>
      <c r="O191" s="89"/>
      <c r="P191" s="89"/>
      <c r="Q191" s="89"/>
      <c r="R191" s="89"/>
      <c r="S191" s="89"/>
      <c r="T191" s="89"/>
      <c r="U191" s="89"/>
      <c r="V191" s="89"/>
      <c r="W191" s="89"/>
      <c r="X191" s="89"/>
      <c r="Y191" s="89"/>
      <c r="Z191" s="89"/>
      <c r="AA191" s="89"/>
      <c r="AB191" s="89"/>
      <c r="AC191" s="89"/>
      <c r="AD191" s="89"/>
      <c r="AE191" s="89"/>
      <c r="AF191" s="89"/>
      <c r="AG191" s="89"/>
      <c r="AH191" s="89"/>
      <c r="AI191" s="89"/>
      <c r="AJ191" s="89"/>
      <c r="AK191" s="89"/>
      <c r="AL191" s="89"/>
      <c r="AM191" s="89"/>
      <c r="AN191" s="89"/>
      <c r="AO191" s="89"/>
      <c r="AP191" s="89"/>
      <c r="AQ191" s="89"/>
      <c r="AR191" s="89"/>
      <c r="AS191" s="89"/>
      <c r="AT191" s="89"/>
      <c r="AU191" s="89"/>
      <c r="AV191" s="89"/>
      <c r="AW191" s="89"/>
      <c r="AX191" s="89"/>
      <c r="AY191" s="89"/>
      <c r="AZ191" s="89"/>
      <c r="BA191" s="89"/>
      <c r="BB191" s="89"/>
      <c r="BC191" s="89"/>
    </row>
    <row r="192">
      <c r="A192" s="89"/>
      <c r="B192" s="89"/>
      <c r="C192" s="89"/>
      <c r="D192" s="89"/>
      <c r="E192" s="89"/>
      <c r="F192" s="89"/>
      <c r="G192" s="89"/>
      <c r="H192" s="89"/>
      <c r="I192" s="89"/>
      <c r="J192" s="89"/>
      <c r="K192" s="89"/>
      <c r="L192" s="89"/>
      <c r="M192" s="89"/>
      <c r="N192" s="89"/>
      <c r="O192" s="89"/>
      <c r="P192" s="89"/>
      <c r="Q192" s="89"/>
      <c r="R192" s="89"/>
      <c r="S192" s="89"/>
      <c r="T192" s="89"/>
      <c r="U192" s="89"/>
      <c r="V192" s="89"/>
      <c r="W192" s="89"/>
      <c r="X192" s="89"/>
      <c r="Y192" s="89"/>
      <c r="Z192" s="89"/>
      <c r="AA192" s="89"/>
      <c r="AB192" s="89"/>
      <c r="AC192" s="89"/>
      <c r="AD192" s="89"/>
      <c r="AE192" s="89"/>
      <c r="AF192" s="89"/>
      <c r="AG192" s="89"/>
      <c r="AH192" s="89"/>
      <c r="AI192" s="89"/>
      <c r="AJ192" s="89"/>
      <c r="AK192" s="89"/>
      <c r="AL192" s="89"/>
      <c r="AM192" s="89"/>
      <c r="AN192" s="89"/>
      <c r="AO192" s="89"/>
      <c r="AP192" s="89"/>
      <c r="AQ192" s="89"/>
      <c r="AR192" s="89"/>
      <c r="AS192" s="89"/>
      <c r="AT192" s="89"/>
      <c r="AU192" s="89"/>
      <c r="AV192" s="89"/>
      <c r="AW192" s="89"/>
      <c r="AX192" s="89"/>
      <c r="AY192" s="89"/>
      <c r="AZ192" s="89"/>
      <c r="BA192" s="89"/>
      <c r="BB192" s="89"/>
      <c r="BC192" s="89"/>
    </row>
    <row r="193">
      <c r="A193" s="89"/>
      <c r="B193" s="89"/>
      <c r="C193" s="89"/>
      <c r="D193" s="89"/>
      <c r="E193" s="89"/>
      <c r="F193" s="89"/>
      <c r="G193" s="89"/>
      <c r="H193" s="89"/>
      <c r="I193" s="89"/>
      <c r="J193" s="89"/>
      <c r="K193" s="89"/>
      <c r="L193" s="89"/>
      <c r="M193" s="89"/>
      <c r="N193" s="89"/>
      <c r="O193" s="89"/>
      <c r="P193" s="89"/>
      <c r="Q193" s="89"/>
      <c r="R193" s="89"/>
      <c r="S193" s="89"/>
      <c r="T193" s="89"/>
      <c r="U193" s="89"/>
      <c r="V193" s="89"/>
      <c r="W193" s="89"/>
      <c r="X193" s="89"/>
      <c r="Y193" s="89"/>
      <c r="Z193" s="89"/>
      <c r="AA193" s="89"/>
      <c r="AB193" s="89"/>
      <c r="AC193" s="89"/>
      <c r="AD193" s="89"/>
      <c r="AE193" s="89"/>
      <c r="AF193" s="89"/>
      <c r="AG193" s="89"/>
      <c r="AH193" s="89"/>
      <c r="AI193" s="89"/>
      <c r="AJ193" s="89"/>
      <c r="AK193" s="89"/>
      <c r="AL193" s="89"/>
      <c r="AM193" s="89"/>
      <c r="AN193" s="89"/>
      <c r="AO193" s="89"/>
      <c r="AP193" s="89"/>
      <c r="AQ193" s="89"/>
      <c r="AR193" s="89"/>
      <c r="AS193" s="89"/>
      <c r="AT193" s="89"/>
      <c r="AU193" s="89"/>
      <c r="AV193" s="89"/>
      <c r="AW193" s="89"/>
      <c r="AX193" s="89"/>
      <c r="AY193" s="89"/>
      <c r="AZ193" s="89"/>
      <c r="BA193" s="89"/>
      <c r="BB193" s="89"/>
      <c r="BC193" s="89"/>
    </row>
    <row r="194">
      <c r="A194" s="89"/>
      <c r="B194" s="89"/>
      <c r="C194" s="89"/>
      <c r="D194" s="89"/>
      <c r="E194" s="89"/>
      <c r="F194" s="89"/>
      <c r="G194" s="89"/>
      <c r="H194" s="89"/>
      <c r="I194" s="89"/>
      <c r="J194" s="89"/>
      <c r="K194" s="89"/>
      <c r="L194" s="89"/>
      <c r="M194" s="89"/>
      <c r="N194" s="89"/>
      <c r="O194" s="89"/>
      <c r="P194" s="89"/>
      <c r="Q194" s="89"/>
      <c r="R194" s="89"/>
      <c r="S194" s="89"/>
      <c r="T194" s="89"/>
      <c r="U194" s="89"/>
      <c r="V194" s="89"/>
      <c r="W194" s="89"/>
      <c r="X194" s="89"/>
      <c r="Y194" s="89"/>
      <c r="Z194" s="89"/>
      <c r="AA194" s="89"/>
      <c r="AB194" s="89"/>
      <c r="AC194" s="89"/>
      <c r="AD194" s="89"/>
      <c r="AE194" s="89"/>
      <c r="AF194" s="89"/>
      <c r="AG194" s="89"/>
      <c r="AH194" s="89"/>
      <c r="AI194" s="89"/>
      <c r="AJ194" s="89"/>
      <c r="AK194" s="89"/>
      <c r="AL194" s="89"/>
      <c r="AM194" s="89"/>
      <c r="AN194" s="89"/>
      <c r="AO194" s="89"/>
      <c r="AP194" s="89"/>
      <c r="AQ194" s="89"/>
      <c r="AR194" s="89"/>
      <c r="AS194" s="89"/>
      <c r="AT194" s="89"/>
      <c r="AU194" s="89"/>
      <c r="AV194" s="89"/>
      <c r="AW194" s="89"/>
      <c r="AX194" s="89"/>
      <c r="AY194" s="89"/>
      <c r="AZ194" s="89"/>
      <c r="BA194" s="89"/>
      <c r="BB194" s="89"/>
      <c r="BC194" s="89"/>
    </row>
    <row r="195">
      <c r="A195" s="89"/>
      <c r="B195" s="89"/>
      <c r="C195" s="89"/>
      <c r="D195" s="89"/>
      <c r="E195" s="89"/>
      <c r="F195" s="89"/>
      <c r="G195" s="89"/>
      <c r="H195" s="89"/>
      <c r="I195" s="89"/>
      <c r="J195" s="89"/>
      <c r="K195" s="89"/>
      <c r="L195" s="89"/>
      <c r="M195" s="89"/>
      <c r="N195" s="89"/>
      <c r="O195" s="89"/>
      <c r="P195" s="89"/>
      <c r="Q195" s="89"/>
      <c r="R195" s="89"/>
      <c r="S195" s="89"/>
      <c r="T195" s="89"/>
      <c r="U195" s="89"/>
      <c r="V195" s="89"/>
      <c r="W195" s="89"/>
      <c r="X195" s="89"/>
      <c r="Y195" s="89"/>
      <c r="Z195" s="89"/>
      <c r="AA195" s="89"/>
      <c r="AB195" s="89"/>
      <c r="AC195" s="89"/>
      <c r="AD195" s="89"/>
      <c r="AE195" s="89"/>
      <c r="AF195" s="89"/>
      <c r="AG195" s="89"/>
      <c r="AH195" s="89"/>
      <c r="AI195" s="89"/>
      <c r="AJ195" s="89"/>
      <c r="AK195" s="89"/>
      <c r="AL195" s="89"/>
      <c r="AM195" s="89"/>
      <c r="AN195" s="89"/>
      <c r="AO195" s="89"/>
      <c r="AP195" s="89"/>
      <c r="AQ195" s="89"/>
      <c r="AR195" s="89"/>
      <c r="AS195" s="89"/>
      <c r="AT195" s="89"/>
      <c r="AU195" s="89"/>
      <c r="AV195" s="89"/>
      <c r="AW195" s="89"/>
      <c r="AX195" s="89"/>
      <c r="AY195" s="89"/>
      <c r="AZ195" s="89"/>
      <c r="BA195" s="89"/>
      <c r="BB195" s="89"/>
      <c r="BC195" s="89"/>
    </row>
    <row r="196">
      <c r="A196" s="89"/>
      <c r="B196" s="89"/>
      <c r="C196" s="89"/>
      <c r="D196" s="89"/>
      <c r="E196" s="89"/>
      <c r="F196" s="89"/>
      <c r="G196" s="89"/>
      <c r="H196" s="89"/>
      <c r="I196" s="89"/>
      <c r="J196" s="89"/>
      <c r="K196" s="89"/>
      <c r="L196" s="89"/>
      <c r="M196" s="89"/>
      <c r="N196" s="89"/>
      <c r="O196" s="89"/>
      <c r="P196" s="89"/>
      <c r="Q196" s="89"/>
      <c r="R196" s="89"/>
      <c r="S196" s="89"/>
      <c r="T196" s="89"/>
      <c r="U196" s="89"/>
      <c r="V196" s="89"/>
      <c r="W196" s="89"/>
      <c r="X196" s="89"/>
      <c r="Y196" s="89"/>
      <c r="Z196" s="89"/>
      <c r="AA196" s="89"/>
      <c r="AB196" s="89"/>
      <c r="AC196" s="89"/>
      <c r="AD196" s="89"/>
      <c r="AE196" s="89"/>
      <c r="AF196" s="89"/>
      <c r="AG196" s="89"/>
      <c r="AH196" s="89"/>
      <c r="AI196" s="89"/>
      <c r="AJ196" s="89"/>
      <c r="AK196" s="89"/>
      <c r="AL196" s="89"/>
      <c r="AM196" s="89"/>
      <c r="AN196" s="89"/>
      <c r="AO196" s="89"/>
      <c r="AP196" s="89"/>
      <c r="AQ196" s="89"/>
      <c r="AR196" s="89"/>
      <c r="AS196" s="89"/>
      <c r="AT196" s="89"/>
      <c r="AU196" s="89"/>
      <c r="AV196" s="89"/>
      <c r="AW196" s="89"/>
      <c r="AX196" s="89"/>
      <c r="AY196" s="89"/>
      <c r="AZ196" s="89"/>
      <c r="BA196" s="89"/>
      <c r="BB196" s="89"/>
      <c r="BC196" s="89"/>
    </row>
    <row r="197">
      <c r="A197" s="89"/>
      <c r="B197" s="89"/>
      <c r="C197" s="89"/>
      <c r="D197" s="89"/>
      <c r="E197" s="89"/>
      <c r="F197" s="89"/>
      <c r="G197" s="89"/>
      <c r="H197" s="89"/>
      <c r="I197" s="89"/>
      <c r="J197" s="89"/>
      <c r="K197" s="89"/>
      <c r="L197" s="89"/>
      <c r="M197" s="89"/>
      <c r="N197" s="89"/>
      <c r="O197" s="89"/>
      <c r="P197" s="89"/>
      <c r="Q197" s="89"/>
      <c r="R197" s="89"/>
      <c r="S197" s="89"/>
      <c r="T197" s="89"/>
      <c r="U197" s="89"/>
      <c r="V197" s="89"/>
      <c r="W197" s="89"/>
      <c r="X197" s="89"/>
      <c r="Y197" s="89"/>
      <c r="Z197" s="89"/>
      <c r="AA197" s="89"/>
      <c r="AB197" s="89"/>
      <c r="AC197" s="89"/>
      <c r="AD197" s="89"/>
      <c r="AE197" s="89"/>
      <c r="AF197" s="89"/>
      <c r="AG197" s="89"/>
      <c r="AH197" s="89"/>
      <c r="AI197" s="89"/>
      <c r="AJ197" s="89"/>
      <c r="AK197" s="89"/>
      <c r="AL197" s="89"/>
      <c r="AM197" s="89"/>
      <c r="AN197" s="89"/>
      <c r="AO197" s="89"/>
      <c r="AP197" s="89"/>
      <c r="AQ197" s="89"/>
      <c r="AR197" s="89"/>
      <c r="AS197" s="89"/>
      <c r="AT197" s="89"/>
      <c r="AU197" s="89"/>
      <c r="AV197" s="89"/>
      <c r="AW197" s="89"/>
      <c r="AX197" s="89"/>
      <c r="AY197" s="89"/>
      <c r="AZ197" s="89"/>
      <c r="BA197" s="89"/>
      <c r="BB197" s="89"/>
      <c r="BC197" s="89"/>
    </row>
    <row r="198">
      <c r="A198" s="89"/>
      <c r="B198" s="89"/>
      <c r="C198" s="89"/>
      <c r="D198" s="89"/>
      <c r="E198" s="89"/>
      <c r="F198" s="89"/>
      <c r="G198" s="89"/>
      <c r="H198" s="89"/>
      <c r="I198" s="89"/>
      <c r="J198" s="89"/>
      <c r="K198" s="89"/>
      <c r="L198" s="89"/>
      <c r="M198" s="89"/>
      <c r="N198" s="89"/>
      <c r="O198" s="89"/>
      <c r="P198" s="89"/>
      <c r="Q198" s="89"/>
      <c r="R198" s="89"/>
      <c r="S198" s="89"/>
      <c r="T198" s="89"/>
      <c r="U198" s="89"/>
      <c r="V198" s="89"/>
      <c r="W198" s="89"/>
      <c r="X198" s="89"/>
      <c r="Y198" s="89"/>
      <c r="Z198" s="89"/>
      <c r="AA198" s="89"/>
      <c r="AB198" s="89"/>
      <c r="AC198" s="89"/>
      <c r="AD198" s="89"/>
      <c r="AE198" s="89"/>
      <c r="AF198" s="89"/>
      <c r="AG198" s="89"/>
      <c r="AH198" s="89"/>
      <c r="AI198" s="89"/>
      <c r="AJ198" s="89"/>
      <c r="AK198" s="89"/>
      <c r="AL198" s="89"/>
      <c r="AM198" s="89"/>
      <c r="AN198" s="89"/>
      <c r="AO198" s="89"/>
      <c r="AP198" s="89"/>
      <c r="AQ198" s="89"/>
      <c r="AR198" s="89"/>
      <c r="AS198" s="89"/>
      <c r="AT198" s="89"/>
      <c r="AU198" s="89"/>
      <c r="AV198" s="89"/>
      <c r="AW198" s="89"/>
      <c r="AX198" s="89"/>
      <c r="AY198" s="89"/>
      <c r="AZ198" s="89"/>
      <c r="BA198" s="89"/>
      <c r="BB198" s="89"/>
      <c r="BC198" s="89"/>
    </row>
    <row r="199">
      <c r="A199" s="89"/>
      <c r="B199" s="89"/>
      <c r="C199" s="89"/>
      <c r="D199" s="89"/>
      <c r="E199" s="89"/>
      <c r="F199" s="89"/>
      <c r="G199" s="89"/>
      <c r="H199" s="89"/>
      <c r="I199" s="89"/>
      <c r="J199" s="89"/>
      <c r="K199" s="89"/>
      <c r="L199" s="89"/>
      <c r="M199" s="89"/>
      <c r="N199" s="89"/>
      <c r="O199" s="89"/>
      <c r="P199" s="89"/>
      <c r="Q199" s="89"/>
      <c r="R199" s="89"/>
      <c r="S199" s="89"/>
      <c r="T199" s="89"/>
      <c r="U199" s="89"/>
      <c r="V199" s="89"/>
      <c r="W199" s="89"/>
      <c r="X199" s="89"/>
      <c r="Y199" s="89"/>
      <c r="Z199" s="89"/>
      <c r="AA199" s="89"/>
      <c r="AB199" s="89"/>
      <c r="AC199" s="89"/>
      <c r="AD199" s="89"/>
      <c r="AE199" s="89"/>
      <c r="AF199" s="89"/>
      <c r="AG199" s="89"/>
      <c r="AH199" s="89"/>
      <c r="AI199" s="89"/>
      <c r="AJ199" s="89"/>
      <c r="AK199" s="89"/>
      <c r="AL199" s="89"/>
      <c r="AM199" s="89"/>
      <c r="AN199" s="89"/>
      <c r="AO199" s="89"/>
      <c r="AP199" s="89"/>
      <c r="AQ199" s="89"/>
      <c r="AR199" s="89"/>
      <c r="AS199" s="89"/>
      <c r="AT199" s="89"/>
      <c r="AU199" s="89"/>
      <c r="AV199" s="89"/>
      <c r="AW199" s="89"/>
      <c r="AX199" s="89"/>
      <c r="AY199" s="89"/>
      <c r="AZ199" s="89"/>
      <c r="BA199" s="89"/>
      <c r="BB199" s="89"/>
      <c r="BC199" s="89"/>
    </row>
    <row r="200">
      <c r="A200" s="89"/>
      <c r="B200" s="89"/>
      <c r="C200" s="89"/>
      <c r="D200" s="89"/>
      <c r="E200" s="89"/>
      <c r="F200" s="89"/>
      <c r="G200" s="89"/>
      <c r="H200" s="89"/>
      <c r="I200" s="89"/>
      <c r="J200" s="89"/>
      <c r="K200" s="89"/>
      <c r="L200" s="89"/>
      <c r="M200" s="89"/>
      <c r="N200" s="89"/>
      <c r="O200" s="89"/>
      <c r="P200" s="89"/>
      <c r="Q200" s="89"/>
      <c r="R200" s="89"/>
      <c r="S200" s="89"/>
      <c r="T200" s="89"/>
      <c r="U200" s="89"/>
      <c r="V200" s="89"/>
      <c r="W200" s="89"/>
      <c r="X200" s="89"/>
      <c r="Y200" s="89"/>
      <c r="Z200" s="89"/>
      <c r="AA200" s="89"/>
      <c r="AB200" s="89"/>
      <c r="AC200" s="89"/>
      <c r="AD200" s="89"/>
      <c r="AE200" s="89"/>
      <c r="AF200" s="89"/>
      <c r="AG200" s="89"/>
      <c r="AH200" s="89"/>
      <c r="AI200" s="89"/>
      <c r="AJ200" s="89"/>
      <c r="AK200" s="89"/>
      <c r="AL200" s="89"/>
      <c r="AM200" s="89"/>
      <c r="AN200" s="89"/>
      <c r="AO200" s="89"/>
      <c r="AP200" s="89"/>
      <c r="AQ200" s="89"/>
      <c r="AR200" s="89"/>
      <c r="AS200" s="89"/>
      <c r="AT200" s="89"/>
      <c r="AU200" s="89"/>
      <c r="AV200" s="89"/>
      <c r="AW200" s="89"/>
      <c r="AX200" s="89"/>
      <c r="AY200" s="89"/>
      <c r="AZ200" s="89"/>
      <c r="BA200" s="89"/>
      <c r="BB200" s="89"/>
      <c r="BC200" s="89"/>
    </row>
    <row r="201">
      <c r="A201" s="89"/>
      <c r="B201" s="89"/>
      <c r="C201" s="89"/>
      <c r="D201" s="89"/>
      <c r="E201" s="89"/>
      <c r="F201" s="89"/>
      <c r="G201" s="89"/>
      <c r="H201" s="89"/>
      <c r="I201" s="89"/>
      <c r="J201" s="89"/>
      <c r="K201" s="89"/>
      <c r="L201" s="89"/>
      <c r="M201" s="89"/>
      <c r="N201" s="89"/>
      <c r="O201" s="89"/>
      <c r="P201" s="89"/>
      <c r="Q201" s="89"/>
      <c r="R201" s="89"/>
      <c r="S201" s="89"/>
      <c r="T201" s="89"/>
      <c r="U201" s="89"/>
      <c r="V201" s="89"/>
      <c r="W201" s="89"/>
      <c r="X201" s="89"/>
      <c r="Y201" s="89"/>
      <c r="Z201" s="89"/>
      <c r="AA201" s="89"/>
      <c r="AB201" s="89"/>
      <c r="AC201" s="89"/>
      <c r="AD201" s="89"/>
      <c r="AE201" s="89"/>
      <c r="AF201" s="89"/>
      <c r="AG201" s="89"/>
      <c r="AH201" s="89"/>
      <c r="AI201" s="89"/>
      <c r="AJ201" s="89"/>
      <c r="AK201" s="89"/>
      <c r="AL201" s="89"/>
      <c r="AM201" s="89"/>
      <c r="AN201" s="89"/>
      <c r="AO201" s="89"/>
      <c r="AP201" s="89"/>
      <c r="AQ201" s="89"/>
      <c r="AR201" s="89"/>
      <c r="AS201" s="89"/>
      <c r="AT201" s="89"/>
      <c r="AU201" s="89"/>
      <c r="AV201" s="89"/>
      <c r="AW201" s="89"/>
      <c r="AX201" s="89"/>
      <c r="AY201" s="89"/>
      <c r="AZ201" s="89"/>
      <c r="BA201" s="89"/>
      <c r="BB201" s="89"/>
      <c r="BC201" s="89"/>
    </row>
    <row r="202">
      <c r="A202" s="89"/>
      <c r="B202" s="89"/>
      <c r="C202" s="89"/>
      <c r="D202" s="89"/>
      <c r="E202" s="89"/>
      <c r="F202" s="89"/>
      <c r="G202" s="89"/>
      <c r="H202" s="89"/>
      <c r="I202" s="89"/>
      <c r="J202" s="89"/>
      <c r="K202" s="89"/>
      <c r="L202" s="89"/>
      <c r="M202" s="89"/>
      <c r="N202" s="89"/>
      <c r="O202" s="89"/>
      <c r="P202" s="89"/>
      <c r="Q202" s="89"/>
      <c r="R202" s="89"/>
      <c r="S202" s="89"/>
      <c r="T202" s="89"/>
      <c r="U202" s="89"/>
      <c r="V202" s="89"/>
      <c r="W202" s="89"/>
      <c r="X202" s="89"/>
      <c r="Y202" s="89"/>
      <c r="Z202" s="89"/>
      <c r="AA202" s="89"/>
      <c r="AB202" s="89"/>
      <c r="AC202" s="89"/>
      <c r="AD202" s="89"/>
      <c r="AE202" s="89"/>
      <c r="AF202" s="89"/>
      <c r="AG202" s="89"/>
      <c r="AH202" s="89"/>
      <c r="AI202" s="89"/>
      <c r="AJ202" s="89"/>
      <c r="AK202" s="89"/>
      <c r="AL202" s="89"/>
      <c r="AM202" s="89"/>
      <c r="AN202" s="89"/>
      <c r="AO202" s="89"/>
      <c r="AP202" s="89"/>
      <c r="AQ202" s="89"/>
      <c r="AR202" s="89"/>
      <c r="AS202" s="89"/>
      <c r="AT202" s="89"/>
      <c r="AU202" s="89"/>
      <c r="AV202" s="89"/>
      <c r="AW202" s="89"/>
      <c r="AX202" s="89"/>
      <c r="AY202" s="89"/>
      <c r="AZ202" s="89"/>
      <c r="BA202" s="89"/>
      <c r="BB202" s="89"/>
      <c r="BC202" s="89"/>
    </row>
    <row r="203">
      <c r="A203" s="89"/>
      <c r="B203" s="89"/>
      <c r="C203" s="89"/>
      <c r="D203" s="89"/>
      <c r="E203" s="89"/>
      <c r="F203" s="89"/>
      <c r="G203" s="89"/>
      <c r="H203" s="89"/>
      <c r="I203" s="89"/>
      <c r="J203" s="89"/>
      <c r="K203" s="89"/>
      <c r="L203" s="89"/>
      <c r="M203" s="89"/>
      <c r="N203" s="89"/>
      <c r="O203" s="89"/>
      <c r="P203" s="89"/>
      <c r="Q203" s="89"/>
      <c r="R203" s="89"/>
      <c r="S203" s="89"/>
      <c r="T203" s="89"/>
      <c r="U203" s="89"/>
      <c r="V203" s="89"/>
      <c r="W203" s="89"/>
      <c r="X203" s="89"/>
      <c r="Y203" s="89"/>
      <c r="Z203" s="89"/>
      <c r="AA203" s="89"/>
      <c r="AB203" s="89"/>
      <c r="AC203" s="89"/>
      <c r="AD203" s="89"/>
      <c r="AE203" s="89"/>
      <c r="AF203" s="89"/>
      <c r="AG203" s="89"/>
      <c r="AH203" s="89"/>
      <c r="AI203" s="89"/>
      <c r="AJ203" s="89"/>
      <c r="AK203" s="89"/>
      <c r="AL203" s="89"/>
      <c r="AM203" s="89"/>
      <c r="AN203" s="89"/>
      <c r="AO203" s="89"/>
      <c r="AP203" s="89"/>
      <c r="AQ203" s="89"/>
      <c r="AR203" s="89"/>
      <c r="AS203" s="89"/>
      <c r="AT203" s="89"/>
      <c r="AU203" s="89"/>
      <c r="AV203" s="89"/>
      <c r="AW203" s="89"/>
      <c r="AX203" s="89"/>
      <c r="AY203" s="89"/>
      <c r="AZ203" s="89"/>
      <c r="BA203" s="89"/>
      <c r="BB203" s="89"/>
      <c r="BC203" s="89"/>
    </row>
    <row r="204">
      <c r="A204" s="89"/>
      <c r="B204" s="89"/>
      <c r="C204" s="89"/>
      <c r="D204" s="89"/>
      <c r="E204" s="89"/>
      <c r="F204" s="89"/>
      <c r="G204" s="89"/>
      <c r="H204" s="89"/>
      <c r="I204" s="89"/>
      <c r="J204" s="89"/>
      <c r="K204" s="89"/>
      <c r="L204" s="89"/>
      <c r="M204" s="89"/>
      <c r="N204" s="89"/>
      <c r="O204" s="89"/>
      <c r="P204" s="89"/>
      <c r="Q204" s="89"/>
      <c r="R204" s="89"/>
      <c r="S204" s="89"/>
      <c r="T204" s="89"/>
      <c r="U204" s="89"/>
      <c r="V204" s="89"/>
      <c r="W204" s="89"/>
      <c r="X204" s="89"/>
      <c r="Y204" s="89"/>
      <c r="Z204" s="89"/>
      <c r="AA204" s="89"/>
      <c r="AB204" s="89"/>
      <c r="AC204" s="89"/>
      <c r="AD204" s="89"/>
      <c r="AE204" s="89"/>
      <c r="AF204" s="89"/>
      <c r="AG204" s="89"/>
      <c r="AH204" s="89"/>
      <c r="AI204" s="89"/>
      <c r="AJ204" s="89"/>
      <c r="AK204" s="89"/>
      <c r="AL204" s="89"/>
      <c r="AM204" s="89"/>
      <c r="AN204" s="89"/>
      <c r="AO204" s="89"/>
      <c r="AP204" s="89"/>
      <c r="AQ204" s="89"/>
      <c r="AR204" s="89"/>
      <c r="AS204" s="89"/>
      <c r="AT204" s="89"/>
      <c r="AU204" s="89"/>
      <c r="AV204" s="89"/>
      <c r="AW204" s="89"/>
      <c r="AX204" s="89"/>
      <c r="AY204" s="89"/>
      <c r="AZ204" s="89"/>
      <c r="BA204" s="89"/>
      <c r="BB204" s="89"/>
      <c r="BC204" s="89"/>
    </row>
    <row r="205">
      <c r="A205" s="89"/>
      <c r="B205" s="89"/>
      <c r="C205" s="89"/>
      <c r="D205" s="89"/>
      <c r="E205" s="89"/>
      <c r="F205" s="89"/>
      <c r="G205" s="89"/>
      <c r="H205" s="89"/>
      <c r="I205" s="89"/>
      <c r="J205" s="89"/>
      <c r="K205" s="89"/>
      <c r="L205" s="89"/>
      <c r="M205" s="89"/>
      <c r="N205" s="89"/>
      <c r="O205" s="89"/>
      <c r="P205" s="89"/>
      <c r="Q205" s="89"/>
      <c r="R205" s="89"/>
      <c r="S205" s="89"/>
      <c r="T205" s="89"/>
      <c r="U205" s="89"/>
      <c r="V205" s="89"/>
      <c r="W205" s="89"/>
      <c r="X205" s="89"/>
      <c r="Y205" s="89"/>
      <c r="Z205" s="89"/>
      <c r="AA205" s="89"/>
      <c r="AB205" s="89"/>
      <c r="AC205" s="89"/>
      <c r="AD205" s="89"/>
      <c r="AE205" s="89"/>
      <c r="AF205" s="89"/>
      <c r="AG205" s="89"/>
      <c r="AH205" s="89"/>
      <c r="AI205" s="89"/>
      <c r="AJ205" s="89"/>
      <c r="AK205" s="89"/>
      <c r="AL205" s="89"/>
      <c r="AM205" s="89"/>
      <c r="AN205" s="89"/>
      <c r="AO205" s="89"/>
      <c r="AP205" s="89"/>
      <c r="AQ205" s="89"/>
      <c r="AR205" s="89"/>
      <c r="AS205" s="89"/>
      <c r="AT205" s="89"/>
      <c r="AU205" s="89"/>
      <c r="AV205" s="89"/>
      <c r="AW205" s="89"/>
      <c r="AX205" s="89"/>
      <c r="AY205" s="89"/>
      <c r="AZ205" s="89"/>
      <c r="BA205" s="89"/>
      <c r="BB205" s="89"/>
      <c r="BC205" s="89"/>
    </row>
    <row r="206">
      <c r="A206" s="89"/>
      <c r="B206" s="89"/>
      <c r="C206" s="89"/>
      <c r="D206" s="89"/>
      <c r="E206" s="89"/>
      <c r="F206" s="89"/>
      <c r="G206" s="89"/>
      <c r="H206" s="89"/>
      <c r="I206" s="89"/>
      <c r="J206" s="89"/>
      <c r="K206" s="89"/>
      <c r="L206" s="89"/>
      <c r="M206" s="89"/>
      <c r="N206" s="89"/>
      <c r="O206" s="89"/>
      <c r="P206" s="89"/>
      <c r="Q206" s="89"/>
      <c r="R206" s="89"/>
      <c r="S206" s="89"/>
      <c r="T206" s="89"/>
      <c r="U206" s="89"/>
      <c r="V206" s="89"/>
      <c r="W206" s="89"/>
      <c r="X206" s="89"/>
      <c r="Y206" s="89"/>
      <c r="Z206" s="89"/>
      <c r="AA206" s="89"/>
      <c r="AB206" s="89"/>
      <c r="AC206" s="89"/>
      <c r="AD206" s="89"/>
      <c r="AE206" s="89"/>
      <c r="AF206" s="89"/>
      <c r="AG206" s="89"/>
      <c r="AH206" s="89"/>
      <c r="AI206" s="89"/>
      <c r="AJ206" s="89"/>
      <c r="AK206" s="89"/>
      <c r="AL206" s="89"/>
      <c r="AM206" s="89"/>
      <c r="AN206" s="89"/>
      <c r="AO206" s="89"/>
      <c r="AP206" s="89"/>
      <c r="AQ206" s="89"/>
      <c r="AR206" s="89"/>
      <c r="AS206" s="89"/>
      <c r="AT206" s="89"/>
      <c r="AU206" s="89"/>
      <c r="AV206" s="89"/>
      <c r="AW206" s="89"/>
      <c r="AX206" s="89"/>
      <c r="AY206" s="89"/>
      <c r="AZ206" s="89"/>
      <c r="BA206" s="89"/>
      <c r="BB206" s="89"/>
      <c r="BC206" s="89"/>
    </row>
    <row r="207">
      <c r="A207" s="89"/>
      <c r="B207" s="89"/>
      <c r="C207" s="89"/>
      <c r="D207" s="89"/>
      <c r="E207" s="89"/>
      <c r="F207" s="89"/>
      <c r="G207" s="89"/>
      <c r="H207" s="89"/>
      <c r="I207" s="89"/>
      <c r="J207" s="89"/>
      <c r="K207" s="89"/>
      <c r="L207" s="89"/>
      <c r="M207" s="89"/>
      <c r="N207" s="89"/>
      <c r="O207" s="89"/>
      <c r="P207" s="89"/>
      <c r="Q207" s="89"/>
      <c r="R207" s="89"/>
      <c r="S207" s="89"/>
      <c r="T207" s="89"/>
      <c r="U207" s="89"/>
      <c r="V207" s="89"/>
      <c r="W207" s="89"/>
      <c r="X207" s="89"/>
      <c r="Y207" s="89"/>
      <c r="Z207" s="89"/>
      <c r="AA207" s="89"/>
      <c r="AB207" s="89"/>
      <c r="AC207" s="89"/>
      <c r="AD207" s="89"/>
      <c r="AE207" s="89"/>
      <c r="AF207" s="89"/>
      <c r="AG207" s="89"/>
      <c r="AH207" s="89"/>
      <c r="AI207" s="89"/>
      <c r="AJ207" s="89"/>
      <c r="AK207" s="89"/>
      <c r="AL207" s="89"/>
      <c r="AM207" s="89"/>
      <c r="AN207" s="89"/>
      <c r="AO207" s="89"/>
      <c r="AP207" s="89"/>
      <c r="AQ207" s="89"/>
      <c r="AR207" s="89"/>
      <c r="AS207" s="89"/>
      <c r="AT207" s="89"/>
      <c r="AU207" s="89"/>
      <c r="AV207" s="89"/>
      <c r="AW207" s="89"/>
      <c r="AX207" s="89"/>
      <c r="AY207" s="89"/>
      <c r="AZ207" s="89"/>
      <c r="BA207" s="89"/>
      <c r="BB207" s="89"/>
      <c r="BC207" s="89"/>
    </row>
    <row r="208">
      <c r="A208" s="89"/>
      <c r="B208" s="89"/>
      <c r="C208" s="89"/>
      <c r="D208" s="89"/>
      <c r="E208" s="89"/>
      <c r="F208" s="89"/>
      <c r="G208" s="89"/>
      <c r="H208" s="89"/>
      <c r="I208" s="89"/>
      <c r="J208" s="89"/>
      <c r="K208" s="89"/>
      <c r="L208" s="89"/>
      <c r="M208" s="89"/>
      <c r="N208" s="89"/>
      <c r="O208" s="89"/>
      <c r="P208" s="89"/>
      <c r="Q208" s="89"/>
      <c r="R208" s="89"/>
      <c r="S208" s="89"/>
      <c r="T208" s="89"/>
      <c r="U208" s="89"/>
      <c r="V208" s="89"/>
      <c r="W208" s="89"/>
      <c r="X208" s="89"/>
      <c r="Y208" s="89"/>
      <c r="Z208" s="89"/>
      <c r="AA208" s="89"/>
      <c r="AB208" s="89"/>
      <c r="AC208" s="89"/>
      <c r="AD208" s="89"/>
      <c r="AE208" s="89"/>
      <c r="AF208" s="89"/>
      <c r="AG208" s="89"/>
      <c r="AH208" s="89"/>
      <c r="AI208" s="89"/>
      <c r="AJ208" s="89"/>
      <c r="AK208" s="89"/>
      <c r="AL208" s="89"/>
      <c r="AM208" s="89"/>
      <c r="AN208" s="89"/>
      <c r="AO208" s="89"/>
      <c r="AP208" s="89"/>
      <c r="AQ208" s="89"/>
      <c r="AR208" s="89"/>
      <c r="AS208" s="89"/>
      <c r="AT208" s="89"/>
      <c r="AU208" s="89"/>
      <c r="AV208" s="89"/>
      <c r="AW208" s="89"/>
      <c r="AX208" s="89"/>
      <c r="AY208" s="89"/>
      <c r="AZ208" s="89"/>
      <c r="BA208" s="89"/>
      <c r="BB208" s="89"/>
      <c r="BC208" s="89"/>
    </row>
    <row r="209">
      <c r="A209" s="89"/>
      <c r="B209" s="89"/>
      <c r="C209" s="89"/>
      <c r="D209" s="89"/>
      <c r="E209" s="89"/>
      <c r="F209" s="89"/>
      <c r="G209" s="89"/>
      <c r="H209" s="89"/>
      <c r="I209" s="89"/>
      <c r="J209" s="89"/>
      <c r="K209" s="89"/>
      <c r="L209" s="89"/>
      <c r="M209" s="89"/>
      <c r="N209" s="89"/>
      <c r="O209" s="89"/>
      <c r="P209" s="89"/>
      <c r="Q209" s="89"/>
      <c r="R209" s="89"/>
      <c r="S209" s="89"/>
      <c r="T209" s="89"/>
      <c r="U209" s="89"/>
      <c r="V209" s="89"/>
      <c r="W209" s="89"/>
      <c r="X209" s="89"/>
      <c r="Y209" s="89"/>
      <c r="Z209" s="89"/>
      <c r="AA209" s="89"/>
      <c r="AB209" s="89"/>
      <c r="AC209" s="89"/>
      <c r="AD209" s="89"/>
      <c r="AE209" s="89"/>
      <c r="AF209" s="89"/>
      <c r="AG209" s="89"/>
      <c r="AH209" s="89"/>
      <c r="AI209" s="89"/>
      <c r="AJ209" s="89"/>
      <c r="AK209" s="89"/>
      <c r="AL209" s="89"/>
      <c r="AM209" s="89"/>
      <c r="AN209" s="89"/>
      <c r="AO209" s="89"/>
      <c r="AP209" s="89"/>
      <c r="AQ209" s="89"/>
      <c r="AR209" s="89"/>
      <c r="AS209" s="89"/>
      <c r="AT209" s="89"/>
      <c r="AU209" s="89"/>
      <c r="AV209" s="89"/>
      <c r="AW209" s="89"/>
      <c r="AX209" s="89"/>
      <c r="AY209" s="89"/>
      <c r="AZ209" s="89"/>
      <c r="BA209" s="89"/>
      <c r="BB209" s="89"/>
      <c r="BC209" s="89"/>
    </row>
    <row r="210">
      <c r="A210" s="89"/>
      <c r="B210" s="89"/>
      <c r="C210" s="89"/>
      <c r="D210" s="89"/>
      <c r="E210" s="89"/>
      <c r="F210" s="89"/>
      <c r="G210" s="89"/>
      <c r="H210" s="89"/>
      <c r="I210" s="89"/>
      <c r="J210" s="89"/>
      <c r="K210" s="89"/>
      <c r="L210" s="89"/>
      <c r="M210" s="89"/>
      <c r="N210" s="89"/>
      <c r="O210" s="89"/>
      <c r="P210" s="89"/>
      <c r="Q210" s="89"/>
      <c r="R210" s="89"/>
      <c r="S210" s="89"/>
      <c r="T210" s="89"/>
      <c r="U210" s="89"/>
      <c r="V210" s="89"/>
      <c r="W210" s="89"/>
      <c r="X210" s="89"/>
      <c r="Y210" s="89"/>
      <c r="Z210" s="89"/>
      <c r="AA210" s="89"/>
      <c r="AB210" s="89"/>
      <c r="AC210" s="89"/>
      <c r="AD210" s="89"/>
      <c r="AE210" s="89"/>
      <c r="AF210" s="89"/>
      <c r="AG210" s="89"/>
      <c r="AH210" s="89"/>
      <c r="AI210" s="89"/>
      <c r="AJ210" s="89"/>
      <c r="AK210" s="89"/>
      <c r="AL210" s="89"/>
      <c r="AM210" s="89"/>
      <c r="AN210" s="89"/>
      <c r="AO210" s="89"/>
      <c r="AP210" s="89"/>
      <c r="AQ210" s="89"/>
      <c r="AR210" s="89"/>
      <c r="AS210" s="89"/>
      <c r="AT210" s="89"/>
      <c r="AU210" s="89"/>
      <c r="AV210" s="89"/>
      <c r="AW210" s="89"/>
      <c r="AX210" s="89"/>
      <c r="AY210" s="89"/>
      <c r="AZ210" s="89"/>
      <c r="BA210" s="89"/>
      <c r="BB210" s="89"/>
      <c r="BC210" s="89"/>
    </row>
    <row r="211">
      <c r="A211" s="89"/>
      <c r="B211" s="89"/>
      <c r="C211" s="89"/>
      <c r="D211" s="89"/>
      <c r="E211" s="89"/>
      <c r="F211" s="89"/>
      <c r="G211" s="89"/>
      <c r="H211" s="89"/>
      <c r="I211" s="89"/>
      <c r="J211" s="89"/>
      <c r="K211" s="89"/>
      <c r="L211" s="89"/>
      <c r="M211" s="89"/>
      <c r="N211" s="89"/>
      <c r="O211" s="89"/>
      <c r="P211" s="89"/>
      <c r="Q211" s="89"/>
      <c r="R211" s="89"/>
      <c r="S211" s="89"/>
      <c r="T211" s="89"/>
      <c r="U211" s="89"/>
      <c r="V211" s="89"/>
      <c r="W211" s="89"/>
      <c r="X211" s="89"/>
      <c r="Y211" s="89"/>
      <c r="Z211" s="89"/>
      <c r="AA211" s="89"/>
      <c r="AB211" s="89"/>
      <c r="AC211" s="89"/>
      <c r="AD211" s="89"/>
      <c r="AE211" s="89"/>
      <c r="AF211" s="89"/>
      <c r="AG211" s="89"/>
      <c r="AH211" s="89"/>
      <c r="AI211" s="89"/>
      <c r="AJ211" s="89"/>
      <c r="AK211" s="89"/>
      <c r="AL211" s="89"/>
      <c r="AM211" s="89"/>
      <c r="AN211" s="89"/>
      <c r="AO211" s="89"/>
      <c r="AP211" s="89"/>
      <c r="AQ211" s="89"/>
      <c r="AR211" s="89"/>
      <c r="AS211" s="89"/>
      <c r="AT211" s="89"/>
      <c r="AU211" s="89"/>
      <c r="AV211" s="89"/>
      <c r="AW211" s="89"/>
      <c r="AX211" s="89"/>
      <c r="AY211" s="89"/>
      <c r="AZ211" s="89"/>
      <c r="BA211" s="89"/>
      <c r="BB211" s="89"/>
      <c r="BC211" s="89"/>
    </row>
    <row r="212">
      <c r="A212" s="89"/>
      <c r="B212" s="89"/>
      <c r="C212" s="89"/>
      <c r="D212" s="89"/>
      <c r="E212" s="89"/>
      <c r="F212" s="89"/>
      <c r="G212" s="89"/>
      <c r="H212" s="89"/>
      <c r="I212" s="89"/>
      <c r="J212" s="89"/>
      <c r="K212" s="89"/>
      <c r="L212" s="89"/>
      <c r="M212" s="89"/>
      <c r="N212" s="89"/>
      <c r="O212" s="89"/>
      <c r="P212" s="89"/>
      <c r="Q212" s="89"/>
      <c r="R212" s="89"/>
      <c r="S212" s="89"/>
      <c r="T212" s="89"/>
      <c r="U212" s="89"/>
      <c r="V212" s="89"/>
      <c r="W212" s="89"/>
      <c r="X212" s="89"/>
      <c r="Y212" s="89"/>
      <c r="Z212" s="89"/>
      <c r="AA212" s="89"/>
      <c r="AB212" s="89"/>
      <c r="AC212" s="89"/>
      <c r="AD212" s="89"/>
      <c r="AE212" s="89"/>
      <c r="AF212" s="89"/>
      <c r="AG212" s="89"/>
      <c r="AH212" s="89"/>
      <c r="AI212" s="89"/>
      <c r="AJ212" s="89"/>
      <c r="AK212" s="89"/>
      <c r="AL212" s="89"/>
      <c r="AM212" s="89"/>
      <c r="AN212" s="89"/>
      <c r="AO212" s="89"/>
      <c r="AP212" s="89"/>
      <c r="AQ212" s="89"/>
      <c r="AR212" s="89"/>
      <c r="AS212" s="89"/>
      <c r="AT212" s="89"/>
      <c r="AU212" s="89"/>
      <c r="AV212" s="89"/>
      <c r="AW212" s="89"/>
      <c r="AX212" s="89"/>
      <c r="AY212" s="89"/>
      <c r="AZ212" s="89"/>
      <c r="BA212" s="89"/>
      <c r="BB212" s="89"/>
      <c r="BC212" s="89"/>
    </row>
    <row r="213">
      <c r="A213" s="89"/>
      <c r="B213" s="89"/>
      <c r="C213" s="89"/>
      <c r="D213" s="89"/>
      <c r="E213" s="89"/>
      <c r="F213" s="89"/>
      <c r="G213" s="89"/>
      <c r="H213" s="89"/>
      <c r="I213" s="89"/>
      <c r="J213" s="89"/>
      <c r="K213" s="89"/>
      <c r="L213" s="89"/>
      <c r="M213" s="89"/>
      <c r="N213" s="89"/>
      <c r="O213" s="89"/>
      <c r="P213" s="89"/>
      <c r="Q213" s="89"/>
      <c r="R213" s="89"/>
      <c r="S213" s="89"/>
      <c r="T213" s="89"/>
      <c r="U213" s="89"/>
      <c r="V213" s="89"/>
      <c r="W213" s="89"/>
      <c r="X213" s="89"/>
      <c r="Y213" s="89"/>
      <c r="Z213" s="89"/>
      <c r="AA213" s="89"/>
      <c r="AB213" s="89"/>
      <c r="AC213" s="89"/>
      <c r="AD213" s="89"/>
      <c r="AE213" s="89"/>
      <c r="AF213" s="89"/>
      <c r="AG213" s="89"/>
      <c r="AH213" s="89"/>
      <c r="AI213" s="89"/>
      <c r="AJ213" s="89"/>
      <c r="AK213" s="89"/>
      <c r="AL213" s="89"/>
      <c r="AM213" s="89"/>
      <c r="AN213" s="89"/>
      <c r="AO213" s="89"/>
      <c r="AP213" s="89"/>
      <c r="AQ213" s="89"/>
      <c r="AR213" s="89"/>
      <c r="AS213" s="89"/>
      <c r="AT213" s="89"/>
      <c r="AU213" s="89"/>
      <c r="AV213" s="89"/>
      <c r="AW213" s="89"/>
      <c r="AX213" s="89"/>
      <c r="AY213" s="89"/>
      <c r="AZ213" s="89"/>
      <c r="BA213" s="89"/>
      <c r="BB213" s="89"/>
      <c r="BC213" s="89"/>
    </row>
    <row r="214">
      <c r="A214" s="89"/>
      <c r="B214" s="89"/>
      <c r="C214" s="89"/>
      <c r="D214" s="89"/>
      <c r="E214" s="89"/>
      <c r="F214" s="89"/>
      <c r="G214" s="89"/>
      <c r="H214" s="89"/>
      <c r="I214" s="89"/>
      <c r="J214" s="89"/>
      <c r="K214" s="89"/>
      <c r="L214" s="89"/>
      <c r="M214" s="89"/>
      <c r="N214" s="89"/>
      <c r="O214" s="89"/>
      <c r="P214" s="89"/>
      <c r="Q214" s="89"/>
      <c r="R214" s="89"/>
      <c r="S214" s="89"/>
      <c r="T214" s="89"/>
      <c r="U214" s="89"/>
      <c r="V214" s="89"/>
      <c r="W214" s="89"/>
      <c r="X214" s="89"/>
      <c r="Y214" s="89"/>
      <c r="Z214" s="89"/>
      <c r="AA214" s="89"/>
      <c r="AB214" s="89"/>
      <c r="AC214" s="89"/>
      <c r="AD214" s="89"/>
      <c r="AE214" s="89"/>
      <c r="AF214" s="89"/>
      <c r="AG214" s="89"/>
      <c r="AH214" s="89"/>
      <c r="AI214" s="89"/>
      <c r="AJ214" s="89"/>
      <c r="AK214" s="89"/>
      <c r="AL214" s="89"/>
      <c r="AM214" s="89"/>
      <c r="AN214" s="89"/>
      <c r="AO214" s="89"/>
      <c r="AP214" s="89"/>
      <c r="AQ214" s="89"/>
      <c r="AR214" s="89"/>
      <c r="AS214" s="89"/>
      <c r="AT214" s="89"/>
      <c r="AU214" s="89"/>
      <c r="AV214" s="89"/>
      <c r="AW214" s="89"/>
      <c r="AX214" s="89"/>
      <c r="AY214" s="89"/>
      <c r="AZ214" s="89"/>
      <c r="BA214" s="89"/>
      <c r="BB214" s="89"/>
      <c r="BC214" s="89"/>
    </row>
    <row r="215">
      <c r="A215" s="89"/>
      <c r="B215" s="89"/>
      <c r="C215" s="89"/>
      <c r="D215" s="89"/>
      <c r="E215" s="89"/>
      <c r="F215" s="89"/>
      <c r="G215" s="89"/>
      <c r="H215" s="89"/>
      <c r="I215" s="89"/>
      <c r="J215" s="89"/>
      <c r="K215" s="89"/>
      <c r="L215" s="89"/>
      <c r="M215" s="89"/>
      <c r="N215" s="89"/>
      <c r="O215" s="89"/>
      <c r="P215" s="89"/>
      <c r="Q215" s="89"/>
      <c r="R215" s="89"/>
      <c r="S215" s="89"/>
      <c r="T215" s="89"/>
      <c r="U215" s="89"/>
      <c r="V215" s="89"/>
      <c r="W215" s="89"/>
      <c r="X215" s="89"/>
      <c r="Y215" s="89"/>
      <c r="Z215" s="89"/>
      <c r="AA215" s="89"/>
      <c r="AB215" s="89"/>
      <c r="AC215" s="89"/>
      <c r="AD215" s="89"/>
      <c r="AE215" s="89"/>
      <c r="AF215" s="89"/>
      <c r="AG215" s="89"/>
      <c r="AH215" s="89"/>
      <c r="AI215" s="89"/>
      <c r="AJ215" s="89"/>
      <c r="AK215" s="89"/>
      <c r="AL215" s="89"/>
      <c r="AM215" s="89"/>
      <c r="AN215" s="89"/>
      <c r="AO215" s="89"/>
      <c r="AP215" s="89"/>
      <c r="AQ215" s="89"/>
      <c r="AR215" s="89"/>
      <c r="AS215" s="89"/>
      <c r="AT215" s="89"/>
      <c r="AU215" s="89"/>
      <c r="AV215" s="89"/>
      <c r="AW215" s="89"/>
      <c r="AX215" s="89"/>
      <c r="AY215" s="89"/>
      <c r="AZ215" s="89"/>
      <c r="BA215" s="89"/>
      <c r="BB215" s="89"/>
      <c r="BC215" s="89"/>
    </row>
    <row r="216">
      <c r="A216" s="89"/>
      <c r="B216" s="89"/>
      <c r="C216" s="89"/>
      <c r="D216" s="89"/>
      <c r="E216" s="89"/>
      <c r="F216" s="89"/>
      <c r="G216" s="89"/>
      <c r="H216" s="89"/>
      <c r="I216" s="89"/>
      <c r="J216" s="89"/>
      <c r="K216" s="89"/>
      <c r="L216" s="89"/>
      <c r="M216" s="89"/>
      <c r="N216" s="89"/>
      <c r="O216" s="89"/>
      <c r="P216" s="89"/>
      <c r="Q216" s="89"/>
      <c r="R216" s="89"/>
      <c r="S216" s="89"/>
      <c r="T216" s="89"/>
      <c r="U216" s="89"/>
      <c r="V216" s="89"/>
      <c r="W216" s="89"/>
      <c r="X216" s="89"/>
      <c r="Y216" s="89"/>
      <c r="Z216" s="89"/>
      <c r="AA216" s="89"/>
      <c r="AB216" s="89"/>
      <c r="AC216" s="89"/>
      <c r="AD216" s="89"/>
      <c r="AE216" s="89"/>
      <c r="AF216" s="89"/>
      <c r="AG216" s="89"/>
      <c r="AH216" s="89"/>
      <c r="AI216" s="89"/>
      <c r="AJ216" s="89"/>
      <c r="AK216" s="89"/>
      <c r="AL216" s="89"/>
      <c r="AM216" s="89"/>
      <c r="AN216" s="89"/>
      <c r="AO216" s="89"/>
      <c r="AP216" s="89"/>
      <c r="AQ216" s="89"/>
      <c r="AR216" s="89"/>
      <c r="AS216" s="89"/>
      <c r="AT216" s="89"/>
      <c r="AU216" s="89"/>
      <c r="AV216" s="89"/>
      <c r="AW216" s="89"/>
      <c r="AX216" s="89"/>
      <c r="AY216" s="89"/>
      <c r="AZ216" s="89"/>
      <c r="BA216" s="89"/>
      <c r="BB216" s="89"/>
      <c r="BC216" s="89"/>
    </row>
  </sheetData>
  <conditionalFormatting sqref="A2:A1000">
    <cfRule type="cellIs" dxfId="7" priority="1" operator="equal">
      <formula>1</formula>
    </cfRule>
  </conditionalFormatting>
  <conditionalFormatting sqref="A2:A1000">
    <cfRule type="cellIs" dxfId="8" priority="2" operator="equal">
      <formula>0</formula>
    </cfRule>
  </conditionalFormatting>
  <dataValidations>
    <dataValidation type="custom" allowBlank="1" showDropDown="1" sqref="A2:A118 D2:D118 N2:N118 P2:Q118">
      <formula1>AND(ISNUMBER(A2),(NOT(OR(NOT(ISERROR(DATEVALUE(A2))), AND(ISNUMBER(A2), LEFT(CELL("format", A2))="D")))))</formula1>
    </dataValidation>
    <dataValidation type="list" allowBlank="1" showDropDown="1" showErrorMessage="1" sqref="B2:B118">
      <formula1>"IC7,IC8,IC9,IC6,IC9,IC8,IC7,EC5,EC6,EC5 - DOUBLE CHECK"</formula1>
    </dataValidation>
  </dataValidations>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cols>
    <col customWidth="1" min="1" max="1" width="45.57"/>
    <col customWidth="1" min="2" max="2" width="25.86"/>
    <col customWidth="1" min="3" max="3" width="15.57"/>
    <col customWidth="1" min="4" max="4" width="43.0"/>
    <col customWidth="1" hidden="1" min="5" max="5" width="43.0"/>
    <col customWidth="1" min="6" max="6" width="43.0"/>
    <col customWidth="1" min="7" max="7" width="20.29"/>
    <col customWidth="1" min="8" max="8" width="27.43"/>
    <col customWidth="1" min="9" max="9" width="27.57"/>
    <col customWidth="1" min="10" max="25" width="12.29"/>
    <col customWidth="1" min="26" max="26" width="16.57"/>
    <col customWidth="1" min="27" max="27" width="10.14"/>
    <col customWidth="1" min="28" max="50" width="34.43"/>
    <col customWidth="1" hidden="1" min="51" max="51" width="34.43"/>
    <col customWidth="1" min="52" max="56" width="34.43"/>
  </cols>
  <sheetData>
    <row r="1" ht="24.0" customHeight="1">
      <c r="A1" s="94"/>
      <c r="B1" s="95"/>
      <c r="C1" s="95"/>
      <c r="D1" s="95"/>
      <c r="E1" s="95"/>
      <c r="F1" s="95"/>
      <c r="G1" s="95"/>
      <c r="H1" s="95"/>
      <c r="I1" s="95"/>
      <c r="J1" s="96" t="s">
        <v>31795</v>
      </c>
      <c r="R1" s="97" t="s">
        <v>31795</v>
      </c>
      <c r="Z1" s="96"/>
      <c r="AA1" s="96"/>
      <c r="AB1" s="98" t="s">
        <v>31796</v>
      </c>
      <c r="AH1" s="99" t="s">
        <v>136</v>
      </c>
      <c r="AT1" s="100" t="s">
        <v>188</v>
      </c>
    </row>
    <row r="2">
      <c r="A2" s="94"/>
      <c r="B2" s="95"/>
      <c r="C2" s="95"/>
      <c r="D2" s="95"/>
      <c r="E2" s="95"/>
      <c r="F2" s="95"/>
      <c r="G2" s="95"/>
      <c r="H2" s="95"/>
      <c r="I2" s="95"/>
      <c r="Z2" s="96"/>
      <c r="AA2" s="96"/>
      <c r="AB2" s="101" t="s">
        <v>108</v>
      </c>
      <c r="AE2" s="101" t="s">
        <v>31797</v>
      </c>
      <c r="AH2" s="99" t="s">
        <v>137</v>
      </c>
      <c r="AL2" s="99" t="s">
        <v>31798</v>
      </c>
      <c r="AP2" s="99" t="s">
        <v>31799</v>
      </c>
      <c r="AT2" s="100" t="s">
        <v>189</v>
      </c>
      <c r="AW2" s="100" t="s">
        <v>31798</v>
      </c>
      <c r="BA2" s="100" t="s">
        <v>31799</v>
      </c>
    </row>
    <row r="3">
      <c r="A3" s="94"/>
      <c r="B3" s="95"/>
      <c r="C3" s="95"/>
      <c r="D3" s="95"/>
      <c r="E3" s="95"/>
      <c r="F3" s="95"/>
      <c r="G3" s="95"/>
      <c r="H3" s="95"/>
      <c r="I3" s="95"/>
      <c r="Z3" s="96"/>
      <c r="AA3" s="96"/>
      <c r="AB3" s="102" t="s">
        <v>31800</v>
      </c>
      <c r="AE3" s="102" t="s">
        <v>31801</v>
      </c>
      <c r="AH3" s="103" t="s">
        <v>31802</v>
      </c>
      <c r="AL3" s="103" t="s">
        <v>31803</v>
      </c>
      <c r="AP3" s="103" t="s">
        <v>31804</v>
      </c>
      <c r="AT3" s="104" t="s">
        <v>31805</v>
      </c>
      <c r="AW3" s="104" t="s">
        <v>31806</v>
      </c>
      <c r="BA3" s="104" t="s">
        <v>31807</v>
      </c>
    </row>
    <row r="4" ht="22.5" customHeight="1">
      <c r="A4" s="105" t="s">
        <v>269</v>
      </c>
      <c r="B4" s="106" t="s">
        <v>375</v>
      </c>
      <c r="C4" s="107" t="s">
        <v>265</v>
      </c>
      <c r="D4" s="107" t="s">
        <v>268</v>
      </c>
      <c r="E4" s="107" t="s">
        <v>270</v>
      </c>
      <c r="F4" s="107" t="s">
        <v>273</v>
      </c>
      <c r="G4" s="107" t="s">
        <v>31808</v>
      </c>
      <c r="H4" s="107" t="s">
        <v>31809</v>
      </c>
      <c r="I4" s="107" t="s">
        <v>31810</v>
      </c>
      <c r="J4" s="108" t="s">
        <v>31811</v>
      </c>
      <c r="K4" s="108" t="s">
        <v>31812</v>
      </c>
      <c r="L4" s="108" t="s">
        <v>31813</v>
      </c>
      <c r="M4" s="108" t="s">
        <v>31814</v>
      </c>
      <c r="N4" s="108" t="s">
        <v>31815</v>
      </c>
      <c r="O4" s="108" t="s">
        <v>31816</v>
      </c>
      <c r="P4" s="108" t="s">
        <v>31817</v>
      </c>
      <c r="Q4" s="108" t="s">
        <v>31818</v>
      </c>
      <c r="R4" s="109" t="s">
        <v>40</v>
      </c>
      <c r="S4" s="109" t="s">
        <v>44</v>
      </c>
      <c r="T4" s="109" t="s">
        <v>48</v>
      </c>
      <c r="U4" s="109" t="s">
        <v>31819</v>
      </c>
      <c r="V4" s="109" t="s">
        <v>31820</v>
      </c>
      <c r="W4" s="109" t="s">
        <v>31821</v>
      </c>
      <c r="X4" s="109" t="s">
        <v>31822</v>
      </c>
      <c r="Y4" s="109" t="s">
        <v>31823</v>
      </c>
      <c r="Z4" s="110" t="s">
        <v>29298</v>
      </c>
      <c r="AA4" s="110" t="s">
        <v>31824</v>
      </c>
      <c r="AB4" s="111" t="s">
        <v>31825</v>
      </c>
      <c r="AC4" s="107" t="s">
        <v>31826</v>
      </c>
      <c r="AD4" s="107" t="s">
        <v>31827</v>
      </c>
      <c r="AE4" s="111" t="s">
        <v>31828</v>
      </c>
      <c r="AF4" s="107" t="s">
        <v>31829</v>
      </c>
      <c r="AG4" s="107" t="s">
        <v>31830</v>
      </c>
      <c r="AH4" s="111" t="s">
        <v>31831</v>
      </c>
      <c r="AI4" s="107" t="s">
        <v>31832</v>
      </c>
      <c r="AJ4" s="111" t="s">
        <v>31833</v>
      </c>
      <c r="AK4" s="107" t="s">
        <v>31834</v>
      </c>
      <c r="AL4" s="111" t="s">
        <v>31835</v>
      </c>
      <c r="AM4" s="107" t="s">
        <v>31836</v>
      </c>
      <c r="AN4" s="111" t="s">
        <v>31837</v>
      </c>
      <c r="AO4" s="107" t="s">
        <v>31838</v>
      </c>
      <c r="AP4" s="111" t="s">
        <v>31839</v>
      </c>
      <c r="AQ4" s="107" t="s">
        <v>31840</v>
      </c>
      <c r="AR4" s="111" t="s">
        <v>31841</v>
      </c>
      <c r="AS4" s="107" t="s">
        <v>31842</v>
      </c>
      <c r="AT4" s="111" t="s">
        <v>31843</v>
      </c>
      <c r="AU4" s="107" t="s">
        <v>31844</v>
      </c>
      <c r="AV4" s="107" t="s">
        <v>31845</v>
      </c>
      <c r="AW4" s="111" t="s">
        <v>31846</v>
      </c>
      <c r="AX4" s="107" t="s">
        <v>31847</v>
      </c>
      <c r="AY4" s="111" t="s">
        <v>31848</v>
      </c>
      <c r="AZ4" s="107" t="s">
        <v>31849</v>
      </c>
      <c r="BA4" s="111" t="s">
        <v>31850</v>
      </c>
      <c r="BB4" s="107" t="s">
        <v>31851</v>
      </c>
      <c r="BC4" s="111" t="s">
        <v>31852</v>
      </c>
      <c r="BD4" s="112" t="s">
        <v>31853</v>
      </c>
    </row>
    <row r="5" ht="22.5" customHeight="1">
      <c r="A5" s="113" t="s">
        <v>6061</v>
      </c>
      <c r="B5" s="114" t="s">
        <v>31854</v>
      </c>
      <c r="C5" s="115" t="s">
        <v>31855</v>
      </c>
      <c r="D5" s="115" t="s">
        <v>6060</v>
      </c>
      <c r="E5" s="115" t="s">
        <v>6062</v>
      </c>
      <c r="F5" s="115" t="s">
        <v>6064</v>
      </c>
      <c r="G5" s="116">
        <v>30.0</v>
      </c>
      <c r="H5" s="117">
        <v>45931.0</v>
      </c>
      <c r="I5" s="118" t="s">
        <v>31856</v>
      </c>
      <c r="J5" s="119" t="s">
        <v>31857</v>
      </c>
      <c r="K5" s="119" t="s">
        <v>31857</v>
      </c>
      <c r="L5" s="119" t="s">
        <v>31857</v>
      </c>
      <c r="M5" s="119" t="s">
        <v>31857</v>
      </c>
      <c r="N5" s="119" t="s">
        <v>31857</v>
      </c>
      <c r="O5" s="119" t="s">
        <v>31858</v>
      </c>
      <c r="P5" s="119" t="s">
        <v>31858</v>
      </c>
      <c r="Q5" s="119" t="s">
        <v>31858</v>
      </c>
      <c r="R5" s="120">
        <f t="shared" ref="R5:R44" si="1">COUNTIFS(AB5:AD5, "&lt;&gt;", AB5:AD5, "&lt;&gt;N/A")/COLUMNS(AB5:AD5)</f>
        <v>1</v>
      </c>
      <c r="S5" s="121">
        <f t="shared" ref="S5:S44" si="2">COUNTIFS(AE5:AG5, "&lt;&gt;", AE5:AG5, "&lt;&gt;N/A")/COLUMNS(AE5:AG5)</f>
        <v>0.6666666667</v>
      </c>
      <c r="T5" s="122">
        <f t="shared" ref="T5:T44" si="3">COUNTIFS(AH5:AK5, "&lt;&gt;", AH5:AK5, "&lt;&gt;N/A")/COLUMNS(AH5:AK5)</f>
        <v>0.75</v>
      </c>
      <c r="U5" s="122">
        <f t="shared" ref="U5:U44" si="4">COUNTIFS(AL5:AO5, "&lt;&gt;", AL5:AO5, "&lt;&gt;N/A")/COLUMNS(AL5:AO5)</f>
        <v>1</v>
      </c>
      <c r="V5" s="122">
        <f t="shared" ref="V5:V44" si="5">COUNTIFS(AP5:AS5, "&lt;&gt;", AP5:AS5, "&lt;&gt;N/A")/COLUMNS(AP5:AS5)</f>
        <v>0.5</v>
      </c>
      <c r="W5" s="123">
        <f t="shared" ref="W5:W44" si="6">COUNTIFS(AT5:AV5, "&lt;&gt;", AT5:AV5, "&lt;&gt;N/A")/COLUMNS(AT5:AV5)</f>
        <v>0</v>
      </c>
      <c r="X5" s="122">
        <f t="shared" ref="X5:X44" si="7">COUNTIFS(AW5:AZ5, "&lt;&gt;", AW5:AZ5, "&lt;&gt;N/A")/COLUMNS(AW5:AZ5)</f>
        <v>0</v>
      </c>
      <c r="Y5" s="122">
        <f t="shared" ref="Y5:Y44" si="8">COUNTIFS(BA5:BD5, "&lt;&gt;", BA5:BD5, "&lt;&gt;N/A")/COLUMNS(BA5:BD5)</f>
        <v>0</v>
      </c>
      <c r="Z5" s="119" t="s">
        <v>31859</v>
      </c>
      <c r="AA5" s="119" t="str">
        <f t="shared" ref="AA5:AA44" si="9">IF(COUNTA(AB5:BD5)=COLUMNS(AB5:BD5), "True", "")</f>
        <v>True</v>
      </c>
      <c r="AB5" s="124" t="s">
        <v>31860</v>
      </c>
      <c r="AC5" s="125" t="s">
        <v>31861</v>
      </c>
      <c r="AD5" s="125" t="s">
        <v>31862</v>
      </c>
      <c r="AE5" s="125" t="s">
        <v>31863</v>
      </c>
      <c r="AF5" s="125" t="s">
        <v>31864</v>
      </c>
      <c r="AG5" s="125" t="s">
        <v>31865</v>
      </c>
      <c r="AH5" s="125" t="s">
        <v>31866</v>
      </c>
      <c r="AI5" s="125" t="s">
        <v>31865</v>
      </c>
      <c r="AJ5" s="125" t="s">
        <v>31867</v>
      </c>
      <c r="AK5" s="125" t="s">
        <v>31868</v>
      </c>
      <c r="AL5" s="125" t="s">
        <v>31869</v>
      </c>
      <c r="AM5" s="125" t="s">
        <v>31870</v>
      </c>
      <c r="AN5" s="125" t="s">
        <v>31871</v>
      </c>
      <c r="AO5" s="125" t="s">
        <v>31872</v>
      </c>
      <c r="AP5" s="125" t="s">
        <v>31873</v>
      </c>
      <c r="AQ5" s="125" t="s">
        <v>31874</v>
      </c>
      <c r="AR5" s="125" t="s">
        <v>31865</v>
      </c>
      <c r="AS5" s="125" t="s">
        <v>31865</v>
      </c>
      <c r="AT5" s="125" t="s">
        <v>31865</v>
      </c>
      <c r="AU5" s="125" t="s">
        <v>31865</v>
      </c>
      <c r="AV5" s="125" t="s">
        <v>31865</v>
      </c>
      <c r="AW5" s="125" t="s">
        <v>31865</v>
      </c>
      <c r="AX5" s="125" t="s">
        <v>31865</v>
      </c>
      <c r="AY5" s="125" t="s">
        <v>31865</v>
      </c>
      <c r="AZ5" s="125" t="s">
        <v>31865</v>
      </c>
      <c r="BA5" s="125" t="s">
        <v>31865</v>
      </c>
      <c r="BB5" s="125" t="s">
        <v>31865</v>
      </c>
      <c r="BC5" s="125" t="s">
        <v>31865</v>
      </c>
      <c r="BD5" s="126" t="s">
        <v>31865</v>
      </c>
    </row>
    <row r="6" ht="22.5" customHeight="1">
      <c r="A6" s="127" t="s">
        <v>29279</v>
      </c>
      <c r="B6" s="114" t="s">
        <v>31854</v>
      </c>
      <c r="C6" s="128" t="s">
        <v>31875</v>
      </c>
      <c r="D6" s="128" t="s">
        <v>29278</v>
      </c>
      <c r="E6" s="128" t="s">
        <v>18018</v>
      </c>
      <c r="F6" s="128" t="s">
        <v>29280</v>
      </c>
      <c r="G6" s="116">
        <v>60.0</v>
      </c>
      <c r="H6" s="129">
        <v>45937.0</v>
      </c>
      <c r="I6" s="130" t="s">
        <v>31856</v>
      </c>
      <c r="J6" s="119" t="s">
        <v>31857</v>
      </c>
      <c r="K6" s="119" t="s">
        <v>31857</v>
      </c>
      <c r="L6" s="119" t="s">
        <v>31857</v>
      </c>
      <c r="M6" s="119" t="s">
        <v>31858</v>
      </c>
      <c r="N6" s="119" t="s">
        <v>31857</v>
      </c>
      <c r="O6" s="119" t="s">
        <v>31857</v>
      </c>
      <c r="P6" s="119" t="s">
        <v>31857</v>
      </c>
      <c r="Q6" s="119" t="s">
        <v>31858</v>
      </c>
      <c r="R6" s="120">
        <f t="shared" si="1"/>
        <v>1</v>
      </c>
      <c r="S6" s="121">
        <f t="shared" si="2"/>
        <v>1</v>
      </c>
      <c r="T6" s="122">
        <f t="shared" si="3"/>
        <v>0.75</v>
      </c>
      <c r="U6" s="122">
        <f t="shared" si="4"/>
        <v>0.5</v>
      </c>
      <c r="V6" s="122">
        <f t="shared" si="5"/>
        <v>1</v>
      </c>
      <c r="W6" s="123">
        <f t="shared" si="6"/>
        <v>1</v>
      </c>
      <c r="X6" s="122">
        <f t="shared" si="7"/>
        <v>0.75</v>
      </c>
      <c r="Y6" s="122">
        <f t="shared" si="8"/>
        <v>0</v>
      </c>
      <c r="Z6" s="119" t="s">
        <v>31859</v>
      </c>
      <c r="AA6" s="119" t="str">
        <f t="shared" si="9"/>
        <v>True</v>
      </c>
      <c r="AB6" s="131" t="s">
        <v>31876</v>
      </c>
      <c r="AC6" s="132" t="s">
        <v>31876</v>
      </c>
      <c r="AD6" s="132" t="s">
        <v>31877</v>
      </c>
      <c r="AE6" s="132" t="s">
        <v>31878</v>
      </c>
      <c r="AF6" s="132" t="s">
        <v>31879</v>
      </c>
      <c r="AG6" s="132" t="s">
        <v>31880</v>
      </c>
      <c r="AH6" s="132" t="s">
        <v>31881</v>
      </c>
      <c r="AI6" s="132" t="s">
        <v>31882</v>
      </c>
      <c r="AJ6" s="132" t="s">
        <v>31865</v>
      </c>
      <c r="AK6" s="132" t="s">
        <v>31883</v>
      </c>
      <c r="AL6" s="132" t="s">
        <v>31884</v>
      </c>
      <c r="AM6" s="132" t="s">
        <v>31865</v>
      </c>
      <c r="AN6" s="132" t="s">
        <v>31865</v>
      </c>
      <c r="AO6" s="132" t="s">
        <v>31885</v>
      </c>
      <c r="AP6" s="132" t="s">
        <v>31873</v>
      </c>
      <c r="AQ6" s="132" t="s">
        <v>31886</v>
      </c>
      <c r="AR6" s="132" t="s">
        <v>31887</v>
      </c>
      <c r="AS6" s="132" t="s">
        <v>31888</v>
      </c>
      <c r="AT6" s="132" t="s">
        <v>31889</v>
      </c>
      <c r="AU6" s="132" t="s">
        <v>31890</v>
      </c>
      <c r="AV6" s="132" t="s">
        <v>31891</v>
      </c>
      <c r="AW6" s="132" t="s">
        <v>31892</v>
      </c>
      <c r="AX6" s="132" t="s">
        <v>31893</v>
      </c>
      <c r="AY6" s="132" t="s">
        <v>31865</v>
      </c>
      <c r="AZ6" s="132" t="s">
        <v>31894</v>
      </c>
      <c r="BA6" s="132" t="s">
        <v>31865</v>
      </c>
      <c r="BB6" s="132" t="s">
        <v>31865</v>
      </c>
      <c r="BC6" s="132" t="s">
        <v>31865</v>
      </c>
      <c r="BD6" s="133" t="s">
        <v>31865</v>
      </c>
    </row>
    <row r="7" ht="22.5" customHeight="1">
      <c r="A7" s="113" t="s">
        <v>1272</v>
      </c>
      <c r="B7" s="114" t="s">
        <v>31854</v>
      </c>
      <c r="C7" s="115" t="s">
        <v>31895</v>
      </c>
      <c r="D7" s="115" t="s">
        <v>1271</v>
      </c>
      <c r="E7" s="115" t="s">
        <v>1273</v>
      </c>
      <c r="F7" s="115" t="s">
        <v>1275</v>
      </c>
      <c r="G7" s="116">
        <v>60.0</v>
      </c>
      <c r="H7" s="117">
        <v>45937.0</v>
      </c>
      <c r="I7" s="118" t="s">
        <v>31856</v>
      </c>
      <c r="J7" s="119" t="s">
        <v>31857</v>
      </c>
      <c r="K7" s="119" t="s">
        <v>31858</v>
      </c>
      <c r="L7" s="119" t="s">
        <v>31857</v>
      </c>
      <c r="M7" s="119" t="s">
        <v>31857</v>
      </c>
      <c r="N7" s="119" t="s">
        <v>31857</v>
      </c>
      <c r="O7" s="119" t="s">
        <v>31857</v>
      </c>
      <c r="P7" s="119" t="s">
        <v>31857</v>
      </c>
      <c r="Q7" s="119" t="s">
        <v>31857</v>
      </c>
      <c r="R7" s="120">
        <f t="shared" si="1"/>
        <v>1</v>
      </c>
      <c r="S7" s="121">
        <f t="shared" si="2"/>
        <v>0</v>
      </c>
      <c r="T7" s="122">
        <f t="shared" si="3"/>
        <v>1</v>
      </c>
      <c r="U7" s="122">
        <f t="shared" si="4"/>
        <v>1</v>
      </c>
      <c r="V7" s="122">
        <f t="shared" si="5"/>
        <v>1</v>
      </c>
      <c r="W7" s="123">
        <f t="shared" si="6"/>
        <v>1</v>
      </c>
      <c r="X7" s="122">
        <f t="shared" si="7"/>
        <v>1</v>
      </c>
      <c r="Y7" s="122">
        <f t="shared" si="8"/>
        <v>1</v>
      </c>
      <c r="Z7" s="119" t="s">
        <v>31859</v>
      </c>
      <c r="AA7" s="119" t="str">
        <f t="shared" si="9"/>
        <v>True</v>
      </c>
      <c r="AB7" s="124" t="s">
        <v>31876</v>
      </c>
      <c r="AC7" s="125" t="s">
        <v>31896</v>
      </c>
      <c r="AD7" s="125" t="s">
        <v>31897</v>
      </c>
      <c r="AE7" s="125" t="s">
        <v>31865</v>
      </c>
      <c r="AF7" s="125" t="s">
        <v>31865</v>
      </c>
      <c r="AG7" s="125" t="s">
        <v>31865</v>
      </c>
      <c r="AH7" s="125" t="s">
        <v>31898</v>
      </c>
      <c r="AI7" s="125" t="s">
        <v>31882</v>
      </c>
      <c r="AJ7" s="125" t="s">
        <v>31899</v>
      </c>
      <c r="AK7" s="125" t="s">
        <v>31900</v>
      </c>
      <c r="AL7" s="125" t="s">
        <v>31901</v>
      </c>
      <c r="AM7" s="125" t="s">
        <v>31902</v>
      </c>
      <c r="AN7" s="125" t="s">
        <v>31903</v>
      </c>
      <c r="AO7" s="125" t="s">
        <v>31904</v>
      </c>
      <c r="AP7" s="125" t="s">
        <v>31905</v>
      </c>
      <c r="AQ7" s="125" t="s">
        <v>31906</v>
      </c>
      <c r="AR7" s="125" t="s">
        <v>31907</v>
      </c>
      <c r="AS7" s="125" t="s">
        <v>31908</v>
      </c>
      <c r="AT7" s="125" t="s">
        <v>31909</v>
      </c>
      <c r="AU7" s="125" t="s">
        <v>31910</v>
      </c>
      <c r="AV7" s="125" t="s">
        <v>31911</v>
      </c>
      <c r="AW7" s="125" t="s">
        <v>31912</v>
      </c>
      <c r="AX7" s="125" t="s">
        <v>31913</v>
      </c>
      <c r="AY7" s="125" t="s">
        <v>31914</v>
      </c>
      <c r="AZ7" s="125" t="s">
        <v>31915</v>
      </c>
      <c r="BA7" s="125" t="s">
        <v>31916</v>
      </c>
      <c r="BB7" s="125" t="s">
        <v>31917</v>
      </c>
      <c r="BC7" s="125" t="s">
        <v>31918</v>
      </c>
      <c r="BD7" s="126" t="s">
        <v>31919</v>
      </c>
    </row>
    <row r="8" ht="22.5" customHeight="1">
      <c r="A8" s="127" t="s">
        <v>24343</v>
      </c>
      <c r="B8" s="114" t="s">
        <v>31854</v>
      </c>
      <c r="C8" s="128" t="s">
        <v>31920</v>
      </c>
      <c r="D8" s="128" t="s">
        <v>24342</v>
      </c>
      <c r="E8" s="128" t="s">
        <v>16959</v>
      </c>
      <c r="F8" s="128" t="s">
        <v>24344</v>
      </c>
      <c r="G8" s="116">
        <v>90.0</v>
      </c>
      <c r="H8" s="129">
        <v>45950.0</v>
      </c>
      <c r="I8" s="130" t="s">
        <v>31856</v>
      </c>
      <c r="J8" s="119" t="s">
        <v>31857</v>
      </c>
      <c r="K8" s="119" t="s">
        <v>31857</v>
      </c>
      <c r="L8" s="119" t="s">
        <v>31857</v>
      </c>
      <c r="M8" s="119" t="s">
        <v>31857</v>
      </c>
      <c r="N8" s="119" t="s">
        <v>31857</v>
      </c>
      <c r="O8" s="119" t="s">
        <v>31857</v>
      </c>
      <c r="P8" s="119" t="s">
        <v>31857</v>
      </c>
      <c r="Q8" s="119" t="s">
        <v>31857</v>
      </c>
      <c r="R8" s="120">
        <f t="shared" si="1"/>
        <v>1</v>
      </c>
      <c r="S8" s="121">
        <f t="shared" si="2"/>
        <v>1</v>
      </c>
      <c r="T8" s="122">
        <f t="shared" si="3"/>
        <v>1</v>
      </c>
      <c r="U8" s="122">
        <f t="shared" si="4"/>
        <v>0.75</v>
      </c>
      <c r="V8" s="122">
        <f t="shared" si="5"/>
        <v>1</v>
      </c>
      <c r="W8" s="123">
        <f t="shared" si="6"/>
        <v>1</v>
      </c>
      <c r="X8" s="122">
        <f t="shared" si="7"/>
        <v>0.75</v>
      </c>
      <c r="Y8" s="122">
        <f t="shared" si="8"/>
        <v>0.75</v>
      </c>
      <c r="Z8" s="119" t="s">
        <v>31859</v>
      </c>
      <c r="AA8" s="119" t="str">
        <f t="shared" si="9"/>
        <v>True</v>
      </c>
      <c r="AB8" s="124" t="s">
        <v>31860</v>
      </c>
      <c r="AC8" s="132" t="s">
        <v>31876</v>
      </c>
      <c r="AD8" s="132" t="s">
        <v>31921</v>
      </c>
      <c r="AE8" s="132" t="s">
        <v>31922</v>
      </c>
      <c r="AF8" s="132" t="s">
        <v>31923</v>
      </c>
      <c r="AG8" s="132" t="s">
        <v>31924</v>
      </c>
      <c r="AH8" s="132" t="s">
        <v>31925</v>
      </c>
      <c r="AI8" s="132" t="s">
        <v>31882</v>
      </c>
      <c r="AJ8" s="132" t="s">
        <v>31926</v>
      </c>
      <c r="AK8" s="132" t="s">
        <v>31927</v>
      </c>
      <c r="AL8" s="132" t="s">
        <v>31928</v>
      </c>
      <c r="AM8" s="132" t="s">
        <v>31865</v>
      </c>
      <c r="AN8" s="132" t="s">
        <v>31929</v>
      </c>
      <c r="AO8" s="132" t="s">
        <v>31930</v>
      </c>
      <c r="AP8" s="132" t="s">
        <v>31931</v>
      </c>
      <c r="AQ8" s="132" t="s">
        <v>31886</v>
      </c>
      <c r="AR8" s="132" t="s">
        <v>31932</v>
      </c>
      <c r="AS8" s="132" t="s">
        <v>31933</v>
      </c>
      <c r="AT8" s="132" t="s">
        <v>31934</v>
      </c>
      <c r="AU8" s="132" t="s">
        <v>31935</v>
      </c>
      <c r="AV8" s="132" t="s">
        <v>31936</v>
      </c>
      <c r="AW8" s="132" t="s">
        <v>31937</v>
      </c>
      <c r="AX8" s="132" t="s">
        <v>31938</v>
      </c>
      <c r="AY8" s="132" t="s">
        <v>31865</v>
      </c>
      <c r="AZ8" s="132" t="s">
        <v>31939</v>
      </c>
      <c r="BA8" s="132" t="s">
        <v>31940</v>
      </c>
      <c r="BB8" s="132" t="s">
        <v>31917</v>
      </c>
      <c r="BC8" s="132" t="s">
        <v>31865</v>
      </c>
      <c r="BD8" s="133" t="s">
        <v>31941</v>
      </c>
    </row>
    <row r="9" ht="22.5" customHeight="1">
      <c r="A9" s="134" t="s">
        <v>7145</v>
      </c>
      <c r="B9" s="114" t="s">
        <v>31854</v>
      </c>
      <c r="C9" s="135" t="s">
        <v>31942</v>
      </c>
      <c r="D9" s="135" t="s">
        <v>7144</v>
      </c>
      <c r="E9" s="135" t="s">
        <v>5002</v>
      </c>
      <c r="F9" s="135" t="s">
        <v>7146</v>
      </c>
      <c r="G9" s="136"/>
      <c r="H9" s="137">
        <v>45911.0</v>
      </c>
      <c r="I9" s="138" t="s">
        <v>31856</v>
      </c>
      <c r="J9" s="139" t="s">
        <v>31858</v>
      </c>
      <c r="K9" s="139" t="s">
        <v>31858</v>
      </c>
      <c r="L9" s="139" t="s">
        <v>31857</v>
      </c>
      <c r="M9" s="139" t="s">
        <v>31857</v>
      </c>
      <c r="N9" s="139" t="s">
        <v>31857</v>
      </c>
      <c r="O9" s="139" t="s">
        <v>31857</v>
      </c>
      <c r="P9" s="139" t="s">
        <v>31857</v>
      </c>
      <c r="Q9" s="139" t="s">
        <v>31858</v>
      </c>
      <c r="R9" s="120">
        <f t="shared" si="1"/>
        <v>0</v>
      </c>
      <c r="S9" s="121">
        <f t="shared" si="2"/>
        <v>0</v>
      </c>
      <c r="T9" s="122">
        <f t="shared" si="3"/>
        <v>1</v>
      </c>
      <c r="U9" s="122">
        <f t="shared" si="4"/>
        <v>1</v>
      </c>
      <c r="V9" s="122">
        <f t="shared" si="5"/>
        <v>1</v>
      </c>
      <c r="W9" s="123">
        <f t="shared" si="6"/>
        <v>1</v>
      </c>
      <c r="X9" s="122">
        <f t="shared" si="7"/>
        <v>1</v>
      </c>
      <c r="Y9" s="122">
        <f t="shared" si="8"/>
        <v>0</v>
      </c>
      <c r="Z9" s="119" t="s">
        <v>31859</v>
      </c>
      <c r="AA9" s="119" t="str">
        <f t="shared" si="9"/>
        <v>True</v>
      </c>
      <c r="AB9" s="140" t="s">
        <v>31865</v>
      </c>
      <c r="AC9" s="141" t="s">
        <v>31865</v>
      </c>
      <c r="AD9" s="141" t="s">
        <v>31865</v>
      </c>
      <c r="AE9" s="141" t="s">
        <v>31865</v>
      </c>
      <c r="AF9" s="141" t="s">
        <v>31865</v>
      </c>
      <c r="AG9" s="141" t="s">
        <v>31865</v>
      </c>
      <c r="AH9" s="141" t="s">
        <v>31943</v>
      </c>
      <c r="AI9" s="141" t="s">
        <v>31944</v>
      </c>
      <c r="AJ9" s="141" t="s">
        <v>31945</v>
      </c>
      <c r="AK9" s="141" t="s">
        <v>31946</v>
      </c>
      <c r="AL9" s="141" t="s">
        <v>31947</v>
      </c>
      <c r="AM9" s="141" t="s">
        <v>31947</v>
      </c>
      <c r="AN9" s="141" t="s">
        <v>31948</v>
      </c>
      <c r="AO9" s="141" t="s">
        <v>31949</v>
      </c>
      <c r="AP9" s="141" t="s">
        <v>31950</v>
      </c>
      <c r="AQ9" s="141" t="s">
        <v>31951</v>
      </c>
      <c r="AR9" s="141" t="s">
        <v>31952</v>
      </c>
      <c r="AS9" s="141" t="s">
        <v>31953</v>
      </c>
      <c r="AT9" s="141" t="s">
        <v>31954</v>
      </c>
      <c r="AU9" s="141" t="s">
        <v>31955</v>
      </c>
      <c r="AV9" s="141" t="s">
        <v>31956</v>
      </c>
      <c r="AW9" s="141" t="s">
        <v>31957</v>
      </c>
      <c r="AX9" s="141" t="s">
        <v>31958</v>
      </c>
      <c r="AY9" s="141" t="s">
        <v>31959</v>
      </c>
      <c r="AZ9" s="141" t="s">
        <v>31960</v>
      </c>
      <c r="BA9" s="141" t="s">
        <v>31865</v>
      </c>
      <c r="BB9" s="141" t="s">
        <v>31865</v>
      </c>
      <c r="BC9" s="141" t="s">
        <v>31865</v>
      </c>
      <c r="BD9" s="141" t="s">
        <v>31865</v>
      </c>
    </row>
    <row r="10" ht="22.5" customHeight="1">
      <c r="A10" s="127" t="s">
        <v>17672</v>
      </c>
      <c r="B10" s="114" t="s">
        <v>31854</v>
      </c>
      <c r="C10" s="128" t="s">
        <v>31961</v>
      </c>
      <c r="D10" s="128" t="s">
        <v>17671</v>
      </c>
      <c r="E10" s="128" t="s">
        <v>16538</v>
      </c>
      <c r="F10" s="128" t="s">
        <v>17673</v>
      </c>
      <c r="G10" s="116">
        <v>40.0</v>
      </c>
      <c r="H10" s="129">
        <v>45938.0</v>
      </c>
      <c r="I10" s="130" t="s">
        <v>31856</v>
      </c>
      <c r="J10" s="119" t="s">
        <v>31858</v>
      </c>
      <c r="K10" s="119" t="s">
        <v>31857</v>
      </c>
      <c r="L10" s="119" t="s">
        <v>31857</v>
      </c>
      <c r="M10" s="119" t="s">
        <v>31857</v>
      </c>
      <c r="N10" s="119" t="s">
        <v>31857</v>
      </c>
      <c r="O10" s="119" t="s">
        <v>31857</v>
      </c>
      <c r="P10" s="119" t="s">
        <v>31857</v>
      </c>
      <c r="Q10" s="119" t="s">
        <v>31857</v>
      </c>
      <c r="R10" s="120">
        <f t="shared" si="1"/>
        <v>0</v>
      </c>
      <c r="S10" s="121">
        <f t="shared" si="2"/>
        <v>1</v>
      </c>
      <c r="T10" s="122">
        <f t="shared" si="3"/>
        <v>1</v>
      </c>
      <c r="U10" s="122">
        <f t="shared" si="4"/>
        <v>1</v>
      </c>
      <c r="V10" s="122">
        <f t="shared" si="5"/>
        <v>0.75</v>
      </c>
      <c r="W10" s="123">
        <f t="shared" si="6"/>
        <v>1</v>
      </c>
      <c r="X10" s="122">
        <f t="shared" si="7"/>
        <v>1</v>
      </c>
      <c r="Y10" s="122">
        <f t="shared" si="8"/>
        <v>1</v>
      </c>
      <c r="Z10" s="119" t="s">
        <v>31859</v>
      </c>
      <c r="AA10" s="119" t="str">
        <f t="shared" si="9"/>
        <v>True</v>
      </c>
      <c r="AB10" s="131" t="s">
        <v>31865</v>
      </c>
      <c r="AC10" s="132" t="s">
        <v>31865</v>
      </c>
      <c r="AD10" s="132" t="s">
        <v>31865</v>
      </c>
      <c r="AE10" s="132" t="s">
        <v>31962</v>
      </c>
      <c r="AF10" s="132" t="s">
        <v>31963</v>
      </c>
      <c r="AG10" s="132" t="s">
        <v>31964</v>
      </c>
      <c r="AH10" s="132" t="s">
        <v>31965</v>
      </c>
      <c r="AI10" s="132" t="s">
        <v>31966</v>
      </c>
      <c r="AJ10" s="132" t="s">
        <v>31967</v>
      </c>
      <c r="AK10" s="132" t="s">
        <v>31968</v>
      </c>
      <c r="AL10" s="132" t="s">
        <v>31969</v>
      </c>
      <c r="AM10" s="132" t="s">
        <v>31902</v>
      </c>
      <c r="AN10" s="132" t="s">
        <v>31970</v>
      </c>
      <c r="AO10" s="132" t="s">
        <v>31971</v>
      </c>
      <c r="AP10" s="132" t="s">
        <v>31972</v>
      </c>
      <c r="AQ10" s="132" t="s">
        <v>31973</v>
      </c>
      <c r="AR10" s="132" t="s">
        <v>31865</v>
      </c>
      <c r="AS10" s="132" t="s">
        <v>31974</v>
      </c>
      <c r="AT10" s="132" t="s">
        <v>31975</v>
      </c>
      <c r="AU10" s="132" t="s">
        <v>31976</v>
      </c>
      <c r="AV10" s="132" t="s">
        <v>31977</v>
      </c>
      <c r="AW10" s="132" t="s">
        <v>31978</v>
      </c>
      <c r="AX10" s="132" t="s">
        <v>31979</v>
      </c>
      <c r="AY10" s="132" t="s">
        <v>31980</v>
      </c>
      <c r="AZ10" s="132" t="s">
        <v>31981</v>
      </c>
      <c r="BA10" s="132" t="s">
        <v>31982</v>
      </c>
      <c r="BB10" s="132" t="s">
        <v>31983</v>
      </c>
      <c r="BC10" s="132" t="s">
        <v>31984</v>
      </c>
      <c r="BD10" s="133" t="s">
        <v>31985</v>
      </c>
    </row>
    <row r="11" ht="22.5" customHeight="1">
      <c r="A11" s="113" t="s">
        <v>29208</v>
      </c>
      <c r="B11" s="114" t="s">
        <v>31854</v>
      </c>
      <c r="C11" s="115" t="s">
        <v>31986</v>
      </c>
      <c r="D11" s="115" t="s">
        <v>29207</v>
      </c>
      <c r="E11" s="115" t="s">
        <v>22609</v>
      </c>
      <c r="F11" s="115" t="s">
        <v>29209</v>
      </c>
      <c r="G11" s="116">
        <v>60.0</v>
      </c>
      <c r="H11" s="117">
        <v>45943.0</v>
      </c>
      <c r="I11" s="118" t="s">
        <v>31856</v>
      </c>
      <c r="J11" s="119" t="s">
        <v>31858</v>
      </c>
      <c r="K11" s="119" t="s">
        <v>31857</v>
      </c>
      <c r="L11" s="119" t="s">
        <v>31857</v>
      </c>
      <c r="M11" s="119" t="s">
        <v>31858</v>
      </c>
      <c r="N11" s="119" t="s">
        <v>31857</v>
      </c>
      <c r="O11" s="119" t="s">
        <v>31857</v>
      </c>
      <c r="P11" s="119" t="s">
        <v>31857</v>
      </c>
      <c r="Q11" s="119" t="s">
        <v>31858</v>
      </c>
      <c r="R11" s="120">
        <f t="shared" si="1"/>
        <v>0</v>
      </c>
      <c r="S11" s="121">
        <f t="shared" si="2"/>
        <v>1</v>
      </c>
      <c r="T11" s="122">
        <f t="shared" si="3"/>
        <v>0.5</v>
      </c>
      <c r="U11" s="122">
        <f t="shared" si="4"/>
        <v>0.5</v>
      </c>
      <c r="V11" s="122">
        <f t="shared" si="5"/>
        <v>1</v>
      </c>
      <c r="W11" s="123">
        <f t="shared" si="6"/>
        <v>1</v>
      </c>
      <c r="X11" s="122">
        <f t="shared" si="7"/>
        <v>1</v>
      </c>
      <c r="Y11" s="122">
        <f t="shared" si="8"/>
        <v>0.5</v>
      </c>
      <c r="Z11" s="119" t="s">
        <v>31859</v>
      </c>
      <c r="AA11" s="119" t="str">
        <f t="shared" si="9"/>
        <v>True</v>
      </c>
      <c r="AB11" s="124" t="s">
        <v>31865</v>
      </c>
      <c r="AC11" s="125" t="s">
        <v>31865</v>
      </c>
      <c r="AD11" s="125" t="s">
        <v>31865</v>
      </c>
      <c r="AE11" s="125" t="s">
        <v>31987</v>
      </c>
      <c r="AF11" s="125" t="s">
        <v>31988</v>
      </c>
      <c r="AG11" s="125" t="s">
        <v>31989</v>
      </c>
      <c r="AH11" s="125" t="s">
        <v>31990</v>
      </c>
      <c r="AI11" s="125" t="s">
        <v>31882</v>
      </c>
      <c r="AJ11" s="125" t="s">
        <v>31865</v>
      </c>
      <c r="AK11" s="125" t="s">
        <v>31865</v>
      </c>
      <c r="AL11" s="125" t="s">
        <v>31869</v>
      </c>
      <c r="AM11" s="125" t="s">
        <v>31865</v>
      </c>
      <c r="AN11" s="125" t="s">
        <v>31865</v>
      </c>
      <c r="AO11" s="125" t="s">
        <v>31991</v>
      </c>
      <c r="AP11" s="125" t="s">
        <v>31992</v>
      </c>
      <c r="AQ11" s="125" t="s">
        <v>31886</v>
      </c>
      <c r="AR11" s="125" t="s">
        <v>31993</v>
      </c>
      <c r="AS11" s="125" t="s">
        <v>31994</v>
      </c>
      <c r="AT11" s="125" t="s">
        <v>31995</v>
      </c>
      <c r="AU11" s="125" t="s">
        <v>31996</v>
      </c>
      <c r="AV11" s="125" t="s">
        <v>31997</v>
      </c>
      <c r="AW11" s="125" t="s">
        <v>31998</v>
      </c>
      <c r="AX11" s="125" t="s">
        <v>31938</v>
      </c>
      <c r="AY11" s="125" t="s">
        <v>31999</v>
      </c>
      <c r="AZ11" s="125" t="s">
        <v>32000</v>
      </c>
      <c r="BA11" s="125" t="s">
        <v>31940</v>
      </c>
      <c r="BB11" s="125" t="s">
        <v>32001</v>
      </c>
      <c r="BC11" s="125" t="s">
        <v>31865</v>
      </c>
      <c r="BD11" s="126" t="s">
        <v>31865</v>
      </c>
    </row>
    <row r="12" ht="22.5" customHeight="1">
      <c r="A12" s="142" t="s">
        <v>19709</v>
      </c>
      <c r="B12" s="114" t="s">
        <v>31854</v>
      </c>
      <c r="C12" s="143" t="s">
        <v>32002</v>
      </c>
      <c r="D12" s="143" t="s">
        <v>19708</v>
      </c>
      <c r="E12" s="143" t="s">
        <v>16959</v>
      </c>
      <c r="F12" s="143" t="s">
        <v>19710</v>
      </c>
      <c r="G12" s="144">
        <v>90.0</v>
      </c>
      <c r="H12" s="145">
        <v>45924.0</v>
      </c>
      <c r="I12" s="146" t="s">
        <v>31856</v>
      </c>
      <c r="J12" s="139" t="s">
        <v>31858</v>
      </c>
      <c r="K12" s="139" t="s">
        <v>31857</v>
      </c>
      <c r="L12" s="139" t="s">
        <v>31857</v>
      </c>
      <c r="M12" s="139" t="s">
        <v>31857</v>
      </c>
      <c r="N12" s="139" t="s">
        <v>31857</v>
      </c>
      <c r="O12" s="139" t="s">
        <v>31857</v>
      </c>
      <c r="P12" s="139" t="s">
        <v>31857</v>
      </c>
      <c r="Q12" s="139" t="s">
        <v>31857</v>
      </c>
      <c r="R12" s="120">
        <f t="shared" si="1"/>
        <v>0.6666666667</v>
      </c>
      <c r="S12" s="121">
        <f t="shared" si="2"/>
        <v>1</v>
      </c>
      <c r="T12" s="122">
        <f t="shared" si="3"/>
        <v>1</v>
      </c>
      <c r="U12" s="122">
        <f t="shared" si="4"/>
        <v>1</v>
      </c>
      <c r="V12" s="122">
        <f t="shared" si="5"/>
        <v>1</v>
      </c>
      <c r="W12" s="123">
        <f t="shared" si="6"/>
        <v>1</v>
      </c>
      <c r="X12" s="122">
        <f t="shared" si="7"/>
        <v>1</v>
      </c>
      <c r="Y12" s="122">
        <f t="shared" si="8"/>
        <v>1</v>
      </c>
      <c r="Z12" s="119" t="s">
        <v>31859</v>
      </c>
      <c r="AA12" s="119" t="str">
        <f t="shared" si="9"/>
        <v>True</v>
      </c>
      <c r="AB12" s="147" t="s">
        <v>31876</v>
      </c>
      <c r="AC12" s="148" t="s">
        <v>31865</v>
      </c>
      <c r="AD12" s="148" t="s">
        <v>32003</v>
      </c>
      <c r="AE12" s="148" t="s">
        <v>32004</v>
      </c>
      <c r="AF12" s="148" t="s">
        <v>32005</v>
      </c>
      <c r="AG12" s="148" t="s">
        <v>32006</v>
      </c>
      <c r="AH12" s="148" t="s">
        <v>32007</v>
      </c>
      <c r="AI12" s="148" t="s">
        <v>32008</v>
      </c>
      <c r="AJ12" s="148" t="s">
        <v>32009</v>
      </c>
      <c r="AK12" s="148" t="s">
        <v>32010</v>
      </c>
      <c r="AL12" s="148" t="s">
        <v>32011</v>
      </c>
      <c r="AM12" s="148" t="s">
        <v>31902</v>
      </c>
      <c r="AN12" s="148" t="s">
        <v>32012</v>
      </c>
      <c r="AO12" s="148" t="s">
        <v>32013</v>
      </c>
      <c r="AP12" s="148" t="s">
        <v>31873</v>
      </c>
      <c r="AQ12" s="148" t="s">
        <v>31886</v>
      </c>
      <c r="AR12" s="148" t="s">
        <v>32014</v>
      </c>
      <c r="AS12" s="148" t="s">
        <v>32015</v>
      </c>
      <c r="AT12" s="148" t="s">
        <v>32016</v>
      </c>
      <c r="AU12" s="148" t="s">
        <v>32017</v>
      </c>
      <c r="AV12" s="148" t="s">
        <v>31997</v>
      </c>
      <c r="AW12" s="148" t="s">
        <v>32018</v>
      </c>
      <c r="AX12" s="148" t="s">
        <v>31938</v>
      </c>
      <c r="AY12" s="148" t="s">
        <v>32019</v>
      </c>
      <c r="AZ12" s="148" t="s">
        <v>31894</v>
      </c>
      <c r="BA12" s="148" t="s">
        <v>32020</v>
      </c>
      <c r="BB12" s="148" t="s">
        <v>32021</v>
      </c>
      <c r="BC12" s="148" t="s">
        <v>31984</v>
      </c>
      <c r="BD12" s="149" t="s">
        <v>32022</v>
      </c>
    </row>
    <row r="13" ht="22.5" customHeight="1">
      <c r="A13" s="113" t="s">
        <v>22752</v>
      </c>
      <c r="B13" s="114" t="s">
        <v>31854</v>
      </c>
      <c r="C13" s="115" t="s">
        <v>32023</v>
      </c>
      <c r="D13" s="115" t="s">
        <v>22751</v>
      </c>
      <c r="E13" s="115" t="s">
        <v>17228</v>
      </c>
      <c r="F13" s="115" t="s">
        <v>22753</v>
      </c>
      <c r="G13" s="116">
        <v>60.0</v>
      </c>
      <c r="H13" s="117">
        <v>45944.0</v>
      </c>
      <c r="I13" s="118" t="s">
        <v>31856</v>
      </c>
      <c r="J13" s="119" t="s">
        <v>31858</v>
      </c>
      <c r="K13" s="119" t="s">
        <v>31857</v>
      </c>
      <c r="L13" s="119" t="s">
        <v>31858</v>
      </c>
      <c r="M13" s="119" t="s">
        <v>31858</v>
      </c>
      <c r="N13" s="119" t="s">
        <v>31857</v>
      </c>
      <c r="O13" s="119" t="s">
        <v>31857</v>
      </c>
      <c r="P13" s="119" t="s">
        <v>31857</v>
      </c>
      <c r="Q13" s="119" t="s">
        <v>31858</v>
      </c>
      <c r="R13" s="120">
        <f t="shared" si="1"/>
        <v>0.6666666667</v>
      </c>
      <c r="S13" s="121">
        <f t="shared" si="2"/>
        <v>1</v>
      </c>
      <c r="T13" s="122">
        <f t="shared" si="3"/>
        <v>0.5</v>
      </c>
      <c r="U13" s="122">
        <f t="shared" si="4"/>
        <v>0</v>
      </c>
      <c r="V13" s="122">
        <f t="shared" si="5"/>
        <v>0.75</v>
      </c>
      <c r="W13" s="123">
        <f t="shared" si="6"/>
        <v>0.6666666667</v>
      </c>
      <c r="X13" s="122">
        <f t="shared" si="7"/>
        <v>0.75</v>
      </c>
      <c r="Y13" s="122">
        <f t="shared" si="8"/>
        <v>0</v>
      </c>
      <c r="Z13" s="119" t="s">
        <v>31859</v>
      </c>
      <c r="AA13" s="119" t="str">
        <f t="shared" si="9"/>
        <v>True</v>
      </c>
      <c r="AB13" s="124" t="s">
        <v>31860</v>
      </c>
      <c r="AC13" s="125" t="s">
        <v>31865</v>
      </c>
      <c r="AD13" s="125" t="s">
        <v>32024</v>
      </c>
      <c r="AE13" s="125" t="s">
        <v>32025</v>
      </c>
      <c r="AF13" s="125" t="s">
        <v>32026</v>
      </c>
      <c r="AG13" s="125" t="s">
        <v>32027</v>
      </c>
      <c r="AH13" s="125" t="s">
        <v>32028</v>
      </c>
      <c r="AI13" s="125" t="s">
        <v>31882</v>
      </c>
      <c r="AJ13" s="125" t="s">
        <v>31865</v>
      </c>
      <c r="AK13" s="125" t="s">
        <v>31865</v>
      </c>
      <c r="AL13" s="125" t="s">
        <v>31865</v>
      </c>
      <c r="AM13" s="125" t="s">
        <v>31865</v>
      </c>
      <c r="AN13" s="125" t="s">
        <v>31865</v>
      </c>
      <c r="AO13" s="125" t="s">
        <v>31865</v>
      </c>
      <c r="AP13" s="125" t="s">
        <v>32029</v>
      </c>
      <c r="AQ13" s="125" t="s">
        <v>32030</v>
      </c>
      <c r="AR13" s="125" t="s">
        <v>31865</v>
      </c>
      <c r="AS13" s="125" t="s">
        <v>32031</v>
      </c>
      <c r="AT13" s="125" t="s">
        <v>32032</v>
      </c>
      <c r="AU13" s="125" t="s">
        <v>32033</v>
      </c>
      <c r="AV13" s="125" t="s">
        <v>31865</v>
      </c>
      <c r="AW13" s="125" t="s">
        <v>32034</v>
      </c>
      <c r="AX13" s="125" t="s">
        <v>31938</v>
      </c>
      <c r="AY13" s="125" t="s">
        <v>31865</v>
      </c>
      <c r="AZ13" s="125" t="s">
        <v>32032</v>
      </c>
      <c r="BA13" s="125" t="s">
        <v>31865</v>
      </c>
      <c r="BB13" s="125" t="s">
        <v>31865</v>
      </c>
      <c r="BC13" s="125" t="s">
        <v>31865</v>
      </c>
      <c r="BD13" s="126" t="s">
        <v>31865</v>
      </c>
    </row>
    <row r="14" ht="22.5" customHeight="1">
      <c r="A14" s="142" t="s">
        <v>21362</v>
      </c>
      <c r="B14" s="114" t="s">
        <v>31854</v>
      </c>
      <c r="C14" s="143" t="s">
        <v>32035</v>
      </c>
      <c r="D14" s="143" t="s">
        <v>21361</v>
      </c>
      <c r="E14" s="143" t="s">
        <v>16436</v>
      </c>
      <c r="F14" s="143" t="s">
        <v>21363</v>
      </c>
      <c r="G14" s="136"/>
      <c r="H14" s="145">
        <v>45912.0</v>
      </c>
      <c r="I14" s="146" t="s">
        <v>31856</v>
      </c>
      <c r="J14" s="139" t="s">
        <v>31858</v>
      </c>
      <c r="K14" s="139" t="s">
        <v>31858</v>
      </c>
      <c r="L14" s="139" t="s">
        <v>31857</v>
      </c>
      <c r="M14" s="139" t="s">
        <v>31857</v>
      </c>
      <c r="N14" s="139" t="s">
        <v>31858</v>
      </c>
      <c r="O14" s="139" t="s">
        <v>31858</v>
      </c>
      <c r="P14" s="139" t="s">
        <v>31857</v>
      </c>
      <c r="Q14" s="139" t="s">
        <v>31858</v>
      </c>
      <c r="R14" s="120">
        <f t="shared" si="1"/>
        <v>1</v>
      </c>
      <c r="S14" s="121">
        <f t="shared" si="2"/>
        <v>1</v>
      </c>
      <c r="T14" s="122">
        <f t="shared" si="3"/>
        <v>0.75</v>
      </c>
      <c r="U14" s="122">
        <f t="shared" si="4"/>
        <v>0.75</v>
      </c>
      <c r="V14" s="122">
        <f t="shared" si="5"/>
        <v>0.75</v>
      </c>
      <c r="W14" s="123">
        <f t="shared" si="6"/>
        <v>1</v>
      </c>
      <c r="X14" s="122">
        <f t="shared" si="7"/>
        <v>1</v>
      </c>
      <c r="Y14" s="122">
        <f t="shared" si="8"/>
        <v>1</v>
      </c>
      <c r="Z14" s="119" t="s">
        <v>31859</v>
      </c>
      <c r="AA14" s="119" t="str">
        <f t="shared" si="9"/>
        <v>True</v>
      </c>
      <c r="AB14" s="147" t="s">
        <v>31876</v>
      </c>
      <c r="AC14" s="148" t="s">
        <v>31876</v>
      </c>
      <c r="AD14" s="148" t="s">
        <v>32036</v>
      </c>
      <c r="AE14" s="148" t="s">
        <v>32037</v>
      </c>
      <c r="AF14" s="148" t="s">
        <v>32038</v>
      </c>
      <c r="AG14" s="148" t="s">
        <v>32039</v>
      </c>
      <c r="AH14" s="148" t="s">
        <v>32040</v>
      </c>
      <c r="AI14" s="148" t="s">
        <v>31882</v>
      </c>
      <c r="AJ14" s="148" t="s">
        <v>31865</v>
      </c>
      <c r="AK14" s="148" t="s">
        <v>32041</v>
      </c>
      <c r="AL14" s="148" t="s">
        <v>32042</v>
      </c>
      <c r="AM14" s="148" t="s">
        <v>31865</v>
      </c>
      <c r="AN14" s="148" t="s">
        <v>32043</v>
      </c>
      <c r="AO14" s="148" t="s">
        <v>32044</v>
      </c>
      <c r="AP14" s="148" t="s">
        <v>32045</v>
      </c>
      <c r="AQ14" s="148" t="s">
        <v>32046</v>
      </c>
      <c r="AR14" s="148" t="s">
        <v>31865</v>
      </c>
      <c r="AS14" s="148" t="s">
        <v>32047</v>
      </c>
      <c r="AT14" s="148" t="s">
        <v>32048</v>
      </c>
      <c r="AU14" s="148" t="s">
        <v>32049</v>
      </c>
      <c r="AV14" s="148" t="s">
        <v>32050</v>
      </c>
      <c r="AW14" s="148" t="s">
        <v>32051</v>
      </c>
      <c r="AX14" s="148" t="s">
        <v>31938</v>
      </c>
      <c r="AY14" s="148" t="s">
        <v>32052</v>
      </c>
      <c r="AZ14" s="148" t="s">
        <v>32053</v>
      </c>
      <c r="BA14" s="148" t="s">
        <v>32054</v>
      </c>
      <c r="BB14" s="148" t="s">
        <v>32055</v>
      </c>
      <c r="BC14" s="148" t="s">
        <v>31984</v>
      </c>
      <c r="BD14" s="149" t="s">
        <v>32056</v>
      </c>
    </row>
    <row r="15" ht="22.5" customHeight="1">
      <c r="A15" s="134" t="s">
        <v>21868</v>
      </c>
      <c r="B15" s="114" t="s">
        <v>31854</v>
      </c>
      <c r="C15" s="135" t="s">
        <v>32057</v>
      </c>
      <c r="D15" s="135" t="s">
        <v>21867</v>
      </c>
      <c r="E15" s="135" t="s">
        <v>16436</v>
      </c>
      <c r="F15" s="135" t="s">
        <v>21869</v>
      </c>
      <c r="G15" s="136"/>
      <c r="H15" s="137">
        <v>45913.0</v>
      </c>
      <c r="I15" s="138" t="s">
        <v>31856</v>
      </c>
      <c r="J15" s="139" t="s">
        <v>31858</v>
      </c>
      <c r="K15" s="139" t="s">
        <v>31857</v>
      </c>
      <c r="L15" s="139" t="s">
        <v>31857</v>
      </c>
      <c r="M15" s="139" t="s">
        <v>31857</v>
      </c>
      <c r="N15" s="139" t="s">
        <v>31857</v>
      </c>
      <c r="O15" s="139" t="s">
        <v>31857</v>
      </c>
      <c r="P15" s="139" t="s">
        <v>31857</v>
      </c>
      <c r="Q15" s="139" t="s">
        <v>31858</v>
      </c>
      <c r="R15" s="120">
        <f t="shared" si="1"/>
        <v>0</v>
      </c>
      <c r="S15" s="121">
        <f t="shared" si="2"/>
        <v>1</v>
      </c>
      <c r="T15" s="122">
        <f t="shared" si="3"/>
        <v>1</v>
      </c>
      <c r="U15" s="122">
        <f t="shared" si="4"/>
        <v>1</v>
      </c>
      <c r="V15" s="122">
        <f t="shared" si="5"/>
        <v>0.5</v>
      </c>
      <c r="W15" s="123">
        <f t="shared" si="6"/>
        <v>1</v>
      </c>
      <c r="X15" s="122">
        <f t="shared" si="7"/>
        <v>1</v>
      </c>
      <c r="Y15" s="122">
        <f t="shared" si="8"/>
        <v>0.75</v>
      </c>
      <c r="Z15" s="119" t="s">
        <v>31859</v>
      </c>
      <c r="AA15" s="119" t="str">
        <f t="shared" si="9"/>
        <v>True</v>
      </c>
      <c r="AB15" s="140" t="s">
        <v>31865</v>
      </c>
      <c r="AC15" s="141" t="s">
        <v>31865</v>
      </c>
      <c r="AD15" s="141" t="s">
        <v>31865</v>
      </c>
      <c r="AE15" s="141" t="s">
        <v>32058</v>
      </c>
      <c r="AF15" s="141" t="s">
        <v>32059</v>
      </c>
      <c r="AG15" s="141" t="s">
        <v>32060</v>
      </c>
      <c r="AH15" s="141" t="s">
        <v>32061</v>
      </c>
      <c r="AI15" s="141" t="s">
        <v>32062</v>
      </c>
      <c r="AJ15" s="141" t="s">
        <v>32063</v>
      </c>
      <c r="AK15" s="141" t="s">
        <v>32064</v>
      </c>
      <c r="AL15" s="141" t="s">
        <v>32064</v>
      </c>
      <c r="AM15" s="141" t="s">
        <v>32065</v>
      </c>
      <c r="AN15" s="141" t="s">
        <v>32066</v>
      </c>
      <c r="AO15" s="141" t="s">
        <v>32067</v>
      </c>
      <c r="AP15" s="141" t="s">
        <v>32068</v>
      </c>
      <c r="AQ15" s="141" t="s">
        <v>32069</v>
      </c>
      <c r="AR15" s="141" t="s">
        <v>31865</v>
      </c>
      <c r="AS15" s="141" t="s">
        <v>31865</v>
      </c>
      <c r="AT15" s="141" t="s">
        <v>32070</v>
      </c>
      <c r="AU15" s="141" t="s">
        <v>32071</v>
      </c>
      <c r="AV15" s="141" t="s">
        <v>32072</v>
      </c>
      <c r="AW15" s="141" t="s">
        <v>32073</v>
      </c>
      <c r="AX15" s="141" t="s">
        <v>32074</v>
      </c>
      <c r="AY15" s="141" t="s">
        <v>32075</v>
      </c>
      <c r="AZ15" s="141" t="s">
        <v>32076</v>
      </c>
      <c r="BA15" s="141" t="s">
        <v>32077</v>
      </c>
      <c r="BB15" s="141" t="s">
        <v>31917</v>
      </c>
      <c r="BC15" s="141" t="s">
        <v>31984</v>
      </c>
      <c r="BD15" s="150" t="s">
        <v>31865</v>
      </c>
    </row>
    <row r="16" ht="22.5" customHeight="1">
      <c r="A16" s="142" t="s">
        <v>29268</v>
      </c>
      <c r="B16" s="114" t="s">
        <v>31854</v>
      </c>
      <c r="C16" s="143" t="s">
        <v>32078</v>
      </c>
      <c r="D16" s="143" t="s">
        <v>29267</v>
      </c>
      <c r="E16" s="143" t="s">
        <v>24608</v>
      </c>
      <c r="F16" s="143" t="s">
        <v>29269</v>
      </c>
      <c r="G16" s="136"/>
      <c r="H16" s="145">
        <v>45922.0</v>
      </c>
      <c r="I16" s="146" t="s">
        <v>31856</v>
      </c>
      <c r="J16" s="139" t="s">
        <v>31857</v>
      </c>
      <c r="K16" s="139" t="s">
        <v>31857</v>
      </c>
      <c r="L16" s="139" t="s">
        <v>31857</v>
      </c>
      <c r="M16" s="139" t="s">
        <v>31857</v>
      </c>
      <c r="N16" s="139" t="s">
        <v>31857</v>
      </c>
      <c r="O16" s="139" t="s">
        <v>31857</v>
      </c>
      <c r="P16" s="139" t="s">
        <v>31858</v>
      </c>
      <c r="Q16" s="139" t="s">
        <v>31858</v>
      </c>
      <c r="R16" s="120">
        <f t="shared" si="1"/>
        <v>1</v>
      </c>
      <c r="S16" s="121">
        <f t="shared" si="2"/>
        <v>1</v>
      </c>
      <c r="T16" s="122">
        <f t="shared" si="3"/>
        <v>1</v>
      </c>
      <c r="U16" s="122">
        <f t="shared" si="4"/>
        <v>0.75</v>
      </c>
      <c r="V16" s="122">
        <f t="shared" si="5"/>
        <v>0.75</v>
      </c>
      <c r="W16" s="123">
        <f t="shared" si="6"/>
        <v>1</v>
      </c>
      <c r="X16" s="122">
        <f t="shared" si="7"/>
        <v>0</v>
      </c>
      <c r="Y16" s="122">
        <f t="shared" si="8"/>
        <v>0</v>
      </c>
      <c r="Z16" s="119" t="s">
        <v>31859</v>
      </c>
      <c r="AA16" s="119" t="str">
        <f t="shared" si="9"/>
        <v>True</v>
      </c>
      <c r="AB16" s="124" t="s">
        <v>31860</v>
      </c>
      <c r="AC16" s="125" t="s">
        <v>31896</v>
      </c>
      <c r="AD16" s="148" t="s">
        <v>32079</v>
      </c>
      <c r="AE16" s="148" t="s">
        <v>32080</v>
      </c>
      <c r="AF16" s="148" t="s">
        <v>32081</v>
      </c>
      <c r="AG16" s="148" t="s">
        <v>32082</v>
      </c>
      <c r="AH16" s="148" t="s">
        <v>32083</v>
      </c>
      <c r="AI16" s="148" t="s">
        <v>32084</v>
      </c>
      <c r="AJ16" s="148" t="s">
        <v>32085</v>
      </c>
      <c r="AK16" s="148" t="s">
        <v>32086</v>
      </c>
      <c r="AL16" s="148" t="s">
        <v>31884</v>
      </c>
      <c r="AM16" s="148" t="s">
        <v>31865</v>
      </c>
      <c r="AN16" s="148" t="s">
        <v>32087</v>
      </c>
      <c r="AO16" s="148" t="s">
        <v>32088</v>
      </c>
      <c r="AP16" s="148" t="s">
        <v>32089</v>
      </c>
      <c r="AQ16" s="148" t="s">
        <v>32090</v>
      </c>
      <c r="AR16" s="148" t="s">
        <v>31865</v>
      </c>
      <c r="AS16" s="148" t="s">
        <v>32091</v>
      </c>
      <c r="AT16" s="148" t="s">
        <v>32092</v>
      </c>
      <c r="AU16" s="148" t="s">
        <v>32093</v>
      </c>
      <c r="AV16" s="148" t="s">
        <v>31891</v>
      </c>
      <c r="AW16" s="148" t="s">
        <v>31865</v>
      </c>
      <c r="AX16" s="148" t="s">
        <v>31865</v>
      </c>
      <c r="AY16" s="148" t="s">
        <v>31865</v>
      </c>
      <c r="AZ16" s="148" t="s">
        <v>31865</v>
      </c>
      <c r="BA16" s="148" t="s">
        <v>31865</v>
      </c>
      <c r="BB16" s="148" t="s">
        <v>31865</v>
      </c>
      <c r="BC16" s="148" t="s">
        <v>31865</v>
      </c>
      <c r="BD16" s="149" t="s">
        <v>31865</v>
      </c>
    </row>
    <row r="17" ht="22.5" customHeight="1">
      <c r="A17" s="134" t="s">
        <v>20549</v>
      </c>
      <c r="B17" s="114" t="s">
        <v>31854</v>
      </c>
      <c r="C17" s="135" t="s">
        <v>32094</v>
      </c>
      <c r="D17" s="135" t="s">
        <v>20548</v>
      </c>
      <c r="E17" s="135" t="s">
        <v>16436</v>
      </c>
      <c r="F17" s="135" t="s">
        <v>20550</v>
      </c>
      <c r="G17" s="144">
        <v>50.0</v>
      </c>
      <c r="H17" s="137">
        <v>45923.0</v>
      </c>
      <c r="I17" s="138" t="s">
        <v>31856</v>
      </c>
      <c r="J17" s="139" t="s">
        <v>31858</v>
      </c>
      <c r="K17" s="139" t="s">
        <v>31858</v>
      </c>
      <c r="L17" s="139" t="s">
        <v>31857</v>
      </c>
      <c r="M17" s="139" t="s">
        <v>31858</v>
      </c>
      <c r="N17" s="139" t="s">
        <v>31858</v>
      </c>
      <c r="O17" s="139" t="s">
        <v>31857</v>
      </c>
      <c r="P17" s="139" t="s">
        <v>31858</v>
      </c>
      <c r="Q17" s="139" t="s">
        <v>31858</v>
      </c>
      <c r="R17" s="120">
        <f t="shared" si="1"/>
        <v>0</v>
      </c>
      <c r="S17" s="121">
        <f t="shared" si="2"/>
        <v>1</v>
      </c>
      <c r="T17" s="122">
        <f t="shared" si="3"/>
        <v>0.5</v>
      </c>
      <c r="U17" s="122">
        <f t="shared" si="4"/>
        <v>0</v>
      </c>
      <c r="V17" s="122">
        <f t="shared" si="5"/>
        <v>0.75</v>
      </c>
      <c r="W17" s="123">
        <f t="shared" si="6"/>
        <v>1</v>
      </c>
      <c r="X17" s="122">
        <f t="shared" si="7"/>
        <v>1</v>
      </c>
      <c r="Y17" s="122">
        <f t="shared" si="8"/>
        <v>1</v>
      </c>
      <c r="Z17" s="119" t="s">
        <v>31859</v>
      </c>
      <c r="AA17" s="119" t="str">
        <f t="shared" si="9"/>
        <v>True</v>
      </c>
      <c r="AB17" s="140" t="s">
        <v>31865</v>
      </c>
      <c r="AC17" s="141" t="s">
        <v>31865</v>
      </c>
      <c r="AD17" s="141" t="s">
        <v>31865</v>
      </c>
      <c r="AE17" s="141" t="s">
        <v>32095</v>
      </c>
      <c r="AF17" s="141" t="s">
        <v>32096</v>
      </c>
      <c r="AG17" s="141" t="s">
        <v>32097</v>
      </c>
      <c r="AH17" s="141" t="s">
        <v>32098</v>
      </c>
      <c r="AI17" s="148" t="s">
        <v>32084</v>
      </c>
      <c r="AJ17" s="141" t="s">
        <v>31865</v>
      </c>
      <c r="AK17" s="141" t="s">
        <v>31865</v>
      </c>
      <c r="AL17" s="141" t="s">
        <v>31865</v>
      </c>
      <c r="AM17" s="141" t="s">
        <v>31865</v>
      </c>
      <c r="AN17" s="141" t="s">
        <v>31865</v>
      </c>
      <c r="AO17" s="141" t="s">
        <v>31865</v>
      </c>
      <c r="AP17" s="141" t="s">
        <v>32099</v>
      </c>
      <c r="AQ17" s="141" t="s">
        <v>32100</v>
      </c>
      <c r="AR17" s="141" t="s">
        <v>31865</v>
      </c>
      <c r="AS17" s="141" t="s">
        <v>32101</v>
      </c>
      <c r="AT17" s="141" t="s">
        <v>32102</v>
      </c>
      <c r="AU17" s="141" t="s">
        <v>32093</v>
      </c>
      <c r="AV17" s="141" t="s">
        <v>32103</v>
      </c>
      <c r="AW17" s="141" t="s">
        <v>32104</v>
      </c>
      <c r="AX17" s="141" t="s">
        <v>32105</v>
      </c>
      <c r="AY17" s="141" t="s">
        <v>32106</v>
      </c>
      <c r="AZ17" s="141" t="s">
        <v>32107</v>
      </c>
      <c r="BA17" s="141" t="s">
        <v>32108</v>
      </c>
      <c r="BB17" s="141" t="s">
        <v>31917</v>
      </c>
      <c r="BC17" s="141" t="s">
        <v>31984</v>
      </c>
      <c r="BD17" s="150" t="s">
        <v>32109</v>
      </c>
    </row>
    <row r="18" ht="22.5" customHeight="1">
      <c r="A18" s="142" t="s">
        <v>32110</v>
      </c>
      <c r="B18" s="114" t="s">
        <v>31854</v>
      </c>
      <c r="C18" s="143" t="s">
        <v>32111</v>
      </c>
      <c r="D18" s="143" t="s">
        <v>26090</v>
      </c>
      <c r="E18" s="143" t="s">
        <v>23168</v>
      </c>
      <c r="F18" s="143" t="s">
        <v>26092</v>
      </c>
      <c r="G18" s="144">
        <v>60.0</v>
      </c>
      <c r="H18" s="145">
        <v>45924.0</v>
      </c>
      <c r="I18" s="146" t="s">
        <v>31856</v>
      </c>
      <c r="J18" s="139" t="s">
        <v>31857</v>
      </c>
      <c r="K18" s="139" t="s">
        <v>31857</v>
      </c>
      <c r="L18" s="139" t="s">
        <v>31857</v>
      </c>
      <c r="M18" s="139" t="s">
        <v>31858</v>
      </c>
      <c r="N18" s="139" t="s">
        <v>31857</v>
      </c>
      <c r="O18" s="139" t="s">
        <v>31857</v>
      </c>
      <c r="P18" s="139" t="s">
        <v>31858</v>
      </c>
      <c r="Q18" s="139" t="s">
        <v>31858</v>
      </c>
      <c r="R18" s="120">
        <f t="shared" si="1"/>
        <v>1</v>
      </c>
      <c r="S18" s="121">
        <f t="shared" si="2"/>
        <v>0.6666666667</v>
      </c>
      <c r="T18" s="122">
        <f t="shared" si="3"/>
        <v>1</v>
      </c>
      <c r="U18" s="122">
        <f t="shared" si="4"/>
        <v>0.25</v>
      </c>
      <c r="V18" s="122">
        <f t="shared" si="5"/>
        <v>0.75</v>
      </c>
      <c r="W18" s="123">
        <f t="shared" si="6"/>
        <v>1</v>
      </c>
      <c r="X18" s="122">
        <f t="shared" si="7"/>
        <v>0.25</v>
      </c>
      <c r="Y18" s="122">
        <f t="shared" si="8"/>
        <v>0</v>
      </c>
      <c r="Z18" s="119" t="s">
        <v>31859</v>
      </c>
      <c r="AA18" s="119" t="str">
        <f t="shared" si="9"/>
        <v>True</v>
      </c>
      <c r="AB18" s="147" t="s">
        <v>31876</v>
      </c>
      <c r="AC18" s="148" t="s">
        <v>31896</v>
      </c>
      <c r="AD18" s="148" t="s">
        <v>32112</v>
      </c>
      <c r="AE18" s="148" t="s">
        <v>32113</v>
      </c>
      <c r="AF18" s="148" t="s">
        <v>32114</v>
      </c>
      <c r="AG18" s="148" t="s">
        <v>31865</v>
      </c>
      <c r="AH18" s="148" t="s">
        <v>32115</v>
      </c>
      <c r="AI18" s="148" t="s">
        <v>32084</v>
      </c>
      <c r="AJ18" s="148" t="s">
        <v>32116</v>
      </c>
      <c r="AK18" s="148" t="s">
        <v>32117</v>
      </c>
      <c r="AL18" s="148" t="s">
        <v>32118</v>
      </c>
      <c r="AM18" s="148" t="s">
        <v>31865</v>
      </c>
      <c r="AN18" s="148" t="s">
        <v>31865</v>
      </c>
      <c r="AO18" s="148" t="s">
        <v>31865</v>
      </c>
      <c r="AP18" s="148" t="s">
        <v>32119</v>
      </c>
      <c r="AQ18" s="148" t="s">
        <v>31886</v>
      </c>
      <c r="AR18" s="148" t="s">
        <v>31865</v>
      </c>
      <c r="AS18" s="148" t="s">
        <v>32120</v>
      </c>
      <c r="AT18" s="148" t="s">
        <v>32121</v>
      </c>
      <c r="AU18" s="148" t="s">
        <v>32122</v>
      </c>
      <c r="AV18" s="148" t="s">
        <v>32123</v>
      </c>
      <c r="AW18" s="148" t="s">
        <v>32124</v>
      </c>
      <c r="AX18" s="148" t="s">
        <v>31865</v>
      </c>
      <c r="AY18" s="148" t="s">
        <v>31865</v>
      </c>
      <c r="AZ18" s="148" t="s">
        <v>31865</v>
      </c>
      <c r="BA18" s="148" t="s">
        <v>31865</v>
      </c>
      <c r="BB18" s="148" t="s">
        <v>31865</v>
      </c>
      <c r="BC18" s="148" t="s">
        <v>31865</v>
      </c>
      <c r="BD18" s="149" t="s">
        <v>31865</v>
      </c>
    </row>
    <row r="19" ht="22.5" customHeight="1">
      <c r="A19" s="113" t="s">
        <v>21454</v>
      </c>
      <c r="B19" s="114" t="s">
        <v>31854</v>
      </c>
      <c r="C19" s="115" t="s">
        <v>32125</v>
      </c>
      <c r="D19" s="115" t="s">
        <v>21453</v>
      </c>
      <c r="E19" s="115" t="s">
        <v>16436</v>
      </c>
      <c r="F19" s="115" t="s">
        <v>21455</v>
      </c>
      <c r="G19" s="116">
        <v>90.0</v>
      </c>
      <c r="H19" s="117">
        <v>45945.0</v>
      </c>
      <c r="I19" s="118" t="s">
        <v>31856</v>
      </c>
      <c r="J19" s="119" t="s">
        <v>31858</v>
      </c>
      <c r="K19" s="119" t="s">
        <v>31858</v>
      </c>
      <c r="L19" s="119" t="s">
        <v>31858</v>
      </c>
      <c r="M19" s="119" t="s">
        <v>31858</v>
      </c>
      <c r="N19" s="119" t="s">
        <v>31857</v>
      </c>
      <c r="O19" s="119" t="s">
        <v>31858</v>
      </c>
      <c r="P19" s="119" t="s">
        <v>31857</v>
      </c>
      <c r="Q19" s="119" t="s">
        <v>31858</v>
      </c>
      <c r="R19" s="120">
        <f t="shared" si="1"/>
        <v>0</v>
      </c>
      <c r="S19" s="121">
        <f t="shared" si="2"/>
        <v>1</v>
      </c>
      <c r="T19" s="122">
        <f t="shared" si="3"/>
        <v>0.75</v>
      </c>
      <c r="U19" s="122">
        <f t="shared" si="4"/>
        <v>0</v>
      </c>
      <c r="V19" s="122">
        <f t="shared" si="5"/>
        <v>0.75</v>
      </c>
      <c r="W19" s="123">
        <f t="shared" si="6"/>
        <v>1</v>
      </c>
      <c r="X19" s="122">
        <f t="shared" si="7"/>
        <v>0.75</v>
      </c>
      <c r="Y19" s="122">
        <f t="shared" si="8"/>
        <v>1</v>
      </c>
      <c r="Z19" s="119" t="s">
        <v>31859</v>
      </c>
      <c r="AA19" s="119" t="str">
        <f t="shared" si="9"/>
        <v>True</v>
      </c>
      <c r="AB19" s="124" t="s">
        <v>31865</v>
      </c>
      <c r="AC19" s="125" t="s">
        <v>31865</v>
      </c>
      <c r="AD19" s="125" t="s">
        <v>31865</v>
      </c>
      <c r="AE19" s="125" t="s">
        <v>32126</v>
      </c>
      <c r="AF19" s="125" t="s">
        <v>32127</v>
      </c>
      <c r="AG19" s="125" t="s">
        <v>32128</v>
      </c>
      <c r="AH19" s="125" t="s">
        <v>32129</v>
      </c>
      <c r="AI19" s="125" t="s">
        <v>32084</v>
      </c>
      <c r="AJ19" s="125" t="s">
        <v>31865</v>
      </c>
      <c r="AK19" s="125" t="s">
        <v>32130</v>
      </c>
      <c r="AL19" s="125" t="s">
        <v>31865</v>
      </c>
      <c r="AM19" s="125" t="s">
        <v>31865</v>
      </c>
      <c r="AN19" s="125" t="s">
        <v>31865</v>
      </c>
      <c r="AO19" s="125" t="s">
        <v>31865</v>
      </c>
      <c r="AP19" s="125" t="s">
        <v>32131</v>
      </c>
      <c r="AQ19" s="125" t="s">
        <v>31886</v>
      </c>
      <c r="AR19" s="125" t="s">
        <v>32132</v>
      </c>
      <c r="AS19" s="125" t="s">
        <v>31865</v>
      </c>
      <c r="AT19" s="125" t="s">
        <v>32133</v>
      </c>
      <c r="AU19" s="125" t="s">
        <v>32134</v>
      </c>
      <c r="AV19" s="125" t="s">
        <v>32135</v>
      </c>
      <c r="AW19" s="125" t="s">
        <v>32136</v>
      </c>
      <c r="AX19" s="125" t="s">
        <v>32137</v>
      </c>
      <c r="AY19" s="125" t="s">
        <v>31865</v>
      </c>
      <c r="AZ19" s="125" t="s">
        <v>32138</v>
      </c>
      <c r="BA19" s="125" t="s">
        <v>32139</v>
      </c>
      <c r="BB19" s="125" t="s">
        <v>32140</v>
      </c>
      <c r="BC19" s="125" t="s">
        <v>32141</v>
      </c>
      <c r="BD19" s="126" t="s">
        <v>32142</v>
      </c>
    </row>
    <row r="20" ht="22.5" customHeight="1">
      <c r="A20" s="142" t="s">
        <v>13510</v>
      </c>
      <c r="B20" s="114" t="s">
        <v>31854</v>
      </c>
      <c r="C20" s="143" t="s">
        <v>32143</v>
      </c>
      <c r="D20" s="143" t="s">
        <v>13509</v>
      </c>
      <c r="E20" s="143" t="s">
        <v>11334</v>
      </c>
      <c r="F20" s="143" t="s">
        <v>13511</v>
      </c>
      <c r="G20" s="136"/>
      <c r="H20" s="145">
        <v>45915.0</v>
      </c>
      <c r="I20" s="146" t="s">
        <v>31856</v>
      </c>
      <c r="J20" s="139" t="s">
        <v>31858</v>
      </c>
      <c r="K20" s="139" t="s">
        <v>31858</v>
      </c>
      <c r="L20" s="139" t="s">
        <v>31858</v>
      </c>
      <c r="M20" s="139" t="s">
        <v>31858</v>
      </c>
      <c r="N20" s="139" t="s">
        <v>31857</v>
      </c>
      <c r="O20" s="139" t="s">
        <v>31858</v>
      </c>
      <c r="P20" s="139" t="s">
        <v>31858</v>
      </c>
      <c r="Q20" s="139" t="s">
        <v>31858</v>
      </c>
      <c r="R20" s="120">
        <f t="shared" si="1"/>
        <v>1</v>
      </c>
      <c r="S20" s="121">
        <f t="shared" si="2"/>
        <v>0.6666666667</v>
      </c>
      <c r="T20" s="122">
        <f t="shared" si="3"/>
        <v>1</v>
      </c>
      <c r="U20" s="122">
        <f t="shared" si="4"/>
        <v>1</v>
      </c>
      <c r="V20" s="122">
        <f t="shared" si="5"/>
        <v>0.75</v>
      </c>
      <c r="W20" s="123">
        <f t="shared" si="6"/>
        <v>1</v>
      </c>
      <c r="X20" s="122">
        <f t="shared" si="7"/>
        <v>1</v>
      </c>
      <c r="Y20" s="122">
        <f t="shared" si="8"/>
        <v>1</v>
      </c>
      <c r="Z20" s="119" t="s">
        <v>31859</v>
      </c>
      <c r="AA20" s="119" t="str">
        <f t="shared" si="9"/>
        <v>True</v>
      </c>
      <c r="AB20" s="147" t="s">
        <v>31876</v>
      </c>
      <c r="AC20" s="148" t="s">
        <v>31876</v>
      </c>
      <c r="AD20" s="148" t="s">
        <v>32144</v>
      </c>
      <c r="AE20" s="148" t="s">
        <v>32145</v>
      </c>
      <c r="AF20" s="148" t="s">
        <v>32146</v>
      </c>
      <c r="AG20" s="148" t="s">
        <v>31865</v>
      </c>
      <c r="AH20" s="148" t="s">
        <v>32147</v>
      </c>
      <c r="AI20" s="148" t="s">
        <v>32148</v>
      </c>
      <c r="AJ20" s="151" t="s">
        <v>32149</v>
      </c>
      <c r="AK20" s="148" t="s">
        <v>32150</v>
      </c>
      <c r="AL20" s="148" t="s">
        <v>32151</v>
      </c>
      <c r="AM20" s="148" t="s">
        <v>32152</v>
      </c>
      <c r="AN20" s="148" t="s">
        <v>32153</v>
      </c>
      <c r="AO20" s="148" t="s">
        <v>32154</v>
      </c>
      <c r="AP20" s="148" t="s">
        <v>32155</v>
      </c>
      <c r="AQ20" s="148" t="s">
        <v>32156</v>
      </c>
      <c r="AR20" s="148" t="s">
        <v>31865</v>
      </c>
      <c r="AS20" s="148" t="s">
        <v>32157</v>
      </c>
      <c r="AT20" s="148" t="s">
        <v>32158</v>
      </c>
      <c r="AU20" s="148" t="s">
        <v>32159</v>
      </c>
      <c r="AV20" s="148" t="s">
        <v>32160</v>
      </c>
      <c r="AW20" s="148" t="s">
        <v>32161</v>
      </c>
      <c r="AX20" s="148" t="s">
        <v>32162</v>
      </c>
      <c r="AY20" s="148" t="s">
        <v>32163</v>
      </c>
      <c r="AZ20" s="148" t="s">
        <v>32164</v>
      </c>
      <c r="BA20" s="148" t="s">
        <v>32165</v>
      </c>
      <c r="BB20" s="148" t="s">
        <v>32166</v>
      </c>
      <c r="BC20" s="148" t="s">
        <v>32167</v>
      </c>
      <c r="BD20" s="149" t="s">
        <v>32168</v>
      </c>
    </row>
    <row r="21" ht="22.5" customHeight="1">
      <c r="A21" s="113" t="s">
        <v>32169</v>
      </c>
      <c r="B21" s="114" t="s">
        <v>32170</v>
      </c>
      <c r="C21" s="115"/>
      <c r="D21" s="115" t="s">
        <v>31718</v>
      </c>
      <c r="E21" s="115"/>
      <c r="F21" s="152" t="s">
        <v>890</v>
      </c>
      <c r="G21" s="116">
        <v>30.0</v>
      </c>
      <c r="H21" s="117">
        <v>45958.0</v>
      </c>
      <c r="I21" s="118" t="s">
        <v>31856</v>
      </c>
      <c r="J21" s="119" t="s">
        <v>31857</v>
      </c>
      <c r="K21" s="119" t="s">
        <v>31858</v>
      </c>
      <c r="L21" s="119" t="s">
        <v>31857</v>
      </c>
      <c r="M21" s="119" t="s">
        <v>31858</v>
      </c>
      <c r="N21" s="119" t="s">
        <v>31858</v>
      </c>
      <c r="O21" s="119" t="s">
        <v>31858</v>
      </c>
      <c r="P21" s="119" t="s">
        <v>31858</v>
      </c>
      <c r="Q21" s="119" t="s">
        <v>31858</v>
      </c>
      <c r="R21" s="120">
        <f t="shared" si="1"/>
        <v>1</v>
      </c>
      <c r="S21" s="121">
        <f t="shared" si="2"/>
        <v>0.6666666667</v>
      </c>
      <c r="T21" s="122">
        <f t="shared" si="3"/>
        <v>1</v>
      </c>
      <c r="U21" s="122">
        <f t="shared" si="4"/>
        <v>1</v>
      </c>
      <c r="V21" s="122">
        <f t="shared" si="5"/>
        <v>0.75</v>
      </c>
      <c r="W21" s="123">
        <f t="shared" si="6"/>
        <v>1</v>
      </c>
      <c r="X21" s="122">
        <f t="shared" si="7"/>
        <v>1</v>
      </c>
      <c r="Y21" s="122">
        <f t="shared" si="8"/>
        <v>0.75</v>
      </c>
      <c r="Z21" s="139" t="s">
        <v>31859</v>
      </c>
      <c r="AA21" s="119" t="str">
        <f t="shared" si="9"/>
        <v>True</v>
      </c>
      <c r="AB21" s="124" t="s">
        <v>31876</v>
      </c>
      <c r="AC21" s="125" t="s">
        <v>31876</v>
      </c>
      <c r="AD21" s="125" t="s">
        <v>32171</v>
      </c>
      <c r="AE21" s="125" t="s">
        <v>32172</v>
      </c>
      <c r="AF21" s="125" t="s">
        <v>32173</v>
      </c>
      <c r="AG21" s="125" t="s">
        <v>31865</v>
      </c>
      <c r="AH21" s="125" t="s">
        <v>32174</v>
      </c>
      <c r="AI21" s="125" t="s">
        <v>32175</v>
      </c>
      <c r="AJ21" s="125" t="s">
        <v>32176</v>
      </c>
      <c r="AK21" s="125" t="s">
        <v>32177</v>
      </c>
      <c r="AL21" s="125" t="s">
        <v>32178</v>
      </c>
      <c r="AM21" s="125" t="s">
        <v>32179</v>
      </c>
      <c r="AN21" s="125" t="s">
        <v>32180</v>
      </c>
      <c r="AO21" s="151" t="s">
        <v>32181</v>
      </c>
      <c r="AP21" s="125" t="s">
        <v>32182</v>
      </c>
      <c r="AQ21" s="125" t="s">
        <v>31886</v>
      </c>
      <c r="AR21" s="125" t="s">
        <v>31865</v>
      </c>
      <c r="AS21" s="125" t="s">
        <v>32183</v>
      </c>
      <c r="AT21" s="125" t="s">
        <v>32184</v>
      </c>
      <c r="AU21" s="125" t="s">
        <v>32185</v>
      </c>
      <c r="AV21" s="125" t="s">
        <v>32186</v>
      </c>
      <c r="AW21" s="125" t="s">
        <v>32187</v>
      </c>
      <c r="AX21" s="125" t="s">
        <v>32188</v>
      </c>
      <c r="AY21" s="125" t="s">
        <v>32189</v>
      </c>
      <c r="AZ21" s="125" t="s">
        <v>32190</v>
      </c>
      <c r="BA21" s="125" t="s">
        <v>32191</v>
      </c>
      <c r="BB21" s="125" t="s">
        <v>32166</v>
      </c>
      <c r="BC21" s="125" t="s">
        <v>31865</v>
      </c>
      <c r="BD21" s="126" t="s">
        <v>32192</v>
      </c>
    </row>
    <row r="22" ht="22.5" customHeight="1">
      <c r="A22" s="153" t="s">
        <v>548</v>
      </c>
      <c r="B22" s="154" t="s">
        <v>32170</v>
      </c>
      <c r="C22" s="155"/>
      <c r="D22" s="156" t="s">
        <v>31759</v>
      </c>
      <c r="E22" s="155"/>
      <c r="F22" s="157" t="s">
        <v>551</v>
      </c>
      <c r="G22" s="158">
        <v>80.0</v>
      </c>
      <c r="H22" s="159">
        <v>45958.0</v>
      </c>
      <c r="I22" s="160" t="s">
        <v>31856</v>
      </c>
      <c r="J22" s="161" t="s">
        <v>31858</v>
      </c>
      <c r="K22" s="162" t="s">
        <v>31858</v>
      </c>
      <c r="L22" s="161" t="s">
        <v>31858</v>
      </c>
      <c r="M22" s="162" t="s">
        <v>31857</v>
      </c>
      <c r="N22" s="162" t="s">
        <v>31858</v>
      </c>
      <c r="O22" s="162" t="s">
        <v>31857</v>
      </c>
      <c r="P22" s="162" t="s">
        <v>31858</v>
      </c>
      <c r="Q22" s="162" t="s">
        <v>31858</v>
      </c>
      <c r="R22" s="120">
        <f t="shared" si="1"/>
        <v>0</v>
      </c>
      <c r="S22" s="121">
        <f t="shared" si="2"/>
        <v>1</v>
      </c>
      <c r="T22" s="122">
        <f t="shared" si="3"/>
        <v>1</v>
      </c>
      <c r="U22" s="122">
        <f t="shared" si="4"/>
        <v>1</v>
      </c>
      <c r="V22" s="122">
        <f t="shared" si="5"/>
        <v>1</v>
      </c>
      <c r="W22" s="123">
        <f t="shared" si="6"/>
        <v>1</v>
      </c>
      <c r="X22" s="122">
        <f t="shared" si="7"/>
        <v>1</v>
      </c>
      <c r="Y22" s="122">
        <f t="shared" si="8"/>
        <v>1</v>
      </c>
      <c r="Z22" s="163" t="s">
        <v>31859</v>
      </c>
      <c r="AA22" s="119" t="str">
        <f t="shared" si="9"/>
        <v>True</v>
      </c>
      <c r="AB22" s="164" t="s">
        <v>31865</v>
      </c>
      <c r="AC22" s="165" t="s">
        <v>31865</v>
      </c>
      <c r="AD22" s="165" t="s">
        <v>31865</v>
      </c>
      <c r="AE22" s="165" t="s">
        <v>32193</v>
      </c>
      <c r="AF22" s="165" t="s">
        <v>32194</v>
      </c>
      <c r="AG22" s="165" t="s">
        <v>32195</v>
      </c>
      <c r="AH22" s="165" t="s">
        <v>32196</v>
      </c>
      <c r="AI22" s="165" t="s">
        <v>32197</v>
      </c>
      <c r="AJ22" s="165" t="s">
        <v>32198</v>
      </c>
      <c r="AK22" s="165" t="s">
        <v>32199</v>
      </c>
      <c r="AL22" s="165" t="s">
        <v>32200</v>
      </c>
      <c r="AM22" s="165" t="s">
        <v>32201</v>
      </c>
      <c r="AN22" s="165" t="s">
        <v>32202</v>
      </c>
      <c r="AO22" s="165" t="s">
        <v>32203</v>
      </c>
      <c r="AP22" s="165" t="s">
        <v>32204</v>
      </c>
      <c r="AQ22" s="165" t="s">
        <v>32205</v>
      </c>
      <c r="AR22" s="165" t="s">
        <v>32206</v>
      </c>
      <c r="AS22" s="165" t="s">
        <v>32091</v>
      </c>
      <c r="AT22" s="165" t="s">
        <v>32207</v>
      </c>
      <c r="AU22" s="165" t="s">
        <v>32208</v>
      </c>
      <c r="AV22" s="165" t="s">
        <v>32209</v>
      </c>
      <c r="AW22" s="165" t="s">
        <v>32210</v>
      </c>
      <c r="AX22" s="165" t="s">
        <v>32137</v>
      </c>
      <c r="AY22" s="165" t="s">
        <v>32211</v>
      </c>
      <c r="AZ22" s="165" t="s">
        <v>32212</v>
      </c>
      <c r="BA22" s="165" t="s">
        <v>32213</v>
      </c>
      <c r="BB22" s="165" t="s">
        <v>32214</v>
      </c>
      <c r="BC22" s="165" t="s">
        <v>32167</v>
      </c>
      <c r="BD22" s="166" t="s">
        <v>32215</v>
      </c>
    </row>
    <row r="23" ht="22.5" customHeight="1">
      <c r="A23" s="167" t="s">
        <v>18017</v>
      </c>
      <c r="B23" s="114" t="s">
        <v>31854</v>
      </c>
      <c r="C23" s="168" t="s">
        <v>32216</v>
      </c>
      <c r="D23" s="168" t="s">
        <v>18016</v>
      </c>
      <c r="E23" s="119" t="s">
        <v>18018</v>
      </c>
      <c r="F23" s="168" t="s">
        <v>18020</v>
      </c>
      <c r="G23" s="116">
        <v>40.0</v>
      </c>
      <c r="H23" s="169">
        <v>45944.0</v>
      </c>
      <c r="I23" s="170" t="s">
        <v>32217</v>
      </c>
      <c r="J23" s="119" t="s">
        <v>31857</v>
      </c>
      <c r="K23" s="119" t="s">
        <v>31857</v>
      </c>
      <c r="L23" s="119" t="s">
        <v>31858</v>
      </c>
      <c r="M23" s="119" t="s">
        <v>31857</v>
      </c>
      <c r="N23" s="119" t="s">
        <v>31857</v>
      </c>
      <c r="O23" s="119" t="s">
        <v>31857</v>
      </c>
      <c r="P23" s="119" t="s">
        <v>31857</v>
      </c>
      <c r="Q23" s="119" t="s">
        <v>31858</v>
      </c>
      <c r="R23" s="120">
        <f t="shared" si="1"/>
        <v>1</v>
      </c>
      <c r="S23" s="121">
        <f t="shared" si="2"/>
        <v>0.6666666667</v>
      </c>
      <c r="T23" s="122">
        <f t="shared" si="3"/>
        <v>1</v>
      </c>
      <c r="U23" s="122">
        <f t="shared" si="4"/>
        <v>1</v>
      </c>
      <c r="V23" s="122">
        <f t="shared" si="5"/>
        <v>0.75</v>
      </c>
      <c r="W23" s="123">
        <f t="shared" si="6"/>
        <v>1</v>
      </c>
      <c r="X23" s="122">
        <f t="shared" si="7"/>
        <v>0.75</v>
      </c>
      <c r="Y23" s="122">
        <f t="shared" si="8"/>
        <v>0.75</v>
      </c>
      <c r="Z23" s="119" t="s">
        <v>31859</v>
      </c>
      <c r="AA23" s="119" t="str">
        <f t="shared" si="9"/>
        <v>True</v>
      </c>
      <c r="AB23" s="171" t="s">
        <v>31876</v>
      </c>
      <c r="AC23" s="172" t="s">
        <v>31876</v>
      </c>
      <c r="AD23" s="172" t="s">
        <v>32218</v>
      </c>
      <c r="AE23" s="172" t="s">
        <v>32219</v>
      </c>
      <c r="AF23" s="172" t="s">
        <v>31887</v>
      </c>
      <c r="AG23" s="172" t="s">
        <v>31865</v>
      </c>
      <c r="AH23" s="172" t="s">
        <v>32220</v>
      </c>
      <c r="AI23" s="172" t="s">
        <v>32084</v>
      </c>
      <c r="AJ23" s="172" t="s">
        <v>32221</v>
      </c>
      <c r="AK23" s="172" t="s">
        <v>32222</v>
      </c>
      <c r="AL23" s="172" t="s">
        <v>32223</v>
      </c>
      <c r="AM23" s="172" t="s">
        <v>32224</v>
      </c>
      <c r="AN23" s="172" t="s">
        <v>32225</v>
      </c>
      <c r="AO23" s="172" t="s">
        <v>32226</v>
      </c>
      <c r="AP23" s="172" t="s">
        <v>32227</v>
      </c>
      <c r="AQ23" s="172" t="s">
        <v>32228</v>
      </c>
      <c r="AR23" s="172" t="s">
        <v>31865</v>
      </c>
      <c r="AS23" s="172" t="s">
        <v>32229</v>
      </c>
      <c r="AT23" s="172" t="s">
        <v>32230</v>
      </c>
      <c r="AU23" s="70" t="s">
        <v>32093</v>
      </c>
      <c r="AV23" s="172" t="s">
        <v>32231</v>
      </c>
      <c r="AW23" s="172" t="s">
        <v>31998</v>
      </c>
      <c r="AX23" s="172" t="s">
        <v>32137</v>
      </c>
      <c r="AY23" s="172" t="s">
        <v>31865</v>
      </c>
      <c r="AZ23" s="172" t="s">
        <v>32232</v>
      </c>
      <c r="BA23" s="172" t="s">
        <v>32233</v>
      </c>
      <c r="BB23" s="172" t="s">
        <v>32166</v>
      </c>
      <c r="BC23" s="172" t="s">
        <v>31865</v>
      </c>
      <c r="BD23" s="173" t="s">
        <v>32234</v>
      </c>
    </row>
    <row r="24" ht="22.5" customHeight="1">
      <c r="A24" s="174" t="s">
        <v>785</v>
      </c>
      <c r="B24" s="114" t="s">
        <v>31854</v>
      </c>
      <c r="C24" s="139" t="s">
        <v>32235</v>
      </c>
      <c r="D24" s="139" t="s">
        <v>784</v>
      </c>
      <c r="E24" s="139" t="s">
        <v>786</v>
      </c>
      <c r="F24" s="139" t="s">
        <v>788</v>
      </c>
      <c r="G24" s="136"/>
      <c r="H24" s="175">
        <v>45922.0</v>
      </c>
      <c r="I24" s="176" t="s">
        <v>32217</v>
      </c>
      <c r="J24" s="139" t="s">
        <v>31857</v>
      </c>
      <c r="K24" s="139" t="s">
        <v>31857</v>
      </c>
      <c r="L24" s="139" t="s">
        <v>31857</v>
      </c>
      <c r="M24" s="139" t="s">
        <v>31857</v>
      </c>
      <c r="N24" s="139" t="s">
        <v>31858</v>
      </c>
      <c r="O24" s="139" t="s">
        <v>31857</v>
      </c>
      <c r="P24" s="139" t="s">
        <v>31857</v>
      </c>
      <c r="Q24" s="139" t="s">
        <v>31857</v>
      </c>
      <c r="R24" s="120">
        <f t="shared" si="1"/>
        <v>1</v>
      </c>
      <c r="S24" s="121">
        <f t="shared" si="2"/>
        <v>0.6666666667</v>
      </c>
      <c r="T24" s="122">
        <f t="shared" si="3"/>
        <v>1</v>
      </c>
      <c r="U24" s="122">
        <f t="shared" si="4"/>
        <v>1</v>
      </c>
      <c r="V24" s="122">
        <f t="shared" si="5"/>
        <v>0.75</v>
      </c>
      <c r="W24" s="123">
        <f t="shared" si="6"/>
        <v>1</v>
      </c>
      <c r="X24" s="122">
        <f t="shared" si="7"/>
        <v>1</v>
      </c>
      <c r="Y24" s="122">
        <f t="shared" si="8"/>
        <v>1</v>
      </c>
      <c r="Z24" s="119" t="s">
        <v>31859</v>
      </c>
      <c r="AA24" s="119" t="str">
        <f t="shared" si="9"/>
        <v>True</v>
      </c>
      <c r="AB24" s="70" t="s">
        <v>31860</v>
      </c>
      <c r="AC24" s="174" t="s">
        <v>31876</v>
      </c>
      <c r="AD24" s="174" t="s">
        <v>32236</v>
      </c>
      <c r="AE24" s="174" t="s">
        <v>32237</v>
      </c>
      <c r="AF24" s="174" t="s">
        <v>31879</v>
      </c>
      <c r="AG24" s="174" t="s">
        <v>31865</v>
      </c>
      <c r="AH24" s="174" t="s">
        <v>32220</v>
      </c>
      <c r="AI24" s="174" t="s">
        <v>32238</v>
      </c>
      <c r="AJ24" s="174" t="s">
        <v>32239</v>
      </c>
      <c r="AK24" s="174" t="s">
        <v>31902</v>
      </c>
      <c r="AL24" s="174" t="s">
        <v>32240</v>
      </c>
      <c r="AM24" s="174" t="s">
        <v>32241</v>
      </c>
      <c r="AN24" s="174" t="s">
        <v>32225</v>
      </c>
      <c r="AO24" s="174" t="s">
        <v>32242</v>
      </c>
      <c r="AP24" s="174" t="s">
        <v>31873</v>
      </c>
      <c r="AQ24" s="174" t="s">
        <v>31886</v>
      </c>
      <c r="AR24" s="174" t="s">
        <v>31865</v>
      </c>
      <c r="AS24" s="174" t="s">
        <v>31933</v>
      </c>
      <c r="AT24" s="174" t="s">
        <v>32243</v>
      </c>
      <c r="AU24" s="174" t="s">
        <v>31935</v>
      </c>
      <c r="AV24" s="174" t="s">
        <v>32244</v>
      </c>
      <c r="AW24" s="174" t="s">
        <v>32245</v>
      </c>
      <c r="AX24" s="174" t="s">
        <v>32137</v>
      </c>
      <c r="AY24" s="174" t="s">
        <v>32246</v>
      </c>
      <c r="AZ24" s="174" t="s">
        <v>32247</v>
      </c>
      <c r="BA24" s="174" t="s">
        <v>32248</v>
      </c>
      <c r="BB24" s="174" t="s">
        <v>32166</v>
      </c>
      <c r="BC24" s="174" t="s">
        <v>32167</v>
      </c>
      <c r="BD24" s="174" t="s">
        <v>32249</v>
      </c>
    </row>
    <row r="25" ht="22.5" customHeight="1">
      <c r="A25" s="177" t="s">
        <v>4658</v>
      </c>
      <c r="B25" s="114" t="s">
        <v>31854</v>
      </c>
      <c r="C25" s="119" t="s">
        <v>32250</v>
      </c>
      <c r="D25" s="119" t="s">
        <v>4657</v>
      </c>
      <c r="E25" s="119" t="s">
        <v>4659</v>
      </c>
      <c r="F25" s="119" t="s">
        <v>4661</v>
      </c>
      <c r="G25" s="144">
        <v>70.0</v>
      </c>
      <c r="H25" s="178">
        <v>45929.0</v>
      </c>
      <c r="I25" s="179" t="s">
        <v>32217</v>
      </c>
      <c r="J25" s="119" t="s">
        <v>31857</v>
      </c>
      <c r="K25" s="119" t="s">
        <v>31858</v>
      </c>
      <c r="L25" s="119" t="s">
        <v>31857</v>
      </c>
      <c r="M25" s="119" t="s">
        <v>31857</v>
      </c>
      <c r="N25" s="119" t="s">
        <v>31857</v>
      </c>
      <c r="O25" s="119" t="s">
        <v>31857</v>
      </c>
      <c r="P25" s="119" t="s">
        <v>31857</v>
      </c>
      <c r="Q25" s="119" t="s">
        <v>31857</v>
      </c>
      <c r="R25" s="120">
        <f t="shared" si="1"/>
        <v>1</v>
      </c>
      <c r="S25" s="121">
        <f t="shared" si="2"/>
        <v>1</v>
      </c>
      <c r="T25" s="122">
        <f t="shared" si="3"/>
        <v>1</v>
      </c>
      <c r="U25" s="122">
        <f t="shared" si="4"/>
        <v>0.5</v>
      </c>
      <c r="V25" s="122">
        <f t="shared" si="5"/>
        <v>0.75</v>
      </c>
      <c r="W25" s="123">
        <f t="shared" si="6"/>
        <v>1</v>
      </c>
      <c r="X25" s="122">
        <f t="shared" si="7"/>
        <v>0.75</v>
      </c>
      <c r="Y25" s="122">
        <f t="shared" si="8"/>
        <v>0.75</v>
      </c>
      <c r="Z25" s="119" t="s">
        <v>31859</v>
      </c>
      <c r="AA25" s="119" t="str">
        <f t="shared" si="9"/>
        <v>True</v>
      </c>
      <c r="AB25" s="180" t="s">
        <v>32251</v>
      </c>
      <c r="AC25" s="180" t="s">
        <v>32251</v>
      </c>
      <c r="AD25" s="180" t="s">
        <v>32252</v>
      </c>
      <c r="AE25" s="180" t="s">
        <v>32253</v>
      </c>
      <c r="AF25" s="180" t="s">
        <v>32254</v>
      </c>
      <c r="AG25" s="180" t="s">
        <v>32255</v>
      </c>
      <c r="AH25" s="180" t="s">
        <v>32256</v>
      </c>
      <c r="AI25" s="180" t="s">
        <v>32257</v>
      </c>
      <c r="AJ25" s="180" t="s">
        <v>32258</v>
      </c>
      <c r="AK25" s="180" t="s">
        <v>32259</v>
      </c>
      <c r="AL25" s="180" t="s">
        <v>32240</v>
      </c>
      <c r="AM25" s="180" t="s">
        <v>31865</v>
      </c>
      <c r="AN25" s="180" t="s">
        <v>31865</v>
      </c>
      <c r="AO25" s="180" t="s">
        <v>32260</v>
      </c>
      <c r="AP25" s="180" t="s">
        <v>32261</v>
      </c>
      <c r="AQ25" s="180" t="s">
        <v>32262</v>
      </c>
      <c r="AR25" s="180" t="s">
        <v>32263</v>
      </c>
      <c r="AS25" s="180" t="s">
        <v>31865</v>
      </c>
      <c r="AT25" s="180" t="s">
        <v>32264</v>
      </c>
      <c r="AU25" s="180" t="s">
        <v>32265</v>
      </c>
      <c r="AV25" s="180" t="s">
        <v>31997</v>
      </c>
      <c r="AW25" s="180" t="s">
        <v>32034</v>
      </c>
      <c r="AX25" s="180" t="s">
        <v>32266</v>
      </c>
      <c r="AY25" s="180" t="s">
        <v>32267</v>
      </c>
      <c r="AZ25" s="180" t="s">
        <v>31865</v>
      </c>
      <c r="BA25" s="180" t="s">
        <v>32268</v>
      </c>
      <c r="BB25" s="180" t="s">
        <v>32269</v>
      </c>
      <c r="BC25" s="180" t="s">
        <v>32167</v>
      </c>
      <c r="BD25" s="180" t="s">
        <v>31865</v>
      </c>
    </row>
    <row r="26" ht="22.5" customHeight="1">
      <c r="A26" s="177" t="s">
        <v>23498</v>
      </c>
      <c r="B26" s="114" t="s">
        <v>31854</v>
      </c>
      <c r="C26" s="119" t="s">
        <v>32270</v>
      </c>
      <c r="D26" s="119" t="s">
        <v>23497</v>
      </c>
      <c r="E26" s="119" t="s">
        <v>23482</v>
      </c>
      <c r="F26" s="119" t="s">
        <v>23499</v>
      </c>
      <c r="G26" s="116">
        <v>90.0</v>
      </c>
      <c r="H26" s="178">
        <v>45950.0</v>
      </c>
      <c r="I26" s="179" t="s">
        <v>32217</v>
      </c>
      <c r="J26" s="119" t="s">
        <v>31857</v>
      </c>
      <c r="K26" s="119" t="s">
        <v>31858</v>
      </c>
      <c r="L26" s="119" t="s">
        <v>31857</v>
      </c>
      <c r="M26" s="119" t="s">
        <v>31857</v>
      </c>
      <c r="N26" s="119" t="s">
        <v>31858</v>
      </c>
      <c r="O26" s="119" t="s">
        <v>31857</v>
      </c>
      <c r="P26" s="119" t="s">
        <v>31857</v>
      </c>
      <c r="Q26" s="119" t="s">
        <v>31857</v>
      </c>
      <c r="R26" s="120">
        <f t="shared" si="1"/>
        <v>1</v>
      </c>
      <c r="S26" s="121">
        <f t="shared" si="2"/>
        <v>0.6666666667</v>
      </c>
      <c r="T26" s="122">
        <f t="shared" si="3"/>
        <v>1</v>
      </c>
      <c r="U26" s="122">
        <f t="shared" si="4"/>
        <v>1</v>
      </c>
      <c r="V26" s="122">
        <f t="shared" si="5"/>
        <v>0.75</v>
      </c>
      <c r="W26" s="123">
        <f t="shared" si="6"/>
        <v>1</v>
      </c>
      <c r="X26" s="122">
        <f t="shared" si="7"/>
        <v>0.75</v>
      </c>
      <c r="Y26" s="122">
        <f t="shared" si="8"/>
        <v>0</v>
      </c>
      <c r="Z26" s="119" t="s">
        <v>31859</v>
      </c>
      <c r="AA26" s="119" t="str">
        <f t="shared" si="9"/>
        <v>True</v>
      </c>
      <c r="AB26" s="180" t="s">
        <v>32271</v>
      </c>
      <c r="AC26" s="180" t="s">
        <v>32271</v>
      </c>
      <c r="AD26" s="180" t="s">
        <v>32272</v>
      </c>
      <c r="AE26" s="180" t="s">
        <v>32273</v>
      </c>
      <c r="AF26" s="180" t="s">
        <v>32274</v>
      </c>
      <c r="AG26" s="180" t="s">
        <v>31865</v>
      </c>
      <c r="AH26" s="180" t="s">
        <v>32275</v>
      </c>
      <c r="AI26" s="180" t="s">
        <v>32084</v>
      </c>
      <c r="AJ26" s="180" t="s">
        <v>32276</v>
      </c>
      <c r="AK26" s="180" t="s">
        <v>32277</v>
      </c>
      <c r="AL26" s="180" t="s">
        <v>32278</v>
      </c>
      <c r="AM26" s="180" t="s">
        <v>31902</v>
      </c>
      <c r="AN26" s="180" t="s">
        <v>32279</v>
      </c>
      <c r="AO26" s="180" t="s">
        <v>32280</v>
      </c>
      <c r="AP26" s="180" t="s">
        <v>32281</v>
      </c>
      <c r="AQ26" s="180" t="s">
        <v>31886</v>
      </c>
      <c r="AR26" s="180" t="s">
        <v>31865</v>
      </c>
      <c r="AS26" s="180" t="s">
        <v>32282</v>
      </c>
      <c r="AT26" s="180" t="s">
        <v>32283</v>
      </c>
      <c r="AU26" s="180" t="s">
        <v>32284</v>
      </c>
      <c r="AV26" s="180" t="s">
        <v>32135</v>
      </c>
      <c r="AW26" s="180" t="s">
        <v>32285</v>
      </c>
      <c r="AX26" s="180" t="s">
        <v>32137</v>
      </c>
      <c r="AY26" s="180" t="s">
        <v>31865</v>
      </c>
      <c r="AZ26" s="180" t="s">
        <v>32286</v>
      </c>
      <c r="BA26" s="180" t="s">
        <v>31865</v>
      </c>
      <c r="BB26" s="180" t="s">
        <v>31865</v>
      </c>
      <c r="BC26" s="180" t="s">
        <v>31865</v>
      </c>
      <c r="BD26" s="180" t="s">
        <v>31865</v>
      </c>
    </row>
    <row r="27" ht="22.5" customHeight="1">
      <c r="A27" s="177" t="s">
        <v>24396</v>
      </c>
      <c r="B27" s="114" t="s">
        <v>31854</v>
      </c>
      <c r="C27" s="119" t="s">
        <v>32287</v>
      </c>
      <c r="D27" s="119" t="s">
        <v>24395</v>
      </c>
      <c r="E27" s="119" t="s">
        <v>24402</v>
      </c>
      <c r="F27" s="119" t="s">
        <v>24397</v>
      </c>
      <c r="G27" s="116">
        <v>50.0</v>
      </c>
      <c r="H27" s="178">
        <v>45933.0</v>
      </c>
      <c r="I27" s="179" t="s">
        <v>32217</v>
      </c>
      <c r="J27" s="119" t="s">
        <v>31858</v>
      </c>
      <c r="K27" s="119" t="s">
        <v>31857</v>
      </c>
      <c r="L27" s="119" t="s">
        <v>31858</v>
      </c>
      <c r="M27" s="119" t="s">
        <v>31858</v>
      </c>
      <c r="N27" s="119" t="s">
        <v>31857</v>
      </c>
      <c r="O27" s="119" t="s">
        <v>31857</v>
      </c>
      <c r="P27" s="119" t="s">
        <v>31857</v>
      </c>
      <c r="Q27" s="119" t="s">
        <v>31857</v>
      </c>
      <c r="R27" s="120">
        <f t="shared" si="1"/>
        <v>0</v>
      </c>
      <c r="S27" s="121">
        <f t="shared" si="2"/>
        <v>0.6666666667</v>
      </c>
      <c r="T27" s="122">
        <f t="shared" si="3"/>
        <v>0.75</v>
      </c>
      <c r="U27" s="122">
        <f t="shared" si="4"/>
        <v>0</v>
      </c>
      <c r="V27" s="122">
        <f t="shared" si="5"/>
        <v>0.75</v>
      </c>
      <c r="W27" s="123">
        <f t="shared" si="6"/>
        <v>1</v>
      </c>
      <c r="X27" s="122">
        <f t="shared" si="7"/>
        <v>1</v>
      </c>
      <c r="Y27" s="122">
        <f t="shared" si="8"/>
        <v>0</v>
      </c>
      <c r="Z27" s="119" t="s">
        <v>31859</v>
      </c>
      <c r="AA27" s="119" t="str">
        <f t="shared" si="9"/>
        <v>True</v>
      </c>
      <c r="AB27" s="180" t="s">
        <v>31865</v>
      </c>
      <c r="AC27" s="180" t="s">
        <v>31865</v>
      </c>
      <c r="AD27" s="180" t="s">
        <v>31865</v>
      </c>
      <c r="AE27" s="180" t="s">
        <v>32288</v>
      </c>
      <c r="AF27" s="180" t="s">
        <v>32289</v>
      </c>
      <c r="AG27" s="180" t="s">
        <v>31865</v>
      </c>
      <c r="AH27" s="180" t="s">
        <v>32290</v>
      </c>
      <c r="AI27" s="180" t="s">
        <v>32084</v>
      </c>
      <c r="AJ27" s="180" t="s">
        <v>31865</v>
      </c>
      <c r="AK27" s="180" t="s">
        <v>32291</v>
      </c>
      <c r="AL27" s="180" t="s">
        <v>31865</v>
      </c>
      <c r="AM27" s="180" t="s">
        <v>31865</v>
      </c>
      <c r="AN27" s="180" t="s">
        <v>31865</v>
      </c>
      <c r="AO27" s="180" t="s">
        <v>31865</v>
      </c>
      <c r="AP27" s="180" t="s">
        <v>32292</v>
      </c>
      <c r="AQ27" s="180" t="s">
        <v>32293</v>
      </c>
      <c r="AR27" s="180" t="s">
        <v>31865</v>
      </c>
      <c r="AS27" s="180" t="s">
        <v>32294</v>
      </c>
      <c r="AT27" s="180" t="s">
        <v>32295</v>
      </c>
      <c r="AU27" s="180" t="s">
        <v>32296</v>
      </c>
      <c r="AV27" s="180" t="s">
        <v>32297</v>
      </c>
      <c r="AW27" s="180" t="s">
        <v>32298</v>
      </c>
      <c r="AX27" s="180" t="s">
        <v>31893</v>
      </c>
      <c r="AY27" s="180" t="s">
        <v>32299</v>
      </c>
      <c r="AZ27" s="180" t="s">
        <v>32000</v>
      </c>
      <c r="BA27" s="180" t="s">
        <v>31865</v>
      </c>
      <c r="BB27" s="180" t="s">
        <v>31865</v>
      </c>
      <c r="BC27" s="180" t="s">
        <v>31865</v>
      </c>
      <c r="BD27" s="180" t="s">
        <v>31865</v>
      </c>
    </row>
    <row r="28" ht="22.5" customHeight="1">
      <c r="A28" s="177" t="s">
        <v>9160</v>
      </c>
      <c r="B28" s="114" t="s">
        <v>31854</v>
      </c>
      <c r="C28" s="119" t="s">
        <v>32300</v>
      </c>
      <c r="D28" s="119" t="s">
        <v>9159</v>
      </c>
      <c r="E28" s="119" t="s">
        <v>9161</v>
      </c>
      <c r="F28" s="119" t="s">
        <v>9163</v>
      </c>
      <c r="G28" s="116">
        <v>30.0</v>
      </c>
      <c r="H28" s="178">
        <v>45932.0</v>
      </c>
      <c r="I28" s="179" t="s">
        <v>32217</v>
      </c>
      <c r="J28" s="119" t="s">
        <v>31857</v>
      </c>
      <c r="K28" s="119" t="s">
        <v>31858</v>
      </c>
      <c r="L28" s="119" t="s">
        <v>31857</v>
      </c>
      <c r="M28" s="119" t="s">
        <v>31858</v>
      </c>
      <c r="N28" s="119" t="s">
        <v>31857</v>
      </c>
      <c r="O28" s="119" t="s">
        <v>31857</v>
      </c>
      <c r="P28" s="119" t="s">
        <v>31858</v>
      </c>
      <c r="Q28" s="119" t="s">
        <v>31858</v>
      </c>
      <c r="R28" s="120">
        <f t="shared" si="1"/>
        <v>1</v>
      </c>
      <c r="S28" s="121">
        <f t="shared" si="2"/>
        <v>1</v>
      </c>
      <c r="T28" s="122">
        <f t="shared" si="3"/>
        <v>1</v>
      </c>
      <c r="U28" s="122">
        <f t="shared" si="4"/>
        <v>1</v>
      </c>
      <c r="V28" s="122">
        <f t="shared" si="5"/>
        <v>0.75</v>
      </c>
      <c r="W28" s="123">
        <f t="shared" si="6"/>
        <v>1</v>
      </c>
      <c r="X28" s="122">
        <f t="shared" si="7"/>
        <v>0.75</v>
      </c>
      <c r="Y28" s="122">
        <f t="shared" si="8"/>
        <v>0.25</v>
      </c>
      <c r="Z28" s="119" t="s">
        <v>31859</v>
      </c>
      <c r="AA28" s="119" t="str">
        <f t="shared" si="9"/>
        <v>True</v>
      </c>
      <c r="AB28" s="180" t="s">
        <v>31876</v>
      </c>
      <c r="AC28" s="180" t="s">
        <v>31876</v>
      </c>
      <c r="AD28" s="180" t="s">
        <v>32301</v>
      </c>
      <c r="AE28" s="180" t="s">
        <v>32302</v>
      </c>
      <c r="AF28" s="180" t="s">
        <v>32303</v>
      </c>
      <c r="AG28" s="180" t="s">
        <v>32304</v>
      </c>
      <c r="AH28" s="180" t="s">
        <v>32028</v>
      </c>
      <c r="AI28" s="180" t="s">
        <v>32305</v>
      </c>
      <c r="AJ28" s="180" t="s">
        <v>32306</v>
      </c>
      <c r="AK28" s="180" t="s">
        <v>32307</v>
      </c>
      <c r="AL28" s="180" t="s">
        <v>32308</v>
      </c>
      <c r="AM28" s="180" t="s">
        <v>32309</v>
      </c>
      <c r="AN28" s="180" t="s">
        <v>32310</v>
      </c>
      <c r="AO28" s="180" t="s">
        <v>32311</v>
      </c>
      <c r="AP28" s="180" t="s">
        <v>32312</v>
      </c>
      <c r="AQ28" s="180" t="s">
        <v>32313</v>
      </c>
      <c r="AR28" s="180" t="s">
        <v>31865</v>
      </c>
      <c r="AS28" s="180" t="s">
        <v>32314</v>
      </c>
      <c r="AT28" s="180" t="s">
        <v>32315</v>
      </c>
      <c r="AU28" s="180" t="s">
        <v>32093</v>
      </c>
      <c r="AV28" s="180" t="s">
        <v>32316</v>
      </c>
      <c r="AW28" s="180" t="s">
        <v>32317</v>
      </c>
      <c r="AX28" s="180" t="s">
        <v>32318</v>
      </c>
      <c r="AY28" s="180" t="s">
        <v>31865</v>
      </c>
      <c r="AZ28" s="180" t="s">
        <v>32319</v>
      </c>
      <c r="BA28" s="180" t="s">
        <v>32320</v>
      </c>
      <c r="BB28" s="180" t="s">
        <v>31865</v>
      </c>
      <c r="BC28" s="180" t="s">
        <v>31865</v>
      </c>
      <c r="BD28" s="180" t="s">
        <v>31865</v>
      </c>
    </row>
    <row r="29" ht="22.5" customHeight="1">
      <c r="A29" s="177" t="s">
        <v>1971</v>
      </c>
      <c r="B29" s="114" t="s">
        <v>31854</v>
      </c>
      <c r="C29" s="119" t="s">
        <v>32321</v>
      </c>
      <c r="D29" s="119" t="s">
        <v>1970</v>
      </c>
      <c r="E29" s="119" t="s">
        <v>1972</v>
      </c>
      <c r="F29" s="119" t="s">
        <v>1974</v>
      </c>
      <c r="G29" s="116">
        <v>70.0</v>
      </c>
      <c r="H29" s="178">
        <v>45950.0</v>
      </c>
      <c r="I29" s="179" t="s">
        <v>32217</v>
      </c>
      <c r="J29" s="119" t="s">
        <v>31858</v>
      </c>
      <c r="K29" s="119" t="s">
        <v>31858</v>
      </c>
      <c r="L29" s="119" t="s">
        <v>31857</v>
      </c>
      <c r="M29" s="119" t="s">
        <v>31857</v>
      </c>
      <c r="N29" s="119" t="s">
        <v>31857</v>
      </c>
      <c r="O29" s="119" t="s">
        <v>31857</v>
      </c>
      <c r="P29" s="119" t="s">
        <v>31858</v>
      </c>
      <c r="Q29" s="119" t="s">
        <v>31857</v>
      </c>
      <c r="R29" s="120">
        <f t="shared" si="1"/>
        <v>1</v>
      </c>
      <c r="S29" s="121">
        <f t="shared" si="2"/>
        <v>1</v>
      </c>
      <c r="T29" s="122">
        <f t="shared" si="3"/>
        <v>0.75</v>
      </c>
      <c r="U29" s="122">
        <f t="shared" si="4"/>
        <v>0.5</v>
      </c>
      <c r="V29" s="122">
        <f t="shared" si="5"/>
        <v>1</v>
      </c>
      <c r="W29" s="123">
        <f t="shared" si="6"/>
        <v>1</v>
      </c>
      <c r="X29" s="122">
        <f t="shared" si="7"/>
        <v>1</v>
      </c>
      <c r="Y29" s="122">
        <f t="shared" si="8"/>
        <v>0</v>
      </c>
      <c r="Z29" s="119" t="s">
        <v>31859</v>
      </c>
      <c r="AA29" s="119" t="str">
        <f t="shared" si="9"/>
        <v>True</v>
      </c>
      <c r="AB29" s="180" t="s">
        <v>31876</v>
      </c>
      <c r="AC29" s="180" t="s">
        <v>31876</v>
      </c>
      <c r="AD29" s="180" t="s">
        <v>32236</v>
      </c>
      <c r="AE29" s="180" t="s">
        <v>32322</v>
      </c>
      <c r="AF29" s="180" t="s">
        <v>32323</v>
      </c>
      <c r="AG29" s="180" t="s">
        <v>32324</v>
      </c>
      <c r="AH29" s="180" t="s">
        <v>32028</v>
      </c>
      <c r="AI29" s="180" t="s">
        <v>32325</v>
      </c>
      <c r="AJ29" s="180" t="s">
        <v>31865</v>
      </c>
      <c r="AK29" s="180" t="s">
        <v>31900</v>
      </c>
      <c r="AL29" s="180" t="s">
        <v>31901</v>
      </c>
      <c r="AM29" s="180" t="s">
        <v>31865</v>
      </c>
      <c r="AN29" s="180" t="s">
        <v>31865</v>
      </c>
      <c r="AO29" s="180" t="s">
        <v>32242</v>
      </c>
      <c r="AP29" s="180" t="s">
        <v>32326</v>
      </c>
      <c r="AQ29" s="180" t="s">
        <v>32327</v>
      </c>
      <c r="AR29" s="180" t="s">
        <v>32328</v>
      </c>
      <c r="AS29" s="180" t="s">
        <v>32329</v>
      </c>
      <c r="AT29" s="180" t="s">
        <v>32330</v>
      </c>
      <c r="AU29" s="180" t="s">
        <v>32093</v>
      </c>
      <c r="AV29" s="180" t="s">
        <v>32331</v>
      </c>
      <c r="AW29" s="180" t="s">
        <v>32332</v>
      </c>
      <c r="AX29" s="180" t="s">
        <v>32137</v>
      </c>
      <c r="AY29" s="180" t="s">
        <v>32333</v>
      </c>
      <c r="AZ29" s="180" t="s">
        <v>32334</v>
      </c>
      <c r="BA29" s="180" t="s">
        <v>31865</v>
      </c>
      <c r="BB29" s="180" t="s">
        <v>31865</v>
      </c>
      <c r="BC29" s="180" t="s">
        <v>31865</v>
      </c>
      <c r="BD29" s="180" t="s">
        <v>31865</v>
      </c>
    </row>
    <row r="30" ht="22.5" customHeight="1">
      <c r="A30" s="177" t="s">
        <v>465</v>
      </c>
      <c r="B30" s="114" t="s">
        <v>31854</v>
      </c>
      <c r="C30" s="119" t="s">
        <v>32335</v>
      </c>
      <c r="D30" s="119" t="s">
        <v>464</v>
      </c>
      <c r="E30" s="119" t="s">
        <v>466</v>
      </c>
      <c r="F30" s="119" t="s">
        <v>468</v>
      </c>
      <c r="G30" s="116">
        <v>60.0</v>
      </c>
      <c r="H30" s="178">
        <v>45936.0</v>
      </c>
      <c r="I30" s="179" t="s">
        <v>32217</v>
      </c>
      <c r="J30" s="119" t="s">
        <v>31857</v>
      </c>
      <c r="K30" s="119" t="s">
        <v>31858</v>
      </c>
      <c r="L30" s="119" t="s">
        <v>31857</v>
      </c>
      <c r="M30" s="119" t="s">
        <v>31857</v>
      </c>
      <c r="N30" s="119" t="s">
        <v>31857</v>
      </c>
      <c r="O30" s="119" t="s">
        <v>31858</v>
      </c>
      <c r="P30" s="119" t="s">
        <v>31858</v>
      </c>
      <c r="Q30" s="119" t="s">
        <v>31858</v>
      </c>
      <c r="R30" s="120">
        <f t="shared" si="1"/>
        <v>1</v>
      </c>
      <c r="S30" s="121">
        <f t="shared" si="2"/>
        <v>1</v>
      </c>
      <c r="T30" s="122">
        <f t="shared" si="3"/>
        <v>1</v>
      </c>
      <c r="U30" s="122">
        <f t="shared" si="4"/>
        <v>1</v>
      </c>
      <c r="V30" s="122">
        <f t="shared" si="5"/>
        <v>0.75</v>
      </c>
      <c r="W30" s="123">
        <f t="shared" si="6"/>
        <v>1</v>
      </c>
      <c r="X30" s="122">
        <f t="shared" si="7"/>
        <v>1</v>
      </c>
      <c r="Y30" s="122">
        <f t="shared" si="8"/>
        <v>0.75</v>
      </c>
      <c r="Z30" s="119" t="s">
        <v>31859</v>
      </c>
      <c r="AA30" s="119" t="str">
        <f t="shared" si="9"/>
        <v>True</v>
      </c>
      <c r="AB30" s="180" t="s">
        <v>31876</v>
      </c>
      <c r="AC30" s="180" t="s">
        <v>31876</v>
      </c>
      <c r="AD30" s="180" t="s">
        <v>32236</v>
      </c>
      <c r="AE30" s="180" t="s">
        <v>32336</v>
      </c>
      <c r="AF30" s="180" t="s">
        <v>32337</v>
      </c>
      <c r="AG30" s="180" t="s">
        <v>32338</v>
      </c>
      <c r="AH30" s="180" t="s">
        <v>32028</v>
      </c>
      <c r="AI30" s="180" t="s">
        <v>32084</v>
      </c>
      <c r="AJ30" s="180" t="s">
        <v>32339</v>
      </c>
      <c r="AK30" s="180" t="s">
        <v>32340</v>
      </c>
      <c r="AL30" s="180" t="s">
        <v>31869</v>
      </c>
      <c r="AM30" s="180" t="s">
        <v>32341</v>
      </c>
      <c r="AN30" s="180" t="s">
        <v>32342</v>
      </c>
      <c r="AO30" s="180" t="s">
        <v>32343</v>
      </c>
      <c r="AP30" s="180" t="s">
        <v>32344</v>
      </c>
      <c r="AQ30" s="180" t="s">
        <v>32345</v>
      </c>
      <c r="AR30" s="180" t="s">
        <v>31865</v>
      </c>
      <c r="AS30" s="180" t="s">
        <v>32346</v>
      </c>
      <c r="AT30" s="180" t="s">
        <v>32347</v>
      </c>
      <c r="AU30" s="180" t="s">
        <v>32093</v>
      </c>
      <c r="AV30" s="180" t="s">
        <v>32348</v>
      </c>
      <c r="AW30" s="180" t="s">
        <v>32346</v>
      </c>
      <c r="AX30" s="180" t="s">
        <v>32137</v>
      </c>
      <c r="AY30" s="180" t="s">
        <v>32349</v>
      </c>
      <c r="AZ30" s="180" t="s">
        <v>32350</v>
      </c>
      <c r="BA30" s="180" t="s">
        <v>32351</v>
      </c>
      <c r="BB30" s="180" t="s">
        <v>32352</v>
      </c>
      <c r="BC30" s="180" t="s">
        <v>32167</v>
      </c>
      <c r="BD30" s="180" t="s">
        <v>31865</v>
      </c>
    </row>
    <row r="31" ht="22.5" customHeight="1">
      <c r="A31" s="177" t="s">
        <v>22280</v>
      </c>
      <c r="B31" s="114" t="s">
        <v>31854</v>
      </c>
      <c r="C31" s="119" t="s">
        <v>32353</v>
      </c>
      <c r="D31" s="119" t="s">
        <v>22279</v>
      </c>
      <c r="E31" s="119" t="s">
        <v>17040</v>
      </c>
      <c r="F31" s="119" t="s">
        <v>22281</v>
      </c>
      <c r="G31" s="144">
        <v>70.0</v>
      </c>
      <c r="H31" s="178">
        <v>45929.0</v>
      </c>
      <c r="I31" s="179" t="s">
        <v>32217</v>
      </c>
      <c r="J31" s="119" t="s">
        <v>31858</v>
      </c>
      <c r="K31" s="119" t="s">
        <v>31858</v>
      </c>
      <c r="L31" s="119" t="s">
        <v>31857</v>
      </c>
      <c r="M31" s="119" t="s">
        <v>31857</v>
      </c>
      <c r="N31" s="119" t="s">
        <v>31857</v>
      </c>
      <c r="O31" s="119" t="s">
        <v>31858</v>
      </c>
      <c r="P31" s="119" t="s">
        <v>31857</v>
      </c>
      <c r="Q31" s="119" t="s">
        <v>31857</v>
      </c>
      <c r="R31" s="120">
        <f t="shared" si="1"/>
        <v>1</v>
      </c>
      <c r="S31" s="121">
        <f t="shared" si="2"/>
        <v>0.6666666667</v>
      </c>
      <c r="T31" s="122">
        <f t="shared" si="3"/>
        <v>1</v>
      </c>
      <c r="U31" s="122">
        <f t="shared" si="4"/>
        <v>1</v>
      </c>
      <c r="V31" s="122">
        <f t="shared" si="5"/>
        <v>1</v>
      </c>
      <c r="W31" s="123">
        <f t="shared" si="6"/>
        <v>1</v>
      </c>
      <c r="X31" s="122">
        <f t="shared" si="7"/>
        <v>1</v>
      </c>
      <c r="Y31" s="122">
        <f t="shared" si="8"/>
        <v>1</v>
      </c>
      <c r="Z31" s="119" t="s">
        <v>31859</v>
      </c>
      <c r="AA31" s="119" t="str">
        <f t="shared" si="9"/>
        <v>True</v>
      </c>
      <c r="AB31" s="180" t="s">
        <v>31860</v>
      </c>
      <c r="AC31" s="180" t="s">
        <v>31876</v>
      </c>
      <c r="AD31" s="180" t="s">
        <v>32236</v>
      </c>
      <c r="AE31" s="180" t="s">
        <v>32354</v>
      </c>
      <c r="AF31" s="180" t="s">
        <v>32355</v>
      </c>
      <c r="AG31" s="180" t="s">
        <v>31865</v>
      </c>
      <c r="AH31" s="180" t="s">
        <v>32356</v>
      </c>
      <c r="AI31" s="180" t="s">
        <v>32357</v>
      </c>
      <c r="AJ31" s="180" t="s">
        <v>32358</v>
      </c>
      <c r="AK31" s="180" t="s">
        <v>32359</v>
      </c>
      <c r="AL31" s="180" t="s">
        <v>32360</v>
      </c>
      <c r="AM31" s="180" t="s">
        <v>32361</v>
      </c>
      <c r="AN31" s="180" t="s">
        <v>32362</v>
      </c>
      <c r="AO31" s="180" t="s">
        <v>32206</v>
      </c>
      <c r="AP31" s="180" t="s">
        <v>32363</v>
      </c>
      <c r="AQ31" s="180" t="s">
        <v>32364</v>
      </c>
      <c r="AR31" s="180" t="s">
        <v>32365</v>
      </c>
      <c r="AS31" s="180" t="s">
        <v>32366</v>
      </c>
      <c r="AT31" s="180" t="s">
        <v>32367</v>
      </c>
      <c r="AU31" s="180" t="s">
        <v>31935</v>
      </c>
      <c r="AV31" s="180" t="s">
        <v>31997</v>
      </c>
      <c r="AW31" s="180" t="s">
        <v>32034</v>
      </c>
      <c r="AX31" s="180" t="s">
        <v>32137</v>
      </c>
      <c r="AY31" s="180" t="s">
        <v>32368</v>
      </c>
      <c r="AZ31" s="180" t="s">
        <v>32369</v>
      </c>
      <c r="BA31" s="180" t="s">
        <v>32370</v>
      </c>
      <c r="BB31" s="180" t="s">
        <v>32371</v>
      </c>
      <c r="BC31" s="180" t="s">
        <v>32167</v>
      </c>
      <c r="BD31" s="180" t="s">
        <v>32372</v>
      </c>
    </row>
    <row r="32" ht="22.5" customHeight="1">
      <c r="A32" s="177" t="s">
        <v>18362</v>
      </c>
      <c r="B32" s="114" t="s">
        <v>31854</v>
      </c>
      <c r="C32" s="119" t="s">
        <v>32373</v>
      </c>
      <c r="D32" s="119" t="s">
        <v>18361</v>
      </c>
      <c r="E32" s="119" t="s">
        <v>16436</v>
      </c>
      <c r="F32" s="119" t="s">
        <v>18363</v>
      </c>
      <c r="G32" s="116">
        <v>60.0</v>
      </c>
      <c r="H32" s="178">
        <v>45945.0</v>
      </c>
      <c r="I32" s="179" t="s">
        <v>32217</v>
      </c>
      <c r="J32" s="119" t="s">
        <v>31858</v>
      </c>
      <c r="K32" s="119" t="s">
        <v>31857</v>
      </c>
      <c r="L32" s="119" t="s">
        <v>31857</v>
      </c>
      <c r="M32" s="119" t="s">
        <v>31857</v>
      </c>
      <c r="N32" s="119" t="s">
        <v>31857</v>
      </c>
      <c r="O32" s="119" t="s">
        <v>31857</v>
      </c>
      <c r="P32" s="119" t="s">
        <v>31857</v>
      </c>
      <c r="Q32" s="119" t="s">
        <v>31858</v>
      </c>
      <c r="R32" s="120">
        <f t="shared" si="1"/>
        <v>0</v>
      </c>
      <c r="S32" s="121">
        <f t="shared" si="2"/>
        <v>1</v>
      </c>
      <c r="T32" s="122">
        <f t="shared" si="3"/>
        <v>1</v>
      </c>
      <c r="U32" s="122">
        <f t="shared" si="4"/>
        <v>0.5</v>
      </c>
      <c r="V32" s="122">
        <f t="shared" si="5"/>
        <v>0.75</v>
      </c>
      <c r="W32" s="123">
        <f t="shared" si="6"/>
        <v>1</v>
      </c>
      <c r="X32" s="122">
        <f t="shared" si="7"/>
        <v>0.75</v>
      </c>
      <c r="Y32" s="122">
        <f t="shared" si="8"/>
        <v>0</v>
      </c>
      <c r="Z32" s="119" t="s">
        <v>31859</v>
      </c>
      <c r="AA32" s="119" t="str">
        <f t="shared" si="9"/>
        <v>True</v>
      </c>
      <c r="AB32" s="180" t="s">
        <v>31865</v>
      </c>
      <c r="AC32" s="180" t="s">
        <v>31865</v>
      </c>
      <c r="AD32" s="180" t="s">
        <v>31865</v>
      </c>
      <c r="AE32" s="180" t="s">
        <v>32374</v>
      </c>
      <c r="AF32" s="180" t="s">
        <v>32375</v>
      </c>
      <c r="AG32" s="180" t="s">
        <v>32376</v>
      </c>
      <c r="AH32" s="180" t="s">
        <v>32377</v>
      </c>
      <c r="AI32" s="180" t="s">
        <v>32084</v>
      </c>
      <c r="AJ32" s="180" t="s">
        <v>32116</v>
      </c>
      <c r="AK32" s="180" t="s">
        <v>32378</v>
      </c>
      <c r="AL32" s="180" t="s">
        <v>31884</v>
      </c>
      <c r="AM32" s="180" t="s">
        <v>31865</v>
      </c>
      <c r="AN32" s="180" t="s">
        <v>31865</v>
      </c>
      <c r="AO32" s="180" t="s">
        <v>32379</v>
      </c>
      <c r="AP32" s="180" t="s">
        <v>32380</v>
      </c>
      <c r="AQ32" s="180" t="s">
        <v>31886</v>
      </c>
      <c r="AR32" s="180" t="s">
        <v>31865</v>
      </c>
      <c r="AS32" s="180" t="s">
        <v>32381</v>
      </c>
      <c r="AT32" s="180" t="s">
        <v>32382</v>
      </c>
      <c r="AU32" s="180" t="s">
        <v>32093</v>
      </c>
      <c r="AV32" s="148" t="s">
        <v>31891</v>
      </c>
      <c r="AW32" s="180" t="s">
        <v>32383</v>
      </c>
      <c r="AX32" s="180" t="s">
        <v>32137</v>
      </c>
      <c r="AY32" s="180" t="s">
        <v>31865</v>
      </c>
      <c r="AZ32" s="180" t="s">
        <v>32384</v>
      </c>
      <c r="BA32" s="180" t="s">
        <v>31865</v>
      </c>
      <c r="BB32" s="180" t="s">
        <v>31865</v>
      </c>
      <c r="BC32" s="180" t="s">
        <v>31865</v>
      </c>
      <c r="BD32" s="180" t="s">
        <v>31865</v>
      </c>
    </row>
    <row r="33" ht="22.5" customHeight="1">
      <c r="A33" s="177" t="s">
        <v>23266</v>
      </c>
      <c r="B33" s="114" t="s">
        <v>31854</v>
      </c>
      <c r="C33" s="119" t="s">
        <v>32385</v>
      </c>
      <c r="D33" s="119" t="s">
        <v>23265</v>
      </c>
      <c r="E33" s="119" t="s">
        <v>23179</v>
      </c>
      <c r="F33" s="119" t="s">
        <v>23267</v>
      </c>
      <c r="G33" s="116">
        <v>50.0</v>
      </c>
      <c r="H33" s="178">
        <v>45945.0</v>
      </c>
      <c r="I33" s="179" t="s">
        <v>32217</v>
      </c>
      <c r="J33" s="119" t="s">
        <v>31858</v>
      </c>
      <c r="K33" s="119" t="s">
        <v>31858</v>
      </c>
      <c r="L33" s="119" t="s">
        <v>31857</v>
      </c>
      <c r="M33" s="119" t="s">
        <v>31857</v>
      </c>
      <c r="N33" s="119" t="s">
        <v>31857</v>
      </c>
      <c r="O33" s="119" t="s">
        <v>31858</v>
      </c>
      <c r="P33" s="119" t="s">
        <v>31857</v>
      </c>
      <c r="Q33" s="119" t="s">
        <v>31857</v>
      </c>
      <c r="R33" s="120">
        <f t="shared" si="1"/>
        <v>0</v>
      </c>
      <c r="S33" s="121">
        <f t="shared" si="2"/>
        <v>0</v>
      </c>
      <c r="T33" s="122">
        <f t="shared" si="3"/>
        <v>1</v>
      </c>
      <c r="U33" s="122">
        <f t="shared" si="4"/>
        <v>0.75</v>
      </c>
      <c r="V33" s="122">
        <f t="shared" si="5"/>
        <v>0.5</v>
      </c>
      <c r="W33" s="123">
        <f t="shared" si="6"/>
        <v>0</v>
      </c>
      <c r="X33" s="122">
        <f t="shared" si="7"/>
        <v>1</v>
      </c>
      <c r="Y33" s="122">
        <f t="shared" si="8"/>
        <v>1</v>
      </c>
      <c r="Z33" s="119" t="s">
        <v>31859</v>
      </c>
      <c r="AA33" s="119" t="str">
        <f t="shared" si="9"/>
        <v>True</v>
      </c>
      <c r="AB33" s="180" t="s">
        <v>31865</v>
      </c>
      <c r="AC33" s="180" t="s">
        <v>31865</v>
      </c>
      <c r="AD33" s="180" t="s">
        <v>31865</v>
      </c>
      <c r="AE33" s="180" t="s">
        <v>31865</v>
      </c>
      <c r="AF33" s="180" t="s">
        <v>31865</v>
      </c>
      <c r="AG33" s="180" t="s">
        <v>31865</v>
      </c>
      <c r="AH33" s="180" t="s">
        <v>32386</v>
      </c>
      <c r="AI33" s="180" t="s">
        <v>32084</v>
      </c>
      <c r="AJ33" s="180" t="s">
        <v>32387</v>
      </c>
      <c r="AK33" s="180" t="s">
        <v>32117</v>
      </c>
      <c r="AL33" s="180" t="s">
        <v>32388</v>
      </c>
      <c r="AM33" s="180" t="s">
        <v>31865</v>
      </c>
      <c r="AN33" s="180" t="s">
        <v>32389</v>
      </c>
      <c r="AO33" s="180" t="s">
        <v>32390</v>
      </c>
      <c r="AP33" s="180" t="s">
        <v>32391</v>
      </c>
      <c r="AQ33" s="180" t="s">
        <v>32392</v>
      </c>
      <c r="AR33" s="180" t="s">
        <v>31865</v>
      </c>
      <c r="AS33" s="180" t="s">
        <v>31865</v>
      </c>
      <c r="AT33" s="180" t="s">
        <v>31865</v>
      </c>
      <c r="AU33" s="180" t="s">
        <v>31865</v>
      </c>
      <c r="AV33" s="180" t="s">
        <v>31865</v>
      </c>
      <c r="AW33" s="180" t="s">
        <v>32393</v>
      </c>
      <c r="AX33" s="180" t="s">
        <v>31893</v>
      </c>
      <c r="AY33" s="180" t="s">
        <v>32394</v>
      </c>
      <c r="AZ33" s="180" t="s">
        <v>32395</v>
      </c>
      <c r="BA33" s="180" t="s">
        <v>32396</v>
      </c>
      <c r="BB33" s="180" t="s">
        <v>32271</v>
      </c>
      <c r="BC33" s="180" t="s">
        <v>32397</v>
      </c>
      <c r="BD33" s="180" t="s">
        <v>32398</v>
      </c>
    </row>
    <row r="34" ht="22.5" customHeight="1">
      <c r="A34" s="174" t="s">
        <v>15706</v>
      </c>
      <c r="B34" s="114" t="s">
        <v>31854</v>
      </c>
      <c r="C34" s="139" t="s">
        <v>32399</v>
      </c>
      <c r="D34" s="139" t="s">
        <v>15705</v>
      </c>
      <c r="E34" s="139" t="s">
        <v>11140</v>
      </c>
      <c r="F34" s="139" t="s">
        <v>15707</v>
      </c>
      <c r="G34" s="144">
        <v>45.0</v>
      </c>
      <c r="H34" s="175">
        <v>45924.0</v>
      </c>
      <c r="I34" s="176" t="s">
        <v>32217</v>
      </c>
      <c r="J34" s="139" t="s">
        <v>31857</v>
      </c>
      <c r="K34" s="139" t="s">
        <v>31858</v>
      </c>
      <c r="L34" s="139" t="s">
        <v>31858</v>
      </c>
      <c r="M34" s="139" t="s">
        <v>31857</v>
      </c>
      <c r="N34" s="139" t="s">
        <v>31857</v>
      </c>
      <c r="O34" s="139" t="s">
        <v>31858</v>
      </c>
      <c r="P34" s="139" t="s">
        <v>31858</v>
      </c>
      <c r="Q34" s="139" t="s">
        <v>31857</v>
      </c>
      <c r="R34" s="120">
        <f t="shared" si="1"/>
        <v>1</v>
      </c>
      <c r="S34" s="121">
        <f t="shared" si="2"/>
        <v>0.3333333333</v>
      </c>
      <c r="T34" s="122">
        <f t="shared" si="3"/>
        <v>0.25</v>
      </c>
      <c r="U34" s="122">
        <f t="shared" si="4"/>
        <v>0.75</v>
      </c>
      <c r="V34" s="122">
        <f t="shared" si="5"/>
        <v>0.75</v>
      </c>
      <c r="W34" s="123">
        <f t="shared" si="6"/>
        <v>0.6666666667</v>
      </c>
      <c r="X34" s="122">
        <f t="shared" si="7"/>
        <v>0.75</v>
      </c>
      <c r="Y34" s="122">
        <f t="shared" si="8"/>
        <v>1</v>
      </c>
      <c r="Z34" s="119" t="s">
        <v>31859</v>
      </c>
      <c r="AA34" s="119" t="str">
        <f t="shared" si="9"/>
        <v>True</v>
      </c>
      <c r="AB34" s="174" t="s">
        <v>32400</v>
      </c>
      <c r="AC34" s="174" t="s">
        <v>32400</v>
      </c>
      <c r="AD34" s="174" t="s">
        <v>32401</v>
      </c>
      <c r="AE34" s="174" t="s">
        <v>32402</v>
      </c>
      <c r="AF34" s="174" t="s">
        <v>31865</v>
      </c>
      <c r="AG34" s="174" t="s">
        <v>31865</v>
      </c>
      <c r="AH34" s="174" t="s">
        <v>31865</v>
      </c>
      <c r="AI34" s="174" t="s">
        <v>31865</v>
      </c>
      <c r="AJ34" s="174" t="s">
        <v>32403</v>
      </c>
      <c r="AK34" s="174" t="s">
        <v>31865</v>
      </c>
      <c r="AL34" s="174" t="s">
        <v>32404</v>
      </c>
      <c r="AM34" s="174" t="s">
        <v>31865</v>
      </c>
      <c r="AN34" s="174" t="s">
        <v>32405</v>
      </c>
      <c r="AO34" s="174" t="s">
        <v>32406</v>
      </c>
      <c r="AP34" s="174" t="s">
        <v>32407</v>
      </c>
      <c r="AQ34" s="174" t="s">
        <v>32408</v>
      </c>
      <c r="AR34" s="174" t="s">
        <v>32409</v>
      </c>
      <c r="AS34" s="174" t="s">
        <v>31865</v>
      </c>
      <c r="AT34" s="174" t="s">
        <v>32410</v>
      </c>
      <c r="AU34" s="174" t="s">
        <v>32411</v>
      </c>
      <c r="AV34" s="174" t="s">
        <v>31865</v>
      </c>
      <c r="AW34" s="174" t="s">
        <v>32412</v>
      </c>
      <c r="AX34" s="174" t="s">
        <v>32413</v>
      </c>
      <c r="AY34" s="174" t="s">
        <v>31865</v>
      </c>
      <c r="AZ34" s="174" t="s">
        <v>32414</v>
      </c>
      <c r="BA34" s="174" t="s">
        <v>32415</v>
      </c>
      <c r="BB34" s="174" t="s">
        <v>32416</v>
      </c>
      <c r="BC34" s="174" t="s">
        <v>32417</v>
      </c>
      <c r="BD34" s="174" t="s">
        <v>32418</v>
      </c>
    </row>
    <row r="35" ht="22.5" customHeight="1">
      <c r="A35" s="174" t="s">
        <v>14907</v>
      </c>
      <c r="B35" s="114" t="s">
        <v>31854</v>
      </c>
      <c r="C35" s="139" t="s">
        <v>32419</v>
      </c>
      <c r="D35" s="139" t="s">
        <v>14906</v>
      </c>
      <c r="E35" s="139" t="s">
        <v>14908</v>
      </c>
      <c r="F35" s="139" t="s">
        <v>14909</v>
      </c>
      <c r="G35" s="136"/>
      <c r="H35" s="175">
        <v>45915.0</v>
      </c>
      <c r="I35" s="176" t="s">
        <v>32217</v>
      </c>
      <c r="J35" s="139" t="s">
        <v>31857</v>
      </c>
      <c r="K35" s="139" t="s">
        <v>31858</v>
      </c>
      <c r="L35" s="139" t="s">
        <v>31857</v>
      </c>
      <c r="M35" s="139" t="s">
        <v>31857</v>
      </c>
      <c r="N35" s="139" t="s">
        <v>31858</v>
      </c>
      <c r="O35" s="139" t="s">
        <v>31858</v>
      </c>
      <c r="P35" s="139" t="s">
        <v>31858</v>
      </c>
      <c r="Q35" s="139" t="s">
        <v>31857</v>
      </c>
      <c r="R35" s="120">
        <f t="shared" si="1"/>
        <v>1</v>
      </c>
      <c r="S35" s="121">
        <f t="shared" si="2"/>
        <v>0.3333333333</v>
      </c>
      <c r="T35" s="122">
        <f t="shared" si="3"/>
        <v>0.75</v>
      </c>
      <c r="U35" s="122">
        <f t="shared" si="4"/>
        <v>0.75</v>
      </c>
      <c r="V35" s="122">
        <f t="shared" si="5"/>
        <v>0.5</v>
      </c>
      <c r="W35" s="123">
        <f t="shared" si="6"/>
        <v>0.3333333333</v>
      </c>
      <c r="X35" s="122">
        <f t="shared" si="7"/>
        <v>0</v>
      </c>
      <c r="Y35" s="122">
        <f t="shared" si="8"/>
        <v>1</v>
      </c>
      <c r="Z35" s="119" t="s">
        <v>31859</v>
      </c>
      <c r="AA35" s="119" t="str">
        <f t="shared" si="9"/>
        <v>True</v>
      </c>
      <c r="AB35" s="174" t="s">
        <v>32420</v>
      </c>
      <c r="AC35" s="174" t="s">
        <v>32421</v>
      </c>
      <c r="AD35" s="174" t="s">
        <v>32422</v>
      </c>
      <c r="AE35" s="174" t="s">
        <v>31865</v>
      </c>
      <c r="AF35" s="174" t="s">
        <v>32423</v>
      </c>
      <c r="AG35" s="174" t="s">
        <v>31865</v>
      </c>
      <c r="AH35" s="174" t="s">
        <v>31865</v>
      </c>
      <c r="AI35" s="174" t="s">
        <v>32084</v>
      </c>
      <c r="AJ35" s="174" t="s">
        <v>32424</v>
      </c>
      <c r="AK35" s="174" t="s">
        <v>32425</v>
      </c>
      <c r="AL35" s="174" t="s">
        <v>31869</v>
      </c>
      <c r="AM35" s="174" t="s">
        <v>31865</v>
      </c>
      <c r="AN35" s="174" t="s">
        <v>32426</v>
      </c>
      <c r="AO35" s="174" t="s">
        <v>32427</v>
      </c>
      <c r="AP35" s="174" t="s">
        <v>32428</v>
      </c>
      <c r="AQ35" s="174" t="s">
        <v>32427</v>
      </c>
      <c r="AR35" s="174" t="s">
        <v>31865</v>
      </c>
      <c r="AS35" s="174" t="s">
        <v>31865</v>
      </c>
      <c r="AT35" s="174" t="s">
        <v>32429</v>
      </c>
      <c r="AU35" s="174" t="s">
        <v>31865</v>
      </c>
      <c r="AV35" s="174" t="s">
        <v>31865</v>
      </c>
      <c r="AW35" s="174" t="s">
        <v>31865</v>
      </c>
      <c r="AX35" s="174" t="s">
        <v>31865</v>
      </c>
      <c r="AY35" s="174" t="s">
        <v>31865</v>
      </c>
      <c r="AZ35" s="174" t="s">
        <v>31865</v>
      </c>
      <c r="BA35" s="174" t="s">
        <v>32430</v>
      </c>
      <c r="BB35" s="174" t="s">
        <v>32431</v>
      </c>
      <c r="BC35" s="174" t="s">
        <v>32167</v>
      </c>
      <c r="BD35" s="174" t="s">
        <v>32432</v>
      </c>
    </row>
    <row r="36" ht="22.5" customHeight="1">
      <c r="A36" s="174" t="s">
        <v>15740</v>
      </c>
      <c r="B36" s="114" t="s">
        <v>31854</v>
      </c>
      <c r="C36" s="139" t="s">
        <v>32433</v>
      </c>
      <c r="D36" s="139" t="s">
        <v>15739</v>
      </c>
      <c r="E36" s="139" t="s">
        <v>14183</v>
      </c>
      <c r="F36" s="139" t="s">
        <v>15741</v>
      </c>
      <c r="G36" s="144">
        <v>45.0</v>
      </c>
      <c r="H36" s="175">
        <v>45923.0</v>
      </c>
      <c r="I36" s="176" t="s">
        <v>32217</v>
      </c>
      <c r="J36" s="139" t="s">
        <v>31858</v>
      </c>
      <c r="K36" s="139" t="s">
        <v>31858</v>
      </c>
      <c r="L36" s="139" t="s">
        <v>31857</v>
      </c>
      <c r="M36" s="139" t="s">
        <v>31857</v>
      </c>
      <c r="N36" s="139" t="s">
        <v>31857</v>
      </c>
      <c r="O36" s="139" t="s">
        <v>31858</v>
      </c>
      <c r="P36" s="139" t="s">
        <v>31858</v>
      </c>
      <c r="Q36" s="139" t="s">
        <v>31857</v>
      </c>
      <c r="R36" s="120">
        <f t="shared" si="1"/>
        <v>0.6666666667</v>
      </c>
      <c r="S36" s="121">
        <f t="shared" si="2"/>
        <v>0.6666666667</v>
      </c>
      <c r="T36" s="122">
        <f t="shared" si="3"/>
        <v>1</v>
      </c>
      <c r="U36" s="122">
        <f t="shared" si="4"/>
        <v>0.75</v>
      </c>
      <c r="V36" s="122">
        <f t="shared" si="5"/>
        <v>0.5</v>
      </c>
      <c r="W36" s="123">
        <f t="shared" si="6"/>
        <v>1</v>
      </c>
      <c r="X36" s="122">
        <f t="shared" si="7"/>
        <v>1</v>
      </c>
      <c r="Y36" s="122">
        <f t="shared" si="8"/>
        <v>0</v>
      </c>
      <c r="Z36" s="119" t="s">
        <v>31859</v>
      </c>
      <c r="AA36" s="119" t="str">
        <f t="shared" si="9"/>
        <v>True</v>
      </c>
      <c r="AB36" s="174" t="s">
        <v>31876</v>
      </c>
      <c r="AC36" s="174" t="s">
        <v>31865</v>
      </c>
      <c r="AD36" s="174" t="s">
        <v>32236</v>
      </c>
      <c r="AE36" s="174" t="s">
        <v>32434</v>
      </c>
      <c r="AF36" s="174" t="s">
        <v>32435</v>
      </c>
      <c r="AG36" s="174" t="s">
        <v>31865</v>
      </c>
      <c r="AH36" s="174" t="s">
        <v>32028</v>
      </c>
      <c r="AI36" s="174" t="s">
        <v>32436</v>
      </c>
      <c r="AJ36" s="174" t="s">
        <v>32437</v>
      </c>
      <c r="AK36" s="174" t="s">
        <v>32438</v>
      </c>
      <c r="AL36" s="174" t="s">
        <v>31901</v>
      </c>
      <c r="AM36" s="174" t="s">
        <v>32439</v>
      </c>
      <c r="AN36" s="174" t="s">
        <v>31865</v>
      </c>
      <c r="AO36" s="174" t="s">
        <v>32242</v>
      </c>
      <c r="AP36" s="174" t="s">
        <v>32440</v>
      </c>
      <c r="AQ36" s="174" t="s">
        <v>32441</v>
      </c>
      <c r="AR36" s="174" t="s">
        <v>31865</v>
      </c>
      <c r="AS36" s="174" t="s">
        <v>31865</v>
      </c>
      <c r="AT36" s="174" t="s">
        <v>32442</v>
      </c>
      <c r="AU36" s="174" t="s">
        <v>32443</v>
      </c>
      <c r="AV36" s="174" t="s">
        <v>32444</v>
      </c>
      <c r="AW36" s="174" t="s">
        <v>32445</v>
      </c>
      <c r="AX36" s="174" t="s">
        <v>32446</v>
      </c>
      <c r="AY36" s="174" t="s">
        <v>32447</v>
      </c>
      <c r="AZ36" s="174" t="s">
        <v>32448</v>
      </c>
      <c r="BA36" s="174" t="s">
        <v>31865</v>
      </c>
      <c r="BB36" s="174" t="s">
        <v>31865</v>
      </c>
      <c r="BC36" s="174" t="s">
        <v>31865</v>
      </c>
      <c r="BD36" s="174" t="s">
        <v>31865</v>
      </c>
    </row>
    <row r="37" ht="22.5" customHeight="1">
      <c r="A37" s="174" t="s">
        <v>6942</v>
      </c>
      <c r="B37" s="114" t="s">
        <v>31854</v>
      </c>
      <c r="C37" s="139" t="s">
        <v>32449</v>
      </c>
      <c r="D37" s="139" t="s">
        <v>6941</v>
      </c>
      <c r="E37" s="139" t="s">
        <v>5632</v>
      </c>
      <c r="F37" s="139" t="s">
        <v>6943</v>
      </c>
      <c r="G37" s="144">
        <v>35.0</v>
      </c>
      <c r="H37" s="175">
        <v>45923.0</v>
      </c>
      <c r="I37" s="176" t="s">
        <v>32217</v>
      </c>
      <c r="J37" s="139" t="s">
        <v>31858</v>
      </c>
      <c r="K37" s="139" t="s">
        <v>31858</v>
      </c>
      <c r="L37" s="139" t="s">
        <v>31857</v>
      </c>
      <c r="M37" s="139" t="s">
        <v>31857</v>
      </c>
      <c r="N37" s="139" t="s">
        <v>31857</v>
      </c>
      <c r="O37" s="139" t="s">
        <v>31858</v>
      </c>
      <c r="P37" s="139" t="s">
        <v>31858</v>
      </c>
      <c r="Q37" s="139" t="s">
        <v>31857</v>
      </c>
      <c r="R37" s="120">
        <f t="shared" si="1"/>
        <v>0.6666666667</v>
      </c>
      <c r="S37" s="121">
        <f t="shared" si="2"/>
        <v>0.6666666667</v>
      </c>
      <c r="T37" s="122">
        <f t="shared" si="3"/>
        <v>1</v>
      </c>
      <c r="U37" s="122">
        <f t="shared" si="4"/>
        <v>1</v>
      </c>
      <c r="V37" s="122">
        <f t="shared" si="5"/>
        <v>0.75</v>
      </c>
      <c r="W37" s="123">
        <f t="shared" si="6"/>
        <v>0.6666666667</v>
      </c>
      <c r="X37" s="122">
        <f t="shared" si="7"/>
        <v>0.5</v>
      </c>
      <c r="Y37" s="122">
        <f t="shared" si="8"/>
        <v>0.75</v>
      </c>
      <c r="Z37" s="119" t="s">
        <v>31859</v>
      </c>
      <c r="AA37" s="119" t="str">
        <f t="shared" si="9"/>
        <v>True</v>
      </c>
      <c r="AB37" s="174" t="s">
        <v>31865</v>
      </c>
      <c r="AC37" s="174" t="s">
        <v>31876</v>
      </c>
      <c r="AD37" s="174" t="s">
        <v>32236</v>
      </c>
      <c r="AE37" s="174" t="s">
        <v>32450</v>
      </c>
      <c r="AF37" s="174" t="s">
        <v>32451</v>
      </c>
      <c r="AG37" s="174" t="s">
        <v>31865</v>
      </c>
      <c r="AH37" s="174" t="s">
        <v>32452</v>
      </c>
      <c r="AI37" s="174" t="s">
        <v>32453</v>
      </c>
      <c r="AJ37" s="174" t="s">
        <v>32454</v>
      </c>
      <c r="AK37" s="174" t="s">
        <v>32455</v>
      </c>
      <c r="AL37" s="174" t="s">
        <v>32456</v>
      </c>
      <c r="AM37" s="174" t="s">
        <v>32457</v>
      </c>
      <c r="AN37" s="174" t="s">
        <v>32458</v>
      </c>
      <c r="AO37" s="174" t="s">
        <v>32459</v>
      </c>
      <c r="AP37" s="174" t="s">
        <v>32460</v>
      </c>
      <c r="AQ37" s="174" t="s">
        <v>32461</v>
      </c>
      <c r="AR37" s="174" t="s">
        <v>31932</v>
      </c>
      <c r="AS37" s="174" t="s">
        <v>31865</v>
      </c>
      <c r="AT37" s="174" t="s">
        <v>31865</v>
      </c>
      <c r="AU37" s="174" t="s">
        <v>32462</v>
      </c>
      <c r="AV37" s="174" t="s">
        <v>31997</v>
      </c>
      <c r="AW37" s="174" t="s">
        <v>32034</v>
      </c>
      <c r="AX37" s="174" t="s">
        <v>32463</v>
      </c>
      <c r="AY37" s="174" t="s">
        <v>31865</v>
      </c>
      <c r="AZ37" s="174" t="s">
        <v>31865</v>
      </c>
      <c r="BA37" s="174" t="s">
        <v>32464</v>
      </c>
      <c r="BB37" s="174" t="s">
        <v>31917</v>
      </c>
      <c r="BC37" s="174" t="s">
        <v>31865</v>
      </c>
      <c r="BD37" s="174" t="s">
        <v>32465</v>
      </c>
    </row>
    <row r="38" ht="22.5" customHeight="1">
      <c r="A38" s="177" t="s">
        <v>14918</v>
      </c>
      <c r="B38" s="114" t="s">
        <v>31854</v>
      </c>
      <c r="C38" s="119" t="s">
        <v>32466</v>
      </c>
      <c r="D38" s="119" t="s">
        <v>14917</v>
      </c>
      <c r="E38" s="119" t="s">
        <v>14919</v>
      </c>
      <c r="F38" s="119" t="s">
        <v>14920</v>
      </c>
      <c r="G38" s="116">
        <v>30.0</v>
      </c>
      <c r="H38" s="178">
        <v>45936.0</v>
      </c>
      <c r="I38" s="179" t="s">
        <v>32217</v>
      </c>
      <c r="J38" s="119" t="s">
        <v>31858</v>
      </c>
      <c r="K38" s="119" t="s">
        <v>31858</v>
      </c>
      <c r="L38" s="119" t="s">
        <v>31857</v>
      </c>
      <c r="M38" s="119" t="s">
        <v>31857</v>
      </c>
      <c r="N38" s="119" t="s">
        <v>31858</v>
      </c>
      <c r="O38" s="119" t="s">
        <v>31857</v>
      </c>
      <c r="P38" s="119" t="s">
        <v>31858</v>
      </c>
      <c r="Q38" s="119" t="s">
        <v>31857</v>
      </c>
      <c r="R38" s="120">
        <f t="shared" si="1"/>
        <v>0.6666666667</v>
      </c>
      <c r="S38" s="121">
        <f t="shared" si="2"/>
        <v>0.6666666667</v>
      </c>
      <c r="T38" s="122">
        <f t="shared" si="3"/>
        <v>1</v>
      </c>
      <c r="U38" s="122">
        <f t="shared" si="4"/>
        <v>0.75</v>
      </c>
      <c r="V38" s="122">
        <f t="shared" si="5"/>
        <v>1</v>
      </c>
      <c r="W38" s="123">
        <f t="shared" si="6"/>
        <v>1</v>
      </c>
      <c r="X38" s="122">
        <f t="shared" si="7"/>
        <v>1</v>
      </c>
      <c r="Y38" s="122">
        <f t="shared" si="8"/>
        <v>1</v>
      </c>
      <c r="Z38" s="119" t="s">
        <v>31859</v>
      </c>
      <c r="AA38" s="119" t="str">
        <f t="shared" si="9"/>
        <v>True</v>
      </c>
      <c r="AB38" s="180" t="s">
        <v>31865</v>
      </c>
      <c r="AC38" s="180" t="s">
        <v>31876</v>
      </c>
      <c r="AD38" s="180" t="s">
        <v>32467</v>
      </c>
      <c r="AE38" s="180" t="s">
        <v>32468</v>
      </c>
      <c r="AF38" s="180" t="s">
        <v>31879</v>
      </c>
      <c r="AG38" s="180" t="s">
        <v>31865</v>
      </c>
      <c r="AH38" s="180" t="s">
        <v>32469</v>
      </c>
      <c r="AI38" s="180" t="s">
        <v>32470</v>
      </c>
      <c r="AJ38" s="180" t="s">
        <v>32471</v>
      </c>
      <c r="AK38" s="180" t="s">
        <v>32472</v>
      </c>
      <c r="AL38" s="180" t="s">
        <v>32471</v>
      </c>
      <c r="AM38" s="180" t="s">
        <v>31865</v>
      </c>
      <c r="AN38" s="180" t="s">
        <v>32473</v>
      </c>
      <c r="AO38" s="180" t="s">
        <v>32206</v>
      </c>
      <c r="AP38" s="180" t="s">
        <v>32474</v>
      </c>
      <c r="AQ38" s="180" t="s">
        <v>32475</v>
      </c>
      <c r="AR38" s="180" t="s">
        <v>32476</v>
      </c>
      <c r="AS38" s="180" t="s">
        <v>32477</v>
      </c>
      <c r="AT38" s="180" t="s">
        <v>32478</v>
      </c>
      <c r="AU38" s="180" t="s">
        <v>32017</v>
      </c>
      <c r="AV38" s="180" t="s">
        <v>32135</v>
      </c>
      <c r="AW38" s="180" t="s">
        <v>32479</v>
      </c>
      <c r="AX38" s="180" t="s">
        <v>32480</v>
      </c>
      <c r="AY38" s="180" t="s">
        <v>32481</v>
      </c>
      <c r="AZ38" s="180" t="s">
        <v>32482</v>
      </c>
      <c r="BA38" s="180" t="s">
        <v>32483</v>
      </c>
      <c r="BB38" s="180" t="s">
        <v>32484</v>
      </c>
      <c r="BC38" s="180" t="s">
        <v>32167</v>
      </c>
      <c r="BD38" s="180" t="s">
        <v>32485</v>
      </c>
    </row>
    <row r="39" ht="22.5" customHeight="1">
      <c r="A39" s="174" t="s">
        <v>3654</v>
      </c>
      <c r="B39" s="114" t="s">
        <v>31854</v>
      </c>
      <c r="C39" s="139" t="s">
        <v>32486</v>
      </c>
      <c r="D39" s="139" t="s">
        <v>3653</v>
      </c>
      <c r="E39" s="139" t="s">
        <v>3655</v>
      </c>
      <c r="F39" s="139" t="s">
        <v>3657</v>
      </c>
      <c r="G39" s="136"/>
      <c r="H39" s="175">
        <v>45911.0</v>
      </c>
      <c r="I39" s="176" t="s">
        <v>32217</v>
      </c>
      <c r="J39" s="139" t="s">
        <v>31858</v>
      </c>
      <c r="K39" s="139" t="s">
        <v>31858</v>
      </c>
      <c r="L39" s="139" t="s">
        <v>31857</v>
      </c>
      <c r="M39" s="139" t="s">
        <v>31857</v>
      </c>
      <c r="N39" s="139" t="s">
        <v>31857</v>
      </c>
      <c r="O39" s="139" t="s">
        <v>31858</v>
      </c>
      <c r="P39" s="139" t="s">
        <v>31858</v>
      </c>
      <c r="Q39" s="139" t="s">
        <v>31858</v>
      </c>
      <c r="R39" s="120">
        <f t="shared" si="1"/>
        <v>0.6666666667</v>
      </c>
      <c r="S39" s="121">
        <f t="shared" si="2"/>
        <v>0.6666666667</v>
      </c>
      <c r="T39" s="122">
        <f t="shared" si="3"/>
        <v>1</v>
      </c>
      <c r="U39" s="122">
        <f t="shared" si="4"/>
        <v>1</v>
      </c>
      <c r="V39" s="122">
        <f t="shared" si="5"/>
        <v>0.5</v>
      </c>
      <c r="W39" s="123">
        <f t="shared" si="6"/>
        <v>0</v>
      </c>
      <c r="X39" s="122">
        <f t="shared" si="7"/>
        <v>0.5</v>
      </c>
      <c r="Y39" s="122">
        <f t="shared" si="8"/>
        <v>0.5</v>
      </c>
      <c r="Z39" s="119" t="s">
        <v>31859</v>
      </c>
      <c r="AA39" s="119" t="str">
        <f t="shared" si="9"/>
        <v>True</v>
      </c>
      <c r="AB39" s="174" t="s">
        <v>31876</v>
      </c>
      <c r="AC39" s="174" t="s">
        <v>31865</v>
      </c>
      <c r="AD39" s="174" t="s">
        <v>32236</v>
      </c>
      <c r="AE39" s="174" t="s">
        <v>32487</v>
      </c>
      <c r="AF39" s="174" t="s">
        <v>32488</v>
      </c>
      <c r="AG39" s="174" t="s">
        <v>31865</v>
      </c>
      <c r="AH39" s="174" t="s">
        <v>32489</v>
      </c>
      <c r="AI39" s="174" t="s">
        <v>32490</v>
      </c>
      <c r="AJ39" s="174" t="s">
        <v>32491</v>
      </c>
      <c r="AK39" s="174" t="s">
        <v>32492</v>
      </c>
      <c r="AL39" s="174" t="s">
        <v>32493</v>
      </c>
      <c r="AM39" s="174" t="s">
        <v>32494</v>
      </c>
      <c r="AN39" s="174" t="s">
        <v>32495</v>
      </c>
      <c r="AO39" s="174" t="s">
        <v>32496</v>
      </c>
      <c r="AP39" s="174" t="s">
        <v>32497</v>
      </c>
      <c r="AQ39" s="174" t="s">
        <v>32498</v>
      </c>
      <c r="AR39" s="174" t="s">
        <v>32499</v>
      </c>
      <c r="AS39" s="174" t="s">
        <v>32499</v>
      </c>
      <c r="AT39" s="174" t="s">
        <v>31865</v>
      </c>
      <c r="AU39" s="174" t="s">
        <v>31865</v>
      </c>
      <c r="AV39" s="174" t="s">
        <v>31865</v>
      </c>
      <c r="AW39" s="174" t="s">
        <v>32500</v>
      </c>
      <c r="AX39" s="174" t="s">
        <v>31893</v>
      </c>
      <c r="AY39" s="174" t="s">
        <v>31865</v>
      </c>
      <c r="AZ39" s="174" t="s">
        <v>31865</v>
      </c>
      <c r="BA39" s="174" t="s">
        <v>32501</v>
      </c>
      <c r="BB39" s="174" t="s">
        <v>31917</v>
      </c>
      <c r="BC39" s="174" t="s">
        <v>31865</v>
      </c>
      <c r="BD39" s="174" t="s">
        <v>31865</v>
      </c>
    </row>
    <row r="40" ht="22.5" customHeight="1">
      <c r="A40" s="174" t="s">
        <v>32502</v>
      </c>
      <c r="B40" s="114" t="s">
        <v>31854</v>
      </c>
      <c r="C40" s="139" t="s">
        <v>32503</v>
      </c>
      <c r="D40" s="139" t="s">
        <v>537</v>
      </c>
      <c r="E40" s="139" t="s">
        <v>539</v>
      </c>
      <c r="F40" s="139" t="s">
        <v>541</v>
      </c>
      <c r="G40" s="136"/>
      <c r="H40" s="175">
        <v>45914.0</v>
      </c>
      <c r="I40" s="176" t="s">
        <v>32217</v>
      </c>
      <c r="J40" s="139" t="s">
        <v>31858</v>
      </c>
      <c r="K40" s="139" t="s">
        <v>31858</v>
      </c>
      <c r="L40" s="139" t="s">
        <v>31857</v>
      </c>
      <c r="M40" s="139" t="s">
        <v>31857</v>
      </c>
      <c r="N40" s="139" t="s">
        <v>31857</v>
      </c>
      <c r="O40" s="139" t="s">
        <v>31858</v>
      </c>
      <c r="P40" s="139" t="s">
        <v>31858</v>
      </c>
      <c r="Q40" s="139" t="s">
        <v>31858</v>
      </c>
      <c r="R40" s="120">
        <f t="shared" si="1"/>
        <v>0.6666666667</v>
      </c>
      <c r="S40" s="121">
        <f t="shared" si="2"/>
        <v>1</v>
      </c>
      <c r="T40" s="122">
        <f t="shared" si="3"/>
        <v>1</v>
      </c>
      <c r="U40" s="122">
        <f t="shared" si="4"/>
        <v>1</v>
      </c>
      <c r="V40" s="122">
        <f t="shared" si="5"/>
        <v>0.5</v>
      </c>
      <c r="W40" s="123">
        <f t="shared" si="6"/>
        <v>0</v>
      </c>
      <c r="X40" s="122">
        <f t="shared" si="7"/>
        <v>0.75</v>
      </c>
      <c r="Y40" s="122">
        <f t="shared" si="8"/>
        <v>0.75</v>
      </c>
      <c r="Z40" s="119" t="s">
        <v>31859</v>
      </c>
      <c r="AA40" s="119" t="str">
        <f t="shared" si="9"/>
        <v>True</v>
      </c>
      <c r="AB40" s="174" t="s">
        <v>32271</v>
      </c>
      <c r="AC40" s="174" t="s">
        <v>31865</v>
      </c>
      <c r="AD40" s="174" t="s">
        <v>32236</v>
      </c>
      <c r="AE40" s="174" t="s">
        <v>32504</v>
      </c>
      <c r="AF40" s="174" t="s">
        <v>32505</v>
      </c>
      <c r="AG40" s="174" t="s">
        <v>32506</v>
      </c>
      <c r="AH40" s="174" t="s">
        <v>32507</v>
      </c>
      <c r="AI40" s="174" t="s">
        <v>32508</v>
      </c>
      <c r="AJ40" s="174" t="s">
        <v>32509</v>
      </c>
      <c r="AK40" s="174" t="s">
        <v>32510</v>
      </c>
      <c r="AL40" s="174" t="s">
        <v>32511</v>
      </c>
      <c r="AM40" s="174" t="s">
        <v>32439</v>
      </c>
      <c r="AN40" s="174" t="s">
        <v>32512</v>
      </c>
      <c r="AO40" s="70" t="s">
        <v>32513</v>
      </c>
      <c r="AP40" s="174" t="s">
        <v>32514</v>
      </c>
      <c r="AQ40" s="174" t="s">
        <v>32515</v>
      </c>
      <c r="AR40" s="174" t="s">
        <v>31865</v>
      </c>
      <c r="AS40" s="174" t="s">
        <v>31865</v>
      </c>
      <c r="AT40" s="174" t="s">
        <v>31865</v>
      </c>
      <c r="AU40" s="174" t="s">
        <v>31865</v>
      </c>
      <c r="AV40" s="174" t="s">
        <v>31865</v>
      </c>
      <c r="AW40" s="174" t="s">
        <v>32500</v>
      </c>
      <c r="AX40" s="174" t="s">
        <v>31893</v>
      </c>
      <c r="AY40" s="174" t="s">
        <v>32516</v>
      </c>
      <c r="AZ40" s="174" t="s">
        <v>31865</v>
      </c>
      <c r="BA40" s="174" t="s">
        <v>32517</v>
      </c>
      <c r="BB40" s="174" t="s">
        <v>31917</v>
      </c>
      <c r="BC40" s="174" t="s">
        <v>31984</v>
      </c>
      <c r="BD40" s="174" t="s">
        <v>31865</v>
      </c>
    </row>
    <row r="41" ht="22.5" customHeight="1">
      <c r="A41" s="174" t="s">
        <v>13741</v>
      </c>
      <c r="B41" s="114" t="s">
        <v>31854</v>
      </c>
      <c r="C41" s="139" t="s">
        <v>32518</v>
      </c>
      <c r="D41" s="139" t="s">
        <v>13740</v>
      </c>
      <c r="E41" s="139" t="s">
        <v>12672</v>
      </c>
      <c r="F41" s="139" t="s">
        <v>13742</v>
      </c>
      <c r="G41" s="136"/>
      <c r="H41" s="175">
        <v>45915.0</v>
      </c>
      <c r="I41" s="176" t="s">
        <v>32217</v>
      </c>
      <c r="J41" s="139" t="s">
        <v>31858</v>
      </c>
      <c r="K41" s="139" t="s">
        <v>31858</v>
      </c>
      <c r="L41" s="139" t="s">
        <v>31857</v>
      </c>
      <c r="M41" s="139" t="s">
        <v>31857</v>
      </c>
      <c r="N41" s="139" t="s">
        <v>31858</v>
      </c>
      <c r="O41" s="139" t="s">
        <v>31858</v>
      </c>
      <c r="P41" s="139" t="s">
        <v>31857</v>
      </c>
      <c r="Q41" s="139" t="s">
        <v>31857</v>
      </c>
      <c r="R41" s="120">
        <f t="shared" si="1"/>
        <v>0</v>
      </c>
      <c r="S41" s="121">
        <f t="shared" si="2"/>
        <v>1</v>
      </c>
      <c r="T41" s="122">
        <f t="shared" si="3"/>
        <v>0.75</v>
      </c>
      <c r="U41" s="122">
        <f t="shared" si="4"/>
        <v>0.75</v>
      </c>
      <c r="V41" s="122">
        <f t="shared" si="5"/>
        <v>0.75</v>
      </c>
      <c r="W41" s="123">
        <f t="shared" si="6"/>
        <v>0.6666666667</v>
      </c>
      <c r="X41" s="122">
        <f t="shared" si="7"/>
        <v>1</v>
      </c>
      <c r="Y41" s="122">
        <f t="shared" si="8"/>
        <v>0</v>
      </c>
      <c r="Z41" s="119" t="s">
        <v>31859</v>
      </c>
      <c r="AA41" s="119" t="str">
        <f t="shared" si="9"/>
        <v>True</v>
      </c>
      <c r="AB41" s="174" t="s">
        <v>31865</v>
      </c>
      <c r="AC41" s="174" t="s">
        <v>31865</v>
      </c>
      <c r="AD41" s="174" t="s">
        <v>31865</v>
      </c>
      <c r="AE41" s="174" t="s">
        <v>32519</v>
      </c>
      <c r="AF41" s="174" t="s">
        <v>32520</v>
      </c>
      <c r="AG41" s="174" t="s">
        <v>32521</v>
      </c>
      <c r="AH41" s="174" t="s">
        <v>32522</v>
      </c>
      <c r="AI41" s="174" t="s">
        <v>32523</v>
      </c>
      <c r="AJ41" s="174" t="s">
        <v>31865</v>
      </c>
      <c r="AK41" s="174" t="s">
        <v>32524</v>
      </c>
      <c r="AL41" s="174" t="s">
        <v>32525</v>
      </c>
      <c r="AM41" s="174" t="s">
        <v>31865</v>
      </c>
      <c r="AN41" s="174" t="s">
        <v>32526</v>
      </c>
      <c r="AO41" s="174" t="s">
        <v>32527</v>
      </c>
      <c r="AP41" s="174" t="s">
        <v>32528</v>
      </c>
      <c r="AQ41" s="174" t="s">
        <v>32529</v>
      </c>
      <c r="AR41" s="174" t="s">
        <v>31865</v>
      </c>
      <c r="AS41" s="174" t="s">
        <v>32015</v>
      </c>
      <c r="AT41" s="174" t="s">
        <v>32530</v>
      </c>
      <c r="AU41" s="174" t="s">
        <v>32531</v>
      </c>
      <c r="AV41" s="174" t="s">
        <v>32499</v>
      </c>
      <c r="AW41" s="174" t="s">
        <v>32532</v>
      </c>
      <c r="AX41" s="70" t="s">
        <v>31893</v>
      </c>
      <c r="AY41" s="174" t="s">
        <v>32533</v>
      </c>
      <c r="AZ41" s="174" t="s">
        <v>32534</v>
      </c>
      <c r="BA41" s="174" t="s">
        <v>31865</v>
      </c>
      <c r="BB41" s="174" t="s">
        <v>31865</v>
      </c>
      <c r="BC41" s="174" t="s">
        <v>31865</v>
      </c>
      <c r="BD41" s="174" t="s">
        <v>31865</v>
      </c>
    </row>
    <row r="42" ht="22.5" customHeight="1">
      <c r="A42" s="177" t="s">
        <v>14306</v>
      </c>
      <c r="B42" s="114" t="s">
        <v>31854</v>
      </c>
      <c r="C42" s="119" t="s">
        <v>32535</v>
      </c>
      <c r="D42" s="119" t="s">
        <v>14305</v>
      </c>
      <c r="E42" s="119" t="s">
        <v>14183</v>
      </c>
      <c r="F42" s="119" t="s">
        <v>14307</v>
      </c>
      <c r="G42" s="116">
        <v>60.0</v>
      </c>
      <c r="H42" s="178">
        <v>45932.0</v>
      </c>
      <c r="I42" s="179" t="s">
        <v>32217</v>
      </c>
      <c r="J42" s="119" t="s">
        <v>31858</v>
      </c>
      <c r="K42" s="119" t="s">
        <v>31858</v>
      </c>
      <c r="L42" s="119" t="s">
        <v>31857</v>
      </c>
      <c r="M42" s="119" t="s">
        <v>31857</v>
      </c>
      <c r="N42" s="119" t="s">
        <v>31858</v>
      </c>
      <c r="O42" s="119" t="s">
        <v>31858</v>
      </c>
      <c r="P42" s="119" t="s">
        <v>31857</v>
      </c>
      <c r="Q42" s="119" t="s">
        <v>31858</v>
      </c>
      <c r="R42" s="120">
        <f t="shared" si="1"/>
        <v>0.6666666667</v>
      </c>
      <c r="S42" s="121">
        <f t="shared" si="2"/>
        <v>0.6666666667</v>
      </c>
      <c r="T42" s="122">
        <f t="shared" si="3"/>
        <v>1</v>
      </c>
      <c r="U42" s="122">
        <f t="shared" si="4"/>
        <v>1</v>
      </c>
      <c r="V42" s="122">
        <f t="shared" si="5"/>
        <v>0.75</v>
      </c>
      <c r="W42" s="123">
        <f t="shared" si="6"/>
        <v>0</v>
      </c>
      <c r="X42" s="122">
        <f t="shared" si="7"/>
        <v>1</v>
      </c>
      <c r="Y42" s="122">
        <f t="shared" si="8"/>
        <v>0.5</v>
      </c>
      <c r="Z42" s="119" t="s">
        <v>31859</v>
      </c>
      <c r="AA42" s="119" t="str">
        <f t="shared" si="9"/>
        <v>True</v>
      </c>
      <c r="AB42" s="180" t="s">
        <v>31865</v>
      </c>
      <c r="AC42" s="180" t="s">
        <v>31876</v>
      </c>
      <c r="AD42" s="180" t="s">
        <v>32236</v>
      </c>
      <c r="AE42" s="180" t="s">
        <v>32536</v>
      </c>
      <c r="AF42" s="180" t="s">
        <v>32451</v>
      </c>
      <c r="AG42" s="180" t="s">
        <v>31865</v>
      </c>
      <c r="AH42" s="180" t="s">
        <v>32537</v>
      </c>
      <c r="AI42" s="180" t="s">
        <v>32538</v>
      </c>
      <c r="AJ42" s="180" t="s">
        <v>32539</v>
      </c>
      <c r="AK42" s="180" t="s">
        <v>32540</v>
      </c>
      <c r="AL42" s="180" t="s">
        <v>32456</v>
      </c>
      <c r="AM42" s="180" t="s">
        <v>32541</v>
      </c>
      <c r="AN42" s="180" t="s">
        <v>32542</v>
      </c>
      <c r="AO42" s="180" t="s">
        <v>32543</v>
      </c>
      <c r="AP42" s="180" t="s">
        <v>32045</v>
      </c>
      <c r="AQ42" s="180" t="s">
        <v>32468</v>
      </c>
      <c r="AR42" s="180" t="s">
        <v>32544</v>
      </c>
      <c r="AS42" s="180" t="s">
        <v>31865</v>
      </c>
      <c r="AT42" s="180" t="s">
        <v>31865</v>
      </c>
      <c r="AU42" s="180" t="s">
        <v>31865</v>
      </c>
      <c r="AV42" s="180" t="s">
        <v>31865</v>
      </c>
      <c r="AW42" s="180" t="s">
        <v>32034</v>
      </c>
      <c r="AX42" s="180" t="s">
        <v>31893</v>
      </c>
      <c r="AY42" s="180" t="s">
        <v>32545</v>
      </c>
      <c r="AZ42" s="180" t="s">
        <v>32546</v>
      </c>
      <c r="BA42" s="180" t="s">
        <v>32547</v>
      </c>
      <c r="BB42" s="180" t="s">
        <v>31917</v>
      </c>
      <c r="BC42" s="180" t="s">
        <v>31865</v>
      </c>
      <c r="BD42" s="180" t="s">
        <v>31865</v>
      </c>
    </row>
    <row r="43" ht="22.5" customHeight="1">
      <c r="A43" s="174" t="s">
        <v>14878</v>
      </c>
      <c r="B43" s="114" t="s">
        <v>31854</v>
      </c>
      <c r="C43" s="139" t="s">
        <v>32548</v>
      </c>
      <c r="D43" s="139" t="s">
        <v>14877</v>
      </c>
      <c r="E43" s="139" t="s">
        <v>14879</v>
      </c>
      <c r="F43" s="139" t="s">
        <v>14880</v>
      </c>
      <c r="G43" s="136"/>
      <c r="H43" s="175">
        <v>45915.0</v>
      </c>
      <c r="I43" s="176" t="s">
        <v>32217</v>
      </c>
      <c r="J43" s="139" t="s">
        <v>31858</v>
      </c>
      <c r="K43" s="139" t="s">
        <v>31858</v>
      </c>
      <c r="L43" s="139" t="s">
        <v>31858</v>
      </c>
      <c r="M43" s="139" t="s">
        <v>31858</v>
      </c>
      <c r="N43" s="139" t="s">
        <v>31857</v>
      </c>
      <c r="O43" s="139" t="s">
        <v>31858</v>
      </c>
      <c r="P43" s="139" t="s">
        <v>31857</v>
      </c>
      <c r="Q43" s="139" t="s">
        <v>31858</v>
      </c>
      <c r="R43" s="120">
        <f t="shared" si="1"/>
        <v>0.3333333333</v>
      </c>
      <c r="S43" s="121">
        <f t="shared" si="2"/>
        <v>0.6666666667</v>
      </c>
      <c r="T43" s="122">
        <f t="shared" si="3"/>
        <v>1</v>
      </c>
      <c r="U43" s="122">
        <f t="shared" si="4"/>
        <v>0.75</v>
      </c>
      <c r="V43" s="122">
        <f t="shared" si="5"/>
        <v>0.5</v>
      </c>
      <c r="W43" s="123">
        <f t="shared" si="6"/>
        <v>1</v>
      </c>
      <c r="X43" s="122">
        <f t="shared" si="7"/>
        <v>1</v>
      </c>
      <c r="Y43" s="122">
        <f t="shared" si="8"/>
        <v>0</v>
      </c>
      <c r="Z43" s="119" t="s">
        <v>31859</v>
      </c>
      <c r="AA43" s="119" t="str">
        <f t="shared" si="9"/>
        <v>True</v>
      </c>
      <c r="AB43" s="174" t="s">
        <v>31865</v>
      </c>
      <c r="AC43" s="174" t="s">
        <v>31865</v>
      </c>
      <c r="AD43" s="174" t="s">
        <v>32236</v>
      </c>
      <c r="AE43" s="174" t="s">
        <v>32549</v>
      </c>
      <c r="AF43" s="174" t="s">
        <v>32550</v>
      </c>
      <c r="AG43" s="174" t="s">
        <v>31865</v>
      </c>
      <c r="AH43" s="174" t="s">
        <v>32543</v>
      </c>
      <c r="AI43" s="174" t="s">
        <v>32551</v>
      </c>
      <c r="AJ43" s="174" t="s">
        <v>32552</v>
      </c>
      <c r="AK43" s="174" t="s">
        <v>32553</v>
      </c>
      <c r="AL43" s="174" t="s">
        <v>32554</v>
      </c>
      <c r="AM43" s="174" t="s">
        <v>31865</v>
      </c>
      <c r="AN43" s="174" t="s">
        <v>32555</v>
      </c>
      <c r="AO43" s="174" t="s">
        <v>32556</v>
      </c>
      <c r="AP43" s="174" t="s">
        <v>32557</v>
      </c>
      <c r="AQ43" s="174" t="s">
        <v>32558</v>
      </c>
      <c r="AR43" s="174" t="s">
        <v>31865</v>
      </c>
      <c r="AS43" s="174" t="s">
        <v>31865</v>
      </c>
      <c r="AT43" s="174" t="s">
        <v>32559</v>
      </c>
      <c r="AU43" s="174" t="s">
        <v>32560</v>
      </c>
      <c r="AV43" s="174" t="s">
        <v>32561</v>
      </c>
      <c r="AW43" s="174" t="s">
        <v>32562</v>
      </c>
      <c r="AX43" s="174" t="s">
        <v>31893</v>
      </c>
      <c r="AY43" s="174" t="s">
        <v>32563</v>
      </c>
      <c r="AZ43" s="174" t="s">
        <v>32564</v>
      </c>
      <c r="BA43" s="174" t="s">
        <v>31865</v>
      </c>
      <c r="BB43" s="174" t="s">
        <v>31865</v>
      </c>
      <c r="BC43" s="174" t="s">
        <v>31865</v>
      </c>
      <c r="BD43" s="174" t="s">
        <v>31865</v>
      </c>
    </row>
    <row r="44" ht="22.5" customHeight="1">
      <c r="A44" s="181" t="s">
        <v>3682</v>
      </c>
      <c r="B44" s="154" t="s">
        <v>32170</v>
      </c>
      <c r="C44" s="182"/>
      <c r="D44" s="183" t="s">
        <v>31715</v>
      </c>
      <c r="E44" s="182"/>
      <c r="F44" s="184" t="s">
        <v>3683</v>
      </c>
      <c r="G44" s="158">
        <v>60.0</v>
      </c>
      <c r="H44" s="185">
        <v>45958.0</v>
      </c>
      <c r="I44" s="186" t="s">
        <v>32217</v>
      </c>
      <c r="J44" s="187" t="s">
        <v>31857</v>
      </c>
      <c r="K44" s="188" t="s">
        <v>31858</v>
      </c>
      <c r="L44" s="187" t="s">
        <v>31857</v>
      </c>
      <c r="M44" s="162" t="s">
        <v>31857</v>
      </c>
      <c r="N44" s="162" t="s">
        <v>31857</v>
      </c>
      <c r="O44" s="162" t="s">
        <v>31857</v>
      </c>
      <c r="P44" s="162" t="s">
        <v>31857</v>
      </c>
      <c r="Q44" s="162" t="s">
        <v>31857</v>
      </c>
      <c r="R44" s="120">
        <f t="shared" si="1"/>
        <v>0</v>
      </c>
      <c r="S44" s="121">
        <f t="shared" si="2"/>
        <v>1</v>
      </c>
      <c r="T44" s="122">
        <f t="shared" si="3"/>
        <v>1</v>
      </c>
      <c r="U44" s="122">
        <f t="shared" si="4"/>
        <v>0.5</v>
      </c>
      <c r="V44" s="122">
        <f t="shared" si="5"/>
        <v>0.75</v>
      </c>
      <c r="W44" s="123">
        <f t="shared" si="6"/>
        <v>0.6666666667</v>
      </c>
      <c r="X44" s="122">
        <f t="shared" si="7"/>
        <v>1</v>
      </c>
      <c r="Y44" s="122">
        <f t="shared" si="8"/>
        <v>1</v>
      </c>
      <c r="Z44" s="189" t="s">
        <v>31859</v>
      </c>
      <c r="AA44" s="119" t="str">
        <f t="shared" si="9"/>
        <v>True</v>
      </c>
      <c r="AB44" s="190" t="s">
        <v>31865</v>
      </c>
      <c r="AC44" s="190" t="s">
        <v>31865</v>
      </c>
      <c r="AD44" s="190" t="s">
        <v>31865</v>
      </c>
      <c r="AE44" s="190" t="s">
        <v>32565</v>
      </c>
      <c r="AF44" s="190" t="s">
        <v>32566</v>
      </c>
      <c r="AG44" s="190" t="s">
        <v>32567</v>
      </c>
      <c r="AH44" s="190" t="s">
        <v>32507</v>
      </c>
      <c r="AI44" s="190" t="s">
        <v>32568</v>
      </c>
      <c r="AJ44" s="190" t="s">
        <v>32569</v>
      </c>
      <c r="AK44" s="190" t="s">
        <v>32570</v>
      </c>
      <c r="AL44" s="190" t="s">
        <v>32571</v>
      </c>
      <c r="AM44" s="190" t="s">
        <v>31865</v>
      </c>
      <c r="AN44" s="190" t="s">
        <v>31865</v>
      </c>
      <c r="AO44" s="190" t="s">
        <v>32572</v>
      </c>
      <c r="AP44" s="190" t="s">
        <v>32573</v>
      </c>
      <c r="AQ44" s="190" t="s">
        <v>32515</v>
      </c>
      <c r="AR44" s="190" t="s">
        <v>31865</v>
      </c>
      <c r="AS44" s="190" t="s">
        <v>32574</v>
      </c>
      <c r="AT44" s="190" t="s">
        <v>32575</v>
      </c>
      <c r="AU44" s="190" t="s">
        <v>32576</v>
      </c>
      <c r="AV44" s="190" t="s">
        <v>31865</v>
      </c>
      <c r="AW44" s="190" t="s">
        <v>32034</v>
      </c>
      <c r="AX44" s="190" t="s">
        <v>31893</v>
      </c>
      <c r="AY44" s="190" t="s">
        <v>32577</v>
      </c>
      <c r="AZ44" s="190" t="s">
        <v>32578</v>
      </c>
      <c r="BA44" s="190" t="s">
        <v>32579</v>
      </c>
      <c r="BB44" s="190" t="s">
        <v>31917</v>
      </c>
      <c r="BC44" s="190" t="s">
        <v>31984</v>
      </c>
      <c r="BD44" s="190" t="s">
        <v>32580</v>
      </c>
    </row>
    <row r="45" ht="22.5" hidden="1" customHeight="1">
      <c r="A45" s="191" t="s">
        <v>23392</v>
      </c>
      <c r="B45" s="114" t="s">
        <v>31854</v>
      </c>
      <c r="C45" s="139" t="s">
        <v>32581</v>
      </c>
      <c r="D45" s="139" t="s">
        <v>23391</v>
      </c>
      <c r="E45" s="139" t="s">
        <v>23398</v>
      </c>
      <c r="F45" s="139" t="s">
        <v>23393</v>
      </c>
      <c r="G45" s="136"/>
      <c r="H45" s="175">
        <v>45912.0</v>
      </c>
      <c r="I45" s="176" t="s">
        <v>32582</v>
      </c>
      <c r="J45" s="139" t="s">
        <v>31858</v>
      </c>
      <c r="K45" s="139" t="s">
        <v>31858</v>
      </c>
      <c r="L45" s="139" t="s">
        <v>31858</v>
      </c>
      <c r="M45" s="139" t="s">
        <v>31858</v>
      </c>
      <c r="N45" s="139" t="s">
        <v>31858</v>
      </c>
      <c r="O45" s="139" t="s">
        <v>31858</v>
      </c>
      <c r="P45" s="139" t="s">
        <v>31858</v>
      </c>
      <c r="Q45" s="139" t="s">
        <v>31858</v>
      </c>
      <c r="R45" s="192"/>
      <c r="S45" s="193"/>
      <c r="T45" s="194"/>
      <c r="U45" s="194"/>
      <c r="V45" s="194"/>
      <c r="W45" s="193"/>
      <c r="X45" s="194"/>
      <c r="Y45" s="194"/>
      <c r="Z45" s="139" t="s">
        <v>32583</v>
      </c>
      <c r="AA45" s="139" t="str">
        <f t="shared" ref="AA45:AA62" si="10">IF(COUNTA(AB45:BD45)=COLUMNS(AB45:BD45), "True", "False")</f>
        <v>False</v>
      </c>
      <c r="AB45" s="195"/>
      <c r="AC45" s="195"/>
      <c r="AD45" s="195"/>
      <c r="AE45" s="195"/>
      <c r="AF45" s="195"/>
      <c r="AG45" s="195"/>
      <c r="AH45" s="195"/>
      <c r="AI45" s="195"/>
      <c r="AJ45" s="195"/>
      <c r="AK45" s="195"/>
      <c r="AL45" s="195"/>
      <c r="AM45" s="195"/>
      <c r="AN45" s="195"/>
      <c r="AO45" s="195"/>
      <c r="AP45" s="195"/>
      <c r="AQ45" s="195"/>
      <c r="AR45" s="195"/>
      <c r="AS45" s="195"/>
      <c r="AT45" s="195"/>
      <c r="AU45" s="195"/>
      <c r="AV45" s="195"/>
      <c r="AW45" s="195"/>
      <c r="AX45" s="195"/>
      <c r="AY45" s="195"/>
      <c r="AZ45" s="195"/>
      <c r="BA45" s="195"/>
      <c r="BB45" s="195"/>
      <c r="BC45" s="195"/>
      <c r="BD45" s="195"/>
    </row>
    <row r="46" ht="22.5" hidden="1" customHeight="1">
      <c r="A46" s="191" t="s">
        <v>3672</v>
      </c>
      <c r="B46" s="114" t="s">
        <v>31854</v>
      </c>
      <c r="C46" s="139" t="s">
        <v>32584</v>
      </c>
      <c r="D46" s="139" t="s">
        <v>3671</v>
      </c>
      <c r="E46" s="196"/>
      <c r="F46" s="139" t="s">
        <v>3675</v>
      </c>
      <c r="G46" s="136"/>
      <c r="H46" s="175">
        <v>45912.0</v>
      </c>
      <c r="I46" s="176" t="s">
        <v>32582</v>
      </c>
      <c r="J46" s="139" t="s">
        <v>31858</v>
      </c>
      <c r="K46" s="139" t="s">
        <v>31858</v>
      </c>
      <c r="L46" s="139" t="s">
        <v>31858</v>
      </c>
      <c r="M46" s="139" t="s">
        <v>31858</v>
      </c>
      <c r="N46" s="139" t="s">
        <v>31858</v>
      </c>
      <c r="O46" s="139" t="s">
        <v>31858</v>
      </c>
      <c r="P46" s="139" t="s">
        <v>31858</v>
      </c>
      <c r="Q46" s="139" t="s">
        <v>31858</v>
      </c>
      <c r="R46" s="197"/>
      <c r="S46" s="198"/>
      <c r="T46" s="139"/>
      <c r="U46" s="139"/>
      <c r="V46" s="139"/>
      <c r="W46" s="198"/>
      <c r="X46" s="139"/>
      <c r="Y46" s="139"/>
      <c r="Z46" s="139" t="s">
        <v>32583</v>
      </c>
      <c r="AA46" s="139" t="str">
        <f t="shared" si="10"/>
        <v>False</v>
      </c>
      <c r="AB46" s="195"/>
      <c r="AC46" s="195"/>
      <c r="AD46" s="195"/>
      <c r="AE46" s="195"/>
      <c r="AF46" s="195"/>
      <c r="AG46" s="195"/>
      <c r="AH46" s="195"/>
      <c r="AI46" s="195"/>
      <c r="AJ46" s="195"/>
      <c r="AK46" s="195"/>
      <c r="AL46" s="195"/>
      <c r="AM46" s="195"/>
      <c r="AN46" s="195"/>
      <c r="AO46" s="195"/>
      <c r="AP46" s="195"/>
      <c r="AQ46" s="195"/>
      <c r="AR46" s="195"/>
      <c r="AS46" s="195"/>
      <c r="AT46" s="195"/>
      <c r="AU46" s="195"/>
      <c r="AV46" s="195"/>
      <c r="AW46" s="195"/>
      <c r="AX46" s="195"/>
      <c r="AY46" s="195"/>
      <c r="AZ46" s="195"/>
      <c r="BA46" s="195"/>
      <c r="BB46" s="195"/>
      <c r="BC46" s="195"/>
      <c r="BD46" s="195"/>
    </row>
    <row r="47" ht="22.5" hidden="1" customHeight="1">
      <c r="A47" s="191" t="s">
        <v>17733</v>
      </c>
      <c r="B47" s="114" t="s">
        <v>31854</v>
      </c>
      <c r="C47" s="139" t="s">
        <v>32585</v>
      </c>
      <c r="D47" s="139" t="s">
        <v>17732</v>
      </c>
      <c r="E47" s="139" t="s">
        <v>17654</v>
      </c>
      <c r="F47" s="139" t="s">
        <v>17734</v>
      </c>
      <c r="G47" s="136"/>
      <c r="H47" s="175">
        <v>45922.0</v>
      </c>
      <c r="I47" s="176" t="s">
        <v>32582</v>
      </c>
      <c r="J47" s="139" t="s">
        <v>31858</v>
      </c>
      <c r="K47" s="139" t="s">
        <v>31858</v>
      </c>
      <c r="L47" s="139" t="s">
        <v>31858</v>
      </c>
      <c r="M47" s="139" t="s">
        <v>31858</v>
      </c>
      <c r="N47" s="139" t="s">
        <v>31858</v>
      </c>
      <c r="O47" s="139" t="s">
        <v>31858</v>
      </c>
      <c r="P47" s="139" t="s">
        <v>31858</v>
      </c>
      <c r="Q47" s="139" t="s">
        <v>31858</v>
      </c>
      <c r="R47" s="197"/>
      <c r="S47" s="198"/>
      <c r="T47" s="139"/>
      <c r="U47" s="139"/>
      <c r="V47" s="139"/>
      <c r="W47" s="198"/>
      <c r="X47" s="139"/>
      <c r="Y47" s="139"/>
      <c r="Z47" s="139" t="s">
        <v>32583</v>
      </c>
      <c r="AA47" s="139" t="str">
        <f t="shared" si="10"/>
        <v>False</v>
      </c>
      <c r="AB47" s="195"/>
      <c r="AC47" s="195"/>
      <c r="AD47" s="195"/>
      <c r="AE47" s="195"/>
      <c r="AF47" s="195"/>
      <c r="AG47" s="195"/>
      <c r="AH47" s="195"/>
      <c r="AI47" s="195"/>
      <c r="AJ47" s="195"/>
      <c r="AK47" s="195"/>
      <c r="AL47" s="195"/>
      <c r="AM47" s="195"/>
      <c r="AN47" s="195"/>
      <c r="AO47" s="195"/>
      <c r="AP47" s="195"/>
      <c r="AQ47" s="195"/>
      <c r="AR47" s="195"/>
      <c r="AS47" s="195"/>
      <c r="AT47" s="195"/>
      <c r="AU47" s="195"/>
      <c r="AV47" s="195"/>
      <c r="AW47" s="195"/>
      <c r="AX47" s="195"/>
      <c r="AY47" s="195"/>
      <c r="AZ47" s="195"/>
      <c r="BA47" s="195"/>
      <c r="BB47" s="195"/>
      <c r="BC47" s="195"/>
      <c r="BD47" s="195"/>
    </row>
    <row r="48" ht="22.5" hidden="1" customHeight="1">
      <c r="A48" s="119" t="s">
        <v>28169</v>
      </c>
      <c r="B48" s="114" t="s">
        <v>31854</v>
      </c>
      <c r="C48" s="119" t="s">
        <v>32586</v>
      </c>
      <c r="D48" s="119" t="s">
        <v>28168</v>
      </c>
      <c r="E48" s="119" t="s">
        <v>24360</v>
      </c>
      <c r="F48" s="119" t="s">
        <v>28170</v>
      </c>
      <c r="G48" s="144">
        <v>30.0</v>
      </c>
      <c r="H48" s="178">
        <v>45930.0</v>
      </c>
      <c r="I48" s="179" t="s">
        <v>32582</v>
      </c>
      <c r="J48" s="119" t="s">
        <v>31858</v>
      </c>
      <c r="K48" s="119" t="s">
        <v>31858</v>
      </c>
      <c r="L48" s="119" t="s">
        <v>31858</v>
      </c>
      <c r="M48" s="119" t="s">
        <v>31858</v>
      </c>
      <c r="N48" s="119" t="s">
        <v>31858</v>
      </c>
      <c r="O48" s="119" t="s">
        <v>31858</v>
      </c>
      <c r="P48" s="119" t="s">
        <v>31858</v>
      </c>
      <c r="Q48" s="119" t="s">
        <v>31858</v>
      </c>
      <c r="R48" s="199"/>
      <c r="S48" s="200"/>
      <c r="T48" s="119"/>
      <c r="U48" s="119"/>
      <c r="V48" s="119"/>
      <c r="W48" s="200"/>
      <c r="X48" s="119"/>
      <c r="Y48" s="119"/>
      <c r="Z48" s="139" t="s">
        <v>32583</v>
      </c>
      <c r="AA48" s="139" t="str">
        <f t="shared" si="10"/>
        <v>False</v>
      </c>
      <c r="AB48" s="201"/>
      <c r="AC48" s="201"/>
      <c r="AD48" s="201"/>
      <c r="AE48" s="201"/>
      <c r="AF48" s="201"/>
      <c r="AG48" s="201"/>
      <c r="AH48" s="201"/>
      <c r="AI48" s="201"/>
      <c r="AJ48" s="201"/>
      <c r="AK48" s="201"/>
      <c r="AL48" s="201"/>
      <c r="AM48" s="201"/>
      <c r="AN48" s="201"/>
      <c r="AO48" s="201"/>
      <c r="AP48" s="201"/>
      <c r="AQ48" s="201"/>
      <c r="AR48" s="201"/>
      <c r="AS48" s="201"/>
      <c r="AT48" s="201"/>
      <c r="AU48" s="201"/>
      <c r="AV48" s="201"/>
      <c r="AW48" s="201"/>
      <c r="AX48" s="201"/>
      <c r="AY48" s="201"/>
      <c r="AZ48" s="201"/>
      <c r="BA48" s="201"/>
      <c r="BB48" s="201"/>
      <c r="BC48" s="201"/>
      <c r="BD48" s="201"/>
    </row>
    <row r="49" ht="22.5" hidden="1" customHeight="1">
      <c r="A49" s="119" t="s">
        <v>906</v>
      </c>
      <c r="B49" s="114" t="s">
        <v>31854</v>
      </c>
      <c r="C49" s="119" t="s">
        <v>32587</v>
      </c>
      <c r="D49" s="119" t="s">
        <v>905</v>
      </c>
      <c r="E49" s="119" t="s">
        <v>907</v>
      </c>
      <c r="F49" s="119" t="s">
        <v>909</v>
      </c>
      <c r="G49" s="144">
        <v>70.0</v>
      </c>
      <c r="H49" s="178">
        <v>45930.0</v>
      </c>
      <c r="I49" s="179" t="s">
        <v>32582</v>
      </c>
      <c r="J49" s="119" t="s">
        <v>31858</v>
      </c>
      <c r="K49" s="119" t="s">
        <v>31858</v>
      </c>
      <c r="L49" s="119" t="s">
        <v>31858</v>
      </c>
      <c r="M49" s="119" t="s">
        <v>31858</v>
      </c>
      <c r="N49" s="119" t="s">
        <v>31858</v>
      </c>
      <c r="O49" s="119" t="s">
        <v>31858</v>
      </c>
      <c r="P49" s="119" t="s">
        <v>31858</v>
      </c>
      <c r="Q49" s="119" t="s">
        <v>31858</v>
      </c>
      <c r="R49" s="199"/>
      <c r="S49" s="200"/>
      <c r="T49" s="119"/>
      <c r="U49" s="119"/>
      <c r="V49" s="119"/>
      <c r="W49" s="200"/>
      <c r="X49" s="119"/>
      <c r="Y49" s="119"/>
      <c r="Z49" s="139" t="s">
        <v>32583</v>
      </c>
      <c r="AA49" s="139" t="str">
        <f t="shared" si="10"/>
        <v>False</v>
      </c>
      <c r="AB49" s="201"/>
      <c r="AC49" s="201"/>
      <c r="AD49" s="201"/>
      <c r="AE49" s="201"/>
      <c r="AF49" s="201"/>
      <c r="AG49" s="201"/>
      <c r="AH49" s="201"/>
      <c r="AI49" s="201"/>
      <c r="AJ49" s="201"/>
      <c r="AK49" s="201"/>
      <c r="AL49" s="201"/>
      <c r="AM49" s="201"/>
      <c r="AN49" s="201"/>
      <c r="AO49" s="201"/>
      <c r="AP49" s="201"/>
      <c r="AQ49" s="201"/>
      <c r="AR49" s="201"/>
      <c r="AS49" s="201"/>
      <c r="AT49" s="201"/>
      <c r="AU49" s="201"/>
      <c r="AV49" s="201"/>
      <c r="AW49" s="201"/>
      <c r="AX49" s="201"/>
      <c r="AY49" s="201"/>
      <c r="AZ49" s="201"/>
      <c r="BA49" s="201"/>
      <c r="BB49" s="201"/>
      <c r="BC49" s="201"/>
      <c r="BD49" s="201"/>
    </row>
    <row r="50" ht="22.5" hidden="1" customHeight="1">
      <c r="A50" s="119" t="s">
        <v>28129</v>
      </c>
      <c r="B50" s="114" t="s">
        <v>31854</v>
      </c>
      <c r="C50" s="119" t="s">
        <v>32588</v>
      </c>
      <c r="D50" s="119" t="s">
        <v>28128</v>
      </c>
      <c r="E50" s="119" t="s">
        <v>26726</v>
      </c>
      <c r="F50" s="119" t="s">
        <v>28130</v>
      </c>
      <c r="G50" s="116">
        <v>40.0</v>
      </c>
      <c r="H50" s="178">
        <v>45931.0</v>
      </c>
      <c r="I50" s="179" t="s">
        <v>32582</v>
      </c>
      <c r="J50" s="119" t="s">
        <v>31858</v>
      </c>
      <c r="K50" s="119" t="s">
        <v>31858</v>
      </c>
      <c r="L50" s="119" t="s">
        <v>31858</v>
      </c>
      <c r="M50" s="119" t="s">
        <v>31858</v>
      </c>
      <c r="N50" s="119" t="s">
        <v>31858</v>
      </c>
      <c r="O50" s="119" t="s">
        <v>31858</v>
      </c>
      <c r="P50" s="119" t="s">
        <v>31858</v>
      </c>
      <c r="Q50" s="119" t="s">
        <v>31858</v>
      </c>
      <c r="R50" s="199"/>
      <c r="S50" s="200"/>
      <c r="T50" s="119"/>
      <c r="U50" s="119"/>
      <c r="V50" s="119"/>
      <c r="W50" s="200"/>
      <c r="X50" s="119"/>
      <c r="Y50" s="119"/>
      <c r="Z50" s="139" t="s">
        <v>32583</v>
      </c>
      <c r="AA50" s="139" t="str">
        <f t="shared" si="10"/>
        <v>False</v>
      </c>
      <c r="AB50" s="201"/>
      <c r="AC50" s="201"/>
      <c r="AD50" s="201"/>
      <c r="AE50" s="201"/>
      <c r="AF50" s="201"/>
      <c r="AG50" s="201"/>
      <c r="AH50" s="201"/>
      <c r="AI50" s="201"/>
      <c r="AJ50" s="201"/>
      <c r="AK50" s="201"/>
      <c r="AL50" s="201"/>
      <c r="AM50" s="201"/>
      <c r="AN50" s="201"/>
      <c r="AO50" s="201"/>
      <c r="AP50" s="201"/>
      <c r="AQ50" s="201"/>
      <c r="AR50" s="201"/>
      <c r="AS50" s="201"/>
      <c r="AT50" s="201"/>
      <c r="AU50" s="201"/>
      <c r="AV50" s="201"/>
      <c r="AW50" s="201"/>
      <c r="AX50" s="201"/>
      <c r="AY50" s="201"/>
      <c r="AZ50" s="201"/>
      <c r="BA50" s="201"/>
      <c r="BB50" s="201"/>
      <c r="BC50" s="201"/>
      <c r="BD50" s="201"/>
    </row>
    <row r="51" ht="22.5" hidden="1" customHeight="1">
      <c r="A51" s="119" t="s">
        <v>12919</v>
      </c>
      <c r="B51" s="114" t="s">
        <v>31854</v>
      </c>
      <c r="C51" s="119" t="s">
        <v>32589</v>
      </c>
      <c r="D51" s="119" t="s">
        <v>12918</v>
      </c>
      <c r="E51" s="119" t="s">
        <v>11429</v>
      </c>
      <c r="F51" s="119" t="s">
        <v>12920</v>
      </c>
      <c r="G51" s="116">
        <v>80.0</v>
      </c>
      <c r="H51" s="178">
        <v>45931.0</v>
      </c>
      <c r="I51" s="179" t="s">
        <v>32582</v>
      </c>
      <c r="J51" s="119" t="s">
        <v>31858</v>
      </c>
      <c r="K51" s="119" t="s">
        <v>31858</v>
      </c>
      <c r="L51" s="119" t="s">
        <v>31858</v>
      </c>
      <c r="M51" s="119" t="s">
        <v>31858</v>
      </c>
      <c r="N51" s="119" t="s">
        <v>31858</v>
      </c>
      <c r="O51" s="119" t="s">
        <v>31858</v>
      </c>
      <c r="P51" s="119" t="s">
        <v>31858</v>
      </c>
      <c r="Q51" s="119" t="s">
        <v>31858</v>
      </c>
      <c r="R51" s="199"/>
      <c r="S51" s="200"/>
      <c r="T51" s="119"/>
      <c r="U51" s="119"/>
      <c r="V51" s="119"/>
      <c r="W51" s="200"/>
      <c r="X51" s="119"/>
      <c r="Y51" s="119"/>
      <c r="Z51" s="139" t="s">
        <v>32583</v>
      </c>
      <c r="AA51" s="139" t="str">
        <f t="shared" si="10"/>
        <v>False</v>
      </c>
      <c r="AB51" s="201"/>
      <c r="AC51" s="201"/>
      <c r="AD51" s="201"/>
      <c r="AE51" s="201"/>
      <c r="AF51" s="201"/>
      <c r="AG51" s="201"/>
      <c r="AH51" s="201"/>
      <c r="AI51" s="201"/>
      <c r="AJ51" s="201"/>
      <c r="AK51" s="201"/>
      <c r="AL51" s="201"/>
      <c r="AM51" s="201"/>
      <c r="AN51" s="201"/>
      <c r="AO51" s="201"/>
      <c r="AP51" s="201"/>
      <c r="AQ51" s="201"/>
      <c r="AR51" s="201"/>
      <c r="AS51" s="201"/>
      <c r="AT51" s="201"/>
      <c r="AU51" s="201"/>
      <c r="AV51" s="201"/>
      <c r="AW51" s="201"/>
      <c r="AX51" s="201"/>
      <c r="AY51" s="201"/>
      <c r="AZ51" s="201"/>
      <c r="BA51" s="201"/>
      <c r="BB51" s="201"/>
      <c r="BC51" s="201"/>
      <c r="BD51" s="201"/>
    </row>
    <row r="52" ht="22.5" hidden="1" customHeight="1">
      <c r="A52" s="119" t="s">
        <v>23456</v>
      </c>
      <c r="B52" s="114" t="s">
        <v>31854</v>
      </c>
      <c r="C52" s="119" t="s">
        <v>32590</v>
      </c>
      <c r="D52" s="119" t="s">
        <v>23455</v>
      </c>
      <c r="E52" s="119" t="s">
        <v>23462</v>
      </c>
      <c r="F52" s="119" t="s">
        <v>23457</v>
      </c>
      <c r="G52" s="116">
        <v>80.0</v>
      </c>
      <c r="H52" s="178">
        <v>45936.0</v>
      </c>
      <c r="I52" s="179" t="s">
        <v>32582</v>
      </c>
      <c r="J52" s="119" t="s">
        <v>31858</v>
      </c>
      <c r="K52" s="119" t="s">
        <v>31858</v>
      </c>
      <c r="L52" s="119" t="s">
        <v>31858</v>
      </c>
      <c r="M52" s="119" t="s">
        <v>31858</v>
      </c>
      <c r="N52" s="119" t="s">
        <v>31858</v>
      </c>
      <c r="O52" s="119" t="s">
        <v>31858</v>
      </c>
      <c r="P52" s="119" t="s">
        <v>31858</v>
      </c>
      <c r="Q52" s="119" t="s">
        <v>31858</v>
      </c>
      <c r="R52" s="199"/>
      <c r="S52" s="200"/>
      <c r="T52" s="119"/>
      <c r="U52" s="119"/>
      <c r="V52" s="119"/>
      <c r="W52" s="200"/>
      <c r="X52" s="119"/>
      <c r="Y52" s="119"/>
      <c r="Z52" s="139" t="s">
        <v>32583</v>
      </c>
      <c r="AA52" s="139" t="str">
        <f t="shared" si="10"/>
        <v>False</v>
      </c>
      <c r="AB52" s="201"/>
      <c r="AC52" s="201"/>
      <c r="AD52" s="201"/>
      <c r="AE52" s="201"/>
      <c r="AF52" s="201"/>
      <c r="AG52" s="201"/>
      <c r="AH52" s="201"/>
      <c r="AI52" s="201"/>
      <c r="AJ52" s="201"/>
      <c r="AK52" s="201"/>
      <c r="AL52" s="201"/>
      <c r="AM52" s="201"/>
      <c r="AN52" s="201"/>
      <c r="AO52" s="201"/>
      <c r="AP52" s="201"/>
      <c r="AQ52" s="201"/>
      <c r="AR52" s="201"/>
      <c r="AS52" s="201"/>
      <c r="AT52" s="201"/>
      <c r="AU52" s="201"/>
      <c r="AV52" s="201"/>
      <c r="AW52" s="201"/>
      <c r="AX52" s="201"/>
      <c r="AY52" s="201"/>
      <c r="AZ52" s="201"/>
      <c r="BA52" s="201"/>
      <c r="BB52" s="201"/>
      <c r="BC52" s="201"/>
      <c r="BD52" s="201"/>
    </row>
    <row r="53" ht="22.5" hidden="1" customHeight="1">
      <c r="A53" s="119" t="s">
        <v>12459</v>
      </c>
      <c r="B53" s="114" t="s">
        <v>31854</v>
      </c>
      <c r="C53" s="119" t="s">
        <v>32591</v>
      </c>
      <c r="D53" s="119" t="s">
        <v>12458</v>
      </c>
      <c r="E53" s="119" t="s">
        <v>11571</v>
      </c>
      <c r="F53" s="119" t="s">
        <v>12460</v>
      </c>
      <c r="G53" s="116">
        <v>30.0</v>
      </c>
      <c r="H53" s="178">
        <v>45937.0</v>
      </c>
      <c r="I53" s="179" t="s">
        <v>32582</v>
      </c>
      <c r="J53" s="119" t="s">
        <v>31858</v>
      </c>
      <c r="K53" s="119" t="s">
        <v>31858</v>
      </c>
      <c r="L53" s="119" t="s">
        <v>31858</v>
      </c>
      <c r="M53" s="119" t="s">
        <v>31858</v>
      </c>
      <c r="N53" s="119" t="s">
        <v>31858</v>
      </c>
      <c r="O53" s="119" t="s">
        <v>31858</v>
      </c>
      <c r="P53" s="119" t="s">
        <v>31858</v>
      </c>
      <c r="Q53" s="119" t="s">
        <v>31858</v>
      </c>
      <c r="R53" s="199"/>
      <c r="S53" s="200"/>
      <c r="T53" s="119"/>
      <c r="U53" s="119"/>
      <c r="V53" s="119"/>
      <c r="W53" s="200"/>
      <c r="X53" s="119"/>
      <c r="Y53" s="119"/>
      <c r="Z53" s="139" t="s">
        <v>32583</v>
      </c>
      <c r="AA53" s="139" t="str">
        <f t="shared" si="10"/>
        <v>False</v>
      </c>
      <c r="AB53" s="201"/>
      <c r="AC53" s="201"/>
      <c r="AD53" s="201"/>
      <c r="AE53" s="201"/>
      <c r="AF53" s="201"/>
      <c r="AG53" s="201"/>
      <c r="AH53" s="201"/>
      <c r="AI53" s="201"/>
      <c r="AJ53" s="201"/>
      <c r="AK53" s="201"/>
      <c r="AL53" s="201"/>
      <c r="AM53" s="201"/>
      <c r="AN53" s="201"/>
      <c r="AO53" s="201"/>
      <c r="AP53" s="201"/>
      <c r="AQ53" s="201"/>
      <c r="AR53" s="201"/>
      <c r="AS53" s="201"/>
      <c r="AT53" s="201"/>
      <c r="AU53" s="201"/>
      <c r="AV53" s="201"/>
      <c r="AW53" s="201"/>
      <c r="AX53" s="201"/>
      <c r="AY53" s="201"/>
      <c r="AZ53" s="201"/>
      <c r="BA53" s="201"/>
      <c r="BB53" s="201"/>
      <c r="BC53" s="201"/>
      <c r="BD53" s="201"/>
    </row>
    <row r="54" ht="22.5" hidden="1" customHeight="1">
      <c r="A54" s="119" t="s">
        <v>22862</v>
      </c>
      <c r="B54" s="114" t="s">
        <v>31854</v>
      </c>
      <c r="C54" s="119" t="s">
        <v>32592</v>
      </c>
      <c r="D54" s="119" t="s">
        <v>22861</v>
      </c>
      <c r="E54" s="119" t="s">
        <v>22868</v>
      </c>
      <c r="F54" s="119" t="s">
        <v>22863</v>
      </c>
      <c r="G54" s="116">
        <v>90.0</v>
      </c>
      <c r="H54" s="178">
        <v>45938.0</v>
      </c>
      <c r="I54" s="179" t="s">
        <v>32582</v>
      </c>
      <c r="J54" s="119" t="s">
        <v>31858</v>
      </c>
      <c r="K54" s="119" t="s">
        <v>31858</v>
      </c>
      <c r="L54" s="119" t="s">
        <v>31858</v>
      </c>
      <c r="M54" s="119" t="s">
        <v>31858</v>
      </c>
      <c r="N54" s="119" t="s">
        <v>31858</v>
      </c>
      <c r="O54" s="119" t="s">
        <v>31858</v>
      </c>
      <c r="P54" s="119" t="s">
        <v>31858</v>
      </c>
      <c r="Q54" s="119" t="s">
        <v>31858</v>
      </c>
      <c r="R54" s="199"/>
      <c r="S54" s="200"/>
      <c r="T54" s="119"/>
      <c r="U54" s="119"/>
      <c r="V54" s="119"/>
      <c r="W54" s="200"/>
      <c r="X54" s="119"/>
      <c r="Y54" s="119"/>
      <c r="Z54" s="139" t="s">
        <v>32583</v>
      </c>
      <c r="AA54" s="139" t="str">
        <f t="shared" si="10"/>
        <v>False</v>
      </c>
      <c r="AB54" s="201"/>
      <c r="AC54" s="201"/>
      <c r="AD54" s="201"/>
      <c r="AE54" s="201"/>
      <c r="AF54" s="201"/>
      <c r="AG54" s="201"/>
      <c r="AH54" s="201"/>
      <c r="AI54" s="201"/>
      <c r="AJ54" s="201"/>
      <c r="AK54" s="201"/>
      <c r="AL54" s="201"/>
      <c r="AM54" s="201"/>
      <c r="AN54" s="201"/>
      <c r="AO54" s="201"/>
      <c r="AP54" s="201"/>
      <c r="AQ54" s="201"/>
      <c r="AR54" s="201"/>
      <c r="AS54" s="201"/>
      <c r="AT54" s="201"/>
      <c r="AU54" s="201"/>
      <c r="AV54" s="201"/>
      <c r="AW54" s="201"/>
      <c r="AX54" s="201"/>
      <c r="AY54" s="201"/>
      <c r="AZ54" s="201"/>
      <c r="BA54" s="201"/>
      <c r="BB54" s="201"/>
      <c r="BC54" s="201"/>
      <c r="BD54" s="201"/>
    </row>
    <row r="55" ht="22.5" hidden="1" customHeight="1">
      <c r="A55" s="119" t="s">
        <v>23371</v>
      </c>
      <c r="B55" s="114" t="s">
        <v>31854</v>
      </c>
      <c r="C55" s="119" t="s">
        <v>32593</v>
      </c>
      <c r="D55" s="119" t="s">
        <v>23370</v>
      </c>
      <c r="E55" s="119" t="s">
        <v>23377</v>
      </c>
      <c r="F55" s="119" t="s">
        <v>23372</v>
      </c>
      <c r="G55" s="116">
        <v>50.0</v>
      </c>
      <c r="H55" s="178">
        <v>45943.0</v>
      </c>
      <c r="I55" s="179" t="s">
        <v>32582</v>
      </c>
      <c r="J55" s="119" t="s">
        <v>31858</v>
      </c>
      <c r="K55" s="119" t="s">
        <v>31858</v>
      </c>
      <c r="L55" s="119" t="s">
        <v>31858</v>
      </c>
      <c r="M55" s="119" t="s">
        <v>31858</v>
      </c>
      <c r="N55" s="119" t="s">
        <v>31858</v>
      </c>
      <c r="O55" s="119" t="s">
        <v>31858</v>
      </c>
      <c r="P55" s="119" t="s">
        <v>31858</v>
      </c>
      <c r="Q55" s="119" t="s">
        <v>31858</v>
      </c>
      <c r="R55" s="199"/>
      <c r="S55" s="200"/>
      <c r="T55" s="119"/>
      <c r="U55" s="119"/>
      <c r="V55" s="119"/>
      <c r="W55" s="200"/>
      <c r="X55" s="119"/>
      <c r="Y55" s="119"/>
      <c r="Z55" s="139" t="s">
        <v>32583</v>
      </c>
      <c r="AA55" s="139" t="str">
        <f t="shared" si="10"/>
        <v>False</v>
      </c>
      <c r="AB55" s="201"/>
      <c r="AC55" s="201"/>
      <c r="AD55" s="201"/>
      <c r="AE55" s="201"/>
      <c r="AF55" s="201"/>
      <c r="AG55" s="201"/>
      <c r="AH55" s="201"/>
      <c r="AI55" s="201"/>
      <c r="AJ55" s="201"/>
      <c r="AK55" s="201"/>
      <c r="AL55" s="201"/>
      <c r="AM55" s="201"/>
      <c r="AN55" s="201"/>
      <c r="AO55" s="201"/>
      <c r="AP55" s="201"/>
      <c r="AQ55" s="201"/>
      <c r="AR55" s="201"/>
      <c r="AS55" s="201"/>
      <c r="AT55" s="201"/>
      <c r="AU55" s="201"/>
      <c r="AV55" s="201"/>
      <c r="AW55" s="201"/>
      <c r="AX55" s="201"/>
      <c r="AY55" s="201"/>
      <c r="AZ55" s="201"/>
      <c r="BA55" s="201"/>
      <c r="BB55" s="201"/>
      <c r="BC55" s="201"/>
      <c r="BD55" s="201"/>
    </row>
    <row r="56" ht="22.5" hidden="1" customHeight="1">
      <c r="A56" s="119" t="s">
        <v>22059</v>
      </c>
      <c r="B56" s="114" t="s">
        <v>31854</v>
      </c>
      <c r="C56" s="119" t="s">
        <v>32594</v>
      </c>
      <c r="D56" s="119" t="s">
        <v>22058</v>
      </c>
      <c r="E56" s="119" t="s">
        <v>16436</v>
      </c>
      <c r="F56" s="119" t="s">
        <v>22060</v>
      </c>
      <c r="G56" s="116">
        <v>60.0</v>
      </c>
      <c r="H56" s="178">
        <v>45940.0</v>
      </c>
      <c r="I56" s="179" t="s">
        <v>32582</v>
      </c>
      <c r="J56" s="119" t="s">
        <v>31858</v>
      </c>
      <c r="K56" s="119" t="s">
        <v>31858</v>
      </c>
      <c r="L56" s="119" t="s">
        <v>31858</v>
      </c>
      <c r="M56" s="119" t="s">
        <v>31858</v>
      </c>
      <c r="N56" s="119" t="s">
        <v>31858</v>
      </c>
      <c r="O56" s="119" t="s">
        <v>31858</v>
      </c>
      <c r="P56" s="119" t="s">
        <v>31858</v>
      </c>
      <c r="Q56" s="119" t="s">
        <v>31858</v>
      </c>
      <c r="R56" s="199"/>
      <c r="S56" s="200"/>
      <c r="T56" s="119"/>
      <c r="U56" s="119"/>
      <c r="V56" s="119"/>
      <c r="W56" s="200"/>
      <c r="X56" s="119"/>
      <c r="Y56" s="119"/>
      <c r="Z56" s="139" t="s">
        <v>32583</v>
      </c>
      <c r="AA56" s="139" t="str">
        <f t="shared" si="10"/>
        <v>False</v>
      </c>
      <c r="AB56" s="201"/>
      <c r="AC56" s="201"/>
      <c r="AD56" s="201"/>
      <c r="AE56" s="201"/>
      <c r="AF56" s="201"/>
      <c r="AG56" s="201"/>
      <c r="AH56" s="201"/>
      <c r="AI56" s="201"/>
      <c r="AJ56" s="201"/>
      <c r="AK56" s="201"/>
      <c r="AL56" s="201"/>
      <c r="AM56" s="201"/>
      <c r="AN56" s="201"/>
      <c r="AO56" s="201"/>
      <c r="AP56" s="201"/>
      <c r="AQ56" s="201"/>
      <c r="AR56" s="201"/>
      <c r="AS56" s="201"/>
      <c r="AT56" s="201"/>
      <c r="AU56" s="201"/>
      <c r="AV56" s="201"/>
      <c r="AW56" s="201"/>
      <c r="AX56" s="201"/>
      <c r="AY56" s="201"/>
      <c r="AZ56" s="201"/>
      <c r="BA56" s="201"/>
      <c r="BB56" s="201"/>
      <c r="BC56" s="201"/>
      <c r="BD56" s="201"/>
    </row>
    <row r="57" ht="22.5" hidden="1" customHeight="1">
      <c r="A57" s="119" t="s">
        <v>5760</v>
      </c>
      <c r="B57" s="114" t="s">
        <v>31854</v>
      </c>
      <c r="C57" s="119" t="s">
        <v>32595</v>
      </c>
      <c r="D57" s="119" t="s">
        <v>5759</v>
      </c>
      <c r="E57" s="119" t="s">
        <v>5761</v>
      </c>
      <c r="F57" s="119" t="s">
        <v>5763</v>
      </c>
      <c r="G57" s="116">
        <v>30.0</v>
      </c>
      <c r="H57" s="178">
        <v>45939.0</v>
      </c>
      <c r="I57" s="179" t="s">
        <v>32582</v>
      </c>
      <c r="J57" s="119" t="s">
        <v>31858</v>
      </c>
      <c r="K57" s="119" t="s">
        <v>31858</v>
      </c>
      <c r="L57" s="119" t="s">
        <v>31858</v>
      </c>
      <c r="M57" s="119" t="s">
        <v>31858</v>
      </c>
      <c r="N57" s="119" t="s">
        <v>31858</v>
      </c>
      <c r="O57" s="119" t="s">
        <v>31858</v>
      </c>
      <c r="P57" s="119" t="s">
        <v>31858</v>
      </c>
      <c r="Q57" s="119" t="s">
        <v>31858</v>
      </c>
      <c r="R57" s="199"/>
      <c r="S57" s="200"/>
      <c r="T57" s="119"/>
      <c r="U57" s="119"/>
      <c r="V57" s="119"/>
      <c r="W57" s="200"/>
      <c r="X57" s="119"/>
      <c r="Y57" s="119"/>
      <c r="Z57" s="139" t="s">
        <v>32583</v>
      </c>
      <c r="AA57" s="139" t="str">
        <f t="shared" si="10"/>
        <v>False</v>
      </c>
      <c r="AB57" s="201"/>
      <c r="AC57" s="201"/>
      <c r="AD57" s="201"/>
      <c r="AE57" s="201"/>
      <c r="AF57" s="201"/>
      <c r="AG57" s="201"/>
      <c r="AH57" s="201"/>
      <c r="AI57" s="201"/>
      <c r="AJ57" s="201"/>
      <c r="AK57" s="201"/>
      <c r="AL57" s="201"/>
      <c r="AM57" s="201"/>
      <c r="AN57" s="201"/>
      <c r="AO57" s="201"/>
      <c r="AP57" s="201"/>
      <c r="AQ57" s="201"/>
      <c r="AR57" s="201"/>
      <c r="AS57" s="201"/>
      <c r="AT57" s="201"/>
      <c r="AU57" s="201"/>
      <c r="AV57" s="201"/>
      <c r="AW57" s="201"/>
      <c r="AX57" s="201"/>
      <c r="AY57" s="201"/>
      <c r="AZ57" s="201"/>
      <c r="BA57" s="201"/>
      <c r="BB57" s="201"/>
      <c r="BC57" s="201"/>
      <c r="BD57" s="201"/>
    </row>
    <row r="58" ht="22.5" hidden="1" customHeight="1">
      <c r="A58" s="119" t="s">
        <v>12510</v>
      </c>
      <c r="B58" s="114" t="s">
        <v>31854</v>
      </c>
      <c r="C58" s="119" t="s">
        <v>32596</v>
      </c>
      <c r="D58" s="119" t="s">
        <v>12509</v>
      </c>
      <c r="E58" s="119" t="s">
        <v>12511</v>
      </c>
      <c r="F58" s="119" t="s">
        <v>12513</v>
      </c>
      <c r="G58" s="116">
        <v>20.0</v>
      </c>
      <c r="H58" s="178">
        <v>45938.0</v>
      </c>
      <c r="I58" s="179" t="s">
        <v>32582</v>
      </c>
      <c r="J58" s="119" t="s">
        <v>31858</v>
      </c>
      <c r="K58" s="119" t="s">
        <v>31858</v>
      </c>
      <c r="L58" s="119" t="s">
        <v>31858</v>
      </c>
      <c r="M58" s="119" t="s">
        <v>31858</v>
      </c>
      <c r="N58" s="119" t="s">
        <v>31858</v>
      </c>
      <c r="O58" s="119" t="s">
        <v>31858</v>
      </c>
      <c r="P58" s="119" t="s">
        <v>31858</v>
      </c>
      <c r="Q58" s="119" t="s">
        <v>31858</v>
      </c>
      <c r="R58" s="199"/>
      <c r="S58" s="200"/>
      <c r="T58" s="119"/>
      <c r="U58" s="119"/>
      <c r="V58" s="119"/>
      <c r="W58" s="200"/>
      <c r="X58" s="119"/>
      <c r="Y58" s="119"/>
      <c r="Z58" s="139" t="s">
        <v>32583</v>
      </c>
      <c r="AA58" s="139" t="str">
        <f t="shared" si="10"/>
        <v>False</v>
      </c>
      <c r="AB58" s="201"/>
      <c r="AC58" s="201"/>
      <c r="AD58" s="201"/>
      <c r="AE58" s="201"/>
      <c r="AF58" s="201"/>
      <c r="AG58" s="201"/>
      <c r="AH58" s="201"/>
      <c r="AI58" s="201"/>
      <c r="AJ58" s="201"/>
      <c r="AK58" s="201"/>
      <c r="AL58" s="201"/>
      <c r="AM58" s="201"/>
      <c r="AN58" s="201"/>
      <c r="AO58" s="201"/>
      <c r="AP58" s="201"/>
      <c r="AQ58" s="201"/>
      <c r="AR58" s="201"/>
      <c r="AS58" s="201"/>
      <c r="AT58" s="201"/>
      <c r="AU58" s="201"/>
      <c r="AV58" s="201"/>
      <c r="AW58" s="201"/>
      <c r="AX58" s="201"/>
      <c r="AY58" s="201"/>
      <c r="AZ58" s="201"/>
      <c r="BA58" s="201"/>
      <c r="BB58" s="201"/>
      <c r="BC58" s="201"/>
      <c r="BD58" s="201"/>
    </row>
    <row r="59" ht="22.5" hidden="1" customHeight="1">
      <c r="A59" s="119" t="s">
        <v>25322</v>
      </c>
      <c r="B59" s="114" t="s">
        <v>31854</v>
      </c>
      <c r="C59" s="119" t="s">
        <v>32597</v>
      </c>
      <c r="D59" s="119" t="s">
        <v>25321</v>
      </c>
      <c r="E59" s="119" t="s">
        <v>22802</v>
      </c>
      <c r="F59" s="119" t="s">
        <v>25323</v>
      </c>
      <c r="G59" s="116">
        <v>35.0</v>
      </c>
      <c r="H59" s="178">
        <v>45944.0</v>
      </c>
      <c r="I59" s="179" t="s">
        <v>32582</v>
      </c>
      <c r="J59" s="119" t="s">
        <v>31858</v>
      </c>
      <c r="K59" s="119" t="s">
        <v>31858</v>
      </c>
      <c r="L59" s="119" t="s">
        <v>31858</v>
      </c>
      <c r="M59" s="119" t="s">
        <v>31858</v>
      </c>
      <c r="N59" s="119" t="s">
        <v>31858</v>
      </c>
      <c r="O59" s="119" t="s">
        <v>31858</v>
      </c>
      <c r="P59" s="119" t="s">
        <v>31858</v>
      </c>
      <c r="Q59" s="119" t="s">
        <v>31858</v>
      </c>
      <c r="R59" s="199"/>
      <c r="S59" s="200"/>
      <c r="T59" s="119"/>
      <c r="U59" s="119"/>
      <c r="V59" s="119"/>
      <c r="W59" s="200"/>
      <c r="X59" s="119"/>
      <c r="Y59" s="119"/>
      <c r="Z59" s="139" t="s">
        <v>32583</v>
      </c>
      <c r="AA59" s="139" t="str">
        <f t="shared" si="10"/>
        <v>False</v>
      </c>
      <c r="AB59" s="201"/>
      <c r="AC59" s="201"/>
      <c r="AD59" s="201"/>
      <c r="AE59" s="201"/>
      <c r="AF59" s="201"/>
      <c r="AG59" s="201"/>
      <c r="AH59" s="201"/>
      <c r="AI59" s="201"/>
      <c r="AJ59" s="201"/>
      <c r="AK59" s="201"/>
      <c r="AL59" s="201"/>
      <c r="AM59" s="201"/>
      <c r="AN59" s="201"/>
      <c r="AO59" s="201"/>
      <c r="AP59" s="201"/>
      <c r="AQ59" s="201"/>
      <c r="AR59" s="201"/>
      <c r="AS59" s="201"/>
      <c r="AT59" s="201"/>
      <c r="AU59" s="201"/>
      <c r="AV59" s="201"/>
      <c r="AW59" s="201"/>
      <c r="AX59" s="201"/>
      <c r="AY59" s="201"/>
      <c r="AZ59" s="201"/>
      <c r="BA59" s="201"/>
      <c r="BB59" s="201"/>
      <c r="BC59" s="201"/>
      <c r="BD59" s="201"/>
    </row>
    <row r="60" ht="22.5" hidden="1" customHeight="1">
      <c r="A60" s="119" t="s">
        <v>22572</v>
      </c>
      <c r="B60" s="119" t="s">
        <v>31854</v>
      </c>
      <c r="C60" s="119" t="s">
        <v>32598</v>
      </c>
      <c r="D60" s="119" t="s">
        <v>22571</v>
      </c>
      <c r="E60" s="119" t="s">
        <v>22523</v>
      </c>
      <c r="F60" s="119" t="s">
        <v>22573</v>
      </c>
      <c r="G60" s="116">
        <v>60.0</v>
      </c>
      <c r="H60" s="178">
        <v>45940.0</v>
      </c>
      <c r="I60" s="179" t="s">
        <v>32582</v>
      </c>
      <c r="J60" s="119" t="s">
        <v>31858</v>
      </c>
      <c r="K60" s="119" t="s">
        <v>31858</v>
      </c>
      <c r="L60" s="119" t="s">
        <v>31858</v>
      </c>
      <c r="M60" s="119" t="s">
        <v>31858</v>
      </c>
      <c r="N60" s="119" t="s">
        <v>31858</v>
      </c>
      <c r="O60" s="119" t="s">
        <v>31858</v>
      </c>
      <c r="P60" s="119" t="s">
        <v>31858</v>
      </c>
      <c r="Q60" s="119" t="s">
        <v>31858</v>
      </c>
      <c r="R60" s="199"/>
      <c r="S60" s="200"/>
      <c r="T60" s="119"/>
      <c r="U60" s="119"/>
      <c r="V60" s="119"/>
      <c r="W60" s="200"/>
      <c r="X60" s="119"/>
      <c r="Y60" s="119"/>
      <c r="Z60" s="139" t="s">
        <v>32583</v>
      </c>
      <c r="AA60" s="139" t="str">
        <f t="shared" si="10"/>
        <v>False</v>
      </c>
      <c r="AB60" s="201"/>
      <c r="AC60" s="201"/>
      <c r="AD60" s="201"/>
      <c r="AE60" s="201"/>
      <c r="AF60" s="201"/>
      <c r="AG60" s="201"/>
      <c r="AH60" s="201"/>
      <c r="AI60" s="201"/>
      <c r="AJ60" s="201"/>
      <c r="AK60" s="201"/>
      <c r="AL60" s="201"/>
      <c r="AM60" s="201"/>
      <c r="AN60" s="201"/>
      <c r="AO60" s="201"/>
      <c r="AP60" s="201"/>
      <c r="AQ60" s="201"/>
      <c r="AR60" s="201"/>
      <c r="AS60" s="201"/>
      <c r="AT60" s="201"/>
      <c r="AU60" s="201"/>
      <c r="AV60" s="201"/>
      <c r="AW60" s="201"/>
      <c r="AX60" s="201"/>
      <c r="AY60" s="201"/>
      <c r="AZ60" s="201"/>
      <c r="BA60" s="201"/>
      <c r="BB60" s="201"/>
      <c r="BC60" s="201"/>
      <c r="BD60" s="201"/>
    </row>
    <row r="61" ht="22.5" hidden="1" customHeight="1">
      <c r="A61" s="202" t="s">
        <v>26315</v>
      </c>
      <c r="B61" s="128" t="s">
        <v>31854</v>
      </c>
      <c r="C61" s="128" t="s">
        <v>32599</v>
      </c>
      <c r="D61" s="128" t="s">
        <v>26314</v>
      </c>
      <c r="E61" s="128" t="s">
        <v>16538</v>
      </c>
      <c r="F61" s="128" t="s">
        <v>26316</v>
      </c>
      <c r="G61" s="203">
        <v>50.0</v>
      </c>
      <c r="H61" s="129">
        <v>45943.0</v>
      </c>
      <c r="I61" s="204" t="s">
        <v>32582</v>
      </c>
      <c r="J61" s="205" t="s">
        <v>31858</v>
      </c>
      <c r="K61" s="206" t="s">
        <v>31858</v>
      </c>
      <c r="L61" s="205" t="s">
        <v>31858</v>
      </c>
      <c r="M61" s="206" t="s">
        <v>31858</v>
      </c>
      <c r="N61" s="206" t="s">
        <v>31858</v>
      </c>
      <c r="O61" s="206" t="s">
        <v>31858</v>
      </c>
      <c r="P61" s="206" t="s">
        <v>31858</v>
      </c>
      <c r="Q61" s="206" t="s">
        <v>31858</v>
      </c>
      <c r="R61" s="199"/>
      <c r="S61" s="200"/>
      <c r="T61" s="119"/>
      <c r="U61" s="119"/>
      <c r="V61" s="119"/>
      <c r="W61" s="200"/>
      <c r="X61" s="119"/>
      <c r="Y61" s="119"/>
      <c r="Z61" s="207" t="s">
        <v>32583</v>
      </c>
      <c r="AA61" s="139" t="str">
        <f t="shared" si="10"/>
        <v>False</v>
      </c>
      <c r="AB61" s="208"/>
      <c r="AC61" s="208"/>
      <c r="AD61" s="208"/>
      <c r="AE61" s="208"/>
      <c r="AF61" s="208"/>
      <c r="AG61" s="208"/>
      <c r="AH61" s="208"/>
      <c r="AI61" s="208"/>
      <c r="AJ61" s="208"/>
      <c r="AK61" s="208"/>
      <c r="AL61" s="208"/>
      <c r="AM61" s="208"/>
      <c r="AN61" s="208"/>
      <c r="AO61" s="208"/>
      <c r="AP61" s="208"/>
      <c r="AQ61" s="208"/>
      <c r="AR61" s="208"/>
      <c r="AS61" s="208"/>
      <c r="AT61" s="208"/>
      <c r="AU61" s="208"/>
      <c r="AV61" s="208"/>
      <c r="AW61" s="208"/>
      <c r="AX61" s="208"/>
      <c r="AY61" s="208"/>
      <c r="AZ61" s="208"/>
      <c r="BA61" s="208"/>
      <c r="BB61" s="208"/>
      <c r="BC61" s="208"/>
      <c r="BD61" s="209"/>
    </row>
    <row r="62" ht="22.5" hidden="1" customHeight="1">
      <c r="A62" s="119" t="s">
        <v>937</v>
      </c>
      <c r="B62" s="128" t="s">
        <v>31854</v>
      </c>
      <c r="C62" s="119" t="s">
        <v>32600</v>
      </c>
      <c r="D62" s="119" t="s">
        <v>936</v>
      </c>
      <c r="E62" s="119" t="s">
        <v>938</v>
      </c>
      <c r="F62" s="119" t="s">
        <v>940</v>
      </c>
      <c r="G62" s="116">
        <v>40.0</v>
      </c>
      <c r="H62" s="178">
        <v>45940.0</v>
      </c>
      <c r="I62" s="179" t="s">
        <v>32582</v>
      </c>
      <c r="J62" s="119" t="s">
        <v>31858</v>
      </c>
      <c r="K62" s="119" t="s">
        <v>31858</v>
      </c>
      <c r="L62" s="119" t="s">
        <v>31858</v>
      </c>
      <c r="M62" s="119" t="s">
        <v>31858</v>
      </c>
      <c r="N62" s="119" t="s">
        <v>31858</v>
      </c>
      <c r="O62" s="119" t="s">
        <v>31858</v>
      </c>
      <c r="P62" s="119" t="s">
        <v>31858</v>
      </c>
      <c r="Q62" s="119" t="s">
        <v>31858</v>
      </c>
      <c r="R62" s="199"/>
      <c r="S62" s="200"/>
      <c r="T62" s="119"/>
      <c r="U62" s="119"/>
      <c r="V62" s="119"/>
      <c r="W62" s="200"/>
      <c r="X62" s="119"/>
      <c r="Y62" s="119"/>
      <c r="Z62" s="139" t="s">
        <v>32583</v>
      </c>
      <c r="AA62" s="139" t="str">
        <f t="shared" si="10"/>
        <v>False</v>
      </c>
      <c r="AB62" s="201"/>
      <c r="AC62" s="201"/>
      <c r="AD62" s="201"/>
      <c r="AE62" s="201"/>
      <c r="AF62" s="201"/>
      <c r="AG62" s="201"/>
      <c r="AH62" s="201"/>
      <c r="AI62" s="201"/>
      <c r="AJ62" s="201"/>
      <c r="AK62" s="201"/>
      <c r="AL62" s="201"/>
      <c r="AM62" s="201"/>
      <c r="AN62" s="201"/>
      <c r="AO62" s="201"/>
      <c r="AP62" s="201"/>
      <c r="AQ62" s="201"/>
      <c r="AR62" s="201"/>
      <c r="AS62" s="201"/>
      <c r="AT62" s="201"/>
      <c r="AU62" s="201"/>
      <c r="AV62" s="201"/>
      <c r="AW62" s="201"/>
      <c r="AX62" s="201"/>
      <c r="AY62" s="201"/>
      <c r="AZ62" s="201"/>
      <c r="BA62" s="201"/>
      <c r="BB62" s="201"/>
      <c r="BC62" s="201"/>
      <c r="BD62" s="201"/>
    </row>
    <row r="63" ht="22.5" customHeight="1">
      <c r="A63" s="210">
        <f>COUNTA(Table5_2[Title])</f>
        <v>58</v>
      </c>
      <c r="B63" s="211"/>
      <c r="C63" s="211"/>
      <c r="D63" s="211"/>
      <c r="E63" s="211"/>
      <c r="F63" s="211"/>
      <c r="G63" s="212">
        <f>AVERAGE(Table5_2[Read Time])</f>
        <v>55.22727273</v>
      </c>
      <c r="H63" s="211">
        <f>COUNTA(Table5_2[Read Date])</f>
        <v>58</v>
      </c>
      <c r="I63" s="211" t="str">
        <f>CONCATENATE(CONCAT("R: " ,COUNTIF(Table5_2[Relevance],"=Relevant")), CONCAT(", SR: " ,COUNTIF(Table5_2[Relevance],"=Somewhat Relevant")),  CONCAT(", NR: " ,COUNTIF(Table5_2[Relevance],"=Not Relevant")))</f>
        <v>R: 22, SR: 18, NR: 18</v>
      </c>
      <c r="J63" s="211">
        <f>COUNTIF(Table5_2[IC7 - User],"=Yes")</f>
        <v>16</v>
      </c>
      <c r="K63" s="211">
        <f>COUNTIF(Table5_2[IC8 - User],"=Yes")</f>
        <v>14</v>
      </c>
      <c r="L63" s="211">
        <f>COUNTIF(Table5_2[IC9 - User],"=Yes")</f>
        <v>32</v>
      </c>
      <c r="M63" s="211">
        <f>COUNTIF(Table5_2[IC10 - User],"=Yes")</f>
        <v>29</v>
      </c>
      <c r="N63" s="211">
        <f>COUNTIF(Table5_2[IC11 - User],"=Yes")</f>
        <v>30</v>
      </c>
      <c r="O63" s="211">
        <f>COUNTIF(Table5_2[IC12 - User],"=Yes")</f>
        <v>23</v>
      </c>
      <c r="P63" s="211">
        <f>COUNTIF(Table5_2[IC13 - User],"=Yes")</f>
        <v>23</v>
      </c>
      <c r="Q63" s="211">
        <f>COUNTIF(Table5_2[IC14 - User],"=Yes")</f>
        <v>18</v>
      </c>
      <c r="R63" s="213">
        <f>COUNTIF('Final Screening'!$J$5:$J$62,"=Yes")</f>
        <v>16</v>
      </c>
      <c r="S63" s="213">
        <f>COUNTIF('Final Screening'!$K$5:$K$62,"=Yes")</f>
        <v>14</v>
      </c>
      <c r="T63" s="213">
        <f>COUNTIF('Final Screening'!$L$5:$L$62,"=Yes")</f>
        <v>32</v>
      </c>
      <c r="U63" s="213">
        <f>COUNTIF('Final Screening'!$M$5:$M$62,"=Yes")</f>
        <v>29</v>
      </c>
      <c r="V63" s="213">
        <f>COUNTIF('Final Screening'!$N$5:$N$62,"=Yes")</f>
        <v>30</v>
      </c>
      <c r="W63" s="213">
        <f>COUNTIF('Final Screening'!$O$5:$O$62,"=Yes")</f>
        <v>23</v>
      </c>
      <c r="X63" s="213">
        <f>COUNTIF('Final Screening'!$P$5:$P$62,"=Yes")</f>
        <v>23</v>
      </c>
      <c r="Y63" s="213">
        <f>COUNTIF('Final Screening'!$Q$5:$Q$62,"=Yes")</f>
        <v>18</v>
      </c>
      <c r="Z63" s="211">
        <f>COUNTIF(Table5_2[Decision],"=Included")</f>
        <v>40</v>
      </c>
      <c r="AA63" s="211">
        <f>COUNTIF(Table5_2[Complete],"'True")</f>
        <v>40</v>
      </c>
      <c r="AB63" s="211"/>
      <c r="AC63" s="211"/>
      <c r="AD63" s="211"/>
      <c r="AE63" s="211"/>
      <c r="AF63" s="211"/>
      <c r="AG63" s="211"/>
      <c r="AH63" s="211"/>
      <c r="AI63" s="211"/>
      <c r="AJ63" s="211"/>
      <c r="AK63" s="211"/>
      <c r="AL63" s="211"/>
      <c r="AM63" s="211"/>
      <c r="AN63" s="211"/>
      <c r="AO63" s="211"/>
      <c r="AP63" s="211"/>
      <c r="AQ63" s="211"/>
      <c r="AR63" s="211"/>
      <c r="AS63" s="211"/>
      <c r="AT63" s="211"/>
      <c r="AU63" s="211"/>
      <c r="AV63" s="211"/>
      <c r="AW63" s="211"/>
      <c r="AX63" s="211"/>
      <c r="AY63" s="211"/>
      <c r="AZ63" s="211"/>
      <c r="BA63" s="211"/>
      <c r="BB63" s="211"/>
      <c r="BC63" s="211"/>
      <c r="BD63" s="211"/>
    </row>
  </sheetData>
  <mergeCells count="21">
    <mergeCell ref="AH2:AK2"/>
    <mergeCell ref="AL2:AO2"/>
    <mergeCell ref="AP2:AS2"/>
    <mergeCell ref="AT2:AV2"/>
    <mergeCell ref="AW2:AZ2"/>
    <mergeCell ref="BA2:BD2"/>
    <mergeCell ref="AB3:AD3"/>
    <mergeCell ref="AE3:AG3"/>
    <mergeCell ref="AH3:AK3"/>
    <mergeCell ref="AL3:AO3"/>
    <mergeCell ref="AP3:AS3"/>
    <mergeCell ref="AT3:AV3"/>
    <mergeCell ref="AW3:AZ3"/>
    <mergeCell ref="BA3:BD3"/>
    <mergeCell ref="J1:Q3"/>
    <mergeCell ref="R1:Y3"/>
    <mergeCell ref="AB1:AG1"/>
    <mergeCell ref="AH1:AS1"/>
    <mergeCell ref="AT1:BD1"/>
    <mergeCell ref="AB2:AD2"/>
    <mergeCell ref="AE2:AG2"/>
  </mergeCells>
  <conditionalFormatting sqref="J5:AA62">
    <cfRule type="containsText" dxfId="7" priority="1" operator="containsText" text="Yes">
      <formula>NOT(ISERROR(SEARCH(("Yes"),(J5))))</formula>
    </cfRule>
  </conditionalFormatting>
  <conditionalFormatting sqref="J5:AA62">
    <cfRule type="containsText" dxfId="8" priority="2" operator="containsText" text="No">
      <formula>NOT(ISERROR(SEARCH(("No"),(J5))))</formula>
    </cfRule>
  </conditionalFormatting>
  <conditionalFormatting sqref="Z5:AA62">
    <cfRule type="containsText" dxfId="7" priority="3" operator="containsText" text="Included">
      <formula>NOT(ISERROR(SEARCH(("Included"),(Z5))))</formula>
    </cfRule>
  </conditionalFormatting>
  <conditionalFormatting sqref="Z5:AA62">
    <cfRule type="containsText" dxfId="8" priority="4" operator="containsText" text="Excluded">
      <formula>NOT(ISERROR(SEARCH(("Excluded"),(Z5))))</formula>
    </cfRule>
  </conditionalFormatting>
  <conditionalFormatting sqref="AB5:AB23 AC5:BD62 AA24 AB25:AB62">
    <cfRule type="cellIs" dxfId="8" priority="5" operator="equal">
      <formula>"N/A"</formula>
    </cfRule>
  </conditionalFormatting>
  <conditionalFormatting sqref="AA5:AA62">
    <cfRule type="containsText" dxfId="7" priority="6" operator="containsText" text="True">
      <formula>NOT(ISERROR(SEARCH(("True"),(AA5))))</formula>
    </cfRule>
  </conditionalFormatting>
  <conditionalFormatting sqref="AA5:AA62">
    <cfRule type="containsText" dxfId="8" priority="7" operator="containsText" text="False">
      <formula>NOT(ISERROR(SEARCH(("False"),(AA5))))</formula>
    </cfRule>
  </conditionalFormatting>
  <conditionalFormatting sqref="R5:Y44">
    <cfRule type="colorScale" priority="8">
      <colorScale>
        <cfvo type="min"/>
        <cfvo type="percentile" val="50"/>
        <cfvo type="max"/>
        <color rgb="FFE67C73"/>
        <color rgb="FFFFD666"/>
        <color rgb="FF57BB8A"/>
      </colorScale>
    </cfRule>
  </conditionalFormatting>
  <dataValidations>
    <dataValidation type="custom" allowBlank="1" showDropDown="1" sqref="H5:H62">
      <formula1>OR(NOT(ISERROR(DATEVALUE(H5))), AND(ISNUMBER(H5), LEFT(CELL("format", H5))="D"))</formula1>
    </dataValidation>
    <dataValidation type="list" allowBlank="1" sqref="I5:I62">
      <formula1>"Relevant,Somewhat Relevant,Not Relevant"</formula1>
    </dataValidation>
    <dataValidation type="custom" allowBlank="1" showDropDown="1" sqref="G5:G62 R5:S62 W5:W62">
      <formula1>AND(ISNUMBER(G5),(NOT(OR(NOT(ISERROR(DATEVALUE(G5))), AND(ISNUMBER(G5), LEFT(CELL("format", G5))="D")))))</formula1>
    </dataValidation>
    <dataValidation allowBlank="1" showDropDown="1" sqref="F5:F62"/>
  </dataValidations>
  <printOptions gridLines="1" horizontalCentered="1"/>
  <pageMargins bottom="0.75" footer="0.0" header="0.0" left="0.7" right="0.7" top="0.75"/>
  <pageSetup fitToHeight="0" cellComments="atEnd" orientation="landscape" pageOrder="overThenDown"/>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43.0"/>
    <col customWidth="1" min="2" max="4" width="12.43"/>
    <col customWidth="1" min="5" max="5" width="10.0"/>
    <col customWidth="1" min="6" max="6" width="13.14"/>
    <col customWidth="1" min="7" max="7" width="20.43"/>
    <col customWidth="1" min="8" max="8" width="13.14"/>
    <col customWidth="1" min="9" max="9" width="20.43"/>
    <col customWidth="1" min="10" max="10" width="13.14"/>
    <col customWidth="1" min="11" max="14" width="20.43"/>
    <col customWidth="1" min="15" max="15" width="35.14"/>
    <col customWidth="1" min="16" max="16" width="22.86"/>
    <col customWidth="1" min="17" max="17" width="43.0"/>
    <col customWidth="1" min="18" max="18" width="14.86"/>
    <col customWidth="1" min="19" max="19" width="43.0"/>
    <col customWidth="1" min="20" max="20" width="20.14"/>
    <col customWidth="1" min="21" max="21" width="43.0"/>
    <col customWidth="1" min="23" max="23" width="37.71"/>
    <col customWidth="1" min="24" max="25" width="43.0"/>
    <col customWidth="1" min="26" max="26" width="22.86"/>
    <col customWidth="1" min="27" max="27" width="22.29"/>
    <col customWidth="1" min="28" max="28" width="19.71"/>
  </cols>
  <sheetData>
    <row r="1" ht="22.5" customHeight="1">
      <c r="A1" s="69" t="s">
        <v>31531</v>
      </c>
      <c r="B1" s="69" t="s">
        <v>32601</v>
      </c>
      <c r="C1" s="69" t="s">
        <v>32602</v>
      </c>
      <c r="D1" s="69" t="s">
        <v>32603</v>
      </c>
      <c r="E1" s="69" t="s">
        <v>29299</v>
      </c>
      <c r="F1" s="69" t="s">
        <v>32604</v>
      </c>
      <c r="G1" s="69" t="s">
        <v>32605</v>
      </c>
      <c r="H1" s="69" t="s">
        <v>32606</v>
      </c>
      <c r="I1" s="69" t="s">
        <v>32607</v>
      </c>
      <c r="J1" s="69" t="s">
        <v>32608</v>
      </c>
      <c r="K1" s="69" t="s">
        <v>32609</v>
      </c>
      <c r="L1" s="85" t="s">
        <v>32610</v>
      </c>
      <c r="M1" s="69" t="s">
        <v>32611</v>
      </c>
      <c r="N1" s="69" t="s">
        <v>32612</v>
      </c>
      <c r="O1" s="69" t="s">
        <v>31533</v>
      </c>
      <c r="P1" s="69" t="s">
        <v>31532</v>
      </c>
      <c r="Q1" s="69" t="s">
        <v>31534</v>
      </c>
      <c r="R1" s="69" t="s">
        <v>29305</v>
      </c>
      <c r="S1" s="69" t="s">
        <v>31535</v>
      </c>
      <c r="T1" s="69" t="s">
        <v>31540</v>
      </c>
      <c r="U1" s="69" t="s">
        <v>31542</v>
      </c>
      <c r="V1" s="69" t="s">
        <v>31536</v>
      </c>
      <c r="W1" s="69" t="s">
        <v>31537</v>
      </c>
      <c r="X1" s="69" t="s">
        <v>31538</v>
      </c>
      <c r="Y1" s="69" t="s">
        <v>31539</v>
      </c>
      <c r="Z1" s="69" t="s">
        <v>29307</v>
      </c>
      <c r="AA1" s="69" t="s">
        <v>29308</v>
      </c>
      <c r="AB1" s="69" t="s">
        <v>29306</v>
      </c>
    </row>
    <row r="2" ht="22.5" customHeight="1">
      <c r="A2" s="70" t="s">
        <v>887</v>
      </c>
      <c r="B2" s="70" t="str">
        <f>IFERROR(__xludf.DUMMYFUNCTION("IF(REGEXMATCH(C2, ""IC""), ""Included"", ""Excluded"")"),"Included")</f>
        <v>Included</v>
      </c>
      <c r="C2" s="70" t="s">
        <v>44</v>
      </c>
      <c r="D2" s="70" t="str">
        <f t="shared" ref="D2:D10" si="1">IF(E2&gt;0, "Included", "Excluded")</f>
        <v>Included</v>
      </c>
      <c r="E2" s="90">
        <v>3.0</v>
      </c>
      <c r="F2" s="90">
        <v>1.0</v>
      </c>
      <c r="G2" s="70" t="s">
        <v>28</v>
      </c>
      <c r="H2" s="90">
        <v>1.0</v>
      </c>
      <c r="I2" s="70" t="s">
        <v>31520</v>
      </c>
      <c r="J2" s="90">
        <v>1.0</v>
      </c>
      <c r="K2" s="70" t="s">
        <v>31520</v>
      </c>
      <c r="L2" s="90" t="str">
        <f t="shared" ref="L2:L404" si="2">IF(SUM(M2,N2)&gt;0, "Included", "Excluded")</f>
        <v>Included</v>
      </c>
      <c r="M2" s="90">
        <v>1.0</v>
      </c>
      <c r="N2" s="90">
        <v>1.0</v>
      </c>
      <c r="O2" s="70" t="s">
        <v>890</v>
      </c>
      <c r="P2" s="70" t="s">
        <v>31543</v>
      </c>
      <c r="Q2" s="70" t="s">
        <v>31718</v>
      </c>
      <c r="R2" s="82" t="s">
        <v>32613</v>
      </c>
      <c r="S2" s="70" t="s">
        <v>29318</v>
      </c>
      <c r="T2" s="70" t="s">
        <v>889</v>
      </c>
      <c r="U2" s="70" t="s">
        <v>31719</v>
      </c>
      <c r="V2" s="82" t="s">
        <v>32614</v>
      </c>
      <c r="W2" s="70" t="s">
        <v>387</v>
      </c>
      <c r="X2" s="70" t="s">
        <v>893</v>
      </c>
      <c r="AA2" s="82" t="s">
        <v>32615</v>
      </c>
      <c r="AB2" s="82" t="s">
        <v>32616</v>
      </c>
    </row>
    <row r="3" ht="22.5" customHeight="1">
      <c r="A3" s="70" t="s">
        <v>3682</v>
      </c>
      <c r="B3" s="70" t="str">
        <f>IFERROR(__xludf.DUMMYFUNCTION("IF(REGEXMATCH(C3, ""IC""), ""Included"", ""Excluded"")"),"Included")</f>
        <v>Included</v>
      </c>
      <c r="C3" s="70" t="s">
        <v>44</v>
      </c>
      <c r="D3" s="70" t="str">
        <f t="shared" si="1"/>
        <v>Included</v>
      </c>
      <c r="E3" s="90">
        <v>3.0</v>
      </c>
      <c r="F3" s="90">
        <v>1.0</v>
      </c>
      <c r="G3" s="70" t="s">
        <v>32</v>
      </c>
      <c r="H3" s="90">
        <v>1.0</v>
      </c>
      <c r="I3" s="70" t="s">
        <v>31520</v>
      </c>
      <c r="J3" s="90">
        <v>1.0</v>
      </c>
      <c r="K3" s="70" t="s">
        <v>31520</v>
      </c>
      <c r="L3" s="90" t="str">
        <f t="shared" si="2"/>
        <v>Included</v>
      </c>
      <c r="M3" s="90">
        <v>1.0</v>
      </c>
      <c r="N3" s="90">
        <v>1.0</v>
      </c>
      <c r="O3" s="70" t="s">
        <v>3683</v>
      </c>
      <c r="P3" s="70" t="s">
        <v>31543</v>
      </c>
      <c r="Q3" s="70" t="s">
        <v>31715</v>
      </c>
      <c r="R3" s="82" t="s">
        <v>32617</v>
      </c>
      <c r="S3" s="70" t="s">
        <v>3655</v>
      </c>
      <c r="T3" s="70" t="s">
        <v>3656</v>
      </c>
      <c r="U3" s="70" t="s">
        <v>31717</v>
      </c>
      <c r="V3" s="82" t="s">
        <v>3685</v>
      </c>
      <c r="X3" s="70" t="s">
        <v>29469</v>
      </c>
      <c r="Y3" s="70" t="s">
        <v>31716</v>
      </c>
      <c r="AA3" s="82" t="s">
        <v>32618</v>
      </c>
      <c r="AB3" s="82" t="s">
        <v>32616</v>
      </c>
    </row>
    <row r="4" ht="22.5" customHeight="1">
      <c r="A4" s="70" t="s">
        <v>548</v>
      </c>
      <c r="B4" s="70" t="str">
        <f>IFERROR(__xludf.DUMMYFUNCTION("IF(REGEXMATCH(C4, ""IC""), ""Included"", ""Excluded"")"),"Included")</f>
        <v>Included</v>
      </c>
      <c r="C4" s="70" t="s">
        <v>44</v>
      </c>
      <c r="D4" s="70" t="str">
        <f t="shared" si="1"/>
        <v>Included</v>
      </c>
      <c r="E4" s="90">
        <v>2.0</v>
      </c>
      <c r="F4" s="90">
        <v>0.0</v>
      </c>
      <c r="G4" s="70" t="s">
        <v>30</v>
      </c>
      <c r="H4" s="90">
        <v>1.0</v>
      </c>
      <c r="I4" s="70" t="s">
        <v>31520</v>
      </c>
      <c r="J4" s="90">
        <v>1.0</v>
      </c>
      <c r="K4" s="70" t="s">
        <v>31520</v>
      </c>
      <c r="L4" s="90" t="str">
        <f t="shared" si="2"/>
        <v>Included</v>
      </c>
      <c r="M4" s="90">
        <v>1.0</v>
      </c>
      <c r="N4" s="90">
        <v>1.0</v>
      </c>
      <c r="O4" s="70" t="s">
        <v>551</v>
      </c>
      <c r="P4" s="70" t="s">
        <v>31543</v>
      </c>
      <c r="Q4" s="70" t="s">
        <v>31759</v>
      </c>
      <c r="R4" s="82" t="s">
        <v>32619</v>
      </c>
      <c r="S4" s="70" t="s">
        <v>549</v>
      </c>
      <c r="T4" s="70" t="s">
        <v>550</v>
      </c>
      <c r="U4" s="70" t="s">
        <v>31761</v>
      </c>
      <c r="V4" s="82" t="s">
        <v>32620</v>
      </c>
      <c r="W4" s="70" t="s">
        <v>555</v>
      </c>
      <c r="X4" s="70" t="s">
        <v>29426</v>
      </c>
      <c r="Y4" s="70" t="s">
        <v>31760</v>
      </c>
      <c r="AA4" s="82" t="s">
        <v>32621</v>
      </c>
      <c r="AB4" s="82" t="s">
        <v>32616</v>
      </c>
    </row>
    <row r="5" ht="22.5" customHeight="1">
      <c r="A5" s="70" t="s">
        <v>831</v>
      </c>
      <c r="B5" s="70" t="str">
        <f>IFERROR(__xludf.DUMMYFUNCTION("IF(REGEXMATCH(C5, ""IC""), ""Included"", ""Excluded"")"),"Excluded")</f>
        <v>Excluded</v>
      </c>
      <c r="C5" s="70" t="s">
        <v>93</v>
      </c>
      <c r="D5" s="70" t="str">
        <f t="shared" si="1"/>
        <v>Included</v>
      </c>
      <c r="E5" s="90">
        <v>3.0</v>
      </c>
      <c r="F5" s="90">
        <v>1.0</v>
      </c>
      <c r="G5" s="70" t="s">
        <v>28</v>
      </c>
      <c r="H5" s="90">
        <v>1.0</v>
      </c>
      <c r="I5" s="70" t="s">
        <v>31520</v>
      </c>
      <c r="J5" s="90">
        <v>1.0</v>
      </c>
      <c r="K5" s="70" t="s">
        <v>31520</v>
      </c>
      <c r="L5" s="90" t="str">
        <f t="shared" si="2"/>
        <v>Included</v>
      </c>
      <c r="M5" s="90">
        <v>1.0</v>
      </c>
      <c r="N5" s="90">
        <v>1.0</v>
      </c>
      <c r="O5" s="70" t="s">
        <v>834</v>
      </c>
      <c r="P5" s="70" t="s">
        <v>31543</v>
      </c>
      <c r="Q5" s="70" t="s">
        <v>31700</v>
      </c>
      <c r="R5" s="82" t="s">
        <v>32622</v>
      </c>
      <c r="S5" s="70" t="s">
        <v>832</v>
      </c>
      <c r="T5" s="70" t="s">
        <v>833</v>
      </c>
      <c r="U5" s="70" t="s">
        <v>31702</v>
      </c>
      <c r="V5" s="82" t="s">
        <v>32623</v>
      </c>
      <c r="W5" s="70" t="s">
        <v>401</v>
      </c>
      <c r="X5" s="70" t="s">
        <v>839</v>
      </c>
      <c r="Y5" s="70" t="s">
        <v>31701</v>
      </c>
      <c r="AA5" s="82" t="s">
        <v>32624</v>
      </c>
      <c r="AB5" s="82" t="s">
        <v>32616</v>
      </c>
    </row>
    <row r="6" ht="22.5" customHeight="1">
      <c r="A6" s="70" t="s">
        <v>762</v>
      </c>
      <c r="B6" s="70" t="str">
        <f>IFERROR(__xludf.DUMMYFUNCTION("IF(REGEXMATCH(C6, ""IC""), ""Included"", ""Excluded"")"),"Excluded")</f>
        <v>Excluded</v>
      </c>
      <c r="C6" s="70" t="s">
        <v>93</v>
      </c>
      <c r="D6" s="70" t="str">
        <f t="shared" si="1"/>
        <v>Included</v>
      </c>
      <c r="E6" s="90">
        <v>3.0</v>
      </c>
      <c r="F6" s="90">
        <v>1.0</v>
      </c>
      <c r="G6" s="70" t="s">
        <v>28</v>
      </c>
      <c r="H6" s="90">
        <v>1.0</v>
      </c>
      <c r="I6" s="70" t="s">
        <v>31520</v>
      </c>
      <c r="J6" s="90">
        <v>1.0</v>
      </c>
      <c r="K6" s="70" t="s">
        <v>31520</v>
      </c>
      <c r="L6" s="90" t="str">
        <f t="shared" si="2"/>
        <v>Included</v>
      </c>
      <c r="M6" s="90">
        <v>1.0</v>
      </c>
      <c r="N6" s="90">
        <v>1.0</v>
      </c>
      <c r="O6" s="70" t="s">
        <v>765</v>
      </c>
      <c r="P6" s="70" t="s">
        <v>31543</v>
      </c>
      <c r="Q6" s="70" t="s">
        <v>31768</v>
      </c>
      <c r="R6" s="82" t="s">
        <v>32625</v>
      </c>
      <c r="S6" s="70" t="s">
        <v>763</v>
      </c>
      <c r="T6" s="70" t="s">
        <v>764</v>
      </c>
      <c r="U6" s="70" t="s">
        <v>31770</v>
      </c>
      <c r="V6" s="82" t="s">
        <v>32614</v>
      </c>
      <c r="W6" s="70" t="s">
        <v>401</v>
      </c>
      <c r="X6" s="70" t="s">
        <v>770</v>
      </c>
      <c r="Y6" s="70" t="s">
        <v>31769</v>
      </c>
      <c r="AA6" s="82" t="s">
        <v>32626</v>
      </c>
      <c r="AB6" s="82" t="s">
        <v>32616</v>
      </c>
    </row>
    <row r="7" ht="22.5" customHeight="1">
      <c r="A7" s="70" t="s">
        <v>477</v>
      </c>
      <c r="B7" s="70" t="str">
        <f>IFERROR(__xludf.DUMMYFUNCTION("IF(REGEXMATCH(C7, ""IC""), ""Included"", ""Excluded"")"),"Excluded")</f>
        <v>Excluded</v>
      </c>
      <c r="C7" s="70" t="s">
        <v>93</v>
      </c>
      <c r="D7" s="70" t="str">
        <f t="shared" si="1"/>
        <v>Included</v>
      </c>
      <c r="E7" s="90">
        <v>2.0</v>
      </c>
      <c r="F7" s="90">
        <v>0.0</v>
      </c>
      <c r="G7" s="70" t="s">
        <v>30</v>
      </c>
      <c r="H7" s="90">
        <v>1.0</v>
      </c>
      <c r="I7" s="70" t="s">
        <v>31520</v>
      </c>
      <c r="J7" s="90">
        <v>1.0</v>
      </c>
      <c r="K7" s="70" t="s">
        <v>31520</v>
      </c>
      <c r="L7" s="90" t="str">
        <f t="shared" si="2"/>
        <v>Included</v>
      </c>
      <c r="M7" s="90">
        <v>1.0</v>
      </c>
      <c r="N7" s="90">
        <v>1.0</v>
      </c>
      <c r="O7" s="70" t="s">
        <v>480</v>
      </c>
      <c r="P7" s="70" t="s">
        <v>31543</v>
      </c>
      <c r="Q7" s="70" t="s">
        <v>31750</v>
      </c>
      <c r="R7" s="82" t="s">
        <v>32615</v>
      </c>
      <c r="S7" s="70" t="s">
        <v>29319</v>
      </c>
      <c r="T7" s="70" t="s">
        <v>479</v>
      </c>
      <c r="U7" s="70" t="s">
        <v>31752</v>
      </c>
      <c r="V7" s="82" t="s">
        <v>32620</v>
      </c>
      <c r="W7" s="70" t="s">
        <v>387</v>
      </c>
      <c r="X7" s="70" t="s">
        <v>484</v>
      </c>
      <c r="Y7" s="70" t="s">
        <v>31751</v>
      </c>
      <c r="AA7" s="82" t="s">
        <v>32627</v>
      </c>
      <c r="AB7" s="82" t="s">
        <v>32616</v>
      </c>
    </row>
    <row r="8" ht="22.5" customHeight="1">
      <c r="A8" s="70" t="s">
        <v>1450</v>
      </c>
      <c r="B8" s="70" t="str">
        <f>IFERROR(__xludf.DUMMYFUNCTION("IF(REGEXMATCH(C8, ""IC""), ""Included"", ""Excluded"")"),"Excluded")</f>
        <v>Excluded</v>
      </c>
      <c r="C8" s="70" t="s">
        <v>93</v>
      </c>
      <c r="D8" s="70" t="str">
        <f t="shared" si="1"/>
        <v>Included</v>
      </c>
      <c r="E8" s="90">
        <v>2.0</v>
      </c>
      <c r="F8" s="90">
        <v>0.0</v>
      </c>
      <c r="G8" s="70" t="s">
        <v>30</v>
      </c>
      <c r="H8" s="90">
        <v>1.0</v>
      </c>
      <c r="I8" s="70" t="s">
        <v>31520</v>
      </c>
      <c r="J8" s="90">
        <v>1.0</v>
      </c>
      <c r="K8" s="70" t="s">
        <v>31520</v>
      </c>
      <c r="L8" s="90" t="str">
        <f t="shared" si="2"/>
        <v>Included</v>
      </c>
      <c r="M8" s="90">
        <v>1.0</v>
      </c>
      <c r="N8" s="90">
        <v>1.0</v>
      </c>
      <c r="O8" s="70" t="s">
        <v>1453</v>
      </c>
      <c r="P8" s="70" t="s">
        <v>31543</v>
      </c>
      <c r="Q8" s="70" t="s">
        <v>31782</v>
      </c>
      <c r="R8" s="82" t="s">
        <v>32628</v>
      </c>
      <c r="S8" s="70" t="s">
        <v>1451</v>
      </c>
      <c r="T8" s="70" t="s">
        <v>1452</v>
      </c>
      <c r="U8" s="70" t="s">
        <v>31784</v>
      </c>
      <c r="V8" s="82" t="s">
        <v>32620</v>
      </c>
      <c r="W8" s="70" t="s">
        <v>401</v>
      </c>
      <c r="X8" s="70" t="s">
        <v>29464</v>
      </c>
      <c r="Y8" s="70" t="s">
        <v>31783</v>
      </c>
      <c r="AA8" s="82" t="s">
        <v>32629</v>
      </c>
      <c r="AB8" s="82" t="s">
        <v>32616</v>
      </c>
    </row>
    <row r="9" ht="22.5" customHeight="1">
      <c r="A9" s="70" t="s">
        <v>918</v>
      </c>
      <c r="B9" s="70" t="str">
        <f>IFERROR(__xludf.DUMMYFUNCTION("IF(REGEXMATCH(C9, ""IC""), ""Included"", ""Excluded"")"),"Excluded")</f>
        <v>Excluded</v>
      </c>
      <c r="C9" s="70" t="s">
        <v>93</v>
      </c>
      <c r="D9" s="70" t="str">
        <f t="shared" si="1"/>
        <v>Included</v>
      </c>
      <c r="E9" s="90">
        <v>1.0</v>
      </c>
      <c r="F9" s="90">
        <v>1.0</v>
      </c>
      <c r="G9" s="70" t="s">
        <v>32</v>
      </c>
      <c r="H9" s="90">
        <v>0.0</v>
      </c>
      <c r="I9" s="70" t="s">
        <v>31527</v>
      </c>
      <c r="J9" s="90">
        <v>0.0</v>
      </c>
      <c r="K9" s="70" t="s">
        <v>31527</v>
      </c>
      <c r="L9" s="90" t="str">
        <f t="shared" si="2"/>
        <v>Included</v>
      </c>
      <c r="M9" s="90">
        <v>1.0</v>
      </c>
      <c r="N9" s="90">
        <v>1.0</v>
      </c>
      <c r="O9" s="70" t="s">
        <v>919</v>
      </c>
      <c r="P9" s="70" t="s">
        <v>31543</v>
      </c>
      <c r="Q9" s="70" t="s">
        <v>32630</v>
      </c>
      <c r="R9" s="82" t="s">
        <v>32618</v>
      </c>
      <c r="S9" s="70" t="s">
        <v>549</v>
      </c>
      <c r="T9" s="70" t="s">
        <v>550</v>
      </c>
      <c r="U9" s="70" t="s">
        <v>32631</v>
      </c>
      <c r="V9" s="82" t="s">
        <v>32620</v>
      </c>
      <c r="W9" s="70" t="s">
        <v>555</v>
      </c>
      <c r="X9" s="70" t="s">
        <v>29428</v>
      </c>
      <c r="AA9" s="82" t="s">
        <v>32632</v>
      </c>
      <c r="AB9" s="82" t="s">
        <v>32616</v>
      </c>
    </row>
    <row r="10" ht="22.5" customHeight="1">
      <c r="A10" s="70" t="s">
        <v>3645</v>
      </c>
      <c r="B10" s="70" t="str">
        <f>IFERROR(__xludf.DUMMYFUNCTION("IF(REGEXMATCH(C10, ""IC""), ""Included"", ""Excluded"")"),"Excluded")</f>
        <v>Excluded</v>
      </c>
      <c r="C10" s="70" t="s">
        <v>36</v>
      </c>
      <c r="D10" s="70" t="str">
        <f t="shared" si="1"/>
        <v>Included</v>
      </c>
      <c r="E10" s="90">
        <v>1.0</v>
      </c>
      <c r="F10" s="90">
        <v>1.0</v>
      </c>
      <c r="G10" s="70" t="s">
        <v>28</v>
      </c>
      <c r="H10" s="90">
        <v>0.0</v>
      </c>
      <c r="I10" s="70" t="s">
        <v>31527</v>
      </c>
      <c r="J10" s="90">
        <v>0.0</v>
      </c>
      <c r="K10" s="70" t="s">
        <v>31527</v>
      </c>
      <c r="L10" s="90" t="str">
        <f t="shared" si="2"/>
        <v>Included</v>
      </c>
      <c r="M10" s="90">
        <v>1.0</v>
      </c>
      <c r="N10" s="90">
        <v>1.0</v>
      </c>
      <c r="O10" s="70" t="s">
        <v>3646</v>
      </c>
      <c r="P10" s="70" t="s">
        <v>31543</v>
      </c>
      <c r="Q10" s="70" t="s">
        <v>32633</v>
      </c>
      <c r="R10" s="82" t="s">
        <v>32627</v>
      </c>
      <c r="S10" s="70" t="s">
        <v>3635</v>
      </c>
      <c r="T10" s="70" t="s">
        <v>3636</v>
      </c>
      <c r="U10" s="70" t="s">
        <v>32634</v>
      </c>
      <c r="V10" s="82" t="s">
        <v>3648</v>
      </c>
      <c r="X10" s="70" t="s">
        <v>29461</v>
      </c>
      <c r="Y10" s="70" t="s">
        <v>32635</v>
      </c>
      <c r="AA10" s="82" t="s">
        <v>32613</v>
      </c>
      <c r="AB10" s="82" t="s">
        <v>32616</v>
      </c>
    </row>
    <row r="11" ht="22.5" customHeight="1">
      <c r="A11" s="70" t="s">
        <v>538</v>
      </c>
      <c r="B11" s="70"/>
      <c r="C11" s="70"/>
      <c r="D11" s="70" t="s">
        <v>32583</v>
      </c>
      <c r="E11" s="90">
        <v>3.0</v>
      </c>
      <c r="F11" s="90">
        <v>1.0</v>
      </c>
      <c r="G11" s="70" t="s">
        <v>32636</v>
      </c>
      <c r="H11" s="90">
        <v>1.0</v>
      </c>
      <c r="I11" s="70" t="s">
        <v>31520</v>
      </c>
      <c r="J11" s="90">
        <v>1.0</v>
      </c>
      <c r="K11" s="70" t="s">
        <v>31520</v>
      </c>
      <c r="L11" s="90" t="str">
        <f t="shared" si="2"/>
        <v>Included</v>
      </c>
      <c r="M11" s="90">
        <v>1.0</v>
      </c>
      <c r="N11" s="90">
        <v>1.0</v>
      </c>
      <c r="O11" s="70" t="s">
        <v>541</v>
      </c>
      <c r="P11" s="70" t="s">
        <v>31543</v>
      </c>
      <c r="Q11" s="70" t="s">
        <v>31650</v>
      </c>
      <c r="R11" s="82" t="s">
        <v>32624</v>
      </c>
      <c r="S11" s="70" t="s">
        <v>29320</v>
      </c>
      <c r="T11" s="70" t="s">
        <v>540</v>
      </c>
      <c r="U11" s="70" t="s">
        <v>31651</v>
      </c>
      <c r="V11" s="82" t="s">
        <v>32620</v>
      </c>
      <c r="W11" s="70" t="s">
        <v>387</v>
      </c>
      <c r="X11" s="70" t="s">
        <v>545</v>
      </c>
      <c r="AA11" s="82" t="s">
        <v>32637</v>
      </c>
      <c r="AB11" s="82" t="s">
        <v>32637</v>
      </c>
    </row>
    <row r="12" ht="22.5" customHeight="1">
      <c r="A12" s="70" t="s">
        <v>937</v>
      </c>
      <c r="B12" s="70"/>
      <c r="C12" s="70"/>
      <c r="D12" s="70" t="s">
        <v>32583</v>
      </c>
      <c r="E12" s="90">
        <v>3.0</v>
      </c>
      <c r="F12" s="90">
        <v>1.0</v>
      </c>
      <c r="G12" s="70" t="s">
        <v>32636</v>
      </c>
      <c r="H12" s="90">
        <v>1.0</v>
      </c>
      <c r="I12" s="70" t="s">
        <v>31520</v>
      </c>
      <c r="J12" s="90">
        <v>1.0</v>
      </c>
      <c r="K12" s="70" t="s">
        <v>31520</v>
      </c>
      <c r="L12" s="90" t="str">
        <f t="shared" si="2"/>
        <v>Included</v>
      </c>
      <c r="M12" s="90">
        <v>1.0</v>
      </c>
      <c r="N12" s="90">
        <v>1.0</v>
      </c>
      <c r="O12" s="70" t="s">
        <v>940</v>
      </c>
      <c r="P12" s="70" t="s">
        <v>31543</v>
      </c>
      <c r="Q12" s="70" t="s">
        <v>31617</v>
      </c>
      <c r="R12" s="82" t="s">
        <v>32638</v>
      </c>
      <c r="S12" s="70" t="s">
        <v>938</v>
      </c>
      <c r="T12" s="70" t="s">
        <v>939</v>
      </c>
      <c r="U12" s="70" t="s">
        <v>31619</v>
      </c>
      <c r="V12" s="82" t="s">
        <v>32614</v>
      </c>
      <c r="W12" s="70" t="s">
        <v>401</v>
      </c>
      <c r="X12" s="70" t="s">
        <v>944</v>
      </c>
      <c r="Y12" s="70" t="s">
        <v>31618</v>
      </c>
      <c r="AA12" s="82" t="s">
        <v>32639</v>
      </c>
      <c r="AB12" s="82" t="s">
        <v>32616</v>
      </c>
    </row>
    <row r="13" ht="22.5" customHeight="1">
      <c r="A13" s="70" t="s">
        <v>3672</v>
      </c>
      <c r="B13" s="70"/>
      <c r="C13" s="70"/>
      <c r="D13" s="70" t="s">
        <v>32583</v>
      </c>
      <c r="E13" s="90">
        <v>3.0</v>
      </c>
      <c r="F13" s="90">
        <v>1.0</v>
      </c>
      <c r="G13" s="70" t="s">
        <v>32636</v>
      </c>
      <c r="H13" s="90">
        <v>1.0</v>
      </c>
      <c r="I13" s="70" t="s">
        <v>31520</v>
      </c>
      <c r="J13" s="90">
        <v>1.0</v>
      </c>
      <c r="K13" s="70" t="s">
        <v>31520</v>
      </c>
      <c r="L13" s="90" t="str">
        <f t="shared" si="2"/>
        <v>Included</v>
      </c>
      <c r="M13" s="90">
        <v>1.0</v>
      </c>
      <c r="N13" s="90">
        <v>1.0</v>
      </c>
      <c r="O13" s="70" t="s">
        <v>3675</v>
      </c>
      <c r="P13" s="70" t="s">
        <v>31543</v>
      </c>
      <c r="Q13" s="70" t="s">
        <v>31544</v>
      </c>
      <c r="R13" s="82" t="s">
        <v>32640</v>
      </c>
      <c r="S13" s="70" t="s">
        <v>3673</v>
      </c>
      <c r="T13" s="70" t="s">
        <v>3674</v>
      </c>
      <c r="U13" s="70" t="s">
        <v>31546</v>
      </c>
      <c r="V13" s="82" t="s">
        <v>3677</v>
      </c>
      <c r="X13" s="70" t="s">
        <v>3678</v>
      </c>
      <c r="Y13" s="70" t="s">
        <v>31545</v>
      </c>
      <c r="AA13" s="82" t="s">
        <v>32619</v>
      </c>
      <c r="AB13" s="82" t="s">
        <v>32616</v>
      </c>
    </row>
    <row r="14" ht="22.5" customHeight="1">
      <c r="A14" s="70" t="s">
        <v>1272</v>
      </c>
      <c r="B14" s="70"/>
      <c r="C14" s="70"/>
      <c r="D14" s="70" t="s">
        <v>32583</v>
      </c>
      <c r="E14" s="90">
        <v>2.0</v>
      </c>
      <c r="F14" s="90">
        <v>0.0</v>
      </c>
      <c r="G14" s="70" t="s">
        <v>32636</v>
      </c>
      <c r="H14" s="90">
        <v>1.0</v>
      </c>
      <c r="I14" s="70" t="s">
        <v>31520</v>
      </c>
      <c r="J14" s="90">
        <v>1.0</v>
      </c>
      <c r="K14" s="70" t="s">
        <v>31520</v>
      </c>
      <c r="L14" s="90" t="str">
        <f t="shared" si="2"/>
        <v>Included</v>
      </c>
      <c r="M14" s="90">
        <v>1.0</v>
      </c>
      <c r="N14" s="90">
        <v>1.0</v>
      </c>
      <c r="O14" s="70" t="s">
        <v>1275</v>
      </c>
      <c r="P14" s="70" t="s">
        <v>31543</v>
      </c>
      <c r="Q14" s="70" t="s">
        <v>31570</v>
      </c>
      <c r="R14" s="82" t="s">
        <v>32641</v>
      </c>
      <c r="S14" s="70" t="s">
        <v>1273</v>
      </c>
      <c r="T14" s="70" t="s">
        <v>1274</v>
      </c>
      <c r="U14" s="70" t="s">
        <v>31572</v>
      </c>
      <c r="V14" s="82" t="s">
        <v>32642</v>
      </c>
      <c r="W14" s="70" t="s">
        <v>401</v>
      </c>
      <c r="X14" s="70" t="s">
        <v>29460</v>
      </c>
      <c r="Y14" s="70" t="s">
        <v>31571</v>
      </c>
      <c r="AA14" s="82" t="s">
        <v>32643</v>
      </c>
      <c r="AB14" s="82" t="s">
        <v>32616</v>
      </c>
    </row>
    <row r="15" ht="22.5" customHeight="1">
      <c r="A15" s="70" t="s">
        <v>1474</v>
      </c>
      <c r="B15" s="70"/>
      <c r="C15" s="70"/>
      <c r="D15" s="70" t="str">
        <f t="shared" ref="D15:D26" si="3">IF(E15&gt;0, "Included", "Excluded")</f>
        <v>Excluded</v>
      </c>
      <c r="E15" s="90">
        <v>0.0</v>
      </c>
      <c r="F15" s="90">
        <v>0.0</v>
      </c>
      <c r="G15" s="70" t="s">
        <v>34</v>
      </c>
      <c r="H15" s="90">
        <v>0.0</v>
      </c>
      <c r="I15" s="70" t="s">
        <v>31527</v>
      </c>
      <c r="J15" s="90">
        <v>0.0</v>
      </c>
      <c r="K15" s="70" t="s">
        <v>31527</v>
      </c>
      <c r="L15" s="90" t="str">
        <f t="shared" si="2"/>
        <v>Included</v>
      </c>
      <c r="M15" s="90">
        <v>1.0</v>
      </c>
      <c r="N15" s="90">
        <v>1.0</v>
      </c>
      <c r="O15" s="70" t="s">
        <v>1477</v>
      </c>
      <c r="P15" s="70" t="s">
        <v>31543</v>
      </c>
      <c r="Q15" s="70" t="s">
        <v>31675</v>
      </c>
      <c r="R15" s="82" t="s">
        <v>32616</v>
      </c>
      <c r="S15" s="70" t="s">
        <v>29312</v>
      </c>
      <c r="T15" s="70" t="s">
        <v>1476</v>
      </c>
      <c r="U15" s="70" t="s">
        <v>31677</v>
      </c>
      <c r="V15" s="82" t="s">
        <v>32642</v>
      </c>
      <c r="W15" s="70" t="s">
        <v>387</v>
      </c>
      <c r="X15" s="70" t="s">
        <v>1480</v>
      </c>
      <c r="Y15" s="70" t="s">
        <v>31676</v>
      </c>
      <c r="AA15" s="82" t="s">
        <v>32625</v>
      </c>
      <c r="AB15" s="82" t="s">
        <v>32616</v>
      </c>
    </row>
    <row r="16" ht="22.5" customHeight="1">
      <c r="A16" s="70" t="s">
        <v>2811</v>
      </c>
      <c r="B16" s="70"/>
      <c r="C16" s="70"/>
      <c r="D16" s="70" t="str">
        <f t="shared" si="3"/>
        <v>Excluded</v>
      </c>
      <c r="E16" s="90">
        <v>0.0</v>
      </c>
      <c r="F16" s="90">
        <v>0.0</v>
      </c>
      <c r="G16" s="70" t="s">
        <v>34</v>
      </c>
      <c r="H16" s="90">
        <v>0.0</v>
      </c>
      <c r="I16" s="70" t="s">
        <v>31527</v>
      </c>
      <c r="J16" s="90">
        <v>0.0</v>
      </c>
      <c r="K16" s="70" t="s">
        <v>31527</v>
      </c>
      <c r="L16" s="90" t="str">
        <f t="shared" si="2"/>
        <v>Included</v>
      </c>
      <c r="M16" s="90">
        <v>1.0</v>
      </c>
      <c r="N16" s="90">
        <v>1.0</v>
      </c>
      <c r="O16" s="70" t="s">
        <v>2814</v>
      </c>
      <c r="P16" s="70" t="s">
        <v>31543</v>
      </c>
      <c r="Q16" s="70" t="s">
        <v>32644</v>
      </c>
      <c r="R16" s="82" t="s">
        <v>32637</v>
      </c>
      <c r="S16" s="70" t="s">
        <v>29317</v>
      </c>
      <c r="T16" s="70" t="s">
        <v>2813</v>
      </c>
      <c r="U16" s="70" t="s">
        <v>32645</v>
      </c>
      <c r="V16" s="82" t="s">
        <v>32614</v>
      </c>
      <c r="W16" s="70" t="s">
        <v>387</v>
      </c>
      <c r="X16" s="70" t="s">
        <v>2817</v>
      </c>
      <c r="Y16" s="70" t="s">
        <v>32646</v>
      </c>
      <c r="AA16" s="82" t="s">
        <v>32647</v>
      </c>
      <c r="AB16" s="82" t="s">
        <v>32616</v>
      </c>
    </row>
    <row r="17" ht="22.5" customHeight="1">
      <c r="A17" s="70" t="s">
        <v>1181</v>
      </c>
      <c r="B17" s="70"/>
      <c r="C17" s="70"/>
      <c r="D17" s="70" t="str">
        <f t="shared" si="3"/>
        <v>Excluded</v>
      </c>
      <c r="E17" s="90">
        <v>0.0</v>
      </c>
      <c r="F17" s="90">
        <v>0.0</v>
      </c>
      <c r="G17" s="70" t="s">
        <v>34</v>
      </c>
      <c r="H17" s="90">
        <v>0.0</v>
      </c>
      <c r="I17" s="70" t="s">
        <v>31527</v>
      </c>
      <c r="J17" s="90">
        <v>0.0</v>
      </c>
      <c r="K17" s="70" t="s">
        <v>31527</v>
      </c>
      <c r="L17" s="90" t="str">
        <f t="shared" si="2"/>
        <v>Included</v>
      </c>
      <c r="M17" s="90">
        <v>1.0</v>
      </c>
      <c r="N17" s="90">
        <v>1.0</v>
      </c>
      <c r="O17" s="70" t="s">
        <v>1182</v>
      </c>
      <c r="P17" s="70" t="s">
        <v>31543</v>
      </c>
      <c r="Q17" s="70" t="s">
        <v>32648</v>
      </c>
      <c r="R17" s="82" t="s">
        <v>32639</v>
      </c>
      <c r="S17" s="70" t="s">
        <v>549</v>
      </c>
      <c r="T17" s="70" t="s">
        <v>550</v>
      </c>
      <c r="U17" s="70" t="s">
        <v>32649</v>
      </c>
      <c r="V17" s="82" t="s">
        <v>32620</v>
      </c>
      <c r="W17" s="70" t="s">
        <v>555</v>
      </c>
      <c r="X17" s="70" t="s">
        <v>29427</v>
      </c>
      <c r="AA17" s="82" t="s">
        <v>32617</v>
      </c>
      <c r="AB17" s="82" t="s">
        <v>32616</v>
      </c>
    </row>
    <row r="18" ht="22.5" customHeight="1">
      <c r="A18" s="70" t="s">
        <v>2755</v>
      </c>
      <c r="B18" s="70"/>
      <c r="C18" s="70"/>
      <c r="D18" s="70" t="str">
        <f t="shared" si="3"/>
        <v>Excluded</v>
      </c>
      <c r="E18" s="90">
        <v>0.0</v>
      </c>
      <c r="F18" s="90">
        <v>0.0</v>
      </c>
      <c r="G18" s="70" t="s">
        <v>34</v>
      </c>
      <c r="H18" s="90">
        <v>0.0</v>
      </c>
      <c r="I18" s="70" t="s">
        <v>31528</v>
      </c>
      <c r="J18" s="90">
        <v>0.0</v>
      </c>
      <c r="K18" s="70" t="s">
        <v>31527</v>
      </c>
      <c r="L18" s="90" t="str">
        <f t="shared" si="2"/>
        <v>Included</v>
      </c>
      <c r="M18" s="90">
        <v>1.0</v>
      </c>
      <c r="N18" s="90">
        <v>1.0</v>
      </c>
      <c r="O18" s="70" t="s">
        <v>2758</v>
      </c>
      <c r="P18" s="70" t="s">
        <v>31543</v>
      </c>
      <c r="Q18" s="70" t="s">
        <v>32650</v>
      </c>
      <c r="R18" s="82" t="s">
        <v>32632</v>
      </c>
      <c r="S18" s="70" t="s">
        <v>2756</v>
      </c>
      <c r="T18" s="70" t="s">
        <v>2757</v>
      </c>
      <c r="U18" s="70" t="s">
        <v>32651</v>
      </c>
      <c r="V18" s="82" t="s">
        <v>32623</v>
      </c>
      <c r="W18" s="70" t="s">
        <v>401</v>
      </c>
      <c r="X18" s="70" t="s">
        <v>2763</v>
      </c>
      <c r="Y18" s="70" t="s">
        <v>32652</v>
      </c>
      <c r="AA18" s="82" t="s">
        <v>32640</v>
      </c>
      <c r="AB18" s="82" t="s">
        <v>32616</v>
      </c>
    </row>
    <row r="19" ht="22.5" customHeight="1">
      <c r="A19" s="70" t="s">
        <v>4582</v>
      </c>
      <c r="B19" s="70"/>
      <c r="C19" s="70"/>
      <c r="D19" s="70" t="str">
        <f t="shared" si="3"/>
        <v>Excluded</v>
      </c>
      <c r="E19" s="90">
        <v>0.0</v>
      </c>
      <c r="F19" s="90">
        <v>0.0</v>
      </c>
      <c r="G19" s="70" t="s">
        <v>34</v>
      </c>
      <c r="H19" s="90">
        <v>0.0</v>
      </c>
      <c r="I19" s="70" t="s">
        <v>31527</v>
      </c>
      <c r="J19" s="90">
        <v>0.0</v>
      </c>
      <c r="K19" s="70" t="s">
        <v>31527</v>
      </c>
      <c r="L19" s="90" t="str">
        <f t="shared" si="2"/>
        <v>Included</v>
      </c>
      <c r="M19" s="90">
        <v>1.0</v>
      </c>
      <c r="N19" s="90">
        <v>1.0</v>
      </c>
      <c r="O19" s="70" t="s">
        <v>4583</v>
      </c>
      <c r="P19" s="70" t="s">
        <v>31543</v>
      </c>
      <c r="Q19" s="70" t="s">
        <v>32653</v>
      </c>
      <c r="R19" s="82" t="s">
        <v>32626</v>
      </c>
      <c r="S19" s="70" t="s">
        <v>3673</v>
      </c>
      <c r="T19" s="70" t="s">
        <v>3674</v>
      </c>
      <c r="U19" s="70" t="s">
        <v>32654</v>
      </c>
      <c r="V19" s="82" t="s">
        <v>4416</v>
      </c>
      <c r="X19" s="70" t="s">
        <v>4585</v>
      </c>
      <c r="Y19" s="70" t="s">
        <v>32655</v>
      </c>
      <c r="AA19" s="82" t="s">
        <v>32628</v>
      </c>
      <c r="AB19" s="82" t="s">
        <v>32616</v>
      </c>
    </row>
    <row r="20" ht="22.5" customHeight="1">
      <c r="A20" s="70" t="s">
        <v>3664</v>
      </c>
      <c r="B20" s="70"/>
      <c r="C20" s="70"/>
      <c r="D20" s="70" t="str">
        <f t="shared" si="3"/>
        <v>Excluded</v>
      </c>
      <c r="E20" s="90">
        <v>0.0</v>
      </c>
      <c r="F20" s="90">
        <v>0.0</v>
      </c>
      <c r="G20" s="70" t="s">
        <v>36</v>
      </c>
      <c r="H20" s="90">
        <v>0.0</v>
      </c>
      <c r="I20" s="70" t="s">
        <v>31527</v>
      </c>
      <c r="J20" s="90">
        <v>0.0</v>
      </c>
      <c r="K20" s="70" t="s">
        <v>31527</v>
      </c>
      <c r="L20" s="90" t="str">
        <f t="shared" si="2"/>
        <v>Included</v>
      </c>
      <c r="M20" s="90">
        <v>1.0</v>
      </c>
      <c r="N20" s="90">
        <v>1.0</v>
      </c>
      <c r="O20" s="70" t="s">
        <v>3665</v>
      </c>
      <c r="P20" s="70" t="s">
        <v>31543</v>
      </c>
      <c r="Q20" s="70" t="s">
        <v>32656</v>
      </c>
      <c r="R20" s="82" t="s">
        <v>32657</v>
      </c>
      <c r="S20" s="70" t="s">
        <v>3635</v>
      </c>
      <c r="T20" s="70" t="s">
        <v>3636</v>
      </c>
      <c r="U20" s="70" t="s">
        <v>32658</v>
      </c>
      <c r="V20" s="82" t="s">
        <v>3667</v>
      </c>
      <c r="X20" s="70" t="s">
        <v>29457</v>
      </c>
      <c r="Y20" s="70" t="s">
        <v>32659</v>
      </c>
      <c r="AA20" s="82" t="s">
        <v>32660</v>
      </c>
      <c r="AB20" s="82" t="s">
        <v>32616</v>
      </c>
    </row>
    <row r="21" ht="22.5" customHeight="1">
      <c r="A21" s="70" t="s">
        <v>1507</v>
      </c>
      <c r="B21" s="70"/>
      <c r="C21" s="70"/>
      <c r="D21" s="70" t="str">
        <f t="shared" si="3"/>
        <v>Excluded</v>
      </c>
      <c r="E21" s="90">
        <v>0.0</v>
      </c>
      <c r="F21" s="90">
        <v>0.0</v>
      </c>
      <c r="G21" s="70" t="s">
        <v>34</v>
      </c>
      <c r="H21" s="90">
        <v>0.0</v>
      </c>
      <c r="I21" s="70" t="s">
        <v>31527</v>
      </c>
      <c r="J21" s="90">
        <v>0.0</v>
      </c>
      <c r="K21" s="70" t="s">
        <v>31527</v>
      </c>
      <c r="L21" s="90" t="str">
        <f t="shared" si="2"/>
        <v>Included</v>
      </c>
      <c r="M21" s="90">
        <v>1.0</v>
      </c>
      <c r="N21" s="90">
        <v>1.0</v>
      </c>
      <c r="O21" s="70" t="s">
        <v>1510</v>
      </c>
      <c r="P21" s="70" t="s">
        <v>31543</v>
      </c>
      <c r="Q21" s="70" t="s">
        <v>32661</v>
      </c>
      <c r="R21" s="82" t="s">
        <v>32660</v>
      </c>
      <c r="S21" s="70" t="s">
        <v>1508</v>
      </c>
      <c r="T21" s="70" t="s">
        <v>1509</v>
      </c>
      <c r="U21" s="70" t="s">
        <v>32662</v>
      </c>
      <c r="V21" s="82" t="s">
        <v>32614</v>
      </c>
      <c r="W21" s="70" t="s">
        <v>401</v>
      </c>
      <c r="X21" s="70" t="s">
        <v>1515</v>
      </c>
      <c r="Y21" s="70" t="s">
        <v>32663</v>
      </c>
      <c r="AA21" s="82" t="s">
        <v>32638</v>
      </c>
      <c r="AB21" s="82" t="s">
        <v>32616</v>
      </c>
    </row>
    <row r="22" ht="22.5" customHeight="1">
      <c r="A22" s="70" t="s">
        <v>2318</v>
      </c>
      <c r="B22" s="70"/>
      <c r="C22" s="70"/>
      <c r="D22" s="70" t="str">
        <f t="shared" si="3"/>
        <v>Excluded</v>
      </c>
      <c r="E22" s="90">
        <v>0.0</v>
      </c>
      <c r="F22" s="90">
        <v>0.0</v>
      </c>
      <c r="H22" s="90">
        <v>0.0</v>
      </c>
      <c r="I22" s="70" t="s">
        <v>31527</v>
      </c>
      <c r="J22" s="90">
        <v>0.0</v>
      </c>
      <c r="K22" s="70" t="s">
        <v>31527</v>
      </c>
      <c r="L22" s="90" t="str">
        <f t="shared" si="2"/>
        <v>Included</v>
      </c>
      <c r="M22" s="90">
        <v>1.0</v>
      </c>
      <c r="N22" s="90">
        <v>1.0</v>
      </c>
      <c r="O22" s="70" t="s">
        <v>2321</v>
      </c>
      <c r="P22" s="70" t="s">
        <v>31543</v>
      </c>
      <c r="Q22" s="70" t="s">
        <v>32664</v>
      </c>
      <c r="R22" s="82" t="s">
        <v>32629</v>
      </c>
      <c r="S22" s="70" t="s">
        <v>2319</v>
      </c>
      <c r="T22" s="70" t="s">
        <v>2320</v>
      </c>
      <c r="U22" s="70" t="s">
        <v>32665</v>
      </c>
      <c r="V22" s="82" t="s">
        <v>32666</v>
      </c>
      <c r="W22" s="70" t="s">
        <v>401</v>
      </c>
      <c r="X22" s="70" t="s">
        <v>29465</v>
      </c>
      <c r="Y22" s="70" t="s">
        <v>32667</v>
      </c>
      <c r="AA22" s="82" t="s">
        <v>32622</v>
      </c>
      <c r="AB22" s="82" t="s">
        <v>32637</v>
      </c>
    </row>
    <row r="23" ht="22.5" customHeight="1">
      <c r="A23" s="70" t="s">
        <v>819</v>
      </c>
      <c r="B23" s="70"/>
      <c r="C23" s="70"/>
      <c r="D23" s="70" t="str">
        <f t="shared" si="3"/>
        <v>Excluded</v>
      </c>
      <c r="E23" s="90">
        <v>0.0</v>
      </c>
      <c r="F23" s="90">
        <v>0.0</v>
      </c>
      <c r="G23" s="70" t="s">
        <v>34</v>
      </c>
      <c r="H23" s="90">
        <v>0.0</v>
      </c>
      <c r="I23" s="70" t="s">
        <v>31527</v>
      </c>
      <c r="J23" s="90">
        <v>0.0</v>
      </c>
      <c r="K23" s="70" t="s">
        <v>31527</v>
      </c>
      <c r="L23" s="90" t="str">
        <f t="shared" si="2"/>
        <v>Included</v>
      </c>
      <c r="M23" s="90">
        <v>1.0</v>
      </c>
      <c r="N23" s="90">
        <v>1.0</v>
      </c>
      <c r="O23" s="70" t="s">
        <v>822</v>
      </c>
      <c r="P23" s="70" t="s">
        <v>31543</v>
      </c>
      <c r="Q23" s="70" t="s">
        <v>32668</v>
      </c>
      <c r="R23" s="82" t="s">
        <v>32647</v>
      </c>
      <c r="S23" s="70" t="s">
        <v>820</v>
      </c>
      <c r="T23" s="70" t="s">
        <v>821</v>
      </c>
      <c r="U23" s="70" t="s">
        <v>32669</v>
      </c>
      <c r="V23" s="82" t="s">
        <v>32620</v>
      </c>
      <c r="W23" s="70" t="s">
        <v>401</v>
      </c>
      <c r="X23" s="70" t="s">
        <v>29467</v>
      </c>
      <c r="Y23" s="70" t="s">
        <v>32670</v>
      </c>
      <c r="AA23" s="82" t="s">
        <v>32671</v>
      </c>
      <c r="AB23" s="82" t="s">
        <v>32616</v>
      </c>
    </row>
    <row r="24" ht="22.5" customHeight="1">
      <c r="A24" s="70" t="s">
        <v>488</v>
      </c>
      <c r="B24" s="70"/>
      <c r="C24" s="70"/>
      <c r="D24" s="70" t="str">
        <f t="shared" si="3"/>
        <v>Excluded</v>
      </c>
      <c r="E24" s="90">
        <v>0.0</v>
      </c>
      <c r="F24" s="90">
        <v>0.0</v>
      </c>
      <c r="G24" s="70" t="s">
        <v>34</v>
      </c>
      <c r="H24" s="90">
        <v>0.0</v>
      </c>
      <c r="I24" s="70" t="s">
        <v>31528</v>
      </c>
      <c r="J24" s="90">
        <v>0.0</v>
      </c>
      <c r="K24" s="70" t="s">
        <v>31528</v>
      </c>
      <c r="L24" s="90" t="str">
        <f t="shared" si="2"/>
        <v>Included</v>
      </c>
      <c r="M24" s="90">
        <v>1.0</v>
      </c>
      <c r="N24" s="90">
        <v>1.0</v>
      </c>
      <c r="O24" s="70" t="s">
        <v>491</v>
      </c>
      <c r="P24" s="70" t="s">
        <v>31543</v>
      </c>
      <c r="Q24" s="70" t="s">
        <v>32672</v>
      </c>
      <c r="R24" s="82" t="s">
        <v>32673</v>
      </c>
      <c r="S24" s="70" t="s">
        <v>489</v>
      </c>
      <c r="T24" s="70" t="s">
        <v>490</v>
      </c>
      <c r="U24" s="70" t="s">
        <v>32674</v>
      </c>
      <c r="V24" s="82" t="s">
        <v>32666</v>
      </c>
      <c r="W24" s="70" t="s">
        <v>401</v>
      </c>
      <c r="X24" s="70" t="s">
        <v>496</v>
      </c>
      <c r="Y24" s="70" t="s">
        <v>32675</v>
      </c>
      <c r="AA24" s="82" t="s">
        <v>32641</v>
      </c>
      <c r="AB24" s="82" t="s">
        <v>32616</v>
      </c>
    </row>
    <row r="25" ht="22.5" customHeight="1">
      <c r="A25" s="70" t="s">
        <v>573</v>
      </c>
      <c r="B25" s="70"/>
      <c r="C25" s="70"/>
      <c r="D25" s="70" t="str">
        <f t="shared" si="3"/>
        <v>Excluded</v>
      </c>
      <c r="E25" s="90">
        <v>0.0</v>
      </c>
      <c r="F25" s="90">
        <v>0.0</v>
      </c>
      <c r="G25" s="70" t="s">
        <v>30</v>
      </c>
      <c r="H25" s="90">
        <v>0.0</v>
      </c>
      <c r="I25" s="70" t="s">
        <v>31527</v>
      </c>
      <c r="J25" s="90">
        <v>0.0</v>
      </c>
      <c r="K25" s="70" t="s">
        <v>31527</v>
      </c>
      <c r="L25" s="90" t="str">
        <f t="shared" si="2"/>
        <v>Included</v>
      </c>
      <c r="M25" s="90">
        <v>1.0</v>
      </c>
      <c r="N25" s="90">
        <v>1.0</v>
      </c>
      <c r="O25" s="70" t="s">
        <v>576</v>
      </c>
      <c r="P25" s="70" t="s">
        <v>31543</v>
      </c>
      <c r="Q25" s="70" t="s">
        <v>32676</v>
      </c>
      <c r="R25" s="82" t="s">
        <v>32621</v>
      </c>
      <c r="S25" s="70" t="s">
        <v>574</v>
      </c>
      <c r="T25" s="70" t="s">
        <v>575</v>
      </c>
      <c r="U25" s="70" t="s">
        <v>32677</v>
      </c>
      <c r="V25" s="82" t="s">
        <v>32666</v>
      </c>
      <c r="W25" s="70" t="s">
        <v>401</v>
      </c>
      <c r="X25" s="70" t="s">
        <v>581</v>
      </c>
      <c r="Y25" s="70" t="s">
        <v>32678</v>
      </c>
      <c r="AA25" s="82" t="s">
        <v>32673</v>
      </c>
      <c r="AB25" s="82" t="s">
        <v>32616</v>
      </c>
    </row>
    <row r="26" ht="22.5" customHeight="1">
      <c r="A26" s="70" t="s">
        <v>642</v>
      </c>
      <c r="B26" s="70"/>
      <c r="C26" s="70"/>
      <c r="D26" s="70" t="str">
        <f t="shared" si="3"/>
        <v>Excluded</v>
      </c>
      <c r="E26" s="90">
        <v>0.0</v>
      </c>
      <c r="F26" s="90">
        <v>0.0</v>
      </c>
      <c r="G26" s="70" t="s">
        <v>34</v>
      </c>
      <c r="H26" s="90">
        <v>0.0</v>
      </c>
      <c r="I26" s="70" t="s">
        <v>31527</v>
      </c>
      <c r="J26" s="90">
        <v>0.0</v>
      </c>
      <c r="K26" s="70" t="s">
        <v>31527</v>
      </c>
      <c r="L26" s="90" t="str">
        <f t="shared" si="2"/>
        <v>Included</v>
      </c>
      <c r="M26" s="90">
        <v>1.0</v>
      </c>
      <c r="N26" s="90">
        <v>1.0</v>
      </c>
      <c r="O26" s="70" t="s">
        <v>645</v>
      </c>
      <c r="P26" s="70" t="s">
        <v>31543</v>
      </c>
      <c r="Q26" s="70" t="s">
        <v>32679</v>
      </c>
      <c r="R26" s="82" t="s">
        <v>32643</v>
      </c>
      <c r="S26" s="70" t="s">
        <v>643</v>
      </c>
      <c r="T26" s="70" t="s">
        <v>644</v>
      </c>
      <c r="U26" s="70" t="s">
        <v>32680</v>
      </c>
      <c r="V26" s="82" t="s">
        <v>32666</v>
      </c>
      <c r="W26" s="70" t="s">
        <v>401</v>
      </c>
      <c r="X26" s="70" t="s">
        <v>29468</v>
      </c>
      <c r="Y26" s="70" t="s">
        <v>32681</v>
      </c>
      <c r="AA26" s="82" t="s">
        <v>32657</v>
      </c>
      <c r="AB26" s="82" t="s">
        <v>32616</v>
      </c>
    </row>
    <row r="27" ht="22.5" customHeight="1">
      <c r="A27" s="70" t="s">
        <v>3518</v>
      </c>
      <c r="E27" s="93"/>
      <c r="F27" s="93"/>
      <c r="H27" s="93"/>
      <c r="J27" s="93"/>
      <c r="L27" s="90" t="str">
        <f t="shared" si="2"/>
        <v>Excluded</v>
      </c>
      <c r="M27" s="90">
        <v>0.0</v>
      </c>
      <c r="N27" s="90">
        <v>0.0</v>
      </c>
      <c r="O27" s="70" t="s">
        <v>3521</v>
      </c>
      <c r="P27" s="70" t="s">
        <v>31543</v>
      </c>
      <c r="Q27" s="70" t="s">
        <v>32682</v>
      </c>
      <c r="R27" s="82" t="s">
        <v>32616</v>
      </c>
      <c r="S27" s="70" t="s">
        <v>29533</v>
      </c>
      <c r="T27" s="70" t="s">
        <v>3520</v>
      </c>
      <c r="U27" s="70" t="s">
        <v>32683</v>
      </c>
      <c r="V27" s="82" t="s">
        <v>32684</v>
      </c>
      <c r="W27" s="70" t="s">
        <v>387</v>
      </c>
      <c r="X27" s="70" t="s">
        <v>29534</v>
      </c>
      <c r="Y27" s="70" t="s">
        <v>32685</v>
      </c>
      <c r="AA27" s="82" t="s">
        <v>32686</v>
      </c>
      <c r="AB27" s="82" t="s">
        <v>32637</v>
      </c>
    </row>
    <row r="28" ht="22.5" customHeight="1">
      <c r="A28" s="70" t="s">
        <v>1877</v>
      </c>
      <c r="E28" s="93"/>
      <c r="F28" s="93"/>
      <c r="H28" s="93"/>
      <c r="J28" s="93"/>
      <c r="L28" s="90" t="str">
        <f t="shared" si="2"/>
        <v>Excluded</v>
      </c>
      <c r="M28" s="90">
        <v>0.0</v>
      </c>
      <c r="N28" s="90">
        <v>0.0</v>
      </c>
      <c r="O28" s="70" t="s">
        <v>1880</v>
      </c>
      <c r="P28" s="70" t="s">
        <v>31543</v>
      </c>
      <c r="Q28" s="70" t="s">
        <v>32687</v>
      </c>
      <c r="R28" s="82" t="s">
        <v>32637</v>
      </c>
      <c r="S28" s="70" t="s">
        <v>1878</v>
      </c>
      <c r="T28" s="70" t="s">
        <v>1879</v>
      </c>
      <c r="U28" s="70" t="s">
        <v>32688</v>
      </c>
      <c r="V28" s="82" t="s">
        <v>32684</v>
      </c>
      <c r="W28" s="70" t="s">
        <v>387</v>
      </c>
      <c r="X28" s="70" t="s">
        <v>1884</v>
      </c>
      <c r="Y28" s="70" t="s">
        <v>32689</v>
      </c>
      <c r="AA28" s="82" t="s">
        <v>32690</v>
      </c>
      <c r="AB28" s="82" t="s">
        <v>32616</v>
      </c>
    </row>
    <row r="29" ht="22.5" customHeight="1">
      <c r="A29" s="70" t="s">
        <v>3445</v>
      </c>
      <c r="E29" s="93"/>
      <c r="F29" s="93"/>
      <c r="H29" s="93"/>
      <c r="J29" s="93"/>
      <c r="L29" s="90" t="str">
        <f t="shared" si="2"/>
        <v>Excluded</v>
      </c>
      <c r="M29" s="90">
        <v>0.0</v>
      </c>
      <c r="N29" s="90">
        <v>0.0</v>
      </c>
      <c r="O29" s="70" t="s">
        <v>3448</v>
      </c>
      <c r="P29" s="70" t="s">
        <v>31543</v>
      </c>
      <c r="Q29" s="70" t="s">
        <v>32691</v>
      </c>
      <c r="R29" s="82" t="s">
        <v>32613</v>
      </c>
      <c r="S29" s="70" t="s">
        <v>29536</v>
      </c>
      <c r="T29" s="70" t="s">
        <v>3447</v>
      </c>
      <c r="U29" s="70" t="s">
        <v>32692</v>
      </c>
      <c r="V29" s="82" t="s">
        <v>32684</v>
      </c>
      <c r="W29" s="70" t="s">
        <v>387</v>
      </c>
      <c r="X29" s="70" t="s">
        <v>3452</v>
      </c>
      <c r="AA29" s="82" t="s">
        <v>32693</v>
      </c>
      <c r="AB29" s="82" t="s">
        <v>32616</v>
      </c>
    </row>
    <row r="30" ht="22.5" customHeight="1">
      <c r="A30" s="70" t="s">
        <v>3539</v>
      </c>
      <c r="E30" s="93"/>
      <c r="F30" s="93"/>
      <c r="H30" s="93"/>
      <c r="J30" s="93"/>
      <c r="L30" s="90" t="str">
        <f t="shared" si="2"/>
        <v>Excluded</v>
      </c>
      <c r="M30" s="90">
        <v>0.0</v>
      </c>
      <c r="N30" s="90">
        <v>0.0</v>
      </c>
      <c r="O30" s="70" t="s">
        <v>3542</v>
      </c>
      <c r="P30" s="70" t="s">
        <v>31543</v>
      </c>
      <c r="Q30" s="70" t="s">
        <v>32694</v>
      </c>
      <c r="R30" s="82" t="s">
        <v>32615</v>
      </c>
      <c r="S30" s="70" t="s">
        <v>29537</v>
      </c>
      <c r="T30" s="70" t="s">
        <v>3541</v>
      </c>
      <c r="U30" s="70" t="s">
        <v>32695</v>
      </c>
      <c r="V30" s="82" t="s">
        <v>32684</v>
      </c>
      <c r="W30" s="70" t="s">
        <v>387</v>
      </c>
      <c r="X30" s="70" t="s">
        <v>3545</v>
      </c>
      <c r="Y30" s="70" t="s">
        <v>32696</v>
      </c>
      <c r="AA30" s="82" t="s">
        <v>32697</v>
      </c>
      <c r="AB30" s="82" t="s">
        <v>32616</v>
      </c>
    </row>
    <row r="31" ht="22.5" customHeight="1">
      <c r="A31" s="70" t="s">
        <v>1221</v>
      </c>
      <c r="E31" s="93"/>
      <c r="F31" s="93"/>
      <c r="H31" s="93"/>
      <c r="J31" s="93"/>
      <c r="L31" s="90" t="str">
        <f t="shared" si="2"/>
        <v>Excluded</v>
      </c>
      <c r="M31" s="90">
        <v>0.0</v>
      </c>
      <c r="N31" s="90">
        <v>0.0</v>
      </c>
      <c r="O31" s="70" t="s">
        <v>1224</v>
      </c>
      <c r="P31" s="70" t="s">
        <v>31543</v>
      </c>
      <c r="Q31" s="70" t="s">
        <v>32698</v>
      </c>
      <c r="R31" s="82" t="s">
        <v>32624</v>
      </c>
      <c r="S31" s="70" t="s">
        <v>29539</v>
      </c>
      <c r="T31" s="70" t="s">
        <v>1223</v>
      </c>
      <c r="U31" s="70" t="s">
        <v>32699</v>
      </c>
      <c r="V31" s="82" t="s">
        <v>32684</v>
      </c>
      <c r="W31" s="70" t="s">
        <v>387</v>
      </c>
      <c r="X31" s="70" t="s">
        <v>29540</v>
      </c>
      <c r="Y31" s="70" t="s">
        <v>32700</v>
      </c>
      <c r="AA31" s="82" t="s">
        <v>32701</v>
      </c>
      <c r="AB31" s="82" t="s">
        <v>32616</v>
      </c>
    </row>
    <row r="32" ht="22.5" customHeight="1">
      <c r="A32" s="70" t="s">
        <v>1336</v>
      </c>
      <c r="E32" s="93"/>
      <c r="F32" s="93"/>
      <c r="H32" s="93"/>
      <c r="J32" s="93"/>
      <c r="L32" s="90" t="str">
        <f t="shared" si="2"/>
        <v>Excluded</v>
      </c>
      <c r="M32" s="90">
        <v>0.0</v>
      </c>
      <c r="N32" s="90">
        <v>0.0</v>
      </c>
      <c r="O32" s="70" t="s">
        <v>1339</v>
      </c>
      <c r="P32" s="70" t="s">
        <v>31543</v>
      </c>
      <c r="Q32" s="70" t="s">
        <v>32702</v>
      </c>
      <c r="R32" s="82" t="s">
        <v>32619</v>
      </c>
      <c r="S32" s="70" t="s">
        <v>29541</v>
      </c>
      <c r="T32" s="70" t="s">
        <v>1338</v>
      </c>
      <c r="U32" s="70" t="s">
        <v>32703</v>
      </c>
      <c r="V32" s="82" t="s">
        <v>32642</v>
      </c>
      <c r="W32" s="70" t="s">
        <v>387</v>
      </c>
      <c r="X32" s="70" t="s">
        <v>1343</v>
      </c>
      <c r="Y32" s="70" t="s">
        <v>32704</v>
      </c>
      <c r="AA32" s="82" t="s">
        <v>32705</v>
      </c>
      <c r="AB32" s="82" t="s">
        <v>32616</v>
      </c>
    </row>
    <row r="33" ht="22.5" customHeight="1">
      <c r="A33" s="70" t="s">
        <v>1291</v>
      </c>
      <c r="E33" s="93"/>
      <c r="F33" s="93"/>
      <c r="H33" s="93"/>
      <c r="J33" s="93"/>
      <c r="L33" s="90" t="str">
        <f t="shared" si="2"/>
        <v>Excluded</v>
      </c>
      <c r="M33" s="90">
        <v>0.0</v>
      </c>
      <c r="N33" s="90">
        <v>0.0</v>
      </c>
      <c r="O33" s="70" t="s">
        <v>1294</v>
      </c>
      <c r="P33" s="70" t="s">
        <v>31543</v>
      </c>
      <c r="Q33" s="70" t="s">
        <v>32706</v>
      </c>
      <c r="R33" s="82" t="s">
        <v>32639</v>
      </c>
      <c r="S33" s="70" t="s">
        <v>29542</v>
      </c>
      <c r="T33" s="70" t="s">
        <v>1293</v>
      </c>
      <c r="U33" s="70" t="s">
        <v>32707</v>
      </c>
      <c r="V33" s="82" t="s">
        <v>32684</v>
      </c>
      <c r="W33" s="70" t="s">
        <v>387</v>
      </c>
      <c r="X33" s="70" t="s">
        <v>1298</v>
      </c>
      <c r="Y33" s="70" t="s">
        <v>32708</v>
      </c>
      <c r="AA33" s="82" t="s">
        <v>32709</v>
      </c>
      <c r="AB33" s="82" t="s">
        <v>32616</v>
      </c>
    </row>
    <row r="34" ht="22.5" customHeight="1">
      <c r="A34" s="70" t="s">
        <v>2586</v>
      </c>
      <c r="E34" s="93"/>
      <c r="F34" s="93"/>
      <c r="H34" s="93"/>
      <c r="J34" s="93"/>
      <c r="L34" s="90" t="str">
        <f t="shared" si="2"/>
        <v>Excluded</v>
      </c>
      <c r="M34" s="90">
        <v>0.0</v>
      </c>
      <c r="N34" s="90">
        <v>0.0</v>
      </c>
      <c r="O34" s="70" t="s">
        <v>2587</v>
      </c>
      <c r="P34" s="70" t="s">
        <v>31543</v>
      </c>
      <c r="Q34" s="70" t="s">
        <v>32710</v>
      </c>
      <c r="R34" s="82" t="s">
        <v>32618</v>
      </c>
      <c r="S34" s="70" t="s">
        <v>29542</v>
      </c>
      <c r="T34" s="70" t="s">
        <v>1293</v>
      </c>
      <c r="U34" s="70" t="s">
        <v>32711</v>
      </c>
      <c r="V34" s="82" t="s">
        <v>32684</v>
      </c>
      <c r="W34" s="70" t="s">
        <v>387</v>
      </c>
      <c r="X34" s="70" t="s">
        <v>2590</v>
      </c>
      <c r="Y34" s="70" t="s">
        <v>32712</v>
      </c>
      <c r="AA34" s="82" t="s">
        <v>32713</v>
      </c>
      <c r="AB34" s="82" t="s">
        <v>32616</v>
      </c>
    </row>
    <row r="35" ht="22.5" customHeight="1">
      <c r="A35" s="70" t="s">
        <v>2122</v>
      </c>
      <c r="E35" s="93"/>
      <c r="F35" s="93"/>
      <c r="H35" s="93"/>
      <c r="J35" s="93"/>
      <c r="L35" s="90" t="str">
        <f t="shared" si="2"/>
        <v>Excluded</v>
      </c>
      <c r="M35" s="90">
        <v>0.0</v>
      </c>
      <c r="N35" s="90">
        <v>0.0</v>
      </c>
      <c r="O35" s="70" t="s">
        <v>2125</v>
      </c>
      <c r="P35" s="70" t="s">
        <v>31543</v>
      </c>
      <c r="Q35" s="70" t="s">
        <v>32714</v>
      </c>
      <c r="R35" s="82" t="s">
        <v>32632</v>
      </c>
      <c r="S35" s="70" t="s">
        <v>29543</v>
      </c>
      <c r="T35" s="70" t="s">
        <v>2124</v>
      </c>
      <c r="U35" s="70" t="s">
        <v>32715</v>
      </c>
      <c r="V35" s="82" t="s">
        <v>32642</v>
      </c>
      <c r="W35" s="70" t="s">
        <v>387</v>
      </c>
      <c r="X35" s="70" t="s">
        <v>29544</v>
      </c>
      <c r="Y35" s="70" t="s">
        <v>32716</v>
      </c>
      <c r="AA35" s="82" t="s">
        <v>32717</v>
      </c>
      <c r="AB35" s="82" t="s">
        <v>32616</v>
      </c>
    </row>
    <row r="36" ht="22.5" customHeight="1">
      <c r="A36" s="70" t="s">
        <v>3590</v>
      </c>
      <c r="E36" s="93"/>
      <c r="F36" s="93"/>
      <c r="H36" s="93"/>
      <c r="J36" s="93"/>
      <c r="L36" s="90" t="str">
        <f t="shared" si="2"/>
        <v>Excluded</v>
      </c>
      <c r="M36" s="90">
        <v>0.0</v>
      </c>
      <c r="N36" s="90">
        <v>0.0</v>
      </c>
      <c r="O36" s="70" t="s">
        <v>3593</v>
      </c>
      <c r="P36" s="70" t="s">
        <v>31543</v>
      </c>
      <c r="Q36" s="70" t="s">
        <v>32718</v>
      </c>
      <c r="R36" s="82" t="s">
        <v>32626</v>
      </c>
      <c r="S36" s="70" t="s">
        <v>29545</v>
      </c>
      <c r="T36" s="70" t="s">
        <v>3592</v>
      </c>
      <c r="U36" s="70" t="s">
        <v>32719</v>
      </c>
      <c r="V36" s="82" t="s">
        <v>32642</v>
      </c>
      <c r="W36" s="70" t="s">
        <v>387</v>
      </c>
      <c r="X36" s="70" t="s">
        <v>3597</v>
      </c>
      <c r="Y36" s="70" t="s">
        <v>32720</v>
      </c>
      <c r="AA36" s="82" t="s">
        <v>32721</v>
      </c>
      <c r="AB36" s="82" t="s">
        <v>32616</v>
      </c>
    </row>
    <row r="37" ht="22.5" customHeight="1">
      <c r="A37" s="70" t="s">
        <v>29547</v>
      </c>
      <c r="E37" s="93"/>
      <c r="F37" s="93"/>
      <c r="H37" s="93"/>
      <c r="J37" s="93"/>
      <c r="L37" s="90" t="str">
        <f t="shared" si="2"/>
        <v>Excluded</v>
      </c>
      <c r="M37" s="90">
        <v>0.0</v>
      </c>
      <c r="N37" s="90">
        <v>0.0</v>
      </c>
      <c r="O37" s="70" t="s">
        <v>1317</v>
      </c>
      <c r="P37" s="70" t="s">
        <v>31543</v>
      </c>
      <c r="Q37" s="70" t="s">
        <v>32722</v>
      </c>
      <c r="R37" s="82" t="s">
        <v>32622</v>
      </c>
      <c r="S37" s="70" t="s">
        <v>29548</v>
      </c>
      <c r="T37" s="70" t="s">
        <v>1316</v>
      </c>
      <c r="U37" s="70" t="s">
        <v>32723</v>
      </c>
      <c r="V37" s="82" t="s">
        <v>32642</v>
      </c>
      <c r="W37" s="70" t="s">
        <v>387</v>
      </c>
      <c r="X37" s="70" t="s">
        <v>29549</v>
      </c>
      <c r="Y37" s="70" t="s">
        <v>32724</v>
      </c>
      <c r="AA37" s="82" t="s">
        <v>32725</v>
      </c>
      <c r="AB37" s="82" t="s">
        <v>32616</v>
      </c>
    </row>
    <row r="38" ht="22.5" customHeight="1">
      <c r="A38" s="70" t="s">
        <v>2778</v>
      </c>
      <c r="E38" s="93"/>
      <c r="F38" s="93"/>
      <c r="H38" s="93"/>
      <c r="J38" s="93"/>
      <c r="L38" s="90" t="str">
        <f t="shared" si="2"/>
        <v>Excluded</v>
      </c>
      <c r="M38" s="90">
        <v>0.0</v>
      </c>
      <c r="N38" s="90">
        <v>0.0</v>
      </c>
      <c r="O38" s="70" t="s">
        <v>2781</v>
      </c>
      <c r="P38" s="70" t="s">
        <v>31543</v>
      </c>
      <c r="Q38" s="70" t="s">
        <v>32726</v>
      </c>
      <c r="R38" s="82" t="s">
        <v>32657</v>
      </c>
      <c r="S38" s="70" t="s">
        <v>2779</v>
      </c>
      <c r="T38" s="70" t="s">
        <v>2780</v>
      </c>
      <c r="U38" s="70" t="s">
        <v>32727</v>
      </c>
      <c r="V38" s="82" t="s">
        <v>32684</v>
      </c>
      <c r="W38" s="70" t="s">
        <v>387</v>
      </c>
      <c r="X38" s="70" t="s">
        <v>2785</v>
      </c>
      <c r="Y38" s="70" t="s">
        <v>32728</v>
      </c>
      <c r="AA38" s="82" t="s">
        <v>32729</v>
      </c>
      <c r="AB38" s="82" t="s">
        <v>32616</v>
      </c>
    </row>
    <row r="39" ht="22.5" customHeight="1">
      <c r="A39" s="70" t="s">
        <v>1162</v>
      </c>
      <c r="E39" s="93"/>
      <c r="F39" s="93"/>
      <c r="H39" s="93"/>
      <c r="J39" s="93"/>
      <c r="L39" s="90" t="str">
        <f t="shared" si="2"/>
        <v>Excluded</v>
      </c>
      <c r="M39" s="90">
        <v>0.0</v>
      </c>
      <c r="N39" s="90">
        <v>0.0</v>
      </c>
      <c r="O39" s="70" t="s">
        <v>1165</v>
      </c>
      <c r="P39" s="70" t="s">
        <v>31543</v>
      </c>
      <c r="Q39" s="70" t="s">
        <v>32730</v>
      </c>
      <c r="R39" s="82" t="s">
        <v>32641</v>
      </c>
      <c r="S39" s="70" t="s">
        <v>29550</v>
      </c>
      <c r="T39" s="70" t="s">
        <v>1164</v>
      </c>
      <c r="U39" s="70" t="s">
        <v>32731</v>
      </c>
      <c r="V39" s="82" t="s">
        <v>32642</v>
      </c>
      <c r="W39" s="70" t="s">
        <v>387</v>
      </c>
      <c r="X39" s="70" t="s">
        <v>1169</v>
      </c>
      <c r="Y39" s="70" t="s">
        <v>32732</v>
      </c>
      <c r="AA39" s="82" t="s">
        <v>32733</v>
      </c>
      <c r="AB39" s="82" t="s">
        <v>32616</v>
      </c>
    </row>
    <row r="40" ht="22.5" customHeight="1">
      <c r="A40" s="70" t="s">
        <v>1004</v>
      </c>
      <c r="E40" s="93"/>
      <c r="F40" s="93"/>
      <c r="H40" s="93"/>
      <c r="J40" s="93"/>
      <c r="L40" s="90" t="str">
        <f t="shared" si="2"/>
        <v>Excluded</v>
      </c>
      <c r="M40" s="90">
        <v>0.0</v>
      </c>
      <c r="N40" s="90">
        <v>0.0</v>
      </c>
      <c r="O40" s="70" t="s">
        <v>1007</v>
      </c>
      <c r="P40" s="70" t="s">
        <v>31543</v>
      </c>
      <c r="Q40" s="70" t="s">
        <v>32734</v>
      </c>
      <c r="R40" s="82" t="s">
        <v>32627</v>
      </c>
      <c r="S40" s="70" t="s">
        <v>29552</v>
      </c>
      <c r="T40" s="70" t="s">
        <v>1006</v>
      </c>
      <c r="U40" s="70" t="s">
        <v>32735</v>
      </c>
      <c r="V40" s="82" t="s">
        <v>32642</v>
      </c>
      <c r="W40" s="70" t="s">
        <v>387</v>
      </c>
      <c r="X40" s="70" t="s">
        <v>1011</v>
      </c>
      <c r="AA40" s="82" t="s">
        <v>32736</v>
      </c>
      <c r="AB40" s="82" t="s">
        <v>32616</v>
      </c>
    </row>
    <row r="41" ht="22.5" customHeight="1">
      <c r="A41" s="70" t="s">
        <v>2247</v>
      </c>
      <c r="E41" s="93"/>
      <c r="F41" s="93"/>
      <c r="H41" s="93"/>
      <c r="J41" s="93"/>
      <c r="L41" s="90" t="str">
        <f t="shared" si="2"/>
        <v>Excluded</v>
      </c>
      <c r="M41" s="90">
        <v>0.0</v>
      </c>
      <c r="N41" s="90">
        <v>0.0</v>
      </c>
      <c r="O41" s="70" t="s">
        <v>2250</v>
      </c>
      <c r="P41" s="70" t="s">
        <v>31543</v>
      </c>
      <c r="Q41" s="70" t="s">
        <v>32737</v>
      </c>
      <c r="R41" s="82" t="s">
        <v>32625</v>
      </c>
      <c r="S41" s="70" t="s">
        <v>29553</v>
      </c>
      <c r="T41" s="70" t="s">
        <v>2249</v>
      </c>
      <c r="U41" s="70" t="s">
        <v>32738</v>
      </c>
      <c r="V41" s="82" t="s">
        <v>32642</v>
      </c>
      <c r="W41" s="70" t="s">
        <v>387</v>
      </c>
      <c r="X41" s="70" t="s">
        <v>2253</v>
      </c>
      <c r="Y41" s="70" t="s">
        <v>32739</v>
      </c>
      <c r="AA41" s="82" t="s">
        <v>32740</v>
      </c>
      <c r="AB41" s="82" t="s">
        <v>32616</v>
      </c>
    </row>
    <row r="42" ht="22.5" customHeight="1">
      <c r="A42" s="70" t="s">
        <v>3194</v>
      </c>
      <c r="E42" s="93"/>
      <c r="F42" s="93"/>
      <c r="H42" s="93"/>
      <c r="J42" s="93"/>
      <c r="L42" s="90" t="str">
        <f t="shared" si="2"/>
        <v>Excluded</v>
      </c>
      <c r="M42" s="90">
        <v>0.0</v>
      </c>
      <c r="N42" s="90">
        <v>0.0</v>
      </c>
      <c r="O42" s="70" t="s">
        <v>3197</v>
      </c>
      <c r="P42" s="70" t="s">
        <v>31543</v>
      </c>
      <c r="Q42" s="70" t="s">
        <v>32741</v>
      </c>
      <c r="R42" s="82" t="s">
        <v>32638</v>
      </c>
      <c r="S42" s="70" t="s">
        <v>29556</v>
      </c>
      <c r="T42" s="70" t="s">
        <v>3196</v>
      </c>
      <c r="U42" s="70" t="s">
        <v>32742</v>
      </c>
      <c r="V42" s="82" t="s">
        <v>32743</v>
      </c>
      <c r="W42" s="70" t="s">
        <v>387</v>
      </c>
      <c r="X42" s="70" t="s">
        <v>3200</v>
      </c>
      <c r="Y42" s="70" t="s">
        <v>32744</v>
      </c>
      <c r="AA42" s="82" t="s">
        <v>32745</v>
      </c>
      <c r="AB42" s="82" t="s">
        <v>32616</v>
      </c>
    </row>
    <row r="43" ht="22.5" customHeight="1">
      <c r="A43" s="70" t="s">
        <v>2394</v>
      </c>
      <c r="E43" s="93"/>
      <c r="F43" s="93"/>
      <c r="H43" s="93"/>
      <c r="J43" s="93"/>
      <c r="L43" s="90" t="str">
        <f t="shared" si="2"/>
        <v>Excluded</v>
      </c>
      <c r="M43" s="90">
        <v>0.0</v>
      </c>
      <c r="N43" s="90">
        <v>0.0</v>
      </c>
      <c r="O43" s="70" t="s">
        <v>2397</v>
      </c>
      <c r="P43" s="70" t="s">
        <v>31543</v>
      </c>
      <c r="Q43" s="70" t="s">
        <v>32746</v>
      </c>
      <c r="R43" s="82" t="s">
        <v>32628</v>
      </c>
      <c r="S43" s="70" t="s">
        <v>29557</v>
      </c>
      <c r="T43" s="70" t="s">
        <v>2396</v>
      </c>
      <c r="U43" s="70" t="s">
        <v>32747</v>
      </c>
      <c r="V43" s="82" t="s">
        <v>32743</v>
      </c>
      <c r="W43" s="70" t="s">
        <v>387</v>
      </c>
      <c r="X43" s="70" t="s">
        <v>2400</v>
      </c>
      <c r="Y43" s="70" t="s">
        <v>32748</v>
      </c>
      <c r="AA43" s="82" t="s">
        <v>32749</v>
      </c>
      <c r="AB43" s="82" t="s">
        <v>32616</v>
      </c>
    </row>
    <row r="44" ht="22.5" customHeight="1">
      <c r="A44" s="70" t="s">
        <v>3294</v>
      </c>
      <c r="E44" s="93"/>
      <c r="F44" s="93"/>
      <c r="H44" s="93"/>
      <c r="J44" s="93"/>
      <c r="L44" s="90" t="str">
        <f t="shared" si="2"/>
        <v>Excluded</v>
      </c>
      <c r="M44" s="90">
        <v>0.0</v>
      </c>
      <c r="N44" s="90">
        <v>0.0</v>
      </c>
      <c r="O44" s="70" t="s">
        <v>3297</v>
      </c>
      <c r="P44" s="70" t="s">
        <v>31543</v>
      </c>
      <c r="Q44" s="70" t="s">
        <v>32750</v>
      </c>
      <c r="R44" s="82" t="s">
        <v>32629</v>
      </c>
      <c r="S44" s="70" t="s">
        <v>29558</v>
      </c>
      <c r="T44" s="70" t="s">
        <v>3296</v>
      </c>
      <c r="U44" s="70" t="s">
        <v>32751</v>
      </c>
      <c r="V44" s="82" t="s">
        <v>32743</v>
      </c>
      <c r="W44" s="70" t="s">
        <v>387</v>
      </c>
      <c r="X44" s="70" t="s">
        <v>3300</v>
      </c>
      <c r="Y44" s="70" t="s">
        <v>32752</v>
      </c>
      <c r="AA44" s="82" t="s">
        <v>32753</v>
      </c>
      <c r="AB44" s="82" t="s">
        <v>32616</v>
      </c>
    </row>
    <row r="45" ht="22.5" customHeight="1">
      <c r="A45" s="70" t="s">
        <v>1439</v>
      </c>
      <c r="E45" s="93"/>
      <c r="F45" s="93"/>
      <c r="H45" s="93"/>
      <c r="J45" s="93"/>
      <c r="L45" s="90" t="str">
        <f t="shared" si="2"/>
        <v>Excluded</v>
      </c>
      <c r="M45" s="90">
        <v>0.0</v>
      </c>
      <c r="N45" s="90">
        <v>0.0</v>
      </c>
      <c r="O45" s="70" t="s">
        <v>1442</v>
      </c>
      <c r="P45" s="70" t="s">
        <v>31543</v>
      </c>
      <c r="Q45" s="70" t="s">
        <v>32754</v>
      </c>
      <c r="R45" s="82" t="s">
        <v>32647</v>
      </c>
      <c r="S45" s="70" t="s">
        <v>1440</v>
      </c>
      <c r="T45" s="70" t="s">
        <v>1441</v>
      </c>
      <c r="U45" s="70" t="s">
        <v>32755</v>
      </c>
      <c r="V45" s="82" t="s">
        <v>32743</v>
      </c>
      <c r="W45" s="70" t="s">
        <v>387</v>
      </c>
      <c r="X45" s="70" t="s">
        <v>1446</v>
      </c>
      <c r="Y45" s="70" t="s">
        <v>32756</v>
      </c>
      <c r="AA45" s="82" t="s">
        <v>32757</v>
      </c>
      <c r="AB45" s="82" t="s">
        <v>32616</v>
      </c>
    </row>
    <row r="46" ht="22.5" customHeight="1">
      <c r="A46" s="70" t="s">
        <v>3486</v>
      </c>
      <c r="E46" s="93"/>
      <c r="F46" s="93"/>
      <c r="H46" s="93"/>
      <c r="J46" s="93"/>
      <c r="L46" s="90" t="str">
        <f t="shared" si="2"/>
        <v>Excluded</v>
      </c>
      <c r="M46" s="90">
        <v>0.0</v>
      </c>
      <c r="N46" s="90">
        <v>0.0</v>
      </c>
      <c r="O46" s="70" t="s">
        <v>3489</v>
      </c>
      <c r="P46" s="70" t="s">
        <v>31543</v>
      </c>
      <c r="Q46" s="70" t="s">
        <v>32758</v>
      </c>
      <c r="R46" s="82" t="s">
        <v>32673</v>
      </c>
      <c r="S46" s="70" t="s">
        <v>29559</v>
      </c>
      <c r="T46" s="70" t="s">
        <v>3488</v>
      </c>
      <c r="U46" s="70" t="s">
        <v>32759</v>
      </c>
      <c r="V46" s="82" t="s">
        <v>32743</v>
      </c>
      <c r="W46" s="70" t="s">
        <v>387</v>
      </c>
      <c r="X46" s="70" t="s">
        <v>3492</v>
      </c>
      <c r="Y46" s="70" t="s">
        <v>32760</v>
      </c>
      <c r="AA46" s="82" t="s">
        <v>32761</v>
      </c>
      <c r="AB46" s="82" t="s">
        <v>32616</v>
      </c>
    </row>
    <row r="47" ht="22.5" customHeight="1">
      <c r="A47" s="70" t="s">
        <v>585</v>
      </c>
      <c r="E47" s="93"/>
      <c r="F47" s="93"/>
      <c r="H47" s="93"/>
      <c r="J47" s="93"/>
      <c r="L47" s="90" t="str">
        <f t="shared" si="2"/>
        <v>Excluded</v>
      </c>
      <c r="M47" s="90">
        <v>0.0</v>
      </c>
      <c r="N47" s="90">
        <v>0.0</v>
      </c>
      <c r="O47" s="70" t="s">
        <v>588</v>
      </c>
      <c r="P47" s="70" t="s">
        <v>31543</v>
      </c>
      <c r="Q47" s="70" t="s">
        <v>32762</v>
      </c>
      <c r="R47" s="82" t="s">
        <v>32621</v>
      </c>
      <c r="S47" s="70" t="s">
        <v>29560</v>
      </c>
      <c r="T47" s="70" t="s">
        <v>587</v>
      </c>
      <c r="U47" s="70" t="s">
        <v>32763</v>
      </c>
      <c r="V47" s="82" t="s">
        <v>32743</v>
      </c>
      <c r="W47" s="70" t="s">
        <v>387</v>
      </c>
      <c r="X47" s="70" t="s">
        <v>29561</v>
      </c>
      <c r="Y47" s="70" t="s">
        <v>32764</v>
      </c>
      <c r="AA47" s="82" t="s">
        <v>32765</v>
      </c>
      <c r="AB47" s="82" t="s">
        <v>32616</v>
      </c>
    </row>
    <row r="48" ht="22.5" customHeight="1">
      <c r="A48" s="70" t="s">
        <v>2265</v>
      </c>
      <c r="E48" s="93"/>
      <c r="F48" s="93"/>
      <c r="H48" s="93"/>
      <c r="J48" s="93"/>
      <c r="L48" s="90" t="str">
        <f t="shared" si="2"/>
        <v>Excluded</v>
      </c>
      <c r="M48" s="90">
        <v>0.0</v>
      </c>
      <c r="N48" s="90">
        <v>0.0</v>
      </c>
      <c r="O48" s="70" t="s">
        <v>2268</v>
      </c>
      <c r="P48" s="70" t="s">
        <v>31543</v>
      </c>
      <c r="Q48" s="70" t="s">
        <v>32766</v>
      </c>
      <c r="R48" s="82" t="s">
        <v>32643</v>
      </c>
      <c r="S48" s="70" t="s">
        <v>29562</v>
      </c>
      <c r="T48" s="70" t="s">
        <v>2267</v>
      </c>
      <c r="U48" s="70" t="s">
        <v>32767</v>
      </c>
      <c r="V48" s="82" t="s">
        <v>32614</v>
      </c>
      <c r="W48" s="70" t="s">
        <v>387</v>
      </c>
      <c r="X48" s="70" t="s">
        <v>29563</v>
      </c>
      <c r="Y48" s="70" t="s">
        <v>32768</v>
      </c>
      <c r="AA48" s="82" t="s">
        <v>32769</v>
      </c>
      <c r="AB48" s="82" t="s">
        <v>32616</v>
      </c>
    </row>
    <row r="49" ht="22.5" customHeight="1">
      <c r="A49" s="70" t="s">
        <v>1573</v>
      </c>
      <c r="E49" s="93"/>
      <c r="F49" s="93"/>
      <c r="H49" s="93"/>
      <c r="J49" s="93"/>
      <c r="L49" s="90" t="str">
        <f t="shared" si="2"/>
        <v>Excluded</v>
      </c>
      <c r="M49" s="90">
        <v>0.0</v>
      </c>
      <c r="N49" s="90">
        <v>0.0</v>
      </c>
      <c r="O49" s="70" t="s">
        <v>1576</v>
      </c>
      <c r="P49" s="70" t="s">
        <v>31543</v>
      </c>
      <c r="Q49" s="70" t="s">
        <v>32770</v>
      </c>
      <c r="R49" s="82" t="s">
        <v>32617</v>
      </c>
      <c r="S49" s="70" t="s">
        <v>29567</v>
      </c>
      <c r="T49" s="70" t="s">
        <v>1575</v>
      </c>
      <c r="U49" s="70" t="s">
        <v>32771</v>
      </c>
      <c r="V49" s="82" t="s">
        <v>32614</v>
      </c>
      <c r="W49" s="70" t="s">
        <v>387</v>
      </c>
      <c r="X49" s="70" t="s">
        <v>29568</v>
      </c>
      <c r="Y49" s="70" t="s">
        <v>32772</v>
      </c>
      <c r="AA49" s="82" t="s">
        <v>32773</v>
      </c>
      <c r="AB49" s="82" t="s">
        <v>32616</v>
      </c>
    </row>
    <row r="50" ht="22.5" customHeight="1">
      <c r="A50" s="70" t="s">
        <v>1810</v>
      </c>
      <c r="E50" s="93"/>
      <c r="F50" s="93"/>
      <c r="H50" s="93"/>
      <c r="J50" s="93"/>
      <c r="L50" s="90" t="str">
        <f t="shared" si="2"/>
        <v>Excluded</v>
      </c>
      <c r="M50" s="90">
        <v>0.0</v>
      </c>
      <c r="N50" s="90">
        <v>0.0</v>
      </c>
      <c r="O50" s="70" t="s">
        <v>1813</v>
      </c>
      <c r="P50" s="70" t="s">
        <v>31543</v>
      </c>
      <c r="Q50" s="70" t="s">
        <v>32774</v>
      </c>
      <c r="R50" s="82" t="s">
        <v>32640</v>
      </c>
      <c r="S50" s="70" t="s">
        <v>29570</v>
      </c>
      <c r="T50" s="70" t="s">
        <v>1812</v>
      </c>
      <c r="U50" s="70" t="s">
        <v>32775</v>
      </c>
      <c r="V50" s="82" t="s">
        <v>32614</v>
      </c>
      <c r="W50" s="70" t="s">
        <v>387</v>
      </c>
      <c r="X50" s="70" t="s">
        <v>1816</v>
      </c>
      <c r="Y50" s="70" t="s">
        <v>32776</v>
      </c>
      <c r="AA50" s="82" t="s">
        <v>32777</v>
      </c>
      <c r="AB50" s="82" t="s">
        <v>32616</v>
      </c>
    </row>
    <row r="51" ht="22.5" customHeight="1">
      <c r="A51" s="70" t="s">
        <v>2363</v>
      </c>
      <c r="E51" s="93"/>
      <c r="F51" s="93"/>
      <c r="H51" s="93"/>
      <c r="J51" s="93"/>
      <c r="L51" s="90" t="str">
        <f t="shared" si="2"/>
        <v>Excluded</v>
      </c>
      <c r="M51" s="90">
        <v>0.0</v>
      </c>
      <c r="N51" s="90">
        <v>0.0</v>
      </c>
      <c r="O51" s="70" t="s">
        <v>2366</v>
      </c>
      <c r="P51" s="70" t="s">
        <v>31543</v>
      </c>
      <c r="Q51" s="70" t="s">
        <v>32778</v>
      </c>
      <c r="R51" s="82" t="s">
        <v>32686</v>
      </c>
      <c r="S51" s="70" t="s">
        <v>29573</v>
      </c>
      <c r="T51" s="70" t="s">
        <v>2365</v>
      </c>
      <c r="U51" s="70" t="s">
        <v>32779</v>
      </c>
      <c r="V51" s="82" t="s">
        <v>32614</v>
      </c>
      <c r="W51" s="70" t="s">
        <v>387</v>
      </c>
      <c r="X51" s="70" t="s">
        <v>2369</v>
      </c>
      <c r="Y51" s="70" t="s">
        <v>32780</v>
      </c>
      <c r="AA51" s="82" t="s">
        <v>32781</v>
      </c>
      <c r="AB51" s="82" t="s">
        <v>32616</v>
      </c>
    </row>
    <row r="52" ht="22.5" customHeight="1">
      <c r="A52" s="70" t="s">
        <v>3435</v>
      </c>
      <c r="E52" s="93"/>
      <c r="F52" s="93"/>
      <c r="H52" s="93"/>
      <c r="J52" s="93"/>
      <c r="L52" s="90" t="str">
        <f t="shared" si="2"/>
        <v>Excluded</v>
      </c>
      <c r="M52" s="90">
        <v>0.0</v>
      </c>
      <c r="N52" s="90">
        <v>0.0</v>
      </c>
      <c r="O52" s="70" t="s">
        <v>3438</v>
      </c>
      <c r="P52" s="70" t="s">
        <v>31543</v>
      </c>
      <c r="Q52" s="70" t="s">
        <v>32782</v>
      </c>
      <c r="R52" s="82" t="s">
        <v>32783</v>
      </c>
      <c r="S52" s="70" t="s">
        <v>3436</v>
      </c>
      <c r="T52" s="70" t="s">
        <v>3437</v>
      </c>
      <c r="U52" s="70" t="s">
        <v>32784</v>
      </c>
      <c r="V52" s="82" t="s">
        <v>32614</v>
      </c>
      <c r="W52" s="70" t="s">
        <v>387</v>
      </c>
      <c r="X52" s="70" t="s">
        <v>29579</v>
      </c>
      <c r="Y52" s="70" t="s">
        <v>32785</v>
      </c>
      <c r="AA52" s="82" t="s">
        <v>32786</v>
      </c>
      <c r="AB52" s="82" t="s">
        <v>32616</v>
      </c>
    </row>
    <row r="53" ht="22.5" customHeight="1">
      <c r="A53" s="70" t="s">
        <v>3372</v>
      </c>
      <c r="E53" s="93"/>
      <c r="F53" s="93"/>
      <c r="H53" s="93"/>
      <c r="J53" s="93"/>
      <c r="L53" s="90" t="str">
        <f t="shared" si="2"/>
        <v>Excluded</v>
      </c>
      <c r="M53" s="90">
        <v>0.0</v>
      </c>
      <c r="N53" s="90">
        <v>0.0</v>
      </c>
      <c r="O53" s="70" t="s">
        <v>3375</v>
      </c>
      <c r="P53" s="70" t="s">
        <v>31543</v>
      </c>
      <c r="Q53" s="70" t="s">
        <v>32787</v>
      </c>
      <c r="R53" s="82" t="s">
        <v>32788</v>
      </c>
      <c r="S53" s="70" t="s">
        <v>29580</v>
      </c>
      <c r="T53" s="70" t="s">
        <v>3374</v>
      </c>
      <c r="U53" s="70" t="s">
        <v>32789</v>
      </c>
      <c r="V53" s="82" t="s">
        <v>32614</v>
      </c>
      <c r="W53" s="70" t="s">
        <v>387</v>
      </c>
      <c r="X53" s="70" t="s">
        <v>3378</v>
      </c>
      <c r="Y53" s="70" t="s">
        <v>32790</v>
      </c>
      <c r="AA53" s="82" t="s">
        <v>32791</v>
      </c>
      <c r="AB53" s="82" t="s">
        <v>32616</v>
      </c>
    </row>
    <row r="54" ht="22.5" customHeight="1">
      <c r="A54" s="70" t="s">
        <v>407</v>
      </c>
      <c r="E54" s="93"/>
      <c r="F54" s="93"/>
      <c r="H54" s="93"/>
      <c r="J54" s="93"/>
      <c r="L54" s="90" t="str">
        <f t="shared" si="2"/>
        <v>Excluded</v>
      </c>
      <c r="M54" s="90">
        <v>0.0</v>
      </c>
      <c r="N54" s="90">
        <v>0.0</v>
      </c>
      <c r="O54" s="70" t="s">
        <v>410</v>
      </c>
      <c r="P54" s="70" t="s">
        <v>31543</v>
      </c>
      <c r="Q54" s="70" t="s">
        <v>32792</v>
      </c>
      <c r="R54" s="82" t="s">
        <v>32793</v>
      </c>
      <c r="S54" s="70" t="s">
        <v>29582</v>
      </c>
      <c r="T54" s="70" t="s">
        <v>409</v>
      </c>
      <c r="U54" s="70" t="s">
        <v>32794</v>
      </c>
      <c r="V54" s="82" t="s">
        <v>32614</v>
      </c>
      <c r="W54" s="70" t="s">
        <v>387</v>
      </c>
      <c r="X54" s="70" t="s">
        <v>414</v>
      </c>
      <c r="Y54" s="70" t="s">
        <v>32795</v>
      </c>
      <c r="AA54" s="82" t="s">
        <v>32796</v>
      </c>
      <c r="AB54" s="82" t="s">
        <v>32616</v>
      </c>
    </row>
    <row r="55" ht="22.5" customHeight="1">
      <c r="A55" s="70" t="s">
        <v>607</v>
      </c>
      <c r="E55" s="93"/>
      <c r="F55" s="93"/>
      <c r="H55" s="93"/>
      <c r="J55" s="93"/>
      <c r="L55" s="90" t="str">
        <f t="shared" si="2"/>
        <v>Excluded</v>
      </c>
      <c r="M55" s="90">
        <v>0.0</v>
      </c>
      <c r="N55" s="90">
        <v>0.0</v>
      </c>
      <c r="O55" s="70" t="s">
        <v>610</v>
      </c>
      <c r="P55" s="70" t="s">
        <v>31543</v>
      </c>
      <c r="Q55" s="70" t="s">
        <v>32797</v>
      </c>
      <c r="R55" s="82" t="s">
        <v>32693</v>
      </c>
      <c r="S55" s="70" t="s">
        <v>29584</v>
      </c>
      <c r="T55" s="70" t="s">
        <v>609</v>
      </c>
      <c r="U55" s="70" t="s">
        <v>32798</v>
      </c>
      <c r="V55" s="82" t="s">
        <v>32614</v>
      </c>
      <c r="W55" s="70" t="s">
        <v>387</v>
      </c>
      <c r="X55" s="70" t="s">
        <v>29585</v>
      </c>
      <c r="Y55" s="70" t="s">
        <v>32799</v>
      </c>
      <c r="AA55" s="82" t="s">
        <v>32800</v>
      </c>
      <c r="AB55" s="82" t="s">
        <v>32616</v>
      </c>
    </row>
    <row r="56" ht="22.5" customHeight="1">
      <c r="A56" s="70" t="s">
        <v>2611</v>
      </c>
      <c r="E56" s="93"/>
      <c r="F56" s="93"/>
      <c r="H56" s="93"/>
      <c r="J56" s="93"/>
      <c r="L56" s="90" t="str">
        <f t="shared" si="2"/>
        <v>Excluded</v>
      </c>
      <c r="M56" s="90">
        <v>0.0</v>
      </c>
      <c r="N56" s="90">
        <v>0.0</v>
      </c>
      <c r="O56" s="70" t="s">
        <v>2612</v>
      </c>
      <c r="P56" s="70" t="s">
        <v>31543</v>
      </c>
      <c r="Q56" s="70" t="s">
        <v>32801</v>
      </c>
      <c r="R56" s="82" t="s">
        <v>32802</v>
      </c>
      <c r="S56" s="70" t="s">
        <v>29584</v>
      </c>
      <c r="T56" s="70" t="s">
        <v>609</v>
      </c>
      <c r="U56" s="70" t="s">
        <v>32803</v>
      </c>
      <c r="V56" s="82" t="s">
        <v>32614</v>
      </c>
      <c r="W56" s="70" t="s">
        <v>387</v>
      </c>
      <c r="X56" s="70" t="s">
        <v>29586</v>
      </c>
      <c r="Y56" s="70" t="s">
        <v>32804</v>
      </c>
      <c r="AA56" s="82" t="s">
        <v>32805</v>
      </c>
      <c r="AB56" s="82" t="s">
        <v>32616</v>
      </c>
    </row>
    <row r="57" ht="22.5" customHeight="1">
      <c r="A57" s="70" t="s">
        <v>1994</v>
      </c>
      <c r="E57" s="93"/>
      <c r="F57" s="93"/>
      <c r="H57" s="93"/>
      <c r="J57" s="93"/>
      <c r="L57" s="90" t="str">
        <f t="shared" si="2"/>
        <v>Excluded</v>
      </c>
      <c r="M57" s="90">
        <v>0.0</v>
      </c>
      <c r="N57" s="90">
        <v>0.0</v>
      </c>
      <c r="O57" s="70" t="s">
        <v>1997</v>
      </c>
      <c r="P57" s="70" t="s">
        <v>31543</v>
      </c>
      <c r="Q57" s="70" t="s">
        <v>32806</v>
      </c>
      <c r="R57" s="82" t="s">
        <v>32807</v>
      </c>
      <c r="S57" s="70" t="s">
        <v>29588</v>
      </c>
      <c r="T57" s="70" t="s">
        <v>1996</v>
      </c>
      <c r="U57" s="70" t="s">
        <v>32808</v>
      </c>
      <c r="V57" s="82" t="s">
        <v>32614</v>
      </c>
      <c r="W57" s="70" t="s">
        <v>387</v>
      </c>
      <c r="X57" s="70" t="s">
        <v>2001</v>
      </c>
      <c r="Y57" s="70" t="s">
        <v>32809</v>
      </c>
      <c r="AA57" s="82" t="s">
        <v>32810</v>
      </c>
      <c r="AB57" s="82" t="s">
        <v>32616</v>
      </c>
    </row>
    <row r="58" ht="22.5" customHeight="1">
      <c r="A58" s="70" t="s">
        <v>3354</v>
      </c>
      <c r="E58" s="93"/>
      <c r="F58" s="93"/>
      <c r="H58" s="93"/>
      <c r="J58" s="93"/>
      <c r="L58" s="90" t="str">
        <f t="shared" si="2"/>
        <v>Excluded</v>
      </c>
      <c r="M58" s="90">
        <v>0.0</v>
      </c>
      <c r="N58" s="90">
        <v>0.0</v>
      </c>
      <c r="O58" s="70" t="s">
        <v>3355</v>
      </c>
      <c r="P58" s="70" t="s">
        <v>31543</v>
      </c>
      <c r="Q58" s="70" t="s">
        <v>32811</v>
      </c>
      <c r="R58" s="82" t="s">
        <v>32800</v>
      </c>
      <c r="S58" s="70" t="s">
        <v>29591</v>
      </c>
      <c r="T58" s="70" t="s">
        <v>2007</v>
      </c>
      <c r="U58" s="70" t="s">
        <v>32812</v>
      </c>
      <c r="V58" s="82" t="s">
        <v>32614</v>
      </c>
      <c r="W58" s="70" t="s">
        <v>387</v>
      </c>
      <c r="X58" s="70" t="s">
        <v>29592</v>
      </c>
      <c r="Y58" s="70" t="s">
        <v>32813</v>
      </c>
      <c r="AA58" s="82" t="s">
        <v>32814</v>
      </c>
      <c r="AB58" s="82" t="s">
        <v>32616</v>
      </c>
    </row>
    <row r="59" ht="22.5" customHeight="1">
      <c r="A59" s="70" t="s">
        <v>2005</v>
      </c>
      <c r="E59" s="93"/>
      <c r="F59" s="93"/>
      <c r="H59" s="93"/>
      <c r="J59" s="93"/>
      <c r="L59" s="90" t="str">
        <f t="shared" si="2"/>
        <v>Excluded</v>
      </c>
      <c r="M59" s="90">
        <v>0.0</v>
      </c>
      <c r="N59" s="90">
        <v>0.0</v>
      </c>
      <c r="O59" s="70" t="s">
        <v>2008</v>
      </c>
      <c r="P59" s="70" t="s">
        <v>31543</v>
      </c>
      <c r="Q59" s="70" t="s">
        <v>32815</v>
      </c>
      <c r="R59" s="82" t="s">
        <v>32816</v>
      </c>
      <c r="S59" s="70" t="s">
        <v>29591</v>
      </c>
      <c r="T59" s="70" t="s">
        <v>2007</v>
      </c>
      <c r="U59" s="70" t="s">
        <v>32817</v>
      </c>
      <c r="V59" s="82" t="s">
        <v>32614</v>
      </c>
      <c r="W59" s="70" t="s">
        <v>387</v>
      </c>
      <c r="X59" s="70" t="s">
        <v>2012</v>
      </c>
      <c r="Y59" s="70" t="s">
        <v>32818</v>
      </c>
      <c r="AA59" s="82" t="s">
        <v>32819</v>
      </c>
      <c r="AB59" s="82" t="s">
        <v>32616</v>
      </c>
    </row>
    <row r="60" ht="22.5" customHeight="1">
      <c r="A60" s="70" t="s">
        <v>2744</v>
      </c>
      <c r="E60" s="93"/>
      <c r="F60" s="93"/>
      <c r="H60" s="93"/>
      <c r="J60" s="93"/>
      <c r="L60" s="90" t="str">
        <f t="shared" si="2"/>
        <v>Excluded</v>
      </c>
      <c r="M60" s="90">
        <v>0.0</v>
      </c>
      <c r="N60" s="90">
        <v>0.0</v>
      </c>
      <c r="O60" s="70" t="s">
        <v>2747</v>
      </c>
      <c r="P60" s="70" t="s">
        <v>31543</v>
      </c>
      <c r="Q60" s="70" t="s">
        <v>32820</v>
      </c>
      <c r="R60" s="82" t="s">
        <v>32821</v>
      </c>
      <c r="S60" s="70" t="s">
        <v>29594</v>
      </c>
      <c r="T60" s="70" t="s">
        <v>2746</v>
      </c>
      <c r="U60" s="70" t="s">
        <v>32822</v>
      </c>
      <c r="V60" s="82" t="s">
        <v>32620</v>
      </c>
      <c r="W60" s="70" t="s">
        <v>387</v>
      </c>
      <c r="X60" s="70" t="s">
        <v>2751</v>
      </c>
      <c r="Y60" s="70" t="s">
        <v>32823</v>
      </c>
      <c r="AA60" s="82" t="s">
        <v>32824</v>
      </c>
      <c r="AB60" s="82" t="s">
        <v>32616</v>
      </c>
    </row>
    <row r="61" ht="22.5" customHeight="1">
      <c r="A61" s="70" t="s">
        <v>2132</v>
      </c>
      <c r="E61" s="93"/>
      <c r="F61" s="93"/>
      <c r="H61" s="93"/>
      <c r="J61" s="93"/>
      <c r="L61" s="90" t="str">
        <f t="shared" si="2"/>
        <v>Excluded</v>
      </c>
      <c r="M61" s="90">
        <v>0.0</v>
      </c>
      <c r="N61" s="90">
        <v>0.0</v>
      </c>
      <c r="O61" s="70" t="s">
        <v>2135</v>
      </c>
      <c r="P61" s="70" t="s">
        <v>31543</v>
      </c>
      <c r="Q61" s="70" t="s">
        <v>32825</v>
      </c>
      <c r="R61" s="82" t="s">
        <v>32826</v>
      </c>
      <c r="S61" s="70" t="s">
        <v>29597</v>
      </c>
      <c r="T61" s="70" t="s">
        <v>2134</v>
      </c>
      <c r="U61" s="70" t="s">
        <v>32827</v>
      </c>
      <c r="V61" s="82" t="s">
        <v>32620</v>
      </c>
      <c r="W61" s="70" t="s">
        <v>387</v>
      </c>
      <c r="X61" s="70" t="s">
        <v>2139</v>
      </c>
      <c r="Y61" s="70" t="s">
        <v>32828</v>
      </c>
      <c r="AA61" s="82" t="s">
        <v>32829</v>
      </c>
      <c r="AB61" s="82" t="s">
        <v>32616</v>
      </c>
    </row>
    <row r="62" ht="22.5" customHeight="1">
      <c r="A62" s="70" t="s">
        <v>2767</v>
      </c>
      <c r="E62" s="93"/>
      <c r="F62" s="93"/>
      <c r="H62" s="93"/>
      <c r="J62" s="93"/>
      <c r="L62" s="90" t="str">
        <f t="shared" si="2"/>
        <v>Excluded</v>
      </c>
      <c r="M62" s="90">
        <v>0.0</v>
      </c>
      <c r="N62" s="90">
        <v>0.0</v>
      </c>
      <c r="O62" s="70" t="s">
        <v>2770</v>
      </c>
      <c r="P62" s="70" t="s">
        <v>31543</v>
      </c>
      <c r="Q62" s="70" t="s">
        <v>32830</v>
      </c>
      <c r="R62" s="82" t="s">
        <v>32829</v>
      </c>
      <c r="S62" s="70" t="s">
        <v>29598</v>
      </c>
      <c r="T62" s="70" t="s">
        <v>2769</v>
      </c>
      <c r="U62" s="70" t="s">
        <v>32831</v>
      </c>
      <c r="V62" s="82" t="s">
        <v>32620</v>
      </c>
      <c r="W62" s="70" t="s">
        <v>387</v>
      </c>
      <c r="X62" s="70" t="s">
        <v>2774</v>
      </c>
      <c r="Y62" s="70" t="s">
        <v>32832</v>
      </c>
      <c r="AA62" s="82" t="s">
        <v>32833</v>
      </c>
      <c r="AB62" s="82" t="s">
        <v>32616</v>
      </c>
    </row>
    <row r="63" ht="22.5" customHeight="1">
      <c r="A63" s="70" t="s">
        <v>1552</v>
      </c>
      <c r="E63" s="93"/>
      <c r="F63" s="93"/>
      <c r="H63" s="93"/>
      <c r="J63" s="93"/>
      <c r="L63" s="90" t="str">
        <f t="shared" si="2"/>
        <v>Excluded</v>
      </c>
      <c r="M63" s="90">
        <v>0.0</v>
      </c>
      <c r="N63" s="90">
        <v>0.0</v>
      </c>
      <c r="O63" s="70" t="s">
        <v>1555</v>
      </c>
      <c r="P63" s="70" t="s">
        <v>31543</v>
      </c>
      <c r="Q63" s="70" t="s">
        <v>32834</v>
      </c>
      <c r="R63" s="82" t="s">
        <v>32835</v>
      </c>
      <c r="S63" s="70" t="s">
        <v>29601</v>
      </c>
      <c r="T63" s="70" t="s">
        <v>1554</v>
      </c>
      <c r="U63" s="70" t="s">
        <v>32836</v>
      </c>
      <c r="V63" s="82" t="s">
        <v>32620</v>
      </c>
      <c r="W63" s="70" t="s">
        <v>387</v>
      </c>
      <c r="X63" s="70" t="s">
        <v>29602</v>
      </c>
      <c r="Y63" s="70" t="s">
        <v>32837</v>
      </c>
      <c r="AA63" s="82" t="s">
        <v>32802</v>
      </c>
      <c r="AB63" s="82" t="s">
        <v>32616</v>
      </c>
    </row>
    <row r="64" ht="22.5" customHeight="1">
      <c r="A64" s="70" t="s">
        <v>1188</v>
      </c>
      <c r="E64" s="93"/>
      <c r="F64" s="93"/>
      <c r="H64" s="93"/>
      <c r="J64" s="93"/>
      <c r="L64" s="90" t="str">
        <f t="shared" si="2"/>
        <v>Excluded</v>
      </c>
      <c r="M64" s="90">
        <v>0.0</v>
      </c>
      <c r="N64" s="90">
        <v>0.0</v>
      </c>
      <c r="O64" s="70" t="s">
        <v>1191</v>
      </c>
      <c r="P64" s="70" t="s">
        <v>31543</v>
      </c>
      <c r="Q64" s="70" t="s">
        <v>32838</v>
      </c>
      <c r="R64" s="82" t="s">
        <v>32839</v>
      </c>
      <c r="S64" s="70" t="s">
        <v>29604</v>
      </c>
      <c r="T64" s="70" t="s">
        <v>1190</v>
      </c>
      <c r="U64" s="70" t="s">
        <v>32840</v>
      </c>
      <c r="V64" s="82" t="s">
        <v>32620</v>
      </c>
      <c r="W64" s="70" t="s">
        <v>387</v>
      </c>
      <c r="X64" s="70" t="s">
        <v>29605</v>
      </c>
      <c r="Y64" s="70" t="s">
        <v>32841</v>
      </c>
      <c r="AA64" s="82" t="s">
        <v>32842</v>
      </c>
      <c r="AB64" s="82" t="s">
        <v>32616</v>
      </c>
    </row>
    <row r="65" ht="22.5" customHeight="1">
      <c r="A65" s="70" t="s">
        <v>2114</v>
      </c>
      <c r="E65" s="93"/>
      <c r="F65" s="93"/>
      <c r="H65" s="93"/>
      <c r="J65" s="93"/>
      <c r="L65" s="90" t="str">
        <f t="shared" si="2"/>
        <v>Excluded</v>
      </c>
      <c r="M65" s="90">
        <v>0.0</v>
      </c>
      <c r="N65" s="90">
        <v>0.0</v>
      </c>
      <c r="O65" s="70" t="s">
        <v>2115</v>
      </c>
      <c r="P65" s="70" t="s">
        <v>31543</v>
      </c>
      <c r="Q65" s="70" t="s">
        <v>32843</v>
      </c>
      <c r="R65" s="82" t="s">
        <v>32844</v>
      </c>
      <c r="S65" s="70" t="s">
        <v>29604</v>
      </c>
      <c r="T65" s="70" t="s">
        <v>1190</v>
      </c>
      <c r="U65" s="70" t="s">
        <v>32845</v>
      </c>
      <c r="V65" s="82" t="s">
        <v>32620</v>
      </c>
      <c r="W65" s="70" t="s">
        <v>387</v>
      </c>
      <c r="X65" s="70" t="s">
        <v>2118</v>
      </c>
      <c r="Y65" s="70" t="s">
        <v>32846</v>
      </c>
      <c r="AA65" s="82" t="s">
        <v>32847</v>
      </c>
      <c r="AB65" s="82" t="s">
        <v>32616</v>
      </c>
    </row>
    <row r="66" ht="22.5" customHeight="1">
      <c r="A66" s="70" t="s">
        <v>2658</v>
      </c>
      <c r="E66" s="93"/>
      <c r="F66" s="93"/>
      <c r="H66" s="93"/>
      <c r="J66" s="93"/>
      <c r="L66" s="90" t="str">
        <f t="shared" si="2"/>
        <v>Excluded</v>
      </c>
      <c r="M66" s="90">
        <v>0.0</v>
      </c>
      <c r="N66" s="90">
        <v>0.0</v>
      </c>
      <c r="O66" s="70" t="s">
        <v>2661</v>
      </c>
      <c r="P66" s="70" t="s">
        <v>31543</v>
      </c>
      <c r="Q66" s="70" t="s">
        <v>32848</v>
      </c>
      <c r="R66" s="82" t="s">
        <v>32849</v>
      </c>
      <c r="S66" s="70" t="s">
        <v>29607</v>
      </c>
      <c r="T66" s="70" t="s">
        <v>2660</v>
      </c>
      <c r="U66" s="70" t="s">
        <v>32850</v>
      </c>
      <c r="V66" s="82" t="s">
        <v>32620</v>
      </c>
      <c r="W66" s="70" t="s">
        <v>387</v>
      </c>
      <c r="X66" s="70" t="s">
        <v>29608</v>
      </c>
      <c r="Y66" s="70" t="s">
        <v>32851</v>
      </c>
      <c r="AA66" s="82" t="s">
        <v>32852</v>
      </c>
      <c r="AB66" s="82" t="s">
        <v>32616</v>
      </c>
    </row>
    <row r="67" ht="22.5" customHeight="1">
      <c r="A67" s="70" t="s">
        <v>867</v>
      </c>
      <c r="E67" s="93"/>
      <c r="F67" s="93"/>
      <c r="H67" s="93"/>
      <c r="J67" s="93"/>
      <c r="L67" s="90" t="str">
        <f t="shared" si="2"/>
        <v>Excluded</v>
      </c>
      <c r="M67" s="90">
        <v>0.0</v>
      </c>
      <c r="N67" s="90">
        <v>0.0</v>
      </c>
      <c r="O67" s="70" t="s">
        <v>868</v>
      </c>
      <c r="P67" s="70" t="s">
        <v>31543</v>
      </c>
      <c r="Q67" s="70" t="s">
        <v>32853</v>
      </c>
      <c r="R67" s="82" t="s">
        <v>32854</v>
      </c>
      <c r="S67" s="70" t="s">
        <v>29320</v>
      </c>
      <c r="T67" s="70" t="s">
        <v>540</v>
      </c>
      <c r="U67" s="70" t="s">
        <v>32855</v>
      </c>
      <c r="V67" s="82" t="s">
        <v>32620</v>
      </c>
      <c r="W67" s="70" t="s">
        <v>387</v>
      </c>
      <c r="X67" s="70" t="s">
        <v>871</v>
      </c>
      <c r="Y67" s="70" t="s">
        <v>32856</v>
      </c>
      <c r="AA67" s="82" t="s">
        <v>32857</v>
      </c>
      <c r="AB67" s="82" t="s">
        <v>32616</v>
      </c>
    </row>
    <row r="68" ht="22.5" customHeight="1">
      <c r="A68" s="70" t="s">
        <v>948</v>
      </c>
      <c r="E68" s="93"/>
      <c r="F68" s="93"/>
      <c r="H68" s="93"/>
      <c r="J68" s="93"/>
      <c r="L68" s="90" t="str">
        <f t="shared" si="2"/>
        <v>Excluded</v>
      </c>
      <c r="M68" s="90">
        <v>0.0</v>
      </c>
      <c r="N68" s="90">
        <v>0.0</v>
      </c>
      <c r="O68" s="70" t="s">
        <v>951</v>
      </c>
      <c r="P68" s="70" t="s">
        <v>31543</v>
      </c>
      <c r="Q68" s="70" t="s">
        <v>32858</v>
      </c>
      <c r="R68" s="82" t="s">
        <v>32859</v>
      </c>
      <c r="S68" s="70" t="s">
        <v>29610</v>
      </c>
      <c r="T68" s="70" t="s">
        <v>950</v>
      </c>
      <c r="U68" s="70" t="s">
        <v>32860</v>
      </c>
      <c r="V68" s="82" t="s">
        <v>32620</v>
      </c>
      <c r="W68" s="70" t="s">
        <v>387</v>
      </c>
      <c r="X68" s="70" t="s">
        <v>955</v>
      </c>
      <c r="Y68" s="70" t="s">
        <v>32861</v>
      </c>
      <c r="AA68" s="82" t="s">
        <v>32862</v>
      </c>
      <c r="AB68" s="82" t="s">
        <v>32616</v>
      </c>
    </row>
    <row r="69" ht="22.5" customHeight="1">
      <c r="A69" s="70" t="s">
        <v>3039</v>
      </c>
      <c r="E69" s="93"/>
      <c r="F69" s="93"/>
      <c r="H69" s="93"/>
      <c r="J69" s="93"/>
      <c r="L69" s="90" t="str">
        <f t="shared" si="2"/>
        <v>Excluded</v>
      </c>
      <c r="M69" s="90">
        <v>0.0</v>
      </c>
      <c r="N69" s="90">
        <v>0.0</v>
      </c>
      <c r="O69" s="70" t="s">
        <v>3042</v>
      </c>
      <c r="P69" s="70" t="s">
        <v>31543</v>
      </c>
      <c r="Q69" s="70" t="s">
        <v>32863</v>
      </c>
      <c r="R69" s="82" t="s">
        <v>32864</v>
      </c>
      <c r="S69" s="70" t="s">
        <v>29611</v>
      </c>
      <c r="T69" s="70" t="s">
        <v>3041</v>
      </c>
      <c r="U69" s="70" t="s">
        <v>32865</v>
      </c>
      <c r="V69" s="82" t="s">
        <v>32620</v>
      </c>
      <c r="W69" s="70" t="s">
        <v>387</v>
      </c>
      <c r="X69" s="70" t="s">
        <v>3045</v>
      </c>
      <c r="Y69" s="70" t="s">
        <v>32866</v>
      </c>
      <c r="AA69" s="82" t="s">
        <v>32867</v>
      </c>
      <c r="AB69" s="82" t="s">
        <v>32616</v>
      </c>
    </row>
    <row r="70" ht="22.5" customHeight="1">
      <c r="A70" s="70" t="s">
        <v>2960</v>
      </c>
      <c r="E70" s="93"/>
      <c r="F70" s="93"/>
      <c r="H70" s="93"/>
      <c r="J70" s="93"/>
      <c r="L70" s="90" t="str">
        <f t="shared" si="2"/>
        <v>Excluded</v>
      </c>
      <c r="M70" s="90">
        <v>0.0</v>
      </c>
      <c r="N70" s="90">
        <v>0.0</v>
      </c>
      <c r="O70" s="70" t="s">
        <v>2963</v>
      </c>
      <c r="P70" s="70" t="s">
        <v>31543</v>
      </c>
      <c r="Q70" s="70" t="s">
        <v>32868</v>
      </c>
      <c r="R70" s="82" t="s">
        <v>32869</v>
      </c>
      <c r="S70" s="70" t="s">
        <v>2961</v>
      </c>
      <c r="T70" s="70" t="s">
        <v>2962</v>
      </c>
      <c r="U70" s="70" t="s">
        <v>32870</v>
      </c>
      <c r="V70" s="82" t="s">
        <v>32620</v>
      </c>
      <c r="W70" s="70" t="s">
        <v>387</v>
      </c>
      <c r="X70" s="70" t="s">
        <v>29612</v>
      </c>
      <c r="Y70" s="70" t="s">
        <v>32871</v>
      </c>
      <c r="AA70" s="82" t="s">
        <v>32872</v>
      </c>
      <c r="AB70" s="82" t="s">
        <v>32616</v>
      </c>
    </row>
    <row r="71" ht="22.5" customHeight="1">
      <c r="A71" s="70" t="s">
        <v>2575</v>
      </c>
      <c r="E71" s="93"/>
      <c r="F71" s="93"/>
      <c r="H71" s="93"/>
      <c r="J71" s="93"/>
      <c r="L71" s="90" t="str">
        <f t="shared" si="2"/>
        <v>Excluded</v>
      </c>
      <c r="M71" s="90">
        <v>0.0</v>
      </c>
      <c r="N71" s="90">
        <v>0.0</v>
      </c>
      <c r="O71" s="70" t="s">
        <v>2578</v>
      </c>
      <c r="P71" s="70" t="s">
        <v>31543</v>
      </c>
      <c r="Q71" s="70" t="s">
        <v>32873</v>
      </c>
      <c r="R71" s="82" t="s">
        <v>32736</v>
      </c>
      <c r="S71" s="70" t="s">
        <v>29613</v>
      </c>
      <c r="T71" s="70" t="s">
        <v>2577</v>
      </c>
      <c r="U71" s="70" t="s">
        <v>32874</v>
      </c>
      <c r="V71" s="82" t="s">
        <v>32620</v>
      </c>
      <c r="W71" s="70" t="s">
        <v>387</v>
      </c>
      <c r="X71" s="70" t="s">
        <v>2582</v>
      </c>
      <c r="Y71" s="70" t="s">
        <v>32875</v>
      </c>
      <c r="AA71" s="82" t="s">
        <v>32876</v>
      </c>
      <c r="AB71" s="82" t="s">
        <v>32616</v>
      </c>
    </row>
    <row r="72" ht="22.5" customHeight="1">
      <c r="A72" s="70" t="s">
        <v>2711</v>
      </c>
      <c r="E72" s="93"/>
      <c r="F72" s="93"/>
      <c r="H72" s="93"/>
      <c r="J72" s="93"/>
      <c r="L72" s="90" t="str">
        <f t="shared" si="2"/>
        <v>Excluded</v>
      </c>
      <c r="M72" s="90">
        <v>0.0</v>
      </c>
      <c r="N72" s="90">
        <v>0.0</v>
      </c>
      <c r="O72" s="70" t="s">
        <v>2714</v>
      </c>
      <c r="P72" s="70" t="s">
        <v>31543</v>
      </c>
      <c r="Q72" s="70" t="s">
        <v>32877</v>
      </c>
      <c r="R72" s="82" t="s">
        <v>32819</v>
      </c>
      <c r="S72" s="70" t="s">
        <v>29614</v>
      </c>
      <c r="T72" s="70" t="s">
        <v>2713</v>
      </c>
      <c r="U72" s="70" t="s">
        <v>32878</v>
      </c>
      <c r="V72" s="82" t="s">
        <v>32666</v>
      </c>
      <c r="W72" s="70" t="s">
        <v>387</v>
      </c>
      <c r="X72" s="70" t="s">
        <v>29615</v>
      </c>
      <c r="Y72" s="70" t="s">
        <v>32879</v>
      </c>
      <c r="AA72" s="82" t="s">
        <v>32880</v>
      </c>
      <c r="AB72" s="82" t="s">
        <v>32616</v>
      </c>
    </row>
    <row r="73" ht="22.5" customHeight="1">
      <c r="A73" s="70" t="s">
        <v>1358</v>
      </c>
      <c r="E73" s="93"/>
      <c r="F73" s="93"/>
      <c r="H73" s="93"/>
      <c r="J73" s="93"/>
      <c r="L73" s="90" t="str">
        <f t="shared" si="2"/>
        <v>Excluded</v>
      </c>
      <c r="M73" s="90">
        <v>0.0</v>
      </c>
      <c r="N73" s="90">
        <v>0.0</v>
      </c>
      <c r="O73" s="70" t="s">
        <v>1361</v>
      </c>
      <c r="P73" s="70" t="s">
        <v>31543</v>
      </c>
      <c r="Q73" s="70" t="s">
        <v>32881</v>
      </c>
      <c r="R73" s="82" t="s">
        <v>32882</v>
      </c>
      <c r="S73" s="70" t="s">
        <v>29616</v>
      </c>
      <c r="T73" s="70" t="s">
        <v>1360</v>
      </c>
      <c r="U73" s="70" t="s">
        <v>32883</v>
      </c>
      <c r="V73" s="82" t="s">
        <v>32666</v>
      </c>
      <c r="W73" s="70" t="s">
        <v>387</v>
      </c>
      <c r="X73" s="70" t="s">
        <v>29617</v>
      </c>
      <c r="Y73" s="70" t="s">
        <v>32884</v>
      </c>
      <c r="AA73" s="82" t="s">
        <v>32885</v>
      </c>
      <c r="AB73" s="82" t="s">
        <v>32616</v>
      </c>
    </row>
    <row r="74" ht="22.5" customHeight="1">
      <c r="A74" s="70" t="s">
        <v>3118</v>
      </c>
      <c r="E74" s="93"/>
      <c r="F74" s="93"/>
      <c r="H74" s="93"/>
      <c r="J74" s="93"/>
      <c r="L74" s="90" t="str">
        <f t="shared" si="2"/>
        <v>Excluded</v>
      </c>
      <c r="M74" s="90">
        <v>0.0</v>
      </c>
      <c r="N74" s="90">
        <v>0.0</v>
      </c>
      <c r="O74" s="70" t="s">
        <v>3121</v>
      </c>
      <c r="P74" s="70" t="s">
        <v>31543</v>
      </c>
      <c r="Q74" s="70" t="s">
        <v>32886</v>
      </c>
      <c r="R74" s="82" t="s">
        <v>32887</v>
      </c>
      <c r="S74" s="70" t="s">
        <v>29618</v>
      </c>
      <c r="T74" s="70" t="s">
        <v>3120</v>
      </c>
      <c r="U74" s="70" t="s">
        <v>32888</v>
      </c>
      <c r="V74" s="82" t="s">
        <v>32666</v>
      </c>
      <c r="W74" s="70" t="s">
        <v>387</v>
      </c>
      <c r="X74" s="70" t="s">
        <v>29619</v>
      </c>
      <c r="Y74" s="70" t="s">
        <v>32889</v>
      </c>
      <c r="AA74" s="82" t="s">
        <v>32890</v>
      </c>
      <c r="AB74" s="82" t="s">
        <v>32616</v>
      </c>
    </row>
    <row r="75" ht="22.5" customHeight="1">
      <c r="A75" s="70" t="s">
        <v>29620</v>
      </c>
      <c r="E75" s="93"/>
      <c r="F75" s="93"/>
      <c r="H75" s="93"/>
      <c r="J75" s="93"/>
      <c r="L75" s="90" t="str">
        <f t="shared" si="2"/>
        <v>Excluded</v>
      </c>
      <c r="M75" s="90">
        <v>0.0</v>
      </c>
      <c r="N75" s="90">
        <v>0.0</v>
      </c>
      <c r="O75" s="70" t="s">
        <v>1902</v>
      </c>
      <c r="P75" s="70" t="s">
        <v>31543</v>
      </c>
      <c r="Q75" s="70" t="s">
        <v>32891</v>
      </c>
      <c r="R75" s="82" t="s">
        <v>32892</v>
      </c>
      <c r="S75" s="70" t="s">
        <v>29621</v>
      </c>
      <c r="T75" s="70" t="s">
        <v>1901</v>
      </c>
      <c r="U75" s="70" t="s">
        <v>32893</v>
      </c>
      <c r="V75" s="82" t="s">
        <v>32666</v>
      </c>
      <c r="W75" s="70" t="s">
        <v>387</v>
      </c>
      <c r="X75" s="70" t="s">
        <v>29622</v>
      </c>
      <c r="Y75" s="70" t="s">
        <v>32894</v>
      </c>
      <c r="AA75" s="82" t="s">
        <v>32895</v>
      </c>
      <c r="AB75" s="82" t="s">
        <v>32616</v>
      </c>
    </row>
    <row r="76" ht="22.5" customHeight="1">
      <c r="A76" s="70" t="s">
        <v>2373</v>
      </c>
      <c r="E76" s="93"/>
      <c r="F76" s="93"/>
      <c r="H76" s="93"/>
      <c r="J76" s="93"/>
      <c r="L76" s="90" t="str">
        <f t="shared" si="2"/>
        <v>Excluded</v>
      </c>
      <c r="M76" s="90">
        <v>0.0</v>
      </c>
      <c r="N76" s="90">
        <v>0.0</v>
      </c>
      <c r="O76" s="70" t="s">
        <v>2376</v>
      </c>
      <c r="P76" s="70" t="s">
        <v>31543</v>
      </c>
      <c r="Q76" s="70" t="s">
        <v>32896</v>
      </c>
      <c r="R76" s="82" t="s">
        <v>32897</v>
      </c>
      <c r="S76" s="70" t="s">
        <v>29623</v>
      </c>
      <c r="T76" s="70" t="s">
        <v>2375</v>
      </c>
      <c r="U76" s="70" t="s">
        <v>32898</v>
      </c>
      <c r="V76" s="82" t="s">
        <v>32666</v>
      </c>
      <c r="W76" s="70" t="s">
        <v>387</v>
      </c>
      <c r="X76" s="70" t="s">
        <v>2379</v>
      </c>
      <c r="Y76" s="70" t="s">
        <v>32899</v>
      </c>
      <c r="AA76" s="82" t="s">
        <v>32900</v>
      </c>
      <c r="AB76" s="82" t="s">
        <v>32616</v>
      </c>
    </row>
    <row r="77" ht="22.5" customHeight="1">
      <c r="A77" s="70" t="s">
        <v>1629</v>
      </c>
      <c r="E77" s="93"/>
      <c r="F77" s="93"/>
      <c r="H77" s="93"/>
      <c r="J77" s="93"/>
      <c r="L77" s="90" t="str">
        <f t="shared" si="2"/>
        <v>Excluded</v>
      </c>
      <c r="M77" s="90">
        <v>0.0</v>
      </c>
      <c r="N77" s="90">
        <v>0.0</v>
      </c>
      <c r="O77" s="70" t="s">
        <v>1632</v>
      </c>
      <c r="P77" s="70" t="s">
        <v>31543</v>
      </c>
      <c r="Q77" s="70" t="s">
        <v>32901</v>
      </c>
      <c r="R77" s="82" t="s">
        <v>32902</v>
      </c>
      <c r="S77" s="70" t="s">
        <v>29624</v>
      </c>
      <c r="T77" s="70" t="s">
        <v>1631</v>
      </c>
      <c r="U77" s="70" t="s">
        <v>32903</v>
      </c>
      <c r="V77" s="82" t="s">
        <v>32666</v>
      </c>
      <c r="W77" s="70" t="s">
        <v>387</v>
      </c>
      <c r="X77" s="70" t="s">
        <v>29625</v>
      </c>
      <c r="Y77" s="70" t="s">
        <v>32904</v>
      </c>
      <c r="AA77" s="82" t="s">
        <v>32905</v>
      </c>
      <c r="AB77" s="82" t="s">
        <v>32616</v>
      </c>
    </row>
    <row r="78" ht="22.5" customHeight="1">
      <c r="A78" s="70" t="s">
        <v>1283</v>
      </c>
      <c r="E78" s="93"/>
      <c r="F78" s="93"/>
      <c r="H78" s="93"/>
      <c r="J78" s="93"/>
      <c r="L78" s="90" t="str">
        <f t="shared" si="2"/>
        <v>Excluded</v>
      </c>
      <c r="M78" s="90">
        <v>0.0</v>
      </c>
      <c r="N78" s="90">
        <v>0.0</v>
      </c>
      <c r="O78" s="70" t="s">
        <v>1284</v>
      </c>
      <c r="P78" s="70" t="s">
        <v>31543</v>
      </c>
      <c r="Q78" s="70" t="s">
        <v>32906</v>
      </c>
      <c r="R78" s="82" t="s">
        <v>32907</v>
      </c>
      <c r="S78" s="70" t="s">
        <v>29626</v>
      </c>
      <c r="T78" s="70" t="s">
        <v>383</v>
      </c>
      <c r="U78" s="70" t="s">
        <v>32908</v>
      </c>
      <c r="V78" s="82" t="s">
        <v>32666</v>
      </c>
      <c r="W78" s="70" t="s">
        <v>387</v>
      </c>
      <c r="X78" s="70" t="s">
        <v>29627</v>
      </c>
      <c r="Y78" s="70" t="s">
        <v>32909</v>
      </c>
      <c r="AA78" s="82" t="s">
        <v>32910</v>
      </c>
      <c r="AB78" s="82" t="s">
        <v>32616</v>
      </c>
    </row>
    <row r="79" ht="22.5" customHeight="1">
      <c r="A79" s="70" t="s">
        <v>381</v>
      </c>
      <c r="E79" s="93"/>
      <c r="F79" s="93"/>
      <c r="H79" s="93"/>
      <c r="J79" s="93"/>
      <c r="L79" s="90" t="str">
        <f t="shared" si="2"/>
        <v>Excluded</v>
      </c>
      <c r="M79" s="90">
        <v>0.0</v>
      </c>
      <c r="N79" s="90">
        <v>0.0</v>
      </c>
      <c r="O79" s="70" t="s">
        <v>384</v>
      </c>
      <c r="P79" s="70" t="s">
        <v>31543</v>
      </c>
      <c r="Q79" s="70" t="s">
        <v>32911</v>
      </c>
      <c r="R79" s="82" t="s">
        <v>32912</v>
      </c>
      <c r="S79" s="70" t="s">
        <v>29626</v>
      </c>
      <c r="T79" s="70" t="s">
        <v>383</v>
      </c>
      <c r="U79" s="70" t="s">
        <v>32913</v>
      </c>
      <c r="V79" s="82" t="s">
        <v>32666</v>
      </c>
      <c r="W79" s="70" t="s">
        <v>387</v>
      </c>
      <c r="X79" s="70" t="s">
        <v>29628</v>
      </c>
      <c r="Y79" s="70" t="s">
        <v>32914</v>
      </c>
      <c r="AA79" s="82" t="s">
        <v>32807</v>
      </c>
      <c r="AB79" s="82" t="s">
        <v>32616</v>
      </c>
    </row>
    <row r="80" ht="22.5" customHeight="1">
      <c r="A80" s="70" t="s">
        <v>2206</v>
      </c>
      <c r="E80" s="93"/>
      <c r="F80" s="93"/>
      <c r="H80" s="93"/>
      <c r="J80" s="93"/>
      <c r="L80" s="90" t="str">
        <f t="shared" si="2"/>
        <v>Excluded</v>
      </c>
      <c r="M80" s="90">
        <v>0.0</v>
      </c>
      <c r="N80" s="90">
        <v>0.0</v>
      </c>
      <c r="O80" s="70" t="s">
        <v>2209</v>
      </c>
      <c r="P80" s="70" t="s">
        <v>31543</v>
      </c>
      <c r="Q80" s="70" t="s">
        <v>32915</v>
      </c>
      <c r="R80" s="82" t="s">
        <v>32916</v>
      </c>
      <c r="S80" s="70" t="s">
        <v>2207</v>
      </c>
      <c r="T80" s="70" t="s">
        <v>2208</v>
      </c>
      <c r="U80" s="70" t="s">
        <v>32917</v>
      </c>
      <c r="V80" s="82" t="s">
        <v>32666</v>
      </c>
      <c r="W80" s="70" t="s">
        <v>387</v>
      </c>
      <c r="X80" s="70" t="s">
        <v>29629</v>
      </c>
      <c r="AA80" s="82" t="s">
        <v>32918</v>
      </c>
      <c r="AB80" s="82" t="s">
        <v>32616</v>
      </c>
    </row>
    <row r="81" ht="22.5" customHeight="1">
      <c r="A81" s="70" t="s">
        <v>2833</v>
      </c>
      <c r="E81" s="93"/>
      <c r="F81" s="93"/>
      <c r="H81" s="93"/>
      <c r="J81" s="93"/>
      <c r="L81" s="90" t="str">
        <f t="shared" si="2"/>
        <v>Excluded</v>
      </c>
      <c r="M81" s="90">
        <v>0.0</v>
      </c>
      <c r="N81" s="90">
        <v>0.0</v>
      </c>
      <c r="O81" s="70" t="s">
        <v>2836</v>
      </c>
      <c r="P81" s="70" t="s">
        <v>31543</v>
      </c>
      <c r="Q81" s="70" t="s">
        <v>32919</v>
      </c>
      <c r="R81" s="82" t="s">
        <v>32867</v>
      </c>
      <c r="S81" s="70" t="s">
        <v>29630</v>
      </c>
      <c r="T81" s="70" t="s">
        <v>2835</v>
      </c>
      <c r="U81" s="70" t="s">
        <v>32920</v>
      </c>
      <c r="V81" s="82" t="s">
        <v>32666</v>
      </c>
      <c r="W81" s="70" t="s">
        <v>387</v>
      </c>
      <c r="X81" s="70" t="s">
        <v>29631</v>
      </c>
      <c r="Y81" s="70" t="s">
        <v>32921</v>
      </c>
      <c r="AA81" s="82" t="s">
        <v>32922</v>
      </c>
      <c r="AB81" s="82" t="s">
        <v>32616</v>
      </c>
    </row>
    <row r="82" ht="22.5" customHeight="1">
      <c r="A82" s="70" t="s">
        <v>2444</v>
      </c>
      <c r="E82" s="93"/>
      <c r="F82" s="93"/>
      <c r="H82" s="93"/>
      <c r="J82" s="93"/>
      <c r="L82" s="90" t="str">
        <f t="shared" si="2"/>
        <v>Excluded</v>
      </c>
      <c r="M82" s="90">
        <v>0.0</v>
      </c>
      <c r="N82" s="90">
        <v>0.0</v>
      </c>
      <c r="O82" s="70" t="s">
        <v>2447</v>
      </c>
      <c r="P82" s="70" t="s">
        <v>31543</v>
      </c>
      <c r="Q82" s="70" t="s">
        <v>32923</v>
      </c>
      <c r="R82" s="82" t="s">
        <v>32924</v>
      </c>
      <c r="S82" s="70" t="s">
        <v>29632</v>
      </c>
      <c r="T82" s="70" t="s">
        <v>2446</v>
      </c>
      <c r="U82" s="70" t="s">
        <v>32925</v>
      </c>
      <c r="V82" s="82" t="s">
        <v>32666</v>
      </c>
      <c r="W82" s="70" t="s">
        <v>387</v>
      </c>
      <c r="X82" s="70" t="s">
        <v>29633</v>
      </c>
      <c r="Y82" s="70" t="s">
        <v>32926</v>
      </c>
      <c r="AA82" s="82" t="s">
        <v>32927</v>
      </c>
      <c r="AB82" s="82" t="s">
        <v>32616</v>
      </c>
    </row>
    <row r="83" ht="22.5" customHeight="1">
      <c r="A83" s="70" t="s">
        <v>2330</v>
      </c>
      <c r="E83" s="93"/>
      <c r="F83" s="93"/>
      <c r="H83" s="93"/>
      <c r="J83" s="93"/>
      <c r="L83" s="90" t="str">
        <f t="shared" si="2"/>
        <v>Excluded</v>
      </c>
      <c r="M83" s="90">
        <v>0.0</v>
      </c>
      <c r="N83" s="90">
        <v>0.0</v>
      </c>
      <c r="O83" s="70" t="s">
        <v>2333</v>
      </c>
      <c r="P83" s="70" t="s">
        <v>31543</v>
      </c>
      <c r="Q83" s="70" t="s">
        <v>32928</v>
      </c>
      <c r="R83" s="82" t="s">
        <v>32929</v>
      </c>
      <c r="S83" s="70" t="s">
        <v>29635</v>
      </c>
      <c r="T83" s="70" t="s">
        <v>2332</v>
      </c>
      <c r="U83" s="70" t="s">
        <v>32930</v>
      </c>
      <c r="V83" s="82" t="s">
        <v>32620</v>
      </c>
      <c r="W83" s="70" t="s">
        <v>387</v>
      </c>
      <c r="X83" s="70" t="s">
        <v>2337</v>
      </c>
      <c r="Y83" s="70" t="s">
        <v>32931</v>
      </c>
      <c r="AA83" s="82" t="s">
        <v>32788</v>
      </c>
      <c r="AB83" s="82" t="s">
        <v>32616</v>
      </c>
    </row>
    <row r="84" ht="22.5" customHeight="1">
      <c r="A84" s="70" t="s">
        <v>1866</v>
      </c>
      <c r="E84" s="93"/>
      <c r="F84" s="93"/>
      <c r="H84" s="93"/>
      <c r="J84" s="93"/>
      <c r="L84" s="90" t="str">
        <f t="shared" si="2"/>
        <v>Excluded</v>
      </c>
      <c r="M84" s="90">
        <v>0.0</v>
      </c>
      <c r="N84" s="90">
        <v>0.0</v>
      </c>
      <c r="O84" s="70" t="s">
        <v>1869</v>
      </c>
      <c r="P84" s="70" t="s">
        <v>31543</v>
      </c>
      <c r="Q84" s="70" t="s">
        <v>32932</v>
      </c>
      <c r="R84" s="82" t="s">
        <v>32933</v>
      </c>
      <c r="S84" s="70" t="s">
        <v>29639</v>
      </c>
      <c r="T84" s="70" t="s">
        <v>1868</v>
      </c>
      <c r="U84" s="70" t="s">
        <v>32934</v>
      </c>
      <c r="V84" s="82" t="s">
        <v>32666</v>
      </c>
      <c r="W84" s="70" t="s">
        <v>387</v>
      </c>
      <c r="X84" s="70" t="s">
        <v>1873</v>
      </c>
      <c r="Y84" s="70" t="s">
        <v>32935</v>
      </c>
      <c r="AA84" s="82" t="s">
        <v>32936</v>
      </c>
      <c r="AB84" s="82" t="s">
        <v>32616</v>
      </c>
    </row>
    <row r="85" ht="22.5" customHeight="1">
      <c r="A85" s="70" t="s">
        <v>509</v>
      </c>
      <c r="E85" s="93"/>
      <c r="F85" s="93"/>
      <c r="H85" s="93"/>
      <c r="J85" s="93"/>
      <c r="L85" s="90" t="str">
        <f t="shared" si="2"/>
        <v>Excluded</v>
      </c>
      <c r="M85" s="90">
        <v>0.0</v>
      </c>
      <c r="N85" s="90">
        <v>0.0</v>
      </c>
      <c r="O85" s="70" t="s">
        <v>512</v>
      </c>
      <c r="P85" s="70" t="s">
        <v>31543</v>
      </c>
      <c r="Q85" s="70" t="s">
        <v>32937</v>
      </c>
      <c r="R85" s="82" t="s">
        <v>32938</v>
      </c>
      <c r="S85" s="70" t="s">
        <v>29644</v>
      </c>
      <c r="T85" s="70" t="s">
        <v>511</v>
      </c>
      <c r="U85" s="70" t="s">
        <v>32939</v>
      </c>
      <c r="V85" s="82" t="s">
        <v>32666</v>
      </c>
      <c r="W85" s="70" t="s">
        <v>387</v>
      </c>
      <c r="X85" s="70" t="s">
        <v>29645</v>
      </c>
      <c r="Y85" s="70" t="s">
        <v>32940</v>
      </c>
      <c r="AA85" s="82" t="s">
        <v>32941</v>
      </c>
      <c r="AB85" s="82" t="s">
        <v>32616</v>
      </c>
    </row>
    <row r="86" ht="22.5" customHeight="1">
      <c r="A86" s="70" t="s">
        <v>2027</v>
      </c>
      <c r="E86" s="93"/>
      <c r="F86" s="93"/>
      <c r="H86" s="93"/>
      <c r="J86" s="93"/>
      <c r="L86" s="90" t="str">
        <f t="shared" si="2"/>
        <v>Excluded</v>
      </c>
      <c r="M86" s="90">
        <v>0.0</v>
      </c>
      <c r="N86" s="90">
        <v>0.0</v>
      </c>
      <c r="O86" s="70" t="s">
        <v>2030</v>
      </c>
      <c r="P86" s="70" t="s">
        <v>31543</v>
      </c>
      <c r="Q86" s="70" t="s">
        <v>32942</v>
      </c>
      <c r="R86" s="82" t="s">
        <v>32740</v>
      </c>
      <c r="S86" s="70" t="s">
        <v>29647</v>
      </c>
      <c r="T86" s="70" t="s">
        <v>2029</v>
      </c>
      <c r="U86" s="70" t="s">
        <v>32943</v>
      </c>
      <c r="V86" s="82" t="s">
        <v>32944</v>
      </c>
      <c r="W86" s="70" t="s">
        <v>387</v>
      </c>
      <c r="X86" s="70" t="s">
        <v>29648</v>
      </c>
      <c r="Y86" s="70" t="s">
        <v>32945</v>
      </c>
      <c r="AA86" s="82" t="s">
        <v>32946</v>
      </c>
      <c r="AB86" s="82" t="s">
        <v>32616</v>
      </c>
    </row>
    <row r="87" ht="22.5" customHeight="1">
      <c r="A87" s="70" t="s">
        <v>1042</v>
      </c>
      <c r="E87" s="93"/>
      <c r="F87" s="93"/>
      <c r="H87" s="93"/>
      <c r="J87" s="93"/>
      <c r="L87" s="90" t="str">
        <f t="shared" si="2"/>
        <v>Excluded</v>
      </c>
      <c r="M87" s="90">
        <v>0.0</v>
      </c>
      <c r="N87" s="90">
        <v>0.0</v>
      </c>
      <c r="O87" s="70" t="s">
        <v>1045</v>
      </c>
      <c r="P87" s="70" t="s">
        <v>31543</v>
      </c>
      <c r="Q87" s="70" t="s">
        <v>32947</v>
      </c>
      <c r="R87" s="82" t="s">
        <v>32948</v>
      </c>
      <c r="S87" s="70" t="s">
        <v>29649</v>
      </c>
      <c r="T87" s="70" t="s">
        <v>1044</v>
      </c>
      <c r="U87" s="70" t="s">
        <v>32949</v>
      </c>
      <c r="V87" s="82" t="s">
        <v>32944</v>
      </c>
      <c r="W87" s="70" t="s">
        <v>387</v>
      </c>
      <c r="X87" s="70" t="s">
        <v>29650</v>
      </c>
      <c r="Y87" s="70" t="s">
        <v>32950</v>
      </c>
      <c r="AA87" s="82" t="s">
        <v>32951</v>
      </c>
      <c r="AB87" s="82" t="s">
        <v>32616</v>
      </c>
    </row>
    <row r="88" ht="22.5" customHeight="1">
      <c r="A88" s="70" t="s">
        <v>1584</v>
      </c>
      <c r="E88" s="93"/>
      <c r="F88" s="93"/>
      <c r="H88" s="93"/>
      <c r="J88" s="93"/>
      <c r="L88" s="90" t="str">
        <f t="shared" si="2"/>
        <v>Excluded</v>
      </c>
      <c r="M88" s="90">
        <v>0.0</v>
      </c>
      <c r="N88" s="90">
        <v>0.0</v>
      </c>
      <c r="O88" s="70" t="s">
        <v>1587</v>
      </c>
      <c r="P88" s="70" t="s">
        <v>31543</v>
      </c>
      <c r="Q88" s="70" t="s">
        <v>32952</v>
      </c>
      <c r="R88" s="82" t="s">
        <v>32796</v>
      </c>
      <c r="S88" s="70" t="s">
        <v>29654</v>
      </c>
      <c r="T88" s="70" t="s">
        <v>1586</v>
      </c>
      <c r="U88" s="70" t="s">
        <v>32953</v>
      </c>
      <c r="V88" s="82" t="s">
        <v>32623</v>
      </c>
      <c r="W88" s="70" t="s">
        <v>387</v>
      </c>
      <c r="X88" s="70" t="s">
        <v>1591</v>
      </c>
      <c r="Y88" s="70" t="s">
        <v>32954</v>
      </c>
      <c r="AA88" s="82" t="s">
        <v>32955</v>
      </c>
      <c r="AB88" s="82" t="s">
        <v>32616</v>
      </c>
    </row>
    <row r="89" ht="22.5" customHeight="1">
      <c r="A89" s="70" t="s">
        <v>3094</v>
      </c>
      <c r="E89" s="93"/>
      <c r="F89" s="93"/>
      <c r="H89" s="93"/>
      <c r="J89" s="93"/>
      <c r="L89" s="90" t="str">
        <f t="shared" si="2"/>
        <v>Excluded</v>
      </c>
      <c r="M89" s="90">
        <v>0.0</v>
      </c>
      <c r="N89" s="90">
        <v>0.0</v>
      </c>
      <c r="O89" s="70" t="s">
        <v>3095</v>
      </c>
      <c r="P89" s="70" t="s">
        <v>31543</v>
      </c>
      <c r="Q89" s="70" t="s">
        <v>32956</v>
      </c>
      <c r="R89" s="82" t="s">
        <v>32957</v>
      </c>
      <c r="S89" s="70" t="s">
        <v>29654</v>
      </c>
      <c r="T89" s="70" t="s">
        <v>1586</v>
      </c>
      <c r="U89" s="70" t="s">
        <v>32958</v>
      </c>
      <c r="V89" s="82" t="s">
        <v>32623</v>
      </c>
      <c r="W89" s="70" t="s">
        <v>387</v>
      </c>
      <c r="X89" s="70" t="s">
        <v>29655</v>
      </c>
      <c r="AA89" s="82" t="s">
        <v>32959</v>
      </c>
      <c r="AB89" s="82" t="s">
        <v>32616</v>
      </c>
    </row>
    <row r="90" ht="22.5" customHeight="1">
      <c r="A90" s="70" t="s">
        <v>774</v>
      </c>
      <c r="E90" s="93"/>
      <c r="F90" s="93"/>
      <c r="H90" s="93"/>
      <c r="J90" s="93"/>
      <c r="L90" s="90" t="str">
        <f t="shared" si="2"/>
        <v>Excluded</v>
      </c>
      <c r="M90" s="90">
        <v>0.0</v>
      </c>
      <c r="N90" s="90">
        <v>0.0</v>
      </c>
      <c r="O90" s="70" t="s">
        <v>777</v>
      </c>
      <c r="P90" s="70" t="s">
        <v>31543</v>
      </c>
      <c r="Q90" s="70" t="s">
        <v>32960</v>
      </c>
      <c r="R90" s="82" t="s">
        <v>32961</v>
      </c>
      <c r="S90" s="70" t="s">
        <v>29661</v>
      </c>
      <c r="T90" s="70" t="s">
        <v>776</v>
      </c>
      <c r="U90" s="70" t="s">
        <v>32962</v>
      </c>
      <c r="V90" s="82" t="s">
        <v>32666</v>
      </c>
      <c r="W90" s="70" t="s">
        <v>387</v>
      </c>
      <c r="X90" s="70" t="s">
        <v>781</v>
      </c>
      <c r="Y90" s="70" t="s">
        <v>32963</v>
      </c>
      <c r="AA90" s="82" t="s">
        <v>32964</v>
      </c>
      <c r="AB90" s="82" t="s">
        <v>32616</v>
      </c>
    </row>
    <row r="91" ht="22.5" customHeight="1">
      <c r="A91" s="70" t="s">
        <v>3028</v>
      </c>
      <c r="E91" s="93"/>
      <c r="F91" s="93"/>
      <c r="H91" s="93"/>
      <c r="J91" s="93"/>
      <c r="L91" s="90" t="str">
        <f t="shared" si="2"/>
        <v>Excluded</v>
      </c>
      <c r="M91" s="90">
        <v>0.0</v>
      </c>
      <c r="N91" s="90">
        <v>0.0</v>
      </c>
      <c r="O91" s="70" t="s">
        <v>3031</v>
      </c>
      <c r="P91" s="70" t="s">
        <v>31543</v>
      </c>
      <c r="Q91" s="70" t="s">
        <v>32965</v>
      </c>
      <c r="R91" s="82" t="s">
        <v>32966</v>
      </c>
      <c r="S91" s="70" t="s">
        <v>3029</v>
      </c>
      <c r="T91" s="70" t="s">
        <v>3030</v>
      </c>
      <c r="U91" s="70" t="s">
        <v>32967</v>
      </c>
      <c r="V91" s="82" t="s">
        <v>32642</v>
      </c>
      <c r="W91" s="70" t="s">
        <v>555</v>
      </c>
      <c r="X91" s="70" t="s">
        <v>3036</v>
      </c>
      <c r="AA91" s="82" t="s">
        <v>32968</v>
      </c>
      <c r="AB91" s="82" t="s">
        <v>32616</v>
      </c>
    </row>
    <row r="92" ht="22.5" customHeight="1">
      <c r="A92" s="70" t="s">
        <v>2619</v>
      </c>
      <c r="E92" s="93"/>
      <c r="F92" s="93"/>
      <c r="H92" s="93"/>
      <c r="J92" s="93"/>
      <c r="L92" s="90" t="str">
        <f t="shared" si="2"/>
        <v>Excluded</v>
      </c>
      <c r="M92" s="90">
        <v>0.0</v>
      </c>
      <c r="N92" s="90">
        <v>0.0</v>
      </c>
      <c r="O92" s="70" t="s">
        <v>2621</v>
      </c>
      <c r="P92" s="70" t="s">
        <v>31543</v>
      </c>
      <c r="Q92" s="70" t="s">
        <v>32969</v>
      </c>
      <c r="R92" s="82" t="s">
        <v>32970</v>
      </c>
      <c r="S92" s="70" t="s">
        <v>2620</v>
      </c>
      <c r="U92" s="70" t="s">
        <v>32971</v>
      </c>
      <c r="V92" s="82" t="s">
        <v>32684</v>
      </c>
      <c r="W92" s="70" t="s">
        <v>555</v>
      </c>
      <c r="X92" s="70" t="s">
        <v>2626</v>
      </c>
      <c r="AA92" s="82" t="s">
        <v>32972</v>
      </c>
      <c r="AB92" s="82" t="s">
        <v>32616</v>
      </c>
    </row>
    <row r="93" ht="22.5" customHeight="1">
      <c r="A93" s="70" t="s">
        <v>2891</v>
      </c>
      <c r="E93" s="93"/>
      <c r="F93" s="93"/>
      <c r="H93" s="93"/>
      <c r="J93" s="93"/>
      <c r="L93" s="90" t="str">
        <f t="shared" si="2"/>
        <v>Excluded</v>
      </c>
      <c r="M93" s="90">
        <v>0.0</v>
      </c>
      <c r="N93" s="90">
        <v>0.0</v>
      </c>
      <c r="O93" s="70" t="s">
        <v>2894</v>
      </c>
      <c r="P93" s="70" t="s">
        <v>31543</v>
      </c>
      <c r="Q93" s="70" t="s">
        <v>32973</v>
      </c>
      <c r="R93" s="82" t="s">
        <v>32862</v>
      </c>
      <c r="S93" s="70" t="s">
        <v>2892</v>
      </c>
      <c r="T93" s="70" t="s">
        <v>2893</v>
      </c>
      <c r="U93" s="70" t="s">
        <v>32974</v>
      </c>
      <c r="V93" s="82" t="s">
        <v>32620</v>
      </c>
      <c r="W93" s="70" t="s">
        <v>555</v>
      </c>
      <c r="X93" s="70" t="s">
        <v>2898</v>
      </c>
      <c r="Y93" s="70" t="s">
        <v>32975</v>
      </c>
      <c r="AA93" s="82" t="s">
        <v>32976</v>
      </c>
      <c r="AB93" s="82" t="s">
        <v>32616</v>
      </c>
    </row>
    <row r="94" ht="22.5" customHeight="1">
      <c r="A94" s="70" t="s">
        <v>1617</v>
      </c>
      <c r="E94" s="93"/>
      <c r="F94" s="93"/>
      <c r="H94" s="93"/>
      <c r="J94" s="93"/>
      <c r="L94" s="90" t="str">
        <f t="shared" si="2"/>
        <v>Excluded</v>
      </c>
      <c r="M94" s="90">
        <v>0.0</v>
      </c>
      <c r="N94" s="90">
        <v>0.0</v>
      </c>
      <c r="O94" s="70" t="s">
        <v>1620</v>
      </c>
      <c r="P94" s="70" t="s">
        <v>31543</v>
      </c>
      <c r="Q94" s="70" t="s">
        <v>32977</v>
      </c>
      <c r="R94" s="82" t="s">
        <v>32781</v>
      </c>
      <c r="S94" s="70" t="s">
        <v>1618</v>
      </c>
      <c r="T94" s="70" t="s">
        <v>1619</v>
      </c>
      <c r="U94" s="70" t="s">
        <v>32978</v>
      </c>
      <c r="V94" s="82" t="s">
        <v>32620</v>
      </c>
      <c r="W94" s="70" t="s">
        <v>555</v>
      </c>
      <c r="X94" s="70" t="s">
        <v>1625</v>
      </c>
      <c r="Y94" s="70" t="s">
        <v>32979</v>
      </c>
      <c r="AA94" s="82" t="s">
        <v>32980</v>
      </c>
      <c r="AB94" s="82" t="s">
        <v>32616</v>
      </c>
    </row>
    <row r="95" ht="22.5" customHeight="1">
      <c r="A95" s="70" t="s">
        <v>3083</v>
      </c>
      <c r="E95" s="93"/>
      <c r="F95" s="93"/>
      <c r="H95" s="93"/>
      <c r="J95" s="93"/>
      <c r="L95" s="90" t="str">
        <f t="shared" si="2"/>
        <v>Excluded</v>
      </c>
      <c r="M95" s="90">
        <v>0.0</v>
      </c>
      <c r="N95" s="90">
        <v>0.0</v>
      </c>
      <c r="O95" s="70" t="s">
        <v>3086</v>
      </c>
      <c r="P95" s="70" t="s">
        <v>31543</v>
      </c>
      <c r="Q95" s="70" t="s">
        <v>32981</v>
      </c>
      <c r="R95" s="82" t="s">
        <v>32982</v>
      </c>
      <c r="S95" s="70" t="s">
        <v>3084</v>
      </c>
      <c r="T95" s="70" t="s">
        <v>3085</v>
      </c>
      <c r="U95" s="70" t="s">
        <v>32983</v>
      </c>
      <c r="V95" s="82" t="s">
        <v>32984</v>
      </c>
      <c r="W95" s="70" t="s">
        <v>555</v>
      </c>
      <c r="X95" s="70" t="s">
        <v>30556</v>
      </c>
      <c r="Y95" s="70" t="s">
        <v>32985</v>
      </c>
      <c r="AA95" s="82" t="s">
        <v>32986</v>
      </c>
      <c r="AB95" s="82" t="s">
        <v>32616</v>
      </c>
    </row>
    <row r="96" ht="22.5" customHeight="1">
      <c r="A96" s="70" t="s">
        <v>3316</v>
      </c>
      <c r="E96" s="93"/>
      <c r="F96" s="93"/>
      <c r="H96" s="93"/>
      <c r="J96" s="93"/>
      <c r="L96" s="90" t="str">
        <f t="shared" si="2"/>
        <v>Excluded</v>
      </c>
      <c r="M96" s="90">
        <v>0.0</v>
      </c>
      <c r="N96" s="90">
        <v>0.0</v>
      </c>
      <c r="O96" s="70" t="s">
        <v>3317</v>
      </c>
      <c r="P96" s="70" t="s">
        <v>31543</v>
      </c>
      <c r="Q96" s="70" t="s">
        <v>32987</v>
      </c>
      <c r="R96" s="82" t="s">
        <v>32988</v>
      </c>
      <c r="S96" s="70" t="s">
        <v>2926</v>
      </c>
      <c r="T96" s="70" t="s">
        <v>2927</v>
      </c>
      <c r="U96" s="70" t="s">
        <v>32989</v>
      </c>
      <c r="V96" s="82" t="s">
        <v>32642</v>
      </c>
      <c r="W96" s="70" t="s">
        <v>555</v>
      </c>
      <c r="X96" s="70" t="s">
        <v>3320</v>
      </c>
      <c r="AA96" s="82" t="s">
        <v>32990</v>
      </c>
      <c r="AB96" s="82" t="s">
        <v>32616</v>
      </c>
    </row>
    <row r="97" ht="22.5" customHeight="1">
      <c r="A97" s="70" t="s">
        <v>2925</v>
      </c>
      <c r="E97" s="93"/>
      <c r="F97" s="93"/>
      <c r="H97" s="93"/>
      <c r="J97" s="93"/>
      <c r="L97" s="90" t="str">
        <f t="shared" si="2"/>
        <v>Excluded</v>
      </c>
      <c r="M97" s="90">
        <v>0.0</v>
      </c>
      <c r="N97" s="90">
        <v>0.0</v>
      </c>
      <c r="O97" s="70" t="s">
        <v>2928</v>
      </c>
      <c r="P97" s="70" t="s">
        <v>31543</v>
      </c>
      <c r="Q97" s="70" t="s">
        <v>32991</v>
      </c>
      <c r="R97" s="82" t="s">
        <v>32992</v>
      </c>
      <c r="S97" s="70" t="s">
        <v>2926</v>
      </c>
      <c r="T97" s="70" t="s">
        <v>2927</v>
      </c>
      <c r="U97" s="70" t="s">
        <v>32993</v>
      </c>
      <c r="V97" s="82" t="s">
        <v>32642</v>
      </c>
      <c r="W97" s="70" t="s">
        <v>555</v>
      </c>
      <c r="X97" s="70" t="s">
        <v>2933</v>
      </c>
      <c r="AA97" s="82" t="s">
        <v>32994</v>
      </c>
      <c r="AB97" s="82" t="s">
        <v>32616</v>
      </c>
    </row>
    <row r="98" ht="22.5" customHeight="1">
      <c r="A98" s="70" t="s">
        <v>596</v>
      </c>
      <c r="E98" s="93"/>
      <c r="F98" s="93"/>
      <c r="H98" s="93"/>
      <c r="J98" s="93"/>
      <c r="L98" s="90" t="str">
        <f t="shared" si="2"/>
        <v>Excluded</v>
      </c>
      <c r="M98" s="90">
        <v>0.0</v>
      </c>
      <c r="N98" s="90">
        <v>0.0</v>
      </c>
      <c r="O98" s="70" t="s">
        <v>599</v>
      </c>
      <c r="P98" s="70" t="s">
        <v>31543</v>
      </c>
      <c r="Q98" s="70" t="s">
        <v>32995</v>
      </c>
      <c r="R98" s="82" t="s">
        <v>32996</v>
      </c>
      <c r="S98" s="70" t="s">
        <v>597</v>
      </c>
      <c r="T98" s="70" t="s">
        <v>598</v>
      </c>
      <c r="U98" s="70" t="s">
        <v>32997</v>
      </c>
      <c r="V98" s="82" t="s">
        <v>32666</v>
      </c>
      <c r="W98" s="70" t="s">
        <v>555</v>
      </c>
      <c r="X98" s="70" t="s">
        <v>603</v>
      </c>
      <c r="Y98" s="70" t="s">
        <v>32998</v>
      </c>
      <c r="AA98" s="82" t="s">
        <v>32999</v>
      </c>
      <c r="AB98" s="82" t="s">
        <v>32616</v>
      </c>
    </row>
    <row r="99" ht="22.5" customHeight="1">
      <c r="A99" s="70" t="s">
        <v>3174</v>
      </c>
      <c r="E99" s="93"/>
      <c r="F99" s="93"/>
      <c r="H99" s="93"/>
      <c r="J99" s="93"/>
      <c r="L99" s="90" t="str">
        <f t="shared" si="2"/>
        <v>Excluded</v>
      </c>
      <c r="M99" s="90">
        <v>0.0</v>
      </c>
      <c r="N99" s="90">
        <v>0.0</v>
      </c>
      <c r="O99" s="70" t="s">
        <v>3175</v>
      </c>
      <c r="P99" s="70" t="s">
        <v>31543</v>
      </c>
      <c r="Q99" s="70" t="s">
        <v>33000</v>
      </c>
      <c r="R99" s="82" t="s">
        <v>33001</v>
      </c>
      <c r="S99" s="70" t="s">
        <v>1752</v>
      </c>
      <c r="T99" s="70" t="s">
        <v>1753</v>
      </c>
      <c r="U99" s="70" t="s">
        <v>33002</v>
      </c>
      <c r="V99" s="82" t="s">
        <v>32944</v>
      </c>
      <c r="W99" s="70" t="s">
        <v>555</v>
      </c>
      <c r="X99" s="70" t="s">
        <v>3178</v>
      </c>
      <c r="Y99" s="70" t="s">
        <v>33003</v>
      </c>
      <c r="AA99" s="82" t="s">
        <v>33004</v>
      </c>
      <c r="AB99" s="82" t="s">
        <v>32616</v>
      </c>
    </row>
    <row r="100" ht="22.5" customHeight="1">
      <c r="A100" s="70" t="s">
        <v>1751</v>
      </c>
      <c r="E100" s="93"/>
      <c r="F100" s="93"/>
      <c r="H100" s="93"/>
      <c r="J100" s="93"/>
      <c r="L100" s="90" t="str">
        <f t="shared" si="2"/>
        <v>Excluded</v>
      </c>
      <c r="M100" s="90">
        <v>0.0</v>
      </c>
      <c r="N100" s="90">
        <v>0.0</v>
      </c>
      <c r="O100" s="70" t="s">
        <v>1754</v>
      </c>
      <c r="P100" s="70" t="s">
        <v>31543</v>
      </c>
      <c r="Q100" s="70" t="s">
        <v>33005</v>
      </c>
      <c r="R100" s="82" t="s">
        <v>32810</v>
      </c>
      <c r="S100" s="70" t="s">
        <v>1752</v>
      </c>
      <c r="T100" s="70" t="s">
        <v>1753</v>
      </c>
      <c r="U100" s="70" t="s">
        <v>33006</v>
      </c>
      <c r="V100" s="82" t="s">
        <v>32944</v>
      </c>
      <c r="W100" s="70" t="s">
        <v>555</v>
      </c>
      <c r="X100" s="70" t="s">
        <v>1758</v>
      </c>
      <c r="Y100" s="70" t="s">
        <v>33007</v>
      </c>
      <c r="AA100" s="82" t="s">
        <v>33008</v>
      </c>
      <c r="AB100" s="82" t="s">
        <v>32616</v>
      </c>
    </row>
    <row r="101" ht="22.5" customHeight="1">
      <c r="A101" s="70" t="s">
        <v>2852</v>
      </c>
      <c r="E101" s="93"/>
      <c r="F101" s="93"/>
      <c r="H101" s="93"/>
      <c r="J101" s="93"/>
      <c r="L101" s="90" t="str">
        <f t="shared" si="2"/>
        <v>Excluded</v>
      </c>
      <c r="M101" s="90">
        <v>0.0</v>
      </c>
      <c r="N101" s="90">
        <v>0.0</v>
      </c>
      <c r="O101" s="70" t="s">
        <v>2854</v>
      </c>
      <c r="P101" s="70" t="s">
        <v>31543</v>
      </c>
      <c r="Q101" s="70" t="s">
        <v>33009</v>
      </c>
      <c r="R101" s="82" t="s">
        <v>33010</v>
      </c>
      <c r="S101" s="70" t="s">
        <v>2853</v>
      </c>
      <c r="U101" s="70" t="s">
        <v>33011</v>
      </c>
      <c r="V101" s="82" t="s">
        <v>32684</v>
      </c>
      <c r="W101" s="70" t="s">
        <v>555</v>
      </c>
      <c r="X101" s="70" t="s">
        <v>2857</v>
      </c>
      <c r="Y101" s="70" t="s">
        <v>33012</v>
      </c>
      <c r="AA101" s="82" t="s">
        <v>33013</v>
      </c>
      <c r="AB101" s="82" t="s">
        <v>32616</v>
      </c>
    </row>
    <row r="102" ht="22.5" customHeight="1">
      <c r="A102" s="70" t="s">
        <v>3769</v>
      </c>
      <c r="E102" s="93"/>
      <c r="F102" s="93"/>
      <c r="H102" s="93"/>
      <c r="J102" s="93"/>
      <c r="L102" s="90" t="str">
        <f t="shared" si="2"/>
        <v>Excluded</v>
      </c>
      <c r="M102" s="90">
        <v>0.0</v>
      </c>
      <c r="N102" s="90">
        <v>0.0</v>
      </c>
      <c r="O102" s="70" t="s">
        <v>3770</v>
      </c>
      <c r="P102" s="70" t="s">
        <v>31543</v>
      </c>
      <c r="Q102" s="70" t="s">
        <v>33014</v>
      </c>
      <c r="R102" s="82" t="s">
        <v>33015</v>
      </c>
      <c r="S102" s="70" t="s">
        <v>3691</v>
      </c>
      <c r="T102" s="70" t="s">
        <v>3692</v>
      </c>
      <c r="U102" s="70" t="s">
        <v>33016</v>
      </c>
      <c r="V102" s="82" t="s">
        <v>3772</v>
      </c>
      <c r="X102" s="70" t="s">
        <v>3773</v>
      </c>
      <c r="AA102" s="82" t="s">
        <v>32912</v>
      </c>
      <c r="AB102" s="82" t="s">
        <v>32616</v>
      </c>
    </row>
    <row r="103" ht="22.5" customHeight="1">
      <c r="A103" s="70" t="s">
        <v>4574</v>
      </c>
      <c r="E103" s="93"/>
      <c r="F103" s="93"/>
      <c r="H103" s="93"/>
      <c r="J103" s="93"/>
      <c r="L103" s="90" t="str">
        <f t="shared" si="2"/>
        <v>Excluded</v>
      </c>
      <c r="M103" s="90">
        <v>0.0</v>
      </c>
      <c r="N103" s="90">
        <v>0.0</v>
      </c>
      <c r="O103" s="70" t="s">
        <v>4575</v>
      </c>
      <c r="P103" s="70" t="s">
        <v>31543</v>
      </c>
      <c r="Q103" s="70" t="s">
        <v>33017</v>
      </c>
      <c r="R103" s="82" t="s">
        <v>32857</v>
      </c>
      <c r="S103" s="70" t="s">
        <v>3691</v>
      </c>
      <c r="T103" s="70" t="s">
        <v>3692</v>
      </c>
      <c r="U103" s="70" t="s">
        <v>33018</v>
      </c>
      <c r="V103" s="82" t="s">
        <v>4577</v>
      </c>
      <c r="X103" s="70" t="s">
        <v>4579</v>
      </c>
      <c r="AA103" s="82" t="s">
        <v>33019</v>
      </c>
      <c r="AB103" s="82" t="s">
        <v>32616</v>
      </c>
    </row>
    <row r="104" ht="22.5" customHeight="1">
      <c r="A104" s="70" t="s">
        <v>4103</v>
      </c>
      <c r="E104" s="93"/>
      <c r="F104" s="93"/>
      <c r="H104" s="93"/>
      <c r="J104" s="93"/>
      <c r="L104" s="90" t="str">
        <f t="shared" si="2"/>
        <v>Excluded</v>
      </c>
      <c r="M104" s="90">
        <v>0.0</v>
      </c>
      <c r="N104" s="90">
        <v>0.0</v>
      </c>
      <c r="O104" s="70" t="s">
        <v>4104</v>
      </c>
      <c r="P104" s="70" t="s">
        <v>31543</v>
      </c>
      <c r="Q104" s="70" t="s">
        <v>33020</v>
      </c>
      <c r="R104" s="82" t="s">
        <v>33021</v>
      </c>
      <c r="S104" s="70" t="s">
        <v>3691</v>
      </c>
      <c r="T104" s="70" t="s">
        <v>3692</v>
      </c>
      <c r="U104" s="70" t="s">
        <v>33022</v>
      </c>
      <c r="V104" s="82" t="s">
        <v>3787</v>
      </c>
      <c r="X104" s="70" t="s">
        <v>4107</v>
      </c>
      <c r="AA104" s="82" t="s">
        <v>33023</v>
      </c>
      <c r="AB104" s="82" t="s">
        <v>32616</v>
      </c>
    </row>
    <row r="105" ht="22.5" customHeight="1">
      <c r="A105" s="70" t="s">
        <v>3690</v>
      </c>
      <c r="E105" s="93"/>
      <c r="F105" s="93"/>
      <c r="H105" s="93"/>
      <c r="J105" s="93"/>
      <c r="L105" s="90" t="str">
        <f t="shared" si="2"/>
        <v>Excluded</v>
      </c>
      <c r="M105" s="90">
        <v>0.0</v>
      </c>
      <c r="N105" s="90">
        <v>0.0</v>
      </c>
      <c r="O105" s="70" t="s">
        <v>3693</v>
      </c>
      <c r="P105" s="70" t="s">
        <v>31543</v>
      </c>
      <c r="Q105" s="70" t="s">
        <v>33024</v>
      </c>
      <c r="R105" s="82" t="s">
        <v>33025</v>
      </c>
      <c r="S105" s="70" t="s">
        <v>3691</v>
      </c>
      <c r="T105" s="70" t="s">
        <v>3692</v>
      </c>
      <c r="U105" s="70" t="s">
        <v>33026</v>
      </c>
      <c r="V105" s="82" t="s">
        <v>3695</v>
      </c>
      <c r="X105" s="70" t="s">
        <v>30968</v>
      </c>
      <c r="AA105" s="82" t="s">
        <v>33027</v>
      </c>
      <c r="AB105" s="82" t="s">
        <v>32616</v>
      </c>
    </row>
    <row r="106" ht="22.5" customHeight="1">
      <c r="A106" s="70" t="s">
        <v>3151</v>
      </c>
      <c r="E106" s="93"/>
      <c r="F106" s="93"/>
      <c r="H106" s="93"/>
      <c r="J106" s="93"/>
      <c r="L106" s="90" t="str">
        <f t="shared" si="2"/>
        <v>Excluded</v>
      </c>
      <c r="M106" s="90">
        <v>0.0</v>
      </c>
      <c r="N106" s="90">
        <v>0.0</v>
      </c>
      <c r="O106" s="70" t="s">
        <v>3154</v>
      </c>
      <c r="P106" s="70" t="s">
        <v>31543</v>
      </c>
      <c r="Q106" s="70" t="s">
        <v>33028</v>
      </c>
      <c r="R106" s="82" t="s">
        <v>33029</v>
      </c>
      <c r="S106" s="70" t="s">
        <v>3152</v>
      </c>
      <c r="T106" s="70" t="s">
        <v>3153</v>
      </c>
      <c r="U106" s="70" t="s">
        <v>33030</v>
      </c>
      <c r="V106" s="82" t="s">
        <v>33031</v>
      </c>
      <c r="W106" s="70" t="s">
        <v>401</v>
      </c>
      <c r="X106" s="70" t="s">
        <v>31093</v>
      </c>
      <c r="Y106" s="70" t="s">
        <v>33032</v>
      </c>
      <c r="AA106" s="82" t="s">
        <v>33033</v>
      </c>
      <c r="AB106" s="82" t="s">
        <v>32616</v>
      </c>
    </row>
    <row r="107" ht="22.5" customHeight="1">
      <c r="A107" s="70" t="s">
        <v>3621</v>
      </c>
      <c r="E107" s="93"/>
      <c r="F107" s="93"/>
      <c r="H107" s="93"/>
      <c r="J107" s="93"/>
      <c r="L107" s="90" t="str">
        <f t="shared" si="2"/>
        <v>Excluded</v>
      </c>
      <c r="M107" s="90">
        <v>0.0</v>
      </c>
      <c r="N107" s="90">
        <v>0.0</v>
      </c>
      <c r="O107" s="70" t="s">
        <v>3624</v>
      </c>
      <c r="P107" s="70" t="s">
        <v>31543</v>
      </c>
      <c r="Q107" s="70" t="s">
        <v>33034</v>
      </c>
      <c r="R107" s="82" t="s">
        <v>33035</v>
      </c>
      <c r="S107" s="70" t="s">
        <v>3622</v>
      </c>
      <c r="T107" s="70" t="s">
        <v>3623</v>
      </c>
      <c r="U107" s="70" t="s">
        <v>33036</v>
      </c>
      <c r="V107" s="82" t="s">
        <v>33031</v>
      </c>
      <c r="W107" s="70" t="s">
        <v>401</v>
      </c>
      <c r="X107" s="70" t="s">
        <v>3629</v>
      </c>
      <c r="Y107" s="70" t="s">
        <v>33037</v>
      </c>
      <c r="AA107" s="82" t="s">
        <v>33038</v>
      </c>
      <c r="AB107" s="82" t="s">
        <v>32616</v>
      </c>
    </row>
    <row r="108" ht="22.5" customHeight="1">
      <c r="A108" s="70" t="s">
        <v>3261</v>
      </c>
      <c r="E108" s="93"/>
      <c r="F108" s="93"/>
      <c r="H108" s="93"/>
      <c r="J108" s="93"/>
      <c r="L108" s="90" t="str">
        <f t="shared" si="2"/>
        <v>Excluded</v>
      </c>
      <c r="M108" s="90">
        <v>0.0</v>
      </c>
      <c r="N108" s="90">
        <v>0.0</v>
      </c>
      <c r="O108" s="70" t="s">
        <v>3264</v>
      </c>
      <c r="P108" s="70" t="s">
        <v>31543</v>
      </c>
      <c r="Q108" s="70" t="s">
        <v>33039</v>
      </c>
      <c r="R108" s="82" t="s">
        <v>33040</v>
      </c>
      <c r="S108" s="70" t="s">
        <v>3262</v>
      </c>
      <c r="T108" s="70" t="s">
        <v>3263</v>
      </c>
      <c r="U108" s="70" t="s">
        <v>33041</v>
      </c>
      <c r="V108" s="82" t="s">
        <v>33031</v>
      </c>
      <c r="W108" s="70" t="s">
        <v>401</v>
      </c>
      <c r="X108" s="70" t="s">
        <v>3267</v>
      </c>
      <c r="Y108" s="70" t="s">
        <v>33042</v>
      </c>
      <c r="AA108" s="82" t="s">
        <v>33043</v>
      </c>
      <c r="AB108" s="82" t="s">
        <v>32616</v>
      </c>
    </row>
    <row r="109" ht="22.5" customHeight="1">
      <c r="A109" s="70" t="s">
        <v>3215</v>
      </c>
      <c r="E109" s="93"/>
      <c r="F109" s="93"/>
      <c r="H109" s="93"/>
      <c r="J109" s="93"/>
      <c r="L109" s="90" t="str">
        <f t="shared" si="2"/>
        <v>Excluded</v>
      </c>
      <c r="M109" s="90">
        <v>0.0</v>
      </c>
      <c r="N109" s="90">
        <v>0.0</v>
      </c>
      <c r="O109" s="70" t="s">
        <v>3218</v>
      </c>
      <c r="P109" s="70" t="s">
        <v>31543</v>
      </c>
      <c r="Q109" s="70" t="s">
        <v>33044</v>
      </c>
      <c r="R109" s="82" t="s">
        <v>32936</v>
      </c>
      <c r="S109" s="70" t="s">
        <v>3216</v>
      </c>
      <c r="T109" s="70" t="s">
        <v>3217</v>
      </c>
      <c r="U109" s="70" t="s">
        <v>33045</v>
      </c>
      <c r="V109" s="82" t="s">
        <v>33046</v>
      </c>
      <c r="W109" s="70" t="s">
        <v>401</v>
      </c>
      <c r="X109" s="70" t="s">
        <v>3222</v>
      </c>
      <c r="Y109" s="70" t="s">
        <v>33047</v>
      </c>
      <c r="AA109" s="82" t="s">
        <v>33048</v>
      </c>
      <c r="AB109" s="82" t="s">
        <v>32616</v>
      </c>
    </row>
    <row r="110" ht="22.5" customHeight="1">
      <c r="A110" s="70" t="s">
        <v>3507</v>
      </c>
      <c r="E110" s="93"/>
      <c r="F110" s="93"/>
      <c r="H110" s="93"/>
      <c r="J110" s="93"/>
      <c r="L110" s="90" t="str">
        <f t="shared" si="2"/>
        <v>Excluded</v>
      </c>
      <c r="M110" s="90">
        <v>0.0</v>
      </c>
      <c r="N110" s="90">
        <v>0.0</v>
      </c>
      <c r="O110" s="70" t="s">
        <v>3510</v>
      </c>
      <c r="P110" s="70" t="s">
        <v>31543</v>
      </c>
      <c r="Q110" s="70" t="s">
        <v>33049</v>
      </c>
      <c r="R110" s="82" t="s">
        <v>32705</v>
      </c>
      <c r="S110" s="70" t="s">
        <v>3508</v>
      </c>
      <c r="T110" s="70" t="s">
        <v>3509</v>
      </c>
      <c r="U110" s="70" t="s">
        <v>33050</v>
      </c>
      <c r="V110" s="82" t="s">
        <v>33046</v>
      </c>
      <c r="W110" s="70" t="s">
        <v>401</v>
      </c>
      <c r="X110" s="70" t="s">
        <v>3514</v>
      </c>
      <c r="Y110" s="70" t="s">
        <v>33051</v>
      </c>
      <c r="AA110" s="82" t="s">
        <v>33052</v>
      </c>
      <c r="AB110" s="82" t="s">
        <v>32616</v>
      </c>
    </row>
    <row r="111" ht="22.5" customHeight="1">
      <c r="A111" s="70" t="s">
        <v>2412</v>
      </c>
      <c r="E111" s="93"/>
      <c r="F111" s="93"/>
      <c r="H111" s="93"/>
      <c r="J111" s="93"/>
      <c r="L111" s="90" t="str">
        <f t="shared" si="2"/>
        <v>Excluded</v>
      </c>
      <c r="M111" s="90">
        <v>0.0</v>
      </c>
      <c r="N111" s="90">
        <v>0.0</v>
      </c>
      <c r="O111" s="70" t="s">
        <v>2415</v>
      </c>
      <c r="P111" s="70" t="s">
        <v>31543</v>
      </c>
      <c r="Q111" s="70" t="s">
        <v>33053</v>
      </c>
      <c r="R111" s="82" t="s">
        <v>33054</v>
      </c>
      <c r="S111" s="70" t="s">
        <v>2413</v>
      </c>
      <c r="T111" s="70" t="s">
        <v>2414</v>
      </c>
      <c r="U111" s="70" t="s">
        <v>33055</v>
      </c>
      <c r="V111" s="82" t="s">
        <v>33046</v>
      </c>
      <c r="W111" s="70" t="s">
        <v>401</v>
      </c>
      <c r="X111" s="70" t="s">
        <v>2420</v>
      </c>
      <c r="Y111" s="70" t="s">
        <v>33056</v>
      </c>
      <c r="AA111" s="82" t="s">
        <v>33057</v>
      </c>
      <c r="AB111" s="82" t="s">
        <v>32616</v>
      </c>
    </row>
    <row r="112" ht="22.5" customHeight="1">
      <c r="A112" s="70" t="s">
        <v>1928</v>
      </c>
      <c r="E112" s="93"/>
      <c r="F112" s="93"/>
      <c r="H112" s="93"/>
      <c r="J112" s="93"/>
      <c r="L112" s="90" t="str">
        <f t="shared" si="2"/>
        <v>Excluded</v>
      </c>
      <c r="M112" s="90">
        <v>0.0</v>
      </c>
      <c r="N112" s="90">
        <v>0.0</v>
      </c>
      <c r="O112" s="70" t="s">
        <v>1931</v>
      </c>
      <c r="P112" s="70" t="s">
        <v>31543</v>
      </c>
      <c r="Q112" s="70" t="s">
        <v>33058</v>
      </c>
      <c r="R112" s="82" t="s">
        <v>33059</v>
      </c>
      <c r="S112" s="70" t="s">
        <v>1929</v>
      </c>
      <c r="T112" s="70" t="s">
        <v>1930</v>
      </c>
      <c r="U112" s="70" t="s">
        <v>33060</v>
      </c>
      <c r="V112" s="82" t="s">
        <v>33046</v>
      </c>
      <c r="W112" s="70" t="s">
        <v>401</v>
      </c>
      <c r="X112" s="70" t="s">
        <v>1934</v>
      </c>
      <c r="Y112" s="70" t="s">
        <v>33061</v>
      </c>
      <c r="AA112" s="82" t="s">
        <v>33062</v>
      </c>
      <c r="AB112" s="82" t="s">
        <v>32616</v>
      </c>
    </row>
    <row r="113" ht="22.5" customHeight="1">
      <c r="A113" s="70" t="s">
        <v>676</v>
      </c>
      <c r="E113" s="93"/>
      <c r="F113" s="93"/>
      <c r="H113" s="93"/>
      <c r="J113" s="93"/>
      <c r="L113" s="90" t="str">
        <f t="shared" si="2"/>
        <v>Excluded</v>
      </c>
      <c r="M113" s="90">
        <v>0.0</v>
      </c>
      <c r="N113" s="90">
        <v>0.0</v>
      </c>
      <c r="O113" s="70" t="s">
        <v>679</v>
      </c>
      <c r="P113" s="70" t="s">
        <v>31543</v>
      </c>
      <c r="Q113" s="70" t="s">
        <v>33063</v>
      </c>
      <c r="R113" s="82" t="s">
        <v>33064</v>
      </c>
      <c r="S113" s="70" t="s">
        <v>677</v>
      </c>
      <c r="T113" s="70" t="s">
        <v>678</v>
      </c>
      <c r="U113" s="70" t="s">
        <v>33065</v>
      </c>
      <c r="V113" s="82" t="s">
        <v>33046</v>
      </c>
      <c r="W113" s="70" t="s">
        <v>401</v>
      </c>
      <c r="X113" s="70" t="s">
        <v>684</v>
      </c>
      <c r="Y113" s="70" t="s">
        <v>33066</v>
      </c>
      <c r="AA113" s="82" t="s">
        <v>32929</v>
      </c>
      <c r="AB113" s="82" t="s">
        <v>32616</v>
      </c>
    </row>
    <row r="114" ht="22.5" customHeight="1">
      <c r="A114" s="70" t="s">
        <v>2722</v>
      </c>
      <c r="E114" s="93"/>
      <c r="F114" s="93"/>
      <c r="H114" s="93"/>
      <c r="J114" s="93"/>
      <c r="L114" s="90" t="str">
        <f t="shared" si="2"/>
        <v>Excluded</v>
      </c>
      <c r="M114" s="90">
        <v>0.0</v>
      </c>
      <c r="N114" s="90">
        <v>0.0</v>
      </c>
      <c r="O114" s="70" t="s">
        <v>2725</v>
      </c>
      <c r="P114" s="70" t="s">
        <v>31543</v>
      </c>
      <c r="Q114" s="70" t="s">
        <v>33067</v>
      </c>
      <c r="R114" s="82" t="s">
        <v>33068</v>
      </c>
      <c r="S114" s="70" t="s">
        <v>2723</v>
      </c>
      <c r="T114" s="70" t="s">
        <v>2724</v>
      </c>
      <c r="U114" s="70" t="s">
        <v>33069</v>
      </c>
      <c r="V114" s="82" t="s">
        <v>32623</v>
      </c>
      <c r="W114" s="70" t="s">
        <v>401</v>
      </c>
      <c r="X114" s="70" t="s">
        <v>2729</v>
      </c>
      <c r="Y114" s="70" t="s">
        <v>33070</v>
      </c>
      <c r="AA114" s="82" t="s">
        <v>33071</v>
      </c>
      <c r="AB114" s="82" t="s">
        <v>32616</v>
      </c>
    </row>
    <row r="115" ht="22.5" customHeight="1">
      <c r="A115" s="70" t="s">
        <v>3382</v>
      </c>
      <c r="E115" s="93"/>
      <c r="F115" s="93"/>
      <c r="H115" s="93"/>
      <c r="J115" s="93"/>
      <c r="L115" s="90" t="str">
        <f t="shared" si="2"/>
        <v>Excluded</v>
      </c>
      <c r="M115" s="90">
        <v>0.0</v>
      </c>
      <c r="N115" s="90">
        <v>0.0</v>
      </c>
      <c r="O115" s="70" t="s">
        <v>3385</v>
      </c>
      <c r="P115" s="70" t="s">
        <v>31543</v>
      </c>
      <c r="Q115" s="70" t="s">
        <v>33072</v>
      </c>
      <c r="R115" s="82" t="s">
        <v>33073</v>
      </c>
      <c r="S115" s="70" t="s">
        <v>3383</v>
      </c>
      <c r="T115" s="70" t="s">
        <v>3384</v>
      </c>
      <c r="U115" s="70" t="s">
        <v>33074</v>
      </c>
      <c r="V115" s="82" t="s">
        <v>32623</v>
      </c>
      <c r="W115" s="70" t="s">
        <v>401</v>
      </c>
      <c r="X115" s="70" t="s">
        <v>3389</v>
      </c>
      <c r="Y115" s="70" t="s">
        <v>33075</v>
      </c>
      <c r="AA115" s="82" t="s">
        <v>33076</v>
      </c>
      <c r="AB115" s="82" t="s">
        <v>32616</v>
      </c>
    </row>
    <row r="116" ht="22.5" customHeight="1">
      <c r="A116" s="70" t="s">
        <v>1820</v>
      </c>
      <c r="E116" s="93"/>
      <c r="F116" s="93"/>
      <c r="H116" s="93"/>
      <c r="J116" s="93"/>
      <c r="L116" s="90" t="str">
        <f t="shared" si="2"/>
        <v>Excluded</v>
      </c>
      <c r="M116" s="90">
        <v>0.0</v>
      </c>
      <c r="N116" s="90">
        <v>0.0</v>
      </c>
      <c r="O116" s="70" t="s">
        <v>1823</v>
      </c>
      <c r="P116" s="70" t="s">
        <v>31543</v>
      </c>
      <c r="Q116" s="70" t="s">
        <v>33077</v>
      </c>
      <c r="R116" s="82" t="s">
        <v>33078</v>
      </c>
      <c r="S116" s="70" t="s">
        <v>1821</v>
      </c>
      <c r="T116" s="70" t="s">
        <v>1822</v>
      </c>
      <c r="U116" s="70" t="s">
        <v>33079</v>
      </c>
      <c r="V116" s="82" t="s">
        <v>32623</v>
      </c>
      <c r="W116" s="70" t="s">
        <v>401</v>
      </c>
      <c r="X116" s="70" t="s">
        <v>1828</v>
      </c>
      <c r="Y116" s="70" t="s">
        <v>33080</v>
      </c>
      <c r="AA116" s="82" t="s">
        <v>33081</v>
      </c>
      <c r="AB116" s="82" t="s">
        <v>32616</v>
      </c>
    </row>
    <row r="117" ht="22.5" customHeight="1">
      <c r="A117" s="70" t="s">
        <v>2948</v>
      </c>
      <c r="E117" s="93"/>
      <c r="F117" s="93"/>
      <c r="H117" s="93"/>
      <c r="J117" s="93"/>
      <c r="L117" s="90" t="str">
        <f t="shared" si="2"/>
        <v>Excluded</v>
      </c>
      <c r="M117" s="90">
        <v>0.0</v>
      </c>
      <c r="N117" s="90">
        <v>0.0</v>
      </c>
      <c r="O117" s="70" t="s">
        <v>2951</v>
      </c>
      <c r="P117" s="70" t="s">
        <v>31543</v>
      </c>
      <c r="Q117" s="70" t="s">
        <v>33082</v>
      </c>
      <c r="R117" s="82" t="s">
        <v>33083</v>
      </c>
      <c r="S117" s="70" t="s">
        <v>2949</v>
      </c>
      <c r="T117" s="70" t="s">
        <v>2950</v>
      </c>
      <c r="U117" s="70" t="s">
        <v>33084</v>
      </c>
      <c r="V117" s="82" t="s">
        <v>32623</v>
      </c>
      <c r="W117" s="70" t="s">
        <v>401</v>
      </c>
      <c r="X117" s="70" t="s">
        <v>2956</v>
      </c>
      <c r="Y117" s="70" t="s">
        <v>33085</v>
      </c>
      <c r="AA117" s="82" t="s">
        <v>33086</v>
      </c>
      <c r="AB117" s="82" t="s">
        <v>32616</v>
      </c>
    </row>
    <row r="118" ht="22.5" customHeight="1">
      <c r="A118" s="70" t="s">
        <v>3528</v>
      </c>
      <c r="E118" s="93"/>
      <c r="F118" s="93"/>
      <c r="H118" s="93"/>
      <c r="J118" s="93"/>
      <c r="L118" s="90" t="str">
        <f t="shared" si="2"/>
        <v>Excluded</v>
      </c>
      <c r="M118" s="90">
        <v>0.0</v>
      </c>
      <c r="N118" s="90">
        <v>0.0</v>
      </c>
      <c r="O118" s="70" t="s">
        <v>3531</v>
      </c>
      <c r="P118" s="70" t="s">
        <v>31543</v>
      </c>
      <c r="Q118" s="70" t="s">
        <v>33087</v>
      </c>
      <c r="R118" s="82" t="s">
        <v>33088</v>
      </c>
      <c r="S118" s="70" t="s">
        <v>3529</v>
      </c>
      <c r="T118" s="70" t="s">
        <v>3530</v>
      </c>
      <c r="U118" s="70" t="s">
        <v>33089</v>
      </c>
      <c r="V118" s="82" t="s">
        <v>32623</v>
      </c>
      <c r="W118" s="70" t="s">
        <v>401</v>
      </c>
      <c r="X118" s="70" t="s">
        <v>3535</v>
      </c>
      <c r="Y118" s="70" t="s">
        <v>33090</v>
      </c>
      <c r="AA118" s="82" t="s">
        <v>33091</v>
      </c>
      <c r="AB118" s="82" t="s">
        <v>32616</v>
      </c>
    </row>
    <row r="119" ht="22.5" customHeight="1">
      <c r="A119" s="70" t="s">
        <v>2913</v>
      </c>
      <c r="E119" s="93"/>
      <c r="F119" s="93"/>
      <c r="H119" s="93"/>
      <c r="J119" s="93"/>
      <c r="L119" s="90" t="str">
        <f t="shared" si="2"/>
        <v>Excluded</v>
      </c>
      <c r="M119" s="90">
        <v>0.0</v>
      </c>
      <c r="N119" s="90">
        <v>0.0</v>
      </c>
      <c r="O119" s="70" t="s">
        <v>2916</v>
      </c>
      <c r="P119" s="70" t="s">
        <v>31543</v>
      </c>
      <c r="Q119" s="70" t="s">
        <v>33092</v>
      </c>
      <c r="R119" s="82" t="s">
        <v>32951</v>
      </c>
      <c r="S119" s="70" t="s">
        <v>2914</v>
      </c>
      <c r="T119" s="70" t="s">
        <v>2915</v>
      </c>
      <c r="U119" s="70" t="s">
        <v>33093</v>
      </c>
      <c r="V119" s="82" t="s">
        <v>32623</v>
      </c>
      <c r="W119" s="70" t="s">
        <v>401</v>
      </c>
      <c r="X119" s="70" t="s">
        <v>2921</v>
      </c>
      <c r="Y119" s="70" t="s">
        <v>33094</v>
      </c>
      <c r="AA119" s="82" t="s">
        <v>33095</v>
      </c>
      <c r="AB119" s="82" t="s">
        <v>32616</v>
      </c>
    </row>
    <row r="120" ht="22.5" customHeight="1">
      <c r="A120" s="70" t="s">
        <v>4171</v>
      </c>
      <c r="E120" s="93"/>
      <c r="F120" s="93"/>
      <c r="H120" s="93"/>
      <c r="J120" s="93"/>
      <c r="L120" s="90" t="str">
        <f t="shared" si="2"/>
        <v>Excluded</v>
      </c>
      <c r="M120" s="90">
        <v>0.0</v>
      </c>
      <c r="N120" s="90">
        <v>0.0</v>
      </c>
      <c r="O120" s="70" t="s">
        <v>4172</v>
      </c>
      <c r="P120" s="70" t="s">
        <v>31543</v>
      </c>
      <c r="Q120" s="70" t="s">
        <v>33096</v>
      </c>
      <c r="R120" s="82" t="s">
        <v>32876</v>
      </c>
      <c r="S120" s="70" t="s">
        <v>3860</v>
      </c>
      <c r="T120" s="70" t="s">
        <v>3861</v>
      </c>
      <c r="U120" s="70" t="s">
        <v>33097</v>
      </c>
      <c r="V120" s="82" t="s">
        <v>4174</v>
      </c>
      <c r="X120" s="70" t="s">
        <v>31100</v>
      </c>
      <c r="Y120" s="70" t="s">
        <v>33098</v>
      </c>
      <c r="AA120" s="82" t="s">
        <v>33099</v>
      </c>
      <c r="AB120" s="82" t="s">
        <v>32616</v>
      </c>
    </row>
    <row r="121" ht="22.5" customHeight="1">
      <c r="A121" s="70" t="s">
        <v>3610</v>
      </c>
      <c r="E121" s="93"/>
      <c r="F121" s="93"/>
      <c r="H121" s="93"/>
      <c r="J121" s="93"/>
      <c r="L121" s="90" t="str">
        <f t="shared" si="2"/>
        <v>Excluded</v>
      </c>
      <c r="M121" s="90">
        <v>0.0</v>
      </c>
      <c r="N121" s="90">
        <v>0.0</v>
      </c>
      <c r="O121" s="70" t="s">
        <v>3613</v>
      </c>
      <c r="P121" s="70" t="s">
        <v>31543</v>
      </c>
      <c r="Q121" s="70" t="s">
        <v>33100</v>
      </c>
      <c r="R121" s="82" t="s">
        <v>33101</v>
      </c>
      <c r="S121" s="70" t="s">
        <v>3611</v>
      </c>
      <c r="T121" s="70" t="s">
        <v>3612</v>
      </c>
      <c r="U121" s="70" t="s">
        <v>33102</v>
      </c>
      <c r="V121" s="82" t="s">
        <v>32623</v>
      </c>
      <c r="W121" s="70" t="s">
        <v>401</v>
      </c>
      <c r="X121" s="70" t="s">
        <v>3617</v>
      </c>
      <c r="Y121" s="70" t="s">
        <v>33103</v>
      </c>
      <c r="AA121" s="82" t="s">
        <v>33104</v>
      </c>
      <c r="AB121" s="82" t="s">
        <v>32616</v>
      </c>
    </row>
    <row r="122" ht="22.5" customHeight="1">
      <c r="A122" s="70" t="s">
        <v>3016</v>
      </c>
      <c r="E122" s="93"/>
      <c r="F122" s="93"/>
      <c r="H122" s="93"/>
      <c r="J122" s="93"/>
      <c r="L122" s="90" t="str">
        <f t="shared" si="2"/>
        <v>Excluded</v>
      </c>
      <c r="M122" s="90">
        <v>0.0</v>
      </c>
      <c r="N122" s="90">
        <v>0.0</v>
      </c>
      <c r="O122" s="70" t="s">
        <v>3019</v>
      </c>
      <c r="P122" s="70" t="s">
        <v>31543</v>
      </c>
      <c r="Q122" s="70" t="s">
        <v>33105</v>
      </c>
      <c r="R122" s="82" t="s">
        <v>33106</v>
      </c>
      <c r="S122" s="70" t="s">
        <v>3017</v>
      </c>
      <c r="T122" s="70" t="s">
        <v>3018</v>
      </c>
      <c r="U122" s="70" t="s">
        <v>33107</v>
      </c>
      <c r="V122" s="82" t="s">
        <v>32623</v>
      </c>
      <c r="W122" s="70" t="s">
        <v>401</v>
      </c>
      <c r="X122" s="70" t="s">
        <v>3024</v>
      </c>
      <c r="Y122" s="70" t="s">
        <v>33108</v>
      </c>
      <c r="AA122" s="82" t="s">
        <v>33109</v>
      </c>
      <c r="AB122" s="82" t="s">
        <v>32616</v>
      </c>
    </row>
    <row r="123" ht="22.5" customHeight="1">
      <c r="A123" s="70" t="s">
        <v>4413</v>
      </c>
      <c r="E123" s="93"/>
      <c r="F123" s="93"/>
      <c r="H123" s="93"/>
      <c r="J123" s="93"/>
      <c r="L123" s="90" t="str">
        <f t="shared" si="2"/>
        <v>Excluded</v>
      </c>
      <c r="M123" s="90">
        <v>0.0</v>
      </c>
      <c r="N123" s="90">
        <v>0.0</v>
      </c>
      <c r="O123" s="70" t="s">
        <v>4414</v>
      </c>
      <c r="P123" s="70" t="s">
        <v>31543</v>
      </c>
      <c r="Q123" s="70" t="s">
        <v>33110</v>
      </c>
      <c r="R123" s="82" t="s">
        <v>33111</v>
      </c>
      <c r="S123" s="70" t="s">
        <v>3673</v>
      </c>
      <c r="T123" s="70" t="s">
        <v>3674</v>
      </c>
      <c r="U123" s="70" t="s">
        <v>33112</v>
      </c>
      <c r="V123" s="82" t="s">
        <v>4416</v>
      </c>
      <c r="X123" s="70" t="s">
        <v>4417</v>
      </c>
      <c r="Y123" s="70" t="s">
        <v>33113</v>
      </c>
      <c r="AA123" s="82" t="s">
        <v>33025</v>
      </c>
      <c r="AB123" s="82" t="s">
        <v>32616</v>
      </c>
    </row>
    <row r="124" ht="22.5" customHeight="1">
      <c r="A124" s="70" t="s">
        <v>717</v>
      </c>
      <c r="E124" s="93"/>
      <c r="F124" s="93"/>
      <c r="H124" s="93"/>
      <c r="J124" s="93"/>
      <c r="L124" s="90" t="str">
        <f t="shared" si="2"/>
        <v>Excluded</v>
      </c>
      <c r="M124" s="90">
        <v>0.0</v>
      </c>
      <c r="N124" s="90">
        <v>0.0</v>
      </c>
      <c r="O124" s="70" t="s">
        <v>720</v>
      </c>
      <c r="P124" s="70" t="s">
        <v>31543</v>
      </c>
      <c r="Q124" s="70" t="s">
        <v>31775</v>
      </c>
      <c r="R124" s="82" t="s">
        <v>33114</v>
      </c>
      <c r="S124" s="70" t="s">
        <v>718</v>
      </c>
      <c r="T124" s="70" t="s">
        <v>719</v>
      </c>
      <c r="U124" s="70" t="s">
        <v>31777</v>
      </c>
      <c r="V124" s="82" t="s">
        <v>32623</v>
      </c>
      <c r="W124" s="70" t="s">
        <v>401</v>
      </c>
      <c r="X124" s="70" t="s">
        <v>725</v>
      </c>
      <c r="Y124" s="70" t="s">
        <v>31776</v>
      </c>
      <c r="AA124" s="82" t="s">
        <v>32826</v>
      </c>
      <c r="AB124" s="82" t="s">
        <v>32616</v>
      </c>
    </row>
    <row r="125" ht="22.5" customHeight="1">
      <c r="A125" s="70" t="s">
        <v>1888</v>
      </c>
      <c r="E125" s="93"/>
      <c r="F125" s="93"/>
      <c r="H125" s="93"/>
      <c r="J125" s="93"/>
      <c r="L125" s="90" t="str">
        <f t="shared" si="2"/>
        <v>Excluded</v>
      </c>
      <c r="M125" s="90">
        <v>0.0</v>
      </c>
      <c r="N125" s="90">
        <v>0.0</v>
      </c>
      <c r="O125" s="70" t="s">
        <v>1891</v>
      </c>
      <c r="P125" s="70" t="s">
        <v>31543</v>
      </c>
      <c r="Q125" s="70" t="s">
        <v>33115</v>
      </c>
      <c r="R125" s="82" t="s">
        <v>33116</v>
      </c>
      <c r="S125" s="70" t="s">
        <v>1889</v>
      </c>
      <c r="T125" s="70" t="s">
        <v>1890</v>
      </c>
      <c r="U125" s="70" t="s">
        <v>33117</v>
      </c>
      <c r="V125" s="82" t="s">
        <v>32623</v>
      </c>
      <c r="W125" s="70" t="s">
        <v>401</v>
      </c>
      <c r="X125" s="70" t="s">
        <v>1895</v>
      </c>
      <c r="Y125" s="70" t="s">
        <v>33118</v>
      </c>
      <c r="AA125" s="82" t="s">
        <v>33119</v>
      </c>
      <c r="AB125" s="82" t="s">
        <v>32616</v>
      </c>
    </row>
    <row r="126" ht="22.5" customHeight="1">
      <c r="A126" s="70" t="s">
        <v>3140</v>
      </c>
      <c r="E126" s="93"/>
      <c r="F126" s="93"/>
      <c r="H126" s="93"/>
      <c r="J126" s="93"/>
      <c r="L126" s="90" t="str">
        <f t="shared" si="2"/>
        <v>Excluded</v>
      </c>
      <c r="M126" s="90">
        <v>0.0</v>
      </c>
      <c r="N126" s="90">
        <v>0.0</v>
      </c>
      <c r="O126" s="70" t="s">
        <v>3143</v>
      </c>
      <c r="P126" s="70" t="s">
        <v>31543</v>
      </c>
      <c r="Q126" s="70" t="s">
        <v>33120</v>
      </c>
      <c r="R126" s="82" t="s">
        <v>33121</v>
      </c>
      <c r="S126" s="70" t="s">
        <v>3141</v>
      </c>
      <c r="T126" s="70" t="s">
        <v>3142</v>
      </c>
      <c r="U126" s="70" t="s">
        <v>33122</v>
      </c>
      <c r="V126" s="82" t="s">
        <v>32623</v>
      </c>
      <c r="W126" s="70" t="s">
        <v>401</v>
      </c>
      <c r="X126" s="70" t="s">
        <v>3147</v>
      </c>
      <c r="Y126" s="70" t="s">
        <v>33123</v>
      </c>
      <c r="AA126" s="82" t="s">
        <v>33124</v>
      </c>
      <c r="AB126" s="82" t="s">
        <v>32616</v>
      </c>
    </row>
    <row r="127" ht="22.5" customHeight="1">
      <c r="A127" s="70" t="s">
        <v>2104</v>
      </c>
      <c r="E127" s="93"/>
      <c r="F127" s="93"/>
      <c r="H127" s="93"/>
      <c r="J127" s="93"/>
      <c r="L127" s="90" t="str">
        <f t="shared" si="2"/>
        <v>Excluded</v>
      </c>
      <c r="M127" s="90">
        <v>0.0</v>
      </c>
      <c r="N127" s="90">
        <v>0.0</v>
      </c>
      <c r="O127" s="70" t="s">
        <v>2107</v>
      </c>
      <c r="P127" s="70" t="s">
        <v>31543</v>
      </c>
      <c r="Q127" s="70" t="s">
        <v>33125</v>
      </c>
      <c r="R127" s="82" t="s">
        <v>32769</v>
      </c>
      <c r="S127" s="70" t="s">
        <v>2105</v>
      </c>
      <c r="T127" s="70" t="s">
        <v>2106</v>
      </c>
      <c r="U127" s="70" t="s">
        <v>33126</v>
      </c>
      <c r="V127" s="82" t="s">
        <v>32623</v>
      </c>
      <c r="W127" s="70" t="s">
        <v>401</v>
      </c>
      <c r="X127" s="70" t="s">
        <v>2110</v>
      </c>
      <c r="Y127" s="70" t="s">
        <v>33127</v>
      </c>
      <c r="AA127" s="82" t="s">
        <v>33128</v>
      </c>
      <c r="AB127" s="82" t="s">
        <v>32616</v>
      </c>
    </row>
    <row r="128" ht="22.5" customHeight="1">
      <c r="A128" s="70" t="s">
        <v>2629</v>
      </c>
      <c r="E128" s="93"/>
      <c r="F128" s="93"/>
      <c r="H128" s="93"/>
      <c r="J128" s="93"/>
      <c r="L128" s="90" t="str">
        <f t="shared" si="2"/>
        <v>Excluded</v>
      </c>
      <c r="M128" s="90">
        <v>0.0</v>
      </c>
      <c r="N128" s="90">
        <v>0.0</v>
      </c>
      <c r="O128" s="70" t="s">
        <v>2630</v>
      </c>
      <c r="P128" s="70" t="s">
        <v>31543</v>
      </c>
      <c r="Q128" s="70" t="s">
        <v>33129</v>
      </c>
      <c r="R128" s="82" t="s">
        <v>33130</v>
      </c>
      <c r="S128" s="70" t="s">
        <v>832</v>
      </c>
      <c r="T128" s="70" t="s">
        <v>833</v>
      </c>
      <c r="U128" s="70" t="s">
        <v>33131</v>
      </c>
      <c r="V128" s="82" t="s">
        <v>32623</v>
      </c>
      <c r="W128" s="70" t="s">
        <v>401</v>
      </c>
      <c r="X128" s="70" t="s">
        <v>2633</v>
      </c>
      <c r="Y128" s="70" t="s">
        <v>33132</v>
      </c>
      <c r="AA128" s="82" t="s">
        <v>33133</v>
      </c>
      <c r="AB128" s="82" t="s">
        <v>32616</v>
      </c>
    </row>
    <row r="129" ht="22.5" customHeight="1">
      <c r="A129" s="70" t="s">
        <v>1108</v>
      </c>
      <c r="E129" s="93"/>
      <c r="F129" s="93"/>
      <c r="H129" s="93"/>
      <c r="J129" s="93"/>
      <c r="L129" s="90" t="str">
        <f t="shared" si="2"/>
        <v>Excluded</v>
      </c>
      <c r="M129" s="90">
        <v>0.0</v>
      </c>
      <c r="N129" s="90">
        <v>0.0</v>
      </c>
      <c r="O129" s="70" t="s">
        <v>1111</v>
      </c>
      <c r="P129" s="70" t="s">
        <v>31543</v>
      </c>
      <c r="Q129" s="70" t="s">
        <v>33134</v>
      </c>
      <c r="R129" s="82" t="s">
        <v>33135</v>
      </c>
      <c r="S129" s="70" t="s">
        <v>1109</v>
      </c>
      <c r="T129" s="70" t="s">
        <v>1110</v>
      </c>
      <c r="U129" s="70" t="s">
        <v>33136</v>
      </c>
      <c r="V129" s="82" t="s">
        <v>32623</v>
      </c>
      <c r="W129" s="70" t="s">
        <v>401</v>
      </c>
      <c r="X129" s="70" t="s">
        <v>1115</v>
      </c>
      <c r="Y129" s="70" t="s">
        <v>33137</v>
      </c>
      <c r="AA129" s="82" t="s">
        <v>33073</v>
      </c>
      <c r="AB129" s="82" t="s">
        <v>32616</v>
      </c>
    </row>
    <row r="130" ht="22.5" customHeight="1">
      <c r="A130" s="70" t="s">
        <v>1938</v>
      </c>
      <c r="E130" s="93"/>
      <c r="F130" s="93"/>
      <c r="H130" s="93"/>
      <c r="J130" s="93"/>
      <c r="L130" s="90" t="str">
        <f t="shared" si="2"/>
        <v>Excluded</v>
      </c>
      <c r="M130" s="90">
        <v>0.0</v>
      </c>
      <c r="N130" s="90">
        <v>0.0</v>
      </c>
      <c r="O130" s="70" t="s">
        <v>1941</v>
      </c>
      <c r="P130" s="70" t="s">
        <v>31543</v>
      </c>
      <c r="Q130" s="70" t="s">
        <v>33138</v>
      </c>
      <c r="R130" s="82" t="s">
        <v>33139</v>
      </c>
      <c r="S130" s="70" t="s">
        <v>1939</v>
      </c>
      <c r="T130" s="70" t="s">
        <v>1940</v>
      </c>
      <c r="U130" s="70" t="s">
        <v>33140</v>
      </c>
      <c r="V130" s="82" t="s">
        <v>32984</v>
      </c>
      <c r="W130" s="70" t="s">
        <v>401</v>
      </c>
      <c r="X130" s="70" t="s">
        <v>1945</v>
      </c>
      <c r="Y130" s="70" t="s">
        <v>33141</v>
      </c>
      <c r="AA130" s="82" t="s">
        <v>32902</v>
      </c>
      <c r="AB130" s="82" t="s">
        <v>32616</v>
      </c>
    </row>
    <row r="131" ht="22.5" customHeight="1">
      <c r="A131" s="70" t="s">
        <v>1127</v>
      </c>
      <c r="E131" s="93"/>
      <c r="F131" s="93"/>
      <c r="H131" s="93"/>
      <c r="J131" s="93"/>
      <c r="L131" s="90" t="str">
        <f t="shared" si="2"/>
        <v>Excluded</v>
      </c>
      <c r="M131" s="90">
        <v>0.0</v>
      </c>
      <c r="N131" s="90">
        <v>0.0</v>
      </c>
      <c r="O131" s="70" t="s">
        <v>1130</v>
      </c>
      <c r="P131" s="70" t="s">
        <v>31543</v>
      </c>
      <c r="Q131" s="70" t="s">
        <v>33142</v>
      </c>
      <c r="R131" s="82" t="s">
        <v>33143</v>
      </c>
      <c r="S131" s="70" t="s">
        <v>1128</v>
      </c>
      <c r="T131" s="70" t="s">
        <v>1129</v>
      </c>
      <c r="U131" s="70" t="s">
        <v>33144</v>
      </c>
      <c r="V131" s="82" t="s">
        <v>32984</v>
      </c>
      <c r="W131" s="70" t="s">
        <v>401</v>
      </c>
      <c r="X131" s="70" t="s">
        <v>1135</v>
      </c>
      <c r="Y131" s="70" t="s">
        <v>33145</v>
      </c>
      <c r="AA131" s="82" t="s">
        <v>33146</v>
      </c>
      <c r="AB131" s="82" t="s">
        <v>32616</v>
      </c>
    </row>
    <row r="132" ht="22.5" customHeight="1">
      <c r="A132" s="70" t="s">
        <v>3549</v>
      </c>
      <c r="E132" s="93"/>
      <c r="F132" s="93"/>
      <c r="H132" s="93"/>
      <c r="J132" s="93"/>
      <c r="L132" s="90" t="str">
        <f t="shared" si="2"/>
        <v>Excluded</v>
      </c>
      <c r="M132" s="90">
        <v>0.0</v>
      </c>
      <c r="N132" s="90">
        <v>0.0</v>
      </c>
      <c r="O132" s="70" t="s">
        <v>3550</v>
      </c>
      <c r="P132" s="70" t="s">
        <v>31543</v>
      </c>
      <c r="Q132" s="70" t="s">
        <v>33147</v>
      </c>
      <c r="R132" s="82" t="s">
        <v>33148</v>
      </c>
      <c r="S132" s="70" t="s">
        <v>1128</v>
      </c>
      <c r="T132" s="70" t="s">
        <v>1129</v>
      </c>
      <c r="U132" s="70" t="s">
        <v>33149</v>
      </c>
      <c r="V132" s="82" t="s">
        <v>32984</v>
      </c>
      <c r="W132" s="70" t="s">
        <v>401</v>
      </c>
      <c r="X132" s="70" t="s">
        <v>31105</v>
      </c>
      <c r="Y132" s="70" t="s">
        <v>33150</v>
      </c>
      <c r="AA132" s="82" t="s">
        <v>33151</v>
      </c>
      <c r="AB132" s="82" t="s">
        <v>32616</v>
      </c>
    </row>
    <row r="133" ht="22.5" customHeight="1">
      <c r="A133" s="70" t="s">
        <v>4533</v>
      </c>
      <c r="E133" s="93"/>
      <c r="F133" s="93"/>
      <c r="H133" s="93"/>
      <c r="J133" s="93"/>
      <c r="L133" s="90" t="str">
        <f t="shared" si="2"/>
        <v>Excluded</v>
      </c>
      <c r="M133" s="90">
        <v>0.0</v>
      </c>
      <c r="N133" s="90">
        <v>0.0</v>
      </c>
      <c r="O133" s="70" t="s">
        <v>4536</v>
      </c>
      <c r="P133" s="70" t="s">
        <v>31543</v>
      </c>
      <c r="Q133" s="70" t="s">
        <v>33152</v>
      </c>
      <c r="R133" s="82" t="s">
        <v>33153</v>
      </c>
      <c r="S133" s="70" t="s">
        <v>4534</v>
      </c>
      <c r="T133" s="70" t="s">
        <v>4535</v>
      </c>
      <c r="U133" s="70" t="s">
        <v>33154</v>
      </c>
      <c r="V133" s="82" t="s">
        <v>4538</v>
      </c>
      <c r="X133" s="70" t="s">
        <v>4539</v>
      </c>
      <c r="Y133" s="70" t="s">
        <v>33155</v>
      </c>
      <c r="AA133" s="82" t="s">
        <v>33156</v>
      </c>
      <c r="AB133" s="82" t="s">
        <v>32616</v>
      </c>
    </row>
    <row r="134" ht="22.5" customHeight="1">
      <c r="A134" s="70" t="s">
        <v>4085</v>
      </c>
      <c r="E134" s="93"/>
      <c r="F134" s="93"/>
      <c r="H134" s="93"/>
      <c r="J134" s="93"/>
      <c r="L134" s="90" t="str">
        <f t="shared" si="2"/>
        <v>Excluded</v>
      </c>
      <c r="M134" s="90">
        <v>0.0</v>
      </c>
      <c r="N134" s="90">
        <v>0.0</v>
      </c>
      <c r="O134" s="70" t="s">
        <v>4086</v>
      </c>
      <c r="P134" s="70" t="s">
        <v>31543</v>
      </c>
      <c r="Q134" s="70" t="s">
        <v>33157</v>
      </c>
      <c r="R134" s="82" t="s">
        <v>32959</v>
      </c>
      <c r="S134" s="70" t="s">
        <v>3743</v>
      </c>
      <c r="T134" s="70" t="s">
        <v>3744</v>
      </c>
      <c r="U134" s="70" t="s">
        <v>33158</v>
      </c>
      <c r="V134" s="82" t="s">
        <v>4088</v>
      </c>
      <c r="X134" s="70" t="s">
        <v>4090</v>
      </c>
      <c r="Y134" s="70" t="s">
        <v>33159</v>
      </c>
      <c r="AA134" s="82" t="s">
        <v>33160</v>
      </c>
      <c r="AB134" s="82" t="s">
        <v>32616</v>
      </c>
    </row>
    <row r="135" ht="22.5" customHeight="1">
      <c r="A135" s="70" t="s">
        <v>31108</v>
      </c>
      <c r="E135" s="93"/>
      <c r="F135" s="93"/>
      <c r="H135" s="93"/>
      <c r="J135" s="93"/>
      <c r="L135" s="90" t="str">
        <f t="shared" si="2"/>
        <v>Excluded</v>
      </c>
      <c r="M135" s="90">
        <v>0.0</v>
      </c>
      <c r="N135" s="90">
        <v>0.0</v>
      </c>
      <c r="O135" s="70" t="s">
        <v>3307</v>
      </c>
      <c r="P135" s="70" t="s">
        <v>31543</v>
      </c>
      <c r="Q135" s="70" t="s">
        <v>33161</v>
      </c>
      <c r="R135" s="82" t="s">
        <v>33162</v>
      </c>
      <c r="S135" s="70" t="s">
        <v>3305</v>
      </c>
      <c r="T135" s="70" t="s">
        <v>3306</v>
      </c>
      <c r="U135" s="70" t="s">
        <v>33163</v>
      </c>
      <c r="V135" s="82" t="s">
        <v>32984</v>
      </c>
      <c r="W135" s="70" t="s">
        <v>401</v>
      </c>
      <c r="X135" s="70" t="s">
        <v>31109</v>
      </c>
      <c r="Y135" s="70" t="s">
        <v>33164</v>
      </c>
      <c r="AA135" s="82" t="s">
        <v>33165</v>
      </c>
      <c r="AB135" s="82" t="s">
        <v>32616</v>
      </c>
    </row>
    <row r="136" ht="22.5" customHeight="1">
      <c r="A136" s="70" t="s">
        <v>3416</v>
      </c>
      <c r="E136" s="93"/>
      <c r="F136" s="93"/>
      <c r="H136" s="93"/>
      <c r="J136" s="93"/>
      <c r="L136" s="90" t="str">
        <f t="shared" si="2"/>
        <v>Excluded</v>
      </c>
      <c r="M136" s="90">
        <v>0.0</v>
      </c>
      <c r="N136" s="90">
        <v>0.0</v>
      </c>
      <c r="O136" s="70" t="s">
        <v>3417</v>
      </c>
      <c r="P136" s="70" t="s">
        <v>31543</v>
      </c>
      <c r="Q136" s="70" t="s">
        <v>33166</v>
      </c>
      <c r="R136" s="82" t="s">
        <v>33167</v>
      </c>
      <c r="S136" s="70" t="s">
        <v>3305</v>
      </c>
      <c r="T136" s="70" t="s">
        <v>3306</v>
      </c>
      <c r="U136" s="70" t="s">
        <v>33168</v>
      </c>
      <c r="V136" s="82" t="s">
        <v>32984</v>
      </c>
      <c r="W136" s="70" t="s">
        <v>401</v>
      </c>
      <c r="X136" s="70" t="s">
        <v>3420</v>
      </c>
      <c r="Y136" s="70" t="s">
        <v>33169</v>
      </c>
      <c r="AA136" s="82" t="s">
        <v>33088</v>
      </c>
      <c r="AB136" s="82" t="s">
        <v>32616</v>
      </c>
    </row>
    <row r="137" ht="22.5" customHeight="1">
      <c r="A137" s="70" t="s">
        <v>1139</v>
      </c>
      <c r="E137" s="93"/>
      <c r="F137" s="93"/>
      <c r="H137" s="93"/>
      <c r="J137" s="93"/>
      <c r="L137" s="90" t="str">
        <f t="shared" si="2"/>
        <v>Excluded</v>
      </c>
      <c r="M137" s="90">
        <v>0.0</v>
      </c>
      <c r="N137" s="90">
        <v>0.0</v>
      </c>
      <c r="O137" s="70" t="s">
        <v>1142</v>
      </c>
      <c r="P137" s="70" t="s">
        <v>31543</v>
      </c>
      <c r="Q137" s="70" t="s">
        <v>33170</v>
      </c>
      <c r="R137" s="82" t="s">
        <v>33171</v>
      </c>
      <c r="S137" s="70" t="s">
        <v>1140</v>
      </c>
      <c r="T137" s="70" t="s">
        <v>1141</v>
      </c>
      <c r="U137" s="70" t="s">
        <v>33172</v>
      </c>
      <c r="V137" s="82" t="s">
        <v>32984</v>
      </c>
      <c r="W137" s="70" t="s">
        <v>401</v>
      </c>
      <c r="X137" s="70" t="s">
        <v>1146</v>
      </c>
      <c r="Y137" s="70" t="s">
        <v>33173</v>
      </c>
      <c r="AA137" s="82" t="s">
        <v>33174</v>
      </c>
      <c r="AB137" s="82" t="s">
        <v>32616</v>
      </c>
    </row>
    <row r="138" ht="22.5" customHeight="1">
      <c r="A138" s="70" t="s">
        <v>3474</v>
      </c>
      <c r="E138" s="93"/>
      <c r="F138" s="93"/>
      <c r="H138" s="93"/>
      <c r="J138" s="93"/>
      <c r="L138" s="90" t="str">
        <f t="shared" si="2"/>
        <v>Excluded</v>
      </c>
      <c r="M138" s="90">
        <v>0.0</v>
      </c>
      <c r="N138" s="90">
        <v>0.0</v>
      </c>
      <c r="O138" s="70" t="s">
        <v>3477</v>
      </c>
      <c r="P138" s="70" t="s">
        <v>31543</v>
      </c>
      <c r="Q138" s="70" t="s">
        <v>33175</v>
      </c>
      <c r="R138" s="82" t="s">
        <v>33176</v>
      </c>
      <c r="S138" s="70" t="s">
        <v>3475</v>
      </c>
      <c r="T138" s="70" t="s">
        <v>3476</v>
      </c>
      <c r="U138" s="70" t="s">
        <v>33177</v>
      </c>
      <c r="V138" s="82" t="s">
        <v>32984</v>
      </c>
      <c r="W138" s="70" t="s">
        <v>401</v>
      </c>
      <c r="X138" s="70" t="s">
        <v>3482</v>
      </c>
      <c r="Y138" s="70" t="s">
        <v>33178</v>
      </c>
      <c r="AA138" s="82" t="s">
        <v>33179</v>
      </c>
      <c r="AB138" s="82" t="s">
        <v>32616</v>
      </c>
    </row>
    <row r="139" ht="22.5" customHeight="1">
      <c r="A139" s="70" t="s">
        <v>3800</v>
      </c>
      <c r="E139" s="93"/>
      <c r="F139" s="93"/>
      <c r="H139" s="93"/>
      <c r="J139" s="93"/>
      <c r="L139" s="90" t="str">
        <f t="shared" si="2"/>
        <v>Excluded</v>
      </c>
      <c r="M139" s="90">
        <v>0.0</v>
      </c>
      <c r="N139" s="90">
        <v>0.0</v>
      </c>
      <c r="O139" s="70" t="s">
        <v>3801</v>
      </c>
      <c r="P139" s="70" t="s">
        <v>31543</v>
      </c>
      <c r="Q139" s="70" t="s">
        <v>33180</v>
      </c>
      <c r="R139" s="82" t="s">
        <v>33181</v>
      </c>
      <c r="S139" s="70" t="s">
        <v>3761</v>
      </c>
      <c r="T139" s="70" t="s">
        <v>3762</v>
      </c>
      <c r="U139" s="70" t="s">
        <v>33182</v>
      </c>
      <c r="V139" s="82" t="s">
        <v>3803</v>
      </c>
      <c r="X139" s="70" t="s">
        <v>3804</v>
      </c>
      <c r="Y139" s="70" t="s">
        <v>33183</v>
      </c>
      <c r="AA139" s="82" t="s">
        <v>33184</v>
      </c>
      <c r="AB139" s="82" t="s">
        <v>32616</v>
      </c>
    </row>
    <row r="140" ht="22.5" customHeight="1">
      <c r="A140" s="70" t="s">
        <v>1077</v>
      </c>
      <c r="E140" s="93"/>
      <c r="F140" s="93"/>
      <c r="H140" s="93"/>
      <c r="J140" s="93"/>
      <c r="L140" s="90" t="str">
        <f t="shared" si="2"/>
        <v>Excluded</v>
      </c>
      <c r="M140" s="90">
        <v>0.0</v>
      </c>
      <c r="N140" s="90">
        <v>0.0</v>
      </c>
      <c r="O140" s="70" t="s">
        <v>1080</v>
      </c>
      <c r="P140" s="70" t="s">
        <v>31543</v>
      </c>
      <c r="Q140" s="70" t="s">
        <v>33185</v>
      </c>
      <c r="R140" s="82" t="s">
        <v>32852</v>
      </c>
      <c r="S140" s="70" t="s">
        <v>1078</v>
      </c>
      <c r="T140" s="70" t="s">
        <v>1079</v>
      </c>
      <c r="U140" s="70" t="s">
        <v>33186</v>
      </c>
      <c r="V140" s="82" t="s">
        <v>32984</v>
      </c>
      <c r="W140" s="70" t="s">
        <v>401</v>
      </c>
      <c r="X140" s="70" t="s">
        <v>1084</v>
      </c>
      <c r="Y140" s="70" t="s">
        <v>33187</v>
      </c>
      <c r="AA140" s="82" t="s">
        <v>33188</v>
      </c>
      <c r="AB140" s="82" t="s">
        <v>32616</v>
      </c>
    </row>
    <row r="141" ht="22.5" customHeight="1">
      <c r="A141" s="70" t="s">
        <v>4342</v>
      </c>
      <c r="E141" s="93"/>
      <c r="F141" s="93"/>
      <c r="H141" s="93"/>
      <c r="J141" s="93"/>
      <c r="L141" s="90" t="str">
        <f t="shared" si="2"/>
        <v>Excluded</v>
      </c>
      <c r="M141" s="90">
        <v>0.0</v>
      </c>
      <c r="N141" s="90">
        <v>0.0</v>
      </c>
      <c r="O141" s="70" t="s">
        <v>4343</v>
      </c>
      <c r="P141" s="70" t="s">
        <v>31543</v>
      </c>
      <c r="Q141" s="70" t="s">
        <v>33189</v>
      </c>
      <c r="R141" s="82" t="s">
        <v>33190</v>
      </c>
      <c r="S141" s="70" t="s">
        <v>3761</v>
      </c>
      <c r="T141" s="70" t="s">
        <v>3762</v>
      </c>
      <c r="U141" s="70" t="s">
        <v>33191</v>
      </c>
      <c r="V141" s="82" t="s">
        <v>3803</v>
      </c>
      <c r="X141" s="70" t="s">
        <v>4345</v>
      </c>
      <c r="Y141" s="70" t="s">
        <v>33192</v>
      </c>
      <c r="AA141" s="82" t="s">
        <v>32793</v>
      </c>
      <c r="AB141" s="82" t="s">
        <v>32616</v>
      </c>
    </row>
    <row r="142" ht="22.5" customHeight="1">
      <c r="A142" s="70" t="s">
        <v>1232</v>
      </c>
      <c r="E142" s="93"/>
      <c r="F142" s="93"/>
      <c r="H142" s="93"/>
      <c r="J142" s="93"/>
      <c r="L142" s="90" t="str">
        <f t="shared" si="2"/>
        <v>Excluded</v>
      </c>
      <c r="M142" s="90">
        <v>0.0</v>
      </c>
      <c r="N142" s="90">
        <v>0.0</v>
      </c>
      <c r="O142" s="70" t="s">
        <v>1235</v>
      </c>
      <c r="P142" s="70" t="s">
        <v>31543</v>
      </c>
      <c r="Q142" s="70" t="s">
        <v>33193</v>
      </c>
      <c r="R142" s="82" t="s">
        <v>32761</v>
      </c>
      <c r="S142" s="70" t="s">
        <v>1233</v>
      </c>
      <c r="T142" s="70" t="s">
        <v>1234</v>
      </c>
      <c r="U142" s="70" t="s">
        <v>33194</v>
      </c>
      <c r="V142" s="82" t="s">
        <v>32984</v>
      </c>
      <c r="W142" s="70" t="s">
        <v>401</v>
      </c>
      <c r="X142" s="70" t="s">
        <v>1238</v>
      </c>
      <c r="Y142" s="70" t="s">
        <v>33195</v>
      </c>
      <c r="AA142" s="82" t="s">
        <v>32996</v>
      </c>
      <c r="AB142" s="82" t="s">
        <v>32616</v>
      </c>
    </row>
    <row r="143" ht="22.5" customHeight="1">
      <c r="A143" s="70" t="s">
        <v>3970</v>
      </c>
      <c r="E143" s="93"/>
      <c r="F143" s="93"/>
      <c r="H143" s="93"/>
      <c r="J143" s="93"/>
      <c r="L143" s="90" t="str">
        <f t="shared" si="2"/>
        <v>Excluded</v>
      </c>
      <c r="M143" s="90">
        <v>0.0</v>
      </c>
      <c r="N143" s="90">
        <v>0.0</v>
      </c>
      <c r="O143" s="70" t="s">
        <v>3971</v>
      </c>
      <c r="P143" s="70" t="s">
        <v>31543</v>
      </c>
      <c r="Q143" s="70" t="s">
        <v>33196</v>
      </c>
      <c r="R143" s="82" t="s">
        <v>33197</v>
      </c>
      <c r="S143" s="70" t="s">
        <v>3635</v>
      </c>
      <c r="T143" s="70" t="s">
        <v>3636</v>
      </c>
      <c r="U143" s="70" t="s">
        <v>33198</v>
      </c>
      <c r="V143" s="82" t="s">
        <v>3973</v>
      </c>
      <c r="X143" s="70" t="s">
        <v>3974</v>
      </c>
      <c r="Y143" s="70" t="s">
        <v>33199</v>
      </c>
      <c r="AA143" s="82" t="s">
        <v>33200</v>
      </c>
      <c r="AB143" s="82" t="s">
        <v>32616</v>
      </c>
    </row>
    <row r="144" ht="22.5" customHeight="1">
      <c r="A144" s="70" t="s">
        <v>2872</v>
      </c>
      <c r="E144" s="93"/>
      <c r="F144" s="93"/>
      <c r="H144" s="93"/>
      <c r="J144" s="93"/>
      <c r="L144" s="90" t="str">
        <f t="shared" si="2"/>
        <v>Excluded</v>
      </c>
      <c r="M144" s="90">
        <v>0.0</v>
      </c>
      <c r="N144" s="90">
        <v>0.0</v>
      </c>
      <c r="O144" s="70" t="s">
        <v>2875</v>
      </c>
      <c r="P144" s="70" t="s">
        <v>31543</v>
      </c>
      <c r="Q144" s="70" t="s">
        <v>33201</v>
      </c>
      <c r="R144" s="82" t="s">
        <v>33202</v>
      </c>
      <c r="S144" s="70" t="s">
        <v>2873</v>
      </c>
      <c r="T144" s="70" t="s">
        <v>2874</v>
      </c>
      <c r="U144" s="70" t="s">
        <v>33203</v>
      </c>
      <c r="V144" s="82" t="s">
        <v>32984</v>
      </c>
      <c r="W144" s="70" t="s">
        <v>401</v>
      </c>
      <c r="X144" s="70" t="s">
        <v>2880</v>
      </c>
      <c r="Y144" s="70" t="s">
        <v>33204</v>
      </c>
      <c r="AA144" s="82" t="s">
        <v>33205</v>
      </c>
      <c r="AB144" s="82" t="s">
        <v>32616</v>
      </c>
    </row>
    <row r="145" ht="22.5" customHeight="1">
      <c r="A145" s="70" t="s">
        <v>2016</v>
      </c>
      <c r="E145" s="93"/>
      <c r="F145" s="93"/>
      <c r="H145" s="93"/>
      <c r="J145" s="93"/>
      <c r="L145" s="90" t="str">
        <f t="shared" si="2"/>
        <v>Excluded</v>
      </c>
      <c r="M145" s="90">
        <v>0.0</v>
      </c>
      <c r="N145" s="90">
        <v>0.0</v>
      </c>
      <c r="O145" s="70" t="s">
        <v>2019</v>
      </c>
      <c r="P145" s="70" t="s">
        <v>31543</v>
      </c>
      <c r="Q145" s="70" t="s">
        <v>33206</v>
      </c>
      <c r="R145" s="82" t="s">
        <v>32749</v>
      </c>
      <c r="S145" s="70" t="s">
        <v>2017</v>
      </c>
      <c r="T145" s="70" t="s">
        <v>2018</v>
      </c>
      <c r="U145" s="70" t="s">
        <v>33207</v>
      </c>
      <c r="V145" s="82" t="s">
        <v>32984</v>
      </c>
      <c r="W145" s="70" t="s">
        <v>401</v>
      </c>
      <c r="X145" s="70" t="s">
        <v>2023</v>
      </c>
      <c r="Y145" s="70" t="s">
        <v>33208</v>
      </c>
      <c r="AA145" s="82" t="s">
        <v>33209</v>
      </c>
      <c r="AB145" s="82" t="s">
        <v>32616</v>
      </c>
    </row>
    <row r="146" ht="22.5" customHeight="1">
      <c r="A146" s="70" t="s">
        <v>2983</v>
      </c>
      <c r="E146" s="93"/>
      <c r="F146" s="93"/>
      <c r="H146" s="93"/>
      <c r="J146" s="93"/>
      <c r="L146" s="90" t="str">
        <f t="shared" si="2"/>
        <v>Excluded</v>
      </c>
      <c r="M146" s="90">
        <v>0.0</v>
      </c>
      <c r="N146" s="90">
        <v>0.0</v>
      </c>
      <c r="O146" s="70" t="s">
        <v>2986</v>
      </c>
      <c r="P146" s="70" t="s">
        <v>31543</v>
      </c>
      <c r="Q146" s="70" t="s">
        <v>33210</v>
      </c>
      <c r="R146" s="82" t="s">
        <v>33211</v>
      </c>
      <c r="S146" s="70" t="s">
        <v>2984</v>
      </c>
      <c r="T146" s="70" t="s">
        <v>2985</v>
      </c>
      <c r="U146" s="70" t="s">
        <v>33212</v>
      </c>
      <c r="V146" s="82" t="s">
        <v>32984</v>
      </c>
      <c r="W146" s="70" t="s">
        <v>401</v>
      </c>
      <c r="X146" s="70" t="s">
        <v>2991</v>
      </c>
      <c r="Y146" s="70" t="s">
        <v>33213</v>
      </c>
      <c r="AA146" s="82" t="s">
        <v>33214</v>
      </c>
      <c r="AB146" s="82" t="s">
        <v>32616</v>
      </c>
    </row>
    <row r="147" ht="22.5" customHeight="1">
      <c r="A147" s="70" t="s">
        <v>796</v>
      </c>
      <c r="E147" s="93"/>
      <c r="F147" s="93"/>
      <c r="H147" s="93"/>
      <c r="J147" s="93"/>
      <c r="L147" s="90" t="str">
        <f t="shared" si="2"/>
        <v>Excluded</v>
      </c>
      <c r="M147" s="90">
        <v>0.0</v>
      </c>
      <c r="N147" s="90">
        <v>0.0</v>
      </c>
      <c r="O147" s="70" t="s">
        <v>799</v>
      </c>
      <c r="P147" s="70" t="s">
        <v>31543</v>
      </c>
      <c r="Q147" s="70" t="s">
        <v>33215</v>
      </c>
      <c r="R147" s="82" t="s">
        <v>33216</v>
      </c>
      <c r="S147" s="70" t="s">
        <v>797</v>
      </c>
      <c r="T147" s="70" t="s">
        <v>798</v>
      </c>
      <c r="U147" s="70" t="s">
        <v>33217</v>
      </c>
      <c r="V147" s="82" t="s">
        <v>32984</v>
      </c>
      <c r="W147" s="70" t="s">
        <v>401</v>
      </c>
      <c r="X147" s="70" t="s">
        <v>31117</v>
      </c>
      <c r="Y147" s="70" t="s">
        <v>33218</v>
      </c>
      <c r="AA147" s="82" t="s">
        <v>33219</v>
      </c>
      <c r="AB147" s="82" t="s">
        <v>32616</v>
      </c>
    </row>
    <row r="148" ht="22.5" customHeight="1">
      <c r="A148" s="70" t="s">
        <v>2341</v>
      </c>
      <c r="E148" s="93"/>
      <c r="F148" s="93"/>
      <c r="H148" s="93"/>
      <c r="J148" s="93"/>
      <c r="L148" s="90" t="str">
        <f t="shared" si="2"/>
        <v>Excluded</v>
      </c>
      <c r="M148" s="90">
        <v>0.0</v>
      </c>
      <c r="N148" s="90">
        <v>0.0</v>
      </c>
      <c r="O148" s="70" t="s">
        <v>2344</v>
      </c>
      <c r="P148" s="70" t="s">
        <v>31543</v>
      </c>
      <c r="Q148" s="70" t="s">
        <v>33220</v>
      </c>
      <c r="R148" s="82" t="s">
        <v>33221</v>
      </c>
      <c r="S148" s="70" t="s">
        <v>2342</v>
      </c>
      <c r="T148" s="70" t="s">
        <v>2343</v>
      </c>
      <c r="U148" s="70" t="s">
        <v>33222</v>
      </c>
      <c r="V148" s="82" t="s">
        <v>32684</v>
      </c>
      <c r="W148" s="70" t="s">
        <v>401</v>
      </c>
      <c r="X148" s="70" t="s">
        <v>2349</v>
      </c>
      <c r="AA148" s="82" t="s">
        <v>33223</v>
      </c>
      <c r="AB148" s="82" t="s">
        <v>32616</v>
      </c>
    </row>
    <row r="149" ht="22.5" customHeight="1">
      <c r="A149" s="70" t="s">
        <v>3601</v>
      </c>
      <c r="E149" s="93"/>
      <c r="F149" s="93"/>
      <c r="H149" s="93"/>
      <c r="J149" s="93"/>
      <c r="L149" s="90" t="str">
        <f t="shared" si="2"/>
        <v>Excluded</v>
      </c>
      <c r="M149" s="90">
        <v>0.0</v>
      </c>
      <c r="N149" s="90">
        <v>0.0</v>
      </c>
      <c r="O149" s="70" t="s">
        <v>3603</v>
      </c>
      <c r="P149" s="70" t="s">
        <v>31543</v>
      </c>
      <c r="Q149" s="70" t="s">
        <v>33224</v>
      </c>
      <c r="R149" s="82" t="s">
        <v>33225</v>
      </c>
      <c r="S149" s="70" t="s">
        <v>1596</v>
      </c>
      <c r="T149" s="70" t="s">
        <v>3602</v>
      </c>
      <c r="U149" s="70" t="s">
        <v>33226</v>
      </c>
      <c r="V149" s="82" t="s">
        <v>32684</v>
      </c>
      <c r="W149" s="70" t="s">
        <v>401</v>
      </c>
      <c r="X149" s="70" t="s">
        <v>3607</v>
      </c>
      <c r="AA149" s="82" t="s">
        <v>33227</v>
      </c>
      <c r="AB149" s="82" t="s">
        <v>32616</v>
      </c>
    </row>
    <row r="150" ht="22.5" customHeight="1">
      <c r="A150" s="70" t="s">
        <v>1249</v>
      </c>
      <c r="E150" s="93"/>
      <c r="F150" s="93"/>
      <c r="H150" s="93"/>
      <c r="J150" s="93"/>
      <c r="L150" s="90" t="str">
        <f t="shared" si="2"/>
        <v>Excluded</v>
      </c>
      <c r="M150" s="90">
        <v>0.0</v>
      </c>
      <c r="N150" s="90">
        <v>0.0</v>
      </c>
      <c r="O150" s="70" t="s">
        <v>1252</v>
      </c>
      <c r="P150" s="70" t="s">
        <v>31543</v>
      </c>
      <c r="Q150" s="70" t="s">
        <v>33228</v>
      </c>
      <c r="R150" s="82" t="s">
        <v>33229</v>
      </c>
      <c r="S150" s="70" t="s">
        <v>1250</v>
      </c>
      <c r="T150" s="70" t="s">
        <v>1251</v>
      </c>
      <c r="U150" s="70" t="s">
        <v>33230</v>
      </c>
      <c r="V150" s="82" t="s">
        <v>32684</v>
      </c>
      <c r="W150" s="70" t="s">
        <v>401</v>
      </c>
      <c r="X150" s="70" t="s">
        <v>1256</v>
      </c>
      <c r="Y150" s="70" t="s">
        <v>33231</v>
      </c>
      <c r="AA150" s="82" t="s">
        <v>33130</v>
      </c>
      <c r="AB150" s="82" t="s">
        <v>32616</v>
      </c>
    </row>
    <row r="151" ht="22.5" customHeight="1">
      <c r="A151" s="70" t="s">
        <v>3162</v>
      </c>
      <c r="E151" s="93"/>
      <c r="F151" s="93"/>
      <c r="H151" s="93"/>
      <c r="J151" s="93"/>
      <c r="L151" s="90" t="str">
        <f t="shared" si="2"/>
        <v>Excluded</v>
      </c>
      <c r="M151" s="90">
        <v>0.0</v>
      </c>
      <c r="N151" s="90">
        <v>0.0</v>
      </c>
      <c r="O151" s="70" t="s">
        <v>3165</v>
      </c>
      <c r="P151" s="70" t="s">
        <v>31543</v>
      </c>
      <c r="Q151" s="70" t="s">
        <v>33232</v>
      </c>
      <c r="R151" s="82" t="s">
        <v>33233</v>
      </c>
      <c r="S151" s="70" t="s">
        <v>3163</v>
      </c>
      <c r="T151" s="70" t="s">
        <v>3164</v>
      </c>
      <c r="U151" s="70" t="s">
        <v>33234</v>
      </c>
      <c r="V151" s="82" t="s">
        <v>32684</v>
      </c>
      <c r="W151" s="70" t="s">
        <v>401</v>
      </c>
      <c r="X151" s="70" t="s">
        <v>3170</v>
      </c>
      <c r="Y151" s="70" t="s">
        <v>33235</v>
      </c>
      <c r="AA151" s="82" t="s">
        <v>33236</v>
      </c>
      <c r="AB151" s="82" t="s">
        <v>32616</v>
      </c>
    </row>
    <row r="152" ht="22.5" customHeight="1">
      <c r="A152" s="70" t="s">
        <v>4215</v>
      </c>
      <c r="E152" s="93"/>
      <c r="F152" s="93"/>
      <c r="H152" s="93"/>
      <c r="J152" s="93"/>
      <c r="L152" s="90" t="str">
        <f t="shared" si="2"/>
        <v>Excluded</v>
      </c>
      <c r="M152" s="90">
        <v>0.0</v>
      </c>
      <c r="N152" s="90">
        <v>0.0</v>
      </c>
      <c r="O152" s="70" t="s">
        <v>4216</v>
      </c>
      <c r="P152" s="70" t="s">
        <v>31543</v>
      </c>
      <c r="Q152" s="70" t="s">
        <v>33237</v>
      </c>
      <c r="R152" s="82" t="s">
        <v>33238</v>
      </c>
      <c r="S152" s="70" t="s">
        <v>3860</v>
      </c>
      <c r="T152" s="70" t="s">
        <v>3861</v>
      </c>
      <c r="U152" s="70" t="s">
        <v>33239</v>
      </c>
      <c r="V152" s="82" t="s">
        <v>4166</v>
      </c>
      <c r="X152" s="70" t="s">
        <v>4218</v>
      </c>
      <c r="Y152" s="70" t="s">
        <v>33240</v>
      </c>
      <c r="AA152" s="82" t="s">
        <v>33241</v>
      </c>
      <c r="AB152" s="82" t="s">
        <v>32616</v>
      </c>
    </row>
    <row r="153" ht="22.5" customHeight="1">
      <c r="A153" s="70" t="s">
        <v>1705</v>
      </c>
      <c r="E153" s="93"/>
      <c r="F153" s="93"/>
      <c r="H153" s="93"/>
      <c r="J153" s="93"/>
      <c r="L153" s="90" t="str">
        <f t="shared" si="2"/>
        <v>Excluded</v>
      </c>
      <c r="M153" s="90">
        <v>0.0</v>
      </c>
      <c r="N153" s="90">
        <v>0.0</v>
      </c>
      <c r="O153" s="70" t="s">
        <v>1708</v>
      </c>
      <c r="P153" s="70" t="s">
        <v>31543</v>
      </c>
      <c r="Q153" s="70" t="s">
        <v>33242</v>
      </c>
      <c r="R153" s="82" t="s">
        <v>33243</v>
      </c>
      <c r="S153" s="70" t="s">
        <v>1706</v>
      </c>
      <c r="T153" s="70" t="s">
        <v>1707</v>
      </c>
      <c r="U153" s="70" t="s">
        <v>33244</v>
      </c>
      <c r="V153" s="82" t="s">
        <v>32684</v>
      </c>
      <c r="W153" s="70" t="s">
        <v>401</v>
      </c>
      <c r="X153" s="70" t="s">
        <v>1713</v>
      </c>
      <c r="Y153" s="70" t="s">
        <v>33245</v>
      </c>
      <c r="AA153" s="82" t="s">
        <v>33246</v>
      </c>
      <c r="AB153" s="82" t="s">
        <v>32616</v>
      </c>
    </row>
    <row r="154" ht="22.5" customHeight="1">
      <c r="A154" s="70" t="s">
        <v>1392</v>
      </c>
      <c r="E154" s="93"/>
      <c r="F154" s="93"/>
      <c r="H154" s="93"/>
      <c r="J154" s="93"/>
      <c r="L154" s="90" t="str">
        <f t="shared" si="2"/>
        <v>Excluded</v>
      </c>
      <c r="M154" s="90">
        <v>0.0</v>
      </c>
      <c r="N154" s="90">
        <v>0.0</v>
      </c>
      <c r="O154" s="70" t="s">
        <v>1395</v>
      </c>
      <c r="P154" s="70" t="s">
        <v>31543</v>
      </c>
      <c r="Q154" s="70" t="s">
        <v>31775</v>
      </c>
      <c r="R154" s="82" t="s">
        <v>33247</v>
      </c>
      <c r="S154" s="70" t="s">
        <v>1393</v>
      </c>
      <c r="T154" s="70" t="s">
        <v>1394</v>
      </c>
      <c r="U154" s="70" t="s">
        <v>33248</v>
      </c>
      <c r="V154" s="82" t="s">
        <v>32684</v>
      </c>
      <c r="W154" s="70" t="s">
        <v>401</v>
      </c>
      <c r="X154" s="70" t="s">
        <v>1400</v>
      </c>
      <c r="Y154" s="70" t="s">
        <v>33249</v>
      </c>
      <c r="AA154" s="82" t="s">
        <v>32970</v>
      </c>
      <c r="AB154" s="82" t="s">
        <v>32616</v>
      </c>
    </row>
    <row r="155" ht="22.5" customHeight="1">
      <c r="A155" s="70" t="s">
        <v>4163</v>
      </c>
      <c r="E155" s="93"/>
      <c r="F155" s="93"/>
      <c r="H155" s="93"/>
      <c r="J155" s="93"/>
      <c r="L155" s="90" t="str">
        <f t="shared" si="2"/>
        <v>Excluded</v>
      </c>
      <c r="M155" s="90">
        <v>0.0</v>
      </c>
      <c r="N155" s="90">
        <v>0.0</v>
      </c>
      <c r="O155" s="70" t="s">
        <v>4164</v>
      </c>
      <c r="P155" s="70" t="s">
        <v>31543</v>
      </c>
      <c r="Q155" s="70" t="s">
        <v>33250</v>
      </c>
      <c r="R155" s="82" t="s">
        <v>33027</v>
      </c>
      <c r="S155" s="70" t="s">
        <v>3860</v>
      </c>
      <c r="T155" s="70" t="s">
        <v>3861</v>
      </c>
      <c r="U155" s="70" t="s">
        <v>33251</v>
      </c>
      <c r="V155" s="82" t="s">
        <v>4166</v>
      </c>
      <c r="X155" s="70" t="s">
        <v>31119</v>
      </c>
      <c r="Y155" s="70" t="s">
        <v>33252</v>
      </c>
      <c r="AA155" s="82" t="s">
        <v>33162</v>
      </c>
      <c r="AB155" s="82" t="s">
        <v>32616</v>
      </c>
    </row>
    <row r="156" ht="22.5" customHeight="1">
      <c r="A156" s="70" t="s">
        <v>618</v>
      </c>
      <c r="E156" s="93"/>
      <c r="F156" s="93"/>
      <c r="H156" s="93"/>
      <c r="J156" s="93"/>
      <c r="L156" s="90" t="str">
        <f t="shared" si="2"/>
        <v>Excluded</v>
      </c>
      <c r="M156" s="90">
        <v>0.0</v>
      </c>
      <c r="N156" s="90">
        <v>0.0</v>
      </c>
      <c r="O156" s="70" t="s">
        <v>621</v>
      </c>
      <c r="P156" s="70" t="s">
        <v>31543</v>
      </c>
      <c r="Q156" s="70" t="s">
        <v>33253</v>
      </c>
      <c r="R156" s="82" t="s">
        <v>33184</v>
      </c>
      <c r="S156" s="70" t="s">
        <v>619</v>
      </c>
      <c r="T156" s="70" t="s">
        <v>620</v>
      </c>
      <c r="U156" s="70" t="s">
        <v>33254</v>
      </c>
      <c r="V156" s="82" t="s">
        <v>32684</v>
      </c>
      <c r="W156" s="70" t="s">
        <v>401</v>
      </c>
      <c r="X156" s="70" t="s">
        <v>626</v>
      </c>
      <c r="Y156" s="70" t="s">
        <v>33255</v>
      </c>
      <c r="AA156" s="82" t="s">
        <v>33256</v>
      </c>
      <c r="AB156" s="82" t="s">
        <v>32616</v>
      </c>
    </row>
    <row r="157" ht="22.5" customHeight="1">
      <c r="A157" s="70" t="s">
        <v>1669</v>
      </c>
      <c r="E157" s="93"/>
      <c r="F157" s="93"/>
      <c r="H157" s="93"/>
      <c r="J157" s="93"/>
      <c r="L157" s="90" t="str">
        <f t="shared" si="2"/>
        <v>Excluded</v>
      </c>
      <c r="M157" s="90">
        <v>0.0</v>
      </c>
      <c r="N157" s="90">
        <v>0.0</v>
      </c>
      <c r="O157" s="70" t="s">
        <v>1670</v>
      </c>
      <c r="P157" s="70" t="s">
        <v>31543</v>
      </c>
      <c r="Q157" s="70" t="s">
        <v>33257</v>
      </c>
      <c r="R157" s="82" t="s">
        <v>33258</v>
      </c>
      <c r="S157" s="70" t="s">
        <v>619</v>
      </c>
      <c r="T157" s="70" t="s">
        <v>620</v>
      </c>
      <c r="U157" s="70" t="s">
        <v>33259</v>
      </c>
      <c r="V157" s="82" t="s">
        <v>32684</v>
      </c>
      <c r="W157" s="70" t="s">
        <v>401</v>
      </c>
      <c r="X157" s="70" t="s">
        <v>31121</v>
      </c>
      <c r="AA157" s="82" t="s">
        <v>33260</v>
      </c>
      <c r="AB157" s="82" t="s">
        <v>32616</v>
      </c>
    </row>
    <row r="158" ht="22.5" customHeight="1">
      <c r="A158" s="70" t="s">
        <v>3455</v>
      </c>
      <c r="E158" s="93"/>
      <c r="F158" s="93"/>
      <c r="H158" s="93"/>
      <c r="J158" s="93"/>
      <c r="L158" s="90" t="str">
        <f t="shared" si="2"/>
        <v>Excluded</v>
      </c>
      <c r="M158" s="90">
        <v>0.0</v>
      </c>
      <c r="N158" s="90">
        <v>0.0</v>
      </c>
      <c r="O158" s="70" t="s">
        <v>3456</v>
      </c>
      <c r="P158" s="70" t="s">
        <v>31543</v>
      </c>
      <c r="Q158" s="70" t="s">
        <v>33261</v>
      </c>
      <c r="R158" s="82" t="s">
        <v>33223</v>
      </c>
      <c r="S158" s="70" t="s">
        <v>619</v>
      </c>
      <c r="T158" s="70" t="s">
        <v>620</v>
      </c>
      <c r="U158" s="70" t="s">
        <v>33262</v>
      </c>
      <c r="V158" s="82" t="s">
        <v>32684</v>
      </c>
      <c r="W158" s="70" t="s">
        <v>401</v>
      </c>
      <c r="X158" s="70" t="s">
        <v>3459</v>
      </c>
      <c r="Y158" s="70" t="s">
        <v>33263</v>
      </c>
      <c r="AA158" s="82" t="s">
        <v>33264</v>
      </c>
      <c r="AB158" s="82" t="s">
        <v>32616</v>
      </c>
    </row>
    <row r="159" ht="22.5" customHeight="1">
      <c r="A159" s="70" t="s">
        <v>1676</v>
      </c>
      <c r="E159" s="93"/>
      <c r="F159" s="93"/>
      <c r="H159" s="93"/>
      <c r="J159" s="93"/>
      <c r="L159" s="90" t="str">
        <f t="shared" si="2"/>
        <v>Excluded</v>
      </c>
      <c r="M159" s="90">
        <v>0.0</v>
      </c>
      <c r="N159" s="90">
        <v>0.0</v>
      </c>
      <c r="O159" s="70" t="s">
        <v>1677</v>
      </c>
      <c r="P159" s="70" t="s">
        <v>31543</v>
      </c>
      <c r="Q159" s="70" t="s">
        <v>33265</v>
      </c>
      <c r="R159" s="82" t="s">
        <v>33266</v>
      </c>
      <c r="S159" s="70" t="s">
        <v>619</v>
      </c>
      <c r="T159" s="70" t="s">
        <v>620</v>
      </c>
      <c r="U159" s="70" t="s">
        <v>33267</v>
      </c>
      <c r="V159" s="82" t="s">
        <v>32684</v>
      </c>
      <c r="W159" s="70" t="s">
        <v>401</v>
      </c>
      <c r="X159" s="70" t="s">
        <v>1680</v>
      </c>
      <c r="Y159" s="70" t="s">
        <v>33268</v>
      </c>
      <c r="AA159" s="82" t="s">
        <v>33269</v>
      </c>
      <c r="AB159" s="82" t="s">
        <v>32616</v>
      </c>
    </row>
    <row r="160" ht="22.5" customHeight="1">
      <c r="A160" s="70" t="s">
        <v>3580</v>
      </c>
      <c r="E160" s="93"/>
      <c r="F160" s="93"/>
      <c r="H160" s="93"/>
      <c r="J160" s="93"/>
      <c r="L160" s="90" t="str">
        <f t="shared" si="2"/>
        <v>Excluded</v>
      </c>
      <c r="M160" s="90">
        <v>0.0</v>
      </c>
      <c r="N160" s="90">
        <v>0.0</v>
      </c>
      <c r="O160" s="70" t="s">
        <v>3583</v>
      </c>
      <c r="P160" s="70" t="s">
        <v>31543</v>
      </c>
      <c r="Q160" s="70" t="s">
        <v>33270</v>
      </c>
      <c r="R160" s="82" t="s">
        <v>33146</v>
      </c>
      <c r="S160" s="70" t="s">
        <v>3581</v>
      </c>
      <c r="T160" s="70" t="s">
        <v>3582</v>
      </c>
      <c r="U160" s="70" t="s">
        <v>33271</v>
      </c>
      <c r="V160" s="82" t="s">
        <v>32684</v>
      </c>
      <c r="W160" s="70" t="s">
        <v>401</v>
      </c>
      <c r="X160" s="70" t="s">
        <v>3586</v>
      </c>
      <c r="Y160" s="70" t="s">
        <v>33272</v>
      </c>
      <c r="AA160" s="82" t="s">
        <v>33273</v>
      </c>
      <c r="AB160" s="82" t="s">
        <v>32616</v>
      </c>
    </row>
    <row r="161" ht="22.5" customHeight="1">
      <c r="A161" s="70" t="s">
        <v>31122</v>
      </c>
      <c r="E161" s="93"/>
      <c r="F161" s="93"/>
      <c r="H161" s="93"/>
      <c r="J161" s="93"/>
      <c r="L161" s="90" t="str">
        <f t="shared" si="2"/>
        <v>Excluded</v>
      </c>
      <c r="M161" s="90">
        <v>0.0</v>
      </c>
      <c r="N161" s="90">
        <v>0.0</v>
      </c>
      <c r="O161" s="70" t="s">
        <v>4462</v>
      </c>
      <c r="P161" s="70" t="s">
        <v>31543</v>
      </c>
      <c r="Q161" s="70" t="s">
        <v>33274</v>
      </c>
      <c r="R161" s="82" t="s">
        <v>33275</v>
      </c>
      <c r="S161" s="70" t="s">
        <v>3635</v>
      </c>
      <c r="T161" s="70" t="s">
        <v>3636</v>
      </c>
      <c r="U161" s="70" t="s">
        <v>33276</v>
      </c>
      <c r="V161" s="82" t="s">
        <v>4057</v>
      </c>
      <c r="X161" s="70" t="s">
        <v>31123</v>
      </c>
      <c r="Y161" s="70" t="s">
        <v>33277</v>
      </c>
      <c r="AA161" s="82" t="s">
        <v>33278</v>
      </c>
      <c r="AB161" s="82" t="s">
        <v>32616</v>
      </c>
    </row>
    <row r="162" ht="22.5" customHeight="1">
      <c r="A162" s="70" t="s">
        <v>1065</v>
      </c>
      <c r="E162" s="93"/>
      <c r="F162" s="93"/>
      <c r="H162" s="93"/>
      <c r="J162" s="93"/>
      <c r="L162" s="90" t="str">
        <f t="shared" si="2"/>
        <v>Excluded</v>
      </c>
      <c r="M162" s="90">
        <v>0.0</v>
      </c>
      <c r="N162" s="90">
        <v>0.0</v>
      </c>
      <c r="O162" s="70" t="s">
        <v>1068</v>
      </c>
      <c r="P162" s="70" t="s">
        <v>31543</v>
      </c>
      <c r="Q162" s="70" t="s">
        <v>33279</v>
      </c>
      <c r="R162" s="82" t="s">
        <v>33280</v>
      </c>
      <c r="S162" s="70" t="s">
        <v>1066</v>
      </c>
      <c r="T162" s="70" t="s">
        <v>1067</v>
      </c>
      <c r="U162" s="70" t="s">
        <v>33281</v>
      </c>
      <c r="V162" s="82" t="s">
        <v>32684</v>
      </c>
      <c r="W162" s="70" t="s">
        <v>401</v>
      </c>
      <c r="X162" s="70" t="s">
        <v>1073</v>
      </c>
      <c r="Y162" s="70" t="s">
        <v>33282</v>
      </c>
      <c r="AA162" s="82" t="s">
        <v>32924</v>
      </c>
      <c r="AB162" s="82" t="s">
        <v>32616</v>
      </c>
    </row>
    <row r="163" ht="22.5" customHeight="1">
      <c r="A163" s="70" t="s">
        <v>2150</v>
      </c>
      <c r="E163" s="93"/>
      <c r="F163" s="93"/>
      <c r="H163" s="93"/>
      <c r="J163" s="93"/>
      <c r="L163" s="90" t="str">
        <f t="shared" si="2"/>
        <v>Excluded</v>
      </c>
      <c r="M163" s="90">
        <v>0.0</v>
      </c>
      <c r="N163" s="90">
        <v>0.0</v>
      </c>
      <c r="O163" s="70" t="s">
        <v>2153</v>
      </c>
      <c r="P163" s="70" t="s">
        <v>31543</v>
      </c>
      <c r="Q163" s="70" t="s">
        <v>33283</v>
      </c>
      <c r="R163" s="82" t="s">
        <v>33284</v>
      </c>
      <c r="S163" s="70" t="s">
        <v>2151</v>
      </c>
      <c r="T163" s="70" t="s">
        <v>2152</v>
      </c>
      <c r="U163" s="70" t="s">
        <v>33285</v>
      </c>
      <c r="V163" s="82" t="s">
        <v>32684</v>
      </c>
      <c r="W163" s="70" t="s">
        <v>401</v>
      </c>
      <c r="X163" s="70" t="s">
        <v>2157</v>
      </c>
      <c r="Y163" s="70" t="s">
        <v>33286</v>
      </c>
      <c r="AA163" s="82" t="s">
        <v>33135</v>
      </c>
      <c r="AB163" s="82" t="s">
        <v>32616</v>
      </c>
    </row>
    <row r="164" ht="22.5" customHeight="1">
      <c r="A164" s="70" t="s">
        <v>441</v>
      </c>
      <c r="E164" s="93"/>
      <c r="F164" s="93"/>
      <c r="H164" s="93"/>
      <c r="J164" s="93"/>
      <c r="L164" s="90" t="str">
        <f t="shared" si="2"/>
        <v>Excluded</v>
      </c>
      <c r="M164" s="90">
        <v>0.0</v>
      </c>
      <c r="N164" s="90">
        <v>0.0</v>
      </c>
      <c r="O164" s="70" t="s">
        <v>444</v>
      </c>
      <c r="P164" s="70" t="s">
        <v>31543</v>
      </c>
      <c r="Q164" s="70" t="s">
        <v>33287</v>
      </c>
      <c r="R164" s="82" t="s">
        <v>33288</v>
      </c>
      <c r="S164" s="70" t="s">
        <v>442</v>
      </c>
      <c r="T164" s="70" t="s">
        <v>443</v>
      </c>
      <c r="U164" s="70" t="s">
        <v>33289</v>
      </c>
      <c r="V164" s="82" t="s">
        <v>32684</v>
      </c>
      <c r="W164" s="70" t="s">
        <v>401</v>
      </c>
      <c r="X164" s="70" t="s">
        <v>449</v>
      </c>
      <c r="Y164" s="70" t="s">
        <v>33290</v>
      </c>
      <c r="AA164" s="82" t="s">
        <v>33291</v>
      </c>
      <c r="AB164" s="82" t="s">
        <v>32616</v>
      </c>
    </row>
    <row r="165" ht="22.5" customHeight="1">
      <c r="A165" s="70" t="s">
        <v>1211</v>
      </c>
      <c r="E165" s="93"/>
      <c r="F165" s="93"/>
      <c r="H165" s="93"/>
      <c r="J165" s="93"/>
      <c r="L165" s="90" t="str">
        <f t="shared" si="2"/>
        <v>Excluded</v>
      </c>
      <c r="M165" s="90">
        <v>0.0</v>
      </c>
      <c r="N165" s="90">
        <v>0.0</v>
      </c>
      <c r="O165" s="70" t="s">
        <v>1214</v>
      </c>
      <c r="P165" s="70" t="s">
        <v>31543</v>
      </c>
      <c r="Q165" s="70" t="s">
        <v>33292</v>
      </c>
      <c r="R165" s="82" t="s">
        <v>33293</v>
      </c>
      <c r="S165" s="70" t="s">
        <v>1212</v>
      </c>
      <c r="T165" s="70" t="s">
        <v>1213</v>
      </c>
      <c r="U165" s="70" t="s">
        <v>33294</v>
      </c>
      <c r="V165" s="82" t="s">
        <v>32684</v>
      </c>
      <c r="W165" s="70" t="s">
        <v>401</v>
      </c>
      <c r="X165" s="70" t="s">
        <v>1218</v>
      </c>
      <c r="AA165" s="82" t="s">
        <v>32892</v>
      </c>
      <c r="AB165" s="82" t="s">
        <v>32616</v>
      </c>
    </row>
    <row r="166" ht="22.5" customHeight="1">
      <c r="A166" s="70" t="s">
        <v>1369</v>
      </c>
      <c r="E166" s="93"/>
      <c r="F166" s="93"/>
      <c r="H166" s="93"/>
      <c r="J166" s="93"/>
      <c r="L166" s="90" t="str">
        <f t="shared" si="2"/>
        <v>Excluded</v>
      </c>
      <c r="M166" s="90">
        <v>0.0</v>
      </c>
      <c r="N166" s="90">
        <v>0.0</v>
      </c>
      <c r="O166" s="70" t="s">
        <v>1372</v>
      </c>
      <c r="P166" s="70" t="s">
        <v>31543</v>
      </c>
      <c r="Q166" s="70" t="s">
        <v>33295</v>
      </c>
      <c r="R166" s="82" t="s">
        <v>32999</v>
      </c>
      <c r="S166" s="70" t="s">
        <v>1370</v>
      </c>
      <c r="T166" s="70" t="s">
        <v>1371</v>
      </c>
      <c r="U166" s="70" t="s">
        <v>33296</v>
      </c>
      <c r="V166" s="82" t="s">
        <v>32642</v>
      </c>
      <c r="W166" s="70" t="s">
        <v>401</v>
      </c>
      <c r="X166" s="70" t="s">
        <v>1377</v>
      </c>
      <c r="Y166" s="70" t="s">
        <v>33297</v>
      </c>
      <c r="AA166" s="82" t="s">
        <v>33298</v>
      </c>
      <c r="AB166" s="82" t="s">
        <v>32616</v>
      </c>
    </row>
    <row r="167" ht="22.5" customHeight="1">
      <c r="A167" s="70" t="s">
        <v>1909</v>
      </c>
      <c r="E167" s="93"/>
      <c r="F167" s="93"/>
      <c r="H167" s="93"/>
      <c r="J167" s="93"/>
      <c r="L167" s="90" t="str">
        <f t="shared" si="2"/>
        <v>Excluded</v>
      </c>
      <c r="M167" s="90">
        <v>0.0</v>
      </c>
      <c r="N167" s="90">
        <v>0.0</v>
      </c>
      <c r="O167" s="70" t="s">
        <v>1910</v>
      </c>
      <c r="P167" s="70" t="s">
        <v>31543</v>
      </c>
      <c r="Q167" s="70" t="s">
        <v>33299</v>
      </c>
      <c r="R167" s="82" t="s">
        <v>32986</v>
      </c>
      <c r="S167" s="70" t="s">
        <v>1370</v>
      </c>
      <c r="T167" s="70" t="s">
        <v>1371</v>
      </c>
      <c r="U167" s="70" t="s">
        <v>33300</v>
      </c>
      <c r="V167" s="82" t="s">
        <v>32642</v>
      </c>
      <c r="W167" s="70" t="s">
        <v>401</v>
      </c>
      <c r="X167" s="70" t="s">
        <v>1913</v>
      </c>
      <c r="Y167" s="70" t="s">
        <v>33301</v>
      </c>
      <c r="AA167" s="82" t="s">
        <v>33153</v>
      </c>
      <c r="AB167" s="82" t="s">
        <v>32616</v>
      </c>
    </row>
    <row r="168" ht="22.5" customHeight="1">
      <c r="A168" s="70" t="s">
        <v>4551</v>
      </c>
      <c r="E168" s="93"/>
      <c r="F168" s="93"/>
      <c r="H168" s="93"/>
      <c r="J168" s="93"/>
      <c r="L168" s="90" t="str">
        <f t="shared" si="2"/>
        <v>Excluded</v>
      </c>
      <c r="M168" s="90">
        <v>0.0</v>
      </c>
      <c r="N168" s="90">
        <v>0.0</v>
      </c>
      <c r="O168" s="70" t="s">
        <v>4552</v>
      </c>
      <c r="P168" s="70" t="s">
        <v>31543</v>
      </c>
      <c r="Q168" s="70" t="s">
        <v>33302</v>
      </c>
      <c r="R168" s="82" t="s">
        <v>33303</v>
      </c>
      <c r="S168" s="70" t="s">
        <v>3635</v>
      </c>
      <c r="T168" s="70" t="s">
        <v>3636</v>
      </c>
      <c r="U168" s="70" t="s">
        <v>33304</v>
      </c>
      <c r="V168" s="82" t="s">
        <v>4113</v>
      </c>
      <c r="X168" s="70" t="s">
        <v>4554</v>
      </c>
      <c r="Y168" s="70" t="s">
        <v>33305</v>
      </c>
      <c r="AA168" s="82" t="s">
        <v>33306</v>
      </c>
      <c r="AB168" s="82" t="s">
        <v>32616</v>
      </c>
    </row>
    <row r="169" ht="22.5" customHeight="1">
      <c r="A169" s="70" t="s">
        <v>2237</v>
      </c>
      <c r="E169" s="93"/>
      <c r="F169" s="93"/>
      <c r="H169" s="93"/>
      <c r="J169" s="93"/>
      <c r="L169" s="90" t="str">
        <f t="shared" si="2"/>
        <v>Excluded</v>
      </c>
      <c r="M169" s="90">
        <v>0.0</v>
      </c>
      <c r="N169" s="90">
        <v>0.0</v>
      </c>
      <c r="O169" s="70" t="s">
        <v>2240</v>
      </c>
      <c r="P169" s="70" t="s">
        <v>31543</v>
      </c>
      <c r="Q169" s="70" t="s">
        <v>33307</v>
      </c>
      <c r="R169" s="82" t="s">
        <v>33308</v>
      </c>
      <c r="S169" s="70" t="s">
        <v>2238</v>
      </c>
      <c r="T169" s="70" t="s">
        <v>2239</v>
      </c>
      <c r="U169" s="70" t="s">
        <v>33309</v>
      </c>
      <c r="V169" s="82" t="s">
        <v>32642</v>
      </c>
      <c r="W169" s="70" t="s">
        <v>401</v>
      </c>
      <c r="X169" s="70" t="s">
        <v>2244</v>
      </c>
      <c r="AA169" s="82" t="s">
        <v>33310</v>
      </c>
      <c r="AB169" s="82" t="s">
        <v>32616</v>
      </c>
    </row>
    <row r="170" ht="22.5" customHeight="1">
      <c r="A170" s="70" t="s">
        <v>3496</v>
      </c>
      <c r="E170" s="93"/>
      <c r="F170" s="93"/>
      <c r="H170" s="93"/>
      <c r="J170" s="93"/>
      <c r="L170" s="90" t="str">
        <f t="shared" si="2"/>
        <v>Excluded</v>
      </c>
      <c r="M170" s="90">
        <v>0.0</v>
      </c>
      <c r="N170" s="90">
        <v>0.0</v>
      </c>
      <c r="O170" s="70" t="s">
        <v>3499</v>
      </c>
      <c r="P170" s="70" t="s">
        <v>31543</v>
      </c>
      <c r="Q170" s="70" t="s">
        <v>33311</v>
      </c>
      <c r="R170" s="82" t="s">
        <v>33312</v>
      </c>
      <c r="S170" s="70" t="s">
        <v>3497</v>
      </c>
      <c r="T170" s="70" t="s">
        <v>3498</v>
      </c>
      <c r="U170" s="70" t="s">
        <v>33313</v>
      </c>
      <c r="V170" s="82" t="s">
        <v>32684</v>
      </c>
      <c r="W170" s="70" t="s">
        <v>401</v>
      </c>
      <c r="X170" s="70" t="s">
        <v>3503</v>
      </c>
      <c r="Y170" s="70" t="s">
        <v>33314</v>
      </c>
      <c r="AA170" s="82" t="s">
        <v>33315</v>
      </c>
      <c r="AB170" s="82" t="s">
        <v>32616</v>
      </c>
    </row>
    <row r="171" ht="22.5" customHeight="1">
      <c r="A171" s="70" t="s">
        <v>429</v>
      </c>
      <c r="E171" s="93"/>
      <c r="F171" s="93"/>
      <c r="H171" s="93"/>
      <c r="J171" s="93"/>
      <c r="L171" s="90" t="str">
        <f t="shared" si="2"/>
        <v>Excluded</v>
      </c>
      <c r="M171" s="90">
        <v>0.0</v>
      </c>
      <c r="N171" s="90">
        <v>0.0</v>
      </c>
      <c r="O171" s="70" t="s">
        <v>432</v>
      </c>
      <c r="P171" s="70" t="s">
        <v>31543</v>
      </c>
      <c r="Q171" s="70" t="s">
        <v>33316</v>
      </c>
      <c r="R171" s="82" t="s">
        <v>33317</v>
      </c>
      <c r="S171" s="70" t="s">
        <v>430</v>
      </c>
      <c r="T171" s="70" t="s">
        <v>431</v>
      </c>
      <c r="U171" s="70" t="s">
        <v>33318</v>
      </c>
      <c r="V171" s="82" t="s">
        <v>32684</v>
      </c>
      <c r="W171" s="70" t="s">
        <v>401</v>
      </c>
      <c r="X171" s="70" t="s">
        <v>437</v>
      </c>
      <c r="Y171" s="70" t="s">
        <v>33319</v>
      </c>
      <c r="AA171" s="82" t="s">
        <v>32783</v>
      </c>
      <c r="AB171" s="82" t="s">
        <v>32616</v>
      </c>
    </row>
    <row r="172" ht="22.5" customHeight="1">
      <c r="A172" s="70" t="s">
        <v>3999</v>
      </c>
      <c r="E172" s="93"/>
      <c r="F172" s="93"/>
      <c r="H172" s="93"/>
      <c r="J172" s="93"/>
      <c r="L172" s="90" t="str">
        <f t="shared" si="2"/>
        <v>Excluded</v>
      </c>
      <c r="M172" s="90">
        <v>0.0</v>
      </c>
      <c r="N172" s="90">
        <v>0.0</v>
      </c>
      <c r="O172" s="70" t="s">
        <v>4000</v>
      </c>
      <c r="P172" s="70" t="s">
        <v>31543</v>
      </c>
      <c r="Q172" s="70" t="s">
        <v>33320</v>
      </c>
      <c r="R172" s="82" t="s">
        <v>32994</v>
      </c>
      <c r="S172" s="70" t="s">
        <v>3635</v>
      </c>
      <c r="T172" s="70" t="s">
        <v>3636</v>
      </c>
      <c r="U172" s="70" t="s">
        <v>33321</v>
      </c>
      <c r="V172" s="82" t="s">
        <v>4002</v>
      </c>
      <c r="X172" s="70" t="s">
        <v>4003</v>
      </c>
      <c r="Y172" s="70" t="s">
        <v>33322</v>
      </c>
      <c r="AA172" s="82" t="s">
        <v>33323</v>
      </c>
      <c r="AB172" s="82" t="s">
        <v>32616</v>
      </c>
    </row>
    <row r="173" ht="22.5" customHeight="1">
      <c r="A173" s="70" t="s">
        <v>2467</v>
      </c>
      <c r="E173" s="93"/>
      <c r="F173" s="93"/>
      <c r="H173" s="93"/>
      <c r="J173" s="93"/>
      <c r="L173" s="90" t="str">
        <f t="shared" si="2"/>
        <v>Excluded</v>
      </c>
      <c r="M173" s="90">
        <v>0.0</v>
      </c>
      <c r="N173" s="90">
        <v>0.0</v>
      </c>
      <c r="O173" s="70" t="s">
        <v>2469</v>
      </c>
      <c r="P173" s="70" t="s">
        <v>31543</v>
      </c>
      <c r="Q173" s="70" t="s">
        <v>33324</v>
      </c>
      <c r="R173" s="82" t="s">
        <v>33325</v>
      </c>
      <c r="S173" s="70" t="s">
        <v>1972</v>
      </c>
      <c r="T173" s="70" t="s">
        <v>2468</v>
      </c>
      <c r="U173" s="70" t="s">
        <v>33326</v>
      </c>
      <c r="V173" s="82" t="s">
        <v>32684</v>
      </c>
      <c r="W173" s="70" t="s">
        <v>401</v>
      </c>
      <c r="X173" s="70" t="s">
        <v>31129</v>
      </c>
      <c r="Y173" s="70" t="s">
        <v>33327</v>
      </c>
      <c r="AA173" s="82" t="s">
        <v>33317</v>
      </c>
      <c r="AB173" s="82" t="s">
        <v>32616</v>
      </c>
    </row>
    <row r="174" ht="22.5" customHeight="1">
      <c r="A174" s="70" t="s">
        <v>1541</v>
      </c>
      <c r="E174" s="93"/>
      <c r="F174" s="93"/>
      <c r="H174" s="93"/>
      <c r="J174" s="93"/>
      <c r="L174" s="90" t="str">
        <f t="shared" si="2"/>
        <v>Excluded</v>
      </c>
      <c r="M174" s="90">
        <v>0.0</v>
      </c>
      <c r="N174" s="90">
        <v>0.0</v>
      </c>
      <c r="O174" s="70" t="s">
        <v>1544</v>
      </c>
      <c r="P174" s="70" t="s">
        <v>31543</v>
      </c>
      <c r="Q174" s="70" t="s">
        <v>33328</v>
      </c>
      <c r="R174" s="82" t="s">
        <v>33329</v>
      </c>
      <c r="S174" s="70" t="s">
        <v>1542</v>
      </c>
      <c r="T174" s="70" t="s">
        <v>1543</v>
      </c>
      <c r="U174" s="70" t="s">
        <v>33330</v>
      </c>
      <c r="V174" s="82" t="s">
        <v>32684</v>
      </c>
      <c r="W174" s="70" t="s">
        <v>401</v>
      </c>
      <c r="X174" s="70" t="s">
        <v>1548</v>
      </c>
      <c r="Y174" s="70" t="s">
        <v>33331</v>
      </c>
      <c r="AA174" s="82" t="s">
        <v>33266</v>
      </c>
      <c r="AB174" s="82" t="s">
        <v>32616</v>
      </c>
    </row>
    <row r="175" ht="22.5" customHeight="1">
      <c r="A175" s="70" t="s">
        <v>1199</v>
      </c>
      <c r="E175" s="93"/>
      <c r="F175" s="93"/>
      <c r="H175" s="93"/>
      <c r="J175" s="93"/>
      <c r="L175" s="90" t="str">
        <f t="shared" si="2"/>
        <v>Excluded</v>
      </c>
      <c r="M175" s="90">
        <v>0.0</v>
      </c>
      <c r="N175" s="90">
        <v>0.0</v>
      </c>
      <c r="O175" s="70" t="s">
        <v>1202</v>
      </c>
      <c r="P175" s="70" t="s">
        <v>31543</v>
      </c>
      <c r="Q175" s="70" t="s">
        <v>33332</v>
      </c>
      <c r="R175" s="82" t="s">
        <v>33119</v>
      </c>
      <c r="S175" s="70" t="s">
        <v>1200</v>
      </c>
      <c r="T175" s="70" t="s">
        <v>1201</v>
      </c>
      <c r="U175" s="70" t="s">
        <v>33333</v>
      </c>
      <c r="V175" s="82" t="s">
        <v>32642</v>
      </c>
      <c r="W175" s="70" t="s">
        <v>401</v>
      </c>
      <c r="X175" s="70" t="s">
        <v>1207</v>
      </c>
      <c r="Y175" s="70" t="s">
        <v>33334</v>
      </c>
      <c r="AA175" s="82" t="s">
        <v>33335</v>
      </c>
      <c r="AB175" s="82" t="s">
        <v>32616</v>
      </c>
    </row>
    <row r="176" ht="22.5" customHeight="1">
      <c r="A176" s="70" t="s">
        <v>993</v>
      </c>
      <c r="E176" s="93"/>
      <c r="F176" s="93"/>
      <c r="H176" s="93"/>
      <c r="J176" s="93"/>
      <c r="L176" s="90" t="str">
        <f t="shared" si="2"/>
        <v>Excluded</v>
      </c>
      <c r="M176" s="90">
        <v>0.0</v>
      </c>
      <c r="N176" s="90">
        <v>0.0</v>
      </c>
      <c r="O176" s="70" t="s">
        <v>996</v>
      </c>
      <c r="P176" s="70" t="s">
        <v>31543</v>
      </c>
      <c r="Q176" s="70" t="s">
        <v>33336</v>
      </c>
      <c r="R176" s="82" t="s">
        <v>33337</v>
      </c>
      <c r="S176" s="70" t="s">
        <v>994</v>
      </c>
      <c r="T176" s="70" t="s">
        <v>995</v>
      </c>
      <c r="U176" s="70" t="s">
        <v>33338</v>
      </c>
      <c r="V176" s="82" t="s">
        <v>32684</v>
      </c>
      <c r="W176" s="70" t="s">
        <v>401</v>
      </c>
      <c r="X176" s="70" t="s">
        <v>1000</v>
      </c>
      <c r="Y176" s="70" t="s">
        <v>33339</v>
      </c>
      <c r="AA176" s="82" t="s">
        <v>33340</v>
      </c>
      <c r="AB176" s="82" t="s">
        <v>32616</v>
      </c>
    </row>
    <row r="177" ht="22.5" customHeight="1">
      <c r="A177" s="70" t="s">
        <v>3060</v>
      </c>
      <c r="E177" s="93"/>
      <c r="F177" s="93"/>
      <c r="H177" s="93"/>
      <c r="J177" s="93"/>
      <c r="L177" s="90" t="str">
        <f t="shared" si="2"/>
        <v>Excluded</v>
      </c>
      <c r="M177" s="90">
        <v>0.0</v>
      </c>
      <c r="N177" s="90">
        <v>0.0</v>
      </c>
      <c r="O177" s="70" t="s">
        <v>3063</v>
      </c>
      <c r="P177" s="70" t="s">
        <v>31543</v>
      </c>
      <c r="Q177" s="70" t="s">
        <v>33341</v>
      </c>
      <c r="R177" s="82" t="s">
        <v>33342</v>
      </c>
      <c r="S177" s="70" t="s">
        <v>3061</v>
      </c>
      <c r="T177" s="70" t="s">
        <v>3062</v>
      </c>
      <c r="U177" s="70" t="s">
        <v>33343</v>
      </c>
      <c r="V177" s="82" t="s">
        <v>32684</v>
      </c>
      <c r="W177" s="70" t="s">
        <v>401</v>
      </c>
      <c r="X177" s="70" t="s">
        <v>3067</v>
      </c>
      <c r="Y177" s="70" t="s">
        <v>33344</v>
      </c>
      <c r="AA177" s="82" t="s">
        <v>33345</v>
      </c>
      <c r="AB177" s="82" t="s">
        <v>32616</v>
      </c>
    </row>
    <row r="178" ht="22.5" customHeight="1">
      <c r="A178" s="70" t="s">
        <v>4110</v>
      </c>
      <c r="E178" s="93"/>
      <c r="F178" s="93"/>
      <c r="H178" s="93"/>
      <c r="J178" s="93"/>
      <c r="L178" s="90" t="str">
        <f t="shared" si="2"/>
        <v>Excluded</v>
      </c>
      <c r="M178" s="90">
        <v>0.0</v>
      </c>
      <c r="N178" s="90">
        <v>0.0</v>
      </c>
      <c r="O178" s="70" t="s">
        <v>4111</v>
      </c>
      <c r="P178" s="70" t="s">
        <v>31543</v>
      </c>
      <c r="Q178" s="70" t="s">
        <v>33346</v>
      </c>
      <c r="R178" s="82" t="s">
        <v>33347</v>
      </c>
      <c r="S178" s="70" t="s">
        <v>3635</v>
      </c>
      <c r="T178" s="70" t="s">
        <v>3636</v>
      </c>
      <c r="U178" s="70" t="s">
        <v>33348</v>
      </c>
      <c r="V178" s="82" t="s">
        <v>4113</v>
      </c>
      <c r="X178" s="70" t="s">
        <v>4114</v>
      </c>
      <c r="Y178" s="70" t="s">
        <v>33349</v>
      </c>
      <c r="AA178" s="82" t="s">
        <v>33350</v>
      </c>
      <c r="AB178" s="82" t="s">
        <v>32616</v>
      </c>
    </row>
    <row r="179" ht="22.5" customHeight="1">
      <c r="A179" s="70" t="s">
        <v>699</v>
      </c>
      <c r="E179" s="93"/>
      <c r="F179" s="93"/>
      <c r="H179" s="93"/>
      <c r="J179" s="93"/>
      <c r="L179" s="90" t="str">
        <f t="shared" si="2"/>
        <v>Excluded</v>
      </c>
      <c r="M179" s="90">
        <v>0.0</v>
      </c>
      <c r="N179" s="90">
        <v>0.0</v>
      </c>
      <c r="O179" s="70" t="s">
        <v>702</v>
      </c>
      <c r="P179" s="70" t="s">
        <v>31543</v>
      </c>
      <c r="Q179" s="70" t="s">
        <v>33351</v>
      </c>
      <c r="R179" s="82" t="s">
        <v>33352</v>
      </c>
      <c r="S179" s="70" t="s">
        <v>700</v>
      </c>
      <c r="T179" s="70" t="s">
        <v>701</v>
      </c>
      <c r="U179" s="70" t="s">
        <v>33353</v>
      </c>
      <c r="V179" s="82" t="s">
        <v>32684</v>
      </c>
      <c r="W179" s="70" t="s">
        <v>401</v>
      </c>
      <c r="X179" s="70" t="s">
        <v>706</v>
      </c>
      <c r="Y179" s="70" t="s">
        <v>33354</v>
      </c>
      <c r="AA179" s="82" t="s">
        <v>33059</v>
      </c>
      <c r="AB179" s="82" t="s">
        <v>32616</v>
      </c>
    </row>
    <row r="180" ht="22.5" customHeight="1">
      <c r="A180" s="70" t="s">
        <v>2800</v>
      </c>
      <c r="E180" s="93"/>
      <c r="F180" s="93"/>
      <c r="H180" s="93"/>
      <c r="J180" s="93"/>
      <c r="L180" s="90" t="str">
        <f t="shared" si="2"/>
        <v>Excluded</v>
      </c>
      <c r="M180" s="90">
        <v>0.0</v>
      </c>
      <c r="N180" s="90">
        <v>0.0</v>
      </c>
      <c r="O180" s="70" t="s">
        <v>2803</v>
      </c>
      <c r="P180" s="70" t="s">
        <v>31543</v>
      </c>
      <c r="Q180" s="70" t="s">
        <v>33355</v>
      </c>
      <c r="R180" s="82" t="s">
        <v>33356</v>
      </c>
      <c r="S180" s="70" t="s">
        <v>2801</v>
      </c>
      <c r="T180" s="70" t="s">
        <v>2802</v>
      </c>
      <c r="U180" s="70" t="s">
        <v>33357</v>
      </c>
      <c r="V180" s="82" t="s">
        <v>32642</v>
      </c>
      <c r="W180" s="70" t="s">
        <v>401</v>
      </c>
      <c r="X180" s="70" t="s">
        <v>31136</v>
      </c>
      <c r="Y180" s="70" t="s">
        <v>33358</v>
      </c>
      <c r="AA180" s="82" t="s">
        <v>33359</v>
      </c>
      <c r="AB180" s="82" t="s">
        <v>32616</v>
      </c>
    </row>
    <row r="181" ht="22.5" customHeight="1">
      <c r="A181" s="70" t="s">
        <v>1053</v>
      </c>
      <c r="E181" s="93"/>
      <c r="F181" s="93"/>
      <c r="H181" s="93"/>
      <c r="J181" s="93"/>
      <c r="L181" s="90" t="str">
        <f t="shared" si="2"/>
        <v>Excluded</v>
      </c>
      <c r="M181" s="90">
        <v>0.0</v>
      </c>
      <c r="N181" s="90">
        <v>0.0</v>
      </c>
      <c r="O181" s="70" t="s">
        <v>1056</v>
      </c>
      <c r="P181" s="70" t="s">
        <v>31543</v>
      </c>
      <c r="Q181" s="70" t="s">
        <v>33360</v>
      </c>
      <c r="R181" s="82" t="s">
        <v>33298</v>
      </c>
      <c r="S181" s="70" t="s">
        <v>1054</v>
      </c>
      <c r="T181" s="70" t="s">
        <v>1055</v>
      </c>
      <c r="U181" s="70" t="s">
        <v>33361</v>
      </c>
      <c r="V181" s="82" t="s">
        <v>32684</v>
      </c>
      <c r="W181" s="70" t="s">
        <v>401</v>
      </c>
      <c r="X181" s="70" t="s">
        <v>1061</v>
      </c>
      <c r="Y181" s="70" t="s">
        <v>33362</v>
      </c>
      <c r="AA181" s="82" t="s">
        <v>33363</v>
      </c>
      <c r="AB181" s="82" t="s">
        <v>32616</v>
      </c>
    </row>
    <row r="182" ht="22.5" customHeight="1">
      <c r="A182" s="70" t="s">
        <v>4296</v>
      </c>
      <c r="E182" s="93"/>
      <c r="F182" s="93"/>
      <c r="H182" s="93"/>
      <c r="J182" s="93"/>
      <c r="L182" s="90" t="str">
        <f t="shared" si="2"/>
        <v>Excluded</v>
      </c>
      <c r="M182" s="90">
        <v>0.0</v>
      </c>
      <c r="N182" s="90">
        <v>0.0</v>
      </c>
      <c r="O182" s="70" t="s">
        <v>4297</v>
      </c>
      <c r="P182" s="70" t="s">
        <v>31543</v>
      </c>
      <c r="Q182" s="70" t="s">
        <v>33364</v>
      </c>
      <c r="R182" s="82" t="s">
        <v>32824</v>
      </c>
      <c r="S182" s="70" t="s">
        <v>3635</v>
      </c>
      <c r="T182" s="70" t="s">
        <v>3636</v>
      </c>
      <c r="U182" s="70" t="s">
        <v>33365</v>
      </c>
      <c r="V182" s="82" t="s">
        <v>3772</v>
      </c>
      <c r="X182" s="70" t="s">
        <v>4299</v>
      </c>
      <c r="Y182" s="70" t="s">
        <v>33366</v>
      </c>
      <c r="AA182" s="82" t="s">
        <v>33367</v>
      </c>
      <c r="AB182" s="82" t="s">
        <v>32616</v>
      </c>
    </row>
    <row r="183" ht="22.5" customHeight="1">
      <c r="A183" s="70" t="s">
        <v>3346</v>
      </c>
      <c r="E183" s="93"/>
      <c r="F183" s="93"/>
      <c r="H183" s="93"/>
      <c r="J183" s="93"/>
      <c r="L183" s="90" t="str">
        <f t="shared" si="2"/>
        <v>Excluded</v>
      </c>
      <c r="M183" s="90">
        <v>0.0</v>
      </c>
      <c r="N183" s="90">
        <v>0.0</v>
      </c>
      <c r="O183" s="70" t="s">
        <v>3347</v>
      </c>
      <c r="P183" s="70" t="s">
        <v>31543</v>
      </c>
      <c r="Q183" s="70" t="s">
        <v>33368</v>
      </c>
      <c r="R183" s="82" t="s">
        <v>33369</v>
      </c>
      <c r="S183" s="70" t="s">
        <v>1763</v>
      </c>
      <c r="T183" s="70" t="s">
        <v>1764</v>
      </c>
      <c r="U183" s="70" t="s">
        <v>33370</v>
      </c>
      <c r="V183" s="82" t="s">
        <v>32684</v>
      </c>
      <c r="W183" s="70" t="s">
        <v>401</v>
      </c>
      <c r="X183" s="70" t="s">
        <v>31139</v>
      </c>
      <c r="Y183" s="70" t="s">
        <v>33371</v>
      </c>
      <c r="AA183" s="82" t="s">
        <v>33010</v>
      </c>
      <c r="AB183" s="82" t="s">
        <v>32616</v>
      </c>
    </row>
    <row r="184" ht="22.5" customHeight="1">
      <c r="A184" s="70" t="s">
        <v>2298</v>
      </c>
      <c r="E184" s="93"/>
      <c r="F184" s="93"/>
      <c r="H184" s="93"/>
      <c r="J184" s="93"/>
      <c r="L184" s="90" t="str">
        <f t="shared" si="2"/>
        <v>Excluded</v>
      </c>
      <c r="M184" s="90">
        <v>0.0</v>
      </c>
      <c r="N184" s="90">
        <v>0.0</v>
      </c>
      <c r="O184" s="70" t="s">
        <v>2299</v>
      </c>
      <c r="P184" s="70" t="s">
        <v>31543</v>
      </c>
      <c r="Q184" s="70" t="s">
        <v>33372</v>
      </c>
      <c r="R184" s="82" t="s">
        <v>33373</v>
      </c>
      <c r="S184" s="70" t="s">
        <v>1763</v>
      </c>
      <c r="T184" s="70" t="s">
        <v>1764</v>
      </c>
      <c r="U184" s="70" t="s">
        <v>33374</v>
      </c>
      <c r="V184" s="82" t="s">
        <v>32684</v>
      </c>
      <c r="W184" s="70" t="s">
        <v>401</v>
      </c>
      <c r="X184" s="70" t="s">
        <v>2302</v>
      </c>
      <c r="Y184" s="70" t="s">
        <v>33375</v>
      </c>
      <c r="AA184" s="82" t="s">
        <v>33347</v>
      </c>
      <c r="AB184" s="82" t="s">
        <v>32616</v>
      </c>
    </row>
    <row r="185" ht="22.5" customHeight="1">
      <c r="A185" s="70" t="s">
        <v>1762</v>
      </c>
      <c r="E185" s="93"/>
      <c r="F185" s="93"/>
      <c r="H185" s="93"/>
      <c r="J185" s="93"/>
      <c r="L185" s="90" t="str">
        <f t="shared" si="2"/>
        <v>Excluded</v>
      </c>
      <c r="M185" s="90">
        <v>0.0</v>
      </c>
      <c r="N185" s="90">
        <v>0.0</v>
      </c>
      <c r="O185" s="70" t="s">
        <v>1765</v>
      </c>
      <c r="P185" s="70" t="s">
        <v>31543</v>
      </c>
      <c r="Q185" s="70" t="s">
        <v>33376</v>
      </c>
      <c r="R185" s="82" t="s">
        <v>33109</v>
      </c>
      <c r="S185" s="70" t="s">
        <v>1763</v>
      </c>
      <c r="T185" s="70" t="s">
        <v>1764</v>
      </c>
      <c r="U185" s="70" t="s">
        <v>33377</v>
      </c>
      <c r="V185" s="82" t="s">
        <v>32684</v>
      </c>
      <c r="W185" s="70" t="s">
        <v>401</v>
      </c>
      <c r="X185" s="70" t="s">
        <v>1770</v>
      </c>
      <c r="Y185" s="70" t="s">
        <v>33378</v>
      </c>
      <c r="AA185" s="82" t="s">
        <v>32938</v>
      </c>
      <c r="AB185" s="82" t="s">
        <v>32616</v>
      </c>
    </row>
    <row r="186" ht="22.5" customHeight="1">
      <c r="A186" s="70" t="s">
        <v>2733</v>
      </c>
      <c r="E186" s="93"/>
      <c r="F186" s="93"/>
      <c r="H186" s="93"/>
      <c r="J186" s="93"/>
      <c r="L186" s="90" t="str">
        <f t="shared" si="2"/>
        <v>Excluded</v>
      </c>
      <c r="M186" s="90">
        <v>0.0</v>
      </c>
      <c r="N186" s="90">
        <v>0.0</v>
      </c>
      <c r="O186" s="70" t="s">
        <v>2736</v>
      </c>
      <c r="P186" s="70" t="s">
        <v>31543</v>
      </c>
      <c r="Q186" s="70" t="s">
        <v>33379</v>
      </c>
      <c r="R186" s="82" t="s">
        <v>32729</v>
      </c>
      <c r="S186" s="70" t="s">
        <v>2734</v>
      </c>
      <c r="T186" s="70" t="s">
        <v>2735</v>
      </c>
      <c r="U186" s="70" t="s">
        <v>33380</v>
      </c>
      <c r="V186" s="82" t="s">
        <v>32642</v>
      </c>
      <c r="W186" s="70" t="s">
        <v>401</v>
      </c>
      <c r="X186" s="70" t="s">
        <v>2740</v>
      </c>
      <c r="Y186" s="70" t="s">
        <v>33381</v>
      </c>
      <c r="AA186" s="82" t="s">
        <v>33382</v>
      </c>
      <c r="AB186" s="82" t="s">
        <v>32616</v>
      </c>
    </row>
    <row r="187" ht="22.5" customHeight="1">
      <c r="A187" s="70" t="s">
        <v>1728</v>
      </c>
      <c r="E187" s="93"/>
      <c r="F187" s="93"/>
      <c r="H187" s="93"/>
      <c r="J187" s="93"/>
      <c r="L187" s="90" t="str">
        <f t="shared" si="2"/>
        <v>Excluded</v>
      </c>
      <c r="M187" s="90">
        <v>0.0</v>
      </c>
      <c r="N187" s="90">
        <v>0.0</v>
      </c>
      <c r="O187" s="70" t="s">
        <v>1731</v>
      </c>
      <c r="P187" s="70" t="s">
        <v>31543</v>
      </c>
      <c r="Q187" s="70" t="s">
        <v>33383</v>
      </c>
      <c r="R187" s="82" t="s">
        <v>33384</v>
      </c>
      <c r="S187" s="70" t="s">
        <v>1729</v>
      </c>
      <c r="T187" s="70" t="s">
        <v>1730</v>
      </c>
      <c r="U187" s="70" t="s">
        <v>33385</v>
      </c>
      <c r="V187" s="82" t="s">
        <v>32642</v>
      </c>
      <c r="W187" s="70" t="s">
        <v>401</v>
      </c>
      <c r="X187" s="70" t="s">
        <v>1736</v>
      </c>
      <c r="Y187" s="70" t="s">
        <v>33386</v>
      </c>
      <c r="AA187" s="82" t="s">
        <v>33387</v>
      </c>
      <c r="AB187" s="82" t="s">
        <v>32616</v>
      </c>
    </row>
    <row r="188" ht="22.5" customHeight="1">
      <c r="A188" s="70" t="s">
        <v>4281</v>
      </c>
      <c r="E188" s="93"/>
      <c r="F188" s="93"/>
      <c r="H188" s="93"/>
      <c r="J188" s="93"/>
      <c r="L188" s="90" t="str">
        <f t="shared" si="2"/>
        <v>Excluded</v>
      </c>
      <c r="M188" s="90">
        <v>0.0</v>
      </c>
      <c r="N188" s="90">
        <v>0.0</v>
      </c>
      <c r="O188" s="70" t="s">
        <v>4282</v>
      </c>
      <c r="P188" s="70" t="s">
        <v>31543</v>
      </c>
      <c r="Q188" s="70" t="s">
        <v>33388</v>
      </c>
      <c r="R188" s="82" t="s">
        <v>33389</v>
      </c>
      <c r="S188" s="70" t="s">
        <v>3655</v>
      </c>
      <c r="T188" s="70" t="s">
        <v>3656</v>
      </c>
      <c r="U188" s="70" t="s">
        <v>33390</v>
      </c>
      <c r="V188" s="82" t="s">
        <v>4284</v>
      </c>
      <c r="X188" s="70" t="s">
        <v>4285</v>
      </c>
      <c r="Y188" s="70" t="s">
        <v>33391</v>
      </c>
      <c r="AA188" s="82" t="s">
        <v>33392</v>
      </c>
      <c r="AB188" s="82" t="s">
        <v>32616</v>
      </c>
    </row>
    <row r="189" ht="22.5" customHeight="1">
      <c r="A189" s="70" t="s">
        <v>4356</v>
      </c>
      <c r="E189" s="93"/>
      <c r="F189" s="93"/>
      <c r="H189" s="93"/>
      <c r="J189" s="93"/>
      <c r="L189" s="90" t="str">
        <f t="shared" si="2"/>
        <v>Excluded</v>
      </c>
      <c r="M189" s="90">
        <v>0.0</v>
      </c>
      <c r="N189" s="90">
        <v>0.0</v>
      </c>
      <c r="O189" s="70" t="s">
        <v>4357</v>
      </c>
      <c r="P189" s="70" t="s">
        <v>31543</v>
      </c>
      <c r="Q189" s="70" t="s">
        <v>33393</v>
      </c>
      <c r="R189" s="82" t="s">
        <v>32910</v>
      </c>
      <c r="S189" s="70" t="s">
        <v>3635</v>
      </c>
      <c r="T189" s="70" t="s">
        <v>3636</v>
      </c>
      <c r="U189" s="70" t="s">
        <v>33394</v>
      </c>
      <c r="V189" s="82" t="s">
        <v>4002</v>
      </c>
      <c r="X189" s="70" t="s">
        <v>4359</v>
      </c>
      <c r="Y189" s="70" t="s">
        <v>33395</v>
      </c>
      <c r="AA189" s="82" t="s">
        <v>33396</v>
      </c>
      <c r="AB189" s="82" t="s">
        <v>32616</v>
      </c>
    </row>
    <row r="190" ht="22.5" customHeight="1">
      <c r="A190" s="70" t="s">
        <v>4245</v>
      </c>
      <c r="E190" s="93"/>
      <c r="F190" s="93"/>
      <c r="H190" s="93"/>
      <c r="J190" s="93"/>
      <c r="L190" s="90" t="str">
        <f t="shared" si="2"/>
        <v>Excluded</v>
      </c>
      <c r="M190" s="90">
        <v>0.0</v>
      </c>
      <c r="N190" s="90">
        <v>0.0</v>
      </c>
      <c r="O190" s="70" t="s">
        <v>4246</v>
      </c>
      <c r="P190" s="70" t="s">
        <v>31543</v>
      </c>
      <c r="Q190" s="70" t="s">
        <v>33397</v>
      </c>
      <c r="R190" s="82" t="s">
        <v>33398</v>
      </c>
      <c r="S190" s="70" t="s">
        <v>3635</v>
      </c>
      <c r="T190" s="70" t="s">
        <v>3636</v>
      </c>
      <c r="U190" s="70" t="s">
        <v>33399</v>
      </c>
      <c r="V190" s="82" t="s">
        <v>4002</v>
      </c>
      <c r="X190" s="70" t="s">
        <v>31142</v>
      </c>
      <c r="Y190" s="70" t="s">
        <v>33400</v>
      </c>
      <c r="AA190" s="82" t="s">
        <v>33401</v>
      </c>
      <c r="AB190" s="82" t="s">
        <v>32616</v>
      </c>
    </row>
    <row r="191" ht="22.5" customHeight="1">
      <c r="A191" s="70" t="s">
        <v>3393</v>
      </c>
      <c r="E191" s="93"/>
      <c r="F191" s="93"/>
      <c r="H191" s="93"/>
      <c r="J191" s="93"/>
      <c r="L191" s="90" t="str">
        <f t="shared" si="2"/>
        <v>Excluded</v>
      </c>
      <c r="M191" s="90">
        <v>0.0</v>
      </c>
      <c r="N191" s="90">
        <v>0.0</v>
      </c>
      <c r="O191" s="70" t="s">
        <v>3396</v>
      </c>
      <c r="P191" s="70" t="s">
        <v>31543</v>
      </c>
      <c r="Q191" s="70" t="s">
        <v>33402</v>
      </c>
      <c r="R191" s="82" t="s">
        <v>33227</v>
      </c>
      <c r="S191" s="70" t="s">
        <v>3394</v>
      </c>
      <c r="T191" s="70" t="s">
        <v>3395</v>
      </c>
      <c r="U191" s="70" t="s">
        <v>33403</v>
      </c>
      <c r="V191" s="82" t="s">
        <v>32642</v>
      </c>
      <c r="W191" s="70" t="s">
        <v>401</v>
      </c>
      <c r="X191" s="70" t="s">
        <v>3400</v>
      </c>
      <c r="Y191" s="70" t="s">
        <v>33404</v>
      </c>
      <c r="AA191" s="82" t="s">
        <v>33405</v>
      </c>
      <c r="AB191" s="82" t="s">
        <v>32616</v>
      </c>
    </row>
    <row r="192" ht="22.5" customHeight="1">
      <c r="A192" s="70" t="s">
        <v>4526</v>
      </c>
      <c r="E192" s="93"/>
      <c r="F192" s="93"/>
      <c r="H192" s="93"/>
      <c r="J192" s="93"/>
      <c r="L192" s="90" t="str">
        <f t="shared" si="2"/>
        <v>Excluded</v>
      </c>
      <c r="M192" s="90">
        <v>0.0</v>
      </c>
      <c r="N192" s="90">
        <v>0.0</v>
      </c>
      <c r="O192" s="70" t="s">
        <v>4527</v>
      </c>
      <c r="P192" s="70" t="s">
        <v>31543</v>
      </c>
      <c r="Q192" s="70" t="s">
        <v>33406</v>
      </c>
      <c r="R192" s="82" t="s">
        <v>33407</v>
      </c>
      <c r="S192" s="70" t="s">
        <v>3635</v>
      </c>
      <c r="T192" s="70" t="s">
        <v>3636</v>
      </c>
      <c r="U192" s="70" t="s">
        <v>33408</v>
      </c>
      <c r="V192" s="82" t="s">
        <v>4380</v>
      </c>
      <c r="X192" s="70" t="s">
        <v>31144</v>
      </c>
      <c r="Y192" s="70" t="s">
        <v>33409</v>
      </c>
      <c r="AA192" s="82" t="s">
        <v>33410</v>
      </c>
      <c r="AB192" s="82" t="s">
        <v>32616</v>
      </c>
    </row>
    <row r="193" ht="22.5" customHeight="1">
      <c r="A193" s="70" t="s">
        <v>4377</v>
      </c>
      <c r="E193" s="93"/>
      <c r="F193" s="93"/>
      <c r="H193" s="93"/>
      <c r="J193" s="93"/>
      <c r="L193" s="90" t="str">
        <f t="shared" si="2"/>
        <v>Excluded</v>
      </c>
      <c r="M193" s="90">
        <v>0.0</v>
      </c>
      <c r="N193" s="90">
        <v>0.0</v>
      </c>
      <c r="O193" s="70" t="s">
        <v>4378</v>
      </c>
      <c r="P193" s="70" t="s">
        <v>31543</v>
      </c>
      <c r="Q193" s="70" t="s">
        <v>33411</v>
      </c>
      <c r="R193" s="82" t="s">
        <v>33310</v>
      </c>
      <c r="S193" s="70" t="s">
        <v>3635</v>
      </c>
      <c r="T193" s="70" t="s">
        <v>3636</v>
      </c>
      <c r="U193" s="70" t="s">
        <v>33412</v>
      </c>
      <c r="V193" s="82" t="s">
        <v>4380</v>
      </c>
      <c r="X193" s="70" t="s">
        <v>31145</v>
      </c>
      <c r="Y193" s="70" t="s">
        <v>33413</v>
      </c>
      <c r="AA193" s="82" t="s">
        <v>33414</v>
      </c>
      <c r="AB193" s="82" t="s">
        <v>32616</v>
      </c>
    </row>
    <row r="194" ht="22.5" customHeight="1">
      <c r="A194" s="70" t="s">
        <v>3463</v>
      </c>
      <c r="E194" s="93"/>
      <c r="F194" s="93"/>
      <c r="H194" s="93"/>
      <c r="J194" s="93"/>
      <c r="L194" s="90" t="str">
        <f t="shared" si="2"/>
        <v>Excluded</v>
      </c>
      <c r="M194" s="90">
        <v>0.0</v>
      </c>
      <c r="N194" s="90">
        <v>0.0</v>
      </c>
      <c r="O194" s="70" t="s">
        <v>3466</v>
      </c>
      <c r="P194" s="70" t="s">
        <v>31543</v>
      </c>
      <c r="Q194" s="70" t="s">
        <v>33415</v>
      </c>
      <c r="R194" s="82" t="s">
        <v>33416</v>
      </c>
      <c r="S194" s="70" t="s">
        <v>3464</v>
      </c>
      <c r="T194" s="70" t="s">
        <v>3465</v>
      </c>
      <c r="U194" s="70" t="s">
        <v>33417</v>
      </c>
      <c r="V194" s="82" t="s">
        <v>32642</v>
      </c>
      <c r="W194" s="70" t="s">
        <v>401</v>
      </c>
      <c r="X194" s="70" t="s">
        <v>3470</v>
      </c>
      <c r="Y194" s="70" t="s">
        <v>33418</v>
      </c>
      <c r="AA194" s="82" t="s">
        <v>33419</v>
      </c>
      <c r="AB194" s="82" t="s">
        <v>32616</v>
      </c>
    </row>
    <row r="195" ht="22.5" customHeight="1">
      <c r="A195" s="70" t="s">
        <v>1404</v>
      </c>
      <c r="E195" s="93"/>
      <c r="F195" s="93"/>
      <c r="H195" s="93"/>
      <c r="J195" s="93"/>
      <c r="L195" s="90" t="str">
        <f t="shared" si="2"/>
        <v>Excluded</v>
      </c>
      <c r="M195" s="90">
        <v>0.0</v>
      </c>
      <c r="N195" s="90">
        <v>0.0</v>
      </c>
      <c r="O195" s="70" t="s">
        <v>1407</v>
      </c>
      <c r="P195" s="70" t="s">
        <v>31543</v>
      </c>
      <c r="Q195" s="70" t="s">
        <v>33420</v>
      </c>
      <c r="R195" s="82" t="s">
        <v>33421</v>
      </c>
      <c r="S195" s="70" t="s">
        <v>1405</v>
      </c>
      <c r="T195" s="70" t="s">
        <v>1406</v>
      </c>
      <c r="U195" s="70" t="s">
        <v>33422</v>
      </c>
      <c r="V195" s="82" t="s">
        <v>32743</v>
      </c>
      <c r="W195" s="70" t="s">
        <v>401</v>
      </c>
      <c r="X195" s="70" t="s">
        <v>1411</v>
      </c>
      <c r="Y195" s="70" t="s">
        <v>33423</v>
      </c>
      <c r="AA195" s="82" t="s">
        <v>33083</v>
      </c>
      <c r="AB195" s="82" t="s">
        <v>32616</v>
      </c>
    </row>
    <row r="196" ht="22.5" customHeight="1">
      <c r="A196" s="70" t="s">
        <v>3924</v>
      </c>
      <c r="E196" s="93"/>
      <c r="F196" s="93"/>
      <c r="H196" s="93"/>
      <c r="J196" s="93"/>
      <c r="L196" s="90" t="str">
        <f t="shared" si="2"/>
        <v>Excluded</v>
      </c>
      <c r="M196" s="90">
        <v>0.0</v>
      </c>
      <c r="N196" s="90">
        <v>0.0</v>
      </c>
      <c r="O196" s="70" t="s">
        <v>3925</v>
      </c>
      <c r="P196" s="70" t="s">
        <v>31543</v>
      </c>
      <c r="Q196" s="70" t="s">
        <v>33424</v>
      </c>
      <c r="R196" s="82" t="s">
        <v>33425</v>
      </c>
      <c r="S196" s="70" t="s">
        <v>3635</v>
      </c>
      <c r="T196" s="70" t="s">
        <v>3636</v>
      </c>
      <c r="U196" s="70" t="s">
        <v>33426</v>
      </c>
      <c r="V196" s="82" t="s">
        <v>3927</v>
      </c>
      <c r="X196" s="70" t="s">
        <v>3928</v>
      </c>
      <c r="Y196" s="70" t="s">
        <v>33427</v>
      </c>
      <c r="AA196" s="82" t="s">
        <v>32859</v>
      </c>
      <c r="AB196" s="82" t="s">
        <v>32616</v>
      </c>
    </row>
    <row r="197" ht="22.5" customHeight="1">
      <c r="A197" s="70" t="s">
        <v>4385</v>
      </c>
      <c r="E197" s="93"/>
      <c r="F197" s="93"/>
      <c r="H197" s="93"/>
      <c r="J197" s="93"/>
      <c r="L197" s="90" t="str">
        <f t="shared" si="2"/>
        <v>Excluded</v>
      </c>
      <c r="M197" s="90">
        <v>0.0</v>
      </c>
      <c r="N197" s="90">
        <v>0.0</v>
      </c>
      <c r="O197" s="70" t="s">
        <v>4386</v>
      </c>
      <c r="P197" s="70" t="s">
        <v>31543</v>
      </c>
      <c r="Q197" s="70" t="s">
        <v>33428</v>
      </c>
      <c r="R197" s="82" t="s">
        <v>33179</v>
      </c>
      <c r="S197" s="70" t="s">
        <v>3635</v>
      </c>
      <c r="T197" s="70" t="s">
        <v>3636</v>
      </c>
      <c r="U197" s="70" t="s">
        <v>33429</v>
      </c>
      <c r="V197" s="82" t="s">
        <v>3667</v>
      </c>
      <c r="X197" s="70" t="s">
        <v>4388</v>
      </c>
      <c r="Y197" s="70" t="s">
        <v>33430</v>
      </c>
      <c r="AA197" s="82" t="s">
        <v>33431</v>
      </c>
      <c r="AB197" s="82" t="s">
        <v>32616</v>
      </c>
    </row>
    <row r="198" ht="22.5" customHeight="1">
      <c r="A198" s="70" t="s">
        <v>1325</v>
      </c>
      <c r="E198" s="93"/>
      <c r="F198" s="93"/>
      <c r="H198" s="93"/>
      <c r="J198" s="93"/>
      <c r="L198" s="90" t="str">
        <f t="shared" si="2"/>
        <v>Excluded</v>
      </c>
      <c r="M198" s="90">
        <v>0.0</v>
      </c>
      <c r="N198" s="90">
        <v>0.0</v>
      </c>
      <c r="O198" s="70" t="s">
        <v>1328</v>
      </c>
      <c r="P198" s="70" t="s">
        <v>31543</v>
      </c>
      <c r="Q198" s="70" t="s">
        <v>33432</v>
      </c>
      <c r="R198" s="82" t="s">
        <v>33433</v>
      </c>
      <c r="S198" s="70" t="s">
        <v>1326</v>
      </c>
      <c r="T198" s="70" t="s">
        <v>1327</v>
      </c>
      <c r="U198" s="70" t="s">
        <v>33434</v>
      </c>
      <c r="V198" s="82" t="s">
        <v>32642</v>
      </c>
      <c r="W198" s="70" t="s">
        <v>401</v>
      </c>
      <c r="X198" s="70" t="s">
        <v>1332</v>
      </c>
      <c r="Y198" s="70" t="s">
        <v>33435</v>
      </c>
      <c r="AA198" s="82" t="s">
        <v>33021</v>
      </c>
      <c r="AB198" s="82" t="s">
        <v>32616</v>
      </c>
    </row>
    <row r="199" ht="22.5" customHeight="1">
      <c r="A199" s="70" t="s">
        <v>2688</v>
      </c>
      <c r="E199" s="93"/>
      <c r="F199" s="93"/>
      <c r="H199" s="93"/>
      <c r="J199" s="93"/>
      <c r="L199" s="90" t="str">
        <f t="shared" si="2"/>
        <v>Excluded</v>
      </c>
      <c r="M199" s="90">
        <v>0.0</v>
      </c>
      <c r="N199" s="90">
        <v>0.0</v>
      </c>
      <c r="O199" s="70" t="s">
        <v>2691</v>
      </c>
      <c r="P199" s="70" t="s">
        <v>31543</v>
      </c>
      <c r="Q199" s="70" t="s">
        <v>33436</v>
      </c>
      <c r="R199" s="82" t="s">
        <v>33437</v>
      </c>
      <c r="S199" s="70" t="s">
        <v>2689</v>
      </c>
      <c r="T199" s="70" t="s">
        <v>2690</v>
      </c>
      <c r="U199" s="70" t="s">
        <v>33438</v>
      </c>
      <c r="V199" s="82" t="s">
        <v>32642</v>
      </c>
      <c r="W199" s="70" t="s">
        <v>401</v>
      </c>
      <c r="X199" s="70" t="s">
        <v>2695</v>
      </c>
      <c r="Y199" s="70" t="s">
        <v>33439</v>
      </c>
      <c r="AA199" s="82" t="s">
        <v>33440</v>
      </c>
      <c r="AB199" s="82" t="s">
        <v>32616</v>
      </c>
    </row>
    <row r="200" ht="22.5" customHeight="1">
      <c r="A200" s="70" t="s">
        <v>2424</v>
      </c>
      <c r="E200" s="93"/>
      <c r="F200" s="93"/>
      <c r="H200" s="93"/>
      <c r="J200" s="93"/>
      <c r="L200" s="90" t="str">
        <f t="shared" si="2"/>
        <v>Excluded</v>
      </c>
      <c r="M200" s="90">
        <v>0.0</v>
      </c>
      <c r="N200" s="90">
        <v>0.0</v>
      </c>
      <c r="O200" s="70" t="s">
        <v>2425</v>
      </c>
      <c r="P200" s="70" t="s">
        <v>31543</v>
      </c>
      <c r="Q200" s="70" t="s">
        <v>33441</v>
      </c>
      <c r="R200" s="82" t="s">
        <v>33256</v>
      </c>
      <c r="S200" s="70" t="s">
        <v>466</v>
      </c>
      <c r="T200" s="70" t="s">
        <v>467</v>
      </c>
      <c r="U200" s="70" t="s">
        <v>33442</v>
      </c>
      <c r="V200" s="82" t="s">
        <v>32743</v>
      </c>
      <c r="W200" s="70" t="s">
        <v>401</v>
      </c>
      <c r="X200" s="70" t="s">
        <v>2428</v>
      </c>
      <c r="Y200" s="70" t="s">
        <v>33443</v>
      </c>
      <c r="AA200" s="82" t="s">
        <v>33444</v>
      </c>
      <c r="AB200" s="82" t="s">
        <v>32616</v>
      </c>
    </row>
    <row r="201" ht="22.5" customHeight="1">
      <c r="A201" s="70" t="s">
        <v>4022</v>
      </c>
      <c r="E201" s="93"/>
      <c r="F201" s="93"/>
      <c r="H201" s="93"/>
      <c r="J201" s="93"/>
      <c r="L201" s="90" t="str">
        <f t="shared" si="2"/>
        <v>Excluded</v>
      </c>
      <c r="M201" s="90">
        <v>0.0</v>
      </c>
      <c r="N201" s="90">
        <v>0.0</v>
      </c>
      <c r="O201" s="70" t="s">
        <v>4025</v>
      </c>
      <c r="P201" s="70" t="s">
        <v>31543</v>
      </c>
      <c r="Q201" s="70" t="s">
        <v>33445</v>
      </c>
      <c r="R201" s="82" t="s">
        <v>32690</v>
      </c>
      <c r="S201" s="70" t="s">
        <v>4023</v>
      </c>
      <c r="T201" s="70" t="s">
        <v>4024</v>
      </c>
      <c r="U201" s="70" t="s">
        <v>33446</v>
      </c>
      <c r="V201" s="82" t="s">
        <v>4027</v>
      </c>
      <c r="X201" s="70" t="s">
        <v>4028</v>
      </c>
      <c r="Y201" s="70" t="s">
        <v>33447</v>
      </c>
      <c r="AA201" s="82" t="s">
        <v>33407</v>
      </c>
      <c r="AB201" s="82" t="s">
        <v>32616</v>
      </c>
    </row>
    <row r="202" ht="22.5" customHeight="1">
      <c r="A202" s="70" t="s">
        <v>1605</v>
      </c>
      <c r="E202" s="93"/>
      <c r="F202" s="93"/>
      <c r="H202" s="93"/>
      <c r="J202" s="93"/>
      <c r="L202" s="90" t="str">
        <f t="shared" si="2"/>
        <v>Excluded</v>
      </c>
      <c r="M202" s="90">
        <v>0.0</v>
      </c>
      <c r="N202" s="90">
        <v>0.0</v>
      </c>
      <c r="O202" s="70" t="s">
        <v>1608</v>
      </c>
      <c r="P202" s="70" t="s">
        <v>31543</v>
      </c>
      <c r="Q202" s="70" t="s">
        <v>33448</v>
      </c>
      <c r="R202" s="82" t="s">
        <v>33205</v>
      </c>
      <c r="S202" s="70" t="s">
        <v>1606</v>
      </c>
      <c r="T202" s="70" t="s">
        <v>1607</v>
      </c>
      <c r="U202" s="70" t="s">
        <v>33449</v>
      </c>
      <c r="V202" s="82" t="s">
        <v>32642</v>
      </c>
      <c r="W202" s="70" t="s">
        <v>401</v>
      </c>
      <c r="X202" s="70" t="s">
        <v>1613</v>
      </c>
      <c r="Y202" s="70" t="s">
        <v>33450</v>
      </c>
      <c r="AA202" s="82" t="s">
        <v>33451</v>
      </c>
      <c r="AB202" s="82" t="s">
        <v>32616</v>
      </c>
    </row>
    <row r="203" ht="22.5" customHeight="1">
      <c r="A203" s="70" t="s">
        <v>2477</v>
      </c>
      <c r="E203" s="93"/>
      <c r="F203" s="93"/>
      <c r="H203" s="93"/>
      <c r="J203" s="93"/>
      <c r="L203" s="90" t="str">
        <f t="shared" si="2"/>
        <v>Excluded</v>
      </c>
      <c r="M203" s="90">
        <v>0.0</v>
      </c>
      <c r="N203" s="90">
        <v>0.0</v>
      </c>
      <c r="O203" s="70" t="s">
        <v>2480</v>
      </c>
      <c r="P203" s="70" t="s">
        <v>31543</v>
      </c>
      <c r="Q203" s="70" t="s">
        <v>33452</v>
      </c>
      <c r="R203" s="82" t="s">
        <v>33453</v>
      </c>
      <c r="S203" s="70" t="s">
        <v>2478</v>
      </c>
      <c r="T203" s="70" t="s">
        <v>2479</v>
      </c>
      <c r="U203" s="70" t="s">
        <v>33454</v>
      </c>
      <c r="V203" s="82" t="s">
        <v>32642</v>
      </c>
      <c r="W203" s="70" t="s">
        <v>401</v>
      </c>
      <c r="X203" s="70" t="s">
        <v>2484</v>
      </c>
      <c r="Y203" s="70" t="s">
        <v>33455</v>
      </c>
      <c r="AA203" s="82" t="s">
        <v>33111</v>
      </c>
      <c r="AB203" s="82" t="s">
        <v>32616</v>
      </c>
    </row>
    <row r="204" ht="22.5" customHeight="1">
      <c r="A204" s="70" t="s">
        <v>3204</v>
      </c>
      <c r="E204" s="93"/>
      <c r="F204" s="93"/>
      <c r="H204" s="93"/>
      <c r="J204" s="93"/>
      <c r="L204" s="90" t="str">
        <f t="shared" si="2"/>
        <v>Excluded</v>
      </c>
      <c r="M204" s="90">
        <v>0.0</v>
      </c>
      <c r="N204" s="90">
        <v>0.0</v>
      </c>
      <c r="O204" s="70" t="s">
        <v>3207</v>
      </c>
      <c r="P204" s="70" t="s">
        <v>31543</v>
      </c>
      <c r="Q204" s="70" t="s">
        <v>33456</v>
      </c>
      <c r="R204" s="82" t="s">
        <v>32990</v>
      </c>
      <c r="S204" s="70" t="s">
        <v>3205</v>
      </c>
      <c r="T204" s="70" t="s">
        <v>3206</v>
      </c>
      <c r="U204" s="70" t="s">
        <v>33457</v>
      </c>
      <c r="V204" s="82" t="s">
        <v>32642</v>
      </c>
      <c r="W204" s="70" t="s">
        <v>401</v>
      </c>
      <c r="X204" s="70" t="s">
        <v>3211</v>
      </c>
      <c r="Y204" s="70" t="s">
        <v>33458</v>
      </c>
      <c r="AA204" s="82" t="s">
        <v>33459</v>
      </c>
      <c r="AB204" s="82" t="s">
        <v>32616</v>
      </c>
    </row>
    <row r="205" ht="22.5" customHeight="1">
      <c r="A205" s="70" t="s">
        <v>1242</v>
      </c>
      <c r="E205" s="93"/>
      <c r="F205" s="93"/>
      <c r="H205" s="93"/>
      <c r="J205" s="93"/>
      <c r="L205" s="90" t="str">
        <f t="shared" si="2"/>
        <v>Excluded</v>
      </c>
      <c r="M205" s="90">
        <v>0.0</v>
      </c>
      <c r="N205" s="90">
        <v>0.0</v>
      </c>
      <c r="O205" s="70" t="s">
        <v>1243</v>
      </c>
      <c r="P205" s="70" t="s">
        <v>31543</v>
      </c>
      <c r="Q205" s="70" t="s">
        <v>33460</v>
      </c>
      <c r="R205" s="82" t="s">
        <v>33392</v>
      </c>
      <c r="S205" s="70" t="s">
        <v>1033</v>
      </c>
      <c r="T205" s="70" t="s">
        <v>1034</v>
      </c>
      <c r="U205" s="70" t="s">
        <v>33461</v>
      </c>
      <c r="V205" s="82" t="s">
        <v>32642</v>
      </c>
      <c r="W205" s="70" t="s">
        <v>401</v>
      </c>
      <c r="X205" s="70" t="s">
        <v>1245</v>
      </c>
      <c r="Y205" s="70" t="s">
        <v>33462</v>
      </c>
      <c r="AA205" s="82" t="s">
        <v>33463</v>
      </c>
      <c r="AB205" s="82" t="s">
        <v>32616</v>
      </c>
    </row>
    <row r="206" ht="22.5" customHeight="1">
      <c r="A206" s="70" t="s">
        <v>1032</v>
      </c>
      <c r="E206" s="93"/>
      <c r="F206" s="93"/>
      <c r="H206" s="93"/>
      <c r="J206" s="93"/>
      <c r="L206" s="90" t="str">
        <f t="shared" si="2"/>
        <v>Excluded</v>
      </c>
      <c r="M206" s="90">
        <v>0.0</v>
      </c>
      <c r="N206" s="90">
        <v>0.0</v>
      </c>
      <c r="O206" s="70" t="s">
        <v>1035</v>
      </c>
      <c r="P206" s="70" t="s">
        <v>31543</v>
      </c>
      <c r="Q206" s="70" t="s">
        <v>33464</v>
      </c>
      <c r="R206" s="82" t="s">
        <v>33465</v>
      </c>
      <c r="S206" s="70" t="s">
        <v>1033</v>
      </c>
      <c r="T206" s="70" t="s">
        <v>1034</v>
      </c>
      <c r="U206" s="70" t="s">
        <v>33466</v>
      </c>
      <c r="V206" s="82" t="s">
        <v>32642</v>
      </c>
      <c r="W206" s="70" t="s">
        <v>401</v>
      </c>
      <c r="X206" s="70" t="s">
        <v>1039</v>
      </c>
      <c r="AA206" s="82" t="s">
        <v>33467</v>
      </c>
      <c r="AB206" s="82" t="s">
        <v>32616</v>
      </c>
    </row>
    <row r="207" ht="22.5" customHeight="1">
      <c r="A207" s="70" t="s">
        <v>2565</v>
      </c>
      <c r="E207" s="93"/>
      <c r="F207" s="93"/>
      <c r="H207" s="93"/>
      <c r="J207" s="93"/>
      <c r="L207" s="90" t="str">
        <f t="shared" si="2"/>
        <v>Excluded</v>
      </c>
      <c r="M207" s="90">
        <v>0.0</v>
      </c>
      <c r="N207" s="90">
        <v>0.0</v>
      </c>
      <c r="O207" s="70" t="s">
        <v>2568</v>
      </c>
      <c r="P207" s="70" t="s">
        <v>31543</v>
      </c>
      <c r="Q207" s="70" t="s">
        <v>33468</v>
      </c>
      <c r="R207" s="82" t="s">
        <v>33469</v>
      </c>
      <c r="S207" s="70" t="s">
        <v>2566</v>
      </c>
      <c r="T207" s="70" t="s">
        <v>2567</v>
      </c>
      <c r="U207" s="70" t="s">
        <v>33470</v>
      </c>
      <c r="V207" s="82" t="s">
        <v>32642</v>
      </c>
      <c r="W207" s="70" t="s">
        <v>401</v>
      </c>
      <c r="X207" s="70" t="s">
        <v>2571</v>
      </c>
      <c r="Y207" s="70" t="s">
        <v>33471</v>
      </c>
      <c r="AA207" s="82" t="s">
        <v>33472</v>
      </c>
      <c r="AB207" s="82" t="s">
        <v>32616</v>
      </c>
    </row>
    <row r="208" ht="22.5" customHeight="1">
      <c r="A208" s="70" t="s">
        <v>2594</v>
      </c>
      <c r="E208" s="93"/>
      <c r="F208" s="93"/>
      <c r="H208" s="93"/>
      <c r="J208" s="93"/>
      <c r="L208" s="90" t="str">
        <f t="shared" si="2"/>
        <v>Excluded</v>
      </c>
      <c r="M208" s="90">
        <v>0.0</v>
      </c>
      <c r="N208" s="90">
        <v>0.0</v>
      </c>
      <c r="O208" s="70" t="s">
        <v>2597</v>
      </c>
      <c r="P208" s="70" t="s">
        <v>31543</v>
      </c>
      <c r="Q208" s="70" t="s">
        <v>33473</v>
      </c>
      <c r="R208" s="82" t="s">
        <v>33214</v>
      </c>
      <c r="S208" s="70" t="s">
        <v>2595</v>
      </c>
      <c r="T208" s="70" t="s">
        <v>2596</v>
      </c>
      <c r="U208" s="70" t="s">
        <v>33474</v>
      </c>
      <c r="V208" s="82" t="s">
        <v>32743</v>
      </c>
      <c r="W208" s="70" t="s">
        <v>401</v>
      </c>
      <c r="X208" s="70" t="s">
        <v>2600</v>
      </c>
      <c r="Y208" s="70" t="s">
        <v>33475</v>
      </c>
      <c r="AA208" s="82" t="s">
        <v>33029</v>
      </c>
      <c r="AB208" s="82" t="s">
        <v>32616</v>
      </c>
    </row>
    <row r="209" ht="22.5" customHeight="1">
      <c r="A209" s="70" t="s">
        <v>1484</v>
      </c>
      <c r="E209" s="93"/>
      <c r="F209" s="93"/>
      <c r="H209" s="93"/>
      <c r="J209" s="93"/>
      <c r="L209" s="90" t="str">
        <f t="shared" si="2"/>
        <v>Excluded</v>
      </c>
      <c r="M209" s="90">
        <v>0.0</v>
      </c>
      <c r="N209" s="90">
        <v>0.0</v>
      </c>
      <c r="O209" s="70" t="s">
        <v>1487</v>
      </c>
      <c r="P209" s="70" t="s">
        <v>31543</v>
      </c>
      <c r="Q209" s="70" t="s">
        <v>33476</v>
      </c>
      <c r="R209" s="82" t="s">
        <v>33477</v>
      </c>
      <c r="S209" s="70" t="s">
        <v>1485</v>
      </c>
      <c r="T209" s="70" t="s">
        <v>1486</v>
      </c>
      <c r="U209" s="70" t="s">
        <v>33478</v>
      </c>
      <c r="V209" s="82" t="s">
        <v>32743</v>
      </c>
      <c r="W209" s="70" t="s">
        <v>401</v>
      </c>
      <c r="X209" s="70" t="s">
        <v>31153</v>
      </c>
      <c r="Y209" s="70" t="s">
        <v>33479</v>
      </c>
      <c r="AA209" s="82" t="s">
        <v>33342</v>
      </c>
      <c r="AB209" s="82" t="s">
        <v>32616</v>
      </c>
    </row>
    <row r="210" ht="22.5" customHeight="1">
      <c r="A210" s="70" t="s">
        <v>3112</v>
      </c>
      <c r="E210" s="93"/>
      <c r="F210" s="93"/>
      <c r="H210" s="93"/>
      <c r="J210" s="93"/>
      <c r="L210" s="90" t="str">
        <f t="shared" si="2"/>
        <v>Excluded</v>
      </c>
      <c r="M210" s="90">
        <v>0.0</v>
      </c>
      <c r="N210" s="90">
        <v>0.0</v>
      </c>
      <c r="O210" s="70" t="s">
        <v>3113</v>
      </c>
      <c r="P210" s="70" t="s">
        <v>31543</v>
      </c>
      <c r="Q210" s="70" t="s">
        <v>33480</v>
      </c>
      <c r="R210" s="82" t="s">
        <v>33481</v>
      </c>
      <c r="S210" s="70" t="s">
        <v>1485</v>
      </c>
      <c r="T210" s="70" t="s">
        <v>1486</v>
      </c>
      <c r="U210" s="70" t="s">
        <v>33482</v>
      </c>
      <c r="V210" s="82" t="s">
        <v>32743</v>
      </c>
      <c r="W210" s="70" t="s">
        <v>401</v>
      </c>
      <c r="X210" s="70" t="s">
        <v>31154</v>
      </c>
      <c r="AA210" s="82" t="s">
        <v>33483</v>
      </c>
      <c r="AB210" s="82" t="s">
        <v>32616</v>
      </c>
    </row>
    <row r="211" ht="22.5" customHeight="1">
      <c r="A211" s="70" t="s">
        <v>1694</v>
      </c>
      <c r="E211" s="93"/>
      <c r="F211" s="93"/>
      <c r="H211" s="93"/>
      <c r="J211" s="93"/>
      <c r="L211" s="90" t="str">
        <f t="shared" si="2"/>
        <v>Excluded</v>
      </c>
      <c r="M211" s="90">
        <v>0.0</v>
      </c>
      <c r="N211" s="90">
        <v>0.0</v>
      </c>
      <c r="O211" s="70" t="s">
        <v>1697</v>
      </c>
      <c r="P211" s="70" t="s">
        <v>31543</v>
      </c>
      <c r="Q211" s="70" t="s">
        <v>33484</v>
      </c>
      <c r="R211" s="82" t="s">
        <v>33485</v>
      </c>
      <c r="S211" s="70" t="s">
        <v>1695</v>
      </c>
      <c r="T211" s="70" t="s">
        <v>1696</v>
      </c>
      <c r="U211" s="70" t="s">
        <v>33486</v>
      </c>
      <c r="V211" s="82" t="s">
        <v>32743</v>
      </c>
      <c r="W211" s="70" t="s">
        <v>401</v>
      </c>
      <c r="X211" s="70" t="s">
        <v>31155</v>
      </c>
      <c r="Y211" s="70" t="s">
        <v>33487</v>
      </c>
      <c r="AA211" s="82" t="s">
        <v>33167</v>
      </c>
      <c r="AB211" s="82" t="s">
        <v>32616</v>
      </c>
    </row>
    <row r="212" ht="22.5" customHeight="1">
      <c r="A212" s="70" t="s">
        <v>1260</v>
      </c>
      <c r="E212" s="93"/>
      <c r="F212" s="93"/>
      <c r="H212" s="93"/>
      <c r="J212" s="93"/>
      <c r="L212" s="90" t="str">
        <f t="shared" si="2"/>
        <v>Excluded</v>
      </c>
      <c r="M212" s="90">
        <v>0.0</v>
      </c>
      <c r="N212" s="90">
        <v>0.0</v>
      </c>
      <c r="O212" s="70" t="s">
        <v>1263</v>
      </c>
      <c r="P212" s="70" t="s">
        <v>31543</v>
      </c>
      <c r="Q212" s="70" t="s">
        <v>33488</v>
      </c>
      <c r="R212" s="82" t="s">
        <v>33350</v>
      </c>
      <c r="S212" s="70" t="s">
        <v>1261</v>
      </c>
      <c r="T212" s="70" t="s">
        <v>1262</v>
      </c>
      <c r="U212" s="70" t="s">
        <v>33489</v>
      </c>
      <c r="V212" s="82" t="s">
        <v>32743</v>
      </c>
      <c r="W212" s="70" t="s">
        <v>401</v>
      </c>
      <c r="X212" s="70" t="s">
        <v>1268</v>
      </c>
      <c r="Y212" s="70" t="s">
        <v>33490</v>
      </c>
      <c r="AA212" s="82" t="s">
        <v>33238</v>
      </c>
      <c r="AB212" s="82" t="s">
        <v>32616</v>
      </c>
    </row>
    <row r="213" ht="22.5" customHeight="1">
      <c r="A213" s="70" t="s">
        <v>3955</v>
      </c>
      <c r="E213" s="93"/>
      <c r="F213" s="93"/>
      <c r="H213" s="93"/>
      <c r="J213" s="93"/>
      <c r="L213" s="90" t="str">
        <f t="shared" si="2"/>
        <v>Excluded</v>
      </c>
      <c r="M213" s="90">
        <v>0.0</v>
      </c>
      <c r="N213" s="90">
        <v>0.0</v>
      </c>
      <c r="O213" s="70" t="s">
        <v>3956</v>
      </c>
      <c r="P213" s="70" t="s">
        <v>31543</v>
      </c>
      <c r="Q213" s="70" t="s">
        <v>33491</v>
      </c>
      <c r="R213" s="82" t="s">
        <v>32757</v>
      </c>
      <c r="S213" s="70" t="s">
        <v>3635</v>
      </c>
      <c r="T213" s="70" t="s">
        <v>3636</v>
      </c>
      <c r="U213" s="70" t="s">
        <v>33492</v>
      </c>
      <c r="V213" s="82" t="s">
        <v>3958</v>
      </c>
      <c r="X213" s="70" t="s">
        <v>3959</v>
      </c>
      <c r="Y213" s="70" t="s">
        <v>33493</v>
      </c>
      <c r="AA213" s="82" t="s">
        <v>32821</v>
      </c>
      <c r="AB213" s="82" t="s">
        <v>32616</v>
      </c>
    </row>
    <row r="214" ht="22.5" customHeight="1">
      <c r="A214" s="70" t="s">
        <v>1917</v>
      </c>
      <c r="E214" s="93"/>
      <c r="F214" s="93"/>
      <c r="H214" s="93"/>
      <c r="J214" s="93"/>
      <c r="L214" s="90" t="str">
        <f t="shared" si="2"/>
        <v>Excluded</v>
      </c>
      <c r="M214" s="90">
        <v>0.0</v>
      </c>
      <c r="N214" s="90">
        <v>0.0</v>
      </c>
      <c r="O214" s="70" t="s">
        <v>1920</v>
      </c>
      <c r="P214" s="70" t="s">
        <v>31543</v>
      </c>
      <c r="Q214" s="70" t="s">
        <v>33494</v>
      </c>
      <c r="R214" s="82" t="s">
        <v>33440</v>
      </c>
      <c r="S214" s="70" t="s">
        <v>1918</v>
      </c>
      <c r="T214" s="70" t="s">
        <v>1919</v>
      </c>
      <c r="U214" s="70" t="s">
        <v>33495</v>
      </c>
      <c r="V214" s="82" t="s">
        <v>32743</v>
      </c>
      <c r="W214" s="70" t="s">
        <v>401</v>
      </c>
      <c r="X214" s="70" t="s">
        <v>1924</v>
      </c>
      <c r="Y214" s="70" t="s">
        <v>33496</v>
      </c>
      <c r="AA214" s="82" t="s">
        <v>33398</v>
      </c>
      <c r="AB214" s="82" t="s">
        <v>32616</v>
      </c>
    </row>
    <row r="215" ht="22.5" customHeight="1">
      <c r="A215" s="70" t="s">
        <v>2432</v>
      </c>
      <c r="E215" s="93"/>
      <c r="F215" s="93"/>
      <c r="H215" s="93"/>
      <c r="J215" s="93"/>
      <c r="L215" s="90" t="str">
        <f t="shared" si="2"/>
        <v>Excluded</v>
      </c>
      <c r="M215" s="90">
        <v>0.0</v>
      </c>
      <c r="N215" s="90">
        <v>0.0</v>
      </c>
      <c r="O215" s="70" t="s">
        <v>2435</v>
      </c>
      <c r="P215" s="70" t="s">
        <v>31543</v>
      </c>
      <c r="Q215" s="70" t="s">
        <v>33497</v>
      </c>
      <c r="R215" s="82" t="s">
        <v>33188</v>
      </c>
      <c r="S215" s="70" t="s">
        <v>2433</v>
      </c>
      <c r="T215" s="70" t="s">
        <v>2434</v>
      </c>
      <c r="U215" s="70" t="s">
        <v>33498</v>
      </c>
      <c r="V215" s="82" t="s">
        <v>32743</v>
      </c>
      <c r="W215" s="70" t="s">
        <v>401</v>
      </c>
      <c r="X215" s="70" t="s">
        <v>2440</v>
      </c>
      <c r="Y215" s="70" t="s">
        <v>33499</v>
      </c>
      <c r="AA215" s="82" t="s">
        <v>33500</v>
      </c>
      <c r="AB215" s="82" t="s">
        <v>32616</v>
      </c>
    </row>
    <row r="216" ht="22.5" customHeight="1">
      <c r="A216" s="70" t="s">
        <v>2884</v>
      </c>
      <c r="E216" s="93"/>
      <c r="F216" s="93"/>
      <c r="H216" s="93"/>
      <c r="J216" s="93"/>
      <c r="L216" s="90" t="str">
        <f t="shared" si="2"/>
        <v>Excluded</v>
      </c>
      <c r="M216" s="90">
        <v>0.0</v>
      </c>
      <c r="N216" s="90">
        <v>0.0</v>
      </c>
      <c r="O216" s="70" t="s">
        <v>2885</v>
      </c>
      <c r="P216" s="70" t="s">
        <v>31543</v>
      </c>
      <c r="Q216" s="70" t="s">
        <v>33501</v>
      </c>
      <c r="R216" s="82" t="s">
        <v>33091</v>
      </c>
      <c r="S216" s="70" t="s">
        <v>2433</v>
      </c>
      <c r="T216" s="70" t="s">
        <v>2434</v>
      </c>
      <c r="U216" s="70" t="s">
        <v>33502</v>
      </c>
      <c r="V216" s="82" t="s">
        <v>32743</v>
      </c>
      <c r="W216" s="70" t="s">
        <v>401</v>
      </c>
      <c r="X216" s="70" t="s">
        <v>2888</v>
      </c>
      <c r="AA216" s="82" t="s">
        <v>33503</v>
      </c>
      <c r="AB216" s="82" t="s">
        <v>32616</v>
      </c>
    </row>
    <row r="217" ht="22.5" customHeight="1">
      <c r="A217" s="70" t="s">
        <v>4324</v>
      </c>
      <c r="E217" s="93"/>
      <c r="F217" s="93"/>
      <c r="H217" s="93"/>
      <c r="J217" s="93"/>
      <c r="L217" s="90" t="str">
        <f t="shared" si="2"/>
        <v>Excluded</v>
      </c>
      <c r="M217" s="90">
        <v>0.0</v>
      </c>
      <c r="N217" s="90">
        <v>0.0</v>
      </c>
      <c r="O217" s="70" t="s">
        <v>4325</v>
      </c>
      <c r="P217" s="70" t="s">
        <v>31543</v>
      </c>
      <c r="Q217" s="70" t="s">
        <v>33504</v>
      </c>
      <c r="R217" s="82" t="s">
        <v>32753</v>
      </c>
      <c r="S217" s="70" t="s">
        <v>3635</v>
      </c>
      <c r="T217" s="70" t="s">
        <v>3636</v>
      </c>
      <c r="U217" s="70" t="s">
        <v>33505</v>
      </c>
      <c r="V217" s="82" t="s">
        <v>4327</v>
      </c>
      <c r="X217" s="70" t="s">
        <v>4328</v>
      </c>
      <c r="Y217" s="70" t="s">
        <v>33506</v>
      </c>
      <c r="AA217" s="82" t="s">
        <v>33507</v>
      </c>
      <c r="AB217" s="82" t="s">
        <v>32616</v>
      </c>
    </row>
    <row r="218" ht="22.5" customHeight="1">
      <c r="A218" s="70" t="s">
        <v>2995</v>
      </c>
      <c r="E218" s="93"/>
      <c r="F218" s="93"/>
      <c r="H218" s="93"/>
      <c r="J218" s="93"/>
      <c r="L218" s="90" t="str">
        <f t="shared" si="2"/>
        <v>Excluded</v>
      </c>
      <c r="M218" s="90">
        <v>0.0</v>
      </c>
      <c r="N218" s="90">
        <v>0.0</v>
      </c>
      <c r="O218" s="70" t="s">
        <v>2998</v>
      </c>
      <c r="P218" s="70" t="s">
        <v>31543</v>
      </c>
      <c r="Q218" s="70" t="s">
        <v>33508</v>
      </c>
      <c r="R218" s="82" t="s">
        <v>33467</v>
      </c>
      <c r="S218" s="70" t="s">
        <v>2996</v>
      </c>
      <c r="T218" s="70" t="s">
        <v>2997</v>
      </c>
      <c r="U218" s="70" t="s">
        <v>33509</v>
      </c>
      <c r="V218" s="82" t="s">
        <v>32743</v>
      </c>
      <c r="W218" s="70" t="s">
        <v>401</v>
      </c>
      <c r="X218" s="70" t="s">
        <v>3002</v>
      </c>
      <c r="Y218" s="70" t="s">
        <v>33510</v>
      </c>
      <c r="AA218" s="82" t="s">
        <v>33511</v>
      </c>
      <c r="AB218" s="82" t="s">
        <v>32616</v>
      </c>
    </row>
    <row r="219" ht="22.5" customHeight="1">
      <c r="A219" s="70" t="s">
        <v>4566</v>
      </c>
      <c r="E219" s="93"/>
      <c r="F219" s="93"/>
      <c r="H219" s="93"/>
      <c r="J219" s="93"/>
      <c r="L219" s="90" t="str">
        <f t="shared" si="2"/>
        <v>Excluded</v>
      </c>
      <c r="M219" s="90">
        <v>0.0</v>
      </c>
      <c r="N219" s="90">
        <v>0.0</v>
      </c>
      <c r="O219" s="70" t="s">
        <v>4567</v>
      </c>
      <c r="P219" s="70" t="s">
        <v>31543</v>
      </c>
      <c r="Q219" s="70" t="s">
        <v>33512</v>
      </c>
      <c r="R219" s="82" t="s">
        <v>33156</v>
      </c>
      <c r="S219" s="70" t="s">
        <v>3635</v>
      </c>
      <c r="T219" s="70" t="s">
        <v>3636</v>
      </c>
      <c r="U219" s="70" t="s">
        <v>33513</v>
      </c>
      <c r="V219" s="82" t="s">
        <v>4569</v>
      </c>
      <c r="X219" s="70" t="s">
        <v>31158</v>
      </c>
      <c r="Y219" s="70" t="s">
        <v>33514</v>
      </c>
      <c r="AA219" s="82" t="s">
        <v>33515</v>
      </c>
      <c r="AB219" s="82" t="s">
        <v>32616</v>
      </c>
    </row>
    <row r="220" ht="22.5" customHeight="1">
      <c r="A220" s="70" t="s">
        <v>2228</v>
      </c>
      <c r="E220" s="93"/>
      <c r="F220" s="93"/>
      <c r="H220" s="93"/>
      <c r="J220" s="93"/>
      <c r="L220" s="90" t="str">
        <f t="shared" si="2"/>
        <v>Excluded</v>
      </c>
      <c r="M220" s="90">
        <v>0.0</v>
      </c>
      <c r="N220" s="90">
        <v>0.0</v>
      </c>
      <c r="O220" s="70" t="s">
        <v>2230</v>
      </c>
      <c r="P220" s="70" t="s">
        <v>31543</v>
      </c>
      <c r="Q220" s="70" t="s">
        <v>33516</v>
      </c>
      <c r="R220" s="82" t="s">
        <v>33517</v>
      </c>
      <c r="S220" s="70" t="s">
        <v>655</v>
      </c>
      <c r="T220" s="70" t="s">
        <v>2229</v>
      </c>
      <c r="U220" s="70" t="s">
        <v>33518</v>
      </c>
      <c r="V220" s="82" t="s">
        <v>32743</v>
      </c>
      <c r="W220" s="70" t="s">
        <v>401</v>
      </c>
      <c r="X220" s="70" t="s">
        <v>2233</v>
      </c>
      <c r="Y220" s="70" t="s">
        <v>33519</v>
      </c>
      <c r="AA220" s="82" t="s">
        <v>33520</v>
      </c>
      <c r="AB220" s="82" t="s">
        <v>32616</v>
      </c>
    </row>
    <row r="221" ht="22.5" customHeight="1">
      <c r="A221" s="70" t="s">
        <v>4222</v>
      </c>
      <c r="E221" s="93"/>
      <c r="F221" s="93"/>
      <c r="H221" s="93"/>
      <c r="J221" s="93"/>
      <c r="L221" s="90" t="str">
        <f t="shared" si="2"/>
        <v>Excluded</v>
      </c>
      <c r="M221" s="90">
        <v>0.0</v>
      </c>
      <c r="N221" s="90">
        <v>0.0</v>
      </c>
      <c r="O221" s="70" t="s">
        <v>4223</v>
      </c>
      <c r="P221" s="70" t="s">
        <v>31543</v>
      </c>
      <c r="Q221" s="70" t="s">
        <v>33521</v>
      </c>
      <c r="R221" s="82" t="s">
        <v>33522</v>
      </c>
      <c r="S221" s="70" t="s">
        <v>3719</v>
      </c>
      <c r="T221" s="70" t="s">
        <v>3720</v>
      </c>
      <c r="U221" s="70" t="s">
        <v>33523</v>
      </c>
      <c r="V221" s="82" t="s">
        <v>4225</v>
      </c>
      <c r="X221" s="70" t="s">
        <v>31161</v>
      </c>
      <c r="Y221" s="70" t="s">
        <v>33524</v>
      </c>
      <c r="AA221" s="82" t="s">
        <v>33522</v>
      </c>
      <c r="AB221" s="82" t="s">
        <v>32616</v>
      </c>
    </row>
    <row r="222" ht="22.5" customHeight="1">
      <c r="A222" s="70" t="s">
        <v>1302</v>
      </c>
      <c r="E222" s="93"/>
      <c r="F222" s="93"/>
      <c r="H222" s="93"/>
      <c r="J222" s="93"/>
      <c r="L222" s="90" t="str">
        <f t="shared" si="2"/>
        <v>Excluded</v>
      </c>
      <c r="M222" s="90">
        <v>0.0</v>
      </c>
      <c r="N222" s="90">
        <v>0.0</v>
      </c>
      <c r="O222" s="70" t="s">
        <v>1305</v>
      </c>
      <c r="P222" s="70" t="s">
        <v>31543</v>
      </c>
      <c r="Q222" s="70" t="s">
        <v>33525</v>
      </c>
      <c r="R222" s="82" t="s">
        <v>33043</v>
      </c>
      <c r="S222" s="70" t="s">
        <v>1303</v>
      </c>
      <c r="T222" s="70" t="s">
        <v>1304</v>
      </c>
      <c r="U222" s="70" t="s">
        <v>33526</v>
      </c>
      <c r="V222" s="82" t="s">
        <v>32743</v>
      </c>
      <c r="W222" s="70" t="s">
        <v>401</v>
      </c>
      <c r="X222" s="70" t="s">
        <v>31162</v>
      </c>
      <c r="Y222" s="70" t="s">
        <v>33527</v>
      </c>
      <c r="AA222" s="82" t="s">
        <v>33528</v>
      </c>
      <c r="AB222" s="82" t="s">
        <v>32616</v>
      </c>
    </row>
    <row r="223" ht="22.5" customHeight="1">
      <c r="A223" s="70" t="s">
        <v>3569</v>
      </c>
      <c r="E223" s="93"/>
      <c r="F223" s="93"/>
      <c r="H223" s="93"/>
      <c r="J223" s="93"/>
      <c r="L223" s="90" t="str">
        <f t="shared" si="2"/>
        <v>Excluded</v>
      </c>
      <c r="M223" s="90">
        <v>0.0</v>
      </c>
      <c r="N223" s="90">
        <v>0.0</v>
      </c>
      <c r="O223" s="70" t="s">
        <v>3572</v>
      </c>
      <c r="P223" s="70" t="s">
        <v>31543</v>
      </c>
      <c r="Q223" s="70" t="s">
        <v>33529</v>
      </c>
      <c r="R223" s="82" t="s">
        <v>33530</v>
      </c>
      <c r="S223" s="70" t="s">
        <v>3570</v>
      </c>
      <c r="T223" s="70" t="s">
        <v>3571</v>
      </c>
      <c r="U223" s="70" t="s">
        <v>33531</v>
      </c>
      <c r="V223" s="82" t="s">
        <v>32743</v>
      </c>
      <c r="W223" s="70" t="s">
        <v>401</v>
      </c>
      <c r="X223" s="70" t="s">
        <v>3576</v>
      </c>
      <c r="Y223" s="70" t="s">
        <v>33532</v>
      </c>
      <c r="AA223" s="82" t="s">
        <v>33533</v>
      </c>
      <c r="AB223" s="82" t="s">
        <v>32616</v>
      </c>
    </row>
    <row r="224" ht="22.5" customHeight="1">
      <c r="A224" s="70" t="s">
        <v>3049</v>
      </c>
      <c r="E224" s="93"/>
      <c r="F224" s="93"/>
      <c r="H224" s="93"/>
      <c r="J224" s="93"/>
      <c r="L224" s="90" t="str">
        <f t="shared" si="2"/>
        <v>Excluded</v>
      </c>
      <c r="M224" s="90">
        <v>0.0</v>
      </c>
      <c r="N224" s="90">
        <v>0.0</v>
      </c>
      <c r="O224" s="70" t="s">
        <v>3052</v>
      </c>
      <c r="P224" s="70" t="s">
        <v>31543</v>
      </c>
      <c r="Q224" s="70" t="s">
        <v>33534</v>
      </c>
      <c r="R224" s="82" t="s">
        <v>33535</v>
      </c>
      <c r="S224" s="70" t="s">
        <v>3050</v>
      </c>
      <c r="T224" s="70" t="s">
        <v>3051</v>
      </c>
      <c r="U224" s="70" t="s">
        <v>33536</v>
      </c>
      <c r="V224" s="82" t="s">
        <v>32743</v>
      </c>
      <c r="W224" s="70" t="s">
        <v>401</v>
      </c>
      <c r="X224" s="70" t="s">
        <v>3056</v>
      </c>
      <c r="Y224" s="70" t="s">
        <v>33537</v>
      </c>
      <c r="AA224" s="82" t="s">
        <v>33538</v>
      </c>
      <c r="AB224" s="82" t="s">
        <v>32616</v>
      </c>
    </row>
    <row r="225" ht="22.5" customHeight="1">
      <c r="A225" s="70" t="s">
        <v>3362</v>
      </c>
      <c r="E225" s="93"/>
      <c r="F225" s="93"/>
      <c r="H225" s="93"/>
      <c r="J225" s="93"/>
      <c r="L225" s="90" t="str">
        <f t="shared" si="2"/>
        <v>Excluded</v>
      </c>
      <c r="M225" s="90">
        <v>0.0</v>
      </c>
      <c r="N225" s="90">
        <v>0.0</v>
      </c>
      <c r="O225" s="70" t="s">
        <v>3365</v>
      </c>
      <c r="P225" s="70" t="s">
        <v>31543</v>
      </c>
      <c r="Q225" s="70" t="s">
        <v>33539</v>
      </c>
      <c r="R225" s="82" t="s">
        <v>33104</v>
      </c>
      <c r="S225" s="70" t="s">
        <v>3363</v>
      </c>
      <c r="T225" s="70" t="s">
        <v>3364</v>
      </c>
      <c r="U225" s="70" t="s">
        <v>33540</v>
      </c>
      <c r="V225" s="82" t="s">
        <v>32743</v>
      </c>
      <c r="W225" s="70" t="s">
        <v>401</v>
      </c>
      <c r="X225" s="70" t="s">
        <v>3369</v>
      </c>
      <c r="AA225" s="82" t="s">
        <v>33040</v>
      </c>
      <c r="AB225" s="82" t="s">
        <v>32616</v>
      </c>
    </row>
    <row r="226" ht="22.5" customHeight="1">
      <c r="A226" s="70" t="s">
        <v>4238</v>
      </c>
      <c r="E226" s="93"/>
      <c r="F226" s="93"/>
      <c r="H226" s="93"/>
      <c r="J226" s="93"/>
      <c r="L226" s="90" t="str">
        <f t="shared" si="2"/>
        <v>Excluded</v>
      </c>
      <c r="M226" s="90">
        <v>0.0</v>
      </c>
      <c r="N226" s="90">
        <v>0.0</v>
      </c>
      <c r="O226" s="70" t="s">
        <v>4239</v>
      </c>
      <c r="P226" s="70" t="s">
        <v>31543</v>
      </c>
      <c r="Q226" s="70" t="s">
        <v>33541</v>
      </c>
      <c r="R226" s="82" t="s">
        <v>33542</v>
      </c>
      <c r="S226" s="70" t="s">
        <v>3673</v>
      </c>
      <c r="T226" s="70" t="s">
        <v>3674</v>
      </c>
      <c r="U226" s="70" t="s">
        <v>33543</v>
      </c>
      <c r="V226" s="82" t="s">
        <v>4225</v>
      </c>
      <c r="X226" s="70" t="s">
        <v>4241</v>
      </c>
      <c r="Y226" s="70" t="s">
        <v>33544</v>
      </c>
      <c r="AA226" s="82" t="s">
        <v>32966</v>
      </c>
      <c r="AB226" s="82" t="s">
        <v>32616</v>
      </c>
    </row>
    <row r="227" ht="22.5" customHeight="1">
      <c r="A227" s="70" t="s">
        <v>4032</v>
      </c>
      <c r="E227" s="93"/>
      <c r="F227" s="93"/>
      <c r="H227" s="93"/>
      <c r="J227" s="93"/>
      <c r="L227" s="90" t="str">
        <f t="shared" si="2"/>
        <v>Excluded</v>
      </c>
      <c r="M227" s="90">
        <v>0.0</v>
      </c>
      <c r="N227" s="90">
        <v>0.0</v>
      </c>
      <c r="O227" s="70" t="s">
        <v>4033</v>
      </c>
      <c r="P227" s="70" t="s">
        <v>31543</v>
      </c>
      <c r="Q227" s="70" t="s">
        <v>33545</v>
      </c>
      <c r="R227" s="82" t="s">
        <v>33546</v>
      </c>
      <c r="S227" s="70" t="s">
        <v>3860</v>
      </c>
      <c r="T227" s="70" t="s">
        <v>3861</v>
      </c>
      <c r="U227" s="70" t="s">
        <v>33547</v>
      </c>
      <c r="V227" s="82" t="s">
        <v>4035</v>
      </c>
      <c r="X227" s="70" t="s">
        <v>31163</v>
      </c>
      <c r="Y227" s="70" t="s">
        <v>33548</v>
      </c>
      <c r="AA227" s="82" t="s">
        <v>33308</v>
      </c>
      <c r="AB227" s="82" t="s">
        <v>32616</v>
      </c>
    </row>
    <row r="228" ht="22.5" customHeight="1">
      <c r="A228" s="70" t="s">
        <v>4504</v>
      </c>
      <c r="E228" s="93"/>
      <c r="F228" s="93"/>
      <c r="H228" s="93"/>
      <c r="J228" s="93"/>
      <c r="L228" s="90" t="str">
        <f t="shared" si="2"/>
        <v>Excluded</v>
      </c>
      <c r="M228" s="90">
        <v>0.0</v>
      </c>
      <c r="N228" s="90">
        <v>0.0</v>
      </c>
      <c r="O228" s="70" t="s">
        <v>4505</v>
      </c>
      <c r="P228" s="70" t="s">
        <v>31543</v>
      </c>
      <c r="Q228" s="70" t="s">
        <v>33549</v>
      </c>
      <c r="R228" s="82" t="s">
        <v>33550</v>
      </c>
      <c r="S228" s="70" t="s">
        <v>3635</v>
      </c>
      <c r="T228" s="70" t="s">
        <v>3636</v>
      </c>
      <c r="U228" s="70" t="s">
        <v>33551</v>
      </c>
      <c r="V228" s="82" t="s">
        <v>4507</v>
      </c>
      <c r="X228" s="70" t="s">
        <v>31164</v>
      </c>
      <c r="Y228" s="70" t="s">
        <v>33552</v>
      </c>
      <c r="AA228" s="82" t="s">
        <v>33337</v>
      </c>
      <c r="AB228" s="82" t="s">
        <v>32616</v>
      </c>
    </row>
    <row r="229" ht="22.5" customHeight="1">
      <c r="A229" s="70" t="s">
        <v>4454</v>
      </c>
      <c r="E229" s="93"/>
      <c r="F229" s="93"/>
      <c r="H229" s="93"/>
      <c r="J229" s="93"/>
      <c r="L229" s="90" t="str">
        <f t="shared" si="2"/>
        <v>Excluded</v>
      </c>
      <c r="M229" s="90">
        <v>0.0</v>
      </c>
      <c r="N229" s="90">
        <v>0.0</v>
      </c>
      <c r="O229" s="70" t="s">
        <v>4455</v>
      </c>
      <c r="P229" s="70" t="s">
        <v>31543</v>
      </c>
      <c r="Q229" s="70" t="s">
        <v>33553</v>
      </c>
      <c r="R229" s="82" t="s">
        <v>33554</v>
      </c>
      <c r="S229" s="70" t="s">
        <v>3825</v>
      </c>
      <c r="T229" s="70" t="s">
        <v>3826</v>
      </c>
      <c r="U229" s="70" t="s">
        <v>33555</v>
      </c>
      <c r="V229" s="82" t="s">
        <v>3919</v>
      </c>
      <c r="X229" s="70" t="s">
        <v>4457</v>
      </c>
      <c r="Y229" s="70" t="s">
        <v>33556</v>
      </c>
      <c r="AA229" s="82" t="s">
        <v>33190</v>
      </c>
      <c r="AB229" s="82" t="s">
        <v>32616</v>
      </c>
    </row>
    <row r="230" ht="22.5" customHeight="1">
      <c r="A230" s="70" t="s">
        <v>4363</v>
      </c>
      <c r="E230" s="93"/>
      <c r="F230" s="93"/>
      <c r="H230" s="93"/>
      <c r="J230" s="93"/>
      <c r="L230" s="90" t="str">
        <f t="shared" si="2"/>
        <v>Excluded</v>
      </c>
      <c r="M230" s="90">
        <v>0.0</v>
      </c>
      <c r="N230" s="90">
        <v>0.0</v>
      </c>
      <c r="O230" s="70" t="s">
        <v>4364</v>
      </c>
      <c r="P230" s="70" t="s">
        <v>31543</v>
      </c>
      <c r="Q230" s="70" t="s">
        <v>33557</v>
      </c>
      <c r="R230" s="82" t="s">
        <v>32918</v>
      </c>
      <c r="S230" s="70" t="s">
        <v>3743</v>
      </c>
      <c r="T230" s="70" t="s">
        <v>3744</v>
      </c>
      <c r="U230" s="70" t="s">
        <v>33558</v>
      </c>
      <c r="V230" s="82" t="s">
        <v>3648</v>
      </c>
      <c r="X230" s="70" t="s">
        <v>4366</v>
      </c>
      <c r="Y230" s="70" t="s">
        <v>33559</v>
      </c>
      <c r="AA230" s="82" t="s">
        <v>33176</v>
      </c>
      <c r="AB230" s="82" t="s">
        <v>32616</v>
      </c>
    </row>
    <row r="231" ht="22.5" customHeight="1">
      <c r="A231" s="70" t="s">
        <v>3916</v>
      </c>
      <c r="E231" s="93"/>
      <c r="F231" s="93"/>
      <c r="H231" s="93"/>
      <c r="J231" s="93"/>
      <c r="L231" s="90" t="str">
        <f t="shared" si="2"/>
        <v>Excluded</v>
      </c>
      <c r="M231" s="90">
        <v>0.0</v>
      </c>
      <c r="N231" s="90">
        <v>0.0</v>
      </c>
      <c r="O231" s="70" t="s">
        <v>3917</v>
      </c>
      <c r="P231" s="70" t="s">
        <v>31543</v>
      </c>
      <c r="Q231" s="70" t="s">
        <v>33560</v>
      </c>
      <c r="R231" s="82" t="s">
        <v>33444</v>
      </c>
      <c r="S231" s="70" t="s">
        <v>3635</v>
      </c>
      <c r="T231" s="70" t="s">
        <v>3636</v>
      </c>
      <c r="U231" s="70" t="s">
        <v>33561</v>
      </c>
      <c r="V231" s="82" t="s">
        <v>3919</v>
      </c>
      <c r="X231" s="70" t="s">
        <v>3920</v>
      </c>
      <c r="Y231" s="70" t="s">
        <v>33562</v>
      </c>
      <c r="AA231" s="82" t="s">
        <v>33563</v>
      </c>
      <c r="AB231" s="82" t="s">
        <v>32616</v>
      </c>
    </row>
    <row r="232" ht="22.5" customHeight="1">
      <c r="A232" s="70" t="s">
        <v>2352</v>
      </c>
      <c r="E232" s="93"/>
      <c r="F232" s="93"/>
      <c r="H232" s="93"/>
      <c r="J232" s="93"/>
      <c r="L232" s="90" t="str">
        <f t="shared" si="2"/>
        <v>Excluded</v>
      </c>
      <c r="M232" s="90">
        <v>0.0</v>
      </c>
      <c r="N232" s="90">
        <v>0.0</v>
      </c>
      <c r="O232" s="70" t="s">
        <v>2355</v>
      </c>
      <c r="P232" s="70" t="s">
        <v>31543</v>
      </c>
      <c r="Q232" s="70" t="s">
        <v>33564</v>
      </c>
      <c r="R232" s="82" t="s">
        <v>33269</v>
      </c>
      <c r="S232" s="70" t="s">
        <v>2353</v>
      </c>
      <c r="T232" s="70" t="s">
        <v>2354</v>
      </c>
      <c r="U232" s="70" t="s">
        <v>33565</v>
      </c>
      <c r="V232" s="82" t="s">
        <v>32743</v>
      </c>
      <c r="W232" s="70" t="s">
        <v>401</v>
      </c>
      <c r="X232" s="70" t="s">
        <v>2359</v>
      </c>
      <c r="Y232" s="70" t="s">
        <v>33566</v>
      </c>
      <c r="AA232" s="82" t="s">
        <v>33567</v>
      </c>
      <c r="AB232" s="82" t="s">
        <v>32616</v>
      </c>
    </row>
    <row r="233" ht="22.5" customHeight="1">
      <c r="A233" s="70" t="s">
        <v>855</v>
      </c>
      <c r="E233" s="93"/>
      <c r="F233" s="93"/>
      <c r="H233" s="93"/>
      <c r="J233" s="93"/>
      <c r="L233" s="90" t="str">
        <f t="shared" si="2"/>
        <v>Excluded</v>
      </c>
      <c r="M233" s="90">
        <v>0.0</v>
      </c>
      <c r="N233" s="90">
        <v>0.0</v>
      </c>
      <c r="O233" s="70" t="s">
        <v>858</v>
      </c>
      <c r="P233" s="70" t="s">
        <v>31543</v>
      </c>
      <c r="Q233" s="70" t="s">
        <v>33568</v>
      </c>
      <c r="R233" s="82" t="s">
        <v>33569</v>
      </c>
      <c r="S233" s="70" t="s">
        <v>856</v>
      </c>
      <c r="T233" s="70" t="s">
        <v>857</v>
      </c>
      <c r="U233" s="70" t="s">
        <v>33570</v>
      </c>
      <c r="V233" s="82" t="s">
        <v>32743</v>
      </c>
      <c r="W233" s="70" t="s">
        <v>401</v>
      </c>
      <c r="X233" s="70" t="s">
        <v>863</v>
      </c>
      <c r="Y233" s="70" t="s">
        <v>33571</v>
      </c>
      <c r="AA233" s="82" t="s">
        <v>33197</v>
      </c>
      <c r="AB233" s="82" t="s">
        <v>32616</v>
      </c>
    </row>
    <row r="234" ht="22.5" customHeight="1">
      <c r="A234" s="70" t="s">
        <v>3884</v>
      </c>
      <c r="E234" s="93"/>
      <c r="F234" s="93"/>
      <c r="H234" s="93"/>
      <c r="J234" s="93"/>
      <c r="L234" s="90" t="str">
        <f t="shared" si="2"/>
        <v>Excluded</v>
      </c>
      <c r="M234" s="90">
        <v>0.0</v>
      </c>
      <c r="N234" s="90">
        <v>0.0</v>
      </c>
      <c r="O234" s="70" t="s">
        <v>3885</v>
      </c>
      <c r="P234" s="70" t="s">
        <v>31543</v>
      </c>
      <c r="Q234" s="70" t="s">
        <v>33572</v>
      </c>
      <c r="R234" s="82" t="s">
        <v>33511</v>
      </c>
      <c r="S234" s="70" t="s">
        <v>3635</v>
      </c>
      <c r="T234" s="70" t="s">
        <v>3636</v>
      </c>
      <c r="U234" s="70" t="s">
        <v>33573</v>
      </c>
      <c r="V234" s="82" t="s">
        <v>3887</v>
      </c>
      <c r="X234" s="70" t="s">
        <v>3888</v>
      </c>
      <c r="Y234" s="70" t="s">
        <v>33574</v>
      </c>
      <c r="AA234" s="82" t="s">
        <v>33575</v>
      </c>
      <c r="AB234" s="82" t="s">
        <v>32616</v>
      </c>
    </row>
    <row r="235" ht="22.5" customHeight="1">
      <c r="A235" s="70" t="s">
        <v>3271</v>
      </c>
      <c r="E235" s="93"/>
      <c r="F235" s="93"/>
      <c r="H235" s="93"/>
      <c r="J235" s="93"/>
      <c r="L235" s="90" t="str">
        <f t="shared" si="2"/>
        <v>Excluded</v>
      </c>
      <c r="M235" s="90">
        <v>0.0</v>
      </c>
      <c r="N235" s="90">
        <v>0.0</v>
      </c>
      <c r="O235" s="70" t="s">
        <v>3274</v>
      </c>
      <c r="P235" s="70" t="s">
        <v>31543</v>
      </c>
      <c r="Q235" s="70" t="s">
        <v>33576</v>
      </c>
      <c r="R235" s="82" t="s">
        <v>33246</v>
      </c>
      <c r="S235" s="70" t="s">
        <v>3272</v>
      </c>
      <c r="T235" s="70" t="s">
        <v>3273</v>
      </c>
      <c r="U235" s="70" t="s">
        <v>33577</v>
      </c>
      <c r="V235" s="82" t="s">
        <v>32614</v>
      </c>
      <c r="W235" s="70" t="s">
        <v>401</v>
      </c>
      <c r="X235" s="70" t="s">
        <v>31169</v>
      </c>
      <c r="Y235" s="70" t="s">
        <v>33578</v>
      </c>
      <c r="AA235" s="82" t="s">
        <v>33579</v>
      </c>
      <c r="AB235" s="82" t="s">
        <v>32616</v>
      </c>
    </row>
    <row r="236" ht="22.5" customHeight="1">
      <c r="A236" s="70" t="s">
        <v>4007</v>
      </c>
      <c r="E236" s="93"/>
      <c r="F236" s="93"/>
      <c r="H236" s="93"/>
      <c r="J236" s="93"/>
      <c r="L236" s="90" t="str">
        <f t="shared" si="2"/>
        <v>Excluded</v>
      </c>
      <c r="M236" s="90">
        <v>0.0</v>
      </c>
      <c r="N236" s="90">
        <v>0.0</v>
      </c>
      <c r="O236" s="70" t="s">
        <v>4009</v>
      </c>
      <c r="P236" s="70" t="s">
        <v>31543</v>
      </c>
      <c r="Q236" s="70" t="s">
        <v>33580</v>
      </c>
      <c r="R236" s="82" t="s">
        <v>33538</v>
      </c>
      <c r="S236" s="70" t="s">
        <v>4008</v>
      </c>
      <c r="U236" s="70" t="s">
        <v>33581</v>
      </c>
      <c r="V236" s="82" t="s">
        <v>3911</v>
      </c>
      <c r="X236" s="70" t="s">
        <v>4011</v>
      </c>
      <c r="Y236" s="70" t="s">
        <v>33582</v>
      </c>
      <c r="AA236" s="82" t="s">
        <v>33583</v>
      </c>
      <c r="AB236" s="82" t="s">
        <v>32616</v>
      </c>
    </row>
    <row r="237" ht="22.5" customHeight="1">
      <c r="A237" s="70" t="s">
        <v>3992</v>
      </c>
      <c r="E237" s="93"/>
      <c r="F237" s="93"/>
      <c r="H237" s="93"/>
      <c r="J237" s="93"/>
      <c r="L237" s="90" t="str">
        <f t="shared" si="2"/>
        <v>Excluded</v>
      </c>
      <c r="M237" s="90">
        <v>0.0</v>
      </c>
      <c r="N237" s="90">
        <v>0.0</v>
      </c>
      <c r="O237" s="70" t="s">
        <v>3993</v>
      </c>
      <c r="P237" s="70" t="s">
        <v>31543</v>
      </c>
      <c r="Q237" s="70" t="s">
        <v>33584</v>
      </c>
      <c r="R237" s="82" t="s">
        <v>32964</v>
      </c>
      <c r="S237" s="70" t="s">
        <v>3860</v>
      </c>
      <c r="T237" s="70" t="s">
        <v>3861</v>
      </c>
      <c r="U237" s="70" t="s">
        <v>33585</v>
      </c>
      <c r="V237" s="82" t="s">
        <v>3755</v>
      </c>
      <c r="X237" s="70" t="s">
        <v>3995</v>
      </c>
      <c r="Y237" s="70" t="s">
        <v>33586</v>
      </c>
      <c r="AA237" s="82" t="s">
        <v>32869</v>
      </c>
      <c r="AB237" s="82" t="s">
        <v>32616</v>
      </c>
    </row>
    <row r="238" ht="22.5" customHeight="1">
      <c r="A238" s="70" t="s">
        <v>1949</v>
      </c>
      <c r="E238" s="93"/>
      <c r="F238" s="93"/>
      <c r="H238" s="93"/>
      <c r="J238" s="93"/>
      <c r="L238" s="90" t="str">
        <f t="shared" si="2"/>
        <v>Excluded</v>
      </c>
      <c r="M238" s="90">
        <v>0.0</v>
      </c>
      <c r="N238" s="90">
        <v>0.0</v>
      </c>
      <c r="O238" s="70" t="s">
        <v>1952</v>
      </c>
      <c r="P238" s="70" t="s">
        <v>31543</v>
      </c>
      <c r="Q238" s="70" t="s">
        <v>33587</v>
      </c>
      <c r="R238" s="82" t="s">
        <v>32847</v>
      </c>
      <c r="S238" s="70" t="s">
        <v>1950</v>
      </c>
      <c r="T238" s="70" t="s">
        <v>1951</v>
      </c>
      <c r="U238" s="70" t="s">
        <v>33588</v>
      </c>
      <c r="V238" s="82" t="s">
        <v>32614</v>
      </c>
      <c r="W238" s="70" t="s">
        <v>401</v>
      </c>
      <c r="X238" s="70" t="s">
        <v>1957</v>
      </c>
      <c r="Y238" s="70" t="s">
        <v>33589</v>
      </c>
      <c r="AA238" s="82" t="s">
        <v>32835</v>
      </c>
      <c r="AB238" s="82" t="s">
        <v>32616</v>
      </c>
    </row>
    <row r="239" ht="22.5" customHeight="1">
      <c r="A239" s="70" t="s">
        <v>3869</v>
      </c>
      <c r="E239" s="93"/>
      <c r="F239" s="93"/>
      <c r="H239" s="93"/>
      <c r="J239" s="93"/>
      <c r="L239" s="90" t="str">
        <f t="shared" si="2"/>
        <v>Excluded</v>
      </c>
      <c r="M239" s="90">
        <v>0.0</v>
      </c>
      <c r="N239" s="90">
        <v>0.0</v>
      </c>
      <c r="O239" s="70" t="s">
        <v>3870</v>
      </c>
      <c r="P239" s="70" t="s">
        <v>31543</v>
      </c>
      <c r="Q239" s="70" t="s">
        <v>33590</v>
      </c>
      <c r="R239" s="82" t="s">
        <v>33095</v>
      </c>
      <c r="S239" s="70" t="s">
        <v>3719</v>
      </c>
      <c r="T239" s="70" t="s">
        <v>3720</v>
      </c>
      <c r="U239" s="70" t="s">
        <v>33591</v>
      </c>
      <c r="V239" s="82" t="s">
        <v>3872</v>
      </c>
      <c r="X239" s="70" t="s">
        <v>31171</v>
      </c>
      <c r="Y239" s="70" t="s">
        <v>33592</v>
      </c>
      <c r="AA239" s="82" t="s">
        <v>33384</v>
      </c>
      <c r="AB239" s="82" t="s">
        <v>32616</v>
      </c>
    </row>
    <row r="240" ht="22.5" customHeight="1">
      <c r="A240" s="70" t="s">
        <v>969</v>
      </c>
      <c r="E240" s="93"/>
      <c r="F240" s="93"/>
      <c r="H240" s="93"/>
      <c r="J240" s="93"/>
      <c r="L240" s="90" t="str">
        <f t="shared" si="2"/>
        <v>Excluded</v>
      </c>
      <c r="M240" s="90">
        <v>0.0</v>
      </c>
      <c r="N240" s="90">
        <v>0.0</v>
      </c>
      <c r="O240" s="70" t="s">
        <v>972</v>
      </c>
      <c r="P240" s="70" t="s">
        <v>31543</v>
      </c>
      <c r="Q240" s="70" t="s">
        <v>33593</v>
      </c>
      <c r="R240" s="82" t="s">
        <v>33594</v>
      </c>
      <c r="S240" s="70" t="s">
        <v>970</v>
      </c>
      <c r="T240" s="70" t="s">
        <v>971</v>
      </c>
      <c r="U240" s="70" t="s">
        <v>33595</v>
      </c>
      <c r="V240" s="82" t="s">
        <v>32743</v>
      </c>
      <c r="W240" s="70" t="s">
        <v>401</v>
      </c>
      <c r="X240" s="70" t="s">
        <v>977</v>
      </c>
      <c r="Y240" s="70" t="s">
        <v>33596</v>
      </c>
      <c r="AA240" s="82" t="s">
        <v>33148</v>
      </c>
      <c r="AB240" s="82" t="s">
        <v>32616</v>
      </c>
    </row>
    <row r="241" ht="22.5" customHeight="1">
      <c r="A241" s="70" t="s">
        <v>3323</v>
      </c>
      <c r="E241" s="93"/>
      <c r="F241" s="93"/>
      <c r="H241" s="93"/>
      <c r="J241" s="93"/>
      <c r="L241" s="90" t="str">
        <f t="shared" si="2"/>
        <v>Excluded</v>
      </c>
      <c r="M241" s="90">
        <v>0.0</v>
      </c>
      <c r="N241" s="90">
        <v>0.0</v>
      </c>
      <c r="O241" s="70" t="s">
        <v>3326</v>
      </c>
      <c r="P241" s="70" t="s">
        <v>31543</v>
      </c>
      <c r="Q241" s="70" t="s">
        <v>33597</v>
      </c>
      <c r="R241" s="82" t="s">
        <v>33598</v>
      </c>
      <c r="S241" s="70" t="s">
        <v>3324</v>
      </c>
      <c r="T241" s="70" t="s">
        <v>3325</v>
      </c>
      <c r="U241" s="70" t="s">
        <v>33599</v>
      </c>
      <c r="V241" s="82" t="s">
        <v>32614</v>
      </c>
      <c r="W241" s="70" t="s">
        <v>401</v>
      </c>
      <c r="X241" s="70" t="s">
        <v>31174</v>
      </c>
      <c r="Y241" s="70" t="s">
        <v>33600</v>
      </c>
      <c r="AA241" s="82" t="s">
        <v>32882</v>
      </c>
      <c r="AB241" s="82" t="s">
        <v>32616</v>
      </c>
    </row>
    <row r="242" ht="22.5" customHeight="1">
      <c r="A242" s="70" t="s">
        <v>4289</v>
      </c>
      <c r="E242" s="93"/>
      <c r="F242" s="93"/>
      <c r="H242" s="93"/>
      <c r="J242" s="93"/>
      <c r="L242" s="90" t="str">
        <f t="shared" si="2"/>
        <v>Excluded</v>
      </c>
      <c r="M242" s="90">
        <v>0.0</v>
      </c>
      <c r="N242" s="90">
        <v>0.0</v>
      </c>
      <c r="O242" s="70" t="s">
        <v>4290</v>
      </c>
      <c r="P242" s="70" t="s">
        <v>31543</v>
      </c>
      <c r="Q242" s="70" t="s">
        <v>33601</v>
      </c>
      <c r="R242" s="82" t="s">
        <v>32872</v>
      </c>
      <c r="S242" s="70" t="s">
        <v>3635</v>
      </c>
      <c r="T242" s="70" t="s">
        <v>3636</v>
      </c>
      <c r="U242" s="70" t="s">
        <v>33602</v>
      </c>
      <c r="V242" s="82" t="s">
        <v>3911</v>
      </c>
      <c r="X242" s="70" t="s">
        <v>4292</v>
      </c>
      <c r="Y242" s="70" t="s">
        <v>33603</v>
      </c>
      <c r="AA242" s="82" t="s">
        <v>33604</v>
      </c>
      <c r="AB242" s="82" t="s">
        <v>32616</v>
      </c>
    </row>
    <row r="243" ht="22.5" customHeight="1">
      <c r="A243" s="70" t="s">
        <v>3908</v>
      </c>
      <c r="E243" s="93"/>
      <c r="F243" s="93"/>
      <c r="H243" s="93"/>
      <c r="J243" s="93"/>
      <c r="L243" s="90" t="str">
        <f t="shared" si="2"/>
        <v>Excluded</v>
      </c>
      <c r="M243" s="90">
        <v>0.0</v>
      </c>
      <c r="N243" s="90">
        <v>0.0</v>
      </c>
      <c r="O243" s="70" t="s">
        <v>3909</v>
      </c>
      <c r="P243" s="70" t="s">
        <v>31543</v>
      </c>
      <c r="Q243" s="70" t="s">
        <v>33605</v>
      </c>
      <c r="R243" s="82" t="s">
        <v>32946</v>
      </c>
      <c r="S243" s="70" t="s">
        <v>3635</v>
      </c>
      <c r="T243" s="70" t="s">
        <v>3636</v>
      </c>
      <c r="U243" s="70" t="s">
        <v>33606</v>
      </c>
      <c r="V243" s="82" t="s">
        <v>3911</v>
      </c>
      <c r="X243" s="70" t="s">
        <v>3912</v>
      </c>
      <c r="Y243" s="70" t="s">
        <v>33607</v>
      </c>
      <c r="AA243" s="82" t="s">
        <v>33608</v>
      </c>
      <c r="AB243" s="82" t="s">
        <v>32616</v>
      </c>
    </row>
    <row r="244" ht="22.5" customHeight="1">
      <c r="A244" s="70" t="s">
        <v>3237</v>
      </c>
      <c r="E244" s="93"/>
      <c r="F244" s="93"/>
      <c r="H244" s="93"/>
      <c r="J244" s="93"/>
      <c r="L244" s="90" t="str">
        <f t="shared" si="2"/>
        <v>Excluded</v>
      </c>
      <c r="M244" s="90">
        <v>0.0</v>
      </c>
      <c r="N244" s="90">
        <v>0.0</v>
      </c>
      <c r="O244" s="70" t="s">
        <v>3240</v>
      </c>
      <c r="P244" s="70" t="s">
        <v>31543</v>
      </c>
      <c r="Q244" s="70" t="s">
        <v>33609</v>
      </c>
      <c r="R244" s="82" t="s">
        <v>33575</v>
      </c>
      <c r="S244" s="70" t="s">
        <v>3238</v>
      </c>
      <c r="T244" s="70" t="s">
        <v>3239</v>
      </c>
      <c r="U244" s="70" t="s">
        <v>33610</v>
      </c>
      <c r="V244" s="82" t="s">
        <v>32614</v>
      </c>
      <c r="W244" s="70" t="s">
        <v>401</v>
      </c>
      <c r="X244" s="70" t="s">
        <v>31175</v>
      </c>
      <c r="Y244" s="70" t="s">
        <v>33611</v>
      </c>
      <c r="AA244" s="82" t="s">
        <v>33517</v>
      </c>
      <c r="AB244" s="82" t="s">
        <v>32616</v>
      </c>
    </row>
    <row r="245" ht="22.5" customHeight="1">
      <c r="A245" s="70" t="s">
        <v>4193</v>
      </c>
      <c r="E245" s="93"/>
      <c r="F245" s="93"/>
      <c r="H245" s="93"/>
      <c r="J245" s="93"/>
      <c r="L245" s="90" t="str">
        <f t="shared" si="2"/>
        <v>Excluded</v>
      </c>
      <c r="M245" s="90">
        <v>0.0</v>
      </c>
      <c r="N245" s="90">
        <v>0.0</v>
      </c>
      <c r="O245" s="70" t="s">
        <v>4195</v>
      </c>
      <c r="P245" s="70" t="s">
        <v>31543</v>
      </c>
      <c r="Q245" s="70" t="s">
        <v>33612</v>
      </c>
      <c r="R245" s="82" t="s">
        <v>32786</v>
      </c>
      <c r="S245" s="70" t="s">
        <v>4194</v>
      </c>
      <c r="U245" s="70" t="s">
        <v>33613</v>
      </c>
      <c r="V245" s="82" t="s">
        <v>3911</v>
      </c>
      <c r="X245" s="70" t="s">
        <v>4197</v>
      </c>
      <c r="Y245" s="70" t="s">
        <v>33614</v>
      </c>
      <c r="AA245" s="82" t="s">
        <v>33615</v>
      </c>
      <c r="AB245" s="82" t="s">
        <v>32616</v>
      </c>
    </row>
    <row r="246" ht="22.5" customHeight="1">
      <c r="A246" s="70" t="s">
        <v>4156</v>
      </c>
      <c r="E246" s="93"/>
      <c r="F246" s="93"/>
      <c r="H246" s="93"/>
      <c r="J246" s="93"/>
      <c r="L246" s="90" t="str">
        <f t="shared" si="2"/>
        <v>Excluded</v>
      </c>
      <c r="M246" s="90">
        <v>0.0</v>
      </c>
      <c r="N246" s="90">
        <v>0.0</v>
      </c>
      <c r="O246" s="70" t="s">
        <v>4157</v>
      </c>
      <c r="P246" s="70" t="s">
        <v>31543</v>
      </c>
      <c r="Q246" s="70" t="s">
        <v>33616</v>
      </c>
      <c r="R246" s="82" t="s">
        <v>33359</v>
      </c>
      <c r="S246" s="70" t="s">
        <v>3635</v>
      </c>
      <c r="T246" s="70" t="s">
        <v>3636</v>
      </c>
      <c r="U246" s="70" t="s">
        <v>33617</v>
      </c>
      <c r="V246" s="82" t="s">
        <v>3648</v>
      </c>
      <c r="X246" s="70" t="s">
        <v>4159</v>
      </c>
      <c r="Y246" s="70" t="s">
        <v>33618</v>
      </c>
      <c r="AA246" s="82" t="s">
        <v>33453</v>
      </c>
      <c r="AB246" s="82" t="s">
        <v>32616</v>
      </c>
    </row>
    <row r="247" ht="22.5" customHeight="1">
      <c r="A247" s="70" t="s">
        <v>4201</v>
      </c>
      <c r="E247" s="93"/>
      <c r="F247" s="93"/>
      <c r="H247" s="93"/>
      <c r="J247" s="93"/>
      <c r="L247" s="90" t="str">
        <f t="shared" si="2"/>
        <v>Excluded</v>
      </c>
      <c r="M247" s="90">
        <v>0.0</v>
      </c>
      <c r="N247" s="90">
        <v>0.0</v>
      </c>
      <c r="O247" s="70" t="s">
        <v>4202</v>
      </c>
      <c r="P247" s="70" t="s">
        <v>31543</v>
      </c>
      <c r="Q247" s="70" t="s">
        <v>33619</v>
      </c>
      <c r="R247" s="82" t="s">
        <v>33620</v>
      </c>
      <c r="S247" s="70" t="s">
        <v>3635</v>
      </c>
      <c r="T247" s="70" t="s">
        <v>3636</v>
      </c>
      <c r="U247" s="70" t="s">
        <v>33621</v>
      </c>
      <c r="V247" s="82" t="s">
        <v>3747</v>
      </c>
      <c r="X247" s="70" t="s">
        <v>4204</v>
      </c>
      <c r="Y247" s="70" t="s">
        <v>33622</v>
      </c>
      <c r="AA247" s="82" t="s">
        <v>33275</v>
      </c>
      <c r="AB247" s="82" t="s">
        <v>32616</v>
      </c>
    </row>
    <row r="248" ht="22.5" customHeight="1">
      <c r="A248" s="70" t="s">
        <v>4314</v>
      </c>
      <c r="E248" s="93"/>
      <c r="F248" s="93"/>
      <c r="H248" s="93"/>
      <c r="J248" s="93"/>
      <c r="L248" s="90" t="str">
        <f t="shared" si="2"/>
        <v>Excluded</v>
      </c>
      <c r="M248" s="90">
        <v>0.0</v>
      </c>
      <c r="N248" s="90">
        <v>0.0</v>
      </c>
      <c r="O248" s="70" t="s">
        <v>4316</v>
      </c>
      <c r="P248" s="70" t="s">
        <v>31543</v>
      </c>
      <c r="Q248" s="70" t="s">
        <v>33623</v>
      </c>
      <c r="R248" s="82" t="s">
        <v>32733</v>
      </c>
      <c r="S248" s="70" t="s">
        <v>4315</v>
      </c>
      <c r="U248" s="70" t="s">
        <v>33624</v>
      </c>
      <c r="V248" s="82" t="s">
        <v>4318</v>
      </c>
      <c r="X248" s="70" t="s">
        <v>4320</v>
      </c>
      <c r="Y248" s="70" t="s">
        <v>33625</v>
      </c>
      <c r="AA248" s="82" t="s">
        <v>33626</v>
      </c>
      <c r="AB248" s="82" t="s">
        <v>32616</v>
      </c>
    </row>
    <row r="249" ht="22.5" customHeight="1">
      <c r="A249" s="70" t="s">
        <v>3948</v>
      </c>
      <c r="E249" s="93"/>
      <c r="F249" s="93"/>
      <c r="H249" s="93"/>
      <c r="J249" s="93"/>
      <c r="L249" s="90" t="str">
        <f t="shared" si="2"/>
        <v>Excluded</v>
      </c>
      <c r="M249" s="90">
        <v>0.0</v>
      </c>
      <c r="N249" s="90">
        <v>0.0</v>
      </c>
      <c r="O249" s="70" t="s">
        <v>3949</v>
      </c>
      <c r="P249" s="70" t="s">
        <v>31543</v>
      </c>
      <c r="Q249" s="70" t="s">
        <v>33627</v>
      </c>
      <c r="R249" s="82" t="s">
        <v>32895</v>
      </c>
      <c r="S249" s="70" t="s">
        <v>3635</v>
      </c>
      <c r="T249" s="70" t="s">
        <v>3636</v>
      </c>
      <c r="U249" s="70" t="s">
        <v>33628</v>
      </c>
      <c r="V249" s="82" t="s">
        <v>3648</v>
      </c>
      <c r="X249" s="70" t="s">
        <v>3951</v>
      </c>
      <c r="Y249" s="70" t="s">
        <v>33629</v>
      </c>
      <c r="AA249" s="82" t="s">
        <v>32916</v>
      </c>
      <c r="AB249" s="82" t="s">
        <v>32616</v>
      </c>
    </row>
    <row r="250" ht="22.5" customHeight="1">
      <c r="A250" s="70" t="s">
        <v>630</v>
      </c>
      <c r="E250" s="93"/>
      <c r="F250" s="93"/>
      <c r="H250" s="93"/>
      <c r="J250" s="93"/>
      <c r="L250" s="90" t="str">
        <f t="shared" si="2"/>
        <v>Excluded</v>
      </c>
      <c r="M250" s="90">
        <v>0.0</v>
      </c>
      <c r="N250" s="90">
        <v>0.0</v>
      </c>
      <c r="O250" s="70" t="s">
        <v>633</v>
      </c>
      <c r="P250" s="70" t="s">
        <v>31543</v>
      </c>
      <c r="Q250" s="70" t="s">
        <v>33630</v>
      </c>
      <c r="R250" s="82" t="s">
        <v>32842</v>
      </c>
      <c r="S250" s="70" t="s">
        <v>631</v>
      </c>
      <c r="T250" s="70" t="s">
        <v>632</v>
      </c>
      <c r="U250" s="70" t="s">
        <v>33631</v>
      </c>
      <c r="V250" s="82" t="s">
        <v>32614</v>
      </c>
      <c r="W250" s="70" t="s">
        <v>401</v>
      </c>
      <c r="X250" s="70" t="s">
        <v>638</v>
      </c>
      <c r="Y250" s="70" t="s">
        <v>33632</v>
      </c>
      <c r="AA250" s="82" t="s">
        <v>33633</v>
      </c>
      <c r="AB250" s="82" t="s">
        <v>32616</v>
      </c>
    </row>
    <row r="251" ht="22.5" customHeight="1">
      <c r="A251" s="70" t="s">
        <v>3742</v>
      </c>
      <c r="E251" s="93"/>
      <c r="F251" s="93"/>
      <c r="H251" s="93"/>
      <c r="J251" s="93"/>
      <c r="L251" s="90" t="str">
        <f t="shared" si="2"/>
        <v>Excluded</v>
      </c>
      <c r="M251" s="90">
        <v>0.0</v>
      </c>
      <c r="N251" s="90">
        <v>0.0</v>
      </c>
      <c r="O251" s="70" t="s">
        <v>3745</v>
      </c>
      <c r="P251" s="70" t="s">
        <v>31543</v>
      </c>
      <c r="Q251" s="70" t="s">
        <v>33634</v>
      </c>
      <c r="R251" s="82" t="s">
        <v>32805</v>
      </c>
      <c r="S251" s="70" t="s">
        <v>3743</v>
      </c>
      <c r="T251" s="70" t="s">
        <v>3744</v>
      </c>
      <c r="U251" s="70" t="s">
        <v>33635</v>
      </c>
      <c r="V251" s="82" t="s">
        <v>3747</v>
      </c>
      <c r="X251" s="70" t="s">
        <v>31176</v>
      </c>
      <c r="Y251" s="70" t="s">
        <v>33636</v>
      </c>
      <c r="AA251" s="82" t="s">
        <v>32957</v>
      </c>
      <c r="AB251" s="82" t="s">
        <v>32616</v>
      </c>
    </row>
    <row r="252" ht="22.5" customHeight="1">
      <c r="A252" s="70" t="s">
        <v>4370</v>
      </c>
      <c r="E252" s="93"/>
      <c r="F252" s="93"/>
      <c r="H252" s="93"/>
      <c r="J252" s="93"/>
      <c r="L252" s="90" t="str">
        <f t="shared" si="2"/>
        <v>Excluded</v>
      </c>
      <c r="M252" s="90">
        <v>0.0</v>
      </c>
      <c r="N252" s="90">
        <v>0.0</v>
      </c>
      <c r="O252" s="70" t="s">
        <v>4371</v>
      </c>
      <c r="P252" s="70" t="s">
        <v>31543</v>
      </c>
      <c r="Q252" s="70" t="s">
        <v>33637</v>
      </c>
      <c r="R252" s="82" t="s">
        <v>33419</v>
      </c>
      <c r="S252" s="70" t="s">
        <v>3635</v>
      </c>
      <c r="T252" s="70" t="s">
        <v>3636</v>
      </c>
      <c r="U252" s="70" t="s">
        <v>33638</v>
      </c>
      <c r="V252" s="82" t="s">
        <v>3747</v>
      </c>
      <c r="X252" s="70" t="s">
        <v>4373</v>
      </c>
      <c r="Y252" s="70" t="s">
        <v>33639</v>
      </c>
      <c r="AA252" s="82" t="s">
        <v>33477</v>
      </c>
      <c r="AB252" s="82" t="s">
        <v>32616</v>
      </c>
    </row>
    <row r="253" ht="22.5" customHeight="1">
      <c r="A253" s="70" t="s">
        <v>2647</v>
      </c>
      <c r="E253" s="93"/>
      <c r="F253" s="93"/>
      <c r="H253" s="93"/>
      <c r="J253" s="93"/>
      <c r="L253" s="90" t="str">
        <f t="shared" si="2"/>
        <v>Excluded</v>
      </c>
      <c r="M253" s="90">
        <v>0.0</v>
      </c>
      <c r="N253" s="90">
        <v>0.0</v>
      </c>
      <c r="O253" s="70" t="s">
        <v>2650</v>
      </c>
      <c r="P253" s="70" t="s">
        <v>31543</v>
      </c>
      <c r="Q253" s="70" t="s">
        <v>33640</v>
      </c>
      <c r="R253" s="82" t="s">
        <v>33076</v>
      </c>
      <c r="S253" s="70" t="s">
        <v>2648</v>
      </c>
      <c r="T253" s="70" t="s">
        <v>2649</v>
      </c>
      <c r="U253" s="70" t="s">
        <v>33641</v>
      </c>
      <c r="V253" s="82" t="s">
        <v>32614</v>
      </c>
      <c r="W253" s="70" t="s">
        <v>401</v>
      </c>
      <c r="X253" s="70" t="s">
        <v>2654</v>
      </c>
      <c r="Y253" s="70" t="s">
        <v>33642</v>
      </c>
      <c r="AA253" s="82" t="s">
        <v>33643</v>
      </c>
      <c r="AB253" s="82" t="s">
        <v>32616</v>
      </c>
    </row>
    <row r="254" ht="22.5" customHeight="1">
      <c r="A254" s="70" t="s">
        <v>4421</v>
      </c>
      <c r="E254" s="93"/>
      <c r="F254" s="93"/>
      <c r="H254" s="93"/>
      <c r="J254" s="93"/>
      <c r="L254" s="90" t="str">
        <f t="shared" si="2"/>
        <v>Excluded</v>
      </c>
      <c r="M254" s="90">
        <v>0.0</v>
      </c>
      <c r="N254" s="90">
        <v>0.0</v>
      </c>
      <c r="O254" s="70" t="s">
        <v>4422</v>
      </c>
      <c r="P254" s="70" t="s">
        <v>31543</v>
      </c>
      <c r="Q254" s="70" t="s">
        <v>33644</v>
      </c>
      <c r="R254" s="82" t="s">
        <v>33645</v>
      </c>
      <c r="S254" s="70" t="s">
        <v>3655</v>
      </c>
      <c r="T254" s="70" t="s">
        <v>3656</v>
      </c>
      <c r="U254" s="70" t="s">
        <v>33646</v>
      </c>
      <c r="V254" s="82" t="s">
        <v>4424</v>
      </c>
      <c r="X254" s="70" t="s">
        <v>4425</v>
      </c>
      <c r="Y254" s="70" t="s">
        <v>33647</v>
      </c>
      <c r="AA254" s="82" t="s">
        <v>33485</v>
      </c>
      <c r="AB254" s="82" t="s">
        <v>32616</v>
      </c>
    </row>
    <row r="255" ht="22.5" customHeight="1">
      <c r="A255" s="70" t="s">
        <v>2161</v>
      </c>
      <c r="E255" s="93"/>
      <c r="F255" s="93"/>
      <c r="H255" s="93"/>
      <c r="J255" s="93"/>
      <c r="L255" s="90" t="str">
        <f t="shared" si="2"/>
        <v>Excluded</v>
      </c>
      <c r="M255" s="90">
        <v>0.0</v>
      </c>
      <c r="N255" s="90">
        <v>0.0</v>
      </c>
      <c r="O255" s="70" t="s">
        <v>2164</v>
      </c>
      <c r="P255" s="70" t="s">
        <v>31543</v>
      </c>
      <c r="Q255" s="70" t="s">
        <v>33648</v>
      </c>
      <c r="R255" s="82" t="s">
        <v>33649</v>
      </c>
      <c r="S255" s="70" t="s">
        <v>2162</v>
      </c>
      <c r="T255" s="70" t="s">
        <v>2163</v>
      </c>
      <c r="U255" s="70" t="s">
        <v>33650</v>
      </c>
      <c r="V255" s="82" t="s">
        <v>32614</v>
      </c>
      <c r="W255" s="70" t="s">
        <v>401</v>
      </c>
      <c r="X255" s="70" t="s">
        <v>2169</v>
      </c>
      <c r="AA255" s="82" t="s">
        <v>33651</v>
      </c>
      <c r="AB255" s="82" t="s">
        <v>32616</v>
      </c>
    </row>
    <row r="256" ht="22.5" customHeight="1">
      <c r="A256" s="70" t="s">
        <v>2545</v>
      </c>
      <c r="E256" s="93"/>
      <c r="F256" s="93"/>
      <c r="H256" s="93"/>
      <c r="J256" s="93"/>
      <c r="L256" s="90" t="str">
        <f t="shared" si="2"/>
        <v>Excluded</v>
      </c>
      <c r="M256" s="90">
        <v>0.0</v>
      </c>
      <c r="N256" s="90">
        <v>0.0</v>
      </c>
      <c r="O256" s="70" t="s">
        <v>2546</v>
      </c>
      <c r="P256" s="70" t="s">
        <v>31543</v>
      </c>
      <c r="Q256" s="70" t="s">
        <v>33652</v>
      </c>
      <c r="R256" s="82" t="s">
        <v>33653</v>
      </c>
      <c r="S256" s="70" t="s">
        <v>2162</v>
      </c>
      <c r="T256" s="70" t="s">
        <v>2163</v>
      </c>
      <c r="U256" s="70" t="s">
        <v>33654</v>
      </c>
      <c r="V256" s="82" t="s">
        <v>32614</v>
      </c>
      <c r="W256" s="70" t="s">
        <v>401</v>
      </c>
      <c r="X256" s="70" t="s">
        <v>2549</v>
      </c>
      <c r="Y256" s="70" t="s">
        <v>33655</v>
      </c>
      <c r="AA256" s="82" t="s">
        <v>32948</v>
      </c>
      <c r="AB256" s="82" t="s">
        <v>32616</v>
      </c>
    </row>
    <row r="257" ht="22.5" customHeight="1">
      <c r="A257" s="70" t="s">
        <v>3404</v>
      </c>
      <c r="E257" s="93"/>
      <c r="F257" s="93"/>
      <c r="H257" s="93"/>
      <c r="J257" s="93"/>
      <c r="L257" s="90" t="str">
        <f t="shared" si="2"/>
        <v>Excluded</v>
      </c>
      <c r="M257" s="90">
        <v>0.0</v>
      </c>
      <c r="N257" s="90">
        <v>0.0</v>
      </c>
      <c r="O257" s="70" t="s">
        <v>3407</v>
      </c>
      <c r="P257" s="70" t="s">
        <v>31543</v>
      </c>
      <c r="Q257" s="70" t="s">
        <v>33656</v>
      </c>
      <c r="R257" s="82" t="s">
        <v>33528</v>
      </c>
      <c r="S257" s="70" t="s">
        <v>3405</v>
      </c>
      <c r="T257" s="70" t="s">
        <v>3406</v>
      </c>
      <c r="U257" s="70" t="s">
        <v>33657</v>
      </c>
      <c r="V257" s="82" t="s">
        <v>32614</v>
      </c>
      <c r="W257" s="70" t="s">
        <v>401</v>
      </c>
      <c r="X257" s="70" t="s">
        <v>31180</v>
      </c>
      <c r="Y257" s="70" t="s">
        <v>33658</v>
      </c>
      <c r="AA257" s="82" t="s">
        <v>33139</v>
      </c>
      <c r="AB257" s="82" t="s">
        <v>32616</v>
      </c>
    </row>
    <row r="258" ht="22.5" customHeight="1">
      <c r="A258" s="70" t="s">
        <v>4558</v>
      </c>
      <c r="E258" s="93"/>
      <c r="F258" s="93"/>
      <c r="H258" s="93"/>
      <c r="J258" s="93"/>
      <c r="L258" s="90" t="str">
        <f t="shared" si="2"/>
        <v>Excluded</v>
      </c>
      <c r="M258" s="90">
        <v>0.0</v>
      </c>
      <c r="N258" s="90">
        <v>0.0</v>
      </c>
      <c r="O258" s="70" t="s">
        <v>4559</v>
      </c>
      <c r="P258" s="70" t="s">
        <v>31543</v>
      </c>
      <c r="Q258" s="70" t="s">
        <v>33659</v>
      </c>
      <c r="R258" s="82" t="s">
        <v>33660</v>
      </c>
      <c r="S258" s="70" t="s">
        <v>4438</v>
      </c>
      <c r="U258" s="70" t="s">
        <v>33661</v>
      </c>
      <c r="V258" s="82" t="s">
        <v>4318</v>
      </c>
      <c r="X258" s="70" t="s">
        <v>4562</v>
      </c>
      <c r="Y258" s="70" t="s">
        <v>33662</v>
      </c>
      <c r="AA258" s="82" t="s">
        <v>33663</v>
      </c>
      <c r="AB258" s="82" t="s">
        <v>32616</v>
      </c>
    </row>
    <row r="259" ht="22.5" customHeight="1">
      <c r="A259" s="70" t="s">
        <v>4475</v>
      </c>
      <c r="E259" s="93"/>
      <c r="F259" s="93"/>
      <c r="H259" s="93"/>
      <c r="J259" s="93"/>
      <c r="L259" s="90" t="str">
        <f t="shared" si="2"/>
        <v>Excluded</v>
      </c>
      <c r="M259" s="90">
        <v>0.0</v>
      </c>
      <c r="N259" s="90">
        <v>0.0</v>
      </c>
      <c r="O259" s="70" t="s">
        <v>4476</v>
      </c>
      <c r="P259" s="70" t="s">
        <v>31543</v>
      </c>
      <c r="Q259" s="70" t="s">
        <v>33664</v>
      </c>
      <c r="R259" s="82" t="s">
        <v>33665</v>
      </c>
      <c r="S259" s="70" t="s">
        <v>3860</v>
      </c>
      <c r="T259" s="70" t="s">
        <v>3861</v>
      </c>
      <c r="U259" s="70" t="s">
        <v>33666</v>
      </c>
      <c r="V259" s="82" t="s">
        <v>4478</v>
      </c>
      <c r="X259" s="70" t="s">
        <v>4479</v>
      </c>
      <c r="Y259" s="70" t="s">
        <v>33667</v>
      </c>
      <c r="AA259" s="82" t="s">
        <v>33530</v>
      </c>
      <c r="AB259" s="82" t="s">
        <v>32616</v>
      </c>
    </row>
    <row r="260" ht="22.5" customHeight="1">
      <c r="A260" s="70" t="s">
        <v>4125</v>
      </c>
      <c r="E260" s="93"/>
      <c r="F260" s="93"/>
      <c r="H260" s="93"/>
      <c r="J260" s="93"/>
      <c r="L260" s="90" t="str">
        <f t="shared" si="2"/>
        <v>Excluded</v>
      </c>
      <c r="M260" s="90">
        <v>0.0</v>
      </c>
      <c r="N260" s="90">
        <v>0.0</v>
      </c>
      <c r="O260" s="70" t="s">
        <v>4126</v>
      </c>
      <c r="P260" s="70" t="s">
        <v>31543</v>
      </c>
      <c r="Q260" s="70" t="s">
        <v>33668</v>
      </c>
      <c r="R260" s="82" t="s">
        <v>33013</v>
      </c>
      <c r="S260" s="70" t="s">
        <v>3635</v>
      </c>
      <c r="T260" s="70" t="s">
        <v>3636</v>
      </c>
      <c r="U260" s="70" t="s">
        <v>33669</v>
      </c>
      <c r="V260" s="82" t="s">
        <v>3755</v>
      </c>
      <c r="X260" s="70" t="s">
        <v>4128</v>
      </c>
      <c r="Y260" s="70" t="s">
        <v>33670</v>
      </c>
      <c r="AA260" s="82" t="s">
        <v>33671</v>
      </c>
      <c r="AB260" s="82" t="s">
        <v>32616</v>
      </c>
    </row>
    <row r="261" ht="22.5" customHeight="1">
      <c r="A261" s="70" t="s">
        <v>1717</v>
      </c>
      <c r="E261" s="93"/>
      <c r="F261" s="93"/>
      <c r="H261" s="93"/>
      <c r="J261" s="93"/>
      <c r="L261" s="90" t="str">
        <f t="shared" si="2"/>
        <v>Excluded</v>
      </c>
      <c r="M261" s="90">
        <v>0.0</v>
      </c>
      <c r="N261" s="90">
        <v>0.0</v>
      </c>
      <c r="O261" s="70" t="s">
        <v>1720</v>
      </c>
      <c r="P261" s="70" t="s">
        <v>31543</v>
      </c>
      <c r="Q261" s="70" t="s">
        <v>33672</v>
      </c>
      <c r="R261" s="82" t="s">
        <v>33023</v>
      </c>
      <c r="S261" s="70" t="s">
        <v>1718</v>
      </c>
      <c r="T261" s="70" t="s">
        <v>1719</v>
      </c>
      <c r="U261" s="70" t="s">
        <v>33673</v>
      </c>
      <c r="V261" s="82" t="s">
        <v>32614</v>
      </c>
      <c r="W261" s="70" t="s">
        <v>401</v>
      </c>
      <c r="X261" s="70" t="s">
        <v>1725</v>
      </c>
      <c r="AA261" s="82" t="s">
        <v>33674</v>
      </c>
      <c r="AB261" s="82" t="s">
        <v>32616</v>
      </c>
    </row>
    <row r="262" ht="22.5" customHeight="1">
      <c r="A262" s="70" t="s">
        <v>2257</v>
      </c>
      <c r="E262" s="93"/>
      <c r="F262" s="93"/>
      <c r="H262" s="93"/>
      <c r="J262" s="93"/>
      <c r="L262" s="90" t="str">
        <f t="shared" si="2"/>
        <v>Excluded</v>
      </c>
      <c r="M262" s="90">
        <v>0.0</v>
      </c>
      <c r="N262" s="90">
        <v>0.0</v>
      </c>
      <c r="O262" s="70" t="s">
        <v>2258</v>
      </c>
      <c r="P262" s="70" t="s">
        <v>31543</v>
      </c>
      <c r="Q262" s="70" t="s">
        <v>33675</v>
      </c>
      <c r="R262" s="82" t="s">
        <v>33676</v>
      </c>
      <c r="S262" s="70" t="s">
        <v>454</v>
      </c>
      <c r="T262" s="70" t="s">
        <v>455</v>
      </c>
      <c r="U262" s="70" t="s">
        <v>33677</v>
      </c>
      <c r="V262" s="82" t="s">
        <v>32614</v>
      </c>
      <c r="W262" s="70" t="s">
        <v>401</v>
      </c>
      <c r="X262" s="70" t="s">
        <v>2261</v>
      </c>
      <c r="Y262" s="70" t="s">
        <v>33678</v>
      </c>
      <c r="AA262" s="82" t="s">
        <v>33679</v>
      </c>
      <c r="AB262" s="82" t="s">
        <v>32616</v>
      </c>
    </row>
    <row r="263" ht="22.5" customHeight="1">
      <c r="A263" s="70" t="s">
        <v>2510</v>
      </c>
      <c r="E263" s="93"/>
      <c r="F263" s="93"/>
      <c r="H263" s="93"/>
      <c r="J263" s="93"/>
      <c r="L263" s="90" t="str">
        <f t="shared" si="2"/>
        <v>Excluded</v>
      </c>
      <c r="M263" s="90">
        <v>0.0</v>
      </c>
      <c r="N263" s="90">
        <v>0.0</v>
      </c>
      <c r="O263" s="70" t="s">
        <v>2513</v>
      </c>
      <c r="P263" s="70" t="s">
        <v>31543</v>
      </c>
      <c r="Q263" s="70" t="s">
        <v>33680</v>
      </c>
      <c r="R263" s="82" t="s">
        <v>33414</v>
      </c>
      <c r="S263" s="70" t="s">
        <v>2511</v>
      </c>
      <c r="T263" s="70" t="s">
        <v>2512</v>
      </c>
      <c r="U263" s="70" t="s">
        <v>33681</v>
      </c>
      <c r="V263" s="82" t="s">
        <v>32620</v>
      </c>
      <c r="W263" s="70" t="s">
        <v>401</v>
      </c>
      <c r="X263" s="70" t="s">
        <v>31182</v>
      </c>
      <c r="Y263" s="70" t="s">
        <v>33682</v>
      </c>
      <c r="AA263" s="82" t="s">
        <v>33233</v>
      </c>
      <c r="AB263" s="82" t="s">
        <v>32616</v>
      </c>
    </row>
    <row r="264" ht="22.5" customHeight="1">
      <c r="A264" s="70" t="s">
        <v>1684</v>
      </c>
      <c r="E264" s="93"/>
      <c r="F264" s="93"/>
      <c r="H264" s="93"/>
      <c r="J264" s="93"/>
      <c r="L264" s="90" t="str">
        <f t="shared" si="2"/>
        <v>Excluded</v>
      </c>
      <c r="M264" s="90">
        <v>0.0</v>
      </c>
      <c r="N264" s="90">
        <v>0.0</v>
      </c>
      <c r="O264" s="70" t="s">
        <v>1687</v>
      </c>
      <c r="P264" s="70" t="s">
        <v>31543</v>
      </c>
      <c r="Q264" s="70" t="s">
        <v>33683</v>
      </c>
      <c r="R264" s="82" t="s">
        <v>33684</v>
      </c>
      <c r="S264" s="70" t="s">
        <v>1685</v>
      </c>
      <c r="T264" s="70" t="s">
        <v>1686</v>
      </c>
      <c r="U264" s="70" t="s">
        <v>33685</v>
      </c>
      <c r="V264" s="82" t="s">
        <v>32620</v>
      </c>
      <c r="W264" s="70" t="s">
        <v>401</v>
      </c>
      <c r="X264" s="70" t="s">
        <v>31183</v>
      </c>
      <c r="AA264" s="82" t="s">
        <v>33686</v>
      </c>
      <c r="AB264" s="82" t="s">
        <v>32616</v>
      </c>
    </row>
    <row r="265" ht="22.5" customHeight="1">
      <c r="A265" s="70" t="s">
        <v>3557</v>
      </c>
      <c r="E265" s="93"/>
      <c r="F265" s="93"/>
      <c r="H265" s="93"/>
      <c r="J265" s="93"/>
      <c r="L265" s="90" t="str">
        <f t="shared" si="2"/>
        <v>Excluded</v>
      </c>
      <c r="M265" s="90">
        <v>0.0</v>
      </c>
      <c r="N265" s="90">
        <v>0.0</v>
      </c>
      <c r="O265" s="70" t="s">
        <v>3560</v>
      </c>
      <c r="P265" s="70" t="s">
        <v>31543</v>
      </c>
      <c r="Q265" s="70" t="s">
        <v>33687</v>
      </c>
      <c r="R265" s="82" t="s">
        <v>33174</v>
      </c>
      <c r="S265" s="70" t="s">
        <v>3558</v>
      </c>
      <c r="T265" s="70" t="s">
        <v>3559</v>
      </c>
      <c r="U265" s="70" t="s">
        <v>33688</v>
      </c>
      <c r="V265" s="82" t="s">
        <v>32614</v>
      </c>
      <c r="W265" s="70" t="s">
        <v>401</v>
      </c>
      <c r="X265" s="70" t="s">
        <v>3565</v>
      </c>
      <c r="Y265" s="70" t="s">
        <v>33689</v>
      </c>
      <c r="AA265" s="82" t="s">
        <v>33546</v>
      </c>
      <c r="AB265" s="82" t="s">
        <v>32616</v>
      </c>
    </row>
    <row r="266" ht="22.5" customHeight="1">
      <c r="A266" s="70" t="s">
        <v>2861</v>
      </c>
      <c r="E266" s="93"/>
      <c r="F266" s="93"/>
      <c r="H266" s="93"/>
      <c r="J266" s="93"/>
      <c r="L266" s="90" t="str">
        <f t="shared" si="2"/>
        <v>Excluded</v>
      </c>
      <c r="M266" s="90">
        <v>0.0</v>
      </c>
      <c r="N266" s="90">
        <v>0.0</v>
      </c>
      <c r="O266" s="70" t="s">
        <v>2864</v>
      </c>
      <c r="P266" s="70" t="s">
        <v>31543</v>
      </c>
      <c r="Q266" s="70" t="s">
        <v>33690</v>
      </c>
      <c r="R266" s="82" t="s">
        <v>32885</v>
      </c>
      <c r="S266" s="70" t="s">
        <v>2862</v>
      </c>
      <c r="T266" s="70" t="s">
        <v>2863</v>
      </c>
      <c r="U266" s="70" t="s">
        <v>33691</v>
      </c>
      <c r="V266" s="82" t="s">
        <v>32620</v>
      </c>
      <c r="W266" s="70" t="s">
        <v>401</v>
      </c>
      <c r="X266" s="70" t="s">
        <v>31184</v>
      </c>
      <c r="Y266" s="70" t="s">
        <v>33692</v>
      </c>
      <c r="AA266" s="82" t="s">
        <v>33660</v>
      </c>
      <c r="AB266" s="82" t="s">
        <v>32616</v>
      </c>
    </row>
    <row r="267" ht="22.5" customHeight="1">
      <c r="A267" s="70" t="s">
        <v>1381</v>
      </c>
      <c r="E267" s="93"/>
      <c r="F267" s="93"/>
      <c r="H267" s="93"/>
      <c r="J267" s="93"/>
      <c r="L267" s="90" t="str">
        <f t="shared" si="2"/>
        <v>Excluded</v>
      </c>
      <c r="M267" s="90">
        <v>0.0</v>
      </c>
      <c r="N267" s="90">
        <v>0.0</v>
      </c>
      <c r="O267" s="70" t="s">
        <v>1384</v>
      </c>
      <c r="P267" s="70" t="s">
        <v>31543</v>
      </c>
      <c r="Q267" s="70" t="s">
        <v>33693</v>
      </c>
      <c r="R267" s="82" t="s">
        <v>33679</v>
      </c>
      <c r="S267" s="70" t="s">
        <v>1382</v>
      </c>
      <c r="T267" s="70" t="s">
        <v>1383</v>
      </c>
      <c r="U267" s="70" t="s">
        <v>33694</v>
      </c>
      <c r="V267" s="82" t="s">
        <v>32614</v>
      </c>
      <c r="W267" s="70" t="s">
        <v>401</v>
      </c>
      <c r="X267" s="70" t="s">
        <v>1389</v>
      </c>
      <c r="Y267" s="70" t="s">
        <v>33695</v>
      </c>
      <c r="AA267" s="82" t="s">
        <v>32988</v>
      </c>
      <c r="AB267" s="82" t="s">
        <v>32616</v>
      </c>
    </row>
    <row r="268" ht="22.5" customHeight="1">
      <c r="A268" s="70" t="s">
        <v>3226</v>
      </c>
      <c r="E268" s="93"/>
      <c r="F268" s="93"/>
      <c r="H268" s="93"/>
      <c r="J268" s="93"/>
      <c r="L268" s="90" t="str">
        <f t="shared" si="2"/>
        <v>Excluded</v>
      </c>
      <c r="M268" s="90">
        <v>0.0</v>
      </c>
      <c r="N268" s="90">
        <v>0.0</v>
      </c>
      <c r="O268" s="70" t="s">
        <v>3229</v>
      </c>
      <c r="P268" s="70" t="s">
        <v>31543</v>
      </c>
      <c r="Q268" s="70" t="s">
        <v>33696</v>
      </c>
      <c r="R268" s="82" t="s">
        <v>33583</v>
      </c>
      <c r="S268" s="70" t="s">
        <v>3227</v>
      </c>
      <c r="T268" s="70" t="s">
        <v>3228</v>
      </c>
      <c r="U268" s="70" t="s">
        <v>33697</v>
      </c>
      <c r="V268" s="82" t="s">
        <v>32614</v>
      </c>
      <c r="W268" s="70" t="s">
        <v>401</v>
      </c>
      <c r="X268" s="70" t="s">
        <v>3233</v>
      </c>
      <c r="Y268" s="70" t="s">
        <v>33698</v>
      </c>
      <c r="AA268" s="82" t="s">
        <v>33699</v>
      </c>
      <c r="AB268" s="82" t="s">
        <v>32616</v>
      </c>
    </row>
    <row r="269" ht="22.5" customHeight="1">
      <c r="A269" s="70" t="s">
        <v>1844</v>
      </c>
      <c r="E269" s="93"/>
      <c r="F269" s="93"/>
      <c r="H269" s="93"/>
      <c r="J269" s="93"/>
      <c r="L269" s="90" t="str">
        <f t="shared" si="2"/>
        <v>Excluded</v>
      </c>
      <c r="M269" s="90">
        <v>0.0</v>
      </c>
      <c r="N269" s="90">
        <v>0.0</v>
      </c>
      <c r="O269" s="70" t="s">
        <v>1847</v>
      </c>
      <c r="P269" s="70" t="s">
        <v>31543</v>
      </c>
      <c r="Q269" s="70" t="s">
        <v>33700</v>
      </c>
      <c r="R269" s="82" t="s">
        <v>33701</v>
      </c>
      <c r="S269" s="70" t="s">
        <v>1845</v>
      </c>
      <c r="T269" s="70" t="s">
        <v>1846</v>
      </c>
      <c r="U269" s="70" t="s">
        <v>33702</v>
      </c>
      <c r="V269" s="82" t="s">
        <v>32614</v>
      </c>
      <c r="W269" s="70" t="s">
        <v>401</v>
      </c>
      <c r="X269" s="70" t="s">
        <v>1851</v>
      </c>
      <c r="Y269" s="70" t="s">
        <v>33703</v>
      </c>
      <c r="AA269" s="82" t="s">
        <v>33143</v>
      </c>
      <c r="AB269" s="82" t="s">
        <v>32616</v>
      </c>
    </row>
    <row r="270" ht="22.5" customHeight="1">
      <c r="A270" s="70" t="s">
        <v>1088</v>
      </c>
      <c r="E270" s="93"/>
      <c r="F270" s="93"/>
      <c r="H270" s="93"/>
      <c r="J270" s="93"/>
      <c r="L270" s="90" t="str">
        <f t="shared" si="2"/>
        <v>Excluded</v>
      </c>
      <c r="M270" s="90">
        <v>0.0</v>
      </c>
      <c r="N270" s="90">
        <v>0.0</v>
      </c>
      <c r="O270" s="70" t="s">
        <v>1091</v>
      </c>
      <c r="P270" s="70" t="s">
        <v>31543</v>
      </c>
      <c r="Q270" s="70" t="s">
        <v>33704</v>
      </c>
      <c r="R270" s="82" t="s">
        <v>33705</v>
      </c>
      <c r="S270" s="70" t="s">
        <v>1089</v>
      </c>
      <c r="T270" s="70" t="s">
        <v>1090</v>
      </c>
      <c r="U270" s="70" t="s">
        <v>33706</v>
      </c>
      <c r="V270" s="82" t="s">
        <v>32620</v>
      </c>
      <c r="W270" s="70" t="s">
        <v>401</v>
      </c>
      <c r="X270" s="70" t="s">
        <v>1096</v>
      </c>
      <c r="Y270" s="70" t="s">
        <v>33707</v>
      </c>
      <c r="AA270" s="82" t="s">
        <v>33708</v>
      </c>
      <c r="AB270" s="82" t="s">
        <v>32616</v>
      </c>
    </row>
    <row r="271" ht="22.5" customHeight="1">
      <c r="A271" s="70" t="s">
        <v>3816</v>
      </c>
      <c r="E271" s="93"/>
      <c r="F271" s="93"/>
      <c r="H271" s="93"/>
      <c r="J271" s="93"/>
      <c r="L271" s="90" t="str">
        <f t="shared" si="2"/>
        <v>Excluded</v>
      </c>
      <c r="M271" s="90">
        <v>0.0</v>
      </c>
      <c r="N271" s="90">
        <v>0.0</v>
      </c>
      <c r="O271" s="70" t="s">
        <v>3817</v>
      </c>
      <c r="P271" s="70" t="s">
        <v>31543</v>
      </c>
      <c r="Q271" s="70" t="s">
        <v>33709</v>
      </c>
      <c r="R271" s="82" t="s">
        <v>33710</v>
      </c>
      <c r="S271" s="70" t="s">
        <v>3635</v>
      </c>
      <c r="T271" s="70" t="s">
        <v>3636</v>
      </c>
      <c r="U271" s="70" t="s">
        <v>33711</v>
      </c>
      <c r="V271" s="82" t="s">
        <v>3819</v>
      </c>
      <c r="X271" s="70" t="s">
        <v>31189</v>
      </c>
      <c r="Y271" s="70" t="s">
        <v>33712</v>
      </c>
      <c r="AA271" s="82" t="s">
        <v>33713</v>
      </c>
      <c r="AB271" s="82" t="s">
        <v>32616</v>
      </c>
    </row>
    <row r="272" ht="22.5" customHeight="1">
      <c r="A272" s="70" t="s">
        <v>729</v>
      </c>
      <c r="E272" s="93"/>
      <c r="F272" s="93"/>
      <c r="H272" s="93"/>
      <c r="J272" s="93"/>
      <c r="L272" s="90" t="str">
        <f t="shared" si="2"/>
        <v>Excluded</v>
      </c>
      <c r="M272" s="90">
        <v>0.0</v>
      </c>
      <c r="N272" s="90">
        <v>0.0</v>
      </c>
      <c r="O272" s="70" t="s">
        <v>732</v>
      </c>
      <c r="P272" s="70" t="s">
        <v>31543</v>
      </c>
      <c r="Q272" s="70" t="s">
        <v>33714</v>
      </c>
      <c r="R272" s="82" t="s">
        <v>33715</v>
      </c>
      <c r="S272" s="70" t="s">
        <v>730</v>
      </c>
      <c r="T272" s="70" t="s">
        <v>731</v>
      </c>
      <c r="U272" s="70" t="s">
        <v>33716</v>
      </c>
      <c r="V272" s="82" t="s">
        <v>32620</v>
      </c>
      <c r="W272" s="70" t="s">
        <v>401</v>
      </c>
      <c r="X272" s="70" t="s">
        <v>736</v>
      </c>
      <c r="Y272" s="70" t="s">
        <v>33717</v>
      </c>
      <c r="AA272" s="82" t="s">
        <v>33718</v>
      </c>
      <c r="AB272" s="82" t="s">
        <v>32616</v>
      </c>
    </row>
    <row r="273" ht="22.5" customHeight="1">
      <c r="A273" s="70" t="s">
        <v>3843</v>
      </c>
      <c r="E273" s="93"/>
      <c r="F273" s="93"/>
      <c r="H273" s="93"/>
      <c r="J273" s="93"/>
      <c r="L273" s="90" t="str">
        <f t="shared" si="2"/>
        <v>Excluded</v>
      </c>
      <c r="M273" s="90">
        <v>0.0</v>
      </c>
      <c r="N273" s="90">
        <v>0.0</v>
      </c>
      <c r="O273" s="70" t="s">
        <v>3844</v>
      </c>
      <c r="P273" s="70" t="s">
        <v>31543</v>
      </c>
      <c r="Q273" s="70" t="s">
        <v>33719</v>
      </c>
      <c r="R273" s="82" t="s">
        <v>33720</v>
      </c>
      <c r="S273" s="70" t="s">
        <v>3635</v>
      </c>
      <c r="T273" s="70" t="s">
        <v>3636</v>
      </c>
      <c r="U273" s="70" t="s">
        <v>33721</v>
      </c>
      <c r="V273" s="82" t="s">
        <v>3846</v>
      </c>
      <c r="X273" s="70" t="s">
        <v>3847</v>
      </c>
      <c r="Y273" s="70" t="s">
        <v>33722</v>
      </c>
      <c r="AA273" s="82" t="s">
        <v>33723</v>
      </c>
      <c r="AB273" s="82" t="s">
        <v>32616</v>
      </c>
    </row>
    <row r="274" ht="22.5" customHeight="1">
      <c r="A274" s="70" t="s">
        <v>4179</v>
      </c>
      <c r="E274" s="93"/>
      <c r="F274" s="93"/>
      <c r="H274" s="93"/>
      <c r="J274" s="93"/>
      <c r="L274" s="90" t="str">
        <f t="shared" si="2"/>
        <v>Excluded</v>
      </c>
      <c r="M274" s="90">
        <v>0.0</v>
      </c>
      <c r="N274" s="90">
        <v>0.0</v>
      </c>
      <c r="O274" s="70" t="s">
        <v>4180</v>
      </c>
      <c r="P274" s="70" t="s">
        <v>31543</v>
      </c>
      <c r="Q274" s="70" t="s">
        <v>33724</v>
      </c>
      <c r="R274" s="82" t="s">
        <v>33515</v>
      </c>
      <c r="S274" s="70" t="s">
        <v>4008</v>
      </c>
      <c r="U274" s="70" t="s">
        <v>33725</v>
      </c>
      <c r="V274" s="82" t="s">
        <v>3819</v>
      </c>
      <c r="X274" s="70" t="s">
        <v>4182</v>
      </c>
      <c r="Y274" s="70" t="s">
        <v>33726</v>
      </c>
      <c r="AA274" s="82" t="s">
        <v>33727</v>
      </c>
      <c r="AB274" s="82" t="s">
        <v>32616</v>
      </c>
    </row>
    <row r="275" ht="22.5" customHeight="1">
      <c r="A275" s="70" t="s">
        <v>4040</v>
      </c>
      <c r="E275" s="93"/>
      <c r="F275" s="93"/>
      <c r="H275" s="93"/>
      <c r="J275" s="93"/>
      <c r="L275" s="90" t="str">
        <f t="shared" si="2"/>
        <v>Excluded</v>
      </c>
      <c r="M275" s="90">
        <v>0.0</v>
      </c>
      <c r="N275" s="90">
        <v>0.0</v>
      </c>
      <c r="O275" s="70" t="s">
        <v>4041</v>
      </c>
      <c r="P275" s="70" t="s">
        <v>31543</v>
      </c>
      <c r="Q275" s="70" t="s">
        <v>33728</v>
      </c>
      <c r="R275" s="82" t="s">
        <v>33291</v>
      </c>
      <c r="S275" s="70" t="s">
        <v>3635</v>
      </c>
      <c r="T275" s="70" t="s">
        <v>3636</v>
      </c>
      <c r="U275" s="70" t="s">
        <v>33729</v>
      </c>
      <c r="V275" s="82" t="s">
        <v>3846</v>
      </c>
      <c r="X275" s="70" t="s">
        <v>4043</v>
      </c>
      <c r="Y275" s="70" t="s">
        <v>33730</v>
      </c>
      <c r="AA275" s="82" t="s">
        <v>33101</v>
      </c>
      <c r="AB275" s="82" t="s">
        <v>32616</v>
      </c>
    </row>
    <row r="276" ht="22.5" customHeight="1">
      <c r="A276" s="70" t="s">
        <v>4512</v>
      </c>
      <c r="E276" s="93"/>
      <c r="F276" s="93"/>
      <c r="H276" s="93"/>
      <c r="J276" s="93"/>
      <c r="L276" s="90" t="str">
        <f t="shared" si="2"/>
        <v>Excluded</v>
      </c>
      <c r="M276" s="90">
        <v>0.0</v>
      </c>
      <c r="N276" s="90">
        <v>0.0</v>
      </c>
      <c r="O276" s="70" t="s">
        <v>4513</v>
      </c>
      <c r="P276" s="70" t="s">
        <v>31543</v>
      </c>
      <c r="Q276" s="70" t="s">
        <v>33731</v>
      </c>
      <c r="R276" s="82" t="s">
        <v>33663</v>
      </c>
      <c r="S276" s="70" t="s">
        <v>4008</v>
      </c>
      <c r="U276" s="70" t="s">
        <v>33732</v>
      </c>
      <c r="V276" s="82" t="s">
        <v>3819</v>
      </c>
      <c r="X276" s="70" t="s">
        <v>4515</v>
      </c>
      <c r="Y276" s="70" t="s">
        <v>33733</v>
      </c>
      <c r="AA276" s="82" t="s">
        <v>33710</v>
      </c>
      <c r="AB276" s="82" t="s">
        <v>32616</v>
      </c>
    </row>
    <row r="277" ht="22.5" customHeight="1">
      <c r="A277" s="70" t="s">
        <v>4406</v>
      </c>
      <c r="E277" s="93"/>
      <c r="F277" s="93"/>
      <c r="H277" s="93"/>
      <c r="J277" s="93"/>
      <c r="L277" s="90" t="str">
        <f t="shared" si="2"/>
        <v>Excluded</v>
      </c>
      <c r="M277" s="90">
        <v>0.0</v>
      </c>
      <c r="N277" s="90">
        <v>0.0</v>
      </c>
      <c r="O277" s="70" t="s">
        <v>4407</v>
      </c>
      <c r="P277" s="70" t="s">
        <v>31543</v>
      </c>
      <c r="Q277" s="70" t="s">
        <v>33734</v>
      </c>
      <c r="R277" s="82" t="s">
        <v>33062</v>
      </c>
      <c r="S277" s="70" t="s">
        <v>4008</v>
      </c>
      <c r="U277" s="70" t="s">
        <v>33735</v>
      </c>
      <c r="V277" s="82" t="s">
        <v>3819</v>
      </c>
      <c r="X277" s="70" t="s">
        <v>31191</v>
      </c>
      <c r="Y277" s="70" t="s">
        <v>33736</v>
      </c>
      <c r="AA277" s="82" t="s">
        <v>33293</v>
      </c>
      <c r="AB277" s="82" t="s">
        <v>32616</v>
      </c>
    </row>
    <row r="278" ht="22.5" customHeight="1">
      <c r="A278" s="70" t="s">
        <v>1982</v>
      </c>
      <c r="E278" s="93"/>
      <c r="F278" s="93"/>
      <c r="H278" s="93"/>
      <c r="J278" s="93"/>
      <c r="L278" s="90" t="str">
        <f t="shared" si="2"/>
        <v>Excluded</v>
      </c>
      <c r="M278" s="90">
        <v>0.0</v>
      </c>
      <c r="N278" s="90">
        <v>0.0</v>
      </c>
      <c r="O278" s="70" t="s">
        <v>1985</v>
      </c>
      <c r="P278" s="70" t="s">
        <v>31543</v>
      </c>
      <c r="Q278" s="70" t="s">
        <v>33737</v>
      </c>
      <c r="R278" s="82" t="s">
        <v>33533</v>
      </c>
      <c r="S278" s="70" t="s">
        <v>1983</v>
      </c>
      <c r="T278" s="70" t="s">
        <v>1984</v>
      </c>
      <c r="U278" s="70" t="s">
        <v>33738</v>
      </c>
      <c r="V278" s="82" t="s">
        <v>32620</v>
      </c>
      <c r="W278" s="70" t="s">
        <v>401</v>
      </c>
      <c r="X278" s="70" t="s">
        <v>1990</v>
      </c>
      <c r="Y278" s="70" t="s">
        <v>33739</v>
      </c>
      <c r="AA278" s="82" t="s">
        <v>33740</v>
      </c>
      <c r="AB278" s="82" t="s">
        <v>32616</v>
      </c>
    </row>
    <row r="279" ht="22.5" customHeight="1">
      <c r="A279" s="70" t="s">
        <v>2276</v>
      </c>
      <c r="E279" s="93"/>
      <c r="F279" s="93"/>
      <c r="H279" s="93"/>
      <c r="J279" s="93"/>
      <c r="L279" s="90" t="str">
        <f t="shared" si="2"/>
        <v>Excluded</v>
      </c>
      <c r="M279" s="90">
        <v>0.0</v>
      </c>
      <c r="N279" s="90">
        <v>0.0</v>
      </c>
      <c r="O279" s="70" t="s">
        <v>2279</v>
      </c>
      <c r="P279" s="70" t="s">
        <v>31543</v>
      </c>
      <c r="Q279" s="70" t="s">
        <v>33741</v>
      </c>
      <c r="R279" s="82" t="s">
        <v>33236</v>
      </c>
      <c r="S279" s="70" t="s">
        <v>2277</v>
      </c>
      <c r="T279" s="70" t="s">
        <v>2278</v>
      </c>
      <c r="U279" s="70" t="s">
        <v>33742</v>
      </c>
      <c r="V279" s="82" t="s">
        <v>32620</v>
      </c>
      <c r="W279" s="70" t="s">
        <v>401</v>
      </c>
      <c r="X279" s="70" t="s">
        <v>2283</v>
      </c>
      <c r="Y279" s="70" t="s">
        <v>33743</v>
      </c>
      <c r="AA279" s="82" t="s">
        <v>33744</v>
      </c>
      <c r="AB279" s="82" t="s">
        <v>32616</v>
      </c>
    </row>
    <row r="280" ht="22.5" customHeight="1">
      <c r="A280" s="70" t="s">
        <v>1832</v>
      </c>
      <c r="E280" s="93"/>
      <c r="F280" s="93"/>
      <c r="H280" s="93"/>
      <c r="J280" s="93"/>
      <c r="L280" s="90" t="str">
        <f t="shared" si="2"/>
        <v>Excluded</v>
      </c>
      <c r="M280" s="90">
        <v>0.0</v>
      </c>
      <c r="N280" s="90">
        <v>0.0</v>
      </c>
      <c r="O280" s="70" t="s">
        <v>1835</v>
      </c>
      <c r="P280" s="70" t="s">
        <v>31543</v>
      </c>
      <c r="Q280" s="70" t="s">
        <v>33745</v>
      </c>
      <c r="R280" s="82" t="s">
        <v>33633</v>
      </c>
      <c r="S280" s="70" t="s">
        <v>1833</v>
      </c>
      <c r="T280" s="70" t="s">
        <v>1834</v>
      </c>
      <c r="U280" s="70" t="s">
        <v>33746</v>
      </c>
      <c r="V280" s="82" t="s">
        <v>32620</v>
      </c>
      <c r="W280" s="70" t="s">
        <v>401</v>
      </c>
      <c r="X280" s="70" t="s">
        <v>1840</v>
      </c>
      <c r="Y280" s="70" t="s">
        <v>33747</v>
      </c>
      <c r="AA280" s="82" t="s">
        <v>33748</v>
      </c>
      <c r="AB280" s="82" t="s">
        <v>32616</v>
      </c>
    </row>
    <row r="281" ht="22.5" customHeight="1">
      <c r="A281" s="70" t="s">
        <v>3424</v>
      </c>
      <c r="E281" s="93"/>
      <c r="F281" s="93"/>
      <c r="H281" s="93"/>
      <c r="J281" s="93"/>
      <c r="L281" s="90" t="str">
        <f t="shared" si="2"/>
        <v>Excluded</v>
      </c>
      <c r="M281" s="90">
        <v>0.0</v>
      </c>
      <c r="N281" s="90">
        <v>0.0</v>
      </c>
      <c r="O281" s="70" t="s">
        <v>3427</v>
      </c>
      <c r="P281" s="70" t="s">
        <v>31543</v>
      </c>
      <c r="Q281" s="70" t="s">
        <v>33749</v>
      </c>
      <c r="R281" s="82" t="s">
        <v>33160</v>
      </c>
      <c r="S281" s="70" t="s">
        <v>3425</v>
      </c>
      <c r="T281" s="70" t="s">
        <v>3426</v>
      </c>
      <c r="U281" s="70" t="s">
        <v>33750</v>
      </c>
      <c r="V281" s="82" t="s">
        <v>32620</v>
      </c>
      <c r="W281" s="70" t="s">
        <v>401</v>
      </c>
      <c r="X281" s="70" t="s">
        <v>3431</v>
      </c>
      <c r="Y281" s="70" t="s">
        <v>33751</v>
      </c>
      <c r="AA281" s="82" t="s">
        <v>33465</v>
      </c>
      <c r="AB281" s="82" t="s">
        <v>32616</v>
      </c>
    </row>
    <row r="282" ht="22.5" customHeight="1">
      <c r="A282" s="70" t="s">
        <v>2194</v>
      </c>
      <c r="E282" s="93"/>
      <c r="F282" s="93"/>
      <c r="H282" s="93"/>
      <c r="J282" s="93"/>
      <c r="L282" s="90" t="str">
        <f t="shared" si="2"/>
        <v>Excluded</v>
      </c>
      <c r="M282" s="90">
        <v>0.0</v>
      </c>
      <c r="N282" s="90">
        <v>0.0</v>
      </c>
      <c r="O282" s="70" t="s">
        <v>2197</v>
      </c>
      <c r="P282" s="70" t="s">
        <v>31543</v>
      </c>
      <c r="Q282" s="70" t="s">
        <v>33752</v>
      </c>
      <c r="R282" s="82" t="s">
        <v>33128</v>
      </c>
      <c r="S282" s="70" t="s">
        <v>2195</v>
      </c>
      <c r="T282" s="70" t="s">
        <v>2196</v>
      </c>
      <c r="U282" s="70" t="s">
        <v>33753</v>
      </c>
      <c r="V282" s="82" t="s">
        <v>32620</v>
      </c>
      <c r="W282" s="70" t="s">
        <v>401</v>
      </c>
      <c r="X282" s="70" t="s">
        <v>2202</v>
      </c>
      <c r="Y282" s="70" t="s">
        <v>33754</v>
      </c>
      <c r="AA282" s="82" t="s">
        <v>33755</v>
      </c>
      <c r="AB282" s="82" t="s">
        <v>32616</v>
      </c>
    </row>
    <row r="283" ht="22.5" customHeight="1">
      <c r="A283" s="70" t="s">
        <v>4332</v>
      </c>
      <c r="E283" s="93"/>
      <c r="F283" s="93"/>
      <c r="H283" s="93"/>
      <c r="J283" s="93"/>
      <c r="L283" s="90" t="str">
        <f t="shared" si="2"/>
        <v>Excluded</v>
      </c>
      <c r="M283" s="90">
        <v>0.0</v>
      </c>
      <c r="N283" s="90">
        <v>0.0</v>
      </c>
      <c r="O283" s="70" t="s">
        <v>4335</v>
      </c>
      <c r="P283" s="70" t="s">
        <v>31543</v>
      </c>
      <c r="Q283" s="70" t="s">
        <v>33756</v>
      </c>
      <c r="R283" s="82" t="s">
        <v>33757</v>
      </c>
      <c r="S283" s="70" t="s">
        <v>4333</v>
      </c>
      <c r="T283" s="70" t="s">
        <v>4334</v>
      </c>
      <c r="U283" s="70" t="s">
        <v>33758</v>
      </c>
      <c r="V283" s="82" t="s">
        <v>4337</v>
      </c>
      <c r="X283" s="70" t="s">
        <v>4338</v>
      </c>
      <c r="Y283" s="70" t="s">
        <v>33759</v>
      </c>
      <c r="AA283" s="82" t="s">
        <v>33760</v>
      </c>
      <c r="AB283" s="82" t="s">
        <v>32616</v>
      </c>
    </row>
    <row r="284" ht="22.5" customHeight="1">
      <c r="A284" s="70" t="s">
        <v>1595</v>
      </c>
      <c r="E284" s="93"/>
      <c r="F284" s="93"/>
      <c r="H284" s="93"/>
      <c r="J284" s="93"/>
      <c r="L284" s="90" t="str">
        <f t="shared" si="2"/>
        <v>Excluded</v>
      </c>
      <c r="M284" s="90">
        <v>0.0</v>
      </c>
      <c r="N284" s="90">
        <v>0.0</v>
      </c>
      <c r="O284" s="70" t="s">
        <v>1598</v>
      </c>
      <c r="P284" s="70" t="s">
        <v>31543</v>
      </c>
      <c r="Q284" s="70" t="s">
        <v>33761</v>
      </c>
      <c r="R284" s="82" t="s">
        <v>33306</v>
      </c>
      <c r="S284" s="70" t="s">
        <v>1596</v>
      </c>
      <c r="T284" s="70" t="s">
        <v>1597</v>
      </c>
      <c r="U284" s="70" t="s">
        <v>33762</v>
      </c>
      <c r="V284" s="82" t="s">
        <v>32620</v>
      </c>
      <c r="W284" s="70" t="s">
        <v>401</v>
      </c>
      <c r="X284" s="70" t="s">
        <v>1601</v>
      </c>
      <c r="Y284" s="70" t="s">
        <v>33763</v>
      </c>
      <c r="AA284" s="82" t="s">
        <v>33243</v>
      </c>
      <c r="AB284" s="82" t="s">
        <v>32616</v>
      </c>
    </row>
    <row r="285" ht="22.5" customHeight="1">
      <c r="A285" s="70" t="s">
        <v>2306</v>
      </c>
      <c r="E285" s="93"/>
      <c r="F285" s="93"/>
      <c r="H285" s="93"/>
      <c r="J285" s="93"/>
      <c r="L285" s="90" t="str">
        <f t="shared" si="2"/>
        <v>Excluded</v>
      </c>
      <c r="M285" s="90">
        <v>0.0</v>
      </c>
      <c r="N285" s="90">
        <v>0.0</v>
      </c>
      <c r="O285" s="70" t="s">
        <v>2309</v>
      </c>
      <c r="P285" s="70" t="s">
        <v>31543</v>
      </c>
      <c r="Q285" s="70" t="s">
        <v>33764</v>
      </c>
      <c r="R285" s="82" t="s">
        <v>33033</v>
      </c>
      <c r="S285" s="70" t="s">
        <v>2307</v>
      </c>
      <c r="T285" s="70" t="s">
        <v>2308</v>
      </c>
      <c r="U285" s="70" t="s">
        <v>33765</v>
      </c>
      <c r="V285" s="82" t="s">
        <v>32620</v>
      </c>
      <c r="W285" s="70" t="s">
        <v>401</v>
      </c>
      <c r="X285" s="70" t="s">
        <v>2314</v>
      </c>
      <c r="Y285" s="70" t="s">
        <v>33766</v>
      </c>
      <c r="AA285" s="82" t="s">
        <v>33767</v>
      </c>
      <c r="AB285" s="82" t="s">
        <v>32616</v>
      </c>
    </row>
    <row r="286" ht="22.5" customHeight="1">
      <c r="A286" s="70" t="s">
        <v>2789</v>
      </c>
      <c r="E286" s="93"/>
      <c r="F286" s="93"/>
      <c r="H286" s="93"/>
      <c r="J286" s="93"/>
      <c r="L286" s="90" t="str">
        <f t="shared" si="2"/>
        <v>Excluded</v>
      </c>
      <c r="M286" s="90">
        <v>0.0</v>
      </c>
      <c r="N286" s="90">
        <v>0.0</v>
      </c>
      <c r="O286" s="70" t="s">
        <v>2792</v>
      </c>
      <c r="P286" s="70" t="s">
        <v>31543</v>
      </c>
      <c r="Q286" s="70" t="s">
        <v>33768</v>
      </c>
      <c r="R286" s="82" t="s">
        <v>33769</v>
      </c>
      <c r="S286" s="70" t="s">
        <v>2790</v>
      </c>
      <c r="T286" s="70" t="s">
        <v>2791</v>
      </c>
      <c r="U286" s="70" t="s">
        <v>33770</v>
      </c>
      <c r="V286" s="82" t="s">
        <v>32620</v>
      </c>
      <c r="W286" s="70" t="s">
        <v>401</v>
      </c>
      <c r="X286" s="70" t="s">
        <v>2796</v>
      </c>
      <c r="Y286" s="70" t="s">
        <v>33771</v>
      </c>
      <c r="AA286" s="82" t="s">
        <v>33772</v>
      </c>
      <c r="AB286" s="82" t="s">
        <v>32616</v>
      </c>
    </row>
    <row r="287" ht="22.5" customHeight="1">
      <c r="A287" s="70" t="s">
        <v>4252</v>
      </c>
      <c r="E287" s="93"/>
      <c r="F287" s="93"/>
      <c r="H287" s="93"/>
      <c r="J287" s="93"/>
      <c r="L287" s="90" t="str">
        <f t="shared" si="2"/>
        <v>Excluded</v>
      </c>
      <c r="M287" s="90">
        <v>0.0</v>
      </c>
      <c r="N287" s="90">
        <v>0.0</v>
      </c>
      <c r="O287" s="70" t="s">
        <v>4253</v>
      </c>
      <c r="P287" s="70" t="s">
        <v>31543</v>
      </c>
      <c r="Q287" s="70" t="s">
        <v>33773</v>
      </c>
      <c r="R287" s="82" t="s">
        <v>33708</v>
      </c>
      <c r="S287" s="70" t="s">
        <v>3673</v>
      </c>
      <c r="T287" s="70" t="s">
        <v>3674</v>
      </c>
      <c r="U287" s="70" t="s">
        <v>33774</v>
      </c>
      <c r="V287" s="82" t="s">
        <v>4255</v>
      </c>
      <c r="X287" s="70" t="s">
        <v>4256</v>
      </c>
      <c r="Y287" s="70" t="s">
        <v>33775</v>
      </c>
      <c r="AA287" s="82" t="s">
        <v>33776</v>
      </c>
      <c r="AB287" s="82" t="s">
        <v>32616</v>
      </c>
    </row>
    <row r="288" ht="22.5" customHeight="1">
      <c r="A288" s="70" t="s">
        <v>3071</v>
      </c>
      <c r="E288" s="93"/>
      <c r="F288" s="93"/>
      <c r="H288" s="93"/>
      <c r="J288" s="93"/>
      <c r="L288" s="90" t="str">
        <f t="shared" si="2"/>
        <v>Excluded</v>
      </c>
      <c r="M288" s="90">
        <v>0.0</v>
      </c>
      <c r="N288" s="90">
        <v>0.0</v>
      </c>
      <c r="O288" s="70" t="s">
        <v>3074</v>
      </c>
      <c r="P288" s="70" t="s">
        <v>31543</v>
      </c>
      <c r="Q288" s="70" t="s">
        <v>33777</v>
      </c>
      <c r="R288" s="82" t="s">
        <v>33264</v>
      </c>
      <c r="S288" s="70" t="s">
        <v>3072</v>
      </c>
      <c r="T288" s="70" t="s">
        <v>3073</v>
      </c>
      <c r="U288" s="70" t="s">
        <v>33778</v>
      </c>
      <c r="V288" s="82" t="s">
        <v>32666</v>
      </c>
      <c r="W288" s="70" t="s">
        <v>401</v>
      </c>
      <c r="X288" s="70" t="s">
        <v>3079</v>
      </c>
      <c r="Y288" s="70" t="s">
        <v>33779</v>
      </c>
      <c r="AA288" s="82" t="s">
        <v>33757</v>
      </c>
      <c r="AB288" s="82" t="s">
        <v>32616</v>
      </c>
    </row>
    <row r="289" ht="22.5" customHeight="1">
      <c r="A289" s="70" t="s">
        <v>3701</v>
      </c>
      <c r="E289" s="93"/>
      <c r="F289" s="93"/>
      <c r="H289" s="93"/>
      <c r="J289" s="93"/>
      <c r="L289" s="90" t="str">
        <f t="shared" si="2"/>
        <v>Excluded</v>
      </c>
      <c r="M289" s="90">
        <v>0.0</v>
      </c>
      <c r="N289" s="90">
        <v>0.0</v>
      </c>
      <c r="O289" s="70" t="s">
        <v>3702</v>
      </c>
      <c r="P289" s="70" t="s">
        <v>31543</v>
      </c>
      <c r="Q289" s="70" t="s">
        <v>33780</v>
      </c>
      <c r="R289" s="82" t="s">
        <v>33133</v>
      </c>
      <c r="S289" s="70" t="s">
        <v>3635</v>
      </c>
      <c r="T289" s="70" t="s">
        <v>3636</v>
      </c>
      <c r="U289" s="70" t="s">
        <v>33781</v>
      </c>
      <c r="V289" s="82" t="s">
        <v>3704</v>
      </c>
      <c r="X289" s="70" t="s">
        <v>3706</v>
      </c>
      <c r="Y289" s="70" t="s">
        <v>33782</v>
      </c>
      <c r="AA289" s="82" t="s">
        <v>33001</v>
      </c>
      <c r="AB289" s="82" t="s">
        <v>32616</v>
      </c>
    </row>
    <row r="290" ht="22.5" customHeight="1">
      <c r="A290" s="70" t="s">
        <v>4519</v>
      </c>
      <c r="E290" s="93"/>
      <c r="F290" s="93"/>
      <c r="H290" s="93"/>
      <c r="J290" s="93"/>
      <c r="L290" s="90" t="str">
        <f t="shared" si="2"/>
        <v>Excluded</v>
      </c>
      <c r="M290" s="90">
        <v>0.0</v>
      </c>
      <c r="N290" s="90">
        <v>0.0</v>
      </c>
      <c r="O290" s="70" t="s">
        <v>4520</v>
      </c>
      <c r="P290" s="70" t="s">
        <v>31543</v>
      </c>
      <c r="Q290" s="70" t="s">
        <v>33783</v>
      </c>
      <c r="R290" s="82" t="s">
        <v>33643</v>
      </c>
      <c r="S290" s="70" t="s">
        <v>3635</v>
      </c>
      <c r="T290" s="70" t="s">
        <v>3636</v>
      </c>
      <c r="U290" s="70" t="s">
        <v>33784</v>
      </c>
      <c r="V290" s="82" t="s">
        <v>3704</v>
      </c>
      <c r="X290" s="70" t="s">
        <v>4522</v>
      </c>
      <c r="Y290" s="70" t="s">
        <v>33785</v>
      </c>
      <c r="AA290" s="82" t="s">
        <v>33676</v>
      </c>
      <c r="AB290" s="82" t="s">
        <v>32616</v>
      </c>
    </row>
    <row r="291" ht="22.5" customHeight="1">
      <c r="A291" s="70" t="s">
        <v>3824</v>
      </c>
      <c r="E291" s="93"/>
      <c r="F291" s="93"/>
      <c r="H291" s="93"/>
      <c r="J291" s="93"/>
      <c r="L291" s="90" t="str">
        <f t="shared" si="2"/>
        <v>Excluded</v>
      </c>
      <c r="M291" s="90">
        <v>0.0</v>
      </c>
      <c r="N291" s="90">
        <v>0.0</v>
      </c>
      <c r="O291" s="70" t="s">
        <v>3827</v>
      </c>
      <c r="P291" s="70" t="s">
        <v>31543</v>
      </c>
      <c r="Q291" s="70" t="s">
        <v>33786</v>
      </c>
      <c r="R291" s="82" t="s">
        <v>33787</v>
      </c>
      <c r="S291" s="70" t="s">
        <v>3825</v>
      </c>
      <c r="T291" s="70" t="s">
        <v>3826</v>
      </c>
      <c r="U291" s="70" t="s">
        <v>33788</v>
      </c>
      <c r="V291" s="82" t="s">
        <v>3811</v>
      </c>
      <c r="X291" s="70" t="s">
        <v>31197</v>
      </c>
      <c r="Y291" s="70" t="s">
        <v>33789</v>
      </c>
      <c r="AA291" s="82" t="s">
        <v>32897</v>
      </c>
      <c r="AB291" s="82" t="s">
        <v>32616</v>
      </c>
    </row>
    <row r="292" ht="22.5" customHeight="1">
      <c r="A292" s="70" t="s">
        <v>2971</v>
      </c>
      <c r="E292" s="93"/>
      <c r="F292" s="93"/>
      <c r="H292" s="93"/>
      <c r="J292" s="93"/>
      <c r="L292" s="90" t="str">
        <f t="shared" si="2"/>
        <v>Excluded</v>
      </c>
      <c r="M292" s="90">
        <v>0.0</v>
      </c>
      <c r="N292" s="90">
        <v>0.0</v>
      </c>
      <c r="O292" s="70" t="s">
        <v>2974</v>
      </c>
      <c r="P292" s="70" t="s">
        <v>31543</v>
      </c>
      <c r="Q292" s="70" t="s">
        <v>33790</v>
      </c>
      <c r="R292" s="82" t="s">
        <v>33674</v>
      </c>
      <c r="S292" s="70" t="s">
        <v>2972</v>
      </c>
      <c r="T292" s="70" t="s">
        <v>2973</v>
      </c>
      <c r="U292" s="70" t="s">
        <v>33791</v>
      </c>
      <c r="V292" s="82" t="s">
        <v>32620</v>
      </c>
      <c r="W292" s="70" t="s">
        <v>401</v>
      </c>
      <c r="X292" s="70" t="s">
        <v>2979</v>
      </c>
      <c r="Y292" s="70" t="s">
        <v>33792</v>
      </c>
      <c r="AA292" s="82" t="s">
        <v>33793</v>
      </c>
      <c r="AB292" s="82" t="s">
        <v>32616</v>
      </c>
    </row>
    <row r="293" ht="22.5" customHeight="1">
      <c r="A293" s="70" t="s">
        <v>4490</v>
      </c>
      <c r="E293" s="93"/>
      <c r="F293" s="93"/>
      <c r="H293" s="93"/>
      <c r="J293" s="93"/>
      <c r="L293" s="90" t="str">
        <f t="shared" si="2"/>
        <v>Excluded</v>
      </c>
      <c r="M293" s="90">
        <v>0.0</v>
      </c>
      <c r="N293" s="90">
        <v>0.0</v>
      </c>
      <c r="O293" s="70" t="s">
        <v>4491</v>
      </c>
      <c r="P293" s="70" t="s">
        <v>31543</v>
      </c>
      <c r="Q293" s="70" t="s">
        <v>33794</v>
      </c>
      <c r="R293" s="82" t="s">
        <v>33699</v>
      </c>
      <c r="S293" s="70" t="s">
        <v>3635</v>
      </c>
      <c r="T293" s="70" t="s">
        <v>3636</v>
      </c>
      <c r="U293" s="70" t="s">
        <v>33795</v>
      </c>
      <c r="V293" s="82" t="s">
        <v>3854</v>
      </c>
      <c r="X293" s="70" t="s">
        <v>4493</v>
      </c>
      <c r="Y293" s="70" t="s">
        <v>33796</v>
      </c>
      <c r="AA293" s="82" t="s">
        <v>33797</v>
      </c>
      <c r="AB293" s="82" t="s">
        <v>32616</v>
      </c>
    </row>
    <row r="294" ht="22.5" customHeight="1">
      <c r="A294" s="70" t="s">
        <v>4447</v>
      </c>
      <c r="E294" s="93"/>
      <c r="F294" s="93"/>
      <c r="H294" s="93"/>
      <c r="J294" s="93"/>
      <c r="L294" s="90" t="str">
        <f t="shared" si="2"/>
        <v>Excluded</v>
      </c>
      <c r="M294" s="90">
        <v>0.0</v>
      </c>
      <c r="N294" s="90">
        <v>0.0</v>
      </c>
      <c r="O294" s="70" t="s">
        <v>4448</v>
      </c>
      <c r="P294" s="70" t="s">
        <v>31543</v>
      </c>
      <c r="Q294" s="70" t="s">
        <v>33798</v>
      </c>
      <c r="R294" s="82" t="s">
        <v>33507</v>
      </c>
      <c r="S294" s="70" t="s">
        <v>3673</v>
      </c>
      <c r="T294" s="70" t="s">
        <v>3674</v>
      </c>
      <c r="U294" s="70" t="s">
        <v>33799</v>
      </c>
      <c r="V294" s="82" t="s">
        <v>3787</v>
      </c>
      <c r="X294" s="70" t="s">
        <v>31200</v>
      </c>
      <c r="Y294" s="70" t="s">
        <v>33800</v>
      </c>
      <c r="AA294" s="82" t="s">
        <v>33720</v>
      </c>
      <c r="AB294" s="82" t="s">
        <v>32616</v>
      </c>
    </row>
    <row r="295" ht="22.5" customHeight="1">
      <c r="A295" s="70" t="s">
        <v>3335</v>
      </c>
      <c r="E295" s="93"/>
      <c r="F295" s="93"/>
      <c r="H295" s="93"/>
      <c r="J295" s="93"/>
      <c r="L295" s="90" t="str">
        <f t="shared" si="2"/>
        <v>Excluded</v>
      </c>
      <c r="M295" s="90">
        <v>0.0</v>
      </c>
      <c r="N295" s="90">
        <v>0.0</v>
      </c>
      <c r="O295" s="70" t="s">
        <v>3338</v>
      </c>
      <c r="P295" s="70" t="s">
        <v>31543</v>
      </c>
      <c r="Q295" s="70" t="s">
        <v>33801</v>
      </c>
      <c r="R295" s="82" t="s">
        <v>33802</v>
      </c>
      <c r="S295" s="70" t="s">
        <v>3336</v>
      </c>
      <c r="T295" s="70" t="s">
        <v>3337</v>
      </c>
      <c r="U295" s="70" t="s">
        <v>33803</v>
      </c>
      <c r="V295" s="82" t="s">
        <v>32620</v>
      </c>
      <c r="W295" s="70" t="s">
        <v>401</v>
      </c>
      <c r="X295" s="70" t="s">
        <v>3342</v>
      </c>
      <c r="Y295" s="70" t="s">
        <v>33804</v>
      </c>
      <c r="AA295" s="82" t="s">
        <v>33805</v>
      </c>
      <c r="AB295" s="82" t="s">
        <v>32616</v>
      </c>
    </row>
    <row r="296" ht="22.5" customHeight="1">
      <c r="A296" s="70" t="s">
        <v>2404</v>
      </c>
      <c r="E296" s="93"/>
      <c r="F296" s="93"/>
      <c r="H296" s="93"/>
      <c r="J296" s="93"/>
      <c r="L296" s="90" t="str">
        <f t="shared" si="2"/>
        <v>Excluded</v>
      </c>
      <c r="M296" s="90">
        <v>0.0</v>
      </c>
      <c r="N296" s="90">
        <v>0.0</v>
      </c>
      <c r="O296" s="70" t="s">
        <v>2405</v>
      </c>
      <c r="P296" s="70" t="s">
        <v>31543</v>
      </c>
      <c r="Q296" s="70" t="s">
        <v>33806</v>
      </c>
      <c r="R296" s="82" t="s">
        <v>33615</v>
      </c>
      <c r="S296" s="70" t="s">
        <v>2217</v>
      </c>
      <c r="T296" s="70" t="s">
        <v>2218</v>
      </c>
      <c r="U296" s="70" t="s">
        <v>33807</v>
      </c>
      <c r="V296" s="82" t="s">
        <v>32620</v>
      </c>
      <c r="W296" s="70" t="s">
        <v>401</v>
      </c>
      <c r="X296" s="70" t="s">
        <v>2408</v>
      </c>
      <c r="Y296" s="70" t="s">
        <v>33808</v>
      </c>
      <c r="AA296" s="82" t="s">
        <v>33809</v>
      </c>
      <c r="AB296" s="82" t="s">
        <v>32616</v>
      </c>
    </row>
    <row r="297" ht="22.5" customHeight="1">
      <c r="A297" s="70" t="s">
        <v>2216</v>
      </c>
      <c r="E297" s="93"/>
      <c r="F297" s="93"/>
      <c r="H297" s="93"/>
      <c r="J297" s="93"/>
      <c r="L297" s="90" t="str">
        <f t="shared" si="2"/>
        <v>Excluded</v>
      </c>
      <c r="M297" s="90">
        <v>0.0</v>
      </c>
      <c r="N297" s="90">
        <v>0.0</v>
      </c>
      <c r="O297" s="70" t="s">
        <v>2219</v>
      </c>
      <c r="P297" s="70" t="s">
        <v>31543</v>
      </c>
      <c r="Q297" s="70" t="s">
        <v>33810</v>
      </c>
      <c r="R297" s="82" t="s">
        <v>32833</v>
      </c>
      <c r="S297" s="70" t="s">
        <v>2217</v>
      </c>
      <c r="T297" s="70" t="s">
        <v>2218</v>
      </c>
      <c r="U297" s="70" t="s">
        <v>33811</v>
      </c>
      <c r="V297" s="82" t="s">
        <v>32620</v>
      </c>
      <c r="W297" s="70" t="s">
        <v>401</v>
      </c>
      <c r="X297" s="70" t="s">
        <v>2224</v>
      </c>
      <c r="Y297" s="70" t="s">
        <v>33812</v>
      </c>
      <c r="AA297" s="82" t="s">
        <v>33649</v>
      </c>
      <c r="AB297" s="82" t="s">
        <v>32616</v>
      </c>
    </row>
    <row r="298" ht="22.5" customHeight="1">
      <c r="A298" s="70" t="s">
        <v>1415</v>
      </c>
      <c r="E298" s="93"/>
      <c r="F298" s="93"/>
      <c r="H298" s="93"/>
      <c r="J298" s="93"/>
      <c r="L298" s="90" t="str">
        <f t="shared" si="2"/>
        <v>Excluded</v>
      </c>
      <c r="M298" s="90">
        <v>0.0</v>
      </c>
      <c r="N298" s="90">
        <v>0.0</v>
      </c>
      <c r="O298" s="70" t="s">
        <v>1418</v>
      </c>
      <c r="P298" s="70" t="s">
        <v>31543</v>
      </c>
      <c r="Q298" s="70" t="s">
        <v>33813</v>
      </c>
      <c r="R298" s="82" t="s">
        <v>33451</v>
      </c>
      <c r="S298" s="70" t="s">
        <v>1416</v>
      </c>
      <c r="T298" s="70" t="s">
        <v>1417</v>
      </c>
      <c r="U298" s="70" t="s">
        <v>33814</v>
      </c>
      <c r="V298" s="82" t="s">
        <v>32620</v>
      </c>
      <c r="W298" s="70" t="s">
        <v>401</v>
      </c>
      <c r="X298" s="70" t="s">
        <v>31201</v>
      </c>
      <c r="Y298" s="70" t="s">
        <v>33815</v>
      </c>
      <c r="AA298" s="82" t="s">
        <v>33247</v>
      </c>
      <c r="AB298" s="82" t="s">
        <v>32616</v>
      </c>
    </row>
    <row r="299" ht="22.5" customHeight="1">
      <c r="A299" s="70" t="s">
        <v>531</v>
      </c>
      <c r="E299" s="93"/>
      <c r="F299" s="93"/>
      <c r="H299" s="93"/>
      <c r="J299" s="93"/>
      <c r="L299" s="90" t="str">
        <f t="shared" si="2"/>
        <v>Excluded</v>
      </c>
      <c r="M299" s="90">
        <v>0.0</v>
      </c>
      <c r="N299" s="90">
        <v>0.0</v>
      </c>
      <c r="O299" s="70" t="s">
        <v>532</v>
      </c>
      <c r="P299" s="70" t="s">
        <v>31543</v>
      </c>
      <c r="Q299" s="70" t="s">
        <v>33816</v>
      </c>
      <c r="R299" s="82" t="s">
        <v>33817</v>
      </c>
      <c r="S299" s="70" t="s">
        <v>521</v>
      </c>
      <c r="T299" s="70" t="s">
        <v>522</v>
      </c>
      <c r="U299" s="70" t="s">
        <v>33818</v>
      </c>
      <c r="V299" s="82" t="s">
        <v>32666</v>
      </c>
      <c r="W299" s="70" t="s">
        <v>401</v>
      </c>
      <c r="X299" s="70" t="s">
        <v>534</v>
      </c>
      <c r="Y299" s="70" t="s">
        <v>33819</v>
      </c>
      <c r="AA299" s="82" t="s">
        <v>33114</v>
      </c>
      <c r="AB299" s="82" t="s">
        <v>32616</v>
      </c>
    </row>
    <row r="300" ht="22.5" customHeight="1">
      <c r="A300" s="70" t="s">
        <v>710</v>
      </c>
      <c r="E300" s="93"/>
      <c r="F300" s="93"/>
      <c r="H300" s="93"/>
      <c r="J300" s="93"/>
      <c r="L300" s="90" t="str">
        <f t="shared" si="2"/>
        <v>Excluded</v>
      </c>
      <c r="M300" s="90">
        <v>0.0</v>
      </c>
      <c r="N300" s="90">
        <v>0.0</v>
      </c>
      <c r="O300" s="70" t="s">
        <v>711</v>
      </c>
      <c r="P300" s="70" t="s">
        <v>31543</v>
      </c>
      <c r="Q300" s="70" t="s">
        <v>33820</v>
      </c>
      <c r="R300" s="82" t="s">
        <v>33821</v>
      </c>
      <c r="S300" s="70" t="s">
        <v>521</v>
      </c>
      <c r="T300" s="70" t="s">
        <v>522</v>
      </c>
      <c r="U300" s="70" t="s">
        <v>33822</v>
      </c>
      <c r="V300" s="82" t="s">
        <v>32666</v>
      </c>
      <c r="W300" s="70" t="s">
        <v>401</v>
      </c>
      <c r="X300" s="70" t="s">
        <v>713</v>
      </c>
      <c r="Y300" s="70" t="s">
        <v>33823</v>
      </c>
      <c r="AA300" s="82" t="s">
        <v>33824</v>
      </c>
      <c r="AB300" s="82" t="s">
        <v>32616</v>
      </c>
    </row>
    <row r="301" ht="22.5" customHeight="1">
      <c r="A301" s="70" t="s">
        <v>520</v>
      </c>
      <c r="E301" s="93"/>
      <c r="F301" s="93"/>
      <c r="H301" s="93"/>
      <c r="J301" s="93"/>
      <c r="L301" s="90" t="str">
        <f t="shared" si="2"/>
        <v>Excluded</v>
      </c>
      <c r="M301" s="90">
        <v>0.0</v>
      </c>
      <c r="N301" s="90">
        <v>0.0</v>
      </c>
      <c r="O301" s="70" t="s">
        <v>523</v>
      </c>
      <c r="P301" s="70" t="s">
        <v>31543</v>
      </c>
      <c r="Q301" s="70" t="s">
        <v>33825</v>
      </c>
      <c r="R301" s="82" t="s">
        <v>33826</v>
      </c>
      <c r="S301" s="70" t="s">
        <v>521</v>
      </c>
      <c r="T301" s="70" t="s">
        <v>522</v>
      </c>
      <c r="U301" s="70" t="s">
        <v>33827</v>
      </c>
      <c r="V301" s="82" t="s">
        <v>32666</v>
      </c>
      <c r="W301" s="70" t="s">
        <v>401</v>
      </c>
      <c r="X301" s="70" t="s">
        <v>527</v>
      </c>
      <c r="Y301" s="70" t="s">
        <v>33828</v>
      </c>
      <c r="AA301" s="82" t="s">
        <v>33181</v>
      </c>
      <c r="AB301" s="82" t="s">
        <v>32616</v>
      </c>
    </row>
    <row r="302" ht="22.5" customHeight="1">
      <c r="A302" s="70" t="s">
        <v>1640</v>
      </c>
      <c r="E302" s="93"/>
      <c r="F302" s="93"/>
      <c r="H302" s="93"/>
      <c r="J302" s="93"/>
      <c r="L302" s="90" t="str">
        <f t="shared" si="2"/>
        <v>Excluded</v>
      </c>
      <c r="M302" s="90">
        <v>0.0</v>
      </c>
      <c r="N302" s="90">
        <v>0.0</v>
      </c>
      <c r="O302" s="70" t="s">
        <v>1641</v>
      </c>
      <c r="P302" s="70" t="s">
        <v>31543</v>
      </c>
      <c r="Q302" s="70" t="s">
        <v>33829</v>
      </c>
      <c r="R302" s="82" t="s">
        <v>33367</v>
      </c>
      <c r="S302" s="70" t="s">
        <v>521</v>
      </c>
      <c r="T302" s="70" t="s">
        <v>522</v>
      </c>
      <c r="U302" s="70" t="s">
        <v>33830</v>
      </c>
      <c r="V302" s="82" t="s">
        <v>32666</v>
      </c>
      <c r="W302" s="70" t="s">
        <v>401</v>
      </c>
      <c r="X302" s="70" t="s">
        <v>1643</v>
      </c>
      <c r="Y302" s="70" t="s">
        <v>33831</v>
      </c>
      <c r="AA302" s="82" t="s">
        <v>33832</v>
      </c>
      <c r="AB302" s="82" t="s">
        <v>32616</v>
      </c>
    </row>
    <row r="303" ht="22.5" customHeight="1">
      <c r="A303" s="70" t="s">
        <v>3101</v>
      </c>
      <c r="E303" s="93"/>
      <c r="F303" s="93"/>
      <c r="H303" s="93"/>
      <c r="J303" s="93"/>
      <c r="L303" s="90" t="str">
        <f t="shared" si="2"/>
        <v>Excluded</v>
      </c>
      <c r="M303" s="90">
        <v>0.0</v>
      </c>
      <c r="N303" s="90">
        <v>0.0</v>
      </c>
      <c r="O303" s="70" t="s">
        <v>3104</v>
      </c>
      <c r="P303" s="70" t="s">
        <v>31543</v>
      </c>
      <c r="Q303" s="70" t="s">
        <v>33833</v>
      </c>
      <c r="R303" s="82" t="s">
        <v>33834</v>
      </c>
      <c r="S303" s="70" t="s">
        <v>3102</v>
      </c>
      <c r="T303" s="70" t="s">
        <v>3103</v>
      </c>
      <c r="U303" s="70" t="s">
        <v>33835</v>
      </c>
      <c r="V303" s="82" t="s">
        <v>32620</v>
      </c>
      <c r="W303" s="70" t="s">
        <v>401</v>
      </c>
      <c r="X303" s="70" t="s">
        <v>3109</v>
      </c>
      <c r="AA303" s="82" t="s">
        <v>33836</v>
      </c>
      <c r="AB303" s="82" t="s">
        <v>32616</v>
      </c>
    </row>
    <row r="304" ht="22.5" customHeight="1">
      <c r="A304" s="70" t="s">
        <v>1647</v>
      </c>
      <c r="E304" s="93"/>
      <c r="F304" s="93"/>
      <c r="H304" s="93"/>
      <c r="J304" s="93"/>
      <c r="L304" s="90" t="str">
        <f t="shared" si="2"/>
        <v>Excluded</v>
      </c>
      <c r="M304" s="90">
        <v>0.0</v>
      </c>
      <c r="N304" s="90">
        <v>0.0</v>
      </c>
      <c r="O304" s="70" t="s">
        <v>1650</v>
      </c>
      <c r="P304" s="70" t="s">
        <v>31543</v>
      </c>
      <c r="Q304" s="70" t="s">
        <v>33837</v>
      </c>
      <c r="R304" s="82" t="s">
        <v>33651</v>
      </c>
      <c r="S304" s="70" t="s">
        <v>1648</v>
      </c>
      <c r="T304" s="70" t="s">
        <v>1649</v>
      </c>
      <c r="U304" s="70" t="s">
        <v>33838</v>
      </c>
      <c r="V304" s="82" t="s">
        <v>32620</v>
      </c>
      <c r="W304" s="70" t="s">
        <v>401</v>
      </c>
      <c r="X304" s="70" t="s">
        <v>1654</v>
      </c>
      <c r="Y304" s="70" t="s">
        <v>33839</v>
      </c>
      <c r="AA304" s="82" t="s">
        <v>33840</v>
      </c>
      <c r="AB304" s="82" t="s">
        <v>32616</v>
      </c>
    </row>
    <row r="305" ht="22.5" customHeight="1">
      <c r="A305" s="70" t="s">
        <v>664</v>
      </c>
      <c r="E305" s="93"/>
      <c r="F305" s="93"/>
      <c r="H305" s="93"/>
      <c r="J305" s="93"/>
      <c r="L305" s="90" t="str">
        <f t="shared" si="2"/>
        <v>Excluded</v>
      </c>
      <c r="M305" s="90">
        <v>0.0</v>
      </c>
      <c r="N305" s="90">
        <v>0.0</v>
      </c>
      <c r="O305" s="70" t="s">
        <v>667</v>
      </c>
      <c r="P305" s="70" t="s">
        <v>31543</v>
      </c>
      <c r="Q305" s="70" t="s">
        <v>33841</v>
      </c>
      <c r="R305" s="82" t="s">
        <v>33200</v>
      </c>
      <c r="S305" s="70" t="s">
        <v>665</v>
      </c>
      <c r="T305" s="70" t="s">
        <v>666</v>
      </c>
      <c r="U305" s="70" t="s">
        <v>33842</v>
      </c>
      <c r="V305" s="82" t="s">
        <v>32666</v>
      </c>
      <c r="W305" s="70" t="s">
        <v>401</v>
      </c>
      <c r="X305" s="70" t="s">
        <v>672</v>
      </c>
      <c r="Y305" s="70" t="s">
        <v>33843</v>
      </c>
      <c r="AA305" s="82" t="s">
        <v>32864</v>
      </c>
      <c r="AB305" s="82" t="s">
        <v>32616</v>
      </c>
    </row>
    <row r="306" ht="22.5" customHeight="1">
      <c r="A306" s="70" t="s">
        <v>3851</v>
      </c>
      <c r="E306" s="93"/>
      <c r="F306" s="93"/>
      <c r="H306" s="93"/>
      <c r="J306" s="93"/>
      <c r="L306" s="90" t="str">
        <f t="shared" si="2"/>
        <v>Excluded</v>
      </c>
      <c r="M306" s="90">
        <v>0.0</v>
      </c>
      <c r="N306" s="90">
        <v>0.0</v>
      </c>
      <c r="O306" s="70" t="s">
        <v>3852</v>
      </c>
      <c r="P306" s="70" t="s">
        <v>31543</v>
      </c>
      <c r="Q306" s="70" t="s">
        <v>33844</v>
      </c>
      <c r="R306" s="82" t="s">
        <v>33608</v>
      </c>
      <c r="S306" s="70" t="s">
        <v>3635</v>
      </c>
      <c r="T306" s="70" t="s">
        <v>3636</v>
      </c>
      <c r="U306" s="70" t="s">
        <v>33845</v>
      </c>
      <c r="V306" s="82" t="s">
        <v>3854</v>
      </c>
      <c r="X306" s="70" t="s">
        <v>3855</v>
      </c>
      <c r="Y306" s="70" t="s">
        <v>33846</v>
      </c>
      <c r="AA306" s="82" t="s">
        <v>33715</v>
      </c>
      <c r="AB306" s="82" t="s">
        <v>32616</v>
      </c>
    </row>
    <row r="307" ht="22.5" customHeight="1">
      <c r="A307" s="70" t="s">
        <v>2821</v>
      </c>
      <c r="E307" s="93"/>
      <c r="F307" s="93"/>
      <c r="H307" s="93"/>
      <c r="J307" s="93"/>
      <c r="L307" s="90" t="str">
        <f t="shared" si="2"/>
        <v>Excluded</v>
      </c>
      <c r="M307" s="90">
        <v>0.0</v>
      </c>
      <c r="N307" s="90">
        <v>0.0</v>
      </c>
      <c r="O307" s="70" t="s">
        <v>2824</v>
      </c>
      <c r="P307" s="70" t="s">
        <v>31543</v>
      </c>
      <c r="Q307" s="70" t="s">
        <v>33847</v>
      </c>
      <c r="R307" s="82" t="s">
        <v>32777</v>
      </c>
      <c r="S307" s="70" t="s">
        <v>2822</v>
      </c>
      <c r="T307" s="70" t="s">
        <v>2823</v>
      </c>
      <c r="U307" s="70" t="s">
        <v>33848</v>
      </c>
      <c r="V307" s="82" t="s">
        <v>32620</v>
      </c>
      <c r="W307" s="70" t="s">
        <v>401</v>
      </c>
      <c r="X307" s="70" t="s">
        <v>2829</v>
      </c>
      <c r="Y307" s="70" t="s">
        <v>33849</v>
      </c>
      <c r="AA307" s="82" t="s">
        <v>33535</v>
      </c>
      <c r="AB307" s="82" t="s">
        <v>32616</v>
      </c>
    </row>
    <row r="308" ht="22.5" customHeight="1">
      <c r="A308" s="70" t="s">
        <v>1150</v>
      </c>
      <c r="E308" s="93"/>
      <c r="F308" s="93"/>
      <c r="H308" s="93"/>
      <c r="J308" s="93"/>
      <c r="L308" s="90" t="str">
        <f t="shared" si="2"/>
        <v>Excluded</v>
      </c>
      <c r="M308" s="90">
        <v>0.0</v>
      </c>
      <c r="N308" s="90">
        <v>0.0</v>
      </c>
      <c r="O308" s="70" t="s">
        <v>1153</v>
      </c>
      <c r="P308" s="70" t="s">
        <v>31543</v>
      </c>
      <c r="Q308" s="70" t="s">
        <v>33850</v>
      </c>
      <c r="R308" s="82" t="s">
        <v>33278</v>
      </c>
      <c r="S308" s="70" t="s">
        <v>1151</v>
      </c>
      <c r="T308" s="70" t="s">
        <v>1152</v>
      </c>
      <c r="U308" s="70" t="s">
        <v>33851</v>
      </c>
      <c r="V308" s="82" t="s">
        <v>32620</v>
      </c>
      <c r="W308" s="70" t="s">
        <v>401</v>
      </c>
      <c r="X308" s="70" t="s">
        <v>31203</v>
      </c>
      <c r="Y308" s="70" t="s">
        <v>33852</v>
      </c>
      <c r="AA308" s="82" t="s">
        <v>33853</v>
      </c>
      <c r="AB308" s="82" t="s">
        <v>32616</v>
      </c>
    </row>
    <row r="309" ht="22.5" customHeight="1">
      <c r="A309" s="70" t="s">
        <v>3978</v>
      </c>
      <c r="E309" s="93"/>
      <c r="F309" s="93"/>
      <c r="H309" s="93"/>
      <c r="J309" s="93"/>
      <c r="L309" s="90" t="str">
        <f t="shared" si="2"/>
        <v>Excluded</v>
      </c>
      <c r="M309" s="90">
        <v>0.0</v>
      </c>
      <c r="N309" s="90">
        <v>0.0</v>
      </c>
      <c r="O309" s="70" t="s">
        <v>3979</v>
      </c>
      <c r="P309" s="70" t="s">
        <v>31543</v>
      </c>
      <c r="Q309" s="70" t="s">
        <v>33854</v>
      </c>
      <c r="R309" s="82" t="s">
        <v>33273</v>
      </c>
      <c r="S309" s="70" t="s">
        <v>3635</v>
      </c>
      <c r="T309" s="70" t="s">
        <v>3636</v>
      </c>
      <c r="U309" s="70" t="s">
        <v>33855</v>
      </c>
      <c r="V309" s="82" t="s">
        <v>3981</v>
      </c>
      <c r="X309" s="70" t="s">
        <v>3982</v>
      </c>
      <c r="Y309" s="70" t="s">
        <v>33856</v>
      </c>
      <c r="AA309" s="82" t="s">
        <v>33437</v>
      </c>
      <c r="AB309" s="82" t="s">
        <v>32616</v>
      </c>
    </row>
    <row r="310" ht="22.5" customHeight="1">
      <c r="A310" s="70" t="s">
        <v>418</v>
      </c>
      <c r="E310" s="93"/>
      <c r="F310" s="93"/>
      <c r="H310" s="93"/>
      <c r="J310" s="93"/>
      <c r="L310" s="90" t="str">
        <f t="shared" si="2"/>
        <v>Excluded</v>
      </c>
      <c r="M310" s="90">
        <v>0.0</v>
      </c>
      <c r="N310" s="90">
        <v>0.0</v>
      </c>
      <c r="O310" s="70" t="s">
        <v>421</v>
      </c>
      <c r="P310" s="70" t="s">
        <v>31543</v>
      </c>
      <c r="Q310" s="70" t="s">
        <v>33857</v>
      </c>
      <c r="R310" s="82" t="s">
        <v>32713</v>
      </c>
      <c r="S310" s="70" t="s">
        <v>419</v>
      </c>
      <c r="T310" s="70" t="s">
        <v>420</v>
      </c>
      <c r="U310" s="70" t="s">
        <v>33858</v>
      </c>
      <c r="V310" s="82" t="s">
        <v>32620</v>
      </c>
      <c r="W310" s="70" t="s">
        <v>401</v>
      </c>
      <c r="X310" s="70" t="s">
        <v>425</v>
      </c>
      <c r="Y310" s="70" t="s">
        <v>33859</v>
      </c>
      <c r="AA310" s="82" t="s">
        <v>32933</v>
      </c>
      <c r="AB310" s="82" t="s">
        <v>32616</v>
      </c>
    </row>
    <row r="311" ht="22.5" customHeight="1">
      <c r="A311" s="70" t="s">
        <v>3986</v>
      </c>
      <c r="E311" s="93"/>
      <c r="F311" s="93"/>
      <c r="H311" s="93"/>
      <c r="J311" s="93"/>
      <c r="L311" s="90" t="str">
        <f t="shared" si="2"/>
        <v>Excluded</v>
      </c>
      <c r="M311" s="90">
        <v>0.0</v>
      </c>
      <c r="N311" s="90">
        <v>0.0</v>
      </c>
      <c r="O311" s="70" t="s">
        <v>3987</v>
      </c>
      <c r="P311" s="70" t="s">
        <v>31543</v>
      </c>
      <c r="Q311" s="70" t="s">
        <v>33860</v>
      </c>
      <c r="R311" s="82" t="s">
        <v>33345</v>
      </c>
      <c r="S311" s="70" t="s">
        <v>3635</v>
      </c>
      <c r="T311" s="70" t="s">
        <v>3636</v>
      </c>
      <c r="U311" s="70" t="s">
        <v>33861</v>
      </c>
      <c r="V311" s="82" t="s">
        <v>3981</v>
      </c>
      <c r="X311" s="70" t="s">
        <v>31206</v>
      </c>
      <c r="AA311" s="82" t="s">
        <v>33121</v>
      </c>
      <c r="AB311" s="82" t="s">
        <v>32616</v>
      </c>
    </row>
    <row r="312" ht="22.5" customHeight="1">
      <c r="A312" s="70" t="s">
        <v>4147</v>
      </c>
      <c r="E312" s="93"/>
      <c r="F312" s="93"/>
      <c r="H312" s="93"/>
      <c r="J312" s="93"/>
      <c r="L312" s="90" t="str">
        <f t="shared" si="2"/>
        <v>Excluded</v>
      </c>
      <c r="M312" s="90">
        <v>0.0</v>
      </c>
      <c r="N312" s="90">
        <v>0.0</v>
      </c>
      <c r="O312" s="70" t="s">
        <v>4150</v>
      </c>
      <c r="P312" s="70" t="s">
        <v>31543</v>
      </c>
      <c r="Q312" s="70" t="s">
        <v>33862</v>
      </c>
      <c r="R312" s="82" t="s">
        <v>33335</v>
      </c>
      <c r="S312" s="70" t="s">
        <v>4148</v>
      </c>
      <c r="T312" s="70" t="s">
        <v>4149</v>
      </c>
      <c r="U312" s="70" t="s">
        <v>33863</v>
      </c>
      <c r="V312" s="82" t="s">
        <v>3787</v>
      </c>
      <c r="X312" s="70" t="s">
        <v>4152</v>
      </c>
      <c r="Y312" s="70" t="s">
        <v>33864</v>
      </c>
      <c r="AA312" s="82" t="s">
        <v>33865</v>
      </c>
      <c r="AB312" s="82" t="s">
        <v>32616</v>
      </c>
    </row>
    <row r="313" ht="22.5" customHeight="1">
      <c r="A313" s="70" t="s">
        <v>31208</v>
      </c>
      <c r="E313" s="93"/>
      <c r="F313" s="93"/>
      <c r="H313" s="93"/>
      <c r="J313" s="93"/>
      <c r="L313" s="90" t="str">
        <f t="shared" si="2"/>
        <v>Excluded</v>
      </c>
      <c r="M313" s="90">
        <v>0.0</v>
      </c>
      <c r="N313" s="90">
        <v>0.0</v>
      </c>
      <c r="O313" s="70" t="s">
        <v>3785</v>
      </c>
      <c r="P313" s="70" t="s">
        <v>31543</v>
      </c>
      <c r="Q313" s="70" t="s">
        <v>33866</v>
      </c>
      <c r="R313" s="82" t="s">
        <v>32709</v>
      </c>
      <c r="S313" s="70" t="s">
        <v>3635</v>
      </c>
      <c r="T313" s="70" t="s">
        <v>3636</v>
      </c>
      <c r="U313" s="70" t="s">
        <v>33867</v>
      </c>
      <c r="V313" s="82" t="s">
        <v>3787</v>
      </c>
      <c r="X313" s="70" t="s">
        <v>3788</v>
      </c>
      <c r="Y313" s="70" t="s">
        <v>33868</v>
      </c>
      <c r="AA313" s="82" t="s">
        <v>33225</v>
      </c>
      <c r="AB313" s="82" t="s">
        <v>32616</v>
      </c>
    </row>
    <row r="314" ht="22.5" customHeight="1">
      <c r="A314" s="70" t="s">
        <v>4140</v>
      </c>
      <c r="E314" s="93"/>
      <c r="F314" s="93"/>
      <c r="H314" s="93"/>
      <c r="J314" s="93"/>
      <c r="L314" s="90" t="str">
        <f t="shared" si="2"/>
        <v>Excluded</v>
      </c>
      <c r="M314" s="90">
        <v>0.0</v>
      </c>
      <c r="N314" s="90">
        <v>0.0</v>
      </c>
      <c r="O314" s="70" t="s">
        <v>4141</v>
      </c>
      <c r="P314" s="70" t="s">
        <v>31543</v>
      </c>
      <c r="Q314" s="70" t="s">
        <v>33869</v>
      </c>
      <c r="R314" s="82" t="s">
        <v>33870</v>
      </c>
      <c r="S314" s="70" t="s">
        <v>3635</v>
      </c>
      <c r="T314" s="70" t="s">
        <v>3636</v>
      </c>
      <c r="U314" s="70" t="s">
        <v>33871</v>
      </c>
      <c r="V314" s="82" t="s">
        <v>3787</v>
      </c>
      <c r="X314" s="70" t="s">
        <v>4143</v>
      </c>
      <c r="Y314" s="70" t="s">
        <v>33872</v>
      </c>
      <c r="AA314" s="82" t="s">
        <v>33873</v>
      </c>
      <c r="AB314" s="82" t="s">
        <v>32616</v>
      </c>
    </row>
    <row r="315" ht="22.5" customHeight="1">
      <c r="A315" s="70" t="s">
        <v>561</v>
      </c>
      <c r="E315" s="93"/>
      <c r="F315" s="93"/>
      <c r="H315" s="93"/>
      <c r="J315" s="93"/>
      <c r="L315" s="90" t="str">
        <f t="shared" si="2"/>
        <v>Excluded</v>
      </c>
      <c r="M315" s="90">
        <v>0.0</v>
      </c>
      <c r="N315" s="90">
        <v>0.0</v>
      </c>
      <c r="O315" s="70" t="s">
        <v>564</v>
      </c>
      <c r="P315" s="70" t="s">
        <v>31543</v>
      </c>
      <c r="Q315" s="70" t="s">
        <v>33874</v>
      </c>
      <c r="R315" s="82" t="s">
        <v>33875</v>
      </c>
      <c r="S315" s="70" t="s">
        <v>562</v>
      </c>
      <c r="T315" s="70" t="s">
        <v>563</v>
      </c>
      <c r="U315" s="70" t="s">
        <v>33876</v>
      </c>
      <c r="V315" s="82" t="s">
        <v>32620</v>
      </c>
      <c r="W315" s="70" t="s">
        <v>401</v>
      </c>
      <c r="X315" s="70" t="s">
        <v>569</v>
      </c>
      <c r="Y315" s="70" t="s">
        <v>33877</v>
      </c>
      <c r="AA315" s="82" t="s">
        <v>33389</v>
      </c>
      <c r="AB315" s="82" t="s">
        <v>32616</v>
      </c>
    </row>
    <row r="316" ht="22.5" customHeight="1">
      <c r="A316" s="70" t="s">
        <v>1119</v>
      </c>
      <c r="E316" s="93"/>
      <c r="F316" s="93"/>
      <c r="H316" s="93"/>
      <c r="J316" s="93"/>
      <c r="L316" s="90" t="str">
        <f t="shared" si="2"/>
        <v>Excluded</v>
      </c>
      <c r="M316" s="90">
        <v>0.0</v>
      </c>
      <c r="N316" s="90">
        <v>0.0</v>
      </c>
      <c r="O316" s="70" t="s">
        <v>1120</v>
      </c>
      <c r="P316" s="70" t="s">
        <v>31543</v>
      </c>
      <c r="Q316" s="70" t="s">
        <v>33878</v>
      </c>
      <c r="R316" s="82" t="s">
        <v>33879</v>
      </c>
      <c r="S316" s="70" t="s">
        <v>562</v>
      </c>
      <c r="T316" s="70" t="s">
        <v>563</v>
      </c>
      <c r="U316" s="70" t="s">
        <v>33880</v>
      </c>
      <c r="V316" s="82" t="s">
        <v>32620</v>
      </c>
      <c r="W316" s="70" t="s">
        <v>401</v>
      </c>
      <c r="X316" s="70" t="s">
        <v>31209</v>
      </c>
      <c r="Y316" s="70" t="s">
        <v>33881</v>
      </c>
      <c r="AA316" s="82" t="s">
        <v>33882</v>
      </c>
      <c r="AB316" s="82" t="s">
        <v>32616</v>
      </c>
    </row>
    <row r="317" ht="22.5" customHeight="1">
      <c r="A317" s="70" t="s">
        <v>2844</v>
      </c>
      <c r="E317" s="93"/>
      <c r="F317" s="93"/>
      <c r="H317" s="93"/>
      <c r="J317" s="93"/>
      <c r="L317" s="90" t="str">
        <f t="shared" si="2"/>
        <v>Excluded</v>
      </c>
      <c r="M317" s="90">
        <v>0.0</v>
      </c>
      <c r="N317" s="90">
        <v>0.0</v>
      </c>
      <c r="O317" s="70" t="s">
        <v>2845</v>
      </c>
      <c r="P317" s="70" t="s">
        <v>31543</v>
      </c>
      <c r="Q317" s="70" t="s">
        <v>33883</v>
      </c>
      <c r="R317" s="82" t="s">
        <v>33057</v>
      </c>
      <c r="S317" s="70" t="s">
        <v>562</v>
      </c>
      <c r="T317" s="70" t="s">
        <v>563</v>
      </c>
      <c r="U317" s="70" t="s">
        <v>33884</v>
      </c>
      <c r="V317" s="82" t="s">
        <v>32620</v>
      </c>
      <c r="W317" s="70" t="s">
        <v>401</v>
      </c>
      <c r="X317" s="70" t="s">
        <v>2848</v>
      </c>
      <c r="Y317" s="70" t="s">
        <v>33885</v>
      </c>
      <c r="AA317" s="82" t="s">
        <v>33421</v>
      </c>
      <c r="AB317" s="82" t="s">
        <v>32616</v>
      </c>
    </row>
    <row r="318" ht="22.5" customHeight="1">
      <c r="A318" s="70" t="s">
        <v>843</v>
      </c>
      <c r="E318" s="93"/>
      <c r="F318" s="93"/>
      <c r="H318" s="93"/>
      <c r="J318" s="93"/>
      <c r="L318" s="90" t="str">
        <f t="shared" si="2"/>
        <v>Excluded</v>
      </c>
      <c r="M318" s="90">
        <v>0.0</v>
      </c>
      <c r="N318" s="90">
        <v>0.0</v>
      </c>
      <c r="O318" s="70" t="s">
        <v>846</v>
      </c>
      <c r="P318" s="70" t="s">
        <v>31543</v>
      </c>
      <c r="Q318" s="70" t="s">
        <v>33886</v>
      </c>
      <c r="R318" s="82" t="s">
        <v>33151</v>
      </c>
      <c r="S318" s="70" t="s">
        <v>844</v>
      </c>
      <c r="T318" s="70" t="s">
        <v>845</v>
      </c>
      <c r="U318" s="70" t="s">
        <v>33887</v>
      </c>
      <c r="V318" s="82" t="s">
        <v>32620</v>
      </c>
      <c r="W318" s="70" t="s">
        <v>401</v>
      </c>
      <c r="X318" s="70" t="s">
        <v>851</v>
      </c>
      <c r="Y318" s="70" t="s">
        <v>33888</v>
      </c>
      <c r="AA318" s="82" t="s">
        <v>32816</v>
      </c>
      <c r="AB318" s="82" t="s">
        <v>32616</v>
      </c>
    </row>
    <row r="319" ht="22.5" customHeight="1">
      <c r="A319" s="70" t="s">
        <v>1740</v>
      </c>
      <c r="E319" s="93"/>
      <c r="F319" s="93"/>
      <c r="H319" s="93"/>
      <c r="J319" s="93"/>
      <c r="L319" s="90" t="str">
        <f t="shared" si="2"/>
        <v>Excluded</v>
      </c>
      <c r="M319" s="90">
        <v>0.0</v>
      </c>
      <c r="N319" s="90">
        <v>0.0</v>
      </c>
      <c r="O319" s="70" t="s">
        <v>1743</v>
      </c>
      <c r="P319" s="70" t="s">
        <v>31543</v>
      </c>
      <c r="Q319" s="70" t="s">
        <v>33889</v>
      </c>
      <c r="R319" s="82" t="s">
        <v>33890</v>
      </c>
      <c r="S319" s="70" t="s">
        <v>1741</v>
      </c>
      <c r="T319" s="70" t="s">
        <v>1742</v>
      </c>
      <c r="U319" s="70" t="s">
        <v>33891</v>
      </c>
      <c r="V319" s="82" t="s">
        <v>32620</v>
      </c>
      <c r="W319" s="70" t="s">
        <v>401</v>
      </c>
      <c r="X319" s="70" t="s">
        <v>1747</v>
      </c>
      <c r="Y319" s="70" t="s">
        <v>33892</v>
      </c>
      <c r="AA319" s="82" t="s">
        <v>33893</v>
      </c>
      <c r="AB319" s="82" t="s">
        <v>32616</v>
      </c>
    </row>
    <row r="320" ht="22.5" customHeight="1">
      <c r="A320" s="70" t="s">
        <v>1786</v>
      </c>
      <c r="E320" s="93"/>
      <c r="F320" s="93"/>
      <c r="H320" s="93"/>
      <c r="J320" s="93"/>
      <c r="L320" s="90" t="str">
        <f t="shared" si="2"/>
        <v>Excluded</v>
      </c>
      <c r="M320" s="90">
        <v>0.0</v>
      </c>
      <c r="N320" s="90">
        <v>0.0</v>
      </c>
      <c r="O320" s="70" t="s">
        <v>1789</v>
      </c>
      <c r="P320" s="70" t="s">
        <v>31543</v>
      </c>
      <c r="Q320" s="70" t="s">
        <v>33894</v>
      </c>
      <c r="R320" s="82" t="s">
        <v>32725</v>
      </c>
      <c r="S320" s="70" t="s">
        <v>1787</v>
      </c>
      <c r="T320" s="70" t="s">
        <v>1788</v>
      </c>
      <c r="U320" s="70" t="s">
        <v>33895</v>
      </c>
      <c r="V320" s="82" t="s">
        <v>32666</v>
      </c>
      <c r="W320" s="70" t="s">
        <v>401</v>
      </c>
      <c r="X320" s="70" t="s">
        <v>1794</v>
      </c>
      <c r="Y320" s="70" t="s">
        <v>33896</v>
      </c>
      <c r="AA320" s="82" t="s">
        <v>33834</v>
      </c>
      <c r="AB320" s="82" t="s">
        <v>32616</v>
      </c>
    </row>
    <row r="321" ht="22.5" customHeight="1">
      <c r="A321" s="70" t="s">
        <v>3129</v>
      </c>
      <c r="E321" s="93"/>
      <c r="F321" s="93"/>
      <c r="H321" s="93"/>
      <c r="J321" s="93"/>
      <c r="L321" s="90" t="str">
        <f t="shared" si="2"/>
        <v>Excluded</v>
      </c>
      <c r="M321" s="90">
        <v>0.0</v>
      </c>
      <c r="N321" s="90">
        <v>0.0</v>
      </c>
      <c r="O321" s="70" t="s">
        <v>3132</v>
      </c>
      <c r="P321" s="70" t="s">
        <v>31543</v>
      </c>
      <c r="Q321" s="70" t="s">
        <v>33897</v>
      </c>
      <c r="R321" s="82" t="s">
        <v>32765</v>
      </c>
      <c r="S321" s="70" t="s">
        <v>3130</v>
      </c>
      <c r="T321" s="70" t="s">
        <v>3131</v>
      </c>
      <c r="U321" s="70" t="s">
        <v>33898</v>
      </c>
      <c r="V321" s="82" t="s">
        <v>32666</v>
      </c>
      <c r="W321" s="70" t="s">
        <v>401</v>
      </c>
      <c r="X321" s="70" t="s">
        <v>3136</v>
      </c>
      <c r="Y321" s="70" t="s">
        <v>33899</v>
      </c>
      <c r="AA321" s="82" t="s">
        <v>33900</v>
      </c>
      <c r="AB321" s="82" t="s">
        <v>32616</v>
      </c>
    </row>
    <row r="322" ht="22.5" customHeight="1">
      <c r="A322" s="70" t="s">
        <v>3249</v>
      </c>
      <c r="E322" s="93"/>
      <c r="F322" s="93"/>
      <c r="H322" s="93"/>
      <c r="J322" s="93"/>
      <c r="L322" s="90" t="str">
        <f t="shared" si="2"/>
        <v>Excluded</v>
      </c>
      <c r="M322" s="90">
        <v>0.0</v>
      </c>
      <c r="N322" s="90">
        <v>0.0</v>
      </c>
      <c r="O322" s="70" t="s">
        <v>3252</v>
      </c>
      <c r="P322" s="70" t="s">
        <v>31543</v>
      </c>
      <c r="Q322" s="70" t="s">
        <v>33901</v>
      </c>
      <c r="R322" s="82" t="s">
        <v>32980</v>
      </c>
      <c r="S322" s="70" t="s">
        <v>3250</v>
      </c>
      <c r="T322" s="70" t="s">
        <v>3251</v>
      </c>
      <c r="U322" s="70" t="s">
        <v>33902</v>
      </c>
      <c r="V322" s="82" t="s">
        <v>32666</v>
      </c>
      <c r="W322" s="70" t="s">
        <v>401</v>
      </c>
      <c r="X322" s="70" t="s">
        <v>3257</v>
      </c>
      <c r="Y322" s="70" t="s">
        <v>33903</v>
      </c>
      <c r="AA322" s="82" t="s">
        <v>33481</v>
      </c>
      <c r="AB322" s="82" t="s">
        <v>32616</v>
      </c>
    </row>
    <row r="323" ht="22.5" customHeight="1">
      <c r="A323" s="70" t="s">
        <v>4392</v>
      </c>
      <c r="E323" s="93"/>
      <c r="F323" s="93"/>
      <c r="H323" s="93"/>
      <c r="J323" s="93"/>
      <c r="L323" s="90" t="str">
        <f t="shared" si="2"/>
        <v>Excluded</v>
      </c>
      <c r="M323" s="90">
        <v>0.0</v>
      </c>
      <c r="N323" s="90">
        <v>0.0</v>
      </c>
      <c r="O323" s="70" t="s">
        <v>4393</v>
      </c>
      <c r="P323" s="70" t="s">
        <v>31543</v>
      </c>
      <c r="Q323" s="70" t="s">
        <v>33904</v>
      </c>
      <c r="R323" s="82" t="s">
        <v>33038</v>
      </c>
      <c r="S323" s="70" t="s">
        <v>3673</v>
      </c>
      <c r="T323" s="70" t="s">
        <v>3674</v>
      </c>
      <c r="U323" s="70" t="s">
        <v>33905</v>
      </c>
      <c r="V323" s="82" t="s">
        <v>3737</v>
      </c>
      <c r="X323" s="70" t="s">
        <v>31213</v>
      </c>
      <c r="Y323" s="70" t="s">
        <v>33906</v>
      </c>
      <c r="AA323" s="82" t="s">
        <v>33907</v>
      </c>
      <c r="AB323" s="82" t="s">
        <v>32616</v>
      </c>
    </row>
    <row r="324" ht="22.5" customHeight="1">
      <c r="A324" s="70" t="s">
        <v>688</v>
      </c>
      <c r="E324" s="93"/>
      <c r="F324" s="93"/>
      <c r="H324" s="93"/>
      <c r="J324" s="93"/>
      <c r="L324" s="90" t="str">
        <f t="shared" si="2"/>
        <v>Excluded</v>
      </c>
      <c r="M324" s="90">
        <v>0.0</v>
      </c>
      <c r="N324" s="90">
        <v>0.0</v>
      </c>
      <c r="O324" s="70" t="s">
        <v>691</v>
      </c>
      <c r="P324" s="70" t="s">
        <v>31543</v>
      </c>
      <c r="Q324" s="70" t="s">
        <v>33908</v>
      </c>
      <c r="R324" s="82" t="s">
        <v>33520</v>
      </c>
      <c r="S324" s="70" t="s">
        <v>689</v>
      </c>
      <c r="T324" s="70" t="s">
        <v>690</v>
      </c>
      <c r="U324" s="70" t="s">
        <v>33909</v>
      </c>
      <c r="V324" s="82" t="s">
        <v>32666</v>
      </c>
      <c r="W324" s="70" t="s">
        <v>401</v>
      </c>
      <c r="X324" s="70" t="s">
        <v>695</v>
      </c>
      <c r="Y324" s="70" t="s">
        <v>33910</v>
      </c>
      <c r="AA324" s="82" t="s">
        <v>33554</v>
      </c>
      <c r="AB324" s="82" t="s">
        <v>32616</v>
      </c>
    </row>
    <row r="325" ht="22.5" customHeight="1">
      <c r="A325" s="70" t="s">
        <v>2699</v>
      </c>
      <c r="E325" s="93"/>
      <c r="F325" s="93"/>
      <c r="H325" s="93"/>
      <c r="J325" s="93"/>
      <c r="L325" s="90" t="str">
        <f t="shared" si="2"/>
        <v>Excluded</v>
      </c>
      <c r="M325" s="90">
        <v>0.0</v>
      </c>
      <c r="N325" s="90">
        <v>0.0</v>
      </c>
      <c r="O325" s="70" t="s">
        <v>2702</v>
      </c>
      <c r="P325" s="70" t="s">
        <v>31543</v>
      </c>
      <c r="Q325" s="70" t="s">
        <v>33911</v>
      </c>
      <c r="R325" s="82" t="s">
        <v>33604</v>
      </c>
      <c r="S325" s="70" t="s">
        <v>2700</v>
      </c>
      <c r="T325" s="70" t="s">
        <v>2701</v>
      </c>
      <c r="U325" s="70" t="s">
        <v>33912</v>
      </c>
      <c r="V325" s="82" t="s">
        <v>32666</v>
      </c>
      <c r="W325" s="70" t="s">
        <v>401</v>
      </c>
      <c r="X325" s="70" t="s">
        <v>2707</v>
      </c>
      <c r="Y325" s="70" t="s">
        <v>33913</v>
      </c>
      <c r="AA325" s="82" t="s">
        <v>33914</v>
      </c>
      <c r="AB325" s="82" t="s">
        <v>32616</v>
      </c>
    </row>
    <row r="326" ht="22.5" customHeight="1">
      <c r="A326" s="70" t="s">
        <v>1100</v>
      </c>
      <c r="E326" s="93"/>
      <c r="F326" s="93"/>
      <c r="H326" s="93"/>
      <c r="J326" s="93"/>
      <c r="L326" s="90" t="str">
        <f t="shared" si="2"/>
        <v>Excluded</v>
      </c>
      <c r="M326" s="90">
        <v>0.0</v>
      </c>
      <c r="N326" s="90">
        <v>0.0</v>
      </c>
      <c r="O326" s="70" t="s">
        <v>1101</v>
      </c>
      <c r="P326" s="70" t="s">
        <v>31543</v>
      </c>
      <c r="Q326" s="70" t="s">
        <v>33915</v>
      </c>
      <c r="R326" s="82" t="s">
        <v>32922</v>
      </c>
      <c r="S326" s="70" t="s">
        <v>489</v>
      </c>
      <c r="T326" s="70" t="s">
        <v>490</v>
      </c>
      <c r="U326" s="70" t="s">
        <v>33916</v>
      </c>
      <c r="V326" s="82" t="s">
        <v>32666</v>
      </c>
      <c r="W326" s="70" t="s">
        <v>401</v>
      </c>
      <c r="X326" s="70" t="s">
        <v>1104</v>
      </c>
      <c r="Y326" s="70" t="s">
        <v>33917</v>
      </c>
      <c r="AA326" s="82" t="s">
        <v>33216</v>
      </c>
      <c r="AB326" s="82" t="s">
        <v>32616</v>
      </c>
    </row>
    <row r="327" ht="22.5" customHeight="1">
      <c r="A327" s="70" t="s">
        <v>3833</v>
      </c>
      <c r="E327" s="93"/>
      <c r="F327" s="93"/>
      <c r="H327" s="93"/>
      <c r="J327" s="93"/>
      <c r="L327" s="90" t="str">
        <f t="shared" si="2"/>
        <v>Excluded</v>
      </c>
      <c r="M327" s="90">
        <v>0.0</v>
      </c>
      <c r="N327" s="90">
        <v>0.0</v>
      </c>
      <c r="O327" s="70" t="s">
        <v>3836</v>
      </c>
      <c r="P327" s="70" t="s">
        <v>31543</v>
      </c>
      <c r="Q327" s="70" t="s">
        <v>33918</v>
      </c>
      <c r="R327" s="82" t="s">
        <v>33907</v>
      </c>
      <c r="S327" s="70" t="s">
        <v>3834</v>
      </c>
      <c r="T327" s="70" t="s">
        <v>3835</v>
      </c>
      <c r="U327" s="70" t="s">
        <v>33919</v>
      </c>
      <c r="V327" s="82" t="s">
        <v>3737</v>
      </c>
      <c r="X327" s="70" t="s">
        <v>31215</v>
      </c>
      <c r="Y327" s="70" t="s">
        <v>33920</v>
      </c>
      <c r="AA327" s="82" t="s">
        <v>33542</v>
      </c>
      <c r="AB327" s="82" t="s">
        <v>32616</v>
      </c>
    </row>
    <row r="328" ht="22.5" customHeight="1">
      <c r="A328" s="70" t="s">
        <v>925</v>
      </c>
      <c r="E328" s="93"/>
      <c r="F328" s="93"/>
      <c r="H328" s="93"/>
      <c r="J328" s="93"/>
      <c r="L328" s="90" t="str">
        <f t="shared" si="2"/>
        <v>Excluded</v>
      </c>
      <c r="M328" s="90">
        <v>0.0</v>
      </c>
      <c r="N328" s="90">
        <v>0.0</v>
      </c>
      <c r="O328" s="70" t="s">
        <v>928</v>
      </c>
      <c r="P328" s="70" t="s">
        <v>31543</v>
      </c>
      <c r="Q328" s="70" t="s">
        <v>33921</v>
      </c>
      <c r="R328" s="82" t="s">
        <v>33396</v>
      </c>
      <c r="S328" s="70" t="s">
        <v>926</v>
      </c>
      <c r="T328" s="70" t="s">
        <v>927</v>
      </c>
      <c r="U328" s="70" t="s">
        <v>33922</v>
      </c>
      <c r="V328" s="82" t="s">
        <v>32666</v>
      </c>
      <c r="W328" s="70" t="s">
        <v>401</v>
      </c>
      <c r="X328" s="70" t="s">
        <v>933</v>
      </c>
      <c r="Y328" s="70" t="s">
        <v>33923</v>
      </c>
      <c r="AA328" s="82" t="s">
        <v>33329</v>
      </c>
      <c r="AB328" s="82" t="s">
        <v>32616</v>
      </c>
    </row>
    <row r="329" ht="22.5" customHeight="1">
      <c r="A329" s="70" t="s">
        <v>4349</v>
      </c>
      <c r="E329" s="93"/>
      <c r="F329" s="93"/>
      <c r="H329" s="93"/>
      <c r="J329" s="93"/>
      <c r="L329" s="90" t="str">
        <f t="shared" si="2"/>
        <v>Excluded</v>
      </c>
      <c r="M329" s="90">
        <v>0.0</v>
      </c>
      <c r="N329" s="90">
        <v>0.0</v>
      </c>
      <c r="O329" s="70" t="s">
        <v>4350</v>
      </c>
      <c r="P329" s="70" t="s">
        <v>31543</v>
      </c>
      <c r="Q329" s="70" t="s">
        <v>33924</v>
      </c>
      <c r="R329" s="82" t="s">
        <v>33686</v>
      </c>
      <c r="S329" s="70" t="s">
        <v>3719</v>
      </c>
      <c r="T329" s="70" t="s">
        <v>3720</v>
      </c>
      <c r="U329" s="70" t="s">
        <v>33925</v>
      </c>
      <c r="V329" s="82" t="s">
        <v>4135</v>
      </c>
      <c r="X329" s="70" t="s">
        <v>4352</v>
      </c>
      <c r="Y329" s="70" t="s">
        <v>33926</v>
      </c>
      <c r="AA329" s="82" t="s">
        <v>33927</v>
      </c>
      <c r="AB329" s="82" t="s">
        <v>32616</v>
      </c>
    </row>
    <row r="330" ht="22.5" customHeight="1">
      <c r="A330" s="70" t="s">
        <v>1562</v>
      </c>
      <c r="E330" s="93"/>
      <c r="F330" s="93"/>
      <c r="H330" s="93"/>
      <c r="J330" s="93"/>
      <c r="L330" s="90" t="str">
        <f t="shared" si="2"/>
        <v>Excluded</v>
      </c>
      <c r="M330" s="90">
        <v>0.0</v>
      </c>
      <c r="N330" s="90">
        <v>0.0</v>
      </c>
      <c r="O330" s="70" t="s">
        <v>1565</v>
      </c>
      <c r="P330" s="70" t="s">
        <v>31543</v>
      </c>
      <c r="Q330" s="70" t="s">
        <v>33928</v>
      </c>
      <c r="R330" s="82" t="s">
        <v>33760</v>
      </c>
      <c r="S330" s="70" t="s">
        <v>1563</v>
      </c>
      <c r="T330" s="70" t="s">
        <v>1564</v>
      </c>
      <c r="U330" s="70" t="s">
        <v>33929</v>
      </c>
      <c r="V330" s="82" t="s">
        <v>32666</v>
      </c>
      <c r="W330" s="70" t="s">
        <v>401</v>
      </c>
      <c r="X330" s="70" t="s">
        <v>1570</v>
      </c>
      <c r="AA330" s="82" t="s">
        <v>32907</v>
      </c>
      <c r="AB330" s="82" t="s">
        <v>32616</v>
      </c>
    </row>
    <row r="331" ht="22.5" customHeight="1">
      <c r="A331" s="70" t="s">
        <v>3734</v>
      </c>
      <c r="E331" s="93"/>
      <c r="F331" s="93"/>
      <c r="H331" s="93"/>
      <c r="J331" s="93"/>
      <c r="L331" s="90" t="str">
        <f t="shared" si="2"/>
        <v>Excluded</v>
      </c>
      <c r="M331" s="90">
        <v>0.0</v>
      </c>
      <c r="N331" s="90">
        <v>0.0</v>
      </c>
      <c r="O331" s="70" t="s">
        <v>3735</v>
      </c>
      <c r="P331" s="70" t="s">
        <v>31543</v>
      </c>
      <c r="Q331" s="70" t="s">
        <v>33648</v>
      </c>
      <c r="R331" s="82" t="s">
        <v>32717</v>
      </c>
      <c r="S331" s="70" t="s">
        <v>3673</v>
      </c>
      <c r="T331" s="70" t="s">
        <v>3674</v>
      </c>
      <c r="U331" s="70" t="s">
        <v>33930</v>
      </c>
      <c r="V331" s="82" t="s">
        <v>3737</v>
      </c>
      <c r="X331" s="70" t="s">
        <v>3738</v>
      </c>
      <c r="Y331" s="70" t="s">
        <v>33931</v>
      </c>
      <c r="AA331" s="82" t="s">
        <v>33068</v>
      </c>
      <c r="AB331" s="82" t="s">
        <v>32616</v>
      </c>
    </row>
    <row r="332" ht="22.5" customHeight="1">
      <c r="A332" s="70" t="s">
        <v>2669</v>
      </c>
      <c r="E332" s="93"/>
      <c r="F332" s="93"/>
      <c r="H332" s="93"/>
      <c r="J332" s="93"/>
      <c r="L332" s="90" t="str">
        <f t="shared" si="2"/>
        <v>Excluded</v>
      </c>
      <c r="M332" s="90">
        <v>0.0</v>
      </c>
      <c r="N332" s="90">
        <v>0.0</v>
      </c>
      <c r="O332" s="70" t="s">
        <v>2670</v>
      </c>
      <c r="P332" s="70" t="s">
        <v>31543</v>
      </c>
      <c r="Q332" s="70" t="s">
        <v>33932</v>
      </c>
      <c r="R332" s="82" t="s">
        <v>33579</v>
      </c>
      <c r="S332" s="70" t="s">
        <v>2456</v>
      </c>
      <c r="T332" s="70" t="s">
        <v>2457</v>
      </c>
      <c r="U332" s="70" t="s">
        <v>33933</v>
      </c>
      <c r="V332" s="82" t="s">
        <v>32666</v>
      </c>
      <c r="W332" s="70" t="s">
        <v>401</v>
      </c>
      <c r="X332" s="70" t="s">
        <v>2673</v>
      </c>
      <c r="Y332" s="70" t="s">
        <v>33934</v>
      </c>
      <c r="AA332" s="82" t="s">
        <v>33935</v>
      </c>
      <c r="AB332" s="82" t="s">
        <v>32616</v>
      </c>
    </row>
    <row r="333" ht="22.5" customHeight="1">
      <c r="A333" s="70" t="s">
        <v>2455</v>
      </c>
      <c r="E333" s="93"/>
      <c r="F333" s="93"/>
      <c r="H333" s="93"/>
      <c r="J333" s="93"/>
      <c r="L333" s="90" t="str">
        <f t="shared" si="2"/>
        <v>Excluded</v>
      </c>
      <c r="M333" s="90">
        <v>0.0</v>
      </c>
      <c r="N333" s="90">
        <v>0.0</v>
      </c>
      <c r="O333" s="70" t="s">
        <v>2458</v>
      </c>
      <c r="P333" s="70" t="s">
        <v>31543</v>
      </c>
      <c r="Q333" s="70" t="s">
        <v>33936</v>
      </c>
      <c r="R333" s="82" t="s">
        <v>33748</v>
      </c>
      <c r="S333" s="70" t="s">
        <v>2456</v>
      </c>
      <c r="T333" s="70" t="s">
        <v>2457</v>
      </c>
      <c r="U333" s="70" t="s">
        <v>33937</v>
      </c>
      <c r="V333" s="82" t="s">
        <v>32666</v>
      </c>
      <c r="W333" s="70" t="s">
        <v>401</v>
      </c>
      <c r="X333" s="70" t="s">
        <v>31217</v>
      </c>
      <c r="Y333" s="70" t="s">
        <v>33938</v>
      </c>
      <c r="AA333" s="82" t="s">
        <v>33939</v>
      </c>
      <c r="AB333" s="82" t="s">
        <v>32616</v>
      </c>
    </row>
    <row r="334" ht="22.5" customHeight="1">
      <c r="A334" s="70" t="s">
        <v>3182</v>
      </c>
      <c r="E334" s="93"/>
      <c r="F334" s="93"/>
      <c r="H334" s="93"/>
      <c r="J334" s="93"/>
      <c r="L334" s="90" t="str">
        <f t="shared" si="2"/>
        <v>Excluded</v>
      </c>
      <c r="M334" s="90">
        <v>0.0</v>
      </c>
      <c r="N334" s="90">
        <v>0.0</v>
      </c>
      <c r="O334" s="70" t="s">
        <v>3185</v>
      </c>
      <c r="P334" s="70" t="s">
        <v>31543</v>
      </c>
      <c r="Q334" s="70" t="s">
        <v>33940</v>
      </c>
      <c r="R334" s="82" t="s">
        <v>32773</v>
      </c>
      <c r="S334" s="70" t="s">
        <v>3183</v>
      </c>
      <c r="T334" s="70" t="s">
        <v>3184</v>
      </c>
      <c r="U334" s="70" t="s">
        <v>33941</v>
      </c>
      <c r="V334" s="82" t="s">
        <v>32666</v>
      </c>
      <c r="W334" s="70" t="s">
        <v>401</v>
      </c>
      <c r="X334" s="70" t="s">
        <v>3190</v>
      </c>
      <c r="Y334" s="70" t="s">
        <v>33942</v>
      </c>
      <c r="AA334" s="82" t="s">
        <v>33943</v>
      </c>
      <c r="AB334" s="82" t="s">
        <v>32616</v>
      </c>
    </row>
    <row r="335" ht="22.5" customHeight="1">
      <c r="A335" s="70" t="s">
        <v>2059</v>
      </c>
      <c r="E335" s="93"/>
      <c r="F335" s="93"/>
      <c r="H335" s="93"/>
      <c r="J335" s="93"/>
      <c r="L335" s="90" t="str">
        <f t="shared" si="2"/>
        <v>Excluded</v>
      </c>
      <c r="M335" s="90">
        <v>0.0</v>
      </c>
      <c r="N335" s="90">
        <v>0.0</v>
      </c>
      <c r="O335" s="70" t="s">
        <v>2062</v>
      </c>
      <c r="P335" s="70" t="s">
        <v>31543</v>
      </c>
      <c r="Q335" s="70" t="s">
        <v>33944</v>
      </c>
      <c r="R335" s="82" t="s">
        <v>33793</v>
      </c>
      <c r="S335" s="70" t="s">
        <v>2060</v>
      </c>
      <c r="T335" s="70" t="s">
        <v>2061</v>
      </c>
      <c r="U335" s="70" t="s">
        <v>33945</v>
      </c>
      <c r="V335" s="82" t="s">
        <v>32666</v>
      </c>
      <c r="W335" s="70" t="s">
        <v>401</v>
      </c>
      <c r="X335" s="70" t="s">
        <v>31219</v>
      </c>
      <c r="Y335" s="70" t="s">
        <v>33946</v>
      </c>
      <c r="AA335" s="82" t="s">
        <v>33312</v>
      </c>
      <c r="AB335" s="82" t="s">
        <v>32616</v>
      </c>
    </row>
    <row r="336" ht="22.5" customHeight="1">
      <c r="A336" s="70" t="s">
        <v>2936</v>
      </c>
      <c r="E336" s="93"/>
      <c r="F336" s="93"/>
      <c r="H336" s="93"/>
      <c r="J336" s="93"/>
      <c r="L336" s="90" t="str">
        <f t="shared" si="2"/>
        <v>Excluded</v>
      </c>
      <c r="M336" s="90">
        <v>0.0</v>
      </c>
      <c r="N336" s="90">
        <v>0.0</v>
      </c>
      <c r="O336" s="70" t="s">
        <v>2939</v>
      </c>
      <c r="P336" s="70" t="s">
        <v>31543</v>
      </c>
      <c r="Q336" s="70" t="s">
        <v>33947</v>
      </c>
      <c r="R336" s="82" t="s">
        <v>33503</v>
      </c>
      <c r="S336" s="70" t="s">
        <v>2937</v>
      </c>
      <c r="T336" s="70" t="s">
        <v>2938</v>
      </c>
      <c r="U336" s="70" t="s">
        <v>33948</v>
      </c>
      <c r="V336" s="82" t="s">
        <v>32666</v>
      </c>
      <c r="W336" s="70" t="s">
        <v>401</v>
      </c>
      <c r="X336" s="70" t="s">
        <v>31220</v>
      </c>
      <c r="Y336" s="70" t="s">
        <v>33949</v>
      </c>
      <c r="AA336" s="82" t="s">
        <v>33171</v>
      </c>
      <c r="AB336" s="82" t="s">
        <v>32616</v>
      </c>
    </row>
    <row r="337" ht="22.5" customHeight="1">
      <c r="A337" s="70" t="s">
        <v>2071</v>
      </c>
      <c r="E337" s="93"/>
      <c r="F337" s="93"/>
      <c r="H337" s="93"/>
      <c r="J337" s="93"/>
      <c r="L337" s="90" t="str">
        <f t="shared" si="2"/>
        <v>Excluded</v>
      </c>
      <c r="M337" s="90">
        <v>0.0</v>
      </c>
      <c r="N337" s="90">
        <v>0.0</v>
      </c>
      <c r="O337" s="70" t="s">
        <v>2074</v>
      </c>
      <c r="P337" s="70" t="s">
        <v>31543</v>
      </c>
      <c r="Q337" s="70" t="s">
        <v>33950</v>
      </c>
      <c r="R337" s="82" t="s">
        <v>33099</v>
      </c>
      <c r="S337" s="70" t="s">
        <v>2072</v>
      </c>
      <c r="T337" s="70" t="s">
        <v>2073</v>
      </c>
      <c r="U337" s="70" t="s">
        <v>33951</v>
      </c>
      <c r="V337" s="82" t="s">
        <v>32666</v>
      </c>
      <c r="W337" s="70" t="s">
        <v>401</v>
      </c>
      <c r="X337" s="70" t="s">
        <v>2078</v>
      </c>
      <c r="Y337" s="70" t="s">
        <v>33952</v>
      </c>
      <c r="AA337" s="82" t="s">
        <v>33953</v>
      </c>
      <c r="AB337" s="82" t="s">
        <v>32616</v>
      </c>
    </row>
    <row r="338" ht="22.5" customHeight="1">
      <c r="A338" s="70" t="s">
        <v>1774</v>
      </c>
      <c r="E338" s="93"/>
      <c r="F338" s="93"/>
      <c r="H338" s="93"/>
      <c r="J338" s="93"/>
      <c r="L338" s="90" t="str">
        <f t="shared" si="2"/>
        <v>Excluded</v>
      </c>
      <c r="M338" s="90">
        <v>0.0</v>
      </c>
      <c r="N338" s="90">
        <v>0.0</v>
      </c>
      <c r="O338" s="70" t="s">
        <v>1777</v>
      </c>
      <c r="P338" s="70" t="s">
        <v>31543</v>
      </c>
      <c r="Q338" s="70" t="s">
        <v>33954</v>
      </c>
      <c r="R338" s="82" t="s">
        <v>33323</v>
      </c>
      <c r="S338" s="70" t="s">
        <v>1775</v>
      </c>
      <c r="T338" s="70" t="s">
        <v>1776</v>
      </c>
      <c r="U338" s="70" t="s">
        <v>33955</v>
      </c>
      <c r="V338" s="82" t="s">
        <v>32666</v>
      </c>
      <c r="W338" s="70" t="s">
        <v>401</v>
      </c>
      <c r="X338" s="70" t="s">
        <v>1782</v>
      </c>
      <c r="Y338" s="70" t="s">
        <v>33956</v>
      </c>
      <c r="AA338" s="82" t="s">
        <v>33280</v>
      </c>
      <c r="AB338" s="82" t="s">
        <v>32616</v>
      </c>
    </row>
    <row r="339" ht="22.5" customHeight="1">
      <c r="A339" s="70" t="s">
        <v>3006</v>
      </c>
      <c r="E339" s="93"/>
      <c r="F339" s="93"/>
      <c r="H339" s="93"/>
      <c r="J339" s="93"/>
      <c r="L339" s="90" t="str">
        <f t="shared" si="2"/>
        <v>Excluded</v>
      </c>
      <c r="M339" s="90">
        <v>0.0</v>
      </c>
      <c r="N339" s="90">
        <v>0.0</v>
      </c>
      <c r="O339" s="70" t="s">
        <v>3008</v>
      </c>
      <c r="P339" s="70" t="s">
        <v>31543</v>
      </c>
      <c r="Q339" s="70" t="s">
        <v>33957</v>
      </c>
      <c r="R339" s="82" t="s">
        <v>33882</v>
      </c>
      <c r="S339" s="70" t="s">
        <v>643</v>
      </c>
      <c r="T339" s="70" t="s">
        <v>3007</v>
      </c>
      <c r="U339" s="70" t="s">
        <v>33958</v>
      </c>
      <c r="V339" s="82" t="s">
        <v>32666</v>
      </c>
      <c r="W339" s="70" t="s">
        <v>401</v>
      </c>
      <c r="X339" s="70" t="s">
        <v>3012</v>
      </c>
      <c r="Y339" s="70" t="s">
        <v>33959</v>
      </c>
      <c r="AA339" s="82" t="s">
        <v>32961</v>
      </c>
      <c r="AB339" s="82" t="s">
        <v>32616</v>
      </c>
    </row>
    <row r="340" ht="22.5" customHeight="1">
      <c r="A340" s="70" t="s">
        <v>4132</v>
      </c>
      <c r="E340" s="93"/>
      <c r="F340" s="93"/>
      <c r="H340" s="93"/>
      <c r="J340" s="93"/>
      <c r="L340" s="90" t="str">
        <f t="shared" si="2"/>
        <v>Excluded</v>
      </c>
      <c r="M340" s="90">
        <v>0.0</v>
      </c>
      <c r="N340" s="90">
        <v>0.0</v>
      </c>
      <c r="O340" s="70" t="s">
        <v>4133</v>
      </c>
      <c r="P340" s="70" t="s">
        <v>31543</v>
      </c>
      <c r="Q340" s="70" t="s">
        <v>33960</v>
      </c>
      <c r="R340" s="82" t="s">
        <v>33008</v>
      </c>
      <c r="S340" s="70" t="s">
        <v>3655</v>
      </c>
      <c r="T340" s="70" t="s">
        <v>3656</v>
      </c>
      <c r="U340" s="70" t="s">
        <v>33961</v>
      </c>
      <c r="V340" s="82" t="s">
        <v>4135</v>
      </c>
      <c r="X340" s="70" t="s">
        <v>4136</v>
      </c>
      <c r="Y340" s="70" t="s">
        <v>33962</v>
      </c>
      <c r="AA340" s="82" t="s">
        <v>33821</v>
      </c>
      <c r="AB340" s="82" t="s">
        <v>32616</v>
      </c>
    </row>
    <row r="341" ht="22.5" customHeight="1">
      <c r="A341" s="70" t="s">
        <v>2287</v>
      </c>
      <c r="E341" s="93"/>
      <c r="F341" s="93"/>
      <c r="H341" s="93"/>
      <c r="J341" s="93"/>
      <c r="L341" s="90" t="str">
        <f t="shared" si="2"/>
        <v>Excluded</v>
      </c>
      <c r="M341" s="90">
        <v>0.0</v>
      </c>
      <c r="N341" s="90">
        <v>0.0</v>
      </c>
      <c r="O341" s="70" t="s">
        <v>2290</v>
      </c>
      <c r="P341" s="70" t="s">
        <v>31543</v>
      </c>
      <c r="Q341" s="70" t="s">
        <v>33963</v>
      </c>
      <c r="R341" s="82" t="s">
        <v>32976</v>
      </c>
      <c r="S341" s="70" t="s">
        <v>2288</v>
      </c>
      <c r="T341" s="70" t="s">
        <v>2289</v>
      </c>
      <c r="U341" s="70" t="s">
        <v>33964</v>
      </c>
      <c r="V341" s="82" t="s">
        <v>32666</v>
      </c>
      <c r="W341" s="70" t="s">
        <v>401</v>
      </c>
      <c r="X341" s="70" t="s">
        <v>2294</v>
      </c>
      <c r="Y341" s="70" t="s">
        <v>33965</v>
      </c>
      <c r="AA341" s="82" t="s">
        <v>32839</v>
      </c>
      <c r="AB341" s="82" t="s">
        <v>32616</v>
      </c>
    </row>
    <row r="342" ht="22.5" customHeight="1">
      <c r="A342" s="70" t="s">
        <v>2534</v>
      </c>
      <c r="E342" s="93"/>
      <c r="F342" s="93"/>
      <c r="H342" s="93"/>
      <c r="J342" s="93"/>
      <c r="L342" s="90" t="str">
        <f t="shared" si="2"/>
        <v>Excluded</v>
      </c>
      <c r="M342" s="90">
        <v>0.0</v>
      </c>
      <c r="N342" s="90">
        <v>0.0</v>
      </c>
      <c r="O342" s="70" t="s">
        <v>2537</v>
      </c>
      <c r="P342" s="70" t="s">
        <v>31543</v>
      </c>
      <c r="Q342" s="70" t="s">
        <v>33966</v>
      </c>
      <c r="R342" s="82" t="s">
        <v>33340</v>
      </c>
      <c r="S342" s="70" t="s">
        <v>2535</v>
      </c>
      <c r="T342" s="70" t="s">
        <v>2536</v>
      </c>
      <c r="U342" s="70" t="s">
        <v>33967</v>
      </c>
      <c r="V342" s="82" t="s">
        <v>32666</v>
      </c>
      <c r="W342" s="70" t="s">
        <v>401</v>
      </c>
      <c r="X342" s="70" t="s">
        <v>2541</v>
      </c>
      <c r="Y342" s="70" t="s">
        <v>33968</v>
      </c>
      <c r="AA342" s="82" t="s">
        <v>33665</v>
      </c>
      <c r="AB342" s="82" t="s">
        <v>32616</v>
      </c>
    </row>
    <row r="343" ht="22.5" customHeight="1">
      <c r="A343" s="70" t="s">
        <v>1173</v>
      </c>
      <c r="E343" s="93"/>
      <c r="F343" s="93"/>
      <c r="H343" s="93"/>
      <c r="J343" s="93"/>
      <c r="L343" s="90" t="str">
        <f t="shared" si="2"/>
        <v>Excluded</v>
      </c>
      <c r="M343" s="90">
        <v>0.0</v>
      </c>
      <c r="N343" s="90">
        <v>0.0</v>
      </c>
      <c r="O343" s="70" t="s">
        <v>1174</v>
      </c>
      <c r="P343" s="70" t="s">
        <v>31543</v>
      </c>
      <c r="Q343" s="70" t="s">
        <v>33969</v>
      </c>
      <c r="R343" s="82" t="s">
        <v>33970</v>
      </c>
      <c r="S343" s="70" t="s">
        <v>395</v>
      </c>
      <c r="T343" s="70" t="s">
        <v>396</v>
      </c>
      <c r="U343" s="70" t="s">
        <v>33971</v>
      </c>
      <c r="V343" s="82" t="s">
        <v>32666</v>
      </c>
      <c r="W343" s="70" t="s">
        <v>401</v>
      </c>
      <c r="X343" s="70" t="s">
        <v>1177</v>
      </c>
      <c r="Y343" s="70" t="s">
        <v>33972</v>
      </c>
      <c r="AA343" s="82" t="s">
        <v>33303</v>
      </c>
      <c r="AB343" s="82" t="s">
        <v>32616</v>
      </c>
    </row>
    <row r="344" ht="22.5" customHeight="1">
      <c r="A344" s="70" t="s">
        <v>394</v>
      </c>
      <c r="E344" s="93"/>
      <c r="F344" s="93"/>
      <c r="H344" s="93"/>
      <c r="J344" s="93"/>
      <c r="L344" s="90" t="str">
        <f t="shared" si="2"/>
        <v>Excluded</v>
      </c>
      <c r="M344" s="90">
        <v>0.0</v>
      </c>
      <c r="N344" s="90">
        <v>0.0</v>
      </c>
      <c r="O344" s="70" t="s">
        <v>397</v>
      </c>
      <c r="P344" s="70" t="s">
        <v>31543</v>
      </c>
      <c r="Q344" s="70" t="s">
        <v>33973</v>
      </c>
      <c r="R344" s="82" t="s">
        <v>32900</v>
      </c>
      <c r="S344" s="70" t="s">
        <v>395</v>
      </c>
      <c r="T344" s="70" t="s">
        <v>396</v>
      </c>
      <c r="U344" s="70" t="s">
        <v>33974</v>
      </c>
      <c r="V344" s="82" t="s">
        <v>32666</v>
      </c>
      <c r="W344" s="70" t="s">
        <v>401</v>
      </c>
      <c r="X344" s="70" t="s">
        <v>404</v>
      </c>
      <c r="AA344" s="82" t="s">
        <v>32844</v>
      </c>
      <c r="AB344" s="82" t="s">
        <v>32616</v>
      </c>
    </row>
    <row r="345" ht="22.5" customHeight="1">
      <c r="A345" s="70" t="s">
        <v>2637</v>
      </c>
      <c r="E345" s="93"/>
      <c r="F345" s="93"/>
      <c r="H345" s="93"/>
      <c r="J345" s="93"/>
      <c r="L345" s="90" t="str">
        <f t="shared" si="2"/>
        <v>Excluded</v>
      </c>
      <c r="M345" s="90">
        <v>0.0</v>
      </c>
      <c r="N345" s="90">
        <v>0.0</v>
      </c>
      <c r="O345" s="70" t="s">
        <v>2640</v>
      </c>
      <c r="P345" s="70" t="s">
        <v>31543</v>
      </c>
      <c r="Q345" s="70" t="s">
        <v>33975</v>
      </c>
      <c r="R345" s="82" t="s">
        <v>33943</v>
      </c>
      <c r="S345" s="70" t="s">
        <v>2638</v>
      </c>
      <c r="T345" s="70" t="s">
        <v>2639</v>
      </c>
      <c r="U345" s="70" t="s">
        <v>33976</v>
      </c>
      <c r="V345" s="82" t="s">
        <v>32666</v>
      </c>
      <c r="W345" s="70" t="s">
        <v>401</v>
      </c>
      <c r="X345" s="70" t="s">
        <v>2643</v>
      </c>
      <c r="Y345" s="70" t="s">
        <v>33977</v>
      </c>
      <c r="AA345" s="82" t="s">
        <v>33978</v>
      </c>
      <c r="AB345" s="82" t="s">
        <v>32616</v>
      </c>
    </row>
    <row r="346" ht="22.5" customHeight="1">
      <c r="A346" s="70" t="s">
        <v>1427</v>
      </c>
      <c r="E346" s="93"/>
      <c r="F346" s="93"/>
      <c r="H346" s="93"/>
      <c r="J346" s="93"/>
      <c r="L346" s="90" t="str">
        <f t="shared" si="2"/>
        <v>Excluded</v>
      </c>
      <c r="M346" s="90">
        <v>0.0</v>
      </c>
      <c r="N346" s="90">
        <v>0.0</v>
      </c>
      <c r="O346" s="70" t="s">
        <v>1430</v>
      </c>
      <c r="P346" s="70" t="s">
        <v>31543</v>
      </c>
      <c r="Q346" s="70" t="s">
        <v>33979</v>
      </c>
      <c r="R346" s="82" t="s">
        <v>33459</v>
      </c>
      <c r="S346" s="70" t="s">
        <v>1428</v>
      </c>
      <c r="T346" s="70" t="s">
        <v>1429</v>
      </c>
      <c r="U346" s="70" t="s">
        <v>33980</v>
      </c>
      <c r="V346" s="82" t="s">
        <v>32666</v>
      </c>
      <c r="W346" s="70" t="s">
        <v>401</v>
      </c>
      <c r="X346" s="70" t="s">
        <v>1435</v>
      </c>
      <c r="Y346" s="70" t="s">
        <v>33981</v>
      </c>
      <c r="AA346" s="82" t="s">
        <v>33982</v>
      </c>
      <c r="AB346" s="82" t="s">
        <v>32616</v>
      </c>
    </row>
    <row r="347" ht="22.5" customHeight="1">
      <c r="A347" s="70" t="s">
        <v>1495</v>
      </c>
      <c r="E347" s="93"/>
      <c r="F347" s="93"/>
      <c r="H347" s="93"/>
      <c r="J347" s="93"/>
      <c r="L347" s="90" t="str">
        <f t="shared" si="2"/>
        <v>Excluded</v>
      </c>
      <c r="M347" s="90">
        <v>0.0</v>
      </c>
      <c r="N347" s="90">
        <v>0.0</v>
      </c>
      <c r="O347" s="70" t="s">
        <v>1498</v>
      </c>
      <c r="P347" s="70" t="s">
        <v>31543</v>
      </c>
      <c r="Q347" s="70" t="s">
        <v>33983</v>
      </c>
      <c r="R347" s="82" t="s">
        <v>33767</v>
      </c>
      <c r="S347" s="70" t="s">
        <v>1496</v>
      </c>
      <c r="T347" s="70" t="s">
        <v>1497</v>
      </c>
      <c r="U347" s="70" t="s">
        <v>33984</v>
      </c>
      <c r="V347" s="82" t="s">
        <v>32666</v>
      </c>
      <c r="W347" s="70" t="s">
        <v>401</v>
      </c>
      <c r="X347" s="70" t="s">
        <v>31223</v>
      </c>
      <c r="Y347" s="70" t="s">
        <v>33985</v>
      </c>
      <c r="AA347" s="82" t="s">
        <v>33986</v>
      </c>
      <c r="AB347" s="82" t="s">
        <v>32616</v>
      </c>
    </row>
    <row r="348" ht="22.5" customHeight="1">
      <c r="A348" s="70" t="s">
        <v>2902</v>
      </c>
      <c r="E348" s="93"/>
      <c r="F348" s="93"/>
      <c r="H348" s="93"/>
      <c r="J348" s="93"/>
      <c r="L348" s="90" t="str">
        <f t="shared" si="2"/>
        <v>Excluded</v>
      </c>
      <c r="M348" s="90">
        <v>0.0</v>
      </c>
      <c r="N348" s="90">
        <v>0.0</v>
      </c>
      <c r="O348" s="70" t="s">
        <v>2905</v>
      </c>
      <c r="P348" s="70" t="s">
        <v>31543</v>
      </c>
      <c r="Q348" s="70" t="s">
        <v>33987</v>
      </c>
      <c r="R348" s="82" t="s">
        <v>33939</v>
      </c>
      <c r="S348" s="70" t="s">
        <v>2903</v>
      </c>
      <c r="T348" s="70" t="s">
        <v>2904</v>
      </c>
      <c r="U348" s="70" t="s">
        <v>33988</v>
      </c>
      <c r="V348" s="82" t="s">
        <v>32666</v>
      </c>
      <c r="W348" s="70" t="s">
        <v>401</v>
      </c>
      <c r="X348" s="70" t="s">
        <v>2910</v>
      </c>
      <c r="AA348" s="82" t="s">
        <v>33989</v>
      </c>
      <c r="AB348" s="82" t="s">
        <v>32616</v>
      </c>
    </row>
    <row r="349" ht="22.5" customHeight="1">
      <c r="A349" s="70" t="s">
        <v>3776</v>
      </c>
      <c r="E349" s="93"/>
      <c r="F349" s="93"/>
      <c r="H349" s="93"/>
      <c r="J349" s="93"/>
      <c r="L349" s="90" t="str">
        <f t="shared" si="2"/>
        <v>Excluded</v>
      </c>
      <c r="M349" s="90">
        <v>0.0</v>
      </c>
      <c r="N349" s="90">
        <v>0.0</v>
      </c>
      <c r="O349" s="70" t="s">
        <v>3777</v>
      </c>
      <c r="P349" s="70" t="s">
        <v>31543</v>
      </c>
      <c r="Q349" s="70" t="s">
        <v>33990</v>
      </c>
      <c r="R349" s="82" t="s">
        <v>33219</v>
      </c>
      <c r="S349" s="70" t="s">
        <v>3635</v>
      </c>
      <c r="T349" s="70" t="s">
        <v>3636</v>
      </c>
      <c r="U349" s="70" t="s">
        <v>33991</v>
      </c>
      <c r="V349" s="82" t="s">
        <v>3779</v>
      </c>
      <c r="X349" s="70" t="s">
        <v>3780</v>
      </c>
      <c r="Y349" s="70" t="s">
        <v>33992</v>
      </c>
      <c r="AA349" s="82" t="s">
        <v>33369</v>
      </c>
      <c r="AB349" s="82" t="s">
        <v>32616</v>
      </c>
    </row>
    <row r="350" ht="22.5" customHeight="1">
      <c r="A350" s="70" t="s">
        <v>4015</v>
      </c>
      <c r="E350" s="93"/>
      <c r="F350" s="93"/>
      <c r="H350" s="93"/>
      <c r="J350" s="93"/>
      <c r="L350" s="90" t="str">
        <f t="shared" si="2"/>
        <v>Excluded</v>
      </c>
      <c r="M350" s="90">
        <v>0.0</v>
      </c>
      <c r="N350" s="90">
        <v>0.0</v>
      </c>
      <c r="O350" s="70" t="s">
        <v>4016</v>
      </c>
      <c r="P350" s="70" t="s">
        <v>31543</v>
      </c>
      <c r="Q350" s="70" t="s">
        <v>33993</v>
      </c>
      <c r="R350" s="82" t="s">
        <v>33019</v>
      </c>
      <c r="S350" s="70" t="s">
        <v>3655</v>
      </c>
      <c r="T350" s="70" t="s">
        <v>3656</v>
      </c>
      <c r="U350" s="70" t="s">
        <v>33994</v>
      </c>
      <c r="V350" s="82" t="s">
        <v>3695</v>
      </c>
      <c r="X350" s="70" t="s">
        <v>31224</v>
      </c>
      <c r="Y350" s="70" t="s">
        <v>33995</v>
      </c>
      <c r="AA350" s="82" t="s">
        <v>33594</v>
      </c>
      <c r="AB350" s="82" t="s">
        <v>32616</v>
      </c>
    </row>
    <row r="351" ht="22.5" customHeight="1">
      <c r="A351" s="70" t="s">
        <v>2604</v>
      </c>
      <c r="E351" s="93"/>
      <c r="F351" s="93"/>
      <c r="H351" s="93"/>
      <c r="J351" s="93"/>
      <c r="L351" s="90" t="str">
        <f t="shared" si="2"/>
        <v>Excluded</v>
      </c>
      <c r="M351" s="90">
        <v>0.0</v>
      </c>
      <c r="N351" s="90">
        <v>0.0</v>
      </c>
      <c r="O351" s="70" t="s">
        <v>2605</v>
      </c>
      <c r="P351" s="70" t="s">
        <v>31543</v>
      </c>
      <c r="Q351" s="70" t="s">
        <v>33996</v>
      </c>
      <c r="R351" s="82" t="s">
        <v>33832</v>
      </c>
      <c r="S351" s="70" t="s">
        <v>2094</v>
      </c>
      <c r="T351" s="70" t="s">
        <v>2095</v>
      </c>
      <c r="U351" s="70" t="s">
        <v>33997</v>
      </c>
      <c r="V351" s="82" t="s">
        <v>32666</v>
      </c>
      <c r="W351" s="70" t="s">
        <v>401</v>
      </c>
      <c r="X351" s="70" t="s">
        <v>2608</v>
      </c>
      <c r="AA351" s="82" t="s">
        <v>33684</v>
      </c>
      <c r="AB351" s="82" t="s">
        <v>32616</v>
      </c>
    </row>
    <row r="352" ht="22.5" customHeight="1">
      <c r="A352" s="70" t="s">
        <v>2093</v>
      </c>
      <c r="E352" s="93"/>
      <c r="F352" s="93"/>
      <c r="H352" s="93"/>
      <c r="J352" s="93"/>
      <c r="L352" s="90" t="str">
        <f t="shared" si="2"/>
        <v>Excluded</v>
      </c>
      <c r="M352" s="90">
        <v>0.0</v>
      </c>
      <c r="N352" s="90">
        <v>0.0</v>
      </c>
      <c r="O352" s="70" t="s">
        <v>2096</v>
      </c>
      <c r="P352" s="70" t="s">
        <v>31543</v>
      </c>
      <c r="Q352" s="70" t="s">
        <v>33998</v>
      </c>
      <c r="R352" s="82" t="s">
        <v>33241</v>
      </c>
      <c r="S352" s="70" t="s">
        <v>2094</v>
      </c>
      <c r="T352" s="70" t="s">
        <v>2095</v>
      </c>
      <c r="U352" s="70" t="s">
        <v>33999</v>
      </c>
      <c r="V352" s="82" t="s">
        <v>32666</v>
      </c>
      <c r="W352" s="70" t="s">
        <v>401</v>
      </c>
      <c r="X352" s="70" t="s">
        <v>31225</v>
      </c>
      <c r="Y352" s="70" t="s">
        <v>34000</v>
      </c>
      <c r="AA352" s="82" t="s">
        <v>33416</v>
      </c>
      <c r="AB352" s="82" t="s">
        <v>32616</v>
      </c>
    </row>
    <row r="353" ht="22.5" customHeight="1">
      <c r="A353" s="70" t="s">
        <v>2553</v>
      </c>
      <c r="E353" s="93"/>
      <c r="F353" s="93"/>
      <c r="H353" s="93"/>
      <c r="J353" s="93"/>
      <c r="L353" s="90" t="str">
        <f t="shared" si="2"/>
        <v>Excluded</v>
      </c>
      <c r="M353" s="90">
        <v>0.0</v>
      </c>
      <c r="N353" s="90">
        <v>0.0</v>
      </c>
      <c r="O353" s="70" t="s">
        <v>2556</v>
      </c>
      <c r="P353" s="70" t="s">
        <v>31543</v>
      </c>
      <c r="Q353" s="70" t="s">
        <v>34001</v>
      </c>
      <c r="R353" s="82" t="s">
        <v>32745</v>
      </c>
      <c r="S353" s="70" t="s">
        <v>2554</v>
      </c>
      <c r="T353" s="70" t="s">
        <v>2555</v>
      </c>
      <c r="U353" s="70" t="s">
        <v>34002</v>
      </c>
      <c r="V353" s="82" t="s">
        <v>32666</v>
      </c>
      <c r="W353" s="70" t="s">
        <v>401</v>
      </c>
      <c r="X353" s="70" t="s">
        <v>2561</v>
      </c>
      <c r="Y353" s="70" t="s">
        <v>34003</v>
      </c>
      <c r="AA353" s="82" t="s">
        <v>33202</v>
      </c>
      <c r="AB353" s="82" t="s">
        <v>32616</v>
      </c>
    </row>
    <row r="354" ht="22.5" customHeight="1">
      <c r="A354" s="70" t="s">
        <v>4437</v>
      </c>
      <c r="E354" s="93"/>
      <c r="F354" s="93"/>
      <c r="H354" s="93"/>
      <c r="J354" s="93"/>
      <c r="L354" s="90" t="str">
        <f t="shared" si="2"/>
        <v>Excluded</v>
      </c>
      <c r="M354" s="90">
        <v>0.0</v>
      </c>
      <c r="N354" s="90">
        <v>0.0</v>
      </c>
      <c r="O354" s="70" t="s">
        <v>4439</v>
      </c>
      <c r="P354" s="70" t="s">
        <v>31543</v>
      </c>
      <c r="Q354" s="70" t="s">
        <v>34004</v>
      </c>
      <c r="R354" s="82" t="s">
        <v>33086</v>
      </c>
      <c r="S354" s="70" t="s">
        <v>4438</v>
      </c>
      <c r="U354" s="70" t="s">
        <v>34005</v>
      </c>
      <c r="V354" s="82" t="s">
        <v>4441</v>
      </c>
      <c r="X354" s="70" t="s">
        <v>4443</v>
      </c>
      <c r="Y354" s="70" t="s">
        <v>34006</v>
      </c>
      <c r="AA354" s="82" t="s">
        <v>33802</v>
      </c>
      <c r="AB354" s="82" t="s">
        <v>32616</v>
      </c>
    </row>
    <row r="355" ht="22.5" customHeight="1">
      <c r="A355" s="70" t="s">
        <v>808</v>
      </c>
      <c r="E355" s="93"/>
      <c r="F355" s="93"/>
      <c r="H355" s="93"/>
      <c r="J355" s="93"/>
      <c r="L355" s="90" t="str">
        <f t="shared" si="2"/>
        <v>Excluded</v>
      </c>
      <c r="M355" s="90">
        <v>0.0</v>
      </c>
      <c r="N355" s="90">
        <v>0.0</v>
      </c>
      <c r="O355" s="70" t="s">
        <v>811</v>
      </c>
      <c r="P355" s="70" t="s">
        <v>31543</v>
      </c>
      <c r="Q355" s="70" t="s">
        <v>34007</v>
      </c>
      <c r="R355" s="82" t="s">
        <v>34008</v>
      </c>
      <c r="S355" s="70" t="s">
        <v>809</v>
      </c>
      <c r="T355" s="70" t="s">
        <v>810</v>
      </c>
      <c r="U355" s="70" t="s">
        <v>34009</v>
      </c>
      <c r="V355" s="82" t="s">
        <v>32666</v>
      </c>
      <c r="W355" s="70" t="s">
        <v>401</v>
      </c>
      <c r="X355" s="70" t="s">
        <v>816</v>
      </c>
      <c r="AA355" s="82" t="s">
        <v>34010</v>
      </c>
      <c r="AB355" s="82" t="s">
        <v>32616</v>
      </c>
    </row>
    <row r="356" ht="22.5" customHeight="1">
      <c r="A356" s="70" t="s">
        <v>740</v>
      </c>
      <c r="E356" s="93"/>
      <c r="F356" s="93"/>
      <c r="H356" s="93"/>
      <c r="J356" s="93"/>
      <c r="L356" s="90" t="str">
        <f t="shared" si="2"/>
        <v>Excluded</v>
      </c>
      <c r="M356" s="90">
        <v>0.0</v>
      </c>
      <c r="N356" s="90">
        <v>0.0</v>
      </c>
      <c r="O356" s="70" t="s">
        <v>743</v>
      </c>
      <c r="P356" s="70" t="s">
        <v>31543</v>
      </c>
      <c r="Q356" s="70" t="s">
        <v>34011</v>
      </c>
      <c r="R356" s="82" t="s">
        <v>32814</v>
      </c>
      <c r="S356" s="70" t="s">
        <v>741</v>
      </c>
      <c r="T356" s="70" t="s">
        <v>742</v>
      </c>
      <c r="U356" s="70" t="s">
        <v>34012</v>
      </c>
      <c r="V356" s="82" t="s">
        <v>32666</v>
      </c>
      <c r="W356" s="70" t="s">
        <v>401</v>
      </c>
      <c r="X356" s="70" t="s">
        <v>747</v>
      </c>
      <c r="Y356" s="70" t="s">
        <v>34013</v>
      </c>
      <c r="AA356" s="82" t="s">
        <v>32982</v>
      </c>
      <c r="AB356" s="82" t="s">
        <v>32616</v>
      </c>
    </row>
    <row r="357" ht="22.5" customHeight="1">
      <c r="A357" s="70" t="s">
        <v>2677</v>
      </c>
      <c r="E357" s="93"/>
      <c r="F357" s="93"/>
      <c r="H357" s="93"/>
      <c r="J357" s="93"/>
      <c r="L357" s="90" t="str">
        <f t="shared" si="2"/>
        <v>Excluded</v>
      </c>
      <c r="M357" s="90">
        <v>0.0</v>
      </c>
      <c r="N357" s="90">
        <v>0.0</v>
      </c>
      <c r="O357" s="70" t="s">
        <v>2680</v>
      </c>
      <c r="P357" s="70" t="s">
        <v>31543</v>
      </c>
      <c r="Q357" s="70" t="s">
        <v>34014</v>
      </c>
      <c r="R357" s="82" t="s">
        <v>32791</v>
      </c>
      <c r="S357" s="70" t="s">
        <v>2678</v>
      </c>
      <c r="T357" s="70" t="s">
        <v>2679</v>
      </c>
      <c r="U357" s="70" t="s">
        <v>34015</v>
      </c>
      <c r="V357" s="82" t="s">
        <v>32666</v>
      </c>
      <c r="W357" s="70" t="s">
        <v>401</v>
      </c>
      <c r="X357" s="70" t="s">
        <v>2684</v>
      </c>
      <c r="Y357" s="70" t="s">
        <v>34016</v>
      </c>
      <c r="AA357" s="82" t="s">
        <v>33890</v>
      </c>
      <c r="AB357" s="82" t="s">
        <v>32616</v>
      </c>
    </row>
    <row r="358" ht="22.5" customHeight="1">
      <c r="A358" s="70" t="s">
        <v>1855</v>
      </c>
      <c r="E358" s="93"/>
      <c r="F358" s="93"/>
      <c r="H358" s="93"/>
      <c r="J358" s="93"/>
      <c r="L358" s="90" t="str">
        <f t="shared" si="2"/>
        <v>Excluded</v>
      </c>
      <c r="M358" s="90">
        <v>0.0</v>
      </c>
      <c r="N358" s="90">
        <v>0.0</v>
      </c>
      <c r="O358" s="70" t="s">
        <v>1858</v>
      </c>
      <c r="P358" s="70" t="s">
        <v>31543</v>
      </c>
      <c r="Q358" s="70" t="s">
        <v>34017</v>
      </c>
      <c r="R358" s="82" t="s">
        <v>33744</v>
      </c>
      <c r="S358" s="70" t="s">
        <v>1856</v>
      </c>
      <c r="T358" s="70" t="s">
        <v>1857</v>
      </c>
      <c r="U358" s="70" t="s">
        <v>34018</v>
      </c>
      <c r="V358" s="82" t="s">
        <v>32666</v>
      </c>
      <c r="W358" s="70" t="s">
        <v>401</v>
      </c>
      <c r="X358" s="70" t="s">
        <v>1862</v>
      </c>
      <c r="Y358" s="70" t="s">
        <v>34019</v>
      </c>
      <c r="AA358" s="82" t="s">
        <v>33211</v>
      </c>
      <c r="AB358" s="82" t="s">
        <v>32616</v>
      </c>
    </row>
    <row r="359" ht="22.5" customHeight="1">
      <c r="A359" s="70" t="s">
        <v>2048</v>
      </c>
      <c r="E359" s="93"/>
      <c r="F359" s="93"/>
      <c r="H359" s="93"/>
      <c r="J359" s="93"/>
      <c r="L359" s="90" t="str">
        <f t="shared" si="2"/>
        <v>Excluded</v>
      </c>
      <c r="M359" s="90">
        <v>0.0</v>
      </c>
      <c r="N359" s="90">
        <v>0.0</v>
      </c>
      <c r="O359" s="70" t="s">
        <v>2051</v>
      </c>
      <c r="P359" s="70" t="s">
        <v>31543</v>
      </c>
      <c r="Q359" s="70" t="s">
        <v>34020</v>
      </c>
      <c r="R359" s="82" t="s">
        <v>33797</v>
      </c>
      <c r="S359" s="70" t="s">
        <v>2049</v>
      </c>
      <c r="T359" s="70" t="s">
        <v>2050</v>
      </c>
      <c r="U359" s="70" t="s">
        <v>34021</v>
      </c>
      <c r="V359" s="82" t="s">
        <v>32666</v>
      </c>
      <c r="W359" s="70" t="s">
        <v>401</v>
      </c>
      <c r="X359" s="70" t="s">
        <v>2055</v>
      </c>
      <c r="Y359" s="70" t="s">
        <v>34022</v>
      </c>
      <c r="AA359" s="82" t="s">
        <v>33221</v>
      </c>
      <c r="AB359" s="82" t="s">
        <v>32616</v>
      </c>
    </row>
    <row r="360" ht="22.5" customHeight="1">
      <c r="A360" s="70" t="s">
        <v>1961</v>
      </c>
      <c r="E360" s="93"/>
      <c r="F360" s="93"/>
      <c r="H360" s="93"/>
      <c r="J360" s="93"/>
      <c r="L360" s="90" t="str">
        <f t="shared" si="2"/>
        <v>Excluded</v>
      </c>
      <c r="M360" s="90">
        <v>0.0</v>
      </c>
      <c r="N360" s="90">
        <v>0.0</v>
      </c>
      <c r="O360" s="70" t="s">
        <v>1964</v>
      </c>
      <c r="P360" s="70" t="s">
        <v>31543</v>
      </c>
      <c r="Q360" s="70" t="s">
        <v>34023</v>
      </c>
      <c r="R360" s="82" t="s">
        <v>33853</v>
      </c>
      <c r="S360" s="70" t="s">
        <v>1962</v>
      </c>
      <c r="T360" s="70" t="s">
        <v>1963</v>
      </c>
      <c r="U360" s="70" t="s">
        <v>34024</v>
      </c>
      <c r="V360" s="82" t="s">
        <v>32666</v>
      </c>
      <c r="W360" s="70" t="s">
        <v>401</v>
      </c>
      <c r="X360" s="70" t="s">
        <v>1968</v>
      </c>
      <c r="AA360" s="82" t="s">
        <v>33284</v>
      </c>
      <c r="AB360" s="82" t="s">
        <v>32616</v>
      </c>
    </row>
    <row r="361" ht="22.5" customHeight="1">
      <c r="A361" s="70" t="s">
        <v>4076</v>
      </c>
      <c r="E361" s="93"/>
      <c r="F361" s="93"/>
      <c r="H361" s="93"/>
      <c r="J361" s="93"/>
      <c r="L361" s="90" t="str">
        <f t="shared" si="2"/>
        <v>Excluded</v>
      </c>
      <c r="M361" s="90">
        <v>0.0</v>
      </c>
      <c r="N361" s="90">
        <v>0.0</v>
      </c>
      <c r="O361" s="70" t="s">
        <v>4079</v>
      </c>
      <c r="P361" s="70" t="s">
        <v>31543</v>
      </c>
      <c r="Q361" s="70" t="s">
        <v>34025</v>
      </c>
      <c r="R361" s="82" t="s">
        <v>33713</v>
      </c>
      <c r="S361" s="70" t="s">
        <v>4077</v>
      </c>
      <c r="T361" s="70" t="s">
        <v>4078</v>
      </c>
      <c r="U361" s="70" t="s">
        <v>34026</v>
      </c>
      <c r="V361" s="82" t="s">
        <v>3685</v>
      </c>
      <c r="X361" s="70" t="s">
        <v>31228</v>
      </c>
      <c r="Y361" s="70" t="s">
        <v>34027</v>
      </c>
      <c r="AA361" s="82" t="s">
        <v>34028</v>
      </c>
      <c r="AB361" s="82" t="s">
        <v>32616</v>
      </c>
    </row>
    <row r="362" ht="22.5" customHeight="1">
      <c r="A362" s="70" t="s">
        <v>654</v>
      </c>
      <c r="E362" s="93"/>
      <c r="F362" s="93"/>
      <c r="H362" s="93"/>
      <c r="J362" s="93"/>
      <c r="L362" s="90" t="str">
        <f t="shared" si="2"/>
        <v>Excluded</v>
      </c>
      <c r="M362" s="90">
        <v>0.0</v>
      </c>
      <c r="N362" s="90">
        <v>0.0</v>
      </c>
      <c r="O362" s="70" t="s">
        <v>657</v>
      </c>
      <c r="P362" s="70" t="s">
        <v>31543</v>
      </c>
      <c r="Q362" s="70" t="s">
        <v>31720</v>
      </c>
      <c r="R362" s="82" t="s">
        <v>33260</v>
      </c>
      <c r="S362" s="70" t="s">
        <v>655</v>
      </c>
      <c r="T362" s="70" t="s">
        <v>656</v>
      </c>
      <c r="U362" s="70" t="s">
        <v>31721</v>
      </c>
      <c r="V362" s="82" t="s">
        <v>32666</v>
      </c>
      <c r="W362" s="70" t="s">
        <v>401</v>
      </c>
      <c r="X362" s="70" t="s">
        <v>661</v>
      </c>
      <c r="AA362" s="82" t="s">
        <v>32849</v>
      </c>
      <c r="AB362" s="82" t="s">
        <v>32616</v>
      </c>
    </row>
    <row r="363" ht="22.5" customHeight="1">
      <c r="A363" s="70" t="s">
        <v>3941</v>
      </c>
      <c r="E363" s="93"/>
      <c r="F363" s="93"/>
      <c r="H363" s="93"/>
      <c r="J363" s="93"/>
      <c r="L363" s="90" t="str">
        <f t="shared" si="2"/>
        <v>Excluded</v>
      </c>
      <c r="M363" s="90">
        <v>0.0</v>
      </c>
      <c r="N363" s="90">
        <v>0.0</v>
      </c>
      <c r="O363" s="70" t="s">
        <v>3942</v>
      </c>
      <c r="P363" s="70" t="s">
        <v>31543</v>
      </c>
      <c r="Q363" s="70" t="s">
        <v>34029</v>
      </c>
      <c r="R363" s="82" t="s">
        <v>33893</v>
      </c>
      <c r="S363" s="70" t="s">
        <v>3673</v>
      </c>
      <c r="T363" s="70" t="s">
        <v>3674</v>
      </c>
      <c r="U363" s="70" t="s">
        <v>34030</v>
      </c>
      <c r="V363" s="82" t="s">
        <v>3730</v>
      </c>
      <c r="X363" s="70" t="s">
        <v>31230</v>
      </c>
      <c r="Y363" s="70" t="s">
        <v>34031</v>
      </c>
      <c r="AA363" s="82" t="s">
        <v>32854</v>
      </c>
      <c r="AB363" s="82" t="s">
        <v>32616</v>
      </c>
    </row>
    <row r="364" ht="22.5" customHeight="1">
      <c r="A364" s="70" t="s">
        <v>1658</v>
      </c>
      <c r="E364" s="93"/>
      <c r="F364" s="93"/>
      <c r="H364" s="93"/>
      <c r="J364" s="93"/>
      <c r="L364" s="90" t="str">
        <f t="shared" si="2"/>
        <v>Excluded</v>
      </c>
      <c r="M364" s="90">
        <v>0.0</v>
      </c>
      <c r="N364" s="90">
        <v>0.0</v>
      </c>
      <c r="O364" s="70" t="s">
        <v>1661</v>
      </c>
      <c r="P364" s="70" t="s">
        <v>31543</v>
      </c>
      <c r="Q364" s="70" t="s">
        <v>34032</v>
      </c>
      <c r="R364" s="82" t="s">
        <v>33982</v>
      </c>
      <c r="S364" s="70" t="s">
        <v>1659</v>
      </c>
      <c r="T364" s="70" t="s">
        <v>1660</v>
      </c>
      <c r="U364" s="70" t="s">
        <v>34033</v>
      </c>
      <c r="V364" s="82" t="s">
        <v>32666</v>
      </c>
      <c r="W364" s="70" t="s">
        <v>401</v>
      </c>
      <c r="X364" s="70" t="s">
        <v>1665</v>
      </c>
      <c r="Y364" s="70" t="s">
        <v>34034</v>
      </c>
      <c r="AA364" s="82" t="s">
        <v>33653</v>
      </c>
      <c r="AB364" s="82" t="s">
        <v>32616</v>
      </c>
    </row>
    <row r="365" ht="22.5" customHeight="1">
      <c r="A365" s="70" t="s">
        <v>2143</v>
      </c>
      <c r="E365" s="93"/>
      <c r="F365" s="93"/>
      <c r="H365" s="93"/>
      <c r="J365" s="93"/>
      <c r="L365" s="90" t="str">
        <f t="shared" si="2"/>
        <v>Excluded</v>
      </c>
      <c r="M365" s="90">
        <v>0.0</v>
      </c>
      <c r="N365" s="90">
        <v>0.0</v>
      </c>
      <c r="O365" s="70" t="s">
        <v>2144</v>
      </c>
      <c r="P365" s="70" t="s">
        <v>31543</v>
      </c>
      <c r="Q365" s="70" t="s">
        <v>34035</v>
      </c>
      <c r="R365" s="82" t="s">
        <v>33978</v>
      </c>
      <c r="S365" s="70" t="s">
        <v>1659</v>
      </c>
      <c r="T365" s="70" t="s">
        <v>1660</v>
      </c>
      <c r="U365" s="70" t="s">
        <v>34036</v>
      </c>
      <c r="V365" s="82" t="s">
        <v>32666</v>
      </c>
      <c r="W365" s="70" t="s">
        <v>401</v>
      </c>
      <c r="X365" s="70" t="s">
        <v>2146</v>
      </c>
      <c r="Y365" s="70" t="s">
        <v>34037</v>
      </c>
      <c r="AA365" s="82" t="s">
        <v>33054</v>
      </c>
      <c r="AB365" s="82" t="s">
        <v>32616</v>
      </c>
    </row>
    <row r="366" ht="22.5" customHeight="1">
      <c r="A366" s="70" t="s">
        <v>3727</v>
      </c>
      <c r="E366" s="93"/>
      <c r="F366" s="93"/>
      <c r="H366" s="93"/>
      <c r="J366" s="93"/>
      <c r="L366" s="90" t="str">
        <f t="shared" si="2"/>
        <v>Excluded</v>
      </c>
      <c r="M366" s="90">
        <v>0.0</v>
      </c>
      <c r="N366" s="90">
        <v>0.0</v>
      </c>
      <c r="O366" s="70" t="s">
        <v>3728</v>
      </c>
      <c r="P366" s="70" t="s">
        <v>31543</v>
      </c>
      <c r="Q366" s="70" t="s">
        <v>34038</v>
      </c>
      <c r="R366" s="82" t="s">
        <v>32968</v>
      </c>
      <c r="S366" s="70" t="s">
        <v>3655</v>
      </c>
      <c r="T366" s="70" t="s">
        <v>3656</v>
      </c>
      <c r="U366" s="70" t="s">
        <v>34039</v>
      </c>
      <c r="V366" s="82" t="s">
        <v>3730</v>
      </c>
      <c r="X366" s="70" t="s">
        <v>31232</v>
      </c>
      <c r="Y366" s="70" t="s">
        <v>34040</v>
      </c>
      <c r="AA366" s="82" t="s">
        <v>33550</v>
      </c>
      <c r="AB366" s="82" t="s">
        <v>32616</v>
      </c>
    </row>
    <row r="367" ht="22.5" customHeight="1">
      <c r="A367" s="70" t="s">
        <v>2499</v>
      </c>
      <c r="E367" s="93"/>
      <c r="F367" s="93"/>
      <c r="H367" s="93"/>
      <c r="J367" s="93"/>
      <c r="L367" s="90" t="str">
        <f t="shared" si="2"/>
        <v>Excluded</v>
      </c>
      <c r="M367" s="90">
        <v>0.0</v>
      </c>
      <c r="N367" s="90">
        <v>0.0</v>
      </c>
      <c r="O367" s="70" t="s">
        <v>2502</v>
      </c>
      <c r="P367" s="70" t="s">
        <v>31543</v>
      </c>
      <c r="Q367" s="70" t="s">
        <v>34041</v>
      </c>
      <c r="R367" s="82" t="s">
        <v>33718</v>
      </c>
      <c r="S367" s="70" t="s">
        <v>2500</v>
      </c>
      <c r="T367" s="70" t="s">
        <v>2501</v>
      </c>
      <c r="U367" s="70" t="s">
        <v>34042</v>
      </c>
      <c r="V367" s="82" t="s">
        <v>32666</v>
      </c>
      <c r="W367" s="70" t="s">
        <v>401</v>
      </c>
      <c r="X367" s="70" t="s">
        <v>2507</v>
      </c>
      <c r="AA367" s="82" t="s">
        <v>33258</v>
      </c>
      <c r="AB367" s="82" t="s">
        <v>32616</v>
      </c>
    </row>
    <row r="368" ht="22.5" customHeight="1">
      <c r="A368" s="70" t="s">
        <v>875</v>
      </c>
      <c r="E368" s="93"/>
      <c r="F368" s="93"/>
      <c r="H368" s="93"/>
      <c r="J368" s="93"/>
      <c r="L368" s="90" t="str">
        <f t="shared" si="2"/>
        <v>Excluded</v>
      </c>
      <c r="M368" s="90">
        <v>0.0</v>
      </c>
      <c r="N368" s="90">
        <v>0.0</v>
      </c>
      <c r="O368" s="70" t="s">
        <v>878</v>
      </c>
      <c r="P368" s="70" t="s">
        <v>31543</v>
      </c>
      <c r="Q368" s="70" t="s">
        <v>34043</v>
      </c>
      <c r="R368" s="82" t="s">
        <v>33567</v>
      </c>
      <c r="S368" s="70" t="s">
        <v>876</v>
      </c>
      <c r="T368" s="70" t="s">
        <v>877</v>
      </c>
      <c r="U368" s="70" t="s">
        <v>34044</v>
      </c>
      <c r="V368" s="82" t="s">
        <v>32666</v>
      </c>
      <c r="W368" s="70" t="s">
        <v>401</v>
      </c>
      <c r="X368" s="70" t="s">
        <v>883</v>
      </c>
      <c r="Y368" s="70" t="s">
        <v>34045</v>
      </c>
      <c r="AA368" s="82" t="s">
        <v>33769</v>
      </c>
      <c r="AB368" s="82" t="s">
        <v>32616</v>
      </c>
    </row>
    <row r="369" ht="22.5" customHeight="1">
      <c r="A369" s="70" t="s">
        <v>1530</v>
      </c>
      <c r="E369" s="93"/>
      <c r="F369" s="93"/>
      <c r="H369" s="93"/>
      <c r="J369" s="93"/>
      <c r="L369" s="90" t="str">
        <f t="shared" si="2"/>
        <v>Excluded</v>
      </c>
      <c r="M369" s="90">
        <v>0.0</v>
      </c>
      <c r="N369" s="90">
        <v>0.0</v>
      </c>
      <c r="O369" s="70" t="s">
        <v>1533</v>
      </c>
      <c r="P369" s="70" t="s">
        <v>31543</v>
      </c>
      <c r="Q369" s="70" t="s">
        <v>34046</v>
      </c>
      <c r="R369" s="82" t="s">
        <v>33500</v>
      </c>
      <c r="S369" s="70" t="s">
        <v>1531</v>
      </c>
      <c r="T369" s="70" t="s">
        <v>1532</v>
      </c>
      <c r="U369" s="70" t="s">
        <v>34047</v>
      </c>
      <c r="V369" s="82" t="s">
        <v>32666</v>
      </c>
      <c r="W369" s="70" t="s">
        <v>401</v>
      </c>
      <c r="X369" s="70" t="s">
        <v>1537</v>
      </c>
      <c r="Y369" s="70" t="s">
        <v>34048</v>
      </c>
      <c r="AA369" s="82" t="s">
        <v>33879</v>
      </c>
      <c r="AB369" s="82" t="s">
        <v>32616</v>
      </c>
    </row>
    <row r="370" ht="22.5" customHeight="1">
      <c r="A370" s="70" t="s">
        <v>3718</v>
      </c>
      <c r="E370" s="93"/>
      <c r="F370" s="93"/>
      <c r="H370" s="93"/>
      <c r="J370" s="93"/>
      <c r="L370" s="90" t="str">
        <f t="shared" si="2"/>
        <v>Excluded</v>
      </c>
      <c r="M370" s="90">
        <v>0.0</v>
      </c>
      <c r="N370" s="90">
        <v>0.0</v>
      </c>
      <c r="O370" s="70" t="s">
        <v>3721</v>
      </c>
      <c r="P370" s="70" t="s">
        <v>31543</v>
      </c>
      <c r="Q370" s="70" t="s">
        <v>34049</v>
      </c>
      <c r="R370" s="82" t="s">
        <v>33671</v>
      </c>
      <c r="S370" s="70" t="s">
        <v>3719</v>
      </c>
      <c r="T370" s="70" t="s">
        <v>3720</v>
      </c>
      <c r="U370" s="70" t="s">
        <v>34050</v>
      </c>
      <c r="V370" s="82" t="s">
        <v>3685</v>
      </c>
      <c r="X370" s="70" t="s">
        <v>3723</v>
      </c>
      <c r="Y370" s="70" t="s">
        <v>34051</v>
      </c>
      <c r="AA370" s="82" t="s">
        <v>32887</v>
      </c>
      <c r="AB370" s="82" t="s">
        <v>32616</v>
      </c>
    </row>
    <row r="371" ht="22.5" customHeight="1">
      <c r="A371" s="70" t="s">
        <v>2037</v>
      </c>
      <c r="E371" s="93"/>
      <c r="F371" s="93"/>
      <c r="H371" s="93"/>
      <c r="J371" s="93"/>
      <c r="L371" s="90" t="str">
        <f t="shared" si="2"/>
        <v>Excluded</v>
      </c>
      <c r="M371" s="90">
        <v>0.0</v>
      </c>
      <c r="N371" s="90">
        <v>0.0</v>
      </c>
      <c r="O371" s="70" t="s">
        <v>2040</v>
      </c>
      <c r="P371" s="70" t="s">
        <v>31543</v>
      </c>
      <c r="Q371" s="70" t="s">
        <v>34052</v>
      </c>
      <c r="R371" s="82" t="s">
        <v>33165</v>
      </c>
      <c r="S371" s="70" t="s">
        <v>2038</v>
      </c>
      <c r="T371" s="70" t="s">
        <v>2039</v>
      </c>
      <c r="U371" s="70" t="s">
        <v>34053</v>
      </c>
      <c r="V371" s="82" t="s">
        <v>32666</v>
      </c>
      <c r="W371" s="70" t="s">
        <v>401</v>
      </c>
      <c r="X371" s="70" t="s">
        <v>2045</v>
      </c>
      <c r="AA371" s="82" t="s">
        <v>33569</v>
      </c>
      <c r="AB371" s="82" t="s">
        <v>32616</v>
      </c>
    </row>
    <row r="372" ht="22.5" customHeight="1">
      <c r="A372" s="70" t="s">
        <v>2522</v>
      </c>
      <c r="E372" s="93"/>
      <c r="F372" s="93"/>
      <c r="H372" s="93"/>
      <c r="J372" s="93"/>
      <c r="L372" s="90" t="str">
        <f t="shared" si="2"/>
        <v>Excluded</v>
      </c>
      <c r="M372" s="90">
        <v>0.0</v>
      </c>
      <c r="N372" s="90">
        <v>0.0</v>
      </c>
      <c r="O372" s="70" t="s">
        <v>2525</v>
      </c>
      <c r="P372" s="70" t="s">
        <v>31543</v>
      </c>
      <c r="Q372" s="70" t="s">
        <v>34054</v>
      </c>
      <c r="R372" s="82" t="s">
        <v>33927</v>
      </c>
      <c r="S372" s="70" t="s">
        <v>2523</v>
      </c>
      <c r="T372" s="70" t="s">
        <v>2524</v>
      </c>
      <c r="U372" s="70" t="s">
        <v>34055</v>
      </c>
      <c r="V372" s="82" t="s">
        <v>32666</v>
      </c>
      <c r="W372" s="70" t="s">
        <v>401</v>
      </c>
      <c r="X372" s="70" t="s">
        <v>2530</v>
      </c>
      <c r="Y372" s="70" t="s">
        <v>34056</v>
      </c>
      <c r="AA372" s="82" t="s">
        <v>33469</v>
      </c>
      <c r="AB372" s="82" t="s">
        <v>32616</v>
      </c>
    </row>
    <row r="373" ht="22.5" customHeight="1">
      <c r="A373" s="70" t="s">
        <v>2488</v>
      </c>
      <c r="E373" s="93"/>
      <c r="F373" s="93"/>
      <c r="H373" s="93"/>
      <c r="J373" s="93"/>
      <c r="L373" s="90" t="str">
        <f t="shared" si="2"/>
        <v>Excluded</v>
      </c>
      <c r="M373" s="90">
        <v>0.0</v>
      </c>
      <c r="N373" s="90">
        <v>0.0</v>
      </c>
      <c r="O373" s="70" t="s">
        <v>2491</v>
      </c>
      <c r="P373" s="70" t="s">
        <v>31543</v>
      </c>
      <c r="Q373" s="70" t="s">
        <v>34057</v>
      </c>
      <c r="R373" s="82" t="s">
        <v>33410</v>
      </c>
      <c r="S373" s="70" t="s">
        <v>2489</v>
      </c>
      <c r="T373" s="70" t="s">
        <v>2490</v>
      </c>
      <c r="U373" s="70" t="s">
        <v>34058</v>
      </c>
      <c r="V373" s="82" t="s">
        <v>32666</v>
      </c>
      <c r="W373" s="70" t="s">
        <v>401</v>
      </c>
      <c r="X373" s="70" t="s">
        <v>2495</v>
      </c>
      <c r="Y373" s="70" t="s">
        <v>34059</v>
      </c>
      <c r="AA373" s="82" t="s">
        <v>32992</v>
      </c>
      <c r="AB373" s="82" t="s">
        <v>32616</v>
      </c>
    </row>
    <row r="374" ht="22.5" customHeight="1">
      <c r="A374" s="70" t="s">
        <v>1798</v>
      </c>
      <c r="E374" s="93"/>
      <c r="F374" s="93"/>
      <c r="H374" s="93"/>
      <c r="J374" s="93"/>
      <c r="L374" s="90" t="str">
        <f t="shared" si="2"/>
        <v>Excluded</v>
      </c>
      <c r="M374" s="90">
        <v>0.0</v>
      </c>
      <c r="N374" s="90">
        <v>0.0</v>
      </c>
      <c r="O374" s="70" t="s">
        <v>1801</v>
      </c>
      <c r="P374" s="70" t="s">
        <v>31543</v>
      </c>
      <c r="Q374" s="70" t="s">
        <v>34060</v>
      </c>
      <c r="R374" s="82" t="s">
        <v>33776</v>
      </c>
      <c r="S374" s="70" t="s">
        <v>1799</v>
      </c>
      <c r="T374" s="70" t="s">
        <v>1800</v>
      </c>
      <c r="U374" s="70" t="s">
        <v>34061</v>
      </c>
      <c r="V374" s="82" t="s">
        <v>32666</v>
      </c>
      <c r="W374" s="70" t="s">
        <v>401</v>
      </c>
      <c r="X374" s="70" t="s">
        <v>1806</v>
      </c>
      <c r="Y374" s="70" t="s">
        <v>34062</v>
      </c>
      <c r="AA374" s="82" t="s">
        <v>33356</v>
      </c>
      <c r="AB374" s="82" t="s">
        <v>32616</v>
      </c>
    </row>
    <row r="375" ht="22.5" customHeight="1">
      <c r="A375" s="70" t="s">
        <v>3792</v>
      </c>
      <c r="E375" s="93"/>
      <c r="F375" s="93"/>
      <c r="H375" s="93"/>
      <c r="J375" s="93"/>
      <c r="L375" s="90" t="str">
        <f t="shared" si="2"/>
        <v>Excluded</v>
      </c>
      <c r="M375" s="90">
        <v>0.0</v>
      </c>
      <c r="N375" s="90">
        <v>0.0</v>
      </c>
      <c r="O375" s="70" t="s">
        <v>3794</v>
      </c>
      <c r="P375" s="70" t="s">
        <v>31543</v>
      </c>
      <c r="Q375" s="70" t="s">
        <v>34063</v>
      </c>
      <c r="R375" s="82" t="s">
        <v>32955</v>
      </c>
      <c r="S375" s="70" t="s">
        <v>3793</v>
      </c>
      <c r="U375" s="70" t="s">
        <v>34064</v>
      </c>
      <c r="V375" s="82" t="s">
        <v>3730</v>
      </c>
      <c r="X375" s="70" t="s">
        <v>31234</v>
      </c>
      <c r="Y375" s="70" t="s">
        <v>34065</v>
      </c>
      <c r="AA375" s="82" t="s">
        <v>34066</v>
      </c>
      <c r="AB375" s="82" t="s">
        <v>32616</v>
      </c>
    </row>
    <row r="376" ht="22.5" customHeight="1">
      <c r="A376" s="70" t="s">
        <v>3808</v>
      </c>
      <c r="E376" s="93"/>
      <c r="F376" s="93"/>
      <c r="H376" s="93"/>
      <c r="J376" s="93"/>
      <c r="L376" s="90" t="str">
        <f t="shared" si="2"/>
        <v>Excluded</v>
      </c>
      <c r="M376" s="90">
        <v>0.0</v>
      </c>
      <c r="N376" s="90">
        <v>0.0</v>
      </c>
      <c r="O376" s="70" t="s">
        <v>3809</v>
      </c>
      <c r="P376" s="70" t="s">
        <v>31543</v>
      </c>
      <c r="Q376" s="70" t="s">
        <v>34067</v>
      </c>
      <c r="R376" s="82" t="s">
        <v>33935</v>
      </c>
      <c r="S376" s="70" t="s">
        <v>3743</v>
      </c>
      <c r="T376" s="70" t="s">
        <v>3744</v>
      </c>
      <c r="U376" s="70" t="s">
        <v>34068</v>
      </c>
      <c r="V376" s="82" t="s">
        <v>3811</v>
      </c>
      <c r="X376" s="70" t="s">
        <v>3812</v>
      </c>
      <c r="Y376" s="70" t="s">
        <v>34069</v>
      </c>
      <c r="AA376" s="82" t="s">
        <v>33325</v>
      </c>
      <c r="AB376" s="82" t="s">
        <v>32616</v>
      </c>
    </row>
    <row r="377" ht="22.5" customHeight="1">
      <c r="A377" s="70" t="s">
        <v>4267</v>
      </c>
      <c r="E377" s="93"/>
      <c r="F377" s="93"/>
      <c r="H377" s="93"/>
      <c r="J377" s="93"/>
      <c r="L377" s="90" t="str">
        <f t="shared" si="2"/>
        <v>Excluded</v>
      </c>
      <c r="M377" s="90">
        <v>0.0</v>
      </c>
      <c r="N377" s="90">
        <v>0.0</v>
      </c>
      <c r="O377" s="70" t="s">
        <v>4268</v>
      </c>
      <c r="P377" s="70" t="s">
        <v>31543</v>
      </c>
      <c r="Q377" s="70" t="s">
        <v>34070</v>
      </c>
      <c r="R377" s="82" t="s">
        <v>32972</v>
      </c>
      <c r="S377" s="70" t="s">
        <v>4231</v>
      </c>
      <c r="T377" s="70" t="s">
        <v>4232</v>
      </c>
      <c r="U377" s="70" t="s">
        <v>34071</v>
      </c>
      <c r="V377" s="82" t="s">
        <v>3811</v>
      </c>
      <c r="X377" s="70" t="s">
        <v>4270</v>
      </c>
      <c r="Y377" s="70" t="s">
        <v>34072</v>
      </c>
      <c r="AA377" s="82" t="s">
        <v>33870</v>
      </c>
      <c r="AB377" s="82" t="s">
        <v>32616</v>
      </c>
    </row>
    <row r="378" ht="22.5" customHeight="1">
      <c r="A378" s="70" t="s">
        <v>4274</v>
      </c>
      <c r="E378" s="93"/>
      <c r="F378" s="93"/>
      <c r="H378" s="93"/>
      <c r="J378" s="93"/>
      <c r="L378" s="90" t="str">
        <f t="shared" si="2"/>
        <v>Excluded</v>
      </c>
      <c r="M378" s="90">
        <v>0.0</v>
      </c>
      <c r="N378" s="90">
        <v>0.0</v>
      </c>
      <c r="O378" s="70" t="s">
        <v>4275</v>
      </c>
      <c r="P378" s="70" t="s">
        <v>31543</v>
      </c>
      <c r="Q378" s="70" t="s">
        <v>34073</v>
      </c>
      <c r="R378" s="82" t="s">
        <v>33048</v>
      </c>
      <c r="S378" s="70" t="s">
        <v>3860</v>
      </c>
      <c r="T378" s="70" t="s">
        <v>3861</v>
      </c>
      <c r="U378" s="70" t="s">
        <v>34074</v>
      </c>
      <c r="V378" s="82" t="s">
        <v>3685</v>
      </c>
      <c r="X378" s="70" t="s">
        <v>4277</v>
      </c>
      <c r="Y378" s="70" t="s">
        <v>34075</v>
      </c>
      <c r="AA378" s="82" t="s">
        <v>34076</v>
      </c>
      <c r="AB378" s="82" t="s">
        <v>32616</v>
      </c>
    </row>
    <row r="379" ht="22.5" customHeight="1">
      <c r="A379" s="70" t="s">
        <v>1014</v>
      </c>
      <c r="E379" s="93"/>
      <c r="F379" s="93"/>
      <c r="H379" s="93"/>
      <c r="J379" s="93"/>
      <c r="L379" s="90" t="str">
        <f t="shared" si="2"/>
        <v>Excluded</v>
      </c>
      <c r="M379" s="90">
        <v>0.0</v>
      </c>
      <c r="N379" s="90">
        <v>0.0</v>
      </c>
      <c r="O379" s="70" t="s">
        <v>1017</v>
      </c>
      <c r="P379" s="70" t="s">
        <v>31543</v>
      </c>
      <c r="Q379" s="70" t="s">
        <v>34077</v>
      </c>
      <c r="R379" s="82" t="s">
        <v>33315</v>
      </c>
      <c r="S379" s="70" t="s">
        <v>1015</v>
      </c>
      <c r="T379" s="70" t="s">
        <v>1016</v>
      </c>
      <c r="U379" s="70" t="s">
        <v>34078</v>
      </c>
      <c r="V379" s="82" t="s">
        <v>32666</v>
      </c>
      <c r="W379" s="70" t="s">
        <v>401</v>
      </c>
      <c r="X379" s="70" t="s">
        <v>1021</v>
      </c>
      <c r="Y379" s="70" t="s">
        <v>34079</v>
      </c>
      <c r="AA379" s="82" t="s">
        <v>33288</v>
      </c>
      <c r="AB379" s="82" t="s">
        <v>32616</v>
      </c>
    </row>
    <row r="380" ht="22.5" customHeight="1">
      <c r="A380" s="70" t="s">
        <v>3892</v>
      </c>
      <c r="E380" s="93"/>
      <c r="F380" s="93"/>
      <c r="H380" s="93"/>
      <c r="J380" s="93"/>
      <c r="L380" s="90" t="str">
        <f t="shared" si="2"/>
        <v>Excluded</v>
      </c>
      <c r="M380" s="90">
        <v>0.0</v>
      </c>
      <c r="N380" s="90">
        <v>0.0</v>
      </c>
      <c r="O380" s="70" t="s">
        <v>3893</v>
      </c>
      <c r="P380" s="70" t="s">
        <v>31543</v>
      </c>
      <c r="Q380" s="70" t="s">
        <v>34080</v>
      </c>
      <c r="R380" s="82" t="s">
        <v>33772</v>
      </c>
      <c r="S380" s="70" t="s">
        <v>3635</v>
      </c>
      <c r="T380" s="70" t="s">
        <v>3636</v>
      </c>
      <c r="U380" s="70" t="s">
        <v>34081</v>
      </c>
      <c r="V380" s="82" t="s">
        <v>3895</v>
      </c>
      <c r="X380" s="70" t="s">
        <v>3896</v>
      </c>
      <c r="Y380" s="70" t="s">
        <v>34082</v>
      </c>
      <c r="AA380" s="82" t="s">
        <v>33620</v>
      </c>
      <c r="AB380" s="82" t="s">
        <v>32616</v>
      </c>
    </row>
    <row r="381" ht="22.5" customHeight="1">
      <c r="A381" s="70" t="s">
        <v>981</v>
      </c>
      <c r="E381" s="93"/>
      <c r="F381" s="93"/>
      <c r="H381" s="93"/>
      <c r="J381" s="93"/>
      <c r="L381" s="90" t="str">
        <f t="shared" si="2"/>
        <v>Excluded</v>
      </c>
      <c r="M381" s="90">
        <v>0.0</v>
      </c>
      <c r="N381" s="90">
        <v>0.0</v>
      </c>
      <c r="O381" s="70" t="s">
        <v>984</v>
      </c>
      <c r="P381" s="70" t="s">
        <v>31543</v>
      </c>
      <c r="Q381" s="70" t="s">
        <v>34083</v>
      </c>
      <c r="R381" s="82" t="s">
        <v>33727</v>
      </c>
      <c r="S381" s="70" t="s">
        <v>982</v>
      </c>
      <c r="T381" s="70" t="s">
        <v>983</v>
      </c>
      <c r="U381" s="70" t="s">
        <v>34084</v>
      </c>
      <c r="V381" s="82" t="s">
        <v>32666</v>
      </c>
      <c r="W381" s="70" t="s">
        <v>401</v>
      </c>
      <c r="X381" s="70" t="s">
        <v>989</v>
      </c>
      <c r="Y381" s="70" t="s">
        <v>34085</v>
      </c>
      <c r="AA381" s="82" t="s">
        <v>33106</v>
      </c>
      <c r="AB381" s="82" t="s">
        <v>32616</v>
      </c>
    </row>
    <row r="382" ht="22.5" customHeight="1">
      <c r="A382" s="70" t="s">
        <v>3932</v>
      </c>
      <c r="E382" s="93"/>
      <c r="F382" s="93"/>
      <c r="H382" s="93"/>
      <c r="J382" s="93"/>
      <c r="L382" s="90" t="str">
        <f t="shared" si="2"/>
        <v>Excluded</v>
      </c>
      <c r="M382" s="90">
        <v>0.0</v>
      </c>
      <c r="N382" s="90">
        <v>0.0</v>
      </c>
      <c r="O382" s="70" t="s">
        <v>3934</v>
      </c>
      <c r="P382" s="70" t="s">
        <v>31543</v>
      </c>
      <c r="Q382" s="70" t="s">
        <v>34086</v>
      </c>
      <c r="R382" s="82" t="s">
        <v>34066</v>
      </c>
      <c r="S382" s="70" t="s">
        <v>3933</v>
      </c>
      <c r="U382" s="70" t="s">
        <v>34087</v>
      </c>
      <c r="V382" s="82" t="s">
        <v>3685</v>
      </c>
      <c r="X382" s="70" t="s">
        <v>3937</v>
      </c>
      <c r="Y382" s="70" t="s">
        <v>34088</v>
      </c>
      <c r="AA382" s="82" t="s">
        <v>34089</v>
      </c>
      <c r="AB382" s="82" t="s">
        <v>32616</v>
      </c>
    </row>
    <row r="383" ht="22.5" customHeight="1">
      <c r="A383" s="70" t="s">
        <v>1025</v>
      </c>
      <c r="E383" s="93"/>
      <c r="F383" s="93"/>
      <c r="H383" s="93"/>
      <c r="J383" s="93"/>
      <c r="L383" s="90" t="str">
        <f t="shared" si="2"/>
        <v>Excluded</v>
      </c>
      <c r="M383" s="90">
        <v>0.0</v>
      </c>
      <c r="N383" s="90">
        <v>0.0</v>
      </c>
      <c r="O383" s="70" t="s">
        <v>1026</v>
      </c>
      <c r="P383" s="70" t="s">
        <v>31543</v>
      </c>
      <c r="Q383" s="70" t="s">
        <v>34090</v>
      </c>
      <c r="R383" s="82" t="s">
        <v>33873</v>
      </c>
      <c r="S383" s="70" t="s">
        <v>960</v>
      </c>
      <c r="T383" s="70" t="s">
        <v>961</v>
      </c>
      <c r="U383" s="70" t="s">
        <v>34091</v>
      </c>
      <c r="V383" s="82" t="s">
        <v>32666</v>
      </c>
      <c r="W383" s="70" t="s">
        <v>401</v>
      </c>
      <c r="X383" s="70" t="s">
        <v>31241</v>
      </c>
      <c r="Y383" s="70" t="s">
        <v>34092</v>
      </c>
      <c r="AA383" s="82" t="s">
        <v>33015</v>
      </c>
      <c r="AB383" s="82" t="s">
        <v>32616</v>
      </c>
    </row>
    <row r="384" ht="22.5" customHeight="1">
      <c r="A384" s="70" t="s">
        <v>959</v>
      </c>
      <c r="E384" s="93"/>
      <c r="F384" s="93"/>
      <c r="H384" s="93"/>
      <c r="J384" s="93"/>
      <c r="L384" s="90" t="str">
        <f t="shared" si="2"/>
        <v>Excluded</v>
      </c>
      <c r="M384" s="90">
        <v>0.0</v>
      </c>
      <c r="N384" s="90">
        <v>0.0</v>
      </c>
      <c r="O384" s="70" t="s">
        <v>962</v>
      </c>
      <c r="P384" s="70" t="s">
        <v>31543</v>
      </c>
      <c r="Q384" s="70" t="s">
        <v>34093</v>
      </c>
      <c r="R384" s="82" t="s">
        <v>34076</v>
      </c>
      <c r="S384" s="70" t="s">
        <v>960</v>
      </c>
      <c r="T384" s="70" t="s">
        <v>961</v>
      </c>
      <c r="U384" s="70" t="s">
        <v>34094</v>
      </c>
      <c r="V384" s="82" t="s">
        <v>32666</v>
      </c>
      <c r="W384" s="70" t="s">
        <v>401</v>
      </c>
      <c r="X384" s="70" t="s">
        <v>31243</v>
      </c>
      <c r="Y384" s="70" t="s">
        <v>34095</v>
      </c>
      <c r="AA384" s="82" t="s">
        <v>34008</v>
      </c>
      <c r="AB384" s="82" t="s">
        <v>32616</v>
      </c>
    </row>
    <row r="385" ht="22.5" customHeight="1">
      <c r="A385" s="70" t="s">
        <v>2082</v>
      </c>
      <c r="E385" s="93"/>
      <c r="F385" s="93"/>
      <c r="H385" s="93"/>
      <c r="J385" s="93"/>
      <c r="L385" s="90" t="str">
        <f t="shared" si="2"/>
        <v>Excluded</v>
      </c>
      <c r="M385" s="90">
        <v>0.0</v>
      </c>
      <c r="N385" s="90">
        <v>0.0</v>
      </c>
      <c r="O385" s="70" t="s">
        <v>2085</v>
      </c>
      <c r="P385" s="70" t="s">
        <v>31543</v>
      </c>
      <c r="Q385" s="70" t="s">
        <v>34096</v>
      </c>
      <c r="R385" s="82" t="s">
        <v>34028</v>
      </c>
      <c r="S385" s="70" t="s">
        <v>2083</v>
      </c>
      <c r="T385" s="70" t="s">
        <v>2084</v>
      </c>
      <c r="U385" s="70" t="s">
        <v>34097</v>
      </c>
      <c r="V385" s="82" t="s">
        <v>32666</v>
      </c>
      <c r="W385" s="70" t="s">
        <v>401</v>
      </c>
      <c r="X385" s="70" t="s">
        <v>2089</v>
      </c>
      <c r="Y385" s="70" t="s">
        <v>34098</v>
      </c>
      <c r="AA385" s="82" t="s">
        <v>33826</v>
      </c>
      <c r="AB385" s="82" t="s">
        <v>32616</v>
      </c>
    </row>
    <row r="386" ht="22.5" customHeight="1">
      <c r="A386" s="70" t="s">
        <v>4094</v>
      </c>
      <c r="E386" s="93"/>
      <c r="F386" s="93"/>
      <c r="H386" s="93"/>
      <c r="J386" s="93"/>
      <c r="L386" s="90" t="str">
        <f t="shared" si="2"/>
        <v>Excluded</v>
      </c>
      <c r="M386" s="90">
        <v>0.0</v>
      </c>
      <c r="N386" s="90">
        <v>0.0</v>
      </c>
      <c r="O386" s="70" t="s">
        <v>4097</v>
      </c>
      <c r="P386" s="70" t="s">
        <v>31543</v>
      </c>
      <c r="Q386" s="70" t="s">
        <v>34099</v>
      </c>
      <c r="R386" s="82" t="s">
        <v>33740</v>
      </c>
      <c r="S386" s="70" t="s">
        <v>4095</v>
      </c>
      <c r="T386" s="70" t="s">
        <v>4096</v>
      </c>
      <c r="U386" s="70" t="s">
        <v>34100</v>
      </c>
      <c r="V386" s="82" t="s">
        <v>3713</v>
      </c>
      <c r="X386" s="70" t="s">
        <v>4099</v>
      </c>
      <c r="Y386" s="70" t="s">
        <v>34101</v>
      </c>
      <c r="AA386" s="82" t="s">
        <v>33352</v>
      </c>
      <c r="AB386" s="82" t="s">
        <v>32616</v>
      </c>
    </row>
    <row r="387" ht="22.5" customHeight="1">
      <c r="A387" s="70" t="s">
        <v>4118</v>
      </c>
      <c r="E387" s="93"/>
      <c r="F387" s="93"/>
      <c r="H387" s="93"/>
      <c r="J387" s="93"/>
      <c r="L387" s="90" t="str">
        <f t="shared" si="2"/>
        <v>Excluded</v>
      </c>
      <c r="M387" s="90">
        <v>0.0</v>
      </c>
      <c r="N387" s="90">
        <v>0.0</v>
      </c>
      <c r="O387" s="70" t="s">
        <v>4119</v>
      </c>
      <c r="P387" s="70" t="s">
        <v>31543</v>
      </c>
      <c r="Q387" s="70" t="s">
        <v>34102</v>
      </c>
      <c r="R387" s="82" t="s">
        <v>33382</v>
      </c>
      <c r="S387" s="70" t="s">
        <v>4008</v>
      </c>
      <c r="U387" s="70" t="s">
        <v>34103</v>
      </c>
      <c r="V387" s="82" t="s">
        <v>3685</v>
      </c>
      <c r="X387" s="70" t="s">
        <v>4121</v>
      </c>
      <c r="Y387" s="70" t="s">
        <v>34104</v>
      </c>
      <c r="AA387" s="82" t="s">
        <v>33064</v>
      </c>
      <c r="AB387" s="82" t="s">
        <v>32616</v>
      </c>
    </row>
    <row r="388" ht="22.5" customHeight="1">
      <c r="A388" s="70" t="s">
        <v>4468</v>
      </c>
      <c r="E388" s="93"/>
      <c r="F388" s="93"/>
      <c r="H388" s="93"/>
      <c r="J388" s="93"/>
      <c r="L388" s="90" t="str">
        <f t="shared" si="2"/>
        <v>Excluded</v>
      </c>
      <c r="M388" s="90">
        <v>0.0</v>
      </c>
      <c r="N388" s="90">
        <v>0.0</v>
      </c>
      <c r="O388" s="70" t="s">
        <v>4469</v>
      </c>
      <c r="P388" s="70" t="s">
        <v>31543</v>
      </c>
      <c r="Q388" s="70" t="s">
        <v>34105</v>
      </c>
      <c r="R388" s="82" t="s">
        <v>32905</v>
      </c>
      <c r="S388" s="70" t="s">
        <v>3635</v>
      </c>
      <c r="T388" s="70" t="s">
        <v>3636</v>
      </c>
      <c r="U388" s="70" t="s">
        <v>34106</v>
      </c>
      <c r="V388" s="82" t="s">
        <v>3713</v>
      </c>
      <c r="X388" s="70" t="s">
        <v>4471</v>
      </c>
      <c r="Y388" s="70" t="s">
        <v>34107</v>
      </c>
      <c r="AA388" s="82" t="s">
        <v>33970</v>
      </c>
      <c r="AB388" s="82" t="s">
        <v>32616</v>
      </c>
    </row>
    <row r="389" ht="22.5" customHeight="1">
      <c r="A389" s="70" t="s">
        <v>4429</v>
      </c>
      <c r="E389" s="93"/>
      <c r="F389" s="93"/>
      <c r="H389" s="93"/>
      <c r="J389" s="93"/>
      <c r="L389" s="90" t="str">
        <f t="shared" si="2"/>
        <v>Excluded</v>
      </c>
      <c r="M389" s="90">
        <v>0.0</v>
      </c>
      <c r="N389" s="90">
        <v>0.0</v>
      </c>
      <c r="O389" s="70" t="s">
        <v>4431</v>
      </c>
      <c r="P389" s="70" t="s">
        <v>31543</v>
      </c>
      <c r="Q389" s="70" t="s">
        <v>34108</v>
      </c>
      <c r="R389" s="82" t="s">
        <v>33626</v>
      </c>
      <c r="S389" s="70" t="s">
        <v>4430</v>
      </c>
      <c r="U389" s="70" t="s">
        <v>34109</v>
      </c>
      <c r="V389" s="82" t="s">
        <v>3677</v>
      </c>
      <c r="X389" s="70" t="s">
        <v>31247</v>
      </c>
      <c r="Y389" s="70" t="s">
        <v>34110</v>
      </c>
      <c r="AA389" s="82" t="s">
        <v>33425</v>
      </c>
      <c r="AB389" s="82" t="s">
        <v>32616</v>
      </c>
    </row>
    <row r="390" ht="22.5" customHeight="1">
      <c r="A390" s="70" t="s">
        <v>4230</v>
      </c>
      <c r="E390" s="93"/>
      <c r="F390" s="93"/>
      <c r="H390" s="93"/>
      <c r="J390" s="93"/>
      <c r="L390" s="90" t="str">
        <f t="shared" si="2"/>
        <v>Excluded</v>
      </c>
      <c r="M390" s="90">
        <v>0.0</v>
      </c>
      <c r="N390" s="90">
        <v>0.0</v>
      </c>
      <c r="O390" s="70" t="s">
        <v>4233</v>
      </c>
      <c r="P390" s="70" t="s">
        <v>31543</v>
      </c>
      <c r="Q390" s="70" t="s">
        <v>34111</v>
      </c>
      <c r="R390" s="82" t="s">
        <v>33989</v>
      </c>
      <c r="S390" s="70" t="s">
        <v>4231</v>
      </c>
      <c r="T390" s="70" t="s">
        <v>4232</v>
      </c>
      <c r="U390" s="70" t="s">
        <v>34112</v>
      </c>
      <c r="V390" s="82" t="s">
        <v>3713</v>
      </c>
      <c r="X390" s="70" t="s">
        <v>4235</v>
      </c>
      <c r="AA390" s="82" t="s">
        <v>34113</v>
      </c>
      <c r="AB390" s="82" t="s">
        <v>32616</v>
      </c>
    </row>
    <row r="391" ht="22.5" customHeight="1">
      <c r="A391" s="70" t="s">
        <v>4399</v>
      </c>
      <c r="E391" s="93"/>
      <c r="F391" s="93"/>
      <c r="H391" s="93"/>
      <c r="J391" s="93"/>
      <c r="L391" s="90" t="str">
        <f t="shared" si="2"/>
        <v>Excluded</v>
      </c>
      <c r="M391" s="90">
        <v>0.0</v>
      </c>
      <c r="N391" s="90">
        <v>0.0</v>
      </c>
      <c r="O391" s="70" t="s">
        <v>4400</v>
      </c>
      <c r="P391" s="70" t="s">
        <v>31543</v>
      </c>
      <c r="Q391" s="70" t="s">
        <v>34114</v>
      </c>
      <c r="R391" s="82" t="s">
        <v>33900</v>
      </c>
      <c r="S391" s="70" t="s">
        <v>3635</v>
      </c>
      <c r="T391" s="70" t="s">
        <v>3636</v>
      </c>
      <c r="U391" s="70" t="s">
        <v>34115</v>
      </c>
      <c r="V391" s="82" t="s">
        <v>3685</v>
      </c>
      <c r="X391" s="70" t="s">
        <v>4402</v>
      </c>
      <c r="Y391" s="70" t="s">
        <v>34116</v>
      </c>
      <c r="AA391" s="82" t="s">
        <v>33229</v>
      </c>
      <c r="AB391" s="82" t="s">
        <v>32616</v>
      </c>
    </row>
    <row r="392" ht="22.5" customHeight="1">
      <c r="A392" s="70" t="s">
        <v>2383</v>
      </c>
      <c r="E392" s="93"/>
      <c r="F392" s="93"/>
      <c r="H392" s="93"/>
      <c r="J392" s="93"/>
      <c r="L392" s="90" t="str">
        <f t="shared" si="2"/>
        <v>Excluded</v>
      </c>
      <c r="M392" s="90">
        <v>0.0</v>
      </c>
      <c r="N392" s="90">
        <v>0.0</v>
      </c>
      <c r="O392" s="70" t="s">
        <v>2386</v>
      </c>
      <c r="P392" s="70" t="s">
        <v>31543</v>
      </c>
      <c r="Q392" s="70" t="s">
        <v>34117</v>
      </c>
      <c r="R392" s="82" t="s">
        <v>34118</v>
      </c>
      <c r="S392" s="70" t="s">
        <v>2384</v>
      </c>
      <c r="T392" s="70" t="s">
        <v>2385</v>
      </c>
      <c r="U392" s="70" t="s">
        <v>34119</v>
      </c>
      <c r="V392" s="82" t="s">
        <v>32944</v>
      </c>
      <c r="W392" s="70" t="s">
        <v>401</v>
      </c>
      <c r="X392" s="70" t="s">
        <v>2390</v>
      </c>
      <c r="Y392" s="70" t="s">
        <v>34120</v>
      </c>
      <c r="AA392" s="82" t="s">
        <v>33035</v>
      </c>
      <c r="AB392" s="82" t="s">
        <v>32616</v>
      </c>
    </row>
    <row r="393" ht="22.5" customHeight="1">
      <c r="A393" s="70" t="s">
        <v>3710</v>
      </c>
      <c r="E393" s="93"/>
      <c r="F393" s="93"/>
      <c r="H393" s="93"/>
      <c r="J393" s="93"/>
      <c r="L393" s="90" t="str">
        <f t="shared" si="2"/>
        <v>Excluded</v>
      </c>
      <c r="M393" s="90">
        <v>0.0</v>
      </c>
      <c r="N393" s="90">
        <v>0.0</v>
      </c>
      <c r="O393" s="70" t="s">
        <v>3711</v>
      </c>
      <c r="P393" s="70" t="s">
        <v>31543</v>
      </c>
      <c r="Q393" s="70" t="s">
        <v>34121</v>
      </c>
      <c r="R393" s="82" t="s">
        <v>33755</v>
      </c>
      <c r="S393" s="70" t="s">
        <v>3635</v>
      </c>
      <c r="T393" s="70" t="s">
        <v>3636</v>
      </c>
      <c r="U393" s="70" t="s">
        <v>34122</v>
      </c>
      <c r="V393" s="82" t="s">
        <v>3713</v>
      </c>
      <c r="X393" s="70" t="s">
        <v>31249</v>
      </c>
      <c r="Y393" s="70" t="s">
        <v>34123</v>
      </c>
      <c r="AA393" s="82" t="s">
        <v>33817</v>
      </c>
      <c r="AB393" s="82" t="s">
        <v>32616</v>
      </c>
    </row>
    <row r="394" ht="22.5" customHeight="1">
      <c r="A394" s="70" t="s">
        <v>4069</v>
      </c>
      <c r="E394" s="93"/>
      <c r="F394" s="93"/>
      <c r="H394" s="93"/>
      <c r="J394" s="93"/>
      <c r="L394" s="90" t="str">
        <f t="shared" si="2"/>
        <v>Excluded</v>
      </c>
      <c r="M394" s="90">
        <v>0.0</v>
      </c>
      <c r="N394" s="90">
        <v>0.0</v>
      </c>
      <c r="O394" s="70" t="s">
        <v>4070</v>
      </c>
      <c r="P394" s="70" t="s">
        <v>31543</v>
      </c>
      <c r="Q394" s="70" t="s">
        <v>34124</v>
      </c>
      <c r="R394" s="82" t="s">
        <v>33004</v>
      </c>
      <c r="S394" s="70" t="s">
        <v>3635</v>
      </c>
      <c r="T394" s="70" t="s">
        <v>3636</v>
      </c>
      <c r="U394" s="70" t="s">
        <v>34125</v>
      </c>
      <c r="V394" s="82" t="s">
        <v>3677</v>
      </c>
      <c r="X394" s="70" t="s">
        <v>4072</v>
      </c>
      <c r="Y394" s="70" t="s">
        <v>34126</v>
      </c>
      <c r="AA394" s="82" t="s">
        <v>33787</v>
      </c>
      <c r="AB394" s="82" t="s">
        <v>32616</v>
      </c>
    </row>
    <row r="395" ht="22.5" customHeight="1">
      <c r="A395" s="70" t="s">
        <v>2216</v>
      </c>
      <c r="E395" s="93"/>
      <c r="F395" s="93"/>
      <c r="H395" s="93"/>
      <c r="J395" s="93"/>
      <c r="L395" s="90" t="str">
        <f t="shared" si="2"/>
        <v>Excluded</v>
      </c>
      <c r="M395" s="90">
        <v>0.0</v>
      </c>
      <c r="N395" s="90">
        <v>0.0</v>
      </c>
      <c r="O395" s="70" t="s">
        <v>4047</v>
      </c>
      <c r="P395" s="70" t="s">
        <v>31543</v>
      </c>
      <c r="Q395" s="70" t="s">
        <v>34127</v>
      </c>
      <c r="R395" s="82" t="s">
        <v>33865</v>
      </c>
      <c r="S395" s="70" t="s">
        <v>4023</v>
      </c>
      <c r="T395" s="70" t="s">
        <v>4024</v>
      </c>
      <c r="U395" s="70" t="s">
        <v>34128</v>
      </c>
      <c r="V395" s="82" t="s">
        <v>4049</v>
      </c>
      <c r="X395" s="70" t="s">
        <v>4050</v>
      </c>
      <c r="Y395" s="70" t="s">
        <v>34129</v>
      </c>
      <c r="AA395" s="82" t="s">
        <v>33705</v>
      </c>
      <c r="AB395" s="82" t="s">
        <v>32616</v>
      </c>
    </row>
    <row r="396" ht="22.5" customHeight="1">
      <c r="A396" s="70" t="s">
        <v>751</v>
      </c>
      <c r="E396" s="93"/>
      <c r="F396" s="93"/>
      <c r="H396" s="93"/>
      <c r="J396" s="93"/>
      <c r="L396" s="90" t="str">
        <f t="shared" si="2"/>
        <v>Excluded</v>
      </c>
      <c r="M396" s="90">
        <v>0.0</v>
      </c>
      <c r="N396" s="90">
        <v>0.0</v>
      </c>
      <c r="O396" s="70" t="s">
        <v>754</v>
      </c>
      <c r="P396" s="70" t="s">
        <v>31543</v>
      </c>
      <c r="Q396" s="70" t="s">
        <v>34130</v>
      </c>
      <c r="R396" s="82" t="s">
        <v>32880</v>
      </c>
      <c r="S396" s="70" t="s">
        <v>752</v>
      </c>
      <c r="T396" s="70" t="s">
        <v>753</v>
      </c>
      <c r="U396" s="70" t="s">
        <v>34131</v>
      </c>
      <c r="V396" s="82" t="s">
        <v>32944</v>
      </c>
      <c r="W396" s="70" t="s">
        <v>401</v>
      </c>
      <c r="X396" s="70" t="s">
        <v>758</v>
      </c>
      <c r="Y396" s="70" t="s">
        <v>34132</v>
      </c>
      <c r="AA396" s="82" t="s">
        <v>33078</v>
      </c>
      <c r="AB396" s="82" t="s">
        <v>32616</v>
      </c>
    </row>
    <row r="397" ht="22.5" customHeight="1">
      <c r="A397" s="70" t="s">
        <v>4062</v>
      </c>
      <c r="E397" s="93"/>
      <c r="F397" s="93"/>
      <c r="H397" s="93"/>
      <c r="J397" s="93"/>
      <c r="L397" s="90" t="str">
        <f t="shared" si="2"/>
        <v>Excluded</v>
      </c>
      <c r="M397" s="90">
        <v>0.0</v>
      </c>
      <c r="N397" s="90">
        <v>0.0</v>
      </c>
      <c r="O397" s="70" t="s">
        <v>4063</v>
      </c>
      <c r="P397" s="70" t="s">
        <v>31543</v>
      </c>
      <c r="Q397" s="70" t="s">
        <v>34133</v>
      </c>
      <c r="R397" s="82" t="s">
        <v>32721</v>
      </c>
      <c r="S397" s="70" t="s">
        <v>3719</v>
      </c>
      <c r="T397" s="70" t="s">
        <v>3720</v>
      </c>
      <c r="U397" s="70" t="s">
        <v>34134</v>
      </c>
      <c r="V397" s="82" t="s">
        <v>3677</v>
      </c>
      <c r="X397" s="70" t="s">
        <v>31251</v>
      </c>
      <c r="Y397" s="70" t="s">
        <v>34135</v>
      </c>
      <c r="AA397" s="82" t="s">
        <v>33645</v>
      </c>
      <c r="AB397" s="82" t="s">
        <v>32616</v>
      </c>
    </row>
    <row r="398" ht="22.5" customHeight="1">
      <c r="A398" s="70" t="s">
        <v>3877</v>
      </c>
      <c r="E398" s="93"/>
      <c r="F398" s="93"/>
      <c r="H398" s="93"/>
      <c r="J398" s="93"/>
      <c r="L398" s="90" t="str">
        <f t="shared" si="2"/>
        <v>Excluded</v>
      </c>
      <c r="M398" s="90">
        <v>0.0</v>
      </c>
      <c r="N398" s="90">
        <v>0.0</v>
      </c>
      <c r="O398" s="70" t="s">
        <v>3878</v>
      </c>
      <c r="P398" s="70" t="s">
        <v>31543</v>
      </c>
      <c r="Q398" s="70" t="s">
        <v>34136</v>
      </c>
      <c r="R398" s="82" t="s">
        <v>33914</v>
      </c>
      <c r="S398" s="70" t="s">
        <v>3719</v>
      </c>
      <c r="T398" s="70" t="s">
        <v>3720</v>
      </c>
      <c r="U398" s="70" t="s">
        <v>34137</v>
      </c>
      <c r="V398" s="82" t="s">
        <v>3677</v>
      </c>
      <c r="X398" s="70" t="s">
        <v>31252</v>
      </c>
      <c r="Y398" s="70" t="s">
        <v>34138</v>
      </c>
      <c r="AA398" s="82" t="s">
        <v>34118</v>
      </c>
      <c r="AB398" s="82" t="s">
        <v>32616</v>
      </c>
    </row>
    <row r="399" ht="22.5" customHeight="1">
      <c r="A399" s="70" t="s">
        <v>3963</v>
      </c>
      <c r="E399" s="93"/>
      <c r="F399" s="93"/>
      <c r="H399" s="93"/>
      <c r="J399" s="93"/>
      <c r="L399" s="90" t="str">
        <f t="shared" si="2"/>
        <v>Excluded</v>
      </c>
      <c r="M399" s="90">
        <v>0.0</v>
      </c>
      <c r="N399" s="90">
        <v>0.0</v>
      </c>
      <c r="O399" s="70" t="s">
        <v>3964</v>
      </c>
      <c r="P399" s="70" t="s">
        <v>31543</v>
      </c>
      <c r="Q399" s="70" t="s">
        <v>34139</v>
      </c>
      <c r="R399" s="82" t="s">
        <v>33124</v>
      </c>
      <c r="S399" s="70" t="s">
        <v>3635</v>
      </c>
      <c r="T399" s="70" t="s">
        <v>3636</v>
      </c>
      <c r="U399" s="70" t="s">
        <v>34140</v>
      </c>
      <c r="V399" s="82" t="s">
        <v>3677</v>
      </c>
      <c r="X399" s="70" t="s">
        <v>31253</v>
      </c>
      <c r="Y399" s="70" t="s">
        <v>34141</v>
      </c>
      <c r="AA399" s="82" t="s">
        <v>33701</v>
      </c>
      <c r="AB399" s="82" t="s">
        <v>32616</v>
      </c>
    </row>
    <row r="400" ht="22.5" customHeight="1">
      <c r="A400" s="70" t="s">
        <v>4208</v>
      </c>
      <c r="E400" s="93"/>
      <c r="F400" s="93"/>
      <c r="H400" s="93"/>
      <c r="J400" s="93"/>
      <c r="L400" s="90" t="str">
        <f t="shared" si="2"/>
        <v>Excluded</v>
      </c>
      <c r="M400" s="90">
        <v>0.0</v>
      </c>
      <c r="N400" s="90">
        <v>0.0</v>
      </c>
      <c r="O400" s="70" t="s">
        <v>4209</v>
      </c>
      <c r="P400" s="70" t="s">
        <v>31543</v>
      </c>
      <c r="Q400" s="70" t="s">
        <v>34142</v>
      </c>
      <c r="R400" s="82" t="s">
        <v>32890</v>
      </c>
      <c r="S400" s="70" t="s">
        <v>3635</v>
      </c>
      <c r="T400" s="70" t="s">
        <v>3636</v>
      </c>
      <c r="U400" s="70" t="s">
        <v>34143</v>
      </c>
      <c r="V400" s="82" t="s">
        <v>4049</v>
      </c>
      <c r="X400" s="70" t="s">
        <v>4211</v>
      </c>
      <c r="Y400" s="70" t="s">
        <v>34144</v>
      </c>
      <c r="AA400" s="82" t="s">
        <v>33433</v>
      </c>
      <c r="AB400" s="82" t="s">
        <v>32616</v>
      </c>
    </row>
    <row r="401" ht="22.5" customHeight="1">
      <c r="A401" s="70" t="s">
        <v>3634</v>
      </c>
      <c r="E401" s="93"/>
      <c r="F401" s="93"/>
      <c r="H401" s="93"/>
      <c r="J401" s="93"/>
      <c r="L401" s="90" t="str">
        <f t="shared" si="2"/>
        <v>Excluded</v>
      </c>
      <c r="M401" s="90">
        <v>0.0</v>
      </c>
      <c r="N401" s="90">
        <v>0.0</v>
      </c>
      <c r="O401" s="70" t="s">
        <v>3637</v>
      </c>
      <c r="P401" s="70" t="s">
        <v>31543</v>
      </c>
      <c r="Q401" s="70" t="s">
        <v>34145</v>
      </c>
      <c r="R401" s="82" t="s">
        <v>33986</v>
      </c>
      <c r="S401" s="70" t="s">
        <v>3635</v>
      </c>
      <c r="T401" s="70" t="s">
        <v>3636</v>
      </c>
      <c r="U401" s="70" t="s">
        <v>34146</v>
      </c>
      <c r="V401" s="82" t="s">
        <v>3639</v>
      </c>
      <c r="X401" s="70" t="s">
        <v>3641</v>
      </c>
      <c r="Y401" s="70" t="s">
        <v>34147</v>
      </c>
      <c r="AA401" s="82" t="s">
        <v>33598</v>
      </c>
      <c r="AB401" s="82" t="s">
        <v>32616</v>
      </c>
    </row>
    <row r="402" ht="22.5" customHeight="1">
      <c r="A402" s="70" t="s">
        <v>4543</v>
      </c>
      <c r="E402" s="93"/>
      <c r="F402" s="93"/>
      <c r="H402" s="93"/>
      <c r="J402" s="93"/>
      <c r="L402" s="90" t="str">
        <f t="shared" si="2"/>
        <v>Excluded</v>
      </c>
      <c r="M402" s="90">
        <v>0.0</v>
      </c>
      <c r="N402" s="90">
        <v>0.0</v>
      </c>
      <c r="O402" s="70" t="s">
        <v>4544</v>
      </c>
      <c r="P402" s="70" t="s">
        <v>31543</v>
      </c>
      <c r="Q402" s="70" t="s">
        <v>34148</v>
      </c>
      <c r="R402" s="82" t="s">
        <v>34113</v>
      </c>
      <c r="S402" s="70" t="s">
        <v>4304</v>
      </c>
      <c r="T402" s="70" t="s">
        <v>4305</v>
      </c>
      <c r="U402" s="70" t="s">
        <v>34149</v>
      </c>
      <c r="V402" s="82" t="s">
        <v>4546</v>
      </c>
      <c r="X402" s="70" t="s">
        <v>4548</v>
      </c>
      <c r="AA402" s="82" t="s">
        <v>33116</v>
      </c>
      <c r="AB402" s="82" t="s">
        <v>32616</v>
      </c>
    </row>
    <row r="403" ht="22.5" customHeight="1">
      <c r="A403" s="70" t="s">
        <v>4497</v>
      </c>
      <c r="E403" s="93"/>
      <c r="F403" s="93"/>
      <c r="H403" s="93"/>
      <c r="J403" s="93"/>
      <c r="L403" s="90" t="str">
        <f t="shared" si="2"/>
        <v>Excluded</v>
      </c>
      <c r="M403" s="90">
        <v>0.0</v>
      </c>
      <c r="N403" s="90">
        <v>0.0</v>
      </c>
      <c r="O403" s="70" t="s">
        <v>4498</v>
      </c>
      <c r="P403" s="70" t="s">
        <v>31543</v>
      </c>
      <c r="Q403" s="70" t="s">
        <v>34150</v>
      </c>
      <c r="R403" s="82" t="s">
        <v>33405</v>
      </c>
      <c r="S403" s="70" t="s">
        <v>4304</v>
      </c>
      <c r="T403" s="70" t="s">
        <v>4305</v>
      </c>
      <c r="U403" s="70" t="s">
        <v>34151</v>
      </c>
      <c r="V403" s="82" t="s">
        <v>3854</v>
      </c>
      <c r="X403" s="70" t="s">
        <v>4501</v>
      </c>
      <c r="AA403" s="82" t="s">
        <v>33875</v>
      </c>
      <c r="AB403" s="82" t="s">
        <v>32616</v>
      </c>
    </row>
    <row r="404" ht="22.5" customHeight="1">
      <c r="A404" s="70" t="s">
        <v>2180</v>
      </c>
      <c r="E404" s="93"/>
      <c r="F404" s="93"/>
      <c r="H404" s="93"/>
      <c r="J404" s="93"/>
      <c r="L404" s="90" t="str">
        <f t="shared" si="2"/>
        <v>Excluded</v>
      </c>
      <c r="M404" s="90">
        <v>0.0</v>
      </c>
      <c r="N404" s="90">
        <v>0.0</v>
      </c>
      <c r="O404" s="70" t="s">
        <v>2183</v>
      </c>
      <c r="P404" s="70" t="s">
        <v>31543</v>
      </c>
      <c r="Q404" s="70" t="s">
        <v>34152</v>
      </c>
      <c r="R404" s="82" t="s">
        <v>33052</v>
      </c>
      <c r="S404" s="70" t="s">
        <v>2181</v>
      </c>
      <c r="T404" s="70" t="s">
        <v>2182</v>
      </c>
      <c r="U404" s="70" t="s">
        <v>34153</v>
      </c>
      <c r="V404" s="82" t="s">
        <v>32623</v>
      </c>
      <c r="W404" s="70" t="s">
        <v>2187</v>
      </c>
      <c r="X404" s="70" t="s">
        <v>2190</v>
      </c>
      <c r="Y404" s="70" t="s">
        <v>34154</v>
      </c>
      <c r="AA404" s="82" t="s">
        <v>33373</v>
      </c>
      <c r="AB404" s="82" t="s">
        <v>32616</v>
      </c>
    </row>
  </sheetData>
  <conditionalFormatting sqref="B1:D404 L2:L404">
    <cfRule type="containsText" dxfId="7" priority="1" operator="containsText" text="included">
      <formula>NOT(ISERROR(SEARCH(("included"),(B1))))</formula>
    </cfRule>
  </conditionalFormatting>
  <conditionalFormatting sqref="B2:D404 L2:L404">
    <cfRule type="containsText" dxfId="8" priority="2" operator="containsText" text="Excluded">
      <formula>NOT(ISERROR(SEARCH(("Excluded"),(B2))))</formula>
    </cfRule>
  </conditionalFormatting>
  <conditionalFormatting sqref="N1:N404 L1:M404 J1:J404 H1:H404 F1:F404 E1:E404">
    <cfRule type="cellIs" dxfId="7" priority="3" operator="greaterThan">
      <formula>0</formula>
    </cfRule>
  </conditionalFormatting>
  <conditionalFormatting sqref="N1:N404 L1:M404 J1:J404 H1:H404 F1:F404 E1:E404">
    <cfRule type="cellIs" dxfId="8" priority="4" operator="equal">
      <formula>0</formula>
    </cfRule>
  </conditionalFormatting>
  <dataValidations>
    <dataValidation type="custom" allowBlank="1" showDropDown="1" sqref="E2:F404 H2:H404 J2:J404 M2:N404">
      <formula1>AND(ISNUMBER(E2),(NOT(OR(NOT(ISERROR(DATEVALUE(E2))), AND(ISNUMBER(E2), LEFT(CELL("format", E2))="D")))))</formula1>
    </dataValidation>
  </dataValidations>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62.14"/>
    <col customWidth="1" min="2" max="5" width="46.43"/>
  </cols>
  <sheetData>
    <row r="1">
      <c r="A1" s="214" t="s">
        <v>34155</v>
      </c>
      <c r="B1" s="215" t="s">
        <v>34156</v>
      </c>
      <c r="C1" s="215" t="s">
        <v>34157</v>
      </c>
      <c r="D1" s="216" t="s">
        <v>34158</v>
      </c>
      <c r="E1" s="216" t="s">
        <v>34159</v>
      </c>
      <c r="F1" s="217" t="s">
        <v>34160</v>
      </c>
    </row>
    <row r="2">
      <c r="A2" s="218" t="s">
        <v>34161</v>
      </c>
      <c r="B2" s="53" t="str">
        <f>IFERROR(__xludf.DUMMYFUNCTION("TRIM(REGEXREPLACE(A2,""●|\s*Gr=\d+"",""""))"),"RQ1.1.P1_LifecycleStageEnergyAwareness")</f>
        <v>RQ1.1.P1_LifecycleStageEnergyAwareness</v>
      </c>
      <c r="C2" s="53" t="str">
        <f>IFERROR(__xludf.DUMMYFUNCTION("SPLIT(B2,""_"",TRUE,TRUE)"),"RQ1.1.P1")</f>
        <v>RQ1.1.P1</v>
      </c>
      <c r="D2" s="219" t="str">
        <f>IFERROR(__xludf.DUMMYFUNCTION("""COMPUTED_VALUE"""),"LifecycleStageEnergyAwareness")</f>
        <v>LifecycleStageEnergyAwareness</v>
      </c>
      <c r="E2" s="219"/>
      <c r="F2" s="220"/>
      <c r="G2" s="58" t="str">
        <f>IFERROR(__xludf.DUMMYFUNCTION("QUERY(D:F,
 ""select E, sum(F)
  where D = 'LifecycleStage'
  group by E
  order by sum(F) desc
  label E 'Lifecycle Stage', sum(F) '# Studies'"")
"),"Lifecycle Stage")</f>
        <v>Lifecycle Stage</v>
      </c>
      <c r="H2" s="58" t="str">
        <f>IFERROR(__xludf.DUMMYFUNCTION("""COMPUTED_VALUE"""),"# Studies")</f>
        <v># Studies</v>
      </c>
    </row>
    <row r="3">
      <c r="A3" s="218" t="s">
        <v>34162</v>
      </c>
      <c r="B3" s="53" t="str">
        <f>IFERROR(__xludf.DUMMYFUNCTION("TRIM(REGEXREPLACE(A3,""●|\s*Gr=\d+"",""""))"),"RQ1.1.P1_LifecycleStageEnergyAwareness_Deployment")</f>
        <v>RQ1.1.P1_LifecycleStageEnergyAwareness_Deployment</v>
      </c>
      <c r="C3" s="53" t="str">
        <f>IFERROR(__xludf.DUMMYFUNCTION("SPLIT(B3,""_"",TRUE,TRUE)"),"RQ1.1.P1")</f>
        <v>RQ1.1.P1</v>
      </c>
      <c r="D3" s="221" t="str">
        <f>IFERROR(__xludf.DUMMYFUNCTION("""COMPUTED_VALUE"""),"LifecycleStageEnergyAwareness")</f>
        <v>LifecycleStageEnergyAwareness</v>
      </c>
      <c r="E3" s="222" t="str">
        <f>IFERROR(__xludf.DUMMYFUNCTION("""COMPUTED_VALUE"""),"Deployment")</f>
        <v>Deployment</v>
      </c>
      <c r="F3" s="220">
        <v>9.0</v>
      </c>
    </row>
    <row r="4">
      <c r="A4" s="218" t="s">
        <v>34163</v>
      </c>
      <c r="B4" s="53" t="str">
        <f>IFERROR(__xludf.DUMMYFUNCTION("TRIM(REGEXREPLACE(A4,""●|\s*Gr=\d+"",""""))"),"RQ1.1.P1_LifecycleStageEnergyAwareness_Design")</f>
        <v>RQ1.1.P1_LifecycleStageEnergyAwareness_Design</v>
      </c>
      <c r="C4" s="53" t="str">
        <f>IFERROR(__xludf.DUMMYFUNCTION("SPLIT(B4,""_"",TRUE,TRUE)"),"RQ1.1.P1")</f>
        <v>RQ1.1.P1</v>
      </c>
      <c r="D4" s="221" t="str">
        <f>IFERROR(__xludf.DUMMYFUNCTION("""COMPUTED_VALUE"""),"LifecycleStageEnergyAwareness")</f>
        <v>LifecycleStageEnergyAwareness</v>
      </c>
      <c r="E4" s="222" t="str">
        <f>IFERROR(__xludf.DUMMYFUNCTION("""COMPUTED_VALUE"""),"Design")</f>
        <v>Design</v>
      </c>
      <c r="F4" s="220">
        <v>5.0</v>
      </c>
      <c r="O4" s="53" t="s">
        <v>34164</v>
      </c>
    </row>
    <row r="5">
      <c r="A5" s="218" t="s">
        <v>34165</v>
      </c>
      <c r="B5" s="53" t="str">
        <f>IFERROR(__xludf.DUMMYFUNCTION("TRIM(REGEXREPLACE(A5,""●|\s*Gr=\d+"",""""))"),"RQ1.1.P1_LifecycleStageEnergyAwareness_Development")</f>
        <v>RQ1.1.P1_LifecycleStageEnergyAwareness_Development</v>
      </c>
      <c r="C5" s="53" t="str">
        <f>IFERROR(__xludf.DUMMYFUNCTION("SPLIT(B5,""_"",TRUE,TRUE)"),"RQ1.1.P1")</f>
        <v>RQ1.1.P1</v>
      </c>
      <c r="D5" s="221" t="str">
        <f>IFERROR(__xludf.DUMMYFUNCTION("""COMPUTED_VALUE"""),"LifecycleStageEnergyAwareness")</f>
        <v>LifecycleStageEnergyAwareness</v>
      </c>
      <c r="E5" s="222" t="str">
        <f>IFERROR(__xludf.DUMMYFUNCTION("""COMPUTED_VALUE"""),"Development")</f>
        <v>Development</v>
      </c>
      <c r="F5" s="220">
        <v>2.0</v>
      </c>
    </row>
    <row r="6">
      <c r="A6" s="218" t="s">
        <v>34166</v>
      </c>
      <c r="B6" s="53" t="str">
        <f>IFERROR(__xludf.DUMMYFUNCTION("TRIM(REGEXREPLACE(A6,""●|\s*Gr=\d+"",""""))"),"RQ1.1.P1_LifecycleStageEnergyAwareness_Maintenance")</f>
        <v>RQ1.1.P1_LifecycleStageEnergyAwareness_Maintenance</v>
      </c>
      <c r="C6" s="53" t="str">
        <f>IFERROR(__xludf.DUMMYFUNCTION("SPLIT(B6,""_"",TRUE,TRUE)"),"RQ1.1.P1")</f>
        <v>RQ1.1.P1</v>
      </c>
      <c r="D6" s="221" t="str">
        <f>IFERROR(__xludf.DUMMYFUNCTION("""COMPUTED_VALUE"""),"LifecycleStageEnergyAwareness")</f>
        <v>LifecycleStageEnergyAwareness</v>
      </c>
      <c r="E6" s="222" t="str">
        <f>IFERROR(__xludf.DUMMYFUNCTION("""COMPUTED_VALUE"""),"Maintenance")</f>
        <v>Maintenance</v>
      </c>
      <c r="F6" s="220">
        <v>1.0</v>
      </c>
    </row>
    <row r="7">
      <c r="A7" s="218" t="s">
        <v>34167</v>
      </c>
      <c r="B7" s="53" t="str">
        <f>IFERROR(__xludf.DUMMYFUNCTION("TRIM(REGEXREPLACE(A7,""●|\s*Gr=\d+"",""""))"),"RQ1.1.P1_LifecycleStageEnergyAwareness_Runtime")</f>
        <v>RQ1.1.P1_LifecycleStageEnergyAwareness_Runtime</v>
      </c>
      <c r="C7" s="53" t="str">
        <f>IFERROR(__xludf.DUMMYFUNCTION("SPLIT(B7,""_"",TRUE,TRUE)"),"RQ1.1.P1")</f>
        <v>RQ1.1.P1</v>
      </c>
      <c r="D7" s="221" t="str">
        <f>IFERROR(__xludf.DUMMYFUNCTION("""COMPUTED_VALUE"""),"LifecycleStageEnergyAwareness")</f>
        <v>LifecycleStageEnergyAwareness</v>
      </c>
      <c r="E7" s="222" t="str">
        <f>IFERROR(__xludf.DUMMYFUNCTION("""COMPUTED_VALUE"""),"Runtime")</f>
        <v>Runtime</v>
      </c>
      <c r="F7" s="220">
        <v>21.0</v>
      </c>
    </row>
    <row r="8">
      <c r="A8" s="223"/>
      <c r="B8" s="53"/>
      <c r="C8" s="53"/>
      <c r="D8" s="221"/>
      <c r="E8" s="216" t="s">
        <v>34168</v>
      </c>
      <c r="F8" s="217">
        <f>SUM(F3:F7)</f>
        <v>38</v>
      </c>
    </row>
    <row r="9">
      <c r="A9" s="223" t="s">
        <v>34169</v>
      </c>
      <c r="B9" s="53" t="str">
        <f>IFERROR(__xludf.DUMMYFUNCTION("TRIM(REGEXREPLACE(A9,""●|\s*Gr=\d+"",""""))"),"RQ1.1.P2_Energy Integration Point")</f>
        <v>RQ1.1.P2_Energy Integration Point</v>
      </c>
      <c r="C9" s="53" t="str">
        <f>IFERROR(__xludf.DUMMYFUNCTION("SPLIT(B9,""_"",TRUE,TRUE)"),"RQ1.1.P2")</f>
        <v>RQ1.1.P2</v>
      </c>
      <c r="D9" s="221" t="str">
        <f>IFERROR(__xludf.DUMMYFUNCTION("""COMPUTED_VALUE"""),"Energy Integration Point")</f>
        <v>Energy Integration Point</v>
      </c>
    </row>
    <row r="10">
      <c r="A10" s="223" t="s">
        <v>34170</v>
      </c>
      <c r="B10" s="53" t="str">
        <f>IFERROR(__xludf.DUMMYFUNCTION("TRIM(REGEXREPLACE(A10,""●|\s*Gr=\d+"",""""))"),"RQ1.1.P2_EnergyIntegrationPoint_Analysis")</f>
        <v>RQ1.1.P2_EnergyIntegrationPoint_Analysis</v>
      </c>
      <c r="C10" s="53" t="str">
        <f>IFERROR(__xludf.DUMMYFUNCTION("SPLIT(B10,""_"",TRUE,TRUE)"),"RQ1.1.P2")</f>
        <v>RQ1.1.P2</v>
      </c>
      <c r="D10" s="221" t="str">
        <f>IFERROR(__xludf.DUMMYFUNCTION("""COMPUTED_VALUE"""),"EnergyIntegrationPoint")</f>
        <v>EnergyIntegrationPoint</v>
      </c>
      <c r="E10" s="221" t="str">
        <f>IFERROR(__xludf.DUMMYFUNCTION("""COMPUTED_VALUE"""),"Analysis")</f>
        <v>Analysis</v>
      </c>
      <c r="F10" s="220">
        <v>1.0</v>
      </c>
    </row>
    <row r="11">
      <c r="A11" s="223" t="s">
        <v>34171</v>
      </c>
      <c r="B11" s="53" t="str">
        <f>IFERROR(__xludf.DUMMYFUNCTION("TRIM(REGEXREPLACE(A11,""●|\s*Gr=\d+"",""""))"),"RQ1.1.P2_EnergyIntegrationPoint_Configuration")</f>
        <v>RQ1.1.P2_EnergyIntegrationPoint_Configuration</v>
      </c>
      <c r="C11" s="53" t="str">
        <f>IFERROR(__xludf.DUMMYFUNCTION("SPLIT(B11,""_"",TRUE,TRUE)"),"RQ1.1.P2")</f>
        <v>RQ1.1.P2</v>
      </c>
      <c r="D11" s="221" t="str">
        <f>IFERROR(__xludf.DUMMYFUNCTION("""COMPUTED_VALUE"""),"EnergyIntegrationPoint")</f>
        <v>EnergyIntegrationPoint</v>
      </c>
      <c r="E11" s="221" t="str">
        <f>IFERROR(__xludf.DUMMYFUNCTION("""COMPUTED_VALUE"""),"Configuration")</f>
        <v>Configuration</v>
      </c>
      <c r="F11" s="220">
        <v>1.0</v>
      </c>
    </row>
    <row r="12">
      <c r="A12" s="223" t="s">
        <v>34172</v>
      </c>
      <c r="B12" s="53" t="str">
        <f>IFERROR(__xludf.DUMMYFUNCTION("TRIM(REGEXREPLACE(A12,""●|\s*Gr=\d+"",""""))"),"RQ1.1.P2_EnergyIntegrationPoint_Deployment")</f>
        <v>RQ1.1.P2_EnergyIntegrationPoint_Deployment</v>
      </c>
      <c r="C12" s="53" t="str">
        <f>IFERROR(__xludf.DUMMYFUNCTION("SPLIT(B12,""_"",TRUE,TRUE)"),"RQ1.1.P2")</f>
        <v>RQ1.1.P2</v>
      </c>
      <c r="D12" s="221" t="str">
        <f>IFERROR(__xludf.DUMMYFUNCTION("""COMPUTED_VALUE"""),"EnergyIntegrationPoint")</f>
        <v>EnergyIntegrationPoint</v>
      </c>
      <c r="E12" s="221" t="str">
        <f>IFERROR(__xludf.DUMMYFUNCTION("""COMPUTED_VALUE"""),"Deployment")</f>
        <v>Deployment</v>
      </c>
      <c r="F12" s="220">
        <v>3.0</v>
      </c>
    </row>
    <row r="13">
      <c r="A13" s="223" t="s">
        <v>34173</v>
      </c>
      <c r="B13" s="53" t="str">
        <f>IFERROR(__xludf.DUMMYFUNCTION("TRIM(REGEXREPLACE(A13,""●|\s*Gr=\d+"",""""))"),"RQ1.1.P2_EnergyIntegrationPoint_Design")</f>
        <v>RQ1.1.P2_EnergyIntegrationPoint_Design</v>
      </c>
      <c r="C13" s="53" t="str">
        <f>IFERROR(__xludf.DUMMYFUNCTION("SPLIT(B13,""_"",TRUE,TRUE)"),"RQ1.1.P2")</f>
        <v>RQ1.1.P2</v>
      </c>
      <c r="D13" s="221" t="str">
        <f>IFERROR(__xludf.DUMMYFUNCTION("""COMPUTED_VALUE"""),"EnergyIntegrationPoint")</f>
        <v>EnergyIntegrationPoint</v>
      </c>
      <c r="E13" s="221" t="str">
        <f>IFERROR(__xludf.DUMMYFUNCTION("""COMPUTED_VALUE"""),"Design")</f>
        <v>Design</v>
      </c>
      <c r="F13" s="220">
        <v>4.0</v>
      </c>
    </row>
    <row r="14">
      <c r="A14" s="223" t="s">
        <v>34174</v>
      </c>
      <c r="B14" s="53" t="str">
        <f>IFERROR(__xludf.DUMMYFUNCTION("TRIM(REGEXREPLACE(A14,""●|\s*Gr=\d+"",""""))"),"RQ1.1.P2_EnergyIntegrationPoint_Development")</f>
        <v>RQ1.1.P2_EnergyIntegrationPoint_Development</v>
      </c>
      <c r="C14" s="53" t="str">
        <f>IFERROR(__xludf.DUMMYFUNCTION("SPLIT(B14,""_"",TRUE,TRUE)"),"RQ1.1.P2")</f>
        <v>RQ1.1.P2</v>
      </c>
      <c r="D14" s="221" t="str">
        <f>IFERROR(__xludf.DUMMYFUNCTION("""COMPUTED_VALUE"""),"EnergyIntegrationPoint")</f>
        <v>EnergyIntegrationPoint</v>
      </c>
      <c r="E14" s="221" t="str">
        <f>IFERROR(__xludf.DUMMYFUNCTION("""COMPUTED_VALUE"""),"Development")</f>
        <v>Development</v>
      </c>
      <c r="F14" s="220">
        <v>1.0</v>
      </c>
    </row>
    <row r="15">
      <c r="A15" s="223" t="s">
        <v>34175</v>
      </c>
      <c r="B15" s="53" t="str">
        <f>IFERROR(__xludf.DUMMYFUNCTION("TRIM(REGEXREPLACE(A15,""●|\s*Gr=\d+"",""""))"),"RQ1.1.P2_EnergyIntegrationPoint_Runtime")</f>
        <v>RQ1.1.P2_EnergyIntegrationPoint_Runtime</v>
      </c>
      <c r="C15" s="53" t="str">
        <f>IFERROR(__xludf.DUMMYFUNCTION("SPLIT(B15,""_"",TRUE,TRUE)"),"RQ1.1.P2")</f>
        <v>RQ1.1.P2</v>
      </c>
      <c r="D15" s="221" t="str">
        <f>IFERROR(__xludf.DUMMYFUNCTION("""COMPUTED_VALUE"""),"EnergyIntegrationPoint")</f>
        <v>EnergyIntegrationPoint</v>
      </c>
      <c r="E15" s="221" t="str">
        <f>IFERROR(__xludf.DUMMYFUNCTION("""COMPUTED_VALUE"""),"Runtime")</f>
        <v>Runtime</v>
      </c>
      <c r="F15" s="220">
        <v>19.0</v>
      </c>
    </row>
    <row r="16">
      <c r="A16" s="223"/>
      <c r="B16" s="53"/>
      <c r="C16" s="53"/>
      <c r="D16" s="221"/>
      <c r="E16" s="224" t="s">
        <v>34168</v>
      </c>
      <c r="F16" s="217">
        <f>SUM(F10:F15)</f>
        <v>29</v>
      </c>
    </row>
    <row r="17">
      <c r="A17" s="225" t="s">
        <v>34176</v>
      </c>
      <c r="B17" s="53" t="str">
        <f>IFERROR(__xludf.DUMMYFUNCTION("TRIM(REGEXREPLACE(A17,""●|\s*Gr=\d+"",""""))"),"RQ1.1.P3_IntegrationApproach")</f>
        <v>RQ1.1.P3_IntegrationApproach</v>
      </c>
      <c r="C17" s="53" t="str">
        <f>IFERROR(__xludf.DUMMYFUNCTION("SPLIT(B17,""_"",TRUE,TRUE)"),"RQ1.1.P3")</f>
        <v>RQ1.1.P3</v>
      </c>
      <c r="D17" s="221" t="str">
        <f>IFERROR(__xludf.DUMMYFUNCTION("""COMPUTED_VALUE"""),"IntegrationApproach")</f>
        <v>IntegrationApproach</v>
      </c>
      <c r="E17" s="221"/>
      <c r="F17" s="220"/>
    </row>
    <row r="18">
      <c r="A18" s="225" t="s">
        <v>34177</v>
      </c>
      <c r="B18" s="53" t="str">
        <f>IFERROR(__xludf.DUMMYFUNCTION("TRIM(REGEXREPLACE(A18,""●|\s*Gr=\d+"",""""))"),"RQ1.1.P3_IntegrationApproach_Brownout")</f>
        <v>RQ1.1.P3_IntegrationApproach_Brownout</v>
      </c>
      <c r="C18" s="53" t="str">
        <f>IFERROR(__xludf.DUMMYFUNCTION("SPLIT(B18,""_"",TRUE,TRUE)"),"RQ1.1.P3")</f>
        <v>RQ1.1.P3</v>
      </c>
      <c r="D18" s="221" t="str">
        <f>IFERROR(__xludf.DUMMYFUNCTION("""COMPUTED_VALUE"""),"IntegrationApproach")</f>
        <v>IntegrationApproach</v>
      </c>
      <c r="E18" s="221" t="str">
        <f>IFERROR(__xludf.DUMMYFUNCTION("""COMPUTED_VALUE"""),"Brownout")</f>
        <v>Brownout</v>
      </c>
      <c r="F18" s="220">
        <v>1.0</v>
      </c>
    </row>
    <row r="19">
      <c r="A19" s="225" t="s">
        <v>34178</v>
      </c>
      <c r="B19" s="53" t="str">
        <f>IFERROR(__xludf.DUMMYFUNCTION("TRIM(REGEXREPLACE(A19,""●|\s*Gr=\d+"",""""))"),"RQ1.1.P3_IntegrationApproach_DesignTimeAnalysis")</f>
        <v>RQ1.1.P3_IntegrationApproach_DesignTimeAnalysis</v>
      </c>
      <c r="C19" s="53" t="str">
        <f>IFERROR(__xludf.DUMMYFUNCTION("SPLIT(B19,""_"",TRUE,TRUE)"),"RQ1.1.P3")</f>
        <v>RQ1.1.P3</v>
      </c>
      <c r="D19" s="221" t="str">
        <f>IFERROR(__xludf.DUMMYFUNCTION("""COMPUTED_VALUE"""),"IntegrationApproach")</f>
        <v>IntegrationApproach</v>
      </c>
      <c r="E19" s="221" t="str">
        <f>IFERROR(__xludf.DUMMYFUNCTION("""COMPUTED_VALUE"""),"DesignTimeAnalysis")</f>
        <v>DesignTimeAnalysis</v>
      </c>
      <c r="F19" s="220">
        <v>1.0</v>
      </c>
    </row>
    <row r="20">
      <c r="A20" s="225" t="s">
        <v>34179</v>
      </c>
      <c r="B20" s="53" t="str">
        <f>IFERROR(__xludf.DUMMYFUNCTION("TRIM(REGEXREPLACE(A20,""●|\s*Gr=\d+"",""""))"),"RQ1.1.P3_IntegrationApproach_DesignTimeConstraints")</f>
        <v>RQ1.1.P3_IntegrationApproach_DesignTimeConstraints</v>
      </c>
      <c r="C20" s="53" t="str">
        <f>IFERROR(__xludf.DUMMYFUNCTION("SPLIT(B20,""_"",TRUE,TRUE)"),"RQ1.1.P3")</f>
        <v>RQ1.1.P3</v>
      </c>
      <c r="D20" s="221" t="str">
        <f>IFERROR(__xludf.DUMMYFUNCTION("""COMPUTED_VALUE"""),"IntegrationApproach")</f>
        <v>IntegrationApproach</v>
      </c>
      <c r="E20" s="221" t="str">
        <f>IFERROR(__xludf.DUMMYFUNCTION("""COMPUTED_VALUE"""),"DesignTimeConstraints")</f>
        <v>DesignTimeConstraints</v>
      </c>
      <c r="F20" s="220">
        <v>1.0</v>
      </c>
    </row>
    <row r="21">
      <c r="A21" s="225" t="s">
        <v>34180</v>
      </c>
      <c r="B21" s="53" t="str">
        <f>IFERROR(__xludf.DUMMYFUNCTION("TRIM(REGEXREPLACE(A21,""●|\s*Gr=\d+"",""""))"),"RQ1.1.P3_IntegrationApproach_MetadataDrivenIntegration")</f>
        <v>RQ1.1.P3_IntegrationApproach_MetadataDrivenIntegration</v>
      </c>
      <c r="C21" s="53" t="str">
        <f>IFERROR(__xludf.DUMMYFUNCTION("SPLIT(B21,""_"",TRUE,TRUE)"),"RQ1.1.P3")</f>
        <v>RQ1.1.P3</v>
      </c>
      <c r="D21" s="221" t="str">
        <f>IFERROR(__xludf.DUMMYFUNCTION("""COMPUTED_VALUE"""),"IntegrationApproach")</f>
        <v>IntegrationApproach</v>
      </c>
      <c r="E21" s="221" t="str">
        <f>IFERROR(__xludf.DUMMYFUNCTION("""COMPUTED_VALUE"""),"MetadataDrivenIntegration")</f>
        <v>MetadataDrivenIntegration</v>
      </c>
      <c r="F21" s="220">
        <v>2.0</v>
      </c>
    </row>
    <row r="22">
      <c r="A22" s="225" t="s">
        <v>34181</v>
      </c>
      <c r="B22" s="53" t="str">
        <f>IFERROR(__xludf.DUMMYFUNCTION("TRIM(REGEXREPLACE(A22,""●|\s*Gr=\d+"",""""))"),"RQ1.1.P3_IntegrationApproach_PlacementOptimization")</f>
        <v>RQ1.1.P3_IntegrationApproach_PlacementOptimization</v>
      </c>
      <c r="C22" s="53" t="str">
        <f>IFERROR(__xludf.DUMMYFUNCTION("SPLIT(B22,""_"",TRUE,TRUE)"),"RQ1.1.P3")</f>
        <v>RQ1.1.P3</v>
      </c>
      <c r="D22" s="221" t="str">
        <f>IFERROR(__xludf.DUMMYFUNCTION("""COMPUTED_VALUE"""),"IntegrationApproach")</f>
        <v>IntegrationApproach</v>
      </c>
      <c r="E22" s="221" t="str">
        <f>IFERROR(__xludf.DUMMYFUNCTION("""COMPUTED_VALUE"""),"PlacementOptimization")</f>
        <v>PlacementOptimization</v>
      </c>
      <c r="F22" s="220">
        <v>1.0</v>
      </c>
    </row>
    <row r="23">
      <c r="A23" s="225" t="s">
        <v>34182</v>
      </c>
      <c r="B23" s="53" t="str">
        <f>IFERROR(__xludf.DUMMYFUNCTION("TRIM(REGEXREPLACE(A23,""●|\s*Gr=\d+"",""""))"),"RQ1.1.P3_IntegrationApproach_QoSDrivenControl")</f>
        <v>RQ1.1.P3_IntegrationApproach_QoSDrivenControl</v>
      </c>
      <c r="C23" s="53" t="str">
        <f>IFERROR(__xludf.DUMMYFUNCTION("SPLIT(B23,""_"",TRUE,TRUE)"),"RQ1.1.P3")</f>
        <v>RQ1.1.P3</v>
      </c>
      <c r="D23" s="221" t="str">
        <f>IFERROR(__xludf.DUMMYFUNCTION("""COMPUTED_VALUE"""),"IntegrationApproach")</f>
        <v>IntegrationApproach</v>
      </c>
      <c r="E23" s="221" t="str">
        <f>IFERROR(__xludf.DUMMYFUNCTION("""COMPUTED_VALUE"""),"QoSDrivenControl")</f>
        <v>QoSDrivenControl</v>
      </c>
      <c r="F23" s="220">
        <v>3.0</v>
      </c>
    </row>
    <row r="24">
      <c r="A24" s="225" t="s">
        <v>34183</v>
      </c>
      <c r="B24" s="53" t="str">
        <f>IFERROR(__xludf.DUMMYFUNCTION("TRIM(REGEXREPLACE(A24,""●|\s*Gr=\d+"",""""))"),"RQ1.1.P3_IntegrationApproach_RuntimeAdaptation")</f>
        <v>RQ1.1.P3_IntegrationApproach_RuntimeAdaptation</v>
      </c>
      <c r="C24" s="53" t="str">
        <f>IFERROR(__xludf.DUMMYFUNCTION("SPLIT(B24,""_"",TRUE,TRUE)"),"RQ1.1.P3")</f>
        <v>RQ1.1.P3</v>
      </c>
      <c r="D24" s="221" t="str">
        <f>IFERROR(__xludf.DUMMYFUNCTION("""COMPUTED_VALUE"""),"IntegrationApproach")</f>
        <v>IntegrationApproach</v>
      </c>
      <c r="E24" s="221" t="str">
        <f>IFERROR(__xludf.DUMMYFUNCTION("""COMPUTED_VALUE"""),"RuntimeAdaptation")</f>
        <v>RuntimeAdaptation</v>
      </c>
      <c r="F24" s="220">
        <v>8.0</v>
      </c>
    </row>
    <row r="25">
      <c r="A25" s="225" t="s">
        <v>34184</v>
      </c>
      <c r="B25" s="53" t="str">
        <f>IFERROR(__xludf.DUMMYFUNCTION("TRIM(REGEXREPLACE(A25,""●|\s*Gr=\d+"",""""))"),"RQ1.1.P3_IntegrationApproach_RuntimeAutoscaling")</f>
        <v>RQ1.1.P3_IntegrationApproach_RuntimeAutoscaling</v>
      </c>
      <c r="C25" s="53" t="str">
        <f>IFERROR(__xludf.DUMMYFUNCTION("SPLIT(B25,""_"",TRUE,TRUE)"),"RQ1.1.P3")</f>
        <v>RQ1.1.P3</v>
      </c>
      <c r="D25" s="221" t="str">
        <f>IFERROR(__xludf.DUMMYFUNCTION("""COMPUTED_VALUE"""),"IntegrationApproach")</f>
        <v>IntegrationApproach</v>
      </c>
      <c r="E25" s="221" t="str">
        <f>IFERROR(__xludf.DUMMYFUNCTION("""COMPUTED_VALUE"""),"RuntimeAutoscaling")</f>
        <v>RuntimeAutoscaling</v>
      </c>
      <c r="F25" s="220">
        <v>2.0</v>
      </c>
    </row>
    <row r="26">
      <c r="A26" s="225" t="s">
        <v>34185</v>
      </c>
      <c r="B26" s="53" t="str">
        <f>IFERROR(__xludf.DUMMYFUNCTION("TRIM(REGEXREPLACE(A26,""●|\s*Gr=\d+"",""""))"),"RQ1.1.P3_IntegrationApproach_RuntimeDeploymentManagement")</f>
        <v>RQ1.1.P3_IntegrationApproach_RuntimeDeploymentManagement</v>
      </c>
      <c r="C26" s="53" t="str">
        <f>IFERROR(__xludf.DUMMYFUNCTION("SPLIT(B26,""_"",TRUE,TRUE)"),"RQ1.1.P3")</f>
        <v>RQ1.1.P3</v>
      </c>
      <c r="D26" s="221" t="str">
        <f>IFERROR(__xludf.DUMMYFUNCTION("""COMPUTED_VALUE"""),"IntegrationApproach")</f>
        <v>IntegrationApproach</v>
      </c>
      <c r="E26" s="221" t="str">
        <f>IFERROR(__xludf.DUMMYFUNCTION("""COMPUTED_VALUE"""),"RuntimeDeploymentManagement")</f>
        <v>RuntimeDeploymentManagement</v>
      </c>
      <c r="F26" s="220">
        <v>4.0</v>
      </c>
    </row>
    <row r="27">
      <c r="A27" s="225" t="s">
        <v>34186</v>
      </c>
      <c r="B27" s="53" t="str">
        <f>IFERROR(__xludf.DUMMYFUNCTION("TRIM(REGEXREPLACE(A27,""●|\s*Gr=\d+"",""""))"),"RQ1.1.P3_IntegrationApproach_RuntimeMonitoring")</f>
        <v>RQ1.1.P3_IntegrationApproach_RuntimeMonitoring</v>
      </c>
      <c r="C27" s="53" t="str">
        <f>IFERROR(__xludf.DUMMYFUNCTION("SPLIT(B27,""_"",TRUE,TRUE)"),"RQ1.1.P3")</f>
        <v>RQ1.1.P3</v>
      </c>
      <c r="D27" s="221" t="str">
        <f>IFERROR(__xludf.DUMMYFUNCTION("""COMPUTED_VALUE"""),"IntegrationApproach")</f>
        <v>IntegrationApproach</v>
      </c>
      <c r="E27" s="221" t="str">
        <f>IFERROR(__xludf.DUMMYFUNCTION("""COMPUTED_VALUE"""),"RuntimeMonitoring")</f>
        <v>RuntimeMonitoring</v>
      </c>
      <c r="F27" s="220">
        <v>18.0</v>
      </c>
    </row>
    <row r="28">
      <c r="A28" s="225" t="s">
        <v>34187</v>
      </c>
      <c r="B28" s="53" t="str">
        <f>IFERROR(__xludf.DUMMYFUNCTION("TRIM(REGEXREPLACE(A28,""●|\s*Gr=\d+"",""""))"),"RQ1.1.P3_IntegrationApproach_RuntimePowerManagement")</f>
        <v>RQ1.1.P3_IntegrationApproach_RuntimePowerManagement</v>
      </c>
      <c r="C28" s="53" t="str">
        <f>IFERROR(__xludf.DUMMYFUNCTION("SPLIT(B28,""_"",TRUE,TRUE)"),"RQ1.1.P3")</f>
        <v>RQ1.1.P3</v>
      </c>
      <c r="D28" s="221" t="str">
        <f>IFERROR(__xludf.DUMMYFUNCTION("""COMPUTED_VALUE"""),"IntegrationApproach")</f>
        <v>IntegrationApproach</v>
      </c>
      <c r="E28" s="221" t="str">
        <f>IFERROR(__xludf.DUMMYFUNCTION("""COMPUTED_VALUE"""),"RuntimePowerManagement")</f>
        <v>RuntimePowerManagement</v>
      </c>
      <c r="F28" s="220">
        <v>5.0</v>
      </c>
    </row>
    <row r="29">
      <c r="A29" s="225" t="s">
        <v>34188</v>
      </c>
      <c r="B29" s="53" t="str">
        <f>IFERROR(__xludf.DUMMYFUNCTION("TRIM(REGEXREPLACE(A29,""●|\s*Gr=\d+"",""""))"),"RQ1.1.P3_IntegrationApproach_RuntimeScheduling")</f>
        <v>RQ1.1.P3_IntegrationApproach_RuntimeScheduling</v>
      </c>
      <c r="C29" s="53" t="str">
        <f>IFERROR(__xludf.DUMMYFUNCTION("SPLIT(B29,""_"",TRUE,TRUE)"),"RQ1.1.P3")</f>
        <v>RQ1.1.P3</v>
      </c>
      <c r="D29" s="221" t="str">
        <f>IFERROR(__xludf.DUMMYFUNCTION("""COMPUTED_VALUE"""),"IntegrationApproach")</f>
        <v>IntegrationApproach</v>
      </c>
      <c r="E29" s="221" t="str">
        <f>IFERROR(__xludf.DUMMYFUNCTION("""COMPUTED_VALUE"""),"RuntimeScheduling")</f>
        <v>RuntimeScheduling</v>
      </c>
      <c r="F29" s="220">
        <v>6.0</v>
      </c>
    </row>
    <row r="30">
      <c r="A30" s="226"/>
      <c r="B30" s="53"/>
      <c r="C30" s="53"/>
      <c r="D30" s="221"/>
      <c r="E30" s="224" t="s">
        <v>34168</v>
      </c>
      <c r="F30" s="217">
        <f>SUM(F18:F29)</f>
        <v>52</v>
      </c>
    </row>
    <row r="31">
      <c r="A31" s="226"/>
      <c r="B31" s="53"/>
      <c r="C31" s="53"/>
      <c r="D31" s="221"/>
      <c r="E31" s="221"/>
      <c r="F31" s="220"/>
    </row>
    <row r="32">
      <c r="A32" s="226" t="s">
        <v>34189</v>
      </c>
      <c r="B32" s="53" t="str">
        <f>IFERROR(__xludf.DUMMYFUNCTION("TRIM(REGEXREPLACE(A32,""●|\s*Gr=\d+"",""""))"),"RQ1.2.P1_ComponentType")</f>
        <v>RQ1.2.P1_ComponentType</v>
      </c>
      <c r="C32" s="53" t="str">
        <f>IFERROR(__xludf.DUMMYFUNCTION("SPLIT(B32,""_"",TRUE,TRUE)"),"RQ1.2.P1")</f>
        <v>RQ1.2.P1</v>
      </c>
      <c r="D32" s="221" t="str">
        <f>IFERROR(__xludf.DUMMYFUNCTION("""COMPUTED_VALUE"""),"ComponentType")</f>
        <v>ComponentType</v>
      </c>
      <c r="E32" s="221"/>
      <c r="F32" s="220"/>
    </row>
    <row r="33">
      <c r="A33" s="226" t="s">
        <v>34190</v>
      </c>
      <c r="B33" s="53" t="str">
        <f>IFERROR(__xludf.DUMMYFUNCTION("TRIM(REGEXREPLACE(A33,""●|\s*Gr=\d+"",""""))"),"RQ1.2.P1_ComponentType_Component")</f>
        <v>RQ1.2.P1_ComponentType_Component</v>
      </c>
      <c r="C33" s="53" t="str">
        <f>IFERROR(__xludf.DUMMYFUNCTION("SPLIT(B33,""_"",TRUE,TRUE)"),"RQ1.2.P1")</f>
        <v>RQ1.2.P1</v>
      </c>
      <c r="D33" s="221" t="str">
        <f>IFERROR(__xludf.DUMMYFUNCTION("""COMPUTED_VALUE"""),"ComponentType")</f>
        <v>ComponentType</v>
      </c>
      <c r="E33" s="221" t="str">
        <f>IFERROR(__xludf.DUMMYFUNCTION("""COMPUTED_VALUE"""),"Component")</f>
        <v>Component</v>
      </c>
      <c r="F33" s="220">
        <v>6.0</v>
      </c>
    </row>
    <row r="34">
      <c r="A34" s="226" t="s">
        <v>34191</v>
      </c>
      <c r="B34" s="53" t="str">
        <f>IFERROR(__xludf.DUMMYFUNCTION("TRIM(REGEXREPLACE(A34,""●|\s*Gr=\d+"",""""))"),"RQ1.2.P1_ComponentType_Container")</f>
        <v>RQ1.2.P1_ComponentType_Container</v>
      </c>
      <c r="C34" s="53" t="str">
        <f>IFERROR(__xludf.DUMMYFUNCTION("SPLIT(B34,""_"",TRUE,TRUE)"),"RQ1.2.P1")</f>
        <v>RQ1.2.P1</v>
      </c>
      <c r="D34" s="221" t="str">
        <f>IFERROR(__xludf.DUMMYFUNCTION("""COMPUTED_VALUE"""),"ComponentType")</f>
        <v>ComponentType</v>
      </c>
      <c r="E34" s="221" t="str">
        <f>IFERROR(__xludf.DUMMYFUNCTION("""COMPUTED_VALUE"""),"Container")</f>
        <v>Container</v>
      </c>
      <c r="F34" s="220">
        <v>16.0</v>
      </c>
    </row>
    <row r="35">
      <c r="A35" s="226" t="s">
        <v>34192</v>
      </c>
      <c r="B35" s="53" t="str">
        <f>IFERROR(__xludf.DUMMYFUNCTION("TRIM(REGEXREPLACE(A35,""●|\s*Gr=\d+"",""""))"),"RQ1.2.P1_ComponentType_CPU")</f>
        <v>RQ1.2.P1_ComponentType_CPU</v>
      </c>
      <c r="C35" s="53" t="str">
        <f>IFERROR(__xludf.DUMMYFUNCTION("SPLIT(B35,""_"",TRUE,TRUE)"),"RQ1.2.P1")</f>
        <v>RQ1.2.P1</v>
      </c>
      <c r="D35" s="221" t="str">
        <f>IFERROR(__xludf.DUMMYFUNCTION("""COMPUTED_VALUE"""),"ComponentType")</f>
        <v>ComponentType</v>
      </c>
      <c r="E35" s="221" t="str">
        <f>IFERROR(__xludf.DUMMYFUNCTION("""COMPUTED_VALUE"""),"CPU")</f>
        <v>CPU</v>
      </c>
      <c r="F35" s="220">
        <v>10.0</v>
      </c>
    </row>
    <row r="36">
      <c r="A36" s="226" t="s">
        <v>34193</v>
      </c>
      <c r="B36" s="53" t="str">
        <f>IFERROR(__xludf.DUMMYFUNCTION("TRIM(REGEXREPLACE(A36,""●|\s*Gr=\d+"",""""))"),"RQ1.2.P1_ComponentType_Device")</f>
        <v>RQ1.2.P1_ComponentType_Device</v>
      </c>
      <c r="C36" s="53" t="str">
        <f>IFERROR(__xludf.DUMMYFUNCTION("SPLIT(B36,""_"",TRUE,TRUE)"),"RQ1.2.P1")</f>
        <v>RQ1.2.P1</v>
      </c>
      <c r="D36" s="221" t="str">
        <f>IFERROR(__xludf.DUMMYFUNCTION("""COMPUTED_VALUE"""),"ComponentType")</f>
        <v>ComponentType</v>
      </c>
      <c r="E36" s="221" t="str">
        <f>IFERROR(__xludf.DUMMYFUNCTION("""COMPUTED_VALUE"""),"Device")</f>
        <v>Device</v>
      </c>
      <c r="F36" s="220">
        <v>4.0</v>
      </c>
    </row>
    <row r="37">
      <c r="A37" s="226" t="s">
        <v>34194</v>
      </c>
      <c r="B37" s="53" t="str">
        <f>IFERROR(__xludf.DUMMYFUNCTION("TRIM(REGEXREPLACE(A37,""●|\s*Gr=\d+"",""""))"),"RQ1.2.P1_ComponentType_Gateway")</f>
        <v>RQ1.2.P1_ComponentType_Gateway</v>
      </c>
      <c r="C37" s="53" t="str">
        <f>IFERROR(__xludf.DUMMYFUNCTION("SPLIT(B37,""_"",TRUE,TRUE)"),"RQ1.2.P1")</f>
        <v>RQ1.2.P1</v>
      </c>
      <c r="D37" s="221" t="str">
        <f>IFERROR(__xludf.DUMMYFUNCTION("""COMPUTED_VALUE"""),"ComponentType")</f>
        <v>ComponentType</v>
      </c>
      <c r="E37" s="221" t="str">
        <f>IFERROR(__xludf.DUMMYFUNCTION("""COMPUTED_VALUE"""),"Gateway")</f>
        <v>Gateway</v>
      </c>
      <c r="F37" s="220">
        <v>3.0</v>
      </c>
    </row>
    <row r="38">
      <c r="A38" s="226" t="s">
        <v>34195</v>
      </c>
      <c r="B38" s="53" t="str">
        <f>IFERROR(__xludf.DUMMYFUNCTION("TRIM(REGEXREPLACE(A38,""●|\s*Gr=\d+"",""""))"),"RQ1.2.P1_ComponentType_LoadBalancer")</f>
        <v>RQ1.2.P1_ComponentType_LoadBalancer</v>
      </c>
      <c r="C38" s="53" t="str">
        <f>IFERROR(__xludf.DUMMYFUNCTION("SPLIT(B38,""_"",TRUE,TRUE)"),"RQ1.2.P1")</f>
        <v>RQ1.2.P1</v>
      </c>
      <c r="D38" s="221" t="str">
        <f>IFERROR(__xludf.DUMMYFUNCTION("""COMPUTED_VALUE"""),"ComponentType")</f>
        <v>ComponentType</v>
      </c>
      <c r="E38" s="221" t="str">
        <f>IFERROR(__xludf.DUMMYFUNCTION("""COMPUTED_VALUE"""),"LoadBalancer")</f>
        <v>LoadBalancer</v>
      </c>
      <c r="F38" s="220">
        <v>1.0</v>
      </c>
    </row>
    <row r="39">
      <c r="A39" s="226" t="s">
        <v>34196</v>
      </c>
      <c r="B39" s="53" t="str">
        <f>IFERROR(__xludf.DUMMYFUNCTION("TRIM(REGEXREPLACE(A39,""●|\s*Gr=\d+"",""""))"),"RQ1.2.P1_ComponentType_Memory")</f>
        <v>RQ1.2.P1_ComponentType_Memory</v>
      </c>
      <c r="C39" s="53" t="str">
        <f>IFERROR(__xludf.DUMMYFUNCTION("SPLIT(B39,""_"",TRUE,TRUE)"),"RQ1.2.P1")</f>
        <v>RQ1.2.P1</v>
      </c>
      <c r="D39" s="221" t="str">
        <f>IFERROR(__xludf.DUMMYFUNCTION("""COMPUTED_VALUE"""),"ComponentType")</f>
        <v>ComponentType</v>
      </c>
      <c r="E39" s="221" t="str">
        <f>IFERROR(__xludf.DUMMYFUNCTION("""COMPUTED_VALUE"""),"Memory")</f>
        <v>Memory</v>
      </c>
      <c r="F39" s="220">
        <v>6.0</v>
      </c>
    </row>
    <row r="40">
      <c r="A40" s="226" t="s">
        <v>34197</v>
      </c>
      <c r="B40" s="53" t="str">
        <f>IFERROR(__xludf.DUMMYFUNCTION("TRIM(REGEXREPLACE(A40,""●|\s*Gr=\d+"",""""))"),"RQ1.2.P1_ComponentType_Microservice")</f>
        <v>RQ1.2.P1_ComponentType_Microservice</v>
      </c>
      <c r="C40" s="53" t="str">
        <f>IFERROR(__xludf.DUMMYFUNCTION("SPLIT(B40,""_"",TRUE,TRUE)"),"RQ1.2.P1")</f>
        <v>RQ1.2.P1</v>
      </c>
      <c r="D40" s="221" t="str">
        <f>IFERROR(__xludf.DUMMYFUNCTION("""COMPUTED_VALUE"""),"ComponentType")</f>
        <v>ComponentType</v>
      </c>
      <c r="E40" s="221" t="str">
        <f>IFERROR(__xludf.DUMMYFUNCTION("""COMPUTED_VALUE"""),"Microservice")</f>
        <v>Microservice</v>
      </c>
      <c r="F40" s="220">
        <v>18.0</v>
      </c>
    </row>
    <row r="41">
      <c r="A41" s="226" t="s">
        <v>34198</v>
      </c>
      <c r="B41" s="53" t="str">
        <f>IFERROR(__xludf.DUMMYFUNCTION("TRIM(REGEXREPLACE(A41,""●|\s*Gr=\d+"",""""))"),"RQ1.2.P1_ComponentType_MonitoringComponent")</f>
        <v>RQ1.2.P1_ComponentType_MonitoringComponent</v>
      </c>
      <c r="C41" s="53" t="str">
        <f>IFERROR(__xludf.DUMMYFUNCTION("SPLIT(B41,""_"",TRUE,TRUE)"),"RQ1.2.P1")</f>
        <v>RQ1.2.P1</v>
      </c>
      <c r="D41" s="221" t="str">
        <f>IFERROR(__xludf.DUMMYFUNCTION("""COMPUTED_VALUE"""),"ComponentType")</f>
        <v>ComponentType</v>
      </c>
      <c r="E41" s="221" t="str">
        <f>IFERROR(__xludf.DUMMYFUNCTION("""COMPUTED_VALUE"""),"MonitoringComponent")</f>
        <v>MonitoringComponent</v>
      </c>
      <c r="F41" s="220">
        <v>1.0</v>
      </c>
    </row>
    <row r="42">
      <c r="A42" s="226" t="s">
        <v>34199</v>
      </c>
      <c r="B42" s="53" t="str">
        <f>IFERROR(__xludf.DUMMYFUNCTION("TRIM(REGEXREPLACE(A42,""●|\s*Gr=\d+"",""""))"),"RQ1.2.P1_ComponentType_NetworkComponent")</f>
        <v>RQ1.2.P1_ComponentType_NetworkComponent</v>
      </c>
      <c r="C42" s="53" t="str">
        <f>IFERROR(__xludf.DUMMYFUNCTION("SPLIT(B42,""_"",TRUE,TRUE)"),"RQ1.2.P1")</f>
        <v>RQ1.2.P1</v>
      </c>
      <c r="D42" s="221" t="str">
        <f>IFERROR(__xludf.DUMMYFUNCTION("""COMPUTED_VALUE"""),"ComponentType")</f>
        <v>ComponentType</v>
      </c>
      <c r="E42" s="221" t="str">
        <f>IFERROR(__xludf.DUMMYFUNCTION("""COMPUTED_VALUE"""),"NetworkComponent")</f>
        <v>NetworkComponent</v>
      </c>
      <c r="F42" s="220">
        <v>7.0</v>
      </c>
    </row>
    <row r="43">
      <c r="A43" s="226" t="s">
        <v>34200</v>
      </c>
      <c r="B43" s="53" t="str">
        <f>IFERROR(__xludf.DUMMYFUNCTION("TRIM(REGEXREPLACE(A43,""●|\s*Gr=\d+"",""""))"),"RQ1.2.P1_ComponentType_Node")</f>
        <v>RQ1.2.P1_ComponentType_Node</v>
      </c>
      <c r="C43" s="53" t="str">
        <f>IFERROR(__xludf.DUMMYFUNCTION("SPLIT(B43,""_"",TRUE,TRUE)"),"RQ1.2.P1")</f>
        <v>RQ1.2.P1</v>
      </c>
      <c r="D43" s="221" t="str">
        <f>IFERROR(__xludf.DUMMYFUNCTION("""COMPUTED_VALUE"""),"ComponentType")</f>
        <v>ComponentType</v>
      </c>
      <c r="E43" s="221" t="str">
        <f>IFERROR(__xludf.DUMMYFUNCTION("""COMPUTED_VALUE"""),"Node")</f>
        <v>Node</v>
      </c>
      <c r="F43" s="220">
        <v>8.0</v>
      </c>
    </row>
    <row r="44">
      <c r="A44" s="226" t="s">
        <v>34201</v>
      </c>
      <c r="B44" s="53" t="str">
        <f>IFERROR(__xludf.DUMMYFUNCTION("TRIM(REGEXREPLACE(A44,""●|\s*Gr=\d+"",""""))"),"RQ1.2.P1_ComponentType_Orchestrator")</f>
        <v>RQ1.2.P1_ComponentType_Orchestrator</v>
      </c>
      <c r="C44" s="53" t="str">
        <f>IFERROR(__xludf.DUMMYFUNCTION("SPLIT(B44,""_"",TRUE,TRUE)"),"RQ1.2.P1")</f>
        <v>RQ1.2.P1</v>
      </c>
      <c r="D44" s="221" t="str">
        <f>IFERROR(__xludf.DUMMYFUNCTION("""COMPUTED_VALUE"""),"ComponentType")</f>
        <v>ComponentType</v>
      </c>
      <c r="E44" s="221" t="str">
        <f>IFERROR(__xludf.DUMMYFUNCTION("""COMPUTED_VALUE"""),"Orchestrator")</f>
        <v>Orchestrator</v>
      </c>
      <c r="F44" s="220">
        <v>2.0</v>
      </c>
    </row>
    <row r="45">
      <c r="A45" s="226" t="s">
        <v>34202</v>
      </c>
      <c r="B45" s="53" t="str">
        <f>IFERROR(__xludf.DUMMYFUNCTION("TRIM(REGEXREPLACE(A45,""●|\s*Gr=\d+"",""""))"),"RQ1.2.P1_ComponentType_Pod")</f>
        <v>RQ1.2.P1_ComponentType_Pod</v>
      </c>
      <c r="C45" s="53" t="str">
        <f>IFERROR(__xludf.DUMMYFUNCTION("SPLIT(B45,""_"",TRUE,TRUE)"),"RQ1.2.P1")</f>
        <v>RQ1.2.P1</v>
      </c>
      <c r="D45" s="221" t="str">
        <f>IFERROR(__xludf.DUMMYFUNCTION("""COMPUTED_VALUE"""),"ComponentType")</f>
        <v>ComponentType</v>
      </c>
      <c r="E45" s="221" t="str">
        <f>IFERROR(__xludf.DUMMYFUNCTION("""COMPUTED_VALUE"""),"Pod")</f>
        <v>Pod</v>
      </c>
      <c r="F45" s="220">
        <v>4.0</v>
      </c>
    </row>
    <row r="46">
      <c r="A46" s="226" t="s">
        <v>34203</v>
      </c>
      <c r="B46" s="53" t="str">
        <f>IFERROR(__xludf.DUMMYFUNCTION("TRIM(REGEXREPLACE(A46,""●|\s*Gr=\d+"",""""))"),"RQ1.2.P1_ComponentType_Server")</f>
        <v>RQ1.2.P1_ComponentType_Server</v>
      </c>
      <c r="C46" s="53" t="str">
        <f>IFERROR(__xludf.DUMMYFUNCTION("SPLIT(B46,""_"",TRUE,TRUE)"),"RQ1.2.P1")</f>
        <v>RQ1.2.P1</v>
      </c>
      <c r="D46" s="221" t="str">
        <f>IFERROR(__xludf.DUMMYFUNCTION("""COMPUTED_VALUE"""),"ComponentType")</f>
        <v>ComponentType</v>
      </c>
      <c r="E46" s="221" t="str">
        <f>IFERROR(__xludf.DUMMYFUNCTION("""COMPUTED_VALUE"""),"Server")</f>
        <v>Server</v>
      </c>
      <c r="F46" s="220">
        <v>10.0</v>
      </c>
    </row>
    <row r="47">
      <c r="A47" s="226" t="s">
        <v>34204</v>
      </c>
      <c r="B47" s="53" t="str">
        <f>IFERROR(__xludf.DUMMYFUNCTION("TRIM(REGEXREPLACE(A47,""●|\s*Gr=\d+"",""""))"),"RQ1.2.P1_ComponentType_Service")</f>
        <v>RQ1.2.P1_ComponentType_Service</v>
      </c>
      <c r="C47" s="53" t="str">
        <f>IFERROR(__xludf.DUMMYFUNCTION("SPLIT(B47,""_"",TRUE,TRUE)"),"RQ1.2.P1")</f>
        <v>RQ1.2.P1</v>
      </c>
      <c r="D47" s="221" t="str">
        <f>IFERROR(__xludf.DUMMYFUNCTION("""COMPUTED_VALUE"""),"ComponentType")</f>
        <v>ComponentType</v>
      </c>
      <c r="E47" s="221" t="str">
        <f>IFERROR(__xludf.DUMMYFUNCTION("""COMPUTED_VALUE"""),"Service")</f>
        <v>Service</v>
      </c>
      <c r="F47" s="220">
        <v>10.0</v>
      </c>
    </row>
    <row r="48">
      <c r="A48" s="226" t="s">
        <v>34205</v>
      </c>
      <c r="B48" s="53" t="str">
        <f>IFERROR(__xludf.DUMMYFUNCTION("TRIM(REGEXREPLACE(A48,""●|\s*Gr=\d+"",""""))"),"RQ1.2.P1_ComponentType_Storage")</f>
        <v>RQ1.2.P1_ComponentType_Storage</v>
      </c>
      <c r="C48" s="53" t="str">
        <f>IFERROR(__xludf.DUMMYFUNCTION("SPLIT(B48,""_"",TRUE,TRUE)"),"RQ1.2.P1")</f>
        <v>RQ1.2.P1</v>
      </c>
      <c r="D48" s="221" t="str">
        <f>IFERROR(__xludf.DUMMYFUNCTION("""COMPUTED_VALUE"""),"ComponentType")</f>
        <v>ComponentType</v>
      </c>
      <c r="E48" s="221" t="str">
        <f>IFERROR(__xludf.DUMMYFUNCTION("""COMPUTED_VALUE"""),"Storage")</f>
        <v>Storage</v>
      </c>
      <c r="F48" s="220">
        <v>2.0</v>
      </c>
    </row>
    <row r="49">
      <c r="A49" s="226" t="s">
        <v>34206</v>
      </c>
      <c r="B49" s="53" t="str">
        <f>IFERROR(__xludf.DUMMYFUNCTION("TRIM(REGEXREPLACE(A49,""●|\s*Gr=\d+"",""""))"),"RQ1.2.P1_ComponentType_VirtualMachine")</f>
        <v>RQ1.2.P1_ComponentType_VirtualMachine</v>
      </c>
      <c r="C49" s="53" t="str">
        <f>IFERROR(__xludf.DUMMYFUNCTION("SPLIT(B49,""_"",TRUE,TRUE)"),"RQ1.2.P1")</f>
        <v>RQ1.2.P1</v>
      </c>
      <c r="D49" s="221" t="str">
        <f>IFERROR(__xludf.DUMMYFUNCTION("""COMPUTED_VALUE"""),"ComponentType")</f>
        <v>ComponentType</v>
      </c>
      <c r="E49" s="221" t="str">
        <f>IFERROR(__xludf.DUMMYFUNCTION("""COMPUTED_VALUE"""),"VirtualMachine")</f>
        <v>VirtualMachine</v>
      </c>
      <c r="F49" s="220">
        <v>2.0</v>
      </c>
    </row>
    <row r="50">
      <c r="A50" s="227"/>
      <c r="B50" s="53"/>
      <c r="C50" s="53"/>
      <c r="D50" s="221"/>
      <c r="E50" s="224" t="s">
        <v>34168</v>
      </c>
      <c r="F50" s="217">
        <f>SUM(F33:F49)</f>
        <v>110</v>
      </c>
    </row>
    <row r="51">
      <c r="A51" s="227" t="s">
        <v>34207</v>
      </c>
      <c r="B51" s="53" t="str">
        <f>IFERROR(__xludf.DUMMYFUNCTION("TRIM(REGEXREPLACE(A51,""●|\s*Gr=\d+"",""""))"),"RQ1.2.P2_EnergyConsumptionSource")</f>
        <v>RQ1.2.P2_EnergyConsumptionSource</v>
      </c>
      <c r="C51" s="53" t="str">
        <f>IFERROR(__xludf.DUMMYFUNCTION("SPLIT(B51,""_"",TRUE,TRUE)"),"RQ1.2.P2")</f>
        <v>RQ1.2.P2</v>
      </c>
      <c r="D51" s="221" t="str">
        <f>IFERROR(__xludf.DUMMYFUNCTION("""COMPUTED_VALUE"""),"EnergyConsumptionSource")</f>
        <v>EnergyConsumptionSource</v>
      </c>
      <c r="E51" s="221"/>
      <c r="F51" s="220"/>
    </row>
    <row r="52">
      <c r="A52" s="227" t="s">
        <v>34208</v>
      </c>
      <c r="B52" s="53" t="str">
        <f>IFERROR(__xludf.DUMMYFUNCTION("TRIM(REGEXREPLACE(A52,""●|\s*Gr=\d+"",""""))"),"RQ1.2.P2_EnergyConsumptionSource_Computation")</f>
        <v>RQ1.2.P2_EnergyConsumptionSource_Computation</v>
      </c>
      <c r="C52" s="53" t="str">
        <f>IFERROR(__xludf.DUMMYFUNCTION("SPLIT(B52,""_"",TRUE,TRUE)"),"RQ1.2.P2")</f>
        <v>RQ1.2.P2</v>
      </c>
      <c r="D52" s="221" t="str">
        <f>IFERROR(__xludf.DUMMYFUNCTION("""COMPUTED_VALUE"""),"EnergyConsumptionSource")</f>
        <v>EnergyConsumptionSource</v>
      </c>
      <c r="E52" s="221" t="str">
        <f>IFERROR(__xludf.DUMMYFUNCTION("""COMPUTED_VALUE"""),"Computation")</f>
        <v>Computation</v>
      </c>
      <c r="F52" s="220">
        <v>3.0</v>
      </c>
    </row>
    <row r="53">
      <c r="A53" s="227" t="s">
        <v>34209</v>
      </c>
      <c r="B53" s="53" t="str">
        <f>IFERROR(__xludf.DUMMYFUNCTION("TRIM(REGEXREPLACE(A53,""●|\s*Gr=\d+"",""""))"),"RQ1.2.P2_EnergyConsumptionSource_CPU")</f>
        <v>RQ1.2.P2_EnergyConsumptionSource_CPU</v>
      </c>
      <c r="C53" s="53" t="str">
        <f>IFERROR(__xludf.DUMMYFUNCTION("SPLIT(B53,""_"",TRUE,TRUE)"),"RQ1.2.P2")</f>
        <v>RQ1.2.P2</v>
      </c>
      <c r="D53" s="221" t="str">
        <f>IFERROR(__xludf.DUMMYFUNCTION("""COMPUTED_VALUE"""),"EnergyConsumptionSource")</f>
        <v>EnergyConsumptionSource</v>
      </c>
      <c r="E53" s="221" t="str">
        <f>IFERROR(__xludf.DUMMYFUNCTION("""COMPUTED_VALUE"""),"CPU")</f>
        <v>CPU</v>
      </c>
      <c r="F53" s="220">
        <v>33.0</v>
      </c>
    </row>
    <row r="54">
      <c r="A54" s="227" t="s">
        <v>34210</v>
      </c>
      <c r="B54" s="53" t="str">
        <f>IFERROR(__xludf.DUMMYFUNCTION("TRIM(REGEXREPLACE(A54,""●|\s*Gr=\d+"",""""))"),"RQ1.2.P2_EnergyConsumptionSource_Device")</f>
        <v>RQ1.2.P2_EnergyConsumptionSource_Device</v>
      </c>
      <c r="C54" s="53" t="str">
        <f>IFERROR(__xludf.DUMMYFUNCTION("SPLIT(B54,""_"",TRUE,TRUE)"),"RQ1.2.P2")</f>
        <v>RQ1.2.P2</v>
      </c>
      <c r="D54" s="221" t="str">
        <f>IFERROR(__xludf.DUMMYFUNCTION("""COMPUTED_VALUE"""),"EnergyConsumptionSource")</f>
        <v>EnergyConsumptionSource</v>
      </c>
      <c r="E54" s="221" t="str">
        <f>IFERROR(__xludf.DUMMYFUNCTION("""COMPUTED_VALUE"""),"Device")</f>
        <v>Device</v>
      </c>
      <c r="F54" s="220">
        <v>5.0</v>
      </c>
    </row>
    <row r="55">
      <c r="A55" s="227" t="s">
        <v>34211</v>
      </c>
      <c r="B55" s="53" t="str">
        <f>IFERROR(__xludf.DUMMYFUNCTION("TRIM(REGEXREPLACE(A55,""●|\s*Gr=\d+"",""""))"),"RQ1.2.P2_EnergyConsumptionSource_FPGA")</f>
        <v>RQ1.2.P2_EnergyConsumptionSource_FPGA</v>
      </c>
      <c r="C55" s="53" t="str">
        <f>IFERROR(__xludf.DUMMYFUNCTION("SPLIT(B55,""_"",TRUE,TRUE)"),"RQ1.2.P2")</f>
        <v>RQ1.2.P2</v>
      </c>
      <c r="D55" s="221" t="str">
        <f>IFERROR(__xludf.DUMMYFUNCTION("""COMPUTED_VALUE"""),"EnergyConsumptionSource")</f>
        <v>EnergyConsumptionSource</v>
      </c>
      <c r="E55" s="221" t="str">
        <f>IFERROR(__xludf.DUMMYFUNCTION("""COMPUTED_VALUE"""),"FPGA")</f>
        <v>FPGA</v>
      </c>
      <c r="F55" s="220">
        <v>1.0</v>
      </c>
    </row>
    <row r="56">
      <c r="A56" s="227" t="s">
        <v>34212</v>
      </c>
      <c r="B56" s="53" t="str">
        <f>IFERROR(__xludf.DUMMYFUNCTION("TRIM(REGEXREPLACE(A56,""●|\s*Gr=\d+"",""""))"),"RQ1.2.P2_EnergyConsumptionSource_IdlePower")</f>
        <v>RQ1.2.P2_EnergyConsumptionSource_IdlePower</v>
      </c>
      <c r="C56" s="53" t="str">
        <f>IFERROR(__xludf.DUMMYFUNCTION("SPLIT(B56,""_"",TRUE,TRUE)"),"RQ1.2.P2")</f>
        <v>RQ1.2.P2</v>
      </c>
      <c r="D56" s="221" t="str">
        <f>IFERROR(__xludf.DUMMYFUNCTION("""COMPUTED_VALUE"""),"EnergyConsumptionSource")</f>
        <v>EnergyConsumptionSource</v>
      </c>
      <c r="E56" s="221" t="str">
        <f>IFERROR(__xludf.DUMMYFUNCTION("""COMPUTED_VALUE"""),"IdlePower")</f>
        <v>IdlePower</v>
      </c>
      <c r="F56" s="220">
        <v>2.0</v>
      </c>
    </row>
    <row r="57">
      <c r="A57" s="227" t="s">
        <v>34213</v>
      </c>
      <c r="B57" s="53" t="str">
        <f>IFERROR(__xludf.DUMMYFUNCTION("TRIM(REGEXREPLACE(A57,""●|\s*Gr=\d+"",""""))"),"RQ1.2.P2_EnergyConsumptionSource_MaxPower")</f>
        <v>RQ1.2.P2_EnergyConsumptionSource_MaxPower</v>
      </c>
      <c r="C57" s="53" t="str">
        <f>IFERROR(__xludf.DUMMYFUNCTION("SPLIT(B57,""_"",TRUE,TRUE)"),"RQ1.2.P2")</f>
        <v>RQ1.2.P2</v>
      </c>
      <c r="D57" s="221" t="str">
        <f>IFERROR(__xludf.DUMMYFUNCTION("""COMPUTED_VALUE"""),"EnergyConsumptionSource")</f>
        <v>EnergyConsumptionSource</v>
      </c>
      <c r="E57" s="221" t="str">
        <f>IFERROR(__xludf.DUMMYFUNCTION("""COMPUTED_VALUE"""),"MaxPower")</f>
        <v>MaxPower</v>
      </c>
      <c r="F57" s="220">
        <v>1.0</v>
      </c>
    </row>
    <row r="58">
      <c r="A58" s="227" t="s">
        <v>34214</v>
      </c>
      <c r="B58" s="53" t="str">
        <f>IFERROR(__xludf.DUMMYFUNCTION("TRIM(REGEXREPLACE(A58,""●|\s*Gr=\d+"",""""))"),"RQ1.2.P2_EnergyConsumptionSource_Memory")</f>
        <v>RQ1.2.P2_EnergyConsumptionSource_Memory</v>
      </c>
      <c r="C58" s="53" t="str">
        <f>IFERROR(__xludf.DUMMYFUNCTION("SPLIT(B58,""_"",TRUE,TRUE)"),"RQ1.2.P2")</f>
        <v>RQ1.2.P2</v>
      </c>
      <c r="D58" s="221" t="str">
        <f>IFERROR(__xludf.DUMMYFUNCTION("""COMPUTED_VALUE"""),"EnergyConsumptionSource")</f>
        <v>EnergyConsumptionSource</v>
      </c>
      <c r="E58" s="221" t="str">
        <f>IFERROR(__xludf.DUMMYFUNCTION("""COMPUTED_VALUE"""),"Memory")</f>
        <v>Memory</v>
      </c>
      <c r="F58" s="220">
        <v>10.0</v>
      </c>
    </row>
    <row r="59">
      <c r="A59" s="227" t="s">
        <v>34215</v>
      </c>
      <c r="B59" s="53" t="str">
        <f>IFERROR(__xludf.DUMMYFUNCTION("TRIM(REGEXREPLACE(A59,""●|\s*Gr=\d+"",""""))"),"RQ1.2.P2_EnergyConsumptionSource_Network")</f>
        <v>RQ1.2.P2_EnergyConsumptionSource_Network</v>
      </c>
      <c r="C59" s="53" t="str">
        <f>IFERROR(__xludf.DUMMYFUNCTION("SPLIT(B59,""_"",TRUE,TRUE)"),"RQ1.2.P2")</f>
        <v>RQ1.2.P2</v>
      </c>
      <c r="D59" s="221" t="str">
        <f>IFERROR(__xludf.DUMMYFUNCTION("""COMPUTED_VALUE"""),"EnergyConsumptionSource")</f>
        <v>EnergyConsumptionSource</v>
      </c>
      <c r="E59" s="221" t="str">
        <f>IFERROR(__xludf.DUMMYFUNCTION("""COMPUTED_VALUE"""),"Network")</f>
        <v>Network</v>
      </c>
      <c r="F59" s="220">
        <v>20.0</v>
      </c>
    </row>
    <row r="60">
      <c r="A60" s="227" t="s">
        <v>34216</v>
      </c>
      <c r="B60" s="53" t="str">
        <f>IFERROR(__xludf.DUMMYFUNCTION("TRIM(REGEXREPLACE(A60,""●|\s*Gr=\d+"",""""))"),"RQ1.2.P2_EnergyConsumptionSource_PowerSupply")</f>
        <v>RQ1.2.P2_EnergyConsumptionSource_PowerSupply</v>
      </c>
      <c r="C60" s="53" t="str">
        <f>IFERROR(__xludf.DUMMYFUNCTION("SPLIT(B60,""_"",TRUE,TRUE)"),"RQ1.2.P2")</f>
        <v>RQ1.2.P2</v>
      </c>
      <c r="D60" s="221" t="str">
        <f>IFERROR(__xludf.DUMMYFUNCTION("""COMPUTED_VALUE"""),"EnergyConsumptionSource")</f>
        <v>EnergyConsumptionSource</v>
      </c>
      <c r="E60" s="221" t="str">
        <f>IFERROR(__xludf.DUMMYFUNCTION("""COMPUTED_VALUE"""),"PowerSupply")</f>
        <v>PowerSupply</v>
      </c>
      <c r="F60" s="220">
        <v>2.0</v>
      </c>
    </row>
    <row r="61">
      <c r="A61" s="227" t="s">
        <v>34217</v>
      </c>
      <c r="B61" s="53" t="str">
        <f>IFERROR(__xludf.DUMMYFUNCTION("TRIM(REGEXREPLACE(A61,""●|\s*Gr=\d+"",""""))"),"RQ1.2.P2_EnergyConsumptionSource_Server")</f>
        <v>RQ1.2.P2_EnergyConsumptionSource_Server</v>
      </c>
      <c r="C61" s="53" t="str">
        <f>IFERROR(__xludf.DUMMYFUNCTION("SPLIT(B61,""_"",TRUE,TRUE)"),"RQ1.2.P2")</f>
        <v>RQ1.2.P2</v>
      </c>
      <c r="D61" s="221" t="str">
        <f>IFERROR(__xludf.DUMMYFUNCTION("""COMPUTED_VALUE"""),"EnergyConsumptionSource")</f>
        <v>EnergyConsumptionSource</v>
      </c>
      <c r="E61" s="221" t="str">
        <f>IFERROR(__xludf.DUMMYFUNCTION("""COMPUTED_VALUE"""),"Server")</f>
        <v>Server</v>
      </c>
      <c r="F61" s="220">
        <v>4.0</v>
      </c>
    </row>
    <row r="62">
      <c r="A62" s="227" t="s">
        <v>34218</v>
      </c>
      <c r="B62" s="53" t="str">
        <f>IFERROR(__xludf.DUMMYFUNCTION("TRIM(REGEXREPLACE(A62,""●|\s*Gr=\d+"",""""))"),"RQ1.2.P2_EnergyConsumptionSource_Storage")</f>
        <v>RQ1.2.P2_EnergyConsumptionSource_Storage</v>
      </c>
      <c r="C62" s="53" t="str">
        <f>IFERROR(__xludf.DUMMYFUNCTION("SPLIT(B62,""_"",TRUE,TRUE)"),"RQ1.2.P2")</f>
        <v>RQ1.2.P2</v>
      </c>
      <c r="D62" s="221" t="str">
        <f>IFERROR(__xludf.DUMMYFUNCTION("""COMPUTED_VALUE"""),"EnergyConsumptionSource")</f>
        <v>EnergyConsumptionSource</v>
      </c>
      <c r="E62" s="221" t="str">
        <f>IFERROR(__xludf.DUMMYFUNCTION("""COMPUTED_VALUE"""),"Storage")</f>
        <v>Storage</v>
      </c>
      <c r="F62" s="220">
        <v>8.0</v>
      </c>
    </row>
    <row r="63">
      <c r="A63" s="228"/>
      <c r="B63" s="53"/>
      <c r="C63" s="53"/>
      <c r="D63" s="221"/>
      <c r="E63" s="224" t="s">
        <v>34168</v>
      </c>
      <c r="F63" s="217">
        <f>SUM(F52:F62)</f>
        <v>89</v>
      </c>
    </row>
    <row r="64">
      <c r="A64" s="228" t="s">
        <v>34219</v>
      </c>
      <c r="B64" s="53" t="str">
        <f>IFERROR(__xludf.DUMMYFUNCTION("TRIM(REGEXREPLACE(A64,""●|\s*Gr=\d+"",""""))"),"RQ1.2.P3_ComponentRelationship")</f>
        <v>RQ1.2.P3_ComponentRelationship</v>
      </c>
      <c r="C64" s="53" t="str">
        <f>IFERROR(__xludf.DUMMYFUNCTION("SPLIT(B64,""_"",TRUE,TRUE)"),"RQ1.2.P3")</f>
        <v>RQ1.2.P3</v>
      </c>
      <c r="D64" s="221" t="str">
        <f>IFERROR(__xludf.DUMMYFUNCTION("""COMPUTED_VALUE"""),"ComponentRelationship")</f>
        <v>ComponentRelationship</v>
      </c>
      <c r="E64" s="221"/>
      <c r="F64" s="220"/>
    </row>
    <row r="65">
      <c r="A65" s="228" t="s">
        <v>34220</v>
      </c>
      <c r="B65" s="53" t="str">
        <f>IFERROR(__xludf.DUMMYFUNCTION("TRIM(REGEXREPLACE(A65,""●|\s*Gr=\d+"",""""))"),"RQ1.2.P3_ComponentRelationship_CommunicationOverhead")</f>
        <v>RQ1.2.P3_ComponentRelationship_CommunicationOverhead</v>
      </c>
      <c r="C65" s="53" t="str">
        <f>IFERROR(__xludf.DUMMYFUNCTION("SPLIT(B65,""_"",TRUE,TRUE)"),"RQ1.2.P3")</f>
        <v>RQ1.2.P3</v>
      </c>
      <c r="D65" s="221" t="str">
        <f>IFERROR(__xludf.DUMMYFUNCTION("""COMPUTED_VALUE"""),"ComponentRelationship")</f>
        <v>ComponentRelationship</v>
      </c>
      <c r="E65" s="221" t="str">
        <f>IFERROR(__xludf.DUMMYFUNCTION("""COMPUTED_VALUE"""),"CommunicationOverhead")</f>
        <v>CommunicationOverhead</v>
      </c>
      <c r="F65" s="220">
        <v>9.0</v>
      </c>
    </row>
    <row r="66">
      <c r="A66" s="228" t="s">
        <v>34221</v>
      </c>
      <c r="B66" s="53" t="str">
        <f>IFERROR(__xludf.DUMMYFUNCTION("TRIM(REGEXREPLACE(A66,""●|\s*Gr=\d+"",""""))"),"RQ1.2.P3_ComponentRelationship_DependencyCascade")</f>
        <v>RQ1.2.P3_ComponentRelationship_DependencyCascade</v>
      </c>
      <c r="C66" s="53" t="str">
        <f>IFERROR(__xludf.DUMMYFUNCTION("SPLIT(B66,""_"",TRUE,TRUE)"),"RQ1.2.P3")</f>
        <v>RQ1.2.P3</v>
      </c>
      <c r="D66" s="221" t="str">
        <f>IFERROR(__xludf.DUMMYFUNCTION("""COMPUTED_VALUE"""),"ComponentRelationship")</f>
        <v>ComponentRelationship</v>
      </c>
      <c r="E66" s="221" t="str">
        <f>IFERROR(__xludf.DUMMYFUNCTION("""COMPUTED_VALUE"""),"DependencyCascade")</f>
        <v>DependencyCascade</v>
      </c>
      <c r="F66" s="220">
        <v>3.0</v>
      </c>
    </row>
    <row r="67">
      <c r="A67" s="228" t="s">
        <v>34222</v>
      </c>
      <c r="B67" s="53" t="str">
        <f>IFERROR(__xludf.DUMMYFUNCTION("TRIM(REGEXREPLACE(A67,""●|\s*Gr=\d+"",""""))"),"RQ1.2.P3_ComponentRelationship_PlacementDependency")</f>
        <v>RQ1.2.P3_ComponentRelationship_PlacementDependency</v>
      </c>
      <c r="C67" s="53" t="str">
        <f>IFERROR(__xludf.DUMMYFUNCTION("SPLIT(B67,""_"",TRUE,TRUE)"),"RQ1.2.P3")</f>
        <v>RQ1.2.P3</v>
      </c>
      <c r="D67" s="221" t="str">
        <f>IFERROR(__xludf.DUMMYFUNCTION("""COMPUTED_VALUE"""),"ComponentRelationship")</f>
        <v>ComponentRelationship</v>
      </c>
      <c r="E67" s="221" t="str">
        <f>IFERROR(__xludf.DUMMYFUNCTION("""COMPUTED_VALUE"""),"PlacementDependency")</f>
        <v>PlacementDependency</v>
      </c>
      <c r="F67" s="220">
        <v>3.0</v>
      </c>
    </row>
    <row r="68">
      <c r="A68" s="228" t="s">
        <v>34223</v>
      </c>
      <c r="B68" s="53" t="str">
        <f>IFERROR(__xludf.DUMMYFUNCTION("TRIM(REGEXREPLACE(A68,""●|\s*Gr=\d+"",""""))"),"RQ1.2.P3_ComponentRelationship_Reconfiguration")</f>
        <v>RQ1.2.P3_ComponentRelationship_Reconfiguration</v>
      </c>
      <c r="C68" s="53" t="str">
        <f>IFERROR(__xludf.DUMMYFUNCTION("SPLIT(B68,""_"",TRUE,TRUE)"),"RQ1.2.P3")</f>
        <v>RQ1.2.P3</v>
      </c>
      <c r="D68" s="221" t="str">
        <f>IFERROR(__xludf.DUMMYFUNCTION("""COMPUTED_VALUE"""),"ComponentRelationship")</f>
        <v>ComponentRelationship</v>
      </c>
      <c r="E68" s="221" t="str">
        <f>IFERROR(__xludf.DUMMYFUNCTION("""COMPUTED_VALUE"""),"Reconfiguration")</f>
        <v>Reconfiguration</v>
      </c>
      <c r="F68" s="220">
        <v>1.0</v>
      </c>
    </row>
    <row r="69">
      <c r="A69" s="228" t="s">
        <v>34224</v>
      </c>
      <c r="B69" s="53" t="str">
        <f>IFERROR(__xludf.DUMMYFUNCTION("TRIM(REGEXREPLACE(A69,""●|\s*Gr=\d+"",""""))"),"RQ1.2.P3_ComponentRelationship_RedundancyReplication")</f>
        <v>RQ1.2.P3_ComponentRelationship_RedundancyReplication</v>
      </c>
      <c r="C69" s="53" t="str">
        <f>IFERROR(__xludf.DUMMYFUNCTION("SPLIT(B69,""_"",TRUE,TRUE)"),"RQ1.2.P3")</f>
        <v>RQ1.2.P3</v>
      </c>
      <c r="D69" s="221" t="str">
        <f>IFERROR(__xludf.DUMMYFUNCTION("""COMPUTED_VALUE"""),"ComponentRelationship")</f>
        <v>ComponentRelationship</v>
      </c>
      <c r="E69" s="221" t="str">
        <f>IFERROR(__xludf.DUMMYFUNCTION("""COMPUTED_VALUE"""),"RedundancyReplication")</f>
        <v>RedundancyReplication</v>
      </c>
      <c r="F69" s="220">
        <v>1.0</v>
      </c>
    </row>
    <row r="70">
      <c r="A70" s="228" t="s">
        <v>34225</v>
      </c>
      <c r="B70" s="53" t="str">
        <f>IFERROR(__xludf.DUMMYFUNCTION("TRIM(REGEXREPLACE(A70,""●|\s*Gr=\d+"",""""))"),"RQ1.2.P3_ComponentRelationship_RequestBatching")</f>
        <v>RQ1.2.P3_ComponentRelationship_RequestBatching</v>
      </c>
      <c r="C70" s="53" t="str">
        <f>IFERROR(__xludf.DUMMYFUNCTION("SPLIT(B70,""_"",TRUE,TRUE)"),"RQ1.2.P3")</f>
        <v>RQ1.2.P3</v>
      </c>
      <c r="D70" s="221" t="str">
        <f>IFERROR(__xludf.DUMMYFUNCTION("""COMPUTED_VALUE"""),"ComponentRelationship")</f>
        <v>ComponentRelationship</v>
      </c>
      <c r="E70" s="221" t="str">
        <f>IFERROR(__xludf.DUMMYFUNCTION("""COMPUTED_VALUE"""),"RequestBatching")</f>
        <v>RequestBatching</v>
      </c>
      <c r="F70" s="220">
        <v>1.0</v>
      </c>
    </row>
    <row r="71">
      <c r="A71" s="228" t="s">
        <v>34226</v>
      </c>
      <c r="B71" s="53" t="str">
        <f>IFERROR(__xludf.DUMMYFUNCTION("TRIM(REGEXREPLACE(A71,""●|\s*Gr=\d+"",""""))"),"RQ1.2.P3_ComponentRelationship_ServiceDeactivation")</f>
        <v>RQ1.2.P3_ComponentRelationship_ServiceDeactivation</v>
      </c>
      <c r="C71" s="53" t="str">
        <f>IFERROR(__xludf.DUMMYFUNCTION("SPLIT(B71,""_"",TRUE,TRUE)"),"RQ1.2.P3")</f>
        <v>RQ1.2.P3</v>
      </c>
      <c r="D71" s="221" t="str">
        <f>IFERROR(__xludf.DUMMYFUNCTION("""COMPUTED_VALUE"""),"ComponentRelationship")</f>
        <v>ComponentRelationship</v>
      </c>
      <c r="E71" s="221" t="str">
        <f>IFERROR(__xludf.DUMMYFUNCTION("""COMPUTED_VALUE"""),"ServiceDeactivation")</f>
        <v>ServiceDeactivation</v>
      </c>
      <c r="F71" s="220">
        <v>1.0</v>
      </c>
    </row>
    <row r="72">
      <c r="A72" s="228" t="s">
        <v>34227</v>
      </c>
      <c r="B72" s="53" t="str">
        <f>IFERROR(__xludf.DUMMYFUNCTION("TRIM(REGEXREPLACE(A72,""●|\s*Gr=\d+"",""""))"),"RQ1.2.P3_ComponentRelationship_SharedResourceContention")</f>
        <v>RQ1.2.P3_ComponentRelationship_SharedResourceContention</v>
      </c>
      <c r="C72" s="53" t="str">
        <f>IFERROR(__xludf.DUMMYFUNCTION("SPLIT(B72,""_"",TRUE,TRUE)"),"RQ1.2.P3")</f>
        <v>RQ1.2.P3</v>
      </c>
      <c r="D72" s="221" t="str">
        <f>IFERROR(__xludf.DUMMYFUNCTION("""COMPUTED_VALUE"""),"ComponentRelationship")</f>
        <v>ComponentRelationship</v>
      </c>
      <c r="E72" s="221" t="str">
        <f>IFERROR(__xludf.DUMMYFUNCTION("""COMPUTED_VALUE"""),"SharedResourceContention")</f>
        <v>SharedResourceContention</v>
      </c>
      <c r="F72" s="220">
        <v>1.0</v>
      </c>
    </row>
    <row r="73">
      <c r="A73" s="228" t="s">
        <v>34228</v>
      </c>
      <c r="B73" s="53" t="str">
        <f>IFERROR(__xludf.DUMMYFUNCTION("TRIM(REGEXREPLACE(A73,""●|\s*Gr=\d+"",""""))"),"RQ1.2.P3_ComponentRelationship_StartUpBehavior")</f>
        <v>RQ1.2.P3_ComponentRelationship_StartUpBehavior</v>
      </c>
      <c r="C73" s="53" t="str">
        <f>IFERROR(__xludf.DUMMYFUNCTION("SPLIT(B73,""_"",TRUE,TRUE)"),"RQ1.2.P3")</f>
        <v>RQ1.2.P3</v>
      </c>
      <c r="D73" s="221" t="str">
        <f>IFERROR(__xludf.DUMMYFUNCTION("""COMPUTED_VALUE"""),"ComponentRelationship")</f>
        <v>ComponentRelationship</v>
      </c>
      <c r="E73" s="221" t="str">
        <f>IFERROR(__xludf.DUMMYFUNCTION("""COMPUTED_VALUE"""),"StartUpBehavior")</f>
        <v>StartUpBehavior</v>
      </c>
      <c r="F73" s="220">
        <v>2.0</v>
      </c>
    </row>
    <row r="74">
      <c r="A74" s="224"/>
      <c r="B74" s="53"/>
      <c r="C74" s="53"/>
      <c r="D74" s="221"/>
      <c r="E74" s="224" t="s">
        <v>34168</v>
      </c>
      <c r="F74" s="217">
        <f>SUM(F65:F73)</f>
        <v>22</v>
      </c>
    </row>
    <row r="75">
      <c r="A75" s="224" t="s">
        <v>34229</v>
      </c>
      <c r="B75" s="53" t="str">
        <f>IFERROR(__xludf.DUMMYFUNCTION("TRIM(REGEXREPLACE(A75,""●|\s*Gr=\d+"",""""))"),"RQ2.1.P1_MeasurementLevel")</f>
        <v>RQ2.1.P1_MeasurementLevel</v>
      </c>
      <c r="C75" s="53" t="str">
        <f>IFERROR(__xludf.DUMMYFUNCTION("SPLIT(B75,""_"",TRUE,TRUE)"),"RQ2.1.P1")</f>
        <v>RQ2.1.P1</v>
      </c>
      <c r="D75" s="221" t="str">
        <f>IFERROR(__xludf.DUMMYFUNCTION("""COMPUTED_VALUE"""),"MeasurementLevel")</f>
        <v>MeasurementLevel</v>
      </c>
      <c r="E75" s="221"/>
      <c r="F75" s="220"/>
    </row>
    <row r="76">
      <c r="A76" s="224" t="s">
        <v>34230</v>
      </c>
      <c r="B76" s="53" t="str">
        <f>IFERROR(__xludf.DUMMYFUNCTION("TRIM(REGEXREPLACE(A76,""●|\s*Gr=\d+"",""""))"),"RQ2.1.P1_MeasurementLevel_Application")</f>
        <v>RQ2.1.P1_MeasurementLevel_Application</v>
      </c>
      <c r="C76" s="53" t="str">
        <f>IFERROR(__xludf.DUMMYFUNCTION("SPLIT(B76,""_"",TRUE,TRUE)"),"RQ2.1.P1")</f>
        <v>RQ2.1.P1</v>
      </c>
      <c r="D76" s="221" t="str">
        <f>IFERROR(__xludf.DUMMYFUNCTION("""COMPUTED_VALUE"""),"MeasurementLevel")</f>
        <v>MeasurementLevel</v>
      </c>
      <c r="E76" s="221" t="str">
        <f>IFERROR(__xludf.DUMMYFUNCTION("""COMPUTED_VALUE"""),"Application")</f>
        <v>Application</v>
      </c>
      <c r="F76" s="220">
        <v>2.0</v>
      </c>
    </row>
    <row r="77">
      <c r="A77" s="224" t="s">
        <v>34231</v>
      </c>
      <c r="B77" s="53" t="str">
        <f>IFERROR(__xludf.DUMMYFUNCTION("TRIM(REGEXREPLACE(A77,""●|\s*Gr=\d+"",""""))"),"RQ2.1.P1_MeasurementLevel_ClusterDatacenter")</f>
        <v>RQ2.1.P1_MeasurementLevel_ClusterDatacenter</v>
      </c>
      <c r="C77" s="53" t="str">
        <f>IFERROR(__xludf.DUMMYFUNCTION("SPLIT(B77,""_"",TRUE,TRUE)"),"RQ2.1.P1")</f>
        <v>RQ2.1.P1</v>
      </c>
      <c r="D77" s="221" t="str">
        <f>IFERROR(__xludf.DUMMYFUNCTION("""COMPUTED_VALUE"""),"MeasurementLevel")</f>
        <v>MeasurementLevel</v>
      </c>
      <c r="E77" s="221" t="str">
        <f>IFERROR(__xludf.DUMMYFUNCTION("""COMPUTED_VALUE"""),"ClusterDatacenter")</f>
        <v>ClusterDatacenter</v>
      </c>
      <c r="F77" s="220">
        <v>2.0</v>
      </c>
    </row>
    <row r="78">
      <c r="A78" s="224" t="s">
        <v>34232</v>
      </c>
      <c r="B78" s="53" t="str">
        <f>IFERROR(__xludf.DUMMYFUNCTION("TRIM(REGEXREPLACE(A78,""●|\s*Gr=\d+"",""""))"),"RQ2.1.P1_MeasurementLevel_Component")</f>
        <v>RQ2.1.P1_MeasurementLevel_Component</v>
      </c>
      <c r="C78" s="53" t="str">
        <f>IFERROR(__xludf.DUMMYFUNCTION("SPLIT(B78,""_"",TRUE,TRUE)"),"RQ2.1.P1")</f>
        <v>RQ2.1.P1</v>
      </c>
      <c r="D78" s="221" t="str">
        <f>IFERROR(__xludf.DUMMYFUNCTION("""COMPUTED_VALUE"""),"MeasurementLevel")</f>
        <v>MeasurementLevel</v>
      </c>
      <c r="E78" s="221" t="str">
        <f>IFERROR(__xludf.DUMMYFUNCTION("""COMPUTED_VALUE"""),"Component")</f>
        <v>Component</v>
      </c>
      <c r="F78" s="220">
        <v>2.0</v>
      </c>
    </row>
    <row r="79">
      <c r="A79" s="224" t="s">
        <v>34233</v>
      </c>
      <c r="B79" s="53" t="str">
        <f>IFERROR(__xludf.DUMMYFUNCTION("TRIM(REGEXREPLACE(A79,""●|\s*Gr=\d+"",""""))"),"RQ2.1.P1_MeasurementLevel_ContainerPod")</f>
        <v>RQ2.1.P1_MeasurementLevel_ContainerPod</v>
      </c>
      <c r="C79" s="53" t="str">
        <f>IFERROR(__xludf.DUMMYFUNCTION("SPLIT(B79,""_"",TRUE,TRUE)"),"RQ2.1.P1")</f>
        <v>RQ2.1.P1</v>
      </c>
      <c r="D79" s="221" t="str">
        <f>IFERROR(__xludf.DUMMYFUNCTION("""COMPUTED_VALUE"""),"MeasurementLevel")</f>
        <v>MeasurementLevel</v>
      </c>
      <c r="E79" s="221" t="str">
        <f>IFERROR(__xludf.DUMMYFUNCTION("""COMPUTED_VALUE"""),"ContainerPod")</f>
        <v>ContainerPod</v>
      </c>
      <c r="F79" s="220">
        <v>6.0</v>
      </c>
    </row>
    <row r="80">
      <c r="A80" s="224" t="s">
        <v>34234</v>
      </c>
      <c r="B80" s="53" t="str">
        <f>IFERROR(__xludf.DUMMYFUNCTION("TRIM(REGEXREPLACE(A80,""●|\s*Gr=\d+"",""""))"),"RQ2.1.P1_MeasurementLevel_Function")</f>
        <v>RQ2.1.P1_MeasurementLevel_Function</v>
      </c>
      <c r="C80" s="53" t="str">
        <f>IFERROR(__xludf.DUMMYFUNCTION("SPLIT(B80,""_"",TRUE,TRUE)"),"RQ2.1.P1")</f>
        <v>RQ2.1.P1</v>
      </c>
      <c r="D80" s="221" t="str">
        <f>IFERROR(__xludf.DUMMYFUNCTION("""COMPUTED_VALUE"""),"MeasurementLevel")</f>
        <v>MeasurementLevel</v>
      </c>
      <c r="E80" s="221" t="str">
        <f>IFERROR(__xludf.DUMMYFUNCTION("""COMPUTED_VALUE"""),"Function")</f>
        <v>Function</v>
      </c>
      <c r="F80" s="220">
        <v>1.0</v>
      </c>
    </row>
    <row r="81">
      <c r="A81" s="224" t="s">
        <v>34235</v>
      </c>
      <c r="B81" s="53" t="str">
        <f>IFERROR(__xludf.DUMMYFUNCTION("TRIM(REGEXREPLACE(A81,""●|\s*Gr=\d+"",""""))"),"RQ2.1.P1_MeasurementLevel_Hardware")</f>
        <v>RQ2.1.P1_MeasurementLevel_Hardware</v>
      </c>
      <c r="C81" s="53" t="str">
        <f>IFERROR(__xludf.DUMMYFUNCTION("SPLIT(B81,""_"",TRUE,TRUE)"),"RQ2.1.P1")</f>
        <v>RQ2.1.P1</v>
      </c>
      <c r="D81" s="221" t="str">
        <f>IFERROR(__xludf.DUMMYFUNCTION("""COMPUTED_VALUE"""),"MeasurementLevel")</f>
        <v>MeasurementLevel</v>
      </c>
      <c r="E81" s="221" t="str">
        <f>IFERROR(__xludf.DUMMYFUNCTION("""COMPUTED_VALUE"""),"Hardware")</f>
        <v>Hardware</v>
      </c>
      <c r="F81" s="220">
        <v>18.0</v>
      </c>
    </row>
    <row r="82">
      <c r="A82" s="224" t="s">
        <v>34236</v>
      </c>
      <c r="B82" s="53" t="str">
        <f>IFERROR(__xludf.DUMMYFUNCTION("TRIM(REGEXREPLACE(A82,""●|\s*Gr=\d+"",""""))"),"RQ2.1.P1_MeasurementLevel_Network")</f>
        <v>RQ2.1.P1_MeasurementLevel_Network</v>
      </c>
      <c r="C82" s="53" t="str">
        <f>IFERROR(__xludf.DUMMYFUNCTION("SPLIT(B82,""_"",TRUE,TRUE)"),"RQ2.1.P1")</f>
        <v>RQ2.1.P1</v>
      </c>
      <c r="D82" s="221" t="str">
        <f>IFERROR(__xludf.DUMMYFUNCTION("""COMPUTED_VALUE"""),"MeasurementLevel")</f>
        <v>MeasurementLevel</v>
      </c>
      <c r="E82" s="221" t="str">
        <f>IFERROR(__xludf.DUMMYFUNCTION("""COMPUTED_VALUE"""),"Network")</f>
        <v>Network</v>
      </c>
      <c r="F82" s="220">
        <v>2.0</v>
      </c>
    </row>
    <row r="83">
      <c r="A83" s="224" t="s">
        <v>34237</v>
      </c>
      <c r="B83" s="53" t="str">
        <f>IFERROR(__xludf.DUMMYFUNCTION("TRIM(REGEXREPLACE(A83,""●|\s*Gr=\d+"",""""))"),"RQ2.1.P1_MeasurementLevel_NodeDevice")</f>
        <v>RQ2.1.P1_MeasurementLevel_NodeDevice</v>
      </c>
      <c r="C83" s="53" t="str">
        <f>IFERROR(__xludf.DUMMYFUNCTION("SPLIT(B83,""_"",TRUE,TRUE)"),"RQ2.1.P1")</f>
        <v>RQ2.1.P1</v>
      </c>
      <c r="D83" s="221" t="str">
        <f>IFERROR(__xludf.DUMMYFUNCTION("""COMPUTED_VALUE"""),"MeasurementLevel")</f>
        <v>MeasurementLevel</v>
      </c>
      <c r="E83" s="221" t="str">
        <f>IFERROR(__xludf.DUMMYFUNCTION("""COMPUTED_VALUE"""),"NodeDevice")</f>
        <v>NodeDevice</v>
      </c>
      <c r="F83" s="220">
        <v>4.0</v>
      </c>
    </row>
    <row r="84">
      <c r="A84" s="224" t="s">
        <v>34238</v>
      </c>
      <c r="B84" s="53" t="str">
        <f>IFERROR(__xludf.DUMMYFUNCTION("TRIM(REGEXREPLACE(A84,""●|\s*Gr=\d+"",""""))"),"RQ2.1.P1_MeasurementLevel_OS")</f>
        <v>RQ2.1.P1_MeasurementLevel_OS</v>
      </c>
      <c r="C84" s="53" t="str">
        <f>IFERROR(__xludf.DUMMYFUNCTION("SPLIT(B84,""_"",TRUE,TRUE)"),"RQ2.1.P1")</f>
        <v>RQ2.1.P1</v>
      </c>
      <c r="D84" s="221" t="str">
        <f>IFERROR(__xludf.DUMMYFUNCTION("""COMPUTED_VALUE"""),"MeasurementLevel")</f>
        <v>MeasurementLevel</v>
      </c>
      <c r="E84" s="221" t="str">
        <f>IFERROR(__xludf.DUMMYFUNCTION("""COMPUTED_VALUE"""),"OS")</f>
        <v>OS</v>
      </c>
      <c r="F84" s="220">
        <v>2.0</v>
      </c>
    </row>
    <row r="85">
      <c r="A85" s="224" t="s">
        <v>34239</v>
      </c>
      <c r="B85" s="53" t="str">
        <f>IFERROR(__xludf.DUMMYFUNCTION("TRIM(REGEXREPLACE(A85,""●|\s*Gr=\d+"",""""))"),"RQ2.1.P1_MeasurementLevel_Request")</f>
        <v>RQ2.1.P1_MeasurementLevel_Request</v>
      </c>
      <c r="C85" s="53" t="str">
        <f>IFERROR(__xludf.DUMMYFUNCTION("SPLIT(B85,""_"",TRUE,TRUE)"),"RQ2.1.P1")</f>
        <v>RQ2.1.P1</v>
      </c>
      <c r="D85" s="221" t="str">
        <f>IFERROR(__xludf.DUMMYFUNCTION("""COMPUTED_VALUE"""),"MeasurementLevel")</f>
        <v>MeasurementLevel</v>
      </c>
      <c r="E85" s="221" t="str">
        <f>IFERROR(__xludf.DUMMYFUNCTION("""COMPUTED_VALUE"""),"Request")</f>
        <v>Request</v>
      </c>
      <c r="F85" s="220">
        <v>5.0</v>
      </c>
    </row>
    <row r="86">
      <c r="A86" s="224" t="s">
        <v>34240</v>
      </c>
      <c r="B86" s="53" t="str">
        <f>IFERROR(__xludf.DUMMYFUNCTION("TRIM(REGEXREPLACE(A86,""●|\s*Gr=\d+"",""""))"),"RQ2.1.P1_MeasurementLevel_ServerHost")</f>
        <v>RQ2.1.P1_MeasurementLevel_ServerHost</v>
      </c>
      <c r="C86" s="53" t="str">
        <f>IFERROR(__xludf.DUMMYFUNCTION("SPLIT(B86,""_"",TRUE,TRUE)"),"RQ2.1.P1")</f>
        <v>RQ2.1.P1</v>
      </c>
      <c r="D86" s="221" t="str">
        <f>IFERROR(__xludf.DUMMYFUNCTION("""COMPUTED_VALUE"""),"MeasurementLevel")</f>
        <v>MeasurementLevel</v>
      </c>
      <c r="E86" s="221" t="str">
        <f>IFERROR(__xludf.DUMMYFUNCTION("""COMPUTED_VALUE"""),"ServerHost")</f>
        <v>ServerHost</v>
      </c>
      <c r="F86" s="220">
        <v>11.0</v>
      </c>
    </row>
    <row r="87">
      <c r="A87" s="224" t="s">
        <v>34241</v>
      </c>
      <c r="B87" s="53" t="str">
        <f>IFERROR(__xludf.DUMMYFUNCTION("TRIM(REGEXREPLACE(A87,""●|\s*Gr=\d+"",""""))"),"RQ2.1.P1_MeasurementLevel_Service")</f>
        <v>RQ2.1.P1_MeasurementLevel_Service</v>
      </c>
      <c r="C87" s="53" t="str">
        <f>IFERROR(__xludf.DUMMYFUNCTION("SPLIT(B87,""_"",TRUE,TRUE)"),"RQ2.1.P1")</f>
        <v>RQ2.1.P1</v>
      </c>
      <c r="D87" s="221" t="str">
        <f>IFERROR(__xludf.DUMMYFUNCTION("""COMPUTED_VALUE"""),"MeasurementLevel")</f>
        <v>MeasurementLevel</v>
      </c>
      <c r="E87" s="221" t="str">
        <f>IFERROR(__xludf.DUMMYFUNCTION("""COMPUTED_VALUE"""),"Service")</f>
        <v>Service</v>
      </c>
      <c r="F87" s="220">
        <v>2.0</v>
      </c>
    </row>
    <row r="88">
      <c r="A88" s="224" t="s">
        <v>34242</v>
      </c>
      <c r="B88" s="53" t="str">
        <f>IFERROR(__xludf.DUMMYFUNCTION("TRIM(REGEXREPLACE(A88,""●|\s*Gr=\d+"",""""))"),"RQ2.1.P1_MeasurementLevel_TaskThread")</f>
        <v>RQ2.1.P1_MeasurementLevel_TaskThread</v>
      </c>
      <c r="C88" s="53" t="str">
        <f>IFERROR(__xludf.DUMMYFUNCTION("SPLIT(B88,""_"",TRUE,TRUE)"),"RQ2.1.P1")</f>
        <v>RQ2.1.P1</v>
      </c>
      <c r="D88" s="221" t="str">
        <f>IFERROR(__xludf.DUMMYFUNCTION("""COMPUTED_VALUE"""),"MeasurementLevel")</f>
        <v>MeasurementLevel</v>
      </c>
      <c r="E88" s="221" t="str">
        <f>IFERROR(__xludf.DUMMYFUNCTION("""COMPUTED_VALUE"""),"TaskThread")</f>
        <v>TaskThread</v>
      </c>
      <c r="F88" s="220">
        <v>1.0</v>
      </c>
    </row>
    <row r="89">
      <c r="A89" s="229"/>
      <c r="B89" s="53"/>
      <c r="C89" s="53"/>
      <c r="D89" s="221"/>
      <c r="E89" s="224" t="s">
        <v>34168</v>
      </c>
      <c r="F89" s="217">
        <f>SUM(F76:F88)</f>
        <v>58</v>
      </c>
    </row>
    <row r="90">
      <c r="A90" s="229" t="s">
        <v>34243</v>
      </c>
      <c r="B90" s="53" t="str">
        <f>IFERROR(__xludf.DUMMYFUNCTION("TRIM(REGEXREPLACE(A90,""●|\s*Gr=\d+"",""""))"),"RQ2.1.P2_MeasurementTechnique")</f>
        <v>RQ2.1.P2_MeasurementTechnique</v>
      </c>
      <c r="C90" s="53" t="str">
        <f>IFERROR(__xludf.DUMMYFUNCTION("SPLIT(B90,""_"",TRUE,TRUE)"),"RQ2.1.P2")</f>
        <v>RQ2.1.P2</v>
      </c>
      <c r="D90" s="221" t="str">
        <f>IFERROR(__xludf.DUMMYFUNCTION("""COMPUTED_VALUE"""),"MeasurementTechnique")</f>
        <v>MeasurementTechnique</v>
      </c>
      <c r="E90" s="221"/>
      <c r="F90" s="220"/>
    </row>
    <row r="91">
      <c r="A91" s="229" t="s">
        <v>34244</v>
      </c>
      <c r="B91" s="53" t="str">
        <f>IFERROR(__xludf.DUMMYFUNCTION("TRIM(REGEXREPLACE(A91,""●|\s*Gr=\d+"",""""))"),"RQ2.1.P2_MeasurementTechnique_DirectPowerMeasurement")</f>
        <v>RQ2.1.P2_MeasurementTechnique_DirectPowerMeasurement</v>
      </c>
      <c r="C91" s="53" t="str">
        <f>IFERROR(__xludf.DUMMYFUNCTION("SPLIT(B91,""_"",TRUE,TRUE)"),"RQ2.1.P2")</f>
        <v>RQ2.1.P2</v>
      </c>
      <c r="D91" s="221" t="str">
        <f>IFERROR(__xludf.DUMMYFUNCTION("""COMPUTED_VALUE"""),"MeasurementTechnique")</f>
        <v>MeasurementTechnique</v>
      </c>
      <c r="E91" s="221" t="str">
        <f>IFERROR(__xludf.DUMMYFUNCTION("""COMPUTED_VALUE"""),"DirectPowerMeasurement")</f>
        <v>DirectPowerMeasurement</v>
      </c>
      <c r="F91" s="220">
        <v>7.0</v>
      </c>
    </row>
    <row r="92">
      <c r="A92" s="229" t="s">
        <v>34245</v>
      </c>
      <c r="B92" s="53" t="str">
        <f>IFERROR(__xludf.DUMMYFUNCTION("TRIM(REGEXREPLACE(A92,""●|\s*Gr=\d+"",""""))"),"RQ2.1.P2_MeasurementTechnique_HardwareCounterAPI")</f>
        <v>RQ2.1.P2_MeasurementTechnique_HardwareCounterAPI</v>
      </c>
      <c r="C92" s="53" t="str">
        <f>IFERROR(__xludf.DUMMYFUNCTION("SPLIT(B92,""_"",TRUE,TRUE)"),"RQ2.1.P2")</f>
        <v>RQ2.1.P2</v>
      </c>
      <c r="D92" s="221" t="str">
        <f>IFERROR(__xludf.DUMMYFUNCTION("""COMPUTED_VALUE"""),"MeasurementTechnique")</f>
        <v>MeasurementTechnique</v>
      </c>
      <c r="E92" s="221" t="str">
        <f>IFERROR(__xludf.DUMMYFUNCTION("""COMPUTED_VALUE"""),"HardwareCounterAPI")</f>
        <v>HardwareCounterAPI</v>
      </c>
      <c r="F92" s="220">
        <v>4.0</v>
      </c>
    </row>
    <row r="93">
      <c r="A93" s="229" t="s">
        <v>34246</v>
      </c>
      <c r="B93" s="53" t="str">
        <f>IFERROR(__xludf.DUMMYFUNCTION("TRIM(REGEXREPLACE(A93,""●|\s*Gr=\d+"",""""))"),"RQ2.1.P2_MeasurementTechnique_ModelBasedEstimation")</f>
        <v>RQ2.1.P2_MeasurementTechnique_ModelBasedEstimation</v>
      </c>
      <c r="C93" s="53" t="str">
        <f>IFERROR(__xludf.DUMMYFUNCTION("SPLIT(B93,""_"",TRUE,TRUE)"),"RQ2.1.P2")</f>
        <v>RQ2.1.P2</v>
      </c>
      <c r="D93" s="221" t="str">
        <f>IFERROR(__xludf.DUMMYFUNCTION("""COMPUTED_VALUE"""),"MeasurementTechnique")</f>
        <v>MeasurementTechnique</v>
      </c>
      <c r="E93" s="221" t="str">
        <f>IFERROR(__xludf.DUMMYFUNCTION("""COMPUTED_VALUE"""),"ModelBasedEstimation")</f>
        <v>ModelBasedEstimation</v>
      </c>
      <c r="F93" s="220">
        <v>24.0</v>
      </c>
    </row>
    <row r="94">
      <c r="A94" s="229" t="s">
        <v>34247</v>
      </c>
      <c r="B94" s="53" t="str">
        <f>IFERROR(__xludf.DUMMYFUNCTION("TRIM(REGEXREPLACE(A94,""●|\s*Gr=\d+"",""""))"),"RQ2.1.P2_MeasurementTechnique_PhysicalPowerMeter")</f>
        <v>RQ2.1.P2_MeasurementTechnique_PhysicalPowerMeter</v>
      </c>
      <c r="C94" s="53" t="str">
        <f>IFERROR(__xludf.DUMMYFUNCTION("SPLIT(B94,""_"",TRUE,TRUE)"),"RQ2.1.P2")</f>
        <v>RQ2.1.P2</v>
      </c>
      <c r="D94" s="221" t="str">
        <f>IFERROR(__xludf.DUMMYFUNCTION("""COMPUTED_VALUE"""),"MeasurementTechnique")</f>
        <v>MeasurementTechnique</v>
      </c>
      <c r="E94" s="221" t="str">
        <f>IFERROR(__xludf.DUMMYFUNCTION("""COMPUTED_VALUE"""),"PhysicalPowerMeter")</f>
        <v>PhysicalPowerMeter</v>
      </c>
      <c r="F94" s="220">
        <v>2.0</v>
      </c>
    </row>
    <row r="95">
      <c r="A95" s="229" t="s">
        <v>34248</v>
      </c>
      <c r="B95" s="53" t="str">
        <f>IFERROR(__xludf.DUMMYFUNCTION("TRIM(REGEXREPLACE(A95,""●|\s*Gr=\d+"",""""))"),"RQ2.1.P2_MeasurementTechnique_Simulation")</f>
        <v>RQ2.1.P2_MeasurementTechnique_Simulation</v>
      </c>
      <c r="C95" s="53" t="str">
        <f>IFERROR(__xludf.DUMMYFUNCTION("SPLIT(B95,""_"",TRUE,TRUE)"),"RQ2.1.P2")</f>
        <v>RQ2.1.P2</v>
      </c>
      <c r="D95" s="221" t="str">
        <f>IFERROR(__xludf.DUMMYFUNCTION("""COMPUTED_VALUE"""),"MeasurementTechnique")</f>
        <v>MeasurementTechnique</v>
      </c>
      <c r="E95" s="221" t="str">
        <f>IFERROR(__xludf.DUMMYFUNCTION("""COMPUTED_VALUE"""),"Simulation")</f>
        <v>Simulation</v>
      </c>
      <c r="F95" s="220">
        <v>1.0</v>
      </c>
    </row>
    <row r="96">
      <c r="A96" s="229" t="s">
        <v>34249</v>
      </c>
      <c r="B96" s="53" t="str">
        <f>IFERROR(__xludf.DUMMYFUNCTION("TRIM(REGEXREPLACE(A96,""●|\s*Gr=\d+"",""""))"),"RQ2.1.P2_MeasurementTechnique_SoftwareProfiling")</f>
        <v>RQ2.1.P2_MeasurementTechnique_SoftwareProfiling</v>
      </c>
      <c r="C96" s="53" t="str">
        <f>IFERROR(__xludf.DUMMYFUNCTION("SPLIT(B96,""_"",TRUE,TRUE)"),"RQ2.1.P2")</f>
        <v>RQ2.1.P2</v>
      </c>
      <c r="D96" s="221" t="str">
        <f>IFERROR(__xludf.DUMMYFUNCTION("""COMPUTED_VALUE"""),"MeasurementTechnique")</f>
        <v>MeasurementTechnique</v>
      </c>
      <c r="E96" s="221" t="str">
        <f>IFERROR(__xludf.DUMMYFUNCTION("""COMPUTED_VALUE"""),"SoftwareProfiling")</f>
        <v>SoftwareProfiling</v>
      </c>
      <c r="F96" s="220">
        <v>4.0</v>
      </c>
    </row>
    <row r="97">
      <c r="A97" s="230"/>
      <c r="B97" s="53"/>
      <c r="C97" s="53"/>
      <c r="D97" s="221"/>
      <c r="E97" s="224" t="s">
        <v>34168</v>
      </c>
      <c r="F97" s="217">
        <f>SUM(F91:F96)</f>
        <v>42</v>
      </c>
    </row>
    <row r="98">
      <c r="A98" s="230" t="s">
        <v>34250</v>
      </c>
      <c r="B98" s="53" t="str">
        <f>IFERROR(__xludf.DUMMYFUNCTION("TRIM(REGEXREPLACE(A98,""●|\s*Gr=\d+"",""""))"),"RQ2.1.P3_DataCollection")</f>
        <v>RQ2.1.P3_DataCollection</v>
      </c>
      <c r="C98" s="53" t="str">
        <f>IFERROR(__xludf.DUMMYFUNCTION("SPLIT(B98,""_"",TRUE,TRUE)"),"RQ2.1.P3")</f>
        <v>RQ2.1.P3</v>
      </c>
      <c r="D98" s="221" t="str">
        <f>IFERROR(__xludf.DUMMYFUNCTION("""COMPUTED_VALUE"""),"DataCollection")</f>
        <v>DataCollection</v>
      </c>
      <c r="E98" s="221"/>
      <c r="F98" s="220"/>
    </row>
    <row r="99">
      <c r="A99" s="230" t="s">
        <v>34251</v>
      </c>
      <c r="B99" s="53" t="str">
        <f>IFERROR(__xludf.DUMMYFUNCTION("TRIM(REGEXREPLACE(A99,""●|\s*Gr=\d+"",""""))"),"RQ2.1.P3_DataCollection_APICounterReadout")</f>
        <v>RQ2.1.P3_DataCollection_APICounterReadout</v>
      </c>
      <c r="C99" s="53" t="str">
        <f>IFERROR(__xludf.DUMMYFUNCTION("SPLIT(B99,""_"",TRUE,TRUE)"),"RQ2.1.P3")</f>
        <v>RQ2.1.P3</v>
      </c>
      <c r="D99" s="221" t="str">
        <f>IFERROR(__xludf.DUMMYFUNCTION("""COMPUTED_VALUE"""),"DataCollection")</f>
        <v>DataCollection</v>
      </c>
      <c r="E99" s="221" t="str">
        <f>IFERROR(__xludf.DUMMYFUNCTION("""COMPUTED_VALUE"""),"APICounterReadout")</f>
        <v>APICounterReadout</v>
      </c>
      <c r="F99" s="220">
        <v>2.0</v>
      </c>
    </row>
    <row r="100">
      <c r="A100" s="230" t="s">
        <v>34252</v>
      </c>
      <c r="B100" s="53" t="str">
        <f>IFERROR(__xludf.DUMMYFUNCTION("TRIM(REGEXREPLACE(A100,""●|\s*Gr=\d+"",""""))"),"RQ2.1.P3_DataCollection_APIReading")</f>
        <v>RQ2.1.P3_DataCollection_APIReading</v>
      </c>
      <c r="C100" s="53" t="str">
        <f>IFERROR(__xludf.DUMMYFUNCTION("SPLIT(B100,""_"",TRUE,TRUE)"),"RQ2.1.P3")</f>
        <v>RQ2.1.P3</v>
      </c>
      <c r="D100" s="221" t="str">
        <f>IFERROR(__xludf.DUMMYFUNCTION("""COMPUTED_VALUE"""),"DataCollection")</f>
        <v>DataCollection</v>
      </c>
      <c r="E100" s="221" t="str">
        <f>IFERROR(__xludf.DUMMYFUNCTION("""COMPUTED_VALUE"""),"APIReading")</f>
        <v>APIReading</v>
      </c>
      <c r="F100" s="220">
        <v>1.0</v>
      </c>
    </row>
    <row r="101">
      <c r="A101" s="230" t="s">
        <v>34253</v>
      </c>
      <c r="B101" s="53" t="str">
        <f>IFERROR(__xludf.DUMMYFUNCTION("TRIM(REGEXREPLACE(A101,""●|\s*Gr=\d+"",""""))"),"RQ2.1.P3_DataCollection_Logging")</f>
        <v>RQ2.1.P3_DataCollection_Logging</v>
      </c>
      <c r="C101" s="53" t="str">
        <f>IFERROR(__xludf.DUMMYFUNCTION("SPLIT(B101,""_"",TRUE,TRUE)"),"RQ2.1.P3")</f>
        <v>RQ2.1.P3</v>
      </c>
      <c r="D101" s="221" t="str">
        <f>IFERROR(__xludf.DUMMYFUNCTION("""COMPUTED_VALUE"""),"DataCollection")</f>
        <v>DataCollection</v>
      </c>
      <c r="E101" s="221" t="str">
        <f>IFERROR(__xludf.DUMMYFUNCTION("""COMPUTED_VALUE"""),"Logging")</f>
        <v>Logging</v>
      </c>
      <c r="F101" s="220">
        <v>2.0</v>
      </c>
    </row>
    <row r="102">
      <c r="A102" s="230" t="s">
        <v>34254</v>
      </c>
      <c r="B102" s="53" t="str">
        <f>IFERROR(__xludf.DUMMYFUNCTION("TRIM(REGEXREPLACE(A102,""●|\s*Gr=\d+"",""""))"),"RQ2.1.P3_DataCollection_Monitoring")</f>
        <v>RQ2.1.P3_DataCollection_Monitoring</v>
      </c>
      <c r="C102" s="53" t="str">
        <f>IFERROR(__xludf.DUMMYFUNCTION("SPLIT(B102,""_"",TRUE,TRUE)"),"RQ2.1.P3")</f>
        <v>RQ2.1.P3</v>
      </c>
      <c r="D102" s="221" t="str">
        <f>IFERROR(__xludf.DUMMYFUNCTION("""COMPUTED_VALUE"""),"DataCollection")</f>
        <v>DataCollection</v>
      </c>
      <c r="E102" s="221" t="str">
        <f>IFERROR(__xludf.DUMMYFUNCTION("""COMPUTED_VALUE"""),"Monitoring")</f>
        <v>Monitoring</v>
      </c>
      <c r="F102" s="220">
        <v>18.0</v>
      </c>
    </row>
    <row r="103">
      <c r="A103" s="230" t="s">
        <v>34255</v>
      </c>
      <c r="B103" s="53" t="str">
        <f>IFERROR(__xludf.DUMMYFUNCTION("TRIM(REGEXREPLACE(A103,""●|\s*Gr=\d+"",""""))"),"RQ2.1.P3_DataCollection_Sampling")</f>
        <v>RQ2.1.P3_DataCollection_Sampling</v>
      </c>
      <c r="C103" s="53" t="str">
        <f>IFERROR(__xludf.DUMMYFUNCTION("SPLIT(B103,""_"",TRUE,TRUE)"),"RQ2.1.P3")</f>
        <v>RQ2.1.P3</v>
      </c>
      <c r="D103" s="221" t="str">
        <f>IFERROR(__xludf.DUMMYFUNCTION("""COMPUTED_VALUE"""),"DataCollection")</f>
        <v>DataCollection</v>
      </c>
      <c r="E103" s="221" t="str">
        <f>IFERROR(__xludf.DUMMYFUNCTION("""COMPUTED_VALUE"""),"Sampling")</f>
        <v>Sampling</v>
      </c>
      <c r="F103" s="220">
        <v>10.0</v>
      </c>
    </row>
    <row r="104">
      <c r="A104" s="230" t="s">
        <v>34256</v>
      </c>
      <c r="B104" s="53" t="str">
        <f>IFERROR(__xludf.DUMMYFUNCTION("TRIM(REGEXREPLACE(A104,""●|\s*Gr=\d+"",""""))"),"RQ2.1.P3_DataCollection_Simulation")</f>
        <v>RQ2.1.P3_DataCollection_Simulation</v>
      </c>
      <c r="C104" s="53" t="str">
        <f>IFERROR(__xludf.DUMMYFUNCTION("SPLIT(B104,""_"",TRUE,TRUE)"),"RQ2.1.P3")</f>
        <v>RQ2.1.P3</v>
      </c>
      <c r="D104" s="221" t="str">
        <f>IFERROR(__xludf.DUMMYFUNCTION("""COMPUTED_VALUE"""),"DataCollection")</f>
        <v>DataCollection</v>
      </c>
      <c r="E104" s="221" t="str">
        <f>IFERROR(__xludf.DUMMYFUNCTION("""COMPUTED_VALUE"""),"Simulation")</f>
        <v>Simulation</v>
      </c>
      <c r="F104" s="220">
        <v>4.0</v>
      </c>
    </row>
    <row r="105">
      <c r="A105" s="230" t="s">
        <v>34257</v>
      </c>
      <c r="B105" s="53" t="str">
        <f>IFERROR(__xludf.DUMMYFUNCTION("TRIM(REGEXREPLACE(A105,""●|\s*Gr=\d+"",""""))"),"RQ2.1.P3_DataCollection_TracingProfiling")</f>
        <v>RQ2.1.P3_DataCollection_TracingProfiling</v>
      </c>
      <c r="C105" s="53" t="str">
        <f>IFERROR(__xludf.DUMMYFUNCTION("SPLIT(B105,""_"",TRUE,TRUE)"),"RQ2.1.P3")</f>
        <v>RQ2.1.P3</v>
      </c>
      <c r="D105" s="221" t="str">
        <f>IFERROR(__xludf.DUMMYFUNCTION("""COMPUTED_VALUE"""),"DataCollection")</f>
        <v>DataCollection</v>
      </c>
      <c r="E105" s="221" t="str">
        <f>IFERROR(__xludf.DUMMYFUNCTION("""COMPUTED_VALUE"""),"TracingProfiling")</f>
        <v>TracingProfiling</v>
      </c>
      <c r="F105" s="220">
        <v>3.0</v>
      </c>
    </row>
    <row r="106">
      <c r="A106" s="218"/>
      <c r="B106" s="53"/>
      <c r="C106" s="53"/>
      <c r="D106" s="221"/>
      <c r="E106" s="224" t="s">
        <v>34168</v>
      </c>
      <c r="F106" s="217">
        <f>SUM(F99:F105)</f>
        <v>40</v>
      </c>
    </row>
    <row r="107">
      <c r="A107" s="218" t="s">
        <v>34258</v>
      </c>
      <c r="B107" s="53" t="str">
        <f>IFERROR(__xludf.DUMMYFUNCTION("TRIM(REGEXREPLACE(A107,""●|\s*Gr=\d+"",""""))"),"RQ2.1.P4_ImplementationApproach")</f>
        <v>RQ2.1.P4_ImplementationApproach</v>
      </c>
      <c r="C107" s="53" t="str">
        <f>IFERROR(__xludf.DUMMYFUNCTION("SPLIT(B107,""_"",TRUE,TRUE)"),"RQ2.1.P4")</f>
        <v>RQ2.1.P4</v>
      </c>
      <c r="D107" s="221" t="str">
        <f>IFERROR(__xludf.DUMMYFUNCTION("""COMPUTED_VALUE"""),"ImplementationApproach")</f>
        <v>ImplementationApproach</v>
      </c>
      <c r="E107" s="221"/>
      <c r="F107" s="220"/>
    </row>
    <row r="108">
      <c r="A108" s="218" t="s">
        <v>34259</v>
      </c>
      <c r="B108" s="53" t="str">
        <f>IFERROR(__xludf.DUMMYFUNCTION("TRIM(REGEXREPLACE(A108,""●|\s*Gr=\d+"",""""))"),"RQ2.1.P4_ImplementationApproach_Benchmarking")</f>
        <v>RQ2.1.P4_ImplementationApproach_Benchmarking</v>
      </c>
      <c r="C108" s="53" t="str">
        <f>IFERROR(__xludf.DUMMYFUNCTION("SPLIT(B108,""_"",TRUE,TRUE)"),"RQ2.1.P4")</f>
        <v>RQ2.1.P4</v>
      </c>
      <c r="D108" s="221" t="str">
        <f>IFERROR(__xludf.DUMMYFUNCTION("""COMPUTED_VALUE"""),"ImplementationApproach")</f>
        <v>ImplementationApproach</v>
      </c>
      <c r="E108" s="221" t="str">
        <f>IFERROR(__xludf.DUMMYFUNCTION("""COMPUTED_VALUE"""),"Benchmarking")</f>
        <v>Benchmarking</v>
      </c>
      <c r="F108" s="220">
        <v>14.0</v>
      </c>
    </row>
    <row r="109">
      <c r="A109" s="218" t="s">
        <v>34260</v>
      </c>
      <c r="B109" s="53" t="str">
        <f>IFERROR(__xludf.DUMMYFUNCTION("TRIM(REGEXREPLACE(A109,""●|\s*Gr=\d+"",""""))"),"RQ2.1.P4_ImplementationApproach_CodeInstrumentation")</f>
        <v>RQ2.1.P4_ImplementationApproach_CodeInstrumentation</v>
      </c>
      <c r="C109" s="53" t="str">
        <f>IFERROR(__xludf.DUMMYFUNCTION("SPLIT(B109,""_"",TRUE,TRUE)"),"RQ2.1.P4")</f>
        <v>RQ2.1.P4</v>
      </c>
      <c r="D109" s="221" t="str">
        <f>IFERROR(__xludf.DUMMYFUNCTION("""COMPUTED_VALUE"""),"ImplementationApproach")</f>
        <v>ImplementationApproach</v>
      </c>
      <c r="E109" s="221" t="str">
        <f>IFERROR(__xludf.DUMMYFUNCTION("""COMPUTED_VALUE"""),"CodeInstrumentation")</f>
        <v>CodeInstrumentation</v>
      </c>
      <c r="F109" s="220">
        <v>2.0</v>
      </c>
    </row>
    <row r="110">
      <c r="A110" s="218" t="s">
        <v>34261</v>
      </c>
      <c r="B110" s="53" t="str">
        <f>IFERROR(__xludf.DUMMYFUNCTION("TRIM(REGEXREPLACE(A110,""●|\s*Gr=\d+"",""""))"),"RQ2.1.P4_ImplementationApproach_EnergyModeling")</f>
        <v>RQ2.1.P4_ImplementationApproach_EnergyModeling</v>
      </c>
      <c r="C110" s="53" t="str">
        <f>IFERROR(__xludf.DUMMYFUNCTION("SPLIT(B110,""_"",TRUE,TRUE)"),"RQ2.1.P4")</f>
        <v>RQ2.1.P4</v>
      </c>
      <c r="D110" s="221" t="str">
        <f>IFERROR(__xludf.DUMMYFUNCTION("""COMPUTED_VALUE"""),"ImplementationApproach")</f>
        <v>ImplementationApproach</v>
      </c>
      <c r="E110" s="221" t="str">
        <f>IFERROR(__xludf.DUMMYFUNCTION("""COMPUTED_VALUE"""),"EnergyModeling")</f>
        <v>EnergyModeling</v>
      </c>
      <c r="F110" s="220">
        <v>6.0</v>
      </c>
    </row>
    <row r="111">
      <c r="A111" s="218" t="s">
        <v>34262</v>
      </c>
      <c r="B111" s="53" t="str">
        <f>IFERROR(__xludf.DUMMYFUNCTION("TRIM(REGEXREPLACE(A111,""●|\s*Gr=\d+"",""""))"),"RQ2.1.P4_ImplementationApproach_ExternalPowerMeter")</f>
        <v>RQ2.1.P4_ImplementationApproach_ExternalPowerMeter</v>
      </c>
      <c r="C111" s="53" t="str">
        <f>IFERROR(__xludf.DUMMYFUNCTION("SPLIT(B111,""_"",TRUE,TRUE)"),"RQ2.1.P4")</f>
        <v>RQ2.1.P4</v>
      </c>
      <c r="D111" s="221" t="str">
        <f>IFERROR(__xludf.DUMMYFUNCTION("""COMPUTED_VALUE"""),"ImplementationApproach")</f>
        <v>ImplementationApproach</v>
      </c>
      <c r="E111" s="221" t="str">
        <f>IFERROR(__xludf.DUMMYFUNCTION("""COMPUTED_VALUE"""),"ExternalPowerMeter")</f>
        <v>ExternalPowerMeter</v>
      </c>
      <c r="F111" s="220">
        <v>2.0</v>
      </c>
    </row>
    <row r="112">
      <c r="A112" s="218" t="s">
        <v>34263</v>
      </c>
      <c r="B112" s="53" t="str">
        <f>IFERROR(__xludf.DUMMYFUNCTION("TRIM(REGEXREPLACE(A112,""●|\s*Gr=\d+"",""""))"),"RQ2.1.P4_ImplementationApproach_ExternalTool")</f>
        <v>RQ2.1.P4_ImplementationApproach_ExternalTool</v>
      </c>
      <c r="C112" s="53" t="str">
        <f>IFERROR(__xludf.DUMMYFUNCTION("SPLIT(B112,""_"",TRUE,TRUE)"),"RQ2.1.P4")</f>
        <v>RQ2.1.P4</v>
      </c>
      <c r="D112" s="221" t="str">
        <f>IFERROR(__xludf.DUMMYFUNCTION("""COMPUTED_VALUE"""),"ImplementationApproach")</f>
        <v>ImplementationApproach</v>
      </c>
      <c r="E112" s="221" t="str">
        <f>IFERROR(__xludf.DUMMYFUNCTION("""COMPUTED_VALUE"""),"ExternalTool")</f>
        <v>ExternalTool</v>
      </c>
      <c r="F112" s="220">
        <v>15.0</v>
      </c>
    </row>
    <row r="113">
      <c r="A113" s="218" t="s">
        <v>34264</v>
      </c>
      <c r="B113" s="53" t="str">
        <f>IFERROR(__xludf.DUMMYFUNCTION("TRIM(REGEXREPLACE(A113,""●|\s*Gr=\d+"",""""))"),"RQ2.1.P4_ImplementationApproach_PrototypeDeployment")</f>
        <v>RQ2.1.P4_ImplementationApproach_PrototypeDeployment</v>
      </c>
      <c r="C113" s="53" t="str">
        <f>IFERROR(__xludf.DUMMYFUNCTION("SPLIT(B113,""_"",TRUE,TRUE)"),"RQ2.1.P4")</f>
        <v>RQ2.1.P4</v>
      </c>
      <c r="D113" s="221" t="str">
        <f>IFERROR(__xludf.DUMMYFUNCTION("""COMPUTED_VALUE"""),"ImplementationApproach")</f>
        <v>ImplementationApproach</v>
      </c>
      <c r="E113" s="221" t="str">
        <f>IFERROR(__xludf.DUMMYFUNCTION("""COMPUTED_VALUE"""),"PrototypeDeployment")</f>
        <v>PrototypeDeployment</v>
      </c>
      <c r="F113" s="220">
        <v>1.0</v>
      </c>
    </row>
    <row r="114">
      <c r="A114" s="218" t="s">
        <v>34265</v>
      </c>
      <c r="B114" s="53" t="str">
        <f>IFERROR(__xludf.DUMMYFUNCTION("TRIM(REGEXREPLACE(A114,""●|\s*Gr=\d+"",""""))"),"RQ2.1.P4_ImplementationApproach_RuntimeMonitoring")</f>
        <v>RQ2.1.P4_ImplementationApproach_RuntimeMonitoring</v>
      </c>
      <c r="C114" s="53" t="str">
        <f>IFERROR(__xludf.DUMMYFUNCTION("SPLIT(B114,""_"",TRUE,TRUE)"),"RQ2.1.P4")</f>
        <v>RQ2.1.P4</v>
      </c>
      <c r="D114" s="221" t="str">
        <f>IFERROR(__xludf.DUMMYFUNCTION("""COMPUTED_VALUE"""),"ImplementationApproach")</f>
        <v>ImplementationApproach</v>
      </c>
      <c r="E114" s="221" t="str">
        <f>IFERROR(__xludf.DUMMYFUNCTION("""COMPUTED_VALUE"""),"RuntimeMonitoring")</f>
        <v>RuntimeMonitoring</v>
      </c>
      <c r="F114" s="220">
        <v>3.0</v>
      </c>
    </row>
    <row r="115">
      <c r="A115" s="218" t="s">
        <v>34266</v>
      </c>
      <c r="B115" s="53" t="str">
        <f>IFERROR(__xludf.DUMMYFUNCTION("TRIM(REGEXREPLACE(A115,""●|\s*Gr=\d+"",""""))"),"RQ2.1.P4_ImplementationApproach_Simulation")</f>
        <v>RQ2.1.P4_ImplementationApproach_Simulation</v>
      </c>
      <c r="C115" s="53" t="str">
        <f>IFERROR(__xludf.DUMMYFUNCTION("SPLIT(B115,""_"",TRUE,TRUE)"),"RQ2.1.P4")</f>
        <v>RQ2.1.P4</v>
      </c>
      <c r="D115" s="221" t="str">
        <f>IFERROR(__xludf.DUMMYFUNCTION("""COMPUTED_VALUE"""),"ImplementationApproach")</f>
        <v>ImplementationApproach</v>
      </c>
      <c r="E115" s="221" t="str">
        <f>IFERROR(__xludf.DUMMYFUNCTION("""COMPUTED_VALUE"""),"Simulation")</f>
        <v>Simulation</v>
      </c>
      <c r="F115" s="220">
        <v>10.0</v>
      </c>
    </row>
    <row r="116">
      <c r="A116" s="218" t="s">
        <v>34267</v>
      </c>
      <c r="B116" s="53" t="str">
        <f>IFERROR(__xludf.DUMMYFUNCTION("TRIM(REGEXREPLACE(A116,""●|\s*Gr=\d+"",""""))"),"RQ2.1.P4_ImplementationApproach_SystemFramework")</f>
        <v>RQ2.1.P4_ImplementationApproach_SystemFramework</v>
      </c>
      <c r="C116" s="53" t="str">
        <f>IFERROR(__xludf.DUMMYFUNCTION("SPLIT(B116,""_"",TRUE,TRUE)"),"RQ2.1.P4")</f>
        <v>RQ2.1.P4</v>
      </c>
      <c r="D116" s="221" t="str">
        <f>IFERROR(__xludf.DUMMYFUNCTION("""COMPUTED_VALUE"""),"ImplementationApproach")</f>
        <v>ImplementationApproach</v>
      </c>
      <c r="E116" s="221" t="str">
        <f>IFERROR(__xludf.DUMMYFUNCTION("""COMPUTED_VALUE"""),"SystemFramework")</f>
        <v>SystemFramework</v>
      </c>
      <c r="F116" s="220">
        <v>1.0</v>
      </c>
    </row>
    <row r="117">
      <c r="A117" s="228"/>
      <c r="B117" s="53"/>
      <c r="C117" s="53"/>
      <c r="D117" s="221"/>
      <c r="E117" s="221" t="s">
        <v>34168</v>
      </c>
      <c r="F117" s="220">
        <f>SUM(F108:F116)</f>
        <v>54</v>
      </c>
    </row>
    <row r="118">
      <c r="A118" s="228" t="s">
        <v>34268</v>
      </c>
      <c r="B118" s="53" t="str">
        <f>IFERROR(__xludf.DUMMYFUNCTION("TRIM(REGEXREPLACE(A118,""●|\s*Gr=\d+"",""""))"),"RQ2.2.P1_ToolType")</f>
        <v>RQ2.2.P1_ToolType</v>
      </c>
      <c r="C118" s="53" t="str">
        <f>IFERROR(__xludf.DUMMYFUNCTION("SPLIT(B118,""_"",TRUE,TRUE)"),"RQ2.2.P1")</f>
        <v>RQ2.2.P1</v>
      </c>
      <c r="D118" s="221" t="str">
        <f>IFERROR(__xludf.DUMMYFUNCTION("""COMPUTED_VALUE"""),"ToolType")</f>
        <v>ToolType</v>
      </c>
      <c r="E118" s="221"/>
      <c r="F118" s="220"/>
    </row>
    <row r="119">
      <c r="A119" s="228" t="s">
        <v>34269</v>
      </c>
      <c r="B119" s="53" t="str">
        <f>IFERROR(__xludf.DUMMYFUNCTION("TRIM(REGEXREPLACE(A119,""●|\s*Gr=\d+"",""""))"),"RQ2.2.P1_ToolType_BenchmarkGenerator")</f>
        <v>RQ2.2.P1_ToolType_BenchmarkGenerator</v>
      </c>
      <c r="C119" s="53" t="str">
        <f>IFERROR(__xludf.DUMMYFUNCTION("SPLIT(B119,""_"",TRUE,TRUE)"),"RQ2.2.P1")</f>
        <v>RQ2.2.P1</v>
      </c>
      <c r="D119" s="221" t="str">
        <f>IFERROR(__xludf.DUMMYFUNCTION("""COMPUTED_VALUE"""),"ToolType")</f>
        <v>ToolType</v>
      </c>
      <c r="E119" s="221" t="str">
        <f>IFERROR(__xludf.DUMMYFUNCTION("""COMPUTED_VALUE"""),"BenchmarkGenerator")</f>
        <v>BenchmarkGenerator</v>
      </c>
      <c r="F119" s="220">
        <v>2.0</v>
      </c>
    </row>
    <row r="120">
      <c r="A120" s="228" t="s">
        <v>34270</v>
      </c>
      <c r="B120" s="53" t="str">
        <f>IFERROR(__xludf.DUMMYFUNCTION("TRIM(REGEXREPLACE(A120,""●|\s*Gr=\d+"",""""))"),"RQ2.2.P1_ToolType_EnergyEstimationTool")</f>
        <v>RQ2.2.P1_ToolType_EnergyEstimationTool</v>
      </c>
      <c r="C120" s="53" t="str">
        <f>IFERROR(__xludf.DUMMYFUNCTION("SPLIT(B120,""_"",TRUE,TRUE)"),"RQ2.2.P1")</f>
        <v>RQ2.2.P1</v>
      </c>
      <c r="D120" s="221" t="str">
        <f>IFERROR(__xludf.DUMMYFUNCTION("""COMPUTED_VALUE"""),"ToolType")</f>
        <v>ToolType</v>
      </c>
      <c r="E120" s="221" t="str">
        <f>IFERROR(__xludf.DUMMYFUNCTION("""COMPUTED_VALUE"""),"EnergyEstimationTool")</f>
        <v>EnergyEstimationTool</v>
      </c>
      <c r="F120" s="220">
        <v>2.0</v>
      </c>
    </row>
    <row r="121">
      <c r="A121" s="228" t="s">
        <v>34271</v>
      </c>
      <c r="B121" s="53" t="str">
        <f>IFERROR(__xludf.DUMMYFUNCTION("TRIM(REGEXREPLACE(A121,""●|\s*Gr=\d+"",""""))"),"RQ2.2.P1_ToolType_EnergyMeter")</f>
        <v>RQ2.2.P1_ToolType_EnergyMeter</v>
      </c>
      <c r="C121" s="53" t="str">
        <f>IFERROR(__xludf.DUMMYFUNCTION("SPLIT(B121,""_"",TRUE,TRUE)"),"RQ2.2.P1")</f>
        <v>RQ2.2.P1</v>
      </c>
      <c r="D121" s="221" t="str">
        <f>IFERROR(__xludf.DUMMYFUNCTION("""COMPUTED_VALUE"""),"ToolType")</f>
        <v>ToolType</v>
      </c>
      <c r="E121" s="221" t="str">
        <f>IFERROR(__xludf.DUMMYFUNCTION("""COMPUTED_VALUE"""),"EnergyMeter")</f>
        <v>EnergyMeter</v>
      </c>
      <c r="F121" s="220">
        <v>14.0</v>
      </c>
    </row>
    <row r="122">
      <c r="A122" s="228" t="s">
        <v>34272</v>
      </c>
      <c r="B122" s="53" t="str">
        <f>IFERROR(__xludf.DUMMYFUNCTION("TRIM(REGEXREPLACE(A122,""●|\s*Gr=\d+"",""""))"),"RQ2.2.P1_ToolType_Framework")</f>
        <v>RQ2.2.P1_ToolType_Framework</v>
      </c>
      <c r="C122" s="53" t="str">
        <f>IFERROR(__xludf.DUMMYFUNCTION("SPLIT(B122,""_"",TRUE,TRUE)"),"RQ2.2.P1")</f>
        <v>RQ2.2.P1</v>
      </c>
      <c r="D122" s="221" t="str">
        <f>IFERROR(__xludf.DUMMYFUNCTION("""COMPUTED_VALUE"""),"ToolType")</f>
        <v>ToolType</v>
      </c>
      <c r="E122" s="221" t="str">
        <f>IFERROR(__xludf.DUMMYFUNCTION("""COMPUTED_VALUE"""),"Framework")</f>
        <v>Framework</v>
      </c>
      <c r="F122" s="220">
        <v>1.0</v>
      </c>
    </row>
    <row r="123">
      <c r="A123" s="228" t="s">
        <v>34273</v>
      </c>
      <c r="B123" s="53" t="str">
        <f>IFERROR(__xludf.DUMMYFUNCTION("TRIM(REGEXREPLACE(A123,""●|\s*Gr=\d+"",""""))"),"RQ2.2.P1_ToolType_ModelChecker")</f>
        <v>RQ2.2.P1_ToolType_ModelChecker</v>
      </c>
      <c r="C123" s="53" t="str">
        <f>IFERROR(__xludf.DUMMYFUNCTION("SPLIT(B123,""_"",TRUE,TRUE)"),"RQ2.2.P1")</f>
        <v>RQ2.2.P1</v>
      </c>
      <c r="D123" s="221" t="str">
        <f>IFERROR(__xludf.DUMMYFUNCTION("""COMPUTED_VALUE"""),"ToolType")</f>
        <v>ToolType</v>
      </c>
      <c r="E123" s="221" t="str">
        <f>IFERROR(__xludf.DUMMYFUNCTION("""COMPUTED_VALUE"""),"ModelChecker")</f>
        <v>ModelChecker</v>
      </c>
      <c r="F123" s="220">
        <v>1.0</v>
      </c>
    </row>
    <row r="124">
      <c r="A124" s="228" t="s">
        <v>34274</v>
      </c>
      <c r="B124" s="53" t="str">
        <f>IFERROR(__xludf.DUMMYFUNCTION("TRIM(REGEXREPLACE(A124,""●|\s*Gr=\d+"",""""))"),"RQ2.2.P1_ToolType_MonitoringPlatform")</f>
        <v>RQ2.2.P1_ToolType_MonitoringPlatform</v>
      </c>
      <c r="C124" s="53" t="str">
        <f>IFERROR(__xludf.DUMMYFUNCTION("SPLIT(B124,""_"",TRUE,TRUE)"),"RQ2.2.P1")</f>
        <v>RQ2.2.P1</v>
      </c>
      <c r="D124" s="221" t="str">
        <f>IFERROR(__xludf.DUMMYFUNCTION("""COMPUTED_VALUE"""),"ToolType")</f>
        <v>ToolType</v>
      </c>
      <c r="E124" s="221" t="str">
        <f>IFERROR(__xludf.DUMMYFUNCTION("""COMPUTED_VALUE"""),"MonitoringPlatform")</f>
        <v>MonitoringPlatform</v>
      </c>
      <c r="F124" s="220">
        <v>8.0</v>
      </c>
    </row>
    <row r="125">
      <c r="A125" s="228" t="s">
        <v>34275</v>
      </c>
      <c r="B125" s="53" t="str">
        <f>IFERROR(__xludf.DUMMYFUNCTION("TRIM(REGEXREPLACE(A125,""●|\s*Gr=\d+"",""""))"),"RQ2.2.P1_ToolType_OSAPI")</f>
        <v>RQ2.2.P1_ToolType_OSAPI</v>
      </c>
      <c r="C125" s="53" t="str">
        <f>IFERROR(__xludf.DUMMYFUNCTION("SPLIT(B125,""_"",TRUE,TRUE)"),"RQ2.2.P1")</f>
        <v>RQ2.2.P1</v>
      </c>
      <c r="D125" s="221" t="str">
        <f>IFERROR(__xludf.DUMMYFUNCTION("""COMPUTED_VALUE"""),"ToolType")</f>
        <v>ToolType</v>
      </c>
      <c r="E125" s="221" t="str">
        <f>IFERROR(__xludf.DUMMYFUNCTION("""COMPUTED_VALUE"""),"OSAPI")</f>
        <v>OSAPI</v>
      </c>
      <c r="F125" s="220">
        <v>1.0</v>
      </c>
    </row>
    <row r="126">
      <c r="A126" s="228" t="s">
        <v>34276</v>
      </c>
      <c r="B126" s="53" t="str">
        <f>IFERROR(__xludf.DUMMYFUNCTION("TRIM(REGEXREPLACE(A126,""●|\s*Gr=\d+"",""""))"),"RQ2.2.P1_ToolType_Simulator")</f>
        <v>RQ2.2.P1_ToolType_Simulator</v>
      </c>
      <c r="C126" s="53" t="str">
        <f>IFERROR(__xludf.DUMMYFUNCTION("SPLIT(B126,""_"",TRUE,TRUE)"),"RQ2.2.P1")</f>
        <v>RQ2.2.P1</v>
      </c>
      <c r="D126" s="221" t="str">
        <f>IFERROR(__xludf.DUMMYFUNCTION("""COMPUTED_VALUE"""),"ToolType")</f>
        <v>ToolType</v>
      </c>
      <c r="E126" s="221" t="str">
        <f>IFERROR(__xludf.DUMMYFUNCTION("""COMPUTED_VALUE"""),"Simulator")</f>
        <v>Simulator</v>
      </c>
      <c r="F126" s="220">
        <v>12.0</v>
      </c>
    </row>
    <row r="127">
      <c r="A127" s="227"/>
      <c r="B127" s="53"/>
      <c r="C127" s="53"/>
      <c r="D127" s="221"/>
      <c r="E127" s="224" t="s">
        <v>34168</v>
      </c>
      <c r="F127" s="217">
        <f>SUM(F119:F126)</f>
        <v>41</v>
      </c>
    </row>
    <row r="128">
      <c r="A128" s="227" t="s">
        <v>34277</v>
      </c>
      <c r="B128" s="53" t="str">
        <f>IFERROR(__xludf.DUMMYFUNCTION("TRIM(REGEXREPLACE(A128,""●|\s*Gr=\d+"",""""))"),"RQ2.2.P2_DeploymentMethod")</f>
        <v>RQ2.2.P2_DeploymentMethod</v>
      </c>
      <c r="C128" s="53" t="str">
        <f>IFERROR(__xludf.DUMMYFUNCTION("SPLIT(B128,""_"",TRUE,TRUE)"),"RQ2.2.P2")</f>
        <v>RQ2.2.P2</v>
      </c>
      <c r="D128" s="221" t="str">
        <f>IFERROR(__xludf.DUMMYFUNCTION("""COMPUTED_VALUE"""),"DeploymentMethod")</f>
        <v>DeploymentMethod</v>
      </c>
      <c r="E128" s="221"/>
      <c r="F128" s="220"/>
    </row>
    <row r="129">
      <c r="A129" s="227" t="s">
        <v>34278</v>
      </c>
      <c r="B129" s="53" t="str">
        <f>IFERROR(__xludf.DUMMYFUNCTION("TRIM(REGEXREPLACE(A129,""●|\s*Gr=\d+"",""""))"),"RQ2.2.P2_DeploymentMethod_AgentBased")</f>
        <v>RQ2.2.P2_DeploymentMethod_AgentBased</v>
      </c>
      <c r="C129" s="53" t="str">
        <f>IFERROR(__xludf.DUMMYFUNCTION("SPLIT(B129,""_"",TRUE,TRUE)"),"RQ2.2.P2")</f>
        <v>RQ2.2.P2</v>
      </c>
      <c r="D129" s="221" t="str">
        <f>IFERROR(__xludf.DUMMYFUNCTION("""COMPUTED_VALUE"""),"DeploymentMethod")</f>
        <v>DeploymentMethod</v>
      </c>
      <c r="E129" s="221" t="str">
        <f>IFERROR(__xludf.DUMMYFUNCTION("""COMPUTED_VALUE"""),"AgentBased")</f>
        <v>AgentBased</v>
      </c>
      <c r="F129" s="220">
        <v>5.0</v>
      </c>
    </row>
    <row r="130">
      <c r="A130" s="227" t="s">
        <v>34279</v>
      </c>
      <c r="B130" s="53" t="str">
        <f>IFERROR(__xludf.DUMMYFUNCTION("TRIM(REGEXREPLACE(A130,""●|\s*Gr=\d+"",""""))"),"RQ2.2.P2_DeploymentMethod_ContainerOrchestrated")</f>
        <v>RQ2.2.P2_DeploymentMethod_ContainerOrchestrated</v>
      </c>
      <c r="C130" s="53" t="str">
        <f>IFERROR(__xludf.DUMMYFUNCTION("SPLIT(B130,""_"",TRUE,TRUE)"),"RQ2.2.P2")</f>
        <v>RQ2.2.P2</v>
      </c>
      <c r="D130" s="221" t="str">
        <f>IFERROR(__xludf.DUMMYFUNCTION("""COMPUTED_VALUE"""),"DeploymentMethod")</f>
        <v>DeploymentMethod</v>
      </c>
      <c r="E130" s="221" t="str">
        <f>IFERROR(__xludf.DUMMYFUNCTION("""COMPUTED_VALUE"""),"ContainerOrchestrated")</f>
        <v>ContainerOrchestrated</v>
      </c>
      <c r="F130" s="220">
        <v>1.0</v>
      </c>
    </row>
    <row r="131">
      <c r="A131" s="227" t="s">
        <v>34280</v>
      </c>
      <c r="B131" s="53" t="str">
        <f>IFERROR(__xludf.DUMMYFUNCTION("TRIM(REGEXREPLACE(A131,""●|\s*Gr=\d+"",""""))"),"RQ2.2.P2_DeploymentMethod_ExternalDevice")</f>
        <v>RQ2.2.P2_DeploymentMethod_ExternalDevice</v>
      </c>
      <c r="C131" s="53" t="str">
        <f>IFERROR(__xludf.DUMMYFUNCTION("SPLIT(B131,""_"",TRUE,TRUE)"),"RQ2.2.P2")</f>
        <v>RQ2.2.P2</v>
      </c>
      <c r="D131" s="221" t="str">
        <f>IFERROR(__xludf.DUMMYFUNCTION("""COMPUTED_VALUE"""),"DeploymentMethod")</f>
        <v>DeploymentMethod</v>
      </c>
      <c r="E131" s="221" t="str">
        <f>IFERROR(__xludf.DUMMYFUNCTION("""COMPUTED_VALUE"""),"ExternalDevice")</f>
        <v>ExternalDevice</v>
      </c>
      <c r="F131" s="220">
        <v>3.0</v>
      </c>
    </row>
    <row r="132">
      <c r="A132" s="227" t="s">
        <v>34281</v>
      </c>
      <c r="B132" s="53" t="str">
        <f>IFERROR(__xludf.DUMMYFUNCTION("TRIM(REGEXREPLACE(A132,""●|\s*Gr=\d+"",""""))"),"RQ2.2.P2_DeploymentMethod_ExternalService")</f>
        <v>RQ2.2.P2_DeploymentMethod_ExternalService</v>
      </c>
      <c r="C132" s="53" t="str">
        <f>IFERROR(__xludf.DUMMYFUNCTION("SPLIT(B132,""_"",TRUE,TRUE)"),"RQ2.2.P2")</f>
        <v>RQ2.2.P2</v>
      </c>
      <c r="D132" s="221" t="str">
        <f>IFERROR(__xludf.DUMMYFUNCTION("""COMPUTED_VALUE"""),"DeploymentMethod")</f>
        <v>DeploymentMethod</v>
      </c>
      <c r="E132" s="221" t="str">
        <f>IFERROR(__xludf.DUMMYFUNCTION("""COMPUTED_VALUE"""),"ExternalService")</f>
        <v>ExternalService</v>
      </c>
      <c r="F132" s="220">
        <v>4.0</v>
      </c>
    </row>
    <row r="133">
      <c r="A133" s="227" t="s">
        <v>34282</v>
      </c>
      <c r="B133" s="53" t="str">
        <f>IFERROR(__xludf.DUMMYFUNCTION("TRIM(REGEXREPLACE(A133,""●|\s*Gr=\d+"",""""))"),"RQ2.2.P2_DeploymentMethod_ExternalTool")</f>
        <v>RQ2.2.P2_DeploymentMethod_ExternalTool</v>
      </c>
      <c r="C133" s="53" t="str">
        <f>IFERROR(__xludf.DUMMYFUNCTION("SPLIT(B133,""_"",TRUE,TRUE)"),"RQ2.2.P2")</f>
        <v>RQ2.2.P2</v>
      </c>
      <c r="D133" s="221" t="str">
        <f>IFERROR(__xludf.DUMMYFUNCTION("""COMPUTED_VALUE"""),"DeploymentMethod")</f>
        <v>DeploymentMethod</v>
      </c>
      <c r="E133" s="221" t="str">
        <f>IFERROR(__xludf.DUMMYFUNCTION("""COMPUTED_VALUE"""),"ExternalTool")</f>
        <v>ExternalTool</v>
      </c>
      <c r="F133" s="220">
        <v>5.0</v>
      </c>
    </row>
    <row r="134">
      <c r="A134" s="227" t="s">
        <v>34283</v>
      </c>
      <c r="B134" s="53" t="str">
        <f>IFERROR(__xludf.DUMMYFUNCTION("TRIM(REGEXREPLACE(A134,""●|\s*Gr=\d+"",""""))"),"RQ2.2.P2_DeploymentMethod_LocalApplication")</f>
        <v>RQ2.2.P2_DeploymentMethod_LocalApplication</v>
      </c>
      <c r="C134" s="53" t="str">
        <f>IFERROR(__xludf.DUMMYFUNCTION("SPLIT(B134,""_"",TRUE,TRUE)"),"RQ2.2.P2")</f>
        <v>RQ2.2.P2</v>
      </c>
      <c r="D134" s="221" t="str">
        <f>IFERROR(__xludf.DUMMYFUNCTION("""COMPUTED_VALUE"""),"DeploymentMethod")</f>
        <v>DeploymentMethod</v>
      </c>
      <c r="E134" s="221" t="str">
        <f>IFERROR(__xludf.DUMMYFUNCTION("""COMPUTED_VALUE"""),"LocalApplication")</f>
        <v>LocalApplication</v>
      </c>
      <c r="F134" s="220">
        <v>2.0</v>
      </c>
    </row>
    <row r="135">
      <c r="A135" s="227" t="s">
        <v>34284</v>
      </c>
      <c r="B135" s="53" t="str">
        <f>IFERROR(__xludf.DUMMYFUNCTION("TRIM(REGEXREPLACE(A135,""●|\s*Gr=\d+"",""""))"),"RQ2.2.P2_DeploymentMethod_RemoteAPI")</f>
        <v>RQ2.2.P2_DeploymentMethod_RemoteAPI</v>
      </c>
      <c r="C135" s="53" t="str">
        <f>IFERROR(__xludf.DUMMYFUNCTION("SPLIT(B135,""_"",TRUE,TRUE)"),"RQ2.2.P2")</f>
        <v>RQ2.2.P2</v>
      </c>
      <c r="D135" s="221" t="str">
        <f>IFERROR(__xludf.DUMMYFUNCTION("""COMPUTED_VALUE"""),"DeploymentMethod")</f>
        <v>DeploymentMethod</v>
      </c>
      <c r="E135" s="221" t="str">
        <f>IFERROR(__xludf.DUMMYFUNCTION("""COMPUTED_VALUE"""),"RemoteAPI")</f>
        <v>RemoteAPI</v>
      </c>
      <c r="F135" s="220">
        <v>1.0</v>
      </c>
    </row>
    <row r="136">
      <c r="A136" s="227" t="s">
        <v>34285</v>
      </c>
      <c r="B136" s="53" t="str">
        <f>IFERROR(__xludf.DUMMYFUNCTION("TRIM(REGEXREPLACE(A136,""●|\s*Gr=\d+"",""""))"),"RQ2.2.P2_DeploymentMethod_SystemIntegrated")</f>
        <v>RQ2.2.P2_DeploymentMethod_SystemIntegrated</v>
      </c>
      <c r="C136" s="53" t="str">
        <f>IFERROR(__xludf.DUMMYFUNCTION("SPLIT(B136,""_"",TRUE,TRUE)"),"RQ2.2.P2")</f>
        <v>RQ2.2.P2</v>
      </c>
      <c r="D136" s="221" t="str">
        <f>IFERROR(__xludf.DUMMYFUNCTION("""COMPUTED_VALUE"""),"DeploymentMethod")</f>
        <v>DeploymentMethod</v>
      </c>
      <c r="E136" s="221" t="str">
        <f>IFERROR(__xludf.DUMMYFUNCTION("""COMPUTED_VALUE"""),"SystemIntegrated")</f>
        <v>SystemIntegrated</v>
      </c>
      <c r="F136" s="220">
        <v>4.0</v>
      </c>
    </row>
    <row r="137">
      <c r="A137" s="231"/>
      <c r="B137" s="53"/>
      <c r="C137" s="53"/>
      <c r="D137" s="221"/>
      <c r="E137" s="224" t="s">
        <v>34168</v>
      </c>
      <c r="F137" s="217">
        <f>SUM(F129:F136)</f>
        <v>25</v>
      </c>
    </row>
    <row r="138">
      <c r="A138" s="231" t="s">
        <v>34286</v>
      </c>
      <c r="B138" s="53" t="str">
        <f>IFERROR(__xludf.DUMMYFUNCTION("TRIM(REGEXREPLACE(A138,""●|\s*Gr=\d+"",""""))"),"RQ2.2.P3_AnalysisCapability")</f>
        <v>RQ2.2.P3_AnalysisCapability</v>
      </c>
      <c r="C138" s="53" t="str">
        <f>IFERROR(__xludf.DUMMYFUNCTION("SPLIT(B138,""_"",TRUE,TRUE)"),"RQ2.2.P3")</f>
        <v>RQ2.2.P3</v>
      </c>
      <c r="D138" s="221" t="str">
        <f>IFERROR(__xludf.DUMMYFUNCTION("""COMPUTED_VALUE"""),"AnalysisCapability")</f>
        <v>AnalysisCapability</v>
      </c>
      <c r="E138" s="221"/>
      <c r="F138" s="220"/>
    </row>
    <row r="139">
      <c r="A139" s="231" t="s">
        <v>34287</v>
      </c>
      <c r="B139" s="53" t="str">
        <f>IFERROR(__xludf.DUMMYFUNCTION("TRIM(REGEXREPLACE(A139,""●|\s*Gr=\d+"",""""))"),"RQ2.2.P3_AnalysisCapability_Comparison")</f>
        <v>RQ2.2.P3_AnalysisCapability_Comparison</v>
      </c>
      <c r="C139" s="53" t="str">
        <f>IFERROR(__xludf.DUMMYFUNCTION("SPLIT(B139,""_"",TRUE,TRUE)"),"RQ2.2.P3")</f>
        <v>RQ2.2.P3</v>
      </c>
      <c r="D139" s="221" t="str">
        <f>IFERROR(__xludf.DUMMYFUNCTION("""COMPUTED_VALUE"""),"AnalysisCapability")</f>
        <v>AnalysisCapability</v>
      </c>
      <c r="E139" s="221" t="str">
        <f>IFERROR(__xludf.DUMMYFUNCTION("""COMPUTED_VALUE"""),"Comparison")</f>
        <v>Comparison</v>
      </c>
      <c r="F139" s="220">
        <v>3.0</v>
      </c>
    </row>
    <row r="140">
      <c r="A140" s="231" t="s">
        <v>34288</v>
      </c>
      <c r="B140" s="53" t="str">
        <f>IFERROR(__xludf.DUMMYFUNCTION("TRIM(REGEXREPLACE(A140,""●|\s*Gr=\d+"",""""))"),"RQ2.2.P3_AnalysisCapability_ComponentBreakdown")</f>
        <v>RQ2.2.P3_AnalysisCapability_ComponentBreakdown</v>
      </c>
      <c r="C140" s="53" t="str">
        <f>IFERROR(__xludf.DUMMYFUNCTION("SPLIT(B140,""_"",TRUE,TRUE)"),"RQ2.2.P3")</f>
        <v>RQ2.2.P3</v>
      </c>
      <c r="D140" s="221" t="str">
        <f>IFERROR(__xludf.DUMMYFUNCTION("""COMPUTED_VALUE"""),"AnalysisCapability")</f>
        <v>AnalysisCapability</v>
      </c>
      <c r="E140" s="221" t="str">
        <f>IFERROR(__xludf.DUMMYFUNCTION("""COMPUTED_VALUE"""),"ComponentBreakdown")</f>
        <v>ComponentBreakdown</v>
      </c>
      <c r="F140" s="220">
        <v>4.0</v>
      </c>
    </row>
    <row r="141">
      <c r="A141" s="231" t="s">
        <v>34289</v>
      </c>
      <c r="B141" s="53" t="str">
        <f>IFERROR(__xludf.DUMMYFUNCTION("TRIM(REGEXREPLACE(A141,""●|\s*Gr=\d+"",""""))"),"RQ2.2.P3_AnalysisCapability_EnergyGranularity")</f>
        <v>RQ2.2.P3_AnalysisCapability_EnergyGranularity</v>
      </c>
      <c r="C141" s="53" t="str">
        <f>IFERROR(__xludf.DUMMYFUNCTION("SPLIT(B141,""_"",TRUE,TRUE)"),"RQ2.2.P3")</f>
        <v>RQ2.2.P3</v>
      </c>
      <c r="D141" s="221" t="str">
        <f>IFERROR(__xludf.DUMMYFUNCTION("""COMPUTED_VALUE"""),"AnalysisCapability")</f>
        <v>AnalysisCapability</v>
      </c>
      <c r="E141" s="221" t="str">
        <f>IFERROR(__xludf.DUMMYFUNCTION("""COMPUTED_VALUE"""),"EnergyGranularity")</f>
        <v>EnergyGranularity</v>
      </c>
      <c r="F141" s="220">
        <v>13.0</v>
      </c>
    </row>
    <row r="142">
      <c r="A142" s="231" t="s">
        <v>34290</v>
      </c>
      <c r="B142" s="53" t="str">
        <f>IFERROR(__xludf.DUMMYFUNCTION("TRIM(REGEXREPLACE(A142,""●|\s*Gr=\d+"",""""))"),"RQ2.2.P3_AnalysisCapability_PatternDetection")</f>
        <v>RQ2.2.P3_AnalysisCapability_PatternDetection</v>
      </c>
      <c r="C142" s="53" t="str">
        <f>IFERROR(__xludf.DUMMYFUNCTION("SPLIT(B142,""_"",TRUE,TRUE)"),"RQ2.2.P3")</f>
        <v>RQ2.2.P3</v>
      </c>
      <c r="D142" s="221" t="str">
        <f>IFERROR(__xludf.DUMMYFUNCTION("""COMPUTED_VALUE"""),"AnalysisCapability")</f>
        <v>AnalysisCapability</v>
      </c>
      <c r="E142" s="221" t="str">
        <f>IFERROR(__xludf.DUMMYFUNCTION("""COMPUTED_VALUE"""),"PatternDetection")</f>
        <v>PatternDetection</v>
      </c>
      <c r="F142" s="220">
        <v>1.0</v>
      </c>
    </row>
    <row r="143">
      <c r="A143" s="231" t="s">
        <v>34291</v>
      </c>
      <c r="B143" s="53" t="str">
        <f>IFERROR(__xludf.DUMMYFUNCTION("TRIM(REGEXREPLACE(A143,""●|\s*Gr=\d+"",""""))"),"RQ2.2.P3_AnalysisCapability_PerformanceQoS")</f>
        <v>RQ2.2.P3_AnalysisCapability_PerformanceQoS</v>
      </c>
      <c r="C143" s="53" t="str">
        <f>IFERROR(__xludf.DUMMYFUNCTION("SPLIT(B143,""_"",TRUE,TRUE)"),"RQ2.2.P3")</f>
        <v>RQ2.2.P3</v>
      </c>
      <c r="D143" s="221" t="str">
        <f>IFERROR(__xludf.DUMMYFUNCTION("""COMPUTED_VALUE"""),"AnalysisCapability")</f>
        <v>AnalysisCapability</v>
      </c>
      <c r="E143" s="221" t="str">
        <f>IFERROR(__xludf.DUMMYFUNCTION("""COMPUTED_VALUE"""),"PerformanceQoS")</f>
        <v>PerformanceQoS</v>
      </c>
      <c r="F143" s="220">
        <v>5.0</v>
      </c>
    </row>
    <row r="144">
      <c r="A144" s="231" t="s">
        <v>34292</v>
      </c>
      <c r="B144" s="53" t="str">
        <f>IFERROR(__xludf.DUMMYFUNCTION("TRIM(REGEXREPLACE(A144,""●|\s*Gr=\d+"",""""))"),"RQ2.2.P3_AnalysisCapability_SecurityMetrics")</f>
        <v>RQ2.2.P3_AnalysisCapability_SecurityMetrics</v>
      </c>
      <c r="C144" s="53" t="str">
        <f>IFERROR(__xludf.DUMMYFUNCTION("SPLIT(B144,""_"",TRUE,TRUE)"),"RQ2.2.P3")</f>
        <v>RQ2.2.P3</v>
      </c>
      <c r="D144" s="221" t="str">
        <f>IFERROR(__xludf.DUMMYFUNCTION("""COMPUTED_VALUE"""),"AnalysisCapability")</f>
        <v>AnalysisCapability</v>
      </c>
      <c r="E144" s="221" t="str">
        <f>IFERROR(__xludf.DUMMYFUNCTION("""COMPUTED_VALUE"""),"SecurityMetrics")</f>
        <v>SecurityMetrics</v>
      </c>
      <c r="F144" s="220">
        <v>1.0</v>
      </c>
    </row>
    <row r="145">
      <c r="A145" s="231" t="s">
        <v>34293</v>
      </c>
      <c r="B145" s="53" t="str">
        <f>IFERROR(__xludf.DUMMYFUNCTION("TRIM(REGEXREPLACE(A145,""●|\s*Gr=\d+"",""""))"),"RQ2.2.P3_AnalysisCapability_Sustainability")</f>
        <v>RQ2.2.P3_AnalysisCapability_Sustainability</v>
      </c>
      <c r="C145" s="53" t="str">
        <f>IFERROR(__xludf.DUMMYFUNCTION("SPLIT(B145,""_"",TRUE,TRUE)"),"RQ2.2.P3")</f>
        <v>RQ2.2.P3</v>
      </c>
      <c r="D145" s="221" t="str">
        <f>IFERROR(__xludf.DUMMYFUNCTION("""COMPUTED_VALUE"""),"AnalysisCapability")</f>
        <v>AnalysisCapability</v>
      </c>
      <c r="E145" s="221" t="str">
        <f>IFERROR(__xludf.DUMMYFUNCTION("""COMPUTED_VALUE"""),"Sustainability")</f>
        <v>Sustainability</v>
      </c>
      <c r="F145" s="220">
        <v>2.0</v>
      </c>
    </row>
    <row r="146">
      <c r="A146" s="231" t="s">
        <v>34294</v>
      </c>
      <c r="B146" s="53" t="str">
        <f>IFERROR(__xludf.DUMMYFUNCTION("TRIM(REGEXREPLACE(A146,""●|\s*Gr=\d+"",""""))"),"RQ2.2.P3_AnalysisCapability_TotalEnergy")</f>
        <v>RQ2.2.P3_AnalysisCapability_TotalEnergy</v>
      </c>
      <c r="C146" s="53" t="str">
        <f>IFERROR(__xludf.DUMMYFUNCTION("SPLIT(B146,""_"",TRUE,TRUE)"),"RQ2.2.P3")</f>
        <v>RQ2.2.P3</v>
      </c>
      <c r="D146" s="221" t="str">
        <f>IFERROR(__xludf.DUMMYFUNCTION("""COMPUTED_VALUE"""),"AnalysisCapability")</f>
        <v>AnalysisCapability</v>
      </c>
      <c r="E146" s="221" t="str">
        <f>IFERROR(__xludf.DUMMYFUNCTION("""COMPUTED_VALUE"""),"TotalEnergy")</f>
        <v>TotalEnergy</v>
      </c>
      <c r="F146" s="220">
        <v>9.0</v>
      </c>
    </row>
    <row r="147">
      <c r="A147" s="231" t="s">
        <v>34295</v>
      </c>
      <c r="B147" s="53" t="str">
        <f>IFERROR(__xludf.DUMMYFUNCTION("TRIM(REGEXREPLACE(A147,""●|\s*Gr=\d+"",""""))"),"RQ2.2.P3_AnalysisCapability_TrendCorrelation")</f>
        <v>RQ2.2.P3_AnalysisCapability_TrendCorrelation</v>
      </c>
      <c r="C147" s="53" t="str">
        <f>IFERROR(__xludf.DUMMYFUNCTION("SPLIT(B147,""_"",TRUE,TRUE)"),"RQ2.2.P3")</f>
        <v>RQ2.2.P3</v>
      </c>
      <c r="D147" s="221" t="str">
        <f>IFERROR(__xludf.DUMMYFUNCTION("""COMPUTED_VALUE"""),"AnalysisCapability")</f>
        <v>AnalysisCapability</v>
      </c>
      <c r="E147" s="221" t="str">
        <f>IFERROR(__xludf.DUMMYFUNCTION("""COMPUTED_VALUE"""),"TrendCorrelation")</f>
        <v>TrendCorrelation</v>
      </c>
      <c r="F147" s="220">
        <v>5.0</v>
      </c>
    </row>
    <row r="148">
      <c r="A148" s="231" t="s">
        <v>34296</v>
      </c>
      <c r="B148" s="53" t="str">
        <f>IFERROR(__xludf.DUMMYFUNCTION("TRIM(REGEXREPLACE(A148,""●|\s*Gr=\d+"",""""))"),"RQ2.2.P3_AnalysisCapability_ValidationVerification")</f>
        <v>RQ2.2.P3_AnalysisCapability_ValidationVerification</v>
      </c>
      <c r="C148" s="53" t="str">
        <f>IFERROR(__xludf.DUMMYFUNCTION("SPLIT(B148,""_"",TRUE,TRUE)"),"RQ2.2.P3")</f>
        <v>RQ2.2.P3</v>
      </c>
      <c r="D148" s="221" t="str">
        <f>IFERROR(__xludf.DUMMYFUNCTION("""COMPUTED_VALUE"""),"AnalysisCapability")</f>
        <v>AnalysisCapability</v>
      </c>
      <c r="E148" s="221" t="str">
        <f>IFERROR(__xludf.DUMMYFUNCTION("""COMPUTED_VALUE"""),"ValidationVerification")</f>
        <v>ValidationVerification</v>
      </c>
      <c r="F148" s="220">
        <v>1.0</v>
      </c>
    </row>
    <row r="149">
      <c r="A149" s="232"/>
      <c r="B149" s="53"/>
      <c r="C149" s="53"/>
      <c r="D149" s="221"/>
      <c r="E149" s="221" t="s">
        <v>34168</v>
      </c>
      <c r="F149" s="220">
        <f>SUM(F139:F148)</f>
        <v>44</v>
      </c>
    </row>
    <row r="150">
      <c r="A150" s="232" t="s">
        <v>34297</v>
      </c>
      <c r="B150" s="53" t="str">
        <f>IFERROR(__xludf.DUMMYFUNCTION("TRIM(REGEXREPLACE(A150,""●|\s*Gr=\d+"",""""))"),"RQ2.2.P4_Granularity")</f>
        <v>RQ2.2.P4_Granularity</v>
      </c>
      <c r="C150" s="53" t="str">
        <f>IFERROR(__xludf.DUMMYFUNCTION("SPLIT(B150,""_"",TRUE,TRUE)"),"RQ2.2.P4")</f>
        <v>RQ2.2.P4</v>
      </c>
      <c r="D150" s="221" t="str">
        <f>IFERROR(__xludf.DUMMYFUNCTION("""COMPUTED_VALUE"""),"Granularity")</f>
        <v>Granularity</v>
      </c>
      <c r="E150" s="221"/>
      <c r="F150" s="220"/>
    </row>
    <row r="151">
      <c r="A151" s="232" t="s">
        <v>34298</v>
      </c>
      <c r="B151" s="53" t="str">
        <f>IFERROR(__xludf.DUMMYFUNCTION("TRIM(REGEXREPLACE(A151,""●|\s*Gr=\d+"",""""))"),"RQ2.2.P4_Granularity_Component")</f>
        <v>RQ2.2.P4_Granularity_Component</v>
      </c>
      <c r="C151" s="53" t="str">
        <f>IFERROR(__xludf.DUMMYFUNCTION("SPLIT(B151,""_"",TRUE,TRUE)"),"RQ2.2.P4")</f>
        <v>RQ2.2.P4</v>
      </c>
      <c r="D151" s="221" t="str">
        <f>IFERROR(__xludf.DUMMYFUNCTION("""COMPUTED_VALUE"""),"Granularity")</f>
        <v>Granularity</v>
      </c>
      <c r="E151" s="221" t="str">
        <f>IFERROR(__xludf.DUMMYFUNCTION("""COMPUTED_VALUE"""),"Component")</f>
        <v>Component</v>
      </c>
      <c r="F151" s="220">
        <v>4.0</v>
      </c>
    </row>
    <row r="152">
      <c r="A152" s="232" t="s">
        <v>34299</v>
      </c>
      <c r="B152" s="53" t="str">
        <f>IFERROR(__xludf.DUMMYFUNCTION("TRIM(REGEXREPLACE(A152,""●|\s*Gr=\d+"",""""))"),"RQ2.2.P4_Granularity_ContainerPod")</f>
        <v>RQ2.2.P4_Granularity_ContainerPod</v>
      </c>
      <c r="C152" s="53" t="str">
        <f>IFERROR(__xludf.DUMMYFUNCTION("SPLIT(B152,""_"",TRUE,TRUE)"),"RQ2.2.P4")</f>
        <v>RQ2.2.P4</v>
      </c>
      <c r="D152" s="221" t="str">
        <f>IFERROR(__xludf.DUMMYFUNCTION("""COMPUTED_VALUE"""),"Granularity")</f>
        <v>Granularity</v>
      </c>
      <c r="E152" s="221" t="str">
        <f>IFERROR(__xludf.DUMMYFUNCTION("""COMPUTED_VALUE"""),"ContainerPod")</f>
        <v>ContainerPod</v>
      </c>
      <c r="F152" s="220">
        <v>4.0</v>
      </c>
    </row>
    <row r="153">
      <c r="A153" s="232" t="s">
        <v>34300</v>
      </c>
      <c r="B153" s="53" t="str">
        <f>IFERROR(__xludf.DUMMYFUNCTION("TRIM(REGEXREPLACE(A153,""●|\s*Gr=\d+"",""""))"),"RQ2.2.P4_Granularity_DataCenter")</f>
        <v>RQ2.2.P4_Granularity_DataCenter</v>
      </c>
      <c r="C153" s="53" t="str">
        <f>IFERROR(__xludf.DUMMYFUNCTION("SPLIT(B153,""_"",TRUE,TRUE)"),"RQ2.2.P4")</f>
        <v>RQ2.2.P4</v>
      </c>
      <c r="D153" s="221" t="str">
        <f>IFERROR(__xludf.DUMMYFUNCTION("""COMPUTED_VALUE"""),"Granularity")</f>
        <v>Granularity</v>
      </c>
      <c r="E153" s="221" t="str">
        <f>IFERROR(__xludf.DUMMYFUNCTION("""COMPUTED_VALUE"""),"DataCenter")</f>
        <v>DataCenter</v>
      </c>
      <c r="F153" s="220">
        <v>2.0</v>
      </c>
    </row>
    <row r="154">
      <c r="A154" s="232" t="s">
        <v>34301</v>
      </c>
      <c r="B154" s="53" t="str">
        <f>IFERROR(__xludf.DUMMYFUNCTION("TRIM(REGEXREPLACE(A154,""●|\s*Gr=\d+"",""""))"),"RQ2.2.P4_Granularity_Device")</f>
        <v>RQ2.2.P4_Granularity_Device</v>
      </c>
      <c r="C154" s="53" t="str">
        <f>IFERROR(__xludf.DUMMYFUNCTION("SPLIT(B154,""_"",TRUE,TRUE)"),"RQ2.2.P4")</f>
        <v>RQ2.2.P4</v>
      </c>
      <c r="D154" s="221" t="str">
        <f>IFERROR(__xludf.DUMMYFUNCTION("""COMPUTED_VALUE"""),"Granularity")</f>
        <v>Granularity</v>
      </c>
      <c r="E154" s="221" t="str">
        <f>IFERROR(__xludf.DUMMYFUNCTION("""COMPUTED_VALUE"""),"Device")</f>
        <v>Device</v>
      </c>
      <c r="F154" s="220">
        <v>6.0</v>
      </c>
    </row>
    <row r="155">
      <c r="A155" s="232" t="s">
        <v>34302</v>
      </c>
      <c r="B155" s="53" t="str">
        <f>IFERROR(__xludf.DUMMYFUNCTION("TRIM(REGEXREPLACE(A155,""●|\s*Gr=\d+"",""""))"),"RQ2.2.P4_Granularity_FineGrained")</f>
        <v>RQ2.2.P4_Granularity_FineGrained</v>
      </c>
      <c r="C155" s="53" t="str">
        <f>IFERROR(__xludf.DUMMYFUNCTION("SPLIT(B155,""_"",TRUE,TRUE)"),"RQ2.2.P4")</f>
        <v>RQ2.2.P4</v>
      </c>
      <c r="D155" s="221" t="str">
        <f>IFERROR(__xludf.DUMMYFUNCTION("""COMPUTED_VALUE"""),"Granularity")</f>
        <v>Granularity</v>
      </c>
      <c r="E155" s="221" t="str">
        <f>IFERROR(__xludf.DUMMYFUNCTION("""COMPUTED_VALUE"""),"FineGrained")</f>
        <v>FineGrained</v>
      </c>
      <c r="F155" s="220">
        <v>4.0</v>
      </c>
    </row>
    <row r="156">
      <c r="A156" s="232" t="s">
        <v>34303</v>
      </c>
      <c r="B156" s="53" t="str">
        <f>IFERROR(__xludf.DUMMYFUNCTION("TRIM(REGEXREPLACE(A156,""●|\s*Gr=\d+"",""""))"),"RQ2.2.P4_Granularity_Function")</f>
        <v>RQ2.2.P4_Granularity_Function</v>
      </c>
      <c r="C156" s="53" t="str">
        <f>IFERROR(__xludf.DUMMYFUNCTION("SPLIT(B156,""_"",TRUE,TRUE)"),"RQ2.2.P4")</f>
        <v>RQ2.2.P4</v>
      </c>
      <c r="D156" s="221" t="str">
        <f>IFERROR(__xludf.DUMMYFUNCTION("""COMPUTED_VALUE"""),"Granularity")</f>
        <v>Granularity</v>
      </c>
      <c r="E156" s="221" t="str">
        <f>IFERROR(__xludf.DUMMYFUNCTION("""COMPUTED_VALUE"""),"Function")</f>
        <v>Function</v>
      </c>
      <c r="F156" s="220">
        <v>2.0</v>
      </c>
    </row>
    <row r="157">
      <c r="A157" s="232" t="s">
        <v>34304</v>
      </c>
      <c r="B157" s="53" t="str">
        <f>IFERROR(__xludf.DUMMYFUNCTION("TRIM(REGEXREPLACE(A157,""●|\s*Gr=\d+"",""""))"),"RQ2.2.P4_Granularity_Network")</f>
        <v>RQ2.2.P4_Granularity_Network</v>
      </c>
      <c r="C157" s="53" t="str">
        <f>IFERROR(__xludf.DUMMYFUNCTION("SPLIT(B157,""_"",TRUE,TRUE)"),"RQ2.2.P4")</f>
        <v>RQ2.2.P4</v>
      </c>
      <c r="D157" s="221" t="str">
        <f>IFERROR(__xludf.DUMMYFUNCTION("""COMPUTED_VALUE"""),"Granularity")</f>
        <v>Granularity</v>
      </c>
      <c r="E157" s="221" t="str">
        <f>IFERROR(__xludf.DUMMYFUNCTION("""COMPUTED_VALUE"""),"Network")</f>
        <v>Network</v>
      </c>
      <c r="F157" s="220">
        <v>1.0</v>
      </c>
    </row>
    <row r="158">
      <c r="A158" s="232" t="s">
        <v>34305</v>
      </c>
      <c r="B158" s="53" t="str">
        <f>IFERROR(__xludf.DUMMYFUNCTION("TRIM(REGEXREPLACE(A158,""●|\s*Gr=\d+"",""""))"),"RQ2.2.P4_Granularity_NodeServer")</f>
        <v>RQ2.2.P4_Granularity_NodeServer</v>
      </c>
      <c r="C158" s="53" t="str">
        <f>IFERROR(__xludf.DUMMYFUNCTION("SPLIT(B158,""_"",TRUE,TRUE)"),"RQ2.2.P4")</f>
        <v>RQ2.2.P4</v>
      </c>
      <c r="D158" s="221" t="str">
        <f>IFERROR(__xludf.DUMMYFUNCTION("""COMPUTED_VALUE"""),"Granularity")</f>
        <v>Granularity</v>
      </c>
      <c r="E158" s="221" t="str">
        <f>IFERROR(__xludf.DUMMYFUNCTION("""COMPUTED_VALUE"""),"NodeServer")</f>
        <v>NodeServer</v>
      </c>
      <c r="F158" s="220">
        <v>18.0</v>
      </c>
    </row>
    <row r="159">
      <c r="A159" s="232" t="s">
        <v>34306</v>
      </c>
      <c r="B159" s="53" t="str">
        <f>IFERROR(__xludf.DUMMYFUNCTION("TRIM(REGEXREPLACE(A159,""●|\s*Gr=\d+"",""""))"),"RQ2.2.P4_Granularity_RequestExecution")</f>
        <v>RQ2.2.P4_Granularity_RequestExecution</v>
      </c>
      <c r="C159" s="53" t="str">
        <f>IFERROR(__xludf.DUMMYFUNCTION("SPLIT(B159,""_"",TRUE,TRUE)"),"RQ2.2.P4")</f>
        <v>RQ2.2.P4</v>
      </c>
      <c r="D159" s="221" t="str">
        <f>IFERROR(__xludf.DUMMYFUNCTION("""COMPUTED_VALUE"""),"Granularity")</f>
        <v>Granularity</v>
      </c>
      <c r="E159" s="221" t="str">
        <f>IFERROR(__xludf.DUMMYFUNCTION("""COMPUTED_VALUE"""),"RequestExecution")</f>
        <v>RequestExecution</v>
      </c>
      <c r="F159" s="220">
        <v>5.0</v>
      </c>
    </row>
    <row r="160">
      <c r="A160" s="232" t="s">
        <v>34307</v>
      </c>
      <c r="B160" s="53" t="str">
        <f>IFERROR(__xludf.DUMMYFUNCTION("TRIM(REGEXREPLACE(A160,""●|\s*Gr=\d+"",""""))"),"RQ2.2.P4_Granularity_ServiceApplication")</f>
        <v>RQ2.2.P4_Granularity_ServiceApplication</v>
      </c>
      <c r="C160" s="53" t="str">
        <f>IFERROR(__xludf.DUMMYFUNCTION("SPLIT(B160,""_"",TRUE,TRUE)"),"RQ2.2.P4")</f>
        <v>RQ2.2.P4</v>
      </c>
      <c r="D160" s="221" t="str">
        <f>IFERROR(__xludf.DUMMYFUNCTION("""COMPUTED_VALUE"""),"Granularity")</f>
        <v>Granularity</v>
      </c>
      <c r="E160" s="221" t="str">
        <f>IFERROR(__xludf.DUMMYFUNCTION("""COMPUTED_VALUE"""),"ServiceApplication")</f>
        <v>ServiceApplication</v>
      </c>
      <c r="F160" s="220">
        <v>4.0</v>
      </c>
    </row>
    <row r="161">
      <c r="A161" s="230"/>
      <c r="B161" s="53"/>
      <c r="C161" s="53"/>
      <c r="D161" s="221"/>
      <c r="E161" s="224" t="s">
        <v>34168</v>
      </c>
      <c r="F161" s="217">
        <f>SUM(F151:F160)</f>
        <v>50</v>
      </c>
    </row>
    <row r="162">
      <c r="A162" s="230" t="s">
        <v>34308</v>
      </c>
      <c r="B162" s="53" t="str">
        <f>IFERROR(__xludf.DUMMYFUNCTION("TRIM(REGEXREPLACE(A162,""●|\s*Gr=\d+"",""""))"),"RQ2.3.P1_MetricType")</f>
        <v>RQ2.3.P1_MetricType</v>
      </c>
      <c r="C162" s="53" t="str">
        <f>IFERROR(__xludf.DUMMYFUNCTION("SPLIT(B162,""_"",TRUE,TRUE)"),"RQ2.3.P1")</f>
        <v>RQ2.3.P1</v>
      </c>
      <c r="D162" s="221" t="str">
        <f>IFERROR(__xludf.DUMMYFUNCTION("""COMPUTED_VALUE"""),"MetricType")</f>
        <v>MetricType</v>
      </c>
      <c r="E162" s="221"/>
      <c r="F162" s="220"/>
    </row>
    <row r="163">
      <c r="A163" s="230" t="s">
        <v>34309</v>
      </c>
      <c r="B163" s="53" t="str">
        <f>IFERROR(__xludf.DUMMYFUNCTION("TRIM(REGEXREPLACE(A163,""●|\s*Gr=\d+"",""""))"),"RQ2.3.P1_MetricType_Cost")</f>
        <v>RQ2.3.P1_MetricType_Cost</v>
      </c>
      <c r="C163" s="53" t="str">
        <f>IFERROR(__xludf.DUMMYFUNCTION("SPLIT(B163,""_"",TRUE,TRUE)"),"RQ2.3.P1")</f>
        <v>RQ2.3.P1</v>
      </c>
      <c r="D163" s="221" t="str">
        <f>IFERROR(__xludf.DUMMYFUNCTION("""COMPUTED_VALUE"""),"MetricType")</f>
        <v>MetricType</v>
      </c>
      <c r="E163" s="221" t="str">
        <f>IFERROR(__xludf.DUMMYFUNCTION("""COMPUTED_VALUE"""),"Cost")</f>
        <v>Cost</v>
      </c>
      <c r="F163" s="220">
        <v>4.0</v>
      </c>
    </row>
    <row r="164">
      <c r="A164" s="230" t="s">
        <v>34310</v>
      </c>
      <c r="B164" s="53" t="str">
        <f>IFERROR(__xludf.DUMMYFUNCTION("TRIM(REGEXREPLACE(A164,""●|\s*Gr=\d+"",""""))"),"RQ2.3.P1_MetricType_DerivedScore")</f>
        <v>RQ2.3.P1_MetricType_DerivedScore</v>
      </c>
      <c r="C164" s="53" t="str">
        <f>IFERROR(__xludf.DUMMYFUNCTION("SPLIT(B164,""_"",TRUE,TRUE)"),"RQ2.3.P1")</f>
        <v>RQ2.3.P1</v>
      </c>
      <c r="D164" s="221" t="str">
        <f>IFERROR(__xludf.DUMMYFUNCTION("""COMPUTED_VALUE"""),"MetricType")</f>
        <v>MetricType</v>
      </c>
      <c r="E164" s="221" t="str">
        <f>IFERROR(__xludf.DUMMYFUNCTION("""COMPUTED_VALUE"""),"DerivedScore")</f>
        <v>DerivedScore</v>
      </c>
      <c r="F164" s="220">
        <v>1.0</v>
      </c>
    </row>
    <row r="165">
      <c r="A165" s="230" t="s">
        <v>34311</v>
      </c>
      <c r="B165" s="53" t="str">
        <f>IFERROR(__xludf.DUMMYFUNCTION("TRIM(REGEXREPLACE(A165,""●|\s*Gr=\d+"",""""))"),"RQ2.3.P1_MetricType_Energy")</f>
        <v>RQ2.3.P1_MetricType_Energy</v>
      </c>
      <c r="C165" s="53" t="str">
        <f>IFERROR(__xludf.DUMMYFUNCTION("SPLIT(B165,""_"",TRUE,TRUE)"),"RQ2.3.P1")</f>
        <v>RQ2.3.P1</v>
      </c>
      <c r="D165" s="221" t="str">
        <f>IFERROR(__xludf.DUMMYFUNCTION("""COMPUTED_VALUE"""),"MetricType")</f>
        <v>MetricType</v>
      </c>
      <c r="E165" s="221" t="str">
        <f>IFERROR(__xludf.DUMMYFUNCTION("""COMPUTED_VALUE"""),"Energy")</f>
        <v>Energy</v>
      </c>
      <c r="F165" s="220">
        <v>23.0</v>
      </c>
    </row>
    <row r="166">
      <c r="A166" s="230" t="s">
        <v>34312</v>
      </c>
      <c r="B166" s="53" t="str">
        <f>IFERROR(__xludf.DUMMYFUNCTION("TRIM(REGEXREPLACE(A166,""●|\s*Gr=\d+"",""""))"),"RQ2.3.P1_MetricType_EnergyEfficiency")</f>
        <v>RQ2.3.P1_MetricType_EnergyEfficiency</v>
      </c>
      <c r="C166" s="53" t="str">
        <f>IFERROR(__xludf.DUMMYFUNCTION("SPLIT(B166,""_"",TRUE,TRUE)"),"RQ2.3.P1")</f>
        <v>RQ2.3.P1</v>
      </c>
      <c r="D166" s="221" t="str">
        <f>IFERROR(__xludf.DUMMYFUNCTION("""COMPUTED_VALUE"""),"MetricType")</f>
        <v>MetricType</v>
      </c>
      <c r="E166" s="221" t="str">
        <f>IFERROR(__xludf.DUMMYFUNCTION("""COMPUTED_VALUE"""),"EnergyEfficiency")</f>
        <v>EnergyEfficiency</v>
      </c>
      <c r="F166" s="220">
        <v>9.0</v>
      </c>
    </row>
    <row r="167">
      <c r="A167" s="230" t="s">
        <v>34313</v>
      </c>
      <c r="B167" s="53" t="str">
        <f>IFERROR(__xludf.DUMMYFUNCTION("TRIM(REGEXREPLACE(A167,""●|\s*Gr=\d+"",""""))"),"RQ2.3.P1_MetricType_EnergyRate")</f>
        <v>RQ2.3.P1_MetricType_EnergyRate</v>
      </c>
      <c r="C167" s="53" t="str">
        <f>IFERROR(__xludf.DUMMYFUNCTION("SPLIT(B167,""_"",TRUE,TRUE)"),"RQ2.3.P1")</f>
        <v>RQ2.3.P1</v>
      </c>
      <c r="D167" s="221" t="str">
        <f>IFERROR(__xludf.DUMMYFUNCTION("""COMPUTED_VALUE"""),"MetricType")</f>
        <v>MetricType</v>
      </c>
      <c r="E167" s="221" t="str">
        <f>IFERROR(__xludf.DUMMYFUNCTION("""COMPUTED_VALUE"""),"EnergyRate")</f>
        <v>EnergyRate</v>
      </c>
      <c r="F167" s="220">
        <v>2.0</v>
      </c>
    </row>
    <row r="168">
      <c r="A168" s="230" t="s">
        <v>34314</v>
      </c>
      <c r="B168" s="53" t="str">
        <f>IFERROR(__xludf.DUMMYFUNCTION("TRIM(REGEXREPLACE(A168,""●|\s*Gr=\d+"",""""))"),"RQ2.3.P1_MetricType_Performance")</f>
        <v>RQ2.3.P1_MetricType_Performance</v>
      </c>
      <c r="C168" s="53" t="str">
        <f>IFERROR(__xludf.DUMMYFUNCTION("SPLIT(B168,""_"",TRUE,TRUE)"),"RQ2.3.P1")</f>
        <v>RQ2.3.P1</v>
      </c>
      <c r="D168" s="221" t="str">
        <f>IFERROR(__xludf.DUMMYFUNCTION("""COMPUTED_VALUE"""),"MetricType")</f>
        <v>MetricType</v>
      </c>
      <c r="E168" s="221" t="str">
        <f>IFERROR(__xludf.DUMMYFUNCTION("""COMPUTED_VALUE"""),"Performance")</f>
        <v>Performance</v>
      </c>
      <c r="F168" s="220">
        <v>4.0</v>
      </c>
    </row>
    <row r="169">
      <c r="A169" s="230" t="s">
        <v>34315</v>
      </c>
      <c r="B169" s="53" t="str">
        <f>IFERROR(__xludf.DUMMYFUNCTION("TRIM(REGEXREPLACE(A169,""●|\s*Gr=\d+"",""""))"),"RQ2.3.P1_MetricType_Power")</f>
        <v>RQ2.3.P1_MetricType_Power</v>
      </c>
      <c r="C169" s="53" t="str">
        <f>IFERROR(__xludf.DUMMYFUNCTION("SPLIT(B169,""_"",TRUE,TRUE)"),"RQ2.3.P1")</f>
        <v>RQ2.3.P1</v>
      </c>
      <c r="D169" s="221" t="str">
        <f>IFERROR(__xludf.DUMMYFUNCTION("""COMPUTED_VALUE"""),"MetricType")</f>
        <v>MetricType</v>
      </c>
      <c r="E169" s="221" t="str">
        <f>IFERROR(__xludf.DUMMYFUNCTION("""COMPUTED_VALUE"""),"Power")</f>
        <v>Power</v>
      </c>
      <c r="F169" s="220">
        <v>23.0</v>
      </c>
    </row>
    <row r="170">
      <c r="A170" s="230" t="s">
        <v>34316</v>
      </c>
      <c r="B170" s="53" t="str">
        <f>IFERROR(__xludf.DUMMYFUNCTION("TRIM(REGEXREPLACE(A170,""●|\s*Gr=\d+"",""""))"),"RQ2.3.P1_MetricType_Sustainability")</f>
        <v>RQ2.3.P1_MetricType_Sustainability</v>
      </c>
      <c r="C170" s="53" t="str">
        <f>IFERROR(__xludf.DUMMYFUNCTION("SPLIT(B170,""_"",TRUE,TRUE)"),"RQ2.3.P1")</f>
        <v>RQ2.3.P1</v>
      </c>
      <c r="D170" s="221" t="str">
        <f>IFERROR(__xludf.DUMMYFUNCTION("""COMPUTED_VALUE"""),"MetricType")</f>
        <v>MetricType</v>
      </c>
      <c r="E170" s="221" t="str">
        <f>IFERROR(__xludf.DUMMYFUNCTION("""COMPUTED_VALUE"""),"Sustainability")</f>
        <v>Sustainability</v>
      </c>
      <c r="F170" s="220">
        <v>5.0</v>
      </c>
    </row>
    <row r="171">
      <c r="A171" s="230" t="s">
        <v>34317</v>
      </c>
      <c r="B171" s="53" t="str">
        <f>IFERROR(__xludf.DUMMYFUNCTION("TRIM(REGEXREPLACE(A171,""●|\s*Gr=\d+"",""""))"),"RQ2.3.P1_MetricType_Utilization")</f>
        <v>RQ2.3.P1_MetricType_Utilization</v>
      </c>
      <c r="C171" s="53" t="str">
        <f>IFERROR(__xludf.DUMMYFUNCTION("SPLIT(B171,""_"",TRUE,TRUE)"),"RQ2.3.P1")</f>
        <v>RQ2.3.P1</v>
      </c>
      <c r="D171" s="221" t="str">
        <f>IFERROR(__xludf.DUMMYFUNCTION("""COMPUTED_VALUE"""),"MetricType")</f>
        <v>MetricType</v>
      </c>
      <c r="E171" s="221" t="str">
        <f>IFERROR(__xludf.DUMMYFUNCTION("""COMPUTED_VALUE"""),"Utilization")</f>
        <v>Utilization</v>
      </c>
      <c r="F171" s="220">
        <v>3.0</v>
      </c>
    </row>
    <row r="172">
      <c r="A172" s="223"/>
      <c r="B172" s="53"/>
      <c r="C172" s="53"/>
      <c r="D172" s="221"/>
      <c r="E172" s="224" t="s">
        <v>34168</v>
      </c>
      <c r="F172" s="217">
        <f>SUM(F163:F171)</f>
        <v>74</v>
      </c>
    </row>
    <row r="173">
      <c r="A173" s="223" t="s">
        <v>34318</v>
      </c>
      <c r="B173" s="53" t="str">
        <f>IFERROR(__xludf.DUMMYFUNCTION("TRIM(REGEXREPLACE(A173,""●|\s*Gr=\d+"",""""))"),"RQ2.3.P2_MeasurementScope")</f>
        <v>RQ2.3.P2_MeasurementScope</v>
      </c>
      <c r="C173" s="53" t="str">
        <f>IFERROR(__xludf.DUMMYFUNCTION("SPLIT(B173,""_"",TRUE,TRUE)"),"RQ2.3.P2")</f>
        <v>RQ2.3.P2</v>
      </c>
      <c r="D173" s="221" t="str">
        <f>IFERROR(__xludf.DUMMYFUNCTION("""COMPUTED_VALUE"""),"MeasurementScope")</f>
        <v>MeasurementScope</v>
      </c>
      <c r="E173" s="221"/>
      <c r="F173" s="220"/>
    </row>
    <row r="174">
      <c r="A174" s="223" t="s">
        <v>34319</v>
      </c>
      <c r="B174" s="53" t="str">
        <f>IFERROR(__xludf.DUMMYFUNCTION("TRIM(REGEXREPLACE(A174,""●|\s*Gr=\d+"",""""))"),"RQ2.3.P2_MeasurementScope_Application")</f>
        <v>RQ2.3.P2_MeasurementScope_Application</v>
      </c>
      <c r="C174" s="53" t="str">
        <f>IFERROR(__xludf.DUMMYFUNCTION("SPLIT(B174,""_"",TRUE,TRUE)"),"RQ2.3.P2")</f>
        <v>RQ2.3.P2</v>
      </c>
      <c r="D174" s="221" t="str">
        <f>IFERROR(__xludf.DUMMYFUNCTION("""COMPUTED_VALUE"""),"MeasurementScope")</f>
        <v>MeasurementScope</v>
      </c>
      <c r="E174" s="221" t="str">
        <f>IFERROR(__xludf.DUMMYFUNCTION("""COMPUTED_VALUE"""),"Application")</f>
        <v>Application</v>
      </c>
      <c r="F174" s="220">
        <v>10.0</v>
      </c>
    </row>
    <row r="175">
      <c r="A175" s="223" t="s">
        <v>34320</v>
      </c>
      <c r="B175" s="53" t="str">
        <f>IFERROR(__xludf.DUMMYFUNCTION("TRIM(REGEXREPLACE(A175,""●|\s*Gr=\d+"",""""))"),"RQ2.3.P2_MeasurementScope_Cluster")</f>
        <v>RQ2.3.P2_MeasurementScope_Cluster</v>
      </c>
      <c r="C175" s="53" t="str">
        <f>IFERROR(__xludf.DUMMYFUNCTION("SPLIT(B175,""_"",TRUE,TRUE)"),"RQ2.3.P2")</f>
        <v>RQ2.3.P2</v>
      </c>
      <c r="D175" s="221" t="str">
        <f>IFERROR(__xludf.DUMMYFUNCTION("""COMPUTED_VALUE"""),"MeasurementScope")</f>
        <v>MeasurementScope</v>
      </c>
      <c r="E175" s="221" t="str">
        <f>IFERROR(__xludf.DUMMYFUNCTION("""COMPUTED_VALUE"""),"Cluster")</f>
        <v>Cluster</v>
      </c>
      <c r="F175" s="220">
        <v>2.0</v>
      </c>
    </row>
    <row r="176">
      <c r="A176" s="223" t="s">
        <v>34321</v>
      </c>
      <c r="B176" s="53" t="str">
        <f>IFERROR(__xludf.DUMMYFUNCTION("TRIM(REGEXREPLACE(A176,""●|\s*Gr=\d+"",""""))"),"RQ2.3.P2_MeasurementScope_Component")</f>
        <v>RQ2.3.P2_MeasurementScope_Component</v>
      </c>
      <c r="C176" s="53" t="str">
        <f>IFERROR(__xludf.DUMMYFUNCTION("SPLIT(B176,""_"",TRUE,TRUE)"),"RQ2.3.P2")</f>
        <v>RQ2.3.P2</v>
      </c>
      <c r="D176" s="221" t="str">
        <f>IFERROR(__xludf.DUMMYFUNCTION("""COMPUTED_VALUE"""),"MeasurementScope")</f>
        <v>MeasurementScope</v>
      </c>
      <c r="E176" s="221" t="str">
        <f>IFERROR(__xludf.DUMMYFUNCTION("""COMPUTED_VALUE"""),"Component")</f>
        <v>Component</v>
      </c>
      <c r="F176" s="220">
        <v>3.0</v>
      </c>
    </row>
    <row r="177">
      <c r="A177" s="223" t="s">
        <v>34322</v>
      </c>
      <c r="B177" s="53" t="str">
        <f>IFERROR(__xludf.DUMMYFUNCTION("TRIM(REGEXREPLACE(A177,""●|\s*Gr=\d+"",""""))"),"RQ2.3.P2_MeasurementScope_Device")</f>
        <v>RQ2.3.P2_MeasurementScope_Device</v>
      </c>
      <c r="C177" s="53" t="str">
        <f>IFERROR(__xludf.DUMMYFUNCTION("SPLIT(B177,""_"",TRUE,TRUE)"),"RQ2.3.P2")</f>
        <v>RQ2.3.P2</v>
      </c>
      <c r="D177" s="221" t="str">
        <f>IFERROR(__xludf.DUMMYFUNCTION("""COMPUTED_VALUE"""),"MeasurementScope")</f>
        <v>MeasurementScope</v>
      </c>
      <c r="E177" s="221" t="str">
        <f>IFERROR(__xludf.DUMMYFUNCTION("""COMPUTED_VALUE"""),"Device")</f>
        <v>Device</v>
      </c>
      <c r="F177" s="220">
        <v>4.0</v>
      </c>
    </row>
    <row r="178">
      <c r="A178" s="223" t="s">
        <v>34323</v>
      </c>
      <c r="B178" s="53" t="str">
        <f>IFERROR(__xludf.DUMMYFUNCTION("TRIM(REGEXREPLACE(A178,""●|\s*Gr=\d+"",""""))"),"RQ2.3.P2_MeasurementScope_Infrastructure")</f>
        <v>RQ2.3.P2_MeasurementScope_Infrastructure</v>
      </c>
      <c r="C178" s="53" t="str">
        <f>IFERROR(__xludf.DUMMYFUNCTION("SPLIT(B178,""_"",TRUE,TRUE)"),"RQ2.3.P2")</f>
        <v>RQ2.3.P2</v>
      </c>
      <c r="D178" s="221" t="str">
        <f>IFERROR(__xludf.DUMMYFUNCTION("""COMPUTED_VALUE"""),"MeasurementScope")</f>
        <v>MeasurementScope</v>
      </c>
      <c r="E178" s="221" t="str">
        <f>IFERROR(__xludf.DUMMYFUNCTION("""COMPUTED_VALUE"""),"Infrastructure")</f>
        <v>Infrastructure</v>
      </c>
      <c r="F178" s="220">
        <v>17.0</v>
      </c>
    </row>
    <row r="179">
      <c r="A179" s="223" t="s">
        <v>34324</v>
      </c>
      <c r="B179" s="53" t="str">
        <f>IFERROR(__xludf.DUMMYFUNCTION("TRIM(REGEXREPLACE(A179,""●|\s*Gr=\d+"",""""))"),"RQ2.3.P2_MeasurementScope_Network")</f>
        <v>RQ2.3.P2_MeasurementScope_Network</v>
      </c>
      <c r="C179" s="53" t="str">
        <f>IFERROR(__xludf.DUMMYFUNCTION("SPLIT(B179,""_"",TRUE,TRUE)"),"RQ2.3.P2")</f>
        <v>RQ2.3.P2</v>
      </c>
      <c r="D179" s="221" t="str">
        <f>IFERROR(__xludf.DUMMYFUNCTION("""COMPUTED_VALUE"""),"MeasurementScope")</f>
        <v>MeasurementScope</v>
      </c>
      <c r="E179" s="221" t="str">
        <f>IFERROR(__xludf.DUMMYFUNCTION("""COMPUTED_VALUE"""),"Network")</f>
        <v>Network</v>
      </c>
      <c r="F179" s="220">
        <v>2.0</v>
      </c>
    </row>
    <row r="180">
      <c r="A180" s="223" t="s">
        <v>34325</v>
      </c>
      <c r="B180" s="53" t="str">
        <f>IFERROR(__xludf.DUMMYFUNCTION("TRIM(REGEXREPLACE(A180,""●|\s*Gr=\d+"",""""))"),"RQ2.3.P2_MeasurementScope_Service")</f>
        <v>RQ2.3.P2_MeasurementScope_Service</v>
      </c>
      <c r="C180" s="53" t="str">
        <f>IFERROR(__xludf.DUMMYFUNCTION("SPLIT(B180,""_"",TRUE,TRUE)"),"RQ2.3.P2")</f>
        <v>RQ2.3.P2</v>
      </c>
      <c r="D180" s="221" t="str">
        <f>IFERROR(__xludf.DUMMYFUNCTION("""COMPUTED_VALUE"""),"MeasurementScope")</f>
        <v>MeasurementScope</v>
      </c>
      <c r="E180" s="221" t="str">
        <f>IFERROR(__xludf.DUMMYFUNCTION("""COMPUTED_VALUE"""),"Service")</f>
        <v>Service</v>
      </c>
      <c r="F180" s="220">
        <v>9.0</v>
      </c>
    </row>
    <row r="181">
      <c r="A181" s="223" t="s">
        <v>34326</v>
      </c>
      <c r="B181" s="53" t="str">
        <f>IFERROR(__xludf.DUMMYFUNCTION("TRIM(REGEXREPLACE(A181,""●|\s*Gr=\d+"",""""))"),"RQ2.3.P2_MeasurementScope_SystemScenario")</f>
        <v>RQ2.3.P2_MeasurementScope_SystemScenario</v>
      </c>
      <c r="C181" s="53" t="str">
        <f>IFERROR(__xludf.DUMMYFUNCTION("SPLIT(B181,""_"",TRUE,TRUE)"),"RQ2.3.P2")</f>
        <v>RQ2.3.P2</v>
      </c>
      <c r="D181" s="221" t="str">
        <f>IFERROR(__xludf.DUMMYFUNCTION("""COMPUTED_VALUE"""),"MeasurementScope")</f>
        <v>MeasurementScope</v>
      </c>
      <c r="E181" s="221" t="str">
        <f>IFERROR(__xludf.DUMMYFUNCTION("""COMPUTED_VALUE"""),"SystemScenario")</f>
        <v>SystemScenario</v>
      </c>
      <c r="F181" s="220">
        <v>4.0</v>
      </c>
    </row>
    <row r="182">
      <c r="A182" s="228"/>
      <c r="B182" s="53"/>
      <c r="C182" s="53"/>
      <c r="D182" s="221"/>
      <c r="E182" s="224" t="s">
        <v>34168</v>
      </c>
      <c r="F182" s="217">
        <f>SUM(F174:F181)</f>
        <v>51</v>
      </c>
    </row>
    <row r="183">
      <c r="A183" s="228" t="s">
        <v>34327</v>
      </c>
      <c r="B183" s="53" t="str">
        <f>IFERROR(__xludf.DUMMYFUNCTION("TRIM(REGEXREPLACE(A183,""●|\s*Gr=\d+"",""""))"),"RQ2.3.P3_NormalizationBasis")</f>
        <v>RQ2.3.P3_NormalizationBasis</v>
      </c>
      <c r="C183" s="53" t="str">
        <f>IFERROR(__xludf.DUMMYFUNCTION("SPLIT(B183,""_"",TRUE,TRUE)"),"RQ2.3.P3")</f>
        <v>RQ2.3.P3</v>
      </c>
      <c r="D183" s="221" t="str">
        <f>IFERROR(__xludf.DUMMYFUNCTION("""COMPUTED_VALUE"""),"NormalizationBasis")</f>
        <v>NormalizationBasis</v>
      </c>
      <c r="E183" s="221"/>
      <c r="F183" s="220"/>
    </row>
    <row r="184">
      <c r="A184" s="228" t="s">
        <v>34328</v>
      </c>
      <c r="B184" s="53" t="str">
        <f>IFERROR(__xludf.DUMMYFUNCTION("TRIM(REGEXREPLACE(A184,""●|\s*Gr=\d+"",""""))"),"RQ2.3.P3_NormalizationBasis_Coverage")</f>
        <v>RQ2.3.P3_NormalizationBasis_Coverage</v>
      </c>
      <c r="C184" s="53" t="str">
        <f>IFERROR(__xludf.DUMMYFUNCTION("SPLIT(B184,""_"",TRUE,TRUE)"),"RQ2.3.P3")</f>
        <v>RQ2.3.P3</v>
      </c>
      <c r="D184" s="221" t="str">
        <f>IFERROR(__xludf.DUMMYFUNCTION("""COMPUTED_VALUE"""),"NormalizationBasis")</f>
        <v>NormalizationBasis</v>
      </c>
      <c r="E184" s="221" t="str">
        <f>IFERROR(__xludf.DUMMYFUNCTION("""COMPUTED_VALUE"""),"Coverage")</f>
        <v>Coverage</v>
      </c>
      <c r="F184" s="220">
        <v>1.0</v>
      </c>
    </row>
    <row r="185">
      <c r="A185" s="228" t="s">
        <v>34329</v>
      </c>
      <c r="B185" s="53" t="str">
        <f>IFERROR(__xludf.DUMMYFUNCTION("TRIM(REGEXREPLACE(A185,""●|\s*Gr=\d+"",""""))"),"RQ2.3.P3_NormalizationBasis_CPUUtilization")</f>
        <v>RQ2.3.P3_NormalizationBasis_CPUUtilization</v>
      </c>
      <c r="C185" s="53" t="str">
        <f>IFERROR(__xludf.DUMMYFUNCTION("SPLIT(B185,""_"",TRUE,TRUE)"),"RQ2.3.P3")</f>
        <v>RQ2.3.P3</v>
      </c>
      <c r="D185" s="221" t="str">
        <f>IFERROR(__xludf.DUMMYFUNCTION("""COMPUTED_VALUE"""),"NormalizationBasis")</f>
        <v>NormalizationBasis</v>
      </c>
      <c r="E185" s="221" t="str">
        <f>IFERROR(__xludf.DUMMYFUNCTION("""COMPUTED_VALUE"""),"CPUUtilization")</f>
        <v>CPUUtilization</v>
      </c>
      <c r="F185" s="220">
        <v>1.0</v>
      </c>
    </row>
    <row r="186">
      <c r="A186" s="228" t="s">
        <v>34330</v>
      </c>
      <c r="B186" s="53" t="str">
        <f>IFERROR(__xludf.DUMMYFUNCTION("TRIM(REGEXREPLACE(A186,""●|\s*Gr=\d+"",""""))"),"RQ2.3.P3_NormalizationBasis_Execution")</f>
        <v>RQ2.3.P3_NormalizationBasis_Execution</v>
      </c>
      <c r="C186" s="53" t="str">
        <f>IFERROR(__xludf.DUMMYFUNCTION("SPLIT(B186,""_"",TRUE,TRUE)"),"RQ2.3.P3")</f>
        <v>RQ2.3.P3</v>
      </c>
      <c r="D186" s="221" t="str">
        <f>IFERROR(__xludf.DUMMYFUNCTION("""COMPUTED_VALUE"""),"NormalizationBasis")</f>
        <v>NormalizationBasis</v>
      </c>
      <c r="E186" s="221" t="str">
        <f>IFERROR(__xludf.DUMMYFUNCTION("""COMPUTED_VALUE"""),"Execution")</f>
        <v>Execution</v>
      </c>
      <c r="F186" s="220">
        <v>1.0</v>
      </c>
    </row>
    <row r="187">
      <c r="A187" s="228" t="s">
        <v>34331</v>
      </c>
      <c r="B187" s="53" t="str">
        <f>IFERROR(__xludf.DUMMYFUNCTION("TRIM(REGEXREPLACE(A187,""●|\s*Gr=\d+"",""""))"),"RQ2.3.P3_NormalizationBasis_LinkUtilization")</f>
        <v>RQ2.3.P3_NormalizationBasis_LinkUtilization</v>
      </c>
      <c r="C187" s="53" t="str">
        <f>IFERROR(__xludf.DUMMYFUNCTION("SPLIT(B187,""_"",TRUE,TRUE)"),"RQ2.3.P3")</f>
        <v>RQ2.3.P3</v>
      </c>
      <c r="D187" s="221" t="str">
        <f>IFERROR(__xludf.DUMMYFUNCTION("""COMPUTED_VALUE"""),"NormalizationBasis")</f>
        <v>NormalizationBasis</v>
      </c>
      <c r="E187" s="221" t="str">
        <f>IFERROR(__xludf.DUMMYFUNCTION("""COMPUTED_VALUE"""),"LinkUtilization")</f>
        <v>LinkUtilization</v>
      </c>
      <c r="F187" s="220">
        <v>1.0</v>
      </c>
    </row>
    <row r="188">
      <c r="A188" s="228" t="s">
        <v>34332</v>
      </c>
      <c r="B188" s="53" t="str">
        <f>IFERROR(__xludf.DUMMYFUNCTION("TRIM(REGEXREPLACE(A188,""●|\s*Gr=\d+"",""""))"),"RQ2.3.P3_NormalizationBasis_Power")</f>
        <v>RQ2.3.P3_NormalizationBasis_Power</v>
      </c>
      <c r="C188" s="53" t="str">
        <f>IFERROR(__xludf.DUMMYFUNCTION("SPLIT(B188,""_"",TRUE,TRUE)"),"RQ2.3.P3")</f>
        <v>RQ2.3.P3</v>
      </c>
      <c r="D188" s="221" t="str">
        <f>IFERROR(__xludf.DUMMYFUNCTION("""COMPUTED_VALUE"""),"NormalizationBasis")</f>
        <v>NormalizationBasis</v>
      </c>
      <c r="E188" s="221" t="str">
        <f>IFERROR(__xludf.DUMMYFUNCTION("""COMPUTED_VALUE"""),"Power")</f>
        <v>Power</v>
      </c>
      <c r="F188" s="220">
        <v>1.0</v>
      </c>
    </row>
    <row r="189">
      <c r="A189" s="228" t="s">
        <v>34333</v>
      </c>
      <c r="B189" s="53" t="str">
        <f>IFERROR(__xludf.DUMMYFUNCTION("TRIM(REGEXREPLACE(A189,""●|\s*Gr=\d+"",""""))"),"RQ2.3.P3_NormalizationBasis_Request")</f>
        <v>RQ2.3.P3_NormalizationBasis_Request</v>
      </c>
      <c r="C189" s="53" t="str">
        <f>IFERROR(__xludf.DUMMYFUNCTION("SPLIT(B189,""_"",TRUE,TRUE)"),"RQ2.3.P3")</f>
        <v>RQ2.3.P3</v>
      </c>
      <c r="D189" s="221" t="str">
        <f>IFERROR(__xludf.DUMMYFUNCTION("""COMPUTED_VALUE"""),"NormalizationBasis")</f>
        <v>NormalizationBasis</v>
      </c>
      <c r="E189" s="221" t="str">
        <f>IFERROR(__xludf.DUMMYFUNCTION("""COMPUTED_VALUE"""),"Request")</f>
        <v>Request</v>
      </c>
      <c r="F189" s="220">
        <v>5.0</v>
      </c>
    </row>
    <row r="190">
      <c r="A190" s="228" t="s">
        <v>34334</v>
      </c>
      <c r="B190" s="53" t="str">
        <f>IFERROR(__xludf.DUMMYFUNCTION("TRIM(REGEXREPLACE(A190,""●|\s*Gr=\d+"",""""))"),"RQ2.3.P3_NormalizationBasis_Scenario")</f>
        <v>RQ2.3.P3_NormalizationBasis_Scenario</v>
      </c>
      <c r="C190" s="53" t="str">
        <f>IFERROR(__xludf.DUMMYFUNCTION("SPLIT(B190,""_"",TRUE,TRUE)"),"RQ2.3.P3")</f>
        <v>RQ2.3.P3</v>
      </c>
      <c r="D190" s="221" t="str">
        <f>IFERROR(__xludf.DUMMYFUNCTION("""COMPUTED_VALUE"""),"NormalizationBasis")</f>
        <v>NormalizationBasis</v>
      </c>
      <c r="E190" s="221" t="str">
        <f>IFERROR(__xludf.DUMMYFUNCTION("""COMPUTED_VALUE"""),"Scenario")</f>
        <v>Scenario</v>
      </c>
      <c r="F190" s="220">
        <v>1.0</v>
      </c>
    </row>
    <row r="191">
      <c r="A191" s="228" t="s">
        <v>34335</v>
      </c>
      <c r="B191" s="53" t="str">
        <f>IFERROR(__xludf.DUMMYFUNCTION("TRIM(REGEXREPLACE(A191,""●|\s*Gr=\d+"",""""))"),"RQ2.3.P3_NormalizationBasis_Time")</f>
        <v>RQ2.3.P3_NormalizationBasis_Time</v>
      </c>
      <c r="C191" s="53" t="str">
        <f>IFERROR(__xludf.DUMMYFUNCTION("SPLIT(B191,""_"",TRUE,TRUE)"),"RQ2.3.P3")</f>
        <v>RQ2.3.P3</v>
      </c>
      <c r="D191" s="221" t="str">
        <f>IFERROR(__xludf.DUMMYFUNCTION("""COMPUTED_VALUE"""),"NormalizationBasis")</f>
        <v>NormalizationBasis</v>
      </c>
      <c r="E191" s="221" t="str">
        <f>IFERROR(__xludf.DUMMYFUNCTION("""COMPUTED_VALUE"""),"Time")</f>
        <v>Time</v>
      </c>
      <c r="F191" s="220">
        <v>6.0</v>
      </c>
    </row>
    <row r="192">
      <c r="A192" s="229"/>
      <c r="B192" s="53"/>
      <c r="C192" s="53"/>
      <c r="D192" s="221"/>
      <c r="E192" s="224" t="s">
        <v>34168</v>
      </c>
      <c r="F192" s="217">
        <f>SUM(F184:F191)</f>
        <v>17</v>
      </c>
    </row>
    <row r="193">
      <c r="A193" s="229" t="s">
        <v>34336</v>
      </c>
      <c r="B193" s="53" t="str">
        <f>IFERROR(__xludf.DUMMYFUNCTION("TRIM(REGEXREPLACE(A193,""●|\s*Gr=\d+"",""""))"),"RQ2.3.P4_BusinessRelevance")</f>
        <v>RQ2.3.P4_BusinessRelevance</v>
      </c>
      <c r="C193" s="53" t="str">
        <f>IFERROR(__xludf.DUMMYFUNCTION("SPLIT(B193,""_"",TRUE,TRUE)"),"RQ2.3.P4")</f>
        <v>RQ2.3.P4</v>
      </c>
      <c r="D193" s="221" t="str">
        <f>IFERROR(__xludf.DUMMYFUNCTION("""COMPUTED_VALUE"""),"BusinessRelevance")</f>
        <v>BusinessRelevance</v>
      </c>
      <c r="E193" s="221"/>
      <c r="F193" s="220"/>
    </row>
    <row r="194">
      <c r="A194" s="229" t="s">
        <v>34337</v>
      </c>
      <c r="B194" s="53" t="str">
        <f>IFERROR(__xludf.DUMMYFUNCTION("TRIM(REGEXREPLACE(A194,""●|\s*Gr=\d+"",""""))"),"RQ2.3.P4_BusinessRelevance_Cost")</f>
        <v>RQ2.3.P4_BusinessRelevance_Cost</v>
      </c>
      <c r="C194" s="53" t="str">
        <f>IFERROR(__xludf.DUMMYFUNCTION("SPLIT(B194,""_"",TRUE,TRUE)"),"RQ2.3.P4")</f>
        <v>RQ2.3.P4</v>
      </c>
      <c r="D194" s="221" t="str">
        <f>IFERROR(__xludf.DUMMYFUNCTION("""COMPUTED_VALUE"""),"BusinessRelevance")</f>
        <v>BusinessRelevance</v>
      </c>
      <c r="E194" s="221" t="str">
        <f>IFERROR(__xludf.DUMMYFUNCTION("""COMPUTED_VALUE"""),"Cost")</f>
        <v>Cost</v>
      </c>
      <c r="F194" s="220">
        <v>7.0</v>
      </c>
    </row>
    <row r="195">
      <c r="A195" s="229" t="s">
        <v>34338</v>
      </c>
      <c r="B195" s="53" t="str">
        <f>IFERROR(__xludf.DUMMYFUNCTION("TRIM(REGEXREPLACE(A195,""●|\s*Gr=\d+"",""""))"),"RQ2.3.P4_BusinessRelevance_QoS")</f>
        <v>RQ2.3.P4_BusinessRelevance_QoS</v>
      </c>
      <c r="C195" s="53" t="str">
        <f>IFERROR(__xludf.DUMMYFUNCTION("SPLIT(B195,""_"",TRUE,TRUE)"),"RQ2.3.P4")</f>
        <v>RQ2.3.P4</v>
      </c>
      <c r="D195" s="221" t="str">
        <f>IFERROR(__xludf.DUMMYFUNCTION("""COMPUTED_VALUE"""),"BusinessRelevance")</f>
        <v>BusinessRelevance</v>
      </c>
      <c r="E195" s="221" t="str">
        <f>IFERROR(__xludf.DUMMYFUNCTION("""COMPUTED_VALUE"""),"QoS")</f>
        <v>QoS</v>
      </c>
      <c r="F195" s="220">
        <v>15.0</v>
      </c>
    </row>
    <row r="196">
      <c r="A196" s="229" t="s">
        <v>34339</v>
      </c>
      <c r="B196" s="53" t="str">
        <f>IFERROR(__xludf.DUMMYFUNCTION("TRIM(REGEXREPLACE(A196,""●|\s*Gr=\d+"",""""))"),"RQ2.3.P4_BusinessRelevance_SLASLO")</f>
        <v>RQ2.3.P4_BusinessRelevance_SLASLO</v>
      </c>
      <c r="C196" s="53" t="str">
        <f>IFERROR(__xludf.DUMMYFUNCTION("SPLIT(B196,""_"",TRUE,TRUE)"),"RQ2.3.P4")</f>
        <v>RQ2.3.P4</v>
      </c>
      <c r="D196" s="221" t="str">
        <f>IFERROR(__xludf.DUMMYFUNCTION("""COMPUTED_VALUE"""),"BusinessRelevance")</f>
        <v>BusinessRelevance</v>
      </c>
      <c r="E196" s="221" t="str">
        <f>IFERROR(__xludf.DUMMYFUNCTION("""COMPUTED_VALUE"""),"SLASLO")</f>
        <v>SLASLO</v>
      </c>
      <c r="F196" s="220">
        <v>10.0</v>
      </c>
    </row>
    <row r="197">
      <c r="A197" s="229" t="s">
        <v>34340</v>
      </c>
      <c r="B197" s="53" t="str">
        <f>IFERROR(__xludf.DUMMYFUNCTION("TRIM(REGEXREPLACE(A197,""●|\s*Gr=\d+"",""""))"),"RQ2.3.P4_BusinessRelevance_TaskOutcome")</f>
        <v>RQ2.3.P4_BusinessRelevance_TaskOutcome</v>
      </c>
      <c r="C197" s="53" t="str">
        <f>IFERROR(__xludf.DUMMYFUNCTION("SPLIT(B197,""_"",TRUE,TRUE)"),"RQ2.3.P4")</f>
        <v>RQ2.3.P4</v>
      </c>
      <c r="D197" s="221" t="str">
        <f>IFERROR(__xludf.DUMMYFUNCTION("""COMPUTED_VALUE"""),"BusinessRelevance")</f>
        <v>BusinessRelevance</v>
      </c>
      <c r="E197" s="221" t="str">
        <f>IFERROR(__xludf.DUMMYFUNCTION("""COMPUTED_VALUE"""),"TaskOutcome")</f>
        <v>TaskOutcome</v>
      </c>
      <c r="F197" s="220">
        <v>1.0</v>
      </c>
    </row>
    <row r="198">
      <c r="A198" s="229" t="s">
        <v>34341</v>
      </c>
      <c r="B198" s="53" t="str">
        <f>IFERROR(__xludf.DUMMYFUNCTION("TRIM(REGEXREPLACE(A198,""●|\s*Gr=\d+"",""""))"),"RQ2.3.P4_BusinessRelevance_UserExperience")</f>
        <v>RQ2.3.P4_BusinessRelevance_UserExperience</v>
      </c>
      <c r="C198" s="53" t="str">
        <f>IFERROR(__xludf.DUMMYFUNCTION("SPLIT(B198,""_"",TRUE,TRUE)"),"RQ2.3.P4")</f>
        <v>RQ2.3.P4</v>
      </c>
      <c r="D198" s="221" t="str">
        <f>IFERROR(__xludf.DUMMYFUNCTION("""COMPUTED_VALUE"""),"BusinessRelevance")</f>
        <v>BusinessRelevance</v>
      </c>
      <c r="E198" s="221" t="str">
        <f>IFERROR(__xludf.DUMMYFUNCTION("""COMPUTED_VALUE"""),"UserExperience")</f>
        <v>UserExperience</v>
      </c>
      <c r="F198" s="220">
        <v>6.0</v>
      </c>
    </row>
    <row r="199">
      <c r="A199" s="233"/>
      <c r="B199" s="53"/>
      <c r="C199" s="53"/>
      <c r="D199" s="221"/>
      <c r="E199" s="224" t="s">
        <v>34168</v>
      </c>
      <c r="F199" s="217">
        <f>SUM(F194:F198)</f>
        <v>39</v>
      </c>
    </row>
    <row r="200">
      <c r="A200" s="233" t="s">
        <v>34342</v>
      </c>
      <c r="B200" s="53" t="str">
        <f>IFERROR(__xludf.DUMMYFUNCTION("TRIM(REGEXREPLACE(A200,""●|\s*Gr=\d+"",""""))"),"RQ3.1.P1_ModernizationStrategy")</f>
        <v>RQ3.1.P1_ModernizationStrategy</v>
      </c>
      <c r="C200" s="53" t="str">
        <f>IFERROR(__xludf.DUMMYFUNCTION("SPLIT(B200,""_"",TRUE,TRUE)"),"RQ3.1.P1")</f>
        <v>RQ3.1.P1</v>
      </c>
      <c r="D200" s="221" t="str">
        <f>IFERROR(__xludf.DUMMYFUNCTION("""COMPUTED_VALUE"""),"ModernizationStrategy")</f>
        <v>ModernizationStrategy</v>
      </c>
      <c r="E200" s="221"/>
      <c r="F200" s="220"/>
    </row>
    <row r="201">
      <c r="A201" s="233" t="s">
        <v>34343</v>
      </c>
      <c r="B201" s="53" t="str">
        <f>IFERROR(__xludf.DUMMYFUNCTION("TRIM(REGEXREPLACE(A201,""●|\s*Gr=\d+"",""""))"),"RQ3.1.P1_ModernizationStrategy_AutoscalingQoSControl")</f>
        <v>RQ3.1.P1_ModernizationStrategy_AutoscalingQoSControl</v>
      </c>
      <c r="C201" s="53" t="str">
        <f>IFERROR(__xludf.DUMMYFUNCTION("SPLIT(B201,""_"",TRUE,TRUE)"),"RQ3.1.P1")</f>
        <v>RQ3.1.P1</v>
      </c>
      <c r="D201" s="221" t="str">
        <f>IFERROR(__xludf.DUMMYFUNCTION("""COMPUTED_VALUE"""),"ModernizationStrategy")</f>
        <v>ModernizationStrategy</v>
      </c>
      <c r="E201" s="221" t="str">
        <f>IFERROR(__xludf.DUMMYFUNCTION("""COMPUTED_VALUE"""),"AutoscalingQoSControl")</f>
        <v>AutoscalingQoSControl</v>
      </c>
      <c r="F201" s="220">
        <v>3.0</v>
      </c>
    </row>
    <row r="202">
      <c r="A202" s="233" t="s">
        <v>34344</v>
      </c>
      <c r="B202" s="53" t="str">
        <f>IFERROR(__xludf.DUMMYFUNCTION("TRIM(REGEXREPLACE(A202,""●|\s*Gr=\d+"",""""))"),"RQ3.1.P1_ModernizationStrategy_BrownoutDeactivation")</f>
        <v>RQ3.1.P1_ModernizationStrategy_BrownoutDeactivation</v>
      </c>
      <c r="C202" s="53" t="str">
        <f>IFERROR(__xludf.DUMMYFUNCTION("SPLIT(B202,""_"",TRUE,TRUE)"),"RQ3.1.P1")</f>
        <v>RQ3.1.P1</v>
      </c>
      <c r="D202" s="221" t="str">
        <f>IFERROR(__xludf.DUMMYFUNCTION("""COMPUTED_VALUE"""),"ModernizationStrategy")</f>
        <v>ModernizationStrategy</v>
      </c>
      <c r="E202" s="221" t="str">
        <f>IFERROR(__xludf.DUMMYFUNCTION("""COMPUTED_VALUE"""),"BrownoutDeactivation")</f>
        <v>BrownoutDeactivation</v>
      </c>
      <c r="F202" s="220">
        <v>5.0</v>
      </c>
    </row>
    <row r="203">
      <c r="A203" s="233" t="s">
        <v>34345</v>
      </c>
      <c r="B203" s="53" t="str">
        <f>IFERROR(__xludf.DUMMYFUNCTION("TRIM(REGEXREPLACE(A203,""●|\s*Gr=\d+"",""""))"),"RQ3.1.P1_ModernizationStrategy_CommunicationReconfiguration")</f>
        <v>RQ3.1.P1_ModernizationStrategy_CommunicationReconfiguration</v>
      </c>
      <c r="C203" s="53" t="str">
        <f>IFERROR(__xludf.DUMMYFUNCTION("SPLIT(B203,""_"",TRUE,TRUE)"),"RQ3.1.P1")</f>
        <v>RQ3.1.P1</v>
      </c>
      <c r="D203" s="221" t="str">
        <f>IFERROR(__xludf.DUMMYFUNCTION("""COMPUTED_VALUE"""),"ModernizationStrategy")</f>
        <v>ModernizationStrategy</v>
      </c>
      <c r="E203" s="221" t="str">
        <f>IFERROR(__xludf.DUMMYFUNCTION("""COMPUTED_VALUE"""),"CommunicationReconfiguration")</f>
        <v>CommunicationReconfiguration</v>
      </c>
      <c r="F203" s="220">
        <v>1.0</v>
      </c>
    </row>
    <row r="204">
      <c r="A204" s="233" t="s">
        <v>34346</v>
      </c>
      <c r="B204" s="53" t="str">
        <f>IFERROR(__xludf.DUMMYFUNCTION("TRIM(REGEXREPLACE(A204,""●|\s*Gr=\d+"",""""))"),"RQ3.1.P1_ModernizationStrategy_HardwareRedesign")</f>
        <v>RQ3.1.P1_ModernizationStrategy_HardwareRedesign</v>
      </c>
      <c r="C204" s="53" t="str">
        <f>IFERROR(__xludf.DUMMYFUNCTION("SPLIT(B204,""_"",TRUE,TRUE)"),"RQ3.1.P1")</f>
        <v>RQ3.1.P1</v>
      </c>
      <c r="D204" s="221" t="str">
        <f>IFERROR(__xludf.DUMMYFUNCTION("""COMPUTED_VALUE"""),"ModernizationStrategy")</f>
        <v>ModernizationStrategy</v>
      </c>
      <c r="E204" s="221" t="str">
        <f>IFERROR(__xludf.DUMMYFUNCTION("""COMPUTED_VALUE"""),"HardwareRedesign")</f>
        <v>HardwareRedesign</v>
      </c>
      <c r="F204" s="220">
        <v>2.0</v>
      </c>
    </row>
    <row r="205">
      <c r="A205" s="233" t="s">
        <v>34347</v>
      </c>
      <c r="B205" s="53" t="str">
        <f>IFERROR(__xludf.DUMMYFUNCTION("TRIM(REGEXREPLACE(A205,""●|\s*Gr=\d+"",""""))"),"RQ3.1.P1_ModernizationStrategy_Offloading")</f>
        <v>RQ3.1.P1_ModernizationStrategy_Offloading</v>
      </c>
      <c r="C205" s="53" t="str">
        <f>IFERROR(__xludf.DUMMYFUNCTION("SPLIT(B205,""_"",TRUE,TRUE)"),"RQ3.1.P1")</f>
        <v>RQ3.1.P1</v>
      </c>
      <c r="D205" s="221" t="str">
        <f>IFERROR(__xludf.DUMMYFUNCTION("""COMPUTED_VALUE"""),"ModernizationStrategy")</f>
        <v>ModernizationStrategy</v>
      </c>
      <c r="E205" s="221" t="str">
        <f>IFERROR(__xludf.DUMMYFUNCTION("""COMPUTED_VALUE"""),"Offloading")</f>
        <v>Offloading</v>
      </c>
      <c r="F205" s="220">
        <v>2.0</v>
      </c>
    </row>
    <row r="206">
      <c r="A206" s="233" t="s">
        <v>34348</v>
      </c>
      <c r="B206" s="53" t="str">
        <f>IFERROR(__xludf.DUMMYFUNCTION("TRIM(REGEXREPLACE(A206,""●|\s*Gr=\d+"",""""))"),"RQ3.1.P1_ModernizationStrategy_OrchestrationProvisioning")</f>
        <v>RQ3.1.P1_ModernizationStrategy_OrchestrationProvisioning</v>
      </c>
      <c r="C206" s="53" t="str">
        <f>IFERROR(__xludf.DUMMYFUNCTION("SPLIT(B206,""_"",TRUE,TRUE)"),"RQ3.1.P1")</f>
        <v>RQ3.1.P1</v>
      </c>
      <c r="D206" s="221" t="str">
        <f>IFERROR(__xludf.DUMMYFUNCTION("""COMPUTED_VALUE"""),"ModernizationStrategy")</f>
        <v>ModernizationStrategy</v>
      </c>
      <c r="E206" s="221" t="str">
        <f>IFERROR(__xludf.DUMMYFUNCTION("""COMPUTED_VALUE"""),"OrchestrationProvisioning")</f>
        <v>OrchestrationProvisioning</v>
      </c>
      <c r="F206" s="220">
        <v>3.0</v>
      </c>
    </row>
    <row r="207">
      <c r="A207" s="233" t="s">
        <v>34349</v>
      </c>
      <c r="B207" s="53" t="str">
        <f>IFERROR(__xludf.DUMMYFUNCTION("TRIM(REGEXREPLACE(A207,""●|\s*Gr=\d+"",""""))"),"RQ3.1.P1_ModernizationStrategy_PlacementMigration")</f>
        <v>RQ3.1.P1_ModernizationStrategy_PlacementMigration</v>
      </c>
      <c r="C207" s="53" t="str">
        <f>IFERROR(__xludf.DUMMYFUNCTION("SPLIT(B207,""_"",TRUE,TRUE)"),"RQ3.1.P1")</f>
        <v>RQ3.1.P1</v>
      </c>
      <c r="D207" s="221" t="str">
        <f>IFERROR(__xludf.DUMMYFUNCTION("""COMPUTED_VALUE"""),"ModernizationStrategy")</f>
        <v>ModernizationStrategy</v>
      </c>
      <c r="E207" s="221" t="str">
        <f>IFERROR(__xludf.DUMMYFUNCTION("""COMPUTED_VALUE"""),"PlacementMigration")</f>
        <v>PlacementMigration</v>
      </c>
      <c r="F207" s="220">
        <v>8.0</v>
      </c>
    </row>
    <row r="208">
      <c r="A208" s="233" t="s">
        <v>34350</v>
      </c>
      <c r="B208" s="53" t="str">
        <f>IFERROR(__xludf.DUMMYFUNCTION("TRIM(REGEXREPLACE(A208,""●|\s*Gr=\d+"",""""))"),"RQ3.1.P1_ModernizationStrategy_PowerManagementDVFS")</f>
        <v>RQ3.1.P1_ModernizationStrategy_PowerManagementDVFS</v>
      </c>
      <c r="C208" s="53" t="str">
        <f>IFERROR(__xludf.DUMMYFUNCTION("SPLIT(B208,""_"",TRUE,TRUE)"),"RQ3.1.P1")</f>
        <v>RQ3.1.P1</v>
      </c>
      <c r="D208" s="221" t="str">
        <f>IFERROR(__xludf.DUMMYFUNCTION("""COMPUTED_VALUE"""),"ModernizationStrategy")</f>
        <v>ModernizationStrategy</v>
      </c>
      <c r="E208" s="221" t="str">
        <f>IFERROR(__xludf.DUMMYFUNCTION("""COMPUTED_VALUE"""),"PowerManagementDVFS")</f>
        <v>PowerManagementDVFS</v>
      </c>
      <c r="F208" s="220">
        <v>3.0</v>
      </c>
    </row>
    <row r="209">
      <c r="A209" s="233" t="s">
        <v>34351</v>
      </c>
      <c r="B209" s="53" t="str">
        <f>IFERROR(__xludf.DUMMYFUNCTION("TRIM(REGEXREPLACE(A209,""●|\s*Gr=\d+"",""""))"),"RQ3.1.P1_ModernizationStrategy_RedundancyDuplication")</f>
        <v>RQ3.1.P1_ModernizationStrategy_RedundancyDuplication</v>
      </c>
      <c r="C209" s="53" t="str">
        <f>IFERROR(__xludf.DUMMYFUNCTION("SPLIT(B209,""_"",TRUE,TRUE)"),"RQ3.1.P1")</f>
        <v>RQ3.1.P1</v>
      </c>
      <c r="D209" s="221" t="str">
        <f>IFERROR(__xludf.DUMMYFUNCTION("""COMPUTED_VALUE"""),"ModernizationStrategy")</f>
        <v>ModernizationStrategy</v>
      </c>
      <c r="E209" s="221" t="str">
        <f>IFERROR(__xludf.DUMMYFUNCTION("""COMPUTED_VALUE"""),"RedundancyDuplication")</f>
        <v>RedundancyDuplication</v>
      </c>
      <c r="F209" s="220">
        <v>2.0</v>
      </c>
    </row>
    <row r="210">
      <c r="A210" s="233" t="s">
        <v>34352</v>
      </c>
      <c r="B210" s="53" t="str">
        <f>IFERROR(__xludf.DUMMYFUNCTION("TRIM(REGEXREPLACE(A210,""●|\s*Gr=\d+"",""""))"),"RQ3.1.P1_ModernizationStrategy_RefactoringRearchitecting")</f>
        <v>RQ3.1.P1_ModernizationStrategy_RefactoringRearchitecting</v>
      </c>
      <c r="C210" s="53" t="str">
        <f>IFERROR(__xludf.DUMMYFUNCTION("SPLIT(B210,""_"",TRUE,TRUE)"),"RQ3.1.P1")</f>
        <v>RQ3.1.P1</v>
      </c>
      <c r="D210" s="221" t="str">
        <f>IFERROR(__xludf.DUMMYFUNCTION("""COMPUTED_VALUE"""),"ModernizationStrategy")</f>
        <v>ModernizationStrategy</v>
      </c>
      <c r="E210" s="221" t="str">
        <f>IFERROR(__xludf.DUMMYFUNCTION("""COMPUTED_VALUE"""),"RefactoringRearchitecting")</f>
        <v>RefactoringRearchitecting</v>
      </c>
      <c r="F210" s="220">
        <v>4.0</v>
      </c>
    </row>
    <row r="211">
      <c r="A211" s="233" t="s">
        <v>34353</v>
      </c>
      <c r="B211" s="53" t="str">
        <f>IFERROR(__xludf.DUMMYFUNCTION("TRIM(REGEXREPLACE(A211,""●|\s*Gr=\d+"",""""))"),"RQ3.1.P1_ModernizationStrategy_SchedulingResourceOptimization")</f>
        <v>RQ3.1.P1_ModernizationStrategy_SchedulingResourceOptimization</v>
      </c>
      <c r="C211" s="53" t="str">
        <f>IFERROR(__xludf.DUMMYFUNCTION("SPLIT(B211,""_"",TRUE,TRUE)"),"RQ3.1.P1")</f>
        <v>RQ3.1.P1</v>
      </c>
      <c r="D211" s="221" t="str">
        <f>IFERROR(__xludf.DUMMYFUNCTION("""COMPUTED_VALUE"""),"ModernizationStrategy")</f>
        <v>ModernizationStrategy</v>
      </c>
      <c r="E211" s="221" t="str">
        <f>IFERROR(__xludf.DUMMYFUNCTION("""COMPUTED_VALUE"""),"SchedulingResourceOptimization")</f>
        <v>SchedulingResourceOptimization</v>
      </c>
      <c r="F211" s="220">
        <v>13.0</v>
      </c>
    </row>
    <row r="212">
      <c r="A212" s="233" t="s">
        <v>34354</v>
      </c>
      <c r="B212" s="53" t="str">
        <f>IFERROR(__xludf.DUMMYFUNCTION("TRIM(REGEXREPLACE(A212,""●|\s*Gr=\d+"",""""))"),"RQ3.1.P1_ModernizationStrategy_ServerlessAdoption")</f>
        <v>RQ3.1.P1_ModernizationStrategy_ServerlessAdoption</v>
      </c>
      <c r="C212" s="53" t="str">
        <f>IFERROR(__xludf.DUMMYFUNCTION("SPLIT(B212,""_"",TRUE,TRUE)"),"RQ3.1.P1")</f>
        <v>RQ3.1.P1</v>
      </c>
      <c r="D212" s="221" t="str">
        <f>IFERROR(__xludf.DUMMYFUNCTION("""COMPUTED_VALUE"""),"ModernizationStrategy")</f>
        <v>ModernizationStrategy</v>
      </c>
      <c r="E212" s="221" t="str">
        <f>IFERROR(__xludf.DUMMYFUNCTION("""COMPUTED_VALUE"""),"ServerlessAdoption")</f>
        <v>ServerlessAdoption</v>
      </c>
      <c r="F212" s="220">
        <v>3.0</v>
      </c>
    </row>
    <row r="213">
      <c r="A213" s="233" t="s">
        <v>34355</v>
      </c>
      <c r="B213" s="53" t="str">
        <f>IFERROR(__xludf.DUMMYFUNCTION("TRIM(REGEXREPLACE(A213,""●|\s*Gr=\d+"",""""))"),"RQ3.1.P1_ModernizationStrategy_SustainabilityByDesign")</f>
        <v>RQ3.1.P1_ModernizationStrategy_SustainabilityByDesign</v>
      </c>
      <c r="C213" s="53" t="str">
        <f>IFERROR(__xludf.DUMMYFUNCTION("SPLIT(B213,""_"",TRUE,TRUE)"),"RQ3.1.P1")</f>
        <v>RQ3.1.P1</v>
      </c>
      <c r="D213" s="221" t="str">
        <f>IFERROR(__xludf.DUMMYFUNCTION("""COMPUTED_VALUE"""),"ModernizationStrategy")</f>
        <v>ModernizationStrategy</v>
      </c>
      <c r="E213" s="221" t="str">
        <f>IFERROR(__xludf.DUMMYFUNCTION("""COMPUTED_VALUE"""),"SustainabilityByDesign")</f>
        <v>SustainabilityByDesign</v>
      </c>
      <c r="F213" s="220">
        <v>3.0</v>
      </c>
    </row>
    <row r="214">
      <c r="A214" s="233" t="s">
        <v>34356</v>
      </c>
      <c r="B214" s="53" t="str">
        <f>IFERROR(__xludf.DUMMYFUNCTION("TRIM(REGEXREPLACE(A214,""●|\s*Gr=\d+"",""""))"),"RQ3.1.P1_ModernizationStrategy_WorkloadBatchingComputeOptimization")</f>
        <v>RQ3.1.P1_ModernizationStrategy_WorkloadBatchingComputeOptimization</v>
      </c>
      <c r="C214" s="53" t="str">
        <f>IFERROR(__xludf.DUMMYFUNCTION("SPLIT(B214,""_"",TRUE,TRUE)"),"RQ3.1.P1")</f>
        <v>RQ3.1.P1</v>
      </c>
      <c r="D214" s="221" t="str">
        <f>IFERROR(__xludf.DUMMYFUNCTION("""COMPUTED_VALUE"""),"ModernizationStrategy")</f>
        <v>ModernizationStrategy</v>
      </c>
      <c r="E214" s="221" t="str">
        <f>IFERROR(__xludf.DUMMYFUNCTION("""COMPUTED_VALUE"""),"WorkloadBatchingComputeOptimization")</f>
        <v>WorkloadBatchingComputeOptimization</v>
      </c>
      <c r="F214" s="220">
        <v>2.0</v>
      </c>
    </row>
    <row r="215">
      <c r="A215" s="234"/>
      <c r="B215" s="53"/>
      <c r="C215" s="53"/>
      <c r="D215" s="221"/>
      <c r="E215" s="224" t="s">
        <v>34168</v>
      </c>
      <c r="F215" s="217">
        <f>SUM(F201:F214)</f>
        <v>54</v>
      </c>
    </row>
    <row r="216">
      <c r="A216" s="234" t="s">
        <v>34357</v>
      </c>
      <c r="B216" s="53" t="str">
        <f>IFERROR(__xludf.DUMMYFUNCTION("TRIM(REGEXREPLACE(A216,""●|\s*Gr=\d+"",""""))"),"RQ3.1.P2_SolutionCategory")</f>
        <v>RQ3.1.P2_SolutionCategory</v>
      </c>
      <c r="C216" s="53" t="str">
        <f>IFERROR(__xludf.DUMMYFUNCTION("SPLIT(B216,""_"",TRUE,TRUE)"),"RQ3.1.P2")</f>
        <v>RQ3.1.P2</v>
      </c>
      <c r="D216" s="221" t="str">
        <f>IFERROR(__xludf.DUMMYFUNCTION("""COMPUTED_VALUE"""),"SolutionCategory")</f>
        <v>SolutionCategory</v>
      </c>
      <c r="E216" s="221"/>
      <c r="F216" s="220"/>
    </row>
    <row r="217">
      <c r="A217" s="234" t="s">
        <v>34358</v>
      </c>
      <c r="B217" s="53" t="str">
        <f>IFERROR(__xludf.DUMMYFUNCTION("TRIM(REGEXREPLACE(A217,""●|\s*Gr=\d+"",""""))"),"RQ3.1.P2_SolutionCategory_Autoscaling")</f>
        <v>RQ3.1.P2_SolutionCategory_Autoscaling</v>
      </c>
      <c r="C217" s="53" t="str">
        <f>IFERROR(__xludf.DUMMYFUNCTION("SPLIT(B217,""_"",TRUE,TRUE)"),"RQ3.1.P2")</f>
        <v>RQ3.1.P2</v>
      </c>
      <c r="D217" s="221" t="str">
        <f>IFERROR(__xludf.DUMMYFUNCTION("""COMPUTED_VALUE"""),"SolutionCategory")</f>
        <v>SolutionCategory</v>
      </c>
      <c r="E217" s="221" t="str">
        <f>IFERROR(__xludf.DUMMYFUNCTION("""COMPUTED_VALUE"""),"Autoscaling")</f>
        <v>Autoscaling</v>
      </c>
      <c r="F217" s="220">
        <v>10.0</v>
      </c>
    </row>
    <row r="218">
      <c r="A218" s="234" t="s">
        <v>34359</v>
      </c>
      <c r="B218" s="53" t="str">
        <f>IFERROR(__xludf.DUMMYFUNCTION("TRIM(REGEXREPLACE(A218,""●|\s*Gr=\d+"",""""))"),"RQ3.1.P2_SolutionCategory_CodeOptimization")</f>
        <v>RQ3.1.P2_SolutionCategory_CodeOptimization</v>
      </c>
      <c r="C218" s="53" t="str">
        <f>IFERROR(__xludf.DUMMYFUNCTION("SPLIT(B218,""_"",TRUE,TRUE)"),"RQ3.1.P2")</f>
        <v>RQ3.1.P2</v>
      </c>
      <c r="D218" s="221" t="str">
        <f>IFERROR(__xludf.DUMMYFUNCTION("""COMPUTED_VALUE"""),"SolutionCategory")</f>
        <v>SolutionCategory</v>
      </c>
      <c r="E218" s="221" t="str">
        <f>IFERROR(__xludf.DUMMYFUNCTION("""COMPUTED_VALUE"""),"CodeOptimization")</f>
        <v>CodeOptimization</v>
      </c>
      <c r="F218" s="220">
        <v>1.0</v>
      </c>
    </row>
    <row r="219">
      <c r="A219" s="234" t="s">
        <v>34360</v>
      </c>
      <c r="B219" s="53" t="str">
        <f>IFERROR(__xludf.DUMMYFUNCTION("TRIM(REGEXREPLACE(A219,""●|\s*Gr=\d+"",""""))"),"RQ3.1.P2_SolutionCategory_Orchestration")</f>
        <v>RQ3.1.P2_SolutionCategory_Orchestration</v>
      </c>
      <c r="C219" s="53" t="str">
        <f>IFERROR(__xludf.DUMMYFUNCTION("SPLIT(B219,""_"",TRUE,TRUE)"),"RQ3.1.P2")</f>
        <v>RQ3.1.P2</v>
      </c>
      <c r="D219" s="221" t="str">
        <f>IFERROR(__xludf.DUMMYFUNCTION("""COMPUTED_VALUE"""),"SolutionCategory")</f>
        <v>SolutionCategory</v>
      </c>
      <c r="E219" s="221" t="str">
        <f>IFERROR(__xludf.DUMMYFUNCTION("""COMPUTED_VALUE"""),"Orchestration")</f>
        <v>Orchestration</v>
      </c>
      <c r="F219" s="220">
        <v>5.0</v>
      </c>
    </row>
    <row r="220">
      <c r="A220" s="234" t="s">
        <v>34361</v>
      </c>
      <c r="B220" s="53" t="str">
        <f>IFERROR(__xludf.DUMMYFUNCTION("TRIM(REGEXREPLACE(A220,""●|\s*Gr=\d+"",""""))"),"RQ3.1.P2_SolutionCategory_PlacementDeployment")</f>
        <v>RQ3.1.P2_SolutionCategory_PlacementDeployment</v>
      </c>
      <c r="C220" s="53" t="str">
        <f>IFERROR(__xludf.DUMMYFUNCTION("SPLIT(B220,""_"",TRUE,TRUE)"),"RQ3.1.P2")</f>
        <v>RQ3.1.P2</v>
      </c>
      <c r="D220" s="221" t="str">
        <f>IFERROR(__xludf.DUMMYFUNCTION("""COMPUTED_VALUE"""),"SolutionCategory")</f>
        <v>SolutionCategory</v>
      </c>
      <c r="E220" s="221" t="str">
        <f>IFERROR(__xludf.DUMMYFUNCTION("""COMPUTED_VALUE"""),"PlacementDeployment")</f>
        <v>PlacementDeployment</v>
      </c>
      <c r="F220" s="220">
        <v>7.0</v>
      </c>
    </row>
    <row r="221">
      <c r="A221" s="234" t="s">
        <v>34362</v>
      </c>
      <c r="B221" s="53" t="str">
        <f>IFERROR(__xludf.DUMMYFUNCTION("TRIM(REGEXREPLACE(A221,""●|\s*Gr=\d+"",""""))"),"RQ3.1.P2_SolutionCategory_PowerManagement")</f>
        <v>RQ3.1.P2_SolutionCategory_PowerManagement</v>
      </c>
      <c r="C221" s="53" t="str">
        <f>IFERROR(__xludf.DUMMYFUNCTION("SPLIT(B221,""_"",TRUE,TRUE)"),"RQ3.1.P2")</f>
        <v>RQ3.1.P2</v>
      </c>
      <c r="D221" s="221" t="str">
        <f>IFERROR(__xludf.DUMMYFUNCTION("""COMPUTED_VALUE"""),"SolutionCategory")</f>
        <v>SolutionCategory</v>
      </c>
      <c r="E221" s="221" t="str">
        <f>IFERROR(__xludf.DUMMYFUNCTION("""COMPUTED_VALUE"""),"PowerManagement")</f>
        <v>PowerManagement</v>
      </c>
      <c r="F221" s="220">
        <v>2.0</v>
      </c>
    </row>
    <row r="222">
      <c r="A222" s="234" t="s">
        <v>34363</v>
      </c>
      <c r="B222" s="53" t="str">
        <f>IFERROR(__xludf.DUMMYFUNCTION("TRIM(REGEXREPLACE(A222,""●|\s*Gr=\d+"",""""))"),"RQ3.1.P2_SolutionCategory_RedundancyReplication")</f>
        <v>RQ3.1.P2_SolutionCategory_RedundancyReplication</v>
      </c>
      <c r="C222" s="53" t="str">
        <f>IFERROR(__xludf.DUMMYFUNCTION("SPLIT(B222,""_"",TRUE,TRUE)"),"RQ3.1.P2")</f>
        <v>RQ3.1.P2</v>
      </c>
      <c r="D222" s="221" t="str">
        <f>IFERROR(__xludf.DUMMYFUNCTION("""COMPUTED_VALUE"""),"SolutionCategory")</f>
        <v>SolutionCategory</v>
      </c>
      <c r="E222" s="221" t="str">
        <f>IFERROR(__xludf.DUMMYFUNCTION("""COMPUTED_VALUE"""),"RedundancyReplication")</f>
        <v>RedundancyReplication</v>
      </c>
      <c r="F222" s="220">
        <v>2.0</v>
      </c>
    </row>
    <row r="223">
      <c r="A223" s="234" t="s">
        <v>34364</v>
      </c>
      <c r="B223" s="53" t="str">
        <f>IFERROR(__xludf.DUMMYFUNCTION("TRIM(REGEXREPLACE(A223,""●|\s*Gr=\d+"",""""))"),"RQ3.1.P2_SolutionCategory_Scheduling")</f>
        <v>RQ3.1.P2_SolutionCategory_Scheduling</v>
      </c>
      <c r="C223" s="53" t="str">
        <f>IFERROR(__xludf.DUMMYFUNCTION("SPLIT(B223,""_"",TRUE,TRUE)"),"RQ3.1.P2")</f>
        <v>RQ3.1.P2</v>
      </c>
      <c r="D223" s="221" t="str">
        <f>IFERROR(__xludf.DUMMYFUNCTION("""COMPUTED_VALUE"""),"SolutionCategory")</f>
        <v>SolutionCategory</v>
      </c>
      <c r="E223" s="221" t="str">
        <f>IFERROR(__xludf.DUMMYFUNCTION("""COMPUTED_VALUE"""),"Scheduling")</f>
        <v>Scheduling</v>
      </c>
      <c r="F223" s="220">
        <v>16.0</v>
      </c>
    </row>
    <row r="224">
      <c r="A224" s="234" t="s">
        <v>34365</v>
      </c>
      <c r="B224" s="53" t="str">
        <f>IFERROR(__xludf.DUMMYFUNCTION("TRIM(REGEXREPLACE(A224,""●|\s*Gr=\d+"",""""))"),"RQ3.1.P2_SolutionCategory_SecurityAdaptation")</f>
        <v>RQ3.1.P2_SolutionCategory_SecurityAdaptation</v>
      </c>
      <c r="C224" s="53" t="str">
        <f>IFERROR(__xludf.DUMMYFUNCTION("SPLIT(B224,""_"",TRUE,TRUE)"),"RQ3.1.P2")</f>
        <v>RQ3.1.P2</v>
      </c>
      <c r="D224" s="221" t="str">
        <f>IFERROR(__xludf.DUMMYFUNCTION("""COMPUTED_VALUE"""),"SolutionCategory")</f>
        <v>SolutionCategory</v>
      </c>
      <c r="E224" s="221" t="str">
        <f>IFERROR(__xludf.DUMMYFUNCTION("""COMPUTED_VALUE"""),"SecurityAdaptation")</f>
        <v>SecurityAdaptation</v>
      </c>
      <c r="F224" s="220">
        <v>1.0</v>
      </c>
    </row>
    <row r="225">
      <c r="A225" s="234" t="s">
        <v>34366</v>
      </c>
      <c r="B225" s="53" t="str">
        <f>IFERROR(__xludf.DUMMYFUNCTION("TRIM(REGEXREPLACE(A225,""●|\s*Gr=\d+"",""""))"),"RQ3.1.P2_SolutionCategory_SustainabilityAwareDeployment")</f>
        <v>RQ3.1.P2_SolutionCategory_SustainabilityAwareDeployment</v>
      </c>
      <c r="C225" s="53" t="str">
        <f>IFERROR(__xludf.DUMMYFUNCTION("SPLIT(B225,""_"",TRUE,TRUE)"),"RQ3.1.P2")</f>
        <v>RQ3.1.P2</v>
      </c>
      <c r="D225" s="221" t="str">
        <f>IFERROR(__xludf.DUMMYFUNCTION("""COMPUTED_VALUE"""),"SolutionCategory")</f>
        <v>SolutionCategory</v>
      </c>
      <c r="E225" s="221" t="str">
        <f>IFERROR(__xludf.DUMMYFUNCTION("""COMPUTED_VALUE"""),"SustainabilityAwareDeployment")</f>
        <v>SustainabilityAwareDeployment</v>
      </c>
      <c r="F225" s="220">
        <v>1.0</v>
      </c>
    </row>
    <row r="226">
      <c r="A226" s="234" t="s">
        <v>34367</v>
      </c>
      <c r="B226" s="53" t="str">
        <f>IFERROR(__xludf.DUMMYFUNCTION("TRIM(REGEXREPLACE(A226,""●|\s*Gr=\d+"",""""))"),"RQ3.1.P2_SolutionCategory_WorkloadBatching")</f>
        <v>RQ3.1.P2_SolutionCategory_WorkloadBatching</v>
      </c>
      <c r="C226" s="53" t="str">
        <f>IFERROR(__xludf.DUMMYFUNCTION("SPLIT(B226,""_"",TRUE,TRUE)"),"RQ3.1.P2")</f>
        <v>RQ3.1.P2</v>
      </c>
      <c r="D226" s="221" t="str">
        <f>IFERROR(__xludf.DUMMYFUNCTION("""COMPUTED_VALUE"""),"SolutionCategory")</f>
        <v>SolutionCategory</v>
      </c>
      <c r="E226" s="221" t="str">
        <f>IFERROR(__xludf.DUMMYFUNCTION("""COMPUTED_VALUE"""),"WorkloadBatching")</f>
        <v>WorkloadBatching</v>
      </c>
      <c r="F226" s="220">
        <v>1.0</v>
      </c>
    </row>
    <row r="227">
      <c r="A227" s="234" t="s">
        <v>34368</v>
      </c>
      <c r="B227" s="53" t="str">
        <f>IFERROR(__xludf.DUMMYFUNCTION("TRIM(REGEXREPLACE(A227,""●|\s*Gr=\d+"",""""))"),"RQ3.1.P2_SolutionCategory_WorkloadManagement")</f>
        <v>RQ3.1.P2_SolutionCategory_WorkloadManagement</v>
      </c>
      <c r="C227" s="53" t="str">
        <f>IFERROR(__xludf.DUMMYFUNCTION("SPLIT(B227,""_"",TRUE,TRUE)"),"RQ3.1.P2")</f>
        <v>RQ3.1.P2</v>
      </c>
      <c r="D227" s="221" t="str">
        <f>IFERROR(__xludf.DUMMYFUNCTION("""COMPUTED_VALUE"""),"SolutionCategory")</f>
        <v>SolutionCategory</v>
      </c>
      <c r="E227" s="221" t="str">
        <f>IFERROR(__xludf.DUMMYFUNCTION("""COMPUTED_VALUE"""),"WorkloadManagement")</f>
        <v>WorkloadManagement</v>
      </c>
      <c r="F227" s="220">
        <v>8.0</v>
      </c>
    </row>
    <row r="228">
      <c r="A228" s="224"/>
      <c r="B228" s="53"/>
      <c r="C228" s="53"/>
      <c r="D228" s="221"/>
      <c r="E228" s="224" t="s">
        <v>34168</v>
      </c>
      <c r="F228" s="217">
        <f>SUM(F217:F227)</f>
        <v>54</v>
      </c>
    </row>
    <row r="229">
      <c r="A229" s="224" t="s">
        <v>34369</v>
      </c>
      <c r="B229" s="53" t="str">
        <f>IFERROR(__xludf.DUMMYFUNCTION("TRIM(REGEXREPLACE(A229,""●|\s*Gr=\d+"",""""))"),"RQ3.1.P3_ImplementationTechnologies")</f>
        <v>RQ3.1.P3_ImplementationTechnologies</v>
      </c>
      <c r="C229" s="53" t="str">
        <f>IFERROR(__xludf.DUMMYFUNCTION("SPLIT(B229,""_"",TRUE,TRUE)"),"RQ3.1.P3")</f>
        <v>RQ3.1.P3</v>
      </c>
      <c r="D229" s="221" t="str">
        <f>IFERROR(__xludf.DUMMYFUNCTION("""COMPUTED_VALUE"""),"ImplementationTechnologies")</f>
        <v>ImplementationTechnologies</v>
      </c>
      <c r="E229" s="221"/>
      <c r="F229" s="220"/>
    </row>
    <row r="230">
      <c r="A230" s="224" t="s">
        <v>34370</v>
      </c>
      <c r="B230" s="53" t="str">
        <f>IFERROR(__xludf.DUMMYFUNCTION("TRIM(REGEXREPLACE(A230,""●|\s*Gr=\d+"",""""))"),"RQ3.1.P3_ImplementationTechnologies_CloudPlatform")</f>
        <v>RQ3.1.P3_ImplementationTechnologies_CloudPlatform</v>
      </c>
      <c r="C230" s="53" t="str">
        <f>IFERROR(__xludf.DUMMYFUNCTION("SPLIT(B230,""_"",TRUE,TRUE)"),"RQ3.1.P3")</f>
        <v>RQ3.1.P3</v>
      </c>
      <c r="D230" s="221" t="str">
        <f>IFERROR(__xludf.DUMMYFUNCTION("""COMPUTED_VALUE"""),"ImplementationTechnologies")</f>
        <v>ImplementationTechnologies</v>
      </c>
      <c r="E230" s="221" t="str">
        <f>IFERROR(__xludf.DUMMYFUNCTION("""COMPUTED_VALUE"""),"CloudPlatform")</f>
        <v>CloudPlatform</v>
      </c>
      <c r="F230" s="220">
        <v>3.0</v>
      </c>
    </row>
    <row r="231">
      <c r="A231" s="224" t="s">
        <v>34371</v>
      </c>
      <c r="B231" s="53" t="str">
        <f>IFERROR(__xludf.DUMMYFUNCTION("TRIM(REGEXREPLACE(A231,""●|\s*Gr=\d+"",""""))"),"RQ3.1.P3_ImplementationTechnologies_ContainerRuntime")</f>
        <v>RQ3.1.P3_ImplementationTechnologies_ContainerRuntime</v>
      </c>
      <c r="C231" s="53" t="str">
        <f>IFERROR(__xludf.DUMMYFUNCTION("SPLIT(B231,""_"",TRUE,TRUE)"),"RQ3.1.P3")</f>
        <v>RQ3.1.P3</v>
      </c>
      <c r="D231" s="221" t="str">
        <f>IFERROR(__xludf.DUMMYFUNCTION("""COMPUTED_VALUE"""),"ImplementationTechnologies")</f>
        <v>ImplementationTechnologies</v>
      </c>
      <c r="E231" s="221" t="str">
        <f>IFERROR(__xludf.DUMMYFUNCTION("""COMPUTED_VALUE"""),"ContainerRuntime")</f>
        <v>ContainerRuntime</v>
      </c>
      <c r="F231" s="220">
        <v>15.0</v>
      </c>
    </row>
    <row r="232">
      <c r="A232" s="224" t="s">
        <v>34372</v>
      </c>
      <c r="B232" s="53" t="str">
        <f>IFERROR(__xludf.DUMMYFUNCTION("TRIM(REGEXREPLACE(A232,""●|\s*Gr=\d+"",""""))"),"RQ3.1.P3_ImplementationTechnologies_DataStore")</f>
        <v>RQ3.1.P3_ImplementationTechnologies_DataStore</v>
      </c>
      <c r="C232" s="53" t="str">
        <f>IFERROR(__xludf.DUMMYFUNCTION("SPLIT(B232,""_"",TRUE,TRUE)"),"RQ3.1.P3")</f>
        <v>RQ3.1.P3</v>
      </c>
      <c r="D232" s="221" t="str">
        <f>IFERROR(__xludf.DUMMYFUNCTION("""COMPUTED_VALUE"""),"ImplementationTechnologies")</f>
        <v>ImplementationTechnologies</v>
      </c>
      <c r="E232" s="221" t="str">
        <f>IFERROR(__xludf.DUMMYFUNCTION("""COMPUTED_VALUE"""),"DataStore")</f>
        <v>DataStore</v>
      </c>
      <c r="F232" s="220">
        <v>2.0</v>
      </c>
    </row>
    <row r="233">
      <c r="A233" s="224" t="s">
        <v>34373</v>
      </c>
      <c r="B233" s="53" t="str">
        <f>IFERROR(__xludf.DUMMYFUNCTION("TRIM(REGEXREPLACE(A233,""●|\s*Gr=\d+"",""""))"),"RQ3.1.P3_ImplementationTechnologies_EdgeIoTFramework")</f>
        <v>RQ3.1.P3_ImplementationTechnologies_EdgeIoTFramework</v>
      </c>
      <c r="C233" s="53" t="str">
        <f>IFERROR(__xludf.DUMMYFUNCTION("SPLIT(B233,""_"",TRUE,TRUE)"),"RQ3.1.P3")</f>
        <v>RQ3.1.P3</v>
      </c>
      <c r="D233" s="221" t="str">
        <f>IFERROR(__xludf.DUMMYFUNCTION("""COMPUTED_VALUE"""),"ImplementationTechnologies")</f>
        <v>ImplementationTechnologies</v>
      </c>
      <c r="E233" s="221" t="str">
        <f>IFERROR(__xludf.DUMMYFUNCTION("""COMPUTED_VALUE"""),"EdgeIoTFramework")</f>
        <v>EdgeIoTFramework</v>
      </c>
      <c r="F233" s="220">
        <v>2.0</v>
      </c>
    </row>
    <row r="234">
      <c r="A234" s="224" t="s">
        <v>34374</v>
      </c>
      <c r="B234" s="53" t="str">
        <f>IFERROR(__xludf.DUMMYFUNCTION("TRIM(REGEXREPLACE(A234,""●|\s*Gr=\d+"",""""))"),"RQ3.1.P3_ImplementationTechnologies_HardwarePlatform")</f>
        <v>RQ3.1.P3_ImplementationTechnologies_HardwarePlatform</v>
      </c>
      <c r="C234" s="53" t="str">
        <f>IFERROR(__xludf.DUMMYFUNCTION("SPLIT(B234,""_"",TRUE,TRUE)"),"RQ3.1.P3")</f>
        <v>RQ3.1.P3</v>
      </c>
      <c r="D234" s="221" t="str">
        <f>IFERROR(__xludf.DUMMYFUNCTION("""COMPUTED_VALUE"""),"ImplementationTechnologies")</f>
        <v>ImplementationTechnologies</v>
      </c>
      <c r="E234" s="221" t="str">
        <f>IFERROR(__xludf.DUMMYFUNCTION("""COMPUTED_VALUE"""),"HardwarePlatform")</f>
        <v>HardwarePlatform</v>
      </c>
      <c r="F234" s="220">
        <v>3.0</v>
      </c>
    </row>
    <row r="235">
      <c r="A235" s="224" t="s">
        <v>34375</v>
      </c>
      <c r="B235" s="53" t="str">
        <f>IFERROR(__xludf.DUMMYFUNCTION("TRIM(REGEXREPLACE(A235,""●|\s*Gr=\d+"",""""))"),"RQ3.1.P3_ImplementationTechnologies_MLFramework")</f>
        <v>RQ3.1.P3_ImplementationTechnologies_MLFramework</v>
      </c>
      <c r="C235" s="53" t="str">
        <f>IFERROR(__xludf.DUMMYFUNCTION("SPLIT(B235,""_"",TRUE,TRUE)"),"RQ3.1.P3")</f>
        <v>RQ3.1.P3</v>
      </c>
      <c r="D235" s="221" t="str">
        <f>IFERROR(__xludf.DUMMYFUNCTION("""COMPUTED_VALUE"""),"ImplementationTechnologies")</f>
        <v>ImplementationTechnologies</v>
      </c>
      <c r="E235" s="221" t="str">
        <f>IFERROR(__xludf.DUMMYFUNCTION("""COMPUTED_VALUE"""),"MLFramework")</f>
        <v>MLFramework</v>
      </c>
      <c r="F235" s="220">
        <v>2.0</v>
      </c>
    </row>
    <row r="236">
      <c r="A236" s="224" t="s">
        <v>34376</v>
      </c>
      <c r="B236" s="53" t="str">
        <f>IFERROR(__xludf.DUMMYFUNCTION("TRIM(REGEXREPLACE(A236,""●|\s*Gr=\d+"",""""))"),"RQ3.1.P3_ImplementationTechnologies_NetworkingTech")</f>
        <v>RQ3.1.P3_ImplementationTechnologies_NetworkingTech</v>
      </c>
      <c r="C236" s="53" t="str">
        <f>IFERROR(__xludf.DUMMYFUNCTION("SPLIT(B236,""_"",TRUE,TRUE)"),"RQ3.1.P3")</f>
        <v>RQ3.1.P3</v>
      </c>
      <c r="D236" s="221" t="str">
        <f>IFERROR(__xludf.DUMMYFUNCTION("""COMPUTED_VALUE"""),"ImplementationTechnologies")</f>
        <v>ImplementationTechnologies</v>
      </c>
      <c r="E236" s="221" t="str">
        <f>IFERROR(__xludf.DUMMYFUNCTION("""COMPUTED_VALUE"""),"NetworkingTech")</f>
        <v>NetworkingTech</v>
      </c>
      <c r="F236" s="220">
        <v>3.0</v>
      </c>
    </row>
    <row r="237">
      <c r="A237" s="224" t="s">
        <v>34377</v>
      </c>
      <c r="B237" s="53" t="str">
        <f>IFERROR(__xludf.DUMMYFUNCTION("TRIM(REGEXREPLACE(A237,""●|\s*Gr=\d+"",""""))"),"RQ3.1.P3_ImplementationTechnologies_OptimizationModeling")</f>
        <v>RQ3.1.P3_ImplementationTechnologies_OptimizationModeling</v>
      </c>
      <c r="C237" s="53" t="str">
        <f>IFERROR(__xludf.DUMMYFUNCTION("SPLIT(B237,""_"",TRUE,TRUE)"),"RQ3.1.P3")</f>
        <v>RQ3.1.P3</v>
      </c>
      <c r="D237" s="221" t="str">
        <f>IFERROR(__xludf.DUMMYFUNCTION("""COMPUTED_VALUE"""),"ImplementationTechnologies")</f>
        <v>ImplementationTechnologies</v>
      </c>
      <c r="E237" s="221" t="str">
        <f>IFERROR(__xludf.DUMMYFUNCTION("""COMPUTED_VALUE"""),"OptimizationModeling")</f>
        <v>OptimizationModeling</v>
      </c>
      <c r="F237" s="220">
        <v>1.0</v>
      </c>
    </row>
    <row r="238">
      <c r="A238" s="224" t="s">
        <v>34378</v>
      </c>
      <c r="B238" s="53" t="str">
        <f>IFERROR(__xludf.DUMMYFUNCTION("TRIM(REGEXREPLACE(A238,""●|\s*Gr=\d+"",""""))"),"RQ3.1.P3_ImplementationTechnologies_OrchestrationPlatform")</f>
        <v>RQ3.1.P3_ImplementationTechnologies_OrchestrationPlatform</v>
      </c>
      <c r="C238" s="53" t="str">
        <f>IFERROR(__xludf.DUMMYFUNCTION("SPLIT(B238,""_"",TRUE,TRUE)"),"RQ3.1.P3")</f>
        <v>RQ3.1.P3</v>
      </c>
      <c r="D238" s="221" t="str">
        <f>IFERROR(__xludf.DUMMYFUNCTION("""COMPUTED_VALUE"""),"ImplementationTechnologies")</f>
        <v>ImplementationTechnologies</v>
      </c>
      <c r="E238" s="221" t="str">
        <f>IFERROR(__xludf.DUMMYFUNCTION("""COMPUTED_VALUE"""),"OrchestrationPlatform")</f>
        <v>OrchestrationPlatform</v>
      </c>
      <c r="F238" s="220">
        <v>12.0</v>
      </c>
    </row>
    <row r="239">
      <c r="A239" s="224" t="s">
        <v>34379</v>
      </c>
      <c r="B239" s="53" t="str">
        <f>IFERROR(__xludf.DUMMYFUNCTION("TRIM(REGEXREPLACE(A239,""●|\s*Gr=\d+"",""""))"),"RQ3.1.P3_ImplementationTechnologies_OtherSoftware")</f>
        <v>RQ3.1.P3_ImplementationTechnologies_OtherSoftware</v>
      </c>
      <c r="C239" s="53" t="str">
        <f>IFERROR(__xludf.DUMMYFUNCTION("SPLIT(B239,""_"",TRUE,TRUE)"),"RQ3.1.P3")</f>
        <v>RQ3.1.P3</v>
      </c>
      <c r="D239" s="221" t="str">
        <f>IFERROR(__xludf.DUMMYFUNCTION("""COMPUTED_VALUE"""),"ImplementationTechnologies")</f>
        <v>ImplementationTechnologies</v>
      </c>
      <c r="E239" s="221" t="str">
        <f>IFERROR(__xludf.DUMMYFUNCTION("""COMPUTED_VALUE"""),"OtherSoftware")</f>
        <v>OtherSoftware</v>
      </c>
      <c r="F239" s="220">
        <v>4.0</v>
      </c>
    </row>
    <row r="240">
      <c r="A240" s="224" t="s">
        <v>34380</v>
      </c>
      <c r="B240" s="53" t="str">
        <f>IFERROR(__xludf.DUMMYFUNCTION("TRIM(REGEXREPLACE(A240,""●|\s*Gr=\d+"",""""))"),"RQ3.1.P3_ImplementationTechnologies_ServerlessPlatform")</f>
        <v>RQ3.1.P3_ImplementationTechnologies_ServerlessPlatform</v>
      </c>
      <c r="C240" s="53" t="str">
        <f>IFERROR(__xludf.DUMMYFUNCTION("SPLIT(B240,""_"",TRUE,TRUE)"),"RQ3.1.P3")</f>
        <v>RQ3.1.P3</v>
      </c>
      <c r="D240" s="221" t="str">
        <f>IFERROR(__xludf.DUMMYFUNCTION("""COMPUTED_VALUE"""),"ImplementationTechnologies")</f>
        <v>ImplementationTechnologies</v>
      </c>
      <c r="E240" s="221" t="str">
        <f>IFERROR(__xludf.DUMMYFUNCTION("""COMPUTED_VALUE"""),"ServerlessPlatform")</f>
        <v>ServerlessPlatform</v>
      </c>
      <c r="F240" s="220">
        <v>3.0</v>
      </c>
    </row>
    <row r="241">
      <c r="A241" s="224" t="s">
        <v>34381</v>
      </c>
      <c r="B241" s="53" t="str">
        <f>IFERROR(__xludf.DUMMYFUNCTION("TRIM(REGEXREPLACE(A241,""●|\s*Gr=\d+"",""""))"),"RQ3.1.P3_ImplementationTechnologies_ServiceMesh")</f>
        <v>RQ3.1.P3_ImplementationTechnologies_ServiceMesh</v>
      </c>
      <c r="C241" s="53" t="str">
        <f>IFERROR(__xludf.DUMMYFUNCTION("SPLIT(B241,""_"",TRUE,TRUE)"),"RQ3.1.P3")</f>
        <v>RQ3.1.P3</v>
      </c>
      <c r="D241" s="221" t="str">
        <f>IFERROR(__xludf.DUMMYFUNCTION("""COMPUTED_VALUE"""),"ImplementationTechnologies")</f>
        <v>ImplementationTechnologies</v>
      </c>
      <c r="E241" s="221" t="str">
        <f>IFERROR(__xludf.DUMMYFUNCTION("""COMPUTED_VALUE"""),"ServiceMesh")</f>
        <v>ServiceMesh</v>
      </c>
      <c r="F241" s="220">
        <v>1.0</v>
      </c>
    </row>
    <row r="242">
      <c r="A242" s="224" t="s">
        <v>34382</v>
      </c>
      <c r="B242" s="53" t="str">
        <f>IFERROR(__xludf.DUMMYFUNCTION("TRIM(REGEXREPLACE(A242,""●|\s*Gr=\d+"",""""))"),"RQ3.1.P3_ImplementationTechnologies_Simulator")</f>
        <v>RQ3.1.P3_ImplementationTechnologies_Simulator</v>
      </c>
      <c r="C242" s="53" t="str">
        <f>IFERROR(__xludf.DUMMYFUNCTION("SPLIT(B242,""_"",TRUE,TRUE)"),"RQ3.1.P3")</f>
        <v>RQ3.1.P3</v>
      </c>
      <c r="D242" s="221" t="str">
        <f>IFERROR(__xludf.DUMMYFUNCTION("""COMPUTED_VALUE"""),"ImplementationTechnologies")</f>
        <v>ImplementationTechnologies</v>
      </c>
      <c r="E242" s="221" t="str">
        <f>IFERROR(__xludf.DUMMYFUNCTION("""COMPUTED_VALUE"""),"Simulator")</f>
        <v>Simulator</v>
      </c>
      <c r="F242" s="220">
        <v>5.0</v>
      </c>
    </row>
    <row r="243">
      <c r="A243" s="218"/>
      <c r="B243" s="53"/>
      <c r="C243" s="53"/>
      <c r="D243" s="221"/>
      <c r="E243" s="224" t="s">
        <v>34168</v>
      </c>
      <c r="F243" s="217">
        <f>SUM(F230:F242)</f>
        <v>56</v>
      </c>
    </row>
    <row r="244">
      <c r="A244" s="218" t="s">
        <v>34383</v>
      </c>
      <c r="B244" s="53" t="str">
        <f>IFERROR(__xludf.DUMMYFUNCTION("TRIM(REGEXREPLACE(A244,""●|\s*Gr=\d+"",""""))"),"RQ3.2.P1_QualityAttribute")</f>
        <v>RQ3.2.P1_QualityAttribute</v>
      </c>
      <c r="C244" s="53" t="str">
        <f>IFERROR(__xludf.DUMMYFUNCTION("SPLIT(B244,""_"",TRUE,TRUE)"),"RQ3.2.P1")</f>
        <v>RQ3.2.P1</v>
      </c>
      <c r="D244" s="221" t="str">
        <f>IFERROR(__xludf.DUMMYFUNCTION("""COMPUTED_VALUE"""),"QualityAttribute")</f>
        <v>QualityAttribute</v>
      </c>
      <c r="E244" s="221"/>
      <c r="F244" s="220"/>
    </row>
    <row r="245">
      <c r="A245" s="218" t="s">
        <v>34384</v>
      </c>
      <c r="B245" s="53" t="str">
        <f>IFERROR(__xludf.DUMMYFUNCTION("TRIM(REGEXREPLACE(A245,""●|\s*Gr=\d+"",""""))"),"RQ3.2.P1_QualityAttribute_Consistency")</f>
        <v>RQ3.2.P1_QualityAttribute_Consistency</v>
      </c>
      <c r="C245" s="53" t="str">
        <f>IFERROR(__xludf.DUMMYFUNCTION("SPLIT(B245,""_"",TRUE,TRUE)"),"RQ3.2.P1")</f>
        <v>RQ3.2.P1</v>
      </c>
      <c r="D245" s="221" t="str">
        <f>IFERROR(__xludf.DUMMYFUNCTION("""COMPUTED_VALUE"""),"QualityAttribute")</f>
        <v>QualityAttribute</v>
      </c>
      <c r="E245" s="221" t="str">
        <f>IFERROR(__xludf.DUMMYFUNCTION("""COMPUTED_VALUE"""),"Consistency")</f>
        <v>Consistency</v>
      </c>
      <c r="F245" s="220">
        <v>1.0</v>
      </c>
    </row>
    <row r="246">
      <c r="A246" s="218" t="s">
        <v>34385</v>
      </c>
      <c r="B246" s="53" t="str">
        <f>IFERROR(__xludf.DUMMYFUNCTION("TRIM(REGEXREPLACE(A246,""●|\s*Gr=\d+"",""""))"),"RQ3.2.P1_QualityAttribute_Cost")</f>
        <v>RQ3.2.P1_QualityAttribute_Cost</v>
      </c>
      <c r="C246" s="53" t="str">
        <f>IFERROR(__xludf.DUMMYFUNCTION("SPLIT(B246,""_"",TRUE,TRUE)"),"RQ3.2.P1")</f>
        <v>RQ3.2.P1</v>
      </c>
      <c r="D246" s="221" t="str">
        <f>IFERROR(__xludf.DUMMYFUNCTION("""COMPUTED_VALUE"""),"QualityAttribute")</f>
        <v>QualityAttribute</v>
      </c>
      <c r="E246" s="221" t="str">
        <f>IFERROR(__xludf.DUMMYFUNCTION("""COMPUTED_VALUE"""),"Cost")</f>
        <v>Cost</v>
      </c>
      <c r="F246" s="220">
        <v>3.0</v>
      </c>
    </row>
    <row r="247">
      <c r="A247" s="218" t="s">
        <v>34386</v>
      </c>
      <c r="B247" s="53" t="str">
        <f>IFERROR(__xludf.DUMMYFUNCTION("TRIM(REGEXREPLACE(A247,""●|\s*Gr=\d+"",""""))"),"RQ3.2.P1_QualityAttribute_EnergyEfficiency")</f>
        <v>RQ3.2.P1_QualityAttribute_EnergyEfficiency</v>
      </c>
      <c r="C247" s="53" t="str">
        <f>IFERROR(__xludf.DUMMYFUNCTION("SPLIT(B247,""_"",TRUE,TRUE)"),"RQ3.2.P1")</f>
        <v>RQ3.2.P1</v>
      </c>
      <c r="D247" s="221" t="str">
        <f>IFERROR(__xludf.DUMMYFUNCTION("""COMPUTED_VALUE"""),"QualityAttribute")</f>
        <v>QualityAttribute</v>
      </c>
      <c r="E247" s="221" t="str">
        <f>IFERROR(__xludf.DUMMYFUNCTION("""COMPUTED_VALUE"""),"EnergyEfficiency")</f>
        <v>EnergyEfficiency</v>
      </c>
      <c r="F247" s="220">
        <v>2.0</v>
      </c>
    </row>
    <row r="248">
      <c r="A248" s="218" t="s">
        <v>34387</v>
      </c>
      <c r="B248" s="53" t="str">
        <f>IFERROR(__xludf.DUMMYFUNCTION("TRIM(REGEXREPLACE(A248,""●|\s*Gr=\d+"",""""))"),"RQ3.2.P1_QualityAttribute_OutputQuality")</f>
        <v>RQ3.2.P1_QualityAttribute_OutputQuality</v>
      </c>
      <c r="C248" s="53" t="str">
        <f>IFERROR(__xludf.DUMMYFUNCTION("SPLIT(B248,""_"",TRUE,TRUE)"),"RQ3.2.P1")</f>
        <v>RQ3.2.P1</v>
      </c>
      <c r="D248" s="221" t="str">
        <f>IFERROR(__xludf.DUMMYFUNCTION("""COMPUTED_VALUE"""),"QualityAttribute")</f>
        <v>QualityAttribute</v>
      </c>
      <c r="E248" s="221" t="str">
        <f>IFERROR(__xludf.DUMMYFUNCTION("""COMPUTED_VALUE"""),"OutputQuality")</f>
        <v>OutputQuality</v>
      </c>
      <c r="F248" s="220">
        <v>1.0</v>
      </c>
    </row>
    <row r="249">
      <c r="A249" s="218" t="s">
        <v>34388</v>
      </c>
      <c r="B249" s="53" t="str">
        <f>IFERROR(__xludf.DUMMYFUNCTION("TRIM(REGEXREPLACE(A249,""●|\s*Gr=\d+"",""""))"),"RQ3.2.P1_QualityAttribute_Performance")</f>
        <v>RQ3.2.P1_QualityAttribute_Performance</v>
      </c>
      <c r="C249" s="53" t="str">
        <f>IFERROR(__xludf.DUMMYFUNCTION("SPLIT(B249,""_"",TRUE,TRUE)"),"RQ3.2.P1")</f>
        <v>RQ3.2.P1</v>
      </c>
      <c r="D249" s="221" t="str">
        <f>IFERROR(__xludf.DUMMYFUNCTION("""COMPUTED_VALUE"""),"QualityAttribute")</f>
        <v>QualityAttribute</v>
      </c>
      <c r="E249" s="221" t="str">
        <f>IFERROR(__xludf.DUMMYFUNCTION("""COMPUTED_VALUE"""),"Performance")</f>
        <v>Performance</v>
      </c>
      <c r="F249" s="220">
        <v>31.0</v>
      </c>
    </row>
    <row r="250">
      <c r="A250" s="218" t="s">
        <v>34389</v>
      </c>
      <c r="B250" s="53" t="str">
        <f>IFERROR(__xludf.DUMMYFUNCTION("TRIM(REGEXREPLACE(A250,""●|\s*Gr=\d+"",""""))"),"RQ3.2.P1_QualityAttribute_QoSSLA")</f>
        <v>RQ3.2.P1_QualityAttribute_QoSSLA</v>
      </c>
      <c r="C250" s="53" t="str">
        <f>IFERROR(__xludf.DUMMYFUNCTION("SPLIT(B250,""_"",TRUE,TRUE)"),"RQ3.2.P1")</f>
        <v>RQ3.2.P1</v>
      </c>
      <c r="D250" s="221" t="str">
        <f>IFERROR(__xludf.DUMMYFUNCTION("""COMPUTED_VALUE"""),"QualityAttribute")</f>
        <v>QualityAttribute</v>
      </c>
      <c r="E250" s="221" t="str">
        <f>IFERROR(__xludf.DUMMYFUNCTION("""COMPUTED_VALUE"""),"QoSSLA")</f>
        <v>QoSSLA</v>
      </c>
      <c r="F250" s="220">
        <v>10.0</v>
      </c>
    </row>
    <row r="251">
      <c r="A251" s="218" t="s">
        <v>34390</v>
      </c>
      <c r="B251" s="53" t="str">
        <f>IFERROR(__xludf.DUMMYFUNCTION("TRIM(REGEXREPLACE(A251,""●|\s*Gr=\d+"",""""))"),"RQ3.2.P1_QualityAttribute_ReliabilityAvailability")</f>
        <v>RQ3.2.P1_QualityAttribute_ReliabilityAvailability</v>
      </c>
      <c r="C251" s="53" t="str">
        <f>IFERROR(__xludf.DUMMYFUNCTION("SPLIT(B251,""_"",TRUE,TRUE)"),"RQ3.2.P1")</f>
        <v>RQ3.2.P1</v>
      </c>
      <c r="D251" s="221" t="str">
        <f>IFERROR(__xludf.DUMMYFUNCTION("""COMPUTED_VALUE"""),"QualityAttribute")</f>
        <v>QualityAttribute</v>
      </c>
      <c r="E251" s="221" t="str">
        <f>IFERROR(__xludf.DUMMYFUNCTION("""COMPUTED_VALUE"""),"ReliabilityAvailability")</f>
        <v>ReliabilityAvailability</v>
      </c>
      <c r="F251" s="220">
        <v>5.0</v>
      </c>
    </row>
    <row r="252">
      <c r="A252" s="218" t="s">
        <v>34391</v>
      </c>
      <c r="B252" s="53" t="str">
        <f>IFERROR(__xludf.DUMMYFUNCTION("TRIM(REGEXREPLACE(A252,""●|\s*Gr=\d+"",""""))"),"RQ3.2.P1_QualityAttribute_ResourceUtilization")</f>
        <v>RQ3.2.P1_QualityAttribute_ResourceUtilization</v>
      </c>
      <c r="C252" s="53" t="str">
        <f>IFERROR(__xludf.DUMMYFUNCTION("SPLIT(B252,""_"",TRUE,TRUE)"),"RQ3.2.P1")</f>
        <v>RQ3.2.P1</v>
      </c>
      <c r="D252" s="221" t="str">
        <f>IFERROR(__xludf.DUMMYFUNCTION("""COMPUTED_VALUE"""),"QualityAttribute")</f>
        <v>QualityAttribute</v>
      </c>
      <c r="E252" s="221" t="str">
        <f>IFERROR(__xludf.DUMMYFUNCTION("""COMPUTED_VALUE"""),"ResourceUtilization")</f>
        <v>ResourceUtilization</v>
      </c>
      <c r="F252" s="220">
        <v>3.0</v>
      </c>
    </row>
    <row r="253">
      <c r="A253" s="218" t="s">
        <v>34392</v>
      </c>
      <c r="B253" s="53" t="str">
        <f>IFERROR(__xludf.DUMMYFUNCTION("TRIM(REGEXREPLACE(A253,""●|\s*Gr=\d+"",""""))"),"RQ3.2.P1_QualityAttribute_Scalability")</f>
        <v>RQ3.2.P1_QualityAttribute_Scalability</v>
      </c>
      <c r="C253" s="53" t="str">
        <f>IFERROR(__xludf.DUMMYFUNCTION("SPLIT(B253,""_"",TRUE,TRUE)"),"RQ3.2.P1")</f>
        <v>RQ3.2.P1</v>
      </c>
      <c r="D253" s="221" t="str">
        <f>IFERROR(__xludf.DUMMYFUNCTION("""COMPUTED_VALUE"""),"QualityAttribute")</f>
        <v>QualityAttribute</v>
      </c>
      <c r="E253" s="221" t="str">
        <f>IFERROR(__xludf.DUMMYFUNCTION("""COMPUTED_VALUE"""),"Scalability")</f>
        <v>Scalability</v>
      </c>
      <c r="F253" s="220">
        <v>1.0</v>
      </c>
    </row>
    <row r="254">
      <c r="A254" s="218" t="s">
        <v>34393</v>
      </c>
      <c r="B254" s="53" t="str">
        <f>IFERROR(__xludf.DUMMYFUNCTION("TRIM(REGEXREPLACE(A254,""●|\s*Gr=\d+"",""""))"),"RQ3.2.P1_QualityAttribute_Security")</f>
        <v>RQ3.2.P1_QualityAttribute_Security</v>
      </c>
      <c r="C254" s="53" t="str">
        <f>IFERROR(__xludf.DUMMYFUNCTION("SPLIT(B254,""_"",TRUE,TRUE)"),"RQ3.2.P1")</f>
        <v>RQ3.2.P1</v>
      </c>
      <c r="D254" s="221" t="str">
        <f>IFERROR(__xludf.DUMMYFUNCTION("""COMPUTED_VALUE"""),"QualityAttribute")</f>
        <v>QualityAttribute</v>
      </c>
      <c r="E254" s="221" t="str">
        <f>IFERROR(__xludf.DUMMYFUNCTION("""COMPUTED_VALUE"""),"Security")</f>
        <v>Security</v>
      </c>
      <c r="F254" s="220">
        <v>1.0</v>
      </c>
    </row>
    <row r="255">
      <c r="A255" s="218" t="s">
        <v>34394</v>
      </c>
      <c r="B255" s="53" t="str">
        <f>IFERROR(__xludf.DUMMYFUNCTION("TRIM(REGEXREPLACE(A255,""●|\s*Gr=\d+"",""""))"),"RQ3.2.P1_QualityAttribute_Sustainability")</f>
        <v>RQ3.2.P1_QualityAttribute_Sustainability</v>
      </c>
      <c r="C255" s="53" t="str">
        <f>IFERROR(__xludf.DUMMYFUNCTION("SPLIT(B255,""_"",TRUE,TRUE)"),"RQ3.2.P1")</f>
        <v>RQ3.2.P1</v>
      </c>
      <c r="D255" s="221" t="str">
        <f>IFERROR(__xludf.DUMMYFUNCTION("""COMPUTED_VALUE"""),"QualityAttribute")</f>
        <v>QualityAttribute</v>
      </c>
      <c r="E255" s="221" t="str">
        <f>IFERROR(__xludf.DUMMYFUNCTION("""COMPUTED_VALUE"""),"Sustainability")</f>
        <v>Sustainability</v>
      </c>
      <c r="F255" s="220">
        <v>2.0</v>
      </c>
    </row>
    <row r="256">
      <c r="A256" s="218" t="s">
        <v>34395</v>
      </c>
      <c r="B256" s="53" t="str">
        <f>IFERROR(__xludf.DUMMYFUNCTION("TRIM(REGEXREPLACE(A256,""●|\s*Gr=\d+"",""""))"),"RQ3.2.P1_QualityAttribute_UserExperience")</f>
        <v>RQ3.2.P1_QualityAttribute_UserExperience</v>
      </c>
      <c r="C256" s="53" t="str">
        <f>IFERROR(__xludf.DUMMYFUNCTION("SPLIT(B256,""_"",TRUE,TRUE)"),"RQ3.2.P1")</f>
        <v>RQ3.2.P1</v>
      </c>
      <c r="D256" s="221" t="str">
        <f>IFERROR(__xludf.DUMMYFUNCTION("""COMPUTED_VALUE"""),"QualityAttribute")</f>
        <v>QualityAttribute</v>
      </c>
      <c r="E256" s="221" t="str">
        <f>IFERROR(__xludf.DUMMYFUNCTION("""COMPUTED_VALUE"""),"UserExperience")</f>
        <v>UserExperience</v>
      </c>
      <c r="F256" s="220">
        <v>2.0</v>
      </c>
    </row>
    <row r="257">
      <c r="A257" s="229"/>
      <c r="B257" s="53"/>
      <c r="C257" s="53"/>
      <c r="D257" s="221"/>
      <c r="E257" s="224" t="s">
        <v>34168</v>
      </c>
      <c r="F257" s="217">
        <f>SUM(F245:F256)</f>
        <v>62</v>
      </c>
    </row>
    <row r="258">
      <c r="A258" s="229" t="s">
        <v>34396</v>
      </c>
      <c r="B258" s="53" t="str">
        <f>IFERROR(__xludf.DUMMYFUNCTION("TRIM(REGEXREPLACE(A258,""●|\s*Gr=\d+"",""""))"),"RQ3.2.P2_TradeOffRelationship")</f>
        <v>RQ3.2.P2_TradeOffRelationship</v>
      </c>
      <c r="C258" s="53" t="str">
        <f>IFERROR(__xludf.DUMMYFUNCTION("SPLIT(B258,""_"",TRUE,TRUE)"),"RQ3.2.P2")</f>
        <v>RQ3.2.P2</v>
      </c>
      <c r="D258" s="221" t="str">
        <f>IFERROR(__xludf.DUMMYFUNCTION("""COMPUTED_VALUE"""),"TradeOffRelationship")</f>
        <v>TradeOffRelationship</v>
      </c>
      <c r="E258" s="221"/>
      <c r="F258" s="220"/>
    </row>
    <row r="259">
      <c r="A259" s="229" t="s">
        <v>34397</v>
      </c>
      <c r="B259" s="53" t="str">
        <f>IFERROR(__xludf.DUMMYFUNCTION("TRIM(REGEXREPLACE(A259,""●|\s*Gr=\d+"",""""))"),"RQ3.2.P2_TradeOffRelationship_Balancing")</f>
        <v>RQ3.2.P2_TradeOffRelationship_Balancing</v>
      </c>
      <c r="C259" s="53" t="str">
        <f>IFERROR(__xludf.DUMMYFUNCTION("SPLIT(B259,""_"",TRUE,TRUE)"),"RQ3.2.P2")</f>
        <v>RQ3.2.P2</v>
      </c>
      <c r="D259" s="221" t="str">
        <f>IFERROR(__xludf.DUMMYFUNCTION("""COMPUTED_VALUE"""),"TradeOffRelationship")</f>
        <v>TradeOffRelationship</v>
      </c>
      <c r="E259" s="221" t="str">
        <f>IFERROR(__xludf.DUMMYFUNCTION("""COMPUTED_VALUE"""),"Balancing")</f>
        <v>Balancing</v>
      </c>
      <c r="F259" s="220">
        <v>21.0</v>
      </c>
    </row>
    <row r="260">
      <c r="A260" s="229" t="s">
        <v>34398</v>
      </c>
      <c r="B260" s="53" t="str">
        <f>IFERROR(__xludf.DUMMYFUNCTION("TRIM(REGEXREPLACE(A260,""●|\s*Gr=\d+"",""""))"),"RQ3.2.P2_TradeOffRelationship_Degrading")</f>
        <v>RQ3.2.P2_TradeOffRelationship_Degrading</v>
      </c>
      <c r="C260" s="53" t="str">
        <f>IFERROR(__xludf.DUMMYFUNCTION("SPLIT(B260,""_"",TRUE,TRUE)"),"RQ3.2.P2")</f>
        <v>RQ3.2.P2</v>
      </c>
      <c r="D260" s="221" t="str">
        <f>IFERROR(__xludf.DUMMYFUNCTION("""COMPUTED_VALUE"""),"TradeOffRelationship")</f>
        <v>TradeOffRelationship</v>
      </c>
      <c r="E260" s="221" t="str">
        <f>IFERROR(__xludf.DUMMYFUNCTION("""COMPUTED_VALUE"""),"Degrading")</f>
        <v>Degrading</v>
      </c>
      <c r="F260" s="220">
        <v>13.0</v>
      </c>
    </row>
    <row r="261">
      <c r="A261" s="229" t="s">
        <v>34399</v>
      </c>
      <c r="B261" s="53" t="str">
        <f>IFERROR(__xludf.DUMMYFUNCTION("TRIM(REGEXREPLACE(A261,""●|\s*Gr=\d+"",""""))"),"RQ3.2.P2_TradeOffRelationship_ExplicitTradeOff")</f>
        <v>RQ3.2.P2_TradeOffRelationship_ExplicitTradeOff</v>
      </c>
      <c r="C261" s="53" t="str">
        <f>IFERROR(__xludf.DUMMYFUNCTION("SPLIT(B261,""_"",TRUE,TRUE)"),"RQ3.2.P2")</f>
        <v>RQ3.2.P2</v>
      </c>
      <c r="D261" s="221" t="str">
        <f>IFERROR(__xludf.DUMMYFUNCTION("""COMPUTED_VALUE"""),"TradeOffRelationship")</f>
        <v>TradeOffRelationship</v>
      </c>
      <c r="E261" s="221" t="str">
        <f>IFERROR(__xludf.DUMMYFUNCTION("""COMPUTED_VALUE"""),"ExplicitTradeOff")</f>
        <v>ExplicitTradeOff</v>
      </c>
      <c r="F261" s="220">
        <v>1.0</v>
      </c>
    </row>
    <row r="262">
      <c r="A262" s="229" t="s">
        <v>34400</v>
      </c>
      <c r="B262" s="53" t="str">
        <f>IFERROR(__xludf.DUMMYFUNCTION("TRIM(REGEXREPLACE(A262,""●|\s*Gr=\d+"",""""))"),"RQ3.2.P2_TradeOffRelationship_Improving")</f>
        <v>RQ3.2.P2_TradeOffRelationship_Improving</v>
      </c>
      <c r="C262" s="53" t="str">
        <f>IFERROR(__xludf.DUMMYFUNCTION("SPLIT(B262,""_"",TRUE,TRUE)"),"RQ3.2.P2")</f>
        <v>RQ3.2.P2</v>
      </c>
      <c r="D262" s="221" t="str">
        <f>IFERROR(__xludf.DUMMYFUNCTION("""COMPUTED_VALUE"""),"TradeOffRelationship")</f>
        <v>TradeOffRelationship</v>
      </c>
      <c r="E262" s="221" t="str">
        <f>IFERROR(__xludf.DUMMYFUNCTION("""COMPUTED_VALUE"""),"Improving")</f>
        <v>Improving</v>
      </c>
      <c r="F262" s="220">
        <v>2.0</v>
      </c>
    </row>
    <row r="263">
      <c r="A263" s="229" t="s">
        <v>34401</v>
      </c>
      <c r="B263" s="53" t="str">
        <f>IFERROR(__xludf.DUMMYFUNCTION("TRIM(REGEXREPLACE(A263,""●|\s*Gr=\d+"",""""))"),"RQ3.2.P2_TradeOffRelationship_Inverse")</f>
        <v>RQ3.2.P2_TradeOffRelationship_Inverse</v>
      </c>
      <c r="C263" s="53" t="str">
        <f>IFERROR(__xludf.DUMMYFUNCTION("SPLIT(B263,""_"",TRUE,TRUE)"),"RQ3.2.P2")</f>
        <v>RQ3.2.P2</v>
      </c>
      <c r="D263" s="221" t="str">
        <f>IFERROR(__xludf.DUMMYFUNCTION("""COMPUTED_VALUE"""),"TradeOffRelationship")</f>
        <v>TradeOffRelationship</v>
      </c>
      <c r="E263" s="221" t="str">
        <f>IFERROR(__xludf.DUMMYFUNCTION("""COMPUTED_VALUE"""),"Inverse")</f>
        <v>Inverse</v>
      </c>
      <c r="F263" s="220">
        <v>2.0</v>
      </c>
    </row>
    <row r="264">
      <c r="A264" s="229" t="s">
        <v>34402</v>
      </c>
      <c r="B264" s="53" t="str">
        <f>IFERROR(__xludf.DUMMYFUNCTION("TRIM(REGEXREPLACE(A264,""●|\s*Gr=\d+"",""""))"),"RQ3.2.P2_TradeOffRelationship_Reversing")</f>
        <v>RQ3.2.P2_TradeOffRelationship_Reversing</v>
      </c>
      <c r="C264" s="53" t="str">
        <f>IFERROR(__xludf.DUMMYFUNCTION("SPLIT(B264,""_"",TRUE,TRUE)"),"RQ3.2.P2")</f>
        <v>RQ3.2.P2</v>
      </c>
      <c r="D264" s="221" t="str">
        <f>IFERROR(__xludf.DUMMYFUNCTION("""COMPUTED_VALUE"""),"TradeOffRelationship")</f>
        <v>TradeOffRelationship</v>
      </c>
      <c r="E264" s="221" t="str">
        <f>IFERROR(__xludf.DUMMYFUNCTION("""COMPUTED_VALUE"""),"Reversing")</f>
        <v>Reversing</v>
      </c>
      <c r="F264" s="220">
        <v>1.0</v>
      </c>
    </row>
    <row r="265">
      <c r="A265" s="228"/>
      <c r="B265" s="53"/>
      <c r="C265" s="53"/>
      <c r="D265" s="221"/>
      <c r="E265" s="224" t="s">
        <v>34168</v>
      </c>
      <c r="F265" s="217">
        <f>SUM(F259:F264)</f>
        <v>40</v>
      </c>
    </row>
    <row r="266">
      <c r="A266" s="223" t="s">
        <v>34403</v>
      </c>
      <c r="B266" s="53" t="str">
        <f>IFERROR(__xludf.DUMMYFUNCTION("TRIM(REGEXREPLACE(A266,""●|\s*Gr=\d+"",""""))"),"RQ3.2.P3_TradeOffStrategy")</f>
        <v>RQ3.2.P3_TradeOffStrategy</v>
      </c>
      <c r="C266" s="53" t="str">
        <f>IFERROR(__xludf.DUMMYFUNCTION("SPLIT(B266,""_"",TRUE,TRUE)"),"RQ3.2.P3")</f>
        <v>RQ3.2.P3</v>
      </c>
      <c r="D266" s="221" t="str">
        <f>IFERROR(__xludf.DUMMYFUNCTION("""COMPUTED_VALUE"""),"TradeOffStrategy")</f>
        <v>TradeOffStrategy</v>
      </c>
      <c r="E266" s="221"/>
      <c r="F266" s="220"/>
    </row>
    <row r="267">
      <c r="A267" s="223" t="s">
        <v>34404</v>
      </c>
      <c r="B267" s="53" t="str">
        <f>IFERROR(__xludf.DUMMYFUNCTION("TRIM(REGEXREPLACE(A267,""●|\s*Gr=\d+"",""""))"),"RQ3.2.P3_TradeOffStrategy_AdaptivePolicy")</f>
        <v>RQ3.2.P3_TradeOffStrategy_AdaptivePolicy</v>
      </c>
      <c r="C267" s="53" t="str">
        <f>IFERROR(__xludf.DUMMYFUNCTION("SPLIT(B267,""_"",TRUE,TRUE)"),"RQ3.2.P3")</f>
        <v>RQ3.2.P3</v>
      </c>
      <c r="D267" s="221" t="str">
        <f>IFERROR(__xludf.DUMMYFUNCTION("""COMPUTED_VALUE"""),"TradeOffStrategy")</f>
        <v>TradeOffStrategy</v>
      </c>
      <c r="E267" s="221" t="str">
        <f>IFERROR(__xludf.DUMMYFUNCTION("""COMPUTED_VALUE"""),"AdaptivePolicy")</f>
        <v>AdaptivePolicy</v>
      </c>
      <c r="F267" s="220">
        <v>10.0</v>
      </c>
    </row>
    <row r="268">
      <c r="A268" s="223" t="s">
        <v>34405</v>
      </c>
      <c r="B268" s="53" t="str">
        <f>IFERROR(__xludf.DUMMYFUNCTION("TRIM(REGEXREPLACE(A268,""●|\s*Gr=\d+"",""""))"),"RQ3.2.P3_TradeOffStrategy_AutoscalingQoSControl")</f>
        <v>RQ3.2.P3_TradeOffStrategy_AutoscalingQoSControl</v>
      </c>
      <c r="C268" s="53" t="str">
        <f>IFERROR(__xludf.DUMMYFUNCTION("SPLIT(B268,""_"",TRUE,TRUE)"),"RQ3.2.P3")</f>
        <v>RQ3.2.P3</v>
      </c>
      <c r="D268" s="221" t="str">
        <f>IFERROR(__xludf.DUMMYFUNCTION("""COMPUTED_VALUE"""),"TradeOffStrategy")</f>
        <v>TradeOffStrategy</v>
      </c>
      <c r="E268" s="221" t="str">
        <f>IFERROR(__xludf.DUMMYFUNCTION("""COMPUTED_VALUE"""),"AutoscalingQoSControl")</f>
        <v>AutoscalingQoSControl</v>
      </c>
      <c r="F268" s="220">
        <v>6.0</v>
      </c>
    </row>
    <row r="269">
      <c r="A269" s="223" t="s">
        <v>34406</v>
      </c>
      <c r="B269" s="53" t="str">
        <f>IFERROR(__xludf.DUMMYFUNCTION("TRIM(REGEXREPLACE(A269,""●|\s*Gr=\d+"",""""))"),"RQ3.2.P3_TradeOffStrategy_BrownoutOptionality")</f>
        <v>RQ3.2.P3_TradeOffStrategy_BrownoutOptionality</v>
      </c>
      <c r="C269" s="53" t="str">
        <f>IFERROR(__xludf.DUMMYFUNCTION("SPLIT(B269,""_"",TRUE,TRUE)"),"RQ3.2.P3")</f>
        <v>RQ3.2.P3</v>
      </c>
      <c r="D269" s="221" t="str">
        <f>IFERROR(__xludf.DUMMYFUNCTION("""COMPUTED_VALUE"""),"TradeOffStrategy")</f>
        <v>TradeOffStrategy</v>
      </c>
      <c r="E269" s="221" t="str">
        <f>IFERROR(__xludf.DUMMYFUNCTION("""COMPUTED_VALUE"""),"BrownoutOptionality")</f>
        <v>BrownoutOptionality</v>
      </c>
      <c r="F269" s="220">
        <v>2.0</v>
      </c>
    </row>
    <row r="270">
      <c r="A270" s="223" t="s">
        <v>34407</v>
      </c>
      <c r="B270" s="53" t="str">
        <f>IFERROR(__xludf.DUMMYFUNCTION("TRIM(REGEXREPLACE(A270,""●|\s*Gr=\d+"",""""))"),"RQ3.2.P3_TradeOffStrategy_ColdStartMitigation")</f>
        <v>RQ3.2.P3_TradeOffStrategy_ColdStartMitigation</v>
      </c>
      <c r="C270" s="53" t="str">
        <f>IFERROR(__xludf.DUMMYFUNCTION("SPLIT(B270,""_"",TRUE,TRUE)"),"RQ3.2.P3")</f>
        <v>RQ3.2.P3</v>
      </c>
      <c r="D270" s="221" t="str">
        <f>IFERROR(__xludf.DUMMYFUNCTION("""COMPUTED_VALUE"""),"TradeOffStrategy")</f>
        <v>TradeOffStrategy</v>
      </c>
      <c r="E270" s="221" t="str">
        <f>IFERROR(__xludf.DUMMYFUNCTION("""COMPUTED_VALUE"""),"ColdStartMitigation")</f>
        <v>ColdStartMitigation</v>
      </c>
      <c r="F270" s="220">
        <v>3.0</v>
      </c>
    </row>
    <row r="271">
      <c r="A271" s="223" t="s">
        <v>34408</v>
      </c>
      <c r="B271" s="53" t="str">
        <f>IFERROR(__xludf.DUMMYFUNCTION("TRIM(REGEXREPLACE(A271,""●|\s*Gr=\d+"",""""))"),"RQ3.2.P3_TradeOffStrategy_HardwareAcceleration")</f>
        <v>RQ3.2.P3_TradeOffStrategy_HardwareAcceleration</v>
      </c>
      <c r="C271" s="53" t="str">
        <f>IFERROR(__xludf.DUMMYFUNCTION("SPLIT(B271,""_"",TRUE,TRUE)"),"RQ3.2.P3")</f>
        <v>RQ3.2.P3</v>
      </c>
      <c r="D271" s="221" t="str">
        <f>IFERROR(__xludf.DUMMYFUNCTION("""COMPUTED_VALUE"""),"TradeOffStrategy")</f>
        <v>TradeOffStrategy</v>
      </c>
      <c r="E271" s="221" t="str">
        <f>IFERROR(__xludf.DUMMYFUNCTION("""COMPUTED_VALUE"""),"HardwareAcceleration")</f>
        <v>HardwareAcceleration</v>
      </c>
      <c r="F271" s="220">
        <v>2.0</v>
      </c>
    </row>
    <row r="272">
      <c r="A272" s="223" t="s">
        <v>34409</v>
      </c>
      <c r="B272" s="53" t="str">
        <f>IFERROR(__xludf.DUMMYFUNCTION("TRIM(REGEXREPLACE(A272,""●|\s*Gr=\d+"",""""))"),"RQ3.2.P3_TradeOffStrategy_MigrationDuplication")</f>
        <v>RQ3.2.P3_TradeOffStrategy_MigrationDuplication</v>
      </c>
      <c r="C272" s="53" t="str">
        <f>IFERROR(__xludf.DUMMYFUNCTION("SPLIT(B272,""_"",TRUE,TRUE)"),"RQ3.2.P3")</f>
        <v>RQ3.2.P3</v>
      </c>
      <c r="D272" s="221" t="str">
        <f>IFERROR(__xludf.DUMMYFUNCTION("""COMPUTED_VALUE"""),"TradeOffStrategy")</f>
        <v>TradeOffStrategy</v>
      </c>
      <c r="E272" s="221" t="str">
        <f>IFERROR(__xludf.DUMMYFUNCTION("""COMPUTED_VALUE"""),"MigrationDuplication")</f>
        <v>MigrationDuplication</v>
      </c>
      <c r="F272" s="220">
        <v>1.0</v>
      </c>
    </row>
    <row r="273">
      <c r="A273" s="223" t="s">
        <v>34410</v>
      </c>
      <c r="B273" s="53" t="str">
        <f>IFERROR(__xludf.DUMMYFUNCTION("TRIM(REGEXREPLACE(A273,""●|\s*Gr=\d+"",""""))"),"RQ3.2.P3_TradeOffStrategy_OptimizationMultiObjective")</f>
        <v>RQ3.2.P3_TradeOffStrategy_OptimizationMultiObjective</v>
      </c>
      <c r="C273" s="53" t="str">
        <f>IFERROR(__xludf.DUMMYFUNCTION("SPLIT(B273,""_"",TRUE,TRUE)"),"RQ3.2.P3")</f>
        <v>RQ3.2.P3</v>
      </c>
      <c r="D273" s="221" t="str">
        <f>IFERROR(__xludf.DUMMYFUNCTION("""COMPUTED_VALUE"""),"TradeOffStrategy")</f>
        <v>TradeOffStrategy</v>
      </c>
      <c r="E273" s="221" t="str">
        <f>IFERROR(__xludf.DUMMYFUNCTION("""COMPUTED_VALUE"""),"OptimizationMultiObjective")</f>
        <v>OptimizationMultiObjective</v>
      </c>
      <c r="F273" s="220">
        <v>3.0</v>
      </c>
    </row>
    <row r="274">
      <c r="A274" s="223" t="s">
        <v>34411</v>
      </c>
      <c r="B274" s="53" t="str">
        <f>IFERROR(__xludf.DUMMYFUNCTION("TRIM(REGEXREPLACE(A274,""●|\s*Gr=\d+"",""""))"),"RQ3.2.P3_TradeOffStrategy_PlacementColocationCaching")</f>
        <v>RQ3.2.P3_TradeOffStrategy_PlacementColocationCaching</v>
      </c>
      <c r="C274" s="53" t="str">
        <f>IFERROR(__xludf.DUMMYFUNCTION("SPLIT(B274,""_"",TRUE,TRUE)"),"RQ3.2.P3")</f>
        <v>RQ3.2.P3</v>
      </c>
      <c r="D274" s="221" t="str">
        <f>IFERROR(__xludf.DUMMYFUNCTION("""COMPUTED_VALUE"""),"TradeOffStrategy")</f>
        <v>TradeOffStrategy</v>
      </c>
      <c r="E274" s="221" t="str">
        <f>IFERROR(__xludf.DUMMYFUNCTION("""COMPUTED_VALUE"""),"PlacementColocationCaching")</f>
        <v>PlacementColocationCaching</v>
      </c>
      <c r="F274" s="220">
        <v>3.0</v>
      </c>
    </row>
    <row r="275">
      <c r="A275" s="223" t="s">
        <v>34412</v>
      </c>
      <c r="B275" s="53" t="str">
        <f>IFERROR(__xludf.DUMMYFUNCTION("TRIM(REGEXREPLACE(A275,""●|\s*Gr=\d+"",""""))"),"RQ3.2.P3_TradeOffStrategy_ReconfigurationRedistribution")</f>
        <v>RQ3.2.P3_TradeOffStrategy_ReconfigurationRedistribution</v>
      </c>
      <c r="C275" s="53" t="str">
        <f>IFERROR(__xludf.DUMMYFUNCTION("SPLIT(B275,""_"",TRUE,TRUE)"),"RQ3.2.P3")</f>
        <v>RQ3.2.P3</v>
      </c>
      <c r="D275" s="221" t="str">
        <f>IFERROR(__xludf.DUMMYFUNCTION("""COMPUTED_VALUE"""),"TradeOffStrategy")</f>
        <v>TradeOffStrategy</v>
      </c>
      <c r="E275" s="221" t="str">
        <f>IFERROR(__xludf.DUMMYFUNCTION("""COMPUTED_VALUE"""),"ReconfigurationRedistribution")</f>
        <v>ReconfigurationRedistribution</v>
      </c>
      <c r="F275" s="220">
        <v>3.0</v>
      </c>
    </row>
    <row r="276">
      <c r="A276" s="223" t="s">
        <v>34413</v>
      </c>
      <c r="B276" s="53" t="str">
        <f>IFERROR(__xludf.DUMMYFUNCTION("TRIM(REGEXREPLACE(A276,""●|\s*Gr=\d+"",""""))"),"RQ3.2.P3_TradeOffStrategy_ReplicationScaling")</f>
        <v>RQ3.2.P3_TradeOffStrategy_ReplicationScaling</v>
      </c>
      <c r="C276" s="53" t="str">
        <f>IFERROR(__xludf.DUMMYFUNCTION("SPLIT(B276,""_"",TRUE,TRUE)"),"RQ3.2.P3")</f>
        <v>RQ3.2.P3</v>
      </c>
      <c r="D276" s="221" t="str">
        <f>IFERROR(__xludf.DUMMYFUNCTION("""COMPUTED_VALUE"""),"TradeOffStrategy")</f>
        <v>TradeOffStrategy</v>
      </c>
      <c r="E276" s="221" t="str">
        <f>IFERROR(__xludf.DUMMYFUNCTION("""COMPUTED_VALUE"""),"ReplicationScaling")</f>
        <v>ReplicationScaling</v>
      </c>
      <c r="F276" s="220">
        <v>1.0</v>
      </c>
    </row>
    <row r="277">
      <c r="A277" s="223" t="s">
        <v>34414</v>
      </c>
      <c r="B277" s="53" t="str">
        <f>IFERROR(__xludf.DUMMYFUNCTION("TRIM(REGEXREPLACE(A277,""●|\s*Gr=\d+"",""""))"),"RQ3.2.P3_TradeOffStrategy_RLBasedControl")</f>
        <v>RQ3.2.P3_TradeOffStrategy_RLBasedControl</v>
      </c>
      <c r="C277" s="53" t="str">
        <f>IFERROR(__xludf.DUMMYFUNCTION("SPLIT(B277,""_"",TRUE,TRUE)"),"RQ3.2.P3")</f>
        <v>RQ3.2.P3</v>
      </c>
      <c r="D277" s="221" t="str">
        <f>IFERROR(__xludf.DUMMYFUNCTION("""COMPUTED_VALUE"""),"TradeOffStrategy")</f>
        <v>TradeOffStrategy</v>
      </c>
      <c r="E277" s="221" t="str">
        <f>IFERROR(__xludf.DUMMYFUNCTION("""COMPUTED_VALUE"""),"RLBasedControl")</f>
        <v>RLBasedControl</v>
      </c>
      <c r="F277" s="220">
        <v>1.0</v>
      </c>
    </row>
    <row r="278">
      <c r="A278" s="223" t="s">
        <v>34415</v>
      </c>
      <c r="B278" s="53" t="str">
        <f>IFERROR(__xludf.DUMMYFUNCTION("TRIM(REGEXREPLACE(A278,""●|\s*Gr=\d+"",""""))"),"RQ3.2.P3_TradeOffStrategy_Scheduling")</f>
        <v>RQ3.2.P3_TradeOffStrategy_Scheduling</v>
      </c>
      <c r="C278" s="53" t="str">
        <f>IFERROR(__xludf.DUMMYFUNCTION("SPLIT(B278,""_"",TRUE,TRUE)"),"RQ3.2.P3")</f>
        <v>RQ3.2.P3</v>
      </c>
      <c r="D278" s="221" t="str">
        <f>IFERROR(__xludf.DUMMYFUNCTION("""COMPUTED_VALUE"""),"TradeOffStrategy")</f>
        <v>TradeOffStrategy</v>
      </c>
      <c r="E278" s="221" t="str">
        <f>IFERROR(__xludf.DUMMYFUNCTION("""COMPUTED_VALUE"""),"Scheduling")</f>
        <v>Scheduling</v>
      </c>
      <c r="F278" s="220">
        <v>11.0</v>
      </c>
    </row>
    <row r="279">
      <c r="A279" s="223" t="s">
        <v>34416</v>
      </c>
      <c r="B279" s="53" t="str">
        <f>IFERROR(__xludf.DUMMYFUNCTION("TRIM(REGEXREPLACE(A279,""●|\s*Gr=\d+"",""""))"),"RQ3.2.P3_TradeOffStrategy_Tuning")</f>
        <v>RQ3.2.P3_TradeOffStrategy_Tuning</v>
      </c>
      <c r="C279" s="53" t="str">
        <f>IFERROR(__xludf.DUMMYFUNCTION("SPLIT(B279,""_"",TRUE,TRUE)"),"RQ3.2.P3")</f>
        <v>RQ3.2.P3</v>
      </c>
      <c r="D279" s="221" t="str">
        <f>IFERROR(__xludf.DUMMYFUNCTION("""COMPUTED_VALUE"""),"TradeOffStrategy")</f>
        <v>TradeOffStrategy</v>
      </c>
      <c r="E279" s="221" t="str">
        <f>IFERROR(__xludf.DUMMYFUNCTION("""COMPUTED_VALUE"""),"Tuning")</f>
        <v>Tuning</v>
      </c>
      <c r="F279" s="220">
        <v>2.0</v>
      </c>
    </row>
    <row r="280">
      <c r="A280" s="233"/>
      <c r="B280" s="53"/>
      <c r="C280" s="53"/>
      <c r="D280" s="221"/>
      <c r="E280" s="224" t="s">
        <v>34168</v>
      </c>
      <c r="F280" s="217">
        <f>SUM(F267:F279)</f>
        <v>48</v>
      </c>
    </row>
    <row r="281">
      <c r="A281" s="233" t="s">
        <v>34417</v>
      </c>
      <c r="B281" s="53" t="str">
        <f>IFERROR(__xludf.DUMMYFUNCTION("TRIM(REGEXREPLACE(A281,""●|\s*Gr=\d+"",""""))"),"RQ3.3.P1_ChallengeType")</f>
        <v>RQ3.3.P1_ChallengeType</v>
      </c>
      <c r="C281" s="53" t="str">
        <f>IFERROR(__xludf.DUMMYFUNCTION("SPLIT(B281,""_"",TRUE,TRUE)"),"RQ3.3.P1")</f>
        <v>RQ3.3.P1</v>
      </c>
      <c r="D281" s="221" t="str">
        <f>IFERROR(__xludf.DUMMYFUNCTION("""COMPUTED_VALUE"""),"ChallengeType")</f>
        <v>ChallengeType</v>
      </c>
      <c r="E281" s="221"/>
      <c r="F281" s="220"/>
    </row>
    <row r="282">
      <c r="A282" s="233" t="s">
        <v>34418</v>
      </c>
      <c r="B282" s="53" t="str">
        <f>IFERROR(__xludf.DUMMYFUNCTION("TRIM(REGEXREPLACE(A282,""●|\s*Gr=\d+"",""""))"),"RQ3.3.P1_ChallengeType_DataAvailability")</f>
        <v>RQ3.3.P1_ChallengeType_DataAvailability</v>
      </c>
      <c r="C282" s="53" t="str">
        <f>IFERROR(__xludf.DUMMYFUNCTION("SPLIT(B282,""_"",TRUE,TRUE)"),"RQ3.3.P1")</f>
        <v>RQ3.3.P1</v>
      </c>
      <c r="D282" s="221" t="str">
        <f>IFERROR(__xludf.DUMMYFUNCTION("""COMPUTED_VALUE"""),"ChallengeType")</f>
        <v>ChallengeType</v>
      </c>
      <c r="E282" s="221" t="str">
        <f>IFERROR(__xludf.DUMMYFUNCTION("""COMPUTED_VALUE"""),"DataAvailability")</f>
        <v>DataAvailability</v>
      </c>
      <c r="F282" s="220">
        <v>4.0</v>
      </c>
    </row>
    <row r="283">
      <c r="A283" s="233" t="s">
        <v>34419</v>
      </c>
      <c r="B283" s="53" t="str">
        <f>IFERROR(__xludf.DUMMYFUNCTION("TRIM(REGEXREPLACE(A283,""●|\s*Gr=\d+"",""""))"),"RQ3.3.P1_ChallengeType_DeploymentOperational")</f>
        <v>RQ3.3.P1_ChallengeType_DeploymentOperational</v>
      </c>
      <c r="C283" s="53" t="str">
        <f>IFERROR(__xludf.DUMMYFUNCTION("SPLIT(B283,""_"",TRUE,TRUE)"),"RQ3.3.P1")</f>
        <v>RQ3.3.P1</v>
      </c>
      <c r="D283" s="221" t="str">
        <f>IFERROR(__xludf.DUMMYFUNCTION("""COMPUTED_VALUE"""),"ChallengeType")</f>
        <v>ChallengeType</v>
      </c>
      <c r="E283" s="221" t="str">
        <f>IFERROR(__xludf.DUMMYFUNCTION("""COMPUTED_VALUE"""),"DeploymentOperational")</f>
        <v>DeploymentOperational</v>
      </c>
      <c r="F283" s="220">
        <v>3.0</v>
      </c>
    </row>
    <row r="284">
      <c r="A284" s="233" t="s">
        <v>34420</v>
      </c>
      <c r="B284" s="53" t="str">
        <f>IFERROR(__xludf.DUMMYFUNCTION("TRIM(REGEXREPLACE(A284,""●|\s*Gr=\d+"",""""))"),"RQ3.3.P1_ChallengeType_EvaluationValidity")</f>
        <v>RQ3.3.P1_ChallengeType_EvaluationValidity</v>
      </c>
      <c r="C284" s="53" t="str">
        <f>IFERROR(__xludf.DUMMYFUNCTION("SPLIT(B284,""_"",TRUE,TRUE)"),"RQ3.3.P1")</f>
        <v>RQ3.3.P1</v>
      </c>
      <c r="D284" s="221" t="str">
        <f>IFERROR(__xludf.DUMMYFUNCTION("""COMPUTED_VALUE"""),"ChallengeType")</f>
        <v>ChallengeType</v>
      </c>
      <c r="E284" s="221" t="str">
        <f>IFERROR(__xludf.DUMMYFUNCTION("""COMPUTED_VALUE"""),"EvaluationValidity")</f>
        <v>EvaluationValidity</v>
      </c>
      <c r="F284" s="220">
        <v>4.0</v>
      </c>
    </row>
    <row r="285">
      <c r="A285" s="233" t="s">
        <v>34421</v>
      </c>
      <c r="B285" s="53" t="str">
        <f>IFERROR(__xludf.DUMMYFUNCTION("TRIM(REGEXREPLACE(A285,""●|\s*Gr=\d+"",""""))"),"RQ3.3.P1_ChallengeType_Measurement")</f>
        <v>RQ3.3.P1_ChallengeType_Measurement</v>
      </c>
      <c r="C285" s="53" t="str">
        <f>IFERROR(__xludf.DUMMYFUNCTION("SPLIT(B285,""_"",TRUE,TRUE)"),"RQ3.3.P1")</f>
        <v>RQ3.3.P1</v>
      </c>
      <c r="D285" s="221" t="str">
        <f>IFERROR(__xludf.DUMMYFUNCTION("""COMPUTED_VALUE"""),"ChallengeType")</f>
        <v>ChallengeType</v>
      </c>
      <c r="E285" s="221" t="str">
        <f>IFERROR(__xludf.DUMMYFUNCTION("""COMPUTED_VALUE"""),"Measurement")</f>
        <v>Measurement</v>
      </c>
      <c r="F285" s="220">
        <v>10.0</v>
      </c>
    </row>
    <row r="286">
      <c r="A286" s="233" t="s">
        <v>34422</v>
      </c>
      <c r="B286" s="53" t="str">
        <f>IFERROR(__xludf.DUMMYFUNCTION("TRIM(REGEXREPLACE(A286,""●|\s*Gr=\d+"",""""))"),"RQ3.3.P1_ChallengeType_Organizational")</f>
        <v>RQ3.3.P1_ChallengeType_Organizational</v>
      </c>
      <c r="C286" s="53" t="str">
        <f>IFERROR(__xludf.DUMMYFUNCTION("SPLIT(B286,""_"",TRUE,TRUE)"),"RQ3.3.P1")</f>
        <v>RQ3.3.P1</v>
      </c>
      <c r="D286" s="221" t="str">
        <f>IFERROR(__xludf.DUMMYFUNCTION("""COMPUTED_VALUE"""),"ChallengeType")</f>
        <v>ChallengeType</v>
      </c>
      <c r="E286" s="221" t="str">
        <f>IFERROR(__xludf.DUMMYFUNCTION("""COMPUTED_VALUE"""),"Organizational")</f>
        <v>Organizational</v>
      </c>
      <c r="F286" s="220">
        <v>2.0</v>
      </c>
    </row>
    <row r="287">
      <c r="A287" s="233" t="s">
        <v>34423</v>
      </c>
      <c r="B287" s="53" t="str">
        <f>IFERROR(__xludf.DUMMYFUNCTION("TRIM(REGEXREPLACE(A287,""●|\s*Gr=\d+"",""""))"),"RQ3.3.P1_ChallengeType_PerformanceInterference")</f>
        <v>RQ3.3.P1_ChallengeType_PerformanceInterference</v>
      </c>
      <c r="C287" s="53" t="str">
        <f>IFERROR(__xludf.DUMMYFUNCTION("SPLIT(B287,""_"",TRUE,TRUE)"),"RQ3.3.P1")</f>
        <v>RQ3.3.P1</v>
      </c>
      <c r="D287" s="221" t="str">
        <f>IFERROR(__xludf.DUMMYFUNCTION("""COMPUTED_VALUE"""),"ChallengeType")</f>
        <v>ChallengeType</v>
      </c>
      <c r="E287" s="221" t="str">
        <f>IFERROR(__xludf.DUMMYFUNCTION("""COMPUTED_VALUE"""),"PerformanceInterference")</f>
        <v>PerformanceInterference</v>
      </c>
      <c r="F287" s="220">
        <v>6.0</v>
      </c>
    </row>
    <row r="288">
      <c r="A288" s="233" t="s">
        <v>34424</v>
      </c>
      <c r="B288" s="53" t="str">
        <f>IFERROR(__xludf.DUMMYFUNCTION("TRIM(REGEXREPLACE(A288,""●|\s*Gr=\d+"",""""))"),"RQ3.3.P1_ChallengeType_PredictabilityControl")</f>
        <v>RQ3.3.P1_ChallengeType_PredictabilityControl</v>
      </c>
      <c r="C288" s="53" t="str">
        <f>IFERROR(__xludf.DUMMYFUNCTION("SPLIT(B288,""_"",TRUE,TRUE)"),"RQ3.3.P1")</f>
        <v>RQ3.3.P1</v>
      </c>
      <c r="D288" s="221" t="str">
        <f>IFERROR(__xludf.DUMMYFUNCTION("""COMPUTED_VALUE"""),"ChallengeType")</f>
        <v>ChallengeType</v>
      </c>
      <c r="E288" s="221" t="str">
        <f>IFERROR(__xludf.DUMMYFUNCTION("""COMPUTED_VALUE"""),"PredictabilityControl")</f>
        <v>PredictabilityControl</v>
      </c>
      <c r="F288" s="220">
        <v>5.0</v>
      </c>
    </row>
    <row r="289">
      <c r="A289" s="233" t="s">
        <v>34425</v>
      </c>
      <c r="B289" s="53" t="str">
        <f>IFERROR(__xludf.DUMMYFUNCTION("TRIM(REGEXREPLACE(A289,""●|\s*Gr=\d+"",""""))"),"RQ3.3.P1_ChallengeType_Programmability")</f>
        <v>RQ3.3.P1_ChallengeType_Programmability</v>
      </c>
      <c r="C289" s="53" t="str">
        <f>IFERROR(__xludf.DUMMYFUNCTION("SPLIT(B289,""_"",TRUE,TRUE)"),"RQ3.3.P1")</f>
        <v>RQ3.3.P1</v>
      </c>
      <c r="D289" s="221" t="str">
        <f>IFERROR(__xludf.DUMMYFUNCTION("""COMPUTED_VALUE"""),"ChallengeType")</f>
        <v>ChallengeType</v>
      </c>
      <c r="E289" s="221" t="str">
        <f>IFERROR(__xludf.DUMMYFUNCTION("""COMPUTED_VALUE"""),"Programmability")</f>
        <v>Programmability</v>
      </c>
      <c r="F289" s="220">
        <v>1.0</v>
      </c>
    </row>
    <row r="290">
      <c r="A290" s="233" t="s">
        <v>34426</v>
      </c>
      <c r="B290" s="53" t="str">
        <f>IFERROR(__xludf.DUMMYFUNCTION("TRIM(REGEXREPLACE(A290,""●|\s*Gr=\d+"",""""))"),"RQ3.3.P1_ChallengeType_ResourceHeterogeneity")</f>
        <v>RQ3.3.P1_ChallengeType_ResourceHeterogeneity</v>
      </c>
      <c r="C290" s="53" t="str">
        <f>IFERROR(__xludf.DUMMYFUNCTION("SPLIT(B290,""_"",TRUE,TRUE)"),"RQ3.3.P1")</f>
        <v>RQ3.3.P1</v>
      </c>
      <c r="D290" s="221" t="str">
        <f>IFERROR(__xludf.DUMMYFUNCTION("""COMPUTED_VALUE"""),"ChallengeType")</f>
        <v>ChallengeType</v>
      </c>
      <c r="E290" s="221" t="str">
        <f>IFERROR(__xludf.DUMMYFUNCTION("""COMPUTED_VALUE"""),"ResourceHeterogeneity")</f>
        <v>ResourceHeterogeneity</v>
      </c>
      <c r="F290" s="220">
        <v>3.0</v>
      </c>
    </row>
    <row r="291">
      <c r="A291" s="233" t="s">
        <v>34427</v>
      </c>
      <c r="B291" s="53" t="str">
        <f>IFERROR(__xludf.DUMMYFUNCTION("TRIM(REGEXREPLACE(A291,""●|\s*Gr=\d+"",""""))"),"RQ3.3.P1_ChallengeType_Technical")</f>
        <v>RQ3.3.P1_ChallengeType_Technical</v>
      </c>
      <c r="C291" s="53" t="str">
        <f>IFERROR(__xludf.DUMMYFUNCTION("SPLIT(B291,""_"",TRUE,TRUE)"),"RQ3.3.P1")</f>
        <v>RQ3.3.P1</v>
      </c>
      <c r="D291" s="221" t="str">
        <f>IFERROR(__xludf.DUMMYFUNCTION("""COMPUTED_VALUE"""),"ChallengeType")</f>
        <v>ChallengeType</v>
      </c>
      <c r="E291" s="221" t="str">
        <f>IFERROR(__xludf.DUMMYFUNCTION("""COMPUTED_VALUE"""),"Technical")</f>
        <v>Technical</v>
      </c>
      <c r="F291" s="220">
        <v>9.0</v>
      </c>
    </row>
    <row r="292">
      <c r="A292" s="233" t="s">
        <v>34428</v>
      </c>
      <c r="B292" s="53" t="str">
        <f>IFERROR(__xludf.DUMMYFUNCTION("TRIM(REGEXREPLACE(A292,""●|\s*Gr=\d+"",""""))"),"RQ3.3.P1_ChallengeType_Tooling")</f>
        <v>RQ3.3.P1_ChallengeType_Tooling</v>
      </c>
      <c r="C292" s="53" t="str">
        <f>IFERROR(__xludf.DUMMYFUNCTION("SPLIT(B292,""_"",TRUE,TRUE)"),"RQ3.3.P1")</f>
        <v>RQ3.3.P1</v>
      </c>
      <c r="D292" s="221" t="str">
        <f>IFERROR(__xludf.DUMMYFUNCTION("""COMPUTED_VALUE"""),"ChallengeType")</f>
        <v>ChallengeType</v>
      </c>
      <c r="E292" s="221" t="str">
        <f>IFERROR(__xludf.DUMMYFUNCTION("""COMPUTED_VALUE"""),"Tooling")</f>
        <v>Tooling</v>
      </c>
      <c r="F292" s="220">
        <v>4.0</v>
      </c>
    </row>
    <row r="293">
      <c r="A293" s="226"/>
      <c r="B293" s="53"/>
      <c r="C293" s="53"/>
      <c r="D293" s="221"/>
      <c r="E293" s="224" t="s">
        <v>34168</v>
      </c>
      <c r="F293" s="217">
        <f>SUM(F282:F292)</f>
        <v>51</v>
      </c>
    </row>
    <row r="294">
      <c r="A294" s="226" t="s">
        <v>34429</v>
      </c>
      <c r="B294" s="53" t="str">
        <f>IFERROR(__xludf.DUMMYFUNCTION("TRIM(REGEXREPLACE(A294,""●|\s*Gr=\d+"",""""))"),"RQ3.3.P2_AdoptionPhase")</f>
        <v>RQ3.3.P2_AdoptionPhase</v>
      </c>
      <c r="C294" s="53" t="str">
        <f>IFERROR(__xludf.DUMMYFUNCTION("SPLIT(B294,""_"",TRUE,TRUE)"),"RQ3.3.P2")</f>
        <v>RQ3.3.P2</v>
      </c>
      <c r="D294" s="221" t="str">
        <f>IFERROR(__xludf.DUMMYFUNCTION("""COMPUTED_VALUE"""),"AdoptionPhase")</f>
        <v>AdoptionPhase</v>
      </c>
      <c r="E294" s="221"/>
      <c r="F294" s="220"/>
    </row>
    <row r="295">
      <c r="A295" s="226" t="s">
        <v>34430</v>
      </c>
      <c r="B295" s="53" t="str">
        <f>IFERROR(__xludf.DUMMYFUNCTION("TRIM(REGEXREPLACE(A295,""●|\s*Gr=\d+"",""""))"),"RQ3.3.P2_AdoptionPhase_Deployment")</f>
        <v>RQ3.3.P2_AdoptionPhase_Deployment</v>
      </c>
      <c r="C295" s="53" t="str">
        <f>IFERROR(__xludf.DUMMYFUNCTION("SPLIT(B295,""_"",TRUE,TRUE)"),"RQ3.3.P2")</f>
        <v>RQ3.3.P2</v>
      </c>
      <c r="D295" s="221" t="str">
        <f>IFERROR(__xludf.DUMMYFUNCTION("""COMPUTED_VALUE"""),"AdoptionPhase")</f>
        <v>AdoptionPhase</v>
      </c>
      <c r="E295" s="221" t="str">
        <f>IFERROR(__xludf.DUMMYFUNCTION("""COMPUTED_VALUE"""),"Deployment")</f>
        <v>Deployment</v>
      </c>
      <c r="F295" s="220">
        <v>1.0</v>
      </c>
    </row>
    <row r="296">
      <c r="A296" s="226" t="s">
        <v>34431</v>
      </c>
      <c r="B296" s="53" t="str">
        <f>IFERROR(__xludf.DUMMYFUNCTION("TRIM(REGEXREPLACE(A296,""●|\s*Gr=\d+"",""""))"),"RQ3.3.P2_AdoptionPhase_Design")</f>
        <v>RQ3.3.P2_AdoptionPhase_Design</v>
      </c>
      <c r="C296" s="53" t="str">
        <f>IFERROR(__xludf.DUMMYFUNCTION("SPLIT(B296,""_"",TRUE,TRUE)"),"RQ3.3.P2")</f>
        <v>RQ3.3.P2</v>
      </c>
      <c r="D296" s="221" t="str">
        <f>IFERROR(__xludf.DUMMYFUNCTION("""COMPUTED_VALUE"""),"AdoptionPhase")</f>
        <v>AdoptionPhase</v>
      </c>
      <c r="E296" s="221" t="str">
        <f>IFERROR(__xludf.DUMMYFUNCTION("""COMPUTED_VALUE"""),"Design")</f>
        <v>Design</v>
      </c>
      <c r="F296" s="220">
        <v>5.0</v>
      </c>
    </row>
    <row r="297">
      <c r="A297" s="226" t="s">
        <v>34432</v>
      </c>
      <c r="B297" s="53" t="str">
        <f>IFERROR(__xludf.DUMMYFUNCTION("TRIM(REGEXREPLACE(A297,""●|\s*Gr=\d+"",""""))"),"RQ3.3.P2_AdoptionPhase_Evaluation")</f>
        <v>RQ3.3.P2_AdoptionPhase_Evaluation</v>
      </c>
      <c r="C297" s="53" t="str">
        <f>IFERROR(__xludf.DUMMYFUNCTION("SPLIT(B297,""_"",TRUE,TRUE)"),"RQ3.3.P2")</f>
        <v>RQ3.3.P2</v>
      </c>
      <c r="D297" s="221" t="str">
        <f>IFERROR(__xludf.DUMMYFUNCTION("""COMPUTED_VALUE"""),"AdoptionPhase")</f>
        <v>AdoptionPhase</v>
      </c>
      <c r="E297" s="221" t="str">
        <f>IFERROR(__xludf.DUMMYFUNCTION("""COMPUTED_VALUE"""),"Evaluation")</f>
        <v>Evaluation</v>
      </c>
      <c r="F297" s="220">
        <v>1.0</v>
      </c>
    </row>
    <row r="298">
      <c r="A298" s="226" t="s">
        <v>34433</v>
      </c>
      <c r="B298" s="53" t="str">
        <f>IFERROR(__xludf.DUMMYFUNCTION("TRIM(REGEXREPLACE(A298,""●|\s*Gr=\d+"",""""))"),"RQ3.3.P2_AdoptionPhase_Implementation")</f>
        <v>RQ3.3.P2_AdoptionPhase_Implementation</v>
      </c>
      <c r="C298" s="53" t="str">
        <f>IFERROR(__xludf.DUMMYFUNCTION("SPLIT(B298,""_"",TRUE,TRUE)"),"RQ3.3.P2")</f>
        <v>RQ3.3.P2</v>
      </c>
      <c r="D298" s="221" t="str">
        <f>IFERROR(__xludf.DUMMYFUNCTION("""COMPUTED_VALUE"""),"AdoptionPhase")</f>
        <v>AdoptionPhase</v>
      </c>
      <c r="E298" s="221" t="str">
        <f>IFERROR(__xludf.DUMMYFUNCTION("""COMPUTED_VALUE"""),"Implementation")</f>
        <v>Implementation</v>
      </c>
      <c r="F298" s="220">
        <v>6.0</v>
      </c>
    </row>
    <row r="299">
      <c r="A299" s="226" t="s">
        <v>34434</v>
      </c>
      <c r="B299" s="53" t="str">
        <f>IFERROR(__xludf.DUMMYFUNCTION("TRIM(REGEXREPLACE(A299,""●|\s*Gr=\d+"",""""))"),"RQ3.3.P2_AdoptionPhase_Operation")</f>
        <v>RQ3.3.P2_AdoptionPhase_Operation</v>
      </c>
      <c r="C299" s="53" t="str">
        <f>IFERROR(__xludf.DUMMYFUNCTION("SPLIT(B299,""_"",TRUE,TRUE)"),"RQ3.3.P2")</f>
        <v>RQ3.3.P2</v>
      </c>
      <c r="D299" s="221" t="str">
        <f>IFERROR(__xludf.DUMMYFUNCTION("""COMPUTED_VALUE"""),"AdoptionPhase")</f>
        <v>AdoptionPhase</v>
      </c>
      <c r="E299" s="221" t="str">
        <f>IFERROR(__xludf.DUMMYFUNCTION("""COMPUTED_VALUE"""),"Operation")</f>
        <v>Operation</v>
      </c>
      <c r="F299" s="220">
        <v>20.0</v>
      </c>
    </row>
    <row r="300">
      <c r="A300" s="226" t="s">
        <v>34435</v>
      </c>
      <c r="B300" s="53" t="str">
        <f>IFERROR(__xludf.DUMMYFUNCTION("TRIM(REGEXREPLACE(A300,""●|\s*Gr=\d+"",""""))"),"RQ3.3.P2_AdoptionPhase_Planning")</f>
        <v>RQ3.3.P2_AdoptionPhase_Planning</v>
      </c>
      <c r="C300" s="53" t="str">
        <f>IFERROR(__xludf.DUMMYFUNCTION("SPLIT(B300,""_"",TRUE,TRUE)"),"RQ3.3.P2")</f>
        <v>RQ3.3.P2</v>
      </c>
      <c r="D300" s="221" t="str">
        <f>IFERROR(__xludf.DUMMYFUNCTION("""COMPUTED_VALUE"""),"AdoptionPhase")</f>
        <v>AdoptionPhase</v>
      </c>
      <c r="E300" s="221" t="str">
        <f>IFERROR(__xludf.DUMMYFUNCTION("""COMPUTED_VALUE"""),"Planning")</f>
        <v>Planning</v>
      </c>
      <c r="F300" s="220">
        <v>1.0</v>
      </c>
    </row>
    <row r="301">
      <c r="A301" s="226" t="s">
        <v>34436</v>
      </c>
      <c r="B301" s="53" t="str">
        <f>IFERROR(__xludf.DUMMYFUNCTION("TRIM(REGEXREPLACE(A301,""●|\s*Gr=\d+"",""""))"),"RQ3.3.P2_AdoptionPhase_Production")</f>
        <v>RQ3.3.P2_AdoptionPhase_Production</v>
      </c>
      <c r="C301" s="53" t="str">
        <f>IFERROR(__xludf.DUMMYFUNCTION("SPLIT(B301,""_"",TRUE,TRUE)"),"RQ3.3.P2")</f>
        <v>RQ3.3.P2</v>
      </c>
      <c r="D301" s="221" t="str">
        <f>IFERROR(__xludf.DUMMYFUNCTION("""COMPUTED_VALUE"""),"AdoptionPhase")</f>
        <v>AdoptionPhase</v>
      </c>
      <c r="E301" s="221" t="str">
        <f>IFERROR(__xludf.DUMMYFUNCTION("""COMPUTED_VALUE"""),"Production")</f>
        <v>Production</v>
      </c>
      <c r="F301" s="220">
        <v>1.0</v>
      </c>
    </row>
    <row r="302">
      <c r="A302" s="228"/>
      <c r="B302" s="53"/>
      <c r="C302" s="53"/>
      <c r="D302" s="221"/>
      <c r="E302" s="224" t="s">
        <v>34168</v>
      </c>
      <c r="F302" s="217">
        <f>SUM(F295:F301)</f>
        <v>35</v>
      </c>
    </row>
    <row r="303">
      <c r="A303" s="228" t="s">
        <v>34437</v>
      </c>
      <c r="B303" s="53" t="str">
        <f>IFERROR(__xludf.DUMMYFUNCTION("TRIM(REGEXREPLACE(A303,""●|\s*Gr=\d+"",""""))"),"RQ3.3.P3_ChallengeComplexity")</f>
        <v>RQ3.3.P3_ChallengeComplexity</v>
      </c>
      <c r="C303" s="53" t="str">
        <f>IFERROR(__xludf.DUMMYFUNCTION("SPLIT(B303,""_"",TRUE,TRUE)"),"RQ3.3.P3")</f>
        <v>RQ3.3.P3</v>
      </c>
      <c r="D303" s="221" t="str">
        <f>IFERROR(__xludf.DUMMYFUNCTION("""COMPUTED_VALUE"""),"ChallengeComplexity")</f>
        <v>ChallengeComplexity</v>
      </c>
      <c r="E303" s="221"/>
      <c r="F303" s="220"/>
    </row>
    <row r="304">
      <c r="A304" s="228" t="s">
        <v>34438</v>
      </c>
      <c r="B304" s="53" t="str">
        <f>IFERROR(__xludf.DUMMYFUNCTION("TRIM(REGEXREPLACE(A304,""●|\s*Gr=\d+"",""""))"),"RQ3.3.P3_ChallengeComplexity_Complex")</f>
        <v>RQ3.3.P3_ChallengeComplexity_Complex</v>
      </c>
      <c r="C304" s="53" t="str">
        <f>IFERROR(__xludf.DUMMYFUNCTION("SPLIT(B304,""_"",TRUE,TRUE)"),"RQ3.3.P3")</f>
        <v>RQ3.3.P3</v>
      </c>
      <c r="D304" s="221" t="str">
        <f>IFERROR(__xludf.DUMMYFUNCTION("""COMPUTED_VALUE"""),"ChallengeComplexity")</f>
        <v>ChallengeComplexity</v>
      </c>
      <c r="E304" s="221" t="str">
        <f>IFERROR(__xludf.DUMMYFUNCTION("""COMPUTED_VALUE"""),"Complex")</f>
        <v>Complex</v>
      </c>
      <c r="F304" s="220">
        <v>18.0</v>
      </c>
    </row>
    <row r="305">
      <c r="A305" s="228" t="s">
        <v>34439</v>
      </c>
      <c r="B305" s="53" t="str">
        <f>IFERROR(__xludf.DUMMYFUNCTION("TRIM(REGEXREPLACE(A305,""●|\s*Gr=\d+"",""""))"),"RQ3.3.P3_ChallengeComplexity_Moderate")</f>
        <v>RQ3.3.P3_ChallengeComplexity_Moderate</v>
      </c>
      <c r="C305" s="53" t="str">
        <f>IFERROR(__xludf.DUMMYFUNCTION("SPLIT(B305,""_"",TRUE,TRUE)"),"RQ3.3.P3")</f>
        <v>RQ3.3.P3</v>
      </c>
      <c r="D305" s="221" t="str">
        <f>IFERROR(__xludf.DUMMYFUNCTION("""COMPUTED_VALUE"""),"ChallengeComplexity")</f>
        <v>ChallengeComplexity</v>
      </c>
      <c r="E305" s="221" t="str">
        <f>IFERROR(__xludf.DUMMYFUNCTION("""COMPUTED_VALUE"""),"Moderate")</f>
        <v>Moderate</v>
      </c>
      <c r="F305" s="220">
        <v>1.0</v>
      </c>
    </row>
    <row r="306">
      <c r="A306" s="228" t="s">
        <v>34440</v>
      </c>
      <c r="B306" s="53" t="str">
        <f>IFERROR(__xludf.DUMMYFUNCTION("TRIM(REGEXREPLACE(A306,""●|\s*Gr=\d+"",""""))"),"RQ3.3.P3_ChallengeComplexity_Systemic")</f>
        <v>RQ3.3.P3_ChallengeComplexity_Systemic</v>
      </c>
      <c r="C306" s="53" t="str">
        <f>IFERROR(__xludf.DUMMYFUNCTION("SPLIT(B306,""_"",TRUE,TRUE)"),"RQ3.3.P3")</f>
        <v>RQ3.3.P3</v>
      </c>
      <c r="D306" s="221" t="str">
        <f>IFERROR(__xludf.DUMMYFUNCTION("""COMPUTED_VALUE"""),"ChallengeComplexity")</f>
        <v>ChallengeComplexity</v>
      </c>
      <c r="E306" s="221" t="str">
        <f>IFERROR(__xludf.DUMMYFUNCTION("""COMPUTED_VALUE"""),"Systemic")</f>
        <v>Systemic</v>
      </c>
      <c r="F306" s="220">
        <v>1.0</v>
      </c>
    </row>
    <row r="307">
      <c r="A307" s="227"/>
      <c r="B307" s="53"/>
      <c r="C307" s="53"/>
      <c r="D307" s="221"/>
      <c r="E307" s="224" t="s">
        <v>34168</v>
      </c>
      <c r="F307" s="217">
        <f>SUM(F304:F306)</f>
        <v>20</v>
      </c>
    </row>
    <row r="308">
      <c r="A308" s="227" t="s">
        <v>34441</v>
      </c>
      <c r="B308" s="53" t="str">
        <f>IFERROR(__xludf.DUMMYFUNCTION("TRIM(REGEXREPLACE(A308,""●|\s*Gr=\d+"",""""))"),"RQ3.3.P4_MitigationApproach")</f>
        <v>RQ3.3.P4_MitigationApproach</v>
      </c>
      <c r="C308" s="53" t="str">
        <f>IFERROR(__xludf.DUMMYFUNCTION("SPLIT(B308,""_"",TRUE,TRUE)"),"RQ3.3.P4")</f>
        <v>RQ3.3.P4</v>
      </c>
      <c r="D308" s="221" t="str">
        <f>IFERROR(__xludf.DUMMYFUNCTION("""COMPUTED_VALUE"""),"MitigationApproach")</f>
        <v>MitigationApproach</v>
      </c>
      <c r="E308" s="221"/>
      <c r="F308" s="220"/>
    </row>
    <row r="309">
      <c r="A309" s="227" t="s">
        <v>34442</v>
      </c>
      <c r="B309" s="53" t="str">
        <f>IFERROR(__xludf.DUMMYFUNCTION("TRIM(REGEXREPLACE(A309,""●|\s*Gr=\d+"",""""))"),"RQ3.3.P4_MitigationApproach_ApplicationDesignChange")</f>
        <v>RQ3.3.P4_MitigationApproach_ApplicationDesignChange</v>
      </c>
      <c r="C309" s="53" t="str">
        <f>IFERROR(__xludf.DUMMYFUNCTION("SPLIT(B309,""_"",TRUE,TRUE)"),"RQ3.3.P4")</f>
        <v>RQ3.3.P4</v>
      </c>
      <c r="D309" s="221" t="str">
        <f>IFERROR(__xludf.DUMMYFUNCTION("""COMPUTED_VALUE"""),"MitigationApproach")</f>
        <v>MitigationApproach</v>
      </c>
      <c r="E309" s="221" t="str">
        <f>IFERROR(__xludf.DUMMYFUNCTION("""COMPUTED_VALUE"""),"ApplicationDesignChange")</f>
        <v>ApplicationDesignChange</v>
      </c>
      <c r="F309" s="220">
        <v>4.0</v>
      </c>
    </row>
    <row r="310">
      <c r="A310" s="227" t="s">
        <v>34443</v>
      </c>
      <c r="B310" s="53" t="str">
        <f>IFERROR(__xludf.DUMMYFUNCTION("TRIM(REGEXREPLACE(A310,""●|\s*Gr=\d+"",""""))"),"RQ3.3.P4_MitigationApproach_BrownoutOptionality")</f>
        <v>RQ3.3.P4_MitigationApproach_BrownoutOptionality</v>
      </c>
      <c r="C310" s="53" t="str">
        <f>IFERROR(__xludf.DUMMYFUNCTION("SPLIT(B310,""_"",TRUE,TRUE)"),"RQ3.3.P4")</f>
        <v>RQ3.3.P4</v>
      </c>
      <c r="D310" s="221" t="str">
        <f>IFERROR(__xludf.DUMMYFUNCTION("""COMPUTED_VALUE"""),"MitigationApproach")</f>
        <v>MitigationApproach</v>
      </c>
      <c r="E310" s="221" t="str">
        <f>IFERROR(__xludf.DUMMYFUNCTION("""COMPUTED_VALUE"""),"BrownoutOptionality")</f>
        <v>BrownoutOptionality</v>
      </c>
      <c r="F310" s="220">
        <v>1.0</v>
      </c>
    </row>
    <row r="311">
      <c r="A311" s="227" t="s">
        <v>34444</v>
      </c>
      <c r="B311" s="53" t="str">
        <f>IFERROR(__xludf.DUMMYFUNCTION("TRIM(REGEXREPLACE(A311,""●|\s*Gr=\d+"",""""))"),"RQ3.3.P4_MitigationApproach_HardwareRedesign")</f>
        <v>RQ3.3.P4_MitigationApproach_HardwareRedesign</v>
      </c>
      <c r="C311" s="53" t="str">
        <f>IFERROR(__xludf.DUMMYFUNCTION("SPLIT(B311,""_"",TRUE,TRUE)"),"RQ3.3.P4")</f>
        <v>RQ3.3.P4</v>
      </c>
      <c r="D311" s="221" t="str">
        <f>IFERROR(__xludf.DUMMYFUNCTION("""COMPUTED_VALUE"""),"MitigationApproach")</f>
        <v>MitigationApproach</v>
      </c>
      <c r="E311" s="221" t="str">
        <f>IFERROR(__xludf.DUMMYFUNCTION("""COMPUTED_VALUE"""),"HardwareRedesign")</f>
        <v>HardwareRedesign</v>
      </c>
      <c r="F311" s="220">
        <v>1.0</v>
      </c>
    </row>
    <row r="312">
      <c r="A312" s="227" t="s">
        <v>34445</v>
      </c>
      <c r="B312" s="53" t="str">
        <f>IFERROR(__xludf.DUMMYFUNCTION("TRIM(REGEXREPLACE(A312,""●|\s*Gr=\d+"",""""))"),"RQ3.3.P4_MitigationApproach_LearningBasedControl")</f>
        <v>RQ3.3.P4_MitigationApproach_LearningBasedControl</v>
      </c>
      <c r="C312" s="53" t="str">
        <f>IFERROR(__xludf.DUMMYFUNCTION("SPLIT(B312,""_"",TRUE,TRUE)"),"RQ3.3.P4")</f>
        <v>RQ3.3.P4</v>
      </c>
      <c r="D312" s="221" t="str">
        <f>IFERROR(__xludf.DUMMYFUNCTION("""COMPUTED_VALUE"""),"MitigationApproach")</f>
        <v>MitigationApproach</v>
      </c>
      <c r="E312" s="221" t="str">
        <f>IFERROR(__xludf.DUMMYFUNCTION("""COMPUTED_VALUE"""),"LearningBasedControl")</f>
        <v>LearningBasedControl</v>
      </c>
      <c r="F312" s="220">
        <v>2.0</v>
      </c>
    </row>
    <row r="313">
      <c r="A313" s="227" t="s">
        <v>34446</v>
      </c>
      <c r="B313" s="53" t="str">
        <f>IFERROR(__xludf.DUMMYFUNCTION("TRIM(REGEXREPLACE(A313,""●|\s*Gr=\d+"",""""))"),"RQ3.3.P4_MitigationApproach_ModelBasedOptimization")</f>
        <v>RQ3.3.P4_MitigationApproach_ModelBasedOptimization</v>
      </c>
      <c r="C313" s="53" t="str">
        <f>IFERROR(__xludf.DUMMYFUNCTION("SPLIT(B313,""_"",TRUE,TRUE)"),"RQ3.3.P4")</f>
        <v>RQ3.3.P4</v>
      </c>
      <c r="D313" s="221" t="str">
        <f>IFERROR(__xludf.DUMMYFUNCTION("""COMPUTED_VALUE"""),"MitigationApproach")</f>
        <v>MitigationApproach</v>
      </c>
      <c r="E313" s="221" t="str">
        <f>IFERROR(__xludf.DUMMYFUNCTION("""COMPUTED_VALUE"""),"ModelBasedOptimization")</f>
        <v>ModelBasedOptimization</v>
      </c>
      <c r="F313" s="220">
        <v>2.0</v>
      </c>
    </row>
    <row r="314">
      <c r="A314" s="227" t="s">
        <v>34447</v>
      </c>
      <c r="B314" s="53" t="str">
        <f>IFERROR(__xludf.DUMMYFUNCTION("TRIM(REGEXREPLACE(A314,""●|\s*Gr=\d+"",""""))"),"RQ3.3.P4_MitigationApproach_MonitoringInstrumentation")</f>
        <v>RQ3.3.P4_MitigationApproach_MonitoringInstrumentation</v>
      </c>
      <c r="C314" s="53" t="str">
        <f>IFERROR(__xludf.DUMMYFUNCTION("SPLIT(B314,""_"",TRUE,TRUE)"),"RQ3.3.P4")</f>
        <v>RQ3.3.P4</v>
      </c>
      <c r="D314" s="221" t="str">
        <f>IFERROR(__xludf.DUMMYFUNCTION("""COMPUTED_VALUE"""),"MitigationApproach")</f>
        <v>MitigationApproach</v>
      </c>
      <c r="E314" s="221" t="str">
        <f>IFERROR(__xludf.DUMMYFUNCTION("""COMPUTED_VALUE"""),"MonitoringInstrumentation")</f>
        <v>MonitoringInstrumentation</v>
      </c>
      <c r="F314" s="220">
        <v>4.0</v>
      </c>
    </row>
    <row r="315">
      <c r="A315" s="227" t="s">
        <v>34448</v>
      </c>
      <c r="B315" s="53" t="str">
        <f>IFERROR(__xludf.DUMMYFUNCTION("TRIM(REGEXREPLACE(A315,""●|\s*Gr=\d+"",""""))"),"RQ3.3.P4_MitigationApproach_PlacementOptimization")</f>
        <v>RQ3.3.P4_MitigationApproach_PlacementOptimization</v>
      </c>
      <c r="C315" s="53" t="str">
        <f>IFERROR(__xludf.DUMMYFUNCTION("SPLIT(B315,""_"",TRUE,TRUE)"),"RQ3.3.P4")</f>
        <v>RQ3.3.P4</v>
      </c>
      <c r="D315" s="221" t="str">
        <f>IFERROR(__xludf.DUMMYFUNCTION("""COMPUTED_VALUE"""),"MitigationApproach")</f>
        <v>MitigationApproach</v>
      </c>
      <c r="E315" s="221" t="str">
        <f>IFERROR(__xludf.DUMMYFUNCTION("""COMPUTED_VALUE"""),"PlacementOptimization")</f>
        <v>PlacementOptimization</v>
      </c>
      <c r="F315" s="220">
        <v>1.0</v>
      </c>
    </row>
    <row r="316">
      <c r="A316" s="227" t="s">
        <v>34449</v>
      </c>
      <c r="B316" s="53" t="str">
        <f>IFERROR(__xludf.DUMMYFUNCTION("TRIM(REGEXREPLACE(A316,""●|\s*Gr=\d+"",""""))"),"RQ3.3.P4_MitigationApproach_PowerManagement")</f>
        <v>RQ3.3.P4_MitigationApproach_PowerManagement</v>
      </c>
      <c r="C316" s="53" t="str">
        <f>IFERROR(__xludf.DUMMYFUNCTION("SPLIT(B316,""_"",TRUE,TRUE)"),"RQ3.3.P4")</f>
        <v>RQ3.3.P4</v>
      </c>
      <c r="D316" s="221" t="str">
        <f>IFERROR(__xludf.DUMMYFUNCTION("""COMPUTED_VALUE"""),"MitigationApproach")</f>
        <v>MitigationApproach</v>
      </c>
      <c r="E316" s="221" t="str">
        <f>IFERROR(__xludf.DUMMYFUNCTION("""COMPUTED_VALUE"""),"PowerManagement")</f>
        <v>PowerManagement</v>
      </c>
      <c r="F316" s="220">
        <v>2.0</v>
      </c>
    </row>
    <row r="317">
      <c r="A317" s="227" t="s">
        <v>34450</v>
      </c>
      <c r="B317" s="53" t="str">
        <f>IFERROR(__xludf.DUMMYFUNCTION("TRIM(REGEXREPLACE(A317,""●|\s*Gr=\d+"",""""))"),"RQ3.3.P4_MitigationApproach_ProvisioningOrchestration")</f>
        <v>RQ3.3.P4_MitigationApproach_ProvisioningOrchestration</v>
      </c>
      <c r="C317" s="53" t="str">
        <f>IFERROR(__xludf.DUMMYFUNCTION("SPLIT(B317,""_"",TRUE,TRUE)"),"RQ3.3.P4")</f>
        <v>RQ3.3.P4</v>
      </c>
      <c r="D317" s="221" t="str">
        <f>IFERROR(__xludf.DUMMYFUNCTION("""COMPUTED_VALUE"""),"MitigationApproach")</f>
        <v>MitigationApproach</v>
      </c>
      <c r="E317" s="221" t="str">
        <f>IFERROR(__xludf.DUMMYFUNCTION("""COMPUTED_VALUE"""),"ProvisioningOrchestration")</f>
        <v>ProvisioningOrchestration</v>
      </c>
      <c r="F317" s="220">
        <v>1.0</v>
      </c>
    </row>
    <row r="318">
      <c r="A318" s="227" t="s">
        <v>34451</v>
      </c>
      <c r="B318" s="53" t="str">
        <f>IFERROR(__xludf.DUMMYFUNCTION("TRIM(REGEXREPLACE(A318,""●|\s*Gr=\d+"",""""))"),"RQ3.3.P4_MitigationApproach_SchedulingOptimization")</f>
        <v>RQ3.3.P4_MitigationApproach_SchedulingOptimization</v>
      </c>
      <c r="C318" s="53" t="str">
        <f>IFERROR(__xludf.DUMMYFUNCTION("SPLIT(B318,""_"",TRUE,TRUE)"),"RQ3.3.P4")</f>
        <v>RQ3.3.P4</v>
      </c>
      <c r="D318" s="221" t="str">
        <f>IFERROR(__xludf.DUMMYFUNCTION("""COMPUTED_VALUE"""),"MitigationApproach")</f>
        <v>MitigationApproach</v>
      </c>
      <c r="E318" s="221" t="str">
        <f>IFERROR(__xludf.DUMMYFUNCTION("""COMPUTED_VALUE"""),"SchedulingOptimization")</f>
        <v>SchedulingOptimization</v>
      </c>
      <c r="F318" s="220">
        <v>2.0</v>
      </c>
    </row>
    <row r="319">
      <c r="A319" s="227" t="s">
        <v>34452</v>
      </c>
      <c r="B319" s="53" t="str">
        <f>IFERROR(__xludf.DUMMYFUNCTION("TRIM(REGEXREPLACE(A319,""●|\s*Gr=\d+"",""""))"),"RQ3.3.P4_MitigationApproach_TestingBenchmarking")</f>
        <v>RQ3.3.P4_MitigationApproach_TestingBenchmarking</v>
      </c>
      <c r="C319" s="53" t="str">
        <f>IFERROR(__xludf.DUMMYFUNCTION("SPLIT(B319,""_"",TRUE,TRUE)"),"RQ3.3.P4")</f>
        <v>RQ3.3.P4</v>
      </c>
      <c r="D319" s="221" t="str">
        <f>IFERROR(__xludf.DUMMYFUNCTION("""COMPUTED_VALUE"""),"MitigationApproach")</f>
        <v>MitigationApproach</v>
      </c>
      <c r="E319" s="221" t="str">
        <f>IFERROR(__xludf.DUMMYFUNCTION("""COMPUTED_VALUE"""),"TestingBenchmarking")</f>
        <v>TestingBenchmarking</v>
      </c>
      <c r="F319" s="220">
        <v>3.0</v>
      </c>
    </row>
    <row r="320">
      <c r="A320" s="227" t="s">
        <v>34453</v>
      </c>
      <c r="B320" s="53" t="str">
        <f>IFERROR(__xludf.DUMMYFUNCTION("TRIM(REGEXREPLACE(A320,""●|\s*Gr=\d+"",""""))"),"RQ3.3.P4_MitigationApproach_ToolingEnhancement")</f>
        <v>RQ3.3.P4_MitigationApproach_ToolingEnhancement</v>
      </c>
      <c r="C320" s="53" t="str">
        <f>IFERROR(__xludf.DUMMYFUNCTION("SPLIT(B320,""_"",TRUE,TRUE)"),"RQ3.3.P4")</f>
        <v>RQ3.3.P4</v>
      </c>
      <c r="D320" s="221" t="str">
        <f>IFERROR(__xludf.DUMMYFUNCTION("""COMPUTED_VALUE"""),"MitigationApproach")</f>
        <v>MitigationApproach</v>
      </c>
      <c r="E320" s="221" t="str">
        <f>IFERROR(__xludf.DUMMYFUNCTION("""COMPUTED_VALUE"""),"ToolingEnhancement")</f>
        <v>ToolingEnhancement</v>
      </c>
      <c r="F320" s="220">
        <v>4.0</v>
      </c>
    </row>
    <row r="321">
      <c r="A321" s="227" t="s">
        <v>34454</v>
      </c>
      <c r="B321" s="53" t="str">
        <f>IFERROR(__xludf.DUMMYFUNCTION("TRIM(REGEXREPLACE(A321,""●|\s*Gr=\d+"",""""))"),"RQ3.3.P4_MitigationApproach_TrainingGuidelines")</f>
        <v>RQ3.3.P4_MitigationApproach_TrainingGuidelines</v>
      </c>
      <c r="C321" s="53" t="str">
        <f>IFERROR(__xludf.DUMMYFUNCTION("SPLIT(B321,""_"",TRUE,TRUE)"),"RQ3.3.P4")</f>
        <v>RQ3.3.P4</v>
      </c>
      <c r="D321" s="221" t="str">
        <f>IFERROR(__xludf.DUMMYFUNCTION("""COMPUTED_VALUE"""),"MitigationApproach")</f>
        <v>MitigationApproach</v>
      </c>
      <c r="E321" s="221" t="str">
        <f>IFERROR(__xludf.DUMMYFUNCTION("""COMPUTED_VALUE"""),"TrainingGuidelines")</f>
        <v>TrainingGuidelines</v>
      </c>
      <c r="F321" s="220">
        <v>1.0</v>
      </c>
    </row>
    <row r="322">
      <c r="A322" s="227"/>
      <c r="B322" s="53"/>
      <c r="C322" s="53"/>
      <c r="D322" s="221"/>
      <c r="E322" s="224" t="s">
        <v>34168</v>
      </c>
      <c r="F322" s="217">
        <f>SUM(F309:F321)</f>
        <v>28</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2" max="2" width="24.57"/>
    <col customWidth="1" min="3" max="3" width="34.14"/>
    <col customWidth="1" min="4" max="4" width="31.86"/>
    <col customWidth="1" min="6" max="6" width="11.14"/>
    <col customWidth="1" min="7" max="8" width="43.29"/>
    <col customWidth="1" min="9" max="9" width="56.14"/>
    <col customWidth="1" min="10" max="10" width="55.57"/>
  </cols>
  <sheetData>
    <row r="1" ht="33.75" customHeight="1">
      <c r="A1" s="235" t="s">
        <v>34455</v>
      </c>
      <c r="B1" s="235" t="s">
        <v>34456</v>
      </c>
      <c r="C1" s="235" t="s">
        <v>34457</v>
      </c>
      <c r="D1" s="235" t="s">
        <v>34458</v>
      </c>
      <c r="E1" s="235" t="s">
        <v>34459</v>
      </c>
      <c r="F1" s="236" t="s">
        <v>34460</v>
      </c>
      <c r="G1" s="235" t="s">
        <v>34461</v>
      </c>
      <c r="H1" s="237" t="s">
        <v>256</v>
      </c>
      <c r="I1" s="235" t="s">
        <v>34462</v>
      </c>
      <c r="J1" s="235" t="s">
        <v>34463</v>
      </c>
    </row>
    <row r="2" ht="41.25" customHeight="1">
      <c r="A2" s="238" t="s">
        <v>107</v>
      </c>
    </row>
    <row r="3" ht="28.5" customHeight="1">
      <c r="A3" s="235" t="s">
        <v>108</v>
      </c>
      <c r="J3" s="239" t="s">
        <v>34464</v>
      </c>
    </row>
    <row r="4">
      <c r="A4" s="240" t="s">
        <v>109</v>
      </c>
      <c r="B4" s="241" t="s">
        <v>110</v>
      </c>
      <c r="C4" s="242" t="str">
        <f t="array" ref="C4">INDEX(Parameters!E:E, MATCH(A4, Parameters!A:A, 0))</f>
        <v>At what point in the lifecycle energy efficiency becomes a stated concern or point of attention</v>
      </c>
      <c r="D4" s="243" t="str">
        <f>IFERROR(__xludf.DUMMYFUNCTION("QUERY('Raw Results'!C:F,
 ""select E, sum(F)
  where C = '""&amp;A4&amp;""' and E is not null and E &lt;&gt; 'Total'
  group by E
  order by sum(F) desc
  label E '', sum(F) ''"")
"),"Runtime")</f>
        <v>Runtime</v>
      </c>
      <c r="E4" s="243">
        <f>IFERROR(__xludf.DUMMYFUNCTION("""COMPUTED_VALUE"""),21.0)</f>
        <v>21</v>
      </c>
      <c r="F4" s="244">
        <f>E4/SUM(E4:E8)</f>
        <v>0.5526315789</v>
      </c>
      <c r="G4" s="245" t="s">
        <v>34465</v>
      </c>
      <c r="H4" s="245"/>
      <c r="I4" s="246" t="s">
        <v>34466</v>
      </c>
    </row>
    <row r="5">
      <c r="D5" s="243" t="str">
        <f>IFERROR(__xludf.DUMMYFUNCTION("""COMPUTED_VALUE"""),"Deployment")</f>
        <v>Deployment</v>
      </c>
      <c r="E5" s="243">
        <f>IFERROR(__xludf.DUMMYFUNCTION("""COMPUTED_VALUE"""),9.0)</f>
        <v>9</v>
      </c>
      <c r="F5" s="244">
        <f>E5/SUM(E4:E8)</f>
        <v>0.2368421053</v>
      </c>
    </row>
    <row r="6">
      <c r="D6" s="243" t="str">
        <f>IFERROR(__xludf.DUMMYFUNCTION("""COMPUTED_VALUE"""),"Design")</f>
        <v>Design</v>
      </c>
      <c r="E6" s="243">
        <f>IFERROR(__xludf.DUMMYFUNCTION("""COMPUTED_VALUE"""),5.0)</f>
        <v>5</v>
      </c>
      <c r="F6" s="244">
        <f>E6/SUM(E4:E8)</f>
        <v>0.1315789474</v>
      </c>
    </row>
    <row r="7">
      <c r="D7" s="243" t="str">
        <f>IFERROR(__xludf.DUMMYFUNCTION("""COMPUTED_VALUE"""),"Development")</f>
        <v>Development</v>
      </c>
      <c r="E7" s="243">
        <f>IFERROR(__xludf.DUMMYFUNCTION("""COMPUTED_VALUE"""),2.0)</f>
        <v>2</v>
      </c>
      <c r="F7" s="244">
        <f>E7/SUM(E4:E8)</f>
        <v>0.05263157895</v>
      </c>
    </row>
    <row r="8">
      <c r="D8" s="243" t="str">
        <f>IFERROR(__xludf.DUMMYFUNCTION("""COMPUTED_VALUE"""),"Maintenance")</f>
        <v>Maintenance</v>
      </c>
      <c r="E8" s="243">
        <f>IFERROR(__xludf.DUMMYFUNCTION("""COMPUTED_VALUE"""),1.0)</f>
        <v>1</v>
      </c>
      <c r="F8" s="244">
        <f>E8/SUM(E4:E8)</f>
        <v>0.02631578947</v>
      </c>
    </row>
    <row r="9">
      <c r="D9" s="240" t="s">
        <v>34168</v>
      </c>
      <c r="E9" s="247">
        <f>SUM(E4:E8)</f>
        <v>38</v>
      </c>
    </row>
    <row r="10">
      <c r="A10" s="240" t="s">
        <v>114</v>
      </c>
      <c r="B10" s="241" t="s">
        <v>115</v>
      </c>
      <c r="C10" s="242" t="str">
        <f t="array" ref="C10">INDEX(Parameters!E:E, MATCH(A10, Parameters!A:A, 0))</f>
        <v>At what point in the lifecycle energy efficiency concerns are addressed</v>
      </c>
      <c r="D10" s="243" t="str">
        <f>IFERROR(__xludf.DUMMYFUNCTION("QUERY('Raw Results'!C:F,
 ""select E, sum(F)
  where C = '""&amp;A10&amp;""' and E is not null and E &lt;&gt; 'Total'
  group by E
  order by sum(F) desc
  label E '', sum(F) ''"")
"),"Runtime")</f>
        <v>Runtime</v>
      </c>
      <c r="E10" s="248">
        <f>IFERROR(__xludf.DUMMYFUNCTION("""COMPUTED_VALUE"""),19.0)</f>
        <v>19</v>
      </c>
      <c r="F10" s="244">
        <f>E10/SUM(E10:E15)</f>
        <v>0.6551724138</v>
      </c>
      <c r="G10" s="245" t="s">
        <v>34467</v>
      </c>
      <c r="H10" s="245" t="s">
        <v>34468</v>
      </c>
    </row>
    <row r="11">
      <c r="D11" s="248" t="str">
        <f>IFERROR(__xludf.DUMMYFUNCTION("""COMPUTED_VALUE"""),"Design")</f>
        <v>Design</v>
      </c>
      <c r="E11" s="248">
        <f>IFERROR(__xludf.DUMMYFUNCTION("""COMPUTED_VALUE"""),4.0)</f>
        <v>4</v>
      </c>
      <c r="F11" s="244">
        <f>E11/SUM(E10:E15)</f>
        <v>0.1379310345</v>
      </c>
    </row>
    <row r="12">
      <c r="D12" s="248" t="str">
        <f>IFERROR(__xludf.DUMMYFUNCTION("""COMPUTED_VALUE"""),"Deployment")</f>
        <v>Deployment</v>
      </c>
      <c r="E12" s="248">
        <f>IFERROR(__xludf.DUMMYFUNCTION("""COMPUTED_VALUE"""),3.0)</f>
        <v>3</v>
      </c>
      <c r="F12" s="244">
        <f>E12/SUM(E10:E15)</f>
        <v>0.1034482759</v>
      </c>
    </row>
    <row r="13">
      <c r="D13" s="248" t="str">
        <f>IFERROR(__xludf.DUMMYFUNCTION("""COMPUTED_VALUE"""),"Analysis")</f>
        <v>Analysis</v>
      </c>
      <c r="E13" s="248">
        <f>IFERROR(__xludf.DUMMYFUNCTION("""COMPUTED_VALUE"""),1.0)</f>
        <v>1</v>
      </c>
      <c r="F13" s="244">
        <f>E13/SUM(E10:E15)</f>
        <v>0.03448275862</v>
      </c>
    </row>
    <row r="14">
      <c r="D14" s="248" t="str">
        <f>IFERROR(__xludf.DUMMYFUNCTION("""COMPUTED_VALUE"""),"Configuration")</f>
        <v>Configuration</v>
      </c>
      <c r="E14" s="248">
        <f>IFERROR(__xludf.DUMMYFUNCTION("""COMPUTED_VALUE"""),1.0)</f>
        <v>1</v>
      </c>
      <c r="F14" s="244">
        <f>E14/SUM(E10:E15)</f>
        <v>0.03448275862</v>
      </c>
    </row>
    <row r="15">
      <c r="D15" s="248" t="str">
        <f>IFERROR(__xludf.DUMMYFUNCTION("""COMPUTED_VALUE"""),"Development")</f>
        <v>Development</v>
      </c>
      <c r="E15" s="248">
        <f>IFERROR(__xludf.DUMMYFUNCTION("""COMPUTED_VALUE"""),1.0)</f>
        <v>1</v>
      </c>
      <c r="F15" s="244">
        <f>E15/SUM(E10:E15)</f>
        <v>0.03448275862</v>
      </c>
    </row>
    <row r="16">
      <c r="D16" s="249" t="s">
        <v>34168</v>
      </c>
      <c r="E16" s="247">
        <f>SUM(E10:E15)</f>
        <v>29</v>
      </c>
    </row>
    <row r="17">
      <c r="A17" s="240" t="s">
        <v>118</v>
      </c>
      <c r="B17" s="241" t="s">
        <v>119</v>
      </c>
      <c r="C17" s="242" t="str">
        <f t="array" ref="C17">INDEX(Parameters!E:E, MATCH(A17, Parameters!A:A, 0))</f>
        <v>How energy efficiency is introduced into the system or process</v>
      </c>
      <c r="D17" s="248" t="str">
        <f>IFERROR(__xludf.DUMMYFUNCTION("QUERY('Raw Results'!C:F,
 ""select E, sum(F)
  where C = '""&amp;A17&amp;""' and E is not null and E &lt;&gt; 'Total'
  group by E
  order by sum(F) desc
  label E '', sum(F) ''"")
"),"RuntimeMonitoring")</f>
        <v>RuntimeMonitoring</v>
      </c>
      <c r="E17" s="248">
        <f>IFERROR(__xludf.DUMMYFUNCTION("""COMPUTED_VALUE"""),18.0)</f>
        <v>18</v>
      </c>
      <c r="F17" s="244">
        <f>E17/SUM(E17:E28)</f>
        <v>0.3461538462</v>
      </c>
      <c r="G17" s="245" t="s">
        <v>34469</v>
      </c>
      <c r="H17" s="242"/>
    </row>
    <row r="18">
      <c r="D18" s="248" t="str">
        <f>IFERROR(__xludf.DUMMYFUNCTION("""COMPUTED_VALUE"""),"RuntimeAdaptation")</f>
        <v>RuntimeAdaptation</v>
      </c>
      <c r="E18" s="248">
        <f>IFERROR(__xludf.DUMMYFUNCTION("""COMPUTED_VALUE"""),8.0)</f>
        <v>8</v>
      </c>
      <c r="F18" s="244">
        <f>E18/SUM(E17:E28)</f>
        <v>0.1538461538</v>
      </c>
    </row>
    <row r="19">
      <c r="D19" s="248" t="str">
        <f>IFERROR(__xludf.DUMMYFUNCTION("""COMPUTED_VALUE"""),"RuntimeScheduling")</f>
        <v>RuntimeScheduling</v>
      </c>
      <c r="E19" s="248">
        <f>IFERROR(__xludf.DUMMYFUNCTION("""COMPUTED_VALUE"""),6.0)</f>
        <v>6</v>
      </c>
      <c r="F19" s="244">
        <f>E19/SUM(E17:E28)</f>
        <v>0.1153846154</v>
      </c>
    </row>
    <row r="20">
      <c r="D20" s="248" t="str">
        <f>IFERROR(__xludf.DUMMYFUNCTION("""COMPUTED_VALUE"""),"RuntimePowerManagement")</f>
        <v>RuntimePowerManagement</v>
      </c>
      <c r="E20" s="248">
        <f>IFERROR(__xludf.DUMMYFUNCTION("""COMPUTED_VALUE"""),5.0)</f>
        <v>5</v>
      </c>
      <c r="F20" s="244">
        <f>E20/SUM(E17:E28)</f>
        <v>0.09615384615</v>
      </c>
    </row>
    <row r="21">
      <c r="D21" s="248" t="str">
        <f>IFERROR(__xludf.DUMMYFUNCTION("""COMPUTED_VALUE"""),"RuntimeDeploymentManagement")</f>
        <v>RuntimeDeploymentManagement</v>
      </c>
      <c r="E21" s="248">
        <f>IFERROR(__xludf.DUMMYFUNCTION("""COMPUTED_VALUE"""),4.0)</f>
        <v>4</v>
      </c>
      <c r="F21" s="244">
        <f>E21/SUM(E17:E28)</f>
        <v>0.07692307692</v>
      </c>
    </row>
    <row r="22">
      <c r="D22" s="248" t="str">
        <f>IFERROR(__xludf.DUMMYFUNCTION("""COMPUTED_VALUE"""),"QoSDrivenControl")</f>
        <v>QoSDrivenControl</v>
      </c>
      <c r="E22" s="248">
        <f>IFERROR(__xludf.DUMMYFUNCTION("""COMPUTED_VALUE"""),3.0)</f>
        <v>3</v>
      </c>
      <c r="F22" s="244">
        <f>E22/SUM(E17:E28)</f>
        <v>0.05769230769</v>
      </c>
    </row>
    <row r="23">
      <c r="D23" s="248" t="str">
        <f>IFERROR(__xludf.DUMMYFUNCTION("""COMPUTED_VALUE"""),"MetadataDrivenIntegration")</f>
        <v>MetadataDrivenIntegration</v>
      </c>
      <c r="E23" s="248">
        <f>IFERROR(__xludf.DUMMYFUNCTION("""COMPUTED_VALUE"""),2.0)</f>
        <v>2</v>
      </c>
      <c r="F23" s="244">
        <f>E23/SUM(E17:E28)</f>
        <v>0.03846153846</v>
      </c>
    </row>
    <row r="24">
      <c r="D24" s="248" t="str">
        <f>IFERROR(__xludf.DUMMYFUNCTION("""COMPUTED_VALUE"""),"RuntimeAutoscaling")</f>
        <v>RuntimeAutoscaling</v>
      </c>
      <c r="E24" s="248">
        <f>IFERROR(__xludf.DUMMYFUNCTION("""COMPUTED_VALUE"""),2.0)</f>
        <v>2</v>
      </c>
      <c r="F24" s="244">
        <f>E24/SUM(E17:E28)</f>
        <v>0.03846153846</v>
      </c>
    </row>
    <row r="25">
      <c r="D25" s="248" t="str">
        <f>IFERROR(__xludf.DUMMYFUNCTION("""COMPUTED_VALUE"""),"Brownout")</f>
        <v>Brownout</v>
      </c>
      <c r="E25" s="248">
        <f>IFERROR(__xludf.DUMMYFUNCTION("""COMPUTED_VALUE"""),1.0)</f>
        <v>1</v>
      </c>
      <c r="F25" s="244">
        <f>E25/SUM(E17:E28)</f>
        <v>0.01923076923</v>
      </c>
    </row>
    <row r="26">
      <c r="D26" s="248" t="str">
        <f>IFERROR(__xludf.DUMMYFUNCTION("""COMPUTED_VALUE"""),"DesignTimeAnalysis")</f>
        <v>DesignTimeAnalysis</v>
      </c>
      <c r="E26" s="248">
        <f>IFERROR(__xludf.DUMMYFUNCTION("""COMPUTED_VALUE"""),1.0)</f>
        <v>1</v>
      </c>
      <c r="F26" s="244">
        <f>E26/SUM(E17:E28)</f>
        <v>0.01923076923</v>
      </c>
    </row>
    <row r="27">
      <c r="D27" s="248" t="str">
        <f>IFERROR(__xludf.DUMMYFUNCTION("""COMPUTED_VALUE"""),"DesignTimeConstraints")</f>
        <v>DesignTimeConstraints</v>
      </c>
      <c r="E27" s="248">
        <f>IFERROR(__xludf.DUMMYFUNCTION("""COMPUTED_VALUE"""),1.0)</f>
        <v>1</v>
      </c>
      <c r="F27" s="244">
        <f>E27/SUM(E17:E28)</f>
        <v>0.01923076923</v>
      </c>
    </row>
    <row r="28">
      <c r="D28" s="248" t="str">
        <f>IFERROR(__xludf.DUMMYFUNCTION("""COMPUTED_VALUE"""),"PlacementOptimization")</f>
        <v>PlacementOptimization</v>
      </c>
      <c r="E28" s="248">
        <f>IFERROR(__xludf.DUMMYFUNCTION("""COMPUTED_VALUE"""),1.0)</f>
        <v>1</v>
      </c>
      <c r="F28" s="244">
        <f>E28/SUM(E17:E28)</f>
        <v>0.01923076923</v>
      </c>
    </row>
    <row r="29">
      <c r="D29" s="249" t="s">
        <v>34168</v>
      </c>
      <c r="E29" s="247">
        <f>SUM(E17:E28)</f>
        <v>52</v>
      </c>
    </row>
    <row r="30" ht="28.5" customHeight="1">
      <c r="A30" s="235" t="s">
        <v>34470</v>
      </c>
    </row>
    <row r="31">
      <c r="A31" s="250" t="s">
        <v>123</v>
      </c>
      <c r="B31" s="251" t="str">
        <f t="array" ref="B31">INDEX('Raw Results'!D:D, MATCH(A31, 'Raw Results'!C:C, 0))</f>
        <v>ComponentType</v>
      </c>
      <c r="C31" s="252" t="str">
        <f t="array" ref="C31">INDEX(Parameters!E:E, MATCH(A31, Parameters!A:A, 0))</f>
        <v>Captures the architectural element to which energy consumption is measured or attributed.</v>
      </c>
      <c r="D31" s="251" t="str">
        <f>IFERROR(__xludf.DUMMYFUNCTION("QUERY('Raw Results'!C:F,
 ""select E, sum(F)
  where C = '""&amp;A31&amp;""' and E is not null and E &lt;&gt; 'Total'
  group by E
  order by sum(F) desc
  label E '', sum(F) ''"")
"),"Microservice")</f>
        <v>Microservice</v>
      </c>
      <c r="E31" s="253">
        <f>IFERROR(__xludf.DUMMYFUNCTION("""COMPUTED_VALUE"""),18.0)</f>
        <v>18</v>
      </c>
      <c r="F31" s="254">
        <f>E31/SUM(E31:E47)</f>
        <v>0.1636363636</v>
      </c>
      <c r="G31" s="245" t="s">
        <v>34471</v>
      </c>
      <c r="H31" s="245" t="s">
        <v>34472</v>
      </c>
      <c r="I31" s="255" t="s">
        <v>34473</v>
      </c>
    </row>
    <row r="32">
      <c r="D32" s="253" t="str">
        <f>IFERROR(__xludf.DUMMYFUNCTION("""COMPUTED_VALUE"""),"Container")</f>
        <v>Container</v>
      </c>
      <c r="E32" s="253">
        <f>IFERROR(__xludf.DUMMYFUNCTION("""COMPUTED_VALUE"""),16.0)</f>
        <v>16</v>
      </c>
      <c r="F32" s="254">
        <f>E32/SUM(E31:E47)</f>
        <v>0.1454545455</v>
      </c>
    </row>
    <row r="33">
      <c r="D33" s="253" t="str">
        <f>IFERROR(__xludf.DUMMYFUNCTION("""COMPUTED_VALUE"""),"CPU")</f>
        <v>CPU</v>
      </c>
      <c r="E33" s="253">
        <f>IFERROR(__xludf.DUMMYFUNCTION("""COMPUTED_VALUE"""),10.0)</f>
        <v>10</v>
      </c>
      <c r="F33" s="254">
        <f>E33/SUM(E31:E47)</f>
        <v>0.09090909091</v>
      </c>
    </row>
    <row r="34">
      <c r="D34" s="253" t="str">
        <f>IFERROR(__xludf.DUMMYFUNCTION("""COMPUTED_VALUE"""),"Server")</f>
        <v>Server</v>
      </c>
      <c r="E34" s="253">
        <f>IFERROR(__xludf.DUMMYFUNCTION("""COMPUTED_VALUE"""),10.0)</f>
        <v>10</v>
      </c>
      <c r="F34" s="254">
        <f>E34/SUM(E31:E47)</f>
        <v>0.09090909091</v>
      </c>
    </row>
    <row r="35">
      <c r="D35" s="253" t="str">
        <f>IFERROR(__xludf.DUMMYFUNCTION("""COMPUTED_VALUE"""),"Service")</f>
        <v>Service</v>
      </c>
      <c r="E35" s="253">
        <f>IFERROR(__xludf.DUMMYFUNCTION("""COMPUTED_VALUE"""),10.0)</f>
        <v>10</v>
      </c>
      <c r="F35" s="254">
        <f>E35/SUM(E31:E47)</f>
        <v>0.09090909091</v>
      </c>
    </row>
    <row r="36">
      <c r="D36" s="253" t="str">
        <f>IFERROR(__xludf.DUMMYFUNCTION("""COMPUTED_VALUE"""),"Node")</f>
        <v>Node</v>
      </c>
      <c r="E36" s="253">
        <f>IFERROR(__xludf.DUMMYFUNCTION("""COMPUTED_VALUE"""),8.0)</f>
        <v>8</v>
      </c>
      <c r="F36" s="254">
        <f>E36/SUM(E31:E47)</f>
        <v>0.07272727273</v>
      </c>
    </row>
    <row r="37">
      <c r="D37" s="253" t="str">
        <f>IFERROR(__xludf.DUMMYFUNCTION("""COMPUTED_VALUE"""),"NetworkComponent")</f>
        <v>NetworkComponent</v>
      </c>
      <c r="E37" s="253">
        <f>IFERROR(__xludf.DUMMYFUNCTION("""COMPUTED_VALUE"""),7.0)</f>
        <v>7</v>
      </c>
      <c r="F37" s="254">
        <f>E37/SUM(E31:E47)</f>
        <v>0.06363636364</v>
      </c>
    </row>
    <row r="38">
      <c r="D38" s="253" t="str">
        <f>IFERROR(__xludf.DUMMYFUNCTION("""COMPUTED_VALUE"""),"Component")</f>
        <v>Component</v>
      </c>
      <c r="E38" s="253">
        <f>IFERROR(__xludf.DUMMYFUNCTION("""COMPUTED_VALUE"""),6.0)</f>
        <v>6</v>
      </c>
      <c r="F38" s="254">
        <f>E38/SUM(E31:E47)</f>
        <v>0.05454545455</v>
      </c>
    </row>
    <row r="39">
      <c r="D39" s="253" t="str">
        <f>IFERROR(__xludf.DUMMYFUNCTION("""COMPUTED_VALUE"""),"Memory")</f>
        <v>Memory</v>
      </c>
      <c r="E39" s="253">
        <f>IFERROR(__xludf.DUMMYFUNCTION("""COMPUTED_VALUE"""),6.0)</f>
        <v>6</v>
      </c>
      <c r="F39" s="254">
        <f>E39/SUM(E31:E47)</f>
        <v>0.05454545455</v>
      </c>
    </row>
    <row r="40">
      <c r="D40" s="253" t="str">
        <f>IFERROR(__xludf.DUMMYFUNCTION("""COMPUTED_VALUE"""),"Device")</f>
        <v>Device</v>
      </c>
      <c r="E40" s="253">
        <f>IFERROR(__xludf.DUMMYFUNCTION("""COMPUTED_VALUE"""),4.0)</f>
        <v>4</v>
      </c>
      <c r="F40" s="254">
        <f>E40/SUM(E31:E47)</f>
        <v>0.03636363636</v>
      </c>
    </row>
    <row r="41">
      <c r="D41" s="253" t="str">
        <f>IFERROR(__xludf.DUMMYFUNCTION("""COMPUTED_VALUE"""),"Pod")</f>
        <v>Pod</v>
      </c>
      <c r="E41" s="253">
        <f>IFERROR(__xludf.DUMMYFUNCTION("""COMPUTED_VALUE"""),4.0)</f>
        <v>4</v>
      </c>
      <c r="F41" s="254">
        <f>E41/SUM(E31:E47)</f>
        <v>0.03636363636</v>
      </c>
    </row>
    <row r="42">
      <c r="D42" s="253" t="str">
        <f>IFERROR(__xludf.DUMMYFUNCTION("""COMPUTED_VALUE"""),"Gateway")</f>
        <v>Gateway</v>
      </c>
      <c r="E42" s="253">
        <f>IFERROR(__xludf.DUMMYFUNCTION("""COMPUTED_VALUE"""),3.0)</f>
        <v>3</v>
      </c>
      <c r="F42" s="254">
        <f>E42/SUM(E31:E47)</f>
        <v>0.02727272727</v>
      </c>
    </row>
    <row r="43">
      <c r="D43" s="253" t="str">
        <f>IFERROR(__xludf.DUMMYFUNCTION("""COMPUTED_VALUE"""),"Orchestrator")</f>
        <v>Orchestrator</v>
      </c>
      <c r="E43" s="253">
        <f>IFERROR(__xludf.DUMMYFUNCTION("""COMPUTED_VALUE"""),2.0)</f>
        <v>2</v>
      </c>
      <c r="F43" s="254">
        <f>E43/SUM(E31:E47)</f>
        <v>0.01818181818</v>
      </c>
    </row>
    <row r="44">
      <c r="D44" s="253" t="str">
        <f>IFERROR(__xludf.DUMMYFUNCTION("""COMPUTED_VALUE"""),"Storage")</f>
        <v>Storage</v>
      </c>
      <c r="E44" s="253">
        <f>IFERROR(__xludf.DUMMYFUNCTION("""COMPUTED_VALUE"""),2.0)</f>
        <v>2</v>
      </c>
      <c r="F44" s="254">
        <f>E44/SUM(E31:E47)</f>
        <v>0.01818181818</v>
      </c>
    </row>
    <row r="45">
      <c r="D45" s="253" t="str">
        <f>IFERROR(__xludf.DUMMYFUNCTION("""COMPUTED_VALUE"""),"VirtualMachine")</f>
        <v>VirtualMachine</v>
      </c>
      <c r="E45" s="253">
        <f>IFERROR(__xludf.DUMMYFUNCTION("""COMPUTED_VALUE"""),2.0)</f>
        <v>2</v>
      </c>
      <c r="F45" s="254">
        <f>E45/SUM(E31:E47)</f>
        <v>0.01818181818</v>
      </c>
    </row>
    <row r="46">
      <c r="D46" s="253" t="str">
        <f>IFERROR(__xludf.DUMMYFUNCTION("""COMPUTED_VALUE"""),"LoadBalancer")</f>
        <v>LoadBalancer</v>
      </c>
      <c r="E46" s="253">
        <f>IFERROR(__xludf.DUMMYFUNCTION("""COMPUTED_VALUE"""),1.0)</f>
        <v>1</v>
      </c>
      <c r="F46" s="254">
        <f>E46/SUM(E31:E47)</f>
        <v>0.009090909091</v>
      </c>
    </row>
    <row r="47">
      <c r="D47" s="253" t="str">
        <f>IFERROR(__xludf.DUMMYFUNCTION("""COMPUTED_VALUE"""),"MonitoringComponent")</f>
        <v>MonitoringComponent</v>
      </c>
      <c r="E47" s="253">
        <f>IFERROR(__xludf.DUMMYFUNCTION("""COMPUTED_VALUE"""),1.0)</f>
        <v>1</v>
      </c>
      <c r="F47" s="254">
        <f>E47/SUM(E31:E47)</f>
        <v>0.009090909091</v>
      </c>
    </row>
    <row r="48">
      <c r="D48" s="256" t="s">
        <v>34168</v>
      </c>
      <c r="E48" s="253">
        <f>SUM(E31:E47)</f>
        <v>110</v>
      </c>
    </row>
    <row r="49">
      <c r="A49" s="257" t="s">
        <v>127</v>
      </c>
      <c r="B49" s="251" t="str">
        <f t="array" ref="B49">INDEX('Raw Results'!D:D, MATCH(A49, 'Raw Results'!C:C, 0))</f>
        <v>EnergyConsumptionSource</v>
      </c>
      <c r="C49" s="252" t="str">
        <f t="array" ref="C49">INDEX(Parameters!E:E, MATCH(A49, Parameters!A:A, 0))</f>
        <v>The type of system activity responsible for the measured energy consumption.</v>
      </c>
      <c r="D49" s="251" t="str">
        <f>IFERROR(__xludf.DUMMYFUNCTION("QUERY('Raw Results'!C:F,
 ""select E, sum(F)
  where C = '""&amp;A49&amp;""' and E is not null and E &lt;&gt; 'Total'
  group by E
  order by sum(F) desc
  label E '', sum(F) ''"")
"),"CPU")</f>
        <v>CPU</v>
      </c>
      <c r="E49" s="253">
        <f>IFERROR(__xludf.DUMMYFUNCTION("""COMPUTED_VALUE"""),33.0)</f>
        <v>33</v>
      </c>
      <c r="F49" s="254">
        <f>E49/SUM(E49:E59)</f>
        <v>0.3707865169</v>
      </c>
      <c r="G49" s="245" t="s">
        <v>34474</v>
      </c>
      <c r="H49" s="245"/>
    </row>
    <row r="50">
      <c r="D50" s="253" t="str">
        <f>IFERROR(__xludf.DUMMYFUNCTION("""COMPUTED_VALUE"""),"Network")</f>
        <v>Network</v>
      </c>
      <c r="E50" s="253">
        <f>IFERROR(__xludf.DUMMYFUNCTION("""COMPUTED_VALUE"""),20.0)</f>
        <v>20</v>
      </c>
      <c r="F50" s="254">
        <f>E50/SUM(E49:E59)</f>
        <v>0.2247191011</v>
      </c>
    </row>
    <row r="51">
      <c r="D51" s="253" t="str">
        <f>IFERROR(__xludf.DUMMYFUNCTION("""COMPUTED_VALUE"""),"Memory")</f>
        <v>Memory</v>
      </c>
      <c r="E51" s="253">
        <f>IFERROR(__xludf.DUMMYFUNCTION("""COMPUTED_VALUE"""),10.0)</f>
        <v>10</v>
      </c>
      <c r="F51" s="254">
        <f>E51/SUM(E49:E59)</f>
        <v>0.1123595506</v>
      </c>
    </row>
    <row r="52">
      <c r="D52" s="253" t="str">
        <f>IFERROR(__xludf.DUMMYFUNCTION("""COMPUTED_VALUE"""),"Storage")</f>
        <v>Storage</v>
      </c>
      <c r="E52" s="253">
        <f>IFERROR(__xludf.DUMMYFUNCTION("""COMPUTED_VALUE"""),8.0)</f>
        <v>8</v>
      </c>
      <c r="F52" s="254">
        <f>E52/SUM(E49:E59)</f>
        <v>0.08988764045</v>
      </c>
    </row>
    <row r="53">
      <c r="D53" s="253" t="str">
        <f>IFERROR(__xludf.DUMMYFUNCTION("""COMPUTED_VALUE"""),"Device")</f>
        <v>Device</v>
      </c>
      <c r="E53" s="253">
        <f>IFERROR(__xludf.DUMMYFUNCTION("""COMPUTED_VALUE"""),5.0)</f>
        <v>5</v>
      </c>
      <c r="F53" s="254">
        <f>E53/SUM(E49:E59)</f>
        <v>0.05617977528</v>
      </c>
    </row>
    <row r="54">
      <c r="D54" s="253" t="str">
        <f>IFERROR(__xludf.DUMMYFUNCTION("""COMPUTED_VALUE"""),"Server")</f>
        <v>Server</v>
      </c>
      <c r="E54" s="253">
        <f>IFERROR(__xludf.DUMMYFUNCTION("""COMPUTED_VALUE"""),4.0)</f>
        <v>4</v>
      </c>
      <c r="F54" s="254">
        <f>E54/SUM(E49:E59)</f>
        <v>0.04494382022</v>
      </c>
    </row>
    <row r="55">
      <c r="D55" s="253" t="str">
        <f>IFERROR(__xludf.DUMMYFUNCTION("""COMPUTED_VALUE"""),"Computation")</f>
        <v>Computation</v>
      </c>
      <c r="E55" s="253">
        <f>IFERROR(__xludf.DUMMYFUNCTION("""COMPUTED_VALUE"""),3.0)</f>
        <v>3</v>
      </c>
      <c r="F55" s="254">
        <f>E55/SUM(E49:E59)</f>
        <v>0.03370786517</v>
      </c>
    </row>
    <row r="56">
      <c r="D56" s="253" t="str">
        <f>IFERROR(__xludf.DUMMYFUNCTION("""COMPUTED_VALUE"""),"IdlePower")</f>
        <v>IdlePower</v>
      </c>
      <c r="E56" s="253">
        <f>IFERROR(__xludf.DUMMYFUNCTION("""COMPUTED_VALUE"""),2.0)</f>
        <v>2</v>
      </c>
      <c r="F56" s="254">
        <f>E56/SUM(E49:E59)</f>
        <v>0.02247191011</v>
      </c>
    </row>
    <row r="57">
      <c r="D57" s="253" t="str">
        <f>IFERROR(__xludf.DUMMYFUNCTION("""COMPUTED_VALUE"""),"PowerSupply")</f>
        <v>PowerSupply</v>
      </c>
      <c r="E57" s="253">
        <f>IFERROR(__xludf.DUMMYFUNCTION("""COMPUTED_VALUE"""),2.0)</f>
        <v>2</v>
      </c>
      <c r="F57" s="254">
        <f>E57/SUM(E49:E59)</f>
        <v>0.02247191011</v>
      </c>
    </row>
    <row r="58">
      <c r="D58" s="253" t="str">
        <f>IFERROR(__xludf.DUMMYFUNCTION("""COMPUTED_VALUE"""),"FPGA")</f>
        <v>FPGA</v>
      </c>
      <c r="E58" s="253">
        <f>IFERROR(__xludf.DUMMYFUNCTION("""COMPUTED_VALUE"""),1.0)</f>
        <v>1</v>
      </c>
      <c r="F58" s="254">
        <f>E58/SUM(E49:E59)</f>
        <v>0.01123595506</v>
      </c>
    </row>
    <row r="59">
      <c r="D59" s="253" t="str">
        <f>IFERROR(__xludf.DUMMYFUNCTION("""COMPUTED_VALUE"""),"MaxPower")</f>
        <v>MaxPower</v>
      </c>
      <c r="E59" s="253">
        <f>IFERROR(__xludf.DUMMYFUNCTION("""COMPUTED_VALUE"""),1.0)</f>
        <v>1</v>
      </c>
      <c r="F59" s="254">
        <f>E59/SUM(E49:E59)</f>
        <v>0.01123595506</v>
      </c>
    </row>
    <row r="60">
      <c r="D60" s="256" t="s">
        <v>34168</v>
      </c>
      <c r="E60" s="253">
        <f>SUM(E49:E59)</f>
        <v>89</v>
      </c>
    </row>
    <row r="61">
      <c r="A61" s="257" t="s">
        <v>132</v>
      </c>
      <c r="B61" s="251" t="str">
        <f t="array" ref="B61">INDEX('Raw Results'!D:D, MATCH(A61, 'Raw Results'!C:C, 0))</f>
        <v>ComponentRelationship</v>
      </c>
      <c r="C61" s="252" t="str">
        <f t="array" ref="C61">INDEX(Parameters!E:E, MATCH(A61, Parameters!A:A, 0))</f>
        <v>Describes how interactions and dependencies between components are characterised when reasoning about energy efficiency</v>
      </c>
      <c r="D61" s="251" t="str">
        <f>IFERROR(__xludf.DUMMYFUNCTION("QUERY('Raw Results'!C:F,
 ""select E, sum(F)
  where C = '""&amp;A61&amp;""' and E is not null and E &lt;&gt; 'Total'
  group by E
  order by sum(F) desc
  label E '', sum(F) ''"")
"),"CommunicationOverhead")</f>
        <v>CommunicationOverhead</v>
      </c>
      <c r="E61" s="253">
        <f>IFERROR(__xludf.DUMMYFUNCTION("""COMPUTED_VALUE"""),9.0)</f>
        <v>9</v>
      </c>
      <c r="F61" s="254">
        <f>E61/SUM(E61:E69)</f>
        <v>0.4090909091</v>
      </c>
      <c r="G61" s="245" t="s">
        <v>34475</v>
      </c>
      <c r="H61" s="242"/>
    </row>
    <row r="62">
      <c r="D62" s="253" t="str">
        <f>IFERROR(__xludf.DUMMYFUNCTION("""COMPUTED_VALUE"""),"DependencyCascade")</f>
        <v>DependencyCascade</v>
      </c>
      <c r="E62" s="253">
        <f>IFERROR(__xludf.DUMMYFUNCTION("""COMPUTED_VALUE"""),3.0)</f>
        <v>3</v>
      </c>
      <c r="F62" s="254">
        <f>E62/SUM(E61:E69)</f>
        <v>0.1363636364</v>
      </c>
    </row>
    <row r="63">
      <c r="D63" s="253" t="str">
        <f>IFERROR(__xludf.DUMMYFUNCTION("""COMPUTED_VALUE"""),"PlacementDependency")</f>
        <v>PlacementDependency</v>
      </c>
      <c r="E63" s="253">
        <f>IFERROR(__xludf.DUMMYFUNCTION("""COMPUTED_VALUE"""),3.0)</f>
        <v>3</v>
      </c>
      <c r="F63" s="254">
        <f>E63/SUM(E61:E69)</f>
        <v>0.1363636364</v>
      </c>
    </row>
    <row r="64">
      <c r="D64" s="253" t="str">
        <f>IFERROR(__xludf.DUMMYFUNCTION("""COMPUTED_VALUE"""),"StartUpBehavior")</f>
        <v>StartUpBehavior</v>
      </c>
      <c r="E64" s="253">
        <f>IFERROR(__xludf.DUMMYFUNCTION("""COMPUTED_VALUE"""),2.0)</f>
        <v>2</v>
      </c>
      <c r="F64" s="254">
        <f>E64/SUM(E61:E69)</f>
        <v>0.09090909091</v>
      </c>
    </row>
    <row r="65">
      <c r="D65" s="253" t="str">
        <f>IFERROR(__xludf.DUMMYFUNCTION("""COMPUTED_VALUE"""),"Reconfiguration")</f>
        <v>Reconfiguration</v>
      </c>
      <c r="E65" s="253">
        <f>IFERROR(__xludf.DUMMYFUNCTION("""COMPUTED_VALUE"""),1.0)</f>
        <v>1</v>
      </c>
      <c r="F65" s="254">
        <f>E65/SUM(E61:E69)</f>
        <v>0.04545454545</v>
      </c>
    </row>
    <row r="66">
      <c r="D66" s="253" t="str">
        <f>IFERROR(__xludf.DUMMYFUNCTION("""COMPUTED_VALUE"""),"RedundancyReplication")</f>
        <v>RedundancyReplication</v>
      </c>
      <c r="E66" s="253">
        <f>IFERROR(__xludf.DUMMYFUNCTION("""COMPUTED_VALUE"""),1.0)</f>
        <v>1</v>
      </c>
      <c r="F66" s="254">
        <f>E66/SUM(E61:E69)</f>
        <v>0.04545454545</v>
      </c>
    </row>
    <row r="67">
      <c r="D67" s="253" t="str">
        <f>IFERROR(__xludf.DUMMYFUNCTION("""COMPUTED_VALUE"""),"RequestBatching")</f>
        <v>RequestBatching</v>
      </c>
      <c r="E67" s="253">
        <f>IFERROR(__xludf.DUMMYFUNCTION("""COMPUTED_VALUE"""),1.0)</f>
        <v>1</v>
      </c>
      <c r="F67" s="254">
        <f>E67/SUM(E61:E69)</f>
        <v>0.04545454545</v>
      </c>
    </row>
    <row r="68">
      <c r="D68" s="253" t="str">
        <f>IFERROR(__xludf.DUMMYFUNCTION("""COMPUTED_VALUE"""),"ServiceDeactivation")</f>
        <v>ServiceDeactivation</v>
      </c>
      <c r="E68" s="253">
        <f>IFERROR(__xludf.DUMMYFUNCTION("""COMPUTED_VALUE"""),1.0)</f>
        <v>1</v>
      </c>
      <c r="F68" s="254">
        <f>E68/SUM(E61:E69)</f>
        <v>0.04545454545</v>
      </c>
    </row>
    <row r="69">
      <c r="D69" s="253" t="str">
        <f>IFERROR(__xludf.DUMMYFUNCTION("""COMPUTED_VALUE"""),"SharedResourceContention")</f>
        <v>SharedResourceContention</v>
      </c>
      <c r="E69" s="253">
        <f>IFERROR(__xludf.DUMMYFUNCTION("""COMPUTED_VALUE"""),1.0)</f>
        <v>1</v>
      </c>
      <c r="F69" s="254">
        <f>E69/SUM(E61:E69)</f>
        <v>0.04545454545</v>
      </c>
    </row>
    <row r="70">
      <c r="D70" s="256" t="s">
        <v>34168</v>
      </c>
      <c r="E70" s="253">
        <f>SUM(E61:E69)</f>
        <v>22</v>
      </c>
    </row>
    <row r="71" ht="28.5" customHeight="1">
      <c r="A71" s="238" t="s">
        <v>136</v>
      </c>
    </row>
    <row r="72" ht="28.5" customHeight="1">
      <c r="A72" s="235" t="s">
        <v>137</v>
      </c>
      <c r="J72" s="239" t="s">
        <v>34476</v>
      </c>
    </row>
    <row r="73">
      <c r="A73" s="258" t="s">
        <v>138</v>
      </c>
      <c r="B73" s="259" t="str">
        <f t="array" ref="B73">INDEX('Raw Results'!D:D, MATCH(A73, 'Raw Results'!C:C, 0))</f>
        <v>MeasurementLevel</v>
      </c>
      <c r="C73" s="260" t="str">
        <f t="array" ref="C73">INDEX(Parameters!E:E, MATCH(A73, Parameters!A:A, 0))</f>
        <v>Represents at which level energy consumption is measured</v>
      </c>
      <c r="D73" s="259" t="str">
        <f>IFERROR(__xludf.DUMMYFUNCTION("QUERY('Raw Results'!C:F,
 ""select E, sum(F)
  where C = '""&amp;A73&amp;""' and E is not null and E &lt;&gt; 'Total'
  group by E
  order by sum(F) desc
  label E '', sum(F) ''"")
"),"Hardware")</f>
        <v>Hardware</v>
      </c>
      <c r="E73" s="58">
        <f>IFERROR(__xludf.DUMMYFUNCTION("""COMPUTED_VALUE"""),18.0)</f>
        <v>18</v>
      </c>
      <c r="F73" s="244">
        <f>E73/SUM(E73:E85)</f>
        <v>0.3103448276</v>
      </c>
      <c r="G73" s="261" t="s">
        <v>34477</v>
      </c>
      <c r="H73" s="260"/>
      <c r="I73" s="262" t="s">
        <v>34478</v>
      </c>
    </row>
    <row r="74">
      <c r="D74" s="58" t="str">
        <f>IFERROR(__xludf.DUMMYFUNCTION("""COMPUTED_VALUE"""),"ServerHost")</f>
        <v>ServerHost</v>
      </c>
      <c r="E74" s="58">
        <f>IFERROR(__xludf.DUMMYFUNCTION("""COMPUTED_VALUE"""),11.0)</f>
        <v>11</v>
      </c>
      <c r="F74" s="244">
        <f>E74/SUM(E73:E85)</f>
        <v>0.1896551724</v>
      </c>
    </row>
    <row r="75">
      <c r="D75" s="58" t="str">
        <f>IFERROR(__xludf.DUMMYFUNCTION("""COMPUTED_VALUE"""),"ContainerPod")</f>
        <v>ContainerPod</v>
      </c>
      <c r="E75" s="58">
        <f>IFERROR(__xludf.DUMMYFUNCTION("""COMPUTED_VALUE"""),6.0)</f>
        <v>6</v>
      </c>
      <c r="F75" s="244">
        <f>E75/SUM(E73:E85)</f>
        <v>0.1034482759</v>
      </c>
    </row>
    <row r="76">
      <c r="D76" s="58" t="str">
        <f>IFERROR(__xludf.DUMMYFUNCTION("""COMPUTED_VALUE"""),"Request")</f>
        <v>Request</v>
      </c>
      <c r="E76" s="58">
        <f>IFERROR(__xludf.DUMMYFUNCTION("""COMPUTED_VALUE"""),5.0)</f>
        <v>5</v>
      </c>
      <c r="F76" s="244">
        <f>E76/SUM(E73:E85)</f>
        <v>0.08620689655</v>
      </c>
    </row>
    <row r="77">
      <c r="D77" s="58" t="str">
        <f>IFERROR(__xludf.DUMMYFUNCTION("""COMPUTED_VALUE"""),"NodeDevice")</f>
        <v>NodeDevice</v>
      </c>
      <c r="E77" s="58">
        <f>IFERROR(__xludf.DUMMYFUNCTION("""COMPUTED_VALUE"""),4.0)</f>
        <v>4</v>
      </c>
      <c r="F77" s="244">
        <f>E77/SUM(E73:E85)</f>
        <v>0.06896551724</v>
      </c>
    </row>
    <row r="78">
      <c r="D78" s="58" t="str">
        <f>IFERROR(__xludf.DUMMYFUNCTION("""COMPUTED_VALUE"""),"Application")</f>
        <v>Application</v>
      </c>
      <c r="E78" s="58">
        <f>IFERROR(__xludf.DUMMYFUNCTION("""COMPUTED_VALUE"""),2.0)</f>
        <v>2</v>
      </c>
      <c r="F78" s="244">
        <f>E78/SUM(E73:E85)</f>
        <v>0.03448275862</v>
      </c>
    </row>
    <row r="79">
      <c r="D79" s="58" t="str">
        <f>IFERROR(__xludf.DUMMYFUNCTION("""COMPUTED_VALUE"""),"ClusterDatacenter")</f>
        <v>ClusterDatacenter</v>
      </c>
      <c r="E79" s="58">
        <f>IFERROR(__xludf.DUMMYFUNCTION("""COMPUTED_VALUE"""),2.0)</f>
        <v>2</v>
      </c>
      <c r="F79" s="244">
        <f>E79/SUM(E73:E85)</f>
        <v>0.03448275862</v>
      </c>
    </row>
    <row r="80">
      <c r="D80" s="58" t="str">
        <f>IFERROR(__xludf.DUMMYFUNCTION("""COMPUTED_VALUE"""),"Component")</f>
        <v>Component</v>
      </c>
      <c r="E80" s="58">
        <f>IFERROR(__xludf.DUMMYFUNCTION("""COMPUTED_VALUE"""),2.0)</f>
        <v>2</v>
      </c>
      <c r="F80" s="244">
        <f>E80/SUM(E73:E85)</f>
        <v>0.03448275862</v>
      </c>
    </row>
    <row r="81">
      <c r="D81" s="58" t="str">
        <f>IFERROR(__xludf.DUMMYFUNCTION("""COMPUTED_VALUE"""),"Network")</f>
        <v>Network</v>
      </c>
      <c r="E81" s="58">
        <f>IFERROR(__xludf.DUMMYFUNCTION("""COMPUTED_VALUE"""),2.0)</f>
        <v>2</v>
      </c>
      <c r="F81" s="244">
        <f>E81/SUM(E73:E85)</f>
        <v>0.03448275862</v>
      </c>
    </row>
    <row r="82">
      <c r="D82" s="53" t="str">
        <f>IFERROR(__xludf.DUMMYFUNCTION("""COMPUTED_VALUE"""),"OS")</f>
        <v>OS</v>
      </c>
      <c r="E82" s="58">
        <f>IFERROR(__xludf.DUMMYFUNCTION("""COMPUTED_VALUE"""),2.0)</f>
        <v>2</v>
      </c>
      <c r="F82" s="244">
        <f>E82/SUM(E73:E85)</f>
        <v>0.03448275862</v>
      </c>
    </row>
    <row r="83">
      <c r="D83" s="58" t="str">
        <f>IFERROR(__xludf.DUMMYFUNCTION("""COMPUTED_VALUE"""),"Service")</f>
        <v>Service</v>
      </c>
      <c r="E83" s="58">
        <f>IFERROR(__xludf.DUMMYFUNCTION("""COMPUTED_VALUE"""),2.0)</f>
        <v>2</v>
      </c>
      <c r="F83" s="244">
        <f>E83/SUM(E73:E85)</f>
        <v>0.03448275862</v>
      </c>
    </row>
    <row r="84">
      <c r="D84" s="58" t="str">
        <f>IFERROR(__xludf.DUMMYFUNCTION("""COMPUTED_VALUE"""),"Function")</f>
        <v>Function</v>
      </c>
      <c r="E84" s="58">
        <f>IFERROR(__xludf.DUMMYFUNCTION("""COMPUTED_VALUE"""),1.0)</f>
        <v>1</v>
      </c>
      <c r="F84" s="244">
        <f>E84/SUM(E73:E85)</f>
        <v>0.01724137931</v>
      </c>
    </row>
    <row r="85">
      <c r="D85" s="58" t="str">
        <f>IFERROR(__xludf.DUMMYFUNCTION("""COMPUTED_VALUE"""),"TaskThread")</f>
        <v>TaskThread</v>
      </c>
      <c r="E85" s="58">
        <f>IFERROR(__xludf.DUMMYFUNCTION("""COMPUTED_VALUE"""),1.0)</f>
        <v>1</v>
      </c>
      <c r="F85" s="244">
        <f>E85/SUM(E73:E85)</f>
        <v>0.01724137931</v>
      </c>
    </row>
    <row r="86">
      <c r="D86" s="249" t="s">
        <v>34168</v>
      </c>
      <c r="E86" s="247">
        <f>SUM(E73:E85)</f>
        <v>58</v>
      </c>
    </row>
    <row r="87">
      <c r="A87" s="263" t="s">
        <v>142</v>
      </c>
      <c r="B87" s="260" t="str">
        <f t="array" ref="B87">INDEX('Raw Results'!D:D, MATCH(A87, 'Raw Results'!C:C, 0))</f>
        <v>MeasurementTechnique</v>
      </c>
      <c r="C87" s="260" t="str">
        <f t="array" ref="C87">INDEX(Parameters!E:E, MATCH(A87, Parameters!A:A, 0))</f>
        <v>Describes the technique used to measure energy consumption</v>
      </c>
      <c r="D87" s="259" t="str">
        <f>IFERROR(__xludf.DUMMYFUNCTION("QUERY('Raw Results'!C:F,
 ""select E, sum(F)
  where C = '""&amp;A87&amp;""' and E is not null and E &lt;&gt; 'Total'
  group by E
  order by sum(F) desc
  label E '', sum(F) ''"")
"),"ModelBasedEstimation")</f>
        <v>ModelBasedEstimation</v>
      </c>
      <c r="E87" s="58">
        <f>IFERROR(__xludf.DUMMYFUNCTION("""COMPUTED_VALUE"""),24.0)</f>
        <v>24</v>
      </c>
      <c r="F87" s="244">
        <f>E87/SUM(E87:E92)</f>
        <v>0.5714285714</v>
      </c>
      <c r="G87" s="261" t="s">
        <v>34479</v>
      </c>
      <c r="H87" s="261" t="s">
        <v>34480</v>
      </c>
    </row>
    <row r="88">
      <c r="D88" s="58" t="str">
        <f>IFERROR(__xludf.DUMMYFUNCTION("""COMPUTED_VALUE"""),"DirectPowerMeasurement")</f>
        <v>DirectPowerMeasurement</v>
      </c>
      <c r="E88" s="58">
        <f>IFERROR(__xludf.DUMMYFUNCTION("""COMPUTED_VALUE"""),7.0)</f>
        <v>7</v>
      </c>
      <c r="F88" s="244">
        <f>E88/SUM(E87:E92)</f>
        <v>0.1666666667</v>
      </c>
    </row>
    <row r="89">
      <c r="D89" s="58" t="str">
        <f>IFERROR(__xludf.DUMMYFUNCTION("""COMPUTED_VALUE"""),"HardwareCounterAPI")</f>
        <v>HardwareCounterAPI</v>
      </c>
      <c r="E89" s="58">
        <f>IFERROR(__xludf.DUMMYFUNCTION("""COMPUTED_VALUE"""),4.0)</f>
        <v>4</v>
      </c>
      <c r="F89" s="244">
        <f>E89/SUM(E87:E92)</f>
        <v>0.09523809524</v>
      </c>
    </row>
    <row r="90">
      <c r="D90" s="58" t="str">
        <f>IFERROR(__xludf.DUMMYFUNCTION("""COMPUTED_VALUE"""),"SoftwareProfiling")</f>
        <v>SoftwareProfiling</v>
      </c>
      <c r="E90" s="58">
        <f>IFERROR(__xludf.DUMMYFUNCTION("""COMPUTED_VALUE"""),4.0)</f>
        <v>4</v>
      </c>
      <c r="F90" s="244">
        <f>E90/SUM(E87:E92)</f>
        <v>0.09523809524</v>
      </c>
    </row>
    <row r="91">
      <c r="D91" s="58" t="str">
        <f>IFERROR(__xludf.DUMMYFUNCTION("""COMPUTED_VALUE"""),"PhysicalPowerMeter")</f>
        <v>PhysicalPowerMeter</v>
      </c>
      <c r="E91" s="58">
        <f>IFERROR(__xludf.DUMMYFUNCTION("""COMPUTED_VALUE"""),2.0)</f>
        <v>2</v>
      </c>
      <c r="F91" s="244">
        <f>E91/SUM(E87:E92)</f>
        <v>0.04761904762</v>
      </c>
    </row>
    <row r="92">
      <c r="D92" s="58" t="str">
        <f>IFERROR(__xludf.DUMMYFUNCTION("""COMPUTED_VALUE"""),"Simulation")</f>
        <v>Simulation</v>
      </c>
      <c r="E92" s="58">
        <f>IFERROR(__xludf.DUMMYFUNCTION("""COMPUTED_VALUE"""),1.0)</f>
        <v>1</v>
      </c>
      <c r="F92" s="244">
        <f>E92/SUM(E87:E92)</f>
        <v>0.02380952381</v>
      </c>
    </row>
    <row r="93">
      <c r="D93" s="249" t="s">
        <v>34168</v>
      </c>
      <c r="E93" s="247">
        <f>SUM(E87:E92)</f>
        <v>42</v>
      </c>
    </row>
    <row r="94">
      <c r="A94" s="263" t="s">
        <v>146</v>
      </c>
      <c r="B94" s="260" t="str">
        <f t="array" ref="B94">INDEX('Raw Results'!D:D, MATCH(A94, 'Raw Results'!C:C, 0))</f>
        <v>DataCollection</v>
      </c>
      <c r="C94" s="260" t="str">
        <f t="array" ref="C94">INDEX(Parameters!E:E, MATCH(A94, Parameters!A:A, 0))</f>
        <v>Refers to the method of collecting energy consumption data</v>
      </c>
      <c r="D94" s="259" t="str">
        <f>IFERROR(__xludf.DUMMYFUNCTION("QUERY('Raw Results'!C:F,
 ""select E, sum(F)
  where C = '""&amp;A94&amp;""' and E is not null and E &lt;&gt; 'Total'
  group by E
  order by sum(F) desc
  label E '', sum(F) ''"")
"),"Monitoring")</f>
        <v>Monitoring</v>
      </c>
      <c r="E94" s="58">
        <f>IFERROR(__xludf.DUMMYFUNCTION("""COMPUTED_VALUE"""),18.0)</f>
        <v>18</v>
      </c>
      <c r="F94" s="244">
        <f>E94/SUM(E94:E100)</f>
        <v>0.45</v>
      </c>
      <c r="G94" s="261" t="s">
        <v>34481</v>
      </c>
    </row>
    <row r="95">
      <c r="D95" s="58" t="str">
        <f>IFERROR(__xludf.DUMMYFUNCTION("""COMPUTED_VALUE"""),"Sampling")</f>
        <v>Sampling</v>
      </c>
      <c r="E95" s="58">
        <f>IFERROR(__xludf.DUMMYFUNCTION("""COMPUTED_VALUE"""),10.0)</f>
        <v>10</v>
      </c>
      <c r="F95" s="244">
        <f>E95/SUM(E94:E100)</f>
        <v>0.25</v>
      </c>
    </row>
    <row r="96">
      <c r="D96" s="58" t="str">
        <f>IFERROR(__xludf.DUMMYFUNCTION("""COMPUTED_VALUE"""),"Simulation")</f>
        <v>Simulation</v>
      </c>
      <c r="E96" s="58">
        <f>IFERROR(__xludf.DUMMYFUNCTION("""COMPUTED_VALUE"""),4.0)</f>
        <v>4</v>
      </c>
      <c r="F96" s="244">
        <f>E96/SUM(E94:E100)</f>
        <v>0.1</v>
      </c>
    </row>
    <row r="97">
      <c r="D97" s="58" t="str">
        <f>IFERROR(__xludf.DUMMYFUNCTION("""COMPUTED_VALUE"""),"TracingProfiling")</f>
        <v>TracingProfiling</v>
      </c>
      <c r="E97" s="58">
        <f>IFERROR(__xludf.DUMMYFUNCTION("""COMPUTED_VALUE"""),3.0)</f>
        <v>3</v>
      </c>
      <c r="F97" s="244">
        <f>E97/SUM(E94:E100)</f>
        <v>0.075</v>
      </c>
    </row>
    <row r="98">
      <c r="D98" s="58" t="str">
        <f>IFERROR(__xludf.DUMMYFUNCTION("""COMPUTED_VALUE"""),"APICounterReadout")</f>
        <v>APICounterReadout</v>
      </c>
      <c r="E98" s="58">
        <f>IFERROR(__xludf.DUMMYFUNCTION("""COMPUTED_VALUE"""),2.0)</f>
        <v>2</v>
      </c>
      <c r="F98" s="244">
        <f>E98/SUM(E94:E100)</f>
        <v>0.05</v>
      </c>
    </row>
    <row r="99">
      <c r="D99" s="58" t="str">
        <f>IFERROR(__xludf.DUMMYFUNCTION("""COMPUTED_VALUE"""),"Logging")</f>
        <v>Logging</v>
      </c>
      <c r="E99" s="58">
        <f>IFERROR(__xludf.DUMMYFUNCTION("""COMPUTED_VALUE"""),2.0)</f>
        <v>2</v>
      </c>
      <c r="F99" s="244">
        <f>E99/SUM(E94:E100)</f>
        <v>0.05</v>
      </c>
    </row>
    <row r="100">
      <c r="D100" s="58" t="str">
        <f>IFERROR(__xludf.DUMMYFUNCTION("""COMPUTED_VALUE"""),"APIReading")</f>
        <v>APIReading</v>
      </c>
      <c r="E100" s="58">
        <f>IFERROR(__xludf.DUMMYFUNCTION("""COMPUTED_VALUE"""),1.0)</f>
        <v>1</v>
      </c>
      <c r="F100" s="244">
        <f>E100/SUM(E94:E100)</f>
        <v>0.025</v>
      </c>
    </row>
    <row r="101">
      <c r="D101" s="249" t="s">
        <v>34168</v>
      </c>
      <c r="E101" s="247">
        <f>SUM(E94:E100)</f>
        <v>40</v>
      </c>
    </row>
    <row r="102" ht="28.5" customHeight="1">
      <c r="A102" s="235" t="s">
        <v>154</v>
      </c>
    </row>
    <row r="103">
      <c r="A103" s="260" t="s">
        <v>155</v>
      </c>
      <c r="B103" s="260" t="str">
        <f t="array" ref="B103">INDEX('Raw Results'!D:D, MATCH(A103, 'Raw Results'!C:C, 0))</f>
        <v>ToolType</v>
      </c>
      <c r="C103" s="260" t="str">
        <f t="array" ref="C103">INDEX(Parameters!E:E, MATCH(A103, Parameters!A:A, 0))</f>
        <v>Categorizes the type of tools used for energy consumption analysis</v>
      </c>
      <c r="D103" s="259" t="str">
        <f>IFERROR(__xludf.DUMMYFUNCTION("QUERY('Raw Results'!C:F,
 ""select E, sum(F)
  where C = '""&amp;A103&amp;""' and E is not null and E &lt;&gt; 'Total'
  group by E
  order by sum(F) desc
  label E '', sum(F) ''"")
"),"EnergyMeter")</f>
        <v>EnergyMeter</v>
      </c>
      <c r="E103" s="58">
        <f>IFERROR(__xludf.DUMMYFUNCTION("""COMPUTED_VALUE"""),14.0)</f>
        <v>14</v>
      </c>
      <c r="F103" s="244">
        <f>E103/SUM(E103:E110)</f>
        <v>0.3414634146</v>
      </c>
      <c r="G103" s="261" t="s">
        <v>34482</v>
      </c>
      <c r="H103" s="260"/>
      <c r="I103" s="262" t="s">
        <v>34483</v>
      </c>
    </row>
    <row r="104">
      <c r="D104" s="58" t="str">
        <f>IFERROR(__xludf.DUMMYFUNCTION("""COMPUTED_VALUE"""),"Simulator")</f>
        <v>Simulator</v>
      </c>
      <c r="E104" s="58">
        <f>IFERROR(__xludf.DUMMYFUNCTION("""COMPUTED_VALUE"""),12.0)</f>
        <v>12</v>
      </c>
      <c r="F104" s="244">
        <f>E104/SUM(E103:E110)</f>
        <v>0.2926829268</v>
      </c>
    </row>
    <row r="105">
      <c r="D105" s="58" t="str">
        <f>IFERROR(__xludf.DUMMYFUNCTION("""COMPUTED_VALUE"""),"MonitoringPlatform")</f>
        <v>MonitoringPlatform</v>
      </c>
      <c r="E105" s="58">
        <f>IFERROR(__xludf.DUMMYFUNCTION("""COMPUTED_VALUE"""),8.0)</f>
        <v>8</v>
      </c>
      <c r="F105" s="244">
        <f>E105/SUM(E103:E110)</f>
        <v>0.1951219512</v>
      </c>
    </row>
    <row r="106">
      <c r="D106" s="58" t="str">
        <f>IFERROR(__xludf.DUMMYFUNCTION("""COMPUTED_VALUE"""),"BenchmarkGenerator")</f>
        <v>BenchmarkGenerator</v>
      </c>
      <c r="E106" s="58">
        <f>IFERROR(__xludf.DUMMYFUNCTION("""COMPUTED_VALUE"""),2.0)</f>
        <v>2</v>
      </c>
      <c r="F106" s="244">
        <f>E106/SUM(E103:E110)</f>
        <v>0.0487804878</v>
      </c>
    </row>
    <row r="107">
      <c r="D107" s="58" t="str">
        <f>IFERROR(__xludf.DUMMYFUNCTION("""COMPUTED_VALUE"""),"EnergyEstimationTool")</f>
        <v>EnergyEstimationTool</v>
      </c>
      <c r="E107" s="58">
        <f>IFERROR(__xludf.DUMMYFUNCTION("""COMPUTED_VALUE"""),2.0)</f>
        <v>2</v>
      </c>
      <c r="F107" s="244">
        <f>E107/SUM(E103:E110)</f>
        <v>0.0487804878</v>
      </c>
    </row>
    <row r="108">
      <c r="D108" s="58" t="str">
        <f>IFERROR(__xludf.DUMMYFUNCTION("""COMPUTED_VALUE"""),"Framework")</f>
        <v>Framework</v>
      </c>
      <c r="E108" s="58">
        <f>IFERROR(__xludf.DUMMYFUNCTION("""COMPUTED_VALUE"""),1.0)</f>
        <v>1</v>
      </c>
      <c r="F108" s="244">
        <f>E108/SUM(E103:E110)</f>
        <v>0.0243902439</v>
      </c>
    </row>
    <row r="109">
      <c r="D109" s="58" t="str">
        <f>IFERROR(__xludf.DUMMYFUNCTION("""COMPUTED_VALUE"""),"ModelChecker")</f>
        <v>ModelChecker</v>
      </c>
      <c r="E109" s="58">
        <f>IFERROR(__xludf.DUMMYFUNCTION("""COMPUTED_VALUE"""),1.0)</f>
        <v>1</v>
      </c>
      <c r="F109" s="244">
        <f>E109/SUM(E103:E110)</f>
        <v>0.0243902439</v>
      </c>
    </row>
    <row r="110">
      <c r="D110" s="58" t="str">
        <f>IFERROR(__xludf.DUMMYFUNCTION("""COMPUTED_VALUE"""),"OSAPI")</f>
        <v>OSAPI</v>
      </c>
      <c r="E110" s="58">
        <f>IFERROR(__xludf.DUMMYFUNCTION("""COMPUTED_VALUE"""),1.0)</f>
        <v>1</v>
      </c>
      <c r="F110" s="244">
        <f>E110/SUM(E103:E110)</f>
        <v>0.0243902439</v>
      </c>
    </row>
    <row r="111">
      <c r="D111" s="249" t="s">
        <v>34168</v>
      </c>
      <c r="E111" s="247">
        <f>SUM(E103:E110)</f>
        <v>41</v>
      </c>
    </row>
    <row r="112">
      <c r="A112" s="261" t="s">
        <v>159</v>
      </c>
      <c r="B112" s="260" t="str">
        <f t="array" ref="B112">INDEX('Raw Results'!D:D, MATCH(A112, 'Raw Results'!C:C, 0))</f>
        <v>DeploymentMethod</v>
      </c>
      <c r="C112" s="260" t="str">
        <f t="array" ref="C112">INDEX(Parameters!E:E, MATCH(A112, Parameters!A:A, 0))</f>
        <v>Describes how the tool is deployed within the system</v>
      </c>
      <c r="D112" s="259" t="str">
        <f>IFERROR(__xludf.DUMMYFUNCTION("QUERY('Raw Results'!C:F,
 ""select E, sum(F)
  where C = '""&amp;A112&amp;""' and E is not null and E &lt;&gt; 'Total'
  group by E
  order by sum(F) desc
  label E '', sum(F) ''"")
"),"AgentBased")</f>
        <v>AgentBased</v>
      </c>
      <c r="E112" s="58">
        <f>IFERROR(__xludf.DUMMYFUNCTION("""COMPUTED_VALUE"""),5.0)</f>
        <v>5</v>
      </c>
      <c r="F112" s="244">
        <f>E112/SUM(E112:E119)</f>
        <v>0.2</v>
      </c>
      <c r="G112" s="261" t="s">
        <v>34484</v>
      </c>
      <c r="H112" s="260"/>
    </row>
    <row r="113">
      <c r="D113" s="58" t="str">
        <f>IFERROR(__xludf.DUMMYFUNCTION("""COMPUTED_VALUE"""),"ExternalTool")</f>
        <v>ExternalTool</v>
      </c>
      <c r="E113" s="58">
        <f>IFERROR(__xludf.DUMMYFUNCTION("""COMPUTED_VALUE"""),5.0)</f>
        <v>5</v>
      </c>
      <c r="F113" s="244">
        <f>E113/SUM(E112:E119)</f>
        <v>0.2</v>
      </c>
    </row>
    <row r="114">
      <c r="D114" s="58" t="str">
        <f>IFERROR(__xludf.DUMMYFUNCTION("""COMPUTED_VALUE"""),"ExternalService")</f>
        <v>ExternalService</v>
      </c>
      <c r="E114" s="58">
        <f>IFERROR(__xludf.DUMMYFUNCTION("""COMPUTED_VALUE"""),4.0)</f>
        <v>4</v>
      </c>
      <c r="F114" s="244">
        <f>E114/SUM(E112:E119)</f>
        <v>0.16</v>
      </c>
    </row>
    <row r="115">
      <c r="D115" s="58" t="str">
        <f>IFERROR(__xludf.DUMMYFUNCTION("""COMPUTED_VALUE"""),"SystemIntegrated")</f>
        <v>SystemIntegrated</v>
      </c>
      <c r="E115" s="58">
        <f>IFERROR(__xludf.DUMMYFUNCTION("""COMPUTED_VALUE"""),4.0)</f>
        <v>4</v>
      </c>
      <c r="F115" s="244">
        <f>E115/SUM(E112:E119)</f>
        <v>0.16</v>
      </c>
    </row>
    <row r="116">
      <c r="D116" s="58" t="str">
        <f>IFERROR(__xludf.DUMMYFUNCTION("""COMPUTED_VALUE"""),"ExternalDevice")</f>
        <v>ExternalDevice</v>
      </c>
      <c r="E116" s="58">
        <f>IFERROR(__xludf.DUMMYFUNCTION("""COMPUTED_VALUE"""),3.0)</f>
        <v>3</v>
      </c>
      <c r="F116" s="244">
        <f>E116/SUM(E112:E119)</f>
        <v>0.12</v>
      </c>
    </row>
    <row r="117">
      <c r="D117" s="58" t="str">
        <f>IFERROR(__xludf.DUMMYFUNCTION("""COMPUTED_VALUE"""),"LocalApplication")</f>
        <v>LocalApplication</v>
      </c>
      <c r="E117" s="58">
        <f>IFERROR(__xludf.DUMMYFUNCTION("""COMPUTED_VALUE"""),2.0)</f>
        <v>2</v>
      </c>
      <c r="F117" s="244">
        <f>E117/SUM(E112:E119)</f>
        <v>0.08</v>
      </c>
    </row>
    <row r="118">
      <c r="D118" s="58" t="str">
        <f>IFERROR(__xludf.DUMMYFUNCTION("""COMPUTED_VALUE"""),"ContainerOrchestrated")</f>
        <v>ContainerOrchestrated</v>
      </c>
      <c r="E118" s="58">
        <f>IFERROR(__xludf.DUMMYFUNCTION("""COMPUTED_VALUE"""),1.0)</f>
        <v>1</v>
      </c>
      <c r="F118" s="244">
        <f>E118/SUM(E112:E119)</f>
        <v>0.04</v>
      </c>
    </row>
    <row r="119">
      <c r="D119" s="58" t="str">
        <f>IFERROR(__xludf.DUMMYFUNCTION("""COMPUTED_VALUE"""),"RemoteAPI")</f>
        <v>RemoteAPI</v>
      </c>
      <c r="E119" s="58">
        <f>IFERROR(__xludf.DUMMYFUNCTION("""COMPUTED_VALUE"""),1.0)</f>
        <v>1</v>
      </c>
      <c r="F119" s="244">
        <f>E119/SUM(E112:E119)</f>
        <v>0.04</v>
      </c>
    </row>
    <row r="120">
      <c r="D120" s="249" t="s">
        <v>34168</v>
      </c>
      <c r="E120" s="247">
        <f>SUM(E112:E119)</f>
        <v>25</v>
      </c>
    </row>
    <row r="121">
      <c r="A121" s="264" t="s">
        <v>163</v>
      </c>
      <c r="B121" s="260" t="str">
        <f t="array" ref="B121">INDEX('Raw Results'!D:D, MATCH(A121, 'Raw Results'!C:C, 0))</f>
        <v>AnalysisCapability</v>
      </c>
      <c r="C121" s="260" t="str">
        <f t="array" ref="C121">INDEX(Parameters!E:E, MATCH(A121, Parameters!A:A, 0))</f>
        <v>Defines the type of analysis the tool provides</v>
      </c>
      <c r="D121" s="58" t="str">
        <f>IFERROR(__xludf.DUMMYFUNCTION("QUERY('Raw Results'!C:F,
 ""select E, sum(F)
  where C = '""&amp;A121&amp;""' and E is not null and E &lt;&gt; 'Total'
  group by E
  order by sum(F) desc
  label E '', sum(F) ''"")
"),"EnergyGranularity")</f>
        <v>EnergyGranularity</v>
      </c>
      <c r="E121" s="58">
        <f>IFERROR(__xludf.DUMMYFUNCTION("""COMPUTED_VALUE"""),13.0)</f>
        <v>13</v>
      </c>
      <c r="F121" s="244">
        <f>E121/SUM(E121:E130)</f>
        <v>0.2954545455</v>
      </c>
      <c r="G121" s="261" t="s">
        <v>34485</v>
      </c>
      <c r="H121" s="260"/>
    </row>
    <row r="122">
      <c r="D122" s="58" t="str">
        <f>IFERROR(__xludf.DUMMYFUNCTION("""COMPUTED_VALUE"""),"TotalEnergy")</f>
        <v>TotalEnergy</v>
      </c>
      <c r="E122" s="58">
        <f>IFERROR(__xludf.DUMMYFUNCTION("""COMPUTED_VALUE"""),9.0)</f>
        <v>9</v>
      </c>
      <c r="F122" s="244">
        <f>E122/SUM(E121:E130)</f>
        <v>0.2045454545</v>
      </c>
    </row>
    <row r="123">
      <c r="D123" s="58" t="str">
        <f>IFERROR(__xludf.DUMMYFUNCTION("""COMPUTED_VALUE"""),"PerformanceQoS")</f>
        <v>PerformanceQoS</v>
      </c>
      <c r="E123" s="58">
        <f>IFERROR(__xludf.DUMMYFUNCTION("""COMPUTED_VALUE"""),5.0)</f>
        <v>5</v>
      </c>
      <c r="F123" s="244">
        <f>E123/SUM(E121:E130)</f>
        <v>0.1136363636</v>
      </c>
    </row>
    <row r="124">
      <c r="D124" s="58" t="str">
        <f>IFERROR(__xludf.DUMMYFUNCTION("""COMPUTED_VALUE"""),"TrendCorrelation")</f>
        <v>TrendCorrelation</v>
      </c>
      <c r="E124" s="58">
        <f>IFERROR(__xludf.DUMMYFUNCTION("""COMPUTED_VALUE"""),5.0)</f>
        <v>5</v>
      </c>
      <c r="F124" s="244">
        <f>E124/SUM(E121:E130)</f>
        <v>0.1136363636</v>
      </c>
    </row>
    <row r="125">
      <c r="D125" s="58" t="str">
        <f>IFERROR(__xludf.DUMMYFUNCTION("""COMPUTED_VALUE"""),"ComponentBreakdown")</f>
        <v>ComponentBreakdown</v>
      </c>
      <c r="E125" s="58">
        <f>IFERROR(__xludf.DUMMYFUNCTION("""COMPUTED_VALUE"""),4.0)</f>
        <v>4</v>
      </c>
      <c r="F125" s="244">
        <f>E125/SUM(E121:E130)</f>
        <v>0.09090909091</v>
      </c>
    </row>
    <row r="126">
      <c r="D126" s="58" t="str">
        <f>IFERROR(__xludf.DUMMYFUNCTION("""COMPUTED_VALUE"""),"Comparison")</f>
        <v>Comparison</v>
      </c>
      <c r="E126" s="58">
        <f>IFERROR(__xludf.DUMMYFUNCTION("""COMPUTED_VALUE"""),3.0)</f>
        <v>3</v>
      </c>
      <c r="F126" s="244">
        <f>E126/SUM(E121:E130)</f>
        <v>0.06818181818</v>
      </c>
    </row>
    <row r="127">
      <c r="D127" s="58" t="str">
        <f>IFERROR(__xludf.DUMMYFUNCTION("""COMPUTED_VALUE"""),"Sustainability")</f>
        <v>Sustainability</v>
      </c>
      <c r="E127" s="58">
        <f>IFERROR(__xludf.DUMMYFUNCTION("""COMPUTED_VALUE"""),2.0)</f>
        <v>2</v>
      </c>
      <c r="F127" s="244">
        <f>E127/SUM(E121:E130)</f>
        <v>0.04545454545</v>
      </c>
    </row>
    <row r="128">
      <c r="D128" s="58" t="str">
        <f>IFERROR(__xludf.DUMMYFUNCTION("""COMPUTED_VALUE"""),"PatternDetection")</f>
        <v>PatternDetection</v>
      </c>
      <c r="E128" s="58">
        <f>IFERROR(__xludf.DUMMYFUNCTION("""COMPUTED_VALUE"""),1.0)</f>
        <v>1</v>
      </c>
      <c r="F128" s="244">
        <f>E128/SUM(E121:E130)</f>
        <v>0.02272727273</v>
      </c>
    </row>
    <row r="129">
      <c r="D129" s="265" t="str">
        <f>IFERROR(__xludf.DUMMYFUNCTION("""COMPUTED_VALUE"""),"SecurityMetrics")</f>
        <v>SecurityMetrics</v>
      </c>
      <c r="E129" s="248">
        <f>IFERROR(__xludf.DUMMYFUNCTION("""COMPUTED_VALUE"""),1.0)</f>
        <v>1</v>
      </c>
      <c r="F129" s="244">
        <f>E129/SUM(E121:E130)</f>
        <v>0.02272727273</v>
      </c>
    </row>
    <row r="130">
      <c r="D130" s="58" t="str">
        <f>IFERROR(__xludf.DUMMYFUNCTION("""COMPUTED_VALUE"""),"ValidationVerification")</f>
        <v>ValidationVerification</v>
      </c>
      <c r="E130" s="58">
        <f>IFERROR(__xludf.DUMMYFUNCTION("""COMPUTED_VALUE"""),1.0)</f>
        <v>1</v>
      </c>
      <c r="F130" s="244">
        <f>E130/SUM(E121:E130)</f>
        <v>0.02272727273</v>
      </c>
    </row>
    <row r="131">
      <c r="D131" s="249" t="s">
        <v>34168</v>
      </c>
      <c r="E131" s="247">
        <f>SUM(E121:E130)</f>
        <v>44</v>
      </c>
    </row>
    <row r="132">
      <c r="A132" s="264" t="s">
        <v>167</v>
      </c>
      <c r="B132" s="260" t="str">
        <f t="array" ref="B132">INDEX('Raw Results'!D:D, MATCH(A132, 'Raw Results'!C:C, 0))</f>
        <v>Granularity</v>
      </c>
      <c r="C132" s="260" t="str">
        <f t="array" ref="C132">INDEX(Parameters!E:E, MATCH(A132, Parameters!A:A, 0))</f>
        <v>Indicates the level of detail at which the tool analyzes energy consumption</v>
      </c>
      <c r="D132" s="58" t="str">
        <f>IFERROR(__xludf.DUMMYFUNCTION("QUERY('Raw Results'!C:F,
 ""select E, sum(F)
  where C = '""&amp;A132&amp;""' and E is not null and E &lt;&gt; 'Total'
  group by E
  order by sum(F) desc
  label E '', sum(F) ''"")
"),"NodeServer")</f>
        <v>NodeServer</v>
      </c>
      <c r="E132" s="58">
        <f>IFERROR(__xludf.DUMMYFUNCTION("""COMPUTED_VALUE"""),18.0)</f>
        <v>18</v>
      </c>
      <c r="F132" s="244">
        <f>E132/SUM(E132:E141)</f>
        <v>0.36</v>
      </c>
      <c r="G132" s="261" t="s">
        <v>34486</v>
      </c>
      <c r="H132" s="261" t="s">
        <v>34487</v>
      </c>
    </row>
    <row r="133">
      <c r="D133" s="58" t="str">
        <f>IFERROR(__xludf.DUMMYFUNCTION("""COMPUTED_VALUE"""),"Device")</f>
        <v>Device</v>
      </c>
      <c r="E133" s="58">
        <f>IFERROR(__xludf.DUMMYFUNCTION("""COMPUTED_VALUE"""),6.0)</f>
        <v>6</v>
      </c>
      <c r="F133" s="244">
        <f>E133/SUM(E132:E141)</f>
        <v>0.12</v>
      </c>
    </row>
    <row r="134">
      <c r="D134" s="58" t="str">
        <f>IFERROR(__xludf.DUMMYFUNCTION("""COMPUTED_VALUE"""),"RequestExecution")</f>
        <v>RequestExecution</v>
      </c>
      <c r="E134" s="58">
        <f>IFERROR(__xludf.DUMMYFUNCTION("""COMPUTED_VALUE"""),5.0)</f>
        <v>5</v>
      </c>
      <c r="F134" s="244">
        <f>E134/SUM(E132:E141)</f>
        <v>0.1</v>
      </c>
    </row>
    <row r="135">
      <c r="D135" s="58" t="str">
        <f>IFERROR(__xludf.DUMMYFUNCTION("""COMPUTED_VALUE"""),"Component")</f>
        <v>Component</v>
      </c>
      <c r="E135" s="58">
        <f>IFERROR(__xludf.DUMMYFUNCTION("""COMPUTED_VALUE"""),4.0)</f>
        <v>4</v>
      </c>
      <c r="F135" s="244">
        <f>E135/SUM(E132:E141)</f>
        <v>0.08</v>
      </c>
    </row>
    <row r="136">
      <c r="D136" s="58" t="str">
        <f>IFERROR(__xludf.DUMMYFUNCTION("""COMPUTED_VALUE"""),"ContainerPod")</f>
        <v>ContainerPod</v>
      </c>
      <c r="E136" s="58">
        <f>IFERROR(__xludf.DUMMYFUNCTION("""COMPUTED_VALUE"""),4.0)</f>
        <v>4</v>
      </c>
      <c r="F136" s="244">
        <f>E136/SUM(E132:E141)</f>
        <v>0.08</v>
      </c>
    </row>
    <row r="137">
      <c r="D137" s="58" t="str">
        <f>IFERROR(__xludf.DUMMYFUNCTION("""COMPUTED_VALUE"""),"FineGrained")</f>
        <v>FineGrained</v>
      </c>
      <c r="E137" s="58">
        <f>IFERROR(__xludf.DUMMYFUNCTION("""COMPUTED_VALUE"""),4.0)</f>
        <v>4</v>
      </c>
      <c r="F137" s="244">
        <f>E137/SUM(E132:E141)</f>
        <v>0.08</v>
      </c>
    </row>
    <row r="138">
      <c r="D138" s="58" t="str">
        <f>IFERROR(__xludf.DUMMYFUNCTION("""COMPUTED_VALUE"""),"ServiceApplication")</f>
        <v>ServiceApplication</v>
      </c>
      <c r="E138" s="58">
        <f>IFERROR(__xludf.DUMMYFUNCTION("""COMPUTED_VALUE"""),4.0)</f>
        <v>4</v>
      </c>
      <c r="F138" s="244">
        <f>E138/SUM(E132:E141)</f>
        <v>0.08</v>
      </c>
    </row>
    <row r="139">
      <c r="D139" s="58" t="str">
        <f>IFERROR(__xludf.DUMMYFUNCTION("""COMPUTED_VALUE"""),"DataCenter")</f>
        <v>DataCenter</v>
      </c>
      <c r="E139" s="58">
        <f>IFERROR(__xludf.DUMMYFUNCTION("""COMPUTED_VALUE"""),2.0)</f>
        <v>2</v>
      </c>
      <c r="F139" s="244">
        <f>E139/SUM(E132:E141)</f>
        <v>0.04</v>
      </c>
    </row>
    <row r="140">
      <c r="D140" s="58" t="str">
        <f>IFERROR(__xludf.DUMMYFUNCTION("""COMPUTED_VALUE"""),"Function")</f>
        <v>Function</v>
      </c>
      <c r="E140" s="58">
        <f>IFERROR(__xludf.DUMMYFUNCTION("""COMPUTED_VALUE"""),2.0)</f>
        <v>2</v>
      </c>
      <c r="F140" s="244">
        <f>E140/SUM(E132:E141)</f>
        <v>0.04</v>
      </c>
    </row>
    <row r="141">
      <c r="D141" s="58" t="str">
        <f>IFERROR(__xludf.DUMMYFUNCTION("""COMPUTED_VALUE"""),"Network")</f>
        <v>Network</v>
      </c>
      <c r="E141" s="58">
        <f>IFERROR(__xludf.DUMMYFUNCTION("""COMPUTED_VALUE"""),1.0)</f>
        <v>1</v>
      </c>
      <c r="F141" s="244">
        <f>E141/SUM(E132:E141)</f>
        <v>0.02</v>
      </c>
    </row>
    <row r="142">
      <c r="D142" s="249" t="s">
        <v>34168</v>
      </c>
      <c r="E142" s="247">
        <f>SUM(E132:E141)</f>
        <v>50</v>
      </c>
    </row>
    <row r="143" ht="28.5" customHeight="1">
      <c r="A143" s="235" t="s">
        <v>171</v>
      </c>
    </row>
    <row r="144">
      <c r="A144" s="261" t="s">
        <v>172</v>
      </c>
      <c r="B144" s="260" t="str">
        <f t="array" ref="B144">INDEX('Raw Results'!D:D, MATCH(A144, 'Raw Results'!C:C, 0))</f>
        <v>MetricType</v>
      </c>
      <c r="C144" s="260" t="str">
        <f t="array" ref="C144">INDEX(Parameters!E:E, MATCH(A144, Parameters!A:A, 0))</f>
        <v>The type of metric used to evaluate energy efficiency </v>
      </c>
      <c r="D144" s="259" t="str">
        <f>IFERROR(__xludf.DUMMYFUNCTION("QUERY('Raw Results'!C:F,
 ""select E, sum(F)
  where C = '""&amp;A144&amp;""' and E is not null and E &lt;&gt; 'Total'
  group by E
  order by sum(F) desc
  label E '', sum(F) ''"")
"),"Energy")</f>
        <v>Energy</v>
      </c>
      <c r="E144" s="58">
        <f>IFERROR(__xludf.DUMMYFUNCTION("""COMPUTED_VALUE"""),23.0)</f>
        <v>23</v>
      </c>
      <c r="F144" s="244">
        <f>E144/SUM(E144:E152)</f>
        <v>0.3108108108</v>
      </c>
      <c r="G144" s="261" t="s">
        <v>34488</v>
      </c>
      <c r="H144" s="261" t="s">
        <v>34489</v>
      </c>
      <c r="I144" s="262" t="s">
        <v>34490</v>
      </c>
    </row>
    <row r="145">
      <c r="D145" s="58" t="str">
        <f>IFERROR(__xludf.DUMMYFUNCTION("""COMPUTED_VALUE"""),"Power")</f>
        <v>Power</v>
      </c>
      <c r="E145" s="58">
        <f>IFERROR(__xludf.DUMMYFUNCTION("""COMPUTED_VALUE"""),23.0)</f>
        <v>23</v>
      </c>
      <c r="F145" s="244">
        <f>E145/SUM(E144:E152)</f>
        <v>0.3108108108</v>
      </c>
    </row>
    <row r="146">
      <c r="D146" s="58" t="str">
        <f>IFERROR(__xludf.DUMMYFUNCTION("""COMPUTED_VALUE"""),"EnergyEfficiency")</f>
        <v>EnergyEfficiency</v>
      </c>
      <c r="E146" s="58">
        <f>IFERROR(__xludf.DUMMYFUNCTION("""COMPUTED_VALUE"""),9.0)</f>
        <v>9</v>
      </c>
      <c r="F146" s="244">
        <f>E146/SUM(E144:E152)</f>
        <v>0.1216216216</v>
      </c>
    </row>
    <row r="147">
      <c r="D147" s="58" t="str">
        <f>IFERROR(__xludf.DUMMYFUNCTION("""COMPUTED_VALUE"""),"Sustainability")</f>
        <v>Sustainability</v>
      </c>
      <c r="E147" s="58">
        <f>IFERROR(__xludf.DUMMYFUNCTION("""COMPUTED_VALUE"""),5.0)</f>
        <v>5</v>
      </c>
      <c r="F147" s="244">
        <f>E147/SUM(E144:E152)</f>
        <v>0.06756756757</v>
      </c>
    </row>
    <row r="148">
      <c r="D148" s="58" t="str">
        <f>IFERROR(__xludf.DUMMYFUNCTION("""COMPUTED_VALUE"""),"Cost")</f>
        <v>Cost</v>
      </c>
      <c r="E148" s="58">
        <f>IFERROR(__xludf.DUMMYFUNCTION("""COMPUTED_VALUE"""),4.0)</f>
        <v>4</v>
      </c>
      <c r="F148" s="244">
        <f>E148/SUM(E144:E152)</f>
        <v>0.05405405405</v>
      </c>
    </row>
    <row r="149">
      <c r="D149" s="58" t="str">
        <f>IFERROR(__xludf.DUMMYFUNCTION("""COMPUTED_VALUE"""),"Performance")</f>
        <v>Performance</v>
      </c>
      <c r="E149" s="58">
        <f>IFERROR(__xludf.DUMMYFUNCTION("""COMPUTED_VALUE"""),4.0)</f>
        <v>4</v>
      </c>
      <c r="F149" s="244">
        <f>E149/SUM(E144:E152)</f>
        <v>0.05405405405</v>
      </c>
    </row>
    <row r="150">
      <c r="D150" s="58" t="str">
        <f>IFERROR(__xludf.DUMMYFUNCTION("""COMPUTED_VALUE"""),"Utilization")</f>
        <v>Utilization</v>
      </c>
      <c r="E150" s="58">
        <f>IFERROR(__xludf.DUMMYFUNCTION("""COMPUTED_VALUE"""),3.0)</f>
        <v>3</v>
      </c>
      <c r="F150" s="244">
        <f>E150/SUM(E144:E152)</f>
        <v>0.04054054054</v>
      </c>
    </row>
    <row r="151">
      <c r="D151" s="58" t="str">
        <f>IFERROR(__xludf.DUMMYFUNCTION("""COMPUTED_VALUE"""),"EnergyRate")</f>
        <v>EnergyRate</v>
      </c>
      <c r="E151" s="58">
        <f>IFERROR(__xludf.DUMMYFUNCTION("""COMPUTED_VALUE"""),2.0)</f>
        <v>2</v>
      </c>
      <c r="F151" s="244">
        <f>E151/SUM(E144:E152)</f>
        <v>0.02702702703</v>
      </c>
    </row>
    <row r="152">
      <c r="D152" s="58" t="str">
        <f>IFERROR(__xludf.DUMMYFUNCTION("""COMPUTED_VALUE"""),"DerivedScore")</f>
        <v>DerivedScore</v>
      </c>
      <c r="E152" s="58">
        <f>IFERROR(__xludf.DUMMYFUNCTION("""COMPUTED_VALUE"""),1.0)</f>
        <v>1</v>
      </c>
      <c r="F152" s="244">
        <f>E152/SUM(E144:E152)</f>
        <v>0.01351351351</v>
      </c>
    </row>
    <row r="153">
      <c r="D153" s="249" t="s">
        <v>34168</v>
      </c>
      <c r="E153" s="247">
        <f>SUM(E144:E152)</f>
        <v>74</v>
      </c>
    </row>
    <row r="154">
      <c r="A154" s="261" t="s">
        <v>176</v>
      </c>
      <c r="B154" s="260" t="str">
        <f t="array" ref="B154">INDEX('Raw Results'!D:D, MATCH(A154, 'Raw Results'!C:C, 0))</f>
        <v>MeasurementScope</v>
      </c>
      <c r="C154" s="260" t="str">
        <f t="array" ref="C154">INDEX(Parameters!E:E, MATCH(A154, Parameters!A:A, 0))</f>
        <v>The speicif system resource or scope being measureed for energy consumption</v>
      </c>
      <c r="D154" s="259" t="str">
        <f>IFERROR(__xludf.DUMMYFUNCTION("QUERY('Raw Results'!C:F,
 ""select E, sum(F)
  where C = '""&amp;A154&amp;""' and E is not null and E &lt;&gt; 'Total'
  group by E
  order by sum(F) desc
  label E '', sum(F) ''"")
"),"Infrastructure")</f>
        <v>Infrastructure</v>
      </c>
      <c r="E154" s="58">
        <f>IFERROR(__xludf.DUMMYFUNCTION("""COMPUTED_VALUE"""),17.0)</f>
        <v>17</v>
      </c>
      <c r="F154" s="244">
        <f>E154/SUM(E154:E161)</f>
        <v>0.3333333333</v>
      </c>
      <c r="G154" s="261" t="s">
        <v>34491</v>
      </c>
      <c r="H154" s="261"/>
    </row>
    <row r="155">
      <c r="D155" s="58" t="str">
        <f>IFERROR(__xludf.DUMMYFUNCTION("""COMPUTED_VALUE"""),"Application")</f>
        <v>Application</v>
      </c>
      <c r="E155" s="58">
        <f>IFERROR(__xludf.DUMMYFUNCTION("""COMPUTED_VALUE"""),10.0)</f>
        <v>10</v>
      </c>
      <c r="F155" s="244">
        <f>E155/SUM(E154:E161)</f>
        <v>0.1960784314</v>
      </c>
    </row>
    <row r="156">
      <c r="D156" s="58" t="str">
        <f>IFERROR(__xludf.DUMMYFUNCTION("""COMPUTED_VALUE"""),"Service")</f>
        <v>Service</v>
      </c>
      <c r="E156" s="58">
        <f>IFERROR(__xludf.DUMMYFUNCTION("""COMPUTED_VALUE"""),9.0)</f>
        <v>9</v>
      </c>
      <c r="F156" s="244">
        <f>E156/SUM(E154:E161)</f>
        <v>0.1764705882</v>
      </c>
    </row>
    <row r="157">
      <c r="D157" s="58" t="str">
        <f>IFERROR(__xludf.DUMMYFUNCTION("""COMPUTED_VALUE"""),"Device")</f>
        <v>Device</v>
      </c>
      <c r="E157" s="58">
        <f>IFERROR(__xludf.DUMMYFUNCTION("""COMPUTED_VALUE"""),4.0)</f>
        <v>4</v>
      </c>
      <c r="F157" s="244">
        <f>E157/SUM(E154:E161)</f>
        <v>0.07843137255</v>
      </c>
    </row>
    <row r="158">
      <c r="D158" s="58" t="str">
        <f>IFERROR(__xludf.DUMMYFUNCTION("""COMPUTED_VALUE"""),"SystemScenario")</f>
        <v>SystemScenario</v>
      </c>
      <c r="E158" s="58">
        <f>IFERROR(__xludf.DUMMYFUNCTION("""COMPUTED_VALUE"""),4.0)</f>
        <v>4</v>
      </c>
      <c r="F158" s="244">
        <f>E158/SUM(E154:E161)</f>
        <v>0.07843137255</v>
      </c>
    </row>
    <row r="159">
      <c r="D159" s="58" t="str">
        <f>IFERROR(__xludf.DUMMYFUNCTION("""COMPUTED_VALUE"""),"Component")</f>
        <v>Component</v>
      </c>
      <c r="E159" s="58">
        <f>IFERROR(__xludf.DUMMYFUNCTION("""COMPUTED_VALUE"""),3.0)</f>
        <v>3</v>
      </c>
      <c r="F159" s="244">
        <f>E159/SUM(E154:E161)</f>
        <v>0.05882352941</v>
      </c>
    </row>
    <row r="160">
      <c r="D160" s="58" t="str">
        <f>IFERROR(__xludf.DUMMYFUNCTION("""COMPUTED_VALUE"""),"Cluster")</f>
        <v>Cluster</v>
      </c>
      <c r="E160" s="58">
        <f>IFERROR(__xludf.DUMMYFUNCTION("""COMPUTED_VALUE"""),2.0)</f>
        <v>2</v>
      </c>
      <c r="F160" s="244">
        <f>E160/SUM(E154:E161)</f>
        <v>0.03921568627</v>
      </c>
    </row>
    <row r="161">
      <c r="D161" s="58" t="str">
        <f>IFERROR(__xludf.DUMMYFUNCTION("""COMPUTED_VALUE"""),"Network")</f>
        <v>Network</v>
      </c>
      <c r="E161" s="58">
        <f>IFERROR(__xludf.DUMMYFUNCTION("""COMPUTED_VALUE"""),2.0)</f>
        <v>2</v>
      </c>
      <c r="F161" s="244">
        <f>E161/SUM(E154:E161)</f>
        <v>0.03921568627</v>
      </c>
    </row>
    <row r="162">
      <c r="D162" s="249" t="s">
        <v>34168</v>
      </c>
      <c r="E162" s="247">
        <f>SUM(E154:E161)</f>
        <v>51</v>
      </c>
    </row>
    <row r="163">
      <c r="A163" s="261" t="s">
        <v>180</v>
      </c>
      <c r="B163" s="260" t="str">
        <f t="array" ref="B163">INDEX('Raw Results'!D:D, MATCH(A163, 'Raw Results'!C:C, 0))</f>
        <v>NormalizationBasis</v>
      </c>
      <c r="C163" s="260" t="str">
        <f t="array" ref="C163">INDEX(Parameters!E:E, MATCH(A163, Parameters!A:A, 0))</f>
        <v>Defines how energy consumption is normalized to provide meaningful comparisons</v>
      </c>
      <c r="D163" s="259" t="str">
        <f>IFERROR(__xludf.DUMMYFUNCTION("QUERY('Raw Results'!C:F,
 ""select E, sum(F)
  where C = '""&amp;A163&amp;""' and E is not null and E &lt;&gt; 'Total'
  group by E
  order by sum(F) desc
  label E '', sum(F) ''"")
"),"Time")</f>
        <v>Time</v>
      </c>
      <c r="E163" s="58">
        <f>IFERROR(__xludf.DUMMYFUNCTION("""COMPUTED_VALUE"""),6.0)</f>
        <v>6</v>
      </c>
      <c r="F163" s="244">
        <f>E163/SUM(E163:E170)</f>
        <v>0.3529411765</v>
      </c>
      <c r="G163" s="261" t="s">
        <v>34492</v>
      </c>
      <c r="H163" s="260"/>
    </row>
    <row r="164">
      <c r="D164" s="58" t="str">
        <f>IFERROR(__xludf.DUMMYFUNCTION("""COMPUTED_VALUE"""),"Request")</f>
        <v>Request</v>
      </c>
      <c r="E164" s="58">
        <f>IFERROR(__xludf.DUMMYFUNCTION("""COMPUTED_VALUE"""),5.0)</f>
        <v>5</v>
      </c>
      <c r="F164" s="244">
        <f>E164/SUM(E163:E170)</f>
        <v>0.2941176471</v>
      </c>
    </row>
    <row r="165">
      <c r="D165" s="58" t="str">
        <f>IFERROR(__xludf.DUMMYFUNCTION("""COMPUTED_VALUE"""),"CPUUtilization")</f>
        <v>CPUUtilization</v>
      </c>
      <c r="E165" s="58">
        <f>IFERROR(__xludf.DUMMYFUNCTION("""COMPUTED_VALUE"""),1.0)</f>
        <v>1</v>
      </c>
      <c r="F165" s="244">
        <f>E165/SUM(E163:E170)</f>
        <v>0.05882352941</v>
      </c>
    </row>
    <row r="166">
      <c r="D166" s="58" t="str">
        <f>IFERROR(__xludf.DUMMYFUNCTION("""COMPUTED_VALUE"""),"Coverage")</f>
        <v>Coverage</v>
      </c>
      <c r="E166" s="58">
        <f>IFERROR(__xludf.DUMMYFUNCTION("""COMPUTED_VALUE"""),1.0)</f>
        <v>1</v>
      </c>
      <c r="F166" s="244">
        <f>E166/SUM(E163:E170)</f>
        <v>0.05882352941</v>
      </c>
    </row>
    <row r="167">
      <c r="D167" s="58" t="str">
        <f>IFERROR(__xludf.DUMMYFUNCTION("""COMPUTED_VALUE"""),"Execution")</f>
        <v>Execution</v>
      </c>
      <c r="E167" s="58">
        <f>IFERROR(__xludf.DUMMYFUNCTION("""COMPUTED_VALUE"""),1.0)</f>
        <v>1</v>
      </c>
      <c r="F167" s="244">
        <f>E167/SUM(E163:E170)</f>
        <v>0.05882352941</v>
      </c>
    </row>
    <row r="168">
      <c r="D168" s="58" t="str">
        <f>IFERROR(__xludf.DUMMYFUNCTION("""COMPUTED_VALUE"""),"LinkUtilization")</f>
        <v>LinkUtilization</v>
      </c>
      <c r="E168" s="58">
        <f>IFERROR(__xludf.DUMMYFUNCTION("""COMPUTED_VALUE"""),1.0)</f>
        <v>1</v>
      </c>
      <c r="F168" s="244">
        <f>E168/SUM(E163:E170)</f>
        <v>0.05882352941</v>
      </c>
    </row>
    <row r="169">
      <c r="D169" s="58" t="str">
        <f>IFERROR(__xludf.DUMMYFUNCTION("""COMPUTED_VALUE"""),"Power")</f>
        <v>Power</v>
      </c>
      <c r="E169" s="58">
        <f>IFERROR(__xludf.DUMMYFUNCTION("""COMPUTED_VALUE"""),1.0)</f>
        <v>1</v>
      </c>
      <c r="F169" s="244">
        <f>E169/SUM(E163:E170)</f>
        <v>0.05882352941</v>
      </c>
    </row>
    <row r="170">
      <c r="D170" s="58" t="str">
        <f>IFERROR(__xludf.DUMMYFUNCTION("""COMPUTED_VALUE"""),"Scenario")</f>
        <v>Scenario</v>
      </c>
      <c r="E170" s="58">
        <f>IFERROR(__xludf.DUMMYFUNCTION("""COMPUTED_VALUE"""),1.0)</f>
        <v>1</v>
      </c>
      <c r="F170" s="244">
        <f>E170/SUM(E163:E170)</f>
        <v>0.05882352941</v>
      </c>
    </row>
    <row r="171">
      <c r="D171" s="249" t="s">
        <v>34168</v>
      </c>
      <c r="E171" s="247">
        <f>SUM(E163:E170)</f>
        <v>17</v>
      </c>
    </row>
    <row r="172">
      <c r="A172" s="261" t="s">
        <v>184</v>
      </c>
      <c r="B172" s="260" t="str">
        <f t="array" ref="B172">INDEX('Raw Results'!D:D, MATCH(A172, 'Raw Results'!C:C, 0))</f>
        <v>BusinessRelevance</v>
      </c>
      <c r="C172" s="260" t="str">
        <f t="array" ref="C172">INDEX(Parameters!E:E, MATCH(A172, Parameters!A:A, 0))</f>
        <v>Represents the business-oriented perspective of the metric</v>
      </c>
      <c r="D172" s="259" t="str">
        <f>IFERROR(__xludf.DUMMYFUNCTION("QUERY('Raw Results'!C:F,
 ""select E, sum(F)
  where C = '""&amp;A172&amp;""' and E is not null and E &lt;&gt; 'Total'
  group by E
  order by sum(F) desc
  label E '', sum(F) ''"")
"),"QoS")</f>
        <v>QoS</v>
      </c>
      <c r="E172" s="58">
        <f>IFERROR(__xludf.DUMMYFUNCTION("""COMPUTED_VALUE"""),15.0)</f>
        <v>15</v>
      </c>
      <c r="F172" s="244">
        <f>E172/SUM(E172:E176)</f>
        <v>0.3846153846</v>
      </c>
      <c r="G172" s="261" t="s">
        <v>34493</v>
      </c>
      <c r="H172" s="260"/>
    </row>
    <row r="173">
      <c r="D173" s="58" t="str">
        <f>IFERROR(__xludf.DUMMYFUNCTION("""COMPUTED_VALUE"""),"SLASLO")</f>
        <v>SLASLO</v>
      </c>
      <c r="E173" s="58">
        <f>IFERROR(__xludf.DUMMYFUNCTION("""COMPUTED_VALUE"""),10.0)</f>
        <v>10</v>
      </c>
      <c r="F173" s="244">
        <f>E173/SUM(E172:E176)</f>
        <v>0.2564102564</v>
      </c>
    </row>
    <row r="174">
      <c r="D174" s="58" t="str">
        <f>IFERROR(__xludf.DUMMYFUNCTION("""COMPUTED_VALUE"""),"Cost")</f>
        <v>Cost</v>
      </c>
      <c r="E174" s="58">
        <f>IFERROR(__xludf.DUMMYFUNCTION("""COMPUTED_VALUE"""),7.0)</f>
        <v>7</v>
      </c>
      <c r="F174" s="244">
        <f>E174/SUM(E172:E176)</f>
        <v>0.1794871795</v>
      </c>
    </row>
    <row r="175">
      <c r="D175" s="58" t="str">
        <f>IFERROR(__xludf.DUMMYFUNCTION("""COMPUTED_VALUE"""),"UserExperience")</f>
        <v>UserExperience</v>
      </c>
      <c r="E175" s="58">
        <f>IFERROR(__xludf.DUMMYFUNCTION("""COMPUTED_VALUE"""),6.0)</f>
        <v>6</v>
      </c>
      <c r="F175" s="244">
        <f>E175/SUM(E172:E176)</f>
        <v>0.1538461538</v>
      </c>
    </row>
    <row r="176">
      <c r="D176" s="58" t="str">
        <f>IFERROR(__xludf.DUMMYFUNCTION("""COMPUTED_VALUE"""),"TaskOutcome")</f>
        <v>TaskOutcome</v>
      </c>
      <c r="E176" s="58">
        <f>IFERROR(__xludf.DUMMYFUNCTION("""COMPUTED_VALUE"""),1.0)</f>
        <v>1</v>
      </c>
      <c r="F176" s="244">
        <f>E176/SUM(E172:E176)</f>
        <v>0.02564102564</v>
      </c>
    </row>
    <row r="177">
      <c r="D177" s="249" t="s">
        <v>34168</v>
      </c>
      <c r="E177" s="247">
        <f>SUM(E172:E176)</f>
        <v>39</v>
      </c>
    </row>
    <row r="178" ht="28.5" customHeight="1">
      <c r="A178" s="238" t="s">
        <v>188</v>
      </c>
    </row>
    <row r="179" ht="28.5" customHeight="1">
      <c r="A179" s="235" t="s">
        <v>189</v>
      </c>
      <c r="J179" s="239" t="s">
        <v>34494</v>
      </c>
    </row>
    <row r="180">
      <c r="A180" s="261" t="s">
        <v>190</v>
      </c>
      <c r="B180" s="261" t="s">
        <v>34495</v>
      </c>
      <c r="C180" s="260" t="str">
        <f t="array" ref="C180">INDEX(Parameters!E:E, MATCH(A180, Parameters!A:A, 0))</f>
        <v>How existing systems are updated for energy efficiency</v>
      </c>
      <c r="D180" s="259" t="str">
        <f>IFERROR(__xludf.DUMMYFUNCTION("QUERY('Raw Results'!C:F,
 ""select E, sum(F)
  where C = '""&amp;A180&amp;""' and E is not null and E &lt;&gt; 'Total'
  group by E
  order by sum(F) desc
  label E '', sum(F) ''"")
"),"SchedulingResourceOptimization")</f>
        <v>SchedulingResourceOptimization</v>
      </c>
      <c r="E180" s="58">
        <f>IFERROR(__xludf.DUMMYFUNCTION("""COMPUTED_VALUE"""),13.0)</f>
        <v>13</v>
      </c>
      <c r="F180" s="244">
        <f>E180/SUM(E180:E193)</f>
        <v>0.2407407407</v>
      </c>
      <c r="G180" s="261" t="s">
        <v>34496</v>
      </c>
      <c r="H180" s="260"/>
      <c r="I180" s="262" t="s">
        <v>34497</v>
      </c>
    </row>
    <row r="181">
      <c r="D181" s="58" t="str">
        <f>IFERROR(__xludf.DUMMYFUNCTION("""COMPUTED_VALUE"""),"PlacementMigration")</f>
        <v>PlacementMigration</v>
      </c>
      <c r="E181" s="58">
        <f>IFERROR(__xludf.DUMMYFUNCTION("""COMPUTED_VALUE"""),8.0)</f>
        <v>8</v>
      </c>
      <c r="F181" s="244">
        <f>E181/SUM(E180:E193)</f>
        <v>0.1481481481</v>
      </c>
    </row>
    <row r="182">
      <c r="D182" s="58" t="str">
        <f>IFERROR(__xludf.DUMMYFUNCTION("""COMPUTED_VALUE"""),"BrownoutDeactivation")</f>
        <v>BrownoutDeactivation</v>
      </c>
      <c r="E182" s="58">
        <f>IFERROR(__xludf.DUMMYFUNCTION("""COMPUTED_VALUE"""),5.0)</f>
        <v>5</v>
      </c>
      <c r="F182" s="244">
        <f>E182/SUM(E180:E193)</f>
        <v>0.09259259259</v>
      </c>
    </row>
    <row r="183">
      <c r="D183" s="58" t="str">
        <f>IFERROR(__xludf.DUMMYFUNCTION("""COMPUTED_VALUE"""),"RefactoringRearchitecting")</f>
        <v>RefactoringRearchitecting</v>
      </c>
      <c r="E183" s="58">
        <f>IFERROR(__xludf.DUMMYFUNCTION("""COMPUTED_VALUE"""),4.0)</f>
        <v>4</v>
      </c>
      <c r="F183" s="244">
        <f>E183/SUM(E180:E193)</f>
        <v>0.07407407407</v>
      </c>
    </row>
    <row r="184">
      <c r="D184" s="58" t="str">
        <f>IFERROR(__xludf.DUMMYFUNCTION("""COMPUTED_VALUE"""),"AutoscalingQoSControl")</f>
        <v>AutoscalingQoSControl</v>
      </c>
      <c r="E184" s="58">
        <f>IFERROR(__xludf.DUMMYFUNCTION("""COMPUTED_VALUE"""),3.0)</f>
        <v>3</v>
      </c>
      <c r="F184" s="244">
        <f>E184/SUM(E180:E193)</f>
        <v>0.05555555556</v>
      </c>
    </row>
    <row r="185">
      <c r="D185" s="58" t="str">
        <f>IFERROR(__xludf.DUMMYFUNCTION("""COMPUTED_VALUE"""),"OrchestrationProvisioning")</f>
        <v>OrchestrationProvisioning</v>
      </c>
      <c r="E185" s="58">
        <f>IFERROR(__xludf.DUMMYFUNCTION("""COMPUTED_VALUE"""),3.0)</f>
        <v>3</v>
      </c>
      <c r="F185" s="244">
        <f>E185/SUM(E180:E193)</f>
        <v>0.05555555556</v>
      </c>
    </row>
    <row r="186">
      <c r="D186" s="58" t="str">
        <f>IFERROR(__xludf.DUMMYFUNCTION("""COMPUTED_VALUE"""),"PowerManagementDVFS")</f>
        <v>PowerManagementDVFS</v>
      </c>
      <c r="E186" s="58">
        <f>IFERROR(__xludf.DUMMYFUNCTION("""COMPUTED_VALUE"""),3.0)</f>
        <v>3</v>
      </c>
      <c r="F186" s="244">
        <f>E186/SUM(E180:E193)</f>
        <v>0.05555555556</v>
      </c>
    </row>
    <row r="187">
      <c r="D187" s="58" t="str">
        <f>IFERROR(__xludf.DUMMYFUNCTION("""COMPUTED_VALUE"""),"ServerlessAdoption")</f>
        <v>ServerlessAdoption</v>
      </c>
      <c r="E187" s="58">
        <f>IFERROR(__xludf.DUMMYFUNCTION("""COMPUTED_VALUE"""),3.0)</f>
        <v>3</v>
      </c>
      <c r="F187" s="244">
        <f>E187/SUM(E180:E193)</f>
        <v>0.05555555556</v>
      </c>
    </row>
    <row r="188">
      <c r="D188" s="58" t="str">
        <f>IFERROR(__xludf.DUMMYFUNCTION("""COMPUTED_VALUE"""),"SustainabilityByDesign")</f>
        <v>SustainabilityByDesign</v>
      </c>
      <c r="E188" s="58">
        <f>IFERROR(__xludf.DUMMYFUNCTION("""COMPUTED_VALUE"""),3.0)</f>
        <v>3</v>
      </c>
      <c r="F188" s="244">
        <f>E188/SUM(E180:E193)</f>
        <v>0.05555555556</v>
      </c>
    </row>
    <row r="189">
      <c r="D189" s="265" t="str">
        <f>IFERROR(__xludf.DUMMYFUNCTION("""COMPUTED_VALUE"""),"HardwareRedesign")</f>
        <v>HardwareRedesign</v>
      </c>
      <c r="E189" s="248">
        <f>IFERROR(__xludf.DUMMYFUNCTION("""COMPUTED_VALUE"""),2.0)</f>
        <v>2</v>
      </c>
      <c r="F189" s="244">
        <f>E189/SUM(E180:E193)</f>
        <v>0.03703703704</v>
      </c>
    </row>
    <row r="190">
      <c r="D190" s="58" t="str">
        <f>IFERROR(__xludf.DUMMYFUNCTION("""COMPUTED_VALUE"""),"Offloading")</f>
        <v>Offloading</v>
      </c>
      <c r="E190" s="58">
        <f>IFERROR(__xludf.DUMMYFUNCTION("""COMPUTED_VALUE"""),2.0)</f>
        <v>2</v>
      </c>
      <c r="F190" s="244">
        <f>E190/SUM(E180:E193)</f>
        <v>0.03703703704</v>
      </c>
    </row>
    <row r="191">
      <c r="D191" s="58" t="str">
        <f>IFERROR(__xludf.DUMMYFUNCTION("""COMPUTED_VALUE"""),"RedundancyDuplication")</f>
        <v>RedundancyDuplication</v>
      </c>
      <c r="E191" s="58">
        <f>IFERROR(__xludf.DUMMYFUNCTION("""COMPUTED_VALUE"""),2.0)</f>
        <v>2</v>
      </c>
      <c r="F191" s="244">
        <f>E191/SUM(E180:E193)</f>
        <v>0.03703703704</v>
      </c>
    </row>
    <row r="192">
      <c r="D192" s="58" t="str">
        <f>IFERROR(__xludf.DUMMYFUNCTION("""COMPUTED_VALUE"""),"WorkloadBatchingComputeOptimization")</f>
        <v>WorkloadBatchingComputeOptimization</v>
      </c>
      <c r="E192" s="58">
        <f>IFERROR(__xludf.DUMMYFUNCTION("""COMPUTED_VALUE"""),2.0)</f>
        <v>2</v>
      </c>
      <c r="F192" s="244">
        <f>E192/SUM(E180:E193)</f>
        <v>0.03703703704</v>
      </c>
    </row>
    <row r="193">
      <c r="D193" s="58" t="str">
        <f>IFERROR(__xludf.DUMMYFUNCTION("""COMPUTED_VALUE"""),"CommunicationReconfiguration")</f>
        <v>CommunicationReconfiguration</v>
      </c>
      <c r="E193" s="58">
        <f>IFERROR(__xludf.DUMMYFUNCTION("""COMPUTED_VALUE"""),1.0)</f>
        <v>1</v>
      </c>
      <c r="F193" s="244">
        <f>E193/SUM(E180:E193)</f>
        <v>0.01851851852</v>
      </c>
    </row>
    <row r="194">
      <c r="D194" s="249" t="s">
        <v>34168</v>
      </c>
      <c r="E194" s="247">
        <f>SUM(E180:E193)</f>
        <v>54</v>
      </c>
    </row>
    <row r="195">
      <c r="A195" s="261" t="s">
        <v>194</v>
      </c>
      <c r="B195" s="261" t="s">
        <v>34498</v>
      </c>
      <c r="C195" s="260" t="str">
        <f t="array" ref="C195">INDEX(Parameters!E:E, MATCH(A195, Parameters!A:A, 0))</f>
        <v>Types of patterns and tactics used to improve energy efficiency</v>
      </c>
      <c r="D195" s="259" t="str">
        <f>IFERROR(__xludf.DUMMYFUNCTION("QUERY('Raw Results'!C:F,
 ""select E, sum(F)
  where C = '""&amp;A195&amp;""' and E is not null and E &lt;&gt; 'Total'
  group by E
  order by sum(F) desc
  label E '', sum(F) ''"")
"),"Scheduling")</f>
        <v>Scheduling</v>
      </c>
      <c r="E195" s="58">
        <f>IFERROR(__xludf.DUMMYFUNCTION("""COMPUTED_VALUE"""),16.0)</f>
        <v>16</v>
      </c>
      <c r="F195" s="244">
        <f>E195/SUM(E195:E205)</f>
        <v>0.2962962963</v>
      </c>
      <c r="G195" s="261" t="s">
        <v>34499</v>
      </c>
      <c r="H195" s="260"/>
    </row>
    <row r="196">
      <c r="D196" s="58" t="str">
        <f>IFERROR(__xludf.DUMMYFUNCTION("""COMPUTED_VALUE"""),"Autoscaling")</f>
        <v>Autoscaling</v>
      </c>
      <c r="E196" s="58">
        <f>IFERROR(__xludf.DUMMYFUNCTION("""COMPUTED_VALUE"""),10.0)</f>
        <v>10</v>
      </c>
      <c r="F196" s="244">
        <f>E196/SUM(E195:E205)</f>
        <v>0.1851851852</v>
      </c>
    </row>
    <row r="197">
      <c r="D197" s="58" t="str">
        <f>IFERROR(__xludf.DUMMYFUNCTION("""COMPUTED_VALUE"""),"WorkloadManagement")</f>
        <v>WorkloadManagement</v>
      </c>
      <c r="E197" s="58">
        <f>IFERROR(__xludf.DUMMYFUNCTION("""COMPUTED_VALUE"""),8.0)</f>
        <v>8</v>
      </c>
      <c r="F197" s="244">
        <f>E197/SUM(E195:E205)</f>
        <v>0.1481481481</v>
      </c>
    </row>
    <row r="198">
      <c r="D198" s="58" t="str">
        <f>IFERROR(__xludf.DUMMYFUNCTION("""COMPUTED_VALUE"""),"PlacementDeployment")</f>
        <v>PlacementDeployment</v>
      </c>
      <c r="E198" s="58">
        <f>IFERROR(__xludf.DUMMYFUNCTION("""COMPUTED_VALUE"""),7.0)</f>
        <v>7</v>
      </c>
      <c r="F198" s="244">
        <f>E198/SUM(E195:E205)</f>
        <v>0.1296296296</v>
      </c>
    </row>
    <row r="199">
      <c r="D199" s="58" t="str">
        <f>IFERROR(__xludf.DUMMYFUNCTION("""COMPUTED_VALUE"""),"Orchestration")</f>
        <v>Orchestration</v>
      </c>
      <c r="E199" s="58">
        <f>IFERROR(__xludf.DUMMYFUNCTION("""COMPUTED_VALUE"""),5.0)</f>
        <v>5</v>
      </c>
      <c r="F199" s="244">
        <f>E199/SUM(E195:E205)</f>
        <v>0.09259259259</v>
      </c>
    </row>
    <row r="200">
      <c r="D200" s="58" t="str">
        <f>IFERROR(__xludf.DUMMYFUNCTION("""COMPUTED_VALUE"""),"PowerManagement")</f>
        <v>PowerManagement</v>
      </c>
      <c r="E200" s="58">
        <f>IFERROR(__xludf.DUMMYFUNCTION("""COMPUTED_VALUE"""),2.0)</f>
        <v>2</v>
      </c>
      <c r="F200" s="244">
        <f>E200/SUM(E195:E205)</f>
        <v>0.03703703704</v>
      </c>
    </row>
    <row r="201">
      <c r="D201" s="58" t="str">
        <f>IFERROR(__xludf.DUMMYFUNCTION("""COMPUTED_VALUE"""),"RedundancyReplication")</f>
        <v>RedundancyReplication</v>
      </c>
      <c r="E201" s="58">
        <f>IFERROR(__xludf.DUMMYFUNCTION("""COMPUTED_VALUE"""),2.0)</f>
        <v>2</v>
      </c>
      <c r="F201" s="244">
        <f>E201/SUM(E195:E205)</f>
        <v>0.03703703704</v>
      </c>
    </row>
    <row r="202">
      <c r="D202" s="58" t="str">
        <f>IFERROR(__xludf.DUMMYFUNCTION("""COMPUTED_VALUE"""),"CodeOptimization")</f>
        <v>CodeOptimization</v>
      </c>
      <c r="E202" s="58">
        <f>IFERROR(__xludf.DUMMYFUNCTION("""COMPUTED_VALUE"""),1.0)</f>
        <v>1</v>
      </c>
      <c r="F202" s="244">
        <f>E202/SUM(E195:E205)</f>
        <v>0.01851851852</v>
      </c>
    </row>
    <row r="203">
      <c r="D203" s="58" t="str">
        <f>IFERROR(__xludf.DUMMYFUNCTION("""COMPUTED_VALUE"""),"SecurityAdaptation")</f>
        <v>SecurityAdaptation</v>
      </c>
      <c r="E203" s="58">
        <f>IFERROR(__xludf.DUMMYFUNCTION("""COMPUTED_VALUE"""),1.0)</f>
        <v>1</v>
      </c>
      <c r="F203" s="244">
        <f>E203/SUM(E195:E205)</f>
        <v>0.01851851852</v>
      </c>
    </row>
    <row r="204">
      <c r="D204" s="265" t="str">
        <f>IFERROR(__xludf.DUMMYFUNCTION("""COMPUTED_VALUE"""),"SustainabilityAwareDeployment")</f>
        <v>SustainabilityAwareDeployment</v>
      </c>
      <c r="E204" s="58">
        <f>IFERROR(__xludf.DUMMYFUNCTION("""COMPUTED_VALUE"""),1.0)</f>
        <v>1</v>
      </c>
      <c r="F204" s="244">
        <f>E204/SUM(E195:E205)</f>
        <v>0.01851851852</v>
      </c>
    </row>
    <row r="205">
      <c r="D205" s="58" t="str">
        <f>IFERROR(__xludf.DUMMYFUNCTION("""COMPUTED_VALUE"""),"WorkloadBatching")</f>
        <v>WorkloadBatching</v>
      </c>
      <c r="E205" s="58">
        <f>IFERROR(__xludf.DUMMYFUNCTION("""COMPUTED_VALUE"""),1.0)</f>
        <v>1</v>
      </c>
      <c r="F205" s="244">
        <f>E205/SUM(E195:E205)</f>
        <v>0.01851851852</v>
      </c>
    </row>
    <row r="206">
      <c r="D206" s="249" t="s">
        <v>34168</v>
      </c>
      <c r="E206" s="247">
        <f>SUM(E195:E205)</f>
        <v>54</v>
      </c>
    </row>
    <row r="207">
      <c r="A207" s="261" t="s">
        <v>198</v>
      </c>
      <c r="B207" s="260" t="str">
        <f t="array" ref="B207">INDEX('Raw Results'!D:D, MATCH(A207, 'Raw Results'!C:C, 0))</f>
        <v>ImplementationTechnologies</v>
      </c>
      <c r="C207" s="260" t="str">
        <f t="array" ref="C207">INDEX(Parameters!E:E, MATCH(A207, Parameters!A:A, 0))</f>
        <v>Specific technologies enabling energy-efficient solutions</v>
      </c>
      <c r="D207" s="259" t="str">
        <f>IFERROR(__xludf.DUMMYFUNCTION("QUERY('Raw Results'!C:F,
 ""select E, sum(F)
  where C = '""&amp;A207&amp;""' and E is not null and E &lt;&gt; 'Total'
  group by E
  order by sum(F) desc
  label E '', sum(F) ''"")
"),"ContainerRuntime")</f>
        <v>ContainerRuntime</v>
      </c>
      <c r="E207" s="58">
        <f>IFERROR(__xludf.DUMMYFUNCTION("""COMPUTED_VALUE"""),15.0)</f>
        <v>15</v>
      </c>
      <c r="F207" s="244">
        <f>E207/SUM(E207:E219)</f>
        <v>0.2678571429</v>
      </c>
      <c r="G207" s="261" t="s">
        <v>34500</v>
      </c>
      <c r="H207" s="260"/>
    </row>
    <row r="208">
      <c r="D208" s="58" t="str">
        <f>IFERROR(__xludf.DUMMYFUNCTION("""COMPUTED_VALUE"""),"OrchestrationPlatform")</f>
        <v>OrchestrationPlatform</v>
      </c>
      <c r="E208" s="58">
        <f>IFERROR(__xludf.DUMMYFUNCTION("""COMPUTED_VALUE"""),12.0)</f>
        <v>12</v>
      </c>
      <c r="F208" s="244">
        <f>E208/SUM(E207:E219)</f>
        <v>0.2142857143</v>
      </c>
    </row>
    <row r="209">
      <c r="D209" s="58" t="str">
        <f>IFERROR(__xludf.DUMMYFUNCTION("""COMPUTED_VALUE"""),"Simulator")</f>
        <v>Simulator</v>
      </c>
      <c r="E209" s="58">
        <f>IFERROR(__xludf.DUMMYFUNCTION("""COMPUTED_VALUE"""),5.0)</f>
        <v>5</v>
      </c>
      <c r="F209" s="244">
        <f>E209/SUM(E207:E219)</f>
        <v>0.08928571429</v>
      </c>
    </row>
    <row r="210">
      <c r="D210" s="58" t="str">
        <f>IFERROR(__xludf.DUMMYFUNCTION("""COMPUTED_VALUE"""),"OtherSoftware")</f>
        <v>OtherSoftware</v>
      </c>
      <c r="E210" s="58">
        <f>IFERROR(__xludf.DUMMYFUNCTION("""COMPUTED_VALUE"""),4.0)</f>
        <v>4</v>
      </c>
      <c r="F210" s="244">
        <f>E210/SUM(E207:E219)</f>
        <v>0.07142857143</v>
      </c>
    </row>
    <row r="211">
      <c r="D211" s="58" t="str">
        <f>IFERROR(__xludf.DUMMYFUNCTION("""COMPUTED_VALUE"""),"CloudPlatform")</f>
        <v>CloudPlatform</v>
      </c>
      <c r="E211" s="58">
        <f>IFERROR(__xludf.DUMMYFUNCTION("""COMPUTED_VALUE"""),3.0)</f>
        <v>3</v>
      </c>
      <c r="F211" s="244">
        <f>E211/SUM(E207:E219)</f>
        <v>0.05357142857</v>
      </c>
    </row>
    <row r="212">
      <c r="D212" s="58" t="str">
        <f>IFERROR(__xludf.DUMMYFUNCTION("""COMPUTED_VALUE"""),"HardwarePlatform")</f>
        <v>HardwarePlatform</v>
      </c>
      <c r="E212" s="58">
        <f>IFERROR(__xludf.DUMMYFUNCTION("""COMPUTED_VALUE"""),3.0)</f>
        <v>3</v>
      </c>
      <c r="F212" s="244">
        <f>E212/SUM(E207:E219)</f>
        <v>0.05357142857</v>
      </c>
    </row>
    <row r="213">
      <c r="D213" s="58" t="str">
        <f>IFERROR(__xludf.DUMMYFUNCTION("""COMPUTED_VALUE"""),"NetworkingTech")</f>
        <v>NetworkingTech</v>
      </c>
      <c r="E213" s="58">
        <f>IFERROR(__xludf.DUMMYFUNCTION("""COMPUTED_VALUE"""),3.0)</f>
        <v>3</v>
      </c>
      <c r="F213" s="244">
        <f>E213/SUM(E207:E219)</f>
        <v>0.05357142857</v>
      </c>
    </row>
    <row r="214">
      <c r="D214" s="58" t="str">
        <f>IFERROR(__xludf.DUMMYFUNCTION("""COMPUTED_VALUE"""),"ServerlessPlatform")</f>
        <v>ServerlessPlatform</v>
      </c>
      <c r="E214" s="58">
        <f>IFERROR(__xludf.DUMMYFUNCTION("""COMPUTED_VALUE"""),3.0)</f>
        <v>3</v>
      </c>
      <c r="F214" s="244">
        <f>E214/SUM(E207:E219)</f>
        <v>0.05357142857</v>
      </c>
    </row>
    <row r="215">
      <c r="D215" s="58" t="str">
        <f>IFERROR(__xludf.DUMMYFUNCTION("""COMPUTED_VALUE"""),"DataStore")</f>
        <v>DataStore</v>
      </c>
      <c r="E215" s="58">
        <f>IFERROR(__xludf.DUMMYFUNCTION("""COMPUTED_VALUE"""),2.0)</f>
        <v>2</v>
      </c>
      <c r="F215" s="244">
        <f>E215/SUM(E207:E219)</f>
        <v>0.03571428571</v>
      </c>
    </row>
    <row r="216">
      <c r="D216" s="265" t="str">
        <f>IFERROR(__xludf.DUMMYFUNCTION("""COMPUTED_VALUE"""),"EdgeIoTFramework")</f>
        <v>EdgeIoTFramework</v>
      </c>
      <c r="E216" s="58">
        <f>IFERROR(__xludf.DUMMYFUNCTION("""COMPUTED_VALUE"""),2.0)</f>
        <v>2</v>
      </c>
      <c r="F216" s="244">
        <f>E216/SUM(E207:E219)</f>
        <v>0.03571428571</v>
      </c>
    </row>
    <row r="217">
      <c r="D217" s="58" t="str">
        <f>IFERROR(__xludf.DUMMYFUNCTION("""COMPUTED_VALUE"""),"MLFramework")</f>
        <v>MLFramework</v>
      </c>
      <c r="E217" s="58">
        <f>IFERROR(__xludf.DUMMYFUNCTION("""COMPUTED_VALUE"""),2.0)</f>
        <v>2</v>
      </c>
      <c r="F217" s="244">
        <f>E217/SUM(E207:E219)</f>
        <v>0.03571428571</v>
      </c>
    </row>
    <row r="218">
      <c r="D218" s="265" t="str">
        <f>IFERROR(__xludf.DUMMYFUNCTION("""COMPUTED_VALUE"""),"OptimizationModeling")</f>
        <v>OptimizationModeling</v>
      </c>
      <c r="E218" s="58">
        <f>IFERROR(__xludf.DUMMYFUNCTION("""COMPUTED_VALUE"""),1.0)</f>
        <v>1</v>
      </c>
      <c r="F218" s="244">
        <f>E218/SUM(E207:E219)</f>
        <v>0.01785714286</v>
      </c>
    </row>
    <row r="219">
      <c r="D219" s="58" t="str">
        <f>IFERROR(__xludf.DUMMYFUNCTION("""COMPUTED_VALUE"""),"ServiceMesh")</f>
        <v>ServiceMesh</v>
      </c>
      <c r="E219" s="58">
        <f>IFERROR(__xludf.DUMMYFUNCTION("""COMPUTED_VALUE"""),1.0)</f>
        <v>1</v>
      </c>
      <c r="F219" s="244">
        <f>E219/SUM(E207:E219)</f>
        <v>0.01785714286</v>
      </c>
    </row>
    <row r="220">
      <c r="D220" s="249" t="s">
        <v>34168</v>
      </c>
      <c r="E220" s="247">
        <f>SUM(E207:E219)</f>
        <v>56</v>
      </c>
    </row>
    <row r="221" ht="28.5" customHeight="1">
      <c r="A221" s="235" t="s">
        <v>202</v>
      </c>
    </row>
    <row r="222">
      <c r="A222" s="261" t="s">
        <v>203</v>
      </c>
      <c r="B222" s="260" t="str">
        <f t="array" ref="B222">INDEX('Raw Results'!D:D, MATCH(A222, 'Raw Results'!C:C, 0))</f>
        <v>QualityAttribute</v>
      </c>
      <c r="C222" s="260" t="str">
        <f t="array" ref="C222">INDEX(Parameters!E:E, MATCH(A222, Parameters!A:A, 0))</f>
        <v>System qualities impacted by energy efficiency efforts</v>
      </c>
      <c r="D222" s="259" t="str">
        <f>IFERROR(__xludf.DUMMYFUNCTION("QUERY('Raw Results'!C:F,
 ""select E, sum(F)
  where C = '""&amp;A222&amp;""' and E is not null and E &lt;&gt; 'Total'
  group by E
  order by sum(F) desc
  label E '', sum(F) ''"")
"),"Performance")</f>
        <v>Performance</v>
      </c>
      <c r="E222" s="58">
        <f>IFERROR(__xludf.DUMMYFUNCTION("""COMPUTED_VALUE"""),31.0)</f>
        <v>31</v>
      </c>
      <c r="F222" s="244">
        <f>E222/SUM(E222:E233)</f>
        <v>0.5</v>
      </c>
      <c r="G222" s="261" t="s">
        <v>34501</v>
      </c>
      <c r="H222" s="261" t="s">
        <v>34502</v>
      </c>
      <c r="I222" s="262" t="s">
        <v>34503</v>
      </c>
    </row>
    <row r="223">
      <c r="D223" s="58" t="str">
        <f>IFERROR(__xludf.DUMMYFUNCTION("""COMPUTED_VALUE"""),"QoSSLA")</f>
        <v>QoSSLA</v>
      </c>
      <c r="E223" s="58">
        <f>IFERROR(__xludf.DUMMYFUNCTION("""COMPUTED_VALUE"""),10.0)</f>
        <v>10</v>
      </c>
      <c r="F223" s="244">
        <f>E223/SUM(E222:E233)</f>
        <v>0.1612903226</v>
      </c>
    </row>
    <row r="224">
      <c r="D224" s="58" t="str">
        <f>IFERROR(__xludf.DUMMYFUNCTION("""COMPUTED_VALUE"""),"ReliabilityAvailability")</f>
        <v>ReliabilityAvailability</v>
      </c>
      <c r="E224" s="58">
        <f>IFERROR(__xludf.DUMMYFUNCTION("""COMPUTED_VALUE"""),5.0)</f>
        <v>5</v>
      </c>
      <c r="F224" s="244">
        <f>E224/SUM(E222:E233)</f>
        <v>0.08064516129</v>
      </c>
    </row>
    <row r="225">
      <c r="D225" s="58" t="str">
        <f>IFERROR(__xludf.DUMMYFUNCTION("""COMPUTED_VALUE"""),"Cost")</f>
        <v>Cost</v>
      </c>
      <c r="E225" s="58">
        <f>IFERROR(__xludf.DUMMYFUNCTION("""COMPUTED_VALUE"""),3.0)</f>
        <v>3</v>
      </c>
      <c r="F225" s="244">
        <f>E225/SUM(E222:E233)</f>
        <v>0.04838709677</v>
      </c>
    </row>
    <row r="226">
      <c r="D226" s="58" t="str">
        <f>IFERROR(__xludf.DUMMYFUNCTION("""COMPUTED_VALUE"""),"ResourceUtilization")</f>
        <v>ResourceUtilization</v>
      </c>
      <c r="E226" s="58">
        <f>IFERROR(__xludf.DUMMYFUNCTION("""COMPUTED_VALUE"""),3.0)</f>
        <v>3</v>
      </c>
      <c r="F226" s="244">
        <f>E226/SUM(E222:E233)</f>
        <v>0.04838709677</v>
      </c>
    </row>
    <row r="227">
      <c r="D227" s="58" t="str">
        <f>IFERROR(__xludf.DUMMYFUNCTION("""COMPUTED_VALUE"""),"EnergyEfficiency")</f>
        <v>EnergyEfficiency</v>
      </c>
      <c r="E227" s="58">
        <f>IFERROR(__xludf.DUMMYFUNCTION("""COMPUTED_VALUE"""),2.0)</f>
        <v>2</v>
      </c>
      <c r="F227" s="244">
        <f>E227/SUM(E222:E233)</f>
        <v>0.03225806452</v>
      </c>
    </row>
    <row r="228">
      <c r="D228" s="58" t="str">
        <f>IFERROR(__xludf.DUMMYFUNCTION("""COMPUTED_VALUE"""),"Sustainability")</f>
        <v>Sustainability</v>
      </c>
      <c r="E228" s="58">
        <f>IFERROR(__xludf.DUMMYFUNCTION("""COMPUTED_VALUE"""),2.0)</f>
        <v>2</v>
      </c>
      <c r="F228" s="244">
        <f>E228/SUM(E222:E233)</f>
        <v>0.03225806452</v>
      </c>
    </row>
    <row r="229">
      <c r="D229" s="58" t="str">
        <f>IFERROR(__xludf.DUMMYFUNCTION("""COMPUTED_VALUE"""),"UserExperience")</f>
        <v>UserExperience</v>
      </c>
      <c r="E229" s="58">
        <f>IFERROR(__xludf.DUMMYFUNCTION("""COMPUTED_VALUE"""),2.0)</f>
        <v>2</v>
      </c>
      <c r="F229" s="244">
        <f>E229/SUM(E222:E233)</f>
        <v>0.03225806452</v>
      </c>
    </row>
    <row r="230">
      <c r="D230" s="58" t="str">
        <f>IFERROR(__xludf.DUMMYFUNCTION("""COMPUTED_VALUE"""),"Consistency")</f>
        <v>Consistency</v>
      </c>
      <c r="E230" s="58">
        <f>IFERROR(__xludf.DUMMYFUNCTION("""COMPUTED_VALUE"""),1.0)</f>
        <v>1</v>
      </c>
      <c r="F230" s="244">
        <f>E230/SUM(E222:E233)</f>
        <v>0.01612903226</v>
      </c>
    </row>
    <row r="231">
      <c r="D231" s="265" t="str">
        <f>IFERROR(__xludf.DUMMYFUNCTION("""COMPUTED_VALUE"""),"OutputQuality")</f>
        <v>OutputQuality</v>
      </c>
      <c r="E231" s="58">
        <f>IFERROR(__xludf.DUMMYFUNCTION("""COMPUTED_VALUE"""),1.0)</f>
        <v>1</v>
      </c>
      <c r="F231" s="244">
        <f>E231/SUM(E222:E233)</f>
        <v>0.01612903226</v>
      </c>
    </row>
    <row r="232">
      <c r="D232" s="58" t="str">
        <f>IFERROR(__xludf.DUMMYFUNCTION("""COMPUTED_VALUE"""),"Scalability")</f>
        <v>Scalability</v>
      </c>
      <c r="E232" s="58">
        <f>IFERROR(__xludf.DUMMYFUNCTION("""COMPUTED_VALUE"""),1.0)</f>
        <v>1</v>
      </c>
      <c r="F232" s="244">
        <f>E232/SUM(E222:E233)</f>
        <v>0.01612903226</v>
      </c>
    </row>
    <row r="233">
      <c r="D233" s="58" t="str">
        <f>IFERROR(__xludf.DUMMYFUNCTION("""COMPUTED_VALUE"""),"Security")</f>
        <v>Security</v>
      </c>
      <c r="E233" s="58">
        <f>IFERROR(__xludf.DUMMYFUNCTION("""COMPUTED_VALUE"""),1.0)</f>
        <v>1</v>
      </c>
      <c r="F233" s="244">
        <f>E233/SUM(E222:E233)</f>
        <v>0.01612903226</v>
      </c>
    </row>
    <row r="234">
      <c r="D234" s="249" t="s">
        <v>34168</v>
      </c>
      <c r="E234" s="247">
        <f>SUM(E222:E233)</f>
        <v>62</v>
      </c>
    </row>
    <row r="235">
      <c r="A235" s="261" t="s">
        <v>207</v>
      </c>
      <c r="B235" s="260" t="str">
        <f t="array" ref="B235">INDEX('Raw Results'!D:D, MATCH(A235, 'Raw Results'!C:C, 0))</f>
        <v>TradeOffRelationship</v>
      </c>
      <c r="C235" s="260" t="str">
        <f t="array" ref="C235">INDEX(Parameters!E:E, MATCH(A235, Parameters!A:A, 0))</f>
        <v>Nature of the interaction between energy efficiency and other qualities</v>
      </c>
      <c r="D235" s="259" t="str">
        <f>IFERROR(__xludf.DUMMYFUNCTION("QUERY('Raw Results'!C:F,
 ""select E, sum(F)
  where C = '""&amp;A235&amp;""' and E is not null and E &lt;&gt; 'Total'
  group by E
  order by sum(F) desc
  label E '', sum(F) ''"")
"),"Balancing")</f>
        <v>Balancing</v>
      </c>
      <c r="E235" s="58">
        <f>IFERROR(__xludf.DUMMYFUNCTION("""COMPUTED_VALUE"""),21.0)</f>
        <v>21</v>
      </c>
      <c r="F235" s="244">
        <f>E235/SUM(E235:E240)</f>
        <v>0.525</v>
      </c>
      <c r="G235" s="261" t="s">
        <v>34504</v>
      </c>
      <c r="H235" s="261" t="s">
        <v>34505</v>
      </c>
    </row>
    <row r="236">
      <c r="D236" s="58" t="str">
        <f>IFERROR(__xludf.DUMMYFUNCTION("""COMPUTED_VALUE"""),"Degrading")</f>
        <v>Degrading</v>
      </c>
      <c r="E236" s="58">
        <f>IFERROR(__xludf.DUMMYFUNCTION("""COMPUTED_VALUE"""),13.0)</f>
        <v>13</v>
      </c>
      <c r="F236" s="244">
        <f>E236/SUM(E235:E240)</f>
        <v>0.325</v>
      </c>
    </row>
    <row r="237">
      <c r="D237" s="58" t="str">
        <f>IFERROR(__xludf.DUMMYFUNCTION("""COMPUTED_VALUE"""),"Improving")</f>
        <v>Improving</v>
      </c>
      <c r="E237" s="58">
        <f>IFERROR(__xludf.DUMMYFUNCTION("""COMPUTED_VALUE"""),2.0)</f>
        <v>2</v>
      </c>
      <c r="F237" s="244">
        <f>E237/SUM(E235:E240)</f>
        <v>0.05</v>
      </c>
    </row>
    <row r="238">
      <c r="D238" s="58" t="str">
        <f>IFERROR(__xludf.DUMMYFUNCTION("""COMPUTED_VALUE"""),"Inverse")</f>
        <v>Inverse</v>
      </c>
      <c r="E238" s="58">
        <f>IFERROR(__xludf.DUMMYFUNCTION("""COMPUTED_VALUE"""),2.0)</f>
        <v>2</v>
      </c>
      <c r="F238" s="244">
        <f>E238/SUM(E235:E240)</f>
        <v>0.05</v>
      </c>
    </row>
    <row r="239">
      <c r="D239" s="58" t="str">
        <f>IFERROR(__xludf.DUMMYFUNCTION("""COMPUTED_VALUE"""),"ExplicitTradeOff")</f>
        <v>ExplicitTradeOff</v>
      </c>
      <c r="E239" s="58">
        <f>IFERROR(__xludf.DUMMYFUNCTION("""COMPUTED_VALUE"""),1.0)</f>
        <v>1</v>
      </c>
      <c r="F239" s="244">
        <f>E239/SUM(E235:E240)</f>
        <v>0.025</v>
      </c>
    </row>
    <row r="240">
      <c r="D240" s="58" t="str">
        <f>IFERROR(__xludf.DUMMYFUNCTION("""COMPUTED_VALUE"""),"Reversing")</f>
        <v>Reversing</v>
      </c>
      <c r="E240" s="58">
        <f>IFERROR(__xludf.DUMMYFUNCTION("""COMPUTED_VALUE"""),1.0)</f>
        <v>1</v>
      </c>
      <c r="F240" s="244">
        <f>E240/SUM(E235:E240)</f>
        <v>0.025</v>
      </c>
    </row>
    <row r="241">
      <c r="D241" s="249" t="s">
        <v>34168</v>
      </c>
      <c r="E241" s="247">
        <f>SUM(E235:E240)</f>
        <v>40</v>
      </c>
    </row>
    <row r="242">
      <c r="A242" s="261" t="s">
        <v>211</v>
      </c>
      <c r="B242" s="260" t="str">
        <f t="array" ref="B242">INDEX('Raw Results'!D:D, MATCH(A242, 'Raw Results'!C:C, 0))</f>
        <v>TradeOffStrategy</v>
      </c>
      <c r="C242" s="260" t="str">
        <f t="array" ref="C242">INDEX(Parameters!E:E, MATCH(A242, Parameters!A:A, 0))</f>
        <v>Methods to manage or mitigate trade-offs</v>
      </c>
      <c r="D242" s="259" t="str">
        <f>IFERROR(__xludf.DUMMYFUNCTION("QUERY('Raw Results'!C:F,
 ""select E, sum(F)
  where C = '""&amp;A242&amp;""' and E is not null and E &lt;&gt; 'Total'
  group by E
  order by sum(F) desc
  label E '', sum(F) ''"")
"),"Scheduling")</f>
        <v>Scheduling</v>
      </c>
      <c r="E242" s="58">
        <f>IFERROR(__xludf.DUMMYFUNCTION("""COMPUTED_VALUE"""),11.0)</f>
        <v>11</v>
      </c>
      <c r="F242" s="244">
        <f>E242/SUM(E242:E254)</f>
        <v>0.2291666667</v>
      </c>
      <c r="G242" s="261" t="s">
        <v>34506</v>
      </c>
      <c r="H242" s="260"/>
    </row>
    <row r="243">
      <c r="D243" s="58" t="str">
        <f>IFERROR(__xludf.DUMMYFUNCTION("""COMPUTED_VALUE"""),"AdaptivePolicy")</f>
        <v>AdaptivePolicy</v>
      </c>
      <c r="E243" s="58">
        <f>IFERROR(__xludf.DUMMYFUNCTION("""COMPUTED_VALUE"""),10.0)</f>
        <v>10</v>
      </c>
      <c r="F243" s="244">
        <f>E243/SUM(E242:E254)</f>
        <v>0.2083333333</v>
      </c>
    </row>
    <row r="244">
      <c r="D244" s="58" t="str">
        <f>IFERROR(__xludf.DUMMYFUNCTION("""COMPUTED_VALUE"""),"AutoscalingQoSControl")</f>
        <v>AutoscalingQoSControl</v>
      </c>
      <c r="E244" s="58">
        <f>IFERROR(__xludf.DUMMYFUNCTION("""COMPUTED_VALUE"""),6.0)</f>
        <v>6</v>
      </c>
      <c r="F244" s="244">
        <f>E244/SUM(E242:E254)</f>
        <v>0.125</v>
      </c>
    </row>
    <row r="245">
      <c r="D245" s="58" t="str">
        <f>IFERROR(__xludf.DUMMYFUNCTION("""COMPUTED_VALUE"""),"ColdStartMitigation")</f>
        <v>ColdStartMitigation</v>
      </c>
      <c r="E245" s="58">
        <f>IFERROR(__xludf.DUMMYFUNCTION("""COMPUTED_VALUE"""),3.0)</f>
        <v>3</v>
      </c>
      <c r="F245" s="244">
        <f>E245/SUM(E242:E254)</f>
        <v>0.0625</v>
      </c>
    </row>
    <row r="246">
      <c r="D246" s="265" t="str">
        <f>IFERROR(__xludf.DUMMYFUNCTION("""COMPUTED_VALUE"""),"OptimizationMultiObjective")</f>
        <v>OptimizationMultiObjective</v>
      </c>
      <c r="E246" s="58">
        <f>IFERROR(__xludf.DUMMYFUNCTION("""COMPUTED_VALUE"""),3.0)</f>
        <v>3</v>
      </c>
      <c r="F246" s="244">
        <f>E246/SUM(E242:E254)</f>
        <v>0.0625</v>
      </c>
    </row>
    <row r="247">
      <c r="D247" s="58" t="str">
        <f>IFERROR(__xludf.DUMMYFUNCTION("""COMPUTED_VALUE"""),"PlacementColocationCaching")</f>
        <v>PlacementColocationCaching</v>
      </c>
      <c r="E247" s="58">
        <f>IFERROR(__xludf.DUMMYFUNCTION("""COMPUTED_VALUE"""),3.0)</f>
        <v>3</v>
      </c>
      <c r="F247" s="244">
        <f>E247/SUM(E242:E254)</f>
        <v>0.0625</v>
      </c>
    </row>
    <row r="248">
      <c r="D248" s="58" t="str">
        <f>IFERROR(__xludf.DUMMYFUNCTION("""COMPUTED_VALUE"""),"ReconfigurationRedistribution")</f>
        <v>ReconfigurationRedistribution</v>
      </c>
      <c r="E248" s="58">
        <f>IFERROR(__xludf.DUMMYFUNCTION("""COMPUTED_VALUE"""),3.0)</f>
        <v>3</v>
      </c>
      <c r="F248" s="244">
        <f>E248/SUM(E242:E254)</f>
        <v>0.0625</v>
      </c>
    </row>
    <row r="249">
      <c r="D249" s="58" t="str">
        <f>IFERROR(__xludf.DUMMYFUNCTION("""COMPUTED_VALUE"""),"BrownoutOptionality")</f>
        <v>BrownoutOptionality</v>
      </c>
      <c r="E249" s="58">
        <f>IFERROR(__xludf.DUMMYFUNCTION("""COMPUTED_VALUE"""),2.0)</f>
        <v>2</v>
      </c>
      <c r="F249" s="244">
        <f>E249/SUM(E242:E254)</f>
        <v>0.04166666667</v>
      </c>
    </row>
    <row r="250">
      <c r="D250" s="58" t="str">
        <f>IFERROR(__xludf.DUMMYFUNCTION("""COMPUTED_VALUE"""),"HardwareAcceleration")</f>
        <v>HardwareAcceleration</v>
      </c>
      <c r="E250" s="58">
        <f>IFERROR(__xludf.DUMMYFUNCTION("""COMPUTED_VALUE"""),2.0)</f>
        <v>2</v>
      </c>
      <c r="F250" s="244">
        <f>E250/SUM(E242:E254)</f>
        <v>0.04166666667</v>
      </c>
    </row>
    <row r="251">
      <c r="D251" s="58" t="str">
        <f>IFERROR(__xludf.DUMMYFUNCTION("""COMPUTED_VALUE"""),"Tuning")</f>
        <v>Tuning</v>
      </c>
      <c r="E251" s="58">
        <f>IFERROR(__xludf.DUMMYFUNCTION("""COMPUTED_VALUE"""),2.0)</f>
        <v>2</v>
      </c>
      <c r="F251" s="244">
        <f>E251/SUM(E242:E254)</f>
        <v>0.04166666667</v>
      </c>
    </row>
    <row r="252">
      <c r="D252" s="58" t="str">
        <f>IFERROR(__xludf.DUMMYFUNCTION("""COMPUTED_VALUE"""),"MigrationDuplication")</f>
        <v>MigrationDuplication</v>
      </c>
      <c r="E252" s="58">
        <f>IFERROR(__xludf.DUMMYFUNCTION("""COMPUTED_VALUE"""),1.0)</f>
        <v>1</v>
      </c>
      <c r="F252" s="244">
        <f>E252/SUM(E242:E254)</f>
        <v>0.02083333333</v>
      </c>
    </row>
    <row r="253">
      <c r="D253" s="58" t="str">
        <f>IFERROR(__xludf.DUMMYFUNCTION("""COMPUTED_VALUE"""),"RLBasedControl")</f>
        <v>RLBasedControl</v>
      </c>
      <c r="E253" s="58">
        <f>IFERROR(__xludf.DUMMYFUNCTION("""COMPUTED_VALUE"""),1.0)</f>
        <v>1</v>
      </c>
      <c r="F253" s="244">
        <f>E253/SUM(E242:E254)</f>
        <v>0.02083333333</v>
      </c>
    </row>
    <row r="254">
      <c r="D254" s="58" t="str">
        <f>IFERROR(__xludf.DUMMYFUNCTION("""COMPUTED_VALUE"""),"ReplicationScaling")</f>
        <v>ReplicationScaling</v>
      </c>
      <c r="E254" s="58">
        <f>IFERROR(__xludf.DUMMYFUNCTION("""COMPUTED_VALUE"""),1.0)</f>
        <v>1</v>
      </c>
      <c r="F254" s="244">
        <f>E254/SUM(E242:E254)</f>
        <v>0.02083333333</v>
      </c>
    </row>
    <row r="255">
      <c r="D255" s="249" t="s">
        <v>34168</v>
      </c>
      <c r="E255" s="247">
        <f>SUM(E242:E254)</f>
        <v>48</v>
      </c>
    </row>
    <row r="256" ht="28.5" customHeight="1">
      <c r="A256" s="235" t="s">
        <v>215</v>
      </c>
    </row>
    <row r="257">
      <c r="A257" s="261" t="s">
        <v>216</v>
      </c>
      <c r="B257" s="260" t="str">
        <f t="array" ref="B257">INDEX('Raw Results'!D:D, MATCH(A257, 'Raw Results'!C:C, 0))</f>
        <v>ChallengeType</v>
      </c>
      <c r="C257" s="260" t="str">
        <f t="array" ref="C257">INDEX(Parameters!E:E, MATCH(A257, Parameters!A:A, 0))</f>
        <v>Type of challenges to adoptation </v>
      </c>
      <c r="D257" s="259" t="str">
        <f>IFERROR(__xludf.DUMMYFUNCTION("QUERY('Raw Results'!C:F,
 ""select E, sum(F)
  where C = '""&amp;A257&amp;""' and E is not null and E &lt;&gt; 'Total'
  group by E
  order by sum(F) desc
  label E '', sum(F) ''"")
"),"Measurement")</f>
        <v>Measurement</v>
      </c>
      <c r="E257" s="58">
        <f>IFERROR(__xludf.DUMMYFUNCTION("""COMPUTED_VALUE"""),10.0)</f>
        <v>10</v>
      </c>
      <c r="F257" s="244">
        <f>E257/SUM(E257:E267)</f>
        <v>0.1960784314</v>
      </c>
      <c r="G257" s="261" t="s">
        <v>34507</v>
      </c>
      <c r="H257" s="261"/>
      <c r="I257" s="261" t="s">
        <v>34508</v>
      </c>
    </row>
    <row r="258">
      <c r="D258" s="58" t="str">
        <f>IFERROR(__xludf.DUMMYFUNCTION("""COMPUTED_VALUE"""),"Technical")</f>
        <v>Technical</v>
      </c>
      <c r="E258" s="58">
        <f>IFERROR(__xludf.DUMMYFUNCTION("""COMPUTED_VALUE"""),9.0)</f>
        <v>9</v>
      </c>
      <c r="F258" s="244">
        <f>E258/SUM(E257:E267)</f>
        <v>0.1764705882</v>
      </c>
    </row>
    <row r="259">
      <c r="D259" s="58" t="str">
        <f>IFERROR(__xludf.DUMMYFUNCTION("""COMPUTED_VALUE"""),"PerformanceInterference")</f>
        <v>PerformanceInterference</v>
      </c>
      <c r="E259" s="58">
        <f>IFERROR(__xludf.DUMMYFUNCTION("""COMPUTED_VALUE"""),6.0)</f>
        <v>6</v>
      </c>
      <c r="F259" s="244">
        <f>E259/SUM(E257:E267)</f>
        <v>0.1176470588</v>
      </c>
    </row>
    <row r="260">
      <c r="D260" s="58" t="str">
        <f>IFERROR(__xludf.DUMMYFUNCTION("""COMPUTED_VALUE"""),"PredictabilityControl")</f>
        <v>PredictabilityControl</v>
      </c>
      <c r="E260" s="58">
        <f>IFERROR(__xludf.DUMMYFUNCTION("""COMPUTED_VALUE"""),5.0)</f>
        <v>5</v>
      </c>
      <c r="F260" s="244">
        <f>E260/SUM(E257:E267)</f>
        <v>0.09803921569</v>
      </c>
    </row>
    <row r="261">
      <c r="D261" s="58" t="str">
        <f>IFERROR(__xludf.DUMMYFUNCTION("""COMPUTED_VALUE"""),"DataAvailability")</f>
        <v>DataAvailability</v>
      </c>
      <c r="E261" s="58">
        <f>IFERROR(__xludf.DUMMYFUNCTION("""COMPUTED_VALUE"""),4.0)</f>
        <v>4</v>
      </c>
      <c r="F261" s="244">
        <f>E261/SUM(E257:E267)</f>
        <v>0.07843137255</v>
      </c>
    </row>
    <row r="262">
      <c r="D262" s="58" t="str">
        <f>IFERROR(__xludf.DUMMYFUNCTION("""COMPUTED_VALUE"""),"EvaluationValidity")</f>
        <v>EvaluationValidity</v>
      </c>
      <c r="E262" s="58">
        <f>IFERROR(__xludf.DUMMYFUNCTION("""COMPUTED_VALUE"""),4.0)</f>
        <v>4</v>
      </c>
      <c r="F262" s="244">
        <f>E262/SUM(E257:E267)</f>
        <v>0.07843137255</v>
      </c>
    </row>
    <row r="263">
      <c r="D263" s="58" t="str">
        <f>IFERROR(__xludf.DUMMYFUNCTION("""COMPUTED_VALUE"""),"Tooling")</f>
        <v>Tooling</v>
      </c>
      <c r="E263" s="58">
        <f>IFERROR(__xludf.DUMMYFUNCTION("""COMPUTED_VALUE"""),4.0)</f>
        <v>4</v>
      </c>
      <c r="F263" s="244">
        <f>E263/SUM(E257:E267)</f>
        <v>0.07843137255</v>
      </c>
    </row>
    <row r="264">
      <c r="D264" s="58" t="str">
        <f>IFERROR(__xludf.DUMMYFUNCTION("""COMPUTED_VALUE"""),"DeploymentOperational")</f>
        <v>DeploymentOperational</v>
      </c>
      <c r="E264" s="58">
        <f>IFERROR(__xludf.DUMMYFUNCTION("""COMPUTED_VALUE"""),3.0)</f>
        <v>3</v>
      </c>
      <c r="F264" s="244">
        <f>E264/SUM(E257:E267)</f>
        <v>0.05882352941</v>
      </c>
    </row>
    <row r="265">
      <c r="D265" s="58" t="str">
        <f>IFERROR(__xludf.DUMMYFUNCTION("""COMPUTED_VALUE"""),"ResourceHeterogeneity")</f>
        <v>ResourceHeterogeneity</v>
      </c>
      <c r="E265" s="58">
        <f>IFERROR(__xludf.DUMMYFUNCTION("""COMPUTED_VALUE"""),3.0)</f>
        <v>3</v>
      </c>
      <c r="F265" s="244">
        <f>E265/SUM(E257:E267)</f>
        <v>0.05882352941</v>
      </c>
    </row>
    <row r="266">
      <c r="D266" s="265" t="str">
        <f>IFERROR(__xludf.DUMMYFUNCTION("""COMPUTED_VALUE"""),"Organizational")</f>
        <v>Organizational</v>
      </c>
      <c r="E266" s="58">
        <f>IFERROR(__xludf.DUMMYFUNCTION("""COMPUTED_VALUE"""),2.0)</f>
        <v>2</v>
      </c>
      <c r="F266" s="244">
        <f>E266/SUM(E257:E267)</f>
        <v>0.03921568627</v>
      </c>
    </row>
    <row r="267">
      <c r="D267" s="58" t="str">
        <f>IFERROR(__xludf.DUMMYFUNCTION("""COMPUTED_VALUE"""),"Programmability")</f>
        <v>Programmability</v>
      </c>
      <c r="E267" s="58">
        <f>IFERROR(__xludf.DUMMYFUNCTION("""COMPUTED_VALUE"""),1.0)</f>
        <v>1</v>
      </c>
      <c r="F267" s="244">
        <f>E267/SUM(E257:E267)</f>
        <v>0.01960784314</v>
      </c>
    </row>
    <row r="268">
      <c r="D268" s="249" t="s">
        <v>34168</v>
      </c>
      <c r="E268" s="247">
        <f>SUM(E257:E267)</f>
        <v>51</v>
      </c>
    </row>
    <row r="269">
      <c r="A269" s="261" t="s">
        <v>220</v>
      </c>
      <c r="B269" s="260" t="str">
        <f t="array" ref="B269">INDEX('Raw Results'!D:D, MATCH(A269, 'Raw Results'!C:C, 0))</f>
        <v>AdoptionPhase</v>
      </c>
      <c r="C269" s="260" t="str">
        <f t="array" ref="C269">INDEX(Parameters!E:E, MATCH(A269, Parameters!A:A, 0))</f>
        <v>Lifecycle phase where challenges occur</v>
      </c>
      <c r="D269" s="259" t="str">
        <f>IFERROR(__xludf.DUMMYFUNCTION("QUERY('Raw Results'!C:F,
 ""select E, sum(F)
  where C = '""&amp;A269&amp;""' and E is not null and E &lt;&gt; 'Total'
  group by E
  order by sum(F) desc
  label E '', sum(F) ''"")
"),"Operation")</f>
        <v>Operation</v>
      </c>
      <c r="E269" s="58">
        <f>IFERROR(__xludf.DUMMYFUNCTION("""COMPUTED_VALUE"""),20.0)</f>
        <v>20</v>
      </c>
      <c r="F269" s="244">
        <f>E269/SUM(E269:E275)</f>
        <v>0.5714285714</v>
      </c>
      <c r="G269" s="261" t="s">
        <v>34509</v>
      </c>
      <c r="H269" s="261"/>
    </row>
    <row r="270">
      <c r="D270" s="58" t="str">
        <f>IFERROR(__xludf.DUMMYFUNCTION("""COMPUTED_VALUE"""),"Implementation")</f>
        <v>Implementation</v>
      </c>
      <c r="E270" s="58">
        <f>IFERROR(__xludf.DUMMYFUNCTION("""COMPUTED_VALUE"""),6.0)</f>
        <v>6</v>
      </c>
      <c r="F270" s="244">
        <f>E270/SUM(E269:E275)</f>
        <v>0.1714285714</v>
      </c>
    </row>
    <row r="271">
      <c r="D271" s="58" t="str">
        <f>IFERROR(__xludf.DUMMYFUNCTION("""COMPUTED_VALUE"""),"Design")</f>
        <v>Design</v>
      </c>
      <c r="E271" s="58">
        <f>IFERROR(__xludf.DUMMYFUNCTION("""COMPUTED_VALUE"""),5.0)</f>
        <v>5</v>
      </c>
      <c r="F271" s="244">
        <f>E271/SUM(E269:E275)</f>
        <v>0.1428571429</v>
      </c>
    </row>
    <row r="272">
      <c r="D272" s="58" t="str">
        <f>IFERROR(__xludf.DUMMYFUNCTION("""COMPUTED_VALUE"""),"Deployment")</f>
        <v>Deployment</v>
      </c>
      <c r="E272" s="58">
        <f>IFERROR(__xludf.DUMMYFUNCTION("""COMPUTED_VALUE"""),1.0)</f>
        <v>1</v>
      </c>
      <c r="F272" s="244">
        <f>E272/SUM(E269:E275)</f>
        <v>0.02857142857</v>
      </c>
    </row>
    <row r="273">
      <c r="D273" s="58" t="str">
        <f>IFERROR(__xludf.DUMMYFUNCTION("""COMPUTED_VALUE"""),"Evaluation")</f>
        <v>Evaluation</v>
      </c>
      <c r="E273" s="58">
        <f>IFERROR(__xludf.DUMMYFUNCTION("""COMPUTED_VALUE"""),1.0)</f>
        <v>1</v>
      </c>
      <c r="F273" s="244">
        <f>E273/SUM(E269:E275)</f>
        <v>0.02857142857</v>
      </c>
    </row>
    <row r="274">
      <c r="D274" s="58" t="str">
        <f>IFERROR(__xludf.DUMMYFUNCTION("""COMPUTED_VALUE"""),"Planning")</f>
        <v>Planning</v>
      </c>
      <c r="E274" s="58">
        <f>IFERROR(__xludf.DUMMYFUNCTION("""COMPUTED_VALUE"""),1.0)</f>
        <v>1</v>
      </c>
      <c r="F274" s="244">
        <f>E274/SUM(E269:E275)</f>
        <v>0.02857142857</v>
      </c>
    </row>
    <row r="275">
      <c r="D275" s="58" t="str">
        <f>IFERROR(__xludf.DUMMYFUNCTION("""COMPUTED_VALUE"""),"Production")</f>
        <v>Production</v>
      </c>
      <c r="E275" s="58">
        <f>IFERROR(__xludf.DUMMYFUNCTION("""COMPUTED_VALUE"""),1.0)</f>
        <v>1</v>
      </c>
      <c r="F275" s="244">
        <f>E275/SUM(E269:E275)</f>
        <v>0.02857142857</v>
      </c>
    </row>
    <row r="276">
      <c r="D276" s="249" t="s">
        <v>34168</v>
      </c>
      <c r="E276" s="247">
        <f>SUM(E269:E275)</f>
        <v>35</v>
      </c>
    </row>
    <row r="277" ht="20.25" customHeight="1">
      <c r="A277" s="261" t="s">
        <v>224</v>
      </c>
      <c r="B277" s="260" t="str">
        <f t="array" ref="B277">INDEX('Raw Results'!D:D, MATCH(A277, 'Raw Results'!C:C, 0))</f>
        <v>ChallengeComplexity</v>
      </c>
      <c r="C277" s="260" t="str">
        <f t="array" ref="C277">INDEX(Parameters!E:E, MATCH(A277, Parameters!A:A, 0))</f>
        <v>Difficulty level of the challenge</v>
      </c>
      <c r="D277" s="259" t="str">
        <f>IFERROR(__xludf.DUMMYFUNCTION("QUERY('Raw Results'!C:F,
 ""select E, sum(F)
  where C = '""&amp;A277&amp;""' and E is not null and E &lt;&gt; 'Total'
  group by E
  order by sum(F) desc
  label E '', sum(F) ''"")
"),"Complex")</f>
        <v>Complex</v>
      </c>
      <c r="E277" s="58">
        <f>IFERROR(__xludf.DUMMYFUNCTION("""COMPUTED_VALUE"""),18.0)</f>
        <v>18</v>
      </c>
      <c r="F277" s="244">
        <f>E277/SUM(E277:E279)</f>
        <v>0.9</v>
      </c>
      <c r="G277" s="261" t="s">
        <v>34510</v>
      </c>
      <c r="H277" s="260"/>
    </row>
    <row r="278" ht="20.25" customHeight="1">
      <c r="D278" s="58" t="str">
        <f>IFERROR(__xludf.DUMMYFUNCTION("""COMPUTED_VALUE"""),"Moderate")</f>
        <v>Moderate</v>
      </c>
      <c r="E278" s="58">
        <f>IFERROR(__xludf.DUMMYFUNCTION("""COMPUTED_VALUE"""),1.0)</f>
        <v>1</v>
      </c>
      <c r="F278" s="244">
        <f>E278/SUM(E277:E279)</f>
        <v>0.05</v>
      </c>
    </row>
    <row r="279" ht="20.25" customHeight="1">
      <c r="D279" s="58" t="str">
        <f>IFERROR(__xludf.DUMMYFUNCTION("""COMPUTED_VALUE"""),"Systemic")</f>
        <v>Systemic</v>
      </c>
      <c r="E279" s="58">
        <f>IFERROR(__xludf.DUMMYFUNCTION("""COMPUTED_VALUE"""),1.0)</f>
        <v>1</v>
      </c>
      <c r="F279" s="244">
        <f>E279/SUM(E277:E279)</f>
        <v>0.05</v>
      </c>
    </row>
    <row r="280" ht="20.25" customHeight="1">
      <c r="D280" s="249" t="s">
        <v>34168</v>
      </c>
      <c r="E280" s="247">
        <f>SUM(E277:E279)</f>
        <v>20</v>
      </c>
    </row>
  </sheetData>
  <mergeCells count="177">
    <mergeCell ref="C31:C48"/>
    <mergeCell ref="G31:G48"/>
    <mergeCell ref="E48:F48"/>
    <mergeCell ref="A2:J2"/>
    <mergeCell ref="A3:I3"/>
    <mergeCell ref="J3:J70"/>
    <mergeCell ref="B4:B9"/>
    <mergeCell ref="C4:C9"/>
    <mergeCell ref="E9:F9"/>
    <mergeCell ref="C17:C29"/>
    <mergeCell ref="A154:A162"/>
    <mergeCell ref="B172:B177"/>
    <mergeCell ref="C172:C177"/>
    <mergeCell ref="G172:G177"/>
    <mergeCell ref="E177:F177"/>
    <mergeCell ref="A178:J178"/>
    <mergeCell ref="A179:I179"/>
    <mergeCell ref="A172:A177"/>
    <mergeCell ref="A180:A194"/>
    <mergeCell ref="B180:B194"/>
    <mergeCell ref="C180:C194"/>
    <mergeCell ref="G180:G194"/>
    <mergeCell ref="H180:H194"/>
    <mergeCell ref="E194:F194"/>
    <mergeCell ref="G207:G220"/>
    <mergeCell ref="H207:H220"/>
    <mergeCell ref="A195:A206"/>
    <mergeCell ref="B195:B206"/>
    <mergeCell ref="C195:C206"/>
    <mergeCell ref="G195:G206"/>
    <mergeCell ref="H195:H206"/>
    <mergeCell ref="E206:F206"/>
    <mergeCell ref="A207:A220"/>
    <mergeCell ref="E220:F220"/>
    <mergeCell ref="G222:G234"/>
    <mergeCell ref="E234:F234"/>
    <mergeCell ref="B207:B220"/>
    <mergeCell ref="C207:C220"/>
    <mergeCell ref="A221:I221"/>
    <mergeCell ref="A222:A234"/>
    <mergeCell ref="B222:B234"/>
    <mergeCell ref="C222:C234"/>
    <mergeCell ref="H222:H234"/>
    <mergeCell ref="G242:G255"/>
    <mergeCell ref="H242:H255"/>
    <mergeCell ref="A235:A241"/>
    <mergeCell ref="B235:B241"/>
    <mergeCell ref="C235:C241"/>
    <mergeCell ref="G235:G241"/>
    <mergeCell ref="H235:H241"/>
    <mergeCell ref="E241:F241"/>
    <mergeCell ref="A242:A255"/>
    <mergeCell ref="E255:F255"/>
    <mergeCell ref="G257:G268"/>
    <mergeCell ref="E268:F268"/>
    <mergeCell ref="B242:B255"/>
    <mergeCell ref="C242:C255"/>
    <mergeCell ref="A256:I256"/>
    <mergeCell ref="A257:A268"/>
    <mergeCell ref="B257:B268"/>
    <mergeCell ref="C257:C268"/>
    <mergeCell ref="H257:H268"/>
    <mergeCell ref="G277:G280"/>
    <mergeCell ref="H277:H280"/>
    <mergeCell ref="A269:A276"/>
    <mergeCell ref="B269:B276"/>
    <mergeCell ref="C269:C276"/>
    <mergeCell ref="G269:G276"/>
    <mergeCell ref="H269:H276"/>
    <mergeCell ref="E276:F276"/>
    <mergeCell ref="A277:A280"/>
    <mergeCell ref="E280:F280"/>
    <mergeCell ref="H4:H9"/>
    <mergeCell ref="I4:I29"/>
    <mergeCell ref="H10:H16"/>
    <mergeCell ref="H17:H29"/>
    <mergeCell ref="C49:C60"/>
    <mergeCell ref="G49:G60"/>
    <mergeCell ref="E60:F60"/>
    <mergeCell ref="A71:J71"/>
    <mergeCell ref="A72:I72"/>
    <mergeCell ref="H73:H86"/>
    <mergeCell ref="H112:H120"/>
    <mergeCell ref="I103:I142"/>
    <mergeCell ref="I144:I177"/>
    <mergeCell ref="J179:J280"/>
    <mergeCell ref="I180:I220"/>
    <mergeCell ref="I222:I255"/>
    <mergeCell ref="I257:I280"/>
    <mergeCell ref="H31:H48"/>
    <mergeCell ref="I31:I70"/>
    <mergeCell ref="H49:H60"/>
    <mergeCell ref="H61:H70"/>
    <mergeCell ref="J72:J177"/>
    <mergeCell ref="I73:I101"/>
    <mergeCell ref="H121:H131"/>
    <mergeCell ref="H172:H177"/>
    <mergeCell ref="B277:B280"/>
    <mergeCell ref="C277:C280"/>
    <mergeCell ref="A4:A9"/>
    <mergeCell ref="A10:A16"/>
    <mergeCell ref="B10:B16"/>
    <mergeCell ref="C10:C16"/>
    <mergeCell ref="G10:G16"/>
    <mergeCell ref="E16:F16"/>
    <mergeCell ref="A17:A29"/>
    <mergeCell ref="B17:B29"/>
    <mergeCell ref="G4:G9"/>
    <mergeCell ref="G17:G29"/>
    <mergeCell ref="E29:F29"/>
    <mergeCell ref="A30:I30"/>
    <mergeCell ref="A31:A48"/>
    <mergeCell ref="B31:B48"/>
    <mergeCell ref="A61:A70"/>
    <mergeCell ref="B61:B70"/>
    <mergeCell ref="A73:A86"/>
    <mergeCell ref="B73:B86"/>
    <mergeCell ref="C73:C86"/>
    <mergeCell ref="B87:B93"/>
    <mergeCell ref="C87:C93"/>
    <mergeCell ref="C61:C70"/>
    <mergeCell ref="G61:G70"/>
    <mergeCell ref="E70:F70"/>
    <mergeCell ref="G73:G86"/>
    <mergeCell ref="E86:F86"/>
    <mergeCell ref="G87:G93"/>
    <mergeCell ref="E93:F93"/>
    <mergeCell ref="G94:G101"/>
    <mergeCell ref="E101:F101"/>
    <mergeCell ref="A102:I102"/>
    <mergeCell ref="G103:G111"/>
    <mergeCell ref="E111:F111"/>
    <mergeCell ref="A87:A93"/>
    <mergeCell ref="A94:A101"/>
    <mergeCell ref="B94:B101"/>
    <mergeCell ref="C94:C101"/>
    <mergeCell ref="A103:A111"/>
    <mergeCell ref="B103:B111"/>
    <mergeCell ref="C103:C111"/>
    <mergeCell ref="G112:G120"/>
    <mergeCell ref="G121:G131"/>
    <mergeCell ref="A112:A120"/>
    <mergeCell ref="B112:B120"/>
    <mergeCell ref="C112:C120"/>
    <mergeCell ref="E120:F120"/>
    <mergeCell ref="A121:A131"/>
    <mergeCell ref="B121:B131"/>
    <mergeCell ref="C121:C131"/>
    <mergeCell ref="E131:F131"/>
    <mergeCell ref="G144:G153"/>
    <mergeCell ref="E153:F153"/>
    <mergeCell ref="H87:H101"/>
    <mergeCell ref="H103:H111"/>
    <mergeCell ref="G132:G142"/>
    <mergeCell ref="H132:H142"/>
    <mergeCell ref="E142:F142"/>
    <mergeCell ref="A143:I143"/>
    <mergeCell ref="H144:H153"/>
    <mergeCell ref="A163:A171"/>
    <mergeCell ref="B163:B171"/>
    <mergeCell ref="C163:C171"/>
    <mergeCell ref="A49:A60"/>
    <mergeCell ref="B49:B60"/>
    <mergeCell ref="A132:A142"/>
    <mergeCell ref="B132:B142"/>
    <mergeCell ref="C132:C142"/>
    <mergeCell ref="B144:B153"/>
    <mergeCell ref="C144:C153"/>
    <mergeCell ref="H154:H162"/>
    <mergeCell ref="H163:H171"/>
    <mergeCell ref="A144:A153"/>
    <mergeCell ref="B154:B162"/>
    <mergeCell ref="C154:C162"/>
    <mergeCell ref="G154:G162"/>
    <mergeCell ref="E162:F162"/>
    <mergeCell ref="G163:G171"/>
    <mergeCell ref="E171:F171"/>
  </mergeCells>
  <printOptions gridLines="1" horizontalCentered="1"/>
  <pageMargins bottom="0.75" footer="0.0" header="0.0" left="0.7" right="0.7" top="0.75"/>
  <pageSetup fitToHeight="0" cellComments="atEnd" orientation="portrait" pageOrder="overThenDown"/>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hidden="1" min="1" max="1" width="12.57"/>
    <col customWidth="1" min="2" max="2" width="16.14"/>
    <col customWidth="1" min="3" max="3" width="18.14"/>
    <col customWidth="1" hidden="1" min="4" max="4" width="19.86"/>
    <col customWidth="1" min="5" max="5" width="73.71"/>
    <col customWidth="1" hidden="1" min="6" max="6" width="12.0"/>
    <col customWidth="1" hidden="1" min="7" max="7" width="12.14"/>
    <col customWidth="1" min="8" max="8" width="33.57"/>
    <col customWidth="1" min="9" max="9" width="30.71"/>
    <col customWidth="1" min="10" max="10" width="35.71"/>
    <col customWidth="1" min="11" max="11" width="14.14"/>
    <col customWidth="1" min="12" max="12" width="28.29"/>
    <col customWidth="1" min="13" max="13" width="50.71"/>
    <col customWidth="1" min="14" max="14" width="23.71"/>
    <col customWidth="1" min="15" max="15" width="50.71"/>
    <col customWidth="1" min="16" max="16" width="30.71"/>
    <col customWidth="1" min="17" max="17" width="50.71"/>
    <col customWidth="1" min="18" max="18" width="23.57"/>
    <col customWidth="1" min="19" max="19" width="50.71"/>
    <col customWidth="1" min="20" max="20" width="26.57"/>
    <col customWidth="1" min="21" max="21" width="50.71"/>
    <col customWidth="1" min="22" max="22" width="38.71"/>
    <col customWidth="1" min="23" max="23" width="50.71"/>
    <col customWidth="1" min="24" max="24" width="22.57"/>
    <col customWidth="1" min="25" max="25" width="50.71"/>
    <col customWidth="1" min="26" max="26" width="20.57"/>
    <col customWidth="1" min="27" max="27" width="50.71"/>
    <col customWidth="1" min="28" max="28" width="30.29"/>
    <col customWidth="1" min="29" max="29" width="50.71"/>
    <col customWidth="1" min="30" max="30" width="17.14"/>
    <col customWidth="1" min="31" max="31" width="50.71"/>
    <col customWidth="1" min="32" max="32" width="25.0"/>
    <col customWidth="1" min="33" max="33" width="50.71"/>
    <col customWidth="1" min="34" max="34" width="18.0"/>
    <col customWidth="1" min="35" max="35" width="50.71"/>
    <col customWidth="1" min="36" max="36" width="25.57"/>
    <col customWidth="1" min="37" max="37" width="50.71"/>
    <col customWidth="1" min="38" max="38" width="25.29"/>
    <col customWidth="1" min="39" max="39" width="50.71"/>
    <col customWidth="1" min="40" max="40" width="30.86"/>
    <col customWidth="1" min="41" max="41" width="50.71"/>
    <col customWidth="1" min="42" max="42" width="22.57"/>
    <col customWidth="1" min="43" max="43" width="50.71"/>
    <col customWidth="1" min="44" max="44" width="28.57"/>
    <col customWidth="1" min="45" max="45" width="50.71"/>
    <col customWidth="1" min="46" max="46" width="16.86"/>
    <col customWidth="1" min="47" max="47" width="50.71"/>
    <col customWidth="1" min="48" max="48" width="17.14"/>
    <col customWidth="1" min="49" max="49" width="50.71"/>
    <col customWidth="1" min="50" max="50" width="15.71"/>
    <col customWidth="1" min="51" max="51" width="50.71"/>
    <col customWidth="1" min="52" max="52" width="25.14"/>
    <col customWidth="1" min="53" max="53" width="50.71"/>
    <col customWidth="1" min="54" max="73" width="150.71"/>
  </cols>
  <sheetData>
    <row r="1">
      <c r="A1" s="266"/>
      <c r="B1" s="266"/>
      <c r="C1" s="266"/>
      <c r="D1" s="266"/>
      <c r="E1" s="267"/>
      <c r="F1" s="266"/>
      <c r="G1" s="266"/>
      <c r="H1" s="268" t="s">
        <v>34511</v>
      </c>
      <c r="I1" s="40"/>
      <c r="J1" s="40"/>
      <c r="K1" s="41"/>
      <c r="L1" s="268" t="s">
        <v>34512</v>
      </c>
      <c r="M1" s="40"/>
      <c r="N1" s="40"/>
      <c r="O1" s="40"/>
      <c r="P1" s="40"/>
      <c r="Q1" s="40"/>
      <c r="R1" s="40"/>
      <c r="S1" s="40"/>
      <c r="T1" s="40"/>
      <c r="U1" s="41"/>
      <c r="V1" s="268" t="s">
        <v>34513</v>
      </c>
      <c r="W1" s="40"/>
      <c r="X1" s="40"/>
      <c r="Y1" s="40"/>
      <c r="Z1" s="40"/>
      <c r="AA1" s="41"/>
      <c r="AB1" s="268" t="s">
        <v>34514</v>
      </c>
      <c r="AC1" s="40"/>
      <c r="AD1" s="40"/>
      <c r="AE1" s="40"/>
      <c r="AF1" s="40"/>
      <c r="AG1" s="40"/>
      <c r="AH1" s="40"/>
      <c r="AI1" s="40"/>
      <c r="AJ1" s="40"/>
      <c r="AK1" s="40"/>
      <c r="AL1" s="40"/>
      <c r="AM1" s="41"/>
      <c r="AN1" s="268" t="s">
        <v>34515</v>
      </c>
      <c r="AO1" s="40"/>
      <c r="AP1" s="40"/>
      <c r="AQ1" s="40"/>
      <c r="AR1" s="40"/>
      <c r="AS1" s="40"/>
      <c r="AT1" s="40"/>
      <c r="AU1" s="41"/>
      <c r="AV1" s="268" t="s">
        <v>34516</v>
      </c>
      <c r="AW1" s="40"/>
      <c r="AX1" s="40"/>
      <c r="AY1" s="40"/>
      <c r="AZ1" s="40"/>
      <c r="BA1" s="41"/>
      <c r="BB1" s="269"/>
      <c r="BC1" s="269"/>
      <c r="BD1" s="269"/>
      <c r="BE1" s="269"/>
      <c r="BF1" s="269"/>
      <c r="BG1" s="269"/>
      <c r="BH1" s="269"/>
      <c r="BI1" s="269"/>
      <c r="BJ1" s="269"/>
      <c r="BK1" s="269"/>
      <c r="BL1" s="269"/>
      <c r="BM1" s="269"/>
      <c r="BN1" s="269"/>
      <c r="BO1" s="269"/>
      <c r="BP1" s="269"/>
      <c r="BQ1" s="269"/>
      <c r="BR1" s="269"/>
      <c r="BS1" s="269"/>
      <c r="BT1" s="269"/>
      <c r="BU1" s="269"/>
    </row>
    <row r="2">
      <c r="A2" s="270" t="s">
        <v>8</v>
      </c>
      <c r="B2" s="270" t="s">
        <v>266</v>
      </c>
      <c r="C2" s="270" t="s">
        <v>267</v>
      </c>
      <c r="D2" s="270" t="s">
        <v>268</v>
      </c>
      <c r="E2" s="271" t="s">
        <v>269</v>
      </c>
      <c r="F2" s="270" t="s">
        <v>270</v>
      </c>
      <c r="G2" s="270" t="s">
        <v>273</v>
      </c>
      <c r="H2" s="270" t="s">
        <v>34517</v>
      </c>
      <c r="I2" s="270" t="s">
        <v>34518</v>
      </c>
      <c r="J2" s="270" t="s">
        <v>34519</v>
      </c>
      <c r="K2" s="270" t="s">
        <v>34520</v>
      </c>
      <c r="L2" s="270" t="s">
        <v>34521</v>
      </c>
      <c r="M2" s="270" t="s">
        <v>34522</v>
      </c>
      <c r="N2" s="270" t="s">
        <v>34523</v>
      </c>
      <c r="O2" s="270" t="s">
        <v>34524</v>
      </c>
      <c r="P2" s="270" t="s">
        <v>34525</v>
      </c>
      <c r="Q2" s="270" t="s">
        <v>34526</v>
      </c>
      <c r="R2" s="270" t="s">
        <v>34527</v>
      </c>
      <c r="S2" s="270" t="s">
        <v>34528</v>
      </c>
      <c r="T2" s="270" t="s">
        <v>34529</v>
      </c>
      <c r="U2" s="270" t="s">
        <v>34530</v>
      </c>
      <c r="V2" s="270" t="s">
        <v>34531</v>
      </c>
      <c r="W2" s="270" t="s">
        <v>34532</v>
      </c>
      <c r="X2" s="270" t="s">
        <v>34533</v>
      </c>
      <c r="Y2" s="270" t="s">
        <v>34534</v>
      </c>
      <c r="Z2" s="270" t="s">
        <v>34535</v>
      </c>
      <c r="AA2" s="270" t="s">
        <v>34536</v>
      </c>
      <c r="AB2" s="270" t="s">
        <v>34537</v>
      </c>
      <c r="AC2" s="270" t="s">
        <v>34538</v>
      </c>
      <c r="AD2" s="270" t="s">
        <v>34539</v>
      </c>
      <c r="AE2" s="272" t="s">
        <v>34540</v>
      </c>
      <c r="AF2" s="270" t="s">
        <v>34541</v>
      </c>
      <c r="AG2" s="270" t="s">
        <v>34542</v>
      </c>
      <c r="AH2" s="270" t="s">
        <v>34543</v>
      </c>
      <c r="AI2" s="270" t="s">
        <v>34544</v>
      </c>
      <c r="AJ2" s="270" t="s">
        <v>34545</v>
      </c>
      <c r="AK2" s="270" t="s">
        <v>34546</v>
      </c>
      <c r="AL2" s="270" t="s">
        <v>34547</v>
      </c>
      <c r="AM2" s="270" t="s">
        <v>34548</v>
      </c>
      <c r="AN2" s="270" t="s">
        <v>34549</v>
      </c>
      <c r="AO2" s="270" t="s">
        <v>34550</v>
      </c>
      <c r="AP2" s="270" t="s">
        <v>34551</v>
      </c>
      <c r="AQ2" s="270" t="s">
        <v>34552</v>
      </c>
      <c r="AR2" s="270" t="s">
        <v>34553</v>
      </c>
      <c r="AS2" s="270" t="s">
        <v>34554</v>
      </c>
      <c r="AT2" s="270" t="s">
        <v>34555</v>
      </c>
      <c r="AU2" s="270" t="s">
        <v>34556</v>
      </c>
      <c r="AV2" s="270" t="s">
        <v>34557</v>
      </c>
      <c r="AW2" s="270" t="s">
        <v>34558</v>
      </c>
      <c r="AX2" s="270" t="s">
        <v>34559</v>
      </c>
      <c r="AY2" s="270" t="s">
        <v>34560</v>
      </c>
      <c r="AZ2" s="270" t="s">
        <v>34561</v>
      </c>
      <c r="BA2" s="270" t="s">
        <v>34562</v>
      </c>
      <c r="BB2" s="273"/>
      <c r="BC2" s="273"/>
      <c r="BD2" s="273"/>
      <c r="BE2" s="273"/>
      <c r="BF2" s="273"/>
      <c r="BG2" s="273"/>
      <c r="BH2" s="273"/>
      <c r="BI2" s="273"/>
      <c r="BJ2" s="273"/>
      <c r="BK2" s="273"/>
      <c r="BL2" s="273"/>
      <c r="BM2" s="273"/>
      <c r="BN2" s="273"/>
      <c r="BO2" s="273"/>
      <c r="BP2" s="273"/>
      <c r="BQ2" s="273"/>
      <c r="BR2" s="273"/>
      <c r="BS2" s="273"/>
      <c r="BT2" s="273"/>
      <c r="BU2" s="273"/>
    </row>
    <row r="3">
      <c r="A3" s="274" t="s">
        <v>34563</v>
      </c>
      <c r="B3" s="275" t="s">
        <v>379</v>
      </c>
      <c r="C3" s="275">
        <v>2022.0</v>
      </c>
      <c r="D3" s="275" t="s">
        <v>34564</v>
      </c>
      <c r="E3" s="276" t="s">
        <v>34565</v>
      </c>
      <c r="F3" s="275" t="s">
        <v>34566</v>
      </c>
      <c r="G3" s="275" t="s">
        <v>34567</v>
      </c>
      <c r="H3" s="277" t="s">
        <v>34568</v>
      </c>
      <c r="I3" s="277" t="s">
        <v>34568</v>
      </c>
      <c r="J3" s="277" t="s">
        <v>34568</v>
      </c>
      <c r="K3" s="277" t="s">
        <v>34569</v>
      </c>
      <c r="L3" s="277" t="s">
        <v>34570</v>
      </c>
      <c r="M3" s="276" t="s">
        <v>34571</v>
      </c>
      <c r="N3" s="277" t="s">
        <v>34572</v>
      </c>
      <c r="O3" s="276"/>
      <c r="P3" s="277" t="s">
        <v>34573</v>
      </c>
      <c r="Q3" s="276" t="s">
        <v>34574</v>
      </c>
      <c r="R3" s="277" t="s">
        <v>34575</v>
      </c>
      <c r="S3" s="276" t="s">
        <v>34563</v>
      </c>
      <c r="T3" s="277" t="s">
        <v>34576</v>
      </c>
      <c r="U3" s="276" t="s">
        <v>34577</v>
      </c>
      <c r="V3" s="278" t="s">
        <v>34578</v>
      </c>
      <c r="W3" s="279" t="s">
        <v>34579</v>
      </c>
      <c r="X3" s="277" t="s">
        <v>34580</v>
      </c>
      <c r="Y3" s="276" t="s">
        <v>34581</v>
      </c>
      <c r="Z3" s="277" t="s">
        <v>34582</v>
      </c>
      <c r="AA3" s="276" t="s">
        <v>34583</v>
      </c>
      <c r="AB3" s="277"/>
      <c r="AC3" s="276"/>
      <c r="AD3" s="277" t="s">
        <v>34584</v>
      </c>
      <c r="AE3" s="276" t="s">
        <v>34585</v>
      </c>
      <c r="AF3" s="278" t="s">
        <v>34586</v>
      </c>
      <c r="AG3" s="279" t="s">
        <v>34587</v>
      </c>
      <c r="AH3" s="277" t="s">
        <v>34588</v>
      </c>
      <c r="AI3" s="276" t="s">
        <v>34589</v>
      </c>
      <c r="AJ3" s="277" t="s">
        <v>34590</v>
      </c>
      <c r="AK3" s="276" t="s">
        <v>34591</v>
      </c>
      <c r="AL3" s="277" t="s">
        <v>34592</v>
      </c>
      <c r="AM3" s="276" t="s">
        <v>34593</v>
      </c>
      <c r="AN3" s="277" t="s">
        <v>34594</v>
      </c>
      <c r="AO3" s="276" t="s">
        <v>34595</v>
      </c>
      <c r="AP3" s="277" t="s">
        <v>34596</v>
      </c>
      <c r="AQ3" s="276" t="s">
        <v>34597</v>
      </c>
      <c r="AR3" s="277" t="s">
        <v>34598</v>
      </c>
      <c r="AS3" s="276" t="s">
        <v>34599</v>
      </c>
      <c r="AT3" s="278" t="s">
        <v>34600</v>
      </c>
      <c r="AU3" s="279" t="s">
        <v>34601</v>
      </c>
      <c r="AV3" s="277" t="s">
        <v>34602</v>
      </c>
      <c r="AW3" s="276" t="s">
        <v>34603</v>
      </c>
      <c r="AX3" s="278" t="s">
        <v>34604</v>
      </c>
      <c r="AY3" s="279" t="s">
        <v>34605</v>
      </c>
      <c r="AZ3" s="277" t="s">
        <v>34606</v>
      </c>
      <c r="BA3" s="276" t="s">
        <v>34607</v>
      </c>
      <c r="BB3" s="48"/>
      <c r="BC3" s="48"/>
      <c r="BD3" s="48"/>
      <c r="BE3" s="48"/>
      <c r="BF3" s="48"/>
      <c r="BG3" s="48"/>
      <c r="BH3" s="48"/>
      <c r="BI3" s="48"/>
      <c r="BJ3" s="48"/>
      <c r="BK3" s="48"/>
      <c r="BL3" s="48"/>
      <c r="BM3" s="48"/>
      <c r="BN3" s="48"/>
      <c r="BO3" s="48"/>
      <c r="BP3" s="48"/>
      <c r="BQ3" s="48"/>
      <c r="BR3" s="48"/>
      <c r="BS3" s="48"/>
      <c r="BT3" s="48"/>
      <c r="BU3" s="48"/>
    </row>
    <row r="4">
      <c r="A4" s="275" t="s">
        <v>34608</v>
      </c>
      <c r="B4" s="275" t="s">
        <v>3632</v>
      </c>
      <c r="C4" s="275">
        <v>2023.0</v>
      </c>
      <c r="D4" s="275" t="s">
        <v>34609</v>
      </c>
      <c r="E4" s="276" t="s">
        <v>34610</v>
      </c>
      <c r="F4" s="275" t="s">
        <v>34611</v>
      </c>
      <c r="G4" s="275" t="s">
        <v>34612</v>
      </c>
      <c r="H4" s="277" t="s">
        <v>34568</v>
      </c>
      <c r="I4" s="277" t="s">
        <v>34568</v>
      </c>
      <c r="J4" s="277" t="s">
        <v>34568</v>
      </c>
      <c r="K4" s="277" t="s">
        <v>34569</v>
      </c>
      <c r="L4" s="277" t="s">
        <v>34613</v>
      </c>
      <c r="M4" s="276" t="s">
        <v>34614</v>
      </c>
      <c r="N4" s="277" t="s">
        <v>34572</v>
      </c>
      <c r="O4" s="276" t="s">
        <v>34615</v>
      </c>
      <c r="P4" s="277" t="s">
        <v>34616</v>
      </c>
      <c r="Q4" s="276" t="s">
        <v>34617</v>
      </c>
      <c r="R4" s="277" t="s">
        <v>34618</v>
      </c>
      <c r="S4" s="276" t="s">
        <v>34619</v>
      </c>
      <c r="T4" s="280" t="s">
        <v>34620</v>
      </c>
      <c r="U4" s="281" t="s">
        <v>34621</v>
      </c>
      <c r="V4" s="282" t="s">
        <v>34622</v>
      </c>
      <c r="W4" s="276" t="s">
        <v>34623</v>
      </c>
      <c r="X4" s="277" t="s">
        <v>34580</v>
      </c>
      <c r="Y4" s="276" t="s">
        <v>34624</v>
      </c>
      <c r="Z4" s="277" t="s">
        <v>34625</v>
      </c>
      <c r="AA4" s="276" t="s">
        <v>34626</v>
      </c>
      <c r="AB4" s="277" t="s">
        <v>34627</v>
      </c>
      <c r="AC4" s="276" t="s">
        <v>34628</v>
      </c>
      <c r="AD4" s="277" t="s">
        <v>34629</v>
      </c>
      <c r="AE4" s="276" t="s">
        <v>34630</v>
      </c>
      <c r="AF4" s="277" t="s">
        <v>34631</v>
      </c>
      <c r="AG4" s="276" t="s">
        <v>34632</v>
      </c>
      <c r="AH4" s="277" t="s">
        <v>34588</v>
      </c>
      <c r="AI4" s="276" t="s">
        <v>34633</v>
      </c>
      <c r="AJ4" s="277" t="s">
        <v>34634</v>
      </c>
      <c r="AK4" s="276" t="s">
        <v>34635</v>
      </c>
      <c r="AL4" s="277" t="s">
        <v>34636</v>
      </c>
      <c r="AM4" s="276" t="s">
        <v>34637</v>
      </c>
      <c r="AN4" s="277" t="s">
        <v>34594</v>
      </c>
      <c r="AO4" s="276" t="s">
        <v>34638</v>
      </c>
      <c r="AP4" s="277" t="s">
        <v>34596</v>
      </c>
      <c r="AQ4" s="276" t="s">
        <v>34639</v>
      </c>
      <c r="AR4" s="277" t="s">
        <v>34640</v>
      </c>
      <c r="AS4" s="276" t="s">
        <v>34641</v>
      </c>
      <c r="AT4" s="277" t="s">
        <v>31876</v>
      </c>
      <c r="AU4" s="276" t="s">
        <v>34642</v>
      </c>
      <c r="AV4" s="277" t="s">
        <v>34643</v>
      </c>
      <c r="AW4" s="276" t="s">
        <v>34644</v>
      </c>
      <c r="AX4" s="277" t="s">
        <v>34645</v>
      </c>
      <c r="AY4" s="276" t="s">
        <v>34646</v>
      </c>
      <c r="AZ4" s="277" t="s">
        <v>34647</v>
      </c>
      <c r="BA4" s="276" t="s">
        <v>34648</v>
      </c>
      <c r="BB4" s="48"/>
      <c r="BC4" s="48"/>
      <c r="BD4" s="48"/>
      <c r="BE4" s="48"/>
      <c r="BF4" s="48"/>
      <c r="BG4" s="48"/>
      <c r="BH4" s="48"/>
      <c r="BI4" s="48"/>
      <c r="BJ4" s="48"/>
      <c r="BK4" s="48"/>
      <c r="BL4" s="48"/>
      <c r="BM4" s="48"/>
      <c r="BN4" s="48"/>
      <c r="BO4" s="48"/>
      <c r="BP4" s="48"/>
      <c r="BQ4" s="48"/>
      <c r="BR4" s="48"/>
      <c r="BS4" s="48"/>
      <c r="BT4" s="48"/>
      <c r="BU4" s="48"/>
    </row>
    <row r="5" hidden="1">
      <c r="A5" s="275" t="s">
        <v>34649</v>
      </c>
      <c r="B5" s="275" t="s">
        <v>3632</v>
      </c>
      <c r="C5" s="275">
        <v>2021.0</v>
      </c>
      <c r="D5" s="275" t="s">
        <v>34650</v>
      </c>
      <c r="E5" s="276" t="s">
        <v>34651</v>
      </c>
      <c r="F5" s="275" t="s">
        <v>34652</v>
      </c>
      <c r="G5" s="275" t="s">
        <v>34653</v>
      </c>
      <c r="H5" s="277" t="s">
        <v>34568</v>
      </c>
      <c r="I5" s="277" t="s">
        <v>34568</v>
      </c>
      <c r="J5" s="277" t="s">
        <v>34568</v>
      </c>
      <c r="K5" s="277"/>
      <c r="L5" s="277" t="s">
        <v>34654</v>
      </c>
      <c r="M5" s="276" t="s">
        <v>34655</v>
      </c>
      <c r="N5" s="283" t="s">
        <v>34572</v>
      </c>
      <c r="O5" s="276" t="s">
        <v>34615</v>
      </c>
      <c r="P5" s="283" t="s">
        <v>34573</v>
      </c>
      <c r="Q5" s="284" t="s">
        <v>34574</v>
      </c>
      <c r="R5" s="277" t="s">
        <v>34575</v>
      </c>
      <c r="S5" s="276" t="s">
        <v>34563</v>
      </c>
      <c r="T5" s="277" t="s">
        <v>34620</v>
      </c>
      <c r="U5" s="276" t="s">
        <v>34621</v>
      </c>
      <c r="V5" s="277"/>
      <c r="W5" s="276"/>
      <c r="X5" s="277" t="s">
        <v>34656</v>
      </c>
      <c r="Y5" s="276" t="s">
        <v>34657</v>
      </c>
      <c r="Z5" s="277" t="s">
        <v>34625</v>
      </c>
      <c r="AA5" s="276" t="s">
        <v>34626</v>
      </c>
      <c r="AB5" s="277" t="s">
        <v>34627</v>
      </c>
      <c r="AC5" s="276" t="s">
        <v>34658</v>
      </c>
      <c r="AD5" s="277" t="s">
        <v>34659</v>
      </c>
      <c r="AE5" s="276" t="s">
        <v>34660</v>
      </c>
      <c r="AF5" s="277" t="s">
        <v>34661</v>
      </c>
      <c r="AG5" s="276" t="s">
        <v>34662</v>
      </c>
      <c r="AH5" s="277"/>
      <c r="AI5" s="276" t="s">
        <v>34663</v>
      </c>
      <c r="AJ5" s="277"/>
      <c r="AK5" s="276"/>
      <c r="AL5" s="277" t="s">
        <v>34636</v>
      </c>
      <c r="AM5" s="276" t="s">
        <v>34637</v>
      </c>
      <c r="AN5" s="277" t="s">
        <v>34664</v>
      </c>
      <c r="AO5" s="276" t="s">
        <v>34665</v>
      </c>
      <c r="AP5" s="277" t="s">
        <v>34596</v>
      </c>
      <c r="AQ5" s="276" t="s">
        <v>34639</v>
      </c>
      <c r="AR5" s="277" t="s">
        <v>34666</v>
      </c>
      <c r="AS5" s="276" t="s">
        <v>34667</v>
      </c>
      <c r="AT5" s="277" t="s">
        <v>31876</v>
      </c>
      <c r="AU5" s="276" t="s">
        <v>34642</v>
      </c>
      <c r="AV5" s="277" t="s">
        <v>34643</v>
      </c>
      <c r="AW5" s="276" t="s">
        <v>34644</v>
      </c>
      <c r="AX5" s="277" t="s">
        <v>34668</v>
      </c>
      <c r="AY5" s="276" t="s">
        <v>34669</v>
      </c>
      <c r="AZ5" s="277" t="s">
        <v>34647</v>
      </c>
      <c r="BA5" s="276" t="s">
        <v>34648</v>
      </c>
      <c r="BB5" s="48"/>
      <c r="BC5" s="48"/>
      <c r="BD5" s="48"/>
      <c r="BE5" s="48"/>
      <c r="BF5" s="48"/>
      <c r="BG5" s="48"/>
      <c r="BH5" s="48"/>
      <c r="BI5" s="48"/>
      <c r="BJ5" s="48"/>
      <c r="BK5" s="48"/>
      <c r="BL5" s="48"/>
      <c r="BM5" s="48"/>
      <c r="BN5" s="48"/>
      <c r="BO5" s="48"/>
      <c r="BP5" s="48"/>
      <c r="BQ5" s="48"/>
      <c r="BR5" s="48"/>
      <c r="BS5" s="48"/>
      <c r="BT5" s="48"/>
      <c r="BU5" s="48"/>
    </row>
    <row r="6">
      <c r="A6" s="275" t="s">
        <v>34670</v>
      </c>
      <c r="B6" s="275" t="s">
        <v>3632</v>
      </c>
      <c r="C6" s="275">
        <v>2022.0</v>
      </c>
      <c r="D6" s="275" t="s">
        <v>34671</v>
      </c>
      <c r="E6" s="276" t="s">
        <v>34672</v>
      </c>
      <c r="F6" s="275" t="s">
        <v>34673</v>
      </c>
      <c r="G6" s="275" t="s">
        <v>34674</v>
      </c>
      <c r="H6" s="277" t="s">
        <v>34568</v>
      </c>
      <c r="I6" s="277" t="s">
        <v>34568</v>
      </c>
      <c r="J6" s="277" t="s">
        <v>34568</v>
      </c>
      <c r="K6" s="277" t="s">
        <v>34569</v>
      </c>
      <c r="L6" s="277" t="s">
        <v>34654</v>
      </c>
      <c r="M6" s="276" t="s">
        <v>34655</v>
      </c>
      <c r="N6" s="277" t="s">
        <v>34675</v>
      </c>
      <c r="O6" s="276" t="s">
        <v>34676</v>
      </c>
      <c r="P6" s="277" t="s">
        <v>34573</v>
      </c>
      <c r="Q6" s="284" t="s">
        <v>34574</v>
      </c>
      <c r="R6" s="277" t="s">
        <v>34575</v>
      </c>
      <c r="S6" s="276" t="s">
        <v>34563</v>
      </c>
      <c r="T6" s="277" t="s">
        <v>34576</v>
      </c>
      <c r="U6" s="276" t="s">
        <v>34577</v>
      </c>
      <c r="V6" s="277" t="s">
        <v>34622</v>
      </c>
      <c r="W6" s="276" t="s">
        <v>34677</v>
      </c>
      <c r="X6" s="277" t="s">
        <v>34580</v>
      </c>
      <c r="Y6" s="276" t="s">
        <v>34678</v>
      </c>
      <c r="Z6" s="277" t="s">
        <v>34679</v>
      </c>
      <c r="AA6" s="276" t="s">
        <v>34680</v>
      </c>
      <c r="AB6" s="277"/>
      <c r="AC6" s="276"/>
      <c r="AD6" s="277" t="s">
        <v>34584</v>
      </c>
      <c r="AE6" s="276" t="s">
        <v>34681</v>
      </c>
      <c r="AF6" s="277" t="s">
        <v>34586</v>
      </c>
      <c r="AG6" s="276" t="s">
        <v>34682</v>
      </c>
      <c r="AH6" s="277"/>
      <c r="AI6" s="276"/>
      <c r="AJ6" s="277" t="s">
        <v>34683</v>
      </c>
      <c r="AK6" s="276" t="s">
        <v>34684</v>
      </c>
      <c r="AL6" s="277"/>
      <c r="AM6" s="276"/>
      <c r="AN6" s="277" t="s">
        <v>34685</v>
      </c>
      <c r="AO6" s="276" t="s">
        <v>34686</v>
      </c>
      <c r="AP6" s="277" t="s">
        <v>34596</v>
      </c>
      <c r="AQ6" s="276" t="s">
        <v>34639</v>
      </c>
      <c r="AR6" s="277" t="s">
        <v>34666</v>
      </c>
      <c r="AS6" s="276" t="s">
        <v>34667</v>
      </c>
      <c r="AT6" s="277" t="s">
        <v>34600</v>
      </c>
      <c r="AU6" s="276" t="s">
        <v>34687</v>
      </c>
      <c r="AV6" s="277" t="s">
        <v>34602</v>
      </c>
      <c r="AW6" s="276" t="s">
        <v>34688</v>
      </c>
      <c r="AX6" s="277" t="s">
        <v>34604</v>
      </c>
      <c r="AY6" s="276" t="s">
        <v>34605</v>
      </c>
      <c r="AZ6" s="277" t="s">
        <v>34606</v>
      </c>
      <c r="BA6" s="276" t="s">
        <v>34689</v>
      </c>
      <c r="BB6" s="48"/>
      <c r="BC6" s="48"/>
      <c r="BD6" s="48"/>
      <c r="BE6" s="48"/>
      <c r="BF6" s="48"/>
      <c r="BG6" s="48"/>
      <c r="BH6" s="48"/>
      <c r="BI6" s="48"/>
      <c r="BJ6" s="48"/>
      <c r="BK6" s="48"/>
      <c r="BL6" s="48"/>
      <c r="BM6" s="48"/>
      <c r="BN6" s="48"/>
      <c r="BO6" s="48"/>
      <c r="BP6" s="48"/>
      <c r="BQ6" s="48"/>
      <c r="BR6" s="48"/>
      <c r="BS6" s="48"/>
      <c r="BT6" s="48"/>
      <c r="BU6" s="48"/>
    </row>
    <row r="7">
      <c r="A7" s="275" t="s">
        <v>34690</v>
      </c>
      <c r="B7" s="275" t="s">
        <v>3632</v>
      </c>
      <c r="C7" s="275">
        <v>2021.0</v>
      </c>
      <c r="D7" s="275" t="s">
        <v>34691</v>
      </c>
      <c r="E7" s="276" t="s">
        <v>34692</v>
      </c>
      <c r="F7" s="275" t="s">
        <v>34693</v>
      </c>
      <c r="G7" s="275" t="s">
        <v>34694</v>
      </c>
      <c r="H7" s="277" t="s">
        <v>34568</v>
      </c>
      <c r="I7" s="277" t="s">
        <v>34568</v>
      </c>
      <c r="J7" s="277" t="s">
        <v>34568</v>
      </c>
      <c r="K7" s="277" t="s">
        <v>34569</v>
      </c>
      <c r="L7" s="277" t="s">
        <v>34654</v>
      </c>
      <c r="M7" s="276" t="s">
        <v>34655</v>
      </c>
      <c r="N7" s="277" t="s">
        <v>34572</v>
      </c>
      <c r="O7" s="276" t="s">
        <v>34615</v>
      </c>
      <c r="P7" s="277" t="s">
        <v>34616</v>
      </c>
      <c r="Q7" s="276" t="s">
        <v>34617</v>
      </c>
      <c r="R7" s="277" t="s">
        <v>34618</v>
      </c>
      <c r="S7" s="276" t="s">
        <v>34619</v>
      </c>
      <c r="T7" s="277" t="s">
        <v>34695</v>
      </c>
      <c r="U7" s="285" t="s">
        <v>34696</v>
      </c>
      <c r="V7" s="277"/>
      <c r="W7" s="276"/>
      <c r="X7" s="277"/>
      <c r="Y7" s="276"/>
      <c r="Z7" s="283" t="s">
        <v>34625</v>
      </c>
      <c r="AA7" s="284" t="s">
        <v>34697</v>
      </c>
      <c r="AB7" s="283" t="s">
        <v>34627</v>
      </c>
      <c r="AC7" s="284" t="s">
        <v>34698</v>
      </c>
      <c r="AD7" s="277" t="s">
        <v>34629</v>
      </c>
      <c r="AE7" s="276" t="s">
        <v>34630</v>
      </c>
      <c r="AF7" s="277" t="s">
        <v>34661</v>
      </c>
      <c r="AG7" s="276" t="s">
        <v>34662</v>
      </c>
      <c r="AH7" s="277" t="s">
        <v>34699</v>
      </c>
      <c r="AI7" s="276" t="s">
        <v>34700</v>
      </c>
      <c r="AJ7" s="277"/>
      <c r="AK7" s="276"/>
      <c r="AL7" s="277"/>
      <c r="AM7" s="276"/>
      <c r="AN7" s="277" t="s">
        <v>34664</v>
      </c>
      <c r="AO7" s="276" t="s">
        <v>34701</v>
      </c>
      <c r="AP7" s="277" t="s">
        <v>34596</v>
      </c>
      <c r="AQ7" s="276" t="s">
        <v>34702</v>
      </c>
      <c r="AR7" s="277" t="s">
        <v>34666</v>
      </c>
      <c r="AS7" s="276" t="s">
        <v>34703</v>
      </c>
      <c r="AT7" s="277" t="s">
        <v>31876</v>
      </c>
      <c r="AU7" s="276" t="s">
        <v>34642</v>
      </c>
      <c r="AV7" s="277" t="s">
        <v>34643</v>
      </c>
      <c r="AW7" s="276" t="s">
        <v>34644</v>
      </c>
      <c r="AX7" s="277" t="s">
        <v>34645</v>
      </c>
      <c r="AY7" s="276" t="s">
        <v>34646</v>
      </c>
      <c r="AZ7" s="277" t="s">
        <v>34647</v>
      </c>
      <c r="BA7" s="276" t="s">
        <v>34704</v>
      </c>
      <c r="BB7" s="48"/>
      <c r="BC7" s="48"/>
      <c r="BD7" s="48"/>
      <c r="BE7" s="48"/>
      <c r="BF7" s="48"/>
      <c r="BG7" s="48"/>
      <c r="BH7" s="48"/>
      <c r="BI7" s="48"/>
      <c r="BJ7" s="48"/>
      <c r="BK7" s="48"/>
      <c r="BL7" s="48"/>
      <c r="BM7" s="48"/>
      <c r="BN7" s="48"/>
      <c r="BO7" s="48"/>
      <c r="BP7" s="48"/>
      <c r="BQ7" s="48"/>
      <c r="BR7" s="48"/>
      <c r="BS7" s="48"/>
      <c r="BT7" s="48"/>
      <c r="BU7" s="48"/>
    </row>
    <row r="8">
      <c r="A8" s="275" t="s">
        <v>34705</v>
      </c>
      <c r="B8" s="275" t="s">
        <v>3632</v>
      </c>
      <c r="C8" s="275">
        <v>2022.0</v>
      </c>
      <c r="D8" s="275" t="s">
        <v>34706</v>
      </c>
      <c r="E8" s="276" t="s">
        <v>34707</v>
      </c>
      <c r="F8" s="275" t="s">
        <v>34708</v>
      </c>
      <c r="G8" s="275" t="s">
        <v>34709</v>
      </c>
      <c r="H8" s="277" t="s">
        <v>34568</v>
      </c>
      <c r="I8" s="277" t="s">
        <v>34568</v>
      </c>
      <c r="J8" s="277" t="s">
        <v>34568</v>
      </c>
      <c r="K8" s="277" t="s">
        <v>34569</v>
      </c>
      <c r="L8" s="277" t="s">
        <v>34654</v>
      </c>
      <c r="M8" s="276" t="s">
        <v>34655</v>
      </c>
      <c r="N8" s="277" t="s">
        <v>34572</v>
      </c>
      <c r="O8" s="276" t="s">
        <v>34615</v>
      </c>
      <c r="P8" s="277" t="s">
        <v>34573</v>
      </c>
      <c r="Q8" s="276" t="s">
        <v>34574</v>
      </c>
      <c r="R8" s="277" t="s">
        <v>34575</v>
      </c>
      <c r="S8" s="276" t="s">
        <v>34563</v>
      </c>
      <c r="T8" s="277" t="s">
        <v>34576</v>
      </c>
      <c r="U8" s="276" t="s">
        <v>34577</v>
      </c>
      <c r="V8" s="277" t="s">
        <v>34578</v>
      </c>
      <c r="W8" s="276" t="s">
        <v>34710</v>
      </c>
      <c r="X8" s="277"/>
      <c r="Y8" s="276"/>
      <c r="Z8" s="278" t="s">
        <v>34711</v>
      </c>
      <c r="AA8" s="279" t="s">
        <v>34712</v>
      </c>
      <c r="AB8" s="277" t="s">
        <v>34627</v>
      </c>
      <c r="AC8" s="284" t="s">
        <v>34713</v>
      </c>
      <c r="AD8" s="277" t="s">
        <v>34584</v>
      </c>
      <c r="AE8" s="276" t="s">
        <v>34681</v>
      </c>
      <c r="AF8" s="277" t="s">
        <v>34586</v>
      </c>
      <c r="AG8" s="276" t="s">
        <v>34682</v>
      </c>
      <c r="AH8" s="277" t="s">
        <v>34714</v>
      </c>
      <c r="AI8" s="276" t="s">
        <v>34715</v>
      </c>
      <c r="AJ8" s="277" t="s">
        <v>34716</v>
      </c>
      <c r="AK8" s="276" t="s">
        <v>34717</v>
      </c>
      <c r="AL8" s="277"/>
      <c r="AM8" s="276"/>
      <c r="AN8" s="277" t="s">
        <v>34685</v>
      </c>
      <c r="AO8" s="284" t="s">
        <v>34718</v>
      </c>
      <c r="AP8" s="278" t="s">
        <v>34719</v>
      </c>
      <c r="AQ8" s="279" t="s">
        <v>34720</v>
      </c>
      <c r="AR8" s="277"/>
      <c r="AS8" s="276"/>
      <c r="AT8" s="277" t="s">
        <v>34600</v>
      </c>
      <c r="AU8" s="276" t="s">
        <v>34687</v>
      </c>
      <c r="AV8" s="277" t="s">
        <v>34602</v>
      </c>
      <c r="AW8" s="276" t="s">
        <v>34688</v>
      </c>
      <c r="AX8" s="277" t="s">
        <v>34668</v>
      </c>
      <c r="AY8" s="276" t="s">
        <v>34669</v>
      </c>
      <c r="AZ8" s="277" t="s">
        <v>34606</v>
      </c>
      <c r="BA8" s="276" t="s">
        <v>34721</v>
      </c>
      <c r="BB8" s="48"/>
      <c r="BC8" s="48"/>
      <c r="BD8" s="48"/>
      <c r="BE8" s="48"/>
      <c r="BF8" s="48"/>
      <c r="BG8" s="48"/>
      <c r="BH8" s="48"/>
      <c r="BI8" s="48"/>
      <c r="BJ8" s="48"/>
      <c r="BK8" s="48"/>
      <c r="BL8" s="48"/>
      <c r="BM8" s="48"/>
      <c r="BN8" s="48"/>
      <c r="BO8" s="48"/>
      <c r="BP8" s="48"/>
      <c r="BQ8" s="48"/>
      <c r="BR8" s="48"/>
      <c r="BS8" s="48"/>
      <c r="BT8" s="48"/>
      <c r="BU8" s="48"/>
    </row>
    <row r="9">
      <c r="A9" s="275" t="s">
        <v>34722</v>
      </c>
      <c r="B9" s="275" t="s">
        <v>3632</v>
      </c>
      <c r="C9" s="275">
        <v>2022.0</v>
      </c>
      <c r="D9" s="275" t="s">
        <v>34723</v>
      </c>
      <c r="E9" s="276" t="s">
        <v>34724</v>
      </c>
      <c r="F9" s="275" t="s">
        <v>34725</v>
      </c>
      <c r="G9" s="275" t="s">
        <v>34726</v>
      </c>
      <c r="H9" s="277" t="s">
        <v>34568</v>
      </c>
      <c r="I9" s="277" t="s">
        <v>34568</v>
      </c>
      <c r="J9" s="277" t="s">
        <v>34568</v>
      </c>
      <c r="K9" s="277" t="s">
        <v>34569</v>
      </c>
      <c r="L9" s="277" t="s">
        <v>34613</v>
      </c>
      <c r="M9" s="276" t="s">
        <v>34727</v>
      </c>
      <c r="N9" s="277" t="s">
        <v>34572</v>
      </c>
      <c r="O9" s="276" t="s">
        <v>34615</v>
      </c>
      <c r="P9" s="277" t="s">
        <v>34573</v>
      </c>
      <c r="Q9" s="276" t="s">
        <v>34574</v>
      </c>
      <c r="R9" s="277" t="s">
        <v>34575</v>
      </c>
      <c r="S9" s="276" t="s">
        <v>34728</v>
      </c>
      <c r="T9" s="277" t="s">
        <v>34576</v>
      </c>
      <c r="U9" s="276" t="s">
        <v>34729</v>
      </c>
      <c r="V9" s="277" t="s">
        <v>34622</v>
      </c>
      <c r="W9" s="276" t="s">
        <v>34677</v>
      </c>
      <c r="X9" s="277"/>
      <c r="Y9" s="276"/>
      <c r="Z9" s="277" t="s">
        <v>34711</v>
      </c>
      <c r="AA9" s="279" t="s">
        <v>34712</v>
      </c>
      <c r="AB9" s="277" t="s">
        <v>34627</v>
      </c>
      <c r="AC9" s="284" t="s">
        <v>34698</v>
      </c>
      <c r="AD9" s="277" t="s">
        <v>34584</v>
      </c>
      <c r="AE9" s="276" t="s">
        <v>34681</v>
      </c>
      <c r="AF9" s="277" t="s">
        <v>34586</v>
      </c>
      <c r="AG9" s="276" t="s">
        <v>34682</v>
      </c>
      <c r="AH9" s="277"/>
      <c r="AI9" s="276"/>
      <c r="AJ9" s="277"/>
      <c r="AK9" s="276"/>
      <c r="AL9" s="277"/>
      <c r="AM9" s="276"/>
      <c r="AN9" s="277" t="s">
        <v>34685</v>
      </c>
      <c r="AO9" s="284" t="s">
        <v>34686</v>
      </c>
      <c r="AP9" s="277" t="s">
        <v>34719</v>
      </c>
      <c r="AQ9" s="279" t="s">
        <v>34720</v>
      </c>
      <c r="AR9" s="277"/>
      <c r="AS9" s="276"/>
      <c r="AT9" s="277" t="s">
        <v>34600</v>
      </c>
      <c r="AU9" s="276" t="s">
        <v>34730</v>
      </c>
      <c r="AV9" s="277" t="s">
        <v>34602</v>
      </c>
      <c r="AW9" s="276" t="s">
        <v>34688</v>
      </c>
      <c r="AX9" s="277"/>
      <c r="AY9" s="276"/>
      <c r="AZ9" s="277"/>
      <c r="BA9" s="276"/>
      <c r="BB9" s="48"/>
      <c r="BC9" s="48"/>
      <c r="BD9" s="48"/>
      <c r="BE9" s="48"/>
      <c r="BF9" s="48"/>
      <c r="BG9" s="48"/>
      <c r="BH9" s="48"/>
      <c r="BI9" s="48"/>
      <c r="BJ9" s="48"/>
      <c r="BK9" s="48"/>
      <c r="BL9" s="48"/>
      <c r="BM9" s="48"/>
      <c r="BN9" s="48"/>
      <c r="BO9" s="48"/>
      <c r="BP9" s="48"/>
      <c r="BQ9" s="48"/>
      <c r="BR9" s="48"/>
      <c r="BS9" s="48"/>
      <c r="BT9" s="48"/>
      <c r="BU9" s="48"/>
    </row>
    <row r="10">
      <c r="A10" s="275" t="s">
        <v>34731</v>
      </c>
      <c r="B10" s="275" t="s">
        <v>3632</v>
      </c>
      <c r="C10" s="275">
        <v>2023.0</v>
      </c>
      <c r="D10" s="275" t="s">
        <v>34732</v>
      </c>
      <c r="E10" s="276" t="s">
        <v>34733</v>
      </c>
      <c r="F10" s="275" t="s">
        <v>34734</v>
      </c>
      <c r="G10" s="275" t="s">
        <v>34735</v>
      </c>
      <c r="H10" s="277" t="s">
        <v>34568</v>
      </c>
      <c r="I10" s="277" t="s">
        <v>34568</v>
      </c>
      <c r="J10" s="277" t="s">
        <v>34568</v>
      </c>
      <c r="K10" s="277" t="s">
        <v>34569</v>
      </c>
      <c r="L10" s="277" t="s">
        <v>34613</v>
      </c>
      <c r="M10" s="276" t="s">
        <v>34727</v>
      </c>
      <c r="N10" s="277" t="s">
        <v>34572</v>
      </c>
      <c r="O10" s="276" t="s">
        <v>34615</v>
      </c>
      <c r="P10" s="277" t="s">
        <v>34573</v>
      </c>
      <c r="Q10" s="276" t="s">
        <v>34574</v>
      </c>
      <c r="R10" s="277" t="s">
        <v>34575</v>
      </c>
      <c r="S10" s="276" t="s">
        <v>34563</v>
      </c>
      <c r="T10" s="277" t="s">
        <v>34576</v>
      </c>
      <c r="U10" s="276" t="s">
        <v>34577</v>
      </c>
      <c r="V10" s="277" t="s">
        <v>34622</v>
      </c>
      <c r="W10" s="276" t="s">
        <v>34736</v>
      </c>
      <c r="X10" s="277" t="s">
        <v>34580</v>
      </c>
      <c r="Y10" s="276" t="s">
        <v>34737</v>
      </c>
      <c r="Z10" s="277" t="s">
        <v>34679</v>
      </c>
      <c r="AA10" s="276" t="s">
        <v>34680</v>
      </c>
      <c r="AB10" s="277"/>
      <c r="AC10" s="276"/>
      <c r="AD10" s="277" t="s">
        <v>34584</v>
      </c>
      <c r="AE10" s="276" t="s">
        <v>34681</v>
      </c>
      <c r="AF10" s="277" t="s">
        <v>34586</v>
      </c>
      <c r="AG10" s="276" t="s">
        <v>34682</v>
      </c>
      <c r="AH10" s="277" t="s">
        <v>34714</v>
      </c>
      <c r="AI10" s="276" t="s">
        <v>34715</v>
      </c>
      <c r="AJ10" s="277" t="s">
        <v>34590</v>
      </c>
      <c r="AK10" s="276" t="s">
        <v>34591</v>
      </c>
      <c r="AL10" s="277"/>
      <c r="AM10" s="276"/>
      <c r="AN10" s="277" t="s">
        <v>34594</v>
      </c>
      <c r="AO10" s="284" t="s">
        <v>34738</v>
      </c>
      <c r="AP10" s="277" t="s">
        <v>34596</v>
      </c>
      <c r="AQ10" s="276" t="s">
        <v>34702</v>
      </c>
      <c r="AR10" s="277" t="s">
        <v>34598</v>
      </c>
      <c r="AS10" s="276" t="s">
        <v>34739</v>
      </c>
      <c r="AT10" s="277" t="s">
        <v>34600</v>
      </c>
      <c r="AU10" s="276" t="s">
        <v>34687</v>
      </c>
      <c r="AV10" s="277" t="s">
        <v>34643</v>
      </c>
      <c r="AW10" s="276" t="s">
        <v>34644</v>
      </c>
      <c r="AX10" s="277" t="s">
        <v>34604</v>
      </c>
      <c r="AY10" s="276" t="s">
        <v>34605</v>
      </c>
      <c r="AZ10" s="277" t="s">
        <v>34740</v>
      </c>
      <c r="BA10" s="276" t="s">
        <v>34741</v>
      </c>
      <c r="BB10" s="48"/>
      <c r="BC10" s="48"/>
      <c r="BD10" s="48"/>
      <c r="BE10" s="48"/>
      <c r="BF10" s="48"/>
      <c r="BG10" s="48"/>
      <c r="BH10" s="48"/>
      <c r="BI10" s="48"/>
      <c r="BJ10" s="48"/>
      <c r="BK10" s="48"/>
      <c r="BL10" s="48"/>
      <c r="BM10" s="48"/>
      <c r="BN10" s="48"/>
      <c r="BO10" s="48"/>
      <c r="BP10" s="48"/>
      <c r="BQ10" s="48"/>
      <c r="BR10" s="48"/>
      <c r="BS10" s="48"/>
      <c r="BT10" s="48"/>
      <c r="BU10" s="48"/>
    </row>
    <row r="11">
      <c r="A11" s="275" t="s">
        <v>34742</v>
      </c>
      <c r="B11" s="275" t="s">
        <v>3632</v>
      </c>
      <c r="C11" s="275">
        <v>2022.0</v>
      </c>
      <c r="D11" s="275" t="s">
        <v>34743</v>
      </c>
      <c r="E11" s="276" t="s">
        <v>34744</v>
      </c>
      <c r="F11" s="275" t="s">
        <v>34745</v>
      </c>
      <c r="G11" s="275" t="s">
        <v>34746</v>
      </c>
      <c r="H11" s="277" t="s">
        <v>34568</v>
      </c>
      <c r="I11" s="277" t="s">
        <v>34568</v>
      </c>
      <c r="J11" s="277" t="s">
        <v>34568</v>
      </c>
      <c r="K11" s="277" t="s">
        <v>34569</v>
      </c>
      <c r="L11" s="277" t="s">
        <v>34654</v>
      </c>
      <c r="M11" s="276" t="s">
        <v>34727</v>
      </c>
      <c r="N11" s="277" t="s">
        <v>34572</v>
      </c>
      <c r="O11" s="276" t="s">
        <v>34615</v>
      </c>
      <c r="P11" s="277" t="s">
        <v>34573</v>
      </c>
      <c r="Q11" s="276" t="s">
        <v>34574</v>
      </c>
      <c r="R11" s="277" t="s">
        <v>34575</v>
      </c>
      <c r="S11" s="276" t="s">
        <v>34563</v>
      </c>
      <c r="T11" s="277" t="s">
        <v>34576</v>
      </c>
      <c r="U11" s="276" t="s">
        <v>34577</v>
      </c>
      <c r="V11" s="277" t="s">
        <v>34578</v>
      </c>
      <c r="W11" s="276" t="s">
        <v>34747</v>
      </c>
      <c r="X11" s="277"/>
      <c r="Y11" s="276"/>
      <c r="Z11" s="277" t="s">
        <v>34679</v>
      </c>
      <c r="AA11" s="276" t="s">
        <v>34680</v>
      </c>
      <c r="AB11" s="277"/>
      <c r="AC11" s="276"/>
      <c r="AD11" s="277" t="s">
        <v>34584</v>
      </c>
      <c r="AE11" s="276" t="s">
        <v>34748</v>
      </c>
      <c r="AF11" s="277" t="s">
        <v>34586</v>
      </c>
      <c r="AG11" s="276" t="s">
        <v>34682</v>
      </c>
      <c r="AH11" s="277"/>
      <c r="AI11" s="276"/>
      <c r="AJ11" s="277" t="s">
        <v>34716</v>
      </c>
      <c r="AK11" s="276" t="s">
        <v>34717</v>
      </c>
      <c r="AL11" s="277"/>
      <c r="AM11" s="276"/>
      <c r="AN11" s="277" t="s">
        <v>34685</v>
      </c>
      <c r="AO11" s="276" t="s">
        <v>34686</v>
      </c>
      <c r="AP11" s="277" t="s">
        <v>34719</v>
      </c>
      <c r="AQ11" s="276" t="s">
        <v>34720</v>
      </c>
      <c r="AR11" s="277"/>
      <c r="AS11" s="276"/>
      <c r="AT11" s="277" t="s">
        <v>34600</v>
      </c>
      <c r="AU11" s="276" t="s">
        <v>34687</v>
      </c>
      <c r="AV11" s="277" t="s">
        <v>34602</v>
      </c>
      <c r="AW11" s="276" t="s">
        <v>34688</v>
      </c>
      <c r="AX11" s="277"/>
      <c r="AY11" s="276"/>
      <c r="AZ11" s="277" t="s">
        <v>34740</v>
      </c>
      <c r="BA11" s="276" t="s">
        <v>34741</v>
      </c>
      <c r="BB11" s="48"/>
      <c r="BC11" s="48"/>
      <c r="BD11" s="48"/>
      <c r="BE11" s="48"/>
      <c r="BF11" s="48"/>
      <c r="BG11" s="48"/>
      <c r="BH11" s="48"/>
      <c r="BI11" s="48"/>
      <c r="BJ11" s="48"/>
      <c r="BK11" s="48"/>
      <c r="BL11" s="48"/>
      <c r="BM11" s="48"/>
      <c r="BN11" s="48"/>
      <c r="BO11" s="48"/>
      <c r="BP11" s="48"/>
      <c r="BQ11" s="48"/>
      <c r="BR11" s="48"/>
      <c r="BS11" s="48"/>
      <c r="BT11" s="48"/>
      <c r="BU11" s="48"/>
    </row>
    <row r="12">
      <c r="A12" s="275" t="s">
        <v>34749</v>
      </c>
      <c r="B12" s="275" t="s">
        <v>3632</v>
      </c>
      <c r="C12" s="275">
        <v>2020.0</v>
      </c>
      <c r="D12" s="275" t="s">
        <v>34750</v>
      </c>
      <c r="E12" s="276" t="s">
        <v>34751</v>
      </c>
      <c r="F12" s="275" t="s">
        <v>34752</v>
      </c>
      <c r="G12" s="275" t="s">
        <v>34753</v>
      </c>
      <c r="H12" s="277" t="s">
        <v>34568</v>
      </c>
      <c r="I12" s="277" t="s">
        <v>34568</v>
      </c>
      <c r="J12" s="277" t="s">
        <v>34568</v>
      </c>
      <c r="K12" s="277" t="s">
        <v>34569</v>
      </c>
      <c r="L12" s="277" t="s">
        <v>34570</v>
      </c>
      <c r="M12" s="276" t="s">
        <v>34754</v>
      </c>
      <c r="N12" s="277" t="s">
        <v>34675</v>
      </c>
      <c r="O12" s="276" t="s">
        <v>34676</v>
      </c>
      <c r="P12" s="277" t="s">
        <v>34573</v>
      </c>
      <c r="Q12" s="276" t="s">
        <v>34574</v>
      </c>
      <c r="R12" s="277" t="s">
        <v>34755</v>
      </c>
      <c r="S12" s="276" t="s">
        <v>34756</v>
      </c>
      <c r="T12" s="277" t="s">
        <v>34576</v>
      </c>
      <c r="U12" s="276" t="s">
        <v>34577</v>
      </c>
      <c r="V12" s="277" t="s">
        <v>34578</v>
      </c>
      <c r="W12" s="276" t="s">
        <v>34757</v>
      </c>
      <c r="X12" s="277" t="s">
        <v>34758</v>
      </c>
      <c r="Y12" s="276" t="s">
        <v>34759</v>
      </c>
      <c r="Z12" s="277" t="s">
        <v>34711</v>
      </c>
      <c r="AA12" s="276" t="s">
        <v>34712</v>
      </c>
      <c r="AB12" s="277"/>
      <c r="AC12" s="276"/>
      <c r="AD12" s="277" t="s">
        <v>34584</v>
      </c>
      <c r="AE12" s="276" t="s">
        <v>34681</v>
      </c>
      <c r="AF12" s="277" t="s">
        <v>34586</v>
      </c>
      <c r="AG12" s="276" t="s">
        <v>34682</v>
      </c>
      <c r="AH12" s="277" t="s">
        <v>34588</v>
      </c>
      <c r="AI12" s="276" t="s">
        <v>34589</v>
      </c>
      <c r="AJ12" s="277"/>
      <c r="AK12" s="276"/>
      <c r="AL12" s="277"/>
      <c r="AM12" s="276"/>
      <c r="AN12" s="277" t="s">
        <v>34594</v>
      </c>
      <c r="AO12" s="276" t="s">
        <v>34738</v>
      </c>
      <c r="AP12" s="277" t="s">
        <v>34719</v>
      </c>
      <c r="AQ12" s="276" t="s">
        <v>34720</v>
      </c>
      <c r="AR12" s="277"/>
      <c r="AS12" s="276"/>
      <c r="AT12" s="277" t="s">
        <v>34600</v>
      </c>
      <c r="AU12" s="276" t="s">
        <v>34687</v>
      </c>
      <c r="AV12" s="277" t="s">
        <v>34602</v>
      </c>
      <c r="AW12" s="276" t="s">
        <v>34688</v>
      </c>
      <c r="AX12" s="277"/>
      <c r="AY12" s="276"/>
      <c r="AZ12" s="277"/>
      <c r="BA12" s="276"/>
      <c r="BB12" s="48"/>
      <c r="BC12" s="48"/>
      <c r="BD12" s="48"/>
      <c r="BE12" s="48"/>
      <c r="BF12" s="48"/>
      <c r="BG12" s="48"/>
      <c r="BH12" s="48"/>
      <c r="BI12" s="48"/>
      <c r="BJ12" s="48"/>
      <c r="BK12" s="48"/>
      <c r="BL12" s="48"/>
      <c r="BM12" s="48"/>
      <c r="BN12" s="48"/>
      <c r="BO12" s="48"/>
      <c r="BP12" s="48"/>
      <c r="BQ12" s="48"/>
      <c r="BR12" s="48"/>
      <c r="BS12" s="48"/>
      <c r="BT12" s="48"/>
      <c r="BU12" s="48"/>
    </row>
    <row r="13">
      <c r="A13" s="275" t="s">
        <v>34760</v>
      </c>
      <c r="B13" s="275" t="s">
        <v>3632</v>
      </c>
      <c r="C13" s="275">
        <v>2022.0</v>
      </c>
      <c r="D13" s="275" t="s">
        <v>34761</v>
      </c>
      <c r="E13" s="276" t="s">
        <v>34762</v>
      </c>
      <c r="F13" s="275" t="s">
        <v>34763</v>
      </c>
      <c r="G13" s="275" t="s">
        <v>34764</v>
      </c>
      <c r="H13" s="277" t="s">
        <v>34568</v>
      </c>
      <c r="I13" s="277" t="s">
        <v>34568</v>
      </c>
      <c r="J13" s="277" t="s">
        <v>34568</v>
      </c>
      <c r="K13" s="277" t="s">
        <v>34569</v>
      </c>
      <c r="L13" s="277" t="s">
        <v>34654</v>
      </c>
      <c r="M13" s="276" t="s">
        <v>34655</v>
      </c>
      <c r="N13" s="277" t="s">
        <v>34572</v>
      </c>
      <c r="O13" s="276" t="s">
        <v>34765</v>
      </c>
      <c r="P13" s="277" t="s">
        <v>34573</v>
      </c>
      <c r="Q13" s="276" t="s">
        <v>34574</v>
      </c>
      <c r="R13" s="277" t="s">
        <v>34575</v>
      </c>
      <c r="S13" s="276" t="s">
        <v>34563</v>
      </c>
      <c r="T13" s="277" t="s">
        <v>34576</v>
      </c>
      <c r="U13" s="276" t="s">
        <v>34577</v>
      </c>
      <c r="V13" s="277" t="s">
        <v>34622</v>
      </c>
      <c r="W13" s="276" t="s">
        <v>34677</v>
      </c>
      <c r="X13" s="277" t="s">
        <v>34580</v>
      </c>
      <c r="Y13" s="276" t="s">
        <v>34766</v>
      </c>
      <c r="Z13" s="277" t="s">
        <v>34625</v>
      </c>
      <c r="AA13" s="276" t="s">
        <v>34767</v>
      </c>
      <c r="AB13" s="277" t="s">
        <v>34627</v>
      </c>
      <c r="AC13" s="276" t="s">
        <v>34768</v>
      </c>
      <c r="AD13" s="277" t="s">
        <v>34629</v>
      </c>
      <c r="AE13" s="276" t="s">
        <v>34769</v>
      </c>
      <c r="AF13" s="277" t="s">
        <v>34631</v>
      </c>
      <c r="AG13" s="276" t="s">
        <v>34632</v>
      </c>
      <c r="AH13" s="277" t="s">
        <v>34714</v>
      </c>
      <c r="AI13" s="276" t="s">
        <v>34715</v>
      </c>
      <c r="AJ13" s="277"/>
      <c r="AK13" s="276"/>
      <c r="AL13" s="277" t="s">
        <v>34636</v>
      </c>
      <c r="AM13" s="276" t="s">
        <v>34770</v>
      </c>
      <c r="AN13" s="277" t="s">
        <v>34594</v>
      </c>
      <c r="AO13" s="276" t="s">
        <v>34738</v>
      </c>
      <c r="AP13" s="277" t="s">
        <v>34596</v>
      </c>
      <c r="AQ13" s="276" t="s">
        <v>34639</v>
      </c>
      <c r="AR13" s="277" t="s">
        <v>34640</v>
      </c>
      <c r="AS13" s="276" t="s">
        <v>34641</v>
      </c>
      <c r="AT13" s="277" t="s">
        <v>31876</v>
      </c>
      <c r="AU13" s="276" t="s">
        <v>34642</v>
      </c>
      <c r="AV13" s="277" t="s">
        <v>34643</v>
      </c>
      <c r="AW13" s="276" t="s">
        <v>34644</v>
      </c>
      <c r="AX13" s="277"/>
      <c r="AY13" s="276"/>
      <c r="AZ13" s="277"/>
      <c r="BA13" s="276"/>
      <c r="BB13" s="48"/>
      <c r="BC13" s="48"/>
      <c r="BD13" s="48"/>
      <c r="BE13" s="48"/>
      <c r="BF13" s="48"/>
      <c r="BG13" s="48"/>
      <c r="BH13" s="48"/>
      <c r="BI13" s="48"/>
      <c r="BJ13" s="48"/>
      <c r="BK13" s="48"/>
      <c r="BL13" s="48"/>
      <c r="BM13" s="48"/>
      <c r="BN13" s="48"/>
      <c r="BO13" s="48"/>
      <c r="BP13" s="48"/>
      <c r="BQ13" s="48"/>
      <c r="BR13" s="48"/>
      <c r="BS13" s="48"/>
      <c r="BT13" s="48"/>
      <c r="BU13" s="48"/>
    </row>
    <row r="14">
      <c r="A14" s="275" t="s">
        <v>34771</v>
      </c>
      <c r="B14" s="275" t="s">
        <v>3632</v>
      </c>
      <c r="C14" s="275">
        <v>2022.0</v>
      </c>
      <c r="D14" s="275" t="s">
        <v>34772</v>
      </c>
      <c r="E14" s="276" t="s">
        <v>34773</v>
      </c>
      <c r="F14" s="275" t="s">
        <v>34774</v>
      </c>
      <c r="G14" s="275" t="s">
        <v>34775</v>
      </c>
      <c r="H14" s="277" t="s">
        <v>34568</v>
      </c>
      <c r="I14" s="277" t="s">
        <v>34568</v>
      </c>
      <c r="J14" s="277" t="s">
        <v>34568</v>
      </c>
      <c r="K14" s="277" t="s">
        <v>34569</v>
      </c>
      <c r="L14" s="277" t="s">
        <v>34654</v>
      </c>
      <c r="M14" s="276" t="s">
        <v>34655</v>
      </c>
      <c r="N14" s="277" t="s">
        <v>34675</v>
      </c>
      <c r="O14" s="276" t="s">
        <v>34676</v>
      </c>
      <c r="P14" s="277" t="s">
        <v>34573</v>
      </c>
      <c r="Q14" s="276" t="s">
        <v>34574</v>
      </c>
      <c r="R14" s="277" t="s">
        <v>34575</v>
      </c>
      <c r="S14" s="276" t="s">
        <v>34563</v>
      </c>
      <c r="T14" s="277" t="s">
        <v>34576</v>
      </c>
      <c r="U14" s="276" t="s">
        <v>34577</v>
      </c>
      <c r="V14" s="277" t="s">
        <v>34578</v>
      </c>
      <c r="W14" s="276" t="s">
        <v>34776</v>
      </c>
      <c r="X14" s="277" t="s">
        <v>34580</v>
      </c>
      <c r="Y14" s="276" t="s">
        <v>34766</v>
      </c>
      <c r="Z14" s="277" t="s">
        <v>34679</v>
      </c>
      <c r="AA14" s="276" t="s">
        <v>34680</v>
      </c>
      <c r="AB14" s="277"/>
      <c r="AC14" s="276"/>
      <c r="AD14" s="277" t="s">
        <v>34584</v>
      </c>
      <c r="AE14" s="276" t="s">
        <v>34681</v>
      </c>
      <c r="AF14" s="277" t="s">
        <v>34586</v>
      </c>
      <c r="AG14" s="276" t="s">
        <v>34682</v>
      </c>
      <c r="AH14" s="277"/>
      <c r="AI14" s="276"/>
      <c r="AJ14" s="277" t="s">
        <v>34716</v>
      </c>
      <c r="AK14" s="276" t="s">
        <v>34717</v>
      </c>
      <c r="AL14" s="277"/>
      <c r="AM14" s="276"/>
      <c r="AN14" s="277" t="s">
        <v>34685</v>
      </c>
      <c r="AO14" s="276" t="s">
        <v>34686</v>
      </c>
      <c r="AP14" s="277" t="s">
        <v>34719</v>
      </c>
      <c r="AQ14" s="276" t="s">
        <v>34720</v>
      </c>
      <c r="AR14" s="277"/>
      <c r="AS14" s="276"/>
      <c r="AT14" s="277" t="s">
        <v>34600</v>
      </c>
      <c r="AU14" s="276" t="s">
        <v>34687</v>
      </c>
      <c r="AV14" s="277" t="s">
        <v>34602</v>
      </c>
      <c r="AW14" s="276" t="s">
        <v>34688</v>
      </c>
      <c r="AX14" s="277"/>
      <c r="AY14" s="276"/>
      <c r="AZ14" s="277"/>
      <c r="BA14" s="276"/>
      <c r="BB14" s="48"/>
      <c r="BC14" s="48"/>
      <c r="BD14" s="48"/>
      <c r="BE14" s="48"/>
      <c r="BF14" s="48"/>
      <c r="BG14" s="48"/>
      <c r="BH14" s="48"/>
      <c r="BI14" s="48"/>
      <c r="BJ14" s="48"/>
      <c r="BK14" s="48"/>
      <c r="BL14" s="48"/>
      <c r="BM14" s="48"/>
      <c r="BN14" s="48"/>
      <c r="BO14" s="48"/>
      <c r="BP14" s="48"/>
      <c r="BQ14" s="48"/>
      <c r="BR14" s="48"/>
      <c r="BS14" s="48"/>
      <c r="BT14" s="48"/>
      <c r="BU14" s="48"/>
    </row>
    <row r="15">
      <c r="A15" s="275" t="s">
        <v>34777</v>
      </c>
      <c r="B15" s="275" t="s">
        <v>3632</v>
      </c>
      <c r="C15" s="275">
        <v>2021.0</v>
      </c>
      <c r="D15" s="275" t="s">
        <v>34778</v>
      </c>
      <c r="E15" s="276" t="s">
        <v>34779</v>
      </c>
      <c r="F15" s="275" t="s">
        <v>22802</v>
      </c>
      <c r="G15" s="275" t="s">
        <v>34780</v>
      </c>
      <c r="H15" s="277" t="s">
        <v>34568</v>
      </c>
      <c r="I15" s="277" t="s">
        <v>34568</v>
      </c>
      <c r="J15" s="277" t="s">
        <v>34568</v>
      </c>
      <c r="K15" s="277" t="s">
        <v>34569</v>
      </c>
      <c r="L15" s="277" t="s">
        <v>34613</v>
      </c>
      <c r="M15" s="276" t="s">
        <v>34727</v>
      </c>
      <c r="N15" s="277" t="s">
        <v>34572</v>
      </c>
      <c r="O15" s="276" t="s">
        <v>34765</v>
      </c>
      <c r="P15" s="277" t="s">
        <v>34616</v>
      </c>
      <c r="Q15" s="276" t="s">
        <v>34617</v>
      </c>
      <c r="R15" s="277" t="s">
        <v>34618</v>
      </c>
      <c r="S15" s="276" t="s">
        <v>34781</v>
      </c>
      <c r="T15" s="277" t="s">
        <v>34620</v>
      </c>
      <c r="U15" s="276" t="s">
        <v>34621</v>
      </c>
      <c r="V15" s="277" t="s">
        <v>34622</v>
      </c>
      <c r="W15" s="276" t="s">
        <v>34782</v>
      </c>
      <c r="X15" s="277" t="s">
        <v>34783</v>
      </c>
      <c r="Y15" s="276" t="s">
        <v>34784</v>
      </c>
      <c r="Z15" s="277" t="s">
        <v>34711</v>
      </c>
      <c r="AA15" s="276" t="s">
        <v>34712</v>
      </c>
      <c r="AB15" s="277" t="s">
        <v>34627</v>
      </c>
      <c r="AC15" s="276" t="s">
        <v>34658</v>
      </c>
      <c r="AD15" s="277" t="s">
        <v>34629</v>
      </c>
      <c r="AE15" s="276" t="s">
        <v>34769</v>
      </c>
      <c r="AF15" s="277" t="s">
        <v>34661</v>
      </c>
      <c r="AG15" s="276" t="s">
        <v>34662</v>
      </c>
      <c r="AH15" s="277"/>
      <c r="AI15" s="276"/>
      <c r="AJ15" s="277" t="s">
        <v>34683</v>
      </c>
      <c r="AK15" s="276" t="s">
        <v>34684</v>
      </c>
      <c r="AL15" s="277"/>
      <c r="AM15" s="276"/>
      <c r="AN15" s="277" t="s">
        <v>34594</v>
      </c>
      <c r="AO15" s="276" t="s">
        <v>34738</v>
      </c>
      <c r="AP15" s="277" t="s">
        <v>34596</v>
      </c>
      <c r="AQ15" s="276" t="s">
        <v>34639</v>
      </c>
      <c r="AR15" s="277" t="s">
        <v>34666</v>
      </c>
      <c r="AS15" s="276" t="s">
        <v>34703</v>
      </c>
      <c r="AT15" s="277" t="s">
        <v>31876</v>
      </c>
      <c r="AU15" s="276" t="s">
        <v>34642</v>
      </c>
      <c r="AV15" s="277" t="s">
        <v>34643</v>
      </c>
      <c r="AW15" s="276" t="s">
        <v>34644</v>
      </c>
      <c r="AX15" s="277"/>
      <c r="AY15" s="276"/>
      <c r="AZ15" s="277"/>
      <c r="BA15" s="276"/>
      <c r="BB15" s="48"/>
      <c r="BC15" s="48"/>
      <c r="BD15" s="48"/>
      <c r="BE15" s="48"/>
      <c r="BF15" s="48"/>
      <c r="BG15" s="48"/>
      <c r="BH15" s="48"/>
      <c r="BI15" s="48"/>
      <c r="BJ15" s="48"/>
      <c r="BK15" s="48"/>
      <c r="BL15" s="48"/>
      <c r="BM15" s="48"/>
      <c r="BN15" s="48"/>
      <c r="BO15" s="48"/>
      <c r="BP15" s="48"/>
      <c r="BQ15" s="48"/>
      <c r="BR15" s="48"/>
      <c r="BS15" s="48"/>
      <c r="BT15" s="48"/>
      <c r="BU15" s="48"/>
    </row>
    <row r="16">
      <c r="A16" s="275" t="s">
        <v>34785</v>
      </c>
      <c r="B16" s="275" t="s">
        <v>3632</v>
      </c>
      <c r="C16" s="275">
        <v>2022.0</v>
      </c>
      <c r="D16" s="275" t="s">
        <v>34786</v>
      </c>
      <c r="E16" s="276" t="s">
        <v>34787</v>
      </c>
      <c r="F16" s="275" t="s">
        <v>34725</v>
      </c>
      <c r="G16" s="275" t="s">
        <v>34788</v>
      </c>
      <c r="H16" s="277" t="s">
        <v>34568</v>
      </c>
      <c r="I16" s="277" t="s">
        <v>34568</v>
      </c>
      <c r="J16" s="277" t="s">
        <v>34568</v>
      </c>
      <c r="K16" s="277" t="s">
        <v>34569</v>
      </c>
      <c r="L16" s="277" t="s">
        <v>34613</v>
      </c>
      <c r="M16" s="276" t="s">
        <v>34727</v>
      </c>
      <c r="N16" s="277" t="s">
        <v>34572</v>
      </c>
      <c r="O16" s="276" t="s">
        <v>34765</v>
      </c>
      <c r="P16" s="277" t="s">
        <v>34573</v>
      </c>
      <c r="Q16" s="276" t="s">
        <v>34574</v>
      </c>
      <c r="R16" s="277" t="s">
        <v>34575</v>
      </c>
      <c r="S16" s="276" t="s">
        <v>34563</v>
      </c>
      <c r="T16" s="277" t="s">
        <v>34576</v>
      </c>
      <c r="U16" s="276" t="s">
        <v>34789</v>
      </c>
      <c r="V16" s="277" t="s">
        <v>34622</v>
      </c>
      <c r="W16" s="276" t="s">
        <v>34677</v>
      </c>
      <c r="X16" s="277" t="s">
        <v>34580</v>
      </c>
      <c r="Y16" s="276" t="s">
        <v>34766</v>
      </c>
      <c r="Z16" s="277" t="s">
        <v>34711</v>
      </c>
      <c r="AA16" s="276" t="s">
        <v>34712</v>
      </c>
      <c r="AB16" s="277"/>
      <c r="AC16" s="276"/>
      <c r="AD16" s="277" t="s">
        <v>34584</v>
      </c>
      <c r="AE16" s="276" t="s">
        <v>34681</v>
      </c>
      <c r="AF16" s="277" t="s">
        <v>34586</v>
      </c>
      <c r="AG16" s="276" t="s">
        <v>34682</v>
      </c>
      <c r="AH16" s="277"/>
      <c r="AI16" s="276"/>
      <c r="AJ16" s="277" t="s">
        <v>34790</v>
      </c>
      <c r="AK16" s="276" t="s">
        <v>34791</v>
      </c>
      <c r="AL16" s="277"/>
      <c r="AM16" s="276"/>
      <c r="AN16" s="277" t="s">
        <v>34594</v>
      </c>
      <c r="AO16" s="276" t="s">
        <v>34738</v>
      </c>
      <c r="AP16" s="277" t="s">
        <v>34719</v>
      </c>
      <c r="AQ16" s="276" t="s">
        <v>34720</v>
      </c>
      <c r="AR16" s="277"/>
      <c r="AS16" s="276"/>
      <c r="AT16" s="277" t="s">
        <v>34600</v>
      </c>
      <c r="AU16" s="276" t="s">
        <v>34687</v>
      </c>
      <c r="AV16" s="277" t="s">
        <v>34602</v>
      </c>
      <c r="AW16" s="276" t="s">
        <v>34688</v>
      </c>
      <c r="AX16" s="277" t="s">
        <v>34668</v>
      </c>
      <c r="AY16" s="276" t="s">
        <v>34669</v>
      </c>
      <c r="AZ16" s="277" t="s">
        <v>34740</v>
      </c>
      <c r="BA16" s="276" t="s">
        <v>34792</v>
      </c>
      <c r="BB16" s="48"/>
      <c r="BC16" s="48"/>
      <c r="BD16" s="48"/>
      <c r="BE16" s="48"/>
      <c r="BF16" s="48"/>
      <c r="BG16" s="48"/>
      <c r="BH16" s="48"/>
      <c r="BI16" s="48"/>
      <c r="BJ16" s="48"/>
      <c r="BK16" s="48"/>
      <c r="BL16" s="48"/>
      <c r="BM16" s="48"/>
      <c r="BN16" s="48"/>
      <c r="BO16" s="48"/>
      <c r="BP16" s="48"/>
      <c r="BQ16" s="48"/>
      <c r="BR16" s="48"/>
      <c r="BS16" s="48"/>
      <c r="BT16" s="48"/>
      <c r="BU16" s="48"/>
    </row>
    <row r="17">
      <c r="A17" s="275" t="s">
        <v>34793</v>
      </c>
      <c r="B17" s="275" t="s">
        <v>3632</v>
      </c>
      <c r="C17" s="275">
        <v>2022.0</v>
      </c>
      <c r="D17" s="275" t="s">
        <v>34794</v>
      </c>
      <c r="E17" s="276" t="s">
        <v>34795</v>
      </c>
      <c r="F17" s="275" t="s">
        <v>26942</v>
      </c>
      <c r="G17" s="275" t="s">
        <v>34796</v>
      </c>
      <c r="H17" s="277" t="s">
        <v>34568</v>
      </c>
      <c r="I17" s="277" t="s">
        <v>34568</v>
      </c>
      <c r="J17" s="277" t="s">
        <v>34568</v>
      </c>
      <c r="K17" s="277" t="s">
        <v>34569</v>
      </c>
      <c r="L17" s="277" t="s">
        <v>34613</v>
      </c>
      <c r="M17" s="276" t="s">
        <v>34727</v>
      </c>
      <c r="N17" s="277" t="s">
        <v>34572</v>
      </c>
      <c r="O17" s="276" t="s">
        <v>34765</v>
      </c>
      <c r="P17" s="277" t="s">
        <v>34573</v>
      </c>
      <c r="Q17" s="276" t="s">
        <v>34574</v>
      </c>
      <c r="R17" s="277" t="s">
        <v>34618</v>
      </c>
      <c r="S17" s="276" t="s">
        <v>34619</v>
      </c>
      <c r="T17" s="277" t="s">
        <v>34695</v>
      </c>
      <c r="U17" s="276" t="s">
        <v>34696</v>
      </c>
      <c r="V17" s="277"/>
      <c r="W17" s="276"/>
      <c r="X17" s="277"/>
      <c r="Y17" s="276"/>
      <c r="Z17" s="277" t="s">
        <v>34625</v>
      </c>
      <c r="AA17" s="276" t="s">
        <v>34767</v>
      </c>
      <c r="AB17" s="277" t="s">
        <v>34797</v>
      </c>
      <c r="AC17" s="276" t="s">
        <v>34798</v>
      </c>
      <c r="AD17" s="277" t="s">
        <v>34629</v>
      </c>
      <c r="AE17" s="276" t="s">
        <v>34769</v>
      </c>
      <c r="AF17" s="277" t="s">
        <v>34661</v>
      </c>
      <c r="AG17" s="276" t="s">
        <v>34662</v>
      </c>
      <c r="AH17" s="277" t="s">
        <v>34588</v>
      </c>
      <c r="AI17" s="276" t="s">
        <v>34589</v>
      </c>
      <c r="AJ17" s="277"/>
      <c r="AK17" s="276"/>
      <c r="AL17" s="277"/>
      <c r="AM17" s="276"/>
      <c r="AN17" s="277" t="s">
        <v>34664</v>
      </c>
      <c r="AO17" s="276" t="s">
        <v>34701</v>
      </c>
      <c r="AP17" s="277" t="s">
        <v>34596</v>
      </c>
      <c r="AQ17" s="276" t="s">
        <v>34639</v>
      </c>
      <c r="AR17" s="277" t="s">
        <v>34666</v>
      </c>
      <c r="AS17" s="276" t="s">
        <v>34703</v>
      </c>
      <c r="AT17" s="277" t="s">
        <v>31876</v>
      </c>
      <c r="AU17" s="276" t="s">
        <v>34642</v>
      </c>
      <c r="AV17" s="277" t="s">
        <v>34643</v>
      </c>
      <c r="AW17" s="276" t="s">
        <v>34644</v>
      </c>
      <c r="AX17" s="277"/>
      <c r="AY17" s="276"/>
      <c r="AZ17" s="277"/>
      <c r="BA17" s="276"/>
      <c r="BB17" s="48"/>
      <c r="BC17" s="48"/>
      <c r="BD17" s="48"/>
      <c r="BE17" s="48"/>
      <c r="BF17" s="48"/>
      <c r="BG17" s="48"/>
      <c r="BH17" s="48"/>
      <c r="BI17" s="48"/>
      <c r="BJ17" s="48"/>
      <c r="BK17" s="48"/>
      <c r="BL17" s="48"/>
      <c r="BM17" s="48"/>
      <c r="BN17" s="48"/>
      <c r="BO17" s="48"/>
      <c r="BP17" s="48"/>
      <c r="BQ17" s="48"/>
      <c r="BR17" s="48"/>
      <c r="BS17" s="48"/>
      <c r="BT17" s="48"/>
      <c r="BU17" s="48"/>
    </row>
    <row r="18">
      <c r="A18" s="275" t="s">
        <v>34799</v>
      </c>
      <c r="B18" s="275" t="s">
        <v>3632</v>
      </c>
      <c r="C18" s="275">
        <v>2022.0</v>
      </c>
      <c r="D18" s="275" t="s">
        <v>34800</v>
      </c>
      <c r="E18" s="276" t="s">
        <v>34801</v>
      </c>
      <c r="F18" s="275" t="s">
        <v>34802</v>
      </c>
      <c r="G18" s="275" t="s">
        <v>34803</v>
      </c>
      <c r="H18" s="277" t="s">
        <v>34568</v>
      </c>
      <c r="I18" s="277" t="s">
        <v>34804</v>
      </c>
      <c r="J18" s="277" t="s">
        <v>34568</v>
      </c>
      <c r="K18" s="277" t="s">
        <v>34569</v>
      </c>
      <c r="L18" s="277" t="s">
        <v>34613</v>
      </c>
      <c r="M18" s="276" t="s">
        <v>34727</v>
      </c>
      <c r="N18" s="277" t="s">
        <v>34572</v>
      </c>
      <c r="O18" s="276" t="s">
        <v>34765</v>
      </c>
      <c r="P18" s="277" t="s">
        <v>34573</v>
      </c>
      <c r="Q18" s="276" t="s">
        <v>34574</v>
      </c>
      <c r="R18" s="277" t="s">
        <v>34575</v>
      </c>
      <c r="S18" s="276" t="s">
        <v>34563</v>
      </c>
      <c r="T18" s="277" t="s">
        <v>34576</v>
      </c>
      <c r="U18" s="276" t="s">
        <v>34805</v>
      </c>
      <c r="V18" s="277" t="s">
        <v>34622</v>
      </c>
      <c r="W18" s="276" t="s">
        <v>34677</v>
      </c>
      <c r="X18" s="277" t="s">
        <v>34783</v>
      </c>
      <c r="Y18" s="276" t="s">
        <v>34784</v>
      </c>
      <c r="Z18" s="277" t="s">
        <v>34679</v>
      </c>
      <c r="AA18" s="276" t="s">
        <v>34680</v>
      </c>
      <c r="AB18" s="277"/>
      <c r="AC18" s="276"/>
      <c r="AD18" s="277" t="s">
        <v>34584</v>
      </c>
      <c r="AE18" s="276" t="s">
        <v>34681</v>
      </c>
      <c r="AF18" s="277" t="s">
        <v>34586</v>
      </c>
      <c r="AG18" s="276" t="s">
        <v>34682</v>
      </c>
      <c r="AH18" s="277" t="s">
        <v>34699</v>
      </c>
      <c r="AI18" s="276" t="s">
        <v>34700</v>
      </c>
      <c r="AJ18" s="277" t="s">
        <v>34790</v>
      </c>
      <c r="AK18" s="276" t="s">
        <v>34791</v>
      </c>
      <c r="AL18" s="277"/>
      <c r="AM18" s="276"/>
      <c r="AN18" s="277" t="s">
        <v>34685</v>
      </c>
      <c r="AO18" s="276" t="s">
        <v>34686</v>
      </c>
      <c r="AP18" s="277" t="s">
        <v>34719</v>
      </c>
      <c r="AQ18" s="276" t="s">
        <v>34720</v>
      </c>
      <c r="AR18" s="277"/>
      <c r="AS18" s="276"/>
      <c r="AT18" s="277" t="s">
        <v>34600</v>
      </c>
      <c r="AU18" s="276" t="s">
        <v>34687</v>
      </c>
      <c r="AV18" s="277" t="s">
        <v>34602</v>
      </c>
      <c r="AW18" s="276" t="s">
        <v>34688</v>
      </c>
      <c r="AX18" s="277"/>
      <c r="AY18" s="276"/>
      <c r="AZ18" s="277"/>
      <c r="BA18" s="276"/>
      <c r="BB18" s="48"/>
      <c r="BC18" s="48"/>
      <c r="BD18" s="48"/>
      <c r="BE18" s="48"/>
      <c r="BF18" s="48"/>
      <c r="BG18" s="48"/>
      <c r="BH18" s="48"/>
      <c r="BI18" s="48"/>
      <c r="BJ18" s="48"/>
      <c r="BK18" s="48"/>
      <c r="BL18" s="48"/>
      <c r="BM18" s="48"/>
      <c r="BN18" s="48"/>
      <c r="BO18" s="48"/>
      <c r="BP18" s="48"/>
      <c r="BQ18" s="48"/>
      <c r="BR18" s="48"/>
      <c r="BS18" s="48"/>
      <c r="BT18" s="48"/>
      <c r="BU18" s="48"/>
    </row>
    <row r="19">
      <c r="A19" s="275" t="s">
        <v>34806</v>
      </c>
      <c r="B19" s="275" t="s">
        <v>3632</v>
      </c>
      <c r="C19" s="275">
        <v>2022.0</v>
      </c>
      <c r="D19" s="275" t="s">
        <v>34807</v>
      </c>
      <c r="E19" s="276" t="s">
        <v>34808</v>
      </c>
      <c r="F19" s="275" t="s">
        <v>34809</v>
      </c>
      <c r="G19" s="275" t="s">
        <v>34810</v>
      </c>
      <c r="H19" s="277" t="s">
        <v>34568</v>
      </c>
      <c r="I19" s="277" t="s">
        <v>34568</v>
      </c>
      <c r="J19" s="277" t="s">
        <v>34568</v>
      </c>
      <c r="K19" s="277" t="s">
        <v>34569</v>
      </c>
      <c r="L19" s="277" t="s">
        <v>34654</v>
      </c>
      <c r="M19" s="276" t="s">
        <v>34811</v>
      </c>
      <c r="N19" s="277" t="s">
        <v>34572</v>
      </c>
      <c r="O19" s="276" t="s">
        <v>34765</v>
      </c>
      <c r="P19" s="277" t="s">
        <v>34616</v>
      </c>
      <c r="Q19" s="276" t="s">
        <v>34617</v>
      </c>
      <c r="R19" s="278" t="s">
        <v>34755</v>
      </c>
      <c r="S19" s="276" t="s">
        <v>34756</v>
      </c>
      <c r="T19" s="277" t="s">
        <v>34576</v>
      </c>
      <c r="U19" s="276" t="s">
        <v>34577</v>
      </c>
      <c r="V19" s="277" t="s">
        <v>34622</v>
      </c>
      <c r="W19" s="276" t="s">
        <v>34677</v>
      </c>
      <c r="X19" s="277"/>
      <c r="Y19" s="276"/>
      <c r="Z19" s="277" t="s">
        <v>34711</v>
      </c>
      <c r="AA19" s="276" t="s">
        <v>34712</v>
      </c>
      <c r="AB19" s="277"/>
      <c r="AC19" s="276"/>
      <c r="AD19" s="277"/>
      <c r="AE19" s="276"/>
      <c r="AF19" s="277" t="s">
        <v>34586</v>
      </c>
      <c r="AG19" s="276" t="s">
        <v>34682</v>
      </c>
      <c r="AH19" s="277"/>
      <c r="AI19" s="276"/>
      <c r="AJ19" s="277"/>
      <c r="AK19" s="276"/>
      <c r="AL19" s="277"/>
      <c r="AM19" s="276"/>
      <c r="AN19" s="277" t="s">
        <v>34685</v>
      </c>
      <c r="AO19" s="276" t="s">
        <v>34686</v>
      </c>
      <c r="AP19" s="277" t="s">
        <v>34719</v>
      </c>
      <c r="AQ19" s="276" t="s">
        <v>34720</v>
      </c>
      <c r="AR19" s="277"/>
      <c r="AS19" s="276"/>
      <c r="AT19" s="277" t="s">
        <v>34600</v>
      </c>
      <c r="AU19" s="276" t="s">
        <v>34687</v>
      </c>
      <c r="AV19" s="277" t="s">
        <v>34602</v>
      </c>
      <c r="AW19" s="276" t="s">
        <v>34688</v>
      </c>
      <c r="AX19" s="277"/>
      <c r="AY19" s="276"/>
      <c r="AZ19" s="277"/>
      <c r="BA19" s="276"/>
      <c r="BB19" s="48"/>
      <c r="BC19" s="48"/>
      <c r="BD19" s="48"/>
      <c r="BE19" s="48"/>
      <c r="BF19" s="48"/>
      <c r="BG19" s="48"/>
      <c r="BH19" s="48"/>
      <c r="BI19" s="48"/>
      <c r="BJ19" s="48"/>
      <c r="BK19" s="48"/>
      <c r="BL19" s="48"/>
      <c r="BM19" s="48"/>
      <c r="BN19" s="48"/>
      <c r="BO19" s="48"/>
      <c r="BP19" s="48"/>
      <c r="BQ19" s="48"/>
      <c r="BR19" s="48"/>
      <c r="BS19" s="48"/>
      <c r="BT19" s="48"/>
      <c r="BU19" s="48"/>
    </row>
    <row r="20">
      <c r="A20" s="275" t="s">
        <v>34812</v>
      </c>
      <c r="B20" s="275" t="s">
        <v>34813</v>
      </c>
      <c r="C20" s="275">
        <v>2018.0</v>
      </c>
      <c r="D20" s="275"/>
      <c r="E20" s="276" t="s">
        <v>34814</v>
      </c>
      <c r="F20" s="275"/>
      <c r="G20" s="275"/>
      <c r="H20" s="277" t="s">
        <v>34804</v>
      </c>
      <c r="I20" s="277" t="s">
        <v>34804</v>
      </c>
      <c r="J20" s="277" t="s">
        <v>34804</v>
      </c>
      <c r="K20" s="277" t="s">
        <v>34815</v>
      </c>
      <c r="L20" s="277"/>
      <c r="M20" s="276"/>
      <c r="N20" s="277"/>
      <c r="O20" s="276"/>
      <c r="P20" s="277"/>
      <c r="Q20" s="276"/>
      <c r="R20" s="277"/>
      <c r="S20" s="276"/>
      <c r="T20" s="277"/>
      <c r="U20" s="276"/>
      <c r="V20" s="277"/>
      <c r="W20" s="276"/>
      <c r="X20" s="277"/>
      <c r="Y20" s="276"/>
      <c r="Z20" s="277"/>
      <c r="AA20" s="276"/>
      <c r="AB20" s="277"/>
      <c r="AC20" s="276"/>
      <c r="AD20" s="277"/>
      <c r="AE20" s="276"/>
      <c r="AF20" s="277"/>
      <c r="AG20" s="276"/>
      <c r="AH20" s="277"/>
      <c r="AI20" s="276"/>
      <c r="AJ20" s="277"/>
      <c r="AK20" s="276"/>
      <c r="AL20" s="277"/>
      <c r="AM20" s="276"/>
      <c r="AN20" s="277"/>
      <c r="AO20" s="276"/>
      <c r="AP20" s="277"/>
      <c r="AQ20" s="276"/>
      <c r="AR20" s="277"/>
      <c r="AS20" s="276"/>
      <c r="AT20" s="277"/>
      <c r="AU20" s="276"/>
      <c r="AV20" s="277"/>
      <c r="AW20" s="276"/>
      <c r="AX20" s="277"/>
      <c r="AY20" s="276"/>
      <c r="AZ20" s="277"/>
      <c r="BA20" s="276"/>
      <c r="BB20" s="48"/>
      <c r="BC20" s="48"/>
      <c r="BD20" s="48"/>
      <c r="BE20" s="48"/>
      <c r="BF20" s="48"/>
      <c r="BG20" s="48"/>
      <c r="BH20" s="48"/>
      <c r="BI20" s="48"/>
      <c r="BJ20" s="48"/>
      <c r="BK20" s="48"/>
      <c r="BL20" s="48"/>
      <c r="BM20" s="48"/>
      <c r="BN20" s="48"/>
      <c r="BO20" s="48"/>
      <c r="BP20" s="48"/>
      <c r="BQ20" s="48"/>
      <c r="BR20" s="48"/>
      <c r="BS20" s="48"/>
      <c r="BT20" s="48"/>
      <c r="BU20" s="48"/>
    </row>
    <row r="21" ht="15.75" customHeight="1">
      <c r="A21" s="275" t="s">
        <v>34816</v>
      </c>
      <c r="B21" s="275" t="s">
        <v>3632</v>
      </c>
      <c r="C21" s="275">
        <v>2022.0</v>
      </c>
      <c r="D21" s="275" t="s">
        <v>34817</v>
      </c>
      <c r="E21" s="276" t="s">
        <v>34818</v>
      </c>
      <c r="F21" s="275" t="s">
        <v>34734</v>
      </c>
      <c r="G21" s="275" t="s">
        <v>34819</v>
      </c>
      <c r="H21" s="277" t="s">
        <v>34568</v>
      </c>
      <c r="I21" s="277" t="s">
        <v>34804</v>
      </c>
      <c r="J21" s="277" t="s">
        <v>34568</v>
      </c>
      <c r="K21" s="277" t="s">
        <v>34569</v>
      </c>
      <c r="L21" s="278" t="s">
        <v>34820</v>
      </c>
      <c r="M21" s="279" t="s">
        <v>34821</v>
      </c>
      <c r="N21" s="277" t="s">
        <v>34572</v>
      </c>
      <c r="O21" s="276" t="s">
        <v>34765</v>
      </c>
      <c r="P21" s="278" t="s">
        <v>34822</v>
      </c>
      <c r="Q21" s="279" t="s">
        <v>34823</v>
      </c>
      <c r="R21" s="277" t="s">
        <v>34575</v>
      </c>
      <c r="S21" s="276" t="s">
        <v>34563</v>
      </c>
      <c r="T21" s="277" t="s">
        <v>34576</v>
      </c>
      <c r="U21" s="276" t="s">
        <v>34824</v>
      </c>
      <c r="V21" s="277" t="s">
        <v>34825</v>
      </c>
      <c r="W21" s="276" t="s">
        <v>34826</v>
      </c>
      <c r="X21" s="277" t="s">
        <v>34758</v>
      </c>
      <c r="Y21" s="276" t="s">
        <v>34827</v>
      </c>
      <c r="Z21" s="277" t="s">
        <v>34828</v>
      </c>
      <c r="AA21" s="276" t="s">
        <v>34712</v>
      </c>
      <c r="AB21" s="277"/>
      <c r="AC21" s="276"/>
      <c r="AD21" s="277" t="s">
        <v>34584</v>
      </c>
      <c r="AE21" s="276" t="s">
        <v>34681</v>
      </c>
      <c r="AF21" s="277" t="s">
        <v>34586</v>
      </c>
      <c r="AG21" s="276" t="s">
        <v>34682</v>
      </c>
      <c r="AH21" s="277"/>
      <c r="AI21" s="276"/>
      <c r="AJ21" s="277" t="s">
        <v>34790</v>
      </c>
      <c r="AK21" s="276" t="s">
        <v>34791</v>
      </c>
      <c r="AL21" s="277"/>
      <c r="AM21" s="276"/>
      <c r="AN21" s="277" t="s">
        <v>34685</v>
      </c>
      <c r="AO21" s="276" t="s">
        <v>34686</v>
      </c>
      <c r="AP21" s="277" t="s">
        <v>34719</v>
      </c>
      <c r="AQ21" s="276" t="s">
        <v>34720</v>
      </c>
      <c r="AR21" s="277"/>
      <c r="AS21" s="276"/>
      <c r="AT21" s="277" t="s">
        <v>34600</v>
      </c>
      <c r="AU21" s="276" t="s">
        <v>34687</v>
      </c>
      <c r="AV21" s="277" t="s">
        <v>34643</v>
      </c>
      <c r="AW21" s="276" t="s">
        <v>34644</v>
      </c>
      <c r="AX21" s="277"/>
      <c r="AY21" s="276"/>
      <c r="AZ21" s="277"/>
      <c r="BA21" s="276"/>
      <c r="BB21" s="48"/>
      <c r="BC21" s="48"/>
      <c r="BD21" s="48"/>
      <c r="BE21" s="48"/>
      <c r="BF21" s="48"/>
      <c r="BG21" s="48"/>
      <c r="BH21" s="48"/>
      <c r="BI21" s="48"/>
      <c r="BJ21" s="48"/>
      <c r="BK21" s="48"/>
      <c r="BL21" s="48"/>
      <c r="BM21" s="48"/>
      <c r="BN21" s="48"/>
      <c r="BO21" s="48"/>
      <c r="BP21" s="48"/>
      <c r="BQ21" s="48"/>
      <c r="BR21" s="48"/>
      <c r="BS21" s="48"/>
      <c r="BT21" s="48"/>
      <c r="BU21" s="48"/>
    </row>
    <row r="22" ht="15.75" customHeight="1">
      <c r="A22" s="275" t="s">
        <v>34829</v>
      </c>
      <c r="B22" s="275" t="s">
        <v>3632</v>
      </c>
      <c r="C22" s="275">
        <v>2021.0</v>
      </c>
      <c r="D22" s="275" t="s">
        <v>34830</v>
      </c>
      <c r="E22" s="276" t="s">
        <v>34831</v>
      </c>
      <c r="F22" s="275" t="s">
        <v>34708</v>
      </c>
      <c r="G22" s="275" t="s">
        <v>34832</v>
      </c>
      <c r="H22" s="277" t="s">
        <v>34568</v>
      </c>
      <c r="I22" s="277" t="s">
        <v>34568</v>
      </c>
      <c r="J22" s="277" t="s">
        <v>34568</v>
      </c>
      <c r="K22" s="277" t="s">
        <v>34569</v>
      </c>
      <c r="L22" s="277" t="s">
        <v>34654</v>
      </c>
      <c r="M22" s="279" t="s">
        <v>34811</v>
      </c>
      <c r="N22" s="277" t="s">
        <v>34572</v>
      </c>
      <c r="O22" s="276" t="s">
        <v>34765</v>
      </c>
      <c r="P22" s="277" t="s">
        <v>34573</v>
      </c>
      <c r="Q22" s="276" t="s">
        <v>34574</v>
      </c>
      <c r="R22" s="277" t="s">
        <v>34618</v>
      </c>
      <c r="S22" s="276" t="s">
        <v>34619</v>
      </c>
      <c r="T22" s="277" t="s">
        <v>34576</v>
      </c>
      <c r="U22" s="276" t="s">
        <v>34833</v>
      </c>
      <c r="V22" s="277" t="s">
        <v>34825</v>
      </c>
      <c r="W22" s="276" t="s">
        <v>34826</v>
      </c>
      <c r="X22" s="277" t="s">
        <v>34783</v>
      </c>
      <c r="Y22" s="276" t="s">
        <v>34784</v>
      </c>
      <c r="Z22" s="277" t="s">
        <v>34625</v>
      </c>
      <c r="AA22" s="276" t="s">
        <v>34767</v>
      </c>
      <c r="AB22" s="277" t="s">
        <v>34797</v>
      </c>
      <c r="AC22" s="276" t="s">
        <v>34798</v>
      </c>
      <c r="AD22" s="277" t="s">
        <v>34629</v>
      </c>
      <c r="AE22" s="276" t="s">
        <v>34769</v>
      </c>
      <c r="AF22" s="277" t="s">
        <v>34661</v>
      </c>
      <c r="AG22" s="276" t="s">
        <v>34662</v>
      </c>
      <c r="AH22" s="277" t="s">
        <v>34588</v>
      </c>
      <c r="AI22" s="276" t="s">
        <v>34589</v>
      </c>
      <c r="AJ22" s="277"/>
      <c r="AK22" s="276"/>
      <c r="AL22" s="277"/>
      <c r="AM22" s="276"/>
      <c r="AN22" s="277" t="s">
        <v>34594</v>
      </c>
      <c r="AO22" s="276" t="s">
        <v>34738</v>
      </c>
      <c r="AP22" s="277" t="s">
        <v>34596</v>
      </c>
      <c r="AQ22" s="276" t="s">
        <v>34639</v>
      </c>
      <c r="AR22" s="277" t="s">
        <v>34666</v>
      </c>
      <c r="AS22" s="276" t="s">
        <v>34703</v>
      </c>
      <c r="AT22" s="277" t="s">
        <v>31876</v>
      </c>
      <c r="AU22" s="276" t="s">
        <v>34642</v>
      </c>
      <c r="AV22" s="277" t="s">
        <v>34602</v>
      </c>
      <c r="AW22" s="276" t="s">
        <v>34688</v>
      </c>
      <c r="AX22" s="277"/>
      <c r="AY22" s="276"/>
      <c r="AZ22" s="277"/>
      <c r="BA22" s="276"/>
      <c r="BB22" s="48"/>
      <c r="BC22" s="48"/>
      <c r="BD22" s="48"/>
      <c r="BE22" s="48"/>
      <c r="BF22" s="48"/>
      <c r="BG22" s="48"/>
      <c r="BH22" s="48"/>
      <c r="BI22" s="48"/>
      <c r="BJ22" s="48"/>
      <c r="BK22" s="48"/>
      <c r="BL22" s="48"/>
      <c r="BM22" s="48"/>
      <c r="BN22" s="48"/>
      <c r="BO22" s="48"/>
      <c r="BP22" s="48"/>
      <c r="BQ22" s="48"/>
      <c r="BR22" s="48"/>
      <c r="BS22" s="48"/>
      <c r="BT22" s="48"/>
      <c r="BU22" s="48"/>
    </row>
    <row r="23" ht="15.75" customHeight="1">
      <c r="A23" s="275" t="s">
        <v>34834</v>
      </c>
      <c r="B23" s="275" t="s">
        <v>3632</v>
      </c>
      <c r="C23" s="275">
        <v>2020.0</v>
      </c>
      <c r="D23" s="275" t="s">
        <v>34835</v>
      </c>
      <c r="E23" s="276" t="s">
        <v>34836</v>
      </c>
      <c r="F23" s="275" t="s">
        <v>34708</v>
      </c>
      <c r="G23" s="275" t="s">
        <v>34837</v>
      </c>
      <c r="H23" s="277" t="s">
        <v>34568</v>
      </c>
      <c r="I23" s="277" t="s">
        <v>34568</v>
      </c>
      <c r="J23" s="277" t="s">
        <v>34568</v>
      </c>
      <c r="K23" s="277" t="s">
        <v>34569</v>
      </c>
      <c r="L23" s="277" t="s">
        <v>34654</v>
      </c>
      <c r="M23" s="279" t="s">
        <v>34811</v>
      </c>
      <c r="N23" s="277" t="s">
        <v>34572</v>
      </c>
      <c r="O23" s="276" t="s">
        <v>34765</v>
      </c>
      <c r="P23" s="277" t="s">
        <v>34573</v>
      </c>
      <c r="Q23" s="276" t="s">
        <v>34574</v>
      </c>
      <c r="R23" s="277" t="s">
        <v>34755</v>
      </c>
      <c r="S23" s="276" t="s">
        <v>34756</v>
      </c>
      <c r="T23" s="277" t="s">
        <v>34695</v>
      </c>
      <c r="U23" s="276" t="s">
        <v>34696</v>
      </c>
      <c r="V23" s="277" t="s">
        <v>34578</v>
      </c>
      <c r="W23" s="276" t="s">
        <v>34776</v>
      </c>
      <c r="X23" s="277" t="s">
        <v>34656</v>
      </c>
      <c r="Y23" s="276" t="s">
        <v>34657</v>
      </c>
      <c r="Z23" s="277" t="s">
        <v>34679</v>
      </c>
      <c r="AA23" s="276" t="s">
        <v>34680</v>
      </c>
      <c r="AB23" s="278" t="s">
        <v>34627</v>
      </c>
      <c r="AC23" s="279" t="s">
        <v>34658</v>
      </c>
      <c r="AD23" s="277" t="s">
        <v>34629</v>
      </c>
      <c r="AE23" s="276" t="s">
        <v>34769</v>
      </c>
      <c r="AF23" s="277" t="s">
        <v>34631</v>
      </c>
      <c r="AG23" s="276" t="s">
        <v>34632</v>
      </c>
      <c r="AH23" s="277" t="s">
        <v>34714</v>
      </c>
      <c r="AI23" s="276" t="s">
        <v>34715</v>
      </c>
      <c r="AJ23" s="277"/>
      <c r="AK23" s="276"/>
      <c r="AL23" s="277"/>
      <c r="AM23" s="276"/>
      <c r="AN23" s="277" t="s">
        <v>34838</v>
      </c>
      <c r="AO23" s="276" t="s">
        <v>34839</v>
      </c>
      <c r="AP23" s="277" t="s">
        <v>34596</v>
      </c>
      <c r="AQ23" s="276" t="s">
        <v>34639</v>
      </c>
      <c r="AR23" s="277" t="s">
        <v>34666</v>
      </c>
      <c r="AS23" s="276" t="s">
        <v>34703</v>
      </c>
      <c r="AT23" s="277" t="s">
        <v>31876</v>
      </c>
      <c r="AU23" s="276" t="s">
        <v>34642</v>
      </c>
      <c r="AV23" s="277" t="s">
        <v>34643</v>
      </c>
      <c r="AW23" s="276" t="s">
        <v>34644</v>
      </c>
      <c r="AX23" s="277" t="s">
        <v>34645</v>
      </c>
      <c r="AY23" s="276" t="s">
        <v>34646</v>
      </c>
      <c r="AZ23" s="277" t="s">
        <v>34740</v>
      </c>
      <c r="BA23" s="276" t="s">
        <v>34792</v>
      </c>
      <c r="BB23" s="48"/>
      <c r="BC23" s="48"/>
      <c r="BD23" s="48"/>
      <c r="BE23" s="48"/>
      <c r="BF23" s="48"/>
      <c r="BG23" s="48"/>
      <c r="BH23" s="48"/>
      <c r="BI23" s="48"/>
      <c r="BJ23" s="48"/>
      <c r="BK23" s="48"/>
      <c r="BL23" s="48"/>
      <c r="BM23" s="48"/>
      <c r="BN23" s="48"/>
      <c r="BO23" s="48"/>
      <c r="BP23" s="48"/>
      <c r="BQ23" s="48"/>
      <c r="BR23" s="48"/>
      <c r="BS23" s="48"/>
      <c r="BT23" s="48"/>
      <c r="BU23" s="48"/>
    </row>
    <row r="24" ht="15.75" customHeight="1">
      <c r="A24" s="275" t="s">
        <v>34840</v>
      </c>
      <c r="B24" s="275" t="s">
        <v>3632</v>
      </c>
      <c r="C24" s="275">
        <v>2022.0</v>
      </c>
      <c r="D24" s="275" t="s">
        <v>34841</v>
      </c>
      <c r="E24" s="276" t="s">
        <v>34842</v>
      </c>
      <c r="F24" s="275" t="s">
        <v>34843</v>
      </c>
      <c r="G24" s="275" t="s">
        <v>34844</v>
      </c>
      <c r="H24" s="277" t="s">
        <v>34568</v>
      </c>
      <c r="I24" s="277" t="s">
        <v>34568</v>
      </c>
      <c r="J24" s="277" t="s">
        <v>34568</v>
      </c>
      <c r="K24" s="277" t="s">
        <v>34569</v>
      </c>
      <c r="L24" s="277" t="s">
        <v>34613</v>
      </c>
      <c r="M24" s="279" t="s">
        <v>34614</v>
      </c>
      <c r="N24" s="277" t="s">
        <v>34675</v>
      </c>
      <c r="O24" s="276" t="s">
        <v>34676</v>
      </c>
      <c r="P24" s="277" t="s">
        <v>34573</v>
      </c>
      <c r="Q24" s="276" t="s">
        <v>34574</v>
      </c>
      <c r="R24" s="277" t="s">
        <v>34575</v>
      </c>
      <c r="S24" s="276" t="s">
        <v>34563</v>
      </c>
      <c r="T24" s="277" t="s">
        <v>34576</v>
      </c>
      <c r="U24" s="276" t="s">
        <v>34577</v>
      </c>
      <c r="V24" s="277" t="s">
        <v>34578</v>
      </c>
      <c r="W24" s="276" t="s">
        <v>34776</v>
      </c>
      <c r="X24" s="277" t="s">
        <v>34656</v>
      </c>
      <c r="Y24" s="276" t="s">
        <v>34657</v>
      </c>
      <c r="Z24" s="277" t="s">
        <v>34711</v>
      </c>
      <c r="AA24" s="276" t="s">
        <v>34712</v>
      </c>
      <c r="AB24" s="277"/>
      <c r="AC24" s="276"/>
      <c r="AD24" s="277" t="s">
        <v>34584</v>
      </c>
      <c r="AE24" s="276" t="s">
        <v>34681</v>
      </c>
      <c r="AF24" s="277" t="s">
        <v>34586</v>
      </c>
      <c r="AG24" s="276" t="s">
        <v>34682</v>
      </c>
      <c r="AH24" s="277" t="s">
        <v>34699</v>
      </c>
      <c r="AI24" s="276" t="s">
        <v>34700</v>
      </c>
      <c r="AJ24" s="277"/>
      <c r="AK24" s="276"/>
      <c r="AL24" s="277"/>
      <c r="AM24" s="276"/>
      <c r="AN24" s="277" t="s">
        <v>34685</v>
      </c>
      <c r="AO24" s="276" t="s">
        <v>34686</v>
      </c>
      <c r="AP24" s="277" t="s">
        <v>34719</v>
      </c>
      <c r="AQ24" s="276" t="s">
        <v>34720</v>
      </c>
      <c r="AR24" s="277" t="s">
        <v>34666</v>
      </c>
      <c r="AS24" s="276" t="s">
        <v>34703</v>
      </c>
      <c r="AT24" s="277" t="s">
        <v>34600</v>
      </c>
      <c r="AU24" s="276" t="s">
        <v>34687</v>
      </c>
      <c r="AV24" s="277" t="s">
        <v>34602</v>
      </c>
      <c r="AW24" s="276" t="s">
        <v>34688</v>
      </c>
      <c r="AX24" s="277"/>
      <c r="AY24" s="276"/>
      <c r="AZ24" s="277" t="s">
        <v>34606</v>
      </c>
      <c r="BA24" s="276" t="s">
        <v>34845</v>
      </c>
      <c r="BB24" s="48"/>
      <c r="BC24" s="48"/>
      <c r="BD24" s="48"/>
      <c r="BE24" s="48"/>
      <c r="BF24" s="48"/>
      <c r="BG24" s="48"/>
      <c r="BH24" s="48"/>
      <c r="BI24" s="48"/>
      <c r="BJ24" s="48"/>
      <c r="BK24" s="48"/>
      <c r="BL24" s="48"/>
      <c r="BM24" s="48"/>
      <c r="BN24" s="48"/>
      <c r="BO24" s="48"/>
      <c r="BP24" s="48"/>
      <c r="BQ24" s="48"/>
      <c r="BR24" s="48"/>
      <c r="BS24" s="48"/>
      <c r="BT24" s="48"/>
      <c r="BU24" s="48"/>
    </row>
    <row r="25" ht="15.75" customHeight="1">
      <c r="A25" s="275" t="s">
        <v>34846</v>
      </c>
      <c r="B25" s="275" t="s">
        <v>3632</v>
      </c>
      <c r="C25" s="275">
        <v>2017.0</v>
      </c>
      <c r="D25" s="275" t="s">
        <v>34847</v>
      </c>
      <c r="E25" s="276" t="s">
        <v>34848</v>
      </c>
      <c r="F25" s="275" t="s">
        <v>34849</v>
      </c>
      <c r="G25" s="275" t="s">
        <v>34850</v>
      </c>
      <c r="H25" s="277" t="s">
        <v>34804</v>
      </c>
      <c r="I25" s="277" t="s">
        <v>34804</v>
      </c>
      <c r="J25" s="277" t="s">
        <v>34804</v>
      </c>
      <c r="K25" s="277" t="s">
        <v>34815</v>
      </c>
      <c r="L25" s="277"/>
      <c r="M25" s="276"/>
      <c r="N25" s="277"/>
      <c r="O25" s="276"/>
      <c r="P25" s="277"/>
      <c r="Q25" s="276"/>
      <c r="R25" s="277"/>
      <c r="S25" s="276"/>
      <c r="T25" s="277"/>
      <c r="U25" s="276"/>
      <c r="V25" s="277"/>
      <c r="W25" s="276"/>
      <c r="X25" s="277"/>
      <c r="Y25" s="276"/>
      <c r="Z25" s="277"/>
      <c r="AA25" s="276"/>
      <c r="AB25" s="277"/>
      <c r="AC25" s="276"/>
      <c r="AD25" s="277"/>
      <c r="AE25" s="276"/>
      <c r="AF25" s="277"/>
      <c r="AG25" s="276"/>
      <c r="AH25" s="277"/>
      <c r="AI25" s="276"/>
      <c r="AJ25" s="277"/>
      <c r="AK25" s="276"/>
      <c r="AL25" s="277"/>
      <c r="AM25" s="276"/>
      <c r="AN25" s="277"/>
      <c r="AO25" s="276"/>
      <c r="AP25" s="277"/>
      <c r="AQ25" s="276"/>
      <c r="AR25" s="277"/>
      <c r="AS25" s="276"/>
      <c r="AT25" s="277"/>
      <c r="AU25" s="276"/>
      <c r="AV25" s="277"/>
      <c r="AW25" s="276"/>
      <c r="AX25" s="277"/>
      <c r="AY25" s="276"/>
      <c r="AZ25" s="277"/>
      <c r="BA25" s="276"/>
      <c r="BB25" s="48"/>
      <c r="BC25" s="48"/>
      <c r="BD25" s="48"/>
      <c r="BE25" s="48"/>
      <c r="BF25" s="48"/>
      <c r="BG25" s="48"/>
      <c r="BH25" s="48"/>
      <c r="BI25" s="48"/>
      <c r="BJ25" s="48"/>
      <c r="BK25" s="48"/>
      <c r="BL25" s="48"/>
      <c r="BM25" s="48"/>
      <c r="BN25" s="48"/>
      <c r="BO25" s="48"/>
      <c r="BP25" s="48"/>
      <c r="BQ25" s="48"/>
      <c r="BR25" s="48"/>
      <c r="BS25" s="48"/>
      <c r="BT25" s="48"/>
      <c r="BU25" s="48"/>
    </row>
    <row r="26" ht="15.75" customHeight="1">
      <c r="A26" s="275" t="s">
        <v>34851</v>
      </c>
      <c r="B26" s="275" t="s">
        <v>3632</v>
      </c>
      <c r="C26" s="275">
        <v>2017.0</v>
      </c>
      <c r="D26" s="275" t="s">
        <v>34852</v>
      </c>
      <c r="E26" s="276" t="s">
        <v>34853</v>
      </c>
      <c r="F26" s="275" t="s">
        <v>34708</v>
      </c>
      <c r="G26" s="275" t="s">
        <v>34854</v>
      </c>
      <c r="H26" s="277" t="s">
        <v>34568</v>
      </c>
      <c r="I26" s="277" t="s">
        <v>34568</v>
      </c>
      <c r="J26" s="277" t="s">
        <v>34568</v>
      </c>
      <c r="K26" s="277" t="s">
        <v>34569</v>
      </c>
      <c r="L26" s="277" t="s">
        <v>34613</v>
      </c>
      <c r="M26" s="276" t="s">
        <v>34614</v>
      </c>
      <c r="N26" s="277" t="s">
        <v>34572</v>
      </c>
      <c r="O26" s="276" t="s">
        <v>34765</v>
      </c>
      <c r="P26" s="277" t="s">
        <v>34855</v>
      </c>
      <c r="Q26" s="276" t="s">
        <v>34617</v>
      </c>
      <c r="R26" s="277" t="s">
        <v>34755</v>
      </c>
      <c r="S26" s="276" t="s">
        <v>34756</v>
      </c>
      <c r="T26" s="277" t="s">
        <v>34695</v>
      </c>
      <c r="U26" s="276" t="s">
        <v>34696</v>
      </c>
      <c r="V26" s="277" t="s">
        <v>34578</v>
      </c>
      <c r="W26" s="276" t="s">
        <v>34776</v>
      </c>
      <c r="X26" s="277" t="s">
        <v>34656</v>
      </c>
      <c r="Y26" s="276" t="s">
        <v>34657</v>
      </c>
      <c r="Z26" s="277" t="s">
        <v>34679</v>
      </c>
      <c r="AA26" s="276" t="s">
        <v>34680</v>
      </c>
      <c r="AB26" s="278" t="s">
        <v>34627</v>
      </c>
      <c r="AC26" s="279" t="s">
        <v>34658</v>
      </c>
      <c r="AD26" s="277" t="s">
        <v>34629</v>
      </c>
      <c r="AE26" s="276" t="s">
        <v>34769</v>
      </c>
      <c r="AF26" s="277" t="s">
        <v>34661</v>
      </c>
      <c r="AG26" s="276" t="s">
        <v>34662</v>
      </c>
      <c r="AH26" s="277" t="s">
        <v>34714</v>
      </c>
      <c r="AI26" s="276" t="s">
        <v>34715</v>
      </c>
      <c r="AJ26" s="277"/>
      <c r="AK26" s="276"/>
      <c r="AL26" s="278" t="s">
        <v>34634</v>
      </c>
      <c r="AM26" s="279" t="s">
        <v>34856</v>
      </c>
      <c r="AN26" s="277" t="s">
        <v>34857</v>
      </c>
      <c r="AO26" s="276" t="s">
        <v>34701</v>
      </c>
      <c r="AP26" s="277" t="s">
        <v>34596</v>
      </c>
      <c r="AQ26" s="276" t="s">
        <v>34639</v>
      </c>
      <c r="AR26" s="277" t="s">
        <v>34666</v>
      </c>
      <c r="AS26" s="276" t="s">
        <v>34703</v>
      </c>
      <c r="AT26" s="277" t="s">
        <v>31876</v>
      </c>
      <c r="AU26" s="276" t="s">
        <v>34642</v>
      </c>
      <c r="AV26" s="277" t="s">
        <v>34643</v>
      </c>
      <c r="AW26" s="276" t="s">
        <v>34644</v>
      </c>
      <c r="AX26" s="277" t="s">
        <v>34645</v>
      </c>
      <c r="AY26" s="276" t="s">
        <v>34646</v>
      </c>
      <c r="AZ26" s="277"/>
      <c r="BA26" s="276"/>
      <c r="BB26" s="48"/>
      <c r="BC26" s="48"/>
      <c r="BD26" s="48"/>
      <c r="BE26" s="48"/>
      <c r="BF26" s="48"/>
      <c r="BG26" s="48"/>
      <c r="BH26" s="48"/>
      <c r="BI26" s="48"/>
      <c r="BJ26" s="48"/>
      <c r="BK26" s="48"/>
      <c r="BL26" s="48"/>
      <c r="BM26" s="48"/>
      <c r="BN26" s="48"/>
      <c r="BO26" s="48"/>
      <c r="BP26" s="48"/>
      <c r="BQ26" s="48"/>
      <c r="BR26" s="48"/>
      <c r="BS26" s="48"/>
      <c r="BT26" s="48"/>
      <c r="BU26" s="48"/>
    </row>
    <row r="27" ht="15.75" customHeight="1">
      <c r="A27" s="275" t="s">
        <v>34858</v>
      </c>
      <c r="B27" s="275" t="s">
        <v>3632</v>
      </c>
      <c r="C27" s="275">
        <v>2019.0</v>
      </c>
      <c r="D27" s="275" t="s">
        <v>34859</v>
      </c>
      <c r="E27" s="276" t="s">
        <v>34860</v>
      </c>
      <c r="F27" s="275" t="s">
        <v>34708</v>
      </c>
      <c r="G27" s="275" t="s">
        <v>34861</v>
      </c>
      <c r="H27" s="277" t="s">
        <v>34804</v>
      </c>
      <c r="I27" s="277" t="s">
        <v>34804</v>
      </c>
      <c r="J27" s="277" t="s">
        <v>34804</v>
      </c>
      <c r="K27" s="277" t="s">
        <v>34815</v>
      </c>
      <c r="L27" s="277"/>
      <c r="M27" s="276"/>
      <c r="N27" s="277"/>
      <c r="O27" s="276"/>
      <c r="P27" s="277"/>
      <c r="Q27" s="276"/>
      <c r="R27" s="277"/>
      <c r="S27" s="276"/>
      <c r="T27" s="277"/>
      <c r="U27" s="276"/>
      <c r="V27" s="277"/>
      <c r="W27" s="276"/>
      <c r="X27" s="277"/>
      <c r="Y27" s="276"/>
      <c r="Z27" s="277"/>
      <c r="AA27" s="276"/>
      <c r="AB27" s="277"/>
      <c r="AC27" s="276"/>
      <c r="AD27" s="277"/>
      <c r="AE27" s="276"/>
      <c r="AF27" s="277"/>
      <c r="AG27" s="276"/>
      <c r="AH27" s="277"/>
      <c r="AI27" s="276"/>
      <c r="AJ27" s="277"/>
      <c r="AK27" s="276"/>
      <c r="AL27" s="277"/>
      <c r="AM27" s="276"/>
      <c r="AN27" s="277"/>
      <c r="AO27" s="276"/>
      <c r="AP27" s="277"/>
      <c r="AQ27" s="276"/>
      <c r="AR27" s="277"/>
      <c r="AS27" s="276"/>
      <c r="AT27" s="277"/>
      <c r="AU27" s="276"/>
      <c r="AV27" s="277"/>
      <c r="AW27" s="276"/>
      <c r="AX27" s="277"/>
      <c r="AY27" s="276"/>
      <c r="AZ27" s="277"/>
      <c r="BA27" s="276"/>
      <c r="BB27" s="48"/>
      <c r="BC27" s="48"/>
      <c r="BD27" s="48"/>
      <c r="BE27" s="48"/>
      <c r="BF27" s="48"/>
      <c r="BG27" s="48"/>
      <c r="BH27" s="48"/>
      <c r="BI27" s="48"/>
      <c r="BJ27" s="48"/>
      <c r="BK27" s="48"/>
      <c r="BL27" s="48"/>
      <c r="BM27" s="48"/>
      <c r="BN27" s="48"/>
      <c r="BO27" s="48"/>
      <c r="BP27" s="48"/>
      <c r="BQ27" s="48"/>
      <c r="BR27" s="48"/>
      <c r="BS27" s="48"/>
      <c r="BT27" s="48"/>
      <c r="BU27" s="48"/>
    </row>
    <row r="28" ht="15.75" customHeight="1">
      <c r="A28" s="275" t="s">
        <v>34862</v>
      </c>
      <c r="B28" s="275" t="s">
        <v>3632</v>
      </c>
      <c r="C28" s="275">
        <v>2020.0</v>
      </c>
      <c r="D28" s="275" t="s">
        <v>34863</v>
      </c>
      <c r="E28" s="276" t="s">
        <v>34864</v>
      </c>
      <c r="F28" s="275" t="s">
        <v>34708</v>
      </c>
      <c r="G28" s="275" t="s">
        <v>34865</v>
      </c>
      <c r="H28" s="277" t="s">
        <v>34568</v>
      </c>
      <c r="I28" s="277" t="s">
        <v>34804</v>
      </c>
      <c r="J28" s="277" t="s">
        <v>34568</v>
      </c>
      <c r="K28" s="277" t="s">
        <v>34569</v>
      </c>
      <c r="L28" s="277" t="s">
        <v>34654</v>
      </c>
      <c r="M28" s="276" t="s">
        <v>34811</v>
      </c>
      <c r="N28" s="277" t="s">
        <v>34675</v>
      </c>
      <c r="O28" s="276" t="s">
        <v>34866</v>
      </c>
      <c r="P28" s="277" t="s">
        <v>34573</v>
      </c>
      <c r="Q28" s="276" t="s">
        <v>34574</v>
      </c>
      <c r="R28" s="277" t="s">
        <v>34575</v>
      </c>
      <c r="S28" s="276" t="s">
        <v>34563</v>
      </c>
      <c r="T28" s="277" t="s">
        <v>34576</v>
      </c>
      <c r="U28" s="276" t="s">
        <v>34867</v>
      </c>
      <c r="V28" s="277" t="s">
        <v>34578</v>
      </c>
      <c r="W28" s="276" t="s">
        <v>34776</v>
      </c>
      <c r="X28" s="277" t="s">
        <v>34580</v>
      </c>
      <c r="Y28" s="276" t="s">
        <v>34766</v>
      </c>
      <c r="Z28" s="277" t="s">
        <v>34679</v>
      </c>
      <c r="AA28" s="276" t="s">
        <v>34680</v>
      </c>
      <c r="AB28" s="277"/>
      <c r="AC28" s="276"/>
      <c r="AD28" s="277" t="s">
        <v>34584</v>
      </c>
      <c r="AE28" s="276" t="s">
        <v>34681</v>
      </c>
      <c r="AF28" s="277" t="s">
        <v>34586</v>
      </c>
      <c r="AG28" s="276" t="s">
        <v>34682</v>
      </c>
      <c r="AH28" s="277"/>
      <c r="AI28" s="276"/>
      <c r="AJ28" s="277" t="s">
        <v>34683</v>
      </c>
      <c r="AK28" s="276" t="s">
        <v>34684</v>
      </c>
      <c r="AL28" s="277"/>
      <c r="AM28" s="276"/>
      <c r="AN28" s="277" t="s">
        <v>34685</v>
      </c>
      <c r="AO28" s="276" t="s">
        <v>34686</v>
      </c>
      <c r="AP28" s="277" t="s">
        <v>34719</v>
      </c>
      <c r="AQ28" s="276" t="s">
        <v>34720</v>
      </c>
      <c r="AR28" s="277"/>
      <c r="AS28" s="276"/>
      <c r="AT28" s="277" t="s">
        <v>34600</v>
      </c>
      <c r="AU28" s="276" t="s">
        <v>34687</v>
      </c>
      <c r="AV28" s="277" t="s">
        <v>34602</v>
      </c>
      <c r="AW28" s="276" t="s">
        <v>34688</v>
      </c>
      <c r="AX28" s="277"/>
      <c r="AY28" s="276"/>
      <c r="AZ28" s="277"/>
      <c r="BA28" s="276"/>
      <c r="BB28" s="48"/>
      <c r="BC28" s="48"/>
      <c r="BD28" s="48"/>
      <c r="BE28" s="48"/>
      <c r="BF28" s="48"/>
      <c r="BG28" s="48"/>
      <c r="BH28" s="48"/>
      <c r="BI28" s="48"/>
      <c r="BJ28" s="48"/>
      <c r="BK28" s="48"/>
      <c r="BL28" s="48"/>
      <c r="BM28" s="48"/>
      <c r="BN28" s="48"/>
      <c r="BO28" s="48"/>
      <c r="BP28" s="48"/>
      <c r="BQ28" s="48"/>
      <c r="BR28" s="48"/>
      <c r="BS28" s="48"/>
      <c r="BT28" s="48"/>
      <c r="BU28" s="48"/>
    </row>
    <row r="29" ht="15.75" customHeight="1">
      <c r="A29" s="275" t="s">
        <v>34868</v>
      </c>
      <c r="B29" s="275" t="s">
        <v>3632</v>
      </c>
      <c r="C29" s="275">
        <v>2019.0</v>
      </c>
      <c r="D29" s="275" t="s">
        <v>34869</v>
      </c>
      <c r="E29" s="276" t="s">
        <v>34870</v>
      </c>
      <c r="F29" s="275" t="s">
        <v>34708</v>
      </c>
      <c r="G29" s="275" t="s">
        <v>34871</v>
      </c>
      <c r="H29" s="277" t="s">
        <v>34568</v>
      </c>
      <c r="I29" s="277" t="s">
        <v>34804</v>
      </c>
      <c r="J29" s="277" t="s">
        <v>34568</v>
      </c>
      <c r="K29" s="277" t="s">
        <v>34569</v>
      </c>
      <c r="L29" s="277" t="s">
        <v>34613</v>
      </c>
      <c r="M29" s="276" t="s">
        <v>34614</v>
      </c>
      <c r="N29" s="277" t="s">
        <v>34872</v>
      </c>
      <c r="O29" s="276" t="s">
        <v>34873</v>
      </c>
      <c r="P29" s="277" t="s">
        <v>34616</v>
      </c>
      <c r="Q29" s="276" t="s">
        <v>34617</v>
      </c>
      <c r="R29" s="277" t="s">
        <v>34618</v>
      </c>
      <c r="S29" s="276" t="s">
        <v>34619</v>
      </c>
      <c r="T29" s="277" t="s">
        <v>34576</v>
      </c>
      <c r="U29" s="276" t="s">
        <v>34577</v>
      </c>
      <c r="V29" s="277" t="s">
        <v>34578</v>
      </c>
      <c r="W29" s="276" t="s">
        <v>34776</v>
      </c>
      <c r="X29" s="277" t="s">
        <v>34783</v>
      </c>
      <c r="Y29" s="276" t="s">
        <v>34784</v>
      </c>
      <c r="Z29" s="277" t="s">
        <v>34711</v>
      </c>
      <c r="AA29" s="276" t="s">
        <v>34712</v>
      </c>
      <c r="AB29" s="277"/>
      <c r="AC29" s="276"/>
      <c r="AD29" s="277" t="s">
        <v>34584</v>
      </c>
      <c r="AE29" s="276" t="s">
        <v>34681</v>
      </c>
      <c r="AF29" s="277" t="s">
        <v>34586</v>
      </c>
      <c r="AG29" s="276" t="s">
        <v>34682</v>
      </c>
      <c r="AH29" s="277"/>
      <c r="AI29" s="276"/>
      <c r="AJ29" s="277"/>
      <c r="AK29" s="276"/>
      <c r="AL29" s="277"/>
      <c r="AM29" s="276"/>
      <c r="AN29" s="277" t="s">
        <v>34685</v>
      </c>
      <c r="AO29" s="276" t="s">
        <v>34686</v>
      </c>
      <c r="AP29" s="277" t="s">
        <v>34719</v>
      </c>
      <c r="AQ29" s="276" t="s">
        <v>34720</v>
      </c>
      <c r="AR29" s="277"/>
      <c r="AS29" s="276"/>
      <c r="AT29" s="277" t="s">
        <v>34600</v>
      </c>
      <c r="AU29" s="276" t="s">
        <v>34687</v>
      </c>
      <c r="AV29" s="277" t="s">
        <v>34602</v>
      </c>
      <c r="AW29" s="276" t="s">
        <v>34688</v>
      </c>
      <c r="AX29" s="277"/>
      <c r="AY29" s="276"/>
      <c r="AZ29" s="277"/>
      <c r="BA29" s="276"/>
      <c r="BB29" s="48"/>
      <c r="BC29" s="48"/>
      <c r="BD29" s="48"/>
      <c r="BE29" s="48"/>
      <c r="BF29" s="48"/>
      <c r="BG29" s="48"/>
      <c r="BH29" s="48"/>
      <c r="BI29" s="48"/>
      <c r="BJ29" s="48"/>
      <c r="BK29" s="48"/>
      <c r="BL29" s="48"/>
      <c r="BM29" s="48"/>
      <c r="BN29" s="48"/>
      <c r="BO29" s="48"/>
      <c r="BP29" s="48"/>
      <c r="BQ29" s="48"/>
      <c r="BR29" s="48"/>
      <c r="BS29" s="48"/>
      <c r="BT29" s="48"/>
      <c r="BU29" s="48"/>
    </row>
    <row r="30" ht="15.75" customHeight="1">
      <c r="A30" s="275" t="s">
        <v>34874</v>
      </c>
      <c r="B30" s="275" t="s">
        <v>3632</v>
      </c>
      <c r="C30" s="275">
        <v>2012.0</v>
      </c>
      <c r="D30" s="275" t="s">
        <v>34875</v>
      </c>
      <c r="E30" s="276" t="s">
        <v>34876</v>
      </c>
      <c r="F30" s="275" t="s">
        <v>34877</v>
      </c>
      <c r="G30" s="275" t="s">
        <v>34878</v>
      </c>
      <c r="H30" s="277" t="s">
        <v>34568</v>
      </c>
      <c r="I30" s="277" t="s">
        <v>34804</v>
      </c>
      <c r="J30" s="277" t="s">
        <v>34568</v>
      </c>
      <c r="K30" s="277" t="s">
        <v>34569</v>
      </c>
      <c r="L30" s="277" t="s">
        <v>34613</v>
      </c>
      <c r="M30" s="276" t="s">
        <v>34614</v>
      </c>
      <c r="N30" s="277" t="s">
        <v>34675</v>
      </c>
      <c r="O30" s="276" t="s">
        <v>34676</v>
      </c>
      <c r="P30" s="277" t="s">
        <v>34573</v>
      </c>
      <c r="Q30" s="276" t="s">
        <v>34574</v>
      </c>
      <c r="R30" s="277" t="s">
        <v>34575</v>
      </c>
      <c r="S30" s="276" t="s">
        <v>34563</v>
      </c>
      <c r="T30" s="277" t="s">
        <v>34576</v>
      </c>
      <c r="U30" s="276" t="s">
        <v>34577</v>
      </c>
      <c r="V30" s="277" t="s">
        <v>34578</v>
      </c>
      <c r="W30" s="276" t="s">
        <v>34776</v>
      </c>
      <c r="X30" s="277" t="s">
        <v>34656</v>
      </c>
      <c r="Y30" s="276" t="s">
        <v>34657</v>
      </c>
      <c r="Z30" s="277" t="s">
        <v>34679</v>
      </c>
      <c r="AA30" s="276" t="s">
        <v>34680</v>
      </c>
      <c r="AB30" s="277"/>
      <c r="AC30" s="276"/>
      <c r="AD30" s="277" t="s">
        <v>34584</v>
      </c>
      <c r="AE30" s="276" t="s">
        <v>34681</v>
      </c>
      <c r="AF30" s="277" t="s">
        <v>34586</v>
      </c>
      <c r="AG30" s="276" t="s">
        <v>34682</v>
      </c>
      <c r="AH30" s="277" t="s">
        <v>34699</v>
      </c>
      <c r="AI30" s="276" t="s">
        <v>34700</v>
      </c>
      <c r="AJ30" s="277" t="s">
        <v>34716</v>
      </c>
      <c r="AK30" s="276" t="s">
        <v>34717</v>
      </c>
      <c r="AL30" s="277"/>
      <c r="AM30" s="276"/>
      <c r="AN30" s="277" t="s">
        <v>34685</v>
      </c>
      <c r="AO30" s="276" t="s">
        <v>34686</v>
      </c>
      <c r="AP30" s="277" t="s">
        <v>34719</v>
      </c>
      <c r="AQ30" s="276" t="s">
        <v>34720</v>
      </c>
      <c r="AR30" s="277"/>
      <c r="AS30" s="276"/>
      <c r="AT30" s="277" t="s">
        <v>34600</v>
      </c>
      <c r="AU30" s="276" t="s">
        <v>34687</v>
      </c>
      <c r="AV30" s="277" t="s">
        <v>34602</v>
      </c>
      <c r="AW30" s="276" t="s">
        <v>34688</v>
      </c>
      <c r="AX30" s="277"/>
      <c r="AY30" s="276"/>
      <c r="AZ30" s="277" t="s">
        <v>34606</v>
      </c>
      <c r="BA30" s="276" t="s">
        <v>34845</v>
      </c>
      <c r="BB30" s="48"/>
      <c r="BC30" s="48"/>
      <c r="BD30" s="48"/>
      <c r="BE30" s="48"/>
      <c r="BF30" s="48"/>
      <c r="BG30" s="48"/>
      <c r="BH30" s="48"/>
      <c r="BI30" s="48"/>
      <c r="BJ30" s="48"/>
      <c r="BK30" s="48"/>
      <c r="BL30" s="48"/>
      <c r="BM30" s="48"/>
      <c r="BN30" s="48"/>
      <c r="BO30" s="48"/>
      <c r="BP30" s="48"/>
      <c r="BQ30" s="48"/>
      <c r="BR30" s="48"/>
      <c r="BS30" s="48"/>
      <c r="BT30" s="48"/>
      <c r="BU30" s="48"/>
    </row>
    <row r="31" ht="15.75" customHeight="1">
      <c r="A31" s="275" t="s">
        <v>34879</v>
      </c>
      <c r="B31" s="275" t="s">
        <v>3632</v>
      </c>
      <c r="C31" s="275">
        <v>2023.0</v>
      </c>
      <c r="D31" s="275" t="s">
        <v>34880</v>
      </c>
      <c r="E31" s="276" t="s">
        <v>34881</v>
      </c>
      <c r="F31" s="275" t="s">
        <v>34882</v>
      </c>
      <c r="G31" s="275" t="s">
        <v>34883</v>
      </c>
      <c r="H31" s="277" t="s">
        <v>34568</v>
      </c>
      <c r="I31" s="277" t="s">
        <v>34804</v>
      </c>
      <c r="J31" s="277" t="s">
        <v>34568</v>
      </c>
      <c r="K31" s="277" t="s">
        <v>34569</v>
      </c>
      <c r="L31" s="277" t="s">
        <v>34613</v>
      </c>
      <c r="M31" s="276" t="s">
        <v>34614</v>
      </c>
      <c r="N31" s="277" t="s">
        <v>34572</v>
      </c>
      <c r="O31" s="276" t="s">
        <v>34765</v>
      </c>
      <c r="P31" s="277" t="s">
        <v>34573</v>
      </c>
      <c r="Q31" s="276" t="s">
        <v>34574</v>
      </c>
      <c r="R31" s="277" t="s">
        <v>34618</v>
      </c>
      <c r="S31" s="276" t="s">
        <v>34619</v>
      </c>
      <c r="T31" s="277" t="s">
        <v>34576</v>
      </c>
      <c r="U31" s="276" t="s">
        <v>34577</v>
      </c>
      <c r="V31" s="277" t="s">
        <v>34578</v>
      </c>
      <c r="W31" s="276" t="s">
        <v>34776</v>
      </c>
      <c r="X31" s="277"/>
      <c r="Y31" s="276"/>
      <c r="Z31" s="277" t="s">
        <v>34711</v>
      </c>
      <c r="AA31" s="276" t="s">
        <v>34712</v>
      </c>
      <c r="AB31" s="277"/>
      <c r="AC31" s="276"/>
      <c r="AD31" s="277" t="s">
        <v>34584</v>
      </c>
      <c r="AE31" s="276" t="s">
        <v>34681</v>
      </c>
      <c r="AF31" s="277" t="s">
        <v>34586</v>
      </c>
      <c r="AG31" s="276" t="s">
        <v>34682</v>
      </c>
      <c r="AH31" s="277"/>
      <c r="AI31" s="276"/>
      <c r="AJ31" s="277"/>
      <c r="AK31" s="276"/>
      <c r="AL31" s="277"/>
      <c r="AM31" s="276"/>
      <c r="AN31" s="277" t="s">
        <v>34685</v>
      </c>
      <c r="AO31" s="276" t="s">
        <v>34686</v>
      </c>
      <c r="AP31" s="277"/>
      <c r="AQ31" s="276"/>
      <c r="AR31" s="277"/>
      <c r="AS31" s="276"/>
      <c r="AT31" s="277" t="s">
        <v>34600</v>
      </c>
      <c r="AU31" s="276" t="s">
        <v>34687</v>
      </c>
      <c r="AV31" s="277" t="s">
        <v>34602</v>
      </c>
      <c r="AW31" s="276" t="s">
        <v>34688</v>
      </c>
      <c r="AX31" s="277" t="s">
        <v>34645</v>
      </c>
      <c r="AY31" s="276" t="s">
        <v>34646</v>
      </c>
      <c r="AZ31" s="277"/>
      <c r="BA31" s="276"/>
      <c r="BB31" s="48"/>
      <c r="BC31" s="48"/>
      <c r="BD31" s="48"/>
      <c r="BE31" s="48"/>
      <c r="BF31" s="48"/>
      <c r="BG31" s="48"/>
      <c r="BH31" s="48"/>
      <c r="BI31" s="48"/>
      <c r="BJ31" s="48"/>
      <c r="BK31" s="48"/>
      <c r="BL31" s="48"/>
      <c r="BM31" s="48"/>
      <c r="BN31" s="48"/>
      <c r="BO31" s="48"/>
      <c r="BP31" s="48"/>
      <c r="BQ31" s="48"/>
      <c r="BR31" s="48"/>
      <c r="BS31" s="48"/>
      <c r="BT31" s="48"/>
      <c r="BU31" s="48"/>
    </row>
    <row r="32" ht="15.75" customHeight="1">
      <c r="A32" s="275" t="s">
        <v>34884</v>
      </c>
      <c r="B32" s="275" t="s">
        <v>3632</v>
      </c>
      <c r="C32" s="275">
        <v>2013.0</v>
      </c>
      <c r="D32" s="275" t="s">
        <v>34885</v>
      </c>
      <c r="E32" s="276" t="s">
        <v>34886</v>
      </c>
      <c r="F32" s="275" t="s">
        <v>34887</v>
      </c>
      <c r="G32" s="275" t="s">
        <v>34888</v>
      </c>
      <c r="H32" s="277" t="s">
        <v>34804</v>
      </c>
      <c r="I32" s="277" t="s">
        <v>34804</v>
      </c>
      <c r="J32" s="277" t="s">
        <v>34804</v>
      </c>
      <c r="K32" s="277" t="s">
        <v>34815</v>
      </c>
      <c r="L32" s="277"/>
      <c r="M32" s="276"/>
      <c r="N32" s="277"/>
      <c r="O32" s="276"/>
      <c r="P32" s="277"/>
      <c r="Q32" s="276"/>
      <c r="R32" s="277"/>
      <c r="S32" s="276"/>
      <c r="T32" s="277"/>
      <c r="U32" s="276"/>
      <c r="V32" s="277"/>
      <c r="W32" s="276"/>
      <c r="X32" s="277"/>
      <c r="Y32" s="276"/>
      <c r="Z32" s="277"/>
      <c r="AA32" s="276"/>
      <c r="AB32" s="277"/>
      <c r="AC32" s="276"/>
      <c r="AD32" s="277"/>
      <c r="AE32" s="276"/>
      <c r="AF32" s="277"/>
      <c r="AG32" s="276"/>
      <c r="AH32" s="277"/>
      <c r="AI32" s="276"/>
      <c r="AJ32" s="277"/>
      <c r="AK32" s="276"/>
      <c r="AL32" s="277"/>
      <c r="AM32" s="276"/>
      <c r="AN32" s="277"/>
      <c r="AO32" s="276"/>
      <c r="AP32" s="277"/>
      <c r="AQ32" s="276"/>
      <c r="AR32" s="277"/>
      <c r="AS32" s="276"/>
      <c r="AT32" s="277"/>
      <c r="AU32" s="276"/>
      <c r="AV32" s="277"/>
      <c r="AW32" s="276"/>
      <c r="AX32" s="277"/>
      <c r="AY32" s="276"/>
      <c r="AZ32" s="277"/>
      <c r="BA32" s="276"/>
      <c r="BB32" s="48"/>
      <c r="BC32" s="48"/>
      <c r="BD32" s="48"/>
      <c r="BE32" s="48"/>
      <c r="BF32" s="48"/>
      <c r="BG32" s="48"/>
      <c r="BH32" s="48"/>
      <c r="BI32" s="48"/>
      <c r="BJ32" s="48"/>
      <c r="BK32" s="48"/>
      <c r="BL32" s="48"/>
      <c r="BM32" s="48"/>
      <c r="BN32" s="48"/>
      <c r="BO32" s="48"/>
      <c r="BP32" s="48"/>
      <c r="BQ32" s="48"/>
      <c r="BR32" s="48"/>
      <c r="BS32" s="48"/>
      <c r="BT32" s="48"/>
      <c r="BU32" s="48"/>
    </row>
    <row r="33" ht="15.75" customHeight="1">
      <c r="A33" s="275" t="s">
        <v>34889</v>
      </c>
      <c r="B33" s="275" t="s">
        <v>379</v>
      </c>
      <c r="C33" s="275">
        <v>2023.0</v>
      </c>
      <c r="D33" s="275" t="s">
        <v>34890</v>
      </c>
      <c r="E33" s="276" t="s">
        <v>34891</v>
      </c>
      <c r="F33" s="275" t="s">
        <v>34892</v>
      </c>
      <c r="G33" s="275" t="s">
        <v>34893</v>
      </c>
      <c r="H33" s="277" t="s">
        <v>34804</v>
      </c>
      <c r="I33" s="277" t="s">
        <v>34804</v>
      </c>
      <c r="J33" s="277" t="s">
        <v>34804</v>
      </c>
      <c r="K33" s="277" t="s">
        <v>34815</v>
      </c>
      <c r="L33" s="277"/>
      <c r="M33" s="276"/>
      <c r="N33" s="277"/>
      <c r="O33" s="276"/>
      <c r="P33" s="277"/>
      <c r="Q33" s="276"/>
      <c r="R33" s="277"/>
      <c r="S33" s="276"/>
      <c r="T33" s="277"/>
      <c r="U33" s="276"/>
      <c r="V33" s="277"/>
      <c r="W33" s="276"/>
      <c r="X33" s="277"/>
      <c r="Y33" s="276"/>
      <c r="Z33" s="277"/>
      <c r="AA33" s="276"/>
      <c r="AB33" s="277"/>
      <c r="AC33" s="276"/>
      <c r="AD33" s="277"/>
      <c r="AE33" s="276"/>
      <c r="AF33" s="277"/>
      <c r="AG33" s="276"/>
      <c r="AH33" s="277"/>
      <c r="AI33" s="276"/>
      <c r="AJ33" s="277"/>
      <c r="AK33" s="276"/>
      <c r="AL33" s="277"/>
      <c r="AM33" s="276"/>
      <c r="AN33" s="277"/>
      <c r="AO33" s="276"/>
      <c r="AP33" s="277"/>
      <c r="AQ33" s="276"/>
      <c r="AR33" s="277"/>
      <c r="AS33" s="276"/>
      <c r="AT33" s="277"/>
      <c r="AU33" s="276"/>
      <c r="AV33" s="277"/>
      <c r="AW33" s="276"/>
      <c r="AX33" s="277"/>
      <c r="AY33" s="276"/>
      <c r="AZ33" s="277"/>
      <c r="BA33" s="276"/>
      <c r="BB33" s="48"/>
      <c r="BC33" s="48"/>
      <c r="BD33" s="48"/>
      <c r="BE33" s="48"/>
      <c r="BF33" s="48"/>
      <c r="BG33" s="48"/>
      <c r="BH33" s="48"/>
      <c r="BI33" s="48"/>
      <c r="BJ33" s="48"/>
      <c r="BK33" s="48"/>
      <c r="BL33" s="48"/>
      <c r="BM33" s="48"/>
      <c r="BN33" s="48"/>
      <c r="BO33" s="48"/>
      <c r="BP33" s="48"/>
      <c r="BQ33" s="48"/>
      <c r="BR33" s="48"/>
      <c r="BS33" s="48"/>
      <c r="BT33" s="48"/>
      <c r="BU33" s="48"/>
    </row>
    <row r="34" ht="15.75" customHeight="1">
      <c r="A34" s="275" t="s">
        <v>34894</v>
      </c>
      <c r="B34" s="275" t="s">
        <v>379</v>
      </c>
      <c r="C34" s="275">
        <v>2015.0</v>
      </c>
      <c r="D34" s="275" t="s">
        <v>34895</v>
      </c>
      <c r="E34" s="276" t="s">
        <v>34896</v>
      </c>
      <c r="F34" s="275" t="s">
        <v>34897</v>
      </c>
      <c r="G34" s="275" t="s">
        <v>34898</v>
      </c>
      <c r="H34" s="277" t="s">
        <v>34568</v>
      </c>
      <c r="I34" s="277" t="s">
        <v>34568</v>
      </c>
      <c r="J34" s="277" t="s">
        <v>34568</v>
      </c>
      <c r="K34" s="277" t="s">
        <v>34569</v>
      </c>
      <c r="L34" s="277" t="s">
        <v>34613</v>
      </c>
      <c r="M34" s="276" t="s">
        <v>34614</v>
      </c>
      <c r="N34" s="277" t="s">
        <v>34675</v>
      </c>
      <c r="O34" s="276" t="s">
        <v>34676</v>
      </c>
      <c r="P34" s="277" t="s">
        <v>34573</v>
      </c>
      <c r="Q34" s="276" t="s">
        <v>34574</v>
      </c>
      <c r="R34" s="277" t="s">
        <v>34575</v>
      </c>
      <c r="S34" s="276" t="s">
        <v>34563</v>
      </c>
      <c r="T34" s="277" t="s">
        <v>34576</v>
      </c>
      <c r="U34" s="276" t="s">
        <v>34577</v>
      </c>
      <c r="V34" s="277" t="s">
        <v>34825</v>
      </c>
      <c r="W34" s="276" t="s">
        <v>34826</v>
      </c>
      <c r="X34" s="277" t="s">
        <v>34656</v>
      </c>
      <c r="Y34" s="276" t="s">
        <v>34657</v>
      </c>
      <c r="Z34" s="277" t="s">
        <v>34679</v>
      </c>
      <c r="AA34" s="276" t="s">
        <v>34680</v>
      </c>
      <c r="AB34" s="277"/>
      <c r="AC34" s="276"/>
      <c r="AD34" s="277" t="s">
        <v>34584</v>
      </c>
      <c r="AE34" s="276" t="s">
        <v>34681</v>
      </c>
      <c r="AF34" s="277" t="s">
        <v>34586</v>
      </c>
      <c r="AG34" s="276" t="s">
        <v>34682</v>
      </c>
      <c r="AH34" s="277" t="s">
        <v>34699</v>
      </c>
      <c r="AI34" s="276" t="s">
        <v>34700</v>
      </c>
      <c r="AJ34" s="277"/>
      <c r="AK34" s="276"/>
      <c r="AL34" s="277" t="s">
        <v>34636</v>
      </c>
      <c r="AM34" s="276" t="s">
        <v>34770</v>
      </c>
      <c r="AN34" s="277" t="s">
        <v>34685</v>
      </c>
      <c r="AO34" s="276"/>
      <c r="AP34" s="277" t="s">
        <v>34719</v>
      </c>
      <c r="AQ34" s="276" t="s">
        <v>34720</v>
      </c>
      <c r="AR34" s="277"/>
      <c r="AS34" s="276"/>
      <c r="AT34" s="277" t="s">
        <v>34600</v>
      </c>
      <c r="AU34" s="276" t="s">
        <v>34687</v>
      </c>
      <c r="AV34" s="277" t="s">
        <v>34602</v>
      </c>
      <c r="AW34" s="276" t="s">
        <v>34688</v>
      </c>
      <c r="AX34" s="277"/>
      <c r="AY34" s="276"/>
      <c r="AZ34" s="277"/>
      <c r="BA34" s="276"/>
      <c r="BB34" s="48"/>
      <c r="BC34" s="48"/>
      <c r="BD34" s="48"/>
      <c r="BE34" s="48"/>
      <c r="BF34" s="48"/>
      <c r="BG34" s="48"/>
      <c r="BH34" s="48"/>
      <c r="BI34" s="48"/>
      <c r="BJ34" s="48"/>
      <c r="BK34" s="48"/>
      <c r="BL34" s="48"/>
      <c r="BM34" s="48"/>
      <c r="BN34" s="48"/>
      <c r="BO34" s="48"/>
      <c r="BP34" s="48"/>
      <c r="BQ34" s="48"/>
      <c r="BR34" s="48"/>
      <c r="BS34" s="48"/>
      <c r="BT34" s="48"/>
      <c r="BU34" s="48"/>
    </row>
    <row r="35" ht="15.75" customHeight="1">
      <c r="A35" s="275" t="s">
        <v>34899</v>
      </c>
      <c r="B35" s="275" t="s">
        <v>3632</v>
      </c>
      <c r="C35" s="275">
        <v>2023.0</v>
      </c>
      <c r="D35" s="275" t="s">
        <v>34900</v>
      </c>
      <c r="E35" s="276" t="s">
        <v>34901</v>
      </c>
      <c r="F35" s="275" t="s">
        <v>22802</v>
      </c>
      <c r="G35" s="275" t="s">
        <v>34902</v>
      </c>
      <c r="H35" s="277" t="s">
        <v>34568</v>
      </c>
      <c r="I35" s="277" t="s">
        <v>34804</v>
      </c>
      <c r="J35" s="277" t="s">
        <v>34568</v>
      </c>
      <c r="K35" s="277" t="s">
        <v>34569</v>
      </c>
      <c r="L35" s="277" t="s">
        <v>34613</v>
      </c>
      <c r="M35" s="276" t="s">
        <v>34614</v>
      </c>
      <c r="N35" s="277" t="s">
        <v>34572</v>
      </c>
      <c r="O35" s="276" t="s">
        <v>34765</v>
      </c>
      <c r="P35" s="277" t="s">
        <v>34573</v>
      </c>
      <c r="Q35" s="276" t="s">
        <v>34574</v>
      </c>
      <c r="R35" s="277" t="s">
        <v>34575</v>
      </c>
      <c r="S35" s="276" t="s">
        <v>34563</v>
      </c>
      <c r="T35" s="277" t="s">
        <v>34576</v>
      </c>
      <c r="U35" s="276" t="s">
        <v>34577</v>
      </c>
      <c r="V35" s="277" t="s">
        <v>34578</v>
      </c>
      <c r="W35" s="276" t="s">
        <v>34776</v>
      </c>
      <c r="X35" s="277"/>
      <c r="Y35" s="276"/>
      <c r="Z35" s="277" t="s">
        <v>34711</v>
      </c>
      <c r="AA35" s="276" t="s">
        <v>34712</v>
      </c>
      <c r="AB35" s="277"/>
      <c r="AC35" s="276"/>
      <c r="AD35" s="277" t="s">
        <v>34584</v>
      </c>
      <c r="AE35" s="276" t="s">
        <v>34681</v>
      </c>
      <c r="AF35" s="277" t="s">
        <v>34586</v>
      </c>
      <c r="AG35" s="276" t="s">
        <v>34682</v>
      </c>
      <c r="AH35" s="277"/>
      <c r="AI35" s="276"/>
      <c r="AJ35" s="277" t="s">
        <v>34716</v>
      </c>
      <c r="AK35" s="276" t="s">
        <v>34717</v>
      </c>
      <c r="AL35" s="277"/>
      <c r="AM35" s="276"/>
      <c r="AN35" s="277" t="s">
        <v>34685</v>
      </c>
      <c r="AO35" s="276" t="s">
        <v>34686</v>
      </c>
      <c r="AP35" s="277"/>
      <c r="AQ35" s="276"/>
      <c r="AR35" s="277"/>
      <c r="AS35" s="276"/>
      <c r="AT35" s="277" t="s">
        <v>34600</v>
      </c>
      <c r="AU35" s="276" t="s">
        <v>34687</v>
      </c>
      <c r="AV35" s="277" t="s">
        <v>34602</v>
      </c>
      <c r="AW35" s="276" t="s">
        <v>34688</v>
      </c>
      <c r="AX35" s="277"/>
      <c r="AY35" s="276"/>
      <c r="AZ35" s="277"/>
      <c r="BA35" s="276"/>
      <c r="BB35" s="48"/>
      <c r="BC35" s="48"/>
      <c r="BD35" s="48"/>
      <c r="BE35" s="48"/>
      <c r="BF35" s="48"/>
      <c r="BG35" s="48"/>
      <c r="BH35" s="48"/>
      <c r="BI35" s="48"/>
      <c r="BJ35" s="48"/>
      <c r="BK35" s="48"/>
      <c r="BL35" s="48"/>
      <c r="BM35" s="48"/>
      <c r="BN35" s="48"/>
      <c r="BO35" s="48"/>
      <c r="BP35" s="48"/>
      <c r="BQ35" s="48"/>
      <c r="BR35" s="48"/>
      <c r="BS35" s="48"/>
      <c r="BT35" s="48"/>
      <c r="BU35" s="48"/>
    </row>
    <row r="36" ht="15.75" customHeight="1">
      <c r="A36" s="275" t="s">
        <v>34903</v>
      </c>
      <c r="B36" s="275" t="s">
        <v>3632</v>
      </c>
      <c r="C36" s="275">
        <v>2023.0</v>
      </c>
      <c r="D36" s="275" t="s">
        <v>34904</v>
      </c>
      <c r="E36" s="276" t="s">
        <v>34905</v>
      </c>
      <c r="F36" s="275" t="s">
        <v>22620</v>
      </c>
      <c r="G36" s="275" t="s">
        <v>34906</v>
      </c>
      <c r="H36" s="277" t="s">
        <v>34568</v>
      </c>
      <c r="I36" s="277" t="s">
        <v>34804</v>
      </c>
      <c r="J36" s="277" t="s">
        <v>34568</v>
      </c>
      <c r="K36" s="277" t="s">
        <v>34569</v>
      </c>
      <c r="L36" s="277" t="s">
        <v>34654</v>
      </c>
      <c r="M36" s="276" t="s">
        <v>34811</v>
      </c>
      <c r="N36" s="277" t="s">
        <v>34572</v>
      </c>
      <c r="O36" s="276" t="s">
        <v>34765</v>
      </c>
      <c r="P36" s="277" t="s">
        <v>34573</v>
      </c>
      <c r="Q36" s="276" t="s">
        <v>34574</v>
      </c>
      <c r="R36" s="277" t="s">
        <v>34575</v>
      </c>
      <c r="S36" s="276" t="s">
        <v>34563</v>
      </c>
      <c r="T36" s="277" t="s">
        <v>34576</v>
      </c>
      <c r="U36" s="276" t="s">
        <v>34577</v>
      </c>
      <c r="V36" s="277" t="s">
        <v>34578</v>
      </c>
      <c r="W36" s="276" t="s">
        <v>34776</v>
      </c>
      <c r="X36" s="277" t="s">
        <v>34580</v>
      </c>
      <c r="Y36" s="276" t="s">
        <v>34766</v>
      </c>
      <c r="Z36" s="277" t="s">
        <v>34679</v>
      </c>
      <c r="AA36" s="276" t="s">
        <v>34680</v>
      </c>
      <c r="AB36" s="277"/>
      <c r="AC36" s="276"/>
      <c r="AD36" s="277" t="s">
        <v>34584</v>
      </c>
      <c r="AE36" s="276" t="s">
        <v>34681</v>
      </c>
      <c r="AF36" s="277" t="s">
        <v>34586</v>
      </c>
      <c r="AG36" s="276" t="s">
        <v>34682</v>
      </c>
      <c r="AH36" s="277"/>
      <c r="AI36" s="276"/>
      <c r="AJ36" s="277" t="s">
        <v>34716</v>
      </c>
      <c r="AK36" s="276" t="s">
        <v>34717</v>
      </c>
      <c r="AL36" s="277" t="s">
        <v>34636</v>
      </c>
      <c r="AM36" s="276" t="s">
        <v>34770</v>
      </c>
      <c r="AN36" s="277" t="s">
        <v>34685</v>
      </c>
      <c r="AO36" s="276" t="s">
        <v>34686</v>
      </c>
      <c r="AP36" s="277" t="s">
        <v>34719</v>
      </c>
      <c r="AQ36" s="276" t="s">
        <v>34720</v>
      </c>
      <c r="AR36" s="277"/>
      <c r="AS36" s="276"/>
      <c r="AT36" s="277" t="s">
        <v>34600</v>
      </c>
      <c r="AU36" s="276" t="s">
        <v>34687</v>
      </c>
      <c r="AV36" s="277" t="s">
        <v>34602</v>
      </c>
      <c r="AW36" s="276" t="s">
        <v>34688</v>
      </c>
      <c r="AX36" s="277"/>
      <c r="AY36" s="276"/>
      <c r="AZ36" s="277"/>
      <c r="BA36" s="276"/>
      <c r="BB36" s="48"/>
      <c r="BC36" s="48"/>
      <c r="BD36" s="48"/>
      <c r="BE36" s="48"/>
      <c r="BF36" s="48"/>
      <c r="BG36" s="48"/>
      <c r="BH36" s="48"/>
      <c r="BI36" s="48"/>
      <c r="BJ36" s="48"/>
      <c r="BK36" s="48"/>
      <c r="BL36" s="48"/>
      <c r="BM36" s="48"/>
      <c r="BN36" s="48"/>
      <c r="BO36" s="48"/>
      <c r="BP36" s="48"/>
      <c r="BQ36" s="48"/>
      <c r="BR36" s="48"/>
      <c r="BS36" s="48"/>
      <c r="BT36" s="48"/>
      <c r="BU36" s="48"/>
    </row>
    <row r="37" ht="15.75" customHeight="1">
      <c r="A37" s="275" t="s">
        <v>34907</v>
      </c>
      <c r="B37" s="275" t="s">
        <v>3632</v>
      </c>
      <c r="C37" s="275">
        <v>2021.0</v>
      </c>
      <c r="D37" s="275" t="s">
        <v>34908</v>
      </c>
      <c r="E37" s="276" t="s">
        <v>34909</v>
      </c>
      <c r="F37" s="275" t="s">
        <v>34910</v>
      </c>
      <c r="G37" s="275" t="s">
        <v>34911</v>
      </c>
      <c r="H37" s="277" t="s">
        <v>34568</v>
      </c>
      <c r="I37" s="277" t="s">
        <v>34568</v>
      </c>
      <c r="J37" s="277" t="s">
        <v>34568</v>
      </c>
      <c r="K37" s="277" t="s">
        <v>34569</v>
      </c>
      <c r="L37" s="277" t="s">
        <v>34613</v>
      </c>
      <c r="M37" s="276" t="s">
        <v>34614</v>
      </c>
      <c r="N37" s="277" t="s">
        <v>34572</v>
      </c>
      <c r="O37" s="276" t="s">
        <v>34765</v>
      </c>
      <c r="P37" s="277" t="s">
        <v>34573</v>
      </c>
      <c r="Q37" s="276" t="s">
        <v>34574</v>
      </c>
      <c r="R37" s="277" t="s">
        <v>34575</v>
      </c>
      <c r="S37" s="276" t="s">
        <v>34563</v>
      </c>
      <c r="T37" s="277" t="s">
        <v>34576</v>
      </c>
      <c r="U37" s="276" t="s">
        <v>34577</v>
      </c>
      <c r="V37" s="277" t="s">
        <v>34578</v>
      </c>
      <c r="W37" s="276" t="s">
        <v>34776</v>
      </c>
      <c r="X37" s="277" t="s">
        <v>34580</v>
      </c>
      <c r="Y37" s="276" t="s">
        <v>34766</v>
      </c>
      <c r="Z37" s="277" t="s">
        <v>34711</v>
      </c>
      <c r="AA37" s="276" t="s">
        <v>34712</v>
      </c>
      <c r="AB37" s="277"/>
      <c r="AC37" s="276"/>
      <c r="AD37" s="277" t="s">
        <v>34584</v>
      </c>
      <c r="AE37" s="276" t="s">
        <v>34681</v>
      </c>
      <c r="AF37" s="277" t="s">
        <v>34586</v>
      </c>
      <c r="AG37" s="276" t="s">
        <v>34682</v>
      </c>
      <c r="AH37" s="277"/>
      <c r="AI37" s="276"/>
      <c r="AJ37" s="277"/>
      <c r="AK37" s="276"/>
      <c r="AL37" s="277" t="s">
        <v>34636</v>
      </c>
      <c r="AM37" s="276" t="s">
        <v>34770</v>
      </c>
      <c r="AN37" s="277" t="s">
        <v>34685</v>
      </c>
      <c r="AO37" s="276" t="s">
        <v>34686</v>
      </c>
      <c r="AP37" s="277" t="s">
        <v>34719</v>
      </c>
      <c r="AQ37" s="276" t="s">
        <v>34720</v>
      </c>
      <c r="AR37" s="277"/>
      <c r="AS37" s="276"/>
      <c r="AT37" s="277" t="s">
        <v>34600</v>
      </c>
      <c r="AU37" s="276" t="s">
        <v>34687</v>
      </c>
      <c r="AV37" s="277" t="s">
        <v>34602</v>
      </c>
      <c r="AW37" s="276" t="s">
        <v>34688</v>
      </c>
      <c r="AX37" s="277"/>
      <c r="AY37" s="276"/>
      <c r="AZ37" s="277"/>
      <c r="BA37" s="276"/>
      <c r="BB37" s="48"/>
      <c r="BC37" s="48"/>
      <c r="BD37" s="48"/>
      <c r="BE37" s="48"/>
      <c r="BF37" s="48"/>
      <c r="BG37" s="48"/>
      <c r="BH37" s="48"/>
      <c r="BI37" s="48"/>
      <c r="BJ37" s="48"/>
      <c r="BK37" s="48"/>
      <c r="BL37" s="48"/>
      <c r="BM37" s="48"/>
      <c r="BN37" s="48"/>
      <c r="BO37" s="48"/>
      <c r="BP37" s="48"/>
      <c r="BQ37" s="48"/>
      <c r="BR37" s="48"/>
      <c r="BS37" s="48"/>
      <c r="BT37" s="48"/>
      <c r="BU37" s="48"/>
    </row>
    <row r="38" ht="15.75" customHeight="1">
      <c r="A38" s="275" t="s">
        <v>34912</v>
      </c>
      <c r="B38" s="275" t="s">
        <v>3632</v>
      </c>
      <c r="C38" s="275">
        <v>2020.0</v>
      </c>
      <c r="D38" s="275" t="s">
        <v>34913</v>
      </c>
      <c r="E38" s="276" t="s">
        <v>34914</v>
      </c>
      <c r="F38" s="275" t="s">
        <v>34915</v>
      </c>
      <c r="G38" s="275" t="s">
        <v>34916</v>
      </c>
      <c r="H38" s="277" t="s">
        <v>34568</v>
      </c>
      <c r="I38" s="277" t="s">
        <v>34568</v>
      </c>
      <c r="J38" s="277" t="s">
        <v>34568</v>
      </c>
      <c r="K38" s="277" t="s">
        <v>34569</v>
      </c>
      <c r="L38" s="277" t="s">
        <v>34613</v>
      </c>
      <c r="M38" s="276" t="s">
        <v>34614</v>
      </c>
      <c r="N38" s="277" t="s">
        <v>34572</v>
      </c>
      <c r="O38" s="276" t="s">
        <v>34765</v>
      </c>
      <c r="P38" s="277" t="s">
        <v>34573</v>
      </c>
      <c r="Q38" s="276" t="s">
        <v>34574</v>
      </c>
      <c r="R38" s="277" t="s">
        <v>34575</v>
      </c>
      <c r="S38" s="276" t="s">
        <v>34563</v>
      </c>
      <c r="T38" s="277" t="s">
        <v>34576</v>
      </c>
      <c r="U38" s="276" t="s">
        <v>34577</v>
      </c>
      <c r="V38" s="277" t="s">
        <v>34578</v>
      </c>
      <c r="W38" s="276" t="s">
        <v>34776</v>
      </c>
      <c r="X38" s="277" t="s">
        <v>34580</v>
      </c>
      <c r="Y38" s="276" t="s">
        <v>34766</v>
      </c>
      <c r="Z38" s="277" t="s">
        <v>34711</v>
      </c>
      <c r="AA38" s="276" t="s">
        <v>34712</v>
      </c>
      <c r="AB38" s="277"/>
      <c r="AC38" s="276"/>
      <c r="AD38" s="277" t="s">
        <v>34629</v>
      </c>
      <c r="AE38" s="276" t="s">
        <v>34769</v>
      </c>
      <c r="AF38" s="277" t="s">
        <v>34586</v>
      </c>
      <c r="AG38" s="276" t="s">
        <v>34682</v>
      </c>
      <c r="AH38" s="277" t="s">
        <v>34588</v>
      </c>
      <c r="AI38" s="276" t="s">
        <v>34589</v>
      </c>
      <c r="AJ38" s="277" t="s">
        <v>34716</v>
      </c>
      <c r="AK38" s="276" t="s">
        <v>34717</v>
      </c>
      <c r="AL38" s="277" t="s">
        <v>34592</v>
      </c>
      <c r="AM38" s="276" t="s">
        <v>34917</v>
      </c>
      <c r="AN38" s="277" t="s">
        <v>34594</v>
      </c>
      <c r="AO38" s="276" t="s">
        <v>34738</v>
      </c>
      <c r="AP38" s="277" t="s">
        <v>34596</v>
      </c>
      <c r="AQ38" s="276" t="s">
        <v>34639</v>
      </c>
      <c r="AR38" s="277" t="s">
        <v>34640</v>
      </c>
      <c r="AS38" s="276" t="s">
        <v>34641</v>
      </c>
      <c r="AT38" s="277" t="s">
        <v>31876</v>
      </c>
      <c r="AU38" s="276" t="s">
        <v>34642</v>
      </c>
      <c r="AV38" s="277" t="s">
        <v>34643</v>
      </c>
      <c r="AW38" s="276" t="s">
        <v>34644</v>
      </c>
      <c r="AX38" s="277"/>
      <c r="AY38" s="276"/>
      <c r="AZ38" s="277"/>
      <c r="BA38" s="276"/>
      <c r="BB38" s="48"/>
      <c r="BC38" s="48"/>
      <c r="BD38" s="48"/>
      <c r="BE38" s="48"/>
      <c r="BF38" s="48"/>
      <c r="BG38" s="48"/>
      <c r="BH38" s="48"/>
      <c r="BI38" s="48"/>
      <c r="BJ38" s="48"/>
      <c r="BK38" s="48"/>
      <c r="BL38" s="48"/>
      <c r="BM38" s="48"/>
      <c r="BN38" s="48"/>
      <c r="BO38" s="48"/>
      <c r="BP38" s="48"/>
      <c r="BQ38" s="48"/>
      <c r="BR38" s="48"/>
      <c r="BS38" s="48"/>
      <c r="BT38" s="48"/>
      <c r="BU38" s="48"/>
    </row>
    <row r="39" ht="15.75" customHeight="1">
      <c r="A39" s="275" t="s">
        <v>34918</v>
      </c>
      <c r="B39" s="275" t="s">
        <v>3632</v>
      </c>
      <c r="C39" s="275">
        <v>2015.0</v>
      </c>
      <c r="D39" s="275" t="s">
        <v>34919</v>
      </c>
      <c r="E39" s="276" t="s">
        <v>34920</v>
      </c>
      <c r="F39" s="275" t="s">
        <v>34921</v>
      </c>
      <c r="G39" s="275" t="s">
        <v>34922</v>
      </c>
      <c r="H39" s="277" t="s">
        <v>34804</v>
      </c>
      <c r="I39" s="277" t="s">
        <v>34804</v>
      </c>
      <c r="J39" s="277" t="s">
        <v>34804</v>
      </c>
      <c r="K39" s="277" t="s">
        <v>34815</v>
      </c>
      <c r="L39" s="277"/>
      <c r="M39" s="276"/>
      <c r="N39" s="277"/>
      <c r="O39" s="276"/>
      <c r="P39" s="277"/>
      <c r="Q39" s="276"/>
      <c r="R39" s="277"/>
      <c r="S39" s="276"/>
      <c r="T39" s="277"/>
      <c r="U39" s="276"/>
      <c r="V39" s="277"/>
      <c r="W39" s="276"/>
      <c r="X39" s="277"/>
      <c r="Y39" s="276"/>
      <c r="Z39" s="277"/>
      <c r="AA39" s="276"/>
      <c r="AB39" s="277"/>
      <c r="AC39" s="276"/>
      <c r="AD39" s="277"/>
      <c r="AE39" s="276"/>
      <c r="AF39" s="277"/>
      <c r="AG39" s="276"/>
      <c r="AH39" s="277"/>
      <c r="AI39" s="276"/>
      <c r="AJ39" s="277"/>
      <c r="AK39" s="276"/>
      <c r="AL39" s="277"/>
      <c r="AM39" s="276"/>
      <c r="AN39" s="277"/>
      <c r="AO39" s="276"/>
      <c r="AP39" s="277"/>
      <c r="AQ39" s="276"/>
      <c r="AR39" s="277"/>
      <c r="AS39" s="276"/>
      <c r="AT39" s="277"/>
      <c r="AU39" s="276"/>
      <c r="AV39" s="277"/>
      <c r="AW39" s="276"/>
      <c r="AX39" s="277"/>
      <c r="AY39" s="276"/>
      <c r="AZ39" s="277"/>
      <c r="BA39" s="276"/>
      <c r="BB39" s="48"/>
      <c r="BC39" s="48"/>
      <c r="BD39" s="48"/>
      <c r="BE39" s="48"/>
      <c r="BF39" s="48"/>
      <c r="BG39" s="48"/>
      <c r="BH39" s="48"/>
      <c r="BI39" s="48"/>
      <c r="BJ39" s="48"/>
      <c r="BK39" s="48"/>
      <c r="BL39" s="48"/>
      <c r="BM39" s="48"/>
      <c r="BN39" s="48"/>
      <c r="BO39" s="48"/>
      <c r="BP39" s="48"/>
      <c r="BQ39" s="48"/>
      <c r="BR39" s="48"/>
      <c r="BS39" s="48"/>
      <c r="BT39" s="48"/>
      <c r="BU39" s="48"/>
    </row>
    <row r="40" ht="15.75" customHeight="1">
      <c r="A40" s="275" t="s">
        <v>34923</v>
      </c>
      <c r="B40" s="275" t="s">
        <v>3632</v>
      </c>
      <c r="C40" s="275">
        <v>2014.0</v>
      </c>
      <c r="D40" s="275" t="s">
        <v>34924</v>
      </c>
      <c r="E40" s="276" t="s">
        <v>34925</v>
      </c>
      <c r="F40" s="275" t="s">
        <v>34926</v>
      </c>
      <c r="G40" s="275" t="s">
        <v>34927</v>
      </c>
      <c r="H40" s="277" t="s">
        <v>34804</v>
      </c>
      <c r="I40" s="277" t="s">
        <v>34804</v>
      </c>
      <c r="J40" s="277" t="s">
        <v>34804</v>
      </c>
      <c r="K40" s="277" t="s">
        <v>34815</v>
      </c>
      <c r="L40" s="277"/>
      <c r="M40" s="276"/>
      <c r="N40" s="277"/>
      <c r="O40" s="276"/>
      <c r="P40" s="277"/>
      <c r="Q40" s="276"/>
      <c r="R40" s="277"/>
      <c r="S40" s="276"/>
      <c r="T40" s="277"/>
      <c r="U40" s="276"/>
      <c r="V40" s="277"/>
      <c r="W40" s="276"/>
      <c r="X40" s="277"/>
      <c r="Y40" s="276"/>
      <c r="Z40" s="277"/>
      <c r="AA40" s="276"/>
      <c r="AB40" s="277"/>
      <c r="AC40" s="276"/>
      <c r="AD40" s="277"/>
      <c r="AE40" s="276"/>
      <c r="AF40" s="277"/>
      <c r="AG40" s="276"/>
      <c r="AH40" s="277"/>
      <c r="AI40" s="276"/>
      <c r="AJ40" s="277"/>
      <c r="AK40" s="276"/>
      <c r="AL40" s="277"/>
      <c r="AM40" s="276"/>
      <c r="AN40" s="277"/>
      <c r="AO40" s="276"/>
      <c r="AP40" s="277"/>
      <c r="AQ40" s="276"/>
      <c r="AR40" s="277"/>
      <c r="AS40" s="276"/>
      <c r="AT40" s="277"/>
      <c r="AU40" s="276"/>
      <c r="AV40" s="277"/>
      <c r="AW40" s="276"/>
      <c r="AX40" s="277"/>
      <c r="AY40" s="276"/>
      <c r="AZ40" s="277"/>
      <c r="BA40" s="276"/>
      <c r="BB40" s="48"/>
      <c r="BC40" s="48"/>
      <c r="BD40" s="48"/>
      <c r="BE40" s="48"/>
      <c r="BF40" s="48"/>
      <c r="BG40" s="48"/>
      <c r="BH40" s="48"/>
      <c r="BI40" s="48"/>
      <c r="BJ40" s="48"/>
      <c r="BK40" s="48"/>
      <c r="BL40" s="48"/>
      <c r="BM40" s="48"/>
      <c r="BN40" s="48"/>
      <c r="BO40" s="48"/>
      <c r="BP40" s="48"/>
      <c r="BQ40" s="48"/>
      <c r="BR40" s="48"/>
      <c r="BS40" s="48"/>
      <c r="BT40" s="48"/>
      <c r="BU40" s="48"/>
    </row>
    <row r="41" ht="15.75" customHeight="1">
      <c r="A41" s="275" t="s">
        <v>34928</v>
      </c>
      <c r="B41" s="275" t="s">
        <v>3632</v>
      </c>
      <c r="C41" s="275">
        <v>2020.0</v>
      </c>
      <c r="D41" s="275" t="s">
        <v>34929</v>
      </c>
      <c r="E41" s="276" t="s">
        <v>34930</v>
      </c>
      <c r="F41" s="275" t="s">
        <v>34931</v>
      </c>
      <c r="G41" s="275" t="s">
        <v>34932</v>
      </c>
      <c r="H41" s="277" t="s">
        <v>34568</v>
      </c>
      <c r="I41" s="277" t="s">
        <v>34804</v>
      </c>
      <c r="J41" s="277" t="s">
        <v>34568</v>
      </c>
      <c r="K41" s="277" t="s">
        <v>34569</v>
      </c>
      <c r="L41" s="277" t="s">
        <v>34613</v>
      </c>
      <c r="M41" s="276" t="s">
        <v>34614</v>
      </c>
      <c r="N41" s="277" t="s">
        <v>34675</v>
      </c>
      <c r="O41" s="276" t="s">
        <v>34676</v>
      </c>
      <c r="P41" s="277" t="s">
        <v>34573</v>
      </c>
      <c r="Q41" s="276" t="s">
        <v>34574</v>
      </c>
      <c r="R41" s="277" t="s">
        <v>34575</v>
      </c>
      <c r="S41" s="276" t="s">
        <v>34563</v>
      </c>
      <c r="T41" s="277" t="s">
        <v>34576</v>
      </c>
      <c r="U41" s="276" t="s">
        <v>34577</v>
      </c>
      <c r="V41" s="277" t="s">
        <v>34578</v>
      </c>
      <c r="W41" s="276" t="s">
        <v>34776</v>
      </c>
      <c r="X41" s="277" t="s">
        <v>34656</v>
      </c>
      <c r="Y41" s="276" t="s">
        <v>34657</v>
      </c>
      <c r="Z41" s="277" t="s">
        <v>34711</v>
      </c>
      <c r="AA41" s="276" t="s">
        <v>34712</v>
      </c>
      <c r="AB41" s="277"/>
      <c r="AC41" s="276"/>
      <c r="AD41" s="277" t="s">
        <v>34584</v>
      </c>
      <c r="AE41" s="276" t="s">
        <v>34681</v>
      </c>
      <c r="AF41" s="277" t="s">
        <v>34586</v>
      </c>
      <c r="AG41" s="276" t="s">
        <v>34682</v>
      </c>
      <c r="AH41" s="277"/>
      <c r="AI41" s="276"/>
      <c r="AJ41" s="277"/>
      <c r="AK41" s="276"/>
      <c r="AL41" s="277"/>
      <c r="AM41" s="276"/>
      <c r="AN41" s="277" t="s">
        <v>34685</v>
      </c>
      <c r="AO41" s="276" t="s">
        <v>34686</v>
      </c>
      <c r="AP41" s="277" t="s">
        <v>34719</v>
      </c>
      <c r="AQ41" s="276" t="s">
        <v>34720</v>
      </c>
      <c r="AR41" s="277"/>
      <c r="AS41" s="276"/>
      <c r="AT41" s="277" t="s">
        <v>31876</v>
      </c>
      <c r="AU41" s="276" t="s">
        <v>34642</v>
      </c>
      <c r="AV41" s="277" t="s">
        <v>34602</v>
      </c>
      <c r="AW41" s="276" t="s">
        <v>34688</v>
      </c>
      <c r="AX41" s="277"/>
      <c r="AY41" s="276"/>
      <c r="AZ41" s="277"/>
      <c r="BA41" s="276"/>
      <c r="BB41" s="48"/>
      <c r="BC41" s="48"/>
      <c r="BD41" s="48"/>
      <c r="BE41" s="48"/>
      <c r="BF41" s="48"/>
      <c r="BG41" s="48"/>
      <c r="BH41" s="48"/>
      <c r="BI41" s="48"/>
      <c r="BJ41" s="48"/>
      <c r="BK41" s="48"/>
      <c r="BL41" s="48"/>
      <c r="BM41" s="48"/>
      <c r="BN41" s="48"/>
      <c r="BO41" s="48"/>
      <c r="BP41" s="48"/>
      <c r="BQ41" s="48"/>
      <c r="BR41" s="48"/>
      <c r="BS41" s="48"/>
      <c r="BT41" s="48"/>
      <c r="BU41" s="48"/>
    </row>
    <row r="42" ht="15.75" customHeight="1">
      <c r="A42" s="275" t="s">
        <v>34933</v>
      </c>
      <c r="B42" s="275" t="s">
        <v>3632</v>
      </c>
      <c r="C42" s="275">
        <v>2021.0</v>
      </c>
      <c r="D42" s="275" t="s">
        <v>34934</v>
      </c>
      <c r="E42" s="276" t="s">
        <v>34935</v>
      </c>
      <c r="F42" s="275" t="s">
        <v>34936</v>
      </c>
      <c r="G42" s="275" t="s">
        <v>34937</v>
      </c>
      <c r="H42" s="277" t="s">
        <v>34568</v>
      </c>
      <c r="I42" s="277" t="s">
        <v>34804</v>
      </c>
      <c r="J42" s="277" t="s">
        <v>34568</v>
      </c>
      <c r="K42" s="277" t="s">
        <v>34569</v>
      </c>
      <c r="L42" s="277" t="s">
        <v>34613</v>
      </c>
      <c r="M42" s="276" t="s">
        <v>34614</v>
      </c>
      <c r="N42" s="277" t="s">
        <v>34675</v>
      </c>
      <c r="O42" s="276" t="s">
        <v>34676</v>
      </c>
      <c r="P42" s="277" t="s">
        <v>34573</v>
      </c>
      <c r="Q42" s="276" t="s">
        <v>34574</v>
      </c>
      <c r="R42" s="277" t="s">
        <v>34575</v>
      </c>
      <c r="S42" s="276" t="s">
        <v>34563</v>
      </c>
      <c r="T42" s="277" t="s">
        <v>34576</v>
      </c>
      <c r="U42" s="276" t="s">
        <v>34577</v>
      </c>
      <c r="V42" s="277" t="s">
        <v>34622</v>
      </c>
      <c r="W42" s="276" t="s">
        <v>34938</v>
      </c>
      <c r="X42" s="277" t="s">
        <v>34656</v>
      </c>
      <c r="Y42" s="276" t="s">
        <v>34657</v>
      </c>
      <c r="Z42" s="277" t="s">
        <v>34711</v>
      </c>
      <c r="AA42" s="276" t="s">
        <v>34712</v>
      </c>
      <c r="AB42" s="277"/>
      <c r="AC42" s="276"/>
      <c r="AD42" s="277" t="s">
        <v>34584</v>
      </c>
      <c r="AE42" s="276" t="s">
        <v>34681</v>
      </c>
      <c r="AF42" s="277" t="s">
        <v>34586</v>
      </c>
      <c r="AG42" s="276" t="s">
        <v>34682</v>
      </c>
      <c r="AH42" s="277"/>
      <c r="AI42" s="276"/>
      <c r="AJ42" s="277"/>
      <c r="AK42" s="276"/>
      <c r="AL42" s="277"/>
      <c r="AM42" s="276"/>
      <c r="AN42" s="277" t="s">
        <v>34685</v>
      </c>
      <c r="AO42" s="276" t="s">
        <v>34686</v>
      </c>
      <c r="AP42" s="277" t="s">
        <v>34719</v>
      </c>
      <c r="AQ42" s="276" t="s">
        <v>34720</v>
      </c>
      <c r="AR42" s="277"/>
      <c r="AS42" s="276"/>
      <c r="AT42" s="277" t="s">
        <v>34600</v>
      </c>
      <c r="AU42" s="276" t="s">
        <v>34687</v>
      </c>
      <c r="AV42" s="277" t="s">
        <v>34602</v>
      </c>
      <c r="AW42" s="276" t="s">
        <v>34688</v>
      </c>
      <c r="AX42" s="277"/>
      <c r="AY42" s="276"/>
      <c r="AZ42" s="277"/>
      <c r="BA42" s="276"/>
      <c r="BB42" s="48"/>
      <c r="BC42" s="48"/>
      <c r="BD42" s="48"/>
      <c r="BE42" s="48"/>
      <c r="BF42" s="48"/>
      <c r="BG42" s="48"/>
      <c r="BH42" s="48"/>
      <c r="BI42" s="48"/>
      <c r="BJ42" s="48"/>
      <c r="BK42" s="48"/>
      <c r="BL42" s="48"/>
      <c r="BM42" s="48"/>
      <c r="BN42" s="48"/>
      <c r="BO42" s="48"/>
      <c r="BP42" s="48"/>
      <c r="BQ42" s="48"/>
      <c r="BR42" s="48"/>
      <c r="BS42" s="48"/>
      <c r="BT42" s="48"/>
      <c r="BU42" s="48"/>
    </row>
    <row r="43" ht="15.75" customHeight="1">
      <c r="A43" s="275" t="s">
        <v>34939</v>
      </c>
      <c r="B43" s="275" t="s">
        <v>3632</v>
      </c>
      <c r="C43" s="275">
        <v>2013.0</v>
      </c>
      <c r="D43" s="275" t="s">
        <v>34940</v>
      </c>
      <c r="E43" s="276" t="s">
        <v>34941</v>
      </c>
      <c r="F43" s="275" t="s">
        <v>34942</v>
      </c>
      <c r="G43" s="275" t="s">
        <v>34943</v>
      </c>
      <c r="H43" s="277" t="s">
        <v>34568</v>
      </c>
      <c r="I43" s="277" t="s">
        <v>34568</v>
      </c>
      <c r="J43" s="277" t="s">
        <v>34568</v>
      </c>
      <c r="K43" s="277" t="s">
        <v>34569</v>
      </c>
      <c r="L43" s="277" t="s">
        <v>34613</v>
      </c>
      <c r="M43" s="276" t="s">
        <v>34614</v>
      </c>
      <c r="N43" s="277" t="s">
        <v>34872</v>
      </c>
      <c r="O43" s="276" t="s">
        <v>34944</v>
      </c>
      <c r="P43" s="277" t="s">
        <v>34573</v>
      </c>
      <c r="Q43" s="276" t="s">
        <v>34574</v>
      </c>
      <c r="R43" s="277" t="s">
        <v>34575</v>
      </c>
      <c r="S43" s="276" t="s">
        <v>34563</v>
      </c>
      <c r="T43" s="277" t="s">
        <v>34576</v>
      </c>
      <c r="U43" s="276" t="s">
        <v>34577</v>
      </c>
      <c r="V43" s="277" t="s">
        <v>34622</v>
      </c>
      <c r="W43" s="276" t="s">
        <v>34677</v>
      </c>
      <c r="X43" s="277" t="s">
        <v>34656</v>
      </c>
      <c r="Y43" s="276" t="s">
        <v>34657</v>
      </c>
      <c r="Z43" s="277" t="s">
        <v>34679</v>
      </c>
      <c r="AA43" s="276" t="s">
        <v>34680</v>
      </c>
      <c r="AB43" s="277"/>
      <c r="AC43" s="276"/>
      <c r="AD43" s="277" t="s">
        <v>34584</v>
      </c>
      <c r="AE43" s="276" t="s">
        <v>34681</v>
      </c>
      <c r="AF43" s="277" t="s">
        <v>34586</v>
      </c>
      <c r="AG43" s="276" t="s">
        <v>34682</v>
      </c>
      <c r="AH43" s="277" t="s">
        <v>34588</v>
      </c>
      <c r="AI43" s="276" t="s">
        <v>34589</v>
      </c>
      <c r="AJ43" s="277" t="s">
        <v>34683</v>
      </c>
      <c r="AK43" s="276" t="s">
        <v>34684</v>
      </c>
      <c r="AL43" s="277"/>
      <c r="AM43" s="276"/>
      <c r="AN43" s="277" t="s">
        <v>34685</v>
      </c>
      <c r="AO43" s="276" t="s">
        <v>34686</v>
      </c>
      <c r="AP43" s="277"/>
      <c r="AQ43" s="276"/>
      <c r="AR43" s="277"/>
      <c r="AS43" s="276"/>
      <c r="AT43" s="277" t="s">
        <v>34600</v>
      </c>
      <c r="AU43" s="276" t="s">
        <v>34687</v>
      </c>
      <c r="AV43" s="277" t="s">
        <v>34602</v>
      </c>
      <c r="AW43" s="276" t="s">
        <v>34688</v>
      </c>
      <c r="AX43" s="277"/>
      <c r="AY43" s="276"/>
      <c r="AZ43" s="277"/>
      <c r="BA43" s="276"/>
      <c r="BB43" s="48"/>
      <c r="BC43" s="48"/>
      <c r="BD43" s="48"/>
      <c r="BE43" s="48"/>
      <c r="BF43" s="48"/>
      <c r="BG43" s="48"/>
      <c r="BH43" s="48"/>
      <c r="BI43" s="48"/>
      <c r="BJ43" s="48"/>
      <c r="BK43" s="48"/>
      <c r="BL43" s="48"/>
      <c r="BM43" s="48"/>
      <c r="BN43" s="48"/>
      <c r="BO43" s="48"/>
      <c r="BP43" s="48"/>
      <c r="BQ43" s="48"/>
      <c r="BR43" s="48"/>
      <c r="BS43" s="48"/>
      <c r="BT43" s="48"/>
      <c r="BU43" s="48"/>
    </row>
    <row r="44" ht="15.75" customHeight="1">
      <c r="A44" s="275" t="s">
        <v>34945</v>
      </c>
      <c r="B44" s="275" t="s">
        <v>3632</v>
      </c>
      <c r="C44" s="275">
        <v>2022.0</v>
      </c>
      <c r="D44" s="275" t="s">
        <v>34946</v>
      </c>
      <c r="E44" s="276" t="s">
        <v>34947</v>
      </c>
      <c r="F44" s="275" t="s">
        <v>34882</v>
      </c>
      <c r="G44" s="275" t="s">
        <v>34948</v>
      </c>
      <c r="H44" s="277" t="s">
        <v>34568</v>
      </c>
      <c r="I44" s="277" t="s">
        <v>34804</v>
      </c>
      <c r="J44" s="277" t="s">
        <v>34568</v>
      </c>
      <c r="K44" s="277" t="s">
        <v>34569</v>
      </c>
      <c r="L44" s="277" t="s">
        <v>34613</v>
      </c>
      <c r="M44" s="276" t="s">
        <v>34614</v>
      </c>
      <c r="N44" s="277" t="s">
        <v>34572</v>
      </c>
      <c r="O44" s="276" t="s">
        <v>34765</v>
      </c>
      <c r="P44" s="277" t="s">
        <v>34573</v>
      </c>
      <c r="Q44" s="276" t="s">
        <v>34574</v>
      </c>
      <c r="R44" s="277" t="s">
        <v>34575</v>
      </c>
      <c r="S44" s="276" t="s">
        <v>34563</v>
      </c>
      <c r="T44" s="277" t="s">
        <v>34576</v>
      </c>
      <c r="U44" s="276" t="s">
        <v>34577</v>
      </c>
      <c r="V44" s="277" t="s">
        <v>34622</v>
      </c>
      <c r="W44" s="276" t="s">
        <v>34677</v>
      </c>
      <c r="X44" s="277" t="s">
        <v>34783</v>
      </c>
      <c r="Y44" s="276" t="s">
        <v>34784</v>
      </c>
      <c r="Z44" s="277" t="s">
        <v>34679</v>
      </c>
      <c r="AA44" s="276" t="s">
        <v>34680</v>
      </c>
      <c r="AB44" s="277"/>
      <c r="AC44" s="276"/>
      <c r="AD44" s="277" t="s">
        <v>34584</v>
      </c>
      <c r="AE44" s="276" t="s">
        <v>34681</v>
      </c>
      <c r="AF44" s="277" t="s">
        <v>34586</v>
      </c>
      <c r="AG44" s="276" t="s">
        <v>34682</v>
      </c>
      <c r="AH44" s="277"/>
      <c r="AI44" s="276"/>
      <c r="AJ44" s="277"/>
      <c r="AK44" s="276"/>
      <c r="AL44" s="277"/>
      <c r="AM44" s="276"/>
      <c r="AN44" s="277" t="s">
        <v>34685</v>
      </c>
      <c r="AO44" s="276" t="s">
        <v>34686</v>
      </c>
      <c r="AP44" s="277"/>
      <c r="AQ44" s="276"/>
      <c r="AR44" s="277"/>
      <c r="AS44" s="276"/>
      <c r="AT44" s="277" t="s">
        <v>34600</v>
      </c>
      <c r="AU44" s="276" t="s">
        <v>34687</v>
      </c>
      <c r="AV44" s="277" t="s">
        <v>34602</v>
      </c>
      <c r="AW44" s="276" t="s">
        <v>34688</v>
      </c>
      <c r="AX44" s="277"/>
      <c r="AY44" s="276"/>
      <c r="AZ44" s="277"/>
      <c r="BA44" s="276"/>
      <c r="BB44" s="48"/>
      <c r="BC44" s="48"/>
      <c r="BD44" s="48"/>
      <c r="BE44" s="48"/>
      <c r="BF44" s="48"/>
      <c r="BG44" s="48"/>
      <c r="BH44" s="48"/>
      <c r="BI44" s="48"/>
      <c r="BJ44" s="48"/>
      <c r="BK44" s="48"/>
      <c r="BL44" s="48"/>
      <c r="BM44" s="48"/>
      <c r="BN44" s="48"/>
      <c r="BO44" s="48"/>
      <c r="BP44" s="48"/>
      <c r="BQ44" s="48"/>
      <c r="BR44" s="48"/>
      <c r="BS44" s="48"/>
      <c r="BT44" s="48"/>
      <c r="BU44" s="48"/>
    </row>
    <row r="45" ht="15.75" customHeight="1">
      <c r="A45" s="275" t="s">
        <v>34949</v>
      </c>
      <c r="B45" s="275" t="s">
        <v>3632</v>
      </c>
      <c r="C45" s="275">
        <v>2023.0</v>
      </c>
      <c r="D45" s="275" t="s">
        <v>34950</v>
      </c>
      <c r="E45" s="276" t="s">
        <v>34951</v>
      </c>
      <c r="F45" s="275" t="s">
        <v>34882</v>
      </c>
      <c r="G45" s="275" t="s">
        <v>34952</v>
      </c>
      <c r="H45" s="277" t="s">
        <v>34568</v>
      </c>
      <c r="I45" s="277" t="s">
        <v>34568</v>
      </c>
      <c r="J45" s="277" t="s">
        <v>34568</v>
      </c>
      <c r="K45" s="277" t="s">
        <v>34569</v>
      </c>
      <c r="L45" s="277" t="s">
        <v>34613</v>
      </c>
      <c r="M45" s="276" t="s">
        <v>34614</v>
      </c>
      <c r="N45" s="277" t="s">
        <v>34572</v>
      </c>
      <c r="O45" s="276" t="s">
        <v>34765</v>
      </c>
      <c r="P45" s="277" t="s">
        <v>34573</v>
      </c>
      <c r="Q45" s="276" t="s">
        <v>34574</v>
      </c>
      <c r="R45" s="277" t="s">
        <v>34575</v>
      </c>
      <c r="S45" s="276" t="s">
        <v>34563</v>
      </c>
      <c r="T45" s="277" t="s">
        <v>34576</v>
      </c>
      <c r="U45" s="276" t="s">
        <v>34577</v>
      </c>
      <c r="V45" s="277" t="s">
        <v>34622</v>
      </c>
      <c r="W45" s="276" t="s">
        <v>34677</v>
      </c>
      <c r="X45" s="277" t="s">
        <v>34656</v>
      </c>
      <c r="Y45" s="276" t="s">
        <v>34657</v>
      </c>
      <c r="Z45" s="277" t="s">
        <v>34679</v>
      </c>
      <c r="AA45" s="276" t="s">
        <v>34680</v>
      </c>
      <c r="AB45" s="277"/>
      <c r="AC45" s="276"/>
      <c r="AD45" s="277" t="s">
        <v>34584</v>
      </c>
      <c r="AE45" s="276" t="s">
        <v>34681</v>
      </c>
      <c r="AF45" s="277" t="s">
        <v>34586</v>
      </c>
      <c r="AG45" s="276" t="s">
        <v>34682</v>
      </c>
      <c r="AH45" s="277" t="s">
        <v>34714</v>
      </c>
      <c r="AI45" s="276" t="s">
        <v>34715</v>
      </c>
      <c r="AJ45" s="277" t="s">
        <v>34683</v>
      </c>
      <c r="AK45" s="276" t="s">
        <v>34684</v>
      </c>
      <c r="AL45" s="277" t="s">
        <v>34636</v>
      </c>
      <c r="AM45" s="276" t="s">
        <v>34770</v>
      </c>
      <c r="AN45" s="277" t="s">
        <v>34685</v>
      </c>
      <c r="AO45" s="276" t="s">
        <v>34686</v>
      </c>
      <c r="AP45" s="277" t="s">
        <v>34596</v>
      </c>
      <c r="AQ45" s="276" t="s">
        <v>34639</v>
      </c>
      <c r="AR45" s="277"/>
      <c r="AS45" s="276"/>
      <c r="AT45" s="277" t="s">
        <v>31876</v>
      </c>
      <c r="AU45" s="276" t="s">
        <v>34642</v>
      </c>
      <c r="AV45" s="277" t="s">
        <v>34643</v>
      </c>
      <c r="AW45" s="276" t="s">
        <v>34644</v>
      </c>
      <c r="AX45" s="277"/>
      <c r="AY45" s="276"/>
      <c r="AZ45" s="277"/>
      <c r="BA45" s="276"/>
      <c r="BB45" s="48"/>
      <c r="BC45" s="48"/>
      <c r="BD45" s="48"/>
      <c r="BE45" s="48"/>
      <c r="BF45" s="48"/>
      <c r="BG45" s="48"/>
      <c r="BH45" s="48"/>
      <c r="BI45" s="48"/>
      <c r="BJ45" s="48"/>
      <c r="BK45" s="48"/>
      <c r="BL45" s="48"/>
      <c r="BM45" s="48"/>
      <c r="BN45" s="48"/>
      <c r="BO45" s="48"/>
      <c r="BP45" s="48"/>
      <c r="BQ45" s="48"/>
      <c r="BR45" s="48"/>
      <c r="BS45" s="48"/>
      <c r="BT45" s="48"/>
      <c r="BU45" s="48"/>
    </row>
    <row r="46" ht="15.75" customHeight="1">
      <c r="A46" s="275" t="s">
        <v>34953</v>
      </c>
      <c r="B46" s="275" t="s">
        <v>3632</v>
      </c>
      <c r="C46" s="275">
        <v>2016.0</v>
      </c>
      <c r="D46" s="275" t="s">
        <v>34954</v>
      </c>
      <c r="E46" s="276" t="s">
        <v>34955</v>
      </c>
      <c r="F46" s="275" t="s">
        <v>34956</v>
      </c>
      <c r="G46" s="275" t="s">
        <v>34957</v>
      </c>
      <c r="H46" s="277" t="s">
        <v>34568</v>
      </c>
      <c r="I46" s="277" t="s">
        <v>34804</v>
      </c>
      <c r="J46" s="277" t="s">
        <v>34568</v>
      </c>
      <c r="K46" s="277" t="s">
        <v>34569</v>
      </c>
      <c r="L46" s="277" t="s">
        <v>34613</v>
      </c>
      <c r="M46" s="276" t="s">
        <v>34614</v>
      </c>
      <c r="N46" s="277" t="s">
        <v>34675</v>
      </c>
      <c r="O46" s="276" t="s">
        <v>34676</v>
      </c>
      <c r="P46" s="277" t="s">
        <v>34573</v>
      </c>
      <c r="Q46" s="276" t="s">
        <v>34574</v>
      </c>
      <c r="R46" s="277" t="s">
        <v>34575</v>
      </c>
      <c r="S46" s="276" t="s">
        <v>34563</v>
      </c>
      <c r="T46" s="277" t="s">
        <v>34576</v>
      </c>
      <c r="U46" s="276" t="s">
        <v>34577</v>
      </c>
      <c r="V46" s="277" t="s">
        <v>34825</v>
      </c>
      <c r="W46" s="276" t="s">
        <v>34826</v>
      </c>
      <c r="X46" s="277" t="s">
        <v>34656</v>
      </c>
      <c r="Y46" s="276" t="s">
        <v>34657</v>
      </c>
      <c r="Z46" s="277" t="s">
        <v>34679</v>
      </c>
      <c r="AA46" s="276" t="s">
        <v>34680</v>
      </c>
      <c r="AB46" s="277"/>
      <c r="AC46" s="276"/>
      <c r="AD46" s="277" t="s">
        <v>34584</v>
      </c>
      <c r="AE46" s="276" t="s">
        <v>34681</v>
      </c>
      <c r="AF46" s="277" t="s">
        <v>34586</v>
      </c>
      <c r="AG46" s="276" t="s">
        <v>34682</v>
      </c>
      <c r="AH46" s="277" t="s">
        <v>34699</v>
      </c>
      <c r="AI46" s="276" t="s">
        <v>34700</v>
      </c>
      <c r="AJ46" s="277"/>
      <c r="AK46" s="276"/>
      <c r="AL46" s="277"/>
      <c r="AM46" s="276"/>
      <c r="AN46" s="277" t="s">
        <v>34685</v>
      </c>
      <c r="AO46" s="276" t="s">
        <v>34686</v>
      </c>
      <c r="AP46" s="277"/>
      <c r="AQ46" s="276"/>
      <c r="AR46" s="277"/>
      <c r="AS46" s="276"/>
      <c r="AT46" s="277" t="s">
        <v>34600</v>
      </c>
      <c r="AU46" s="276" t="s">
        <v>34687</v>
      </c>
      <c r="AV46" s="277" t="s">
        <v>34602</v>
      </c>
      <c r="AW46" s="276" t="s">
        <v>34688</v>
      </c>
      <c r="AX46" s="277"/>
      <c r="AY46" s="276"/>
      <c r="AZ46" s="277"/>
      <c r="BA46" s="276"/>
      <c r="BB46" s="48"/>
      <c r="BC46" s="48"/>
      <c r="BD46" s="48"/>
      <c r="BE46" s="48"/>
      <c r="BF46" s="48"/>
      <c r="BG46" s="48"/>
      <c r="BH46" s="48"/>
      <c r="BI46" s="48"/>
      <c r="BJ46" s="48"/>
      <c r="BK46" s="48"/>
      <c r="BL46" s="48"/>
      <c r="BM46" s="48"/>
      <c r="BN46" s="48"/>
      <c r="BO46" s="48"/>
      <c r="BP46" s="48"/>
      <c r="BQ46" s="48"/>
      <c r="BR46" s="48"/>
      <c r="BS46" s="48"/>
      <c r="BT46" s="48"/>
      <c r="BU46" s="48"/>
    </row>
    <row r="47" ht="15.75" customHeight="1">
      <c r="A47" s="275" t="s">
        <v>34958</v>
      </c>
      <c r="B47" s="275" t="s">
        <v>379</v>
      </c>
      <c r="C47" s="275">
        <v>2023.0</v>
      </c>
      <c r="D47" s="275" t="s">
        <v>34959</v>
      </c>
      <c r="E47" s="276" t="s">
        <v>34960</v>
      </c>
      <c r="F47" s="275" t="s">
        <v>34961</v>
      </c>
      <c r="G47" s="275" t="s">
        <v>34962</v>
      </c>
      <c r="H47" s="277" t="s">
        <v>34568</v>
      </c>
      <c r="I47" s="277" t="s">
        <v>34568</v>
      </c>
      <c r="J47" s="277" t="s">
        <v>34568</v>
      </c>
      <c r="K47" s="277" t="s">
        <v>34569</v>
      </c>
      <c r="L47" s="277" t="s">
        <v>34654</v>
      </c>
      <c r="M47" s="276" t="s">
        <v>34811</v>
      </c>
      <c r="N47" s="277" t="s">
        <v>34572</v>
      </c>
      <c r="O47" s="276" t="s">
        <v>34765</v>
      </c>
      <c r="P47" s="277" t="s">
        <v>34573</v>
      </c>
      <c r="Q47" s="276" t="s">
        <v>34574</v>
      </c>
      <c r="R47" s="277" t="s">
        <v>34575</v>
      </c>
      <c r="S47" s="276" t="s">
        <v>34563</v>
      </c>
      <c r="T47" s="277" t="s">
        <v>34576</v>
      </c>
      <c r="U47" s="276" t="s">
        <v>34577</v>
      </c>
      <c r="V47" s="277" t="s">
        <v>34825</v>
      </c>
      <c r="W47" s="276" t="s">
        <v>34826</v>
      </c>
      <c r="X47" s="277" t="s">
        <v>34580</v>
      </c>
      <c r="Y47" s="276" t="s">
        <v>34766</v>
      </c>
      <c r="Z47" s="277" t="s">
        <v>34679</v>
      </c>
      <c r="AA47" s="276" t="s">
        <v>34680</v>
      </c>
      <c r="AB47" s="277"/>
      <c r="AC47" s="276"/>
      <c r="AD47" s="277" t="s">
        <v>34584</v>
      </c>
      <c r="AE47" s="276" t="s">
        <v>34681</v>
      </c>
      <c r="AF47" s="277" t="s">
        <v>34586</v>
      </c>
      <c r="AG47" s="276" t="s">
        <v>34682</v>
      </c>
      <c r="AH47" s="277" t="s">
        <v>34699</v>
      </c>
      <c r="AI47" s="276" t="s">
        <v>34700</v>
      </c>
      <c r="AJ47" s="277"/>
      <c r="AK47" s="276"/>
      <c r="AL47" s="277" t="s">
        <v>34636</v>
      </c>
      <c r="AM47" s="276" t="s">
        <v>34770</v>
      </c>
      <c r="AN47" s="277" t="s">
        <v>34685</v>
      </c>
      <c r="AO47" s="276" t="s">
        <v>34686</v>
      </c>
      <c r="AP47" s="277" t="s">
        <v>34719</v>
      </c>
      <c r="AQ47" s="276" t="s">
        <v>34720</v>
      </c>
      <c r="AR47" s="277" t="s">
        <v>34666</v>
      </c>
      <c r="AS47" s="276" t="s">
        <v>34703</v>
      </c>
      <c r="AT47" s="277" t="s">
        <v>34600</v>
      </c>
      <c r="AU47" s="276" t="s">
        <v>34687</v>
      </c>
      <c r="AV47" s="277" t="s">
        <v>34602</v>
      </c>
      <c r="AW47" s="276" t="s">
        <v>34688</v>
      </c>
      <c r="AX47" s="277"/>
      <c r="AY47" s="276"/>
      <c r="AZ47" s="277"/>
      <c r="BA47" s="276"/>
      <c r="BB47" s="48"/>
      <c r="BC47" s="48"/>
      <c r="BD47" s="48"/>
      <c r="BE47" s="48"/>
      <c r="BF47" s="48"/>
      <c r="BG47" s="48"/>
      <c r="BH47" s="48"/>
      <c r="BI47" s="48"/>
      <c r="BJ47" s="48"/>
      <c r="BK47" s="48"/>
      <c r="BL47" s="48"/>
      <c r="BM47" s="48"/>
      <c r="BN47" s="48"/>
      <c r="BO47" s="48"/>
      <c r="BP47" s="48"/>
      <c r="BQ47" s="48"/>
      <c r="BR47" s="48"/>
      <c r="BS47" s="48"/>
      <c r="BT47" s="48"/>
      <c r="BU47" s="48"/>
    </row>
    <row r="48" ht="15.75" customHeight="1">
      <c r="A48" s="275" t="s">
        <v>34963</v>
      </c>
      <c r="B48" s="275" t="s">
        <v>3632</v>
      </c>
      <c r="C48" s="275">
        <v>2022.0</v>
      </c>
      <c r="D48" s="275" t="s">
        <v>34964</v>
      </c>
      <c r="E48" s="276" t="s">
        <v>34965</v>
      </c>
      <c r="F48" s="275" t="s">
        <v>34882</v>
      </c>
      <c r="G48" s="275" t="s">
        <v>34966</v>
      </c>
      <c r="H48" s="277" t="s">
        <v>34568</v>
      </c>
      <c r="I48" s="277" t="s">
        <v>34804</v>
      </c>
      <c r="J48" s="277" t="s">
        <v>34568</v>
      </c>
      <c r="K48" s="277" t="s">
        <v>34569</v>
      </c>
      <c r="L48" s="277" t="s">
        <v>34613</v>
      </c>
      <c r="M48" s="276" t="s">
        <v>34614</v>
      </c>
      <c r="N48" s="277" t="s">
        <v>34572</v>
      </c>
      <c r="O48" s="276" t="s">
        <v>34765</v>
      </c>
      <c r="P48" s="277" t="s">
        <v>34573</v>
      </c>
      <c r="Q48" s="276" t="s">
        <v>34574</v>
      </c>
      <c r="R48" s="277" t="s">
        <v>34575</v>
      </c>
      <c r="S48" s="276" t="s">
        <v>34563</v>
      </c>
      <c r="T48" s="277" t="s">
        <v>34576</v>
      </c>
      <c r="U48" s="276" t="s">
        <v>34577</v>
      </c>
      <c r="V48" s="277" t="s">
        <v>34622</v>
      </c>
      <c r="W48" s="276" t="s">
        <v>34677</v>
      </c>
      <c r="X48" s="277" t="s">
        <v>34580</v>
      </c>
      <c r="Y48" s="276" t="s">
        <v>34766</v>
      </c>
      <c r="Z48" s="277" t="s">
        <v>34711</v>
      </c>
      <c r="AA48" s="276" t="s">
        <v>34712</v>
      </c>
      <c r="AB48" s="277"/>
      <c r="AC48" s="276"/>
      <c r="AD48" s="277" t="s">
        <v>34584</v>
      </c>
      <c r="AE48" s="276" t="s">
        <v>34681</v>
      </c>
      <c r="AF48" s="277" t="s">
        <v>34586</v>
      </c>
      <c r="AG48" s="276" t="s">
        <v>34682</v>
      </c>
      <c r="AH48" s="277" t="s">
        <v>34588</v>
      </c>
      <c r="AI48" s="276" t="s">
        <v>34589</v>
      </c>
      <c r="AJ48" s="277"/>
      <c r="AK48" s="276"/>
      <c r="AL48" s="277"/>
      <c r="AM48" s="276"/>
      <c r="AN48" s="277" t="s">
        <v>34685</v>
      </c>
      <c r="AO48" s="276" t="s">
        <v>34686</v>
      </c>
      <c r="AP48" s="277"/>
      <c r="AQ48" s="276"/>
      <c r="AR48" s="277"/>
      <c r="AS48" s="276"/>
      <c r="AT48" s="277" t="s">
        <v>34600</v>
      </c>
      <c r="AU48" s="276" t="s">
        <v>34687</v>
      </c>
      <c r="AV48" s="277" t="s">
        <v>34602</v>
      </c>
      <c r="AW48" s="276" t="s">
        <v>34688</v>
      </c>
      <c r="AX48" s="277"/>
      <c r="AY48" s="276"/>
      <c r="AZ48" s="277"/>
      <c r="BA48" s="276"/>
      <c r="BB48" s="48"/>
      <c r="BC48" s="48"/>
      <c r="BD48" s="48"/>
      <c r="BE48" s="48"/>
      <c r="BF48" s="48"/>
      <c r="BG48" s="48"/>
      <c r="BH48" s="48"/>
      <c r="BI48" s="48"/>
      <c r="BJ48" s="48"/>
      <c r="BK48" s="48"/>
      <c r="BL48" s="48"/>
      <c r="BM48" s="48"/>
      <c r="BN48" s="48"/>
      <c r="BO48" s="48"/>
      <c r="BP48" s="48"/>
      <c r="BQ48" s="48"/>
      <c r="BR48" s="48"/>
      <c r="BS48" s="48"/>
      <c r="BT48" s="48"/>
      <c r="BU48" s="48"/>
    </row>
    <row r="49" ht="15.75" customHeight="1">
      <c r="A49" s="275" t="s">
        <v>34967</v>
      </c>
      <c r="B49" s="275" t="s">
        <v>379</v>
      </c>
      <c r="C49" s="275">
        <v>2015.0</v>
      </c>
      <c r="D49" s="275" t="s">
        <v>34968</v>
      </c>
      <c r="E49" s="276" t="s">
        <v>34969</v>
      </c>
      <c r="F49" s="275" t="s">
        <v>34897</v>
      </c>
      <c r="G49" s="275" t="s">
        <v>34970</v>
      </c>
      <c r="H49" s="277" t="s">
        <v>34568</v>
      </c>
      <c r="I49" s="277" t="s">
        <v>34804</v>
      </c>
      <c r="J49" s="277" t="s">
        <v>34568</v>
      </c>
      <c r="K49" s="277" t="s">
        <v>34569</v>
      </c>
      <c r="L49" s="277" t="s">
        <v>34654</v>
      </c>
      <c r="M49" s="276" t="s">
        <v>34811</v>
      </c>
      <c r="N49" s="277" t="s">
        <v>34572</v>
      </c>
      <c r="O49" s="276" t="s">
        <v>34765</v>
      </c>
      <c r="P49" s="277" t="s">
        <v>34616</v>
      </c>
      <c r="Q49" s="276" t="s">
        <v>34617</v>
      </c>
      <c r="R49" s="277" t="s">
        <v>34575</v>
      </c>
      <c r="S49" s="276" t="s">
        <v>34563</v>
      </c>
      <c r="T49" s="277" t="s">
        <v>34576</v>
      </c>
      <c r="U49" s="276" t="s">
        <v>34577</v>
      </c>
      <c r="V49" s="277" t="s">
        <v>34825</v>
      </c>
      <c r="W49" s="276" t="s">
        <v>34826</v>
      </c>
      <c r="X49" s="277" t="s">
        <v>34656</v>
      </c>
      <c r="Y49" s="276" t="s">
        <v>34657</v>
      </c>
      <c r="Z49" s="277" t="s">
        <v>34679</v>
      </c>
      <c r="AA49" s="276" t="s">
        <v>34680</v>
      </c>
      <c r="AB49" s="277"/>
      <c r="AC49" s="276"/>
      <c r="AD49" s="277" t="s">
        <v>34584</v>
      </c>
      <c r="AE49" s="276" t="s">
        <v>34681</v>
      </c>
      <c r="AF49" s="277" t="s">
        <v>34586</v>
      </c>
      <c r="AG49" s="276" t="s">
        <v>34682</v>
      </c>
      <c r="AH49" s="277"/>
      <c r="AI49" s="276"/>
      <c r="AJ49" s="277"/>
      <c r="AK49" s="276"/>
      <c r="AL49" s="277" t="s">
        <v>34636</v>
      </c>
      <c r="AM49" s="276"/>
      <c r="AN49" s="277" t="s">
        <v>34685</v>
      </c>
      <c r="AO49" s="276" t="s">
        <v>34686</v>
      </c>
      <c r="AP49" s="277" t="s">
        <v>34719</v>
      </c>
      <c r="AQ49" s="276" t="s">
        <v>34720</v>
      </c>
      <c r="AR49" s="277" t="s">
        <v>34666</v>
      </c>
      <c r="AS49" s="276" t="s">
        <v>34703</v>
      </c>
      <c r="AT49" s="277" t="s">
        <v>34600</v>
      </c>
      <c r="AU49" s="276" t="s">
        <v>34687</v>
      </c>
      <c r="AV49" s="277" t="s">
        <v>34602</v>
      </c>
      <c r="AW49" s="276" t="s">
        <v>34688</v>
      </c>
      <c r="AX49" s="277"/>
      <c r="AY49" s="276"/>
      <c r="AZ49" s="277"/>
      <c r="BA49" s="276"/>
      <c r="BB49" s="48"/>
      <c r="BC49" s="48"/>
      <c r="BD49" s="48"/>
      <c r="BE49" s="48"/>
      <c r="BF49" s="48"/>
      <c r="BG49" s="48"/>
      <c r="BH49" s="48"/>
      <c r="BI49" s="48"/>
      <c r="BJ49" s="48"/>
      <c r="BK49" s="48"/>
      <c r="BL49" s="48"/>
      <c r="BM49" s="48"/>
      <c r="BN49" s="48"/>
      <c r="BO49" s="48"/>
      <c r="BP49" s="48"/>
      <c r="BQ49" s="48"/>
      <c r="BR49" s="48"/>
      <c r="BS49" s="48"/>
      <c r="BT49" s="48"/>
      <c r="BU49" s="48"/>
    </row>
    <row r="50" ht="15.75" customHeight="1">
      <c r="A50" s="275" t="s">
        <v>34971</v>
      </c>
      <c r="B50" s="275" t="s">
        <v>379</v>
      </c>
      <c r="C50" s="275">
        <v>2020.0</v>
      </c>
      <c r="D50" s="275" t="s">
        <v>34972</v>
      </c>
      <c r="E50" s="276" t="s">
        <v>34973</v>
      </c>
      <c r="F50" s="275" t="s">
        <v>34974</v>
      </c>
      <c r="G50" s="275" t="s">
        <v>34975</v>
      </c>
      <c r="H50" s="277" t="s">
        <v>34568</v>
      </c>
      <c r="I50" s="277" t="s">
        <v>34804</v>
      </c>
      <c r="J50" s="277" t="s">
        <v>34568</v>
      </c>
      <c r="K50" s="277" t="s">
        <v>34569</v>
      </c>
      <c r="L50" s="277" t="s">
        <v>34613</v>
      </c>
      <c r="M50" s="276" t="s">
        <v>34614</v>
      </c>
      <c r="N50" s="277" t="s">
        <v>34572</v>
      </c>
      <c r="O50" s="276" t="s">
        <v>34765</v>
      </c>
      <c r="P50" s="277" t="s">
        <v>34573</v>
      </c>
      <c r="Q50" s="276" t="s">
        <v>34574</v>
      </c>
      <c r="R50" s="277" t="s">
        <v>34575</v>
      </c>
      <c r="S50" s="276" t="s">
        <v>34563</v>
      </c>
      <c r="T50" s="277" t="s">
        <v>34576</v>
      </c>
      <c r="U50" s="276" t="s">
        <v>34577</v>
      </c>
      <c r="V50" s="277" t="s">
        <v>34622</v>
      </c>
      <c r="W50" s="276" t="s">
        <v>34677</v>
      </c>
      <c r="X50" s="277" t="s">
        <v>34656</v>
      </c>
      <c r="Y50" s="276" t="s">
        <v>34657</v>
      </c>
      <c r="Z50" s="277" t="s">
        <v>34679</v>
      </c>
      <c r="AA50" s="276" t="s">
        <v>34680</v>
      </c>
      <c r="AB50" s="277"/>
      <c r="AC50" s="276"/>
      <c r="AD50" s="277" t="s">
        <v>34584</v>
      </c>
      <c r="AE50" s="276" t="s">
        <v>34681</v>
      </c>
      <c r="AF50" s="277" t="s">
        <v>34586</v>
      </c>
      <c r="AG50" s="276" t="s">
        <v>34682</v>
      </c>
      <c r="AH50" s="277"/>
      <c r="AI50" s="276"/>
      <c r="AJ50" s="277"/>
      <c r="AK50" s="276"/>
      <c r="AL50" s="277"/>
      <c r="AM50" s="276"/>
      <c r="AN50" s="277" t="s">
        <v>34685</v>
      </c>
      <c r="AO50" s="276" t="s">
        <v>34686</v>
      </c>
      <c r="AP50" s="277" t="s">
        <v>34719</v>
      </c>
      <c r="AQ50" s="276" t="s">
        <v>34720</v>
      </c>
      <c r="AR50" s="277"/>
      <c r="AS50" s="276"/>
      <c r="AT50" s="277" t="s">
        <v>34600</v>
      </c>
      <c r="AU50" s="276" t="s">
        <v>34687</v>
      </c>
      <c r="AV50" s="277" t="s">
        <v>34602</v>
      </c>
      <c r="AW50" s="276" t="s">
        <v>34688</v>
      </c>
      <c r="AX50" s="277"/>
      <c r="AY50" s="276"/>
      <c r="AZ50" s="277"/>
      <c r="BA50" s="276"/>
      <c r="BB50" s="48"/>
      <c r="BC50" s="48"/>
      <c r="BD50" s="48"/>
      <c r="BE50" s="48"/>
      <c r="BF50" s="48"/>
      <c r="BG50" s="48"/>
      <c r="BH50" s="48"/>
      <c r="BI50" s="48"/>
      <c r="BJ50" s="48"/>
      <c r="BK50" s="48"/>
      <c r="BL50" s="48"/>
      <c r="BM50" s="48"/>
      <c r="BN50" s="48"/>
      <c r="BO50" s="48"/>
      <c r="BP50" s="48"/>
      <c r="BQ50" s="48"/>
      <c r="BR50" s="48"/>
      <c r="BS50" s="48"/>
      <c r="BT50" s="48"/>
      <c r="BU50" s="48"/>
    </row>
    <row r="51" ht="15.75" customHeight="1">
      <c r="A51" s="275" t="s">
        <v>34976</v>
      </c>
      <c r="B51" s="275" t="s">
        <v>3632</v>
      </c>
      <c r="C51" s="275">
        <v>2017.0</v>
      </c>
      <c r="D51" s="275" t="s">
        <v>34977</v>
      </c>
      <c r="E51" s="276" t="s">
        <v>34978</v>
      </c>
      <c r="F51" s="275" t="s">
        <v>16436</v>
      </c>
      <c r="G51" s="275" t="s">
        <v>34979</v>
      </c>
      <c r="H51" s="277" t="s">
        <v>34804</v>
      </c>
      <c r="I51" s="277" t="s">
        <v>34804</v>
      </c>
      <c r="J51" s="277" t="s">
        <v>34804</v>
      </c>
      <c r="K51" s="277" t="s">
        <v>34815</v>
      </c>
      <c r="L51" s="277"/>
      <c r="M51" s="276"/>
      <c r="N51" s="277"/>
      <c r="O51" s="276"/>
      <c r="P51" s="277"/>
      <c r="Q51" s="276"/>
      <c r="R51" s="277"/>
      <c r="S51" s="276"/>
      <c r="T51" s="277"/>
      <c r="U51" s="276"/>
      <c r="V51" s="277"/>
      <c r="W51" s="276"/>
      <c r="X51" s="277"/>
      <c r="Y51" s="276"/>
      <c r="Z51" s="277"/>
      <c r="AA51" s="276"/>
      <c r="AB51" s="277"/>
      <c r="AC51" s="276"/>
      <c r="AD51" s="277"/>
      <c r="AE51" s="276"/>
      <c r="AF51" s="277"/>
      <c r="AG51" s="276"/>
      <c r="AH51" s="277"/>
      <c r="AI51" s="276"/>
      <c r="AJ51" s="277"/>
      <c r="AK51" s="276"/>
      <c r="AL51" s="277"/>
      <c r="AM51" s="276"/>
      <c r="AN51" s="277"/>
      <c r="AO51" s="276"/>
      <c r="AP51" s="277"/>
      <c r="AQ51" s="276"/>
      <c r="AR51" s="277"/>
      <c r="AS51" s="276"/>
      <c r="AT51" s="277"/>
      <c r="AU51" s="276"/>
      <c r="AV51" s="277"/>
      <c r="AW51" s="276"/>
      <c r="AX51" s="277"/>
      <c r="AY51" s="276"/>
      <c r="AZ51" s="277"/>
      <c r="BA51" s="276"/>
      <c r="BB51" s="48"/>
      <c r="BC51" s="48"/>
      <c r="BD51" s="48"/>
      <c r="BE51" s="48"/>
      <c r="BF51" s="48"/>
      <c r="BG51" s="48"/>
      <c r="BH51" s="48"/>
      <c r="BI51" s="48"/>
      <c r="BJ51" s="48"/>
      <c r="BK51" s="48"/>
      <c r="BL51" s="48"/>
      <c r="BM51" s="48"/>
      <c r="BN51" s="48"/>
      <c r="BO51" s="48"/>
      <c r="BP51" s="48"/>
      <c r="BQ51" s="48"/>
      <c r="BR51" s="48"/>
      <c r="BS51" s="48"/>
      <c r="BT51" s="48"/>
      <c r="BU51" s="48"/>
    </row>
    <row r="52" ht="15.75" customHeight="1">
      <c r="A52" s="275" t="s">
        <v>34980</v>
      </c>
      <c r="B52" s="275" t="s">
        <v>3632</v>
      </c>
      <c r="C52" s="275">
        <v>2016.0</v>
      </c>
      <c r="D52" s="275" t="s">
        <v>34981</v>
      </c>
      <c r="E52" s="276" t="s">
        <v>34982</v>
      </c>
      <c r="F52" s="275" t="s">
        <v>34983</v>
      </c>
      <c r="G52" s="275" t="s">
        <v>34984</v>
      </c>
      <c r="H52" s="277" t="s">
        <v>34568</v>
      </c>
      <c r="I52" s="277" t="s">
        <v>34804</v>
      </c>
      <c r="J52" s="277" t="s">
        <v>34568</v>
      </c>
      <c r="K52" s="277" t="s">
        <v>34569</v>
      </c>
      <c r="L52" s="277" t="s">
        <v>34654</v>
      </c>
      <c r="M52" s="276" t="s">
        <v>34811</v>
      </c>
      <c r="N52" s="277" t="s">
        <v>34572</v>
      </c>
      <c r="O52" s="276" t="s">
        <v>34765</v>
      </c>
      <c r="P52" s="277" t="s">
        <v>34573</v>
      </c>
      <c r="Q52" s="276" t="s">
        <v>34574</v>
      </c>
      <c r="R52" s="277" t="s">
        <v>34985</v>
      </c>
      <c r="S52" s="276" t="s">
        <v>34563</v>
      </c>
      <c r="T52" s="277" t="s">
        <v>34576</v>
      </c>
      <c r="U52" s="276" t="s">
        <v>34577</v>
      </c>
      <c r="V52" s="277" t="s">
        <v>34578</v>
      </c>
      <c r="W52" s="276" t="s">
        <v>34776</v>
      </c>
      <c r="X52" s="277" t="s">
        <v>34580</v>
      </c>
      <c r="Y52" s="276" t="s">
        <v>34766</v>
      </c>
      <c r="Z52" s="277" t="s">
        <v>34679</v>
      </c>
      <c r="AA52" s="276" t="s">
        <v>34680</v>
      </c>
      <c r="AB52" s="277"/>
      <c r="AC52" s="276"/>
      <c r="AD52" s="277" t="s">
        <v>34584</v>
      </c>
      <c r="AE52" s="276" t="s">
        <v>34681</v>
      </c>
      <c r="AF52" s="277" t="s">
        <v>34586</v>
      </c>
      <c r="AG52" s="276" t="s">
        <v>34682</v>
      </c>
      <c r="AH52" s="277"/>
      <c r="AI52" s="276"/>
      <c r="AJ52" s="277" t="s">
        <v>34716</v>
      </c>
      <c r="AK52" s="276" t="s">
        <v>34717</v>
      </c>
      <c r="AL52" s="277"/>
      <c r="AM52" s="276"/>
      <c r="AN52" s="277" t="s">
        <v>34685</v>
      </c>
      <c r="AO52" s="276" t="s">
        <v>34686</v>
      </c>
      <c r="AP52" s="277" t="s">
        <v>34719</v>
      </c>
      <c r="AQ52" s="276" t="s">
        <v>34720</v>
      </c>
      <c r="AR52" s="277"/>
      <c r="AS52" s="276"/>
      <c r="AT52" s="277" t="s">
        <v>34600</v>
      </c>
      <c r="AU52" s="276" t="s">
        <v>34687</v>
      </c>
      <c r="AV52" s="277" t="s">
        <v>34602</v>
      </c>
      <c r="AW52" s="276" t="s">
        <v>34688</v>
      </c>
      <c r="AX52" s="277"/>
      <c r="AY52" s="276"/>
      <c r="AZ52" s="277"/>
      <c r="BA52" s="276"/>
      <c r="BB52" s="48"/>
      <c r="BC52" s="48"/>
      <c r="BD52" s="48"/>
      <c r="BE52" s="48"/>
      <c r="BF52" s="48"/>
      <c r="BG52" s="48"/>
      <c r="BH52" s="48"/>
      <c r="BI52" s="48"/>
      <c r="BJ52" s="48"/>
      <c r="BK52" s="48"/>
      <c r="BL52" s="48"/>
      <c r="BM52" s="48"/>
      <c r="BN52" s="48"/>
      <c r="BO52" s="48"/>
      <c r="BP52" s="48"/>
      <c r="BQ52" s="48"/>
      <c r="BR52" s="48"/>
      <c r="BS52" s="48"/>
      <c r="BT52" s="48"/>
      <c r="BU52" s="48"/>
    </row>
    <row r="53" ht="15.75" customHeight="1">
      <c r="A53" s="275" t="s">
        <v>34986</v>
      </c>
      <c r="B53" s="275" t="s">
        <v>3632</v>
      </c>
      <c r="C53" s="275">
        <v>2017.0</v>
      </c>
      <c r="D53" s="275" t="s">
        <v>34987</v>
      </c>
      <c r="E53" s="276" t="s">
        <v>34988</v>
      </c>
      <c r="F53" s="275" t="s">
        <v>34708</v>
      </c>
      <c r="G53" s="275" t="s">
        <v>34989</v>
      </c>
      <c r="H53" s="277" t="s">
        <v>34568</v>
      </c>
      <c r="I53" s="277" t="s">
        <v>34804</v>
      </c>
      <c r="J53" s="277" t="s">
        <v>34568</v>
      </c>
      <c r="K53" s="277" t="s">
        <v>34569</v>
      </c>
      <c r="L53" s="277" t="s">
        <v>34613</v>
      </c>
      <c r="M53" s="276" t="s">
        <v>34614</v>
      </c>
      <c r="N53" s="277" t="s">
        <v>34572</v>
      </c>
      <c r="O53" s="276" t="s">
        <v>34765</v>
      </c>
      <c r="P53" s="277" t="s">
        <v>34573</v>
      </c>
      <c r="Q53" s="276" t="s">
        <v>34574</v>
      </c>
      <c r="R53" s="277" t="s">
        <v>34575</v>
      </c>
      <c r="S53" s="276" t="s">
        <v>34563</v>
      </c>
      <c r="T53" s="277" t="s">
        <v>34576</v>
      </c>
      <c r="U53" s="276" t="s">
        <v>34577</v>
      </c>
      <c r="V53" s="277" t="s">
        <v>34578</v>
      </c>
      <c r="W53" s="276" t="s">
        <v>34776</v>
      </c>
      <c r="X53" s="277" t="s">
        <v>34783</v>
      </c>
      <c r="Y53" s="276" t="s">
        <v>34784</v>
      </c>
      <c r="Z53" s="277" t="s">
        <v>34711</v>
      </c>
      <c r="AA53" s="276" t="s">
        <v>34712</v>
      </c>
      <c r="AB53" s="277"/>
      <c r="AC53" s="276"/>
      <c r="AD53" s="277" t="s">
        <v>34584</v>
      </c>
      <c r="AE53" s="276" t="s">
        <v>34681</v>
      </c>
      <c r="AF53" s="277" t="s">
        <v>34586</v>
      </c>
      <c r="AG53" s="276" t="s">
        <v>34682</v>
      </c>
      <c r="AH53" s="277" t="s">
        <v>34699</v>
      </c>
      <c r="AI53" s="276" t="s">
        <v>34700</v>
      </c>
      <c r="AJ53" s="277"/>
      <c r="AK53" s="276"/>
      <c r="AL53" s="277" t="s">
        <v>34636</v>
      </c>
      <c r="AM53" s="276" t="s">
        <v>34770</v>
      </c>
      <c r="AN53" s="277" t="s">
        <v>34685</v>
      </c>
      <c r="AO53" s="276" t="s">
        <v>34686</v>
      </c>
      <c r="AP53" s="277"/>
      <c r="AQ53" s="276"/>
      <c r="AR53" s="277"/>
      <c r="AS53" s="276"/>
      <c r="AT53" s="277" t="s">
        <v>34600</v>
      </c>
      <c r="AU53" s="276" t="s">
        <v>34687</v>
      </c>
      <c r="AV53" s="277" t="s">
        <v>34602</v>
      </c>
      <c r="AW53" s="276" t="s">
        <v>34688</v>
      </c>
      <c r="AX53" s="277"/>
      <c r="AY53" s="276"/>
      <c r="AZ53" s="277"/>
      <c r="BA53" s="276"/>
      <c r="BB53" s="48"/>
      <c r="BC53" s="48"/>
      <c r="BD53" s="48"/>
      <c r="BE53" s="48"/>
      <c r="BF53" s="48"/>
      <c r="BG53" s="48"/>
      <c r="BH53" s="48"/>
      <c r="BI53" s="48"/>
      <c r="BJ53" s="48"/>
      <c r="BK53" s="48"/>
      <c r="BL53" s="48"/>
      <c r="BM53" s="48"/>
      <c r="BN53" s="48"/>
      <c r="BO53" s="48"/>
      <c r="BP53" s="48"/>
      <c r="BQ53" s="48"/>
      <c r="BR53" s="48"/>
      <c r="BS53" s="48"/>
      <c r="BT53" s="48"/>
      <c r="BU53" s="48"/>
    </row>
    <row r="54" ht="15.75" customHeight="1">
      <c r="A54" s="275" t="s">
        <v>34990</v>
      </c>
      <c r="B54" s="275" t="s">
        <v>3632</v>
      </c>
      <c r="C54" s="275">
        <v>2017.0</v>
      </c>
      <c r="D54" s="275" t="s">
        <v>34991</v>
      </c>
      <c r="E54" s="276" t="s">
        <v>34992</v>
      </c>
      <c r="F54" s="275" t="s">
        <v>22802</v>
      </c>
      <c r="G54" s="275" t="s">
        <v>34993</v>
      </c>
      <c r="H54" s="277" t="s">
        <v>34568</v>
      </c>
      <c r="I54" s="277" t="s">
        <v>34804</v>
      </c>
      <c r="J54" s="277" t="s">
        <v>34568</v>
      </c>
      <c r="K54" s="277" t="s">
        <v>34569</v>
      </c>
      <c r="L54" s="277" t="s">
        <v>34613</v>
      </c>
      <c r="M54" s="276" t="s">
        <v>34614</v>
      </c>
      <c r="N54" s="277" t="s">
        <v>34872</v>
      </c>
      <c r="O54" s="276" t="s">
        <v>34994</v>
      </c>
      <c r="P54" s="277" t="s">
        <v>34573</v>
      </c>
      <c r="Q54" s="276" t="s">
        <v>34574</v>
      </c>
      <c r="R54" s="277" t="s">
        <v>34575</v>
      </c>
      <c r="S54" s="276" t="s">
        <v>34563</v>
      </c>
      <c r="T54" s="277" t="s">
        <v>34576</v>
      </c>
      <c r="U54" s="276" t="s">
        <v>34577</v>
      </c>
      <c r="V54" s="277" t="s">
        <v>34622</v>
      </c>
      <c r="W54" s="276" t="s">
        <v>34938</v>
      </c>
      <c r="X54" s="277" t="s">
        <v>34580</v>
      </c>
      <c r="Y54" s="276" t="s">
        <v>34766</v>
      </c>
      <c r="Z54" s="277" t="s">
        <v>34711</v>
      </c>
      <c r="AA54" s="276" t="s">
        <v>34712</v>
      </c>
      <c r="AB54" s="277"/>
      <c r="AC54" s="276"/>
      <c r="AD54" s="277" t="s">
        <v>34584</v>
      </c>
      <c r="AE54" s="276" t="s">
        <v>34681</v>
      </c>
      <c r="AF54" s="277" t="s">
        <v>34586</v>
      </c>
      <c r="AG54" s="276" t="s">
        <v>34682</v>
      </c>
      <c r="AH54" s="278" t="s">
        <v>34699</v>
      </c>
      <c r="AI54" s="276" t="s">
        <v>34700</v>
      </c>
      <c r="AJ54" s="278" t="s">
        <v>34634</v>
      </c>
      <c r="AK54" s="279" t="s">
        <v>34635</v>
      </c>
      <c r="AL54" s="277"/>
      <c r="AM54" s="276"/>
      <c r="AN54" s="277" t="s">
        <v>34685</v>
      </c>
      <c r="AO54" s="276" t="s">
        <v>34686</v>
      </c>
      <c r="AP54" s="277" t="s">
        <v>34719</v>
      </c>
      <c r="AQ54" s="276" t="s">
        <v>34720</v>
      </c>
      <c r="AR54" s="277"/>
      <c r="AS54" s="276"/>
      <c r="AT54" s="277" t="s">
        <v>34600</v>
      </c>
      <c r="AU54" s="276" t="s">
        <v>34687</v>
      </c>
      <c r="AV54" s="277" t="s">
        <v>34602</v>
      </c>
      <c r="AW54" s="276" t="s">
        <v>34688</v>
      </c>
      <c r="AX54" s="277"/>
      <c r="AY54" s="276"/>
      <c r="AZ54" s="277"/>
      <c r="BA54" s="276"/>
      <c r="BB54" s="48"/>
      <c r="BC54" s="48"/>
      <c r="BD54" s="48"/>
      <c r="BE54" s="48"/>
      <c r="BF54" s="48"/>
      <c r="BG54" s="48"/>
      <c r="BH54" s="48"/>
      <c r="BI54" s="48"/>
      <c r="BJ54" s="48"/>
      <c r="BK54" s="48"/>
      <c r="BL54" s="48"/>
      <c r="BM54" s="48"/>
      <c r="BN54" s="48"/>
      <c r="BO54" s="48"/>
      <c r="BP54" s="48"/>
      <c r="BQ54" s="48"/>
      <c r="BR54" s="48"/>
      <c r="BS54" s="48"/>
      <c r="BT54" s="48"/>
      <c r="BU54" s="48"/>
    </row>
    <row r="55" ht="15.75" customHeight="1">
      <c r="A55" s="275" t="s">
        <v>34995</v>
      </c>
      <c r="B55" s="275" t="s">
        <v>3632</v>
      </c>
      <c r="C55" s="275">
        <v>2023.0</v>
      </c>
      <c r="D55" s="275" t="s">
        <v>34996</v>
      </c>
      <c r="E55" s="276" t="s">
        <v>34997</v>
      </c>
      <c r="F55" s="275" t="s">
        <v>22620</v>
      </c>
      <c r="G55" s="275" t="s">
        <v>34998</v>
      </c>
      <c r="H55" s="277" t="s">
        <v>34568</v>
      </c>
      <c r="I55" s="277" t="s">
        <v>34568</v>
      </c>
      <c r="J55" s="277" t="s">
        <v>34568</v>
      </c>
      <c r="K55" s="277" t="s">
        <v>34569</v>
      </c>
      <c r="L55" s="277" t="s">
        <v>34654</v>
      </c>
      <c r="M55" s="276" t="s">
        <v>34811</v>
      </c>
      <c r="N55" s="277" t="s">
        <v>34572</v>
      </c>
      <c r="O55" s="276" t="s">
        <v>34765</v>
      </c>
      <c r="P55" s="277" t="s">
        <v>34616</v>
      </c>
      <c r="Q55" s="276" t="s">
        <v>34617</v>
      </c>
      <c r="R55" s="277" t="s">
        <v>34618</v>
      </c>
      <c r="S55" s="276" t="s">
        <v>34619</v>
      </c>
      <c r="T55" s="277" t="s">
        <v>34576</v>
      </c>
      <c r="U55" s="276" t="s">
        <v>34577</v>
      </c>
      <c r="V55" s="277" t="s">
        <v>34622</v>
      </c>
      <c r="W55" s="276" t="s">
        <v>34677</v>
      </c>
      <c r="X55" s="277" t="s">
        <v>34783</v>
      </c>
      <c r="Y55" s="276" t="s">
        <v>34784</v>
      </c>
      <c r="Z55" s="277" t="s">
        <v>34625</v>
      </c>
      <c r="AA55" s="276" t="s">
        <v>34767</v>
      </c>
      <c r="AB55" s="277" t="s">
        <v>34627</v>
      </c>
      <c r="AC55" s="276" t="s">
        <v>34658</v>
      </c>
      <c r="AD55" s="277" t="s">
        <v>34629</v>
      </c>
      <c r="AE55" s="276" t="s">
        <v>34769</v>
      </c>
      <c r="AF55" s="277" t="s">
        <v>34631</v>
      </c>
      <c r="AG55" s="276" t="s">
        <v>34632</v>
      </c>
      <c r="AH55" s="277" t="s">
        <v>34588</v>
      </c>
      <c r="AI55" s="276" t="s">
        <v>34589</v>
      </c>
      <c r="AJ55" s="277"/>
      <c r="AK55" s="276"/>
      <c r="AL55" s="277"/>
      <c r="AM55" s="276"/>
      <c r="AN55" s="277" t="s">
        <v>34594</v>
      </c>
      <c r="AO55" s="276" t="s">
        <v>34738</v>
      </c>
      <c r="AP55" s="277" t="s">
        <v>34596</v>
      </c>
      <c r="AQ55" s="276" t="s">
        <v>34639</v>
      </c>
      <c r="AR55" s="277" t="s">
        <v>34666</v>
      </c>
      <c r="AS55" s="276" t="s">
        <v>34703</v>
      </c>
      <c r="AT55" s="277" t="s">
        <v>31876</v>
      </c>
      <c r="AU55" s="276" t="s">
        <v>34642</v>
      </c>
      <c r="AV55" s="277" t="s">
        <v>34643</v>
      </c>
      <c r="AW55" s="276" t="s">
        <v>34644</v>
      </c>
      <c r="AX55" s="277" t="s">
        <v>34645</v>
      </c>
      <c r="AY55" s="276" t="s">
        <v>34646</v>
      </c>
      <c r="AZ55" s="277"/>
      <c r="BA55" s="276"/>
      <c r="BB55" s="48"/>
      <c r="BC55" s="48"/>
      <c r="BD55" s="48"/>
      <c r="BE55" s="48"/>
      <c r="BF55" s="48"/>
      <c r="BG55" s="48"/>
      <c r="BH55" s="48"/>
      <c r="BI55" s="48"/>
      <c r="BJ55" s="48"/>
      <c r="BK55" s="48"/>
      <c r="BL55" s="48"/>
      <c r="BM55" s="48"/>
      <c r="BN55" s="48"/>
      <c r="BO55" s="48"/>
      <c r="BP55" s="48"/>
      <c r="BQ55" s="48"/>
      <c r="BR55" s="48"/>
      <c r="BS55" s="48"/>
      <c r="BT55" s="48"/>
      <c r="BU55" s="48"/>
    </row>
    <row r="56" ht="15.75" customHeight="1">
      <c r="A56" s="275" t="s">
        <v>34999</v>
      </c>
      <c r="B56" s="275" t="s">
        <v>3632</v>
      </c>
      <c r="C56" s="275">
        <v>2019.0</v>
      </c>
      <c r="D56" s="275" t="s">
        <v>35000</v>
      </c>
      <c r="E56" s="276" t="s">
        <v>35001</v>
      </c>
      <c r="F56" s="275" t="s">
        <v>34708</v>
      </c>
      <c r="G56" s="275" t="s">
        <v>35002</v>
      </c>
      <c r="H56" s="277" t="s">
        <v>34568</v>
      </c>
      <c r="I56" s="277" t="s">
        <v>34804</v>
      </c>
      <c r="J56" s="277" t="s">
        <v>34568</v>
      </c>
      <c r="K56" s="277" t="s">
        <v>34569</v>
      </c>
      <c r="L56" s="277" t="s">
        <v>34654</v>
      </c>
      <c r="M56" s="276" t="s">
        <v>34811</v>
      </c>
      <c r="N56" s="277" t="s">
        <v>34572</v>
      </c>
      <c r="O56" s="276" t="s">
        <v>34765</v>
      </c>
      <c r="P56" s="277" t="s">
        <v>34573</v>
      </c>
      <c r="Q56" s="276" t="s">
        <v>34574</v>
      </c>
      <c r="R56" s="277" t="s">
        <v>34575</v>
      </c>
      <c r="S56" s="276" t="s">
        <v>34563</v>
      </c>
      <c r="T56" s="277" t="s">
        <v>34576</v>
      </c>
      <c r="U56" s="276" t="s">
        <v>34577</v>
      </c>
      <c r="V56" s="277" t="s">
        <v>34622</v>
      </c>
      <c r="W56" s="276" t="s">
        <v>34677</v>
      </c>
      <c r="X56" s="277" t="s">
        <v>34580</v>
      </c>
      <c r="Y56" s="276" t="s">
        <v>34766</v>
      </c>
      <c r="Z56" s="277" t="s">
        <v>34679</v>
      </c>
      <c r="AA56" s="276" t="s">
        <v>34680</v>
      </c>
      <c r="AB56" s="277"/>
      <c r="AC56" s="276"/>
      <c r="AD56" s="277" t="s">
        <v>34584</v>
      </c>
      <c r="AE56" s="276" t="s">
        <v>34681</v>
      </c>
      <c r="AF56" s="277" t="s">
        <v>34586</v>
      </c>
      <c r="AG56" s="276" t="s">
        <v>34682</v>
      </c>
      <c r="AH56" s="278"/>
      <c r="AI56" s="279"/>
      <c r="AJ56" s="278" t="s">
        <v>34590</v>
      </c>
      <c r="AK56" s="279" t="s">
        <v>34591</v>
      </c>
      <c r="AL56" s="277" t="s">
        <v>34636</v>
      </c>
      <c r="AM56" s="276" t="s">
        <v>34770</v>
      </c>
      <c r="AN56" s="277" t="s">
        <v>34685</v>
      </c>
      <c r="AO56" s="276" t="s">
        <v>34686</v>
      </c>
      <c r="AP56" s="277" t="s">
        <v>34719</v>
      </c>
      <c r="AQ56" s="276" t="s">
        <v>34720</v>
      </c>
      <c r="AR56" s="277"/>
      <c r="AS56" s="276"/>
      <c r="AT56" s="277" t="s">
        <v>34600</v>
      </c>
      <c r="AU56" s="276" t="s">
        <v>34687</v>
      </c>
      <c r="AV56" s="277" t="s">
        <v>34602</v>
      </c>
      <c r="AW56" s="276" t="s">
        <v>34688</v>
      </c>
      <c r="AX56" s="277"/>
      <c r="AY56" s="276"/>
      <c r="AZ56" s="277"/>
      <c r="BA56" s="276"/>
      <c r="BB56" s="48"/>
      <c r="BC56" s="48"/>
      <c r="BD56" s="48"/>
      <c r="BE56" s="48"/>
      <c r="BF56" s="48"/>
      <c r="BG56" s="48"/>
      <c r="BH56" s="48"/>
      <c r="BI56" s="48"/>
      <c r="BJ56" s="48"/>
      <c r="BK56" s="48"/>
      <c r="BL56" s="48"/>
      <c r="BM56" s="48"/>
      <c r="BN56" s="48"/>
      <c r="BO56" s="48"/>
      <c r="BP56" s="48"/>
      <c r="BQ56" s="48"/>
      <c r="BR56" s="48"/>
      <c r="BS56" s="48"/>
      <c r="BT56" s="48"/>
      <c r="BU56" s="48"/>
    </row>
    <row r="57" ht="15.75" customHeight="1">
      <c r="A57" s="275" t="s">
        <v>35003</v>
      </c>
      <c r="B57" s="275" t="s">
        <v>3632</v>
      </c>
      <c r="C57" s="275">
        <v>2022.0</v>
      </c>
      <c r="D57" s="275" t="s">
        <v>35004</v>
      </c>
      <c r="E57" s="276" t="s">
        <v>35005</v>
      </c>
      <c r="F57" s="275" t="s">
        <v>35006</v>
      </c>
      <c r="G57" s="275" t="s">
        <v>35007</v>
      </c>
      <c r="H57" s="277" t="s">
        <v>34568</v>
      </c>
      <c r="I57" s="277" t="s">
        <v>34568</v>
      </c>
      <c r="J57" s="277" t="s">
        <v>34568</v>
      </c>
      <c r="K57" s="277" t="s">
        <v>34569</v>
      </c>
      <c r="L57" s="277" t="s">
        <v>34654</v>
      </c>
      <c r="M57" s="276" t="s">
        <v>34811</v>
      </c>
      <c r="N57" s="277" t="s">
        <v>34572</v>
      </c>
      <c r="O57" s="276" t="s">
        <v>34765</v>
      </c>
      <c r="P57" s="277" t="s">
        <v>34573</v>
      </c>
      <c r="Q57" s="276" t="s">
        <v>34574</v>
      </c>
      <c r="R57" s="277" t="s">
        <v>34575</v>
      </c>
      <c r="S57" s="276" t="s">
        <v>34563</v>
      </c>
      <c r="T57" s="277" t="s">
        <v>34576</v>
      </c>
      <c r="U57" s="276" t="s">
        <v>34577</v>
      </c>
      <c r="V57" s="277" t="s">
        <v>34578</v>
      </c>
      <c r="W57" s="276" t="s">
        <v>34776</v>
      </c>
      <c r="X57" s="277" t="s">
        <v>34580</v>
      </c>
      <c r="Y57" s="276" t="s">
        <v>34766</v>
      </c>
      <c r="Z57" s="277" t="s">
        <v>34679</v>
      </c>
      <c r="AA57" s="276" t="s">
        <v>34680</v>
      </c>
      <c r="AB57" s="277"/>
      <c r="AC57" s="276"/>
      <c r="AD57" s="277" t="s">
        <v>34629</v>
      </c>
      <c r="AE57" s="276" t="s">
        <v>34769</v>
      </c>
      <c r="AF57" s="277" t="s">
        <v>34586</v>
      </c>
      <c r="AG57" s="276" t="s">
        <v>34682</v>
      </c>
      <c r="AH57" s="277" t="s">
        <v>34588</v>
      </c>
      <c r="AI57" s="276" t="s">
        <v>34589</v>
      </c>
      <c r="AJ57" s="277" t="s">
        <v>34716</v>
      </c>
      <c r="AK57" s="276" t="s">
        <v>34717</v>
      </c>
      <c r="AL57" s="277"/>
      <c r="AM57" s="276"/>
      <c r="AN57" s="283" t="s">
        <v>34664</v>
      </c>
      <c r="AO57" s="284" t="s">
        <v>34701</v>
      </c>
      <c r="AP57" s="277" t="s">
        <v>34596</v>
      </c>
      <c r="AQ57" s="276" t="s">
        <v>34639</v>
      </c>
      <c r="AR57" s="277" t="s">
        <v>34666</v>
      </c>
      <c r="AS57" s="276" t="s">
        <v>34703</v>
      </c>
      <c r="AT57" s="277" t="s">
        <v>31876</v>
      </c>
      <c r="AU57" s="276" t="s">
        <v>34642</v>
      </c>
      <c r="AV57" s="277" t="s">
        <v>34643</v>
      </c>
      <c r="AW57" s="276" t="s">
        <v>34644</v>
      </c>
      <c r="AX57" s="277" t="s">
        <v>34604</v>
      </c>
      <c r="AY57" s="276" t="s">
        <v>34605</v>
      </c>
      <c r="AZ57" s="277"/>
      <c r="BA57" s="276"/>
      <c r="BB57" s="48"/>
      <c r="BC57" s="48"/>
      <c r="BD57" s="48"/>
      <c r="BE57" s="48"/>
      <c r="BF57" s="48"/>
      <c r="BG57" s="48"/>
      <c r="BH57" s="48"/>
      <c r="BI57" s="48"/>
      <c r="BJ57" s="48"/>
      <c r="BK57" s="48"/>
      <c r="BL57" s="48"/>
      <c r="BM57" s="48"/>
      <c r="BN57" s="48"/>
      <c r="BO57" s="48"/>
      <c r="BP57" s="48"/>
      <c r="BQ57" s="48"/>
      <c r="BR57" s="48"/>
      <c r="BS57" s="48"/>
      <c r="BT57" s="48"/>
      <c r="BU57" s="48"/>
    </row>
    <row r="58" ht="15.75" customHeight="1">
      <c r="A58" s="275" t="s">
        <v>35008</v>
      </c>
      <c r="B58" s="275" t="s">
        <v>3632</v>
      </c>
      <c r="C58" s="275">
        <v>2023.0</v>
      </c>
      <c r="D58" s="275" t="s">
        <v>35009</v>
      </c>
      <c r="E58" s="276" t="s">
        <v>35010</v>
      </c>
      <c r="F58" s="275" t="s">
        <v>34734</v>
      </c>
      <c r="G58" s="275" t="s">
        <v>35011</v>
      </c>
      <c r="H58" s="277" t="s">
        <v>34804</v>
      </c>
      <c r="I58" s="277" t="s">
        <v>34804</v>
      </c>
      <c r="J58" s="277" t="s">
        <v>34804</v>
      </c>
      <c r="K58" s="277" t="s">
        <v>34815</v>
      </c>
      <c r="L58" s="277"/>
      <c r="M58" s="276"/>
      <c r="N58" s="277"/>
      <c r="O58" s="276"/>
      <c r="P58" s="277"/>
      <c r="Q58" s="276"/>
      <c r="R58" s="277"/>
      <c r="S58" s="276"/>
      <c r="T58" s="277"/>
      <c r="U58" s="276"/>
      <c r="V58" s="277"/>
      <c r="W58" s="276"/>
      <c r="X58" s="277"/>
      <c r="Y58" s="276"/>
      <c r="Z58" s="277"/>
      <c r="AA58" s="276"/>
      <c r="AB58" s="277"/>
      <c r="AC58" s="276"/>
      <c r="AD58" s="277"/>
      <c r="AE58" s="276"/>
      <c r="AF58" s="277"/>
      <c r="AG58" s="276"/>
      <c r="AH58" s="277"/>
      <c r="AI58" s="276"/>
      <c r="AJ58" s="277"/>
      <c r="AK58" s="276"/>
      <c r="AL58" s="277"/>
      <c r="AM58" s="276"/>
      <c r="AN58" s="277"/>
      <c r="AO58" s="276"/>
      <c r="AP58" s="277"/>
      <c r="AQ58" s="276"/>
      <c r="AR58" s="277"/>
      <c r="AS58" s="276"/>
      <c r="AT58" s="277"/>
      <c r="AU58" s="276"/>
      <c r="AV58" s="277"/>
      <c r="AW58" s="276"/>
      <c r="AX58" s="277"/>
      <c r="AY58" s="276"/>
      <c r="AZ58" s="277"/>
      <c r="BA58" s="276"/>
      <c r="BB58" s="48"/>
      <c r="BC58" s="48"/>
      <c r="BD58" s="48"/>
      <c r="BE58" s="48"/>
      <c r="BF58" s="48"/>
      <c r="BG58" s="48"/>
      <c r="BH58" s="48"/>
      <c r="BI58" s="48"/>
      <c r="BJ58" s="48"/>
      <c r="BK58" s="48"/>
      <c r="BL58" s="48"/>
      <c r="BM58" s="48"/>
      <c r="BN58" s="48"/>
      <c r="BO58" s="48"/>
      <c r="BP58" s="48"/>
      <c r="BQ58" s="48"/>
      <c r="BR58" s="48"/>
      <c r="BS58" s="48"/>
      <c r="BT58" s="48"/>
      <c r="BU58" s="48"/>
    </row>
    <row r="59" ht="15.75" customHeight="1">
      <c r="A59" s="275" t="s">
        <v>35012</v>
      </c>
      <c r="B59" s="275" t="s">
        <v>3632</v>
      </c>
      <c r="C59" s="275">
        <v>2022.0</v>
      </c>
      <c r="D59" s="275" t="s">
        <v>35013</v>
      </c>
      <c r="E59" s="276" t="s">
        <v>35014</v>
      </c>
      <c r="F59" s="275" t="s">
        <v>34708</v>
      </c>
      <c r="G59" s="275" t="s">
        <v>35015</v>
      </c>
      <c r="H59" s="277" t="s">
        <v>34568</v>
      </c>
      <c r="I59" s="277" t="s">
        <v>34804</v>
      </c>
      <c r="J59" s="277" t="s">
        <v>34568</v>
      </c>
      <c r="K59" s="277" t="s">
        <v>34569</v>
      </c>
      <c r="L59" s="277" t="s">
        <v>34613</v>
      </c>
      <c r="M59" s="276" t="s">
        <v>34614</v>
      </c>
      <c r="N59" s="277" t="s">
        <v>34572</v>
      </c>
      <c r="O59" s="276" t="s">
        <v>34765</v>
      </c>
      <c r="P59" s="277" t="s">
        <v>34616</v>
      </c>
      <c r="Q59" s="276" t="s">
        <v>34617</v>
      </c>
      <c r="R59" s="277" t="s">
        <v>34618</v>
      </c>
      <c r="S59" s="276" t="s">
        <v>34619</v>
      </c>
      <c r="T59" s="277" t="s">
        <v>34576</v>
      </c>
      <c r="U59" s="276" t="s">
        <v>34577</v>
      </c>
      <c r="V59" s="277" t="s">
        <v>34578</v>
      </c>
      <c r="W59" s="276" t="s">
        <v>34776</v>
      </c>
      <c r="X59" s="277" t="s">
        <v>34580</v>
      </c>
      <c r="Y59" s="276" t="s">
        <v>34766</v>
      </c>
      <c r="Z59" s="277" t="s">
        <v>34711</v>
      </c>
      <c r="AA59" s="276" t="s">
        <v>34712</v>
      </c>
      <c r="AB59" s="277" t="s">
        <v>34627</v>
      </c>
      <c r="AC59" s="276" t="s">
        <v>34658</v>
      </c>
      <c r="AD59" s="277" t="s">
        <v>34629</v>
      </c>
      <c r="AE59" s="276" t="s">
        <v>34769</v>
      </c>
      <c r="AF59" s="277" t="s">
        <v>34586</v>
      </c>
      <c r="AG59" s="276" t="s">
        <v>34682</v>
      </c>
      <c r="AH59" s="277" t="s">
        <v>34699</v>
      </c>
      <c r="AI59" s="276" t="s">
        <v>34700</v>
      </c>
      <c r="AJ59" s="277"/>
      <c r="AK59" s="276"/>
      <c r="AL59" s="277"/>
      <c r="AM59" s="276"/>
      <c r="AN59" s="277" t="s">
        <v>34594</v>
      </c>
      <c r="AO59" s="276" t="s">
        <v>34738</v>
      </c>
      <c r="AP59" s="277" t="s">
        <v>34596</v>
      </c>
      <c r="AQ59" s="276" t="s">
        <v>34639</v>
      </c>
      <c r="AR59" s="277" t="s">
        <v>34598</v>
      </c>
      <c r="AS59" s="276" t="s">
        <v>34739</v>
      </c>
      <c r="AT59" s="277" t="s">
        <v>31876</v>
      </c>
      <c r="AU59" s="276" t="s">
        <v>34642</v>
      </c>
      <c r="AV59" s="277" t="s">
        <v>34643</v>
      </c>
      <c r="AW59" s="276" t="s">
        <v>34644</v>
      </c>
      <c r="AX59" s="277" t="s">
        <v>34645</v>
      </c>
      <c r="AY59" s="276" t="s">
        <v>34646</v>
      </c>
      <c r="AZ59" s="277"/>
      <c r="BA59" s="276"/>
      <c r="BB59" s="48"/>
      <c r="BC59" s="48"/>
      <c r="BD59" s="48"/>
      <c r="BE59" s="48"/>
      <c r="BF59" s="48"/>
      <c r="BG59" s="48"/>
      <c r="BH59" s="48"/>
      <c r="BI59" s="48"/>
      <c r="BJ59" s="48"/>
      <c r="BK59" s="48"/>
      <c r="BL59" s="48"/>
      <c r="BM59" s="48"/>
      <c r="BN59" s="48"/>
      <c r="BO59" s="48"/>
      <c r="BP59" s="48"/>
      <c r="BQ59" s="48"/>
      <c r="BR59" s="48"/>
      <c r="BS59" s="48"/>
      <c r="BT59" s="48"/>
      <c r="BU59" s="48"/>
    </row>
    <row r="60" ht="15.75" customHeight="1">
      <c r="A60" s="275" t="s">
        <v>35016</v>
      </c>
      <c r="B60" s="275" t="s">
        <v>3632</v>
      </c>
      <c r="C60" s="275">
        <v>2021.0</v>
      </c>
      <c r="D60" s="275" t="s">
        <v>35017</v>
      </c>
      <c r="E60" s="276" t="s">
        <v>35018</v>
      </c>
      <c r="F60" s="275" t="s">
        <v>34725</v>
      </c>
      <c r="G60" s="275" t="s">
        <v>35019</v>
      </c>
      <c r="H60" s="277" t="s">
        <v>34568</v>
      </c>
      <c r="I60" s="277" t="s">
        <v>34568</v>
      </c>
      <c r="J60" s="277" t="s">
        <v>34568</v>
      </c>
      <c r="K60" s="277" t="s">
        <v>34569</v>
      </c>
      <c r="L60" s="277" t="s">
        <v>34613</v>
      </c>
      <c r="M60" s="276" t="s">
        <v>34614</v>
      </c>
      <c r="N60" s="277" t="s">
        <v>34572</v>
      </c>
      <c r="O60" s="276" t="s">
        <v>34765</v>
      </c>
      <c r="P60" s="277" t="s">
        <v>34573</v>
      </c>
      <c r="Q60" s="276" t="s">
        <v>34574</v>
      </c>
      <c r="R60" s="277" t="s">
        <v>34618</v>
      </c>
      <c r="S60" s="276" t="s">
        <v>34619</v>
      </c>
      <c r="T60" s="277" t="s">
        <v>34576</v>
      </c>
      <c r="U60" s="276" t="s">
        <v>34577</v>
      </c>
      <c r="V60" s="277" t="s">
        <v>34825</v>
      </c>
      <c r="W60" s="276" t="s">
        <v>34826</v>
      </c>
      <c r="X60" s="277" t="s">
        <v>34656</v>
      </c>
      <c r="Y60" s="276" t="s">
        <v>34657</v>
      </c>
      <c r="Z60" s="277" t="s">
        <v>34711</v>
      </c>
      <c r="AA60" s="276" t="s">
        <v>34712</v>
      </c>
      <c r="AB60" s="277"/>
      <c r="AC60" s="276"/>
      <c r="AD60" s="277" t="s">
        <v>34629</v>
      </c>
      <c r="AE60" s="276" t="s">
        <v>34769</v>
      </c>
      <c r="AF60" s="277" t="s">
        <v>34586</v>
      </c>
      <c r="AG60" s="276" t="s">
        <v>34682</v>
      </c>
      <c r="AH60" s="277"/>
      <c r="AI60" s="276"/>
      <c r="AJ60" s="277"/>
      <c r="AK60" s="276"/>
      <c r="AL60" s="277"/>
      <c r="AM60" s="276"/>
      <c r="AN60" s="277" t="s">
        <v>34594</v>
      </c>
      <c r="AO60" s="276" t="s">
        <v>34738</v>
      </c>
      <c r="AP60" s="277" t="s">
        <v>34596</v>
      </c>
      <c r="AQ60" s="276" t="s">
        <v>34639</v>
      </c>
      <c r="AR60" s="277" t="s">
        <v>34666</v>
      </c>
      <c r="AS60" s="276" t="s">
        <v>34703</v>
      </c>
      <c r="AT60" s="277" t="s">
        <v>31876</v>
      </c>
      <c r="AU60" s="276" t="s">
        <v>34642</v>
      </c>
      <c r="AV60" s="277" t="s">
        <v>34643</v>
      </c>
      <c r="AW60" s="276" t="s">
        <v>34644</v>
      </c>
      <c r="AX60" s="277" t="s">
        <v>34645</v>
      </c>
      <c r="AY60" s="276" t="s">
        <v>34646</v>
      </c>
      <c r="AZ60" s="277"/>
      <c r="BA60" s="276"/>
      <c r="BB60" s="48"/>
      <c r="BC60" s="48"/>
      <c r="BD60" s="48"/>
      <c r="BE60" s="48"/>
      <c r="BF60" s="48"/>
      <c r="BG60" s="48"/>
      <c r="BH60" s="48"/>
      <c r="BI60" s="48"/>
      <c r="BJ60" s="48"/>
      <c r="BK60" s="48"/>
      <c r="BL60" s="48"/>
      <c r="BM60" s="48"/>
      <c r="BN60" s="48"/>
      <c r="BO60" s="48"/>
      <c r="BP60" s="48"/>
      <c r="BQ60" s="48"/>
      <c r="BR60" s="48"/>
      <c r="BS60" s="48"/>
      <c r="BT60" s="48"/>
      <c r="BU60" s="48"/>
    </row>
    <row r="61" ht="15.75" customHeight="1">
      <c r="A61" s="275" t="s">
        <v>35020</v>
      </c>
      <c r="B61" s="275" t="s">
        <v>3632</v>
      </c>
      <c r="C61" s="275">
        <v>2022.0</v>
      </c>
      <c r="D61" s="275" t="s">
        <v>35021</v>
      </c>
      <c r="E61" s="276" t="s">
        <v>35022</v>
      </c>
      <c r="F61" s="275" t="s">
        <v>34843</v>
      </c>
      <c r="G61" s="275" t="s">
        <v>35023</v>
      </c>
      <c r="H61" s="277" t="s">
        <v>34804</v>
      </c>
      <c r="I61" s="277" t="s">
        <v>34804</v>
      </c>
      <c r="J61" s="277" t="s">
        <v>34804</v>
      </c>
      <c r="K61" s="277" t="s">
        <v>34815</v>
      </c>
      <c r="L61" s="277"/>
      <c r="M61" s="276"/>
      <c r="N61" s="277"/>
      <c r="O61" s="276"/>
      <c r="P61" s="277"/>
      <c r="Q61" s="276"/>
      <c r="R61" s="277"/>
      <c r="S61" s="276"/>
      <c r="T61" s="277"/>
      <c r="U61" s="276"/>
      <c r="V61" s="277"/>
      <c r="W61" s="276"/>
      <c r="X61" s="277"/>
      <c r="Y61" s="276"/>
      <c r="Z61" s="277"/>
      <c r="AA61" s="276"/>
      <c r="AB61" s="277"/>
      <c r="AC61" s="276"/>
      <c r="AD61" s="277"/>
      <c r="AE61" s="276"/>
      <c r="AF61" s="277"/>
      <c r="AG61" s="276"/>
      <c r="AH61" s="277"/>
      <c r="AI61" s="276"/>
      <c r="AJ61" s="277"/>
      <c r="AK61" s="276"/>
      <c r="AL61" s="277"/>
      <c r="AM61" s="276"/>
      <c r="AN61" s="277"/>
      <c r="AO61" s="276"/>
      <c r="AP61" s="277"/>
      <c r="AQ61" s="276"/>
      <c r="AR61" s="277"/>
      <c r="AS61" s="276"/>
      <c r="AT61" s="277"/>
      <c r="AU61" s="276"/>
      <c r="AV61" s="277"/>
      <c r="AW61" s="276"/>
      <c r="AX61" s="277"/>
      <c r="AY61" s="276"/>
      <c r="AZ61" s="277"/>
      <c r="BA61" s="276"/>
      <c r="BB61" s="48"/>
      <c r="BC61" s="48"/>
      <c r="BD61" s="48"/>
      <c r="BE61" s="48"/>
      <c r="BF61" s="48"/>
      <c r="BG61" s="48"/>
      <c r="BH61" s="48"/>
      <c r="BI61" s="48"/>
      <c r="BJ61" s="48"/>
      <c r="BK61" s="48"/>
      <c r="BL61" s="48"/>
      <c r="BM61" s="48"/>
      <c r="BN61" s="48"/>
      <c r="BO61" s="48"/>
      <c r="BP61" s="48"/>
      <c r="BQ61" s="48"/>
      <c r="BR61" s="48"/>
      <c r="BS61" s="48"/>
      <c r="BT61" s="48"/>
      <c r="BU61" s="48"/>
    </row>
    <row r="62" ht="15.75" customHeight="1">
      <c r="A62" s="275" t="s">
        <v>35024</v>
      </c>
      <c r="B62" s="275" t="s">
        <v>35025</v>
      </c>
      <c r="C62" s="275">
        <v>2022.0</v>
      </c>
      <c r="D62" s="275" t="s">
        <v>35026</v>
      </c>
      <c r="E62" s="276" t="s">
        <v>35027</v>
      </c>
      <c r="F62" s="275" t="s">
        <v>35028</v>
      </c>
      <c r="G62" s="275"/>
      <c r="H62" s="277" t="s">
        <v>34568</v>
      </c>
      <c r="I62" s="277" t="s">
        <v>34804</v>
      </c>
      <c r="J62" s="277" t="s">
        <v>34568</v>
      </c>
      <c r="K62" s="277" t="s">
        <v>34569</v>
      </c>
      <c r="L62" s="277" t="s">
        <v>34654</v>
      </c>
      <c r="M62" s="276" t="s">
        <v>34811</v>
      </c>
      <c r="N62" s="277" t="s">
        <v>34572</v>
      </c>
      <c r="O62" s="276" t="s">
        <v>34765</v>
      </c>
      <c r="P62" s="277" t="s">
        <v>34573</v>
      </c>
      <c r="Q62" s="276" t="s">
        <v>34574</v>
      </c>
      <c r="R62" s="277" t="s">
        <v>34618</v>
      </c>
      <c r="S62" s="276" t="s">
        <v>34619</v>
      </c>
      <c r="T62" s="277"/>
      <c r="U62" s="276"/>
      <c r="V62" s="277" t="s">
        <v>34578</v>
      </c>
      <c r="W62" s="276" t="s">
        <v>34776</v>
      </c>
      <c r="X62" s="277" t="s">
        <v>34580</v>
      </c>
      <c r="Y62" s="276" t="s">
        <v>34766</v>
      </c>
      <c r="Z62" s="277" t="s">
        <v>34679</v>
      </c>
      <c r="AA62" s="276" t="s">
        <v>34680</v>
      </c>
      <c r="AB62" s="277"/>
      <c r="AC62" s="276"/>
      <c r="AD62" s="277" t="s">
        <v>34629</v>
      </c>
      <c r="AE62" s="276" t="s">
        <v>34769</v>
      </c>
      <c r="AF62" s="277" t="s">
        <v>34586</v>
      </c>
      <c r="AG62" s="276" t="s">
        <v>34682</v>
      </c>
      <c r="AH62" s="277" t="s">
        <v>34699</v>
      </c>
      <c r="AI62" s="276" t="s">
        <v>34700</v>
      </c>
      <c r="AJ62" s="277" t="s">
        <v>34716</v>
      </c>
      <c r="AK62" s="276" t="s">
        <v>34717</v>
      </c>
      <c r="AL62" s="277" t="s">
        <v>34592</v>
      </c>
      <c r="AM62" s="276" t="s">
        <v>34917</v>
      </c>
      <c r="AN62" s="277" t="s">
        <v>34594</v>
      </c>
      <c r="AO62" s="276" t="s">
        <v>34738</v>
      </c>
      <c r="AP62" s="277" t="s">
        <v>34719</v>
      </c>
      <c r="AQ62" s="276" t="s">
        <v>34720</v>
      </c>
      <c r="AR62" s="277"/>
      <c r="AS62" s="276"/>
      <c r="AT62" s="277" t="s">
        <v>34600</v>
      </c>
      <c r="AU62" s="276" t="s">
        <v>34687</v>
      </c>
      <c r="AV62" s="277" t="s">
        <v>34643</v>
      </c>
      <c r="AW62" s="276" t="s">
        <v>34644</v>
      </c>
      <c r="AX62" s="277"/>
      <c r="AY62" s="276"/>
      <c r="AZ62" s="277"/>
      <c r="BA62" s="276"/>
      <c r="BB62" s="48"/>
      <c r="BC62" s="48"/>
      <c r="BD62" s="48"/>
      <c r="BE62" s="48"/>
      <c r="BF62" s="48"/>
      <c r="BG62" s="48"/>
      <c r="BH62" s="48"/>
      <c r="BI62" s="48"/>
      <c r="BJ62" s="48"/>
      <c r="BK62" s="48"/>
      <c r="BL62" s="48"/>
      <c r="BM62" s="48"/>
      <c r="BN62" s="48"/>
      <c r="BO62" s="48"/>
      <c r="BP62" s="48"/>
      <c r="BQ62" s="48"/>
      <c r="BR62" s="48"/>
      <c r="BS62" s="48"/>
      <c r="BT62" s="48"/>
      <c r="BU62" s="48"/>
    </row>
    <row r="63" ht="15.75" customHeight="1">
      <c r="A63" s="275" t="s">
        <v>35029</v>
      </c>
      <c r="B63" s="275" t="s">
        <v>3632</v>
      </c>
      <c r="C63" s="275">
        <v>2018.0</v>
      </c>
      <c r="D63" s="275" t="s">
        <v>35030</v>
      </c>
      <c r="E63" s="276" t="s">
        <v>35031</v>
      </c>
      <c r="F63" s="275" t="s">
        <v>35032</v>
      </c>
      <c r="G63" s="275" t="s">
        <v>35033</v>
      </c>
      <c r="H63" s="277" t="s">
        <v>34568</v>
      </c>
      <c r="I63" s="277" t="s">
        <v>34568</v>
      </c>
      <c r="J63" s="277" t="s">
        <v>34568</v>
      </c>
      <c r="K63" s="277" t="s">
        <v>34569</v>
      </c>
      <c r="L63" s="277" t="s">
        <v>34613</v>
      </c>
      <c r="M63" s="276" t="s">
        <v>34614</v>
      </c>
      <c r="N63" s="277" t="s">
        <v>34572</v>
      </c>
      <c r="O63" s="276" t="s">
        <v>34765</v>
      </c>
      <c r="P63" s="277" t="s">
        <v>34573</v>
      </c>
      <c r="Q63" s="276" t="s">
        <v>34574</v>
      </c>
      <c r="R63" s="277" t="s">
        <v>34575</v>
      </c>
      <c r="S63" s="276" t="s">
        <v>34563</v>
      </c>
      <c r="T63" s="277" t="s">
        <v>34576</v>
      </c>
      <c r="U63" s="276" t="s">
        <v>34577</v>
      </c>
      <c r="V63" s="277" t="s">
        <v>34825</v>
      </c>
      <c r="W63" s="276" t="s">
        <v>35034</v>
      </c>
      <c r="X63" s="277" t="s">
        <v>34656</v>
      </c>
      <c r="Y63" s="276" t="s">
        <v>34657</v>
      </c>
      <c r="Z63" s="277" t="s">
        <v>34711</v>
      </c>
      <c r="AA63" s="276" t="s">
        <v>34712</v>
      </c>
      <c r="AB63" s="277"/>
      <c r="AC63" s="276"/>
      <c r="AD63" s="277" t="s">
        <v>34629</v>
      </c>
      <c r="AE63" s="276" t="s">
        <v>34769</v>
      </c>
      <c r="AF63" s="277" t="s">
        <v>34586</v>
      </c>
      <c r="AG63" s="276" t="s">
        <v>34682</v>
      </c>
      <c r="AH63" s="277"/>
      <c r="AI63" s="276"/>
      <c r="AJ63" s="277"/>
      <c r="AK63" s="276"/>
      <c r="AL63" s="277"/>
      <c r="AM63" s="276"/>
      <c r="AN63" s="277" t="s">
        <v>34594</v>
      </c>
      <c r="AO63" s="276" t="s">
        <v>34738</v>
      </c>
      <c r="AP63" s="277" t="s">
        <v>34596</v>
      </c>
      <c r="AQ63" s="276" t="s">
        <v>34639</v>
      </c>
      <c r="AR63" s="277" t="s">
        <v>34666</v>
      </c>
      <c r="AS63" s="276" t="s">
        <v>34703</v>
      </c>
      <c r="AT63" s="277" t="s">
        <v>31876</v>
      </c>
      <c r="AU63" s="276" t="s">
        <v>34642</v>
      </c>
      <c r="AV63" s="277" t="s">
        <v>34643</v>
      </c>
      <c r="AW63" s="276" t="s">
        <v>34644</v>
      </c>
      <c r="AX63" s="278" t="s">
        <v>34668</v>
      </c>
      <c r="AY63" s="279" t="s">
        <v>34669</v>
      </c>
      <c r="AZ63" s="277"/>
      <c r="BA63" s="276"/>
      <c r="BB63" s="48"/>
      <c r="BC63" s="48"/>
      <c r="BD63" s="48"/>
      <c r="BE63" s="48"/>
      <c r="BF63" s="48"/>
      <c r="BG63" s="48"/>
      <c r="BH63" s="48"/>
      <c r="BI63" s="48"/>
      <c r="BJ63" s="48"/>
      <c r="BK63" s="48"/>
      <c r="BL63" s="48"/>
      <c r="BM63" s="48"/>
      <c r="BN63" s="48"/>
      <c r="BO63" s="48"/>
      <c r="BP63" s="48"/>
      <c r="BQ63" s="48"/>
      <c r="BR63" s="48"/>
      <c r="BS63" s="48"/>
      <c r="BT63" s="48"/>
      <c r="BU63" s="48"/>
    </row>
    <row r="64" ht="15.75" customHeight="1">
      <c r="A64" s="275" t="s">
        <v>35035</v>
      </c>
      <c r="B64" s="275" t="s">
        <v>3632</v>
      </c>
      <c r="C64" s="275">
        <v>2021.0</v>
      </c>
      <c r="D64" s="275" t="s">
        <v>35036</v>
      </c>
      <c r="E64" s="276" t="s">
        <v>35037</v>
      </c>
      <c r="F64" s="275" t="s">
        <v>35038</v>
      </c>
      <c r="G64" s="275" t="s">
        <v>35039</v>
      </c>
      <c r="H64" s="277" t="s">
        <v>34568</v>
      </c>
      <c r="I64" s="277" t="s">
        <v>34568</v>
      </c>
      <c r="J64" s="277" t="s">
        <v>34568</v>
      </c>
      <c r="K64" s="277" t="s">
        <v>34569</v>
      </c>
      <c r="L64" s="277" t="s">
        <v>34654</v>
      </c>
      <c r="M64" s="276" t="s">
        <v>34811</v>
      </c>
      <c r="N64" s="277" t="s">
        <v>34572</v>
      </c>
      <c r="O64" s="276" t="s">
        <v>34765</v>
      </c>
      <c r="P64" s="277" t="s">
        <v>34573</v>
      </c>
      <c r="Q64" s="276" t="s">
        <v>34574</v>
      </c>
      <c r="R64" s="277" t="s">
        <v>34575</v>
      </c>
      <c r="S64" s="276" t="s">
        <v>34563</v>
      </c>
      <c r="T64" s="277" t="s">
        <v>34576</v>
      </c>
      <c r="U64" s="276" t="s">
        <v>34577</v>
      </c>
      <c r="V64" s="277" t="s">
        <v>34578</v>
      </c>
      <c r="W64" s="276" t="s">
        <v>34776</v>
      </c>
      <c r="X64" s="277" t="s">
        <v>34580</v>
      </c>
      <c r="Y64" s="276" t="s">
        <v>34766</v>
      </c>
      <c r="Z64" s="277" t="s">
        <v>34711</v>
      </c>
      <c r="AA64" s="276" t="s">
        <v>34712</v>
      </c>
      <c r="AB64" s="277"/>
      <c r="AC64" s="276"/>
      <c r="AD64" s="277" t="s">
        <v>34629</v>
      </c>
      <c r="AE64" s="276" t="s">
        <v>34769</v>
      </c>
      <c r="AF64" s="277" t="s">
        <v>34586</v>
      </c>
      <c r="AG64" s="276" t="s">
        <v>34682</v>
      </c>
      <c r="AH64" s="277" t="s">
        <v>34588</v>
      </c>
      <c r="AI64" s="276" t="s">
        <v>34589</v>
      </c>
      <c r="AJ64" s="277"/>
      <c r="AK64" s="276"/>
      <c r="AL64" s="277"/>
      <c r="AM64" s="276"/>
      <c r="AN64" s="277" t="s">
        <v>34594</v>
      </c>
      <c r="AO64" s="276" t="s">
        <v>34738</v>
      </c>
      <c r="AP64" s="277" t="s">
        <v>34596</v>
      </c>
      <c r="AQ64" s="276" t="s">
        <v>34639</v>
      </c>
      <c r="AR64" s="277" t="s">
        <v>34666</v>
      </c>
      <c r="AS64" s="276" t="s">
        <v>34703</v>
      </c>
      <c r="AT64" s="277" t="s">
        <v>31876</v>
      </c>
      <c r="AU64" s="276" t="s">
        <v>34642</v>
      </c>
      <c r="AV64" s="277" t="s">
        <v>34643</v>
      </c>
      <c r="AW64" s="276" t="s">
        <v>34644</v>
      </c>
      <c r="AX64" s="277" t="s">
        <v>34604</v>
      </c>
      <c r="AY64" s="276" t="s">
        <v>35040</v>
      </c>
      <c r="AZ64" s="277"/>
      <c r="BA64" s="276"/>
      <c r="BB64" s="48"/>
      <c r="BC64" s="48"/>
      <c r="BD64" s="48"/>
      <c r="BE64" s="48"/>
      <c r="BF64" s="48"/>
      <c r="BG64" s="48"/>
      <c r="BH64" s="48"/>
      <c r="BI64" s="48"/>
      <c r="BJ64" s="48"/>
      <c r="BK64" s="48"/>
      <c r="BL64" s="48"/>
      <c r="BM64" s="48"/>
      <c r="BN64" s="48"/>
      <c r="BO64" s="48"/>
      <c r="BP64" s="48"/>
      <c r="BQ64" s="48"/>
      <c r="BR64" s="48"/>
      <c r="BS64" s="48"/>
      <c r="BT64" s="48"/>
      <c r="BU64" s="48"/>
    </row>
    <row r="65" ht="15.75" customHeight="1">
      <c r="A65" s="48"/>
      <c r="B65" s="48"/>
      <c r="C65" s="48"/>
      <c r="D65" s="48"/>
      <c r="E65" s="27"/>
      <c r="F65" s="48"/>
      <c r="G65" s="48"/>
      <c r="H65" s="56"/>
      <c r="I65" s="56"/>
      <c r="J65" s="56"/>
      <c r="K65" s="56"/>
      <c r="L65" s="56"/>
      <c r="M65" s="56"/>
      <c r="N65" s="56"/>
      <c r="O65" s="56"/>
      <c r="P65" s="56"/>
      <c r="Q65" s="56"/>
      <c r="R65" s="56"/>
      <c r="S65" s="56"/>
      <c r="T65" s="56"/>
      <c r="U65" s="56"/>
      <c r="V65" s="56"/>
      <c r="W65" s="27"/>
      <c r="X65" s="56"/>
      <c r="Y65" s="27"/>
      <c r="Z65" s="56"/>
      <c r="AA65" s="27"/>
      <c r="AB65" s="56"/>
      <c r="AC65" s="27"/>
      <c r="AD65" s="56"/>
      <c r="AE65" s="27"/>
      <c r="AF65" s="56"/>
      <c r="AG65" s="27"/>
      <c r="AH65" s="286"/>
      <c r="AI65" s="27"/>
      <c r="AJ65" s="56"/>
      <c r="AK65" s="27"/>
      <c r="AL65" s="56"/>
      <c r="AM65" s="27"/>
      <c r="AN65" s="56"/>
      <c r="AO65" s="27"/>
      <c r="AP65" s="56"/>
      <c r="AQ65" s="27"/>
      <c r="AR65" s="56"/>
      <c r="AS65" s="27"/>
      <c r="AT65" s="56"/>
      <c r="AU65" s="27"/>
      <c r="AV65" s="56"/>
      <c r="AW65" s="27"/>
      <c r="AX65" s="56"/>
      <c r="AY65" s="27"/>
      <c r="AZ65" s="56"/>
      <c r="BA65" s="27"/>
      <c r="BB65" s="48"/>
      <c r="BC65" s="48"/>
      <c r="BD65" s="48"/>
      <c r="BE65" s="48"/>
      <c r="BF65" s="48"/>
      <c r="BG65" s="48"/>
      <c r="BH65" s="48"/>
      <c r="BI65" s="48"/>
      <c r="BJ65" s="48"/>
      <c r="BK65" s="48"/>
      <c r="BL65" s="48"/>
      <c r="BM65" s="48"/>
      <c r="BN65" s="48"/>
      <c r="BO65" s="48"/>
      <c r="BP65" s="48"/>
      <c r="BQ65" s="48"/>
      <c r="BR65" s="48"/>
      <c r="BS65" s="48"/>
      <c r="BT65" s="48"/>
      <c r="BU65" s="48"/>
    </row>
    <row r="66" ht="15.75" customHeight="1">
      <c r="A66" s="48"/>
      <c r="B66" s="48"/>
      <c r="C66" s="48"/>
      <c r="D66" s="48"/>
      <c r="E66" s="27"/>
      <c r="F66" s="48"/>
      <c r="G66" s="48"/>
      <c r="H66" s="56"/>
      <c r="I66" s="56"/>
      <c r="J66" s="56"/>
      <c r="K66" s="56"/>
      <c r="L66" s="56"/>
      <c r="M66" s="56"/>
      <c r="N66" s="56"/>
      <c r="O66" s="56"/>
      <c r="P66" s="56"/>
      <c r="Q66" s="56"/>
      <c r="R66" s="56"/>
      <c r="S66" s="56"/>
      <c r="T66" s="56"/>
      <c r="U66" s="56"/>
      <c r="V66" s="56"/>
      <c r="W66" s="27"/>
      <c r="X66" s="56"/>
      <c r="Y66" s="27"/>
      <c r="Z66" s="56"/>
      <c r="AA66" s="27"/>
      <c r="AB66" s="56"/>
      <c r="AC66" s="27"/>
      <c r="AD66" s="56"/>
      <c r="AE66" s="27"/>
      <c r="AF66" s="56"/>
      <c r="AG66" s="27"/>
      <c r="AH66" s="286"/>
      <c r="AI66" s="27"/>
      <c r="AJ66" s="56"/>
      <c r="AK66" s="27"/>
      <c r="AL66" s="56"/>
      <c r="AM66" s="27"/>
      <c r="AN66" s="56"/>
      <c r="AO66" s="27"/>
      <c r="AP66" s="56"/>
      <c r="AQ66" s="27"/>
      <c r="AR66" s="56"/>
      <c r="AS66" s="27"/>
      <c r="AT66" s="56"/>
      <c r="AU66" s="27"/>
      <c r="AV66" s="56"/>
      <c r="AW66" s="27"/>
      <c r="AX66" s="56"/>
      <c r="AY66" s="27"/>
      <c r="AZ66" s="56"/>
      <c r="BA66" s="27"/>
      <c r="BB66" s="48"/>
      <c r="BC66" s="48"/>
      <c r="BD66" s="48"/>
      <c r="BE66" s="48"/>
      <c r="BF66" s="48"/>
      <c r="BG66" s="48"/>
      <c r="BH66" s="48"/>
      <c r="BI66" s="48"/>
      <c r="BJ66" s="48"/>
      <c r="BK66" s="48"/>
      <c r="BL66" s="48"/>
      <c r="BM66" s="48"/>
      <c r="BN66" s="48"/>
      <c r="BO66" s="48"/>
      <c r="BP66" s="48"/>
      <c r="BQ66" s="48"/>
      <c r="BR66" s="48"/>
      <c r="BS66" s="48"/>
      <c r="BT66" s="48"/>
      <c r="BU66" s="48"/>
    </row>
    <row r="67" ht="15.75" customHeight="1">
      <c r="A67" s="48"/>
      <c r="B67" s="48"/>
      <c r="C67" s="48"/>
      <c r="D67" s="48"/>
      <c r="E67" s="27"/>
      <c r="F67" s="48"/>
      <c r="G67" s="48"/>
      <c r="H67" s="56"/>
      <c r="I67" s="56"/>
      <c r="J67" s="56"/>
      <c r="K67" s="56"/>
      <c r="L67" s="56"/>
      <c r="M67" s="56"/>
      <c r="N67" s="56"/>
      <c r="O67" s="56"/>
      <c r="P67" s="56"/>
      <c r="Q67" s="56"/>
      <c r="R67" s="56"/>
      <c r="S67" s="56"/>
      <c r="T67" s="56"/>
      <c r="U67" s="56"/>
      <c r="V67" s="56"/>
      <c r="W67" s="27"/>
      <c r="X67" s="56"/>
      <c r="Y67" s="27"/>
      <c r="Z67" s="56"/>
      <c r="AA67" s="27"/>
      <c r="AB67" s="56"/>
      <c r="AC67" s="27"/>
      <c r="AD67" s="56"/>
      <c r="AE67" s="27"/>
      <c r="AF67" s="56"/>
      <c r="AG67" s="27"/>
      <c r="AH67" s="286"/>
      <c r="AI67" s="27"/>
      <c r="AJ67" s="56"/>
      <c r="AK67" s="27"/>
      <c r="AL67" s="56"/>
      <c r="AM67" s="27"/>
      <c r="AN67" s="56"/>
      <c r="AO67" s="27"/>
      <c r="AP67" s="56"/>
      <c r="AQ67" s="27"/>
      <c r="AR67" s="56"/>
      <c r="AS67" s="27"/>
      <c r="AT67" s="56"/>
      <c r="AU67" s="27"/>
      <c r="AV67" s="56"/>
      <c r="AW67" s="27"/>
      <c r="AX67" s="56"/>
      <c r="AY67" s="27"/>
      <c r="AZ67" s="56"/>
      <c r="BA67" s="27"/>
      <c r="BB67" s="48"/>
      <c r="BC67" s="48"/>
      <c r="BD67" s="48"/>
      <c r="BE67" s="48"/>
      <c r="BF67" s="48"/>
      <c r="BG67" s="48"/>
      <c r="BH67" s="48"/>
      <c r="BI67" s="48"/>
      <c r="BJ67" s="48"/>
      <c r="BK67" s="48"/>
      <c r="BL67" s="48"/>
      <c r="BM67" s="48"/>
      <c r="BN67" s="48"/>
      <c r="BO67" s="48"/>
      <c r="BP67" s="48"/>
      <c r="BQ67" s="48"/>
      <c r="BR67" s="48"/>
      <c r="BS67" s="48"/>
      <c r="BT67" s="48"/>
      <c r="BU67" s="48"/>
    </row>
    <row r="68" ht="15.75" customHeight="1">
      <c r="A68" s="48"/>
      <c r="B68" s="48"/>
      <c r="C68" s="48"/>
      <c r="D68" s="48"/>
      <c r="E68" s="27"/>
      <c r="F68" s="48"/>
      <c r="G68" s="48"/>
      <c r="H68" s="56"/>
      <c r="I68" s="56"/>
      <c r="J68" s="56"/>
      <c r="K68" s="56"/>
      <c r="L68" s="56"/>
      <c r="M68" s="56"/>
      <c r="N68" s="56"/>
      <c r="O68" s="56"/>
      <c r="P68" s="56"/>
      <c r="Q68" s="56"/>
      <c r="R68" s="56"/>
      <c r="S68" s="56"/>
      <c r="T68" s="56"/>
      <c r="U68" s="56"/>
      <c r="V68" s="56"/>
      <c r="W68" s="27"/>
      <c r="X68" s="56"/>
      <c r="Y68" s="27"/>
      <c r="Z68" s="56"/>
      <c r="AA68" s="27"/>
      <c r="AB68" s="56"/>
      <c r="AC68" s="27"/>
      <c r="AD68" s="56"/>
      <c r="AE68" s="27"/>
      <c r="AF68" s="56"/>
      <c r="AG68" s="27"/>
      <c r="AH68" s="286"/>
      <c r="AI68" s="27"/>
      <c r="AJ68" s="56"/>
      <c r="AK68" s="27"/>
      <c r="AL68" s="56"/>
      <c r="AM68" s="27"/>
      <c r="AN68" s="56"/>
      <c r="AO68" s="27"/>
      <c r="AP68" s="56"/>
      <c r="AQ68" s="27"/>
      <c r="AR68" s="56"/>
      <c r="AS68" s="27"/>
      <c r="AT68" s="56"/>
      <c r="AU68" s="27"/>
      <c r="AV68" s="56"/>
      <c r="AW68" s="27"/>
      <c r="AX68" s="56"/>
      <c r="AY68" s="27"/>
      <c r="AZ68" s="56"/>
      <c r="BA68" s="27"/>
      <c r="BB68" s="48"/>
      <c r="BC68" s="48"/>
      <c r="BD68" s="48"/>
      <c r="BE68" s="48"/>
      <c r="BF68" s="48"/>
      <c r="BG68" s="48"/>
      <c r="BH68" s="48"/>
      <c r="BI68" s="48"/>
      <c r="BJ68" s="48"/>
      <c r="BK68" s="48"/>
      <c r="BL68" s="48"/>
      <c r="BM68" s="48"/>
      <c r="BN68" s="48"/>
      <c r="BO68" s="48"/>
      <c r="BP68" s="48"/>
      <c r="BQ68" s="48"/>
      <c r="BR68" s="48"/>
      <c r="BS68" s="48"/>
      <c r="BT68" s="48"/>
      <c r="BU68" s="48"/>
    </row>
    <row r="69" ht="15.75" customHeight="1">
      <c r="A69" s="48"/>
      <c r="B69" s="48"/>
      <c r="C69" s="48"/>
      <c r="D69" s="48"/>
      <c r="E69" s="27"/>
      <c r="F69" s="48"/>
      <c r="G69" s="48"/>
      <c r="H69" s="56"/>
      <c r="I69" s="56"/>
      <c r="J69" s="56"/>
      <c r="K69" s="56"/>
      <c r="L69" s="56"/>
      <c r="M69" s="56"/>
      <c r="N69" s="56"/>
      <c r="O69" s="56"/>
      <c r="P69" s="56"/>
      <c r="Q69" s="56"/>
      <c r="R69" s="56"/>
      <c r="S69" s="56"/>
      <c r="T69" s="56"/>
      <c r="U69" s="56"/>
      <c r="V69" s="56"/>
      <c r="W69" s="27"/>
      <c r="X69" s="56"/>
      <c r="Y69" s="27"/>
      <c r="Z69" s="56"/>
      <c r="AA69" s="27"/>
      <c r="AB69" s="56"/>
      <c r="AC69" s="27"/>
      <c r="AD69" s="56"/>
      <c r="AE69" s="27"/>
      <c r="AF69" s="56"/>
      <c r="AG69" s="27"/>
      <c r="AH69" s="286"/>
      <c r="AI69" s="27"/>
      <c r="AJ69" s="56"/>
      <c r="AK69" s="27"/>
      <c r="AL69" s="56"/>
      <c r="AM69" s="27"/>
      <c r="AN69" s="56"/>
      <c r="AO69" s="27"/>
      <c r="AP69" s="56"/>
      <c r="AQ69" s="27"/>
      <c r="AR69" s="56"/>
      <c r="AS69" s="27"/>
      <c r="AT69" s="56"/>
      <c r="AU69" s="27"/>
      <c r="AV69" s="56"/>
      <c r="AW69" s="27"/>
      <c r="AX69" s="56"/>
      <c r="AY69" s="27"/>
      <c r="AZ69" s="56"/>
      <c r="BA69" s="27"/>
      <c r="BB69" s="48"/>
      <c r="BC69" s="48"/>
      <c r="BD69" s="48"/>
      <c r="BE69" s="48"/>
      <c r="BF69" s="48"/>
      <c r="BG69" s="48"/>
      <c r="BH69" s="48"/>
      <c r="BI69" s="48"/>
      <c r="BJ69" s="48"/>
      <c r="BK69" s="48"/>
      <c r="BL69" s="48"/>
      <c r="BM69" s="48"/>
      <c r="BN69" s="48"/>
      <c r="BO69" s="48"/>
      <c r="BP69" s="48"/>
      <c r="BQ69" s="48"/>
      <c r="BR69" s="48"/>
      <c r="BS69" s="48"/>
      <c r="BT69" s="48"/>
      <c r="BU69" s="48"/>
    </row>
    <row r="70" ht="15.75" customHeight="1">
      <c r="A70" s="48"/>
      <c r="B70" s="48"/>
      <c r="C70" s="48"/>
      <c r="D70" s="48"/>
      <c r="E70" s="27"/>
      <c r="F70" s="48"/>
      <c r="G70" s="48"/>
      <c r="H70" s="56"/>
      <c r="I70" s="56"/>
      <c r="J70" s="56"/>
      <c r="K70" s="56"/>
      <c r="L70" s="56"/>
      <c r="M70" s="56"/>
      <c r="N70" s="56"/>
      <c r="O70" s="56"/>
      <c r="P70" s="56"/>
      <c r="Q70" s="56"/>
      <c r="R70" s="56"/>
      <c r="S70" s="56"/>
      <c r="T70" s="56"/>
      <c r="U70" s="56"/>
      <c r="V70" s="56"/>
      <c r="W70" s="27"/>
      <c r="X70" s="56"/>
      <c r="Y70" s="27"/>
      <c r="Z70" s="56"/>
      <c r="AA70" s="27"/>
      <c r="AB70" s="56"/>
      <c r="AC70" s="27"/>
      <c r="AD70" s="56"/>
      <c r="AE70" s="27"/>
      <c r="AF70" s="56"/>
      <c r="AG70" s="27"/>
      <c r="AH70" s="286"/>
      <c r="AI70" s="27"/>
      <c r="AJ70" s="56"/>
      <c r="AK70" s="27"/>
      <c r="AL70" s="56"/>
      <c r="AM70" s="27"/>
      <c r="AN70" s="56"/>
      <c r="AO70" s="27"/>
      <c r="AP70" s="56"/>
      <c r="AQ70" s="27"/>
      <c r="AR70" s="56"/>
      <c r="AS70" s="27"/>
      <c r="AT70" s="56"/>
      <c r="AU70" s="27"/>
      <c r="AV70" s="56"/>
      <c r="AW70" s="27"/>
      <c r="AX70" s="56"/>
      <c r="AY70" s="27"/>
      <c r="AZ70" s="56"/>
      <c r="BA70" s="27"/>
      <c r="BB70" s="48"/>
      <c r="BC70" s="48"/>
      <c r="BD70" s="48"/>
      <c r="BE70" s="48"/>
      <c r="BF70" s="48"/>
      <c r="BG70" s="48"/>
      <c r="BH70" s="48"/>
      <c r="BI70" s="48"/>
      <c r="BJ70" s="48"/>
      <c r="BK70" s="48"/>
      <c r="BL70" s="48"/>
      <c r="BM70" s="48"/>
      <c r="BN70" s="48"/>
      <c r="BO70" s="48"/>
      <c r="BP70" s="48"/>
      <c r="BQ70" s="48"/>
      <c r="BR70" s="48"/>
      <c r="BS70" s="48"/>
      <c r="BT70" s="48"/>
      <c r="BU70" s="48"/>
    </row>
    <row r="71" ht="15.75" customHeight="1">
      <c r="A71" s="48"/>
      <c r="B71" s="48"/>
      <c r="C71" s="48"/>
      <c r="D71" s="48"/>
      <c r="E71" s="27"/>
      <c r="F71" s="48"/>
      <c r="G71" s="48"/>
      <c r="H71" s="56"/>
      <c r="I71" s="56"/>
      <c r="J71" s="56"/>
      <c r="K71" s="56"/>
      <c r="L71" s="56"/>
      <c r="M71" s="56"/>
      <c r="N71" s="56"/>
      <c r="O71" s="56"/>
      <c r="P71" s="56"/>
      <c r="Q71" s="56"/>
      <c r="R71" s="56"/>
      <c r="S71" s="56"/>
      <c r="T71" s="56"/>
      <c r="U71" s="56"/>
      <c r="V71" s="56"/>
      <c r="W71" s="27"/>
      <c r="X71" s="56"/>
      <c r="Y71" s="27"/>
      <c r="Z71" s="56"/>
      <c r="AA71" s="27"/>
      <c r="AB71" s="56"/>
      <c r="AC71" s="27"/>
      <c r="AD71" s="56"/>
      <c r="AE71" s="27"/>
      <c r="AF71" s="56"/>
      <c r="AG71" s="27"/>
      <c r="AH71" s="286"/>
      <c r="AI71" s="27"/>
      <c r="AJ71" s="56"/>
      <c r="AK71" s="27"/>
      <c r="AL71" s="56"/>
      <c r="AM71" s="27"/>
      <c r="AN71" s="56"/>
      <c r="AO71" s="27"/>
      <c r="AP71" s="56"/>
      <c r="AQ71" s="27"/>
      <c r="AR71" s="56"/>
      <c r="AS71" s="27"/>
      <c r="AT71" s="56"/>
      <c r="AU71" s="27"/>
      <c r="AV71" s="56"/>
      <c r="AW71" s="27"/>
      <c r="AX71" s="56"/>
      <c r="AY71" s="27"/>
      <c r="AZ71" s="56"/>
      <c r="BA71" s="27"/>
      <c r="BB71" s="48"/>
      <c r="BC71" s="48"/>
      <c r="BD71" s="48"/>
      <c r="BE71" s="48"/>
      <c r="BF71" s="48"/>
      <c r="BG71" s="48"/>
      <c r="BH71" s="48"/>
      <c r="BI71" s="48"/>
      <c r="BJ71" s="48"/>
      <c r="BK71" s="48"/>
      <c r="BL71" s="48"/>
      <c r="BM71" s="48"/>
      <c r="BN71" s="48"/>
      <c r="BO71" s="48"/>
      <c r="BP71" s="48"/>
      <c r="BQ71" s="48"/>
      <c r="BR71" s="48"/>
      <c r="BS71" s="48"/>
      <c r="BT71" s="48"/>
      <c r="BU71" s="48"/>
    </row>
    <row r="72" ht="15.75" customHeight="1">
      <c r="A72" s="48"/>
      <c r="B72" s="48"/>
      <c r="C72" s="48"/>
      <c r="D72" s="48"/>
      <c r="E72" s="27"/>
      <c r="F72" s="48"/>
      <c r="G72" s="48"/>
      <c r="H72" s="56"/>
      <c r="I72" s="56"/>
      <c r="J72" s="56"/>
      <c r="K72" s="56"/>
      <c r="L72" s="56"/>
      <c r="M72" s="56"/>
      <c r="N72" s="56"/>
      <c r="O72" s="56"/>
      <c r="P72" s="56"/>
      <c r="Q72" s="56"/>
      <c r="R72" s="56"/>
      <c r="S72" s="56"/>
      <c r="T72" s="56"/>
      <c r="U72" s="56"/>
      <c r="V72" s="56"/>
      <c r="W72" s="27"/>
      <c r="X72" s="56"/>
      <c r="Y72" s="27"/>
      <c r="Z72" s="56"/>
      <c r="AA72" s="27"/>
      <c r="AB72" s="56"/>
      <c r="AC72" s="27"/>
      <c r="AD72" s="56"/>
      <c r="AE72" s="27"/>
      <c r="AF72" s="56"/>
      <c r="AG72" s="27"/>
      <c r="AH72" s="286"/>
      <c r="AI72" s="27"/>
      <c r="AJ72" s="56"/>
      <c r="AK72" s="27"/>
      <c r="AL72" s="56"/>
      <c r="AM72" s="27"/>
      <c r="AN72" s="56"/>
      <c r="AO72" s="27"/>
      <c r="AP72" s="56"/>
      <c r="AQ72" s="27"/>
      <c r="AR72" s="56"/>
      <c r="AS72" s="27"/>
      <c r="AT72" s="56"/>
      <c r="AU72" s="27"/>
      <c r="AV72" s="56"/>
      <c r="AW72" s="27"/>
      <c r="AX72" s="56"/>
      <c r="AY72" s="27"/>
      <c r="AZ72" s="56"/>
      <c r="BA72" s="27"/>
      <c r="BB72" s="48"/>
      <c r="BC72" s="48"/>
      <c r="BD72" s="48"/>
      <c r="BE72" s="48"/>
      <c r="BF72" s="48"/>
      <c r="BG72" s="48"/>
      <c r="BH72" s="48"/>
      <c r="BI72" s="48"/>
      <c r="BJ72" s="48"/>
      <c r="BK72" s="48"/>
      <c r="BL72" s="48"/>
      <c r="BM72" s="48"/>
      <c r="BN72" s="48"/>
      <c r="BO72" s="48"/>
      <c r="BP72" s="48"/>
      <c r="BQ72" s="48"/>
      <c r="BR72" s="48"/>
      <c r="BS72" s="48"/>
      <c r="BT72" s="48"/>
      <c r="BU72" s="48"/>
    </row>
    <row r="73" ht="15.75" customHeight="1">
      <c r="A73" s="48"/>
      <c r="B73" s="48"/>
      <c r="C73" s="48"/>
      <c r="D73" s="48"/>
      <c r="E73" s="27"/>
      <c r="F73" s="48"/>
      <c r="G73" s="48"/>
      <c r="H73" s="56"/>
      <c r="I73" s="56"/>
      <c r="J73" s="56"/>
      <c r="K73" s="56"/>
      <c r="L73" s="56"/>
      <c r="M73" s="56"/>
      <c r="N73" s="56"/>
      <c r="O73" s="56"/>
      <c r="P73" s="56"/>
      <c r="Q73" s="56"/>
      <c r="R73" s="56"/>
      <c r="S73" s="56"/>
      <c r="T73" s="56"/>
      <c r="U73" s="56"/>
      <c r="V73" s="56"/>
      <c r="W73" s="27"/>
      <c r="X73" s="56"/>
      <c r="Y73" s="27"/>
      <c r="Z73" s="56"/>
      <c r="AA73" s="27"/>
      <c r="AB73" s="56"/>
      <c r="AC73" s="27"/>
      <c r="AD73" s="56"/>
      <c r="AE73" s="27"/>
      <c r="AF73" s="56"/>
      <c r="AG73" s="27"/>
      <c r="AH73" s="286"/>
      <c r="AI73" s="27"/>
      <c r="AJ73" s="56"/>
      <c r="AK73" s="27"/>
      <c r="AL73" s="56"/>
      <c r="AM73" s="27"/>
      <c r="AN73" s="56"/>
      <c r="AO73" s="27"/>
      <c r="AP73" s="56"/>
      <c r="AQ73" s="27"/>
      <c r="AR73" s="56"/>
      <c r="AS73" s="27"/>
      <c r="AT73" s="56"/>
      <c r="AU73" s="27"/>
      <c r="AV73" s="56"/>
      <c r="AW73" s="27"/>
      <c r="AX73" s="56"/>
      <c r="AY73" s="27"/>
      <c r="AZ73" s="56"/>
      <c r="BA73" s="27"/>
      <c r="BB73" s="48"/>
      <c r="BC73" s="48"/>
      <c r="BD73" s="48"/>
      <c r="BE73" s="48"/>
      <c r="BF73" s="48"/>
      <c r="BG73" s="48"/>
      <c r="BH73" s="48"/>
      <c r="BI73" s="48"/>
      <c r="BJ73" s="48"/>
      <c r="BK73" s="48"/>
      <c r="BL73" s="48"/>
      <c r="BM73" s="48"/>
      <c r="BN73" s="48"/>
      <c r="BO73" s="48"/>
      <c r="BP73" s="48"/>
      <c r="BQ73" s="48"/>
      <c r="BR73" s="48"/>
      <c r="BS73" s="48"/>
      <c r="BT73" s="48"/>
      <c r="BU73" s="48"/>
    </row>
    <row r="74" ht="15.75" customHeight="1">
      <c r="A74" s="48"/>
      <c r="B74" s="48"/>
      <c r="C74" s="48"/>
      <c r="D74" s="48"/>
      <c r="E74" s="27"/>
      <c r="F74" s="48"/>
      <c r="G74" s="48"/>
      <c r="H74" s="56"/>
      <c r="I74" s="56"/>
      <c r="J74" s="56"/>
      <c r="K74" s="56"/>
      <c r="L74" s="56"/>
      <c r="M74" s="56"/>
      <c r="N74" s="56"/>
      <c r="O74" s="56"/>
      <c r="P74" s="56"/>
      <c r="Q74" s="56"/>
      <c r="R74" s="56"/>
      <c r="S74" s="56"/>
      <c r="T74" s="56"/>
      <c r="U74" s="56"/>
      <c r="V74" s="56"/>
      <c r="W74" s="27"/>
      <c r="X74" s="56"/>
      <c r="Y74" s="27"/>
      <c r="Z74" s="56"/>
      <c r="AA74" s="27"/>
      <c r="AB74" s="56"/>
      <c r="AC74" s="27"/>
      <c r="AD74" s="56"/>
      <c r="AE74" s="27"/>
      <c r="AF74" s="56"/>
      <c r="AG74" s="27"/>
      <c r="AH74" s="286"/>
      <c r="AI74" s="27"/>
      <c r="AJ74" s="56"/>
      <c r="AK74" s="27"/>
      <c r="AL74" s="56"/>
      <c r="AM74" s="27"/>
      <c r="AN74" s="56"/>
      <c r="AO74" s="27"/>
      <c r="AP74" s="56"/>
      <c r="AQ74" s="27"/>
      <c r="AR74" s="56"/>
      <c r="AS74" s="27"/>
      <c r="AT74" s="56"/>
      <c r="AU74" s="27"/>
      <c r="AV74" s="56"/>
      <c r="AW74" s="27"/>
      <c r="AX74" s="56"/>
      <c r="AY74" s="27"/>
      <c r="AZ74" s="56"/>
      <c r="BA74" s="27"/>
      <c r="BB74" s="48"/>
      <c r="BC74" s="48"/>
      <c r="BD74" s="48"/>
      <c r="BE74" s="48"/>
      <c r="BF74" s="48"/>
      <c r="BG74" s="48"/>
      <c r="BH74" s="48"/>
      <c r="BI74" s="48"/>
      <c r="BJ74" s="48"/>
      <c r="BK74" s="48"/>
      <c r="BL74" s="48"/>
      <c r="BM74" s="48"/>
      <c r="BN74" s="48"/>
      <c r="BO74" s="48"/>
      <c r="BP74" s="48"/>
      <c r="BQ74" s="48"/>
      <c r="BR74" s="48"/>
      <c r="BS74" s="48"/>
      <c r="BT74" s="48"/>
      <c r="BU74" s="48"/>
    </row>
    <row r="75" ht="15.75" customHeight="1">
      <c r="A75" s="48"/>
      <c r="B75" s="48"/>
      <c r="C75" s="48"/>
      <c r="D75" s="48"/>
      <c r="E75" s="27"/>
      <c r="F75" s="48"/>
      <c r="G75" s="48"/>
      <c r="H75" s="56"/>
      <c r="I75" s="56"/>
      <c r="J75" s="56"/>
      <c r="K75" s="56"/>
      <c r="L75" s="56"/>
      <c r="M75" s="56"/>
      <c r="N75" s="56"/>
      <c r="O75" s="56"/>
      <c r="P75" s="56"/>
      <c r="Q75" s="56"/>
      <c r="R75" s="56"/>
      <c r="S75" s="56"/>
      <c r="T75" s="56"/>
      <c r="U75" s="56"/>
      <c r="V75" s="56"/>
      <c r="W75" s="27"/>
      <c r="X75" s="56"/>
      <c r="Y75" s="27"/>
      <c r="Z75" s="56"/>
      <c r="AA75" s="27"/>
      <c r="AB75" s="56"/>
      <c r="AC75" s="27"/>
      <c r="AD75" s="56"/>
      <c r="AE75" s="27"/>
      <c r="AF75" s="56"/>
      <c r="AG75" s="27"/>
      <c r="AH75" s="286"/>
      <c r="AI75" s="27"/>
      <c r="AJ75" s="56"/>
      <c r="AK75" s="27"/>
      <c r="AL75" s="56"/>
      <c r="AM75" s="27"/>
      <c r="AN75" s="56"/>
      <c r="AO75" s="27"/>
      <c r="AP75" s="56"/>
      <c r="AQ75" s="27"/>
      <c r="AR75" s="56"/>
      <c r="AS75" s="27"/>
      <c r="AT75" s="56"/>
      <c r="AU75" s="27"/>
      <c r="AV75" s="56"/>
      <c r="AW75" s="27"/>
      <c r="AX75" s="56"/>
      <c r="AY75" s="27"/>
      <c r="AZ75" s="56"/>
      <c r="BA75" s="27"/>
      <c r="BB75" s="48"/>
      <c r="BC75" s="48"/>
      <c r="BD75" s="48"/>
      <c r="BE75" s="48"/>
      <c r="BF75" s="48"/>
      <c r="BG75" s="48"/>
      <c r="BH75" s="48"/>
      <c r="BI75" s="48"/>
      <c r="BJ75" s="48"/>
      <c r="BK75" s="48"/>
      <c r="BL75" s="48"/>
      <c r="BM75" s="48"/>
      <c r="BN75" s="48"/>
      <c r="BO75" s="48"/>
      <c r="BP75" s="48"/>
      <c r="BQ75" s="48"/>
      <c r="BR75" s="48"/>
      <c r="BS75" s="48"/>
      <c r="BT75" s="48"/>
      <c r="BU75" s="48"/>
    </row>
    <row r="76" ht="15.75" customHeight="1">
      <c r="A76" s="48"/>
      <c r="B76" s="48"/>
      <c r="C76" s="48"/>
      <c r="D76" s="48"/>
      <c r="E76" s="27"/>
      <c r="F76" s="48"/>
      <c r="G76" s="48"/>
      <c r="H76" s="56"/>
      <c r="I76" s="56"/>
      <c r="J76" s="56"/>
      <c r="K76" s="56"/>
      <c r="L76" s="56"/>
      <c r="M76" s="56"/>
      <c r="N76" s="56"/>
      <c r="O76" s="56"/>
      <c r="P76" s="56"/>
      <c r="Q76" s="56"/>
      <c r="R76" s="56"/>
      <c r="S76" s="56"/>
      <c r="T76" s="56"/>
      <c r="U76" s="56"/>
      <c r="V76" s="56"/>
      <c r="W76" s="27"/>
      <c r="X76" s="56"/>
      <c r="Y76" s="27"/>
      <c r="Z76" s="56"/>
      <c r="AA76" s="27"/>
      <c r="AB76" s="56"/>
      <c r="AC76" s="27"/>
      <c r="AD76" s="56"/>
      <c r="AE76" s="27"/>
      <c r="AF76" s="56"/>
      <c r="AG76" s="27"/>
      <c r="AH76" s="286"/>
      <c r="AI76" s="27"/>
      <c r="AJ76" s="56"/>
      <c r="AK76" s="27"/>
      <c r="AL76" s="56"/>
      <c r="AM76" s="27"/>
      <c r="AN76" s="56"/>
      <c r="AO76" s="27"/>
      <c r="AP76" s="56"/>
      <c r="AQ76" s="27"/>
      <c r="AR76" s="56"/>
      <c r="AS76" s="27"/>
      <c r="AT76" s="56"/>
      <c r="AU76" s="27"/>
      <c r="AV76" s="56"/>
      <c r="AW76" s="27"/>
      <c r="AX76" s="56"/>
      <c r="AY76" s="27"/>
      <c r="AZ76" s="56"/>
      <c r="BA76" s="27"/>
      <c r="BB76" s="48"/>
      <c r="BC76" s="48"/>
      <c r="BD76" s="48"/>
      <c r="BE76" s="48"/>
      <c r="BF76" s="48"/>
      <c r="BG76" s="48"/>
      <c r="BH76" s="48"/>
      <c r="BI76" s="48"/>
      <c r="BJ76" s="48"/>
      <c r="BK76" s="48"/>
      <c r="BL76" s="48"/>
      <c r="BM76" s="48"/>
      <c r="BN76" s="48"/>
      <c r="BO76" s="48"/>
      <c r="BP76" s="48"/>
      <c r="BQ76" s="48"/>
      <c r="BR76" s="48"/>
      <c r="BS76" s="48"/>
      <c r="BT76" s="48"/>
      <c r="BU76" s="48"/>
    </row>
    <row r="77" ht="15.75" customHeight="1">
      <c r="A77" s="48"/>
      <c r="B77" s="48"/>
      <c r="C77" s="48"/>
      <c r="D77" s="48"/>
      <c r="E77" s="27"/>
      <c r="F77" s="48"/>
      <c r="G77" s="48"/>
      <c r="H77" s="56"/>
      <c r="I77" s="56"/>
      <c r="J77" s="56"/>
      <c r="K77" s="56"/>
      <c r="L77" s="56"/>
      <c r="M77" s="56"/>
      <c r="N77" s="56"/>
      <c r="O77" s="56"/>
      <c r="P77" s="56"/>
      <c r="Q77" s="56"/>
      <c r="R77" s="56"/>
      <c r="S77" s="56"/>
      <c r="T77" s="56"/>
      <c r="U77" s="56"/>
      <c r="V77" s="56"/>
      <c r="W77" s="27"/>
      <c r="X77" s="56"/>
      <c r="Y77" s="27"/>
      <c r="Z77" s="56"/>
      <c r="AA77" s="27"/>
      <c r="AB77" s="56"/>
      <c r="AC77" s="27"/>
      <c r="AD77" s="56"/>
      <c r="AE77" s="27"/>
      <c r="AF77" s="56"/>
      <c r="AG77" s="27"/>
      <c r="AH77" s="286"/>
      <c r="AI77" s="27"/>
      <c r="AJ77" s="56"/>
      <c r="AK77" s="27"/>
      <c r="AL77" s="56"/>
      <c r="AM77" s="27"/>
      <c r="AN77" s="56"/>
      <c r="AO77" s="27"/>
      <c r="AP77" s="56"/>
      <c r="AQ77" s="27"/>
      <c r="AR77" s="56"/>
      <c r="AS77" s="27"/>
      <c r="AT77" s="56"/>
      <c r="AU77" s="27"/>
      <c r="AV77" s="56"/>
      <c r="AW77" s="27"/>
      <c r="AX77" s="56"/>
      <c r="AY77" s="27"/>
      <c r="AZ77" s="56"/>
      <c r="BA77" s="27"/>
      <c r="BB77" s="48"/>
      <c r="BC77" s="48"/>
      <c r="BD77" s="48"/>
      <c r="BE77" s="48"/>
      <c r="BF77" s="48"/>
      <c r="BG77" s="48"/>
      <c r="BH77" s="48"/>
      <c r="BI77" s="48"/>
      <c r="BJ77" s="48"/>
      <c r="BK77" s="48"/>
      <c r="BL77" s="48"/>
      <c r="BM77" s="48"/>
      <c r="BN77" s="48"/>
      <c r="BO77" s="48"/>
      <c r="BP77" s="48"/>
      <c r="BQ77" s="48"/>
      <c r="BR77" s="48"/>
      <c r="BS77" s="48"/>
      <c r="BT77" s="48"/>
      <c r="BU77" s="48"/>
    </row>
    <row r="78" ht="15.75" customHeight="1">
      <c r="A78" s="48"/>
      <c r="B78" s="48"/>
      <c r="C78" s="48"/>
      <c r="D78" s="48"/>
      <c r="E78" s="27"/>
      <c r="F78" s="48"/>
      <c r="G78" s="48"/>
      <c r="H78" s="56"/>
      <c r="I78" s="56"/>
      <c r="J78" s="56"/>
      <c r="K78" s="56"/>
      <c r="L78" s="56"/>
      <c r="M78" s="56"/>
      <c r="N78" s="56"/>
      <c r="O78" s="56"/>
      <c r="P78" s="56"/>
      <c r="Q78" s="56"/>
      <c r="R78" s="56"/>
      <c r="S78" s="56"/>
      <c r="T78" s="56"/>
      <c r="U78" s="56"/>
      <c r="V78" s="56"/>
      <c r="W78" s="27"/>
      <c r="X78" s="56"/>
      <c r="Y78" s="27"/>
      <c r="Z78" s="56"/>
      <c r="AA78" s="27"/>
      <c r="AB78" s="56"/>
      <c r="AC78" s="27"/>
      <c r="AD78" s="56"/>
      <c r="AE78" s="27"/>
      <c r="AF78" s="56"/>
      <c r="AG78" s="27"/>
      <c r="AH78" s="286"/>
      <c r="AI78" s="27"/>
      <c r="AJ78" s="56"/>
      <c r="AK78" s="27"/>
      <c r="AL78" s="56"/>
      <c r="AM78" s="27"/>
      <c r="AN78" s="56"/>
      <c r="AO78" s="27"/>
      <c r="AP78" s="56"/>
      <c r="AQ78" s="27"/>
      <c r="AR78" s="56"/>
      <c r="AS78" s="27"/>
      <c r="AT78" s="56"/>
      <c r="AU78" s="27"/>
      <c r="AV78" s="56"/>
      <c r="AW78" s="27"/>
      <c r="AX78" s="56"/>
      <c r="AY78" s="27"/>
      <c r="AZ78" s="56"/>
      <c r="BA78" s="27"/>
      <c r="BB78" s="48"/>
      <c r="BC78" s="48"/>
      <c r="BD78" s="48"/>
      <c r="BE78" s="48"/>
      <c r="BF78" s="48"/>
      <c r="BG78" s="48"/>
      <c r="BH78" s="48"/>
      <c r="BI78" s="48"/>
      <c r="BJ78" s="48"/>
      <c r="BK78" s="48"/>
      <c r="BL78" s="48"/>
      <c r="BM78" s="48"/>
      <c r="BN78" s="48"/>
      <c r="BO78" s="48"/>
      <c r="BP78" s="48"/>
      <c r="BQ78" s="48"/>
      <c r="BR78" s="48"/>
      <c r="BS78" s="48"/>
      <c r="BT78" s="48"/>
      <c r="BU78" s="48"/>
    </row>
    <row r="79" ht="15.75" customHeight="1">
      <c r="A79" s="48"/>
      <c r="B79" s="48"/>
      <c r="C79" s="48"/>
      <c r="D79" s="48"/>
      <c r="E79" s="27"/>
      <c r="F79" s="48"/>
      <c r="G79" s="48"/>
      <c r="H79" s="56"/>
      <c r="I79" s="56"/>
      <c r="J79" s="56"/>
      <c r="K79" s="56"/>
      <c r="L79" s="56"/>
      <c r="M79" s="56"/>
      <c r="N79" s="56"/>
      <c r="O79" s="56"/>
      <c r="P79" s="56"/>
      <c r="Q79" s="56"/>
      <c r="R79" s="56"/>
      <c r="S79" s="56"/>
      <c r="T79" s="56"/>
      <c r="U79" s="56"/>
      <c r="V79" s="56"/>
      <c r="W79" s="27"/>
      <c r="X79" s="56"/>
      <c r="Y79" s="27"/>
      <c r="Z79" s="56"/>
      <c r="AA79" s="27"/>
      <c r="AB79" s="56"/>
      <c r="AC79" s="27"/>
      <c r="AD79" s="56"/>
      <c r="AE79" s="27"/>
      <c r="AF79" s="56"/>
      <c r="AG79" s="27"/>
      <c r="AH79" s="286"/>
      <c r="AI79" s="27"/>
      <c r="AJ79" s="56"/>
      <c r="AK79" s="27"/>
      <c r="AL79" s="56"/>
      <c r="AM79" s="27"/>
      <c r="AN79" s="56"/>
      <c r="AO79" s="27"/>
      <c r="AP79" s="56"/>
      <c r="AQ79" s="27"/>
      <c r="AR79" s="56"/>
      <c r="AS79" s="27"/>
      <c r="AT79" s="56"/>
      <c r="AU79" s="27"/>
      <c r="AV79" s="56"/>
      <c r="AW79" s="27"/>
      <c r="AX79" s="56"/>
      <c r="AY79" s="27"/>
      <c r="AZ79" s="56"/>
      <c r="BA79" s="27"/>
      <c r="BB79" s="48"/>
      <c r="BC79" s="48"/>
      <c r="BD79" s="48"/>
      <c r="BE79" s="48"/>
      <c r="BF79" s="48"/>
      <c r="BG79" s="48"/>
      <c r="BH79" s="48"/>
      <c r="BI79" s="48"/>
      <c r="BJ79" s="48"/>
      <c r="BK79" s="48"/>
      <c r="BL79" s="48"/>
      <c r="BM79" s="48"/>
      <c r="BN79" s="48"/>
      <c r="BO79" s="48"/>
      <c r="BP79" s="48"/>
      <c r="BQ79" s="48"/>
      <c r="BR79" s="48"/>
      <c r="BS79" s="48"/>
      <c r="BT79" s="48"/>
      <c r="BU79" s="48"/>
    </row>
    <row r="80" ht="15.75" customHeight="1">
      <c r="A80" s="48"/>
      <c r="B80" s="48"/>
      <c r="C80" s="48"/>
      <c r="D80" s="48"/>
      <c r="E80" s="27"/>
      <c r="F80" s="48"/>
      <c r="G80" s="48"/>
      <c r="H80" s="56"/>
      <c r="I80" s="56"/>
      <c r="J80" s="56"/>
      <c r="K80" s="56"/>
      <c r="L80" s="56"/>
      <c r="M80" s="56"/>
      <c r="N80" s="56"/>
      <c r="O80" s="56"/>
      <c r="P80" s="56"/>
      <c r="Q80" s="56"/>
      <c r="R80" s="56"/>
      <c r="S80" s="56"/>
      <c r="T80" s="56"/>
      <c r="U80" s="56"/>
      <c r="V80" s="56"/>
      <c r="W80" s="27"/>
      <c r="X80" s="56"/>
      <c r="Y80" s="27"/>
      <c r="Z80" s="56"/>
      <c r="AA80" s="27"/>
      <c r="AB80" s="56"/>
      <c r="AC80" s="27"/>
      <c r="AD80" s="56"/>
      <c r="AE80" s="27"/>
      <c r="AF80" s="56"/>
      <c r="AG80" s="27"/>
      <c r="AH80" s="286"/>
      <c r="AI80" s="27"/>
      <c r="AJ80" s="56"/>
      <c r="AK80" s="27"/>
      <c r="AL80" s="56"/>
      <c r="AM80" s="27"/>
      <c r="AN80" s="56"/>
      <c r="AO80" s="27"/>
      <c r="AP80" s="56"/>
      <c r="AQ80" s="27"/>
      <c r="AR80" s="56"/>
      <c r="AS80" s="27"/>
      <c r="AT80" s="56"/>
      <c r="AU80" s="27"/>
      <c r="AV80" s="56"/>
      <c r="AW80" s="27"/>
      <c r="AX80" s="56"/>
      <c r="AY80" s="27"/>
      <c r="AZ80" s="56"/>
      <c r="BA80" s="27"/>
      <c r="BB80" s="48"/>
      <c r="BC80" s="48"/>
      <c r="BD80" s="48"/>
      <c r="BE80" s="48"/>
      <c r="BF80" s="48"/>
      <c r="BG80" s="48"/>
      <c r="BH80" s="48"/>
      <c r="BI80" s="48"/>
      <c r="BJ80" s="48"/>
      <c r="BK80" s="48"/>
      <c r="BL80" s="48"/>
      <c r="BM80" s="48"/>
      <c r="BN80" s="48"/>
      <c r="BO80" s="48"/>
      <c r="BP80" s="48"/>
      <c r="BQ80" s="48"/>
      <c r="BR80" s="48"/>
      <c r="BS80" s="48"/>
      <c r="BT80" s="48"/>
      <c r="BU80" s="48"/>
    </row>
    <row r="81" ht="15.75" customHeight="1">
      <c r="A81" s="48"/>
      <c r="B81" s="48"/>
      <c r="C81" s="48"/>
      <c r="D81" s="48"/>
      <c r="E81" s="27"/>
      <c r="F81" s="48"/>
      <c r="G81" s="48"/>
      <c r="H81" s="56"/>
      <c r="I81" s="56"/>
      <c r="J81" s="56"/>
      <c r="K81" s="56"/>
      <c r="L81" s="56"/>
      <c r="M81" s="56"/>
      <c r="N81" s="56"/>
      <c r="O81" s="56"/>
      <c r="P81" s="56"/>
      <c r="Q81" s="56"/>
      <c r="R81" s="56"/>
      <c r="S81" s="56"/>
      <c r="T81" s="56"/>
      <c r="U81" s="56"/>
      <c r="V81" s="56"/>
      <c r="W81" s="27"/>
      <c r="X81" s="56"/>
      <c r="Y81" s="27"/>
      <c r="Z81" s="56"/>
      <c r="AA81" s="27"/>
      <c r="AB81" s="56"/>
      <c r="AC81" s="27"/>
      <c r="AD81" s="56"/>
      <c r="AE81" s="27"/>
      <c r="AF81" s="56"/>
      <c r="AG81" s="27"/>
      <c r="AH81" s="286"/>
      <c r="AI81" s="27"/>
      <c r="AJ81" s="56"/>
      <c r="AK81" s="27"/>
      <c r="AL81" s="56"/>
      <c r="AM81" s="27"/>
      <c r="AN81" s="56"/>
      <c r="AO81" s="27"/>
      <c r="AP81" s="56"/>
      <c r="AQ81" s="27"/>
      <c r="AR81" s="56"/>
      <c r="AS81" s="27"/>
      <c r="AT81" s="56"/>
      <c r="AU81" s="27"/>
      <c r="AV81" s="56"/>
      <c r="AW81" s="27"/>
      <c r="AX81" s="56"/>
      <c r="AY81" s="27"/>
      <c r="AZ81" s="56"/>
      <c r="BA81" s="27"/>
      <c r="BB81" s="48"/>
      <c r="BC81" s="48"/>
      <c r="BD81" s="48"/>
      <c r="BE81" s="48"/>
      <c r="BF81" s="48"/>
      <c r="BG81" s="48"/>
      <c r="BH81" s="48"/>
      <c r="BI81" s="48"/>
      <c r="BJ81" s="48"/>
      <c r="BK81" s="48"/>
      <c r="BL81" s="48"/>
      <c r="BM81" s="48"/>
      <c r="BN81" s="48"/>
      <c r="BO81" s="48"/>
      <c r="BP81" s="48"/>
      <c r="BQ81" s="48"/>
      <c r="BR81" s="48"/>
      <c r="BS81" s="48"/>
      <c r="BT81" s="48"/>
      <c r="BU81" s="48"/>
    </row>
    <row r="82" ht="15.75" customHeight="1">
      <c r="A82" s="48"/>
      <c r="B82" s="48"/>
      <c r="C82" s="48"/>
      <c r="D82" s="48"/>
      <c r="E82" s="27"/>
      <c r="F82" s="48"/>
      <c r="G82" s="48"/>
      <c r="H82" s="56"/>
      <c r="I82" s="56"/>
      <c r="J82" s="56"/>
      <c r="K82" s="56"/>
      <c r="L82" s="56"/>
      <c r="M82" s="56"/>
      <c r="N82" s="56"/>
      <c r="O82" s="56"/>
      <c r="P82" s="56"/>
      <c r="Q82" s="56"/>
      <c r="R82" s="56"/>
      <c r="S82" s="56"/>
      <c r="T82" s="56"/>
      <c r="U82" s="56"/>
      <c r="V82" s="56"/>
      <c r="W82" s="27"/>
      <c r="X82" s="56"/>
      <c r="Y82" s="27"/>
      <c r="Z82" s="56"/>
      <c r="AA82" s="27"/>
      <c r="AB82" s="56"/>
      <c r="AC82" s="27"/>
      <c r="AD82" s="56"/>
      <c r="AE82" s="27"/>
      <c r="AF82" s="56"/>
      <c r="AG82" s="27"/>
      <c r="AH82" s="286"/>
      <c r="AI82" s="27"/>
      <c r="AJ82" s="56"/>
      <c r="AK82" s="27"/>
      <c r="AL82" s="56"/>
      <c r="AM82" s="27"/>
      <c r="AN82" s="56"/>
      <c r="AO82" s="27"/>
      <c r="AP82" s="56"/>
      <c r="AQ82" s="27"/>
      <c r="AR82" s="56"/>
      <c r="AS82" s="27"/>
      <c r="AT82" s="56"/>
      <c r="AU82" s="27"/>
      <c r="AV82" s="56"/>
      <c r="AW82" s="27"/>
      <c r="AX82" s="56"/>
      <c r="AY82" s="27"/>
      <c r="AZ82" s="56"/>
      <c r="BA82" s="27"/>
      <c r="BB82" s="48"/>
      <c r="BC82" s="48"/>
      <c r="BD82" s="48"/>
      <c r="BE82" s="48"/>
      <c r="BF82" s="48"/>
      <c r="BG82" s="48"/>
      <c r="BH82" s="48"/>
      <c r="BI82" s="48"/>
      <c r="BJ82" s="48"/>
      <c r="BK82" s="48"/>
      <c r="BL82" s="48"/>
      <c r="BM82" s="48"/>
      <c r="BN82" s="48"/>
      <c r="BO82" s="48"/>
      <c r="BP82" s="48"/>
      <c r="BQ82" s="48"/>
      <c r="BR82" s="48"/>
      <c r="BS82" s="48"/>
      <c r="BT82" s="48"/>
      <c r="BU82" s="48"/>
    </row>
    <row r="83" ht="15.75" customHeight="1">
      <c r="A83" s="48"/>
      <c r="B83" s="48"/>
      <c r="C83" s="48"/>
      <c r="D83" s="48"/>
      <c r="E83" s="27"/>
      <c r="F83" s="48"/>
      <c r="G83" s="48"/>
      <c r="H83" s="56"/>
      <c r="I83" s="56"/>
      <c r="J83" s="56"/>
      <c r="K83" s="56"/>
      <c r="L83" s="56"/>
      <c r="M83" s="56"/>
      <c r="N83" s="56"/>
      <c r="O83" s="56"/>
      <c r="P83" s="56"/>
      <c r="Q83" s="56"/>
      <c r="R83" s="56"/>
      <c r="S83" s="56"/>
      <c r="T83" s="56"/>
      <c r="U83" s="56"/>
      <c r="V83" s="56"/>
      <c r="W83" s="27"/>
      <c r="X83" s="56"/>
      <c r="Y83" s="27"/>
      <c r="Z83" s="56"/>
      <c r="AA83" s="27"/>
      <c r="AB83" s="56"/>
      <c r="AC83" s="27"/>
      <c r="AD83" s="56"/>
      <c r="AE83" s="27"/>
      <c r="AF83" s="56"/>
      <c r="AG83" s="27"/>
      <c r="AH83" s="286"/>
      <c r="AI83" s="27"/>
      <c r="AJ83" s="56"/>
      <c r="AK83" s="27"/>
      <c r="AL83" s="56"/>
      <c r="AM83" s="27"/>
      <c r="AN83" s="56"/>
      <c r="AO83" s="27"/>
      <c r="AP83" s="56"/>
      <c r="AQ83" s="27"/>
      <c r="AR83" s="56"/>
      <c r="AS83" s="27"/>
      <c r="AT83" s="56"/>
      <c r="AU83" s="27"/>
      <c r="AV83" s="56"/>
      <c r="AW83" s="27"/>
      <c r="AX83" s="56"/>
      <c r="AY83" s="27"/>
      <c r="AZ83" s="56"/>
      <c r="BA83" s="27"/>
      <c r="BB83" s="48"/>
      <c r="BC83" s="48"/>
      <c r="BD83" s="48"/>
      <c r="BE83" s="48"/>
      <c r="BF83" s="48"/>
      <c r="BG83" s="48"/>
      <c r="BH83" s="48"/>
      <c r="BI83" s="48"/>
      <c r="BJ83" s="48"/>
      <c r="BK83" s="48"/>
      <c r="BL83" s="48"/>
      <c r="BM83" s="48"/>
      <c r="BN83" s="48"/>
      <c r="BO83" s="48"/>
      <c r="BP83" s="48"/>
      <c r="BQ83" s="48"/>
      <c r="BR83" s="48"/>
      <c r="BS83" s="48"/>
      <c r="BT83" s="48"/>
      <c r="BU83" s="48"/>
    </row>
    <row r="84" ht="15.75" customHeight="1">
      <c r="A84" s="48"/>
      <c r="B84" s="48"/>
      <c r="C84" s="48"/>
      <c r="D84" s="48"/>
      <c r="E84" s="27"/>
      <c r="F84" s="48"/>
      <c r="G84" s="48"/>
      <c r="H84" s="56"/>
      <c r="I84" s="56"/>
      <c r="J84" s="56"/>
      <c r="K84" s="56"/>
      <c r="L84" s="56"/>
      <c r="M84" s="56"/>
      <c r="N84" s="56"/>
      <c r="O84" s="56"/>
      <c r="P84" s="56"/>
      <c r="Q84" s="56"/>
      <c r="R84" s="56"/>
      <c r="S84" s="56"/>
      <c r="T84" s="56"/>
      <c r="U84" s="56"/>
      <c r="V84" s="56"/>
      <c r="W84" s="27"/>
      <c r="X84" s="56"/>
      <c r="Y84" s="27"/>
      <c r="Z84" s="56"/>
      <c r="AA84" s="27"/>
      <c r="AB84" s="56"/>
      <c r="AC84" s="27"/>
      <c r="AD84" s="56"/>
      <c r="AE84" s="27"/>
      <c r="AF84" s="56"/>
      <c r="AG84" s="27"/>
      <c r="AH84" s="286"/>
      <c r="AI84" s="27"/>
      <c r="AJ84" s="56"/>
      <c r="AK84" s="27"/>
      <c r="AL84" s="56"/>
      <c r="AM84" s="27"/>
      <c r="AN84" s="56"/>
      <c r="AO84" s="27"/>
      <c r="AP84" s="56"/>
      <c r="AQ84" s="27"/>
      <c r="AR84" s="56"/>
      <c r="AS84" s="27"/>
      <c r="AT84" s="56"/>
      <c r="AU84" s="27"/>
      <c r="AV84" s="56"/>
      <c r="AW84" s="27"/>
      <c r="AX84" s="56"/>
      <c r="AY84" s="27"/>
      <c r="AZ84" s="56"/>
      <c r="BA84" s="27"/>
      <c r="BB84" s="48"/>
      <c r="BC84" s="48"/>
      <c r="BD84" s="48"/>
      <c r="BE84" s="48"/>
      <c r="BF84" s="48"/>
      <c r="BG84" s="48"/>
      <c r="BH84" s="48"/>
      <c r="BI84" s="48"/>
      <c r="BJ84" s="48"/>
      <c r="BK84" s="48"/>
      <c r="BL84" s="48"/>
      <c r="BM84" s="48"/>
      <c r="BN84" s="48"/>
      <c r="BO84" s="48"/>
      <c r="BP84" s="48"/>
      <c r="BQ84" s="48"/>
      <c r="BR84" s="48"/>
      <c r="BS84" s="48"/>
      <c r="BT84" s="48"/>
      <c r="BU84" s="48"/>
    </row>
    <row r="85" ht="15.75" customHeight="1">
      <c r="A85" s="48"/>
      <c r="B85" s="48"/>
      <c r="C85" s="48"/>
      <c r="D85" s="48"/>
      <c r="E85" s="27"/>
      <c r="F85" s="48"/>
      <c r="G85" s="48"/>
      <c r="H85" s="56"/>
      <c r="I85" s="56"/>
      <c r="J85" s="56"/>
      <c r="K85" s="56"/>
      <c r="L85" s="56"/>
      <c r="M85" s="56"/>
      <c r="N85" s="56"/>
      <c r="O85" s="56"/>
      <c r="P85" s="56"/>
      <c r="Q85" s="56"/>
      <c r="R85" s="56"/>
      <c r="S85" s="56"/>
      <c r="T85" s="56"/>
      <c r="U85" s="56"/>
      <c r="V85" s="56"/>
      <c r="W85" s="27"/>
      <c r="X85" s="56"/>
      <c r="Y85" s="27"/>
      <c r="Z85" s="56"/>
      <c r="AA85" s="27"/>
      <c r="AB85" s="56"/>
      <c r="AC85" s="27"/>
      <c r="AD85" s="56"/>
      <c r="AE85" s="27"/>
      <c r="AF85" s="56"/>
      <c r="AG85" s="27"/>
      <c r="AH85" s="286"/>
      <c r="AI85" s="27"/>
      <c r="AJ85" s="56"/>
      <c r="AK85" s="27"/>
      <c r="AL85" s="56"/>
      <c r="AM85" s="27"/>
      <c r="AN85" s="56"/>
      <c r="AO85" s="27"/>
      <c r="AP85" s="56"/>
      <c r="AQ85" s="27"/>
      <c r="AR85" s="56"/>
      <c r="AS85" s="27"/>
      <c r="AT85" s="56"/>
      <c r="AU85" s="27"/>
      <c r="AV85" s="56"/>
      <c r="AW85" s="27"/>
      <c r="AX85" s="56"/>
      <c r="AY85" s="27"/>
      <c r="AZ85" s="56"/>
      <c r="BA85" s="27"/>
      <c r="BB85" s="48"/>
      <c r="BC85" s="48"/>
      <c r="BD85" s="48"/>
      <c r="BE85" s="48"/>
      <c r="BF85" s="48"/>
      <c r="BG85" s="48"/>
      <c r="BH85" s="48"/>
      <c r="BI85" s="48"/>
      <c r="BJ85" s="48"/>
      <c r="BK85" s="48"/>
      <c r="BL85" s="48"/>
      <c r="BM85" s="48"/>
      <c r="BN85" s="48"/>
      <c r="BO85" s="48"/>
      <c r="BP85" s="48"/>
      <c r="BQ85" s="48"/>
      <c r="BR85" s="48"/>
      <c r="BS85" s="48"/>
      <c r="BT85" s="48"/>
      <c r="BU85" s="48"/>
    </row>
    <row r="86" ht="15.75" customHeight="1">
      <c r="A86" s="48"/>
      <c r="B86" s="48"/>
      <c r="C86" s="48"/>
      <c r="D86" s="48"/>
      <c r="E86" s="27"/>
      <c r="F86" s="48"/>
      <c r="G86" s="48"/>
      <c r="H86" s="56"/>
      <c r="I86" s="56"/>
      <c r="J86" s="56"/>
      <c r="K86" s="56"/>
      <c r="L86" s="56"/>
      <c r="M86" s="56"/>
      <c r="N86" s="56"/>
      <c r="O86" s="56"/>
      <c r="P86" s="56"/>
      <c r="Q86" s="56"/>
      <c r="R86" s="56"/>
      <c r="S86" s="56"/>
      <c r="T86" s="56"/>
      <c r="U86" s="56"/>
      <c r="V86" s="56"/>
      <c r="W86" s="27"/>
      <c r="X86" s="56"/>
      <c r="Y86" s="27"/>
      <c r="Z86" s="56"/>
      <c r="AA86" s="27"/>
      <c r="AB86" s="56"/>
      <c r="AC86" s="27"/>
      <c r="AD86" s="56"/>
      <c r="AE86" s="27"/>
      <c r="AF86" s="56"/>
      <c r="AG86" s="27"/>
      <c r="AH86" s="286"/>
      <c r="AI86" s="27"/>
      <c r="AJ86" s="56"/>
      <c r="AK86" s="27"/>
      <c r="AL86" s="56"/>
      <c r="AM86" s="27"/>
      <c r="AN86" s="56"/>
      <c r="AO86" s="27"/>
      <c r="AP86" s="56"/>
      <c r="AQ86" s="27"/>
      <c r="AR86" s="56"/>
      <c r="AS86" s="27"/>
      <c r="AT86" s="56"/>
      <c r="AU86" s="27"/>
      <c r="AV86" s="56"/>
      <c r="AW86" s="27"/>
      <c r="AX86" s="56"/>
      <c r="AY86" s="27"/>
      <c r="AZ86" s="56"/>
      <c r="BA86" s="27"/>
      <c r="BB86" s="48"/>
      <c r="BC86" s="48"/>
      <c r="BD86" s="48"/>
      <c r="BE86" s="48"/>
      <c r="BF86" s="48"/>
      <c r="BG86" s="48"/>
      <c r="BH86" s="48"/>
      <c r="BI86" s="48"/>
      <c r="BJ86" s="48"/>
      <c r="BK86" s="48"/>
      <c r="BL86" s="48"/>
      <c r="BM86" s="48"/>
      <c r="BN86" s="48"/>
      <c r="BO86" s="48"/>
      <c r="BP86" s="48"/>
      <c r="BQ86" s="48"/>
      <c r="BR86" s="48"/>
      <c r="BS86" s="48"/>
      <c r="BT86" s="48"/>
      <c r="BU86" s="48"/>
    </row>
    <row r="87" ht="15.75" customHeight="1">
      <c r="A87" s="48"/>
      <c r="B87" s="48"/>
      <c r="C87" s="48"/>
      <c r="D87" s="48"/>
      <c r="E87" s="27"/>
      <c r="F87" s="48"/>
      <c r="G87" s="48"/>
      <c r="H87" s="56"/>
      <c r="I87" s="56"/>
      <c r="J87" s="56"/>
      <c r="K87" s="56"/>
      <c r="L87" s="56"/>
      <c r="M87" s="56"/>
      <c r="N87" s="56"/>
      <c r="O87" s="56"/>
      <c r="P87" s="56"/>
      <c r="Q87" s="56"/>
      <c r="R87" s="56"/>
      <c r="S87" s="56"/>
      <c r="T87" s="56"/>
      <c r="U87" s="56"/>
      <c r="V87" s="56"/>
      <c r="W87" s="27"/>
      <c r="X87" s="56"/>
      <c r="Y87" s="27"/>
      <c r="Z87" s="56"/>
      <c r="AA87" s="27"/>
      <c r="AB87" s="56"/>
      <c r="AC87" s="27"/>
      <c r="AD87" s="56"/>
      <c r="AE87" s="27"/>
      <c r="AF87" s="56"/>
      <c r="AG87" s="27"/>
      <c r="AH87" s="286"/>
      <c r="AI87" s="27"/>
      <c r="AJ87" s="56"/>
      <c r="AK87" s="27"/>
      <c r="AL87" s="56"/>
      <c r="AM87" s="27"/>
      <c r="AN87" s="56"/>
      <c r="AO87" s="27"/>
      <c r="AP87" s="56"/>
      <c r="AQ87" s="27"/>
      <c r="AR87" s="56"/>
      <c r="AS87" s="27"/>
      <c r="AT87" s="56"/>
      <c r="AU87" s="27"/>
      <c r="AV87" s="56"/>
      <c r="AW87" s="27"/>
      <c r="AX87" s="56"/>
      <c r="AY87" s="27"/>
      <c r="AZ87" s="56"/>
      <c r="BA87" s="27"/>
      <c r="BB87" s="48"/>
      <c r="BC87" s="48"/>
      <c r="BD87" s="48"/>
      <c r="BE87" s="48"/>
      <c r="BF87" s="48"/>
      <c r="BG87" s="48"/>
      <c r="BH87" s="48"/>
      <c r="BI87" s="48"/>
      <c r="BJ87" s="48"/>
      <c r="BK87" s="48"/>
      <c r="BL87" s="48"/>
      <c r="BM87" s="48"/>
      <c r="BN87" s="48"/>
      <c r="BO87" s="48"/>
      <c r="BP87" s="48"/>
      <c r="BQ87" s="48"/>
      <c r="BR87" s="48"/>
      <c r="BS87" s="48"/>
      <c r="BT87" s="48"/>
      <c r="BU87" s="48"/>
    </row>
    <row r="88" ht="15.75" customHeight="1">
      <c r="A88" s="48"/>
      <c r="B88" s="48"/>
      <c r="C88" s="48"/>
      <c r="D88" s="48"/>
      <c r="E88" s="27"/>
      <c r="F88" s="48"/>
      <c r="G88" s="48"/>
      <c r="H88" s="56"/>
      <c r="I88" s="56"/>
      <c r="J88" s="56"/>
      <c r="K88" s="56"/>
      <c r="L88" s="56"/>
      <c r="M88" s="56"/>
      <c r="N88" s="56"/>
      <c r="O88" s="56"/>
      <c r="P88" s="56"/>
      <c r="Q88" s="56"/>
      <c r="R88" s="56"/>
      <c r="S88" s="56"/>
      <c r="T88" s="56"/>
      <c r="U88" s="56"/>
      <c r="V88" s="56"/>
      <c r="W88" s="27"/>
      <c r="X88" s="56"/>
      <c r="Y88" s="27"/>
      <c r="Z88" s="56"/>
      <c r="AA88" s="27"/>
      <c r="AB88" s="56"/>
      <c r="AC88" s="27"/>
      <c r="AD88" s="56"/>
      <c r="AE88" s="27"/>
      <c r="AF88" s="56"/>
      <c r="AG88" s="27"/>
      <c r="AH88" s="286"/>
      <c r="AI88" s="27"/>
      <c r="AJ88" s="56"/>
      <c r="AK88" s="27"/>
      <c r="AL88" s="56"/>
      <c r="AM88" s="27"/>
      <c r="AN88" s="56"/>
      <c r="AO88" s="27"/>
      <c r="AP88" s="56"/>
      <c r="AQ88" s="27"/>
      <c r="AR88" s="56"/>
      <c r="AS88" s="27"/>
      <c r="AT88" s="56"/>
      <c r="AU88" s="27"/>
      <c r="AV88" s="56"/>
      <c r="AW88" s="27"/>
      <c r="AX88" s="56"/>
      <c r="AY88" s="27"/>
      <c r="AZ88" s="56"/>
      <c r="BA88" s="27"/>
      <c r="BB88" s="48"/>
      <c r="BC88" s="48"/>
      <c r="BD88" s="48"/>
      <c r="BE88" s="48"/>
      <c r="BF88" s="48"/>
      <c r="BG88" s="48"/>
      <c r="BH88" s="48"/>
      <c r="BI88" s="48"/>
      <c r="BJ88" s="48"/>
      <c r="BK88" s="48"/>
      <c r="BL88" s="48"/>
      <c r="BM88" s="48"/>
      <c r="BN88" s="48"/>
      <c r="BO88" s="48"/>
      <c r="BP88" s="48"/>
      <c r="BQ88" s="48"/>
      <c r="BR88" s="48"/>
      <c r="BS88" s="48"/>
      <c r="BT88" s="48"/>
      <c r="BU88" s="48"/>
    </row>
    <row r="89" ht="15.75" customHeight="1">
      <c r="A89" s="48"/>
      <c r="B89" s="48"/>
      <c r="C89" s="48"/>
      <c r="D89" s="48"/>
      <c r="E89" s="27"/>
      <c r="F89" s="48"/>
      <c r="G89" s="48"/>
      <c r="H89" s="56"/>
      <c r="I89" s="56"/>
      <c r="J89" s="56"/>
      <c r="K89" s="56"/>
      <c r="L89" s="56"/>
      <c r="M89" s="56"/>
      <c r="N89" s="56"/>
      <c r="O89" s="56"/>
      <c r="P89" s="56"/>
      <c r="Q89" s="56"/>
      <c r="R89" s="56"/>
      <c r="S89" s="56"/>
      <c r="T89" s="56"/>
      <c r="U89" s="56"/>
      <c r="V89" s="56"/>
      <c r="W89" s="27"/>
      <c r="X89" s="56"/>
      <c r="Y89" s="27"/>
      <c r="Z89" s="56"/>
      <c r="AA89" s="27"/>
      <c r="AB89" s="56"/>
      <c r="AC89" s="27"/>
      <c r="AD89" s="56"/>
      <c r="AE89" s="27"/>
      <c r="AF89" s="56"/>
      <c r="AG89" s="27"/>
      <c r="AH89" s="286"/>
      <c r="AI89" s="27"/>
      <c r="AJ89" s="56"/>
      <c r="AK89" s="27"/>
      <c r="AL89" s="56"/>
      <c r="AM89" s="27"/>
      <c r="AN89" s="56"/>
      <c r="AO89" s="27"/>
      <c r="AP89" s="56"/>
      <c r="AQ89" s="27"/>
      <c r="AR89" s="56"/>
      <c r="AS89" s="27"/>
      <c r="AT89" s="56"/>
      <c r="AU89" s="27"/>
      <c r="AV89" s="56"/>
      <c r="AW89" s="27"/>
      <c r="AX89" s="56"/>
      <c r="AY89" s="27"/>
      <c r="AZ89" s="56"/>
      <c r="BA89" s="27"/>
      <c r="BB89" s="48"/>
      <c r="BC89" s="48"/>
      <c r="BD89" s="48"/>
      <c r="BE89" s="48"/>
      <c r="BF89" s="48"/>
      <c r="BG89" s="48"/>
      <c r="BH89" s="48"/>
      <c r="BI89" s="48"/>
      <c r="BJ89" s="48"/>
      <c r="BK89" s="48"/>
      <c r="BL89" s="48"/>
      <c r="BM89" s="48"/>
      <c r="BN89" s="48"/>
      <c r="BO89" s="48"/>
      <c r="BP89" s="48"/>
      <c r="BQ89" s="48"/>
      <c r="BR89" s="48"/>
      <c r="BS89" s="48"/>
      <c r="BT89" s="48"/>
      <c r="BU89" s="48"/>
    </row>
    <row r="90" ht="15.75" customHeight="1">
      <c r="A90" s="48"/>
      <c r="B90" s="48"/>
      <c r="C90" s="48"/>
      <c r="D90" s="48"/>
      <c r="E90" s="27"/>
      <c r="F90" s="48"/>
      <c r="G90" s="48"/>
      <c r="H90" s="56"/>
      <c r="I90" s="56"/>
      <c r="J90" s="56"/>
      <c r="K90" s="56"/>
      <c r="L90" s="56"/>
      <c r="M90" s="56"/>
      <c r="N90" s="56"/>
      <c r="O90" s="56"/>
      <c r="P90" s="56"/>
      <c r="Q90" s="56"/>
      <c r="R90" s="56"/>
      <c r="S90" s="56"/>
      <c r="T90" s="56"/>
      <c r="U90" s="56"/>
      <c r="V90" s="56"/>
      <c r="W90" s="27"/>
      <c r="X90" s="56"/>
      <c r="Y90" s="27"/>
      <c r="Z90" s="56"/>
      <c r="AA90" s="27"/>
      <c r="AB90" s="56"/>
      <c r="AC90" s="27"/>
      <c r="AD90" s="56"/>
      <c r="AE90" s="27"/>
      <c r="AF90" s="56"/>
      <c r="AG90" s="27"/>
      <c r="AH90" s="286"/>
      <c r="AI90" s="27"/>
      <c r="AJ90" s="56"/>
      <c r="AK90" s="27"/>
      <c r="AL90" s="56"/>
      <c r="AM90" s="27"/>
      <c r="AN90" s="56"/>
      <c r="AO90" s="27"/>
      <c r="AP90" s="56"/>
      <c r="AQ90" s="27"/>
      <c r="AR90" s="56"/>
      <c r="AS90" s="27"/>
      <c r="AT90" s="56"/>
      <c r="AU90" s="27"/>
      <c r="AV90" s="56"/>
      <c r="AW90" s="27"/>
      <c r="AX90" s="56"/>
      <c r="AY90" s="27"/>
      <c r="AZ90" s="56"/>
      <c r="BA90" s="27"/>
      <c r="BB90" s="48"/>
      <c r="BC90" s="48"/>
      <c r="BD90" s="48"/>
      <c r="BE90" s="48"/>
      <c r="BF90" s="48"/>
      <c r="BG90" s="48"/>
      <c r="BH90" s="48"/>
      <c r="BI90" s="48"/>
      <c r="BJ90" s="48"/>
      <c r="BK90" s="48"/>
      <c r="BL90" s="48"/>
      <c r="BM90" s="48"/>
      <c r="BN90" s="48"/>
      <c r="BO90" s="48"/>
      <c r="BP90" s="48"/>
      <c r="BQ90" s="48"/>
      <c r="BR90" s="48"/>
      <c r="BS90" s="48"/>
      <c r="BT90" s="48"/>
      <c r="BU90" s="48"/>
    </row>
    <row r="91" ht="15.75" customHeight="1">
      <c r="A91" s="48"/>
      <c r="B91" s="48"/>
      <c r="C91" s="48"/>
      <c r="D91" s="48"/>
      <c r="E91" s="27"/>
      <c r="F91" s="48"/>
      <c r="G91" s="48"/>
      <c r="H91" s="56"/>
      <c r="I91" s="56"/>
      <c r="J91" s="56"/>
      <c r="K91" s="56"/>
      <c r="L91" s="56"/>
      <c r="M91" s="56"/>
      <c r="N91" s="56"/>
      <c r="O91" s="56"/>
      <c r="P91" s="56"/>
      <c r="Q91" s="56"/>
      <c r="R91" s="56"/>
      <c r="S91" s="56"/>
      <c r="T91" s="56"/>
      <c r="U91" s="56"/>
      <c r="V91" s="56"/>
      <c r="W91" s="27"/>
      <c r="X91" s="56"/>
      <c r="Y91" s="27"/>
      <c r="Z91" s="56"/>
      <c r="AA91" s="27"/>
      <c r="AB91" s="56"/>
      <c r="AC91" s="27"/>
      <c r="AD91" s="56"/>
      <c r="AE91" s="27"/>
      <c r="AF91" s="56"/>
      <c r="AG91" s="27"/>
      <c r="AH91" s="286"/>
      <c r="AI91" s="27"/>
      <c r="AJ91" s="56"/>
      <c r="AK91" s="27"/>
      <c r="AL91" s="56"/>
      <c r="AM91" s="27"/>
      <c r="AN91" s="56"/>
      <c r="AO91" s="27"/>
      <c r="AP91" s="56"/>
      <c r="AQ91" s="27"/>
      <c r="AR91" s="56"/>
      <c r="AS91" s="27"/>
      <c r="AT91" s="56"/>
      <c r="AU91" s="27"/>
      <c r="AV91" s="56"/>
      <c r="AW91" s="27"/>
      <c r="AX91" s="56"/>
      <c r="AY91" s="27"/>
      <c r="AZ91" s="56"/>
      <c r="BA91" s="27"/>
      <c r="BB91" s="48"/>
      <c r="BC91" s="48"/>
      <c r="BD91" s="48"/>
      <c r="BE91" s="48"/>
      <c r="BF91" s="48"/>
      <c r="BG91" s="48"/>
      <c r="BH91" s="48"/>
      <c r="BI91" s="48"/>
      <c r="BJ91" s="48"/>
      <c r="BK91" s="48"/>
      <c r="BL91" s="48"/>
      <c r="BM91" s="48"/>
      <c r="BN91" s="48"/>
      <c r="BO91" s="48"/>
      <c r="BP91" s="48"/>
      <c r="BQ91" s="48"/>
      <c r="BR91" s="48"/>
      <c r="BS91" s="48"/>
      <c r="BT91" s="48"/>
      <c r="BU91" s="48"/>
    </row>
    <row r="92" ht="15.75" customHeight="1">
      <c r="A92" s="48"/>
      <c r="B92" s="48"/>
      <c r="C92" s="48"/>
      <c r="D92" s="48"/>
      <c r="E92" s="27"/>
      <c r="F92" s="48"/>
      <c r="G92" s="48"/>
      <c r="H92" s="56"/>
      <c r="I92" s="56"/>
      <c r="J92" s="56"/>
      <c r="K92" s="56"/>
      <c r="L92" s="56"/>
      <c r="M92" s="56"/>
      <c r="N92" s="56"/>
      <c r="O92" s="56"/>
      <c r="P92" s="56"/>
      <c r="Q92" s="56"/>
      <c r="R92" s="56"/>
      <c r="S92" s="56"/>
      <c r="T92" s="56"/>
      <c r="U92" s="56"/>
      <c r="V92" s="56"/>
      <c r="W92" s="27"/>
      <c r="X92" s="56"/>
      <c r="Y92" s="27"/>
      <c r="Z92" s="56"/>
      <c r="AA92" s="27"/>
      <c r="AB92" s="56"/>
      <c r="AC92" s="27"/>
      <c r="AD92" s="56"/>
      <c r="AE92" s="27"/>
      <c r="AF92" s="56"/>
      <c r="AG92" s="27"/>
      <c r="AH92" s="286"/>
      <c r="AI92" s="27"/>
      <c r="AJ92" s="56"/>
      <c r="AK92" s="27"/>
      <c r="AL92" s="56"/>
      <c r="AM92" s="27"/>
      <c r="AN92" s="56"/>
      <c r="AO92" s="27"/>
      <c r="AP92" s="56"/>
      <c r="AQ92" s="27"/>
      <c r="AR92" s="56"/>
      <c r="AS92" s="27"/>
      <c r="AT92" s="56"/>
      <c r="AU92" s="27"/>
      <c r="AV92" s="56"/>
      <c r="AW92" s="27"/>
      <c r="AX92" s="56"/>
      <c r="AY92" s="27"/>
      <c r="AZ92" s="56"/>
      <c r="BA92" s="27"/>
      <c r="BB92" s="48"/>
      <c r="BC92" s="48"/>
      <c r="BD92" s="48"/>
      <c r="BE92" s="48"/>
      <c r="BF92" s="48"/>
      <c r="BG92" s="48"/>
      <c r="BH92" s="48"/>
      <c r="BI92" s="48"/>
      <c r="BJ92" s="48"/>
      <c r="BK92" s="48"/>
      <c r="BL92" s="48"/>
      <c r="BM92" s="48"/>
      <c r="BN92" s="48"/>
      <c r="BO92" s="48"/>
      <c r="BP92" s="48"/>
      <c r="BQ92" s="48"/>
      <c r="BR92" s="48"/>
      <c r="BS92" s="48"/>
      <c r="BT92" s="48"/>
      <c r="BU92" s="48"/>
    </row>
    <row r="93" ht="15.75" customHeight="1">
      <c r="A93" s="48"/>
      <c r="B93" s="48"/>
      <c r="C93" s="48"/>
      <c r="D93" s="48"/>
      <c r="E93" s="27"/>
      <c r="F93" s="48"/>
      <c r="G93" s="48"/>
      <c r="H93" s="56"/>
      <c r="I93" s="56"/>
      <c r="J93" s="56"/>
      <c r="K93" s="56"/>
      <c r="L93" s="56"/>
      <c r="M93" s="56"/>
      <c r="N93" s="56"/>
      <c r="O93" s="56"/>
      <c r="P93" s="56"/>
      <c r="Q93" s="56"/>
      <c r="R93" s="56"/>
      <c r="S93" s="56"/>
      <c r="T93" s="56"/>
      <c r="U93" s="56"/>
      <c r="V93" s="56"/>
      <c r="W93" s="27"/>
      <c r="X93" s="56"/>
      <c r="Y93" s="27"/>
      <c r="Z93" s="56"/>
      <c r="AA93" s="27"/>
      <c r="AB93" s="56"/>
      <c r="AC93" s="27"/>
      <c r="AD93" s="56"/>
      <c r="AE93" s="27"/>
      <c r="AF93" s="56"/>
      <c r="AG93" s="27"/>
      <c r="AH93" s="286"/>
      <c r="AI93" s="27"/>
      <c r="AJ93" s="56"/>
      <c r="AK93" s="27"/>
      <c r="AL93" s="56"/>
      <c r="AM93" s="27"/>
      <c r="AN93" s="56"/>
      <c r="AO93" s="27"/>
      <c r="AP93" s="56"/>
      <c r="AQ93" s="27"/>
      <c r="AR93" s="56"/>
      <c r="AS93" s="27"/>
      <c r="AT93" s="56"/>
      <c r="AU93" s="27"/>
      <c r="AV93" s="56"/>
      <c r="AW93" s="27"/>
      <c r="AX93" s="56"/>
      <c r="AY93" s="27"/>
      <c r="AZ93" s="56"/>
      <c r="BA93" s="27"/>
      <c r="BB93" s="48"/>
      <c r="BC93" s="48"/>
      <c r="BD93" s="48"/>
      <c r="BE93" s="48"/>
      <c r="BF93" s="48"/>
      <c r="BG93" s="48"/>
      <c r="BH93" s="48"/>
      <c r="BI93" s="48"/>
      <c r="BJ93" s="48"/>
      <c r="BK93" s="48"/>
      <c r="BL93" s="48"/>
      <c r="BM93" s="48"/>
      <c r="BN93" s="48"/>
      <c r="BO93" s="48"/>
      <c r="BP93" s="48"/>
      <c r="BQ93" s="48"/>
      <c r="BR93" s="48"/>
      <c r="BS93" s="48"/>
      <c r="BT93" s="48"/>
      <c r="BU93" s="48"/>
    </row>
    <row r="94" ht="15.75" customHeight="1">
      <c r="A94" s="48"/>
      <c r="B94" s="48"/>
      <c r="C94" s="48"/>
      <c r="D94" s="48"/>
      <c r="E94" s="27"/>
      <c r="F94" s="48"/>
      <c r="G94" s="48"/>
      <c r="H94" s="56"/>
      <c r="I94" s="56"/>
      <c r="J94" s="56"/>
      <c r="K94" s="56"/>
      <c r="L94" s="56"/>
      <c r="M94" s="56"/>
      <c r="N94" s="56"/>
      <c r="O94" s="56"/>
      <c r="P94" s="56"/>
      <c r="Q94" s="56"/>
      <c r="R94" s="56"/>
      <c r="S94" s="56"/>
      <c r="T94" s="56"/>
      <c r="U94" s="56"/>
      <c r="V94" s="56"/>
      <c r="W94" s="27"/>
      <c r="X94" s="56"/>
      <c r="Y94" s="27"/>
      <c r="Z94" s="56"/>
      <c r="AA94" s="27"/>
      <c r="AB94" s="56"/>
      <c r="AC94" s="27"/>
      <c r="AD94" s="56"/>
      <c r="AE94" s="27"/>
      <c r="AF94" s="56"/>
      <c r="AG94" s="27"/>
      <c r="AH94" s="286"/>
      <c r="AI94" s="27"/>
      <c r="AJ94" s="56"/>
      <c r="AK94" s="27"/>
      <c r="AL94" s="56"/>
      <c r="AM94" s="27"/>
      <c r="AN94" s="56"/>
      <c r="AO94" s="27"/>
      <c r="AP94" s="56"/>
      <c r="AQ94" s="27"/>
      <c r="AR94" s="56"/>
      <c r="AS94" s="27"/>
      <c r="AT94" s="56"/>
      <c r="AU94" s="27"/>
      <c r="AV94" s="56"/>
      <c r="AW94" s="27"/>
      <c r="AX94" s="56"/>
      <c r="AY94" s="27"/>
      <c r="AZ94" s="56"/>
      <c r="BA94" s="27"/>
      <c r="BB94" s="48"/>
      <c r="BC94" s="48"/>
      <c r="BD94" s="48"/>
      <c r="BE94" s="48"/>
      <c r="BF94" s="48"/>
      <c r="BG94" s="48"/>
      <c r="BH94" s="48"/>
      <c r="BI94" s="48"/>
      <c r="BJ94" s="48"/>
      <c r="BK94" s="48"/>
      <c r="BL94" s="48"/>
      <c r="BM94" s="48"/>
      <c r="BN94" s="48"/>
      <c r="BO94" s="48"/>
      <c r="BP94" s="48"/>
      <c r="BQ94" s="48"/>
      <c r="BR94" s="48"/>
      <c r="BS94" s="48"/>
      <c r="BT94" s="48"/>
      <c r="BU94" s="48"/>
    </row>
    <row r="95" ht="15.75" customHeight="1">
      <c r="A95" s="48"/>
      <c r="B95" s="48"/>
      <c r="C95" s="48"/>
      <c r="D95" s="48"/>
      <c r="E95" s="27"/>
      <c r="F95" s="48"/>
      <c r="G95" s="48"/>
      <c r="H95" s="56"/>
      <c r="I95" s="56"/>
      <c r="J95" s="56"/>
      <c r="K95" s="56"/>
      <c r="L95" s="56"/>
      <c r="M95" s="56"/>
      <c r="N95" s="56"/>
      <c r="O95" s="56"/>
      <c r="P95" s="56"/>
      <c r="Q95" s="56"/>
      <c r="R95" s="56"/>
      <c r="S95" s="56"/>
      <c r="T95" s="56"/>
      <c r="U95" s="56"/>
      <c r="V95" s="56"/>
      <c r="W95" s="27"/>
      <c r="X95" s="56"/>
      <c r="Y95" s="27"/>
      <c r="Z95" s="56"/>
      <c r="AA95" s="27"/>
      <c r="AB95" s="56"/>
      <c r="AC95" s="27"/>
      <c r="AD95" s="56"/>
      <c r="AE95" s="27"/>
      <c r="AF95" s="56"/>
      <c r="AG95" s="27"/>
      <c r="AH95" s="286"/>
      <c r="AI95" s="27"/>
      <c r="AJ95" s="56"/>
      <c r="AK95" s="27"/>
      <c r="AL95" s="56"/>
      <c r="AM95" s="27"/>
      <c r="AN95" s="56"/>
      <c r="AO95" s="27"/>
      <c r="AP95" s="56"/>
      <c r="AQ95" s="27"/>
      <c r="AR95" s="56"/>
      <c r="AS95" s="27"/>
      <c r="AT95" s="56"/>
      <c r="AU95" s="27"/>
      <c r="AV95" s="56"/>
      <c r="AW95" s="27"/>
      <c r="AX95" s="56"/>
      <c r="AY95" s="27"/>
      <c r="AZ95" s="56"/>
      <c r="BA95" s="27"/>
      <c r="BB95" s="48"/>
      <c r="BC95" s="48"/>
      <c r="BD95" s="48"/>
      <c r="BE95" s="48"/>
      <c r="BF95" s="48"/>
      <c r="BG95" s="48"/>
      <c r="BH95" s="48"/>
      <c r="BI95" s="48"/>
      <c r="BJ95" s="48"/>
      <c r="BK95" s="48"/>
      <c r="BL95" s="48"/>
      <c r="BM95" s="48"/>
      <c r="BN95" s="48"/>
      <c r="BO95" s="48"/>
      <c r="BP95" s="48"/>
      <c r="BQ95" s="48"/>
      <c r="BR95" s="48"/>
      <c r="BS95" s="48"/>
      <c r="BT95" s="48"/>
      <c r="BU95" s="48"/>
    </row>
    <row r="96" ht="15.75" customHeight="1">
      <c r="A96" s="48"/>
      <c r="B96" s="48"/>
      <c r="C96" s="48"/>
      <c r="D96" s="48"/>
      <c r="E96" s="27"/>
      <c r="F96" s="48"/>
      <c r="G96" s="48"/>
      <c r="H96" s="56"/>
      <c r="I96" s="56"/>
      <c r="J96" s="56"/>
      <c r="K96" s="56"/>
      <c r="L96" s="56"/>
      <c r="M96" s="56"/>
      <c r="N96" s="56"/>
      <c r="O96" s="56"/>
      <c r="P96" s="56"/>
      <c r="Q96" s="56"/>
      <c r="R96" s="56"/>
      <c r="S96" s="56"/>
      <c r="T96" s="56"/>
      <c r="U96" s="56"/>
      <c r="V96" s="56"/>
      <c r="W96" s="27"/>
      <c r="X96" s="56"/>
      <c r="Y96" s="27"/>
      <c r="Z96" s="56"/>
      <c r="AA96" s="27"/>
      <c r="AB96" s="56"/>
      <c r="AC96" s="27"/>
      <c r="AD96" s="56"/>
      <c r="AE96" s="27"/>
      <c r="AF96" s="56"/>
      <c r="AG96" s="27"/>
      <c r="AH96" s="286"/>
      <c r="AI96" s="27"/>
      <c r="AJ96" s="56"/>
      <c r="AK96" s="27"/>
      <c r="AL96" s="56"/>
      <c r="AM96" s="27"/>
      <c r="AN96" s="56"/>
      <c r="AO96" s="27"/>
      <c r="AP96" s="56"/>
      <c r="AQ96" s="27"/>
      <c r="AR96" s="56"/>
      <c r="AS96" s="27"/>
      <c r="AT96" s="56"/>
      <c r="AU96" s="27"/>
      <c r="AV96" s="56"/>
      <c r="AW96" s="27"/>
      <c r="AX96" s="56"/>
      <c r="AY96" s="27"/>
      <c r="AZ96" s="56"/>
      <c r="BA96" s="27"/>
      <c r="BB96" s="48"/>
      <c r="BC96" s="48"/>
      <c r="BD96" s="48"/>
      <c r="BE96" s="48"/>
      <c r="BF96" s="48"/>
      <c r="BG96" s="48"/>
      <c r="BH96" s="48"/>
      <c r="BI96" s="48"/>
      <c r="BJ96" s="48"/>
      <c r="BK96" s="48"/>
      <c r="BL96" s="48"/>
      <c r="BM96" s="48"/>
      <c r="BN96" s="48"/>
      <c r="BO96" s="48"/>
      <c r="BP96" s="48"/>
      <c r="BQ96" s="48"/>
      <c r="BR96" s="48"/>
      <c r="BS96" s="48"/>
      <c r="BT96" s="48"/>
      <c r="BU96" s="48"/>
    </row>
    <row r="97" ht="15.75" customHeight="1">
      <c r="A97" s="48"/>
      <c r="B97" s="48"/>
      <c r="C97" s="48"/>
      <c r="D97" s="48"/>
      <c r="E97" s="27"/>
      <c r="F97" s="48"/>
      <c r="G97" s="48"/>
      <c r="H97" s="56"/>
      <c r="I97" s="56"/>
      <c r="J97" s="56"/>
      <c r="K97" s="56"/>
      <c r="L97" s="56"/>
      <c r="M97" s="56"/>
      <c r="N97" s="56"/>
      <c r="O97" s="56"/>
      <c r="P97" s="56"/>
      <c r="Q97" s="56"/>
      <c r="R97" s="56"/>
      <c r="S97" s="56"/>
      <c r="T97" s="56"/>
      <c r="U97" s="56"/>
      <c r="V97" s="56"/>
      <c r="W97" s="27"/>
      <c r="X97" s="56"/>
      <c r="Y97" s="27"/>
      <c r="Z97" s="56"/>
      <c r="AA97" s="27"/>
      <c r="AB97" s="56"/>
      <c r="AC97" s="27"/>
      <c r="AD97" s="56"/>
      <c r="AE97" s="27"/>
      <c r="AF97" s="56"/>
      <c r="AG97" s="27"/>
      <c r="AH97" s="286"/>
      <c r="AI97" s="27"/>
      <c r="AJ97" s="56"/>
      <c r="AK97" s="27"/>
      <c r="AL97" s="56"/>
      <c r="AM97" s="27"/>
      <c r="AN97" s="56"/>
      <c r="AO97" s="27"/>
      <c r="AP97" s="56"/>
      <c r="AQ97" s="27"/>
      <c r="AR97" s="56"/>
      <c r="AS97" s="27"/>
      <c r="AT97" s="56"/>
      <c r="AU97" s="27"/>
      <c r="AV97" s="56"/>
      <c r="AW97" s="27"/>
      <c r="AX97" s="56"/>
      <c r="AY97" s="27"/>
      <c r="AZ97" s="56"/>
      <c r="BA97" s="27"/>
      <c r="BB97" s="48"/>
      <c r="BC97" s="48"/>
      <c r="BD97" s="48"/>
      <c r="BE97" s="48"/>
      <c r="BF97" s="48"/>
      <c r="BG97" s="48"/>
      <c r="BH97" s="48"/>
      <c r="BI97" s="48"/>
      <c r="BJ97" s="48"/>
      <c r="BK97" s="48"/>
      <c r="BL97" s="48"/>
      <c r="BM97" s="48"/>
      <c r="BN97" s="48"/>
      <c r="BO97" s="48"/>
      <c r="BP97" s="48"/>
      <c r="BQ97" s="48"/>
      <c r="BR97" s="48"/>
      <c r="BS97" s="48"/>
      <c r="BT97" s="48"/>
      <c r="BU97" s="48"/>
    </row>
    <row r="98" ht="15.75" customHeight="1">
      <c r="A98" s="48"/>
      <c r="B98" s="48"/>
      <c r="C98" s="48"/>
      <c r="D98" s="48"/>
      <c r="E98" s="27"/>
      <c r="F98" s="48"/>
      <c r="G98" s="48"/>
      <c r="H98" s="56"/>
      <c r="I98" s="56"/>
      <c r="J98" s="56"/>
      <c r="K98" s="56"/>
      <c r="L98" s="56"/>
      <c r="M98" s="56"/>
      <c r="N98" s="56"/>
      <c r="O98" s="56"/>
      <c r="P98" s="56"/>
      <c r="Q98" s="56"/>
      <c r="R98" s="56"/>
      <c r="S98" s="56"/>
      <c r="T98" s="56"/>
      <c r="U98" s="56"/>
      <c r="V98" s="56"/>
      <c r="W98" s="27"/>
      <c r="X98" s="56"/>
      <c r="Y98" s="27"/>
      <c r="Z98" s="56"/>
      <c r="AA98" s="27"/>
      <c r="AB98" s="56"/>
      <c r="AC98" s="27"/>
      <c r="AD98" s="56"/>
      <c r="AE98" s="27"/>
      <c r="AF98" s="56"/>
      <c r="AG98" s="27"/>
      <c r="AH98" s="286"/>
      <c r="AI98" s="27"/>
      <c r="AJ98" s="56"/>
      <c r="AK98" s="27"/>
      <c r="AL98" s="56"/>
      <c r="AM98" s="27"/>
      <c r="AN98" s="56"/>
      <c r="AO98" s="27"/>
      <c r="AP98" s="56"/>
      <c r="AQ98" s="27"/>
      <c r="AR98" s="56"/>
      <c r="AS98" s="27"/>
      <c r="AT98" s="56"/>
      <c r="AU98" s="27"/>
      <c r="AV98" s="56"/>
      <c r="AW98" s="27"/>
      <c r="AX98" s="56"/>
      <c r="AY98" s="27"/>
      <c r="AZ98" s="56"/>
      <c r="BA98" s="27"/>
      <c r="BB98" s="48"/>
      <c r="BC98" s="48"/>
      <c r="BD98" s="48"/>
      <c r="BE98" s="48"/>
      <c r="BF98" s="48"/>
      <c r="BG98" s="48"/>
      <c r="BH98" s="48"/>
      <c r="BI98" s="48"/>
      <c r="BJ98" s="48"/>
      <c r="BK98" s="48"/>
      <c r="BL98" s="48"/>
      <c r="BM98" s="48"/>
      <c r="BN98" s="48"/>
      <c r="BO98" s="48"/>
      <c r="BP98" s="48"/>
      <c r="BQ98" s="48"/>
      <c r="BR98" s="48"/>
      <c r="BS98" s="48"/>
      <c r="BT98" s="48"/>
      <c r="BU98" s="48"/>
    </row>
    <row r="99" ht="15.75" customHeight="1">
      <c r="A99" s="48"/>
      <c r="B99" s="48"/>
      <c r="C99" s="48"/>
      <c r="D99" s="48"/>
      <c r="E99" s="27"/>
      <c r="F99" s="48"/>
      <c r="G99" s="48"/>
      <c r="H99" s="56"/>
      <c r="I99" s="56"/>
      <c r="J99" s="56"/>
      <c r="K99" s="56"/>
      <c r="L99" s="56"/>
      <c r="M99" s="56"/>
      <c r="N99" s="56"/>
      <c r="O99" s="56"/>
      <c r="P99" s="56"/>
      <c r="Q99" s="56"/>
      <c r="R99" s="56"/>
      <c r="S99" s="56"/>
      <c r="T99" s="56"/>
      <c r="U99" s="56"/>
      <c r="V99" s="56"/>
      <c r="W99" s="27"/>
      <c r="X99" s="56"/>
      <c r="Y99" s="27"/>
      <c r="Z99" s="56"/>
      <c r="AA99" s="27"/>
      <c r="AB99" s="56"/>
      <c r="AC99" s="27"/>
      <c r="AD99" s="56"/>
      <c r="AE99" s="27"/>
      <c r="AF99" s="56"/>
      <c r="AG99" s="27"/>
      <c r="AH99" s="286"/>
      <c r="AI99" s="27"/>
      <c r="AJ99" s="56"/>
      <c r="AK99" s="27"/>
      <c r="AL99" s="56"/>
      <c r="AM99" s="27"/>
      <c r="AN99" s="56"/>
      <c r="AO99" s="27"/>
      <c r="AP99" s="56"/>
      <c r="AQ99" s="27"/>
      <c r="AR99" s="56"/>
      <c r="AS99" s="27"/>
      <c r="AT99" s="56"/>
      <c r="AU99" s="27"/>
      <c r="AV99" s="56"/>
      <c r="AW99" s="27"/>
      <c r="AX99" s="56"/>
      <c r="AY99" s="27"/>
      <c r="AZ99" s="56"/>
      <c r="BA99" s="27"/>
      <c r="BB99" s="48"/>
      <c r="BC99" s="48"/>
      <c r="BD99" s="48"/>
      <c r="BE99" s="48"/>
      <c r="BF99" s="48"/>
      <c r="BG99" s="48"/>
      <c r="BH99" s="48"/>
      <c r="BI99" s="48"/>
      <c r="BJ99" s="48"/>
      <c r="BK99" s="48"/>
      <c r="BL99" s="48"/>
      <c r="BM99" s="48"/>
      <c r="BN99" s="48"/>
      <c r="BO99" s="48"/>
      <c r="BP99" s="48"/>
      <c r="BQ99" s="48"/>
      <c r="BR99" s="48"/>
      <c r="BS99" s="48"/>
      <c r="BT99" s="48"/>
      <c r="BU99" s="48"/>
    </row>
    <row r="100" ht="15.75" customHeight="1">
      <c r="A100" s="48"/>
      <c r="B100" s="48"/>
      <c r="C100" s="48"/>
      <c r="D100" s="48"/>
      <c r="E100" s="27"/>
      <c r="F100" s="48"/>
      <c r="G100" s="48"/>
      <c r="H100" s="56"/>
      <c r="I100" s="56"/>
      <c r="J100" s="56"/>
      <c r="K100" s="56"/>
      <c r="L100" s="56"/>
      <c r="M100" s="56"/>
      <c r="N100" s="56"/>
      <c r="O100" s="56"/>
      <c r="P100" s="56"/>
      <c r="Q100" s="56"/>
      <c r="R100" s="56"/>
      <c r="S100" s="56"/>
      <c r="T100" s="56"/>
      <c r="U100" s="56"/>
      <c r="V100" s="56"/>
      <c r="W100" s="27"/>
      <c r="X100" s="56"/>
      <c r="Y100" s="27"/>
      <c r="Z100" s="56"/>
      <c r="AA100" s="27"/>
      <c r="AB100" s="56"/>
      <c r="AC100" s="27"/>
      <c r="AD100" s="56"/>
      <c r="AE100" s="27"/>
      <c r="AF100" s="56"/>
      <c r="AG100" s="27"/>
      <c r="AH100" s="286"/>
      <c r="AI100" s="27"/>
      <c r="AJ100" s="56"/>
      <c r="AK100" s="27"/>
      <c r="AL100" s="56"/>
      <c r="AM100" s="27"/>
      <c r="AN100" s="56"/>
      <c r="AO100" s="27"/>
      <c r="AP100" s="56"/>
      <c r="AQ100" s="27"/>
      <c r="AR100" s="56"/>
      <c r="AS100" s="27"/>
      <c r="AT100" s="56"/>
      <c r="AU100" s="27"/>
      <c r="AV100" s="56"/>
      <c r="AW100" s="27"/>
      <c r="AX100" s="56"/>
      <c r="AY100" s="27"/>
      <c r="AZ100" s="56"/>
      <c r="BA100" s="27"/>
      <c r="BB100" s="48"/>
      <c r="BC100" s="48"/>
      <c r="BD100" s="48"/>
      <c r="BE100" s="48"/>
      <c r="BF100" s="48"/>
      <c r="BG100" s="48"/>
      <c r="BH100" s="48"/>
      <c r="BI100" s="48"/>
      <c r="BJ100" s="48"/>
      <c r="BK100" s="48"/>
      <c r="BL100" s="48"/>
      <c r="BM100" s="48"/>
      <c r="BN100" s="48"/>
      <c r="BO100" s="48"/>
      <c r="BP100" s="48"/>
      <c r="BQ100" s="48"/>
      <c r="BR100" s="48"/>
      <c r="BS100" s="48"/>
      <c r="BT100" s="48"/>
      <c r="BU100" s="48"/>
    </row>
    <row r="101" ht="15.75" customHeight="1">
      <c r="A101" s="48"/>
      <c r="B101" s="48"/>
      <c r="C101" s="48"/>
      <c r="D101" s="48"/>
      <c r="E101" s="27"/>
      <c r="F101" s="48"/>
      <c r="G101" s="48"/>
      <c r="H101" s="56"/>
      <c r="I101" s="56"/>
      <c r="J101" s="56"/>
      <c r="K101" s="56"/>
      <c r="L101" s="56"/>
      <c r="M101" s="56"/>
      <c r="N101" s="56"/>
      <c r="O101" s="56"/>
      <c r="P101" s="56"/>
      <c r="Q101" s="56"/>
      <c r="R101" s="56"/>
      <c r="S101" s="56"/>
      <c r="T101" s="56"/>
      <c r="U101" s="56"/>
      <c r="V101" s="56"/>
      <c r="W101" s="27"/>
      <c r="X101" s="56"/>
      <c r="Y101" s="27"/>
      <c r="Z101" s="56"/>
      <c r="AA101" s="27"/>
      <c r="AB101" s="56"/>
      <c r="AC101" s="27"/>
      <c r="AD101" s="56"/>
      <c r="AE101" s="27"/>
      <c r="AF101" s="56"/>
      <c r="AG101" s="27"/>
      <c r="AH101" s="286"/>
      <c r="AI101" s="27"/>
      <c r="AJ101" s="56"/>
      <c r="AK101" s="27"/>
      <c r="AL101" s="56"/>
      <c r="AM101" s="27"/>
      <c r="AN101" s="56"/>
      <c r="AO101" s="27"/>
      <c r="AP101" s="56"/>
      <c r="AQ101" s="27"/>
      <c r="AR101" s="56"/>
      <c r="AS101" s="27"/>
      <c r="AT101" s="56"/>
      <c r="AU101" s="27"/>
      <c r="AV101" s="56"/>
      <c r="AW101" s="27"/>
      <c r="AX101" s="56"/>
      <c r="AY101" s="27"/>
      <c r="AZ101" s="56"/>
      <c r="BA101" s="27"/>
      <c r="BB101" s="48"/>
      <c r="BC101" s="48"/>
      <c r="BD101" s="48"/>
      <c r="BE101" s="48"/>
      <c r="BF101" s="48"/>
      <c r="BG101" s="48"/>
      <c r="BH101" s="48"/>
      <c r="BI101" s="48"/>
      <c r="BJ101" s="48"/>
      <c r="BK101" s="48"/>
      <c r="BL101" s="48"/>
      <c r="BM101" s="48"/>
      <c r="BN101" s="48"/>
      <c r="BO101" s="48"/>
      <c r="BP101" s="48"/>
      <c r="BQ101" s="48"/>
      <c r="BR101" s="48"/>
      <c r="BS101" s="48"/>
      <c r="BT101" s="48"/>
      <c r="BU101" s="48"/>
    </row>
    <row r="102" ht="15.75" customHeight="1">
      <c r="A102" s="48"/>
      <c r="B102" s="48"/>
      <c r="C102" s="48"/>
      <c r="D102" s="48"/>
      <c r="E102" s="27"/>
      <c r="F102" s="48"/>
      <c r="G102" s="48"/>
      <c r="H102" s="56"/>
      <c r="I102" s="56"/>
      <c r="J102" s="56"/>
      <c r="K102" s="56"/>
      <c r="L102" s="56"/>
      <c r="M102" s="56"/>
      <c r="N102" s="56"/>
      <c r="O102" s="56"/>
      <c r="P102" s="56"/>
      <c r="Q102" s="56"/>
      <c r="R102" s="56"/>
      <c r="S102" s="56"/>
      <c r="T102" s="56"/>
      <c r="U102" s="56"/>
      <c r="V102" s="56"/>
      <c r="W102" s="27"/>
      <c r="X102" s="56"/>
      <c r="Y102" s="27"/>
      <c r="Z102" s="56"/>
      <c r="AA102" s="27"/>
      <c r="AB102" s="56"/>
      <c r="AC102" s="27"/>
      <c r="AD102" s="56"/>
      <c r="AE102" s="27"/>
      <c r="AF102" s="56"/>
      <c r="AG102" s="27"/>
      <c r="AH102" s="286"/>
      <c r="AI102" s="27"/>
      <c r="AJ102" s="56"/>
      <c r="AK102" s="27"/>
      <c r="AL102" s="56"/>
      <c r="AM102" s="27"/>
      <c r="AN102" s="56"/>
      <c r="AO102" s="27"/>
      <c r="AP102" s="56"/>
      <c r="AQ102" s="27"/>
      <c r="AR102" s="56"/>
      <c r="AS102" s="27"/>
      <c r="AT102" s="56"/>
      <c r="AU102" s="27"/>
      <c r="AV102" s="56"/>
      <c r="AW102" s="27"/>
      <c r="AX102" s="56"/>
      <c r="AY102" s="27"/>
      <c r="AZ102" s="56"/>
      <c r="BA102" s="27"/>
      <c r="BB102" s="48"/>
      <c r="BC102" s="48"/>
      <c r="BD102" s="48"/>
      <c r="BE102" s="48"/>
      <c r="BF102" s="48"/>
      <c r="BG102" s="48"/>
      <c r="BH102" s="48"/>
      <c r="BI102" s="48"/>
      <c r="BJ102" s="48"/>
      <c r="BK102" s="48"/>
      <c r="BL102" s="48"/>
      <c r="BM102" s="48"/>
      <c r="BN102" s="48"/>
      <c r="BO102" s="48"/>
      <c r="BP102" s="48"/>
      <c r="BQ102" s="48"/>
      <c r="BR102" s="48"/>
      <c r="BS102" s="48"/>
      <c r="BT102" s="48"/>
      <c r="BU102" s="48"/>
    </row>
    <row r="103" ht="15.75" customHeight="1">
      <c r="A103" s="48"/>
      <c r="B103" s="48"/>
      <c r="C103" s="48"/>
      <c r="D103" s="48"/>
      <c r="E103" s="27"/>
      <c r="F103" s="48"/>
      <c r="G103" s="48"/>
      <c r="H103" s="56"/>
      <c r="I103" s="56"/>
      <c r="J103" s="56"/>
      <c r="K103" s="56"/>
      <c r="L103" s="56"/>
      <c r="M103" s="56"/>
      <c r="N103" s="56"/>
      <c r="O103" s="56"/>
      <c r="P103" s="56"/>
      <c r="Q103" s="56"/>
      <c r="R103" s="56"/>
      <c r="S103" s="56"/>
      <c r="T103" s="56"/>
      <c r="U103" s="56"/>
      <c r="V103" s="56"/>
      <c r="W103" s="27"/>
      <c r="X103" s="56"/>
      <c r="Y103" s="27"/>
      <c r="Z103" s="56"/>
      <c r="AA103" s="27"/>
      <c r="AB103" s="56"/>
      <c r="AC103" s="27"/>
      <c r="AD103" s="56"/>
      <c r="AE103" s="27"/>
      <c r="AF103" s="56"/>
      <c r="AG103" s="27"/>
      <c r="AH103" s="286"/>
      <c r="AI103" s="27"/>
      <c r="AJ103" s="56"/>
      <c r="AK103" s="27"/>
      <c r="AL103" s="56"/>
      <c r="AM103" s="27"/>
      <c r="AN103" s="56"/>
      <c r="AO103" s="27"/>
      <c r="AP103" s="56"/>
      <c r="AQ103" s="27"/>
      <c r="AR103" s="56"/>
      <c r="AS103" s="27"/>
      <c r="AT103" s="56"/>
      <c r="AU103" s="27"/>
      <c r="AV103" s="56"/>
      <c r="AW103" s="27"/>
      <c r="AX103" s="56"/>
      <c r="AY103" s="27"/>
      <c r="AZ103" s="56"/>
      <c r="BA103" s="27"/>
      <c r="BB103" s="48"/>
      <c r="BC103" s="48"/>
      <c r="BD103" s="48"/>
      <c r="BE103" s="48"/>
      <c r="BF103" s="48"/>
      <c r="BG103" s="48"/>
      <c r="BH103" s="48"/>
      <c r="BI103" s="48"/>
      <c r="BJ103" s="48"/>
      <c r="BK103" s="48"/>
      <c r="BL103" s="48"/>
      <c r="BM103" s="48"/>
      <c r="BN103" s="48"/>
      <c r="BO103" s="48"/>
      <c r="BP103" s="48"/>
      <c r="BQ103" s="48"/>
      <c r="BR103" s="48"/>
      <c r="BS103" s="48"/>
      <c r="BT103" s="48"/>
      <c r="BU103" s="48"/>
    </row>
    <row r="104" ht="15.75" customHeight="1">
      <c r="A104" s="48"/>
      <c r="B104" s="48"/>
      <c r="C104" s="48"/>
      <c r="D104" s="48"/>
      <c r="E104" s="27"/>
      <c r="F104" s="48"/>
      <c r="G104" s="48"/>
      <c r="H104" s="56"/>
      <c r="I104" s="56"/>
      <c r="J104" s="56"/>
      <c r="K104" s="56"/>
      <c r="L104" s="56"/>
      <c r="M104" s="56"/>
      <c r="N104" s="56"/>
      <c r="O104" s="56"/>
      <c r="P104" s="56"/>
      <c r="Q104" s="56"/>
      <c r="R104" s="56"/>
      <c r="S104" s="56"/>
      <c r="T104" s="56"/>
      <c r="U104" s="56"/>
      <c r="V104" s="56"/>
      <c r="W104" s="27"/>
      <c r="X104" s="56"/>
      <c r="Y104" s="27"/>
      <c r="Z104" s="56"/>
      <c r="AA104" s="27"/>
      <c r="AB104" s="56"/>
      <c r="AC104" s="27"/>
      <c r="AD104" s="56"/>
      <c r="AE104" s="27"/>
      <c r="AF104" s="56"/>
      <c r="AG104" s="27"/>
      <c r="AH104" s="286"/>
      <c r="AI104" s="27"/>
      <c r="AJ104" s="56"/>
      <c r="AK104" s="27"/>
      <c r="AL104" s="56"/>
      <c r="AM104" s="27"/>
      <c r="AN104" s="56"/>
      <c r="AO104" s="27"/>
      <c r="AP104" s="56"/>
      <c r="AQ104" s="27"/>
      <c r="AR104" s="56"/>
      <c r="AS104" s="27"/>
      <c r="AT104" s="56"/>
      <c r="AU104" s="27"/>
      <c r="AV104" s="56"/>
      <c r="AW104" s="27"/>
      <c r="AX104" s="56"/>
      <c r="AY104" s="27"/>
      <c r="AZ104" s="56"/>
      <c r="BA104" s="27"/>
      <c r="BB104" s="48"/>
      <c r="BC104" s="48"/>
      <c r="BD104" s="48"/>
      <c r="BE104" s="48"/>
      <c r="BF104" s="48"/>
      <c r="BG104" s="48"/>
      <c r="BH104" s="48"/>
      <c r="BI104" s="48"/>
      <c r="BJ104" s="48"/>
      <c r="BK104" s="48"/>
      <c r="BL104" s="48"/>
      <c r="BM104" s="48"/>
      <c r="BN104" s="48"/>
      <c r="BO104" s="48"/>
      <c r="BP104" s="48"/>
      <c r="BQ104" s="48"/>
      <c r="BR104" s="48"/>
      <c r="BS104" s="48"/>
      <c r="BT104" s="48"/>
      <c r="BU104" s="48"/>
    </row>
    <row r="105" ht="15.75" customHeight="1">
      <c r="A105" s="48"/>
      <c r="B105" s="48"/>
      <c r="C105" s="48"/>
      <c r="D105" s="48"/>
      <c r="E105" s="27"/>
      <c r="F105" s="48"/>
      <c r="G105" s="48"/>
      <c r="H105" s="56"/>
      <c r="I105" s="56"/>
      <c r="J105" s="56"/>
      <c r="K105" s="56"/>
      <c r="L105" s="56"/>
      <c r="M105" s="56"/>
      <c r="N105" s="56"/>
      <c r="O105" s="56"/>
      <c r="P105" s="56"/>
      <c r="Q105" s="56"/>
      <c r="R105" s="56"/>
      <c r="S105" s="56"/>
      <c r="T105" s="56"/>
      <c r="U105" s="56"/>
      <c r="V105" s="56"/>
      <c r="W105" s="27"/>
      <c r="X105" s="56"/>
      <c r="Y105" s="27"/>
      <c r="Z105" s="56"/>
      <c r="AA105" s="27"/>
      <c r="AB105" s="56"/>
      <c r="AC105" s="27"/>
      <c r="AD105" s="56"/>
      <c r="AE105" s="27"/>
      <c r="AF105" s="56"/>
      <c r="AG105" s="27"/>
      <c r="AH105" s="286"/>
      <c r="AI105" s="27"/>
      <c r="AJ105" s="56"/>
      <c r="AK105" s="27"/>
      <c r="AL105" s="56"/>
      <c r="AM105" s="27"/>
      <c r="AN105" s="56"/>
      <c r="AO105" s="27"/>
      <c r="AP105" s="56"/>
      <c r="AQ105" s="27"/>
      <c r="AR105" s="56"/>
      <c r="AS105" s="27"/>
      <c r="AT105" s="56"/>
      <c r="AU105" s="27"/>
      <c r="AV105" s="56"/>
      <c r="AW105" s="27"/>
      <c r="AX105" s="56"/>
      <c r="AY105" s="27"/>
      <c r="AZ105" s="56"/>
      <c r="BA105" s="27"/>
      <c r="BB105" s="48"/>
      <c r="BC105" s="48"/>
      <c r="BD105" s="48"/>
      <c r="BE105" s="48"/>
      <c r="BF105" s="48"/>
      <c r="BG105" s="48"/>
      <c r="BH105" s="48"/>
      <c r="BI105" s="48"/>
      <c r="BJ105" s="48"/>
      <c r="BK105" s="48"/>
      <c r="BL105" s="48"/>
      <c r="BM105" s="48"/>
      <c r="BN105" s="48"/>
      <c r="BO105" s="48"/>
      <c r="BP105" s="48"/>
      <c r="BQ105" s="48"/>
      <c r="BR105" s="48"/>
      <c r="BS105" s="48"/>
      <c r="BT105" s="48"/>
      <c r="BU105" s="48"/>
    </row>
    <row r="106" ht="15.75" customHeight="1">
      <c r="A106" s="48"/>
      <c r="B106" s="48"/>
      <c r="C106" s="48"/>
      <c r="D106" s="48"/>
      <c r="E106" s="27"/>
      <c r="F106" s="48"/>
      <c r="G106" s="48"/>
      <c r="H106" s="56"/>
      <c r="I106" s="56"/>
      <c r="J106" s="56"/>
      <c r="K106" s="56"/>
      <c r="L106" s="56"/>
      <c r="M106" s="56"/>
      <c r="N106" s="56"/>
      <c r="O106" s="56"/>
      <c r="P106" s="56"/>
      <c r="Q106" s="56"/>
      <c r="R106" s="56"/>
      <c r="S106" s="56"/>
      <c r="T106" s="56"/>
      <c r="U106" s="56"/>
      <c r="V106" s="56"/>
      <c r="W106" s="27"/>
      <c r="X106" s="56"/>
      <c r="Y106" s="27"/>
      <c r="Z106" s="56"/>
      <c r="AA106" s="27"/>
      <c r="AB106" s="56"/>
      <c r="AC106" s="27"/>
      <c r="AD106" s="56"/>
      <c r="AE106" s="27"/>
      <c r="AF106" s="56"/>
      <c r="AG106" s="27"/>
      <c r="AH106" s="286"/>
      <c r="AI106" s="27"/>
      <c r="AJ106" s="56"/>
      <c r="AK106" s="27"/>
      <c r="AL106" s="56"/>
      <c r="AM106" s="27"/>
      <c r="AN106" s="56"/>
      <c r="AO106" s="27"/>
      <c r="AP106" s="56"/>
      <c r="AQ106" s="27"/>
      <c r="AR106" s="56"/>
      <c r="AS106" s="27"/>
      <c r="AT106" s="56"/>
      <c r="AU106" s="27"/>
      <c r="AV106" s="56"/>
      <c r="AW106" s="27"/>
      <c r="AX106" s="56"/>
      <c r="AY106" s="27"/>
      <c r="AZ106" s="56"/>
      <c r="BA106" s="27"/>
      <c r="BB106" s="48"/>
      <c r="BC106" s="48"/>
      <c r="BD106" s="48"/>
      <c r="BE106" s="48"/>
      <c r="BF106" s="48"/>
      <c r="BG106" s="48"/>
      <c r="BH106" s="48"/>
      <c r="BI106" s="48"/>
      <c r="BJ106" s="48"/>
      <c r="BK106" s="48"/>
      <c r="BL106" s="48"/>
      <c r="BM106" s="48"/>
      <c r="BN106" s="48"/>
      <c r="BO106" s="48"/>
      <c r="BP106" s="48"/>
      <c r="BQ106" s="48"/>
      <c r="BR106" s="48"/>
      <c r="BS106" s="48"/>
      <c r="BT106" s="48"/>
      <c r="BU106" s="48"/>
    </row>
    <row r="107" ht="15.75" customHeight="1">
      <c r="A107" s="48"/>
      <c r="B107" s="48"/>
      <c r="C107" s="48"/>
      <c r="D107" s="48"/>
      <c r="E107" s="27"/>
      <c r="F107" s="48"/>
      <c r="G107" s="48"/>
      <c r="H107" s="56"/>
      <c r="I107" s="56"/>
      <c r="J107" s="56"/>
      <c r="K107" s="56"/>
      <c r="L107" s="56"/>
      <c r="M107" s="56"/>
      <c r="N107" s="56"/>
      <c r="O107" s="56"/>
      <c r="P107" s="56"/>
      <c r="Q107" s="56"/>
      <c r="R107" s="56"/>
      <c r="S107" s="56"/>
      <c r="T107" s="56"/>
      <c r="U107" s="56"/>
      <c r="V107" s="56"/>
      <c r="W107" s="27"/>
      <c r="X107" s="56"/>
      <c r="Y107" s="27"/>
      <c r="Z107" s="56"/>
      <c r="AA107" s="27"/>
      <c r="AB107" s="56"/>
      <c r="AC107" s="27"/>
      <c r="AD107" s="56"/>
      <c r="AE107" s="27"/>
      <c r="AF107" s="56"/>
      <c r="AG107" s="27"/>
      <c r="AH107" s="286"/>
      <c r="AI107" s="27"/>
      <c r="AJ107" s="56"/>
      <c r="AK107" s="27"/>
      <c r="AL107" s="56"/>
      <c r="AM107" s="27"/>
      <c r="AN107" s="56"/>
      <c r="AO107" s="27"/>
      <c r="AP107" s="56"/>
      <c r="AQ107" s="27"/>
      <c r="AR107" s="56"/>
      <c r="AS107" s="27"/>
      <c r="AT107" s="56"/>
      <c r="AU107" s="27"/>
      <c r="AV107" s="56"/>
      <c r="AW107" s="27"/>
      <c r="AX107" s="56"/>
      <c r="AY107" s="27"/>
      <c r="AZ107" s="56"/>
      <c r="BA107" s="27"/>
      <c r="BB107" s="48"/>
      <c r="BC107" s="48"/>
      <c r="BD107" s="48"/>
      <c r="BE107" s="48"/>
      <c r="BF107" s="48"/>
      <c r="BG107" s="48"/>
      <c r="BH107" s="48"/>
      <c r="BI107" s="48"/>
      <c r="BJ107" s="48"/>
      <c r="BK107" s="48"/>
      <c r="BL107" s="48"/>
      <c r="BM107" s="48"/>
      <c r="BN107" s="48"/>
      <c r="BO107" s="48"/>
      <c r="BP107" s="48"/>
      <c r="BQ107" s="48"/>
      <c r="BR107" s="48"/>
      <c r="BS107" s="48"/>
      <c r="BT107" s="48"/>
      <c r="BU107" s="48"/>
    </row>
    <row r="108" ht="15.75" customHeight="1">
      <c r="A108" s="48"/>
      <c r="B108" s="48"/>
      <c r="C108" s="48"/>
      <c r="D108" s="48"/>
      <c r="E108" s="27"/>
      <c r="F108" s="48"/>
      <c r="G108" s="48"/>
      <c r="H108" s="56"/>
      <c r="I108" s="56"/>
      <c r="J108" s="56"/>
      <c r="K108" s="56"/>
      <c r="L108" s="56"/>
      <c r="M108" s="56"/>
      <c r="N108" s="56"/>
      <c r="O108" s="56"/>
      <c r="P108" s="56"/>
      <c r="Q108" s="56"/>
      <c r="R108" s="56"/>
      <c r="S108" s="56"/>
      <c r="T108" s="56"/>
      <c r="U108" s="56"/>
      <c r="V108" s="56"/>
      <c r="W108" s="27"/>
      <c r="X108" s="56"/>
      <c r="Y108" s="27"/>
      <c r="Z108" s="56"/>
      <c r="AA108" s="27"/>
      <c r="AB108" s="56"/>
      <c r="AC108" s="27"/>
      <c r="AD108" s="56"/>
      <c r="AE108" s="27"/>
      <c r="AF108" s="56"/>
      <c r="AG108" s="27"/>
      <c r="AH108" s="286"/>
      <c r="AI108" s="27"/>
      <c r="AJ108" s="56"/>
      <c r="AK108" s="27"/>
      <c r="AL108" s="56"/>
      <c r="AM108" s="27"/>
      <c r="AN108" s="56"/>
      <c r="AO108" s="27"/>
      <c r="AP108" s="56"/>
      <c r="AQ108" s="27"/>
      <c r="AR108" s="56"/>
      <c r="AS108" s="27"/>
      <c r="AT108" s="56"/>
      <c r="AU108" s="27"/>
      <c r="AV108" s="56"/>
      <c r="AW108" s="27"/>
      <c r="AX108" s="56"/>
      <c r="AY108" s="27"/>
      <c r="AZ108" s="56"/>
      <c r="BA108" s="27"/>
      <c r="BB108" s="48"/>
      <c r="BC108" s="48"/>
      <c r="BD108" s="48"/>
      <c r="BE108" s="48"/>
      <c r="BF108" s="48"/>
      <c r="BG108" s="48"/>
      <c r="BH108" s="48"/>
      <c r="BI108" s="48"/>
      <c r="BJ108" s="48"/>
      <c r="BK108" s="48"/>
      <c r="BL108" s="48"/>
      <c r="BM108" s="48"/>
      <c r="BN108" s="48"/>
      <c r="BO108" s="48"/>
      <c r="BP108" s="48"/>
      <c r="BQ108" s="48"/>
      <c r="BR108" s="48"/>
      <c r="BS108" s="48"/>
      <c r="BT108" s="48"/>
      <c r="BU108" s="48"/>
    </row>
    <row r="109" ht="15.75" customHeight="1">
      <c r="A109" s="48"/>
      <c r="B109" s="48"/>
      <c r="C109" s="48"/>
      <c r="D109" s="48"/>
      <c r="E109" s="27"/>
      <c r="F109" s="48"/>
      <c r="G109" s="48"/>
      <c r="H109" s="56"/>
      <c r="I109" s="56"/>
      <c r="J109" s="56"/>
      <c r="K109" s="56"/>
      <c r="L109" s="56"/>
      <c r="M109" s="56"/>
      <c r="N109" s="56"/>
      <c r="O109" s="56"/>
      <c r="P109" s="56"/>
      <c r="Q109" s="56"/>
      <c r="R109" s="56"/>
      <c r="S109" s="56"/>
      <c r="T109" s="56"/>
      <c r="U109" s="56"/>
      <c r="V109" s="56"/>
      <c r="W109" s="27"/>
      <c r="X109" s="56"/>
      <c r="Y109" s="27"/>
      <c r="Z109" s="56"/>
      <c r="AA109" s="27"/>
      <c r="AB109" s="56"/>
      <c r="AC109" s="27"/>
      <c r="AD109" s="56"/>
      <c r="AE109" s="27"/>
      <c r="AF109" s="56"/>
      <c r="AG109" s="27"/>
      <c r="AH109" s="286"/>
      <c r="AI109" s="27"/>
      <c r="AJ109" s="56"/>
      <c r="AK109" s="27"/>
      <c r="AL109" s="56"/>
      <c r="AM109" s="27"/>
      <c r="AN109" s="56"/>
      <c r="AO109" s="27"/>
      <c r="AP109" s="56"/>
      <c r="AQ109" s="27"/>
      <c r="AR109" s="56"/>
      <c r="AS109" s="27"/>
      <c r="AT109" s="56"/>
      <c r="AU109" s="27"/>
      <c r="AV109" s="56"/>
      <c r="AW109" s="27"/>
      <c r="AX109" s="56"/>
      <c r="AY109" s="27"/>
      <c r="AZ109" s="56"/>
      <c r="BA109" s="27"/>
      <c r="BB109" s="48"/>
      <c r="BC109" s="48"/>
      <c r="BD109" s="48"/>
      <c r="BE109" s="48"/>
      <c r="BF109" s="48"/>
      <c r="BG109" s="48"/>
      <c r="BH109" s="48"/>
      <c r="BI109" s="48"/>
      <c r="BJ109" s="48"/>
      <c r="BK109" s="48"/>
      <c r="BL109" s="48"/>
      <c r="BM109" s="48"/>
      <c r="BN109" s="48"/>
      <c r="BO109" s="48"/>
      <c r="BP109" s="48"/>
      <c r="BQ109" s="48"/>
      <c r="BR109" s="48"/>
      <c r="BS109" s="48"/>
      <c r="BT109" s="48"/>
      <c r="BU109" s="48"/>
    </row>
    <row r="110" ht="15.75" customHeight="1">
      <c r="A110" s="48"/>
      <c r="B110" s="48"/>
      <c r="C110" s="48"/>
      <c r="D110" s="48"/>
      <c r="E110" s="27"/>
      <c r="F110" s="48"/>
      <c r="G110" s="48"/>
      <c r="H110" s="56"/>
      <c r="I110" s="56"/>
      <c r="J110" s="56"/>
      <c r="K110" s="56"/>
      <c r="L110" s="56"/>
      <c r="M110" s="56"/>
      <c r="N110" s="56"/>
      <c r="O110" s="56"/>
      <c r="P110" s="56"/>
      <c r="Q110" s="56"/>
      <c r="R110" s="56"/>
      <c r="S110" s="56"/>
      <c r="T110" s="56"/>
      <c r="U110" s="56"/>
      <c r="V110" s="56"/>
      <c r="W110" s="27"/>
      <c r="X110" s="56"/>
      <c r="Y110" s="27"/>
      <c r="Z110" s="56"/>
      <c r="AA110" s="27"/>
      <c r="AB110" s="56"/>
      <c r="AC110" s="27"/>
      <c r="AD110" s="56"/>
      <c r="AE110" s="27"/>
      <c r="AF110" s="56"/>
      <c r="AG110" s="27"/>
      <c r="AH110" s="286"/>
      <c r="AI110" s="27"/>
      <c r="AJ110" s="56"/>
      <c r="AK110" s="27"/>
      <c r="AL110" s="56"/>
      <c r="AM110" s="27"/>
      <c r="AN110" s="56"/>
      <c r="AO110" s="27"/>
      <c r="AP110" s="56"/>
      <c r="AQ110" s="27"/>
      <c r="AR110" s="56"/>
      <c r="AS110" s="27"/>
      <c r="AT110" s="56"/>
      <c r="AU110" s="27"/>
      <c r="AV110" s="56"/>
      <c r="AW110" s="27"/>
      <c r="AX110" s="56"/>
      <c r="AY110" s="27"/>
      <c r="AZ110" s="56"/>
      <c r="BA110" s="27"/>
      <c r="BB110" s="48"/>
      <c r="BC110" s="48"/>
      <c r="BD110" s="48"/>
      <c r="BE110" s="48"/>
      <c r="BF110" s="48"/>
      <c r="BG110" s="48"/>
      <c r="BH110" s="48"/>
      <c r="BI110" s="48"/>
      <c r="BJ110" s="48"/>
      <c r="BK110" s="48"/>
      <c r="BL110" s="48"/>
      <c r="BM110" s="48"/>
      <c r="BN110" s="48"/>
      <c r="BO110" s="48"/>
      <c r="BP110" s="48"/>
      <c r="BQ110" s="48"/>
      <c r="BR110" s="48"/>
      <c r="BS110" s="48"/>
      <c r="BT110" s="48"/>
      <c r="BU110" s="48"/>
    </row>
    <row r="111" ht="15.75" customHeight="1">
      <c r="A111" s="48"/>
      <c r="B111" s="48"/>
      <c r="C111" s="48"/>
      <c r="D111" s="48"/>
      <c r="E111" s="27"/>
      <c r="F111" s="48"/>
      <c r="G111" s="48"/>
      <c r="H111" s="56"/>
      <c r="I111" s="56"/>
      <c r="J111" s="56"/>
      <c r="K111" s="56"/>
      <c r="L111" s="56"/>
      <c r="M111" s="56"/>
      <c r="N111" s="56"/>
      <c r="O111" s="56"/>
      <c r="P111" s="56"/>
      <c r="Q111" s="56"/>
      <c r="R111" s="56"/>
      <c r="S111" s="56"/>
      <c r="T111" s="56"/>
      <c r="U111" s="56"/>
      <c r="V111" s="56"/>
      <c r="W111" s="27"/>
      <c r="X111" s="56"/>
      <c r="Y111" s="27"/>
      <c r="Z111" s="56"/>
      <c r="AA111" s="27"/>
      <c r="AB111" s="56"/>
      <c r="AC111" s="27"/>
      <c r="AD111" s="56"/>
      <c r="AE111" s="27"/>
      <c r="AF111" s="56"/>
      <c r="AG111" s="27"/>
      <c r="AH111" s="286"/>
      <c r="AI111" s="27"/>
      <c r="AJ111" s="56"/>
      <c r="AK111" s="27"/>
      <c r="AL111" s="56"/>
      <c r="AM111" s="27"/>
      <c r="AN111" s="56"/>
      <c r="AO111" s="27"/>
      <c r="AP111" s="56"/>
      <c r="AQ111" s="27"/>
      <c r="AR111" s="56"/>
      <c r="AS111" s="27"/>
      <c r="AT111" s="56"/>
      <c r="AU111" s="27"/>
      <c r="AV111" s="56"/>
      <c r="AW111" s="27"/>
      <c r="AX111" s="56"/>
      <c r="AY111" s="27"/>
      <c r="AZ111" s="56"/>
      <c r="BA111" s="27"/>
      <c r="BB111" s="48"/>
      <c r="BC111" s="48"/>
      <c r="BD111" s="48"/>
      <c r="BE111" s="48"/>
      <c r="BF111" s="48"/>
      <c r="BG111" s="48"/>
      <c r="BH111" s="48"/>
      <c r="BI111" s="48"/>
      <c r="BJ111" s="48"/>
      <c r="BK111" s="48"/>
      <c r="BL111" s="48"/>
      <c r="BM111" s="48"/>
      <c r="BN111" s="48"/>
      <c r="BO111" s="48"/>
      <c r="BP111" s="48"/>
      <c r="BQ111" s="48"/>
      <c r="BR111" s="48"/>
      <c r="BS111" s="48"/>
      <c r="BT111" s="48"/>
      <c r="BU111" s="48"/>
    </row>
    <row r="112" ht="15.75" customHeight="1">
      <c r="A112" s="48"/>
      <c r="B112" s="48"/>
      <c r="C112" s="48"/>
      <c r="D112" s="48"/>
      <c r="E112" s="27"/>
      <c r="F112" s="48"/>
      <c r="G112" s="48"/>
      <c r="H112" s="56"/>
      <c r="I112" s="56"/>
      <c r="J112" s="56"/>
      <c r="K112" s="56"/>
      <c r="L112" s="56"/>
      <c r="M112" s="56"/>
      <c r="N112" s="56"/>
      <c r="O112" s="56"/>
      <c r="P112" s="56"/>
      <c r="Q112" s="56"/>
      <c r="R112" s="56"/>
      <c r="S112" s="56"/>
      <c r="T112" s="56"/>
      <c r="U112" s="56"/>
      <c r="V112" s="56"/>
      <c r="W112" s="27"/>
      <c r="X112" s="56"/>
      <c r="Y112" s="27"/>
      <c r="Z112" s="56"/>
      <c r="AA112" s="27"/>
      <c r="AB112" s="56"/>
      <c r="AC112" s="27"/>
      <c r="AD112" s="56"/>
      <c r="AE112" s="27"/>
      <c r="AF112" s="56"/>
      <c r="AG112" s="27"/>
      <c r="AH112" s="286"/>
      <c r="AI112" s="27"/>
      <c r="AJ112" s="56"/>
      <c r="AK112" s="27"/>
      <c r="AL112" s="56"/>
      <c r="AM112" s="27"/>
      <c r="AN112" s="56"/>
      <c r="AO112" s="27"/>
      <c r="AP112" s="56"/>
      <c r="AQ112" s="27"/>
      <c r="AR112" s="56"/>
      <c r="AS112" s="27"/>
      <c r="AT112" s="56"/>
      <c r="AU112" s="27"/>
      <c r="AV112" s="56"/>
      <c r="AW112" s="27"/>
      <c r="AX112" s="56"/>
      <c r="AY112" s="27"/>
      <c r="AZ112" s="56"/>
      <c r="BA112" s="27"/>
      <c r="BB112" s="48"/>
      <c r="BC112" s="48"/>
      <c r="BD112" s="48"/>
      <c r="BE112" s="48"/>
      <c r="BF112" s="48"/>
      <c r="BG112" s="48"/>
      <c r="BH112" s="48"/>
      <c r="BI112" s="48"/>
      <c r="BJ112" s="48"/>
      <c r="BK112" s="48"/>
      <c r="BL112" s="48"/>
      <c r="BM112" s="48"/>
      <c r="BN112" s="48"/>
      <c r="BO112" s="48"/>
      <c r="BP112" s="48"/>
      <c r="BQ112" s="48"/>
      <c r="BR112" s="48"/>
      <c r="BS112" s="48"/>
      <c r="BT112" s="48"/>
      <c r="BU112" s="48"/>
    </row>
    <row r="113" ht="15.75" customHeight="1">
      <c r="A113" s="48"/>
      <c r="B113" s="48"/>
      <c r="C113" s="48"/>
      <c r="D113" s="48"/>
      <c r="E113" s="27"/>
      <c r="F113" s="48"/>
      <c r="G113" s="48"/>
      <c r="H113" s="56"/>
      <c r="I113" s="56"/>
      <c r="J113" s="56"/>
      <c r="K113" s="56"/>
      <c r="L113" s="56"/>
      <c r="M113" s="56"/>
      <c r="N113" s="56"/>
      <c r="O113" s="56"/>
      <c r="P113" s="56"/>
      <c r="Q113" s="56"/>
      <c r="R113" s="56"/>
      <c r="S113" s="56"/>
      <c r="T113" s="56"/>
      <c r="U113" s="56"/>
      <c r="V113" s="56"/>
      <c r="W113" s="27"/>
      <c r="X113" s="56"/>
      <c r="Y113" s="27"/>
      <c r="Z113" s="56"/>
      <c r="AA113" s="27"/>
      <c r="AB113" s="56"/>
      <c r="AC113" s="27"/>
      <c r="AD113" s="56"/>
      <c r="AE113" s="27"/>
      <c r="AF113" s="56"/>
      <c r="AG113" s="27"/>
      <c r="AH113" s="286"/>
      <c r="AI113" s="27"/>
      <c r="AJ113" s="56"/>
      <c r="AK113" s="27"/>
      <c r="AL113" s="56"/>
      <c r="AM113" s="27"/>
      <c r="AN113" s="56"/>
      <c r="AO113" s="27"/>
      <c r="AP113" s="56"/>
      <c r="AQ113" s="27"/>
      <c r="AR113" s="56"/>
      <c r="AS113" s="27"/>
      <c r="AT113" s="56"/>
      <c r="AU113" s="27"/>
      <c r="AV113" s="56"/>
      <c r="AW113" s="27"/>
      <c r="AX113" s="56"/>
      <c r="AY113" s="27"/>
      <c r="AZ113" s="56"/>
      <c r="BA113" s="27"/>
      <c r="BB113" s="48"/>
      <c r="BC113" s="48"/>
      <c r="BD113" s="48"/>
      <c r="BE113" s="48"/>
      <c r="BF113" s="48"/>
      <c r="BG113" s="48"/>
      <c r="BH113" s="48"/>
      <c r="BI113" s="48"/>
      <c r="BJ113" s="48"/>
      <c r="BK113" s="48"/>
      <c r="BL113" s="48"/>
      <c r="BM113" s="48"/>
      <c r="BN113" s="48"/>
      <c r="BO113" s="48"/>
      <c r="BP113" s="48"/>
      <c r="BQ113" s="48"/>
      <c r="BR113" s="48"/>
      <c r="BS113" s="48"/>
      <c r="BT113" s="48"/>
      <c r="BU113" s="48"/>
    </row>
    <row r="114" ht="15.75" customHeight="1">
      <c r="A114" s="48"/>
      <c r="B114" s="48"/>
      <c r="C114" s="48"/>
      <c r="D114" s="48"/>
      <c r="E114" s="27"/>
      <c r="F114" s="48"/>
      <c r="G114" s="48"/>
      <c r="H114" s="56"/>
      <c r="I114" s="56"/>
      <c r="J114" s="56"/>
      <c r="K114" s="56"/>
      <c r="L114" s="56"/>
      <c r="M114" s="56"/>
      <c r="N114" s="56"/>
      <c r="O114" s="56"/>
      <c r="P114" s="56"/>
      <c r="Q114" s="56"/>
      <c r="R114" s="56"/>
      <c r="S114" s="56"/>
      <c r="T114" s="56"/>
      <c r="U114" s="56"/>
      <c r="V114" s="56"/>
      <c r="W114" s="27"/>
      <c r="X114" s="56"/>
      <c r="Y114" s="27"/>
      <c r="Z114" s="56"/>
      <c r="AA114" s="27"/>
      <c r="AB114" s="56"/>
      <c r="AC114" s="27"/>
      <c r="AD114" s="56"/>
      <c r="AE114" s="27"/>
      <c r="AF114" s="56"/>
      <c r="AG114" s="27"/>
      <c r="AH114" s="286"/>
      <c r="AI114" s="27"/>
      <c r="AJ114" s="56"/>
      <c r="AK114" s="27"/>
      <c r="AL114" s="56"/>
      <c r="AM114" s="27"/>
      <c r="AN114" s="56"/>
      <c r="AO114" s="27"/>
      <c r="AP114" s="56"/>
      <c r="AQ114" s="27"/>
      <c r="AR114" s="56"/>
      <c r="AS114" s="27"/>
      <c r="AT114" s="56"/>
      <c r="AU114" s="27"/>
      <c r="AV114" s="56"/>
      <c r="AW114" s="27"/>
      <c r="AX114" s="56"/>
      <c r="AY114" s="27"/>
      <c r="AZ114" s="56"/>
      <c r="BA114" s="27"/>
      <c r="BB114" s="48"/>
      <c r="BC114" s="48"/>
      <c r="BD114" s="48"/>
      <c r="BE114" s="48"/>
      <c r="BF114" s="48"/>
      <c r="BG114" s="48"/>
      <c r="BH114" s="48"/>
      <c r="BI114" s="48"/>
      <c r="BJ114" s="48"/>
      <c r="BK114" s="48"/>
      <c r="BL114" s="48"/>
      <c r="BM114" s="48"/>
      <c r="BN114" s="48"/>
      <c r="BO114" s="48"/>
      <c r="BP114" s="48"/>
      <c r="BQ114" s="48"/>
      <c r="BR114" s="48"/>
      <c r="BS114" s="48"/>
      <c r="BT114" s="48"/>
      <c r="BU114" s="48"/>
    </row>
    <row r="115" ht="15.75" customHeight="1">
      <c r="A115" s="48"/>
      <c r="B115" s="48"/>
      <c r="C115" s="48"/>
      <c r="D115" s="48"/>
      <c r="E115" s="27"/>
      <c r="F115" s="48"/>
      <c r="G115" s="48"/>
      <c r="H115" s="56"/>
      <c r="I115" s="56"/>
      <c r="J115" s="56"/>
      <c r="K115" s="56"/>
      <c r="L115" s="56"/>
      <c r="M115" s="56"/>
      <c r="N115" s="56"/>
      <c r="O115" s="56"/>
      <c r="P115" s="56"/>
      <c r="Q115" s="56"/>
      <c r="R115" s="56"/>
      <c r="S115" s="56"/>
      <c r="T115" s="56"/>
      <c r="U115" s="56"/>
      <c r="V115" s="56"/>
      <c r="W115" s="27"/>
      <c r="X115" s="56"/>
      <c r="Y115" s="27"/>
      <c r="Z115" s="56"/>
      <c r="AA115" s="27"/>
      <c r="AB115" s="56"/>
      <c r="AC115" s="27"/>
      <c r="AD115" s="56"/>
      <c r="AE115" s="27"/>
      <c r="AF115" s="56"/>
      <c r="AG115" s="27"/>
      <c r="AH115" s="286"/>
      <c r="AI115" s="27"/>
      <c r="AJ115" s="56"/>
      <c r="AK115" s="27"/>
      <c r="AL115" s="56"/>
      <c r="AM115" s="27"/>
      <c r="AN115" s="56"/>
      <c r="AO115" s="27"/>
      <c r="AP115" s="56"/>
      <c r="AQ115" s="27"/>
      <c r="AR115" s="56"/>
      <c r="AS115" s="27"/>
      <c r="AT115" s="56"/>
      <c r="AU115" s="27"/>
      <c r="AV115" s="56"/>
      <c r="AW115" s="27"/>
      <c r="AX115" s="56"/>
      <c r="AY115" s="27"/>
      <c r="AZ115" s="56"/>
      <c r="BA115" s="27"/>
      <c r="BB115" s="48"/>
      <c r="BC115" s="48"/>
      <c r="BD115" s="48"/>
      <c r="BE115" s="48"/>
      <c r="BF115" s="48"/>
      <c r="BG115" s="48"/>
      <c r="BH115" s="48"/>
      <c r="BI115" s="48"/>
      <c r="BJ115" s="48"/>
      <c r="BK115" s="48"/>
      <c r="BL115" s="48"/>
      <c r="BM115" s="48"/>
      <c r="BN115" s="48"/>
      <c r="BO115" s="48"/>
      <c r="BP115" s="48"/>
      <c r="BQ115" s="48"/>
      <c r="BR115" s="48"/>
      <c r="BS115" s="48"/>
      <c r="BT115" s="48"/>
      <c r="BU115" s="48"/>
    </row>
    <row r="116" ht="15.75" customHeight="1">
      <c r="A116" s="48"/>
      <c r="B116" s="48"/>
      <c r="C116" s="48"/>
      <c r="D116" s="48"/>
      <c r="E116" s="27"/>
      <c r="F116" s="48"/>
      <c r="G116" s="48"/>
      <c r="H116" s="56"/>
      <c r="I116" s="56"/>
      <c r="J116" s="56"/>
      <c r="K116" s="56"/>
      <c r="L116" s="56"/>
      <c r="M116" s="56"/>
      <c r="N116" s="56"/>
      <c r="O116" s="56"/>
      <c r="P116" s="56"/>
      <c r="Q116" s="56"/>
      <c r="R116" s="56"/>
      <c r="S116" s="56"/>
      <c r="T116" s="56"/>
      <c r="U116" s="56"/>
      <c r="V116" s="56"/>
      <c r="W116" s="27"/>
      <c r="X116" s="56"/>
      <c r="Y116" s="27"/>
      <c r="Z116" s="56"/>
      <c r="AA116" s="27"/>
      <c r="AB116" s="56"/>
      <c r="AC116" s="27"/>
      <c r="AD116" s="56"/>
      <c r="AE116" s="27"/>
      <c r="AF116" s="56"/>
      <c r="AG116" s="27"/>
      <c r="AH116" s="286"/>
      <c r="AI116" s="27"/>
      <c r="AJ116" s="56"/>
      <c r="AK116" s="27"/>
      <c r="AL116" s="56"/>
      <c r="AM116" s="27"/>
      <c r="AN116" s="56"/>
      <c r="AO116" s="27"/>
      <c r="AP116" s="56"/>
      <c r="AQ116" s="27"/>
      <c r="AR116" s="56"/>
      <c r="AS116" s="27"/>
      <c r="AT116" s="56"/>
      <c r="AU116" s="27"/>
      <c r="AV116" s="56"/>
      <c r="AW116" s="27"/>
      <c r="AX116" s="56"/>
      <c r="AY116" s="27"/>
      <c r="AZ116" s="56"/>
      <c r="BA116" s="27"/>
      <c r="BB116" s="48"/>
      <c r="BC116" s="48"/>
      <c r="BD116" s="48"/>
      <c r="BE116" s="48"/>
      <c r="BF116" s="48"/>
      <c r="BG116" s="48"/>
      <c r="BH116" s="48"/>
      <c r="BI116" s="48"/>
      <c r="BJ116" s="48"/>
      <c r="BK116" s="48"/>
      <c r="BL116" s="48"/>
      <c r="BM116" s="48"/>
      <c r="BN116" s="48"/>
      <c r="BO116" s="48"/>
      <c r="BP116" s="48"/>
      <c r="BQ116" s="48"/>
      <c r="BR116" s="48"/>
      <c r="BS116" s="48"/>
      <c r="BT116" s="48"/>
      <c r="BU116" s="48"/>
    </row>
    <row r="117" ht="15.75" customHeight="1">
      <c r="A117" s="48"/>
      <c r="B117" s="48"/>
      <c r="C117" s="48"/>
      <c r="D117" s="48"/>
      <c r="E117" s="27"/>
      <c r="F117" s="48"/>
      <c r="G117" s="48"/>
      <c r="H117" s="56"/>
      <c r="I117" s="56"/>
      <c r="J117" s="56"/>
      <c r="K117" s="56"/>
      <c r="L117" s="56"/>
      <c r="M117" s="56"/>
      <c r="N117" s="56"/>
      <c r="O117" s="56"/>
      <c r="P117" s="56"/>
      <c r="Q117" s="56"/>
      <c r="R117" s="56"/>
      <c r="S117" s="56"/>
      <c r="T117" s="56"/>
      <c r="U117" s="56"/>
      <c r="V117" s="56"/>
      <c r="W117" s="27"/>
      <c r="X117" s="56"/>
      <c r="Y117" s="27"/>
      <c r="Z117" s="56"/>
      <c r="AA117" s="27"/>
      <c r="AB117" s="56"/>
      <c r="AC117" s="27"/>
      <c r="AD117" s="56"/>
      <c r="AE117" s="27"/>
      <c r="AF117" s="56"/>
      <c r="AG117" s="27"/>
      <c r="AH117" s="286"/>
      <c r="AI117" s="27"/>
      <c r="AJ117" s="56"/>
      <c r="AK117" s="27"/>
      <c r="AL117" s="56"/>
      <c r="AM117" s="27"/>
      <c r="AN117" s="56"/>
      <c r="AO117" s="27"/>
      <c r="AP117" s="56"/>
      <c r="AQ117" s="27"/>
      <c r="AR117" s="56"/>
      <c r="AS117" s="27"/>
      <c r="AT117" s="56"/>
      <c r="AU117" s="27"/>
      <c r="AV117" s="56"/>
      <c r="AW117" s="27"/>
      <c r="AX117" s="56"/>
      <c r="AY117" s="27"/>
      <c r="AZ117" s="56"/>
      <c r="BA117" s="27"/>
      <c r="BB117" s="48"/>
      <c r="BC117" s="48"/>
      <c r="BD117" s="48"/>
      <c r="BE117" s="48"/>
      <c r="BF117" s="48"/>
      <c r="BG117" s="48"/>
      <c r="BH117" s="48"/>
      <c r="BI117" s="48"/>
      <c r="BJ117" s="48"/>
      <c r="BK117" s="48"/>
      <c r="BL117" s="48"/>
      <c r="BM117" s="48"/>
      <c r="BN117" s="48"/>
      <c r="BO117" s="48"/>
      <c r="BP117" s="48"/>
      <c r="BQ117" s="48"/>
      <c r="BR117" s="48"/>
      <c r="BS117" s="48"/>
      <c r="BT117" s="48"/>
      <c r="BU117" s="48"/>
    </row>
    <row r="118" ht="15.75" customHeight="1">
      <c r="A118" s="48"/>
      <c r="B118" s="48"/>
      <c r="C118" s="48"/>
      <c r="D118" s="48"/>
      <c r="E118" s="27"/>
      <c r="F118" s="48"/>
      <c r="G118" s="48"/>
      <c r="H118" s="56"/>
      <c r="I118" s="56"/>
      <c r="J118" s="56"/>
      <c r="K118" s="56"/>
      <c r="L118" s="56"/>
      <c r="M118" s="56"/>
      <c r="N118" s="56"/>
      <c r="O118" s="56"/>
      <c r="P118" s="56"/>
      <c r="Q118" s="56"/>
      <c r="R118" s="56"/>
      <c r="S118" s="56"/>
      <c r="T118" s="56"/>
      <c r="U118" s="56"/>
      <c r="V118" s="56"/>
      <c r="W118" s="27"/>
      <c r="X118" s="56"/>
      <c r="Y118" s="27"/>
      <c r="Z118" s="56"/>
      <c r="AA118" s="27"/>
      <c r="AB118" s="56"/>
      <c r="AC118" s="27"/>
      <c r="AD118" s="56"/>
      <c r="AE118" s="27"/>
      <c r="AF118" s="56"/>
      <c r="AG118" s="27"/>
      <c r="AH118" s="286"/>
      <c r="AI118" s="27"/>
      <c r="AJ118" s="56"/>
      <c r="AK118" s="27"/>
      <c r="AL118" s="56"/>
      <c r="AM118" s="27"/>
      <c r="AN118" s="56"/>
      <c r="AO118" s="27"/>
      <c r="AP118" s="56"/>
      <c r="AQ118" s="27"/>
      <c r="AR118" s="56"/>
      <c r="AS118" s="27"/>
      <c r="AT118" s="56"/>
      <c r="AU118" s="27"/>
      <c r="AV118" s="56"/>
      <c r="AW118" s="27"/>
      <c r="AX118" s="56"/>
      <c r="AY118" s="27"/>
      <c r="AZ118" s="56"/>
      <c r="BA118" s="27"/>
      <c r="BB118" s="48"/>
      <c r="BC118" s="48"/>
      <c r="BD118" s="48"/>
      <c r="BE118" s="48"/>
      <c r="BF118" s="48"/>
      <c r="BG118" s="48"/>
      <c r="BH118" s="48"/>
      <c r="BI118" s="48"/>
      <c r="BJ118" s="48"/>
      <c r="BK118" s="48"/>
      <c r="BL118" s="48"/>
      <c r="BM118" s="48"/>
      <c r="BN118" s="48"/>
      <c r="BO118" s="48"/>
      <c r="BP118" s="48"/>
      <c r="BQ118" s="48"/>
      <c r="BR118" s="48"/>
      <c r="BS118" s="48"/>
      <c r="BT118" s="48"/>
      <c r="BU118" s="48"/>
    </row>
    <row r="119" ht="15.75" customHeight="1">
      <c r="A119" s="48"/>
      <c r="B119" s="48"/>
      <c r="C119" s="48"/>
      <c r="D119" s="48"/>
      <c r="E119" s="27"/>
      <c r="F119" s="48"/>
      <c r="G119" s="48"/>
      <c r="H119" s="56"/>
      <c r="I119" s="56"/>
      <c r="J119" s="56"/>
      <c r="K119" s="56"/>
      <c r="L119" s="56"/>
      <c r="M119" s="56"/>
      <c r="N119" s="56"/>
      <c r="O119" s="56"/>
      <c r="P119" s="56"/>
      <c r="Q119" s="56"/>
      <c r="R119" s="56"/>
      <c r="S119" s="56"/>
      <c r="T119" s="56"/>
      <c r="U119" s="56"/>
      <c r="V119" s="56"/>
      <c r="W119" s="27"/>
      <c r="X119" s="56"/>
      <c r="Y119" s="27"/>
      <c r="Z119" s="56"/>
      <c r="AA119" s="27"/>
      <c r="AB119" s="56"/>
      <c r="AC119" s="27"/>
      <c r="AD119" s="56"/>
      <c r="AE119" s="27"/>
      <c r="AF119" s="56"/>
      <c r="AG119" s="27"/>
      <c r="AH119" s="286"/>
      <c r="AI119" s="27"/>
      <c r="AJ119" s="56"/>
      <c r="AK119" s="27"/>
      <c r="AL119" s="56"/>
      <c r="AM119" s="27"/>
      <c r="AN119" s="56"/>
      <c r="AO119" s="27"/>
      <c r="AP119" s="56"/>
      <c r="AQ119" s="27"/>
      <c r="AR119" s="56"/>
      <c r="AS119" s="27"/>
      <c r="AT119" s="56"/>
      <c r="AU119" s="27"/>
      <c r="AV119" s="56"/>
      <c r="AW119" s="27"/>
      <c r="AX119" s="56"/>
      <c r="AY119" s="27"/>
      <c r="AZ119" s="56"/>
      <c r="BA119" s="27"/>
      <c r="BB119" s="48"/>
      <c r="BC119" s="48"/>
      <c r="BD119" s="48"/>
      <c r="BE119" s="48"/>
      <c r="BF119" s="48"/>
      <c r="BG119" s="48"/>
      <c r="BH119" s="48"/>
      <c r="BI119" s="48"/>
      <c r="BJ119" s="48"/>
      <c r="BK119" s="48"/>
      <c r="BL119" s="48"/>
      <c r="BM119" s="48"/>
      <c r="BN119" s="48"/>
      <c r="BO119" s="48"/>
      <c r="BP119" s="48"/>
      <c r="BQ119" s="48"/>
      <c r="BR119" s="48"/>
      <c r="BS119" s="48"/>
      <c r="BT119" s="48"/>
      <c r="BU119" s="48"/>
    </row>
    <row r="120" ht="15.75" customHeight="1">
      <c r="A120" s="48"/>
      <c r="B120" s="48"/>
      <c r="C120" s="48"/>
      <c r="D120" s="48"/>
      <c r="E120" s="27"/>
      <c r="F120" s="48"/>
      <c r="G120" s="48"/>
      <c r="H120" s="56"/>
      <c r="I120" s="56"/>
      <c r="J120" s="56"/>
      <c r="K120" s="56"/>
      <c r="L120" s="56"/>
      <c r="M120" s="56"/>
      <c r="N120" s="56"/>
      <c r="O120" s="56"/>
      <c r="P120" s="56"/>
      <c r="Q120" s="56"/>
      <c r="R120" s="56"/>
      <c r="S120" s="56"/>
      <c r="T120" s="56"/>
      <c r="U120" s="56"/>
      <c r="V120" s="56"/>
      <c r="W120" s="27"/>
      <c r="X120" s="56"/>
      <c r="Y120" s="27"/>
      <c r="Z120" s="56"/>
      <c r="AA120" s="27"/>
      <c r="AB120" s="56"/>
      <c r="AC120" s="27"/>
      <c r="AD120" s="56"/>
      <c r="AE120" s="27"/>
      <c r="AF120" s="56"/>
      <c r="AG120" s="27"/>
      <c r="AH120" s="286"/>
      <c r="AI120" s="27"/>
      <c r="AJ120" s="56"/>
      <c r="AK120" s="27"/>
      <c r="AL120" s="56"/>
      <c r="AM120" s="27"/>
      <c r="AN120" s="56"/>
      <c r="AO120" s="27"/>
      <c r="AP120" s="56"/>
      <c r="AQ120" s="27"/>
      <c r="AR120" s="56"/>
      <c r="AS120" s="27"/>
      <c r="AT120" s="56"/>
      <c r="AU120" s="27"/>
      <c r="AV120" s="56"/>
      <c r="AW120" s="27"/>
      <c r="AX120" s="56"/>
      <c r="AY120" s="27"/>
      <c r="AZ120" s="56"/>
      <c r="BA120" s="27"/>
      <c r="BB120" s="48"/>
      <c r="BC120" s="48"/>
      <c r="BD120" s="48"/>
      <c r="BE120" s="48"/>
      <c r="BF120" s="48"/>
      <c r="BG120" s="48"/>
      <c r="BH120" s="48"/>
      <c r="BI120" s="48"/>
      <c r="BJ120" s="48"/>
      <c r="BK120" s="48"/>
      <c r="BL120" s="48"/>
      <c r="BM120" s="48"/>
      <c r="BN120" s="48"/>
      <c r="BO120" s="48"/>
      <c r="BP120" s="48"/>
      <c r="BQ120" s="48"/>
      <c r="BR120" s="48"/>
      <c r="BS120" s="48"/>
      <c r="BT120" s="48"/>
      <c r="BU120" s="48"/>
    </row>
    <row r="121" ht="15.75" customHeight="1">
      <c r="A121" s="48"/>
      <c r="B121" s="48"/>
      <c r="C121" s="48"/>
      <c r="D121" s="48"/>
      <c r="E121" s="27"/>
      <c r="F121" s="48"/>
      <c r="G121" s="48"/>
      <c r="H121" s="56"/>
      <c r="I121" s="56"/>
      <c r="J121" s="56"/>
      <c r="K121" s="56"/>
      <c r="L121" s="56"/>
      <c r="M121" s="56"/>
      <c r="N121" s="56"/>
      <c r="O121" s="56"/>
      <c r="P121" s="56"/>
      <c r="Q121" s="56"/>
      <c r="R121" s="56"/>
      <c r="S121" s="56"/>
      <c r="T121" s="56"/>
      <c r="U121" s="56"/>
      <c r="V121" s="56"/>
      <c r="W121" s="27"/>
      <c r="X121" s="56"/>
      <c r="Y121" s="27"/>
      <c r="Z121" s="56"/>
      <c r="AA121" s="27"/>
      <c r="AB121" s="56"/>
      <c r="AC121" s="27"/>
      <c r="AD121" s="56"/>
      <c r="AE121" s="27"/>
      <c r="AF121" s="56"/>
      <c r="AG121" s="27"/>
      <c r="AH121" s="286"/>
      <c r="AI121" s="27"/>
      <c r="AJ121" s="56"/>
      <c r="AK121" s="27"/>
      <c r="AL121" s="56"/>
      <c r="AM121" s="27"/>
      <c r="AN121" s="56"/>
      <c r="AO121" s="27"/>
      <c r="AP121" s="56"/>
      <c r="AQ121" s="27"/>
      <c r="AR121" s="56"/>
      <c r="AS121" s="27"/>
      <c r="AT121" s="56"/>
      <c r="AU121" s="27"/>
      <c r="AV121" s="56"/>
      <c r="AW121" s="27"/>
      <c r="AX121" s="56"/>
      <c r="AY121" s="27"/>
      <c r="AZ121" s="56"/>
      <c r="BA121" s="27"/>
      <c r="BB121" s="48"/>
      <c r="BC121" s="48"/>
      <c r="BD121" s="48"/>
      <c r="BE121" s="48"/>
      <c r="BF121" s="48"/>
      <c r="BG121" s="48"/>
      <c r="BH121" s="48"/>
      <c r="BI121" s="48"/>
      <c r="BJ121" s="48"/>
      <c r="BK121" s="48"/>
      <c r="BL121" s="48"/>
      <c r="BM121" s="48"/>
      <c r="BN121" s="48"/>
      <c r="BO121" s="48"/>
      <c r="BP121" s="48"/>
      <c r="BQ121" s="48"/>
      <c r="BR121" s="48"/>
      <c r="BS121" s="48"/>
      <c r="BT121" s="48"/>
      <c r="BU121" s="48"/>
    </row>
    <row r="122" ht="15.75" customHeight="1">
      <c r="A122" s="48"/>
      <c r="B122" s="48"/>
      <c r="C122" s="48"/>
      <c r="D122" s="48"/>
      <c r="E122" s="27"/>
      <c r="F122" s="48"/>
      <c r="G122" s="48"/>
      <c r="H122" s="56"/>
      <c r="I122" s="56"/>
      <c r="J122" s="56"/>
      <c r="K122" s="56"/>
      <c r="L122" s="56"/>
      <c r="M122" s="56"/>
      <c r="N122" s="56"/>
      <c r="O122" s="56"/>
      <c r="P122" s="56"/>
      <c r="Q122" s="56"/>
      <c r="R122" s="56"/>
      <c r="S122" s="56"/>
      <c r="T122" s="56"/>
      <c r="U122" s="56"/>
      <c r="V122" s="56"/>
      <c r="W122" s="27"/>
      <c r="X122" s="56"/>
      <c r="Y122" s="27"/>
      <c r="Z122" s="56"/>
      <c r="AA122" s="27"/>
      <c r="AB122" s="56"/>
      <c r="AC122" s="27"/>
      <c r="AD122" s="56"/>
      <c r="AE122" s="27"/>
      <c r="AF122" s="56"/>
      <c r="AG122" s="27"/>
      <c r="AH122" s="286"/>
      <c r="AI122" s="27"/>
      <c r="AJ122" s="56"/>
      <c r="AK122" s="27"/>
      <c r="AL122" s="56"/>
      <c r="AM122" s="27"/>
      <c r="AN122" s="56"/>
      <c r="AO122" s="27"/>
      <c r="AP122" s="56"/>
      <c r="AQ122" s="27"/>
      <c r="AR122" s="56"/>
      <c r="AS122" s="27"/>
      <c r="AT122" s="56"/>
      <c r="AU122" s="27"/>
      <c r="AV122" s="56"/>
      <c r="AW122" s="27"/>
      <c r="AX122" s="56"/>
      <c r="AY122" s="27"/>
      <c r="AZ122" s="56"/>
      <c r="BA122" s="27"/>
      <c r="BB122" s="48"/>
      <c r="BC122" s="48"/>
      <c r="BD122" s="48"/>
      <c r="BE122" s="48"/>
      <c r="BF122" s="48"/>
      <c r="BG122" s="48"/>
      <c r="BH122" s="48"/>
      <c r="BI122" s="48"/>
      <c r="BJ122" s="48"/>
      <c r="BK122" s="48"/>
      <c r="BL122" s="48"/>
      <c r="BM122" s="48"/>
      <c r="BN122" s="48"/>
      <c r="BO122" s="48"/>
      <c r="BP122" s="48"/>
      <c r="BQ122" s="48"/>
      <c r="BR122" s="48"/>
      <c r="BS122" s="48"/>
      <c r="BT122" s="48"/>
      <c r="BU122" s="48"/>
    </row>
    <row r="123" ht="15.75" customHeight="1">
      <c r="A123" s="48"/>
      <c r="B123" s="48"/>
      <c r="C123" s="48"/>
      <c r="D123" s="48"/>
      <c r="E123" s="27"/>
      <c r="F123" s="48"/>
      <c r="G123" s="48"/>
      <c r="H123" s="56"/>
      <c r="I123" s="56"/>
      <c r="J123" s="56"/>
      <c r="K123" s="56"/>
      <c r="L123" s="56"/>
      <c r="M123" s="56"/>
      <c r="N123" s="56"/>
      <c r="O123" s="56"/>
      <c r="P123" s="56"/>
      <c r="Q123" s="56"/>
      <c r="R123" s="56"/>
      <c r="S123" s="56"/>
      <c r="T123" s="56"/>
      <c r="U123" s="56"/>
      <c r="V123" s="56"/>
      <c r="W123" s="27"/>
      <c r="X123" s="56"/>
      <c r="Y123" s="27"/>
      <c r="Z123" s="56"/>
      <c r="AA123" s="27"/>
      <c r="AB123" s="56"/>
      <c r="AC123" s="27"/>
      <c r="AD123" s="56"/>
      <c r="AE123" s="27"/>
      <c r="AF123" s="56"/>
      <c r="AG123" s="27"/>
      <c r="AH123" s="286"/>
      <c r="AI123" s="27"/>
      <c r="AJ123" s="56"/>
      <c r="AK123" s="27"/>
      <c r="AL123" s="56"/>
      <c r="AM123" s="27"/>
      <c r="AN123" s="56"/>
      <c r="AO123" s="27"/>
      <c r="AP123" s="56"/>
      <c r="AQ123" s="27"/>
      <c r="AR123" s="56"/>
      <c r="AS123" s="27"/>
      <c r="AT123" s="56"/>
      <c r="AU123" s="27"/>
      <c r="AV123" s="56"/>
      <c r="AW123" s="27"/>
      <c r="AX123" s="56"/>
      <c r="AY123" s="27"/>
      <c r="AZ123" s="56"/>
      <c r="BA123" s="27"/>
      <c r="BB123" s="48"/>
      <c r="BC123" s="48"/>
      <c r="BD123" s="48"/>
      <c r="BE123" s="48"/>
      <c r="BF123" s="48"/>
      <c r="BG123" s="48"/>
      <c r="BH123" s="48"/>
      <c r="BI123" s="48"/>
      <c r="BJ123" s="48"/>
      <c r="BK123" s="48"/>
      <c r="BL123" s="48"/>
      <c r="BM123" s="48"/>
      <c r="BN123" s="48"/>
      <c r="BO123" s="48"/>
      <c r="BP123" s="48"/>
      <c r="BQ123" s="48"/>
      <c r="BR123" s="48"/>
      <c r="BS123" s="48"/>
      <c r="BT123" s="48"/>
      <c r="BU123" s="48"/>
    </row>
    <row r="124" ht="15.75" customHeight="1">
      <c r="A124" s="48"/>
      <c r="B124" s="48"/>
      <c r="C124" s="48"/>
      <c r="D124" s="48"/>
      <c r="E124" s="27"/>
      <c r="F124" s="48"/>
      <c r="G124" s="48"/>
      <c r="H124" s="56"/>
      <c r="I124" s="56"/>
      <c r="J124" s="56"/>
      <c r="K124" s="56"/>
      <c r="L124" s="56"/>
      <c r="M124" s="56"/>
      <c r="N124" s="56"/>
      <c r="O124" s="56"/>
      <c r="P124" s="56"/>
      <c r="Q124" s="56"/>
      <c r="R124" s="56"/>
      <c r="S124" s="56"/>
      <c r="T124" s="56"/>
      <c r="U124" s="56"/>
      <c r="V124" s="56"/>
      <c r="W124" s="27"/>
      <c r="X124" s="56"/>
      <c r="Y124" s="27"/>
      <c r="Z124" s="56"/>
      <c r="AA124" s="27"/>
      <c r="AB124" s="56"/>
      <c r="AC124" s="27"/>
      <c r="AD124" s="56"/>
      <c r="AE124" s="27"/>
      <c r="AF124" s="56"/>
      <c r="AG124" s="27"/>
      <c r="AH124" s="286"/>
      <c r="AI124" s="27"/>
      <c r="AJ124" s="56"/>
      <c r="AK124" s="27"/>
      <c r="AL124" s="56"/>
      <c r="AM124" s="27"/>
      <c r="AN124" s="56"/>
      <c r="AO124" s="27"/>
      <c r="AP124" s="56"/>
      <c r="AQ124" s="27"/>
      <c r="AR124" s="56"/>
      <c r="AS124" s="27"/>
      <c r="AT124" s="56"/>
      <c r="AU124" s="27"/>
      <c r="AV124" s="56"/>
      <c r="AW124" s="27"/>
      <c r="AX124" s="56"/>
      <c r="AY124" s="27"/>
      <c r="AZ124" s="56"/>
      <c r="BA124" s="27"/>
      <c r="BB124" s="48"/>
      <c r="BC124" s="48"/>
      <c r="BD124" s="48"/>
      <c r="BE124" s="48"/>
      <c r="BF124" s="48"/>
      <c r="BG124" s="48"/>
      <c r="BH124" s="48"/>
      <c r="BI124" s="48"/>
      <c r="BJ124" s="48"/>
      <c r="BK124" s="48"/>
      <c r="BL124" s="48"/>
      <c r="BM124" s="48"/>
      <c r="BN124" s="48"/>
      <c r="BO124" s="48"/>
      <c r="BP124" s="48"/>
      <c r="BQ124" s="48"/>
      <c r="BR124" s="48"/>
      <c r="BS124" s="48"/>
      <c r="BT124" s="48"/>
      <c r="BU124" s="48"/>
    </row>
    <row r="125" ht="15.75" customHeight="1">
      <c r="A125" s="48"/>
      <c r="B125" s="48"/>
      <c r="C125" s="48"/>
      <c r="D125" s="48"/>
      <c r="E125" s="27"/>
      <c r="F125" s="48"/>
      <c r="G125" s="48"/>
      <c r="H125" s="56"/>
      <c r="I125" s="56"/>
      <c r="J125" s="56"/>
      <c r="K125" s="56"/>
      <c r="L125" s="56"/>
      <c r="M125" s="56"/>
      <c r="N125" s="56"/>
      <c r="O125" s="56"/>
      <c r="P125" s="56"/>
      <c r="Q125" s="56"/>
      <c r="R125" s="56"/>
      <c r="S125" s="56"/>
      <c r="T125" s="56"/>
      <c r="U125" s="56"/>
      <c r="V125" s="56"/>
      <c r="W125" s="27"/>
      <c r="X125" s="56"/>
      <c r="Y125" s="27"/>
      <c r="Z125" s="56"/>
      <c r="AA125" s="27"/>
      <c r="AB125" s="56"/>
      <c r="AC125" s="27"/>
      <c r="AD125" s="56"/>
      <c r="AE125" s="27"/>
      <c r="AF125" s="56"/>
      <c r="AG125" s="27"/>
      <c r="AH125" s="286"/>
      <c r="AI125" s="27"/>
      <c r="AJ125" s="56"/>
      <c r="AK125" s="27"/>
      <c r="AL125" s="56"/>
      <c r="AM125" s="27"/>
      <c r="AN125" s="56"/>
      <c r="AO125" s="27"/>
      <c r="AP125" s="56"/>
      <c r="AQ125" s="27"/>
      <c r="AR125" s="56"/>
      <c r="AS125" s="27"/>
      <c r="AT125" s="56"/>
      <c r="AU125" s="27"/>
      <c r="AV125" s="56"/>
      <c r="AW125" s="27"/>
      <c r="AX125" s="56"/>
      <c r="AY125" s="27"/>
      <c r="AZ125" s="56"/>
      <c r="BA125" s="27"/>
      <c r="BB125" s="48"/>
      <c r="BC125" s="48"/>
      <c r="BD125" s="48"/>
      <c r="BE125" s="48"/>
      <c r="BF125" s="48"/>
      <c r="BG125" s="48"/>
      <c r="BH125" s="48"/>
      <c r="BI125" s="48"/>
      <c r="BJ125" s="48"/>
      <c r="BK125" s="48"/>
      <c r="BL125" s="48"/>
      <c r="BM125" s="48"/>
      <c r="BN125" s="48"/>
      <c r="BO125" s="48"/>
      <c r="BP125" s="48"/>
      <c r="BQ125" s="48"/>
      <c r="BR125" s="48"/>
      <c r="BS125" s="48"/>
      <c r="BT125" s="48"/>
      <c r="BU125" s="48"/>
    </row>
    <row r="126" ht="15.75" customHeight="1">
      <c r="A126" s="48"/>
      <c r="B126" s="48"/>
      <c r="C126" s="48"/>
      <c r="D126" s="48"/>
      <c r="E126" s="27"/>
      <c r="F126" s="48"/>
      <c r="G126" s="48"/>
      <c r="H126" s="56"/>
      <c r="I126" s="56"/>
      <c r="J126" s="56"/>
      <c r="K126" s="56"/>
      <c r="L126" s="56"/>
      <c r="M126" s="56"/>
      <c r="N126" s="56"/>
      <c r="O126" s="56"/>
      <c r="P126" s="56"/>
      <c r="Q126" s="56"/>
      <c r="R126" s="56"/>
      <c r="S126" s="56"/>
      <c r="T126" s="56"/>
      <c r="U126" s="56"/>
      <c r="V126" s="56"/>
      <c r="W126" s="27"/>
      <c r="X126" s="56"/>
      <c r="Y126" s="27"/>
      <c r="Z126" s="56"/>
      <c r="AA126" s="27"/>
      <c r="AB126" s="56"/>
      <c r="AC126" s="27"/>
      <c r="AD126" s="56"/>
      <c r="AE126" s="27"/>
      <c r="AF126" s="56"/>
      <c r="AG126" s="27"/>
      <c r="AH126" s="286"/>
      <c r="AI126" s="27"/>
      <c r="AJ126" s="56"/>
      <c r="AK126" s="27"/>
      <c r="AL126" s="56"/>
      <c r="AM126" s="27"/>
      <c r="AN126" s="56"/>
      <c r="AO126" s="27"/>
      <c r="AP126" s="56"/>
      <c r="AQ126" s="27"/>
      <c r="AR126" s="56"/>
      <c r="AS126" s="27"/>
      <c r="AT126" s="56"/>
      <c r="AU126" s="27"/>
      <c r="AV126" s="56"/>
      <c r="AW126" s="27"/>
      <c r="AX126" s="56"/>
      <c r="AY126" s="27"/>
      <c r="AZ126" s="56"/>
      <c r="BA126" s="27"/>
      <c r="BB126" s="48"/>
      <c r="BC126" s="48"/>
      <c r="BD126" s="48"/>
      <c r="BE126" s="48"/>
      <c r="BF126" s="48"/>
      <c r="BG126" s="48"/>
      <c r="BH126" s="48"/>
      <c r="BI126" s="48"/>
      <c r="BJ126" s="48"/>
      <c r="BK126" s="48"/>
      <c r="BL126" s="48"/>
      <c r="BM126" s="48"/>
      <c r="BN126" s="48"/>
      <c r="BO126" s="48"/>
      <c r="BP126" s="48"/>
      <c r="BQ126" s="48"/>
      <c r="BR126" s="48"/>
      <c r="BS126" s="48"/>
      <c r="BT126" s="48"/>
      <c r="BU126" s="48"/>
    </row>
    <row r="127" ht="15.75" customHeight="1">
      <c r="A127" s="48"/>
      <c r="B127" s="48"/>
      <c r="C127" s="48"/>
      <c r="D127" s="48"/>
      <c r="E127" s="27"/>
      <c r="F127" s="48"/>
      <c r="G127" s="48"/>
      <c r="H127" s="56"/>
      <c r="I127" s="56"/>
      <c r="J127" s="56"/>
      <c r="K127" s="56"/>
      <c r="L127" s="56"/>
      <c r="M127" s="56"/>
      <c r="N127" s="56"/>
      <c r="O127" s="56"/>
      <c r="P127" s="56"/>
      <c r="Q127" s="56"/>
      <c r="R127" s="56"/>
      <c r="S127" s="56"/>
      <c r="T127" s="56"/>
      <c r="U127" s="56"/>
      <c r="V127" s="56"/>
      <c r="W127" s="27"/>
      <c r="X127" s="56"/>
      <c r="Y127" s="27"/>
      <c r="Z127" s="56"/>
      <c r="AA127" s="27"/>
      <c r="AB127" s="56"/>
      <c r="AC127" s="27"/>
      <c r="AD127" s="56"/>
      <c r="AE127" s="27"/>
      <c r="AF127" s="56"/>
      <c r="AG127" s="27"/>
      <c r="AH127" s="286"/>
      <c r="AI127" s="27"/>
      <c r="AJ127" s="56"/>
      <c r="AK127" s="27"/>
      <c r="AL127" s="56"/>
      <c r="AM127" s="27"/>
      <c r="AN127" s="56"/>
      <c r="AO127" s="27"/>
      <c r="AP127" s="56"/>
      <c r="AQ127" s="27"/>
      <c r="AR127" s="56"/>
      <c r="AS127" s="27"/>
      <c r="AT127" s="56"/>
      <c r="AU127" s="27"/>
      <c r="AV127" s="56"/>
      <c r="AW127" s="27"/>
      <c r="AX127" s="56"/>
      <c r="AY127" s="27"/>
      <c r="AZ127" s="56"/>
      <c r="BA127" s="27"/>
      <c r="BB127" s="48"/>
      <c r="BC127" s="48"/>
      <c r="BD127" s="48"/>
      <c r="BE127" s="48"/>
      <c r="BF127" s="48"/>
      <c r="BG127" s="48"/>
      <c r="BH127" s="48"/>
      <c r="BI127" s="48"/>
      <c r="BJ127" s="48"/>
      <c r="BK127" s="48"/>
      <c r="BL127" s="48"/>
      <c r="BM127" s="48"/>
      <c r="BN127" s="48"/>
      <c r="BO127" s="48"/>
      <c r="BP127" s="48"/>
      <c r="BQ127" s="48"/>
      <c r="BR127" s="48"/>
      <c r="BS127" s="48"/>
      <c r="BT127" s="48"/>
      <c r="BU127" s="48"/>
    </row>
    <row r="128" ht="15.75" customHeight="1">
      <c r="A128" s="48"/>
      <c r="B128" s="48"/>
      <c r="C128" s="48"/>
      <c r="D128" s="48"/>
      <c r="E128" s="27"/>
      <c r="F128" s="48"/>
      <c r="G128" s="48"/>
      <c r="H128" s="56"/>
      <c r="I128" s="56"/>
      <c r="J128" s="56"/>
      <c r="K128" s="56"/>
      <c r="L128" s="56"/>
      <c r="M128" s="56"/>
      <c r="N128" s="56"/>
      <c r="O128" s="56"/>
      <c r="P128" s="56"/>
      <c r="Q128" s="56"/>
      <c r="R128" s="56"/>
      <c r="S128" s="56"/>
      <c r="T128" s="56"/>
      <c r="U128" s="56"/>
      <c r="V128" s="56"/>
      <c r="W128" s="27"/>
      <c r="X128" s="56"/>
      <c r="Y128" s="27"/>
      <c r="Z128" s="56"/>
      <c r="AA128" s="27"/>
      <c r="AB128" s="56"/>
      <c r="AC128" s="27"/>
      <c r="AD128" s="56"/>
      <c r="AE128" s="27"/>
      <c r="AF128" s="56"/>
      <c r="AG128" s="27"/>
      <c r="AH128" s="286"/>
      <c r="AI128" s="27"/>
      <c r="AJ128" s="56"/>
      <c r="AK128" s="27"/>
      <c r="AL128" s="56"/>
      <c r="AM128" s="27"/>
      <c r="AN128" s="56"/>
      <c r="AO128" s="27"/>
      <c r="AP128" s="56"/>
      <c r="AQ128" s="27"/>
      <c r="AR128" s="56"/>
      <c r="AS128" s="27"/>
      <c r="AT128" s="56"/>
      <c r="AU128" s="27"/>
      <c r="AV128" s="56"/>
      <c r="AW128" s="27"/>
      <c r="AX128" s="56"/>
      <c r="AY128" s="27"/>
      <c r="AZ128" s="56"/>
      <c r="BA128" s="27"/>
      <c r="BB128" s="48"/>
      <c r="BC128" s="48"/>
      <c r="BD128" s="48"/>
      <c r="BE128" s="48"/>
      <c r="BF128" s="48"/>
      <c r="BG128" s="48"/>
      <c r="BH128" s="48"/>
      <c r="BI128" s="48"/>
      <c r="BJ128" s="48"/>
      <c r="BK128" s="48"/>
      <c r="BL128" s="48"/>
      <c r="BM128" s="48"/>
      <c r="BN128" s="48"/>
      <c r="BO128" s="48"/>
      <c r="BP128" s="48"/>
      <c r="BQ128" s="48"/>
      <c r="BR128" s="48"/>
      <c r="BS128" s="48"/>
      <c r="BT128" s="48"/>
      <c r="BU128" s="48"/>
    </row>
    <row r="129" ht="15.75" customHeight="1">
      <c r="A129" s="48"/>
      <c r="B129" s="48"/>
      <c r="C129" s="48"/>
      <c r="D129" s="48"/>
      <c r="E129" s="27"/>
      <c r="F129" s="48"/>
      <c r="G129" s="48"/>
      <c r="H129" s="56"/>
      <c r="I129" s="56"/>
      <c r="J129" s="56"/>
      <c r="K129" s="56"/>
      <c r="L129" s="56"/>
      <c r="M129" s="56"/>
      <c r="N129" s="56"/>
      <c r="O129" s="56"/>
      <c r="P129" s="56"/>
      <c r="Q129" s="56"/>
      <c r="R129" s="56"/>
      <c r="S129" s="56"/>
      <c r="T129" s="56"/>
      <c r="U129" s="56"/>
      <c r="V129" s="56"/>
      <c r="W129" s="27"/>
      <c r="X129" s="56"/>
      <c r="Y129" s="27"/>
      <c r="Z129" s="56"/>
      <c r="AA129" s="27"/>
      <c r="AB129" s="56"/>
      <c r="AC129" s="27"/>
      <c r="AD129" s="56"/>
      <c r="AE129" s="27"/>
      <c r="AF129" s="56"/>
      <c r="AG129" s="27"/>
      <c r="AH129" s="286"/>
      <c r="AI129" s="27"/>
      <c r="AJ129" s="56"/>
      <c r="AK129" s="27"/>
      <c r="AL129" s="56"/>
      <c r="AM129" s="27"/>
      <c r="AN129" s="56"/>
      <c r="AO129" s="27"/>
      <c r="AP129" s="56"/>
      <c r="AQ129" s="27"/>
      <c r="AR129" s="56"/>
      <c r="AS129" s="27"/>
      <c r="AT129" s="56"/>
      <c r="AU129" s="27"/>
      <c r="AV129" s="56"/>
      <c r="AW129" s="27"/>
      <c r="AX129" s="56"/>
      <c r="AY129" s="27"/>
      <c r="AZ129" s="56"/>
      <c r="BA129" s="27"/>
      <c r="BB129" s="48"/>
      <c r="BC129" s="48"/>
      <c r="BD129" s="48"/>
      <c r="BE129" s="48"/>
      <c r="BF129" s="48"/>
      <c r="BG129" s="48"/>
      <c r="BH129" s="48"/>
      <c r="BI129" s="48"/>
      <c r="BJ129" s="48"/>
      <c r="BK129" s="48"/>
      <c r="BL129" s="48"/>
      <c r="BM129" s="48"/>
      <c r="BN129" s="48"/>
      <c r="BO129" s="48"/>
      <c r="BP129" s="48"/>
      <c r="BQ129" s="48"/>
      <c r="BR129" s="48"/>
      <c r="BS129" s="48"/>
      <c r="BT129" s="48"/>
      <c r="BU129" s="48"/>
    </row>
    <row r="130" ht="15.75" customHeight="1">
      <c r="A130" s="48"/>
      <c r="B130" s="48"/>
      <c r="C130" s="48"/>
      <c r="D130" s="48"/>
      <c r="E130" s="27"/>
      <c r="F130" s="48"/>
      <c r="G130" s="48"/>
      <c r="H130" s="56"/>
      <c r="I130" s="56"/>
      <c r="J130" s="56"/>
      <c r="K130" s="56"/>
      <c r="L130" s="56"/>
      <c r="M130" s="56"/>
      <c r="N130" s="56"/>
      <c r="O130" s="56"/>
      <c r="P130" s="56"/>
      <c r="Q130" s="56"/>
      <c r="R130" s="56"/>
      <c r="S130" s="56"/>
      <c r="T130" s="56"/>
      <c r="U130" s="56"/>
      <c r="V130" s="56"/>
      <c r="W130" s="27"/>
      <c r="X130" s="56"/>
      <c r="Y130" s="27"/>
      <c r="Z130" s="56"/>
      <c r="AA130" s="27"/>
      <c r="AB130" s="56"/>
      <c r="AC130" s="27"/>
      <c r="AD130" s="56"/>
      <c r="AE130" s="27"/>
      <c r="AF130" s="56"/>
      <c r="AG130" s="27"/>
      <c r="AH130" s="286"/>
      <c r="AI130" s="27"/>
      <c r="AJ130" s="56"/>
      <c r="AK130" s="27"/>
      <c r="AL130" s="56"/>
      <c r="AM130" s="27"/>
      <c r="AN130" s="56"/>
      <c r="AO130" s="27"/>
      <c r="AP130" s="56"/>
      <c r="AQ130" s="27"/>
      <c r="AR130" s="56"/>
      <c r="AS130" s="27"/>
      <c r="AT130" s="56"/>
      <c r="AU130" s="27"/>
      <c r="AV130" s="56"/>
      <c r="AW130" s="27"/>
      <c r="AX130" s="56"/>
      <c r="AY130" s="27"/>
      <c r="AZ130" s="56"/>
      <c r="BA130" s="27"/>
      <c r="BB130" s="48"/>
      <c r="BC130" s="48"/>
      <c r="BD130" s="48"/>
      <c r="BE130" s="48"/>
      <c r="BF130" s="48"/>
      <c r="BG130" s="48"/>
      <c r="BH130" s="48"/>
      <c r="BI130" s="48"/>
      <c r="BJ130" s="48"/>
      <c r="BK130" s="48"/>
      <c r="BL130" s="48"/>
      <c r="BM130" s="48"/>
      <c r="BN130" s="48"/>
      <c r="BO130" s="48"/>
      <c r="BP130" s="48"/>
      <c r="BQ130" s="48"/>
      <c r="BR130" s="48"/>
      <c r="BS130" s="48"/>
      <c r="BT130" s="48"/>
      <c r="BU130" s="48"/>
    </row>
    <row r="131" ht="15.75" customHeight="1">
      <c r="A131" s="48"/>
      <c r="B131" s="48"/>
      <c r="C131" s="48"/>
      <c r="D131" s="48"/>
      <c r="E131" s="27"/>
      <c r="F131" s="48"/>
      <c r="G131" s="48"/>
      <c r="H131" s="56"/>
      <c r="I131" s="56"/>
      <c r="J131" s="56"/>
      <c r="K131" s="56"/>
      <c r="L131" s="56"/>
      <c r="M131" s="56"/>
      <c r="N131" s="56"/>
      <c r="O131" s="56"/>
      <c r="P131" s="56"/>
      <c r="Q131" s="56"/>
      <c r="R131" s="56"/>
      <c r="S131" s="56"/>
      <c r="T131" s="56"/>
      <c r="U131" s="56"/>
      <c r="V131" s="56"/>
      <c r="W131" s="27"/>
      <c r="X131" s="56"/>
      <c r="Y131" s="27"/>
      <c r="Z131" s="56"/>
      <c r="AA131" s="27"/>
      <c r="AB131" s="56"/>
      <c r="AC131" s="27"/>
      <c r="AD131" s="56"/>
      <c r="AE131" s="27"/>
      <c r="AF131" s="56"/>
      <c r="AG131" s="27"/>
      <c r="AH131" s="286"/>
      <c r="AI131" s="27"/>
      <c r="AJ131" s="56"/>
      <c r="AK131" s="27"/>
      <c r="AL131" s="56"/>
      <c r="AM131" s="27"/>
      <c r="AN131" s="56"/>
      <c r="AO131" s="27"/>
      <c r="AP131" s="56"/>
      <c r="AQ131" s="27"/>
      <c r="AR131" s="56"/>
      <c r="AS131" s="27"/>
      <c r="AT131" s="56"/>
      <c r="AU131" s="27"/>
      <c r="AV131" s="56"/>
      <c r="AW131" s="27"/>
      <c r="AX131" s="56"/>
      <c r="AY131" s="27"/>
      <c r="AZ131" s="56"/>
      <c r="BA131" s="27"/>
      <c r="BB131" s="48"/>
      <c r="BC131" s="48"/>
      <c r="BD131" s="48"/>
      <c r="BE131" s="48"/>
      <c r="BF131" s="48"/>
      <c r="BG131" s="48"/>
      <c r="BH131" s="48"/>
      <c r="BI131" s="48"/>
      <c r="BJ131" s="48"/>
      <c r="BK131" s="48"/>
      <c r="BL131" s="48"/>
      <c r="BM131" s="48"/>
      <c r="BN131" s="48"/>
      <c r="BO131" s="48"/>
      <c r="BP131" s="48"/>
      <c r="BQ131" s="48"/>
      <c r="BR131" s="48"/>
      <c r="BS131" s="48"/>
      <c r="BT131" s="48"/>
      <c r="BU131" s="48"/>
    </row>
    <row r="132" ht="15.75" customHeight="1">
      <c r="A132" s="48"/>
      <c r="B132" s="48"/>
      <c r="C132" s="48"/>
      <c r="D132" s="48"/>
      <c r="E132" s="27"/>
      <c r="F132" s="48"/>
      <c r="G132" s="48"/>
      <c r="H132" s="56"/>
      <c r="I132" s="56"/>
      <c r="J132" s="56"/>
      <c r="K132" s="56"/>
      <c r="L132" s="56"/>
      <c r="M132" s="56"/>
      <c r="N132" s="56"/>
      <c r="O132" s="56"/>
      <c r="P132" s="56"/>
      <c r="Q132" s="56"/>
      <c r="R132" s="56"/>
      <c r="S132" s="56"/>
      <c r="T132" s="56"/>
      <c r="U132" s="56"/>
      <c r="V132" s="56"/>
      <c r="W132" s="27"/>
      <c r="X132" s="56"/>
      <c r="Y132" s="27"/>
      <c r="Z132" s="56"/>
      <c r="AA132" s="27"/>
      <c r="AB132" s="56"/>
      <c r="AC132" s="27"/>
      <c r="AD132" s="56"/>
      <c r="AE132" s="27"/>
      <c r="AF132" s="56"/>
      <c r="AG132" s="27"/>
      <c r="AH132" s="286"/>
      <c r="AI132" s="27"/>
      <c r="AJ132" s="56"/>
      <c r="AK132" s="27"/>
      <c r="AL132" s="56"/>
      <c r="AM132" s="27"/>
      <c r="AN132" s="56"/>
      <c r="AO132" s="27"/>
      <c r="AP132" s="56"/>
      <c r="AQ132" s="27"/>
      <c r="AR132" s="56"/>
      <c r="AS132" s="27"/>
      <c r="AT132" s="56"/>
      <c r="AU132" s="27"/>
      <c r="AV132" s="56"/>
      <c r="AW132" s="27"/>
      <c r="AX132" s="56"/>
      <c r="AY132" s="27"/>
      <c r="AZ132" s="56"/>
      <c r="BA132" s="27"/>
      <c r="BB132" s="48"/>
      <c r="BC132" s="48"/>
      <c r="BD132" s="48"/>
      <c r="BE132" s="48"/>
      <c r="BF132" s="48"/>
      <c r="BG132" s="48"/>
      <c r="BH132" s="48"/>
      <c r="BI132" s="48"/>
      <c r="BJ132" s="48"/>
      <c r="BK132" s="48"/>
      <c r="BL132" s="48"/>
      <c r="BM132" s="48"/>
      <c r="BN132" s="48"/>
      <c r="BO132" s="48"/>
      <c r="BP132" s="48"/>
      <c r="BQ132" s="48"/>
      <c r="BR132" s="48"/>
      <c r="BS132" s="48"/>
      <c r="BT132" s="48"/>
      <c r="BU132" s="48"/>
    </row>
    <row r="133" ht="15.75" customHeight="1">
      <c r="A133" s="48"/>
      <c r="B133" s="48"/>
      <c r="C133" s="48"/>
      <c r="D133" s="48"/>
      <c r="E133" s="27"/>
      <c r="F133" s="48"/>
      <c r="G133" s="48"/>
      <c r="H133" s="56"/>
      <c r="I133" s="56"/>
      <c r="J133" s="56"/>
      <c r="K133" s="56"/>
      <c r="L133" s="56"/>
      <c r="M133" s="56"/>
      <c r="N133" s="56"/>
      <c r="O133" s="56"/>
      <c r="P133" s="56"/>
      <c r="Q133" s="56"/>
      <c r="R133" s="56"/>
      <c r="S133" s="56"/>
      <c r="T133" s="56"/>
      <c r="U133" s="56"/>
      <c r="V133" s="56"/>
      <c r="W133" s="27"/>
      <c r="X133" s="56"/>
      <c r="Y133" s="27"/>
      <c r="Z133" s="56"/>
      <c r="AA133" s="27"/>
      <c r="AB133" s="56"/>
      <c r="AC133" s="27"/>
      <c r="AD133" s="56"/>
      <c r="AE133" s="27"/>
      <c r="AF133" s="56"/>
      <c r="AG133" s="27"/>
      <c r="AH133" s="286"/>
      <c r="AI133" s="27"/>
      <c r="AJ133" s="56"/>
      <c r="AK133" s="27"/>
      <c r="AL133" s="56"/>
      <c r="AM133" s="27"/>
      <c r="AN133" s="56"/>
      <c r="AO133" s="27"/>
      <c r="AP133" s="56"/>
      <c r="AQ133" s="27"/>
      <c r="AR133" s="56"/>
      <c r="AS133" s="27"/>
      <c r="AT133" s="56"/>
      <c r="AU133" s="27"/>
      <c r="AV133" s="56"/>
      <c r="AW133" s="27"/>
      <c r="AX133" s="56"/>
      <c r="AY133" s="27"/>
      <c r="AZ133" s="56"/>
      <c r="BA133" s="27"/>
      <c r="BB133" s="48"/>
      <c r="BC133" s="48"/>
      <c r="BD133" s="48"/>
      <c r="BE133" s="48"/>
      <c r="BF133" s="48"/>
      <c r="BG133" s="48"/>
      <c r="BH133" s="48"/>
      <c r="BI133" s="48"/>
      <c r="BJ133" s="48"/>
      <c r="BK133" s="48"/>
      <c r="BL133" s="48"/>
      <c r="BM133" s="48"/>
      <c r="BN133" s="48"/>
      <c r="BO133" s="48"/>
      <c r="BP133" s="48"/>
      <c r="BQ133" s="48"/>
      <c r="BR133" s="48"/>
      <c r="BS133" s="48"/>
      <c r="BT133" s="48"/>
      <c r="BU133" s="48"/>
    </row>
    <row r="134" ht="15.75" customHeight="1">
      <c r="A134" s="48"/>
      <c r="B134" s="48"/>
      <c r="C134" s="48"/>
      <c r="D134" s="48"/>
      <c r="E134" s="27"/>
      <c r="F134" s="48"/>
      <c r="G134" s="48"/>
      <c r="H134" s="56"/>
      <c r="I134" s="56"/>
      <c r="J134" s="56"/>
      <c r="K134" s="56"/>
      <c r="L134" s="56"/>
      <c r="M134" s="56"/>
      <c r="N134" s="56"/>
      <c r="O134" s="56"/>
      <c r="P134" s="56"/>
      <c r="Q134" s="56"/>
      <c r="R134" s="56"/>
      <c r="S134" s="56"/>
      <c r="T134" s="56"/>
      <c r="U134" s="56"/>
      <c r="V134" s="56"/>
      <c r="W134" s="27"/>
      <c r="X134" s="56"/>
      <c r="Y134" s="27"/>
      <c r="Z134" s="56"/>
      <c r="AA134" s="27"/>
      <c r="AB134" s="56"/>
      <c r="AC134" s="27"/>
      <c r="AD134" s="56"/>
      <c r="AE134" s="27"/>
      <c r="AF134" s="56"/>
      <c r="AG134" s="27"/>
      <c r="AH134" s="286"/>
      <c r="AI134" s="27"/>
      <c r="AJ134" s="56"/>
      <c r="AK134" s="27"/>
      <c r="AL134" s="56"/>
      <c r="AM134" s="27"/>
      <c r="AN134" s="56"/>
      <c r="AO134" s="27"/>
      <c r="AP134" s="56"/>
      <c r="AQ134" s="27"/>
      <c r="AR134" s="56"/>
      <c r="AS134" s="27"/>
      <c r="AT134" s="56"/>
      <c r="AU134" s="27"/>
      <c r="AV134" s="56"/>
      <c r="AW134" s="27"/>
      <c r="AX134" s="56"/>
      <c r="AY134" s="27"/>
      <c r="AZ134" s="56"/>
      <c r="BA134" s="27"/>
      <c r="BB134" s="48"/>
      <c r="BC134" s="48"/>
      <c r="BD134" s="48"/>
      <c r="BE134" s="48"/>
      <c r="BF134" s="48"/>
      <c r="BG134" s="48"/>
      <c r="BH134" s="48"/>
      <c r="BI134" s="48"/>
      <c r="BJ134" s="48"/>
      <c r="BK134" s="48"/>
      <c r="BL134" s="48"/>
      <c r="BM134" s="48"/>
      <c r="BN134" s="48"/>
      <c r="BO134" s="48"/>
      <c r="BP134" s="48"/>
      <c r="BQ134" s="48"/>
      <c r="BR134" s="48"/>
      <c r="BS134" s="48"/>
      <c r="BT134" s="48"/>
      <c r="BU134" s="48"/>
    </row>
    <row r="135" ht="15.75" customHeight="1">
      <c r="A135" s="48"/>
      <c r="B135" s="48"/>
      <c r="C135" s="48"/>
      <c r="D135" s="48"/>
      <c r="E135" s="27"/>
      <c r="F135" s="48"/>
      <c r="G135" s="48"/>
      <c r="H135" s="56"/>
      <c r="I135" s="56"/>
      <c r="J135" s="56"/>
      <c r="K135" s="56"/>
      <c r="L135" s="56"/>
      <c r="M135" s="56"/>
      <c r="N135" s="56"/>
      <c r="O135" s="56"/>
      <c r="P135" s="56"/>
      <c r="Q135" s="56"/>
      <c r="R135" s="56"/>
      <c r="S135" s="56"/>
      <c r="T135" s="56"/>
      <c r="U135" s="56"/>
      <c r="V135" s="56"/>
      <c r="W135" s="27"/>
      <c r="X135" s="56"/>
      <c r="Y135" s="27"/>
      <c r="Z135" s="56"/>
      <c r="AA135" s="27"/>
      <c r="AB135" s="56"/>
      <c r="AC135" s="27"/>
      <c r="AD135" s="56"/>
      <c r="AE135" s="27"/>
      <c r="AF135" s="56"/>
      <c r="AG135" s="27"/>
      <c r="AH135" s="286"/>
      <c r="AI135" s="27"/>
      <c r="AJ135" s="56"/>
      <c r="AK135" s="27"/>
      <c r="AL135" s="56"/>
      <c r="AM135" s="27"/>
      <c r="AN135" s="56"/>
      <c r="AO135" s="27"/>
      <c r="AP135" s="56"/>
      <c r="AQ135" s="27"/>
      <c r="AR135" s="56"/>
      <c r="AS135" s="27"/>
      <c r="AT135" s="56"/>
      <c r="AU135" s="27"/>
      <c r="AV135" s="56"/>
      <c r="AW135" s="27"/>
      <c r="AX135" s="56"/>
      <c r="AY135" s="27"/>
      <c r="AZ135" s="56"/>
      <c r="BA135" s="27"/>
      <c r="BB135" s="48"/>
      <c r="BC135" s="48"/>
      <c r="BD135" s="48"/>
      <c r="BE135" s="48"/>
      <c r="BF135" s="48"/>
      <c r="BG135" s="48"/>
      <c r="BH135" s="48"/>
      <c r="BI135" s="48"/>
      <c r="BJ135" s="48"/>
      <c r="BK135" s="48"/>
      <c r="BL135" s="48"/>
      <c r="BM135" s="48"/>
      <c r="BN135" s="48"/>
      <c r="BO135" s="48"/>
      <c r="BP135" s="48"/>
      <c r="BQ135" s="48"/>
      <c r="BR135" s="48"/>
      <c r="BS135" s="48"/>
      <c r="BT135" s="48"/>
      <c r="BU135" s="48"/>
    </row>
    <row r="136" ht="15.75" customHeight="1">
      <c r="A136" s="48"/>
      <c r="B136" s="48"/>
      <c r="C136" s="48"/>
      <c r="D136" s="48"/>
      <c r="E136" s="27"/>
      <c r="F136" s="48"/>
      <c r="G136" s="48"/>
      <c r="H136" s="56"/>
      <c r="I136" s="56"/>
      <c r="J136" s="56"/>
      <c r="K136" s="56"/>
      <c r="L136" s="56"/>
      <c r="M136" s="56"/>
      <c r="N136" s="56"/>
      <c r="O136" s="56"/>
      <c r="P136" s="56"/>
      <c r="Q136" s="56"/>
      <c r="R136" s="56"/>
      <c r="S136" s="56"/>
      <c r="T136" s="56"/>
      <c r="U136" s="56"/>
      <c r="V136" s="56"/>
      <c r="W136" s="27"/>
      <c r="X136" s="56"/>
      <c r="Y136" s="27"/>
      <c r="Z136" s="56"/>
      <c r="AA136" s="27"/>
      <c r="AB136" s="56"/>
      <c r="AC136" s="27"/>
      <c r="AD136" s="56"/>
      <c r="AE136" s="27"/>
      <c r="AF136" s="56"/>
      <c r="AG136" s="27"/>
      <c r="AH136" s="286"/>
      <c r="AI136" s="27"/>
      <c r="AJ136" s="56"/>
      <c r="AK136" s="27"/>
      <c r="AL136" s="56"/>
      <c r="AM136" s="27"/>
      <c r="AN136" s="56"/>
      <c r="AO136" s="27"/>
      <c r="AP136" s="56"/>
      <c r="AQ136" s="27"/>
      <c r="AR136" s="56"/>
      <c r="AS136" s="27"/>
      <c r="AT136" s="56"/>
      <c r="AU136" s="27"/>
      <c r="AV136" s="56"/>
      <c r="AW136" s="27"/>
      <c r="AX136" s="56"/>
      <c r="AY136" s="27"/>
      <c r="AZ136" s="56"/>
      <c r="BA136" s="27"/>
      <c r="BB136" s="48"/>
      <c r="BC136" s="48"/>
      <c r="BD136" s="48"/>
      <c r="BE136" s="48"/>
      <c r="BF136" s="48"/>
      <c r="BG136" s="48"/>
      <c r="BH136" s="48"/>
      <c r="BI136" s="48"/>
      <c r="BJ136" s="48"/>
      <c r="BK136" s="48"/>
      <c r="BL136" s="48"/>
      <c r="BM136" s="48"/>
      <c r="BN136" s="48"/>
      <c r="BO136" s="48"/>
      <c r="BP136" s="48"/>
      <c r="BQ136" s="48"/>
      <c r="BR136" s="48"/>
      <c r="BS136" s="48"/>
      <c r="BT136" s="48"/>
      <c r="BU136" s="48"/>
    </row>
    <row r="137" ht="15.75" customHeight="1">
      <c r="A137" s="48"/>
      <c r="B137" s="48"/>
      <c r="C137" s="48"/>
      <c r="D137" s="48"/>
      <c r="E137" s="27"/>
      <c r="F137" s="48"/>
      <c r="G137" s="48"/>
      <c r="H137" s="56"/>
      <c r="I137" s="56"/>
      <c r="J137" s="56"/>
      <c r="K137" s="56"/>
      <c r="L137" s="56"/>
      <c r="M137" s="56"/>
      <c r="N137" s="56"/>
      <c r="O137" s="56"/>
      <c r="P137" s="56"/>
      <c r="Q137" s="56"/>
      <c r="R137" s="56"/>
      <c r="S137" s="56"/>
      <c r="T137" s="56"/>
      <c r="U137" s="56"/>
      <c r="V137" s="56"/>
      <c r="W137" s="27"/>
      <c r="X137" s="56"/>
      <c r="Y137" s="27"/>
      <c r="Z137" s="56"/>
      <c r="AA137" s="27"/>
      <c r="AB137" s="56"/>
      <c r="AC137" s="27"/>
      <c r="AD137" s="56"/>
      <c r="AE137" s="27"/>
      <c r="AF137" s="56"/>
      <c r="AG137" s="27"/>
      <c r="AH137" s="286"/>
      <c r="AI137" s="27"/>
      <c r="AJ137" s="56"/>
      <c r="AK137" s="27"/>
      <c r="AL137" s="56"/>
      <c r="AM137" s="27"/>
      <c r="AN137" s="56"/>
      <c r="AO137" s="27"/>
      <c r="AP137" s="56"/>
      <c r="AQ137" s="27"/>
      <c r="AR137" s="56"/>
      <c r="AS137" s="27"/>
      <c r="AT137" s="56"/>
      <c r="AU137" s="27"/>
      <c r="AV137" s="56"/>
      <c r="AW137" s="27"/>
      <c r="AX137" s="56"/>
      <c r="AY137" s="27"/>
      <c r="AZ137" s="56"/>
      <c r="BA137" s="27"/>
      <c r="BB137" s="48"/>
      <c r="BC137" s="48"/>
      <c r="BD137" s="48"/>
      <c r="BE137" s="48"/>
      <c r="BF137" s="48"/>
      <c r="BG137" s="48"/>
      <c r="BH137" s="48"/>
      <c r="BI137" s="48"/>
      <c r="BJ137" s="48"/>
      <c r="BK137" s="48"/>
      <c r="BL137" s="48"/>
      <c r="BM137" s="48"/>
      <c r="BN137" s="48"/>
      <c r="BO137" s="48"/>
      <c r="BP137" s="48"/>
      <c r="BQ137" s="48"/>
      <c r="BR137" s="48"/>
      <c r="BS137" s="48"/>
      <c r="BT137" s="48"/>
      <c r="BU137" s="48"/>
    </row>
    <row r="138" ht="15.75" customHeight="1">
      <c r="A138" s="48"/>
      <c r="B138" s="48"/>
      <c r="C138" s="48"/>
      <c r="D138" s="48"/>
      <c r="E138" s="27"/>
      <c r="F138" s="48"/>
      <c r="G138" s="48"/>
      <c r="H138" s="56"/>
      <c r="I138" s="56"/>
      <c r="J138" s="56"/>
      <c r="K138" s="56"/>
      <c r="L138" s="56"/>
      <c r="M138" s="56"/>
      <c r="N138" s="56"/>
      <c r="O138" s="56"/>
      <c r="P138" s="56"/>
      <c r="Q138" s="56"/>
      <c r="R138" s="56"/>
      <c r="S138" s="56"/>
      <c r="T138" s="56"/>
      <c r="U138" s="56"/>
      <c r="V138" s="56"/>
      <c r="W138" s="27"/>
      <c r="X138" s="56"/>
      <c r="Y138" s="27"/>
      <c r="Z138" s="56"/>
      <c r="AA138" s="27"/>
      <c r="AB138" s="56"/>
      <c r="AC138" s="27"/>
      <c r="AD138" s="56"/>
      <c r="AE138" s="27"/>
      <c r="AF138" s="56"/>
      <c r="AG138" s="27"/>
      <c r="AH138" s="286"/>
      <c r="AI138" s="27"/>
      <c r="AJ138" s="56"/>
      <c r="AK138" s="27"/>
      <c r="AL138" s="56"/>
      <c r="AM138" s="27"/>
      <c r="AN138" s="56"/>
      <c r="AO138" s="27"/>
      <c r="AP138" s="56"/>
      <c r="AQ138" s="27"/>
      <c r="AR138" s="56"/>
      <c r="AS138" s="27"/>
      <c r="AT138" s="56"/>
      <c r="AU138" s="27"/>
      <c r="AV138" s="56"/>
      <c r="AW138" s="27"/>
      <c r="AX138" s="56"/>
      <c r="AY138" s="27"/>
      <c r="AZ138" s="56"/>
      <c r="BA138" s="27"/>
      <c r="BB138" s="48"/>
      <c r="BC138" s="48"/>
      <c r="BD138" s="48"/>
      <c r="BE138" s="48"/>
      <c r="BF138" s="48"/>
      <c r="BG138" s="48"/>
      <c r="BH138" s="48"/>
      <c r="BI138" s="48"/>
      <c r="BJ138" s="48"/>
      <c r="BK138" s="48"/>
      <c r="BL138" s="48"/>
      <c r="BM138" s="48"/>
      <c r="BN138" s="48"/>
      <c r="BO138" s="48"/>
      <c r="BP138" s="48"/>
      <c r="BQ138" s="48"/>
      <c r="BR138" s="48"/>
      <c r="BS138" s="48"/>
      <c r="BT138" s="48"/>
      <c r="BU138" s="48"/>
    </row>
    <row r="139" ht="15.75" customHeight="1">
      <c r="A139" s="48"/>
      <c r="B139" s="48"/>
      <c r="C139" s="48"/>
      <c r="D139" s="48"/>
      <c r="E139" s="27"/>
      <c r="F139" s="48"/>
      <c r="G139" s="48"/>
      <c r="H139" s="56"/>
      <c r="I139" s="56"/>
      <c r="J139" s="56"/>
      <c r="K139" s="56"/>
      <c r="L139" s="56"/>
      <c r="M139" s="56"/>
      <c r="N139" s="56"/>
      <c r="O139" s="56"/>
      <c r="P139" s="56"/>
      <c r="Q139" s="56"/>
      <c r="R139" s="56"/>
      <c r="S139" s="56"/>
      <c r="T139" s="56"/>
      <c r="U139" s="56"/>
      <c r="V139" s="56"/>
      <c r="W139" s="27"/>
      <c r="X139" s="56"/>
      <c r="Y139" s="27"/>
      <c r="Z139" s="56"/>
      <c r="AA139" s="27"/>
      <c r="AB139" s="56"/>
      <c r="AC139" s="27"/>
      <c r="AD139" s="56"/>
      <c r="AE139" s="27"/>
      <c r="AF139" s="56"/>
      <c r="AG139" s="27"/>
      <c r="AH139" s="286"/>
      <c r="AI139" s="27"/>
      <c r="AJ139" s="56"/>
      <c r="AK139" s="27"/>
      <c r="AL139" s="56"/>
      <c r="AM139" s="27"/>
      <c r="AN139" s="56"/>
      <c r="AO139" s="27"/>
      <c r="AP139" s="56"/>
      <c r="AQ139" s="27"/>
      <c r="AR139" s="56"/>
      <c r="AS139" s="27"/>
      <c r="AT139" s="56"/>
      <c r="AU139" s="27"/>
      <c r="AV139" s="56"/>
      <c r="AW139" s="27"/>
      <c r="AX139" s="56"/>
      <c r="AY139" s="27"/>
      <c r="AZ139" s="56"/>
      <c r="BA139" s="27"/>
      <c r="BB139" s="48"/>
      <c r="BC139" s="48"/>
      <c r="BD139" s="48"/>
      <c r="BE139" s="48"/>
      <c r="BF139" s="48"/>
      <c r="BG139" s="48"/>
      <c r="BH139" s="48"/>
      <c r="BI139" s="48"/>
      <c r="BJ139" s="48"/>
      <c r="BK139" s="48"/>
      <c r="BL139" s="48"/>
      <c r="BM139" s="48"/>
      <c r="BN139" s="48"/>
      <c r="BO139" s="48"/>
      <c r="BP139" s="48"/>
      <c r="BQ139" s="48"/>
      <c r="BR139" s="48"/>
      <c r="BS139" s="48"/>
      <c r="BT139" s="48"/>
      <c r="BU139" s="48"/>
    </row>
    <row r="140" ht="15.75" customHeight="1">
      <c r="A140" s="48"/>
      <c r="B140" s="48"/>
      <c r="C140" s="48"/>
      <c r="D140" s="48"/>
      <c r="E140" s="27"/>
      <c r="F140" s="48"/>
      <c r="G140" s="48"/>
      <c r="H140" s="56"/>
      <c r="I140" s="56"/>
      <c r="J140" s="56"/>
      <c r="K140" s="56"/>
      <c r="L140" s="56"/>
      <c r="M140" s="56"/>
      <c r="N140" s="56"/>
      <c r="O140" s="56"/>
      <c r="P140" s="56"/>
      <c r="Q140" s="56"/>
      <c r="R140" s="56"/>
      <c r="S140" s="56"/>
      <c r="T140" s="56"/>
      <c r="U140" s="56"/>
      <c r="V140" s="56"/>
      <c r="W140" s="27"/>
      <c r="X140" s="56"/>
      <c r="Y140" s="27"/>
      <c r="Z140" s="56"/>
      <c r="AA140" s="27"/>
      <c r="AB140" s="56"/>
      <c r="AC140" s="27"/>
      <c r="AD140" s="56"/>
      <c r="AE140" s="27"/>
      <c r="AF140" s="56"/>
      <c r="AG140" s="27"/>
      <c r="AH140" s="286"/>
      <c r="AI140" s="27"/>
      <c r="AJ140" s="56"/>
      <c r="AK140" s="27"/>
      <c r="AL140" s="56"/>
      <c r="AM140" s="27"/>
      <c r="AN140" s="56"/>
      <c r="AO140" s="27"/>
      <c r="AP140" s="56"/>
      <c r="AQ140" s="27"/>
      <c r="AR140" s="56"/>
      <c r="AS140" s="27"/>
      <c r="AT140" s="56"/>
      <c r="AU140" s="27"/>
      <c r="AV140" s="56"/>
      <c r="AW140" s="27"/>
      <c r="AX140" s="56"/>
      <c r="AY140" s="27"/>
      <c r="AZ140" s="56"/>
      <c r="BA140" s="27"/>
      <c r="BB140" s="48"/>
      <c r="BC140" s="48"/>
      <c r="BD140" s="48"/>
      <c r="BE140" s="48"/>
      <c r="BF140" s="48"/>
      <c r="BG140" s="48"/>
      <c r="BH140" s="48"/>
      <c r="BI140" s="48"/>
      <c r="BJ140" s="48"/>
      <c r="BK140" s="48"/>
      <c r="BL140" s="48"/>
      <c r="BM140" s="48"/>
      <c r="BN140" s="48"/>
      <c r="BO140" s="48"/>
      <c r="BP140" s="48"/>
      <c r="BQ140" s="48"/>
      <c r="BR140" s="48"/>
      <c r="BS140" s="48"/>
      <c r="BT140" s="48"/>
      <c r="BU140" s="48"/>
    </row>
    <row r="141" ht="15.75" customHeight="1">
      <c r="A141" s="48"/>
      <c r="B141" s="48"/>
      <c r="C141" s="48"/>
      <c r="D141" s="48"/>
      <c r="E141" s="27"/>
      <c r="F141" s="48"/>
      <c r="G141" s="48"/>
      <c r="H141" s="56"/>
      <c r="I141" s="56"/>
      <c r="J141" s="56"/>
      <c r="K141" s="56"/>
      <c r="L141" s="56"/>
      <c r="M141" s="56"/>
      <c r="N141" s="56"/>
      <c r="O141" s="56"/>
      <c r="P141" s="56"/>
      <c r="Q141" s="56"/>
      <c r="R141" s="56"/>
      <c r="S141" s="56"/>
      <c r="T141" s="56"/>
      <c r="U141" s="56"/>
      <c r="V141" s="56"/>
      <c r="W141" s="27"/>
      <c r="X141" s="56"/>
      <c r="Y141" s="27"/>
      <c r="Z141" s="56"/>
      <c r="AA141" s="27"/>
      <c r="AB141" s="56"/>
      <c r="AC141" s="27"/>
      <c r="AD141" s="56"/>
      <c r="AE141" s="27"/>
      <c r="AF141" s="56"/>
      <c r="AG141" s="27"/>
      <c r="AH141" s="286"/>
      <c r="AI141" s="27"/>
      <c r="AJ141" s="56"/>
      <c r="AK141" s="27"/>
      <c r="AL141" s="56"/>
      <c r="AM141" s="27"/>
      <c r="AN141" s="56"/>
      <c r="AO141" s="27"/>
      <c r="AP141" s="56"/>
      <c r="AQ141" s="27"/>
      <c r="AR141" s="56"/>
      <c r="AS141" s="27"/>
      <c r="AT141" s="56"/>
      <c r="AU141" s="27"/>
      <c r="AV141" s="56"/>
      <c r="AW141" s="27"/>
      <c r="AX141" s="56"/>
      <c r="AY141" s="27"/>
      <c r="AZ141" s="56"/>
      <c r="BA141" s="27"/>
      <c r="BB141" s="48"/>
      <c r="BC141" s="48"/>
      <c r="BD141" s="48"/>
      <c r="BE141" s="48"/>
      <c r="BF141" s="48"/>
      <c r="BG141" s="48"/>
      <c r="BH141" s="48"/>
      <c r="BI141" s="48"/>
      <c r="BJ141" s="48"/>
      <c r="BK141" s="48"/>
      <c r="BL141" s="48"/>
      <c r="BM141" s="48"/>
      <c r="BN141" s="48"/>
      <c r="BO141" s="48"/>
      <c r="BP141" s="48"/>
      <c r="BQ141" s="48"/>
      <c r="BR141" s="48"/>
      <c r="BS141" s="48"/>
      <c r="BT141" s="48"/>
      <c r="BU141" s="48"/>
    </row>
    <row r="142" ht="15.75" customHeight="1">
      <c r="A142" s="48"/>
      <c r="B142" s="48"/>
      <c r="C142" s="48"/>
      <c r="D142" s="48"/>
      <c r="E142" s="27"/>
      <c r="F142" s="48"/>
      <c r="G142" s="48"/>
      <c r="H142" s="56"/>
      <c r="I142" s="56"/>
      <c r="J142" s="56"/>
      <c r="K142" s="56"/>
      <c r="L142" s="56"/>
      <c r="M142" s="56"/>
      <c r="N142" s="56"/>
      <c r="O142" s="56"/>
      <c r="P142" s="56"/>
      <c r="Q142" s="56"/>
      <c r="R142" s="56"/>
      <c r="S142" s="56"/>
      <c r="T142" s="56"/>
      <c r="U142" s="56"/>
      <c r="V142" s="56"/>
      <c r="W142" s="27"/>
      <c r="X142" s="56"/>
      <c r="Y142" s="27"/>
      <c r="Z142" s="56"/>
      <c r="AA142" s="27"/>
      <c r="AB142" s="56"/>
      <c r="AC142" s="27"/>
      <c r="AD142" s="56"/>
      <c r="AE142" s="27"/>
      <c r="AF142" s="56"/>
      <c r="AG142" s="27"/>
      <c r="AH142" s="286"/>
      <c r="AI142" s="27"/>
      <c r="AJ142" s="56"/>
      <c r="AK142" s="27"/>
      <c r="AL142" s="56"/>
      <c r="AM142" s="27"/>
      <c r="AN142" s="56"/>
      <c r="AO142" s="27"/>
      <c r="AP142" s="56"/>
      <c r="AQ142" s="27"/>
      <c r="AR142" s="56"/>
      <c r="AS142" s="27"/>
      <c r="AT142" s="56"/>
      <c r="AU142" s="27"/>
      <c r="AV142" s="56"/>
      <c r="AW142" s="27"/>
      <c r="AX142" s="56"/>
      <c r="AY142" s="27"/>
      <c r="AZ142" s="56"/>
      <c r="BA142" s="27"/>
      <c r="BB142" s="48"/>
      <c r="BC142" s="48"/>
      <c r="BD142" s="48"/>
      <c r="BE142" s="48"/>
      <c r="BF142" s="48"/>
      <c r="BG142" s="48"/>
      <c r="BH142" s="48"/>
      <c r="BI142" s="48"/>
      <c r="BJ142" s="48"/>
      <c r="BK142" s="48"/>
      <c r="BL142" s="48"/>
      <c r="BM142" s="48"/>
      <c r="BN142" s="48"/>
      <c r="BO142" s="48"/>
      <c r="BP142" s="48"/>
      <c r="BQ142" s="48"/>
      <c r="BR142" s="48"/>
      <c r="BS142" s="48"/>
      <c r="BT142" s="48"/>
      <c r="BU142" s="48"/>
    </row>
    <row r="143" ht="15.75" customHeight="1">
      <c r="A143" s="48"/>
      <c r="B143" s="48"/>
      <c r="C143" s="48"/>
      <c r="D143" s="48"/>
      <c r="E143" s="27"/>
      <c r="F143" s="48"/>
      <c r="G143" s="48"/>
      <c r="H143" s="56"/>
      <c r="I143" s="56"/>
      <c r="J143" s="56"/>
      <c r="K143" s="56"/>
      <c r="L143" s="56"/>
      <c r="M143" s="56"/>
      <c r="N143" s="56"/>
      <c r="O143" s="56"/>
      <c r="P143" s="56"/>
      <c r="Q143" s="56"/>
      <c r="R143" s="56"/>
      <c r="S143" s="56"/>
      <c r="T143" s="56"/>
      <c r="U143" s="56"/>
      <c r="V143" s="56"/>
      <c r="W143" s="27"/>
      <c r="X143" s="56"/>
      <c r="Y143" s="27"/>
      <c r="Z143" s="56"/>
      <c r="AA143" s="27"/>
      <c r="AB143" s="56"/>
      <c r="AC143" s="27"/>
      <c r="AD143" s="56"/>
      <c r="AE143" s="27"/>
      <c r="AF143" s="56"/>
      <c r="AG143" s="27"/>
      <c r="AH143" s="286"/>
      <c r="AI143" s="27"/>
      <c r="AJ143" s="56"/>
      <c r="AK143" s="27"/>
      <c r="AL143" s="56"/>
      <c r="AM143" s="27"/>
      <c r="AN143" s="56"/>
      <c r="AO143" s="27"/>
      <c r="AP143" s="56"/>
      <c r="AQ143" s="27"/>
      <c r="AR143" s="56"/>
      <c r="AS143" s="27"/>
      <c r="AT143" s="56"/>
      <c r="AU143" s="27"/>
      <c r="AV143" s="56"/>
      <c r="AW143" s="27"/>
      <c r="AX143" s="56"/>
      <c r="AY143" s="27"/>
      <c r="AZ143" s="56"/>
      <c r="BA143" s="27"/>
      <c r="BB143" s="48"/>
      <c r="BC143" s="48"/>
      <c r="BD143" s="48"/>
      <c r="BE143" s="48"/>
      <c r="BF143" s="48"/>
      <c r="BG143" s="48"/>
      <c r="BH143" s="48"/>
      <c r="BI143" s="48"/>
      <c r="BJ143" s="48"/>
      <c r="BK143" s="48"/>
      <c r="BL143" s="48"/>
      <c r="BM143" s="48"/>
      <c r="BN143" s="48"/>
      <c r="BO143" s="48"/>
      <c r="BP143" s="48"/>
      <c r="BQ143" s="48"/>
      <c r="BR143" s="48"/>
      <c r="BS143" s="48"/>
      <c r="BT143" s="48"/>
      <c r="BU143" s="48"/>
    </row>
    <row r="144" ht="15.75" customHeight="1">
      <c r="A144" s="48"/>
      <c r="B144" s="48"/>
      <c r="C144" s="48"/>
      <c r="D144" s="48"/>
      <c r="E144" s="27"/>
      <c r="F144" s="48"/>
      <c r="G144" s="48"/>
      <c r="H144" s="56"/>
      <c r="I144" s="56"/>
      <c r="J144" s="56"/>
      <c r="K144" s="56"/>
      <c r="L144" s="56"/>
      <c r="M144" s="56"/>
      <c r="N144" s="56"/>
      <c r="O144" s="56"/>
      <c r="P144" s="56"/>
      <c r="Q144" s="56"/>
      <c r="R144" s="56"/>
      <c r="S144" s="56"/>
      <c r="T144" s="56"/>
      <c r="U144" s="56"/>
      <c r="V144" s="56"/>
      <c r="W144" s="27"/>
      <c r="X144" s="56"/>
      <c r="Y144" s="27"/>
      <c r="Z144" s="56"/>
      <c r="AA144" s="27"/>
      <c r="AB144" s="56"/>
      <c r="AC144" s="27"/>
      <c r="AD144" s="56"/>
      <c r="AE144" s="27"/>
      <c r="AF144" s="56"/>
      <c r="AG144" s="27"/>
      <c r="AH144" s="286"/>
      <c r="AI144" s="27"/>
      <c r="AJ144" s="56"/>
      <c r="AK144" s="27"/>
      <c r="AL144" s="56"/>
      <c r="AM144" s="27"/>
      <c r="AN144" s="56"/>
      <c r="AO144" s="27"/>
      <c r="AP144" s="56"/>
      <c r="AQ144" s="27"/>
      <c r="AR144" s="56"/>
      <c r="AS144" s="27"/>
      <c r="AT144" s="56"/>
      <c r="AU144" s="27"/>
      <c r="AV144" s="56"/>
      <c r="AW144" s="27"/>
      <c r="AX144" s="56"/>
      <c r="AY144" s="27"/>
      <c r="AZ144" s="56"/>
      <c r="BA144" s="27"/>
      <c r="BB144" s="48"/>
      <c r="BC144" s="48"/>
      <c r="BD144" s="48"/>
      <c r="BE144" s="48"/>
      <c r="BF144" s="48"/>
      <c r="BG144" s="48"/>
      <c r="BH144" s="48"/>
      <c r="BI144" s="48"/>
      <c r="BJ144" s="48"/>
      <c r="BK144" s="48"/>
      <c r="BL144" s="48"/>
      <c r="BM144" s="48"/>
      <c r="BN144" s="48"/>
      <c r="BO144" s="48"/>
      <c r="BP144" s="48"/>
      <c r="BQ144" s="48"/>
      <c r="BR144" s="48"/>
      <c r="BS144" s="48"/>
      <c r="BT144" s="48"/>
      <c r="BU144" s="48"/>
    </row>
    <row r="145" ht="15.75" customHeight="1">
      <c r="A145" s="48"/>
      <c r="B145" s="48"/>
      <c r="C145" s="48"/>
      <c r="D145" s="48"/>
      <c r="E145" s="27"/>
      <c r="F145" s="48"/>
      <c r="G145" s="48"/>
      <c r="H145" s="56"/>
      <c r="I145" s="56"/>
      <c r="J145" s="56"/>
      <c r="K145" s="56"/>
      <c r="L145" s="56"/>
      <c r="M145" s="56"/>
      <c r="N145" s="56"/>
      <c r="O145" s="56"/>
      <c r="P145" s="56"/>
      <c r="Q145" s="56"/>
      <c r="R145" s="56"/>
      <c r="S145" s="56"/>
      <c r="T145" s="56"/>
      <c r="U145" s="56"/>
      <c r="V145" s="56"/>
      <c r="W145" s="27"/>
      <c r="X145" s="56"/>
      <c r="Y145" s="27"/>
      <c r="Z145" s="56"/>
      <c r="AA145" s="27"/>
      <c r="AB145" s="56"/>
      <c r="AC145" s="27"/>
      <c r="AD145" s="56"/>
      <c r="AE145" s="27"/>
      <c r="AF145" s="56"/>
      <c r="AG145" s="27"/>
      <c r="AH145" s="286"/>
      <c r="AI145" s="27"/>
      <c r="AJ145" s="56"/>
      <c r="AK145" s="27"/>
      <c r="AL145" s="56"/>
      <c r="AM145" s="27"/>
      <c r="AN145" s="56"/>
      <c r="AO145" s="27"/>
      <c r="AP145" s="56"/>
      <c r="AQ145" s="27"/>
      <c r="AR145" s="56"/>
      <c r="AS145" s="27"/>
      <c r="AT145" s="56"/>
      <c r="AU145" s="27"/>
      <c r="AV145" s="56"/>
      <c r="AW145" s="27"/>
      <c r="AX145" s="56"/>
      <c r="AY145" s="27"/>
      <c r="AZ145" s="56"/>
      <c r="BA145" s="27"/>
      <c r="BB145" s="48"/>
      <c r="BC145" s="48"/>
      <c r="BD145" s="48"/>
      <c r="BE145" s="48"/>
      <c r="BF145" s="48"/>
      <c r="BG145" s="48"/>
      <c r="BH145" s="48"/>
      <c r="BI145" s="48"/>
      <c r="BJ145" s="48"/>
      <c r="BK145" s="48"/>
      <c r="BL145" s="48"/>
      <c r="BM145" s="48"/>
      <c r="BN145" s="48"/>
      <c r="BO145" s="48"/>
      <c r="BP145" s="48"/>
      <c r="BQ145" s="48"/>
      <c r="BR145" s="48"/>
      <c r="BS145" s="48"/>
      <c r="BT145" s="48"/>
      <c r="BU145" s="48"/>
    </row>
    <row r="146" ht="15.75" customHeight="1">
      <c r="A146" s="48"/>
      <c r="B146" s="48"/>
      <c r="C146" s="48"/>
      <c r="D146" s="48"/>
      <c r="E146" s="27"/>
      <c r="F146" s="48"/>
      <c r="G146" s="48"/>
      <c r="H146" s="56"/>
      <c r="I146" s="56"/>
      <c r="J146" s="56"/>
      <c r="K146" s="56"/>
      <c r="L146" s="56"/>
      <c r="M146" s="56"/>
      <c r="N146" s="56"/>
      <c r="O146" s="56"/>
      <c r="P146" s="56"/>
      <c r="Q146" s="56"/>
      <c r="R146" s="56"/>
      <c r="S146" s="56"/>
      <c r="T146" s="56"/>
      <c r="U146" s="56"/>
      <c r="V146" s="56"/>
      <c r="W146" s="27"/>
      <c r="X146" s="56"/>
      <c r="Y146" s="27"/>
      <c r="Z146" s="56"/>
      <c r="AA146" s="27"/>
      <c r="AB146" s="56"/>
      <c r="AC146" s="27"/>
      <c r="AD146" s="56"/>
      <c r="AE146" s="27"/>
      <c r="AF146" s="56"/>
      <c r="AG146" s="27"/>
      <c r="AH146" s="286"/>
      <c r="AI146" s="27"/>
      <c r="AJ146" s="56"/>
      <c r="AK146" s="27"/>
      <c r="AL146" s="56"/>
      <c r="AM146" s="27"/>
      <c r="AN146" s="56"/>
      <c r="AO146" s="27"/>
      <c r="AP146" s="56"/>
      <c r="AQ146" s="27"/>
      <c r="AR146" s="56"/>
      <c r="AS146" s="27"/>
      <c r="AT146" s="56"/>
      <c r="AU146" s="27"/>
      <c r="AV146" s="56"/>
      <c r="AW146" s="27"/>
      <c r="AX146" s="56"/>
      <c r="AY146" s="27"/>
      <c r="AZ146" s="56"/>
      <c r="BA146" s="27"/>
      <c r="BB146" s="48"/>
      <c r="BC146" s="48"/>
      <c r="BD146" s="48"/>
      <c r="BE146" s="48"/>
      <c r="BF146" s="48"/>
      <c r="BG146" s="48"/>
      <c r="BH146" s="48"/>
      <c r="BI146" s="48"/>
      <c r="BJ146" s="48"/>
      <c r="BK146" s="48"/>
      <c r="BL146" s="48"/>
      <c r="BM146" s="48"/>
      <c r="BN146" s="48"/>
      <c r="BO146" s="48"/>
      <c r="BP146" s="48"/>
      <c r="BQ146" s="48"/>
      <c r="BR146" s="48"/>
      <c r="BS146" s="48"/>
      <c r="BT146" s="48"/>
      <c r="BU146" s="48"/>
    </row>
    <row r="147" ht="15.75" customHeight="1">
      <c r="A147" s="48"/>
      <c r="B147" s="48"/>
      <c r="C147" s="48"/>
      <c r="D147" s="48"/>
      <c r="E147" s="27"/>
      <c r="F147" s="48"/>
      <c r="G147" s="48"/>
      <c r="H147" s="56"/>
      <c r="I147" s="56"/>
      <c r="J147" s="56"/>
      <c r="K147" s="56"/>
      <c r="L147" s="56"/>
      <c r="M147" s="56"/>
      <c r="N147" s="56"/>
      <c r="O147" s="56"/>
      <c r="P147" s="56"/>
      <c r="Q147" s="56"/>
      <c r="R147" s="56"/>
      <c r="S147" s="56"/>
      <c r="T147" s="56"/>
      <c r="U147" s="56"/>
      <c r="V147" s="56"/>
      <c r="W147" s="27"/>
      <c r="X147" s="56"/>
      <c r="Y147" s="27"/>
      <c r="Z147" s="56"/>
      <c r="AA147" s="27"/>
      <c r="AB147" s="56"/>
      <c r="AC147" s="27"/>
      <c r="AD147" s="56"/>
      <c r="AE147" s="27"/>
      <c r="AF147" s="56"/>
      <c r="AG147" s="27"/>
      <c r="AH147" s="286"/>
      <c r="AI147" s="27"/>
      <c r="AJ147" s="56"/>
      <c r="AK147" s="27"/>
      <c r="AL147" s="56"/>
      <c r="AM147" s="27"/>
      <c r="AN147" s="56"/>
      <c r="AO147" s="27"/>
      <c r="AP147" s="56"/>
      <c r="AQ147" s="27"/>
      <c r="AR147" s="56"/>
      <c r="AS147" s="27"/>
      <c r="AT147" s="56"/>
      <c r="AU147" s="27"/>
      <c r="AV147" s="56"/>
      <c r="AW147" s="27"/>
      <c r="AX147" s="56"/>
      <c r="AY147" s="27"/>
      <c r="AZ147" s="56"/>
      <c r="BA147" s="27"/>
      <c r="BB147" s="48"/>
      <c r="BC147" s="48"/>
      <c r="BD147" s="48"/>
      <c r="BE147" s="48"/>
      <c r="BF147" s="48"/>
      <c r="BG147" s="48"/>
      <c r="BH147" s="48"/>
      <c r="BI147" s="48"/>
      <c r="BJ147" s="48"/>
      <c r="BK147" s="48"/>
      <c r="BL147" s="48"/>
      <c r="BM147" s="48"/>
      <c r="BN147" s="48"/>
      <c r="BO147" s="48"/>
      <c r="BP147" s="48"/>
      <c r="BQ147" s="48"/>
      <c r="BR147" s="48"/>
      <c r="BS147" s="48"/>
      <c r="BT147" s="48"/>
      <c r="BU147" s="48"/>
    </row>
    <row r="148" ht="15.75" customHeight="1">
      <c r="A148" s="48"/>
      <c r="B148" s="48"/>
      <c r="C148" s="48"/>
      <c r="D148" s="48"/>
      <c r="E148" s="27"/>
      <c r="F148" s="48"/>
      <c r="G148" s="48"/>
      <c r="H148" s="56"/>
      <c r="I148" s="56"/>
      <c r="J148" s="56"/>
      <c r="K148" s="56"/>
      <c r="L148" s="56"/>
      <c r="M148" s="56"/>
      <c r="N148" s="56"/>
      <c r="O148" s="56"/>
      <c r="P148" s="56"/>
      <c r="Q148" s="56"/>
      <c r="R148" s="56"/>
      <c r="S148" s="56"/>
      <c r="T148" s="56"/>
      <c r="U148" s="56"/>
      <c r="V148" s="56"/>
      <c r="W148" s="27"/>
      <c r="X148" s="56"/>
      <c r="Y148" s="27"/>
      <c r="Z148" s="56"/>
      <c r="AA148" s="27"/>
      <c r="AB148" s="56"/>
      <c r="AC148" s="27"/>
      <c r="AD148" s="56"/>
      <c r="AE148" s="27"/>
      <c r="AF148" s="56"/>
      <c r="AG148" s="27"/>
      <c r="AH148" s="286"/>
      <c r="AI148" s="27"/>
      <c r="AJ148" s="56"/>
      <c r="AK148" s="27"/>
      <c r="AL148" s="56"/>
      <c r="AM148" s="27"/>
      <c r="AN148" s="56"/>
      <c r="AO148" s="27"/>
      <c r="AP148" s="56"/>
      <c r="AQ148" s="27"/>
      <c r="AR148" s="56"/>
      <c r="AS148" s="27"/>
      <c r="AT148" s="56"/>
      <c r="AU148" s="27"/>
      <c r="AV148" s="56"/>
      <c r="AW148" s="27"/>
      <c r="AX148" s="56"/>
      <c r="AY148" s="27"/>
      <c r="AZ148" s="56"/>
      <c r="BA148" s="27"/>
      <c r="BB148" s="48"/>
      <c r="BC148" s="48"/>
      <c r="BD148" s="48"/>
      <c r="BE148" s="48"/>
      <c r="BF148" s="48"/>
      <c r="BG148" s="48"/>
      <c r="BH148" s="48"/>
      <c r="BI148" s="48"/>
      <c r="BJ148" s="48"/>
      <c r="BK148" s="48"/>
      <c r="BL148" s="48"/>
      <c r="BM148" s="48"/>
      <c r="BN148" s="48"/>
      <c r="BO148" s="48"/>
      <c r="BP148" s="48"/>
      <c r="BQ148" s="48"/>
      <c r="BR148" s="48"/>
      <c r="BS148" s="48"/>
      <c r="BT148" s="48"/>
      <c r="BU148" s="48"/>
    </row>
    <row r="149" ht="15.75" customHeight="1">
      <c r="A149" s="48"/>
      <c r="B149" s="48"/>
      <c r="C149" s="48"/>
      <c r="D149" s="48"/>
      <c r="E149" s="27"/>
      <c r="F149" s="48"/>
      <c r="G149" s="48"/>
      <c r="H149" s="56"/>
      <c r="I149" s="56"/>
      <c r="J149" s="56"/>
      <c r="K149" s="56"/>
      <c r="L149" s="56"/>
      <c r="M149" s="56"/>
      <c r="N149" s="56"/>
      <c r="O149" s="56"/>
      <c r="P149" s="56"/>
      <c r="Q149" s="56"/>
      <c r="R149" s="56"/>
      <c r="S149" s="56"/>
      <c r="T149" s="56"/>
      <c r="U149" s="56"/>
      <c r="V149" s="56"/>
      <c r="W149" s="27"/>
      <c r="X149" s="56"/>
      <c r="Y149" s="27"/>
      <c r="Z149" s="56"/>
      <c r="AA149" s="27"/>
      <c r="AB149" s="56"/>
      <c r="AC149" s="27"/>
      <c r="AD149" s="56"/>
      <c r="AE149" s="27"/>
      <c r="AF149" s="56"/>
      <c r="AG149" s="27"/>
      <c r="AH149" s="286"/>
      <c r="AI149" s="27"/>
      <c r="AJ149" s="56"/>
      <c r="AK149" s="27"/>
      <c r="AL149" s="56"/>
      <c r="AM149" s="27"/>
      <c r="AN149" s="56"/>
      <c r="AO149" s="27"/>
      <c r="AP149" s="56"/>
      <c r="AQ149" s="27"/>
      <c r="AR149" s="56"/>
      <c r="AS149" s="27"/>
      <c r="AT149" s="56"/>
      <c r="AU149" s="27"/>
      <c r="AV149" s="56"/>
      <c r="AW149" s="27"/>
      <c r="AX149" s="56"/>
      <c r="AY149" s="27"/>
      <c r="AZ149" s="56"/>
      <c r="BA149" s="27"/>
      <c r="BB149" s="48"/>
      <c r="BC149" s="48"/>
      <c r="BD149" s="48"/>
      <c r="BE149" s="48"/>
      <c r="BF149" s="48"/>
      <c r="BG149" s="48"/>
      <c r="BH149" s="48"/>
      <c r="BI149" s="48"/>
      <c r="BJ149" s="48"/>
      <c r="BK149" s="48"/>
      <c r="BL149" s="48"/>
      <c r="BM149" s="48"/>
      <c r="BN149" s="48"/>
      <c r="BO149" s="48"/>
      <c r="BP149" s="48"/>
      <c r="BQ149" s="48"/>
      <c r="BR149" s="48"/>
      <c r="BS149" s="48"/>
      <c r="BT149" s="48"/>
      <c r="BU149" s="48"/>
    </row>
    <row r="150" ht="15.75" customHeight="1">
      <c r="A150" s="48"/>
      <c r="B150" s="48"/>
      <c r="C150" s="48"/>
      <c r="D150" s="48"/>
      <c r="E150" s="27"/>
      <c r="F150" s="48"/>
      <c r="G150" s="48"/>
      <c r="H150" s="56"/>
      <c r="I150" s="56"/>
      <c r="J150" s="56"/>
      <c r="K150" s="56"/>
      <c r="L150" s="56"/>
      <c r="M150" s="56"/>
      <c r="N150" s="56"/>
      <c r="O150" s="56"/>
      <c r="P150" s="56"/>
      <c r="Q150" s="56"/>
      <c r="R150" s="56"/>
      <c r="S150" s="56"/>
      <c r="T150" s="56"/>
      <c r="U150" s="56"/>
      <c r="V150" s="56"/>
      <c r="W150" s="27"/>
      <c r="X150" s="56"/>
      <c r="Y150" s="27"/>
      <c r="Z150" s="56"/>
      <c r="AA150" s="27"/>
      <c r="AB150" s="56"/>
      <c r="AC150" s="27"/>
      <c r="AD150" s="56"/>
      <c r="AE150" s="27"/>
      <c r="AF150" s="56"/>
      <c r="AG150" s="27"/>
      <c r="AH150" s="286"/>
      <c r="AI150" s="27"/>
      <c r="AJ150" s="56"/>
      <c r="AK150" s="27"/>
      <c r="AL150" s="56"/>
      <c r="AM150" s="27"/>
      <c r="AN150" s="56"/>
      <c r="AO150" s="27"/>
      <c r="AP150" s="56"/>
      <c r="AQ150" s="27"/>
      <c r="AR150" s="56"/>
      <c r="AS150" s="27"/>
      <c r="AT150" s="56"/>
      <c r="AU150" s="27"/>
      <c r="AV150" s="56"/>
      <c r="AW150" s="27"/>
      <c r="AX150" s="56"/>
      <c r="AY150" s="27"/>
      <c r="AZ150" s="56"/>
      <c r="BA150" s="27"/>
      <c r="BB150" s="48"/>
      <c r="BC150" s="48"/>
      <c r="BD150" s="48"/>
      <c r="BE150" s="48"/>
      <c r="BF150" s="48"/>
      <c r="BG150" s="48"/>
      <c r="BH150" s="48"/>
      <c r="BI150" s="48"/>
      <c r="BJ150" s="48"/>
      <c r="BK150" s="48"/>
      <c r="BL150" s="48"/>
      <c r="BM150" s="48"/>
      <c r="BN150" s="48"/>
      <c r="BO150" s="48"/>
      <c r="BP150" s="48"/>
      <c r="BQ150" s="48"/>
      <c r="BR150" s="48"/>
      <c r="BS150" s="48"/>
      <c r="BT150" s="48"/>
      <c r="BU150" s="48"/>
    </row>
    <row r="151" ht="15.75" customHeight="1">
      <c r="A151" s="48"/>
      <c r="B151" s="48"/>
      <c r="C151" s="48"/>
      <c r="D151" s="48"/>
      <c r="E151" s="27"/>
      <c r="F151" s="48"/>
      <c r="G151" s="48"/>
      <c r="H151" s="56"/>
      <c r="I151" s="56"/>
      <c r="J151" s="56"/>
      <c r="K151" s="56"/>
      <c r="L151" s="56"/>
      <c r="M151" s="56"/>
      <c r="N151" s="56"/>
      <c r="O151" s="56"/>
      <c r="P151" s="56"/>
      <c r="Q151" s="56"/>
      <c r="R151" s="56"/>
      <c r="S151" s="56"/>
      <c r="T151" s="56"/>
      <c r="U151" s="56"/>
      <c r="V151" s="56"/>
      <c r="W151" s="27"/>
      <c r="X151" s="56"/>
      <c r="Y151" s="27"/>
      <c r="Z151" s="56"/>
      <c r="AA151" s="27"/>
      <c r="AB151" s="56"/>
      <c r="AC151" s="27"/>
      <c r="AD151" s="56"/>
      <c r="AE151" s="27"/>
      <c r="AF151" s="56"/>
      <c r="AG151" s="27"/>
      <c r="AH151" s="286"/>
      <c r="AI151" s="27"/>
      <c r="AJ151" s="56"/>
      <c r="AK151" s="27"/>
      <c r="AL151" s="56"/>
      <c r="AM151" s="27"/>
      <c r="AN151" s="56"/>
      <c r="AO151" s="27"/>
      <c r="AP151" s="56"/>
      <c r="AQ151" s="27"/>
      <c r="AR151" s="56"/>
      <c r="AS151" s="27"/>
      <c r="AT151" s="56"/>
      <c r="AU151" s="27"/>
      <c r="AV151" s="56"/>
      <c r="AW151" s="27"/>
      <c r="AX151" s="56"/>
      <c r="AY151" s="27"/>
      <c r="AZ151" s="56"/>
      <c r="BA151" s="27"/>
      <c r="BB151" s="48"/>
      <c r="BC151" s="48"/>
      <c r="BD151" s="48"/>
      <c r="BE151" s="48"/>
      <c r="BF151" s="48"/>
      <c r="BG151" s="48"/>
      <c r="BH151" s="48"/>
      <c r="BI151" s="48"/>
      <c r="BJ151" s="48"/>
      <c r="BK151" s="48"/>
      <c r="BL151" s="48"/>
      <c r="BM151" s="48"/>
      <c r="BN151" s="48"/>
      <c r="BO151" s="48"/>
      <c r="BP151" s="48"/>
      <c r="BQ151" s="48"/>
      <c r="BR151" s="48"/>
      <c r="BS151" s="48"/>
      <c r="BT151" s="48"/>
      <c r="BU151" s="48"/>
    </row>
    <row r="152" ht="15.75" customHeight="1">
      <c r="A152" s="48"/>
      <c r="B152" s="48"/>
      <c r="C152" s="48"/>
      <c r="D152" s="48"/>
      <c r="E152" s="27"/>
      <c r="F152" s="48"/>
      <c r="G152" s="48"/>
      <c r="H152" s="56"/>
      <c r="I152" s="56"/>
      <c r="J152" s="56"/>
      <c r="K152" s="56"/>
      <c r="L152" s="56"/>
      <c r="M152" s="56"/>
      <c r="N152" s="56"/>
      <c r="O152" s="56"/>
      <c r="P152" s="56"/>
      <c r="Q152" s="56"/>
      <c r="R152" s="56"/>
      <c r="S152" s="56"/>
      <c r="T152" s="56"/>
      <c r="U152" s="56"/>
      <c r="V152" s="56"/>
      <c r="W152" s="27"/>
      <c r="X152" s="56"/>
      <c r="Y152" s="27"/>
      <c r="Z152" s="56"/>
      <c r="AA152" s="27"/>
      <c r="AB152" s="56"/>
      <c r="AC152" s="27"/>
      <c r="AD152" s="56"/>
      <c r="AE152" s="27"/>
      <c r="AF152" s="56"/>
      <c r="AG152" s="27"/>
      <c r="AH152" s="286"/>
      <c r="AI152" s="27"/>
      <c r="AJ152" s="56"/>
      <c r="AK152" s="27"/>
      <c r="AL152" s="56"/>
      <c r="AM152" s="27"/>
      <c r="AN152" s="56"/>
      <c r="AO152" s="27"/>
      <c r="AP152" s="56"/>
      <c r="AQ152" s="27"/>
      <c r="AR152" s="56"/>
      <c r="AS152" s="27"/>
      <c r="AT152" s="56"/>
      <c r="AU152" s="27"/>
      <c r="AV152" s="56"/>
      <c r="AW152" s="27"/>
      <c r="AX152" s="56"/>
      <c r="AY152" s="27"/>
      <c r="AZ152" s="56"/>
      <c r="BA152" s="27"/>
      <c r="BB152" s="48"/>
      <c r="BC152" s="48"/>
      <c r="BD152" s="48"/>
      <c r="BE152" s="48"/>
      <c r="BF152" s="48"/>
      <c r="BG152" s="48"/>
      <c r="BH152" s="48"/>
      <c r="BI152" s="48"/>
      <c r="BJ152" s="48"/>
      <c r="BK152" s="48"/>
      <c r="BL152" s="48"/>
      <c r="BM152" s="48"/>
      <c r="BN152" s="48"/>
      <c r="BO152" s="48"/>
      <c r="BP152" s="48"/>
      <c r="BQ152" s="48"/>
      <c r="BR152" s="48"/>
      <c r="BS152" s="48"/>
      <c r="BT152" s="48"/>
      <c r="BU152" s="48"/>
    </row>
    <row r="153" ht="15.75" customHeight="1">
      <c r="A153" s="48"/>
      <c r="B153" s="48"/>
      <c r="C153" s="48"/>
      <c r="D153" s="48"/>
      <c r="E153" s="27"/>
      <c r="F153" s="48"/>
      <c r="G153" s="48"/>
      <c r="H153" s="56"/>
      <c r="I153" s="56"/>
      <c r="J153" s="56"/>
      <c r="K153" s="56"/>
      <c r="L153" s="56"/>
      <c r="M153" s="56"/>
      <c r="N153" s="56"/>
      <c r="O153" s="56"/>
      <c r="P153" s="56"/>
      <c r="Q153" s="56"/>
      <c r="R153" s="56"/>
      <c r="S153" s="56"/>
      <c r="T153" s="56"/>
      <c r="U153" s="56"/>
      <c r="V153" s="56"/>
      <c r="W153" s="27"/>
      <c r="X153" s="56"/>
      <c r="Y153" s="27"/>
      <c r="Z153" s="56"/>
      <c r="AA153" s="27"/>
      <c r="AB153" s="56"/>
      <c r="AC153" s="27"/>
      <c r="AD153" s="56"/>
      <c r="AE153" s="27"/>
      <c r="AF153" s="56"/>
      <c r="AG153" s="27"/>
      <c r="AH153" s="286"/>
      <c r="AI153" s="27"/>
      <c r="AJ153" s="56"/>
      <c r="AK153" s="27"/>
      <c r="AL153" s="56"/>
      <c r="AM153" s="27"/>
      <c r="AN153" s="56"/>
      <c r="AO153" s="27"/>
      <c r="AP153" s="56"/>
      <c r="AQ153" s="27"/>
      <c r="AR153" s="56"/>
      <c r="AS153" s="27"/>
      <c r="AT153" s="56"/>
      <c r="AU153" s="27"/>
      <c r="AV153" s="56"/>
      <c r="AW153" s="27"/>
      <c r="AX153" s="56"/>
      <c r="AY153" s="27"/>
      <c r="AZ153" s="56"/>
      <c r="BA153" s="27"/>
      <c r="BB153" s="48"/>
      <c r="BC153" s="48"/>
      <c r="BD153" s="48"/>
      <c r="BE153" s="48"/>
      <c r="BF153" s="48"/>
      <c r="BG153" s="48"/>
      <c r="BH153" s="48"/>
      <c r="BI153" s="48"/>
      <c r="BJ153" s="48"/>
      <c r="BK153" s="48"/>
      <c r="BL153" s="48"/>
      <c r="BM153" s="48"/>
      <c r="BN153" s="48"/>
      <c r="BO153" s="48"/>
      <c r="BP153" s="48"/>
      <c r="BQ153" s="48"/>
      <c r="BR153" s="48"/>
      <c r="BS153" s="48"/>
      <c r="BT153" s="48"/>
      <c r="BU153" s="48"/>
    </row>
    <row r="154" ht="15.75" customHeight="1">
      <c r="A154" s="48"/>
      <c r="B154" s="48"/>
      <c r="C154" s="48"/>
      <c r="D154" s="48"/>
      <c r="E154" s="27"/>
      <c r="F154" s="48"/>
      <c r="G154" s="48"/>
      <c r="H154" s="56"/>
      <c r="I154" s="56"/>
      <c r="J154" s="56"/>
      <c r="K154" s="56"/>
      <c r="L154" s="56"/>
      <c r="M154" s="56"/>
      <c r="N154" s="56"/>
      <c r="O154" s="56"/>
      <c r="P154" s="56"/>
      <c r="Q154" s="56"/>
      <c r="R154" s="56"/>
      <c r="S154" s="56"/>
      <c r="T154" s="56"/>
      <c r="U154" s="56"/>
      <c r="V154" s="56"/>
      <c r="W154" s="27"/>
      <c r="X154" s="56"/>
      <c r="Y154" s="27"/>
      <c r="Z154" s="56"/>
      <c r="AA154" s="27"/>
      <c r="AB154" s="56"/>
      <c r="AC154" s="27"/>
      <c r="AD154" s="56"/>
      <c r="AE154" s="27"/>
      <c r="AF154" s="56"/>
      <c r="AG154" s="27"/>
      <c r="AH154" s="286"/>
      <c r="AI154" s="27"/>
      <c r="AJ154" s="56"/>
      <c r="AK154" s="27"/>
      <c r="AL154" s="56"/>
      <c r="AM154" s="27"/>
      <c r="AN154" s="56"/>
      <c r="AO154" s="27"/>
      <c r="AP154" s="56"/>
      <c r="AQ154" s="27"/>
      <c r="AR154" s="56"/>
      <c r="AS154" s="27"/>
      <c r="AT154" s="56"/>
      <c r="AU154" s="27"/>
      <c r="AV154" s="56"/>
      <c r="AW154" s="27"/>
      <c r="AX154" s="56"/>
      <c r="AY154" s="27"/>
      <c r="AZ154" s="56"/>
      <c r="BA154" s="27"/>
      <c r="BB154" s="48"/>
      <c r="BC154" s="48"/>
      <c r="BD154" s="48"/>
      <c r="BE154" s="48"/>
      <c r="BF154" s="48"/>
      <c r="BG154" s="48"/>
      <c r="BH154" s="48"/>
      <c r="BI154" s="48"/>
      <c r="BJ154" s="48"/>
      <c r="BK154" s="48"/>
      <c r="BL154" s="48"/>
      <c r="BM154" s="48"/>
      <c r="BN154" s="48"/>
      <c r="BO154" s="48"/>
      <c r="BP154" s="48"/>
      <c r="BQ154" s="48"/>
      <c r="BR154" s="48"/>
      <c r="BS154" s="48"/>
      <c r="BT154" s="48"/>
      <c r="BU154" s="48"/>
    </row>
    <row r="155" ht="15.75" customHeight="1">
      <c r="A155" s="48"/>
      <c r="B155" s="48"/>
      <c r="C155" s="48"/>
      <c r="D155" s="48"/>
      <c r="E155" s="27"/>
      <c r="F155" s="48"/>
      <c r="G155" s="48"/>
      <c r="H155" s="56"/>
      <c r="I155" s="56"/>
      <c r="J155" s="56"/>
      <c r="K155" s="56"/>
      <c r="L155" s="56"/>
      <c r="M155" s="56"/>
      <c r="N155" s="56"/>
      <c r="O155" s="56"/>
      <c r="P155" s="56"/>
      <c r="Q155" s="56"/>
      <c r="R155" s="56"/>
      <c r="S155" s="56"/>
      <c r="T155" s="56"/>
      <c r="U155" s="56"/>
      <c r="V155" s="56"/>
      <c r="W155" s="27"/>
      <c r="X155" s="56"/>
      <c r="Y155" s="27"/>
      <c r="Z155" s="56"/>
      <c r="AA155" s="27"/>
      <c r="AB155" s="56"/>
      <c r="AC155" s="27"/>
      <c r="AD155" s="56"/>
      <c r="AE155" s="27"/>
      <c r="AF155" s="56"/>
      <c r="AG155" s="27"/>
      <c r="AH155" s="286"/>
      <c r="AI155" s="27"/>
      <c r="AJ155" s="56"/>
      <c r="AK155" s="27"/>
      <c r="AL155" s="56"/>
      <c r="AM155" s="27"/>
      <c r="AN155" s="56"/>
      <c r="AO155" s="27"/>
      <c r="AP155" s="56"/>
      <c r="AQ155" s="27"/>
      <c r="AR155" s="56"/>
      <c r="AS155" s="27"/>
      <c r="AT155" s="56"/>
      <c r="AU155" s="27"/>
      <c r="AV155" s="56"/>
      <c r="AW155" s="27"/>
      <c r="AX155" s="56"/>
      <c r="AY155" s="27"/>
      <c r="AZ155" s="56"/>
      <c r="BA155" s="27"/>
      <c r="BB155" s="48"/>
      <c r="BC155" s="48"/>
      <c r="BD155" s="48"/>
      <c r="BE155" s="48"/>
      <c r="BF155" s="48"/>
      <c r="BG155" s="48"/>
      <c r="BH155" s="48"/>
      <c r="BI155" s="48"/>
      <c r="BJ155" s="48"/>
      <c r="BK155" s="48"/>
      <c r="BL155" s="48"/>
      <c r="BM155" s="48"/>
      <c r="BN155" s="48"/>
      <c r="BO155" s="48"/>
      <c r="BP155" s="48"/>
      <c r="BQ155" s="48"/>
      <c r="BR155" s="48"/>
      <c r="BS155" s="48"/>
      <c r="BT155" s="48"/>
      <c r="BU155" s="48"/>
    </row>
    <row r="156" ht="15.75" customHeight="1">
      <c r="A156" s="48"/>
      <c r="B156" s="48"/>
      <c r="C156" s="48"/>
      <c r="D156" s="48"/>
      <c r="E156" s="27"/>
      <c r="F156" s="48"/>
      <c r="G156" s="48"/>
      <c r="H156" s="56"/>
      <c r="I156" s="56"/>
      <c r="J156" s="56"/>
      <c r="K156" s="56"/>
      <c r="L156" s="56"/>
      <c r="M156" s="56"/>
      <c r="N156" s="56"/>
      <c r="O156" s="56"/>
      <c r="P156" s="56"/>
      <c r="Q156" s="56"/>
      <c r="R156" s="56"/>
      <c r="S156" s="56"/>
      <c r="T156" s="56"/>
      <c r="U156" s="56"/>
      <c r="V156" s="56"/>
      <c r="W156" s="27"/>
      <c r="X156" s="56"/>
      <c r="Y156" s="27"/>
      <c r="Z156" s="56"/>
      <c r="AA156" s="27"/>
      <c r="AB156" s="56"/>
      <c r="AC156" s="27"/>
      <c r="AD156" s="56"/>
      <c r="AE156" s="27"/>
      <c r="AF156" s="56"/>
      <c r="AG156" s="27"/>
      <c r="AH156" s="286"/>
      <c r="AI156" s="27"/>
      <c r="AJ156" s="56"/>
      <c r="AK156" s="27"/>
      <c r="AL156" s="56"/>
      <c r="AM156" s="27"/>
      <c r="AN156" s="56"/>
      <c r="AO156" s="27"/>
      <c r="AP156" s="56"/>
      <c r="AQ156" s="27"/>
      <c r="AR156" s="56"/>
      <c r="AS156" s="27"/>
      <c r="AT156" s="56"/>
      <c r="AU156" s="27"/>
      <c r="AV156" s="56"/>
      <c r="AW156" s="27"/>
      <c r="AX156" s="56"/>
      <c r="AY156" s="27"/>
      <c r="AZ156" s="56"/>
      <c r="BA156" s="27"/>
      <c r="BB156" s="48"/>
      <c r="BC156" s="48"/>
      <c r="BD156" s="48"/>
      <c r="BE156" s="48"/>
      <c r="BF156" s="48"/>
      <c r="BG156" s="48"/>
      <c r="BH156" s="48"/>
      <c r="BI156" s="48"/>
      <c r="BJ156" s="48"/>
      <c r="BK156" s="48"/>
      <c r="BL156" s="48"/>
      <c r="BM156" s="48"/>
      <c r="BN156" s="48"/>
      <c r="BO156" s="48"/>
      <c r="BP156" s="48"/>
      <c r="BQ156" s="48"/>
      <c r="BR156" s="48"/>
      <c r="BS156" s="48"/>
      <c r="BT156" s="48"/>
      <c r="BU156" s="48"/>
    </row>
    <row r="157" ht="15.75" customHeight="1">
      <c r="A157" s="48"/>
      <c r="B157" s="48"/>
      <c r="C157" s="48"/>
      <c r="D157" s="48"/>
      <c r="E157" s="27"/>
      <c r="F157" s="48"/>
      <c r="G157" s="48"/>
      <c r="H157" s="56"/>
      <c r="I157" s="56"/>
      <c r="J157" s="56"/>
      <c r="K157" s="56"/>
      <c r="L157" s="56"/>
      <c r="M157" s="56"/>
      <c r="N157" s="56"/>
      <c r="O157" s="56"/>
      <c r="P157" s="56"/>
      <c r="Q157" s="56"/>
      <c r="R157" s="56"/>
      <c r="S157" s="56"/>
      <c r="T157" s="56"/>
      <c r="U157" s="56"/>
      <c r="V157" s="56"/>
      <c r="W157" s="27"/>
      <c r="X157" s="56"/>
      <c r="Y157" s="27"/>
      <c r="Z157" s="56"/>
      <c r="AA157" s="27"/>
      <c r="AB157" s="56"/>
      <c r="AC157" s="27"/>
      <c r="AD157" s="56"/>
      <c r="AE157" s="27"/>
      <c r="AF157" s="56"/>
      <c r="AG157" s="27"/>
      <c r="AH157" s="286"/>
      <c r="AI157" s="27"/>
      <c r="AJ157" s="56"/>
      <c r="AK157" s="27"/>
      <c r="AL157" s="56"/>
      <c r="AM157" s="27"/>
      <c r="AN157" s="56"/>
      <c r="AO157" s="27"/>
      <c r="AP157" s="56"/>
      <c r="AQ157" s="27"/>
      <c r="AR157" s="56"/>
      <c r="AS157" s="27"/>
      <c r="AT157" s="56"/>
      <c r="AU157" s="27"/>
      <c r="AV157" s="56"/>
      <c r="AW157" s="27"/>
      <c r="AX157" s="56"/>
      <c r="AY157" s="27"/>
      <c r="AZ157" s="56"/>
      <c r="BA157" s="27"/>
      <c r="BB157" s="48"/>
      <c r="BC157" s="48"/>
      <c r="BD157" s="48"/>
      <c r="BE157" s="48"/>
      <c r="BF157" s="48"/>
      <c r="BG157" s="48"/>
      <c r="BH157" s="48"/>
      <c r="BI157" s="48"/>
      <c r="BJ157" s="48"/>
      <c r="BK157" s="48"/>
      <c r="BL157" s="48"/>
      <c r="BM157" s="48"/>
      <c r="BN157" s="48"/>
      <c r="BO157" s="48"/>
      <c r="BP157" s="48"/>
      <c r="BQ157" s="48"/>
      <c r="BR157" s="48"/>
      <c r="BS157" s="48"/>
      <c r="BT157" s="48"/>
      <c r="BU157" s="48"/>
    </row>
    <row r="158" ht="15.75" customHeight="1">
      <c r="A158" s="48"/>
      <c r="B158" s="48"/>
      <c r="C158" s="48"/>
      <c r="D158" s="48"/>
      <c r="E158" s="27"/>
      <c r="F158" s="48"/>
      <c r="G158" s="48"/>
      <c r="H158" s="56"/>
      <c r="I158" s="56"/>
      <c r="J158" s="56"/>
      <c r="K158" s="56"/>
      <c r="L158" s="56"/>
      <c r="M158" s="56"/>
      <c r="N158" s="56"/>
      <c r="O158" s="56"/>
      <c r="P158" s="56"/>
      <c r="Q158" s="56"/>
      <c r="R158" s="56"/>
      <c r="S158" s="56"/>
      <c r="T158" s="56"/>
      <c r="U158" s="56"/>
      <c r="V158" s="56"/>
      <c r="W158" s="27"/>
      <c r="X158" s="56"/>
      <c r="Y158" s="27"/>
      <c r="Z158" s="56"/>
      <c r="AA158" s="27"/>
      <c r="AB158" s="56"/>
      <c r="AC158" s="27"/>
      <c r="AD158" s="56"/>
      <c r="AE158" s="27"/>
      <c r="AF158" s="56"/>
      <c r="AG158" s="27"/>
      <c r="AH158" s="286"/>
      <c r="AI158" s="27"/>
      <c r="AJ158" s="56"/>
      <c r="AK158" s="27"/>
      <c r="AL158" s="56"/>
      <c r="AM158" s="27"/>
      <c r="AN158" s="56"/>
      <c r="AO158" s="27"/>
      <c r="AP158" s="56"/>
      <c r="AQ158" s="27"/>
      <c r="AR158" s="56"/>
      <c r="AS158" s="27"/>
      <c r="AT158" s="56"/>
      <c r="AU158" s="27"/>
      <c r="AV158" s="56"/>
      <c r="AW158" s="27"/>
      <c r="AX158" s="56"/>
      <c r="AY158" s="27"/>
      <c r="AZ158" s="56"/>
      <c r="BA158" s="27"/>
      <c r="BB158" s="48"/>
      <c r="BC158" s="48"/>
      <c r="BD158" s="48"/>
      <c r="BE158" s="48"/>
      <c r="BF158" s="48"/>
      <c r="BG158" s="48"/>
      <c r="BH158" s="48"/>
      <c r="BI158" s="48"/>
      <c r="BJ158" s="48"/>
      <c r="BK158" s="48"/>
      <c r="BL158" s="48"/>
      <c r="BM158" s="48"/>
      <c r="BN158" s="48"/>
      <c r="BO158" s="48"/>
      <c r="BP158" s="48"/>
      <c r="BQ158" s="48"/>
      <c r="BR158" s="48"/>
      <c r="BS158" s="48"/>
      <c r="BT158" s="48"/>
      <c r="BU158" s="48"/>
    </row>
    <row r="159" ht="15.75" customHeight="1">
      <c r="A159" s="48"/>
      <c r="B159" s="48"/>
      <c r="C159" s="48"/>
      <c r="D159" s="48"/>
      <c r="E159" s="27"/>
      <c r="F159" s="48"/>
      <c r="G159" s="48"/>
      <c r="H159" s="56"/>
      <c r="I159" s="56"/>
      <c r="J159" s="56"/>
      <c r="K159" s="56"/>
      <c r="L159" s="56"/>
      <c r="M159" s="56"/>
      <c r="N159" s="56"/>
      <c r="O159" s="56"/>
      <c r="P159" s="56"/>
      <c r="Q159" s="56"/>
      <c r="R159" s="56"/>
      <c r="S159" s="56"/>
      <c r="T159" s="56"/>
      <c r="U159" s="56"/>
      <c r="V159" s="56"/>
      <c r="W159" s="27"/>
      <c r="X159" s="56"/>
      <c r="Y159" s="27"/>
      <c r="Z159" s="56"/>
      <c r="AA159" s="27"/>
      <c r="AB159" s="56"/>
      <c r="AC159" s="27"/>
      <c r="AD159" s="56"/>
      <c r="AE159" s="27"/>
      <c r="AF159" s="56"/>
      <c r="AG159" s="27"/>
      <c r="AH159" s="286"/>
      <c r="AI159" s="27"/>
      <c r="AJ159" s="56"/>
      <c r="AK159" s="27"/>
      <c r="AL159" s="56"/>
      <c r="AM159" s="27"/>
      <c r="AN159" s="56"/>
      <c r="AO159" s="27"/>
      <c r="AP159" s="56"/>
      <c r="AQ159" s="27"/>
      <c r="AR159" s="56"/>
      <c r="AS159" s="27"/>
      <c r="AT159" s="56"/>
      <c r="AU159" s="27"/>
      <c r="AV159" s="56"/>
      <c r="AW159" s="27"/>
      <c r="AX159" s="56"/>
      <c r="AY159" s="27"/>
      <c r="AZ159" s="56"/>
      <c r="BA159" s="27"/>
      <c r="BB159" s="48"/>
      <c r="BC159" s="48"/>
      <c r="BD159" s="48"/>
      <c r="BE159" s="48"/>
      <c r="BF159" s="48"/>
      <c r="BG159" s="48"/>
      <c r="BH159" s="48"/>
      <c r="BI159" s="48"/>
      <c r="BJ159" s="48"/>
      <c r="BK159" s="48"/>
      <c r="BL159" s="48"/>
      <c r="BM159" s="48"/>
      <c r="BN159" s="48"/>
      <c r="BO159" s="48"/>
      <c r="BP159" s="48"/>
      <c r="BQ159" s="48"/>
      <c r="BR159" s="48"/>
      <c r="BS159" s="48"/>
      <c r="BT159" s="48"/>
      <c r="BU159" s="48"/>
    </row>
    <row r="160" ht="15.75" customHeight="1">
      <c r="A160" s="48"/>
      <c r="B160" s="48"/>
      <c r="C160" s="48"/>
      <c r="D160" s="48"/>
      <c r="E160" s="27"/>
      <c r="F160" s="48"/>
      <c r="G160" s="48"/>
      <c r="H160" s="56"/>
      <c r="I160" s="56"/>
      <c r="J160" s="56"/>
      <c r="K160" s="56"/>
      <c r="L160" s="56"/>
      <c r="M160" s="56"/>
      <c r="N160" s="56"/>
      <c r="O160" s="56"/>
      <c r="P160" s="56"/>
      <c r="Q160" s="56"/>
      <c r="R160" s="56"/>
      <c r="S160" s="56"/>
      <c r="T160" s="56"/>
      <c r="U160" s="56"/>
      <c r="V160" s="56"/>
      <c r="W160" s="27"/>
      <c r="X160" s="56"/>
      <c r="Y160" s="27"/>
      <c r="Z160" s="56"/>
      <c r="AA160" s="27"/>
      <c r="AB160" s="56"/>
      <c r="AC160" s="27"/>
      <c r="AD160" s="56"/>
      <c r="AE160" s="27"/>
      <c r="AF160" s="56"/>
      <c r="AG160" s="27"/>
      <c r="AH160" s="286"/>
      <c r="AI160" s="27"/>
      <c r="AJ160" s="56"/>
      <c r="AK160" s="27"/>
      <c r="AL160" s="56"/>
      <c r="AM160" s="27"/>
      <c r="AN160" s="56"/>
      <c r="AO160" s="27"/>
      <c r="AP160" s="56"/>
      <c r="AQ160" s="27"/>
      <c r="AR160" s="56"/>
      <c r="AS160" s="27"/>
      <c r="AT160" s="56"/>
      <c r="AU160" s="27"/>
      <c r="AV160" s="56"/>
      <c r="AW160" s="27"/>
      <c r="AX160" s="56"/>
      <c r="AY160" s="27"/>
      <c r="AZ160" s="56"/>
      <c r="BA160" s="27"/>
      <c r="BB160" s="48"/>
      <c r="BC160" s="48"/>
      <c r="BD160" s="48"/>
      <c r="BE160" s="48"/>
      <c r="BF160" s="48"/>
      <c r="BG160" s="48"/>
      <c r="BH160" s="48"/>
      <c r="BI160" s="48"/>
      <c r="BJ160" s="48"/>
      <c r="BK160" s="48"/>
      <c r="BL160" s="48"/>
      <c r="BM160" s="48"/>
      <c r="BN160" s="48"/>
      <c r="BO160" s="48"/>
      <c r="BP160" s="48"/>
      <c r="BQ160" s="48"/>
      <c r="BR160" s="48"/>
      <c r="BS160" s="48"/>
      <c r="BT160" s="48"/>
      <c r="BU160" s="48"/>
    </row>
    <row r="161" ht="15.75" customHeight="1">
      <c r="A161" s="48"/>
      <c r="B161" s="48"/>
      <c r="C161" s="48"/>
      <c r="D161" s="48"/>
      <c r="E161" s="27"/>
      <c r="F161" s="48"/>
      <c r="G161" s="48"/>
      <c r="H161" s="56"/>
      <c r="I161" s="56"/>
      <c r="J161" s="56"/>
      <c r="K161" s="56"/>
      <c r="L161" s="56"/>
      <c r="M161" s="56"/>
      <c r="N161" s="56"/>
      <c r="O161" s="56"/>
      <c r="P161" s="56"/>
      <c r="Q161" s="56"/>
      <c r="R161" s="56"/>
      <c r="S161" s="56"/>
      <c r="T161" s="56"/>
      <c r="U161" s="56"/>
      <c r="V161" s="56"/>
      <c r="W161" s="27"/>
      <c r="X161" s="56"/>
      <c r="Y161" s="27"/>
      <c r="Z161" s="56"/>
      <c r="AA161" s="27"/>
      <c r="AB161" s="56"/>
      <c r="AC161" s="27"/>
      <c r="AD161" s="56"/>
      <c r="AE161" s="27"/>
      <c r="AF161" s="56"/>
      <c r="AG161" s="27"/>
      <c r="AH161" s="286"/>
      <c r="AI161" s="27"/>
      <c r="AJ161" s="56"/>
      <c r="AK161" s="27"/>
      <c r="AL161" s="56"/>
      <c r="AM161" s="27"/>
      <c r="AN161" s="56"/>
      <c r="AO161" s="27"/>
      <c r="AP161" s="56"/>
      <c r="AQ161" s="27"/>
      <c r="AR161" s="56"/>
      <c r="AS161" s="27"/>
      <c r="AT161" s="56"/>
      <c r="AU161" s="27"/>
      <c r="AV161" s="56"/>
      <c r="AW161" s="27"/>
      <c r="AX161" s="56"/>
      <c r="AY161" s="27"/>
      <c r="AZ161" s="56"/>
      <c r="BA161" s="27"/>
      <c r="BB161" s="48"/>
      <c r="BC161" s="48"/>
      <c r="BD161" s="48"/>
      <c r="BE161" s="48"/>
      <c r="BF161" s="48"/>
      <c r="BG161" s="48"/>
      <c r="BH161" s="48"/>
      <c r="BI161" s="48"/>
      <c r="BJ161" s="48"/>
      <c r="BK161" s="48"/>
      <c r="BL161" s="48"/>
      <c r="BM161" s="48"/>
      <c r="BN161" s="48"/>
      <c r="BO161" s="48"/>
      <c r="BP161" s="48"/>
      <c r="BQ161" s="48"/>
      <c r="BR161" s="48"/>
      <c r="BS161" s="48"/>
      <c r="BT161" s="48"/>
      <c r="BU161" s="48"/>
    </row>
    <row r="162" ht="15.75" customHeight="1">
      <c r="A162" s="48"/>
      <c r="B162" s="48"/>
      <c r="C162" s="48"/>
      <c r="D162" s="48"/>
      <c r="E162" s="27"/>
      <c r="F162" s="48"/>
      <c r="G162" s="48"/>
      <c r="H162" s="56"/>
      <c r="I162" s="56"/>
      <c r="J162" s="56"/>
      <c r="K162" s="56"/>
      <c r="L162" s="56"/>
      <c r="M162" s="56"/>
      <c r="N162" s="56"/>
      <c r="O162" s="56"/>
      <c r="P162" s="56"/>
      <c r="Q162" s="56"/>
      <c r="R162" s="56"/>
      <c r="S162" s="56"/>
      <c r="T162" s="56"/>
      <c r="U162" s="56"/>
      <c r="V162" s="56"/>
      <c r="W162" s="27"/>
      <c r="X162" s="56"/>
      <c r="Y162" s="27"/>
      <c r="Z162" s="56"/>
      <c r="AA162" s="27"/>
      <c r="AB162" s="56"/>
      <c r="AC162" s="27"/>
      <c r="AD162" s="56"/>
      <c r="AE162" s="27"/>
      <c r="AF162" s="56"/>
      <c r="AG162" s="27"/>
      <c r="AH162" s="286"/>
      <c r="AI162" s="27"/>
      <c r="AJ162" s="56"/>
      <c r="AK162" s="27"/>
      <c r="AL162" s="56"/>
      <c r="AM162" s="27"/>
      <c r="AN162" s="56"/>
      <c r="AO162" s="27"/>
      <c r="AP162" s="56"/>
      <c r="AQ162" s="27"/>
      <c r="AR162" s="56"/>
      <c r="AS162" s="27"/>
      <c r="AT162" s="56"/>
      <c r="AU162" s="27"/>
      <c r="AV162" s="56"/>
      <c r="AW162" s="27"/>
      <c r="AX162" s="56"/>
      <c r="AY162" s="27"/>
      <c r="AZ162" s="56"/>
      <c r="BA162" s="27"/>
      <c r="BB162" s="48"/>
      <c r="BC162" s="48"/>
      <c r="BD162" s="48"/>
      <c r="BE162" s="48"/>
      <c r="BF162" s="48"/>
      <c r="BG162" s="48"/>
      <c r="BH162" s="48"/>
      <c r="BI162" s="48"/>
      <c r="BJ162" s="48"/>
      <c r="BK162" s="48"/>
      <c r="BL162" s="48"/>
      <c r="BM162" s="48"/>
      <c r="BN162" s="48"/>
      <c r="BO162" s="48"/>
      <c r="BP162" s="48"/>
      <c r="BQ162" s="48"/>
      <c r="BR162" s="48"/>
      <c r="BS162" s="48"/>
      <c r="BT162" s="48"/>
      <c r="BU162" s="48"/>
    </row>
    <row r="163" ht="15.75" customHeight="1">
      <c r="A163" s="48"/>
      <c r="B163" s="48"/>
      <c r="C163" s="48"/>
      <c r="D163" s="48"/>
      <c r="E163" s="27"/>
      <c r="F163" s="48"/>
      <c r="G163" s="48"/>
      <c r="H163" s="56"/>
      <c r="I163" s="56"/>
      <c r="J163" s="56"/>
      <c r="K163" s="56"/>
      <c r="L163" s="56"/>
      <c r="M163" s="56"/>
      <c r="N163" s="56"/>
      <c r="O163" s="56"/>
      <c r="P163" s="56"/>
      <c r="Q163" s="56"/>
      <c r="R163" s="56"/>
      <c r="S163" s="56"/>
      <c r="T163" s="56"/>
      <c r="U163" s="56"/>
      <c r="V163" s="56"/>
      <c r="W163" s="27"/>
      <c r="X163" s="56"/>
      <c r="Y163" s="27"/>
      <c r="Z163" s="56"/>
      <c r="AA163" s="27"/>
      <c r="AB163" s="56"/>
      <c r="AC163" s="27"/>
      <c r="AD163" s="56"/>
      <c r="AE163" s="27"/>
      <c r="AF163" s="56"/>
      <c r="AG163" s="27"/>
      <c r="AH163" s="286"/>
      <c r="AI163" s="27"/>
      <c r="AJ163" s="56"/>
      <c r="AK163" s="27"/>
      <c r="AL163" s="56"/>
      <c r="AM163" s="27"/>
      <c r="AN163" s="56"/>
      <c r="AO163" s="27"/>
      <c r="AP163" s="56"/>
      <c r="AQ163" s="27"/>
      <c r="AR163" s="56"/>
      <c r="AS163" s="27"/>
      <c r="AT163" s="56"/>
      <c r="AU163" s="27"/>
      <c r="AV163" s="56"/>
      <c r="AW163" s="27"/>
      <c r="AX163" s="56"/>
      <c r="AY163" s="27"/>
      <c r="AZ163" s="56"/>
      <c r="BA163" s="27"/>
      <c r="BB163" s="48"/>
      <c r="BC163" s="48"/>
      <c r="BD163" s="48"/>
      <c r="BE163" s="48"/>
      <c r="BF163" s="48"/>
      <c r="BG163" s="48"/>
      <c r="BH163" s="48"/>
      <c r="BI163" s="48"/>
      <c r="BJ163" s="48"/>
      <c r="BK163" s="48"/>
      <c r="BL163" s="48"/>
      <c r="BM163" s="48"/>
      <c r="BN163" s="48"/>
      <c r="BO163" s="48"/>
      <c r="BP163" s="48"/>
      <c r="BQ163" s="48"/>
      <c r="BR163" s="48"/>
      <c r="BS163" s="48"/>
      <c r="BT163" s="48"/>
      <c r="BU163" s="48"/>
    </row>
    <row r="164" ht="15.75" customHeight="1">
      <c r="A164" s="48"/>
      <c r="B164" s="48"/>
      <c r="C164" s="48"/>
      <c r="D164" s="48"/>
      <c r="E164" s="27"/>
      <c r="F164" s="48"/>
      <c r="G164" s="48"/>
      <c r="H164" s="56"/>
      <c r="I164" s="56"/>
      <c r="J164" s="56"/>
      <c r="K164" s="56"/>
      <c r="L164" s="56"/>
      <c r="M164" s="56"/>
      <c r="N164" s="56"/>
      <c r="O164" s="56"/>
      <c r="P164" s="56"/>
      <c r="Q164" s="56"/>
      <c r="R164" s="56"/>
      <c r="S164" s="56"/>
      <c r="T164" s="56"/>
      <c r="U164" s="56"/>
      <c r="V164" s="56"/>
      <c r="W164" s="27"/>
      <c r="X164" s="56"/>
      <c r="Y164" s="27"/>
      <c r="Z164" s="56"/>
      <c r="AA164" s="27"/>
      <c r="AB164" s="56"/>
      <c r="AC164" s="27"/>
      <c r="AD164" s="56"/>
      <c r="AE164" s="27"/>
      <c r="AF164" s="56"/>
      <c r="AG164" s="27"/>
      <c r="AH164" s="286"/>
      <c r="AI164" s="27"/>
      <c r="AJ164" s="56"/>
      <c r="AK164" s="27"/>
      <c r="AL164" s="56"/>
      <c r="AM164" s="27"/>
      <c r="AN164" s="56"/>
      <c r="AO164" s="27"/>
      <c r="AP164" s="56"/>
      <c r="AQ164" s="27"/>
      <c r="AR164" s="56"/>
      <c r="AS164" s="27"/>
      <c r="AT164" s="56"/>
      <c r="AU164" s="27"/>
      <c r="AV164" s="56"/>
      <c r="AW164" s="27"/>
      <c r="AX164" s="56"/>
      <c r="AY164" s="27"/>
      <c r="AZ164" s="56"/>
      <c r="BA164" s="27"/>
      <c r="BB164" s="48"/>
      <c r="BC164" s="48"/>
      <c r="BD164" s="48"/>
      <c r="BE164" s="48"/>
      <c r="BF164" s="48"/>
      <c r="BG164" s="48"/>
      <c r="BH164" s="48"/>
      <c r="BI164" s="48"/>
      <c r="BJ164" s="48"/>
      <c r="BK164" s="48"/>
      <c r="BL164" s="48"/>
      <c r="BM164" s="48"/>
      <c r="BN164" s="48"/>
      <c r="BO164" s="48"/>
      <c r="BP164" s="48"/>
      <c r="BQ164" s="48"/>
      <c r="BR164" s="48"/>
      <c r="BS164" s="48"/>
      <c r="BT164" s="48"/>
      <c r="BU164" s="48"/>
    </row>
    <row r="165" ht="15.75" customHeight="1">
      <c r="A165" s="48"/>
      <c r="B165" s="48"/>
      <c r="C165" s="48"/>
      <c r="D165" s="48"/>
      <c r="E165" s="27"/>
      <c r="F165" s="48"/>
      <c r="G165" s="48"/>
      <c r="H165" s="56"/>
      <c r="I165" s="56"/>
      <c r="J165" s="56"/>
      <c r="K165" s="56"/>
      <c r="L165" s="56"/>
      <c r="M165" s="56"/>
      <c r="N165" s="56"/>
      <c r="O165" s="56"/>
      <c r="P165" s="56"/>
      <c r="Q165" s="56"/>
      <c r="R165" s="56"/>
      <c r="S165" s="56"/>
      <c r="T165" s="56"/>
      <c r="U165" s="56"/>
      <c r="V165" s="56"/>
      <c r="W165" s="27"/>
      <c r="X165" s="56"/>
      <c r="Y165" s="27"/>
      <c r="Z165" s="56"/>
      <c r="AA165" s="27"/>
      <c r="AB165" s="56"/>
      <c r="AC165" s="27"/>
      <c r="AD165" s="56"/>
      <c r="AE165" s="27"/>
      <c r="AF165" s="56"/>
      <c r="AG165" s="27"/>
      <c r="AH165" s="286"/>
      <c r="AI165" s="27"/>
      <c r="AJ165" s="56"/>
      <c r="AK165" s="27"/>
      <c r="AL165" s="56"/>
      <c r="AM165" s="27"/>
      <c r="AN165" s="56"/>
      <c r="AO165" s="27"/>
      <c r="AP165" s="56"/>
      <c r="AQ165" s="27"/>
      <c r="AR165" s="56"/>
      <c r="AS165" s="27"/>
      <c r="AT165" s="56"/>
      <c r="AU165" s="27"/>
      <c r="AV165" s="56"/>
      <c r="AW165" s="27"/>
      <c r="AX165" s="56"/>
      <c r="AY165" s="27"/>
      <c r="AZ165" s="56"/>
      <c r="BA165" s="27"/>
      <c r="BB165" s="48"/>
      <c r="BC165" s="48"/>
      <c r="BD165" s="48"/>
      <c r="BE165" s="48"/>
      <c r="BF165" s="48"/>
      <c r="BG165" s="48"/>
      <c r="BH165" s="48"/>
      <c r="BI165" s="48"/>
      <c r="BJ165" s="48"/>
      <c r="BK165" s="48"/>
      <c r="BL165" s="48"/>
      <c r="BM165" s="48"/>
      <c r="BN165" s="48"/>
      <c r="BO165" s="48"/>
      <c r="BP165" s="48"/>
      <c r="BQ165" s="48"/>
      <c r="BR165" s="48"/>
      <c r="BS165" s="48"/>
      <c r="BT165" s="48"/>
      <c r="BU165" s="48"/>
    </row>
    <row r="166" ht="15.75" customHeight="1">
      <c r="A166" s="48"/>
      <c r="B166" s="48"/>
      <c r="C166" s="48"/>
      <c r="D166" s="48"/>
      <c r="E166" s="27"/>
      <c r="F166" s="48"/>
      <c r="G166" s="48"/>
      <c r="H166" s="56"/>
      <c r="I166" s="56"/>
      <c r="J166" s="56"/>
      <c r="K166" s="56"/>
      <c r="L166" s="56"/>
      <c r="M166" s="56"/>
      <c r="N166" s="56"/>
      <c r="O166" s="56"/>
      <c r="P166" s="56"/>
      <c r="Q166" s="56"/>
      <c r="R166" s="56"/>
      <c r="S166" s="56"/>
      <c r="T166" s="56"/>
      <c r="U166" s="56"/>
      <c r="V166" s="56"/>
      <c r="W166" s="27"/>
      <c r="X166" s="56"/>
      <c r="Y166" s="27"/>
      <c r="Z166" s="56"/>
      <c r="AA166" s="27"/>
      <c r="AB166" s="56"/>
      <c r="AC166" s="27"/>
      <c r="AD166" s="56"/>
      <c r="AE166" s="27"/>
      <c r="AF166" s="56"/>
      <c r="AG166" s="27"/>
      <c r="AH166" s="286"/>
      <c r="AI166" s="27"/>
      <c r="AJ166" s="56"/>
      <c r="AK166" s="27"/>
      <c r="AL166" s="56"/>
      <c r="AM166" s="27"/>
      <c r="AN166" s="56"/>
      <c r="AO166" s="27"/>
      <c r="AP166" s="56"/>
      <c r="AQ166" s="27"/>
      <c r="AR166" s="56"/>
      <c r="AS166" s="27"/>
      <c r="AT166" s="56"/>
      <c r="AU166" s="27"/>
      <c r="AV166" s="56"/>
      <c r="AW166" s="27"/>
      <c r="AX166" s="56"/>
      <c r="AY166" s="27"/>
      <c r="AZ166" s="56"/>
      <c r="BA166" s="27"/>
      <c r="BB166" s="48"/>
      <c r="BC166" s="48"/>
      <c r="BD166" s="48"/>
      <c r="BE166" s="48"/>
      <c r="BF166" s="48"/>
      <c r="BG166" s="48"/>
      <c r="BH166" s="48"/>
      <c r="BI166" s="48"/>
      <c r="BJ166" s="48"/>
      <c r="BK166" s="48"/>
      <c r="BL166" s="48"/>
      <c r="BM166" s="48"/>
      <c r="BN166" s="48"/>
      <c r="BO166" s="48"/>
      <c r="BP166" s="48"/>
      <c r="BQ166" s="48"/>
      <c r="BR166" s="48"/>
      <c r="BS166" s="48"/>
      <c r="BT166" s="48"/>
      <c r="BU166" s="48"/>
    </row>
    <row r="167" ht="15.75" customHeight="1">
      <c r="A167" s="48"/>
      <c r="B167" s="48"/>
      <c r="C167" s="48"/>
      <c r="D167" s="48"/>
      <c r="E167" s="27"/>
      <c r="F167" s="48"/>
      <c r="G167" s="48"/>
      <c r="H167" s="56"/>
      <c r="I167" s="56"/>
      <c r="J167" s="56"/>
      <c r="K167" s="56"/>
      <c r="L167" s="56"/>
      <c r="M167" s="56"/>
      <c r="N167" s="56"/>
      <c r="O167" s="56"/>
      <c r="P167" s="56"/>
      <c r="Q167" s="56"/>
      <c r="R167" s="56"/>
      <c r="S167" s="56"/>
      <c r="T167" s="56"/>
      <c r="U167" s="56"/>
      <c r="V167" s="56"/>
      <c r="W167" s="27"/>
      <c r="X167" s="56"/>
      <c r="Y167" s="27"/>
      <c r="Z167" s="56"/>
      <c r="AA167" s="27"/>
      <c r="AB167" s="56"/>
      <c r="AC167" s="27"/>
      <c r="AD167" s="56"/>
      <c r="AE167" s="27"/>
      <c r="AF167" s="56"/>
      <c r="AG167" s="27"/>
      <c r="AH167" s="286"/>
      <c r="AI167" s="27"/>
      <c r="AJ167" s="56"/>
      <c r="AK167" s="27"/>
      <c r="AL167" s="56"/>
      <c r="AM167" s="27"/>
      <c r="AN167" s="56"/>
      <c r="AO167" s="27"/>
      <c r="AP167" s="56"/>
      <c r="AQ167" s="27"/>
      <c r="AR167" s="56"/>
      <c r="AS167" s="27"/>
      <c r="AT167" s="56"/>
      <c r="AU167" s="27"/>
      <c r="AV167" s="56"/>
      <c r="AW167" s="27"/>
      <c r="AX167" s="56"/>
      <c r="AY167" s="27"/>
      <c r="AZ167" s="56"/>
      <c r="BA167" s="27"/>
      <c r="BB167" s="48"/>
      <c r="BC167" s="48"/>
      <c r="BD167" s="48"/>
      <c r="BE167" s="48"/>
      <c r="BF167" s="48"/>
      <c r="BG167" s="48"/>
      <c r="BH167" s="48"/>
      <c r="BI167" s="48"/>
      <c r="BJ167" s="48"/>
      <c r="BK167" s="48"/>
      <c r="BL167" s="48"/>
      <c r="BM167" s="48"/>
      <c r="BN167" s="48"/>
      <c r="BO167" s="48"/>
      <c r="BP167" s="48"/>
      <c r="BQ167" s="48"/>
      <c r="BR167" s="48"/>
      <c r="BS167" s="48"/>
      <c r="BT167" s="48"/>
      <c r="BU167" s="48"/>
    </row>
    <row r="168" ht="15.75" customHeight="1">
      <c r="A168" s="48"/>
      <c r="B168" s="48"/>
      <c r="C168" s="48"/>
      <c r="D168" s="48"/>
      <c r="E168" s="27"/>
      <c r="F168" s="48"/>
      <c r="G168" s="48"/>
      <c r="H168" s="56"/>
      <c r="I168" s="56"/>
      <c r="J168" s="56"/>
      <c r="K168" s="56"/>
      <c r="L168" s="56"/>
      <c r="M168" s="56"/>
      <c r="N168" s="56"/>
      <c r="O168" s="56"/>
      <c r="P168" s="56"/>
      <c r="Q168" s="56"/>
      <c r="R168" s="56"/>
      <c r="S168" s="56"/>
      <c r="T168" s="56"/>
      <c r="U168" s="56"/>
      <c r="V168" s="56"/>
      <c r="W168" s="27"/>
      <c r="X168" s="56"/>
      <c r="Y168" s="27"/>
      <c r="Z168" s="56"/>
      <c r="AA168" s="27"/>
      <c r="AB168" s="56"/>
      <c r="AC168" s="27"/>
      <c r="AD168" s="56"/>
      <c r="AE168" s="27"/>
      <c r="AF168" s="56"/>
      <c r="AG168" s="27"/>
      <c r="AH168" s="286"/>
      <c r="AI168" s="27"/>
      <c r="AJ168" s="56"/>
      <c r="AK168" s="27"/>
      <c r="AL168" s="56"/>
      <c r="AM168" s="27"/>
      <c r="AN168" s="56"/>
      <c r="AO168" s="27"/>
      <c r="AP168" s="56"/>
      <c r="AQ168" s="27"/>
      <c r="AR168" s="56"/>
      <c r="AS168" s="27"/>
      <c r="AT168" s="56"/>
      <c r="AU168" s="27"/>
      <c r="AV168" s="56"/>
      <c r="AW168" s="27"/>
      <c r="AX168" s="56"/>
      <c r="AY168" s="27"/>
      <c r="AZ168" s="56"/>
      <c r="BA168" s="27"/>
      <c r="BB168" s="48"/>
      <c r="BC168" s="48"/>
      <c r="BD168" s="48"/>
      <c r="BE168" s="48"/>
      <c r="BF168" s="48"/>
      <c r="BG168" s="48"/>
      <c r="BH168" s="48"/>
      <c r="BI168" s="48"/>
      <c r="BJ168" s="48"/>
      <c r="BK168" s="48"/>
      <c r="BL168" s="48"/>
      <c r="BM168" s="48"/>
      <c r="BN168" s="48"/>
      <c r="BO168" s="48"/>
      <c r="BP168" s="48"/>
      <c r="BQ168" s="48"/>
      <c r="BR168" s="48"/>
      <c r="BS168" s="48"/>
      <c r="BT168" s="48"/>
      <c r="BU168" s="48"/>
    </row>
    <row r="169" ht="15.75" customHeight="1">
      <c r="A169" s="48"/>
      <c r="B169" s="48"/>
      <c r="C169" s="48"/>
      <c r="D169" s="48"/>
      <c r="E169" s="27"/>
      <c r="F169" s="48"/>
      <c r="G169" s="48"/>
      <c r="H169" s="56"/>
      <c r="I169" s="56"/>
      <c r="J169" s="56"/>
      <c r="K169" s="56"/>
      <c r="L169" s="56"/>
      <c r="M169" s="56"/>
      <c r="N169" s="56"/>
      <c r="O169" s="56"/>
      <c r="P169" s="56"/>
      <c r="Q169" s="56"/>
      <c r="R169" s="56"/>
      <c r="S169" s="56"/>
      <c r="T169" s="56"/>
      <c r="U169" s="56"/>
      <c r="V169" s="56"/>
      <c r="W169" s="27"/>
      <c r="X169" s="56"/>
      <c r="Y169" s="27"/>
      <c r="Z169" s="56"/>
      <c r="AA169" s="27"/>
      <c r="AB169" s="56"/>
      <c r="AC169" s="27"/>
      <c r="AD169" s="56"/>
      <c r="AE169" s="27"/>
      <c r="AF169" s="56"/>
      <c r="AG169" s="27"/>
      <c r="AH169" s="286"/>
      <c r="AI169" s="27"/>
      <c r="AJ169" s="56"/>
      <c r="AK169" s="27"/>
      <c r="AL169" s="56"/>
      <c r="AM169" s="27"/>
      <c r="AN169" s="56"/>
      <c r="AO169" s="27"/>
      <c r="AP169" s="56"/>
      <c r="AQ169" s="27"/>
      <c r="AR169" s="56"/>
      <c r="AS169" s="27"/>
      <c r="AT169" s="56"/>
      <c r="AU169" s="27"/>
      <c r="AV169" s="56"/>
      <c r="AW169" s="27"/>
      <c r="AX169" s="56"/>
      <c r="AY169" s="27"/>
      <c r="AZ169" s="56"/>
      <c r="BA169" s="27"/>
      <c r="BB169" s="48"/>
      <c r="BC169" s="48"/>
      <c r="BD169" s="48"/>
      <c r="BE169" s="48"/>
      <c r="BF169" s="48"/>
      <c r="BG169" s="48"/>
      <c r="BH169" s="48"/>
      <c r="BI169" s="48"/>
      <c r="BJ169" s="48"/>
      <c r="BK169" s="48"/>
      <c r="BL169" s="48"/>
      <c r="BM169" s="48"/>
      <c r="BN169" s="48"/>
      <c r="BO169" s="48"/>
      <c r="BP169" s="48"/>
      <c r="BQ169" s="48"/>
      <c r="BR169" s="48"/>
      <c r="BS169" s="48"/>
      <c r="BT169" s="48"/>
      <c r="BU169" s="48"/>
    </row>
    <row r="170" ht="15.75" customHeight="1">
      <c r="A170" s="48"/>
      <c r="B170" s="48"/>
      <c r="C170" s="48"/>
      <c r="D170" s="48"/>
      <c r="E170" s="27"/>
      <c r="F170" s="48"/>
      <c r="G170" s="48"/>
      <c r="H170" s="56"/>
      <c r="I170" s="56"/>
      <c r="J170" s="56"/>
      <c r="K170" s="56"/>
      <c r="L170" s="56"/>
      <c r="M170" s="56"/>
      <c r="N170" s="56"/>
      <c r="O170" s="56"/>
      <c r="P170" s="56"/>
      <c r="Q170" s="56"/>
      <c r="R170" s="56"/>
      <c r="S170" s="56"/>
      <c r="T170" s="56"/>
      <c r="U170" s="56"/>
      <c r="V170" s="56"/>
      <c r="W170" s="27"/>
      <c r="X170" s="56"/>
      <c r="Y170" s="27"/>
      <c r="Z170" s="56"/>
      <c r="AA170" s="27"/>
      <c r="AB170" s="56"/>
      <c r="AC170" s="27"/>
      <c r="AD170" s="56"/>
      <c r="AE170" s="27"/>
      <c r="AF170" s="56"/>
      <c r="AG170" s="27"/>
      <c r="AH170" s="286"/>
      <c r="AI170" s="27"/>
      <c r="AJ170" s="56"/>
      <c r="AK170" s="27"/>
      <c r="AL170" s="56"/>
      <c r="AM170" s="27"/>
      <c r="AN170" s="56"/>
      <c r="AO170" s="27"/>
      <c r="AP170" s="56"/>
      <c r="AQ170" s="27"/>
      <c r="AR170" s="56"/>
      <c r="AS170" s="27"/>
      <c r="AT170" s="56"/>
      <c r="AU170" s="27"/>
      <c r="AV170" s="56"/>
      <c r="AW170" s="27"/>
      <c r="AX170" s="56"/>
      <c r="AY170" s="27"/>
      <c r="AZ170" s="56"/>
      <c r="BA170" s="27"/>
      <c r="BB170" s="48"/>
      <c r="BC170" s="48"/>
      <c r="BD170" s="48"/>
      <c r="BE170" s="48"/>
      <c r="BF170" s="48"/>
      <c r="BG170" s="48"/>
      <c r="BH170" s="48"/>
      <c r="BI170" s="48"/>
      <c r="BJ170" s="48"/>
      <c r="BK170" s="48"/>
      <c r="BL170" s="48"/>
      <c r="BM170" s="48"/>
      <c r="BN170" s="48"/>
      <c r="BO170" s="48"/>
      <c r="BP170" s="48"/>
      <c r="BQ170" s="48"/>
      <c r="BR170" s="48"/>
      <c r="BS170" s="48"/>
      <c r="BT170" s="48"/>
      <c r="BU170" s="48"/>
    </row>
    <row r="171" ht="15.75" customHeight="1">
      <c r="A171" s="48"/>
      <c r="B171" s="48"/>
      <c r="C171" s="48"/>
      <c r="D171" s="48"/>
      <c r="E171" s="27"/>
      <c r="F171" s="48"/>
      <c r="G171" s="48"/>
      <c r="H171" s="56"/>
      <c r="I171" s="56"/>
      <c r="J171" s="56"/>
      <c r="K171" s="56"/>
      <c r="L171" s="56"/>
      <c r="M171" s="56"/>
      <c r="N171" s="56"/>
      <c r="O171" s="56"/>
      <c r="P171" s="56"/>
      <c r="Q171" s="56"/>
      <c r="R171" s="56"/>
      <c r="S171" s="56"/>
      <c r="T171" s="56"/>
      <c r="U171" s="56"/>
      <c r="V171" s="56"/>
      <c r="W171" s="27"/>
      <c r="X171" s="56"/>
      <c r="Y171" s="27"/>
      <c r="Z171" s="56"/>
      <c r="AA171" s="27"/>
      <c r="AB171" s="56"/>
      <c r="AC171" s="27"/>
      <c r="AD171" s="56"/>
      <c r="AE171" s="27"/>
      <c r="AF171" s="56"/>
      <c r="AG171" s="27"/>
      <c r="AH171" s="286"/>
      <c r="AI171" s="27"/>
      <c r="AJ171" s="56"/>
      <c r="AK171" s="27"/>
      <c r="AL171" s="56"/>
      <c r="AM171" s="27"/>
      <c r="AN171" s="56"/>
      <c r="AO171" s="27"/>
      <c r="AP171" s="56"/>
      <c r="AQ171" s="27"/>
      <c r="AR171" s="56"/>
      <c r="AS171" s="27"/>
      <c r="AT171" s="56"/>
      <c r="AU171" s="27"/>
      <c r="AV171" s="56"/>
      <c r="AW171" s="27"/>
      <c r="AX171" s="56"/>
      <c r="AY171" s="27"/>
      <c r="AZ171" s="56"/>
      <c r="BA171" s="27"/>
      <c r="BB171" s="48"/>
      <c r="BC171" s="48"/>
      <c r="BD171" s="48"/>
      <c r="BE171" s="48"/>
      <c r="BF171" s="48"/>
      <c r="BG171" s="48"/>
      <c r="BH171" s="48"/>
      <c r="BI171" s="48"/>
      <c r="BJ171" s="48"/>
      <c r="BK171" s="48"/>
      <c r="BL171" s="48"/>
      <c r="BM171" s="48"/>
      <c r="BN171" s="48"/>
      <c r="BO171" s="48"/>
      <c r="BP171" s="48"/>
      <c r="BQ171" s="48"/>
      <c r="BR171" s="48"/>
      <c r="BS171" s="48"/>
      <c r="BT171" s="48"/>
      <c r="BU171" s="48"/>
    </row>
    <row r="172" ht="15.75" customHeight="1">
      <c r="A172" s="48"/>
      <c r="B172" s="48"/>
      <c r="C172" s="48"/>
      <c r="D172" s="48"/>
      <c r="E172" s="27"/>
      <c r="F172" s="48"/>
      <c r="G172" s="48"/>
      <c r="H172" s="56"/>
      <c r="I172" s="56"/>
      <c r="J172" s="56"/>
      <c r="K172" s="56"/>
      <c r="L172" s="56"/>
      <c r="M172" s="56"/>
      <c r="N172" s="56"/>
      <c r="O172" s="56"/>
      <c r="P172" s="56"/>
      <c r="Q172" s="56"/>
      <c r="R172" s="56"/>
      <c r="S172" s="56"/>
      <c r="T172" s="56"/>
      <c r="U172" s="56"/>
      <c r="V172" s="56"/>
      <c r="W172" s="27"/>
      <c r="X172" s="56"/>
      <c r="Y172" s="27"/>
      <c r="Z172" s="56"/>
      <c r="AA172" s="27"/>
      <c r="AB172" s="56"/>
      <c r="AC172" s="27"/>
      <c r="AD172" s="56"/>
      <c r="AE172" s="27"/>
      <c r="AF172" s="56"/>
      <c r="AG172" s="27"/>
      <c r="AH172" s="286"/>
      <c r="AI172" s="27"/>
      <c r="AJ172" s="56"/>
      <c r="AK172" s="27"/>
      <c r="AL172" s="56"/>
      <c r="AM172" s="27"/>
      <c r="AN172" s="56"/>
      <c r="AO172" s="27"/>
      <c r="AP172" s="56"/>
      <c r="AQ172" s="27"/>
      <c r="AR172" s="56"/>
      <c r="AS172" s="27"/>
      <c r="AT172" s="56"/>
      <c r="AU172" s="27"/>
      <c r="AV172" s="56"/>
      <c r="AW172" s="27"/>
      <c r="AX172" s="56"/>
      <c r="AY172" s="27"/>
      <c r="AZ172" s="56"/>
      <c r="BA172" s="27"/>
      <c r="BB172" s="48"/>
      <c r="BC172" s="48"/>
      <c r="BD172" s="48"/>
      <c r="BE172" s="48"/>
      <c r="BF172" s="48"/>
      <c r="BG172" s="48"/>
      <c r="BH172" s="48"/>
      <c r="BI172" s="48"/>
      <c r="BJ172" s="48"/>
      <c r="BK172" s="48"/>
      <c r="BL172" s="48"/>
      <c r="BM172" s="48"/>
      <c r="BN172" s="48"/>
      <c r="BO172" s="48"/>
      <c r="BP172" s="48"/>
      <c r="BQ172" s="48"/>
      <c r="BR172" s="48"/>
      <c r="BS172" s="48"/>
      <c r="BT172" s="48"/>
      <c r="BU172" s="48"/>
    </row>
    <row r="173" ht="15.75" customHeight="1">
      <c r="A173" s="48"/>
      <c r="B173" s="48"/>
      <c r="C173" s="48"/>
      <c r="D173" s="48"/>
      <c r="E173" s="27"/>
      <c r="F173" s="48"/>
      <c r="G173" s="48"/>
      <c r="H173" s="56"/>
      <c r="I173" s="56"/>
      <c r="J173" s="56"/>
      <c r="K173" s="56"/>
      <c r="L173" s="56"/>
      <c r="M173" s="56"/>
      <c r="N173" s="56"/>
      <c r="O173" s="56"/>
      <c r="P173" s="56"/>
      <c r="Q173" s="56"/>
      <c r="R173" s="56"/>
      <c r="S173" s="56"/>
      <c r="T173" s="56"/>
      <c r="U173" s="56"/>
      <c r="V173" s="56"/>
      <c r="W173" s="27"/>
      <c r="X173" s="56"/>
      <c r="Y173" s="27"/>
      <c r="Z173" s="56"/>
      <c r="AA173" s="27"/>
      <c r="AB173" s="56"/>
      <c r="AC173" s="27"/>
      <c r="AD173" s="56"/>
      <c r="AE173" s="27"/>
      <c r="AF173" s="56"/>
      <c r="AG173" s="27"/>
      <c r="AH173" s="286"/>
      <c r="AI173" s="27"/>
      <c r="AJ173" s="56"/>
      <c r="AK173" s="27"/>
      <c r="AL173" s="56"/>
      <c r="AM173" s="27"/>
      <c r="AN173" s="56"/>
      <c r="AO173" s="27"/>
      <c r="AP173" s="56"/>
      <c r="AQ173" s="27"/>
      <c r="AR173" s="56"/>
      <c r="AS173" s="27"/>
      <c r="AT173" s="56"/>
      <c r="AU173" s="27"/>
      <c r="AV173" s="56"/>
      <c r="AW173" s="27"/>
      <c r="AX173" s="56"/>
      <c r="AY173" s="27"/>
      <c r="AZ173" s="56"/>
      <c r="BA173" s="27"/>
      <c r="BB173" s="48"/>
      <c r="BC173" s="48"/>
      <c r="BD173" s="48"/>
      <c r="BE173" s="48"/>
      <c r="BF173" s="48"/>
      <c r="BG173" s="48"/>
      <c r="BH173" s="48"/>
      <c r="BI173" s="48"/>
      <c r="BJ173" s="48"/>
      <c r="BK173" s="48"/>
      <c r="BL173" s="48"/>
      <c r="BM173" s="48"/>
      <c r="BN173" s="48"/>
      <c r="BO173" s="48"/>
      <c r="BP173" s="48"/>
      <c r="BQ173" s="48"/>
      <c r="BR173" s="48"/>
      <c r="BS173" s="48"/>
      <c r="BT173" s="48"/>
      <c r="BU173" s="48"/>
    </row>
    <row r="174" ht="15.75" customHeight="1">
      <c r="A174" s="48"/>
      <c r="B174" s="48"/>
      <c r="C174" s="48"/>
      <c r="D174" s="48"/>
      <c r="E174" s="27"/>
      <c r="F174" s="48"/>
      <c r="G174" s="48"/>
      <c r="H174" s="56"/>
      <c r="I174" s="56"/>
      <c r="J174" s="56"/>
      <c r="K174" s="56"/>
      <c r="L174" s="56"/>
      <c r="M174" s="56"/>
      <c r="N174" s="56"/>
      <c r="O174" s="56"/>
      <c r="P174" s="56"/>
      <c r="Q174" s="56"/>
      <c r="R174" s="56"/>
      <c r="S174" s="56"/>
      <c r="T174" s="56"/>
      <c r="U174" s="56"/>
      <c r="V174" s="56"/>
      <c r="W174" s="27"/>
      <c r="X174" s="56"/>
      <c r="Y174" s="27"/>
      <c r="Z174" s="56"/>
      <c r="AA174" s="27"/>
      <c r="AB174" s="56"/>
      <c r="AC174" s="27"/>
      <c r="AD174" s="56"/>
      <c r="AE174" s="27"/>
      <c r="AF174" s="56"/>
      <c r="AG174" s="27"/>
      <c r="AH174" s="286"/>
      <c r="AI174" s="27"/>
      <c r="AJ174" s="56"/>
      <c r="AK174" s="27"/>
      <c r="AL174" s="56"/>
      <c r="AM174" s="27"/>
      <c r="AN174" s="56"/>
      <c r="AO174" s="27"/>
      <c r="AP174" s="56"/>
      <c r="AQ174" s="27"/>
      <c r="AR174" s="56"/>
      <c r="AS174" s="27"/>
      <c r="AT174" s="56"/>
      <c r="AU174" s="27"/>
      <c r="AV174" s="56"/>
      <c r="AW174" s="27"/>
      <c r="AX174" s="56"/>
      <c r="AY174" s="27"/>
      <c r="AZ174" s="56"/>
      <c r="BA174" s="27"/>
      <c r="BB174" s="48"/>
      <c r="BC174" s="48"/>
      <c r="BD174" s="48"/>
      <c r="BE174" s="48"/>
      <c r="BF174" s="48"/>
      <c r="BG174" s="48"/>
      <c r="BH174" s="48"/>
      <c r="BI174" s="48"/>
      <c r="BJ174" s="48"/>
      <c r="BK174" s="48"/>
      <c r="BL174" s="48"/>
      <c r="BM174" s="48"/>
      <c r="BN174" s="48"/>
      <c r="BO174" s="48"/>
      <c r="BP174" s="48"/>
      <c r="BQ174" s="48"/>
      <c r="BR174" s="48"/>
      <c r="BS174" s="48"/>
      <c r="BT174" s="48"/>
      <c r="BU174" s="48"/>
    </row>
    <row r="175" ht="15.75" customHeight="1">
      <c r="A175" s="48"/>
      <c r="B175" s="48"/>
      <c r="C175" s="48"/>
      <c r="D175" s="48"/>
      <c r="E175" s="27"/>
      <c r="F175" s="48"/>
      <c r="G175" s="48"/>
      <c r="H175" s="56"/>
      <c r="I175" s="56"/>
      <c r="J175" s="56"/>
      <c r="K175" s="56"/>
      <c r="L175" s="56"/>
      <c r="M175" s="56"/>
      <c r="N175" s="56"/>
      <c r="O175" s="56"/>
      <c r="P175" s="56"/>
      <c r="Q175" s="56"/>
      <c r="R175" s="56"/>
      <c r="S175" s="56"/>
      <c r="T175" s="56"/>
      <c r="U175" s="56"/>
      <c r="V175" s="56"/>
      <c r="W175" s="27"/>
      <c r="X175" s="56"/>
      <c r="Y175" s="27"/>
      <c r="Z175" s="56"/>
      <c r="AA175" s="27"/>
      <c r="AB175" s="56"/>
      <c r="AC175" s="27"/>
      <c r="AD175" s="56"/>
      <c r="AE175" s="27"/>
      <c r="AF175" s="56"/>
      <c r="AG175" s="27"/>
      <c r="AH175" s="286"/>
      <c r="AI175" s="27"/>
      <c r="AJ175" s="56"/>
      <c r="AK175" s="27"/>
      <c r="AL175" s="56"/>
      <c r="AM175" s="27"/>
      <c r="AN175" s="56"/>
      <c r="AO175" s="27"/>
      <c r="AP175" s="56"/>
      <c r="AQ175" s="27"/>
      <c r="AR175" s="56"/>
      <c r="AS175" s="27"/>
      <c r="AT175" s="56"/>
      <c r="AU175" s="27"/>
      <c r="AV175" s="56"/>
      <c r="AW175" s="27"/>
      <c r="AX175" s="56"/>
      <c r="AY175" s="27"/>
      <c r="AZ175" s="56"/>
      <c r="BA175" s="27"/>
      <c r="BB175" s="48"/>
      <c r="BC175" s="48"/>
      <c r="BD175" s="48"/>
      <c r="BE175" s="48"/>
      <c r="BF175" s="48"/>
      <c r="BG175" s="48"/>
      <c r="BH175" s="48"/>
      <c r="BI175" s="48"/>
      <c r="BJ175" s="48"/>
      <c r="BK175" s="48"/>
      <c r="BL175" s="48"/>
      <c r="BM175" s="48"/>
      <c r="BN175" s="48"/>
      <c r="BO175" s="48"/>
      <c r="BP175" s="48"/>
      <c r="BQ175" s="48"/>
      <c r="BR175" s="48"/>
      <c r="BS175" s="48"/>
      <c r="BT175" s="48"/>
      <c r="BU175" s="48"/>
    </row>
    <row r="176" ht="15.75" customHeight="1">
      <c r="A176" s="48"/>
      <c r="B176" s="48"/>
      <c r="C176" s="48"/>
      <c r="D176" s="48"/>
      <c r="E176" s="27"/>
      <c r="F176" s="48"/>
      <c r="G176" s="48"/>
      <c r="H176" s="56"/>
      <c r="I176" s="56"/>
      <c r="J176" s="56"/>
      <c r="K176" s="56"/>
      <c r="L176" s="56"/>
      <c r="M176" s="56"/>
      <c r="N176" s="56"/>
      <c r="O176" s="56"/>
      <c r="P176" s="56"/>
      <c r="Q176" s="56"/>
      <c r="R176" s="56"/>
      <c r="S176" s="56"/>
      <c r="T176" s="56"/>
      <c r="U176" s="56"/>
      <c r="V176" s="56"/>
      <c r="W176" s="27"/>
      <c r="X176" s="56"/>
      <c r="Y176" s="27"/>
      <c r="Z176" s="56"/>
      <c r="AA176" s="27"/>
      <c r="AB176" s="56"/>
      <c r="AC176" s="27"/>
      <c r="AD176" s="56"/>
      <c r="AE176" s="27"/>
      <c r="AF176" s="56"/>
      <c r="AG176" s="27"/>
      <c r="AH176" s="286"/>
      <c r="AI176" s="27"/>
      <c r="AJ176" s="56"/>
      <c r="AK176" s="27"/>
      <c r="AL176" s="56"/>
      <c r="AM176" s="27"/>
      <c r="AN176" s="56"/>
      <c r="AO176" s="27"/>
      <c r="AP176" s="56"/>
      <c r="AQ176" s="27"/>
      <c r="AR176" s="56"/>
      <c r="AS176" s="27"/>
      <c r="AT176" s="56"/>
      <c r="AU176" s="27"/>
      <c r="AV176" s="56"/>
      <c r="AW176" s="27"/>
      <c r="AX176" s="56"/>
      <c r="AY176" s="27"/>
      <c r="AZ176" s="56"/>
      <c r="BA176" s="27"/>
      <c r="BB176" s="48"/>
      <c r="BC176" s="48"/>
      <c r="BD176" s="48"/>
      <c r="BE176" s="48"/>
      <c r="BF176" s="48"/>
      <c r="BG176" s="48"/>
      <c r="BH176" s="48"/>
      <c r="BI176" s="48"/>
      <c r="BJ176" s="48"/>
      <c r="BK176" s="48"/>
      <c r="BL176" s="48"/>
      <c r="BM176" s="48"/>
      <c r="BN176" s="48"/>
      <c r="BO176" s="48"/>
      <c r="BP176" s="48"/>
      <c r="BQ176" s="48"/>
      <c r="BR176" s="48"/>
      <c r="BS176" s="48"/>
      <c r="BT176" s="48"/>
      <c r="BU176" s="48"/>
    </row>
    <row r="177" ht="15.75" customHeight="1">
      <c r="A177" s="48"/>
      <c r="B177" s="48"/>
      <c r="C177" s="48"/>
      <c r="D177" s="48"/>
      <c r="E177" s="27"/>
      <c r="F177" s="48"/>
      <c r="G177" s="48"/>
      <c r="H177" s="56"/>
      <c r="I177" s="56"/>
      <c r="J177" s="56"/>
      <c r="K177" s="56"/>
      <c r="L177" s="56"/>
      <c r="M177" s="56"/>
      <c r="N177" s="56"/>
      <c r="O177" s="56"/>
      <c r="P177" s="56"/>
      <c r="Q177" s="56"/>
      <c r="R177" s="56"/>
      <c r="S177" s="56"/>
      <c r="T177" s="56"/>
      <c r="U177" s="56"/>
      <c r="V177" s="56"/>
      <c r="W177" s="27"/>
      <c r="X177" s="56"/>
      <c r="Y177" s="27"/>
      <c r="Z177" s="56"/>
      <c r="AA177" s="27"/>
      <c r="AB177" s="56"/>
      <c r="AC177" s="27"/>
      <c r="AD177" s="56"/>
      <c r="AE177" s="27"/>
      <c r="AF177" s="56"/>
      <c r="AG177" s="27"/>
      <c r="AH177" s="286"/>
      <c r="AI177" s="27"/>
      <c r="AJ177" s="56"/>
      <c r="AK177" s="27"/>
      <c r="AL177" s="56"/>
      <c r="AM177" s="27"/>
      <c r="AN177" s="56"/>
      <c r="AO177" s="27"/>
      <c r="AP177" s="56"/>
      <c r="AQ177" s="27"/>
      <c r="AR177" s="56"/>
      <c r="AS177" s="27"/>
      <c r="AT177" s="56"/>
      <c r="AU177" s="27"/>
      <c r="AV177" s="56"/>
      <c r="AW177" s="27"/>
      <c r="AX177" s="56"/>
      <c r="AY177" s="27"/>
      <c r="AZ177" s="56"/>
      <c r="BA177" s="27"/>
      <c r="BB177" s="48"/>
      <c r="BC177" s="48"/>
      <c r="BD177" s="48"/>
      <c r="BE177" s="48"/>
      <c r="BF177" s="48"/>
      <c r="BG177" s="48"/>
      <c r="BH177" s="48"/>
      <c r="BI177" s="48"/>
      <c r="BJ177" s="48"/>
      <c r="BK177" s="48"/>
      <c r="BL177" s="48"/>
      <c r="BM177" s="48"/>
      <c r="BN177" s="48"/>
      <c r="BO177" s="48"/>
      <c r="BP177" s="48"/>
      <c r="BQ177" s="48"/>
      <c r="BR177" s="48"/>
      <c r="BS177" s="48"/>
      <c r="BT177" s="48"/>
      <c r="BU177" s="48"/>
    </row>
    <row r="178" ht="15.75" customHeight="1">
      <c r="A178" s="48"/>
      <c r="B178" s="48"/>
      <c r="C178" s="48"/>
      <c r="D178" s="48"/>
      <c r="E178" s="27"/>
      <c r="F178" s="48"/>
      <c r="G178" s="48"/>
      <c r="H178" s="56"/>
      <c r="I178" s="56"/>
      <c r="J178" s="56"/>
      <c r="K178" s="56"/>
      <c r="L178" s="56"/>
      <c r="M178" s="56"/>
      <c r="N178" s="56"/>
      <c r="O178" s="56"/>
      <c r="P178" s="56"/>
      <c r="Q178" s="56"/>
      <c r="R178" s="56"/>
      <c r="S178" s="56"/>
      <c r="T178" s="56"/>
      <c r="U178" s="56"/>
      <c r="V178" s="56"/>
      <c r="W178" s="27"/>
      <c r="X178" s="56"/>
      <c r="Y178" s="27"/>
      <c r="Z178" s="56"/>
      <c r="AA178" s="27"/>
      <c r="AB178" s="56"/>
      <c r="AC178" s="27"/>
      <c r="AD178" s="56"/>
      <c r="AE178" s="27"/>
      <c r="AF178" s="56"/>
      <c r="AG178" s="27"/>
      <c r="AH178" s="286"/>
      <c r="AI178" s="27"/>
      <c r="AJ178" s="56"/>
      <c r="AK178" s="27"/>
      <c r="AL178" s="56"/>
      <c r="AM178" s="27"/>
      <c r="AN178" s="56"/>
      <c r="AO178" s="27"/>
      <c r="AP178" s="56"/>
      <c r="AQ178" s="27"/>
      <c r="AR178" s="56"/>
      <c r="AS178" s="27"/>
      <c r="AT178" s="56"/>
      <c r="AU178" s="27"/>
      <c r="AV178" s="56"/>
      <c r="AW178" s="27"/>
      <c r="AX178" s="56"/>
      <c r="AY178" s="27"/>
      <c r="AZ178" s="56"/>
      <c r="BA178" s="27"/>
      <c r="BB178" s="48"/>
      <c r="BC178" s="48"/>
      <c r="BD178" s="48"/>
      <c r="BE178" s="48"/>
      <c r="BF178" s="48"/>
      <c r="BG178" s="48"/>
      <c r="BH178" s="48"/>
      <c r="BI178" s="48"/>
      <c r="BJ178" s="48"/>
      <c r="BK178" s="48"/>
      <c r="BL178" s="48"/>
      <c r="BM178" s="48"/>
      <c r="BN178" s="48"/>
      <c r="BO178" s="48"/>
      <c r="BP178" s="48"/>
      <c r="BQ178" s="48"/>
      <c r="BR178" s="48"/>
      <c r="BS178" s="48"/>
      <c r="BT178" s="48"/>
      <c r="BU178" s="48"/>
    </row>
    <row r="179" ht="15.75" customHeight="1">
      <c r="A179" s="48"/>
      <c r="B179" s="48"/>
      <c r="C179" s="48"/>
      <c r="D179" s="48"/>
      <c r="E179" s="27"/>
      <c r="F179" s="48"/>
      <c r="G179" s="48"/>
      <c r="H179" s="56"/>
      <c r="I179" s="56"/>
      <c r="J179" s="56"/>
      <c r="K179" s="56"/>
      <c r="L179" s="56"/>
      <c r="M179" s="56"/>
      <c r="N179" s="56"/>
      <c r="O179" s="56"/>
      <c r="P179" s="56"/>
      <c r="Q179" s="56"/>
      <c r="R179" s="56"/>
      <c r="S179" s="56"/>
      <c r="T179" s="56"/>
      <c r="U179" s="56"/>
      <c r="V179" s="56"/>
      <c r="W179" s="27"/>
      <c r="X179" s="56"/>
      <c r="Y179" s="27"/>
      <c r="Z179" s="56"/>
      <c r="AA179" s="27"/>
      <c r="AB179" s="56"/>
      <c r="AC179" s="27"/>
      <c r="AD179" s="56"/>
      <c r="AE179" s="27"/>
      <c r="AF179" s="56"/>
      <c r="AG179" s="27"/>
      <c r="AH179" s="286"/>
      <c r="AI179" s="27"/>
      <c r="AJ179" s="56"/>
      <c r="AK179" s="27"/>
      <c r="AL179" s="56"/>
      <c r="AM179" s="27"/>
      <c r="AN179" s="56"/>
      <c r="AO179" s="27"/>
      <c r="AP179" s="56"/>
      <c r="AQ179" s="27"/>
      <c r="AR179" s="56"/>
      <c r="AS179" s="27"/>
      <c r="AT179" s="56"/>
      <c r="AU179" s="27"/>
      <c r="AV179" s="56"/>
      <c r="AW179" s="27"/>
      <c r="AX179" s="56"/>
      <c r="AY179" s="27"/>
      <c r="AZ179" s="56"/>
      <c r="BA179" s="27"/>
      <c r="BB179" s="48"/>
      <c r="BC179" s="48"/>
      <c r="BD179" s="48"/>
      <c r="BE179" s="48"/>
      <c r="BF179" s="48"/>
      <c r="BG179" s="48"/>
      <c r="BH179" s="48"/>
      <c r="BI179" s="48"/>
      <c r="BJ179" s="48"/>
      <c r="BK179" s="48"/>
      <c r="BL179" s="48"/>
      <c r="BM179" s="48"/>
      <c r="BN179" s="48"/>
      <c r="BO179" s="48"/>
      <c r="BP179" s="48"/>
      <c r="BQ179" s="48"/>
      <c r="BR179" s="48"/>
      <c r="BS179" s="48"/>
      <c r="BT179" s="48"/>
      <c r="BU179" s="48"/>
    </row>
    <row r="180" ht="15.75" customHeight="1">
      <c r="A180" s="48"/>
      <c r="B180" s="48"/>
      <c r="C180" s="48"/>
      <c r="D180" s="48"/>
      <c r="E180" s="27"/>
      <c r="F180" s="48"/>
      <c r="G180" s="48"/>
      <c r="H180" s="56"/>
      <c r="I180" s="56"/>
      <c r="J180" s="56"/>
      <c r="K180" s="56"/>
      <c r="L180" s="56"/>
      <c r="M180" s="56"/>
      <c r="N180" s="56"/>
      <c r="O180" s="56"/>
      <c r="P180" s="56"/>
      <c r="Q180" s="56"/>
      <c r="R180" s="56"/>
      <c r="S180" s="56"/>
      <c r="T180" s="56"/>
      <c r="U180" s="56"/>
      <c r="V180" s="56"/>
      <c r="W180" s="27"/>
      <c r="X180" s="56"/>
      <c r="Y180" s="27"/>
      <c r="Z180" s="56"/>
      <c r="AA180" s="27"/>
      <c r="AB180" s="56"/>
      <c r="AC180" s="27"/>
      <c r="AD180" s="56"/>
      <c r="AE180" s="27"/>
      <c r="AF180" s="56"/>
      <c r="AG180" s="27"/>
      <c r="AH180" s="286"/>
      <c r="AI180" s="27"/>
      <c r="AJ180" s="56"/>
      <c r="AK180" s="27"/>
      <c r="AL180" s="56"/>
      <c r="AM180" s="27"/>
      <c r="AN180" s="56"/>
      <c r="AO180" s="27"/>
      <c r="AP180" s="56"/>
      <c r="AQ180" s="27"/>
      <c r="AR180" s="56"/>
      <c r="AS180" s="27"/>
      <c r="AT180" s="56"/>
      <c r="AU180" s="27"/>
      <c r="AV180" s="56"/>
      <c r="AW180" s="27"/>
      <c r="AX180" s="56"/>
      <c r="AY180" s="27"/>
      <c r="AZ180" s="56"/>
      <c r="BA180" s="27"/>
      <c r="BB180" s="48"/>
      <c r="BC180" s="48"/>
      <c r="BD180" s="48"/>
      <c r="BE180" s="48"/>
      <c r="BF180" s="48"/>
      <c r="BG180" s="48"/>
      <c r="BH180" s="48"/>
      <c r="BI180" s="48"/>
      <c r="BJ180" s="48"/>
      <c r="BK180" s="48"/>
      <c r="BL180" s="48"/>
      <c r="BM180" s="48"/>
      <c r="BN180" s="48"/>
      <c r="BO180" s="48"/>
      <c r="BP180" s="48"/>
      <c r="BQ180" s="48"/>
      <c r="BR180" s="48"/>
      <c r="BS180" s="48"/>
      <c r="BT180" s="48"/>
      <c r="BU180" s="48"/>
    </row>
    <row r="181" ht="15.75" customHeight="1">
      <c r="A181" s="48"/>
      <c r="B181" s="48"/>
      <c r="C181" s="48"/>
      <c r="D181" s="48"/>
      <c r="E181" s="27"/>
      <c r="F181" s="48"/>
      <c r="G181" s="48"/>
      <c r="H181" s="56"/>
      <c r="I181" s="56"/>
      <c r="J181" s="56"/>
      <c r="K181" s="56"/>
      <c r="L181" s="56"/>
      <c r="M181" s="56"/>
      <c r="N181" s="56"/>
      <c r="O181" s="56"/>
      <c r="P181" s="56"/>
      <c r="Q181" s="56"/>
      <c r="R181" s="56"/>
      <c r="S181" s="56"/>
      <c r="T181" s="56"/>
      <c r="U181" s="56"/>
      <c r="V181" s="56"/>
      <c r="W181" s="27"/>
      <c r="X181" s="56"/>
      <c r="Y181" s="27"/>
      <c r="Z181" s="56"/>
      <c r="AA181" s="27"/>
      <c r="AB181" s="56"/>
      <c r="AC181" s="27"/>
      <c r="AD181" s="56"/>
      <c r="AE181" s="27"/>
      <c r="AF181" s="56"/>
      <c r="AG181" s="27"/>
      <c r="AH181" s="286"/>
      <c r="AI181" s="27"/>
      <c r="AJ181" s="56"/>
      <c r="AK181" s="27"/>
      <c r="AL181" s="56"/>
      <c r="AM181" s="27"/>
      <c r="AN181" s="56"/>
      <c r="AO181" s="27"/>
      <c r="AP181" s="56"/>
      <c r="AQ181" s="27"/>
      <c r="AR181" s="56"/>
      <c r="AS181" s="27"/>
      <c r="AT181" s="56"/>
      <c r="AU181" s="27"/>
      <c r="AV181" s="56"/>
      <c r="AW181" s="27"/>
      <c r="AX181" s="56"/>
      <c r="AY181" s="27"/>
      <c r="AZ181" s="56"/>
      <c r="BA181" s="27"/>
      <c r="BB181" s="48"/>
      <c r="BC181" s="48"/>
      <c r="BD181" s="48"/>
      <c r="BE181" s="48"/>
      <c r="BF181" s="48"/>
      <c r="BG181" s="48"/>
      <c r="BH181" s="48"/>
      <c r="BI181" s="48"/>
      <c r="BJ181" s="48"/>
      <c r="BK181" s="48"/>
      <c r="BL181" s="48"/>
      <c r="BM181" s="48"/>
      <c r="BN181" s="48"/>
      <c r="BO181" s="48"/>
      <c r="BP181" s="48"/>
      <c r="BQ181" s="48"/>
      <c r="BR181" s="48"/>
      <c r="BS181" s="48"/>
      <c r="BT181" s="48"/>
      <c r="BU181" s="48"/>
    </row>
    <row r="182" ht="15.75" customHeight="1">
      <c r="A182" s="48"/>
      <c r="B182" s="48"/>
      <c r="C182" s="48"/>
      <c r="D182" s="48"/>
      <c r="E182" s="27"/>
      <c r="F182" s="48"/>
      <c r="G182" s="48"/>
      <c r="H182" s="56"/>
      <c r="I182" s="56"/>
      <c r="J182" s="56"/>
      <c r="K182" s="56"/>
      <c r="L182" s="56"/>
      <c r="M182" s="56"/>
      <c r="N182" s="56"/>
      <c r="O182" s="56"/>
      <c r="P182" s="56"/>
      <c r="Q182" s="56"/>
      <c r="R182" s="56"/>
      <c r="S182" s="56"/>
      <c r="T182" s="56"/>
      <c r="U182" s="56"/>
      <c r="V182" s="56"/>
      <c r="W182" s="27"/>
      <c r="X182" s="56"/>
      <c r="Y182" s="27"/>
      <c r="Z182" s="56"/>
      <c r="AA182" s="27"/>
      <c r="AB182" s="56"/>
      <c r="AC182" s="27"/>
      <c r="AD182" s="56"/>
      <c r="AE182" s="27"/>
      <c r="AF182" s="56"/>
      <c r="AG182" s="27"/>
      <c r="AH182" s="286"/>
      <c r="AI182" s="27"/>
      <c r="AJ182" s="56"/>
      <c r="AK182" s="27"/>
      <c r="AL182" s="56"/>
      <c r="AM182" s="27"/>
      <c r="AN182" s="56"/>
      <c r="AO182" s="27"/>
      <c r="AP182" s="56"/>
      <c r="AQ182" s="27"/>
      <c r="AR182" s="56"/>
      <c r="AS182" s="27"/>
      <c r="AT182" s="56"/>
      <c r="AU182" s="27"/>
      <c r="AV182" s="56"/>
      <c r="AW182" s="27"/>
      <c r="AX182" s="56"/>
      <c r="AY182" s="27"/>
      <c r="AZ182" s="56"/>
      <c r="BA182" s="27"/>
      <c r="BB182" s="48"/>
      <c r="BC182" s="48"/>
      <c r="BD182" s="48"/>
      <c r="BE182" s="48"/>
      <c r="BF182" s="48"/>
      <c r="BG182" s="48"/>
      <c r="BH182" s="48"/>
      <c r="BI182" s="48"/>
      <c r="BJ182" s="48"/>
      <c r="BK182" s="48"/>
      <c r="BL182" s="48"/>
      <c r="BM182" s="48"/>
      <c r="BN182" s="48"/>
      <c r="BO182" s="48"/>
      <c r="BP182" s="48"/>
      <c r="BQ182" s="48"/>
      <c r="BR182" s="48"/>
      <c r="BS182" s="48"/>
      <c r="BT182" s="48"/>
      <c r="BU182" s="48"/>
    </row>
    <row r="183" ht="15.75" customHeight="1">
      <c r="A183" s="48"/>
      <c r="B183" s="48"/>
      <c r="C183" s="48"/>
      <c r="D183" s="48"/>
      <c r="E183" s="27"/>
      <c r="F183" s="48"/>
      <c r="G183" s="48"/>
      <c r="H183" s="56"/>
      <c r="I183" s="56"/>
      <c r="J183" s="56"/>
      <c r="K183" s="56"/>
      <c r="L183" s="56"/>
      <c r="M183" s="56"/>
      <c r="N183" s="56"/>
      <c r="O183" s="56"/>
      <c r="P183" s="56"/>
      <c r="Q183" s="56"/>
      <c r="R183" s="56"/>
      <c r="S183" s="56"/>
      <c r="T183" s="56"/>
      <c r="U183" s="56"/>
      <c r="V183" s="56"/>
      <c r="W183" s="27"/>
      <c r="X183" s="56"/>
      <c r="Y183" s="27"/>
      <c r="Z183" s="56"/>
      <c r="AA183" s="27"/>
      <c r="AB183" s="56"/>
      <c r="AC183" s="27"/>
      <c r="AD183" s="56"/>
      <c r="AE183" s="27"/>
      <c r="AF183" s="56"/>
      <c r="AG183" s="27"/>
      <c r="AH183" s="286"/>
      <c r="AI183" s="27"/>
      <c r="AJ183" s="56"/>
      <c r="AK183" s="27"/>
      <c r="AL183" s="56"/>
      <c r="AM183" s="27"/>
      <c r="AN183" s="56"/>
      <c r="AO183" s="27"/>
      <c r="AP183" s="56"/>
      <c r="AQ183" s="27"/>
      <c r="AR183" s="56"/>
      <c r="AS183" s="27"/>
      <c r="AT183" s="56"/>
      <c r="AU183" s="27"/>
      <c r="AV183" s="56"/>
      <c r="AW183" s="27"/>
      <c r="AX183" s="56"/>
      <c r="AY183" s="27"/>
      <c r="AZ183" s="56"/>
      <c r="BA183" s="27"/>
      <c r="BB183" s="48"/>
      <c r="BC183" s="48"/>
      <c r="BD183" s="48"/>
      <c r="BE183" s="48"/>
      <c r="BF183" s="48"/>
      <c r="BG183" s="48"/>
      <c r="BH183" s="48"/>
      <c r="BI183" s="48"/>
      <c r="BJ183" s="48"/>
      <c r="BK183" s="48"/>
      <c r="BL183" s="48"/>
      <c r="BM183" s="48"/>
      <c r="BN183" s="48"/>
      <c r="BO183" s="48"/>
      <c r="BP183" s="48"/>
      <c r="BQ183" s="48"/>
      <c r="BR183" s="48"/>
      <c r="BS183" s="48"/>
      <c r="BT183" s="48"/>
      <c r="BU183" s="48"/>
    </row>
    <row r="184" ht="15.75" customHeight="1">
      <c r="A184" s="48"/>
      <c r="B184" s="48"/>
      <c r="C184" s="48"/>
      <c r="D184" s="48"/>
      <c r="E184" s="27"/>
      <c r="F184" s="48"/>
      <c r="G184" s="48"/>
      <c r="H184" s="56"/>
      <c r="I184" s="56"/>
      <c r="J184" s="56"/>
      <c r="K184" s="56"/>
      <c r="L184" s="56"/>
      <c r="M184" s="56"/>
      <c r="N184" s="56"/>
      <c r="O184" s="56"/>
      <c r="P184" s="56"/>
      <c r="Q184" s="56"/>
      <c r="R184" s="56"/>
      <c r="S184" s="56"/>
      <c r="T184" s="56"/>
      <c r="U184" s="56"/>
      <c r="V184" s="56"/>
      <c r="W184" s="27"/>
      <c r="X184" s="56"/>
      <c r="Y184" s="27"/>
      <c r="Z184" s="56"/>
      <c r="AA184" s="27"/>
      <c r="AB184" s="56"/>
      <c r="AC184" s="27"/>
      <c r="AD184" s="56"/>
      <c r="AE184" s="27"/>
      <c r="AF184" s="56"/>
      <c r="AG184" s="27"/>
      <c r="AH184" s="286"/>
      <c r="AI184" s="27"/>
      <c r="AJ184" s="56"/>
      <c r="AK184" s="27"/>
      <c r="AL184" s="56"/>
      <c r="AM184" s="27"/>
      <c r="AN184" s="56"/>
      <c r="AO184" s="27"/>
      <c r="AP184" s="56"/>
      <c r="AQ184" s="27"/>
      <c r="AR184" s="56"/>
      <c r="AS184" s="27"/>
      <c r="AT184" s="56"/>
      <c r="AU184" s="27"/>
      <c r="AV184" s="56"/>
      <c r="AW184" s="27"/>
      <c r="AX184" s="56"/>
      <c r="AY184" s="27"/>
      <c r="AZ184" s="56"/>
      <c r="BA184" s="27"/>
      <c r="BB184" s="48"/>
      <c r="BC184" s="48"/>
      <c r="BD184" s="48"/>
      <c r="BE184" s="48"/>
      <c r="BF184" s="48"/>
      <c r="BG184" s="48"/>
      <c r="BH184" s="48"/>
      <c r="BI184" s="48"/>
      <c r="BJ184" s="48"/>
      <c r="BK184" s="48"/>
      <c r="BL184" s="48"/>
      <c r="BM184" s="48"/>
      <c r="BN184" s="48"/>
      <c r="BO184" s="48"/>
      <c r="BP184" s="48"/>
      <c r="BQ184" s="48"/>
      <c r="BR184" s="48"/>
      <c r="BS184" s="48"/>
      <c r="BT184" s="48"/>
      <c r="BU184" s="48"/>
    </row>
    <row r="185" ht="15.75" customHeight="1">
      <c r="A185" s="48"/>
      <c r="B185" s="48"/>
      <c r="C185" s="48"/>
      <c r="D185" s="48"/>
      <c r="E185" s="27"/>
      <c r="F185" s="48"/>
      <c r="G185" s="48"/>
      <c r="H185" s="56"/>
      <c r="I185" s="56"/>
      <c r="J185" s="56"/>
      <c r="K185" s="56"/>
      <c r="L185" s="56"/>
      <c r="M185" s="56"/>
      <c r="N185" s="56"/>
      <c r="O185" s="56"/>
      <c r="P185" s="56"/>
      <c r="Q185" s="56"/>
      <c r="R185" s="56"/>
      <c r="S185" s="56"/>
      <c r="T185" s="56"/>
      <c r="U185" s="56"/>
      <c r="V185" s="56"/>
      <c r="W185" s="27"/>
      <c r="X185" s="56"/>
      <c r="Y185" s="27"/>
      <c r="Z185" s="56"/>
      <c r="AA185" s="27"/>
      <c r="AB185" s="56"/>
      <c r="AC185" s="27"/>
      <c r="AD185" s="56"/>
      <c r="AE185" s="27"/>
      <c r="AF185" s="56"/>
      <c r="AG185" s="27"/>
      <c r="AH185" s="286"/>
      <c r="AI185" s="27"/>
      <c r="AJ185" s="56"/>
      <c r="AK185" s="27"/>
      <c r="AL185" s="56"/>
      <c r="AM185" s="27"/>
      <c r="AN185" s="56"/>
      <c r="AO185" s="27"/>
      <c r="AP185" s="56"/>
      <c r="AQ185" s="27"/>
      <c r="AR185" s="56"/>
      <c r="AS185" s="27"/>
      <c r="AT185" s="56"/>
      <c r="AU185" s="27"/>
      <c r="AV185" s="56"/>
      <c r="AW185" s="27"/>
      <c r="AX185" s="56"/>
      <c r="AY185" s="27"/>
      <c r="AZ185" s="56"/>
      <c r="BA185" s="27"/>
      <c r="BB185" s="48"/>
      <c r="BC185" s="48"/>
      <c r="BD185" s="48"/>
      <c r="BE185" s="48"/>
      <c r="BF185" s="48"/>
      <c r="BG185" s="48"/>
      <c r="BH185" s="48"/>
      <c r="BI185" s="48"/>
      <c r="BJ185" s="48"/>
      <c r="BK185" s="48"/>
      <c r="BL185" s="48"/>
      <c r="BM185" s="48"/>
      <c r="BN185" s="48"/>
      <c r="BO185" s="48"/>
      <c r="BP185" s="48"/>
      <c r="BQ185" s="48"/>
      <c r="BR185" s="48"/>
      <c r="BS185" s="48"/>
      <c r="BT185" s="48"/>
      <c r="BU185" s="48"/>
    </row>
    <row r="186" ht="15.75" customHeight="1">
      <c r="A186" s="48"/>
      <c r="B186" s="48"/>
      <c r="C186" s="48"/>
      <c r="D186" s="48"/>
      <c r="E186" s="27"/>
      <c r="F186" s="48"/>
      <c r="G186" s="48"/>
      <c r="H186" s="56"/>
      <c r="I186" s="56"/>
      <c r="J186" s="56"/>
      <c r="K186" s="56"/>
      <c r="L186" s="56"/>
      <c r="M186" s="56"/>
      <c r="N186" s="56"/>
      <c r="O186" s="56"/>
      <c r="P186" s="56"/>
      <c r="Q186" s="56"/>
      <c r="R186" s="56"/>
      <c r="S186" s="56"/>
      <c r="T186" s="56"/>
      <c r="U186" s="56"/>
      <c r="V186" s="56"/>
      <c r="W186" s="27"/>
      <c r="X186" s="56"/>
      <c r="Y186" s="27"/>
      <c r="Z186" s="56"/>
      <c r="AA186" s="27"/>
      <c r="AB186" s="56"/>
      <c r="AC186" s="27"/>
      <c r="AD186" s="56"/>
      <c r="AE186" s="27"/>
      <c r="AF186" s="56"/>
      <c r="AG186" s="27"/>
      <c r="AH186" s="286"/>
      <c r="AI186" s="27"/>
      <c r="AJ186" s="56"/>
      <c r="AK186" s="27"/>
      <c r="AL186" s="56"/>
      <c r="AM186" s="27"/>
      <c r="AN186" s="56"/>
      <c r="AO186" s="27"/>
      <c r="AP186" s="56"/>
      <c r="AQ186" s="27"/>
      <c r="AR186" s="56"/>
      <c r="AS186" s="27"/>
      <c r="AT186" s="56"/>
      <c r="AU186" s="27"/>
      <c r="AV186" s="56"/>
      <c r="AW186" s="27"/>
      <c r="AX186" s="56"/>
      <c r="AY186" s="27"/>
      <c r="AZ186" s="56"/>
      <c r="BA186" s="27"/>
      <c r="BB186" s="48"/>
      <c r="BC186" s="48"/>
      <c r="BD186" s="48"/>
      <c r="BE186" s="48"/>
      <c r="BF186" s="48"/>
      <c r="BG186" s="48"/>
      <c r="BH186" s="48"/>
      <c r="BI186" s="48"/>
      <c r="BJ186" s="48"/>
      <c r="BK186" s="48"/>
      <c r="BL186" s="48"/>
      <c r="BM186" s="48"/>
      <c r="BN186" s="48"/>
      <c r="BO186" s="48"/>
      <c r="BP186" s="48"/>
      <c r="BQ186" s="48"/>
      <c r="BR186" s="48"/>
      <c r="BS186" s="48"/>
      <c r="BT186" s="48"/>
      <c r="BU186" s="48"/>
    </row>
    <row r="187" ht="15.75" customHeight="1">
      <c r="A187" s="48"/>
      <c r="B187" s="48"/>
      <c r="C187" s="48"/>
      <c r="D187" s="48"/>
      <c r="E187" s="27"/>
      <c r="F187" s="48"/>
      <c r="G187" s="48"/>
      <c r="H187" s="56"/>
      <c r="I187" s="56"/>
      <c r="J187" s="56"/>
      <c r="K187" s="56"/>
      <c r="L187" s="56"/>
      <c r="M187" s="56"/>
      <c r="N187" s="56"/>
      <c r="O187" s="56"/>
      <c r="P187" s="56"/>
      <c r="Q187" s="56"/>
      <c r="R187" s="56"/>
      <c r="S187" s="56"/>
      <c r="T187" s="56"/>
      <c r="U187" s="56"/>
      <c r="V187" s="56"/>
      <c r="W187" s="27"/>
      <c r="X187" s="56"/>
      <c r="Y187" s="27"/>
      <c r="Z187" s="56"/>
      <c r="AA187" s="27"/>
      <c r="AB187" s="56"/>
      <c r="AC187" s="27"/>
      <c r="AD187" s="56"/>
      <c r="AE187" s="27"/>
      <c r="AF187" s="56"/>
      <c r="AG187" s="27"/>
      <c r="AH187" s="286"/>
      <c r="AI187" s="27"/>
      <c r="AJ187" s="56"/>
      <c r="AK187" s="27"/>
      <c r="AL187" s="56"/>
      <c r="AM187" s="27"/>
      <c r="AN187" s="56"/>
      <c r="AO187" s="27"/>
      <c r="AP187" s="56"/>
      <c r="AQ187" s="27"/>
      <c r="AR187" s="56"/>
      <c r="AS187" s="27"/>
      <c r="AT187" s="56"/>
      <c r="AU187" s="27"/>
      <c r="AV187" s="56"/>
      <c r="AW187" s="27"/>
      <c r="AX187" s="56"/>
      <c r="AY187" s="27"/>
      <c r="AZ187" s="56"/>
      <c r="BA187" s="27"/>
      <c r="BB187" s="48"/>
      <c r="BC187" s="48"/>
      <c r="BD187" s="48"/>
      <c r="BE187" s="48"/>
      <c r="BF187" s="48"/>
      <c r="BG187" s="48"/>
      <c r="BH187" s="48"/>
      <c r="BI187" s="48"/>
      <c r="BJ187" s="48"/>
      <c r="BK187" s="48"/>
      <c r="BL187" s="48"/>
      <c r="BM187" s="48"/>
      <c r="BN187" s="48"/>
      <c r="BO187" s="48"/>
      <c r="BP187" s="48"/>
      <c r="BQ187" s="48"/>
      <c r="BR187" s="48"/>
      <c r="BS187" s="48"/>
      <c r="BT187" s="48"/>
      <c r="BU187" s="48"/>
    </row>
    <row r="188" ht="15.75" customHeight="1">
      <c r="A188" s="48"/>
      <c r="B188" s="48"/>
      <c r="C188" s="48"/>
      <c r="D188" s="48"/>
      <c r="E188" s="27"/>
      <c r="F188" s="48"/>
      <c r="G188" s="48"/>
      <c r="H188" s="56"/>
      <c r="I188" s="56"/>
      <c r="J188" s="56"/>
      <c r="K188" s="56"/>
      <c r="L188" s="56"/>
      <c r="M188" s="56"/>
      <c r="N188" s="56"/>
      <c r="O188" s="56"/>
      <c r="P188" s="56"/>
      <c r="Q188" s="56"/>
      <c r="R188" s="56"/>
      <c r="S188" s="56"/>
      <c r="T188" s="56"/>
      <c r="U188" s="56"/>
      <c r="V188" s="56"/>
      <c r="W188" s="27"/>
      <c r="X188" s="56"/>
      <c r="Y188" s="27"/>
      <c r="Z188" s="56"/>
      <c r="AA188" s="27"/>
      <c r="AB188" s="56"/>
      <c r="AC188" s="27"/>
      <c r="AD188" s="56"/>
      <c r="AE188" s="27"/>
      <c r="AF188" s="56"/>
      <c r="AG188" s="27"/>
      <c r="AH188" s="286"/>
      <c r="AI188" s="27"/>
      <c r="AJ188" s="56"/>
      <c r="AK188" s="27"/>
      <c r="AL188" s="56"/>
      <c r="AM188" s="27"/>
      <c r="AN188" s="56"/>
      <c r="AO188" s="27"/>
      <c r="AP188" s="56"/>
      <c r="AQ188" s="27"/>
      <c r="AR188" s="56"/>
      <c r="AS188" s="27"/>
      <c r="AT188" s="56"/>
      <c r="AU188" s="27"/>
      <c r="AV188" s="56"/>
      <c r="AW188" s="27"/>
      <c r="AX188" s="56"/>
      <c r="AY188" s="27"/>
      <c r="AZ188" s="56"/>
      <c r="BA188" s="27"/>
      <c r="BB188" s="48"/>
      <c r="BC188" s="48"/>
      <c r="BD188" s="48"/>
      <c r="BE188" s="48"/>
      <c r="BF188" s="48"/>
      <c r="BG188" s="48"/>
      <c r="BH188" s="48"/>
      <c r="BI188" s="48"/>
      <c r="BJ188" s="48"/>
      <c r="BK188" s="48"/>
      <c r="BL188" s="48"/>
      <c r="BM188" s="48"/>
      <c r="BN188" s="48"/>
      <c r="BO188" s="48"/>
      <c r="BP188" s="48"/>
      <c r="BQ188" s="48"/>
      <c r="BR188" s="48"/>
      <c r="BS188" s="48"/>
      <c r="BT188" s="48"/>
      <c r="BU188" s="48"/>
    </row>
    <row r="189" ht="15.75" customHeight="1">
      <c r="A189" s="48"/>
      <c r="B189" s="48"/>
      <c r="C189" s="48"/>
      <c r="D189" s="48"/>
      <c r="E189" s="27"/>
      <c r="F189" s="48"/>
      <c r="G189" s="48"/>
      <c r="H189" s="56"/>
      <c r="I189" s="56"/>
      <c r="J189" s="56"/>
      <c r="K189" s="56"/>
      <c r="L189" s="56"/>
      <c r="M189" s="56"/>
      <c r="N189" s="56"/>
      <c r="O189" s="56"/>
      <c r="P189" s="56"/>
      <c r="Q189" s="56"/>
      <c r="R189" s="56"/>
      <c r="S189" s="56"/>
      <c r="T189" s="56"/>
      <c r="U189" s="56"/>
      <c r="V189" s="56"/>
      <c r="W189" s="27"/>
      <c r="X189" s="56"/>
      <c r="Y189" s="27"/>
      <c r="Z189" s="56"/>
      <c r="AA189" s="27"/>
      <c r="AB189" s="56"/>
      <c r="AC189" s="27"/>
      <c r="AD189" s="56"/>
      <c r="AE189" s="27"/>
      <c r="AF189" s="56"/>
      <c r="AG189" s="27"/>
      <c r="AH189" s="286"/>
      <c r="AI189" s="27"/>
      <c r="AJ189" s="56"/>
      <c r="AK189" s="27"/>
      <c r="AL189" s="56"/>
      <c r="AM189" s="27"/>
      <c r="AN189" s="56"/>
      <c r="AO189" s="27"/>
      <c r="AP189" s="56"/>
      <c r="AQ189" s="27"/>
      <c r="AR189" s="56"/>
      <c r="AS189" s="27"/>
      <c r="AT189" s="56"/>
      <c r="AU189" s="27"/>
      <c r="AV189" s="56"/>
      <c r="AW189" s="27"/>
      <c r="AX189" s="56"/>
      <c r="AY189" s="27"/>
      <c r="AZ189" s="56"/>
      <c r="BA189" s="27"/>
      <c r="BB189" s="48"/>
      <c r="BC189" s="48"/>
      <c r="BD189" s="48"/>
      <c r="BE189" s="48"/>
      <c r="BF189" s="48"/>
      <c r="BG189" s="48"/>
      <c r="BH189" s="48"/>
      <c r="BI189" s="48"/>
      <c r="BJ189" s="48"/>
      <c r="BK189" s="48"/>
      <c r="BL189" s="48"/>
      <c r="BM189" s="48"/>
      <c r="BN189" s="48"/>
      <c r="BO189" s="48"/>
      <c r="BP189" s="48"/>
      <c r="BQ189" s="48"/>
      <c r="BR189" s="48"/>
      <c r="BS189" s="48"/>
      <c r="BT189" s="48"/>
      <c r="BU189" s="48"/>
    </row>
    <row r="190" ht="15.75" customHeight="1">
      <c r="A190" s="48"/>
      <c r="B190" s="48"/>
      <c r="C190" s="48"/>
      <c r="D190" s="48"/>
      <c r="E190" s="27"/>
      <c r="F190" s="48"/>
      <c r="G190" s="48"/>
      <c r="H190" s="56"/>
      <c r="I190" s="56"/>
      <c r="J190" s="56"/>
      <c r="K190" s="56"/>
      <c r="L190" s="56"/>
      <c r="M190" s="56"/>
      <c r="N190" s="56"/>
      <c r="O190" s="56"/>
      <c r="P190" s="56"/>
      <c r="Q190" s="56"/>
      <c r="R190" s="56"/>
      <c r="S190" s="56"/>
      <c r="T190" s="56"/>
      <c r="U190" s="56"/>
      <c r="V190" s="56"/>
      <c r="W190" s="27"/>
      <c r="X190" s="56"/>
      <c r="Y190" s="27"/>
      <c r="Z190" s="56"/>
      <c r="AA190" s="27"/>
      <c r="AB190" s="56"/>
      <c r="AC190" s="27"/>
      <c r="AD190" s="56"/>
      <c r="AE190" s="27"/>
      <c r="AF190" s="56"/>
      <c r="AG190" s="27"/>
      <c r="AH190" s="286"/>
      <c r="AI190" s="27"/>
      <c r="AJ190" s="56"/>
      <c r="AK190" s="27"/>
      <c r="AL190" s="56"/>
      <c r="AM190" s="27"/>
      <c r="AN190" s="56"/>
      <c r="AO190" s="27"/>
      <c r="AP190" s="56"/>
      <c r="AQ190" s="27"/>
      <c r="AR190" s="56"/>
      <c r="AS190" s="27"/>
      <c r="AT190" s="56"/>
      <c r="AU190" s="27"/>
      <c r="AV190" s="56"/>
      <c r="AW190" s="27"/>
      <c r="AX190" s="56"/>
      <c r="AY190" s="27"/>
      <c r="AZ190" s="56"/>
      <c r="BA190" s="27"/>
      <c r="BB190" s="48"/>
      <c r="BC190" s="48"/>
      <c r="BD190" s="48"/>
      <c r="BE190" s="48"/>
      <c r="BF190" s="48"/>
      <c r="BG190" s="48"/>
      <c r="BH190" s="48"/>
      <c r="BI190" s="48"/>
      <c r="BJ190" s="48"/>
      <c r="BK190" s="48"/>
      <c r="BL190" s="48"/>
      <c r="BM190" s="48"/>
      <c r="BN190" s="48"/>
      <c r="BO190" s="48"/>
      <c r="BP190" s="48"/>
      <c r="BQ190" s="48"/>
      <c r="BR190" s="48"/>
      <c r="BS190" s="48"/>
      <c r="BT190" s="48"/>
      <c r="BU190" s="48"/>
    </row>
    <row r="191" ht="15.75" customHeight="1">
      <c r="A191" s="48"/>
      <c r="B191" s="48"/>
      <c r="C191" s="48"/>
      <c r="D191" s="48"/>
      <c r="E191" s="27"/>
      <c r="F191" s="48"/>
      <c r="G191" s="48"/>
      <c r="H191" s="56"/>
      <c r="I191" s="56"/>
      <c r="J191" s="56"/>
      <c r="K191" s="56"/>
      <c r="L191" s="56"/>
      <c r="M191" s="56"/>
      <c r="N191" s="56"/>
      <c r="O191" s="56"/>
      <c r="P191" s="56"/>
      <c r="Q191" s="56"/>
      <c r="R191" s="56"/>
      <c r="S191" s="56"/>
      <c r="T191" s="56"/>
      <c r="U191" s="56"/>
      <c r="V191" s="56"/>
      <c r="W191" s="27"/>
      <c r="X191" s="56"/>
      <c r="Y191" s="27"/>
      <c r="Z191" s="56"/>
      <c r="AA191" s="27"/>
      <c r="AB191" s="56"/>
      <c r="AC191" s="27"/>
      <c r="AD191" s="56"/>
      <c r="AE191" s="27"/>
      <c r="AF191" s="56"/>
      <c r="AG191" s="27"/>
      <c r="AH191" s="286"/>
      <c r="AI191" s="27"/>
      <c r="AJ191" s="56"/>
      <c r="AK191" s="27"/>
      <c r="AL191" s="56"/>
      <c r="AM191" s="27"/>
      <c r="AN191" s="56"/>
      <c r="AO191" s="27"/>
      <c r="AP191" s="56"/>
      <c r="AQ191" s="27"/>
      <c r="AR191" s="56"/>
      <c r="AS191" s="27"/>
      <c r="AT191" s="56"/>
      <c r="AU191" s="27"/>
      <c r="AV191" s="56"/>
      <c r="AW191" s="27"/>
      <c r="AX191" s="56"/>
      <c r="AY191" s="27"/>
      <c r="AZ191" s="56"/>
      <c r="BA191" s="27"/>
      <c r="BB191" s="48"/>
      <c r="BC191" s="48"/>
      <c r="BD191" s="48"/>
      <c r="BE191" s="48"/>
      <c r="BF191" s="48"/>
      <c r="BG191" s="48"/>
      <c r="BH191" s="48"/>
      <c r="BI191" s="48"/>
      <c r="BJ191" s="48"/>
      <c r="BK191" s="48"/>
      <c r="BL191" s="48"/>
      <c r="BM191" s="48"/>
      <c r="BN191" s="48"/>
      <c r="BO191" s="48"/>
      <c r="BP191" s="48"/>
      <c r="BQ191" s="48"/>
      <c r="BR191" s="48"/>
      <c r="BS191" s="48"/>
      <c r="BT191" s="48"/>
      <c r="BU191" s="48"/>
    </row>
    <row r="192" ht="15.75" customHeight="1">
      <c r="A192" s="48"/>
      <c r="B192" s="48"/>
      <c r="C192" s="48"/>
      <c r="D192" s="48"/>
      <c r="E192" s="27"/>
      <c r="F192" s="48"/>
      <c r="G192" s="48"/>
      <c r="H192" s="56"/>
      <c r="I192" s="56"/>
      <c r="J192" s="56"/>
      <c r="K192" s="56"/>
      <c r="L192" s="56"/>
      <c r="M192" s="56"/>
      <c r="N192" s="56"/>
      <c r="O192" s="56"/>
      <c r="P192" s="56"/>
      <c r="Q192" s="56"/>
      <c r="R192" s="56"/>
      <c r="S192" s="56"/>
      <c r="T192" s="56"/>
      <c r="U192" s="56"/>
      <c r="V192" s="56"/>
      <c r="W192" s="27"/>
      <c r="X192" s="56"/>
      <c r="Y192" s="27"/>
      <c r="Z192" s="56"/>
      <c r="AA192" s="27"/>
      <c r="AB192" s="56"/>
      <c r="AC192" s="27"/>
      <c r="AD192" s="56"/>
      <c r="AE192" s="27"/>
      <c r="AF192" s="56"/>
      <c r="AG192" s="27"/>
      <c r="AH192" s="286"/>
      <c r="AI192" s="27"/>
      <c r="AJ192" s="56"/>
      <c r="AK192" s="27"/>
      <c r="AL192" s="56"/>
      <c r="AM192" s="27"/>
      <c r="AN192" s="56"/>
      <c r="AO192" s="27"/>
      <c r="AP192" s="56"/>
      <c r="AQ192" s="27"/>
      <c r="AR192" s="56"/>
      <c r="AS192" s="27"/>
      <c r="AT192" s="56"/>
      <c r="AU192" s="27"/>
      <c r="AV192" s="56"/>
      <c r="AW192" s="27"/>
      <c r="AX192" s="56"/>
      <c r="AY192" s="27"/>
      <c r="AZ192" s="56"/>
      <c r="BA192" s="27"/>
      <c r="BB192" s="48"/>
      <c r="BC192" s="48"/>
      <c r="BD192" s="48"/>
      <c r="BE192" s="48"/>
      <c r="BF192" s="48"/>
      <c r="BG192" s="48"/>
      <c r="BH192" s="48"/>
      <c r="BI192" s="48"/>
      <c r="BJ192" s="48"/>
      <c r="BK192" s="48"/>
      <c r="BL192" s="48"/>
      <c r="BM192" s="48"/>
      <c r="BN192" s="48"/>
      <c r="BO192" s="48"/>
      <c r="BP192" s="48"/>
      <c r="BQ192" s="48"/>
      <c r="BR192" s="48"/>
      <c r="BS192" s="48"/>
      <c r="BT192" s="48"/>
      <c r="BU192" s="48"/>
    </row>
    <row r="193" ht="15.75" customHeight="1">
      <c r="A193" s="48"/>
      <c r="B193" s="48"/>
      <c r="C193" s="48"/>
      <c r="D193" s="48"/>
      <c r="E193" s="27"/>
      <c r="F193" s="48"/>
      <c r="G193" s="48"/>
      <c r="H193" s="56"/>
      <c r="I193" s="56"/>
      <c r="J193" s="56"/>
      <c r="K193" s="56"/>
      <c r="L193" s="56"/>
      <c r="M193" s="56"/>
      <c r="N193" s="56"/>
      <c r="O193" s="56"/>
      <c r="P193" s="56"/>
      <c r="Q193" s="56"/>
      <c r="R193" s="56"/>
      <c r="S193" s="56"/>
      <c r="T193" s="56"/>
      <c r="U193" s="56"/>
      <c r="V193" s="56"/>
      <c r="W193" s="27"/>
      <c r="X193" s="56"/>
      <c r="Y193" s="27"/>
      <c r="Z193" s="56"/>
      <c r="AA193" s="27"/>
      <c r="AB193" s="56"/>
      <c r="AC193" s="27"/>
      <c r="AD193" s="56"/>
      <c r="AE193" s="27"/>
      <c r="AF193" s="56"/>
      <c r="AG193" s="27"/>
      <c r="AH193" s="286"/>
      <c r="AI193" s="27"/>
      <c r="AJ193" s="56"/>
      <c r="AK193" s="27"/>
      <c r="AL193" s="56"/>
      <c r="AM193" s="27"/>
      <c r="AN193" s="56"/>
      <c r="AO193" s="27"/>
      <c r="AP193" s="56"/>
      <c r="AQ193" s="27"/>
      <c r="AR193" s="56"/>
      <c r="AS193" s="27"/>
      <c r="AT193" s="56"/>
      <c r="AU193" s="27"/>
      <c r="AV193" s="56"/>
      <c r="AW193" s="27"/>
      <c r="AX193" s="56"/>
      <c r="AY193" s="27"/>
      <c r="AZ193" s="56"/>
      <c r="BA193" s="27"/>
      <c r="BB193" s="48"/>
      <c r="BC193" s="48"/>
      <c r="BD193" s="48"/>
      <c r="BE193" s="48"/>
      <c r="BF193" s="48"/>
      <c r="BG193" s="48"/>
      <c r="BH193" s="48"/>
      <c r="BI193" s="48"/>
      <c r="BJ193" s="48"/>
      <c r="BK193" s="48"/>
      <c r="BL193" s="48"/>
      <c r="BM193" s="48"/>
      <c r="BN193" s="48"/>
      <c r="BO193" s="48"/>
      <c r="BP193" s="48"/>
      <c r="BQ193" s="48"/>
      <c r="BR193" s="48"/>
      <c r="BS193" s="48"/>
      <c r="BT193" s="48"/>
      <c r="BU193" s="48"/>
    </row>
    <row r="194" ht="15.75" customHeight="1">
      <c r="A194" s="48"/>
      <c r="B194" s="48"/>
      <c r="C194" s="48"/>
      <c r="D194" s="48"/>
      <c r="E194" s="27"/>
      <c r="F194" s="48"/>
      <c r="G194" s="48"/>
      <c r="H194" s="56"/>
      <c r="I194" s="56"/>
      <c r="J194" s="56"/>
      <c r="K194" s="56"/>
      <c r="L194" s="56"/>
      <c r="M194" s="56"/>
      <c r="N194" s="56"/>
      <c r="O194" s="56"/>
      <c r="P194" s="56"/>
      <c r="Q194" s="56"/>
      <c r="R194" s="56"/>
      <c r="S194" s="56"/>
      <c r="T194" s="56"/>
      <c r="U194" s="56"/>
      <c r="V194" s="56"/>
      <c r="W194" s="27"/>
      <c r="X194" s="56"/>
      <c r="Y194" s="27"/>
      <c r="Z194" s="56"/>
      <c r="AA194" s="27"/>
      <c r="AB194" s="56"/>
      <c r="AC194" s="27"/>
      <c r="AD194" s="56"/>
      <c r="AE194" s="27"/>
      <c r="AF194" s="56"/>
      <c r="AG194" s="27"/>
      <c r="AH194" s="286"/>
      <c r="AI194" s="27"/>
      <c r="AJ194" s="56"/>
      <c r="AK194" s="27"/>
      <c r="AL194" s="56"/>
      <c r="AM194" s="27"/>
      <c r="AN194" s="56"/>
      <c r="AO194" s="27"/>
      <c r="AP194" s="56"/>
      <c r="AQ194" s="27"/>
      <c r="AR194" s="56"/>
      <c r="AS194" s="27"/>
      <c r="AT194" s="56"/>
      <c r="AU194" s="27"/>
      <c r="AV194" s="56"/>
      <c r="AW194" s="27"/>
      <c r="AX194" s="56"/>
      <c r="AY194" s="27"/>
      <c r="AZ194" s="56"/>
      <c r="BA194" s="27"/>
      <c r="BB194" s="48"/>
      <c r="BC194" s="48"/>
      <c r="BD194" s="48"/>
      <c r="BE194" s="48"/>
      <c r="BF194" s="48"/>
      <c r="BG194" s="48"/>
      <c r="BH194" s="48"/>
      <c r="BI194" s="48"/>
      <c r="BJ194" s="48"/>
      <c r="BK194" s="48"/>
      <c r="BL194" s="48"/>
      <c r="BM194" s="48"/>
      <c r="BN194" s="48"/>
      <c r="BO194" s="48"/>
      <c r="BP194" s="48"/>
      <c r="BQ194" s="48"/>
      <c r="BR194" s="48"/>
      <c r="BS194" s="48"/>
      <c r="BT194" s="48"/>
      <c r="BU194" s="48"/>
    </row>
    <row r="195" ht="15.75" customHeight="1">
      <c r="A195" s="48"/>
      <c r="B195" s="48"/>
      <c r="C195" s="48"/>
      <c r="D195" s="48"/>
      <c r="E195" s="27"/>
      <c r="F195" s="48"/>
      <c r="G195" s="48"/>
      <c r="H195" s="56"/>
      <c r="I195" s="56"/>
      <c r="J195" s="56"/>
      <c r="K195" s="56"/>
      <c r="L195" s="56"/>
      <c r="M195" s="56"/>
      <c r="N195" s="56"/>
      <c r="O195" s="56"/>
      <c r="P195" s="56"/>
      <c r="Q195" s="56"/>
      <c r="R195" s="56"/>
      <c r="S195" s="56"/>
      <c r="T195" s="56"/>
      <c r="U195" s="56"/>
      <c r="V195" s="56"/>
      <c r="W195" s="27"/>
      <c r="X195" s="56"/>
      <c r="Y195" s="27"/>
      <c r="Z195" s="56"/>
      <c r="AA195" s="27"/>
      <c r="AB195" s="56"/>
      <c r="AC195" s="27"/>
      <c r="AD195" s="56"/>
      <c r="AE195" s="27"/>
      <c r="AF195" s="56"/>
      <c r="AG195" s="27"/>
      <c r="AH195" s="286"/>
      <c r="AI195" s="27"/>
      <c r="AJ195" s="56"/>
      <c r="AK195" s="27"/>
      <c r="AL195" s="56"/>
      <c r="AM195" s="27"/>
      <c r="AN195" s="56"/>
      <c r="AO195" s="27"/>
      <c r="AP195" s="56"/>
      <c r="AQ195" s="27"/>
      <c r="AR195" s="56"/>
      <c r="AS195" s="27"/>
      <c r="AT195" s="56"/>
      <c r="AU195" s="27"/>
      <c r="AV195" s="56"/>
      <c r="AW195" s="27"/>
      <c r="AX195" s="56"/>
      <c r="AY195" s="27"/>
      <c r="AZ195" s="56"/>
      <c r="BA195" s="27"/>
      <c r="BB195" s="48"/>
      <c r="BC195" s="48"/>
      <c r="BD195" s="48"/>
      <c r="BE195" s="48"/>
      <c r="BF195" s="48"/>
      <c r="BG195" s="48"/>
      <c r="BH195" s="48"/>
      <c r="BI195" s="48"/>
      <c r="BJ195" s="48"/>
      <c r="BK195" s="48"/>
      <c r="BL195" s="48"/>
      <c r="BM195" s="48"/>
      <c r="BN195" s="48"/>
      <c r="BO195" s="48"/>
      <c r="BP195" s="48"/>
      <c r="BQ195" s="48"/>
      <c r="BR195" s="48"/>
      <c r="BS195" s="48"/>
      <c r="BT195" s="48"/>
      <c r="BU195" s="48"/>
    </row>
    <row r="196" ht="15.75" customHeight="1">
      <c r="A196" s="48"/>
      <c r="B196" s="48"/>
      <c r="C196" s="48"/>
      <c r="D196" s="48"/>
      <c r="E196" s="27"/>
      <c r="F196" s="48"/>
      <c r="G196" s="48"/>
      <c r="H196" s="56"/>
      <c r="I196" s="56"/>
      <c r="J196" s="56"/>
      <c r="K196" s="56"/>
      <c r="L196" s="56"/>
      <c r="M196" s="56"/>
      <c r="N196" s="56"/>
      <c r="O196" s="56"/>
      <c r="P196" s="56"/>
      <c r="Q196" s="56"/>
      <c r="R196" s="56"/>
      <c r="S196" s="56"/>
      <c r="T196" s="56"/>
      <c r="U196" s="56"/>
      <c r="V196" s="56"/>
      <c r="W196" s="27"/>
      <c r="X196" s="56"/>
      <c r="Y196" s="27"/>
      <c r="Z196" s="56"/>
      <c r="AA196" s="27"/>
      <c r="AB196" s="56"/>
      <c r="AC196" s="27"/>
      <c r="AD196" s="56"/>
      <c r="AE196" s="27"/>
      <c r="AF196" s="56"/>
      <c r="AG196" s="27"/>
      <c r="AH196" s="286"/>
      <c r="AI196" s="27"/>
      <c r="AJ196" s="56"/>
      <c r="AK196" s="27"/>
      <c r="AL196" s="56"/>
      <c r="AM196" s="27"/>
      <c r="AN196" s="56"/>
      <c r="AO196" s="27"/>
      <c r="AP196" s="56"/>
      <c r="AQ196" s="27"/>
      <c r="AR196" s="56"/>
      <c r="AS196" s="27"/>
      <c r="AT196" s="56"/>
      <c r="AU196" s="27"/>
      <c r="AV196" s="56"/>
      <c r="AW196" s="27"/>
      <c r="AX196" s="56"/>
      <c r="AY196" s="27"/>
      <c r="AZ196" s="56"/>
      <c r="BA196" s="27"/>
      <c r="BB196" s="48"/>
      <c r="BC196" s="48"/>
      <c r="BD196" s="48"/>
      <c r="BE196" s="48"/>
      <c r="BF196" s="48"/>
      <c r="BG196" s="48"/>
      <c r="BH196" s="48"/>
      <c r="BI196" s="48"/>
      <c r="BJ196" s="48"/>
      <c r="BK196" s="48"/>
      <c r="BL196" s="48"/>
      <c r="BM196" s="48"/>
      <c r="BN196" s="48"/>
      <c r="BO196" s="48"/>
      <c r="BP196" s="48"/>
      <c r="BQ196" s="48"/>
      <c r="BR196" s="48"/>
      <c r="BS196" s="48"/>
      <c r="BT196" s="48"/>
      <c r="BU196" s="48"/>
    </row>
    <row r="197" ht="15.75" customHeight="1">
      <c r="A197" s="48"/>
      <c r="B197" s="48"/>
      <c r="C197" s="48"/>
      <c r="D197" s="48"/>
      <c r="E197" s="27"/>
      <c r="F197" s="48"/>
      <c r="G197" s="48"/>
      <c r="H197" s="56"/>
      <c r="I197" s="56"/>
      <c r="J197" s="56"/>
      <c r="K197" s="56"/>
      <c r="L197" s="56"/>
      <c r="M197" s="56"/>
      <c r="N197" s="56"/>
      <c r="O197" s="56"/>
      <c r="P197" s="56"/>
      <c r="Q197" s="56"/>
      <c r="R197" s="56"/>
      <c r="S197" s="56"/>
      <c r="T197" s="56"/>
      <c r="U197" s="56"/>
      <c r="V197" s="56"/>
      <c r="W197" s="27"/>
      <c r="X197" s="56"/>
      <c r="Y197" s="27"/>
      <c r="Z197" s="56"/>
      <c r="AA197" s="27"/>
      <c r="AB197" s="56"/>
      <c r="AC197" s="27"/>
      <c r="AD197" s="56"/>
      <c r="AE197" s="27"/>
      <c r="AF197" s="56"/>
      <c r="AG197" s="27"/>
      <c r="AH197" s="286"/>
      <c r="AI197" s="27"/>
      <c r="AJ197" s="56"/>
      <c r="AK197" s="27"/>
      <c r="AL197" s="56"/>
      <c r="AM197" s="27"/>
      <c r="AN197" s="56"/>
      <c r="AO197" s="27"/>
      <c r="AP197" s="56"/>
      <c r="AQ197" s="27"/>
      <c r="AR197" s="56"/>
      <c r="AS197" s="27"/>
      <c r="AT197" s="56"/>
      <c r="AU197" s="27"/>
      <c r="AV197" s="56"/>
      <c r="AW197" s="27"/>
      <c r="AX197" s="56"/>
      <c r="AY197" s="27"/>
      <c r="AZ197" s="56"/>
      <c r="BA197" s="27"/>
      <c r="BB197" s="48"/>
      <c r="BC197" s="48"/>
      <c r="BD197" s="48"/>
      <c r="BE197" s="48"/>
      <c r="BF197" s="48"/>
      <c r="BG197" s="48"/>
      <c r="BH197" s="48"/>
      <c r="BI197" s="48"/>
      <c r="BJ197" s="48"/>
      <c r="BK197" s="48"/>
      <c r="BL197" s="48"/>
      <c r="BM197" s="48"/>
      <c r="BN197" s="48"/>
      <c r="BO197" s="48"/>
      <c r="BP197" s="48"/>
      <c r="BQ197" s="48"/>
      <c r="BR197" s="48"/>
      <c r="BS197" s="48"/>
      <c r="BT197" s="48"/>
      <c r="BU197" s="48"/>
    </row>
    <row r="198" ht="15.75" customHeight="1">
      <c r="A198" s="48"/>
      <c r="B198" s="48"/>
      <c r="C198" s="48"/>
      <c r="D198" s="48"/>
      <c r="E198" s="27"/>
      <c r="F198" s="48"/>
      <c r="G198" s="48"/>
      <c r="H198" s="56"/>
      <c r="I198" s="56"/>
      <c r="J198" s="56"/>
      <c r="K198" s="56"/>
      <c r="L198" s="56"/>
      <c r="M198" s="56"/>
      <c r="N198" s="56"/>
      <c r="O198" s="56"/>
      <c r="P198" s="56"/>
      <c r="Q198" s="56"/>
      <c r="R198" s="56"/>
      <c r="S198" s="56"/>
      <c r="T198" s="56"/>
      <c r="U198" s="56"/>
      <c r="V198" s="56"/>
      <c r="W198" s="27"/>
      <c r="X198" s="56"/>
      <c r="Y198" s="27"/>
      <c r="Z198" s="56"/>
      <c r="AA198" s="27"/>
      <c r="AB198" s="56"/>
      <c r="AC198" s="27"/>
      <c r="AD198" s="56"/>
      <c r="AE198" s="27"/>
      <c r="AF198" s="56"/>
      <c r="AG198" s="27"/>
      <c r="AH198" s="286"/>
      <c r="AI198" s="27"/>
      <c r="AJ198" s="56"/>
      <c r="AK198" s="27"/>
      <c r="AL198" s="56"/>
      <c r="AM198" s="27"/>
      <c r="AN198" s="56"/>
      <c r="AO198" s="27"/>
      <c r="AP198" s="56"/>
      <c r="AQ198" s="27"/>
      <c r="AR198" s="56"/>
      <c r="AS198" s="27"/>
      <c r="AT198" s="56"/>
      <c r="AU198" s="27"/>
      <c r="AV198" s="56"/>
      <c r="AW198" s="27"/>
      <c r="AX198" s="56"/>
      <c r="AY198" s="27"/>
      <c r="AZ198" s="56"/>
      <c r="BA198" s="27"/>
      <c r="BB198" s="48"/>
      <c r="BC198" s="48"/>
      <c r="BD198" s="48"/>
      <c r="BE198" s="48"/>
      <c r="BF198" s="48"/>
      <c r="BG198" s="48"/>
      <c r="BH198" s="48"/>
      <c r="BI198" s="48"/>
      <c r="BJ198" s="48"/>
      <c r="BK198" s="48"/>
      <c r="BL198" s="48"/>
      <c r="BM198" s="48"/>
      <c r="BN198" s="48"/>
      <c r="BO198" s="48"/>
      <c r="BP198" s="48"/>
      <c r="BQ198" s="48"/>
      <c r="BR198" s="48"/>
      <c r="BS198" s="48"/>
      <c r="BT198" s="48"/>
      <c r="BU198" s="48"/>
    </row>
    <row r="199" ht="15.75" customHeight="1">
      <c r="A199" s="48"/>
      <c r="B199" s="48"/>
      <c r="C199" s="48"/>
      <c r="D199" s="48"/>
      <c r="E199" s="27"/>
      <c r="F199" s="48"/>
      <c r="G199" s="48"/>
      <c r="H199" s="56"/>
      <c r="I199" s="56"/>
      <c r="J199" s="56"/>
      <c r="K199" s="56"/>
      <c r="L199" s="56"/>
      <c r="M199" s="56"/>
      <c r="N199" s="56"/>
      <c r="O199" s="56"/>
      <c r="P199" s="56"/>
      <c r="Q199" s="56"/>
      <c r="R199" s="56"/>
      <c r="S199" s="56"/>
      <c r="T199" s="56"/>
      <c r="U199" s="56"/>
      <c r="V199" s="56"/>
      <c r="W199" s="27"/>
      <c r="X199" s="56"/>
      <c r="Y199" s="27"/>
      <c r="Z199" s="56"/>
      <c r="AA199" s="27"/>
      <c r="AB199" s="56"/>
      <c r="AC199" s="27"/>
      <c r="AD199" s="56"/>
      <c r="AE199" s="27"/>
      <c r="AF199" s="56"/>
      <c r="AG199" s="27"/>
      <c r="AH199" s="286"/>
      <c r="AI199" s="27"/>
      <c r="AJ199" s="56"/>
      <c r="AK199" s="27"/>
      <c r="AL199" s="56"/>
      <c r="AM199" s="27"/>
      <c r="AN199" s="56"/>
      <c r="AO199" s="27"/>
      <c r="AP199" s="56"/>
      <c r="AQ199" s="27"/>
      <c r="AR199" s="56"/>
      <c r="AS199" s="27"/>
      <c r="AT199" s="56"/>
      <c r="AU199" s="27"/>
      <c r="AV199" s="56"/>
      <c r="AW199" s="27"/>
      <c r="AX199" s="56"/>
      <c r="AY199" s="27"/>
      <c r="AZ199" s="56"/>
      <c r="BA199" s="27"/>
      <c r="BB199" s="48"/>
      <c r="BC199" s="48"/>
      <c r="BD199" s="48"/>
      <c r="BE199" s="48"/>
      <c r="BF199" s="48"/>
      <c r="BG199" s="48"/>
      <c r="BH199" s="48"/>
      <c r="BI199" s="48"/>
      <c r="BJ199" s="48"/>
      <c r="BK199" s="48"/>
      <c r="BL199" s="48"/>
      <c r="BM199" s="48"/>
      <c r="BN199" s="48"/>
      <c r="BO199" s="48"/>
      <c r="BP199" s="48"/>
      <c r="BQ199" s="48"/>
      <c r="BR199" s="48"/>
      <c r="BS199" s="48"/>
      <c r="BT199" s="48"/>
      <c r="BU199" s="48"/>
    </row>
    <row r="200" ht="15.75" customHeight="1">
      <c r="A200" s="48"/>
      <c r="B200" s="48"/>
      <c r="C200" s="48"/>
      <c r="D200" s="48"/>
      <c r="E200" s="27"/>
      <c r="F200" s="48"/>
      <c r="G200" s="48"/>
      <c r="H200" s="56"/>
      <c r="I200" s="56"/>
      <c r="J200" s="56"/>
      <c r="K200" s="56"/>
      <c r="L200" s="56"/>
      <c r="M200" s="56"/>
      <c r="N200" s="56"/>
      <c r="O200" s="56"/>
      <c r="P200" s="56"/>
      <c r="Q200" s="56"/>
      <c r="R200" s="56"/>
      <c r="S200" s="56"/>
      <c r="T200" s="56"/>
      <c r="U200" s="56"/>
      <c r="V200" s="56"/>
      <c r="W200" s="27"/>
      <c r="X200" s="56"/>
      <c r="Y200" s="27"/>
      <c r="Z200" s="56"/>
      <c r="AA200" s="27"/>
      <c r="AB200" s="56"/>
      <c r="AC200" s="27"/>
      <c r="AD200" s="56"/>
      <c r="AE200" s="27"/>
      <c r="AF200" s="56"/>
      <c r="AG200" s="27"/>
      <c r="AH200" s="286"/>
      <c r="AI200" s="27"/>
      <c r="AJ200" s="56"/>
      <c r="AK200" s="27"/>
      <c r="AL200" s="56"/>
      <c r="AM200" s="27"/>
      <c r="AN200" s="56"/>
      <c r="AO200" s="27"/>
      <c r="AP200" s="56"/>
      <c r="AQ200" s="27"/>
      <c r="AR200" s="56"/>
      <c r="AS200" s="27"/>
      <c r="AT200" s="56"/>
      <c r="AU200" s="27"/>
      <c r="AV200" s="56"/>
      <c r="AW200" s="27"/>
      <c r="AX200" s="56"/>
      <c r="AY200" s="27"/>
      <c r="AZ200" s="56"/>
      <c r="BA200" s="27"/>
      <c r="BB200" s="48"/>
      <c r="BC200" s="48"/>
      <c r="BD200" s="48"/>
      <c r="BE200" s="48"/>
      <c r="BF200" s="48"/>
      <c r="BG200" s="48"/>
      <c r="BH200" s="48"/>
      <c r="BI200" s="48"/>
      <c r="BJ200" s="48"/>
      <c r="BK200" s="48"/>
      <c r="BL200" s="48"/>
      <c r="BM200" s="48"/>
      <c r="BN200" s="48"/>
      <c r="BO200" s="48"/>
      <c r="BP200" s="48"/>
      <c r="BQ200" s="48"/>
      <c r="BR200" s="48"/>
      <c r="BS200" s="48"/>
      <c r="BT200" s="48"/>
      <c r="BU200" s="48"/>
    </row>
    <row r="201" ht="15.75" customHeight="1">
      <c r="A201" s="48"/>
      <c r="B201" s="48"/>
      <c r="C201" s="48"/>
      <c r="D201" s="48"/>
      <c r="E201" s="27"/>
      <c r="F201" s="48"/>
      <c r="G201" s="48"/>
      <c r="H201" s="56"/>
      <c r="I201" s="56"/>
      <c r="J201" s="56"/>
      <c r="K201" s="56"/>
      <c r="L201" s="56"/>
      <c r="M201" s="56"/>
      <c r="N201" s="56"/>
      <c r="O201" s="56"/>
      <c r="P201" s="56"/>
      <c r="Q201" s="56"/>
      <c r="R201" s="56"/>
      <c r="S201" s="56"/>
      <c r="T201" s="56"/>
      <c r="U201" s="56"/>
      <c r="V201" s="56"/>
      <c r="W201" s="27"/>
      <c r="X201" s="56"/>
      <c r="Y201" s="27"/>
      <c r="Z201" s="56"/>
      <c r="AA201" s="27"/>
      <c r="AB201" s="56"/>
      <c r="AC201" s="27"/>
      <c r="AD201" s="56"/>
      <c r="AE201" s="27"/>
      <c r="AF201" s="56"/>
      <c r="AG201" s="27"/>
      <c r="AH201" s="286"/>
      <c r="AI201" s="27"/>
      <c r="AJ201" s="56"/>
      <c r="AK201" s="27"/>
      <c r="AL201" s="56"/>
      <c r="AM201" s="27"/>
      <c r="AN201" s="56"/>
      <c r="AO201" s="27"/>
      <c r="AP201" s="56"/>
      <c r="AQ201" s="27"/>
      <c r="AR201" s="56"/>
      <c r="AS201" s="27"/>
      <c r="AT201" s="56"/>
      <c r="AU201" s="27"/>
      <c r="AV201" s="56"/>
      <c r="AW201" s="27"/>
      <c r="AX201" s="56"/>
      <c r="AY201" s="27"/>
      <c r="AZ201" s="56"/>
      <c r="BA201" s="27"/>
      <c r="BB201" s="48"/>
      <c r="BC201" s="48"/>
      <c r="BD201" s="48"/>
      <c r="BE201" s="48"/>
      <c r="BF201" s="48"/>
      <c r="BG201" s="48"/>
      <c r="BH201" s="48"/>
      <c r="BI201" s="48"/>
      <c r="BJ201" s="48"/>
      <c r="BK201" s="48"/>
      <c r="BL201" s="48"/>
      <c r="BM201" s="48"/>
      <c r="BN201" s="48"/>
      <c r="BO201" s="48"/>
      <c r="BP201" s="48"/>
      <c r="BQ201" s="48"/>
      <c r="BR201" s="48"/>
      <c r="BS201" s="48"/>
      <c r="BT201" s="48"/>
      <c r="BU201" s="48"/>
    </row>
    <row r="202" ht="15.75" customHeight="1">
      <c r="A202" s="48"/>
      <c r="B202" s="48"/>
      <c r="C202" s="48"/>
      <c r="D202" s="48"/>
      <c r="E202" s="27"/>
      <c r="F202" s="48"/>
      <c r="G202" s="48"/>
      <c r="H202" s="56"/>
      <c r="I202" s="56"/>
      <c r="J202" s="56"/>
      <c r="K202" s="56"/>
      <c r="L202" s="56"/>
      <c r="M202" s="56"/>
      <c r="N202" s="56"/>
      <c r="O202" s="56"/>
      <c r="P202" s="56"/>
      <c r="Q202" s="56"/>
      <c r="R202" s="56"/>
      <c r="S202" s="56"/>
      <c r="T202" s="56"/>
      <c r="U202" s="56"/>
      <c r="V202" s="56"/>
      <c r="W202" s="27"/>
      <c r="X202" s="56"/>
      <c r="Y202" s="27"/>
      <c r="Z202" s="56"/>
      <c r="AA202" s="27"/>
      <c r="AB202" s="56"/>
      <c r="AC202" s="27"/>
      <c r="AD202" s="56"/>
      <c r="AE202" s="27"/>
      <c r="AF202" s="56"/>
      <c r="AG202" s="27"/>
      <c r="AH202" s="286"/>
      <c r="AI202" s="27"/>
      <c r="AJ202" s="56"/>
      <c r="AK202" s="27"/>
      <c r="AL202" s="56"/>
      <c r="AM202" s="27"/>
      <c r="AN202" s="56"/>
      <c r="AO202" s="27"/>
      <c r="AP202" s="56"/>
      <c r="AQ202" s="27"/>
      <c r="AR202" s="56"/>
      <c r="AS202" s="27"/>
      <c r="AT202" s="56"/>
      <c r="AU202" s="27"/>
      <c r="AV202" s="56"/>
      <c r="AW202" s="27"/>
      <c r="AX202" s="56"/>
      <c r="AY202" s="27"/>
      <c r="AZ202" s="56"/>
      <c r="BA202" s="27"/>
      <c r="BB202" s="48"/>
      <c r="BC202" s="48"/>
      <c r="BD202" s="48"/>
      <c r="BE202" s="48"/>
      <c r="BF202" s="48"/>
      <c r="BG202" s="48"/>
      <c r="BH202" s="48"/>
      <c r="BI202" s="48"/>
      <c r="BJ202" s="48"/>
      <c r="BK202" s="48"/>
      <c r="BL202" s="48"/>
      <c r="BM202" s="48"/>
      <c r="BN202" s="48"/>
      <c r="BO202" s="48"/>
      <c r="BP202" s="48"/>
      <c r="BQ202" s="48"/>
      <c r="BR202" s="48"/>
      <c r="BS202" s="48"/>
      <c r="BT202" s="48"/>
      <c r="BU202" s="48"/>
    </row>
    <row r="203" ht="15.75" customHeight="1">
      <c r="A203" s="48"/>
      <c r="B203" s="48"/>
      <c r="C203" s="48"/>
      <c r="D203" s="48"/>
      <c r="E203" s="27"/>
      <c r="F203" s="48"/>
      <c r="G203" s="48"/>
      <c r="H203" s="56"/>
      <c r="I203" s="56"/>
      <c r="J203" s="56"/>
      <c r="K203" s="56"/>
      <c r="L203" s="56"/>
      <c r="M203" s="56"/>
      <c r="N203" s="56"/>
      <c r="O203" s="56"/>
      <c r="P203" s="56"/>
      <c r="Q203" s="56"/>
      <c r="R203" s="56"/>
      <c r="S203" s="56"/>
      <c r="T203" s="56"/>
      <c r="U203" s="56"/>
      <c r="V203" s="56"/>
      <c r="W203" s="27"/>
      <c r="X203" s="56"/>
      <c r="Y203" s="27"/>
      <c r="Z203" s="56"/>
      <c r="AA203" s="27"/>
      <c r="AB203" s="56"/>
      <c r="AC203" s="27"/>
      <c r="AD203" s="56"/>
      <c r="AE203" s="27"/>
      <c r="AF203" s="56"/>
      <c r="AG203" s="27"/>
      <c r="AH203" s="286"/>
      <c r="AI203" s="27"/>
      <c r="AJ203" s="56"/>
      <c r="AK203" s="27"/>
      <c r="AL203" s="56"/>
      <c r="AM203" s="27"/>
      <c r="AN203" s="56"/>
      <c r="AO203" s="27"/>
      <c r="AP203" s="56"/>
      <c r="AQ203" s="27"/>
      <c r="AR203" s="56"/>
      <c r="AS203" s="27"/>
      <c r="AT203" s="56"/>
      <c r="AU203" s="27"/>
      <c r="AV203" s="56"/>
      <c r="AW203" s="27"/>
      <c r="AX203" s="56"/>
      <c r="AY203" s="27"/>
      <c r="AZ203" s="56"/>
      <c r="BA203" s="27"/>
      <c r="BB203" s="48"/>
      <c r="BC203" s="48"/>
      <c r="BD203" s="48"/>
      <c r="BE203" s="48"/>
      <c r="BF203" s="48"/>
      <c r="BG203" s="48"/>
      <c r="BH203" s="48"/>
      <c r="BI203" s="48"/>
      <c r="BJ203" s="48"/>
      <c r="BK203" s="48"/>
      <c r="BL203" s="48"/>
      <c r="BM203" s="48"/>
      <c r="BN203" s="48"/>
      <c r="BO203" s="48"/>
      <c r="BP203" s="48"/>
      <c r="BQ203" s="48"/>
      <c r="BR203" s="48"/>
      <c r="BS203" s="48"/>
      <c r="BT203" s="48"/>
      <c r="BU203" s="48"/>
    </row>
    <row r="204" ht="15.75" customHeight="1">
      <c r="A204" s="48"/>
      <c r="B204" s="48"/>
      <c r="C204" s="48"/>
      <c r="D204" s="48"/>
      <c r="E204" s="27"/>
      <c r="F204" s="48"/>
      <c r="G204" s="48"/>
      <c r="H204" s="56"/>
      <c r="I204" s="56"/>
      <c r="J204" s="56"/>
      <c r="K204" s="56"/>
      <c r="L204" s="56"/>
      <c r="M204" s="56"/>
      <c r="N204" s="56"/>
      <c r="O204" s="56"/>
      <c r="P204" s="56"/>
      <c r="Q204" s="56"/>
      <c r="R204" s="56"/>
      <c r="S204" s="56"/>
      <c r="T204" s="56"/>
      <c r="U204" s="56"/>
      <c r="V204" s="56"/>
      <c r="W204" s="27"/>
      <c r="X204" s="56"/>
      <c r="Y204" s="27"/>
      <c r="Z204" s="56"/>
      <c r="AA204" s="27"/>
      <c r="AB204" s="56"/>
      <c r="AC204" s="27"/>
      <c r="AD204" s="56"/>
      <c r="AE204" s="27"/>
      <c r="AF204" s="56"/>
      <c r="AG204" s="27"/>
      <c r="AH204" s="286"/>
      <c r="AI204" s="27"/>
      <c r="AJ204" s="56"/>
      <c r="AK204" s="27"/>
      <c r="AL204" s="56"/>
      <c r="AM204" s="27"/>
      <c r="AN204" s="56"/>
      <c r="AO204" s="27"/>
      <c r="AP204" s="56"/>
      <c r="AQ204" s="27"/>
      <c r="AR204" s="56"/>
      <c r="AS204" s="27"/>
      <c r="AT204" s="56"/>
      <c r="AU204" s="27"/>
      <c r="AV204" s="56"/>
      <c r="AW204" s="27"/>
      <c r="AX204" s="56"/>
      <c r="AY204" s="27"/>
      <c r="AZ204" s="56"/>
      <c r="BA204" s="27"/>
      <c r="BB204" s="48"/>
      <c r="BC204" s="48"/>
      <c r="BD204" s="48"/>
      <c r="BE204" s="48"/>
      <c r="BF204" s="48"/>
      <c r="BG204" s="48"/>
      <c r="BH204" s="48"/>
      <c r="BI204" s="48"/>
      <c r="BJ204" s="48"/>
      <c r="BK204" s="48"/>
      <c r="BL204" s="48"/>
      <c r="BM204" s="48"/>
      <c r="BN204" s="48"/>
      <c r="BO204" s="48"/>
      <c r="BP204" s="48"/>
      <c r="BQ204" s="48"/>
      <c r="BR204" s="48"/>
      <c r="BS204" s="48"/>
      <c r="BT204" s="48"/>
      <c r="BU204" s="48"/>
    </row>
    <row r="205" ht="15.75" customHeight="1">
      <c r="A205" s="48"/>
      <c r="B205" s="48"/>
      <c r="C205" s="48"/>
      <c r="D205" s="48"/>
      <c r="E205" s="27"/>
      <c r="F205" s="48"/>
      <c r="G205" s="48"/>
      <c r="H205" s="56"/>
      <c r="I205" s="56"/>
      <c r="J205" s="56"/>
      <c r="K205" s="56"/>
      <c r="L205" s="56"/>
      <c r="M205" s="56"/>
      <c r="N205" s="56"/>
      <c r="O205" s="56"/>
      <c r="P205" s="56"/>
      <c r="Q205" s="56"/>
      <c r="R205" s="56"/>
      <c r="S205" s="56"/>
      <c r="T205" s="56"/>
      <c r="U205" s="56"/>
      <c r="V205" s="56"/>
      <c r="W205" s="27"/>
      <c r="X205" s="56"/>
      <c r="Y205" s="27"/>
      <c r="Z205" s="56"/>
      <c r="AA205" s="27"/>
      <c r="AB205" s="56"/>
      <c r="AC205" s="27"/>
      <c r="AD205" s="56"/>
      <c r="AE205" s="27"/>
      <c r="AF205" s="56"/>
      <c r="AG205" s="27"/>
      <c r="AH205" s="286"/>
      <c r="AI205" s="27"/>
      <c r="AJ205" s="56"/>
      <c r="AK205" s="27"/>
      <c r="AL205" s="56"/>
      <c r="AM205" s="27"/>
      <c r="AN205" s="56"/>
      <c r="AO205" s="27"/>
      <c r="AP205" s="56"/>
      <c r="AQ205" s="27"/>
      <c r="AR205" s="56"/>
      <c r="AS205" s="27"/>
      <c r="AT205" s="56"/>
      <c r="AU205" s="27"/>
      <c r="AV205" s="56"/>
      <c r="AW205" s="27"/>
      <c r="AX205" s="56"/>
      <c r="AY205" s="27"/>
      <c r="AZ205" s="56"/>
      <c r="BA205" s="27"/>
      <c r="BB205" s="48"/>
      <c r="BC205" s="48"/>
      <c r="BD205" s="48"/>
      <c r="BE205" s="48"/>
      <c r="BF205" s="48"/>
      <c r="BG205" s="48"/>
      <c r="BH205" s="48"/>
      <c r="BI205" s="48"/>
      <c r="BJ205" s="48"/>
      <c r="BK205" s="48"/>
      <c r="BL205" s="48"/>
      <c r="BM205" s="48"/>
      <c r="BN205" s="48"/>
      <c r="BO205" s="48"/>
      <c r="BP205" s="48"/>
      <c r="BQ205" s="48"/>
      <c r="BR205" s="48"/>
      <c r="BS205" s="48"/>
      <c r="BT205" s="48"/>
      <c r="BU205" s="48"/>
    </row>
    <row r="206" ht="15.75" customHeight="1">
      <c r="A206" s="48"/>
      <c r="B206" s="48"/>
      <c r="C206" s="48"/>
      <c r="D206" s="48"/>
      <c r="E206" s="27"/>
      <c r="F206" s="48"/>
      <c r="G206" s="48"/>
      <c r="H206" s="56"/>
      <c r="I206" s="56"/>
      <c r="J206" s="56"/>
      <c r="K206" s="56"/>
      <c r="L206" s="56"/>
      <c r="M206" s="56"/>
      <c r="N206" s="56"/>
      <c r="O206" s="56"/>
      <c r="P206" s="56"/>
      <c r="Q206" s="56"/>
      <c r="R206" s="56"/>
      <c r="S206" s="56"/>
      <c r="T206" s="56"/>
      <c r="U206" s="56"/>
      <c r="V206" s="56"/>
      <c r="W206" s="27"/>
      <c r="X206" s="56"/>
      <c r="Y206" s="27"/>
      <c r="Z206" s="56"/>
      <c r="AA206" s="27"/>
      <c r="AB206" s="56"/>
      <c r="AC206" s="27"/>
      <c r="AD206" s="56"/>
      <c r="AE206" s="27"/>
      <c r="AF206" s="56"/>
      <c r="AG206" s="27"/>
      <c r="AH206" s="286"/>
      <c r="AI206" s="27"/>
      <c r="AJ206" s="56"/>
      <c r="AK206" s="27"/>
      <c r="AL206" s="56"/>
      <c r="AM206" s="27"/>
      <c r="AN206" s="56"/>
      <c r="AO206" s="27"/>
      <c r="AP206" s="56"/>
      <c r="AQ206" s="27"/>
      <c r="AR206" s="56"/>
      <c r="AS206" s="27"/>
      <c r="AT206" s="56"/>
      <c r="AU206" s="27"/>
      <c r="AV206" s="56"/>
      <c r="AW206" s="27"/>
      <c r="AX206" s="56"/>
      <c r="AY206" s="27"/>
      <c r="AZ206" s="56"/>
      <c r="BA206" s="27"/>
      <c r="BB206" s="48"/>
      <c r="BC206" s="48"/>
      <c r="BD206" s="48"/>
      <c r="BE206" s="48"/>
      <c r="BF206" s="48"/>
      <c r="BG206" s="48"/>
      <c r="BH206" s="48"/>
      <c r="BI206" s="48"/>
      <c r="BJ206" s="48"/>
      <c r="BK206" s="48"/>
      <c r="BL206" s="48"/>
      <c r="BM206" s="48"/>
      <c r="BN206" s="48"/>
      <c r="BO206" s="48"/>
      <c r="BP206" s="48"/>
      <c r="BQ206" s="48"/>
      <c r="BR206" s="48"/>
      <c r="BS206" s="48"/>
      <c r="BT206" s="48"/>
      <c r="BU206" s="48"/>
    </row>
    <row r="207" ht="15.75" customHeight="1">
      <c r="A207" s="48"/>
      <c r="B207" s="48"/>
      <c r="C207" s="48"/>
      <c r="D207" s="48"/>
      <c r="E207" s="27"/>
      <c r="F207" s="48"/>
      <c r="G207" s="48"/>
      <c r="H207" s="56"/>
      <c r="I207" s="56"/>
      <c r="J207" s="56"/>
      <c r="K207" s="56"/>
      <c r="L207" s="56"/>
      <c r="M207" s="56"/>
      <c r="N207" s="56"/>
      <c r="O207" s="56"/>
      <c r="P207" s="56"/>
      <c r="Q207" s="56"/>
      <c r="R207" s="56"/>
      <c r="S207" s="56"/>
      <c r="T207" s="56"/>
      <c r="U207" s="56"/>
      <c r="V207" s="56"/>
      <c r="W207" s="27"/>
      <c r="X207" s="56"/>
      <c r="Y207" s="27"/>
      <c r="Z207" s="56"/>
      <c r="AA207" s="27"/>
      <c r="AB207" s="56"/>
      <c r="AC207" s="27"/>
      <c r="AD207" s="56"/>
      <c r="AE207" s="27"/>
      <c r="AF207" s="56"/>
      <c r="AG207" s="27"/>
      <c r="AH207" s="286"/>
      <c r="AI207" s="27"/>
      <c r="AJ207" s="56"/>
      <c r="AK207" s="27"/>
      <c r="AL207" s="56"/>
      <c r="AM207" s="27"/>
      <c r="AN207" s="56"/>
      <c r="AO207" s="27"/>
      <c r="AP207" s="56"/>
      <c r="AQ207" s="27"/>
      <c r="AR207" s="56"/>
      <c r="AS207" s="27"/>
      <c r="AT207" s="56"/>
      <c r="AU207" s="27"/>
      <c r="AV207" s="56"/>
      <c r="AW207" s="27"/>
      <c r="AX207" s="56"/>
      <c r="AY207" s="27"/>
      <c r="AZ207" s="56"/>
      <c r="BA207" s="27"/>
      <c r="BB207" s="48"/>
      <c r="BC207" s="48"/>
      <c r="BD207" s="48"/>
      <c r="BE207" s="48"/>
      <c r="BF207" s="48"/>
      <c r="BG207" s="48"/>
      <c r="BH207" s="48"/>
      <c r="BI207" s="48"/>
      <c r="BJ207" s="48"/>
      <c r="BK207" s="48"/>
      <c r="BL207" s="48"/>
      <c r="BM207" s="48"/>
      <c r="BN207" s="48"/>
      <c r="BO207" s="48"/>
      <c r="BP207" s="48"/>
      <c r="BQ207" s="48"/>
      <c r="BR207" s="48"/>
      <c r="BS207" s="48"/>
      <c r="BT207" s="48"/>
      <c r="BU207" s="48"/>
    </row>
    <row r="208" ht="15.75" customHeight="1">
      <c r="A208" s="48"/>
      <c r="B208" s="48"/>
      <c r="C208" s="48"/>
      <c r="D208" s="48"/>
      <c r="E208" s="27"/>
      <c r="F208" s="48"/>
      <c r="G208" s="48"/>
      <c r="H208" s="56"/>
      <c r="I208" s="56"/>
      <c r="J208" s="56"/>
      <c r="K208" s="56"/>
      <c r="L208" s="56"/>
      <c r="M208" s="56"/>
      <c r="N208" s="56"/>
      <c r="O208" s="56"/>
      <c r="P208" s="56"/>
      <c r="Q208" s="56"/>
      <c r="R208" s="56"/>
      <c r="S208" s="56"/>
      <c r="T208" s="56"/>
      <c r="U208" s="56"/>
      <c r="V208" s="56"/>
      <c r="W208" s="27"/>
      <c r="X208" s="56"/>
      <c r="Y208" s="27"/>
      <c r="Z208" s="56"/>
      <c r="AA208" s="27"/>
      <c r="AB208" s="56"/>
      <c r="AC208" s="27"/>
      <c r="AD208" s="56"/>
      <c r="AE208" s="27"/>
      <c r="AF208" s="56"/>
      <c r="AG208" s="27"/>
      <c r="AH208" s="286"/>
      <c r="AI208" s="27"/>
      <c r="AJ208" s="56"/>
      <c r="AK208" s="27"/>
      <c r="AL208" s="56"/>
      <c r="AM208" s="27"/>
      <c r="AN208" s="56"/>
      <c r="AO208" s="27"/>
      <c r="AP208" s="56"/>
      <c r="AQ208" s="27"/>
      <c r="AR208" s="56"/>
      <c r="AS208" s="27"/>
      <c r="AT208" s="56"/>
      <c r="AU208" s="27"/>
      <c r="AV208" s="56"/>
      <c r="AW208" s="27"/>
      <c r="AX208" s="56"/>
      <c r="AY208" s="27"/>
      <c r="AZ208" s="56"/>
      <c r="BA208" s="27"/>
      <c r="BB208" s="48"/>
      <c r="BC208" s="48"/>
      <c r="BD208" s="48"/>
      <c r="BE208" s="48"/>
      <c r="BF208" s="48"/>
      <c r="BG208" s="48"/>
      <c r="BH208" s="48"/>
      <c r="BI208" s="48"/>
      <c r="BJ208" s="48"/>
      <c r="BK208" s="48"/>
      <c r="BL208" s="48"/>
      <c r="BM208" s="48"/>
      <c r="BN208" s="48"/>
      <c r="BO208" s="48"/>
      <c r="BP208" s="48"/>
      <c r="BQ208" s="48"/>
      <c r="BR208" s="48"/>
      <c r="BS208" s="48"/>
      <c r="BT208" s="48"/>
      <c r="BU208" s="48"/>
    </row>
    <row r="209" ht="15.75" customHeight="1">
      <c r="A209" s="48"/>
      <c r="B209" s="48"/>
      <c r="C209" s="48"/>
      <c r="D209" s="48"/>
      <c r="E209" s="27"/>
      <c r="F209" s="48"/>
      <c r="G209" s="48"/>
      <c r="H209" s="56"/>
      <c r="I209" s="56"/>
      <c r="J209" s="56"/>
      <c r="K209" s="56"/>
      <c r="L209" s="56"/>
      <c r="M209" s="56"/>
      <c r="N209" s="56"/>
      <c r="O209" s="56"/>
      <c r="P209" s="56"/>
      <c r="Q209" s="56"/>
      <c r="R209" s="56"/>
      <c r="S209" s="56"/>
      <c r="T209" s="56"/>
      <c r="U209" s="56"/>
      <c r="V209" s="56"/>
      <c r="W209" s="27"/>
      <c r="X209" s="56"/>
      <c r="Y209" s="27"/>
      <c r="Z209" s="56"/>
      <c r="AA209" s="27"/>
      <c r="AB209" s="56"/>
      <c r="AC209" s="27"/>
      <c r="AD209" s="56"/>
      <c r="AE209" s="27"/>
      <c r="AF209" s="56"/>
      <c r="AG209" s="27"/>
      <c r="AH209" s="286"/>
      <c r="AI209" s="27"/>
      <c r="AJ209" s="56"/>
      <c r="AK209" s="27"/>
      <c r="AL209" s="56"/>
      <c r="AM209" s="27"/>
      <c r="AN209" s="56"/>
      <c r="AO209" s="27"/>
      <c r="AP209" s="56"/>
      <c r="AQ209" s="27"/>
      <c r="AR209" s="56"/>
      <c r="AS209" s="27"/>
      <c r="AT209" s="56"/>
      <c r="AU209" s="27"/>
      <c r="AV209" s="56"/>
      <c r="AW209" s="27"/>
      <c r="AX209" s="56"/>
      <c r="AY209" s="27"/>
      <c r="AZ209" s="56"/>
      <c r="BA209" s="27"/>
      <c r="BB209" s="48"/>
      <c r="BC209" s="48"/>
      <c r="BD209" s="48"/>
      <c r="BE209" s="48"/>
      <c r="BF209" s="48"/>
      <c r="BG209" s="48"/>
      <c r="BH209" s="48"/>
      <c r="BI209" s="48"/>
      <c r="BJ209" s="48"/>
      <c r="BK209" s="48"/>
      <c r="BL209" s="48"/>
      <c r="BM209" s="48"/>
      <c r="BN209" s="48"/>
      <c r="BO209" s="48"/>
      <c r="BP209" s="48"/>
      <c r="BQ209" s="48"/>
      <c r="BR209" s="48"/>
      <c r="BS209" s="48"/>
      <c r="BT209" s="48"/>
      <c r="BU209" s="48"/>
    </row>
    <row r="210" ht="15.75" customHeight="1">
      <c r="A210" s="48"/>
      <c r="B210" s="48"/>
      <c r="C210" s="48"/>
      <c r="D210" s="48"/>
      <c r="E210" s="27"/>
      <c r="F210" s="48"/>
      <c r="G210" s="48"/>
      <c r="H210" s="56"/>
      <c r="I210" s="56"/>
      <c r="J210" s="56"/>
      <c r="K210" s="56"/>
      <c r="L210" s="56"/>
      <c r="M210" s="56"/>
      <c r="N210" s="56"/>
      <c r="O210" s="56"/>
      <c r="P210" s="56"/>
      <c r="Q210" s="56"/>
      <c r="R210" s="56"/>
      <c r="S210" s="56"/>
      <c r="T210" s="56"/>
      <c r="U210" s="56"/>
      <c r="V210" s="56"/>
      <c r="W210" s="27"/>
      <c r="X210" s="56"/>
      <c r="Y210" s="27"/>
      <c r="Z210" s="56"/>
      <c r="AA210" s="27"/>
      <c r="AB210" s="56"/>
      <c r="AC210" s="27"/>
      <c r="AD210" s="56"/>
      <c r="AE210" s="27"/>
      <c r="AF210" s="56"/>
      <c r="AG210" s="27"/>
      <c r="AH210" s="286"/>
      <c r="AI210" s="27"/>
      <c r="AJ210" s="56"/>
      <c r="AK210" s="27"/>
      <c r="AL210" s="56"/>
      <c r="AM210" s="27"/>
      <c r="AN210" s="56"/>
      <c r="AO210" s="27"/>
      <c r="AP210" s="56"/>
      <c r="AQ210" s="27"/>
      <c r="AR210" s="56"/>
      <c r="AS210" s="27"/>
      <c r="AT210" s="56"/>
      <c r="AU210" s="27"/>
      <c r="AV210" s="56"/>
      <c r="AW210" s="27"/>
      <c r="AX210" s="56"/>
      <c r="AY210" s="27"/>
      <c r="AZ210" s="56"/>
      <c r="BA210" s="27"/>
      <c r="BB210" s="48"/>
      <c r="BC210" s="48"/>
      <c r="BD210" s="48"/>
      <c r="BE210" s="48"/>
      <c r="BF210" s="48"/>
      <c r="BG210" s="48"/>
      <c r="BH210" s="48"/>
      <c r="BI210" s="48"/>
      <c r="BJ210" s="48"/>
      <c r="BK210" s="48"/>
      <c r="BL210" s="48"/>
      <c r="BM210" s="48"/>
      <c r="BN210" s="48"/>
      <c r="BO210" s="48"/>
      <c r="BP210" s="48"/>
      <c r="BQ210" s="48"/>
      <c r="BR210" s="48"/>
      <c r="BS210" s="48"/>
      <c r="BT210" s="48"/>
      <c r="BU210" s="48"/>
    </row>
    <row r="211" ht="15.75" customHeight="1">
      <c r="A211" s="48"/>
      <c r="B211" s="48"/>
      <c r="C211" s="48"/>
      <c r="D211" s="48"/>
      <c r="E211" s="27"/>
      <c r="F211" s="48"/>
      <c r="G211" s="48"/>
      <c r="H211" s="56"/>
      <c r="I211" s="56"/>
      <c r="J211" s="56"/>
      <c r="K211" s="56"/>
      <c r="L211" s="56"/>
      <c r="M211" s="56"/>
      <c r="N211" s="56"/>
      <c r="O211" s="56"/>
      <c r="P211" s="56"/>
      <c r="Q211" s="56"/>
      <c r="R211" s="56"/>
      <c r="S211" s="56"/>
      <c r="T211" s="56"/>
      <c r="U211" s="56"/>
      <c r="V211" s="56"/>
      <c r="W211" s="27"/>
      <c r="X211" s="56"/>
      <c r="Y211" s="27"/>
      <c r="Z211" s="56"/>
      <c r="AA211" s="27"/>
      <c r="AB211" s="56"/>
      <c r="AC211" s="27"/>
      <c r="AD211" s="56"/>
      <c r="AE211" s="27"/>
      <c r="AF211" s="56"/>
      <c r="AG211" s="27"/>
      <c r="AH211" s="286"/>
      <c r="AI211" s="27"/>
      <c r="AJ211" s="56"/>
      <c r="AK211" s="27"/>
      <c r="AL211" s="56"/>
      <c r="AM211" s="27"/>
      <c r="AN211" s="56"/>
      <c r="AO211" s="27"/>
      <c r="AP211" s="56"/>
      <c r="AQ211" s="27"/>
      <c r="AR211" s="56"/>
      <c r="AS211" s="27"/>
      <c r="AT211" s="56"/>
      <c r="AU211" s="27"/>
      <c r="AV211" s="56"/>
      <c r="AW211" s="27"/>
      <c r="AX211" s="56"/>
      <c r="AY211" s="27"/>
      <c r="AZ211" s="56"/>
      <c r="BA211" s="27"/>
      <c r="BB211" s="48"/>
      <c r="BC211" s="48"/>
      <c r="BD211" s="48"/>
      <c r="BE211" s="48"/>
      <c r="BF211" s="48"/>
      <c r="BG211" s="48"/>
      <c r="BH211" s="48"/>
      <c r="BI211" s="48"/>
      <c r="BJ211" s="48"/>
      <c r="BK211" s="48"/>
      <c r="BL211" s="48"/>
      <c r="BM211" s="48"/>
      <c r="BN211" s="48"/>
      <c r="BO211" s="48"/>
      <c r="BP211" s="48"/>
      <c r="BQ211" s="48"/>
      <c r="BR211" s="48"/>
      <c r="BS211" s="48"/>
      <c r="BT211" s="48"/>
      <c r="BU211" s="48"/>
    </row>
    <row r="212" ht="15.75" customHeight="1">
      <c r="A212" s="48"/>
      <c r="B212" s="48"/>
      <c r="C212" s="48"/>
      <c r="D212" s="48"/>
      <c r="E212" s="27"/>
      <c r="F212" s="48"/>
      <c r="G212" s="48"/>
      <c r="H212" s="56"/>
      <c r="I212" s="56"/>
      <c r="J212" s="56"/>
      <c r="K212" s="56"/>
      <c r="L212" s="56"/>
      <c r="M212" s="56"/>
      <c r="N212" s="56"/>
      <c r="O212" s="56"/>
      <c r="P212" s="56"/>
      <c r="Q212" s="56"/>
      <c r="R212" s="56"/>
      <c r="S212" s="56"/>
      <c r="T212" s="56"/>
      <c r="U212" s="56"/>
      <c r="V212" s="56"/>
      <c r="W212" s="27"/>
      <c r="X212" s="56"/>
      <c r="Y212" s="27"/>
      <c r="Z212" s="56"/>
      <c r="AA212" s="27"/>
      <c r="AB212" s="56"/>
      <c r="AC212" s="27"/>
      <c r="AD212" s="56"/>
      <c r="AE212" s="27"/>
      <c r="AF212" s="56"/>
      <c r="AG212" s="27"/>
      <c r="AH212" s="286"/>
      <c r="AI212" s="27"/>
      <c r="AJ212" s="56"/>
      <c r="AK212" s="27"/>
      <c r="AL212" s="56"/>
      <c r="AM212" s="27"/>
      <c r="AN212" s="56"/>
      <c r="AO212" s="27"/>
      <c r="AP212" s="56"/>
      <c r="AQ212" s="27"/>
      <c r="AR212" s="56"/>
      <c r="AS212" s="27"/>
      <c r="AT212" s="56"/>
      <c r="AU212" s="27"/>
      <c r="AV212" s="56"/>
      <c r="AW212" s="27"/>
      <c r="AX212" s="56"/>
      <c r="AY212" s="27"/>
      <c r="AZ212" s="56"/>
      <c r="BA212" s="27"/>
      <c r="BB212" s="48"/>
      <c r="BC212" s="48"/>
      <c r="BD212" s="48"/>
      <c r="BE212" s="48"/>
      <c r="BF212" s="48"/>
      <c r="BG212" s="48"/>
      <c r="BH212" s="48"/>
      <c r="BI212" s="48"/>
      <c r="BJ212" s="48"/>
      <c r="BK212" s="48"/>
      <c r="BL212" s="48"/>
      <c r="BM212" s="48"/>
      <c r="BN212" s="48"/>
      <c r="BO212" s="48"/>
      <c r="BP212" s="48"/>
      <c r="BQ212" s="48"/>
      <c r="BR212" s="48"/>
      <c r="BS212" s="48"/>
      <c r="BT212" s="48"/>
      <c r="BU212" s="48"/>
    </row>
    <row r="213" ht="15.75" customHeight="1">
      <c r="A213" s="48"/>
      <c r="B213" s="48"/>
      <c r="C213" s="48"/>
      <c r="D213" s="48"/>
      <c r="E213" s="27"/>
      <c r="F213" s="48"/>
      <c r="G213" s="48"/>
      <c r="H213" s="56"/>
      <c r="I213" s="56"/>
      <c r="J213" s="56"/>
      <c r="K213" s="56"/>
      <c r="L213" s="56"/>
      <c r="M213" s="56"/>
      <c r="N213" s="56"/>
      <c r="O213" s="56"/>
      <c r="P213" s="56"/>
      <c r="Q213" s="56"/>
      <c r="R213" s="56"/>
      <c r="S213" s="56"/>
      <c r="T213" s="56"/>
      <c r="U213" s="56"/>
      <c r="V213" s="56"/>
      <c r="W213" s="27"/>
      <c r="X213" s="56"/>
      <c r="Y213" s="27"/>
      <c r="Z213" s="56"/>
      <c r="AA213" s="27"/>
      <c r="AB213" s="56"/>
      <c r="AC213" s="27"/>
      <c r="AD213" s="56"/>
      <c r="AE213" s="27"/>
      <c r="AF213" s="56"/>
      <c r="AG213" s="27"/>
      <c r="AH213" s="286"/>
      <c r="AI213" s="27"/>
      <c r="AJ213" s="56"/>
      <c r="AK213" s="27"/>
      <c r="AL213" s="56"/>
      <c r="AM213" s="27"/>
      <c r="AN213" s="56"/>
      <c r="AO213" s="27"/>
      <c r="AP213" s="56"/>
      <c r="AQ213" s="27"/>
      <c r="AR213" s="56"/>
      <c r="AS213" s="27"/>
      <c r="AT213" s="56"/>
      <c r="AU213" s="27"/>
      <c r="AV213" s="56"/>
      <c r="AW213" s="27"/>
      <c r="AX213" s="56"/>
      <c r="AY213" s="27"/>
      <c r="AZ213" s="56"/>
      <c r="BA213" s="27"/>
      <c r="BB213" s="48"/>
      <c r="BC213" s="48"/>
      <c r="BD213" s="48"/>
      <c r="BE213" s="48"/>
      <c r="BF213" s="48"/>
      <c r="BG213" s="48"/>
      <c r="BH213" s="48"/>
      <c r="BI213" s="48"/>
      <c r="BJ213" s="48"/>
      <c r="BK213" s="48"/>
      <c r="BL213" s="48"/>
      <c r="BM213" s="48"/>
      <c r="BN213" s="48"/>
      <c r="BO213" s="48"/>
      <c r="BP213" s="48"/>
      <c r="BQ213" s="48"/>
      <c r="BR213" s="48"/>
      <c r="BS213" s="48"/>
      <c r="BT213" s="48"/>
      <c r="BU213" s="48"/>
    </row>
    <row r="214" ht="15.75" customHeight="1">
      <c r="A214" s="48"/>
      <c r="B214" s="48"/>
      <c r="C214" s="48"/>
      <c r="D214" s="48"/>
      <c r="E214" s="27"/>
      <c r="F214" s="48"/>
      <c r="G214" s="48"/>
      <c r="H214" s="56"/>
      <c r="I214" s="56"/>
      <c r="J214" s="56"/>
      <c r="K214" s="56"/>
      <c r="L214" s="56"/>
      <c r="M214" s="56"/>
      <c r="N214" s="56"/>
      <c r="O214" s="56"/>
      <c r="P214" s="56"/>
      <c r="Q214" s="56"/>
      <c r="R214" s="56"/>
      <c r="S214" s="56"/>
      <c r="T214" s="56"/>
      <c r="U214" s="56"/>
      <c r="V214" s="56"/>
      <c r="W214" s="27"/>
      <c r="X214" s="56"/>
      <c r="Y214" s="27"/>
      <c r="Z214" s="56"/>
      <c r="AA214" s="27"/>
      <c r="AB214" s="56"/>
      <c r="AC214" s="27"/>
      <c r="AD214" s="56"/>
      <c r="AE214" s="27"/>
      <c r="AF214" s="56"/>
      <c r="AG214" s="27"/>
      <c r="AH214" s="286"/>
      <c r="AI214" s="27"/>
      <c r="AJ214" s="56"/>
      <c r="AK214" s="27"/>
      <c r="AL214" s="56"/>
      <c r="AM214" s="27"/>
      <c r="AN214" s="56"/>
      <c r="AO214" s="27"/>
      <c r="AP214" s="56"/>
      <c r="AQ214" s="27"/>
      <c r="AR214" s="56"/>
      <c r="AS214" s="27"/>
      <c r="AT214" s="56"/>
      <c r="AU214" s="27"/>
      <c r="AV214" s="56"/>
      <c r="AW214" s="27"/>
      <c r="AX214" s="56"/>
      <c r="AY214" s="27"/>
      <c r="AZ214" s="56"/>
      <c r="BA214" s="27"/>
      <c r="BB214" s="48"/>
      <c r="BC214" s="48"/>
      <c r="BD214" s="48"/>
      <c r="BE214" s="48"/>
      <c r="BF214" s="48"/>
      <c r="BG214" s="48"/>
      <c r="BH214" s="48"/>
      <c r="BI214" s="48"/>
      <c r="BJ214" s="48"/>
      <c r="BK214" s="48"/>
      <c r="BL214" s="48"/>
      <c r="BM214" s="48"/>
      <c r="BN214" s="48"/>
      <c r="BO214" s="48"/>
      <c r="BP214" s="48"/>
      <c r="BQ214" s="48"/>
      <c r="BR214" s="48"/>
      <c r="BS214" s="48"/>
      <c r="BT214" s="48"/>
      <c r="BU214" s="48"/>
    </row>
    <row r="215" ht="15.75" customHeight="1">
      <c r="A215" s="48"/>
      <c r="B215" s="48"/>
      <c r="C215" s="48"/>
      <c r="D215" s="48"/>
      <c r="E215" s="27"/>
      <c r="F215" s="48"/>
      <c r="G215" s="48"/>
      <c r="H215" s="56"/>
      <c r="I215" s="56"/>
      <c r="J215" s="56"/>
      <c r="K215" s="56"/>
      <c r="L215" s="56"/>
      <c r="M215" s="56"/>
      <c r="N215" s="56"/>
      <c r="O215" s="56"/>
      <c r="P215" s="56"/>
      <c r="Q215" s="56"/>
      <c r="R215" s="56"/>
      <c r="S215" s="56"/>
      <c r="T215" s="56"/>
      <c r="U215" s="56"/>
      <c r="V215" s="56"/>
      <c r="W215" s="27"/>
      <c r="X215" s="56"/>
      <c r="Y215" s="27"/>
      <c r="Z215" s="56"/>
      <c r="AA215" s="27"/>
      <c r="AB215" s="56"/>
      <c r="AC215" s="27"/>
      <c r="AD215" s="56"/>
      <c r="AE215" s="27"/>
      <c r="AF215" s="56"/>
      <c r="AG215" s="27"/>
      <c r="AH215" s="286"/>
      <c r="AI215" s="27"/>
      <c r="AJ215" s="56"/>
      <c r="AK215" s="27"/>
      <c r="AL215" s="56"/>
      <c r="AM215" s="27"/>
      <c r="AN215" s="56"/>
      <c r="AO215" s="27"/>
      <c r="AP215" s="56"/>
      <c r="AQ215" s="27"/>
      <c r="AR215" s="56"/>
      <c r="AS215" s="27"/>
      <c r="AT215" s="56"/>
      <c r="AU215" s="27"/>
      <c r="AV215" s="56"/>
      <c r="AW215" s="27"/>
      <c r="AX215" s="56"/>
      <c r="AY215" s="27"/>
      <c r="AZ215" s="56"/>
      <c r="BA215" s="27"/>
      <c r="BB215" s="48"/>
      <c r="BC215" s="48"/>
      <c r="BD215" s="48"/>
      <c r="BE215" s="48"/>
      <c r="BF215" s="48"/>
      <c r="BG215" s="48"/>
      <c r="BH215" s="48"/>
      <c r="BI215" s="48"/>
      <c r="BJ215" s="48"/>
      <c r="BK215" s="48"/>
      <c r="BL215" s="48"/>
      <c r="BM215" s="48"/>
      <c r="BN215" s="48"/>
      <c r="BO215" s="48"/>
      <c r="BP215" s="48"/>
      <c r="BQ215" s="48"/>
      <c r="BR215" s="48"/>
      <c r="BS215" s="48"/>
      <c r="BT215" s="48"/>
      <c r="BU215" s="48"/>
    </row>
    <row r="216" ht="15.75" customHeight="1">
      <c r="A216" s="48"/>
      <c r="B216" s="48"/>
      <c r="C216" s="48"/>
      <c r="D216" s="48"/>
      <c r="E216" s="27"/>
      <c r="F216" s="48"/>
      <c r="G216" s="48"/>
      <c r="H216" s="56"/>
      <c r="I216" s="56"/>
      <c r="J216" s="56"/>
      <c r="K216" s="56"/>
      <c r="L216" s="56"/>
      <c r="M216" s="56"/>
      <c r="N216" s="56"/>
      <c r="O216" s="56"/>
      <c r="P216" s="56"/>
      <c r="Q216" s="56"/>
      <c r="R216" s="56"/>
      <c r="S216" s="56"/>
      <c r="T216" s="56"/>
      <c r="U216" s="56"/>
      <c r="V216" s="56"/>
      <c r="W216" s="27"/>
      <c r="X216" s="56"/>
      <c r="Y216" s="27"/>
      <c r="Z216" s="56"/>
      <c r="AA216" s="27"/>
      <c r="AB216" s="56"/>
      <c r="AC216" s="27"/>
      <c r="AD216" s="56"/>
      <c r="AE216" s="27"/>
      <c r="AF216" s="56"/>
      <c r="AG216" s="27"/>
      <c r="AH216" s="286"/>
      <c r="AI216" s="27"/>
      <c r="AJ216" s="56"/>
      <c r="AK216" s="27"/>
      <c r="AL216" s="56"/>
      <c r="AM216" s="27"/>
      <c r="AN216" s="56"/>
      <c r="AO216" s="27"/>
      <c r="AP216" s="56"/>
      <c r="AQ216" s="27"/>
      <c r="AR216" s="56"/>
      <c r="AS216" s="27"/>
      <c r="AT216" s="56"/>
      <c r="AU216" s="27"/>
      <c r="AV216" s="56"/>
      <c r="AW216" s="27"/>
      <c r="AX216" s="56"/>
      <c r="AY216" s="27"/>
      <c r="AZ216" s="56"/>
      <c r="BA216" s="27"/>
      <c r="BB216" s="48"/>
      <c r="BC216" s="48"/>
      <c r="BD216" s="48"/>
      <c r="BE216" s="48"/>
      <c r="BF216" s="48"/>
      <c r="BG216" s="48"/>
      <c r="BH216" s="48"/>
      <c r="BI216" s="48"/>
      <c r="BJ216" s="48"/>
      <c r="BK216" s="48"/>
      <c r="BL216" s="48"/>
      <c r="BM216" s="48"/>
      <c r="BN216" s="48"/>
      <c r="BO216" s="48"/>
      <c r="BP216" s="48"/>
      <c r="BQ216" s="48"/>
      <c r="BR216" s="48"/>
      <c r="BS216" s="48"/>
      <c r="BT216" s="48"/>
      <c r="BU216" s="48"/>
    </row>
    <row r="217" ht="15.75" customHeight="1">
      <c r="A217" s="48"/>
      <c r="B217" s="48"/>
      <c r="C217" s="48"/>
      <c r="D217" s="48"/>
      <c r="E217" s="27"/>
      <c r="F217" s="48"/>
      <c r="G217" s="48"/>
      <c r="H217" s="56"/>
      <c r="I217" s="56"/>
      <c r="J217" s="56"/>
      <c r="K217" s="56"/>
      <c r="L217" s="56"/>
      <c r="M217" s="56"/>
      <c r="N217" s="56"/>
      <c r="O217" s="56"/>
      <c r="P217" s="56"/>
      <c r="Q217" s="56"/>
      <c r="R217" s="56"/>
      <c r="S217" s="56"/>
      <c r="T217" s="56"/>
      <c r="U217" s="56"/>
      <c r="V217" s="56"/>
      <c r="W217" s="27"/>
      <c r="X217" s="56"/>
      <c r="Y217" s="27"/>
      <c r="Z217" s="56"/>
      <c r="AA217" s="27"/>
      <c r="AB217" s="56"/>
      <c r="AC217" s="27"/>
      <c r="AD217" s="56"/>
      <c r="AE217" s="27"/>
      <c r="AF217" s="56"/>
      <c r="AG217" s="27"/>
      <c r="AH217" s="286"/>
      <c r="AI217" s="27"/>
      <c r="AJ217" s="56"/>
      <c r="AK217" s="27"/>
      <c r="AL217" s="56"/>
      <c r="AM217" s="27"/>
      <c r="AN217" s="56"/>
      <c r="AO217" s="27"/>
      <c r="AP217" s="56"/>
      <c r="AQ217" s="27"/>
      <c r="AR217" s="56"/>
      <c r="AS217" s="27"/>
      <c r="AT217" s="56"/>
      <c r="AU217" s="27"/>
      <c r="AV217" s="56"/>
      <c r="AW217" s="27"/>
      <c r="AX217" s="56"/>
      <c r="AY217" s="27"/>
      <c r="AZ217" s="56"/>
      <c r="BA217" s="27"/>
      <c r="BB217" s="48"/>
      <c r="BC217" s="48"/>
      <c r="BD217" s="48"/>
      <c r="BE217" s="48"/>
      <c r="BF217" s="48"/>
      <c r="BG217" s="48"/>
      <c r="BH217" s="48"/>
      <c r="BI217" s="48"/>
      <c r="BJ217" s="48"/>
      <c r="BK217" s="48"/>
      <c r="BL217" s="48"/>
      <c r="BM217" s="48"/>
      <c r="BN217" s="48"/>
      <c r="BO217" s="48"/>
      <c r="BP217" s="48"/>
      <c r="BQ217" s="48"/>
      <c r="BR217" s="48"/>
      <c r="BS217" s="48"/>
      <c r="BT217" s="48"/>
      <c r="BU217" s="48"/>
    </row>
    <row r="218" ht="15.75" customHeight="1">
      <c r="A218" s="48"/>
      <c r="B218" s="48"/>
      <c r="C218" s="48"/>
      <c r="D218" s="48"/>
      <c r="E218" s="27"/>
      <c r="F218" s="48"/>
      <c r="G218" s="48"/>
      <c r="H218" s="56"/>
      <c r="I218" s="56"/>
      <c r="J218" s="56"/>
      <c r="K218" s="56"/>
      <c r="L218" s="56"/>
      <c r="M218" s="56"/>
      <c r="N218" s="56"/>
      <c r="O218" s="56"/>
      <c r="P218" s="56"/>
      <c r="Q218" s="56"/>
      <c r="R218" s="56"/>
      <c r="S218" s="56"/>
      <c r="T218" s="56"/>
      <c r="U218" s="56"/>
      <c r="V218" s="56"/>
      <c r="W218" s="27"/>
      <c r="X218" s="56"/>
      <c r="Y218" s="27"/>
      <c r="Z218" s="56"/>
      <c r="AA218" s="27"/>
      <c r="AB218" s="56"/>
      <c r="AC218" s="27"/>
      <c r="AD218" s="56"/>
      <c r="AE218" s="27"/>
      <c r="AF218" s="56"/>
      <c r="AG218" s="27"/>
      <c r="AH218" s="286"/>
      <c r="AI218" s="27"/>
      <c r="AJ218" s="56"/>
      <c r="AK218" s="27"/>
      <c r="AL218" s="56"/>
      <c r="AM218" s="27"/>
      <c r="AN218" s="56"/>
      <c r="AO218" s="27"/>
      <c r="AP218" s="56"/>
      <c r="AQ218" s="27"/>
      <c r="AR218" s="56"/>
      <c r="AS218" s="27"/>
      <c r="AT218" s="56"/>
      <c r="AU218" s="27"/>
      <c r="AV218" s="56"/>
      <c r="AW218" s="27"/>
      <c r="AX218" s="56"/>
      <c r="AY218" s="27"/>
      <c r="AZ218" s="56"/>
      <c r="BA218" s="27"/>
      <c r="BB218" s="48"/>
      <c r="BC218" s="48"/>
      <c r="BD218" s="48"/>
      <c r="BE218" s="48"/>
      <c r="BF218" s="48"/>
      <c r="BG218" s="48"/>
      <c r="BH218" s="48"/>
      <c r="BI218" s="48"/>
      <c r="BJ218" s="48"/>
      <c r="BK218" s="48"/>
      <c r="BL218" s="48"/>
      <c r="BM218" s="48"/>
      <c r="BN218" s="48"/>
      <c r="BO218" s="48"/>
      <c r="BP218" s="48"/>
      <c r="BQ218" s="48"/>
      <c r="BR218" s="48"/>
      <c r="BS218" s="48"/>
      <c r="BT218" s="48"/>
      <c r="BU218" s="48"/>
    </row>
    <row r="219" ht="15.75" customHeight="1">
      <c r="A219" s="48"/>
      <c r="B219" s="48"/>
      <c r="C219" s="48"/>
      <c r="D219" s="48"/>
      <c r="E219" s="27"/>
      <c r="F219" s="48"/>
      <c r="G219" s="48"/>
      <c r="H219" s="56"/>
      <c r="I219" s="56"/>
      <c r="J219" s="56"/>
      <c r="K219" s="56"/>
      <c r="L219" s="56"/>
      <c r="M219" s="56"/>
      <c r="N219" s="56"/>
      <c r="O219" s="56"/>
      <c r="P219" s="56"/>
      <c r="Q219" s="56"/>
      <c r="R219" s="56"/>
      <c r="S219" s="56"/>
      <c r="T219" s="56"/>
      <c r="U219" s="56"/>
      <c r="V219" s="56"/>
      <c r="W219" s="27"/>
      <c r="X219" s="56"/>
      <c r="Y219" s="27"/>
      <c r="Z219" s="56"/>
      <c r="AA219" s="27"/>
      <c r="AB219" s="56"/>
      <c r="AC219" s="27"/>
      <c r="AD219" s="56"/>
      <c r="AE219" s="27"/>
      <c r="AF219" s="56"/>
      <c r="AG219" s="27"/>
      <c r="AH219" s="286"/>
      <c r="AI219" s="27"/>
      <c r="AJ219" s="56"/>
      <c r="AK219" s="27"/>
      <c r="AL219" s="56"/>
      <c r="AM219" s="27"/>
      <c r="AN219" s="56"/>
      <c r="AO219" s="27"/>
      <c r="AP219" s="56"/>
      <c r="AQ219" s="27"/>
      <c r="AR219" s="56"/>
      <c r="AS219" s="27"/>
      <c r="AT219" s="56"/>
      <c r="AU219" s="27"/>
      <c r="AV219" s="56"/>
      <c r="AW219" s="27"/>
      <c r="AX219" s="56"/>
      <c r="AY219" s="27"/>
      <c r="AZ219" s="56"/>
      <c r="BA219" s="27"/>
      <c r="BB219" s="48"/>
      <c r="BC219" s="48"/>
      <c r="BD219" s="48"/>
      <c r="BE219" s="48"/>
      <c r="BF219" s="48"/>
      <c r="BG219" s="48"/>
      <c r="BH219" s="48"/>
      <c r="BI219" s="48"/>
      <c r="BJ219" s="48"/>
      <c r="BK219" s="48"/>
      <c r="BL219" s="48"/>
      <c r="BM219" s="48"/>
      <c r="BN219" s="48"/>
      <c r="BO219" s="48"/>
      <c r="BP219" s="48"/>
      <c r="BQ219" s="48"/>
      <c r="BR219" s="48"/>
      <c r="BS219" s="48"/>
      <c r="BT219" s="48"/>
      <c r="BU219" s="48"/>
    </row>
    <row r="220" ht="15.75" customHeight="1">
      <c r="A220" s="48"/>
      <c r="B220" s="48"/>
      <c r="C220" s="48"/>
      <c r="D220" s="48"/>
      <c r="E220" s="27"/>
      <c r="F220" s="48"/>
      <c r="G220" s="48"/>
      <c r="H220" s="56"/>
      <c r="I220" s="56"/>
      <c r="J220" s="56"/>
      <c r="K220" s="56"/>
      <c r="L220" s="56"/>
      <c r="M220" s="56"/>
      <c r="N220" s="56"/>
      <c r="O220" s="56"/>
      <c r="P220" s="56"/>
      <c r="Q220" s="56"/>
      <c r="R220" s="56"/>
      <c r="S220" s="56"/>
      <c r="T220" s="56"/>
      <c r="U220" s="56"/>
      <c r="V220" s="56"/>
      <c r="W220" s="27"/>
      <c r="X220" s="56"/>
      <c r="Y220" s="27"/>
      <c r="Z220" s="56"/>
      <c r="AA220" s="27"/>
      <c r="AB220" s="56"/>
      <c r="AC220" s="27"/>
      <c r="AD220" s="56"/>
      <c r="AE220" s="27"/>
      <c r="AF220" s="56"/>
      <c r="AG220" s="27"/>
      <c r="AH220" s="286"/>
      <c r="AI220" s="27"/>
      <c r="AJ220" s="56"/>
      <c r="AK220" s="27"/>
      <c r="AL220" s="56"/>
      <c r="AM220" s="27"/>
      <c r="AN220" s="56"/>
      <c r="AO220" s="27"/>
      <c r="AP220" s="56"/>
      <c r="AQ220" s="27"/>
      <c r="AR220" s="56"/>
      <c r="AS220" s="27"/>
      <c r="AT220" s="56"/>
      <c r="AU220" s="27"/>
      <c r="AV220" s="56"/>
      <c r="AW220" s="27"/>
      <c r="AX220" s="56"/>
      <c r="AY220" s="27"/>
      <c r="AZ220" s="56"/>
      <c r="BA220" s="27"/>
      <c r="BB220" s="48"/>
      <c r="BC220" s="48"/>
      <c r="BD220" s="48"/>
      <c r="BE220" s="48"/>
      <c r="BF220" s="48"/>
      <c r="BG220" s="48"/>
      <c r="BH220" s="48"/>
      <c r="BI220" s="48"/>
      <c r="BJ220" s="48"/>
      <c r="BK220" s="48"/>
      <c r="BL220" s="48"/>
      <c r="BM220" s="48"/>
      <c r="BN220" s="48"/>
      <c r="BO220" s="48"/>
      <c r="BP220" s="48"/>
      <c r="BQ220" s="48"/>
      <c r="BR220" s="48"/>
      <c r="BS220" s="48"/>
      <c r="BT220" s="48"/>
      <c r="BU220" s="48"/>
    </row>
    <row r="221" ht="15.75" customHeight="1">
      <c r="A221" s="48"/>
      <c r="B221" s="48"/>
      <c r="C221" s="48"/>
      <c r="D221" s="48"/>
      <c r="E221" s="27"/>
      <c r="F221" s="48"/>
      <c r="G221" s="48"/>
      <c r="H221" s="56"/>
      <c r="I221" s="56"/>
      <c r="J221" s="56"/>
      <c r="K221" s="56"/>
      <c r="L221" s="56"/>
      <c r="M221" s="56"/>
      <c r="N221" s="56"/>
      <c r="O221" s="56"/>
      <c r="P221" s="56"/>
      <c r="Q221" s="56"/>
      <c r="R221" s="56"/>
      <c r="S221" s="56"/>
      <c r="T221" s="56"/>
      <c r="U221" s="56"/>
      <c r="V221" s="56"/>
      <c r="W221" s="27"/>
      <c r="X221" s="56"/>
      <c r="Y221" s="27"/>
      <c r="Z221" s="56"/>
      <c r="AA221" s="27"/>
      <c r="AB221" s="56"/>
      <c r="AC221" s="27"/>
      <c r="AD221" s="56"/>
      <c r="AE221" s="27"/>
      <c r="AF221" s="56"/>
      <c r="AG221" s="27"/>
      <c r="AH221" s="286"/>
      <c r="AI221" s="27"/>
      <c r="AJ221" s="56"/>
      <c r="AK221" s="27"/>
      <c r="AL221" s="56"/>
      <c r="AM221" s="27"/>
      <c r="AN221" s="56"/>
      <c r="AO221" s="27"/>
      <c r="AP221" s="56"/>
      <c r="AQ221" s="27"/>
      <c r="AR221" s="56"/>
      <c r="AS221" s="27"/>
      <c r="AT221" s="56"/>
      <c r="AU221" s="27"/>
      <c r="AV221" s="56"/>
      <c r="AW221" s="27"/>
      <c r="AX221" s="56"/>
      <c r="AY221" s="27"/>
      <c r="AZ221" s="56"/>
      <c r="BA221" s="27"/>
      <c r="BB221" s="48"/>
      <c r="BC221" s="48"/>
      <c r="BD221" s="48"/>
      <c r="BE221" s="48"/>
      <c r="BF221" s="48"/>
      <c r="BG221" s="48"/>
      <c r="BH221" s="48"/>
      <c r="BI221" s="48"/>
      <c r="BJ221" s="48"/>
      <c r="BK221" s="48"/>
      <c r="BL221" s="48"/>
      <c r="BM221" s="48"/>
      <c r="BN221" s="48"/>
      <c r="BO221" s="48"/>
      <c r="BP221" s="48"/>
      <c r="BQ221" s="48"/>
      <c r="BR221" s="48"/>
      <c r="BS221" s="48"/>
      <c r="BT221" s="48"/>
      <c r="BU221" s="48"/>
    </row>
    <row r="222" ht="15.75" customHeight="1">
      <c r="A222" s="48"/>
      <c r="B222" s="48"/>
      <c r="C222" s="48"/>
      <c r="D222" s="48"/>
      <c r="E222" s="27"/>
      <c r="F222" s="48"/>
      <c r="G222" s="48"/>
      <c r="H222" s="56"/>
      <c r="I222" s="56"/>
      <c r="J222" s="56"/>
      <c r="K222" s="56"/>
      <c r="L222" s="56"/>
      <c r="M222" s="56"/>
      <c r="N222" s="56"/>
      <c r="O222" s="56"/>
      <c r="P222" s="56"/>
      <c r="Q222" s="56"/>
      <c r="R222" s="56"/>
      <c r="S222" s="56"/>
      <c r="T222" s="56"/>
      <c r="U222" s="56"/>
      <c r="V222" s="56"/>
      <c r="W222" s="27"/>
      <c r="X222" s="56"/>
      <c r="Y222" s="27"/>
      <c r="Z222" s="56"/>
      <c r="AA222" s="27"/>
      <c r="AB222" s="56"/>
      <c r="AC222" s="27"/>
      <c r="AD222" s="56"/>
      <c r="AE222" s="27"/>
      <c r="AF222" s="56"/>
      <c r="AG222" s="27"/>
      <c r="AH222" s="286"/>
      <c r="AI222" s="27"/>
      <c r="AJ222" s="56"/>
      <c r="AK222" s="27"/>
      <c r="AL222" s="56"/>
      <c r="AM222" s="27"/>
      <c r="AN222" s="56"/>
      <c r="AO222" s="27"/>
      <c r="AP222" s="56"/>
      <c r="AQ222" s="27"/>
      <c r="AR222" s="56"/>
      <c r="AS222" s="27"/>
      <c r="AT222" s="56"/>
      <c r="AU222" s="27"/>
      <c r="AV222" s="56"/>
      <c r="AW222" s="27"/>
      <c r="AX222" s="56"/>
      <c r="AY222" s="27"/>
      <c r="AZ222" s="56"/>
      <c r="BA222" s="27"/>
      <c r="BB222" s="48"/>
      <c r="BC222" s="48"/>
      <c r="BD222" s="48"/>
      <c r="BE222" s="48"/>
      <c r="BF222" s="48"/>
      <c r="BG222" s="48"/>
      <c r="BH222" s="48"/>
      <c r="BI222" s="48"/>
      <c r="BJ222" s="48"/>
      <c r="BK222" s="48"/>
      <c r="BL222" s="48"/>
      <c r="BM222" s="48"/>
      <c r="BN222" s="48"/>
      <c r="BO222" s="48"/>
      <c r="BP222" s="48"/>
      <c r="BQ222" s="48"/>
      <c r="BR222" s="48"/>
      <c r="BS222" s="48"/>
      <c r="BT222" s="48"/>
      <c r="BU222" s="48"/>
    </row>
    <row r="223" ht="15.75" customHeight="1">
      <c r="A223" s="48"/>
      <c r="B223" s="48"/>
      <c r="C223" s="48"/>
      <c r="D223" s="48"/>
      <c r="E223" s="27"/>
      <c r="F223" s="48"/>
      <c r="G223" s="48"/>
      <c r="H223" s="56"/>
      <c r="I223" s="56"/>
      <c r="J223" s="56"/>
      <c r="K223" s="56"/>
      <c r="L223" s="56"/>
      <c r="M223" s="56"/>
      <c r="N223" s="56"/>
      <c r="O223" s="56"/>
      <c r="P223" s="56"/>
      <c r="Q223" s="56"/>
      <c r="R223" s="56"/>
      <c r="S223" s="56"/>
      <c r="T223" s="56"/>
      <c r="U223" s="56"/>
      <c r="V223" s="56"/>
      <c r="W223" s="27"/>
      <c r="X223" s="56"/>
      <c r="Y223" s="27"/>
      <c r="Z223" s="56"/>
      <c r="AA223" s="27"/>
      <c r="AB223" s="56"/>
      <c r="AC223" s="27"/>
      <c r="AD223" s="56"/>
      <c r="AE223" s="27"/>
      <c r="AF223" s="56"/>
      <c r="AG223" s="27"/>
      <c r="AH223" s="286"/>
      <c r="AI223" s="27"/>
      <c r="AJ223" s="56"/>
      <c r="AK223" s="27"/>
      <c r="AL223" s="56"/>
      <c r="AM223" s="27"/>
      <c r="AN223" s="56"/>
      <c r="AO223" s="27"/>
      <c r="AP223" s="56"/>
      <c r="AQ223" s="27"/>
      <c r="AR223" s="56"/>
      <c r="AS223" s="27"/>
      <c r="AT223" s="56"/>
      <c r="AU223" s="27"/>
      <c r="AV223" s="56"/>
      <c r="AW223" s="27"/>
      <c r="AX223" s="56"/>
      <c r="AY223" s="27"/>
      <c r="AZ223" s="56"/>
      <c r="BA223" s="27"/>
      <c r="BB223" s="48"/>
      <c r="BC223" s="48"/>
      <c r="BD223" s="48"/>
      <c r="BE223" s="48"/>
      <c r="BF223" s="48"/>
      <c r="BG223" s="48"/>
      <c r="BH223" s="48"/>
      <c r="BI223" s="48"/>
      <c r="BJ223" s="48"/>
      <c r="BK223" s="48"/>
      <c r="BL223" s="48"/>
      <c r="BM223" s="48"/>
      <c r="BN223" s="48"/>
      <c r="BO223" s="48"/>
      <c r="BP223" s="48"/>
      <c r="BQ223" s="48"/>
      <c r="BR223" s="48"/>
      <c r="BS223" s="48"/>
      <c r="BT223" s="48"/>
      <c r="BU223" s="48"/>
    </row>
    <row r="224" ht="15.75" customHeight="1">
      <c r="A224" s="48"/>
      <c r="B224" s="48"/>
      <c r="C224" s="48"/>
      <c r="D224" s="48"/>
      <c r="E224" s="27"/>
      <c r="F224" s="48"/>
      <c r="G224" s="48"/>
      <c r="H224" s="56"/>
      <c r="I224" s="56"/>
      <c r="J224" s="56"/>
      <c r="K224" s="56"/>
      <c r="L224" s="56"/>
      <c r="M224" s="56"/>
      <c r="N224" s="56"/>
      <c r="O224" s="56"/>
      <c r="P224" s="56"/>
      <c r="Q224" s="56"/>
      <c r="R224" s="56"/>
      <c r="S224" s="56"/>
      <c r="T224" s="56"/>
      <c r="U224" s="56"/>
      <c r="V224" s="56"/>
      <c r="W224" s="27"/>
      <c r="X224" s="56"/>
      <c r="Y224" s="27"/>
      <c r="Z224" s="56"/>
      <c r="AA224" s="27"/>
      <c r="AB224" s="56"/>
      <c r="AC224" s="27"/>
      <c r="AD224" s="56"/>
      <c r="AE224" s="27"/>
      <c r="AF224" s="56"/>
      <c r="AG224" s="27"/>
      <c r="AH224" s="286"/>
      <c r="AI224" s="27"/>
      <c r="AJ224" s="56"/>
      <c r="AK224" s="27"/>
      <c r="AL224" s="56"/>
      <c r="AM224" s="27"/>
      <c r="AN224" s="56"/>
      <c r="AO224" s="27"/>
      <c r="AP224" s="56"/>
      <c r="AQ224" s="27"/>
      <c r="AR224" s="56"/>
      <c r="AS224" s="27"/>
      <c r="AT224" s="56"/>
      <c r="AU224" s="27"/>
      <c r="AV224" s="56"/>
      <c r="AW224" s="27"/>
      <c r="AX224" s="56"/>
      <c r="AY224" s="27"/>
      <c r="AZ224" s="56"/>
      <c r="BA224" s="27"/>
      <c r="BB224" s="48"/>
      <c r="BC224" s="48"/>
      <c r="BD224" s="48"/>
      <c r="BE224" s="48"/>
      <c r="BF224" s="48"/>
      <c r="BG224" s="48"/>
      <c r="BH224" s="48"/>
      <c r="BI224" s="48"/>
      <c r="BJ224" s="48"/>
      <c r="BK224" s="48"/>
      <c r="BL224" s="48"/>
      <c r="BM224" s="48"/>
      <c r="BN224" s="48"/>
      <c r="BO224" s="48"/>
      <c r="BP224" s="48"/>
      <c r="BQ224" s="48"/>
      <c r="BR224" s="48"/>
      <c r="BS224" s="48"/>
      <c r="BT224" s="48"/>
      <c r="BU224" s="48"/>
    </row>
    <row r="225" ht="15.75" customHeight="1">
      <c r="A225" s="48"/>
      <c r="B225" s="48"/>
      <c r="C225" s="48"/>
      <c r="D225" s="48"/>
      <c r="E225" s="27"/>
      <c r="F225" s="48"/>
      <c r="G225" s="48"/>
      <c r="H225" s="56"/>
      <c r="I225" s="56"/>
      <c r="J225" s="56"/>
      <c r="K225" s="56"/>
      <c r="L225" s="56"/>
      <c r="M225" s="56"/>
      <c r="N225" s="56"/>
      <c r="O225" s="56"/>
      <c r="P225" s="56"/>
      <c r="Q225" s="56"/>
      <c r="R225" s="56"/>
      <c r="S225" s="56"/>
      <c r="T225" s="56"/>
      <c r="U225" s="56"/>
      <c r="V225" s="56"/>
      <c r="W225" s="27"/>
      <c r="X225" s="56"/>
      <c r="Y225" s="27"/>
      <c r="Z225" s="56"/>
      <c r="AA225" s="27"/>
      <c r="AB225" s="56"/>
      <c r="AC225" s="27"/>
      <c r="AD225" s="56"/>
      <c r="AE225" s="27"/>
      <c r="AF225" s="56"/>
      <c r="AG225" s="27"/>
      <c r="AH225" s="286"/>
      <c r="AI225" s="27"/>
      <c r="AJ225" s="56"/>
      <c r="AK225" s="27"/>
      <c r="AL225" s="56"/>
      <c r="AM225" s="27"/>
      <c r="AN225" s="56"/>
      <c r="AO225" s="27"/>
      <c r="AP225" s="56"/>
      <c r="AQ225" s="27"/>
      <c r="AR225" s="56"/>
      <c r="AS225" s="27"/>
      <c r="AT225" s="56"/>
      <c r="AU225" s="27"/>
      <c r="AV225" s="56"/>
      <c r="AW225" s="27"/>
      <c r="AX225" s="56"/>
      <c r="AY225" s="27"/>
      <c r="AZ225" s="56"/>
      <c r="BA225" s="27"/>
      <c r="BB225" s="48"/>
      <c r="BC225" s="48"/>
      <c r="BD225" s="48"/>
      <c r="BE225" s="48"/>
      <c r="BF225" s="48"/>
      <c r="BG225" s="48"/>
      <c r="BH225" s="48"/>
      <c r="BI225" s="48"/>
      <c r="BJ225" s="48"/>
      <c r="BK225" s="48"/>
      <c r="BL225" s="48"/>
      <c r="BM225" s="48"/>
      <c r="BN225" s="48"/>
      <c r="BO225" s="48"/>
      <c r="BP225" s="48"/>
      <c r="BQ225" s="48"/>
      <c r="BR225" s="48"/>
      <c r="BS225" s="48"/>
      <c r="BT225" s="48"/>
      <c r="BU225" s="48"/>
    </row>
    <row r="226" ht="15.75" customHeight="1">
      <c r="A226" s="48"/>
      <c r="B226" s="48"/>
      <c r="C226" s="48"/>
      <c r="D226" s="48"/>
      <c r="E226" s="27"/>
      <c r="F226" s="48"/>
      <c r="G226" s="48"/>
      <c r="H226" s="56"/>
      <c r="I226" s="56"/>
      <c r="J226" s="56"/>
      <c r="K226" s="56"/>
      <c r="L226" s="56"/>
      <c r="M226" s="56"/>
      <c r="N226" s="56"/>
      <c r="O226" s="56"/>
      <c r="P226" s="56"/>
      <c r="Q226" s="56"/>
      <c r="R226" s="56"/>
      <c r="S226" s="56"/>
      <c r="T226" s="56"/>
      <c r="U226" s="56"/>
      <c r="V226" s="56"/>
      <c r="W226" s="27"/>
      <c r="X226" s="56"/>
      <c r="Y226" s="27"/>
      <c r="Z226" s="56"/>
      <c r="AA226" s="27"/>
      <c r="AB226" s="56"/>
      <c r="AC226" s="27"/>
      <c r="AD226" s="56"/>
      <c r="AE226" s="27"/>
      <c r="AF226" s="56"/>
      <c r="AG226" s="27"/>
      <c r="AH226" s="286"/>
      <c r="AI226" s="27"/>
      <c r="AJ226" s="56"/>
      <c r="AK226" s="27"/>
      <c r="AL226" s="56"/>
      <c r="AM226" s="27"/>
      <c r="AN226" s="56"/>
      <c r="AO226" s="27"/>
      <c r="AP226" s="56"/>
      <c r="AQ226" s="27"/>
      <c r="AR226" s="56"/>
      <c r="AS226" s="27"/>
      <c r="AT226" s="56"/>
      <c r="AU226" s="27"/>
      <c r="AV226" s="56"/>
      <c r="AW226" s="27"/>
      <c r="AX226" s="56"/>
      <c r="AY226" s="27"/>
      <c r="AZ226" s="56"/>
      <c r="BA226" s="27"/>
      <c r="BB226" s="48"/>
      <c r="BC226" s="48"/>
      <c r="BD226" s="48"/>
      <c r="BE226" s="48"/>
      <c r="BF226" s="48"/>
      <c r="BG226" s="48"/>
      <c r="BH226" s="48"/>
      <c r="BI226" s="48"/>
      <c r="BJ226" s="48"/>
      <c r="BK226" s="48"/>
      <c r="BL226" s="48"/>
      <c r="BM226" s="48"/>
      <c r="BN226" s="48"/>
      <c r="BO226" s="48"/>
      <c r="BP226" s="48"/>
      <c r="BQ226" s="48"/>
      <c r="BR226" s="48"/>
      <c r="BS226" s="48"/>
      <c r="BT226" s="48"/>
      <c r="BU226" s="48"/>
    </row>
    <row r="227" ht="15.75" customHeight="1">
      <c r="A227" s="48"/>
      <c r="B227" s="48"/>
      <c r="C227" s="48"/>
      <c r="D227" s="48"/>
      <c r="E227" s="27"/>
      <c r="F227" s="48"/>
      <c r="G227" s="48"/>
      <c r="H227" s="56"/>
      <c r="I227" s="56"/>
      <c r="J227" s="56"/>
      <c r="K227" s="56"/>
      <c r="L227" s="56"/>
      <c r="M227" s="56"/>
      <c r="N227" s="56"/>
      <c r="O227" s="56"/>
      <c r="P227" s="56"/>
      <c r="Q227" s="56"/>
      <c r="R227" s="56"/>
      <c r="S227" s="56"/>
      <c r="T227" s="56"/>
      <c r="U227" s="56"/>
      <c r="V227" s="56"/>
      <c r="W227" s="27"/>
      <c r="X227" s="56"/>
      <c r="Y227" s="27"/>
      <c r="Z227" s="56"/>
      <c r="AA227" s="27"/>
      <c r="AB227" s="56"/>
      <c r="AC227" s="27"/>
      <c r="AD227" s="56"/>
      <c r="AE227" s="27"/>
      <c r="AF227" s="56"/>
      <c r="AG227" s="27"/>
      <c r="AH227" s="286"/>
      <c r="AI227" s="27"/>
      <c r="AJ227" s="56"/>
      <c r="AK227" s="27"/>
      <c r="AL227" s="56"/>
      <c r="AM227" s="27"/>
      <c r="AN227" s="56"/>
      <c r="AO227" s="27"/>
      <c r="AP227" s="56"/>
      <c r="AQ227" s="27"/>
      <c r="AR227" s="56"/>
      <c r="AS227" s="27"/>
      <c r="AT227" s="56"/>
      <c r="AU227" s="27"/>
      <c r="AV227" s="56"/>
      <c r="AW227" s="27"/>
      <c r="AX227" s="56"/>
      <c r="AY227" s="27"/>
      <c r="AZ227" s="56"/>
      <c r="BA227" s="27"/>
      <c r="BB227" s="48"/>
      <c r="BC227" s="48"/>
      <c r="BD227" s="48"/>
      <c r="BE227" s="48"/>
      <c r="BF227" s="48"/>
      <c r="BG227" s="48"/>
      <c r="BH227" s="48"/>
      <c r="BI227" s="48"/>
      <c r="BJ227" s="48"/>
      <c r="BK227" s="48"/>
      <c r="BL227" s="48"/>
      <c r="BM227" s="48"/>
      <c r="BN227" s="48"/>
      <c r="BO227" s="48"/>
      <c r="BP227" s="48"/>
      <c r="BQ227" s="48"/>
      <c r="BR227" s="48"/>
      <c r="BS227" s="48"/>
      <c r="BT227" s="48"/>
      <c r="BU227" s="48"/>
    </row>
    <row r="228" ht="15.75" customHeight="1">
      <c r="A228" s="48"/>
      <c r="B228" s="48"/>
      <c r="C228" s="48"/>
      <c r="D228" s="48"/>
      <c r="E228" s="27"/>
      <c r="F228" s="48"/>
      <c r="G228" s="48"/>
      <c r="H228" s="56"/>
      <c r="I228" s="56"/>
      <c r="J228" s="56"/>
      <c r="K228" s="56"/>
      <c r="L228" s="56"/>
      <c r="M228" s="56"/>
      <c r="N228" s="56"/>
      <c r="O228" s="56"/>
      <c r="P228" s="56"/>
      <c r="Q228" s="56"/>
      <c r="R228" s="56"/>
      <c r="S228" s="56"/>
      <c r="T228" s="56"/>
      <c r="U228" s="56"/>
      <c r="V228" s="56"/>
      <c r="W228" s="27"/>
      <c r="X228" s="56"/>
      <c r="Y228" s="27"/>
      <c r="Z228" s="56"/>
      <c r="AA228" s="27"/>
      <c r="AB228" s="56"/>
      <c r="AC228" s="27"/>
      <c r="AD228" s="56"/>
      <c r="AE228" s="27"/>
      <c r="AF228" s="56"/>
      <c r="AG228" s="27"/>
      <c r="AH228" s="286"/>
      <c r="AI228" s="27"/>
      <c r="AJ228" s="56"/>
      <c r="AK228" s="27"/>
      <c r="AL228" s="56"/>
      <c r="AM228" s="27"/>
      <c r="AN228" s="56"/>
      <c r="AO228" s="27"/>
      <c r="AP228" s="56"/>
      <c r="AQ228" s="27"/>
      <c r="AR228" s="56"/>
      <c r="AS228" s="27"/>
      <c r="AT228" s="56"/>
      <c r="AU228" s="27"/>
      <c r="AV228" s="56"/>
      <c r="AW228" s="27"/>
      <c r="AX228" s="56"/>
      <c r="AY228" s="27"/>
      <c r="AZ228" s="56"/>
      <c r="BA228" s="27"/>
      <c r="BB228" s="48"/>
      <c r="BC228" s="48"/>
      <c r="BD228" s="48"/>
      <c r="BE228" s="48"/>
      <c r="BF228" s="48"/>
      <c r="BG228" s="48"/>
      <c r="BH228" s="48"/>
      <c r="BI228" s="48"/>
      <c r="BJ228" s="48"/>
      <c r="BK228" s="48"/>
      <c r="BL228" s="48"/>
      <c r="BM228" s="48"/>
      <c r="BN228" s="48"/>
      <c r="BO228" s="48"/>
      <c r="BP228" s="48"/>
      <c r="BQ228" s="48"/>
      <c r="BR228" s="48"/>
      <c r="BS228" s="48"/>
      <c r="BT228" s="48"/>
      <c r="BU228" s="48"/>
    </row>
    <row r="229" ht="15.75" customHeight="1">
      <c r="A229" s="48"/>
      <c r="B229" s="48"/>
      <c r="C229" s="48"/>
      <c r="D229" s="48"/>
      <c r="E229" s="27"/>
      <c r="F229" s="48"/>
      <c r="G229" s="48"/>
      <c r="H229" s="56"/>
      <c r="I229" s="56"/>
      <c r="J229" s="56"/>
      <c r="K229" s="56"/>
      <c r="L229" s="56"/>
      <c r="M229" s="56"/>
      <c r="N229" s="56"/>
      <c r="O229" s="56"/>
      <c r="P229" s="56"/>
      <c r="Q229" s="56"/>
      <c r="R229" s="56"/>
      <c r="S229" s="56"/>
      <c r="T229" s="56"/>
      <c r="U229" s="56"/>
      <c r="V229" s="56"/>
      <c r="W229" s="27"/>
      <c r="X229" s="56"/>
      <c r="Y229" s="27"/>
      <c r="Z229" s="56"/>
      <c r="AA229" s="27"/>
      <c r="AB229" s="56"/>
      <c r="AC229" s="27"/>
      <c r="AD229" s="56"/>
      <c r="AE229" s="27"/>
      <c r="AF229" s="56"/>
      <c r="AG229" s="27"/>
      <c r="AH229" s="286"/>
      <c r="AI229" s="27"/>
      <c r="AJ229" s="56"/>
      <c r="AK229" s="27"/>
      <c r="AL229" s="56"/>
      <c r="AM229" s="27"/>
      <c r="AN229" s="56"/>
      <c r="AO229" s="27"/>
      <c r="AP229" s="56"/>
      <c r="AQ229" s="27"/>
      <c r="AR229" s="56"/>
      <c r="AS229" s="27"/>
      <c r="AT229" s="56"/>
      <c r="AU229" s="27"/>
      <c r="AV229" s="56"/>
      <c r="AW229" s="27"/>
      <c r="AX229" s="56"/>
      <c r="AY229" s="27"/>
      <c r="AZ229" s="56"/>
      <c r="BA229" s="27"/>
      <c r="BB229" s="48"/>
      <c r="BC229" s="48"/>
      <c r="BD229" s="48"/>
      <c r="BE229" s="48"/>
      <c r="BF229" s="48"/>
      <c r="BG229" s="48"/>
      <c r="BH229" s="48"/>
      <c r="BI229" s="48"/>
      <c r="BJ229" s="48"/>
      <c r="BK229" s="48"/>
      <c r="BL229" s="48"/>
      <c r="BM229" s="48"/>
      <c r="BN229" s="48"/>
      <c r="BO229" s="48"/>
      <c r="BP229" s="48"/>
      <c r="BQ229" s="48"/>
      <c r="BR229" s="48"/>
      <c r="BS229" s="48"/>
      <c r="BT229" s="48"/>
      <c r="BU229" s="48"/>
    </row>
    <row r="230" ht="15.75" customHeight="1">
      <c r="A230" s="48"/>
      <c r="B230" s="48"/>
      <c r="C230" s="48"/>
      <c r="D230" s="48"/>
      <c r="E230" s="27"/>
      <c r="F230" s="48"/>
      <c r="G230" s="48"/>
      <c r="H230" s="56"/>
      <c r="I230" s="56"/>
      <c r="J230" s="56"/>
      <c r="K230" s="56"/>
      <c r="L230" s="56"/>
      <c r="M230" s="56"/>
      <c r="N230" s="56"/>
      <c r="O230" s="56"/>
      <c r="P230" s="56"/>
      <c r="Q230" s="56"/>
      <c r="R230" s="56"/>
      <c r="S230" s="56"/>
      <c r="T230" s="56"/>
      <c r="U230" s="56"/>
      <c r="V230" s="56"/>
      <c r="W230" s="27"/>
      <c r="X230" s="56"/>
      <c r="Y230" s="27"/>
      <c r="Z230" s="56"/>
      <c r="AA230" s="27"/>
      <c r="AB230" s="56"/>
      <c r="AC230" s="27"/>
      <c r="AD230" s="56"/>
      <c r="AE230" s="27"/>
      <c r="AF230" s="56"/>
      <c r="AG230" s="27"/>
      <c r="AH230" s="286"/>
      <c r="AI230" s="27"/>
      <c r="AJ230" s="56"/>
      <c r="AK230" s="27"/>
      <c r="AL230" s="56"/>
      <c r="AM230" s="27"/>
      <c r="AN230" s="56"/>
      <c r="AO230" s="27"/>
      <c r="AP230" s="56"/>
      <c r="AQ230" s="27"/>
      <c r="AR230" s="56"/>
      <c r="AS230" s="27"/>
      <c r="AT230" s="56"/>
      <c r="AU230" s="27"/>
      <c r="AV230" s="56"/>
      <c r="AW230" s="27"/>
      <c r="AX230" s="56"/>
      <c r="AY230" s="27"/>
      <c r="AZ230" s="56"/>
      <c r="BA230" s="27"/>
      <c r="BB230" s="48"/>
      <c r="BC230" s="48"/>
      <c r="BD230" s="48"/>
      <c r="BE230" s="48"/>
      <c r="BF230" s="48"/>
      <c r="BG230" s="48"/>
      <c r="BH230" s="48"/>
      <c r="BI230" s="48"/>
      <c r="BJ230" s="48"/>
      <c r="BK230" s="48"/>
      <c r="BL230" s="48"/>
      <c r="BM230" s="48"/>
      <c r="BN230" s="48"/>
      <c r="BO230" s="48"/>
      <c r="BP230" s="48"/>
      <c r="BQ230" s="48"/>
      <c r="BR230" s="48"/>
      <c r="BS230" s="48"/>
      <c r="BT230" s="48"/>
      <c r="BU230" s="48"/>
    </row>
    <row r="231" ht="15.75" customHeight="1">
      <c r="A231" s="48"/>
      <c r="B231" s="48"/>
      <c r="C231" s="48"/>
      <c r="D231" s="48"/>
      <c r="E231" s="27"/>
      <c r="F231" s="48"/>
      <c r="G231" s="48"/>
      <c r="H231" s="56"/>
      <c r="I231" s="56"/>
      <c r="J231" s="56"/>
      <c r="K231" s="56"/>
      <c r="L231" s="56"/>
      <c r="M231" s="56"/>
      <c r="N231" s="56"/>
      <c r="O231" s="56"/>
      <c r="P231" s="56"/>
      <c r="Q231" s="56"/>
      <c r="R231" s="56"/>
      <c r="S231" s="56"/>
      <c r="T231" s="56"/>
      <c r="U231" s="56"/>
      <c r="V231" s="56"/>
      <c r="W231" s="27"/>
      <c r="X231" s="56"/>
      <c r="Y231" s="27"/>
      <c r="Z231" s="56"/>
      <c r="AA231" s="27"/>
      <c r="AB231" s="56"/>
      <c r="AC231" s="27"/>
      <c r="AD231" s="56"/>
      <c r="AE231" s="27"/>
      <c r="AF231" s="56"/>
      <c r="AG231" s="27"/>
      <c r="AH231" s="286"/>
      <c r="AI231" s="27"/>
      <c r="AJ231" s="56"/>
      <c r="AK231" s="27"/>
      <c r="AL231" s="56"/>
      <c r="AM231" s="27"/>
      <c r="AN231" s="56"/>
      <c r="AO231" s="27"/>
      <c r="AP231" s="56"/>
      <c r="AQ231" s="27"/>
      <c r="AR231" s="56"/>
      <c r="AS231" s="27"/>
      <c r="AT231" s="56"/>
      <c r="AU231" s="27"/>
      <c r="AV231" s="56"/>
      <c r="AW231" s="27"/>
      <c r="AX231" s="56"/>
      <c r="AY231" s="27"/>
      <c r="AZ231" s="56"/>
      <c r="BA231" s="27"/>
      <c r="BB231" s="48"/>
      <c r="BC231" s="48"/>
      <c r="BD231" s="48"/>
      <c r="BE231" s="48"/>
      <c r="BF231" s="48"/>
      <c r="BG231" s="48"/>
      <c r="BH231" s="48"/>
      <c r="BI231" s="48"/>
      <c r="BJ231" s="48"/>
      <c r="BK231" s="48"/>
      <c r="BL231" s="48"/>
      <c r="BM231" s="48"/>
      <c r="BN231" s="48"/>
      <c r="BO231" s="48"/>
      <c r="BP231" s="48"/>
      <c r="BQ231" s="48"/>
      <c r="BR231" s="48"/>
      <c r="BS231" s="48"/>
      <c r="BT231" s="48"/>
      <c r="BU231" s="48"/>
    </row>
    <row r="232" ht="15.75" customHeight="1">
      <c r="A232" s="48"/>
      <c r="B232" s="48"/>
      <c r="C232" s="48"/>
      <c r="D232" s="48"/>
      <c r="E232" s="27"/>
      <c r="F232" s="48"/>
      <c r="G232" s="48"/>
      <c r="H232" s="56"/>
      <c r="I232" s="56"/>
      <c r="J232" s="56"/>
      <c r="K232" s="56"/>
      <c r="L232" s="56"/>
      <c r="M232" s="56"/>
      <c r="N232" s="56"/>
      <c r="O232" s="56"/>
      <c r="P232" s="56"/>
      <c r="Q232" s="56"/>
      <c r="R232" s="56"/>
      <c r="S232" s="56"/>
      <c r="T232" s="56"/>
      <c r="U232" s="56"/>
      <c r="V232" s="56"/>
      <c r="W232" s="27"/>
      <c r="X232" s="56"/>
      <c r="Y232" s="27"/>
      <c r="Z232" s="56"/>
      <c r="AA232" s="27"/>
      <c r="AB232" s="56"/>
      <c r="AC232" s="27"/>
      <c r="AD232" s="56"/>
      <c r="AE232" s="27"/>
      <c r="AF232" s="56"/>
      <c r="AG232" s="27"/>
      <c r="AH232" s="286"/>
      <c r="AI232" s="27"/>
      <c r="AJ232" s="56"/>
      <c r="AK232" s="27"/>
      <c r="AL232" s="56"/>
      <c r="AM232" s="27"/>
      <c r="AN232" s="56"/>
      <c r="AO232" s="27"/>
      <c r="AP232" s="56"/>
      <c r="AQ232" s="27"/>
      <c r="AR232" s="56"/>
      <c r="AS232" s="27"/>
      <c r="AT232" s="56"/>
      <c r="AU232" s="27"/>
      <c r="AV232" s="56"/>
      <c r="AW232" s="27"/>
      <c r="AX232" s="56"/>
      <c r="AY232" s="27"/>
      <c r="AZ232" s="56"/>
      <c r="BA232" s="27"/>
      <c r="BB232" s="48"/>
      <c r="BC232" s="48"/>
      <c r="BD232" s="48"/>
      <c r="BE232" s="48"/>
      <c r="BF232" s="48"/>
      <c r="BG232" s="48"/>
      <c r="BH232" s="48"/>
      <c r="BI232" s="48"/>
      <c r="BJ232" s="48"/>
      <c r="BK232" s="48"/>
      <c r="BL232" s="48"/>
      <c r="BM232" s="48"/>
      <c r="BN232" s="48"/>
      <c r="BO232" s="48"/>
      <c r="BP232" s="48"/>
      <c r="BQ232" s="48"/>
      <c r="BR232" s="48"/>
      <c r="BS232" s="48"/>
      <c r="BT232" s="48"/>
      <c r="BU232" s="48"/>
    </row>
    <row r="233" ht="15.75" customHeight="1">
      <c r="A233" s="48"/>
      <c r="B233" s="48"/>
      <c r="C233" s="48"/>
      <c r="D233" s="48"/>
      <c r="E233" s="27"/>
      <c r="F233" s="48"/>
      <c r="G233" s="48"/>
      <c r="H233" s="56"/>
      <c r="I233" s="56"/>
      <c r="J233" s="56"/>
      <c r="K233" s="56"/>
      <c r="L233" s="56"/>
      <c r="M233" s="56"/>
      <c r="N233" s="56"/>
      <c r="O233" s="56"/>
      <c r="P233" s="56"/>
      <c r="Q233" s="56"/>
      <c r="R233" s="56"/>
      <c r="S233" s="56"/>
      <c r="T233" s="56"/>
      <c r="U233" s="56"/>
      <c r="V233" s="56"/>
      <c r="W233" s="27"/>
      <c r="X233" s="56"/>
      <c r="Y233" s="27"/>
      <c r="Z233" s="56"/>
      <c r="AA233" s="27"/>
      <c r="AB233" s="56"/>
      <c r="AC233" s="27"/>
      <c r="AD233" s="56"/>
      <c r="AE233" s="27"/>
      <c r="AF233" s="56"/>
      <c r="AG233" s="27"/>
      <c r="AH233" s="286"/>
      <c r="AI233" s="27"/>
      <c r="AJ233" s="56"/>
      <c r="AK233" s="27"/>
      <c r="AL233" s="56"/>
      <c r="AM233" s="27"/>
      <c r="AN233" s="56"/>
      <c r="AO233" s="27"/>
      <c r="AP233" s="56"/>
      <c r="AQ233" s="27"/>
      <c r="AR233" s="56"/>
      <c r="AS233" s="27"/>
      <c r="AT233" s="56"/>
      <c r="AU233" s="27"/>
      <c r="AV233" s="56"/>
      <c r="AW233" s="27"/>
      <c r="AX233" s="56"/>
      <c r="AY233" s="27"/>
      <c r="AZ233" s="56"/>
      <c r="BA233" s="27"/>
      <c r="BB233" s="48"/>
      <c r="BC233" s="48"/>
      <c r="BD233" s="48"/>
      <c r="BE233" s="48"/>
      <c r="BF233" s="48"/>
      <c r="BG233" s="48"/>
      <c r="BH233" s="48"/>
      <c r="BI233" s="48"/>
      <c r="BJ233" s="48"/>
      <c r="BK233" s="48"/>
      <c r="BL233" s="48"/>
      <c r="BM233" s="48"/>
      <c r="BN233" s="48"/>
      <c r="BO233" s="48"/>
      <c r="BP233" s="48"/>
      <c r="BQ233" s="48"/>
      <c r="BR233" s="48"/>
      <c r="BS233" s="48"/>
      <c r="BT233" s="48"/>
      <c r="BU233" s="48"/>
    </row>
    <row r="234" ht="15.75" customHeight="1">
      <c r="A234" s="48"/>
      <c r="B234" s="48"/>
      <c r="C234" s="48"/>
      <c r="D234" s="48"/>
      <c r="E234" s="27"/>
      <c r="F234" s="48"/>
      <c r="G234" s="48"/>
      <c r="H234" s="56"/>
      <c r="I234" s="56"/>
      <c r="J234" s="56"/>
      <c r="K234" s="56"/>
      <c r="L234" s="56"/>
      <c r="M234" s="56"/>
      <c r="N234" s="56"/>
      <c r="O234" s="56"/>
      <c r="P234" s="56"/>
      <c r="Q234" s="56"/>
      <c r="R234" s="56"/>
      <c r="S234" s="56"/>
      <c r="T234" s="56"/>
      <c r="U234" s="56"/>
      <c r="V234" s="56"/>
      <c r="W234" s="27"/>
      <c r="X234" s="56"/>
      <c r="Y234" s="27"/>
      <c r="Z234" s="56"/>
      <c r="AA234" s="27"/>
      <c r="AB234" s="56"/>
      <c r="AC234" s="27"/>
      <c r="AD234" s="56"/>
      <c r="AE234" s="27"/>
      <c r="AF234" s="56"/>
      <c r="AG234" s="27"/>
      <c r="AH234" s="286"/>
      <c r="AI234" s="27"/>
      <c r="AJ234" s="56"/>
      <c r="AK234" s="27"/>
      <c r="AL234" s="56"/>
      <c r="AM234" s="27"/>
      <c r="AN234" s="56"/>
      <c r="AO234" s="27"/>
      <c r="AP234" s="56"/>
      <c r="AQ234" s="27"/>
      <c r="AR234" s="56"/>
      <c r="AS234" s="27"/>
      <c r="AT234" s="56"/>
      <c r="AU234" s="27"/>
      <c r="AV234" s="56"/>
      <c r="AW234" s="27"/>
      <c r="AX234" s="56"/>
      <c r="AY234" s="27"/>
      <c r="AZ234" s="56"/>
      <c r="BA234" s="27"/>
      <c r="BB234" s="48"/>
      <c r="BC234" s="48"/>
      <c r="BD234" s="48"/>
      <c r="BE234" s="48"/>
      <c r="BF234" s="48"/>
      <c r="BG234" s="48"/>
      <c r="BH234" s="48"/>
      <c r="BI234" s="48"/>
      <c r="BJ234" s="48"/>
      <c r="BK234" s="48"/>
      <c r="BL234" s="48"/>
      <c r="BM234" s="48"/>
      <c r="BN234" s="48"/>
      <c r="BO234" s="48"/>
      <c r="BP234" s="48"/>
      <c r="BQ234" s="48"/>
      <c r="BR234" s="48"/>
      <c r="BS234" s="48"/>
      <c r="BT234" s="48"/>
      <c r="BU234" s="48"/>
    </row>
    <row r="235" ht="15.75" customHeight="1">
      <c r="A235" s="48"/>
      <c r="B235" s="48"/>
      <c r="C235" s="48"/>
      <c r="D235" s="48"/>
      <c r="E235" s="27"/>
      <c r="F235" s="48"/>
      <c r="G235" s="48"/>
      <c r="H235" s="56"/>
      <c r="I235" s="56"/>
      <c r="J235" s="56"/>
      <c r="K235" s="56"/>
      <c r="L235" s="56"/>
      <c r="M235" s="56"/>
      <c r="N235" s="56"/>
      <c r="O235" s="56"/>
      <c r="P235" s="56"/>
      <c r="Q235" s="56"/>
      <c r="R235" s="56"/>
      <c r="S235" s="56"/>
      <c r="T235" s="56"/>
      <c r="U235" s="56"/>
      <c r="V235" s="56"/>
      <c r="W235" s="27"/>
      <c r="X235" s="56"/>
      <c r="Y235" s="27"/>
      <c r="Z235" s="56"/>
      <c r="AA235" s="27"/>
      <c r="AB235" s="56"/>
      <c r="AC235" s="27"/>
      <c r="AD235" s="56"/>
      <c r="AE235" s="27"/>
      <c r="AF235" s="56"/>
      <c r="AG235" s="27"/>
      <c r="AH235" s="286"/>
      <c r="AI235" s="27"/>
      <c r="AJ235" s="56"/>
      <c r="AK235" s="27"/>
      <c r="AL235" s="56"/>
      <c r="AM235" s="27"/>
      <c r="AN235" s="56"/>
      <c r="AO235" s="27"/>
      <c r="AP235" s="56"/>
      <c r="AQ235" s="27"/>
      <c r="AR235" s="56"/>
      <c r="AS235" s="27"/>
      <c r="AT235" s="56"/>
      <c r="AU235" s="27"/>
      <c r="AV235" s="56"/>
      <c r="AW235" s="27"/>
      <c r="AX235" s="56"/>
      <c r="AY235" s="27"/>
      <c r="AZ235" s="56"/>
      <c r="BA235" s="27"/>
      <c r="BB235" s="48"/>
      <c r="BC235" s="48"/>
      <c r="BD235" s="48"/>
      <c r="BE235" s="48"/>
      <c r="BF235" s="48"/>
      <c r="BG235" s="48"/>
      <c r="BH235" s="48"/>
      <c r="BI235" s="48"/>
      <c r="BJ235" s="48"/>
      <c r="BK235" s="48"/>
      <c r="BL235" s="48"/>
      <c r="BM235" s="48"/>
      <c r="BN235" s="48"/>
      <c r="BO235" s="48"/>
      <c r="BP235" s="48"/>
      <c r="BQ235" s="48"/>
      <c r="BR235" s="48"/>
      <c r="BS235" s="48"/>
      <c r="BT235" s="48"/>
      <c r="BU235" s="48"/>
    </row>
    <row r="236" ht="15.75" customHeight="1">
      <c r="A236" s="48"/>
      <c r="B236" s="48"/>
      <c r="C236" s="48"/>
      <c r="D236" s="48"/>
      <c r="E236" s="27"/>
      <c r="F236" s="48"/>
      <c r="G236" s="48"/>
      <c r="H236" s="56"/>
      <c r="I236" s="56"/>
      <c r="J236" s="56"/>
      <c r="K236" s="56"/>
      <c r="L236" s="56"/>
      <c r="M236" s="56"/>
      <c r="N236" s="56"/>
      <c r="O236" s="56"/>
      <c r="P236" s="56"/>
      <c r="Q236" s="56"/>
      <c r="R236" s="56"/>
      <c r="S236" s="56"/>
      <c r="T236" s="56"/>
      <c r="U236" s="56"/>
      <c r="V236" s="56"/>
      <c r="W236" s="27"/>
      <c r="X236" s="56"/>
      <c r="Y236" s="27"/>
      <c r="Z236" s="56"/>
      <c r="AA236" s="27"/>
      <c r="AB236" s="56"/>
      <c r="AC236" s="27"/>
      <c r="AD236" s="56"/>
      <c r="AE236" s="27"/>
      <c r="AF236" s="56"/>
      <c r="AG236" s="27"/>
      <c r="AH236" s="286"/>
      <c r="AI236" s="27"/>
      <c r="AJ236" s="56"/>
      <c r="AK236" s="27"/>
      <c r="AL236" s="56"/>
      <c r="AM236" s="27"/>
      <c r="AN236" s="56"/>
      <c r="AO236" s="27"/>
      <c r="AP236" s="56"/>
      <c r="AQ236" s="27"/>
      <c r="AR236" s="56"/>
      <c r="AS236" s="27"/>
      <c r="AT236" s="56"/>
      <c r="AU236" s="27"/>
      <c r="AV236" s="56"/>
      <c r="AW236" s="27"/>
      <c r="AX236" s="56"/>
      <c r="AY236" s="27"/>
      <c r="AZ236" s="56"/>
      <c r="BA236" s="27"/>
      <c r="BB236" s="48"/>
      <c r="BC236" s="48"/>
      <c r="BD236" s="48"/>
      <c r="BE236" s="48"/>
      <c r="BF236" s="48"/>
      <c r="BG236" s="48"/>
      <c r="BH236" s="48"/>
      <c r="BI236" s="48"/>
      <c r="BJ236" s="48"/>
      <c r="BK236" s="48"/>
      <c r="BL236" s="48"/>
      <c r="BM236" s="48"/>
      <c r="BN236" s="48"/>
      <c r="BO236" s="48"/>
      <c r="BP236" s="48"/>
      <c r="BQ236" s="48"/>
      <c r="BR236" s="48"/>
      <c r="BS236" s="48"/>
      <c r="BT236" s="48"/>
      <c r="BU236" s="48"/>
    </row>
    <row r="237" ht="15.75" customHeight="1">
      <c r="A237" s="48"/>
      <c r="B237" s="48"/>
      <c r="C237" s="48"/>
      <c r="D237" s="48"/>
      <c r="E237" s="27"/>
      <c r="F237" s="48"/>
      <c r="G237" s="48"/>
      <c r="H237" s="56"/>
      <c r="I237" s="56"/>
      <c r="J237" s="56"/>
      <c r="K237" s="56"/>
      <c r="L237" s="56"/>
      <c r="M237" s="56"/>
      <c r="N237" s="56"/>
      <c r="O237" s="56"/>
      <c r="P237" s="56"/>
      <c r="Q237" s="56"/>
      <c r="R237" s="56"/>
      <c r="S237" s="56"/>
      <c r="T237" s="56"/>
      <c r="U237" s="56"/>
      <c r="V237" s="56"/>
      <c r="W237" s="27"/>
      <c r="X237" s="56"/>
      <c r="Y237" s="27"/>
      <c r="Z237" s="56"/>
      <c r="AA237" s="27"/>
      <c r="AB237" s="56"/>
      <c r="AC237" s="27"/>
      <c r="AD237" s="56"/>
      <c r="AE237" s="27"/>
      <c r="AF237" s="56"/>
      <c r="AG237" s="27"/>
      <c r="AH237" s="286"/>
      <c r="AI237" s="27"/>
      <c r="AJ237" s="56"/>
      <c r="AK237" s="27"/>
      <c r="AL237" s="56"/>
      <c r="AM237" s="27"/>
      <c r="AN237" s="56"/>
      <c r="AO237" s="27"/>
      <c r="AP237" s="56"/>
      <c r="AQ237" s="27"/>
      <c r="AR237" s="56"/>
      <c r="AS237" s="27"/>
      <c r="AT237" s="56"/>
      <c r="AU237" s="27"/>
      <c r="AV237" s="56"/>
      <c r="AW237" s="27"/>
      <c r="AX237" s="56"/>
      <c r="AY237" s="27"/>
      <c r="AZ237" s="56"/>
      <c r="BA237" s="27"/>
      <c r="BB237" s="48"/>
      <c r="BC237" s="48"/>
      <c r="BD237" s="48"/>
      <c r="BE237" s="48"/>
      <c r="BF237" s="48"/>
      <c r="BG237" s="48"/>
      <c r="BH237" s="48"/>
      <c r="BI237" s="48"/>
      <c r="BJ237" s="48"/>
      <c r="BK237" s="48"/>
      <c r="BL237" s="48"/>
      <c r="BM237" s="48"/>
      <c r="BN237" s="48"/>
      <c r="BO237" s="48"/>
      <c r="BP237" s="48"/>
      <c r="BQ237" s="48"/>
      <c r="BR237" s="48"/>
      <c r="BS237" s="48"/>
      <c r="BT237" s="48"/>
      <c r="BU237" s="48"/>
    </row>
    <row r="238" ht="15.75" customHeight="1">
      <c r="A238" s="48"/>
      <c r="B238" s="48"/>
      <c r="C238" s="48"/>
      <c r="D238" s="48"/>
      <c r="E238" s="27"/>
      <c r="F238" s="48"/>
      <c r="G238" s="48"/>
      <c r="H238" s="56"/>
      <c r="I238" s="56"/>
      <c r="J238" s="56"/>
      <c r="K238" s="56"/>
      <c r="L238" s="56"/>
      <c r="M238" s="56"/>
      <c r="N238" s="56"/>
      <c r="O238" s="56"/>
      <c r="P238" s="56"/>
      <c r="Q238" s="56"/>
      <c r="R238" s="56"/>
      <c r="S238" s="56"/>
      <c r="T238" s="56"/>
      <c r="U238" s="56"/>
      <c r="V238" s="56"/>
      <c r="W238" s="27"/>
      <c r="X238" s="56"/>
      <c r="Y238" s="27"/>
      <c r="Z238" s="56"/>
      <c r="AA238" s="27"/>
      <c r="AB238" s="56"/>
      <c r="AC238" s="27"/>
      <c r="AD238" s="56"/>
      <c r="AE238" s="27"/>
      <c r="AF238" s="56"/>
      <c r="AG238" s="27"/>
      <c r="AH238" s="286"/>
      <c r="AI238" s="27"/>
      <c r="AJ238" s="56"/>
      <c r="AK238" s="27"/>
      <c r="AL238" s="56"/>
      <c r="AM238" s="27"/>
      <c r="AN238" s="56"/>
      <c r="AO238" s="27"/>
      <c r="AP238" s="56"/>
      <c r="AQ238" s="27"/>
      <c r="AR238" s="56"/>
      <c r="AS238" s="27"/>
      <c r="AT238" s="56"/>
      <c r="AU238" s="27"/>
      <c r="AV238" s="56"/>
      <c r="AW238" s="27"/>
      <c r="AX238" s="56"/>
      <c r="AY238" s="27"/>
      <c r="AZ238" s="56"/>
      <c r="BA238" s="27"/>
      <c r="BB238" s="48"/>
      <c r="BC238" s="48"/>
      <c r="BD238" s="48"/>
      <c r="BE238" s="48"/>
      <c r="BF238" s="48"/>
      <c r="BG238" s="48"/>
      <c r="BH238" s="48"/>
      <c r="BI238" s="48"/>
      <c r="BJ238" s="48"/>
      <c r="BK238" s="48"/>
      <c r="BL238" s="48"/>
      <c r="BM238" s="48"/>
      <c r="BN238" s="48"/>
      <c r="BO238" s="48"/>
      <c r="BP238" s="48"/>
      <c r="BQ238" s="48"/>
      <c r="BR238" s="48"/>
      <c r="BS238" s="48"/>
      <c r="BT238" s="48"/>
      <c r="BU238" s="48"/>
    </row>
    <row r="239" ht="15.75" customHeight="1">
      <c r="A239" s="48"/>
      <c r="B239" s="48"/>
      <c r="C239" s="48"/>
      <c r="D239" s="48"/>
      <c r="E239" s="27"/>
      <c r="F239" s="48"/>
      <c r="G239" s="48"/>
      <c r="H239" s="56"/>
      <c r="I239" s="56"/>
      <c r="J239" s="56"/>
      <c r="K239" s="56"/>
      <c r="L239" s="56"/>
      <c r="M239" s="56"/>
      <c r="N239" s="56"/>
      <c r="O239" s="56"/>
      <c r="P239" s="56"/>
      <c r="Q239" s="56"/>
      <c r="R239" s="56"/>
      <c r="S239" s="56"/>
      <c r="T239" s="56"/>
      <c r="U239" s="56"/>
      <c r="V239" s="56"/>
      <c r="W239" s="27"/>
      <c r="X239" s="56"/>
      <c r="Y239" s="27"/>
      <c r="Z239" s="56"/>
      <c r="AA239" s="27"/>
      <c r="AB239" s="56"/>
      <c r="AC239" s="27"/>
      <c r="AD239" s="56"/>
      <c r="AE239" s="27"/>
      <c r="AF239" s="56"/>
      <c r="AG239" s="27"/>
      <c r="AH239" s="286"/>
      <c r="AI239" s="27"/>
      <c r="AJ239" s="56"/>
      <c r="AK239" s="27"/>
      <c r="AL239" s="56"/>
      <c r="AM239" s="27"/>
      <c r="AN239" s="56"/>
      <c r="AO239" s="27"/>
      <c r="AP239" s="56"/>
      <c r="AQ239" s="27"/>
      <c r="AR239" s="56"/>
      <c r="AS239" s="27"/>
      <c r="AT239" s="56"/>
      <c r="AU239" s="27"/>
      <c r="AV239" s="56"/>
      <c r="AW239" s="27"/>
      <c r="AX239" s="56"/>
      <c r="AY239" s="27"/>
      <c r="AZ239" s="56"/>
      <c r="BA239" s="27"/>
      <c r="BB239" s="48"/>
      <c r="BC239" s="48"/>
      <c r="BD239" s="48"/>
      <c r="BE239" s="48"/>
      <c r="BF239" s="48"/>
      <c r="BG239" s="48"/>
      <c r="BH239" s="48"/>
      <c r="BI239" s="48"/>
      <c r="BJ239" s="48"/>
      <c r="BK239" s="48"/>
      <c r="BL239" s="48"/>
      <c r="BM239" s="48"/>
      <c r="BN239" s="48"/>
      <c r="BO239" s="48"/>
      <c r="BP239" s="48"/>
      <c r="BQ239" s="48"/>
      <c r="BR239" s="48"/>
      <c r="BS239" s="48"/>
      <c r="BT239" s="48"/>
      <c r="BU239" s="48"/>
    </row>
    <row r="240" ht="15.75" customHeight="1">
      <c r="A240" s="48"/>
      <c r="B240" s="48"/>
      <c r="C240" s="48"/>
      <c r="D240" s="48"/>
      <c r="E240" s="27"/>
      <c r="F240" s="48"/>
      <c r="G240" s="48"/>
      <c r="H240" s="56"/>
      <c r="I240" s="56"/>
      <c r="J240" s="56"/>
      <c r="K240" s="56"/>
      <c r="L240" s="56"/>
      <c r="M240" s="56"/>
      <c r="N240" s="56"/>
      <c r="O240" s="56"/>
      <c r="P240" s="56"/>
      <c r="Q240" s="56"/>
      <c r="R240" s="56"/>
      <c r="S240" s="56"/>
      <c r="T240" s="56"/>
      <c r="U240" s="56"/>
      <c r="V240" s="56"/>
      <c r="W240" s="27"/>
      <c r="X240" s="56"/>
      <c r="Y240" s="27"/>
      <c r="Z240" s="56"/>
      <c r="AA240" s="27"/>
      <c r="AB240" s="56"/>
      <c r="AC240" s="27"/>
      <c r="AD240" s="56"/>
      <c r="AE240" s="27"/>
      <c r="AF240" s="56"/>
      <c r="AG240" s="27"/>
      <c r="AH240" s="286"/>
      <c r="AI240" s="27"/>
      <c r="AJ240" s="56"/>
      <c r="AK240" s="27"/>
      <c r="AL240" s="56"/>
      <c r="AM240" s="27"/>
      <c r="AN240" s="56"/>
      <c r="AO240" s="27"/>
      <c r="AP240" s="56"/>
      <c r="AQ240" s="27"/>
      <c r="AR240" s="56"/>
      <c r="AS240" s="27"/>
      <c r="AT240" s="56"/>
      <c r="AU240" s="27"/>
      <c r="AV240" s="56"/>
      <c r="AW240" s="27"/>
      <c r="AX240" s="56"/>
      <c r="AY240" s="27"/>
      <c r="AZ240" s="56"/>
      <c r="BA240" s="27"/>
      <c r="BB240" s="48"/>
      <c r="BC240" s="48"/>
      <c r="BD240" s="48"/>
      <c r="BE240" s="48"/>
      <c r="BF240" s="48"/>
      <c r="BG240" s="48"/>
      <c r="BH240" s="48"/>
      <c r="BI240" s="48"/>
      <c r="BJ240" s="48"/>
      <c r="BK240" s="48"/>
      <c r="BL240" s="48"/>
      <c r="BM240" s="48"/>
      <c r="BN240" s="48"/>
      <c r="BO240" s="48"/>
      <c r="BP240" s="48"/>
      <c r="BQ240" s="48"/>
      <c r="BR240" s="48"/>
      <c r="BS240" s="48"/>
      <c r="BT240" s="48"/>
      <c r="BU240" s="48"/>
    </row>
    <row r="241" ht="15.75" customHeight="1">
      <c r="A241" s="48"/>
      <c r="B241" s="48"/>
      <c r="C241" s="48"/>
      <c r="D241" s="48"/>
      <c r="E241" s="27"/>
      <c r="F241" s="48"/>
      <c r="G241" s="48"/>
      <c r="H241" s="56"/>
      <c r="I241" s="56"/>
      <c r="J241" s="56"/>
      <c r="K241" s="56"/>
      <c r="L241" s="56"/>
      <c r="M241" s="56"/>
      <c r="N241" s="56"/>
      <c r="O241" s="56"/>
      <c r="P241" s="56"/>
      <c r="Q241" s="56"/>
      <c r="R241" s="56"/>
      <c r="S241" s="56"/>
      <c r="T241" s="56"/>
      <c r="U241" s="56"/>
      <c r="V241" s="56"/>
      <c r="W241" s="27"/>
      <c r="X241" s="56"/>
      <c r="Y241" s="27"/>
      <c r="Z241" s="56"/>
      <c r="AA241" s="27"/>
      <c r="AB241" s="56"/>
      <c r="AC241" s="27"/>
      <c r="AD241" s="56"/>
      <c r="AE241" s="27"/>
      <c r="AF241" s="56"/>
      <c r="AG241" s="27"/>
      <c r="AH241" s="286"/>
      <c r="AI241" s="27"/>
      <c r="AJ241" s="56"/>
      <c r="AK241" s="27"/>
      <c r="AL241" s="56"/>
      <c r="AM241" s="27"/>
      <c r="AN241" s="56"/>
      <c r="AO241" s="27"/>
      <c r="AP241" s="56"/>
      <c r="AQ241" s="27"/>
      <c r="AR241" s="56"/>
      <c r="AS241" s="27"/>
      <c r="AT241" s="56"/>
      <c r="AU241" s="27"/>
      <c r="AV241" s="56"/>
      <c r="AW241" s="27"/>
      <c r="AX241" s="56"/>
      <c r="AY241" s="27"/>
      <c r="AZ241" s="56"/>
      <c r="BA241" s="27"/>
      <c r="BB241" s="48"/>
      <c r="BC241" s="48"/>
      <c r="BD241" s="48"/>
      <c r="BE241" s="48"/>
      <c r="BF241" s="48"/>
      <c r="BG241" s="48"/>
      <c r="BH241" s="48"/>
      <c r="BI241" s="48"/>
      <c r="BJ241" s="48"/>
      <c r="BK241" s="48"/>
      <c r="BL241" s="48"/>
      <c r="BM241" s="48"/>
      <c r="BN241" s="48"/>
      <c r="BO241" s="48"/>
      <c r="BP241" s="48"/>
      <c r="BQ241" s="48"/>
      <c r="BR241" s="48"/>
      <c r="BS241" s="48"/>
      <c r="BT241" s="48"/>
      <c r="BU241" s="48"/>
    </row>
    <row r="242" ht="15.75" customHeight="1">
      <c r="A242" s="48"/>
      <c r="B242" s="48"/>
      <c r="C242" s="48"/>
      <c r="D242" s="48"/>
      <c r="E242" s="27"/>
      <c r="F242" s="48"/>
      <c r="G242" s="48"/>
      <c r="H242" s="56"/>
      <c r="I242" s="56"/>
      <c r="J242" s="56"/>
      <c r="K242" s="56"/>
      <c r="L242" s="56"/>
      <c r="M242" s="56"/>
      <c r="N242" s="56"/>
      <c r="O242" s="56"/>
      <c r="P242" s="56"/>
      <c r="Q242" s="56"/>
      <c r="R242" s="56"/>
      <c r="S242" s="56"/>
      <c r="T242" s="56"/>
      <c r="U242" s="56"/>
      <c r="V242" s="56"/>
      <c r="W242" s="27"/>
      <c r="X242" s="56"/>
      <c r="Y242" s="27"/>
      <c r="Z242" s="56"/>
      <c r="AA242" s="27"/>
      <c r="AB242" s="56"/>
      <c r="AC242" s="27"/>
      <c r="AD242" s="56"/>
      <c r="AE242" s="27"/>
      <c r="AF242" s="56"/>
      <c r="AG242" s="27"/>
      <c r="AH242" s="286"/>
      <c r="AI242" s="27"/>
      <c r="AJ242" s="56"/>
      <c r="AK242" s="27"/>
      <c r="AL242" s="56"/>
      <c r="AM242" s="27"/>
      <c r="AN242" s="56"/>
      <c r="AO242" s="27"/>
      <c r="AP242" s="56"/>
      <c r="AQ242" s="27"/>
      <c r="AR242" s="56"/>
      <c r="AS242" s="27"/>
      <c r="AT242" s="56"/>
      <c r="AU242" s="27"/>
      <c r="AV242" s="56"/>
      <c r="AW242" s="27"/>
      <c r="AX242" s="56"/>
      <c r="AY242" s="27"/>
      <c r="AZ242" s="56"/>
      <c r="BA242" s="27"/>
      <c r="BB242" s="48"/>
      <c r="BC242" s="48"/>
      <c r="BD242" s="48"/>
      <c r="BE242" s="48"/>
      <c r="BF242" s="48"/>
      <c r="BG242" s="48"/>
      <c r="BH242" s="48"/>
      <c r="BI242" s="48"/>
      <c r="BJ242" s="48"/>
      <c r="BK242" s="48"/>
      <c r="BL242" s="48"/>
      <c r="BM242" s="48"/>
      <c r="BN242" s="48"/>
      <c r="BO242" s="48"/>
      <c r="BP242" s="48"/>
      <c r="BQ242" s="48"/>
      <c r="BR242" s="48"/>
      <c r="BS242" s="48"/>
      <c r="BT242" s="48"/>
      <c r="BU242" s="48"/>
    </row>
    <row r="243" ht="15.75" customHeight="1">
      <c r="A243" s="48"/>
      <c r="B243" s="48"/>
      <c r="C243" s="48"/>
      <c r="D243" s="48"/>
      <c r="E243" s="27"/>
      <c r="F243" s="48"/>
      <c r="G243" s="48"/>
      <c r="H243" s="56"/>
      <c r="I243" s="56"/>
      <c r="J243" s="56"/>
      <c r="K243" s="56"/>
      <c r="L243" s="56"/>
      <c r="M243" s="56"/>
      <c r="N243" s="56"/>
      <c r="O243" s="56"/>
      <c r="P243" s="56"/>
      <c r="Q243" s="56"/>
      <c r="R243" s="56"/>
      <c r="S243" s="56"/>
      <c r="T243" s="56"/>
      <c r="U243" s="56"/>
      <c r="V243" s="56"/>
      <c r="W243" s="27"/>
      <c r="X243" s="56"/>
      <c r="Y243" s="27"/>
      <c r="Z243" s="56"/>
      <c r="AA243" s="27"/>
      <c r="AB243" s="56"/>
      <c r="AC243" s="27"/>
      <c r="AD243" s="56"/>
      <c r="AE243" s="27"/>
      <c r="AF243" s="56"/>
      <c r="AG243" s="27"/>
      <c r="AH243" s="286"/>
      <c r="AI243" s="27"/>
      <c r="AJ243" s="56"/>
      <c r="AK243" s="27"/>
      <c r="AL243" s="56"/>
      <c r="AM243" s="27"/>
      <c r="AN243" s="56"/>
      <c r="AO243" s="27"/>
      <c r="AP243" s="56"/>
      <c r="AQ243" s="27"/>
      <c r="AR243" s="56"/>
      <c r="AS243" s="27"/>
      <c r="AT243" s="56"/>
      <c r="AU243" s="27"/>
      <c r="AV243" s="56"/>
      <c r="AW243" s="27"/>
      <c r="AX243" s="56"/>
      <c r="AY243" s="27"/>
      <c r="AZ243" s="56"/>
      <c r="BA243" s="27"/>
      <c r="BB243" s="48"/>
      <c r="BC243" s="48"/>
      <c r="BD243" s="48"/>
      <c r="BE243" s="48"/>
      <c r="BF243" s="48"/>
      <c r="BG243" s="48"/>
      <c r="BH243" s="48"/>
      <c r="BI243" s="48"/>
      <c r="BJ243" s="48"/>
      <c r="BK243" s="48"/>
      <c r="BL243" s="48"/>
      <c r="BM243" s="48"/>
      <c r="BN243" s="48"/>
      <c r="BO243" s="48"/>
      <c r="BP243" s="48"/>
      <c r="BQ243" s="48"/>
      <c r="BR243" s="48"/>
      <c r="BS243" s="48"/>
      <c r="BT243" s="48"/>
      <c r="BU243" s="48"/>
    </row>
    <row r="244" ht="15.75" customHeight="1">
      <c r="A244" s="48"/>
      <c r="B244" s="48"/>
      <c r="C244" s="48"/>
      <c r="D244" s="48"/>
      <c r="E244" s="27"/>
      <c r="F244" s="48"/>
      <c r="G244" s="48"/>
      <c r="H244" s="56"/>
      <c r="I244" s="56"/>
      <c r="J244" s="56"/>
      <c r="K244" s="56"/>
      <c r="L244" s="56"/>
      <c r="M244" s="56"/>
      <c r="N244" s="56"/>
      <c r="O244" s="56"/>
      <c r="P244" s="56"/>
      <c r="Q244" s="56"/>
      <c r="R244" s="56"/>
      <c r="S244" s="56"/>
      <c r="T244" s="56"/>
      <c r="U244" s="56"/>
      <c r="V244" s="56"/>
      <c r="W244" s="27"/>
      <c r="X244" s="56"/>
      <c r="Y244" s="27"/>
      <c r="Z244" s="56"/>
      <c r="AA244" s="27"/>
      <c r="AB244" s="56"/>
      <c r="AC244" s="27"/>
      <c r="AD244" s="56"/>
      <c r="AE244" s="27"/>
      <c r="AF244" s="56"/>
      <c r="AG244" s="27"/>
      <c r="AH244" s="286"/>
      <c r="AI244" s="27"/>
      <c r="AJ244" s="56"/>
      <c r="AK244" s="27"/>
      <c r="AL244" s="56"/>
      <c r="AM244" s="27"/>
      <c r="AN244" s="56"/>
      <c r="AO244" s="27"/>
      <c r="AP244" s="56"/>
      <c r="AQ244" s="27"/>
      <c r="AR244" s="56"/>
      <c r="AS244" s="27"/>
      <c r="AT244" s="56"/>
      <c r="AU244" s="27"/>
      <c r="AV244" s="56"/>
      <c r="AW244" s="27"/>
      <c r="AX244" s="56"/>
      <c r="AY244" s="27"/>
      <c r="AZ244" s="56"/>
      <c r="BA244" s="27"/>
      <c r="BB244" s="48"/>
      <c r="BC244" s="48"/>
      <c r="BD244" s="48"/>
      <c r="BE244" s="48"/>
      <c r="BF244" s="48"/>
      <c r="BG244" s="48"/>
      <c r="BH244" s="48"/>
      <c r="BI244" s="48"/>
      <c r="BJ244" s="48"/>
      <c r="BK244" s="48"/>
      <c r="BL244" s="48"/>
      <c r="BM244" s="48"/>
      <c r="BN244" s="48"/>
      <c r="BO244" s="48"/>
      <c r="BP244" s="48"/>
      <c r="BQ244" s="48"/>
      <c r="BR244" s="48"/>
      <c r="BS244" s="48"/>
      <c r="BT244" s="48"/>
      <c r="BU244" s="48"/>
    </row>
    <row r="245" ht="15.75" customHeight="1">
      <c r="A245" s="48"/>
      <c r="B245" s="48"/>
      <c r="C245" s="48"/>
      <c r="D245" s="48"/>
      <c r="E245" s="27"/>
      <c r="F245" s="48"/>
      <c r="G245" s="48"/>
      <c r="H245" s="56"/>
      <c r="I245" s="56"/>
      <c r="J245" s="56"/>
      <c r="K245" s="56"/>
      <c r="L245" s="56"/>
      <c r="M245" s="56"/>
      <c r="N245" s="56"/>
      <c r="O245" s="56"/>
      <c r="P245" s="56"/>
      <c r="Q245" s="56"/>
      <c r="R245" s="56"/>
      <c r="S245" s="56"/>
      <c r="T245" s="56"/>
      <c r="U245" s="56"/>
      <c r="V245" s="56"/>
      <c r="W245" s="27"/>
      <c r="X245" s="56"/>
      <c r="Y245" s="27"/>
      <c r="Z245" s="56"/>
      <c r="AA245" s="27"/>
      <c r="AB245" s="56"/>
      <c r="AC245" s="27"/>
      <c r="AD245" s="56"/>
      <c r="AE245" s="27"/>
      <c r="AF245" s="56"/>
      <c r="AG245" s="27"/>
      <c r="AH245" s="286"/>
      <c r="AI245" s="27"/>
      <c r="AJ245" s="56"/>
      <c r="AK245" s="27"/>
      <c r="AL245" s="56"/>
      <c r="AM245" s="27"/>
      <c r="AN245" s="56"/>
      <c r="AO245" s="27"/>
      <c r="AP245" s="56"/>
      <c r="AQ245" s="27"/>
      <c r="AR245" s="56"/>
      <c r="AS245" s="27"/>
      <c r="AT245" s="56"/>
      <c r="AU245" s="27"/>
      <c r="AV245" s="56"/>
      <c r="AW245" s="27"/>
      <c r="AX245" s="56"/>
      <c r="AY245" s="27"/>
      <c r="AZ245" s="56"/>
      <c r="BA245" s="27"/>
      <c r="BB245" s="48"/>
      <c r="BC245" s="48"/>
      <c r="BD245" s="48"/>
      <c r="BE245" s="48"/>
      <c r="BF245" s="48"/>
      <c r="BG245" s="48"/>
      <c r="BH245" s="48"/>
      <c r="BI245" s="48"/>
      <c r="BJ245" s="48"/>
      <c r="BK245" s="48"/>
      <c r="BL245" s="48"/>
      <c r="BM245" s="48"/>
      <c r="BN245" s="48"/>
      <c r="BO245" s="48"/>
      <c r="BP245" s="48"/>
      <c r="BQ245" s="48"/>
      <c r="BR245" s="48"/>
      <c r="BS245" s="48"/>
      <c r="BT245" s="48"/>
      <c r="BU245" s="48"/>
    </row>
    <row r="246" ht="15.75" customHeight="1">
      <c r="A246" s="48"/>
      <c r="B246" s="48"/>
      <c r="C246" s="48"/>
      <c r="D246" s="48"/>
      <c r="E246" s="27"/>
      <c r="F246" s="48"/>
      <c r="G246" s="48"/>
      <c r="H246" s="56"/>
      <c r="I246" s="56"/>
      <c r="J246" s="56"/>
      <c r="K246" s="56"/>
      <c r="L246" s="56"/>
      <c r="M246" s="56"/>
      <c r="N246" s="56"/>
      <c r="O246" s="56"/>
      <c r="P246" s="56"/>
      <c r="Q246" s="56"/>
      <c r="R246" s="56"/>
      <c r="S246" s="56"/>
      <c r="T246" s="56"/>
      <c r="U246" s="56"/>
      <c r="V246" s="56"/>
      <c r="W246" s="27"/>
      <c r="X246" s="56"/>
      <c r="Y246" s="27"/>
      <c r="Z246" s="56"/>
      <c r="AA246" s="27"/>
      <c r="AB246" s="56"/>
      <c r="AC246" s="27"/>
      <c r="AD246" s="56"/>
      <c r="AE246" s="27"/>
      <c r="AF246" s="56"/>
      <c r="AG246" s="27"/>
      <c r="AH246" s="286"/>
      <c r="AI246" s="27"/>
      <c r="AJ246" s="56"/>
      <c r="AK246" s="27"/>
      <c r="AL246" s="56"/>
      <c r="AM246" s="27"/>
      <c r="AN246" s="56"/>
      <c r="AO246" s="27"/>
      <c r="AP246" s="56"/>
      <c r="AQ246" s="27"/>
      <c r="AR246" s="56"/>
      <c r="AS246" s="27"/>
      <c r="AT246" s="56"/>
      <c r="AU246" s="27"/>
      <c r="AV246" s="56"/>
      <c r="AW246" s="27"/>
      <c r="AX246" s="56"/>
      <c r="AY246" s="27"/>
      <c r="AZ246" s="56"/>
      <c r="BA246" s="27"/>
      <c r="BB246" s="48"/>
      <c r="BC246" s="48"/>
      <c r="BD246" s="48"/>
      <c r="BE246" s="48"/>
      <c r="BF246" s="48"/>
      <c r="BG246" s="48"/>
      <c r="BH246" s="48"/>
      <c r="BI246" s="48"/>
      <c r="BJ246" s="48"/>
      <c r="BK246" s="48"/>
      <c r="BL246" s="48"/>
      <c r="BM246" s="48"/>
      <c r="BN246" s="48"/>
      <c r="BO246" s="48"/>
      <c r="BP246" s="48"/>
      <c r="BQ246" s="48"/>
      <c r="BR246" s="48"/>
      <c r="BS246" s="48"/>
      <c r="BT246" s="48"/>
      <c r="BU246" s="48"/>
    </row>
    <row r="247" ht="15.75" customHeight="1">
      <c r="A247" s="48"/>
      <c r="B247" s="48"/>
      <c r="C247" s="48"/>
      <c r="D247" s="48"/>
      <c r="E247" s="27"/>
      <c r="F247" s="48"/>
      <c r="G247" s="48"/>
      <c r="H247" s="56"/>
      <c r="I247" s="56"/>
      <c r="J247" s="56"/>
      <c r="K247" s="56"/>
      <c r="L247" s="56"/>
      <c r="M247" s="56"/>
      <c r="N247" s="56"/>
      <c r="O247" s="56"/>
      <c r="P247" s="56"/>
      <c r="Q247" s="56"/>
      <c r="R247" s="56"/>
      <c r="S247" s="56"/>
      <c r="T247" s="56"/>
      <c r="U247" s="56"/>
      <c r="V247" s="56"/>
      <c r="W247" s="27"/>
      <c r="X247" s="56"/>
      <c r="Y247" s="27"/>
      <c r="Z247" s="56"/>
      <c r="AA247" s="27"/>
      <c r="AB247" s="56"/>
      <c r="AC247" s="27"/>
      <c r="AD247" s="56"/>
      <c r="AE247" s="27"/>
      <c r="AF247" s="56"/>
      <c r="AG247" s="27"/>
      <c r="AH247" s="286"/>
      <c r="AI247" s="27"/>
      <c r="AJ247" s="56"/>
      <c r="AK247" s="27"/>
      <c r="AL247" s="56"/>
      <c r="AM247" s="27"/>
      <c r="AN247" s="56"/>
      <c r="AO247" s="27"/>
      <c r="AP247" s="56"/>
      <c r="AQ247" s="27"/>
      <c r="AR247" s="56"/>
      <c r="AS247" s="27"/>
      <c r="AT247" s="56"/>
      <c r="AU247" s="27"/>
      <c r="AV247" s="56"/>
      <c r="AW247" s="27"/>
      <c r="AX247" s="56"/>
      <c r="AY247" s="27"/>
      <c r="AZ247" s="56"/>
      <c r="BA247" s="27"/>
      <c r="BB247" s="48"/>
      <c r="BC247" s="48"/>
      <c r="BD247" s="48"/>
      <c r="BE247" s="48"/>
      <c r="BF247" s="48"/>
      <c r="BG247" s="48"/>
      <c r="BH247" s="48"/>
      <c r="BI247" s="48"/>
      <c r="BJ247" s="48"/>
      <c r="BK247" s="48"/>
      <c r="BL247" s="48"/>
      <c r="BM247" s="48"/>
      <c r="BN247" s="48"/>
      <c r="BO247" s="48"/>
      <c r="BP247" s="48"/>
      <c r="BQ247" s="48"/>
      <c r="BR247" s="48"/>
      <c r="BS247" s="48"/>
      <c r="BT247" s="48"/>
      <c r="BU247" s="48"/>
    </row>
    <row r="248" ht="15.75" customHeight="1">
      <c r="A248" s="48"/>
      <c r="B248" s="48"/>
      <c r="C248" s="48"/>
      <c r="D248" s="48"/>
      <c r="E248" s="27"/>
      <c r="F248" s="48"/>
      <c r="G248" s="48"/>
      <c r="H248" s="56"/>
      <c r="I248" s="56"/>
      <c r="J248" s="56"/>
      <c r="K248" s="56"/>
      <c r="L248" s="56"/>
      <c r="M248" s="56"/>
      <c r="N248" s="56"/>
      <c r="O248" s="56"/>
      <c r="P248" s="56"/>
      <c r="Q248" s="56"/>
      <c r="R248" s="56"/>
      <c r="S248" s="56"/>
      <c r="T248" s="56"/>
      <c r="U248" s="56"/>
      <c r="V248" s="56"/>
      <c r="W248" s="27"/>
      <c r="X248" s="56"/>
      <c r="Y248" s="27"/>
      <c r="Z248" s="56"/>
      <c r="AA248" s="27"/>
      <c r="AB248" s="56"/>
      <c r="AC248" s="27"/>
      <c r="AD248" s="56"/>
      <c r="AE248" s="27"/>
      <c r="AF248" s="56"/>
      <c r="AG248" s="27"/>
      <c r="AH248" s="286"/>
      <c r="AI248" s="27"/>
      <c r="AJ248" s="56"/>
      <c r="AK248" s="27"/>
      <c r="AL248" s="56"/>
      <c r="AM248" s="27"/>
      <c r="AN248" s="56"/>
      <c r="AO248" s="27"/>
      <c r="AP248" s="56"/>
      <c r="AQ248" s="27"/>
      <c r="AR248" s="56"/>
      <c r="AS248" s="27"/>
      <c r="AT248" s="56"/>
      <c r="AU248" s="27"/>
      <c r="AV248" s="56"/>
      <c r="AW248" s="27"/>
      <c r="AX248" s="56"/>
      <c r="AY248" s="27"/>
      <c r="AZ248" s="56"/>
      <c r="BA248" s="27"/>
      <c r="BB248" s="48"/>
      <c r="BC248" s="48"/>
      <c r="BD248" s="48"/>
      <c r="BE248" s="48"/>
      <c r="BF248" s="48"/>
      <c r="BG248" s="48"/>
      <c r="BH248" s="48"/>
      <c r="BI248" s="48"/>
      <c r="BJ248" s="48"/>
      <c r="BK248" s="48"/>
      <c r="BL248" s="48"/>
      <c r="BM248" s="48"/>
      <c r="BN248" s="48"/>
      <c r="BO248" s="48"/>
      <c r="BP248" s="48"/>
      <c r="BQ248" s="48"/>
      <c r="BR248" s="48"/>
      <c r="BS248" s="48"/>
      <c r="BT248" s="48"/>
      <c r="BU248" s="48"/>
    </row>
    <row r="249" ht="15.75" customHeight="1">
      <c r="A249" s="48"/>
      <c r="B249" s="48"/>
      <c r="C249" s="48"/>
      <c r="D249" s="48"/>
      <c r="E249" s="27"/>
      <c r="F249" s="48"/>
      <c r="G249" s="48"/>
      <c r="H249" s="56"/>
      <c r="I249" s="56"/>
      <c r="J249" s="56"/>
      <c r="K249" s="56"/>
      <c r="L249" s="56"/>
      <c r="M249" s="56"/>
      <c r="N249" s="56"/>
      <c r="O249" s="56"/>
      <c r="P249" s="56"/>
      <c r="Q249" s="56"/>
      <c r="R249" s="56"/>
      <c r="S249" s="56"/>
      <c r="T249" s="56"/>
      <c r="U249" s="56"/>
      <c r="V249" s="56"/>
      <c r="W249" s="27"/>
      <c r="X249" s="56"/>
      <c r="Y249" s="27"/>
      <c r="Z249" s="56"/>
      <c r="AA249" s="27"/>
      <c r="AB249" s="56"/>
      <c r="AC249" s="27"/>
      <c r="AD249" s="56"/>
      <c r="AE249" s="27"/>
      <c r="AF249" s="56"/>
      <c r="AG249" s="27"/>
      <c r="AH249" s="286"/>
      <c r="AI249" s="27"/>
      <c r="AJ249" s="56"/>
      <c r="AK249" s="27"/>
      <c r="AL249" s="56"/>
      <c r="AM249" s="27"/>
      <c r="AN249" s="56"/>
      <c r="AO249" s="27"/>
      <c r="AP249" s="56"/>
      <c r="AQ249" s="27"/>
      <c r="AR249" s="56"/>
      <c r="AS249" s="27"/>
      <c r="AT249" s="56"/>
      <c r="AU249" s="27"/>
      <c r="AV249" s="56"/>
      <c r="AW249" s="27"/>
      <c r="AX249" s="56"/>
      <c r="AY249" s="27"/>
      <c r="AZ249" s="56"/>
      <c r="BA249" s="27"/>
      <c r="BB249" s="48"/>
      <c r="BC249" s="48"/>
      <c r="BD249" s="48"/>
      <c r="BE249" s="48"/>
      <c r="BF249" s="48"/>
      <c r="BG249" s="48"/>
      <c r="BH249" s="48"/>
      <c r="BI249" s="48"/>
      <c r="BJ249" s="48"/>
      <c r="BK249" s="48"/>
      <c r="BL249" s="48"/>
      <c r="BM249" s="48"/>
      <c r="BN249" s="48"/>
      <c r="BO249" s="48"/>
      <c r="BP249" s="48"/>
      <c r="BQ249" s="48"/>
      <c r="BR249" s="48"/>
      <c r="BS249" s="48"/>
      <c r="BT249" s="48"/>
      <c r="BU249" s="48"/>
    </row>
    <row r="250" ht="15.75" customHeight="1">
      <c r="A250" s="48"/>
      <c r="B250" s="48"/>
      <c r="C250" s="48"/>
      <c r="D250" s="48"/>
      <c r="E250" s="27"/>
      <c r="F250" s="48"/>
      <c r="G250" s="48"/>
      <c r="H250" s="56"/>
      <c r="I250" s="56"/>
      <c r="J250" s="56"/>
      <c r="K250" s="56"/>
      <c r="L250" s="56"/>
      <c r="M250" s="56"/>
      <c r="N250" s="56"/>
      <c r="O250" s="56"/>
      <c r="P250" s="56"/>
      <c r="Q250" s="56"/>
      <c r="R250" s="56"/>
      <c r="S250" s="56"/>
      <c r="T250" s="56"/>
      <c r="U250" s="56"/>
      <c r="V250" s="56"/>
      <c r="W250" s="27"/>
      <c r="X250" s="56"/>
      <c r="Y250" s="27"/>
      <c r="Z250" s="56"/>
      <c r="AA250" s="27"/>
      <c r="AB250" s="56"/>
      <c r="AC250" s="27"/>
      <c r="AD250" s="56"/>
      <c r="AE250" s="27"/>
      <c r="AF250" s="56"/>
      <c r="AG250" s="27"/>
      <c r="AH250" s="286"/>
      <c r="AI250" s="27"/>
      <c r="AJ250" s="56"/>
      <c r="AK250" s="27"/>
      <c r="AL250" s="56"/>
      <c r="AM250" s="27"/>
      <c r="AN250" s="56"/>
      <c r="AO250" s="27"/>
      <c r="AP250" s="56"/>
      <c r="AQ250" s="27"/>
      <c r="AR250" s="56"/>
      <c r="AS250" s="27"/>
      <c r="AT250" s="56"/>
      <c r="AU250" s="27"/>
      <c r="AV250" s="56"/>
      <c r="AW250" s="27"/>
      <c r="AX250" s="56"/>
      <c r="AY250" s="27"/>
      <c r="AZ250" s="56"/>
      <c r="BA250" s="27"/>
      <c r="BB250" s="48"/>
      <c r="BC250" s="48"/>
      <c r="BD250" s="48"/>
      <c r="BE250" s="48"/>
      <c r="BF250" s="48"/>
      <c r="BG250" s="48"/>
      <c r="BH250" s="48"/>
      <c r="BI250" s="48"/>
      <c r="BJ250" s="48"/>
      <c r="BK250" s="48"/>
      <c r="BL250" s="48"/>
      <c r="BM250" s="48"/>
      <c r="BN250" s="48"/>
      <c r="BO250" s="48"/>
      <c r="BP250" s="48"/>
      <c r="BQ250" s="48"/>
      <c r="BR250" s="48"/>
      <c r="BS250" s="48"/>
      <c r="BT250" s="48"/>
      <c r="BU250" s="48"/>
    </row>
    <row r="251" ht="15.75" customHeight="1">
      <c r="A251" s="48"/>
      <c r="B251" s="48"/>
      <c r="C251" s="48"/>
      <c r="D251" s="48"/>
      <c r="E251" s="27"/>
      <c r="F251" s="48"/>
      <c r="G251" s="48"/>
      <c r="H251" s="56"/>
      <c r="I251" s="56"/>
      <c r="J251" s="56"/>
      <c r="K251" s="56"/>
      <c r="L251" s="56"/>
      <c r="M251" s="56"/>
      <c r="N251" s="56"/>
      <c r="O251" s="56"/>
      <c r="P251" s="56"/>
      <c r="Q251" s="56"/>
      <c r="R251" s="56"/>
      <c r="S251" s="56"/>
      <c r="T251" s="56"/>
      <c r="U251" s="56"/>
      <c r="V251" s="56"/>
      <c r="W251" s="27"/>
      <c r="X251" s="56"/>
      <c r="Y251" s="27"/>
      <c r="Z251" s="56"/>
      <c r="AA251" s="27"/>
      <c r="AB251" s="56"/>
      <c r="AC251" s="27"/>
      <c r="AD251" s="56"/>
      <c r="AE251" s="27"/>
      <c r="AF251" s="56"/>
      <c r="AG251" s="27"/>
      <c r="AH251" s="286"/>
      <c r="AI251" s="27"/>
      <c r="AJ251" s="56"/>
      <c r="AK251" s="27"/>
      <c r="AL251" s="56"/>
      <c r="AM251" s="27"/>
      <c r="AN251" s="56"/>
      <c r="AO251" s="27"/>
      <c r="AP251" s="56"/>
      <c r="AQ251" s="27"/>
      <c r="AR251" s="56"/>
      <c r="AS251" s="27"/>
      <c r="AT251" s="56"/>
      <c r="AU251" s="27"/>
      <c r="AV251" s="56"/>
      <c r="AW251" s="27"/>
      <c r="AX251" s="56"/>
      <c r="AY251" s="27"/>
      <c r="AZ251" s="56"/>
      <c r="BA251" s="27"/>
      <c r="BB251" s="48"/>
      <c r="BC251" s="48"/>
      <c r="BD251" s="48"/>
      <c r="BE251" s="48"/>
      <c r="BF251" s="48"/>
      <c r="BG251" s="48"/>
      <c r="BH251" s="48"/>
      <c r="BI251" s="48"/>
      <c r="BJ251" s="48"/>
      <c r="BK251" s="48"/>
      <c r="BL251" s="48"/>
      <c r="BM251" s="48"/>
      <c r="BN251" s="48"/>
      <c r="BO251" s="48"/>
      <c r="BP251" s="48"/>
      <c r="BQ251" s="48"/>
      <c r="BR251" s="48"/>
      <c r="BS251" s="48"/>
      <c r="BT251" s="48"/>
      <c r="BU251" s="48"/>
    </row>
    <row r="252" ht="15.75" customHeight="1">
      <c r="A252" s="48"/>
      <c r="B252" s="48"/>
      <c r="C252" s="48"/>
      <c r="D252" s="48"/>
      <c r="E252" s="27"/>
      <c r="F252" s="48"/>
      <c r="G252" s="48"/>
      <c r="H252" s="56"/>
      <c r="I252" s="56"/>
      <c r="J252" s="56"/>
      <c r="K252" s="56"/>
      <c r="L252" s="56"/>
      <c r="M252" s="56"/>
      <c r="N252" s="56"/>
      <c r="O252" s="56"/>
      <c r="P252" s="56"/>
      <c r="Q252" s="56"/>
      <c r="R252" s="56"/>
      <c r="S252" s="56"/>
      <c r="T252" s="56"/>
      <c r="U252" s="56"/>
      <c r="V252" s="56"/>
      <c r="W252" s="27"/>
      <c r="X252" s="56"/>
      <c r="Y252" s="27"/>
      <c r="Z252" s="56"/>
      <c r="AA252" s="27"/>
      <c r="AB252" s="56"/>
      <c r="AC252" s="27"/>
      <c r="AD252" s="56"/>
      <c r="AE252" s="27"/>
      <c r="AF252" s="56"/>
      <c r="AG252" s="27"/>
      <c r="AH252" s="286"/>
      <c r="AI252" s="27"/>
      <c r="AJ252" s="56"/>
      <c r="AK252" s="27"/>
      <c r="AL252" s="56"/>
      <c r="AM252" s="27"/>
      <c r="AN252" s="56"/>
      <c r="AO252" s="27"/>
      <c r="AP252" s="56"/>
      <c r="AQ252" s="27"/>
      <c r="AR252" s="56"/>
      <c r="AS252" s="27"/>
      <c r="AT252" s="56"/>
      <c r="AU252" s="27"/>
      <c r="AV252" s="56"/>
      <c r="AW252" s="27"/>
      <c r="AX252" s="56"/>
      <c r="AY252" s="27"/>
      <c r="AZ252" s="56"/>
      <c r="BA252" s="27"/>
      <c r="BB252" s="48"/>
      <c r="BC252" s="48"/>
      <c r="BD252" s="48"/>
      <c r="BE252" s="48"/>
      <c r="BF252" s="48"/>
      <c r="BG252" s="48"/>
      <c r="BH252" s="48"/>
      <c r="BI252" s="48"/>
      <c r="BJ252" s="48"/>
      <c r="BK252" s="48"/>
      <c r="BL252" s="48"/>
      <c r="BM252" s="48"/>
      <c r="BN252" s="48"/>
      <c r="BO252" s="48"/>
      <c r="BP252" s="48"/>
      <c r="BQ252" s="48"/>
      <c r="BR252" s="48"/>
      <c r="BS252" s="48"/>
      <c r="BT252" s="48"/>
      <c r="BU252" s="48"/>
    </row>
    <row r="253" ht="15.75" customHeight="1">
      <c r="A253" s="48"/>
      <c r="B253" s="48"/>
      <c r="C253" s="48"/>
      <c r="D253" s="48"/>
      <c r="E253" s="27"/>
      <c r="F253" s="48"/>
      <c r="G253" s="48"/>
      <c r="H253" s="56"/>
      <c r="I253" s="56"/>
      <c r="J253" s="56"/>
      <c r="K253" s="56"/>
      <c r="L253" s="56"/>
      <c r="M253" s="56"/>
      <c r="N253" s="56"/>
      <c r="O253" s="56"/>
      <c r="P253" s="56"/>
      <c r="Q253" s="56"/>
      <c r="R253" s="56"/>
      <c r="S253" s="56"/>
      <c r="T253" s="56"/>
      <c r="U253" s="56"/>
      <c r="V253" s="56"/>
      <c r="W253" s="27"/>
      <c r="X253" s="56"/>
      <c r="Y253" s="27"/>
      <c r="Z253" s="56"/>
      <c r="AA253" s="27"/>
      <c r="AB253" s="56"/>
      <c r="AC253" s="27"/>
      <c r="AD253" s="56"/>
      <c r="AE253" s="27"/>
      <c r="AF253" s="56"/>
      <c r="AG253" s="27"/>
      <c r="AH253" s="286"/>
      <c r="AI253" s="27"/>
      <c r="AJ253" s="56"/>
      <c r="AK253" s="27"/>
      <c r="AL253" s="56"/>
      <c r="AM253" s="27"/>
      <c r="AN253" s="56"/>
      <c r="AO253" s="27"/>
      <c r="AP253" s="56"/>
      <c r="AQ253" s="27"/>
      <c r="AR253" s="56"/>
      <c r="AS253" s="27"/>
      <c r="AT253" s="56"/>
      <c r="AU253" s="27"/>
      <c r="AV253" s="56"/>
      <c r="AW253" s="27"/>
      <c r="AX253" s="56"/>
      <c r="AY253" s="27"/>
      <c r="AZ253" s="56"/>
      <c r="BA253" s="27"/>
      <c r="BB253" s="48"/>
      <c r="BC253" s="48"/>
      <c r="BD253" s="48"/>
      <c r="BE253" s="48"/>
      <c r="BF253" s="48"/>
      <c r="BG253" s="48"/>
      <c r="BH253" s="48"/>
      <c r="BI253" s="48"/>
      <c r="BJ253" s="48"/>
      <c r="BK253" s="48"/>
      <c r="BL253" s="48"/>
      <c r="BM253" s="48"/>
      <c r="BN253" s="48"/>
      <c r="BO253" s="48"/>
      <c r="BP253" s="48"/>
      <c r="BQ253" s="48"/>
      <c r="BR253" s="48"/>
      <c r="BS253" s="48"/>
      <c r="BT253" s="48"/>
      <c r="BU253" s="48"/>
    </row>
    <row r="254" ht="15.75" customHeight="1">
      <c r="A254" s="48"/>
      <c r="B254" s="48"/>
      <c r="C254" s="48"/>
      <c r="D254" s="48"/>
      <c r="E254" s="27"/>
      <c r="F254" s="48"/>
      <c r="G254" s="48"/>
      <c r="H254" s="56"/>
      <c r="I254" s="56"/>
      <c r="J254" s="56"/>
      <c r="K254" s="56"/>
      <c r="L254" s="56"/>
      <c r="M254" s="56"/>
      <c r="N254" s="56"/>
      <c r="O254" s="56"/>
      <c r="P254" s="56"/>
      <c r="Q254" s="56"/>
      <c r="R254" s="56"/>
      <c r="S254" s="56"/>
      <c r="T254" s="56"/>
      <c r="U254" s="56"/>
      <c r="V254" s="56"/>
      <c r="W254" s="27"/>
      <c r="X254" s="56"/>
      <c r="Y254" s="27"/>
      <c r="Z254" s="56"/>
      <c r="AA254" s="27"/>
      <c r="AB254" s="56"/>
      <c r="AC254" s="27"/>
      <c r="AD254" s="56"/>
      <c r="AE254" s="27"/>
      <c r="AF254" s="56"/>
      <c r="AG254" s="27"/>
      <c r="AH254" s="286"/>
      <c r="AI254" s="27"/>
      <c r="AJ254" s="56"/>
      <c r="AK254" s="27"/>
      <c r="AL254" s="56"/>
      <c r="AM254" s="27"/>
      <c r="AN254" s="56"/>
      <c r="AO254" s="27"/>
      <c r="AP254" s="56"/>
      <c r="AQ254" s="27"/>
      <c r="AR254" s="56"/>
      <c r="AS254" s="27"/>
      <c r="AT254" s="56"/>
      <c r="AU254" s="27"/>
      <c r="AV254" s="56"/>
      <c r="AW254" s="27"/>
      <c r="AX254" s="56"/>
      <c r="AY254" s="27"/>
      <c r="AZ254" s="56"/>
      <c r="BA254" s="27"/>
      <c r="BB254" s="48"/>
      <c r="BC254" s="48"/>
      <c r="BD254" s="48"/>
      <c r="BE254" s="48"/>
      <c r="BF254" s="48"/>
      <c r="BG254" s="48"/>
      <c r="BH254" s="48"/>
      <c r="BI254" s="48"/>
      <c r="BJ254" s="48"/>
      <c r="BK254" s="48"/>
      <c r="BL254" s="48"/>
      <c r="BM254" s="48"/>
      <c r="BN254" s="48"/>
      <c r="BO254" s="48"/>
      <c r="BP254" s="48"/>
      <c r="BQ254" s="48"/>
      <c r="BR254" s="48"/>
      <c r="BS254" s="48"/>
      <c r="BT254" s="48"/>
      <c r="BU254" s="48"/>
    </row>
    <row r="255" ht="15.75" customHeight="1">
      <c r="A255" s="48"/>
      <c r="B255" s="48"/>
      <c r="C255" s="48"/>
      <c r="D255" s="48"/>
      <c r="E255" s="27"/>
      <c r="F255" s="48"/>
      <c r="G255" s="48"/>
      <c r="H255" s="56"/>
      <c r="I255" s="56"/>
      <c r="J255" s="56"/>
      <c r="K255" s="56"/>
      <c r="L255" s="56"/>
      <c r="M255" s="56"/>
      <c r="N255" s="56"/>
      <c r="O255" s="56"/>
      <c r="P255" s="56"/>
      <c r="Q255" s="56"/>
      <c r="R255" s="56"/>
      <c r="S255" s="56"/>
      <c r="T255" s="56"/>
      <c r="U255" s="56"/>
      <c r="V255" s="56"/>
      <c r="W255" s="27"/>
      <c r="X255" s="56"/>
      <c r="Y255" s="27"/>
      <c r="Z255" s="56"/>
      <c r="AA255" s="27"/>
      <c r="AB255" s="56"/>
      <c r="AC255" s="27"/>
      <c r="AD255" s="56"/>
      <c r="AE255" s="27"/>
      <c r="AF255" s="56"/>
      <c r="AG255" s="27"/>
      <c r="AH255" s="286"/>
      <c r="AI255" s="27"/>
      <c r="AJ255" s="56"/>
      <c r="AK255" s="27"/>
      <c r="AL255" s="56"/>
      <c r="AM255" s="27"/>
      <c r="AN255" s="56"/>
      <c r="AO255" s="27"/>
      <c r="AP255" s="56"/>
      <c r="AQ255" s="27"/>
      <c r="AR255" s="56"/>
      <c r="AS255" s="27"/>
      <c r="AT255" s="56"/>
      <c r="AU255" s="27"/>
      <c r="AV255" s="56"/>
      <c r="AW255" s="27"/>
      <c r="AX255" s="56"/>
      <c r="AY255" s="27"/>
      <c r="AZ255" s="56"/>
      <c r="BA255" s="27"/>
      <c r="BB255" s="48"/>
      <c r="BC255" s="48"/>
      <c r="BD255" s="48"/>
      <c r="BE255" s="48"/>
      <c r="BF255" s="48"/>
      <c r="BG255" s="48"/>
      <c r="BH255" s="48"/>
      <c r="BI255" s="48"/>
      <c r="BJ255" s="48"/>
      <c r="BK255" s="48"/>
      <c r="BL255" s="48"/>
      <c r="BM255" s="48"/>
      <c r="BN255" s="48"/>
      <c r="BO255" s="48"/>
      <c r="BP255" s="48"/>
      <c r="BQ255" s="48"/>
      <c r="BR255" s="48"/>
      <c r="BS255" s="48"/>
      <c r="BT255" s="48"/>
      <c r="BU255" s="48"/>
    </row>
    <row r="256" ht="15.75" customHeight="1">
      <c r="A256" s="48"/>
      <c r="B256" s="48"/>
      <c r="C256" s="48"/>
      <c r="D256" s="48"/>
      <c r="E256" s="27"/>
      <c r="F256" s="48"/>
      <c r="G256" s="48"/>
      <c r="H256" s="56"/>
      <c r="I256" s="56"/>
      <c r="J256" s="56"/>
      <c r="K256" s="56"/>
      <c r="L256" s="56"/>
      <c r="M256" s="56"/>
      <c r="N256" s="56"/>
      <c r="O256" s="56"/>
      <c r="P256" s="56"/>
      <c r="Q256" s="56"/>
      <c r="R256" s="56"/>
      <c r="S256" s="56"/>
      <c r="T256" s="56"/>
      <c r="U256" s="56"/>
      <c r="V256" s="56"/>
      <c r="W256" s="27"/>
      <c r="X256" s="56"/>
      <c r="Y256" s="27"/>
      <c r="Z256" s="56"/>
      <c r="AA256" s="27"/>
      <c r="AB256" s="56"/>
      <c r="AC256" s="27"/>
      <c r="AD256" s="56"/>
      <c r="AE256" s="27"/>
      <c r="AF256" s="56"/>
      <c r="AG256" s="27"/>
      <c r="AH256" s="286"/>
      <c r="AI256" s="27"/>
      <c r="AJ256" s="56"/>
      <c r="AK256" s="27"/>
      <c r="AL256" s="56"/>
      <c r="AM256" s="27"/>
      <c r="AN256" s="56"/>
      <c r="AO256" s="27"/>
      <c r="AP256" s="56"/>
      <c r="AQ256" s="27"/>
      <c r="AR256" s="56"/>
      <c r="AS256" s="27"/>
      <c r="AT256" s="56"/>
      <c r="AU256" s="27"/>
      <c r="AV256" s="56"/>
      <c r="AW256" s="27"/>
      <c r="AX256" s="56"/>
      <c r="AY256" s="27"/>
      <c r="AZ256" s="56"/>
      <c r="BA256" s="27"/>
      <c r="BB256" s="48"/>
      <c r="BC256" s="48"/>
      <c r="BD256" s="48"/>
      <c r="BE256" s="48"/>
      <c r="BF256" s="48"/>
      <c r="BG256" s="48"/>
      <c r="BH256" s="48"/>
      <c r="BI256" s="48"/>
      <c r="BJ256" s="48"/>
      <c r="BK256" s="48"/>
      <c r="BL256" s="48"/>
      <c r="BM256" s="48"/>
      <c r="BN256" s="48"/>
      <c r="BO256" s="48"/>
      <c r="BP256" s="48"/>
      <c r="BQ256" s="48"/>
      <c r="BR256" s="48"/>
      <c r="BS256" s="48"/>
      <c r="BT256" s="48"/>
      <c r="BU256" s="48"/>
    </row>
    <row r="257" ht="15.75" customHeight="1">
      <c r="A257" s="48"/>
      <c r="B257" s="48"/>
      <c r="C257" s="48"/>
      <c r="D257" s="48"/>
      <c r="E257" s="27"/>
      <c r="F257" s="48"/>
      <c r="G257" s="48"/>
      <c r="H257" s="56"/>
      <c r="I257" s="56"/>
      <c r="J257" s="56"/>
      <c r="K257" s="56"/>
      <c r="L257" s="56"/>
      <c r="M257" s="56"/>
      <c r="N257" s="56"/>
      <c r="O257" s="56"/>
      <c r="P257" s="56"/>
      <c r="Q257" s="56"/>
      <c r="R257" s="56"/>
      <c r="S257" s="56"/>
      <c r="T257" s="56"/>
      <c r="U257" s="56"/>
      <c r="V257" s="56"/>
      <c r="W257" s="27"/>
      <c r="X257" s="56"/>
      <c r="Y257" s="27"/>
      <c r="Z257" s="56"/>
      <c r="AA257" s="27"/>
      <c r="AB257" s="56"/>
      <c r="AC257" s="27"/>
      <c r="AD257" s="56"/>
      <c r="AE257" s="27"/>
      <c r="AF257" s="56"/>
      <c r="AG257" s="27"/>
      <c r="AH257" s="286"/>
      <c r="AI257" s="27"/>
      <c r="AJ257" s="56"/>
      <c r="AK257" s="27"/>
      <c r="AL257" s="56"/>
      <c r="AM257" s="27"/>
      <c r="AN257" s="56"/>
      <c r="AO257" s="27"/>
      <c r="AP257" s="56"/>
      <c r="AQ257" s="27"/>
      <c r="AR257" s="56"/>
      <c r="AS257" s="27"/>
      <c r="AT257" s="56"/>
      <c r="AU257" s="27"/>
      <c r="AV257" s="56"/>
      <c r="AW257" s="27"/>
      <c r="AX257" s="56"/>
      <c r="AY257" s="27"/>
      <c r="AZ257" s="56"/>
      <c r="BA257" s="27"/>
      <c r="BB257" s="48"/>
      <c r="BC257" s="48"/>
      <c r="BD257" s="48"/>
      <c r="BE257" s="48"/>
      <c r="BF257" s="48"/>
      <c r="BG257" s="48"/>
      <c r="BH257" s="48"/>
      <c r="BI257" s="48"/>
      <c r="BJ257" s="48"/>
      <c r="BK257" s="48"/>
      <c r="BL257" s="48"/>
      <c r="BM257" s="48"/>
      <c r="BN257" s="48"/>
      <c r="BO257" s="48"/>
      <c r="BP257" s="48"/>
      <c r="BQ257" s="48"/>
      <c r="BR257" s="48"/>
      <c r="BS257" s="48"/>
      <c r="BT257" s="48"/>
      <c r="BU257" s="48"/>
    </row>
    <row r="258" ht="15.75" customHeight="1">
      <c r="A258" s="48"/>
      <c r="B258" s="48"/>
      <c r="C258" s="48"/>
      <c r="D258" s="48"/>
      <c r="E258" s="27"/>
      <c r="F258" s="48"/>
      <c r="G258" s="48"/>
      <c r="H258" s="56"/>
      <c r="I258" s="56"/>
      <c r="J258" s="56"/>
      <c r="K258" s="56"/>
      <c r="L258" s="56"/>
      <c r="M258" s="56"/>
      <c r="N258" s="56"/>
      <c r="O258" s="56"/>
      <c r="P258" s="56"/>
      <c r="Q258" s="56"/>
      <c r="R258" s="56"/>
      <c r="S258" s="56"/>
      <c r="T258" s="56"/>
      <c r="U258" s="56"/>
      <c r="V258" s="56"/>
      <c r="W258" s="27"/>
      <c r="X258" s="56"/>
      <c r="Y258" s="27"/>
      <c r="Z258" s="56"/>
      <c r="AA258" s="27"/>
      <c r="AB258" s="56"/>
      <c r="AC258" s="27"/>
      <c r="AD258" s="56"/>
      <c r="AE258" s="27"/>
      <c r="AF258" s="56"/>
      <c r="AG258" s="27"/>
      <c r="AH258" s="286"/>
      <c r="AI258" s="27"/>
      <c r="AJ258" s="56"/>
      <c r="AK258" s="27"/>
      <c r="AL258" s="56"/>
      <c r="AM258" s="27"/>
      <c r="AN258" s="56"/>
      <c r="AO258" s="27"/>
      <c r="AP258" s="56"/>
      <c r="AQ258" s="27"/>
      <c r="AR258" s="56"/>
      <c r="AS258" s="27"/>
      <c r="AT258" s="56"/>
      <c r="AU258" s="27"/>
      <c r="AV258" s="56"/>
      <c r="AW258" s="27"/>
      <c r="AX258" s="56"/>
      <c r="AY258" s="27"/>
      <c r="AZ258" s="56"/>
      <c r="BA258" s="27"/>
      <c r="BB258" s="48"/>
      <c r="BC258" s="48"/>
      <c r="BD258" s="48"/>
      <c r="BE258" s="48"/>
      <c r="BF258" s="48"/>
      <c r="BG258" s="48"/>
      <c r="BH258" s="48"/>
      <c r="BI258" s="48"/>
      <c r="BJ258" s="48"/>
      <c r="BK258" s="48"/>
      <c r="BL258" s="48"/>
      <c r="BM258" s="48"/>
      <c r="BN258" s="48"/>
      <c r="BO258" s="48"/>
      <c r="BP258" s="48"/>
      <c r="BQ258" s="48"/>
      <c r="BR258" s="48"/>
      <c r="BS258" s="48"/>
      <c r="BT258" s="48"/>
      <c r="BU258" s="48"/>
    </row>
    <row r="259" ht="15.75" customHeight="1">
      <c r="A259" s="48"/>
      <c r="B259" s="48"/>
      <c r="C259" s="48"/>
      <c r="D259" s="48"/>
      <c r="E259" s="27"/>
      <c r="F259" s="48"/>
      <c r="G259" s="48"/>
      <c r="H259" s="56"/>
      <c r="I259" s="56"/>
      <c r="J259" s="56"/>
      <c r="K259" s="56"/>
      <c r="L259" s="56"/>
      <c r="M259" s="56"/>
      <c r="N259" s="56"/>
      <c r="O259" s="56"/>
      <c r="P259" s="56"/>
      <c r="Q259" s="56"/>
      <c r="R259" s="56"/>
      <c r="S259" s="56"/>
      <c r="T259" s="56"/>
      <c r="U259" s="56"/>
      <c r="V259" s="56"/>
      <c r="W259" s="27"/>
      <c r="X259" s="56"/>
      <c r="Y259" s="27"/>
      <c r="Z259" s="56"/>
      <c r="AA259" s="27"/>
      <c r="AB259" s="56"/>
      <c r="AC259" s="27"/>
      <c r="AD259" s="56"/>
      <c r="AE259" s="27"/>
      <c r="AF259" s="56"/>
      <c r="AG259" s="27"/>
      <c r="AH259" s="286"/>
      <c r="AI259" s="27"/>
      <c r="AJ259" s="56"/>
      <c r="AK259" s="27"/>
      <c r="AL259" s="56"/>
      <c r="AM259" s="27"/>
      <c r="AN259" s="56"/>
      <c r="AO259" s="27"/>
      <c r="AP259" s="56"/>
      <c r="AQ259" s="27"/>
      <c r="AR259" s="56"/>
      <c r="AS259" s="27"/>
      <c r="AT259" s="56"/>
      <c r="AU259" s="27"/>
      <c r="AV259" s="56"/>
      <c r="AW259" s="27"/>
      <c r="AX259" s="56"/>
      <c r="AY259" s="27"/>
      <c r="AZ259" s="56"/>
      <c r="BA259" s="27"/>
      <c r="BB259" s="48"/>
      <c r="BC259" s="48"/>
      <c r="BD259" s="48"/>
      <c r="BE259" s="48"/>
      <c r="BF259" s="48"/>
      <c r="BG259" s="48"/>
      <c r="BH259" s="48"/>
      <c r="BI259" s="48"/>
      <c r="BJ259" s="48"/>
      <c r="BK259" s="48"/>
      <c r="BL259" s="48"/>
      <c r="BM259" s="48"/>
      <c r="BN259" s="48"/>
      <c r="BO259" s="48"/>
      <c r="BP259" s="48"/>
      <c r="BQ259" s="48"/>
      <c r="BR259" s="48"/>
      <c r="BS259" s="48"/>
      <c r="BT259" s="48"/>
      <c r="BU259" s="48"/>
    </row>
    <row r="260" ht="15.75" customHeight="1">
      <c r="A260" s="48"/>
      <c r="B260" s="48"/>
      <c r="C260" s="48"/>
      <c r="D260" s="48"/>
      <c r="E260" s="27"/>
      <c r="F260" s="48"/>
      <c r="G260" s="48"/>
      <c r="H260" s="56"/>
      <c r="I260" s="56"/>
      <c r="J260" s="56"/>
      <c r="K260" s="56"/>
      <c r="L260" s="56"/>
      <c r="M260" s="56"/>
      <c r="N260" s="56"/>
      <c r="O260" s="56"/>
      <c r="P260" s="56"/>
      <c r="Q260" s="56"/>
      <c r="R260" s="56"/>
      <c r="S260" s="56"/>
      <c r="T260" s="56"/>
      <c r="U260" s="56"/>
      <c r="V260" s="56"/>
      <c r="W260" s="27"/>
      <c r="X260" s="56"/>
      <c r="Y260" s="27"/>
      <c r="Z260" s="56"/>
      <c r="AA260" s="27"/>
      <c r="AB260" s="56"/>
      <c r="AC260" s="27"/>
      <c r="AD260" s="56"/>
      <c r="AE260" s="27"/>
      <c r="AF260" s="56"/>
      <c r="AG260" s="27"/>
      <c r="AH260" s="286"/>
      <c r="AI260" s="27"/>
      <c r="AJ260" s="56"/>
      <c r="AK260" s="27"/>
      <c r="AL260" s="56"/>
      <c r="AM260" s="27"/>
      <c r="AN260" s="56"/>
      <c r="AO260" s="27"/>
      <c r="AP260" s="56"/>
      <c r="AQ260" s="27"/>
      <c r="AR260" s="56"/>
      <c r="AS260" s="27"/>
      <c r="AT260" s="56"/>
      <c r="AU260" s="27"/>
      <c r="AV260" s="56"/>
      <c r="AW260" s="27"/>
      <c r="AX260" s="56"/>
      <c r="AY260" s="27"/>
      <c r="AZ260" s="56"/>
      <c r="BA260" s="27"/>
      <c r="BB260" s="48"/>
      <c r="BC260" s="48"/>
      <c r="BD260" s="48"/>
      <c r="BE260" s="48"/>
      <c r="BF260" s="48"/>
      <c r="BG260" s="48"/>
      <c r="BH260" s="48"/>
      <c r="BI260" s="48"/>
      <c r="BJ260" s="48"/>
      <c r="BK260" s="48"/>
      <c r="BL260" s="48"/>
      <c r="BM260" s="48"/>
      <c r="BN260" s="48"/>
      <c r="BO260" s="48"/>
      <c r="BP260" s="48"/>
      <c r="BQ260" s="48"/>
      <c r="BR260" s="48"/>
      <c r="BS260" s="48"/>
      <c r="BT260" s="48"/>
      <c r="BU260" s="48"/>
    </row>
    <row r="261" ht="15.75" customHeight="1">
      <c r="A261" s="48"/>
      <c r="B261" s="48"/>
      <c r="C261" s="48"/>
      <c r="D261" s="48"/>
      <c r="E261" s="27"/>
      <c r="F261" s="48"/>
      <c r="G261" s="48"/>
      <c r="H261" s="56"/>
      <c r="I261" s="56"/>
      <c r="J261" s="56"/>
      <c r="K261" s="56"/>
      <c r="L261" s="56"/>
      <c r="M261" s="56"/>
      <c r="N261" s="56"/>
      <c r="O261" s="56"/>
      <c r="P261" s="56"/>
      <c r="Q261" s="56"/>
      <c r="R261" s="56"/>
      <c r="S261" s="56"/>
      <c r="T261" s="56"/>
      <c r="U261" s="56"/>
      <c r="V261" s="56"/>
      <c r="W261" s="27"/>
      <c r="X261" s="56"/>
      <c r="Y261" s="27"/>
      <c r="Z261" s="56"/>
      <c r="AA261" s="27"/>
      <c r="AB261" s="56"/>
      <c r="AC261" s="27"/>
      <c r="AD261" s="56"/>
      <c r="AE261" s="27"/>
      <c r="AF261" s="56"/>
      <c r="AG261" s="27"/>
      <c r="AH261" s="286"/>
      <c r="AI261" s="27"/>
      <c r="AJ261" s="56"/>
      <c r="AK261" s="27"/>
      <c r="AL261" s="56"/>
      <c r="AM261" s="27"/>
      <c r="AN261" s="56"/>
      <c r="AO261" s="27"/>
      <c r="AP261" s="56"/>
      <c r="AQ261" s="27"/>
      <c r="AR261" s="56"/>
      <c r="AS261" s="27"/>
      <c r="AT261" s="56"/>
      <c r="AU261" s="27"/>
      <c r="AV261" s="56"/>
      <c r="AW261" s="27"/>
      <c r="AX261" s="56"/>
      <c r="AY261" s="27"/>
      <c r="AZ261" s="56"/>
      <c r="BA261" s="27"/>
      <c r="BB261" s="48"/>
      <c r="BC261" s="48"/>
      <c r="BD261" s="48"/>
      <c r="BE261" s="48"/>
      <c r="BF261" s="48"/>
      <c r="BG261" s="48"/>
      <c r="BH261" s="48"/>
      <c r="BI261" s="48"/>
      <c r="BJ261" s="48"/>
      <c r="BK261" s="48"/>
      <c r="BL261" s="48"/>
      <c r="BM261" s="48"/>
      <c r="BN261" s="48"/>
      <c r="BO261" s="48"/>
      <c r="BP261" s="48"/>
      <c r="BQ261" s="48"/>
      <c r="BR261" s="48"/>
      <c r="BS261" s="48"/>
      <c r="BT261" s="48"/>
      <c r="BU261" s="48"/>
    </row>
    <row r="262" ht="15.75" customHeight="1">
      <c r="A262" s="48"/>
      <c r="B262" s="48"/>
      <c r="C262" s="48"/>
      <c r="D262" s="48"/>
      <c r="E262" s="27"/>
      <c r="F262" s="48"/>
      <c r="G262" s="48"/>
      <c r="H262" s="56"/>
      <c r="I262" s="56"/>
      <c r="J262" s="56"/>
      <c r="K262" s="56"/>
      <c r="L262" s="56"/>
      <c r="M262" s="56"/>
      <c r="N262" s="56"/>
      <c r="O262" s="56"/>
      <c r="P262" s="56"/>
      <c r="Q262" s="56"/>
      <c r="R262" s="56"/>
      <c r="S262" s="56"/>
      <c r="T262" s="56"/>
      <c r="U262" s="56"/>
      <c r="V262" s="56"/>
      <c r="W262" s="27"/>
      <c r="X262" s="56"/>
      <c r="Y262" s="27"/>
      <c r="Z262" s="56"/>
      <c r="AA262" s="27"/>
      <c r="AB262" s="56"/>
      <c r="AC262" s="27"/>
      <c r="AD262" s="56"/>
      <c r="AE262" s="27"/>
      <c r="AF262" s="56"/>
      <c r="AG262" s="27"/>
      <c r="AH262" s="286"/>
      <c r="AI262" s="27"/>
      <c r="AJ262" s="56"/>
      <c r="AK262" s="27"/>
      <c r="AL262" s="56"/>
      <c r="AM262" s="27"/>
      <c r="AN262" s="56"/>
      <c r="AO262" s="27"/>
      <c r="AP262" s="56"/>
      <c r="AQ262" s="27"/>
      <c r="AR262" s="56"/>
      <c r="AS262" s="27"/>
      <c r="AT262" s="56"/>
      <c r="AU262" s="27"/>
      <c r="AV262" s="56"/>
      <c r="AW262" s="27"/>
      <c r="AX262" s="56"/>
      <c r="AY262" s="27"/>
      <c r="AZ262" s="56"/>
      <c r="BA262" s="27"/>
      <c r="BB262" s="48"/>
      <c r="BC262" s="48"/>
      <c r="BD262" s="48"/>
      <c r="BE262" s="48"/>
      <c r="BF262" s="48"/>
      <c r="BG262" s="48"/>
      <c r="BH262" s="48"/>
      <c r="BI262" s="48"/>
      <c r="BJ262" s="48"/>
      <c r="BK262" s="48"/>
      <c r="BL262" s="48"/>
      <c r="BM262" s="48"/>
      <c r="BN262" s="48"/>
      <c r="BO262" s="48"/>
      <c r="BP262" s="48"/>
      <c r="BQ262" s="48"/>
      <c r="BR262" s="48"/>
      <c r="BS262" s="48"/>
      <c r="BT262" s="48"/>
      <c r="BU262" s="48"/>
    </row>
    <row r="263" ht="15.75" customHeight="1">
      <c r="A263" s="48"/>
      <c r="B263" s="48"/>
      <c r="C263" s="48"/>
      <c r="D263" s="48"/>
      <c r="E263" s="27"/>
      <c r="F263" s="48"/>
      <c r="G263" s="48"/>
      <c r="H263" s="56"/>
      <c r="I263" s="56"/>
      <c r="J263" s="56"/>
      <c r="K263" s="56"/>
      <c r="L263" s="56"/>
      <c r="M263" s="56"/>
      <c r="N263" s="56"/>
      <c r="O263" s="56"/>
      <c r="P263" s="56"/>
      <c r="Q263" s="56"/>
      <c r="R263" s="56"/>
      <c r="S263" s="56"/>
      <c r="T263" s="56"/>
      <c r="U263" s="56"/>
      <c r="V263" s="56"/>
      <c r="W263" s="27"/>
      <c r="X263" s="56"/>
      <c r="Y263" s="27"/>
      <c r="Z263" s="56"/>
      <c r="AA263" s="27"/>
      <c r="AB263" s="56"/>
      <c r="AC263" s="27"/>
      <c r="AD263" s="56"/>
      <c r="AE263" s="27"/>
      <c r="AF263" s="56"/>
      <c r="AG263" s="27"/>
      <c r="AH263" s="286"/>
      <c r="AI263" s="27"/>
      <c r="AJ263" s="56"/>
      <c r="AK263" s="27"/>
      <c r="AL263" s="56"/>
      <c r="AM263" s="27"/>
      <c r="AN263" s="56"/>
      <c r="AO263" s="27"/>
      <c r="AP263" s="56"/>
      <c r="AQ263" s="27"/>
      <c r="AR263" s="56"/>
      <c r="AS263" s="27"/>
      <c r="AT263" s="56"/>
      <c r="AU263" s="27"/>
      <c r="AV263" s="56"/>
      <c r="AW263" s="27"/>
      <c r="AX263" s="56"/>
      <c r="AY263" s="27"/>
      <c r="AZ263" s="56"/>
      <c r="BA263" s="27"/>
      <c r="BB263" s="48"/>
      <c r="BC263" s="48"/>
      <c r="BD263" s="48"/>
      <c r="BE263" s="48"/>
      <c r="BF263" s="48"/>
      <c r="BG263" s="48"/>
      <c r="BH263" s="48"/>
      <c r="BI263" s="48"/>
      <c r="BJ263" s="48"/>
      <c r="BK263" s="48"/>
      <c r="BL263" s="48"/>
      <c r="BM263" s="48"/>
      <c r="BN263" s="48"/>
      <c r="BO263" s="48"/>
      <c r="BP263" s="48"/>
      <c r="BQ263" s="48"/>
      <c r="BR263" s="48"/>
      <c r="BS263" s="48"/>
      <c r="BT263" s="48"/>
      <c r="BU263" s="48"/>
    </row>
    <row r="264" ht="15.75" customHeight="1">
      <c r="A264" s="48"/>
      <c r="B264" s="48"/>
      <c r="C264" s="48"/>
      <c r="D264" s="48"/>
      <c r="E264" s="27"/>
      <c r="F264" s="48"/>
      <c r="G264" s="48"/>
      <c r="H264" s="56"/>
      <c r="I264" s="56"/>
      <c r="J264" s="56"/>
      <c r="K264" s="56"/>
      <c r="L264" s="56"/>
      <c r="M264" s="56"/>
      <c r="N264" s="56"/>
      <c r="O264" s="56"/>
      <c r="P264" s="56"/>
      <c r="Q264" s="56"/>
      <c r="R264" s="56"/>
      <c r="S264" s="56"/>
      <c r="T264" s="56"/>
      <c r="U264" s="56"/>
      <c r="V264" s="56"/>
      <c r="W264" s="27"/>
      <c r="X264" s="56"/>
      <c r="Y264" s="27"/>
      <c r="Z264" s="56"/>
      <c r="AA264" s="27"/>
      <c r="AB264" s="56"/>
      <c r="AC264" s="27"/>
      <c r="AD264" s="56"/>
      <c r="AE264" s="27"/>
      <c r="AF264" s="56"/>
      <c r="AG264" s="27"/>
      <c r="AH264" s="286"/>
      <c r="AI264" s="27"/>
      <c r="AJ264" s="56"/>
      <c r="AK264" s="27"/>
      <c r="AL264" s="56"/>
      <c r="AM264" s="27"/>
      <c r="AN264" s="56"/>
      <c r="AO264" s="27"/>
      <c r="AP264" s="56"/>
      <c r="AQ264" s="27"/>
      <c r="AR264" s="56"/>
      <c r="AS264" s="27"/>
      <c r="AT264" s="56"/>
      <c r="AU264" s="27"/>
      <c r="AV264" s="56"/>
      <c r="AW264" s="27"/>
      <c r="AX264" s="56"/>
      <c r="AY264" s="27"/>
      <c r="AZ264" s="56"/>
      <c r="BA264" s="27"/>
      <c r="BB264" s="48"/>
      <c r="BC264" s="48"/>
      <c r="BD264" s="48"/>
      <c r="BE264" s="48"/>
      <c r="BF264" s="48"/>
      <c r="BG264" s="48"/>
      <c r="BH264" s="48"/>
      <c r="BI264" s="48"/>
      <c r="BJ264" s="48"/>
      <c r="BK264" s="48"/>
      <c r="BL264" s="48"/>
      <c r="BM264" s="48"/>
      <c r="BN264" s="48"/>
      <c r="BO264" s="48"/>
      <c r="BP264" s="48"/>
      <c r="BQ264" s="48"/>
      <c r="BR264" s="48"/>
      <c r="BS264" s="48"/>
      <c r="BT264" s="48"/>
      <c r="BU264" s="48"/>
    </row>
    <row r="265" ht="15.75" customHeight="1">
      <c r="A265" s="48"/>
      <c r="B265" s="48"/>
      <c r="C265" s="48"/>
      <c r="D265" s="48"/>
      <c r="E265" s="27"/>
      <c r="F265" s="48"/>
      <c r="G265" s="48"/>
      <c r="H265" s="56"/>
      <c r="I265" s="56"/>
      <c r="J265" s="56"/>
      <c r="K265" s="56"/>
      <c r="L265" s="56"/>
      <c r="M265" s="56"/>
      <c r="N265" s="56"/>
      <c r="O265" s="56"/>
      <c r="P265" s="56"/>
      <c r="Q265" s="56"/>
      <c r="R265" s="56"/>
      <c r="S265" s="56"/>
      <c r="T265" s="56"/>
      <c r="U265" s="56"/>
      <c r="V265" s="56"/>
      <c r="W265" s="27"/>
      <c r="X265" s="56"/>
      <c r="Y265" s="27"/>
      <c r="Z265" s="56"/>
      <c r="AA265" s="27"/>
      <c r="AB265" s="56"/>
      <c r="AC265" s="27"/>
      <c r="AD265" s="56"/>
      <c r="AE265" s="27"/>
      <c r="AF265" s="56"/>
      <c r="AG265" s="27"/>
      <c r="AH265" s="286"/>
      <c r="AI265" s="27"/>
      <c r="AJ265" s="56"/>
      <c r="AK265" s="27"/>
      <c r="AL265" s="56"/>
      <c r="AM265" s="27"/>
      <c r="AN265" s="56"/>
      <c r="AO265" s="27"/>
      <c r="AP265" s="56"/>
      <c r="AQ265" s="27"/>
      <c r="AR265" s="56"/>
      <c r="AS265" s="27"/>
      <c r="AT265" s="56"/>
      <c r="AU265" s="27"/>
      <c r="AV265" s="56"/>
      <c r="AW265" s="27"/>
      <c r="AX265" s="56"/>
      <c r="AY265" s="27"/>
      <c r="AZ265" s="56"/>
      <c r="BA265" s="27"/>
      <c r="BB265" s="48"/>
      <c r="BC265" s="48"/>
      <c r="BD265" s="48"/>
      <c r="BE265" s="48"/>
      <c r="BF265" s="48"/>
      <c r="BG265" s="48"/>
      <c r="BH265" s="48"/>
      <c r="BI265" s="48"/>
      <c r="BJ265" s="48"/>
      <c r="BK265" s="48"/>
      <c r="BL265" s="48"/>
      <c r="BM265" s="48"/>
      <c r="BN265" s="48"/>
      <c r="BO265" s="48"/>
      <c r="BP265" s="48"/>
      <c r="BQ265" s="48"/>
      <c r="BR265" s="48"/>
      <c r="BS265" s="48"/>
      <c r="BT265" s="48"/>
      <c r="BU265" s="48"/>
    </row>
    <row r="266" ht="15.75" customHeight="1">
      <c r="A266" s="48"/>
      <c r="B266" s="48"/>
      <c r="C266" s="48"/>
      <c r="D266" s="48"/>
      <c r="E266" s="27"/>
      <c r="F266" s="48"/>
      <c r="G266" s="48"/>
      <c r="H266" s="56"/>
      <c r="I266" s="56"/>
      <c r="J266" s="56"/>
      <c r="K266" s="56"/>
      <c r="L266" s="56"/>
      <c r="M266" s="56"/>
      <c r="N266" s="56"/>
      <c r="O266" s="56"/>
      <c r="P266" s="56"/>
      <c r="Q266" s="56"/>
      <c r="R266" s="56"/>
      <c r="S266" s="56"/>
      <c r="T266" s="56"/>
      <c r="U266" s="56"/>
      <c r="V266" s="56"/>
      <c r="W266" s="27"/>
      <c r="X266" s="56"/>
      <c r="Y266" s="27"/>
      <c r="Z266" s="56"/>
      <c r="AA266" s="27"/>
      <c r="AB266" s="56"/>
      <c r="AC266" s="27"/>
      <c r="AD266" s="56"/>
      <c r="AE266" s="27"/>
      <c r="AF266" s="56"/>
      <c r="AG266" s="27"/>
      <c r="AH266" s="286"/>
      <c r="AI266" s="27"/>
      <c r="AJ266" s="56"/>
      <c r="AK266" s="27"/>
      <c r="AL266" s="56"/>
      <c r="AM266" s="27"/>
      <c r="AN266" s="56"/>
      <c r="AO266" s="27"/>
      <c r="AP266" s="56"/>
      <c r="AQ266" s="27"/>
      <c r="AR266" s="56"/>
      <c r="AS266" s="27"/>
      <c r="AT266" s="56"/>
      <c r="AU266" s="27"/>
      <c r="AV266" s="56"/>
      <c r="AW266" s="27"/>
      <c r="AX266" s="56"/>
      <c r="AY266" s="27"/>
      <c r="AZ266" s="56"/>
      <c r="BA266" s="27"/>
      <c r="BB266" s="48"/>
      <c r="BC266" s="48"/>
      <c r="BD266" s="48"/>
      <c r="BE266" s="48"/>
      <c r="BF266" s="48"/>
      <c r="BG266" s="48"/>
      <c r="BH266" s="48"/>
      <c r="BI266" s="48"/>
      <c r="BJ266" s="48"/>
      <c r="BK266" s="48"/>
      <c r="BL266" s="48"/>
      <c r="BM266" s="48"/>
      <c r="BN266" s="48"/>
      <c r="BO266" s="48"/>
      <c r="BP266" s="48"/>
      <c r="BQ266" s="48"/>
      <c r="BR266" s="48"/>
      <c r="BS266" s="48"/>
      <c r="BT266" s="48"/>
      <c r="BU266" s="48"/>
    </row>
    <row r="267" ht="15.75" customHeight="1">
      <c r="A267" s="48"/>
      <c r="B267" s="48"/>
      <c r="C267" s="48"/>
      <c r="D267" s="48"/>
      <c r="E267" s="27"/>
      <c r="F267" s="48"/>
      <c r="G267" s="48"/>
      <c r="H267" s="56"/>
      <c r="I267" s="56"/>
      <c r="J267" s="56"/>
      <c r="K267" s="56"/>
      <c r="L267" s="56"/>
      <c r="M267" s="56"/>
      <c r="N267" s="56"/>
      <c r="O267" s="56"/>
      <c r="P267" s="56"/>
      <c r="Q267" s="56"/>
      <c r="R267" s="56"/>
      <c r="S267" s="56"/>
      <c r="T267" s="56"/>
      <c r="U267" s="56"/>
      <c r="V267" s="56"/>
      <c r="W267" s="27"/>
      <c r="X267" s="56"/>
      <c r="Y267" s="27"/>
      <c r="Z267" s="56"/>
      <c r="AA267" s="27"/>
      <c r="AB267" s="56"/>
      <c r="AC267" s="27"/>
      <c r="AD267" s="56"/>
      <c r="AE267" s="27"/>
      <c r="AF267" s="56"/>
      <c r="AG267" s="27"/>
      <c r="AH267" s="286"/>
      <c r="AI267" s="27"/>
      <c r="AJ267" s="56"/>
      <c r="AK267" s="27"/>
      <c r="AL267" s="56"/>
      <c r="AM267" s="27"/>
      <c r="AN267" s="56"/>
      <c r="AO267" s="27"/>
      <c r="AP267" s="56"/>
      <c r="AQ267" s="27"/>
      <c r="AR267" s="56"/>
      <c r="AS267" s="27"/>
      <c r="AT267" s="56"/>
      <c r="AU267" s="27"/>
      <c r="AV267" s="56"/>
      <c r="AW267" s="27"/>
      <c r="AX267" s="56"/>
      <c r="AY267" s="27"/>
      <c r="AZ267" s="56"/>
      <c r="BA267" s="27"/>
      <c r="BB267" s="48"/>
      <c r="BC267" s="48"/>
      <c r="BD267" s="48"/>
      <c r="BE267" s="48"/>
      <c r="BF267" s="48"/>
      <c r="BG267" s="48"/>
      <c r="BH267" s="48"/>
      <c r="BI267" s="48"/>
      <c r="BJ267" s="48"/>
      <c r="BK267" s="48"/>
      <c r="BL267" s="48"/>
      <c r="BM267" s="48"/>
      <c r="BN267" s="48"/>
      <c r="BO267" s="48"/>
      <c r="BP267" s="48"/>
      <c r="BQ267" s="48"/>
      <c r="BR267" s="48"/>
      <c r="BS267" s="48"/>
      <c r="BT267" s="48"/>
      <c r="BU267" s="48"/>
    </row>
    <row r="268" ht="15.75" customHeight="1">
      <c r="A268" s="48"/>
      <c r="B268" s="48"/>
      <c r="C268" s="48"/>
      <c r="D268" s="48"/>
      <c r="E268" s="27"/>
      <c r="F268" s="48"/>
      <c r="G268" s="48"/>
      <c r="H268" s="56"/>
      <c r="I268" s="56"/>
      <c r="J268" s="56"/>
      <c r="K268" s="56"/>
      <c r="L268" s="56"/>
      <c r="M268" s="56"/>
      <c r="N268" s="56"/>
      <c r="O268" s="56"/>
      <c r="P268" s="56"/>
      <c r="Q268" s="56"/>
      <c r="R268" s="56"/>
      <c r="S268" s="56"/>
      <c r="T268" s="56"/>
      <c r="U268" s="56"/>
      <c r="V268" s="56"/>
      <c r="W268" s="27"/>
      <c r="X268" s="56"/>
      <c r="Y268" s="27"/>
      <c r="Z268" s="56"/>
      <c r="AA268" s="27"/>
      <c r="AB268" s="56"/>
      <c r="AC268" s="27"/>
      <c r="AD268" s="56"/>
      <c r="AE268" s="27"/>
      <c r="AF268" s="56"/>
      <c r="AG268" s="27"/>
      <c r="AH268" s="286"/>
      <c r="AI268" s="27"/>
      <c r="AJ268" s="56"/>
      <c r="AK268" s="27"/>
      <c r="AL268" s="56"/>
      <c r="AM268" s="27"/>
      <c r="AN268" s="56"/>
      <c r="AO268" s="27"/>
      <c r="AP268" s="56"/>
      <c r="AQ268" s="27"/>
      <c r="AR268" s="56"/>
      <c r="AS268" s="27"/>
      <c r="AT268" s="56"/>
      <c r="AU268" s="27"/>
      <c r="AV268" s="56"/>
      <c r="AW268" s="27"/>
      <c r="AX268" s="56"/>
      <c r="AY268" s="27"/>
      <c r="AZ268" s="56"/>
      <c r="BA268" s="27"/>
      <c r="BB268" s="48"/>
      <c r="BC268" s="48"/>
      <c r="BD268" s="48"/>
      <c r="BE268" s="48"/>
      <c r="BF268" s="48"/>
      <c r="BG268" s="48"/>
      <c r="BH268" s="48"/>
      <c r="BI268" s="48"/>
      <c r="BJ268" s="48"/>
      <c r="BK268" s="48"/>
      <c r="BL268" s="48"/>
      <c r="BM268" s="48"/>
      <c r="BN268" s="48"/>
      <c r="BO268" s="48"/>
      <c r="BP268" s="48"/>
      <c r="BQ268" s="48"/>
      <c r="BR268" s="48"/>
      <c r="BS268" s="48"/>
      <c r="BT268" s="48"/>
      <c r="BU268" s="48"/>
    </row>
    <row r="269" ht="15.75" customHeight="1">
      <c r="A269" s="48"/>
      <c r="B269" s="48"/>
      <c r="C269" s="48"/>
      <c r="D269" s="48"/>
      <c r="E269" s="27"/>
      <c r="F269" s="48"/>
      <c r="G269" s="48"/>
      <c r="H269" s="56"/>
      <c r="I269" s="56"/>
      <c r="J269" s="56"/>
      <c r="K269" s="56"/>
      <c r="L269" s="56"/>
      <c r="M269" s="56"/>
      <c r="N269" s="56"/>
      <c r="O269" s="56"/>
      <c r="P269" s="56"/>
      <c r="Q269" s="56"/>
      <c r="R269" s="56"/>
      <c r="S269" s="56"/>
      <c r="T269" s="56"/>
      <c r="U269" s="56"/>
      <c r="V269" s="56"/>
      <c r="W269" s="27"/>
      <c r="X269" s="56"/>
      <c r="Y269" s="27"/>
      <c r="Z269" s="56"/>
      <c r="AA269" s="27"/>
      <c r="AB269" s="56"/>
      <c r="AC269" s="27"/>
      <c r="AD269" s="56"/>
      <c r="AE269" s="27"/>
      <c r="AF269" s="56"/>
      <c r="AG269" s="27"/>
      <c r="AH269" s="286"/>
      <c r="AI269" s="27"/>
      <c r="AJ269" s="56"/>
      <c r="AK269" s="27"/>
      <c r="AL269" s="56"/>
      <c r="AM269" s="27"/>
      <c r="AN269" s="56"/>
      <c r="AO269" s="27"/>
      <c r="AP269" s="56"/>
      <c r="AQ269" s="27"/>
      <c r="AR269" s="56"/>
      <c r="AS269" s="27"/>
      <c r="AT269" s="56"/>
      <c r="AU269" s="27"/>
      <c r="AV269" s="56"/>
      <c r="AW269" s="27"/>
      <c r="AX269" s="56"/>
      <c r="AY269" s="27"/>
      <c r="AZ269" s="56"/>
      <c r="BA269" s="27"/>
      <c r="BB269" s="48"/>
      <c r="BC269" s="48"/>
      <c r="BD269" s="48"/>
      <c r="BE269" s="48"/>
      <c r="BF269" s="48"/>
      <c r="BG269" s="48"/>
      <c r="BH269" s="48"/>
      <c r="BI269" s="48"/>
      <c r="BJ269" s="48"/>
      <c r="BK269" s="48"/>
      <c r="BL269" s="48"/>
      <c r="BM269" s="48"/>
      <c r="BN269" s="48"/>
      <c r="BO269" s="48"/>
      <c r="BP269" s="48"/>
      <c r="BQ269" s="48"/>
      <c r="BR269" s="48"/>
      <c r="BS269" s="48"/>
      <c r="BT269" s="48"/>
      <c r="BU269" s="48"/>
    </row>
    <row r="270" ht="15.75" customHeight="1">
      <c r="A270" s="48"/>
      <c r="B270" s="48"/>
      <c r="C270" s="48"/>
      <c r="D270" s="48"/>
      <c r="E270" s="27"/>
      <c r="F270" s="48"/>
      <c r="G270" s="48"/>
      <c r="H270" s="56"/>
      <c r="I270" s="56"/>
      <c r="J270" s="56"/>
      <c r="K270" s="56"/>
      <c r="L270" s="56"/>
      <c r="M270" s="56"/>
      <c r="N270" s="56"/>
      <c r="O270" s="56"/>
      <c r="P270" s="56"/>
      <c r="Q270" s="56"/>
      <c r="R270" s="56"/>
      <c r="S270" s="56"/>
      <c r="T270" s="56"/>
      <c r="U270" s="56"/>
      <c r="V270" s="56"/>
      <c r="W270" s="27"/>
      <c r="X270" s="56"/>
      <c r="Y270" s="27"/>
      <c r="Z270" s="56"/>
      <c r="AA270" s="27"/>
      <c r="AB270" s="56"/>
      <c r="AC270" s="27"/>
      <c r="AD270" s="56"/>
      <c r="AE270" s="27"/>
      <c r="AF270" s="56"/>
      <c r="AG270" s="27"/>
      <c r="AH270" s="286"/>
      <c r="AI270" s="27"/>
      <c r="AJ270" s="56"/>
      <c r="AK270" s="27"/>
      <c r="AL270" s="56"/>
      <c r="AM270" s="27"/>
      <c r="AN270" s="56"/>
      <c r="AO270" s="27"/>
      <c r="AP270" s="56"/>
      <c r="AQ270" s="27"/>
      <c r="AR270" s="56"/>
      <c r="AS270" s="27"/>
      <c r="AT270" s="56"/>
      <c r="AU270" s="27"/>
      <c r="AV270" s="56"/>
      <c r="AW270" s="27"/>
      <c r="AX270" s="56"/>
      <c r="AY270" s="27"/>
      <c r="AZ270" s="56"/>
      <c r="BA270" s="27"/>
      <c r="BB270" s="48"/>
      <c r="BC270" s="48"/>
      <c r="BD270" s="48"/>
      <c r="BE270" s="48"/>
      <c r="BF270" s="48"/>
      <c r="BG270" s="48"/>
      <c r="BH270" s="48"/>
      <c r="BI270" s="48"/>
      <c r="BJ270" s="48"/>
      <c r="BK270" s="48"/>
      <c r="BL270" s="48"/>
      <c r="BM270" s="48"/>
      <c r="BN270" s="48"/>
      <c r="BO270" s="48"/>
      <c r="BP270" s="48"/>
      <c r="BQ270" s="48"/>
      <c r="BR270" s="48"/>
      <c r="BS270" s="48"/>
      <c r="BT270" s="48"/>
      <c r="BU270" s="48"/>
    </row>
    <row r="271" ht="15.75" customHeight="1">
      <c r="A271" s="48"/>
      <c r="B271" s="48"/>
      <c r="C271" s="48"/>
      <c r="D271" s="48"/>
      <c r="E271" s="27"/>
      <c r="F271" s="48"/>
      <c r="G271" s="48"/>
      <c r="H271" s="56"/>
      <c r="I271" s="56"/>
      <c r="J271" s="56"/>
      <c r="K271" s="56"/>
      <c r="L271" s="56"/>
      <c r="M271" s="56"/>
      <c r="N271" s="56"/>
      <c r="O271" s="56"/>
      <c r="P271" s="56"/>
      <c r="Q271" s="56"/>
      <c r="R271" s="56"/>
      <c r="S271" s="56"/>
      <c r="T271" s="56"/>
      <c r="U271" s="56"/>
      <c r="V271" s="56"/>
      <c r="W271" s="27"/>
      <c r="X271" s="56"/>
      <c r="Y271" s="27"/>
      <c r="Z271" s="56"/>
      <c r="AA271" s="27"/>
      <c r="AB271" s="56"/>
      <c r="AC271" s="27"/>
      <c r="AD271" s="56"/>
      <c r="AE271" s="27"/>
      <c r="AF271" s="56"/>
      <c r="AG271" s="27"/>
      <c r="AH271" s="286"/>
      <c r="AI271" s="27"/>
      <c r="AJ271" s="56"/>
      <c r="AK271" s="27"/>
      <c r="AL271" s="56"/>
      <c r="AM271" s="27"/>
      <c r="AN271" s="56"/>
      <c r="AO271" s="27"/>
      <c r="AP271" s="56"/>
      <c r="AQ271" s="27"/>
      <c r="AR271" s="56"/>
      <c r="AS271" s="27"/>
      <c r="AT271" s="56"/>
      <c r="AU271" s="27"/>
      <c r="AV271" s="56"/>
      <c r="AW271" s="27"/>
      <c r="AX271" s="56"/>
      <c r="AY271" s="27"/>
      <c r="AZ271" s="56"/>
      <c r="BA271" s="27"/>
      <c r="BB271" s="48"/>
      <c r="BC271" s="48"/>
      <c r="BD271" s="48"/>
      <c r="BE271" s="48"/>
      <c r="BF271" s="48"/>
      <c r="BG271" s="48"/>
      <c r="BH271" s="48"/>
      <c r="BI271" s="48"/>
      <c r="BJ271" s="48"/>
      <c r="BK271" s="48"/>
      <c r="BL271" s="48"/>
      <c r="BM271" s="48"/>
      <c r="BN271" s="48"/>
      <c r="BO271" s="48"/>
      <c r="BP271" s="48"/>
      <c r="BQ271" s="48"/>
      <c r="BR271" s="48"/>
      <c r="BS271" s="48"/>
      <c r="BT271" s="48"/>
      <c r="BU271" s="48"/>
    </row>
    <row r="272" ht="15.75" customHeight="1">
      <c r="A272" s="48"/>
      <c r="B272" s="48"/>
      <c r="C272" s="48"/>
      <c r="D272" s="48"/>
      <c r="E272" s="27"/>
      <c r="F272" s="48"/>
      <c r="G272" s="48"/>
      <c r="H272" s="56"/>
      <c r="I272" s="56"/>
      <c r="J272" s="56"/>
      <c r="K272" s="56"/>
      <c r="L272" s="56"/>
      <c r="M272" s="56"/>
      <c r="N272" s="56"/>
      <c r="O272" s="56"/>
      <c r="P272" s="56"/>
      <c r="Q272" s="56"/>
      <c r="R272" s="56"/>
      <c r="S272" s="56"/>
      <c r="T272" s="56"/>
      <c r="U272" s="56"/>
      <c r="V272" s="56"/>
      <c r="W272" s="27"/>
      <c r="X272" s="56"/>
      <c r="Y272" s="27"/>
      <c r="Z272" s="56"/>
      <c r="AA272" s="27"/>
      <c r="AB272" s="56"/>
      <c r="AC272" s="27"/>
      <c r="AD272" s="56"/>
      <c r="AE272" s="27"/>
      <c r="AF272" s="56"/>
      <c r="AG272" s="27"/>
      <c r="AH272" s="286"/>
      <c r="AI272" s="27"/>
      <c r="AJ272" s="56"/>
      <c r="AK272" s="27"/>
      <c r="AL272" s="56"/>
      <c r="AM272" s="27"/>
      <c r="AN272" s="56"/>
      <c r="AO272" s="27"/>
      <c r="AP272" s="56"/>
      <c r="AQ272" s="27"/>
      <c r="AR272" s="56"/>
      <c r="AS272" s="27"/>
      <c r="AT272" s="56"/>
      <c r="AU272" s="27"/>
      <c r="AV272" s="56"/>
      <c r="AW272" s="27"/>
      <c r="AX272" s="56"/>
      <c r="AY272" s="27"/>
      <c r="AZ272" s="56"/>
      <c r="BA272" s="27"/>
      <c r="BB272" s="48"/>
      <c r="BC272" s="48"/>
      <c r="BD272" s="48"/>
      <c r="BE272" s="48"/>
      <c r="BF272" s="48"/>
      <c r="BG272" s="48"/>
      <c r="BH272" s="48"/>
      <c r="BI272" s="48"/>
      <c r="BJ272" s="48"/>
      <c r="BK272" s="48"/>
      <c r="BL272" s="48"/>
      <c r="BM272" s="48"/>
      <c r="BN272" s="48"/>
      <c r="BO272" s="48"/>
      <c r="BP272" s="48"/>
      <c r="BQ272" s="48"/>
      <c r="BR272" s="48"/>
      <c r="BS272" s="48"/>
      <c r="BT272" s="48"/>
      <c r="BU272" s="48"/>
    </row>
    <row r="273" ht="15.75" customHeight="1">
      <c r="A273" s="48"/>
      <c r="B273" s="48"/>
      <c r="C273" s="48"/>
      <c r="D273" s="48"/>
      <c r="E273" s="27"/>
      <c r="F273" s="48"/>
      <c r="G273" s="48"/>
      <c r="H273" s="56"/>
      <c r="I273" s="56"/>
      <c r="J273" s="56"/>
      <c r="K273" s="56"/>
      <c r="L273" s="56"/>
      <c r="M273" s="56"/>
      <c r="N273" s="56"/>
      <c r="O273" s="56"/>
      <c r="P273" s="56"/>
      <c r="Q273" s="56"/>
      <c r="R273" s="56"/>
      <c r="S273" s="56"/>
      <c r="T273" s="56"/>
      <c r="U273" s="56"/>
      <c r="V273" s="56"/>
      <c r="W273" s="27"/>
      <c r="X273" s="56"/>
      <c r="Y273" s="27"/>
      <c r="Z273" s="56"/>
      <c r="AA273" s="27"/>
      <c r="AB273" s="56"/>
      <c r="AC273" s="27"/>
      <c r="AD273" s="56"/>
      <c r="AE273" s="27"/>
      <c r="AF273" s="56"/>
      <c r="AG273" s="27"/>
      <c r="AH273" s="286"/>
      <c r="AI273" s="27"/>
      <c r="AJ273" s="56"/>
      <c r="AK273" s="27"/>
      <c r="AL273" s="56"/>
      <c r="AM273" s="27"/>
      <c r="AN273" s="56"/>
      <c r="AO273" s="27"/>
      <c r="AP273" s="56"/>
      <c r="AQ273" s="27"/>
      <c r="AR273" s="56"/>
      <c r="AS273" s="27"/>
      <c r="AT273" s="56"/>
      <c r="AU273" s="27"/>
      <c r="AV273" s="56"/>
      <c r="AW273" s="27"/>
      <c r="AX273" s="56"/>
      <c r="AY273" s="27"/>
      <c r="AZ273" s="56"/>
      <c r="BA273" s="27"/>
      <c r="BB273" s="48"/>
      <c r="BC273" s="48"/>
      <c r="BD273" s="48"/>
      <c r="BE273" s="48"/>
      <c r="BF273" s="48"/>
      <c r="BG273" s="48"/>
      <c r="BH273" s="48"/>
      <c r="BI273" s="48"/>
      <c r="BJ273" s="48"/>
      <c r="BK273" s="48"/>
      <c r="BL273" s="48"/>
      <c r="BM273" s="48"/>
      <c r="BN273" s="48"/>
      <c r="BO273" s="48"/>
      <c r="BP273" s="48"/>
      <c r="BQ273" s="48"/>
      <c r="BR273" s="48"/>
      <c r="BS273" s="48"/>
      <c r="BT273" s="48"/>
      <c r="BU273" s="48"/>
    </row>
    <row r="274" ht="15.75" customHeight="1">
      <c r="A274" s="48"/>
      <c r="B274" s="48"/>
      <c r="C274" s="48"/>
      <c r="D274" s="48"/>
      <c r="E274" s="27"/>
      <c r="F274" s="48"/>
      <c r="G274" s="48"/>
      <c r="H274" s="56"/>
      <c r="I274" s="56"/>
      <c r="J274" s="56"/>
      <c r="K274" s="56"/>
      <c r="L274" s="56"/>
      <c r="M274" s="56"/>
      <c r="N274" s="56"/>
      <c r="O274" s="56"/>
      <c r="P274" s="56"/>
      <c r="Q274" s="56"/>
      <c r="R274" s="56"/>
      <c r="S274" s="56"/>
      <c r="T274" s="56"/>
      <c r="U274" s="56"/>
      <c r="V274" s="56"/>
      <c r="W274" s="27"/>
      <c r="X274" s="56"/>
      <c r="Y274" s="27"/>
      <c r="Z274" s="56"/>
      <c r="AA274" s="27"/>
      <c r="AB274" s="56"/>
      <c r="AC274" s="27"/>
      <c r="AD274" s="56"/>
      <c r="AE274" s="27"/>
      <c r="AF274" s="56"/>
      <c r="AG274" s="27"/>
      <c r="AH274" s="286"/>
      <c r="AI274" s="27"/>
      <c r="AJ274" s="56"/>
      <c r="AK274" s="27"/>
      <c r="AL274" s="56"/>
      <c r="AM274" s="27"/>
      <c r="AN274" s="56"/>
      <c r="AO274" s="27"/>
      <c r="AP274" s="56"/>
      <c r="AQ274" s="27"/>
      <c r="AR274" s="56"/>
      <c r="AS274" s="27"/>
      <c r="AT274" s="56"/>
      <c r="AU274" s="27"/>
      <c r="AV274" s="56"/>
      <c r="AW274" s="27"/>
      <c r="AX274" s="56"/>
      <c r="AY274" s="27"/>
      <c r="AZ274" s="56"/>
      <c r="BA274" s="27"/>
      <c r="BB274" s="48"/>
      <c r="BC274" s="48"/>
      <c r="BD274" s="48"/>
      <c r="BE274" s="48"/>
      <c r="BF274" s="48"/>
      <c r="BG274" s="48"/>
      <c r="BH274" s="48"/>
      <c r="BI274" s="48"/>
      <c r="BJ274" s="48"/>
      <c r="BK274" s="48"/>
      <c r="BL274" s="48"/>
      <c r="BM274" s="48"/>
      <c r="BN274" s="48"/>
      <c r="BO274" s="48"/>
      <c r="BP274" s="48"/>
      <c r="BQ274" s="48"/>
      <c r="BR274" s="48"/>
      <c r="BS274" s="48"/>
      <c r="BT274" s="48"/>
      <c r="BU274" s="48"/>
    </row>
    <row r="275" ht="15.75" customHeight="1">
      <c r="A275" s="48"/>
      <c r="B275" s="48"/>
      <c r="C275" s="48"/>
      <c r="D275" s="48"/>
      <c r="E275" s="27"/>
      <c r="F275" s="48"/>
      <c r="G275" s="48"/>
      <c r="H275" s="56"/>
      <c r="I275" s="56"/>
      <c r="J275" s="56"/>
      <c r="K275" s="56"/>
      <c r="L275" s="56"/>
      <c r="M275" s="56"/>
      <c r="N275" s="56"/>
      <c r="O275" s="56"/>
      <c r="P275" s="56"/>
      <c r="Q275" s="56"/>
      <c r="R275" s="56"/>
      <c r="S275" s="56"/>
      <c r="T275" s="56"/>
      <c r="U275" s="56"/>
      <c r="V275" s="56"/>
      <c r="W275" s="27"/>
      <c r="X275" s="56"/>
      <c r="Y275" s="27"/>
      <c r="Z275" s="56"/>
      <c r="AA275" s="27"/>
      <c r="AB275" s="56"/>
      <c r="AC275" s="27"/>
      <c r="AD275" s="56"/>
      <c r="AE275" s="27"/>
      <c r="AF275" s="56"/>
      <c r="AG275" s="27"/>
      <c r="AH275" s="286"/>
      <c r="AI275" s="27"/>
      <c r="AJ275" s="56"/>
      <c r="AK275" s="27"/>
      <c r="AL275" s="56"/>
      <c r="AM275" s="27"/>
      <c r="AN275" s="56"/>
      <c r="AO275" s="27"/>
      <c r="AP275" s="56"/>
      <c r="AQ275" s="27"/>
      <c r="AR275" s="56"/>
      <c r="AS275" s="27"/>
      <c r="AT275" s="56"/>
      <c r="AU275" s="27"/>
      <c r="AV275" s="56"/>
      <c r="AW275" s="27"/>
      <c r="AX275" s="56"/>
      <c r="AY275" s="27"/>
      <c r="AZ275" s="56"/>
      <c r="BA275" s="27"/>
      <c r="BB275" s="48"/>
      <c r="BC275" s="48"/>
      <c r="BD275" s="48"/>
      <c r="BE275" s="48"/>
      <c r="BF275" s="48"/>
      <c r="BG275" s="48"/>
      <c r="BH275" s="48"/>
      <c r="BI275" s="48"/>
      <c r="BJ275" s="48"/>
      <c r="BK275" s="48"/>
      <c r="BL275" s="48"/>
      <c r="BM275" s="48"/>
      <c r="BN275" s="48"/>
      <c r="BO275" s="48"/>
      <c r="BP275" s="48"/>
      <c r="BQ275" s="48"/>
      <c r="BR275" s="48"/>
      <c r="BS275" s="48"/>
      <c r="BT275" s="48"/>
      <c r="BU275" s="48"/>
    </row>
    <row r="276" ht="15.75" customHeight="1">
      <c r="A276" s="48"/>
      <c r="B276" s="48"/>
      <c r="C276" s="48"/>
      <c r="D276" s="48"/>
      <c r="E276" s="27"/>
      <c r="F276" s="48"/>
      <c r="G276" s="48"/>
      <c r="H276" s="56"/>
      <c r="I276" s="56"/>
      <c r="J276" s="56"/>
      <c r="K276" s="56"/>
      <c r="L276" s="56"/>
      <c r="M276" s="56"/>
      <c r="N276" s="56"/>
      <c r="O276" s="56"/>
      <c r="P276" s="56"/>
      <c r="Q276" s="56"/>
      <c r="R276" s="56"/>
      <c r="S276" s="56"/>
      <c r="T276" s="56"/>
      <c r="U276" s="56"/>
      <c r="V276" s="56"/>
      <c r="W276" s="27"/>
      <c r="X276" s="56"/>
      <c r="Y276" s="27"/>
      <c r="Z276" s="56"/>
      <c r="AA276" s="27"/>
      <c r="AB276" s="56"/>
      <c r="AC276" s="27"/>
      <c r="AD276" s="56"/>
      <c r="AE276" s="27"/>
      <c r="AF276" s="56"/>
      <c r="AG276" s="27"/>
      <c r="AH276" s="286"/>
      <c r="AI276" s="27"/>
      <c r="AJ276" s="56"/>
      <c r="AK276" s="27"/>
      <c r="AL276" s="56"/>
      <c r="AM276" s="27"/>
      <c r="AN276" s="56"/>
      <c r="AO276" s="27"/>
      <c r="AP276" s="56"/>
      <c r="AQ276" s="27"/>
      <c r="AR276" s="56"/>
      <c r="AS276" s="27"/>
      <c r="AT276" s="56"/>
      <c r="AU276" s="27"/>
      <c r="AV276" s="56"/>
      <c r="AW276" s="27"/>
      <c r="AX276" s="56"/>
      <c r="AY276" s="27"/>
      <c r="AZ276" s="56"/>
      <c r="BA276" s="27"/>
      <c r="BB276" s="48"/>
      <c r="BC276" s="48"/>
      <c r="BD276" s="48"/>
      <c r="BE276" s="48"/>
      <c r="BF276" s="48"/>
      <c r="BG276" s="48"/>
      <c r="BH276" s="48"/>
      <c r="BI276" s="48"/>
      <c r="BJ276" s="48"/>
      <c r="BK276" s="48"/>
      <c r="BL276" s="48"/>
      <c r="BM276" s="48"/>
      <c r="BN276" s="48"/>
      <c r="BO276" s="48"/>
      <c r="BP276" s="48"/>
      <c r="BQ276" s="48"/>
      <c r="BR276" s="48"/>
      <c r="BS276" s="48"/>
      <c r="BT276" s="48"/>
      <c r="BU276" s="48"/>
    </row>
    <row r="277" ht="15.75" customHeight="1">
      <c r="A277" s="48"/>
      <c r="B277" s="48"/>
      <c r="C277" s="48"/>
      <c r="D277" s="48"/>
      <c r="E277" s="27"/>
      <c r="F277" s="48"/>
      <c r="G277" s="48"/>
      <c r="H277" s="56"/>
      <c r="I277" s="56"/>
      <c r="J277" s="56"/>
      <c r="K277" s="56"/>
      <c r="L277" s="56"/>
      <c r="M277" s="56"/>
      <c r="N277" s="56"/>
      <c r="O277" s="56"/>
      <c r="P277" s="56"/>
      <c r="Q277" s="56"/>
      <c r="R277" s="56"/>
      <c r="S277" s="56"/>
      <c r="T277" s="56"/>
      <c r="U277" s="56"/>
      <c r="V277" s="56"/>
      <c r="W277" s="27"/>
      <c r="X277" s="56"/>
      <c r="Y277" s="27"/>
      <c r="Z277" s="56"/>
      <c r="AA277" s="27"/>
      <c r="AB277" s="56"/>
      <c r="AC277" s="27"/>
      <c r="AD277" s="56"/>
      <c r="AE277" s="27"/>
      <c r="AF277" s="56"/>
      <c r="AG277" s="27"/>
      <c r="AH277" s="286"/>
      <c r="AI277" s="27"/>
      <c r="AJ277" s="56"/>
      <c r="AK277" s="27"/>
      <c r="AL277" s="56"/>
      <c r="AM277" s="27"/>
      <c r="AN277" s="56"/>
      <c r="AO277" s="27"/>
      <c r="AP277" s="56"/>
      <c r="AQ277" s="27"/>
      <c r="AR277" s="56"/>
      <c r="AS277" s="27"/>
      <c r="AT277" s="56"/>
      <c r="AU277" s="27"/>
      <c r="AV277" s="56"/>
      <c r="AW277" s="27"/>
      <c r="AX277" s="56"/>
      <c r="AY277" s="27"/>
      <c r="AZ277" s="56"/>
      <c r="BA277" s="27"/>
      <c r="BB277" s="48"/>
      <c r="BC277" s="48"/>
      <c r="BD277" s="48"/>
      <c r="BE277" s="48"/>
      <c r="BF277" s="48"/>
      <c r="BG277" s="48"/>
      <c r="BH277" s="48"/>
      <c r="BI277" s="48"/>
      <c r="BJ277" s="48"/>
      <c r="BK277" s="48"/>
      <c r="BL277" s="48"/>
      <c r="BM277" s="48"/>
      <c r="BN277" s="48"/>
      <c r="BO277" s="48"/>
      <c r="BP277" s="48"/>
      <c r="BQ277" s="48"/>
      <c r="BR277" s="48"/>
      <c r="BS277" s="48"/>
      <c r="BT277" s="48"/>
      <c r="BU277" s="48"/>
    </row>
    <row r="278" ht="15.75" customHeight="1">
      <c r="A278" s="48"/>
      <c r="B278" s="48"/>
      <c r="C278" s="48"/>
      <c r="D278" s="48"/>
      <c r="E278" s="27"/>
      <c r="F278" s="48"/>
      <c r="G278" s="48"/>
      <c r="H278" s="56"/>
      <c r="I278" s="56"/>
      <c r="J278" s="56"/>
      <c r="K278" s="56"/>
      <c r="L278" s="56"/>
      <c r="M278" s="56"/>
      <c r="N278" s="56"/>
      <c r="O278" s="56"/>
      <c r="P278" s="56"/>
      <c r="Q278" s="56"/>
      <c r="R278" s="56"/>
      <c r="S278" s="56"/>
      <c r="T278" s="56"/>
      <c r="U278" s="56"/>
      <c r="V278" s="56"/>
      <c r="W278" s="27"/>
      <c r="X278" s="56"/>
      <c r="Y278" s="27"/>
      <c r="Z278" s="56"/>
      <c r="AA278" s="27"/>
      <c r="AB278" s="56"/>
      <c r="AC278" s="27"/>
      <c r="AD278" s="56"/>
      <c r="AE278" s="27"/>
      <c r="AF278" s="56"/>
      <c r="AG278" s="27"/>
      <c r="AH278" s="286"/>
      <c r="AI278" s="27"/>
      <c r="AJ278" s="56"/>
      <c r="AK278" s="27"/>
      <c r="AL278" s="56"/>
      <c r="AM278" s="27"/>
      <c r="AN278" s="56"/>
      <c r="AO278" s="27"/>
      <c r="AP278" s="56"/>
      <c r="AQ278" s="27"/>
      <c r="AR278" s="56"/>
      <c r="AS278" s="27"/>
      <c r="AT278" s="56"/>
      <c r="AU278" s="27"/>
      <c r="AV278" s="56"/>
      <c r="AW278" s="27"/>
      <c r="AX278" s="56"/>
      <c r="AY278" s="27"/>
      <c r="AZ278" s="56"/>
      <c r="BA278" s="27"/>
      <c r="BB278" s="48"/>
      <c r="BC278" s="48"/>
      <c r="BD278" s="48"/>
      <c r="BE278" s="48"/>
      <c r="BF278" s="48"/>
      <c r="BG278" s="48"/>
      <c r="BH278" s="48"/>
      <c r="BI278" s="48"/>
      <c r="BJ278" s="48"/>
      <c r="BK278" s="48"/>
      <c r="BL278" s="48"/>
      <c r="BM278" s="48"/>
      <c r="BN278" s="48"/>
      <c r="BO278" s="48"/>
      <c r="BP278" s="48"/>
      <c r="BQ278" s="48"/>
      <c r="BR278" s="48"/>
      <c r="BS278" s="48"/>
      <c r="BT278" s="48"/>
      <c r="BU278" s="48"/>
    </row>
    <row r="279" ht="15.75" customHeight="1">
      <c r="A279" s="48"/>
      <c r="B279" s="48"/>
      <c r="C279" s="48"/>
      <c r="D279" s="48"/>
      <c r="E279" s="27"/>
      <c r="F279" s="48"/>
      <c r="G279" s="48"/>
      <c r="H279" s="56"/>
      <c r="I279" s="56"/>
      <c r="J279" s="56"/>
      <c r="K279" s="56"/>
      <c r="L279" s="56"/>
      <c r="M279" s="56"/>
      <c r="N279" s="56"/>
      <c r="O279" s="56"/>
      <c r="P279" s="56"/>
      <c r="Q279" s="56"/>
      <c r="R279" s="56"/>
      <c r="S279" s="56"/>
      <c r="T279" s="56"/>
      <c r="U279" s="56"/>
      <c r="V279" s="56"/>
      <c r="W279" s="27"/>
      <c r="X279" s="56"/>
      <c r="Y279" s="27"/>
      <c r="Z279" s="56"/>
      <c r="AA279" s="27"/>
      <c r="AB279" s="56"/>
      <c r="AC279" s="27"/>
      <c r="AD279" s="56"/>
      <c r="AE279" s="27"/>
      <c r="AF279" s="56"/>
      <c r="AG279" s="27"/>
      <c r="AH279" s="286"/>
      <c r="AI279" s="27"/>
      <c r="AJ279" s="56"/>
      <c r="AK279" s="27"/>
      <c r="AL279" s="56"/>
      <c r="AM279" s="27"/>
      <c r="AN279" s="56"/>
      <c r="AO279" s="27"/>
      <c r="AP279" s="56"/>
      <c r="AQ279" s="27"/>
      <c r="AR279" s="56"/>
      <c r="AS279" s="27"/>
      <c r="AT279" s="56"/>
      <c r="AU279" s="27"/>
      <c r="AV279" s="56"/>
      <c r="AW279" s="27"/>
      <c r="AX279" s="56"/>
      <c r="AY279" s="27"/>
      <c r="AZ279" s="56"/>
      <c r="BA279" s="27"/>
      <c r="BB279" s="48"/>
      <c r="BC279" s="48"/>
      <c r="BD279" s="48"/>
      <c r="BE279" s="48"/>
      <c r="BF279" s="48"/>
      <c r="BG279" s="48"/>
      <c r="BH279" s="48"/>
      <c r="BI279" s="48"/>
      <c r="BJ279" s="48"/>
      <c r="BK279" s="48"/>
      <c r="BL279" s="48"/>
      <c r="BM279" s="48"/>
      <c r="BN279" s="48"/>
      <c r="BO279" s="48"/>
      <c r="BP279" s="48"/>
      <c r="BQ279" s="48"/>
      <c r="BR279" s="48"/>
      <c r="BS279" s="48"/>
      <c r="BT279" s="48"/>
      <c r="BU279" s="48"/>
    </row>
    <row r="280" ht="15.75" customHeight="1">
      <c r="A280" s="48"/>
      <c r="B280" s="48"/>
      <c r="C280" s="48"/>
      <c r="D280" s="48"/>
      <c r="E280" s="27"/>
      <c r="F280" s="48"/>
      <c r="G280" s="48"/>
      <c r="H280" s="56"/>
      <c r="I280" s="56"/>
      <c r="J280" s="56"/>
      <c r="K280" s="56"/>
      <c r="L280" s="56"/>
      <c r="M280" s="56"/>
      <c r="N280" s="56"/>
      <c r="O280" s="56"/>
      <c r="P280" s="56"/>
      <c r="Q280" s="56"/>
      <c r="R280" s="56"/>
      <c r="S280" s="56"/>
      <c r="T280" s="56"/>
      <c r="U280" s="56"/>
      <c r="V280" s="56"/>
      <c r="W280" s="27"/>
      <c r="X280" s="56"/>
      <c r="Y280" s="27"/>
      <c r="Z280" s="56"/>
      <c r="AA280" s="27"/>
      <c r="AB280" s="56"/>
      <c r="AC280" s="27"/>
      <c r="AD280" s="56"/>
      <c r="AE280" s="27"/>
      <c r="AF280" s="56"/>
      <c r="AG280" s="27"/>
      <c r="AH280" s="286"/>
      <c r="AI280" s="27"/>
      <c r="AJ280" s="56"/>
      <c r="AK280" s="27"/>
      <c r="AL280" s="56"/>
      <c r="AM280" s="27"/>
      <c r="AN280" s="56"/>
      <c r="AO280" s="27"/>
      <c r="AP280" s="56"/>
      <c r="AQ280" s="27"/>
      <c r="AR280" s="56"/>
      <c r="AS280" s="27"/>
      <c r="AT280" s="56"/>
      <c r="AU280" s="27"/>
      <c r="AV280" s="56"/>
      <c r="AW280" s="27"/>
      <c r="AX280" s="56"/>
      <c r="AY280" s="27"/>
      <c r="AZ280" s="56"/>
      <c r="BA280" s="27"/>
      <c r="BB280" s="48"/>
      <c r="BC280" s="48"/>
      <c r="BD280" s="48"/>
      <c r="BE280" s="48"/>
      <c r="BF280" s="48"/>
      <c r="BG280" s="48"/>
      <c r="BH280" s="48"/>
      <c r="BI280" s="48"/>
      <c r="BJ280" s="48"/>
      <c r="BK280" s="48"/>
      <c r="BL280" s="48"/>
      <c r="BM280" s="48"/>
      <c r="BN280" s="48"/>
      <c r="BO280" s="48"/>
      <c r="BP280" s="48"/>
      <c r="BQ280" s="48"/>
      <c r="BR280" s="48"/>
      <c r="BS280" s="48"/>
      <c r="BT280" s="48"/>
      <c r="BU280" s="48"/>
    </row>
    <row r="281" ht="15.75" customHeight="1">
      <c r="A281" s="48"/>
      <c r="B281" s="48"/>
      <c r="C281" s="48"/>
      <c r="D281" s="48"/>
      <c r="E281" s="27"/>
      <c r="F281" s="48"/>
      <c r="G281" s="48"/>
      <c r="H281" s="56"/>
      <c r="I281" s="56"/>
      <c r="J281" s="56"/>
      <c r="K281" s="56"/>
      <c r="L281" s="56"/>
      <c r="M281" s="56"/>
      <c r="N281" s="56"/>
      <c r="O281" s="56"/>
      <c r="P281" s="56"/>
      <c r="Q281" s="56"/>
      <c r="R281" s="56"/>
      <c r="S281" s="56"/>
      <c r="T281" s="56"/>
      <c r="U281" s="56"/>
      <c r="V281" s="56"/>
      <c r="W281" s="27"/>
      <c r="X281" s="56"/>
      <c r="Y281" s="27"/>
      <c r="Z281" s="56"/>
      <c r="AA281" s="27"/>
      <c r="AB281" s="56"/>
      <c r="AC281" s="27"/>
      <c r="AD281" s="56"/>
      <c r="AE281" s="27"/>
      <c r="AF281" s="56"/>
      <c r="AG281" s="27"/>
      <c r="AH281" s="286"/>
      <c r="AI281" s="27"/>
      <c r="AJ281" s="56"/>
      <c r="AK281" s="27"/>
      <c r="AL281" s="56"/>
      <c r="AM281" s="27"/>
      <c r="AN281" s="56"/>
      <c r="AO281" s="27"/>
      <c r="AP281" s="56"/>
      <c r="AQ281" s="27"/>
      <c r="AR281" s="56"/>
      <c r="AS281" s="27"/>
      <c r="AT281" s="56"/>
      <c r="AU281" s="27"/>
      <c r="AV281" s="56"/>
      <c r="AW281" s="27"/>
      <c r="AX281" s="56"/>
      <c r="AY281" s="27"/>
      <c r="AZ281" s="56"/>
      <c r="BA281" s="27"/>
      <c r="BB281" s="48"/>
      <c r="BC281" s="48"/>
      <c r="BD281" s="48"/>
      <c r="BE281" s="48"/>
      <c r="BF281" s="48"/>
      <c r="BG281" s="48"/>
      <c r="BH281" s="48"/>
      <c r="BI281" s="48"/>
      <c r="BJ281" s="48"/>
      <c r="BK281" s="48"/>
      <c r="BL281" s="48"/>
      <c r="BM281" s="48"/>
      <c r="BN281" s="48"/>
      <c r="BO281" s="48"/>
      <c r="BP281" s="48"/>
      <c r="BQ281" s="48"/>
      <c r="BR281" s="48"/>
      <c r="BS281" s="48"/>
      <c r="BT281" s="48"/>
      <c r="BU281" s="48"/>
    </row>
    <row r="282" ht="15.75" customHeight="1">
      <c r="A282" s="48"/>
      <c r="B282" s="48"/>
      <c r="C282" s="48"/>
      <c r="D282" s="48"/>
      <c r="E282" s="27"/>
      <c r="F282" s="48"/>
      <c r="G282" s="48"/>
      <c r="H282" s="56"/>
      <c r="I282" s="56"/>
      <c r="J282" s="56"/>
      <c r="K282" s="56"/>
      <c r="L282" s="56"/>
      <c r="M282" s="56"/>
      <c r="N282" s="56"/>
      <c r="O282" s="56"/>
      <c r="P282" s="56"/>
      <c r="Q282" s="56"/>
      <c r="R282" s="56"/>
      <c r="S282" s="56"/>
      <c r="T282" s="56"/>
      <c r="U282" s="56"/>
      <c r="V282" s="56"/>
      <c r="W282" s="27"/>
      <c r="X282" s="56"/>
      <c r="Y282" s="27"/>
      <c r="Z282" s="56"/>
      <c r="AA282" s="27"/>
      <c r="AB282" s="56"/>
      <c r="AC282" s="27"/>
      <c r="AD282" s="56"/>
      <c r="AE282" s="27"/>
      <c r="AF282" s="56"/>
      <c r="AG282" s="27"/>
      <c r="AH282" s="286"/>
      <c r="AI282" s="27"/>
      <c r="AJ282" s="56"/>
      <c r="AK282" s="27"/>
      <c r="AL282" s="56"/>
      <c r="AM282" s="27"/>
      <c r="AN282" s="56"/>
      <c r="AO282" s="27"/>
      <c r="AP282" s="56"/>
      <c r="AQ282" s="27"/>
      <c r="AR282" s="56"/>
      <c r="AS282" s="27"/>
      <c r="AT282" s="56"/>
      <c r="AU282" s="27"/>
      <c r="AV282" s="56"/>
      <c r="AW282" s="27"/>
      <c r="AX282" s="56"/>
      <c r="AY282" s="27"/>
      <c r="AZ282" s="56"/>
      <c r="BA282" s="27"/>
      <c r="BB282" s="48"/>
      <c r="BC282" s="48"/>
      <c r="BD282" s="48"/>
      <c r="BE282" s="48"/>
      <c r="BF282" s="48"/>
      <c r="BG282" s="48"/>
      <c r="BH282" s="48"/>
      <c r="BI282" s="48"/>
      <c r="BJ282" s="48"/>
      <c r="BK282" s="48"/>
      <c r="BL282" s="48"/>
      <c r="BM282" s="48"/>
      <c r="BN282" s="48"/>
      <c r="BO282" s="48"/>
      <c r="BP282" s="48"/>
      <c r="BQ282" s="48"/>
      <c r="BR282" s="48"/>
      <c r="BS282" s="48"/>
      <c r="BT282" s="48"/>
      <c r="BU282" s="48"/>
    </row>
    <row r="283" ht="15.75" customHeight="1">
      <c r="A283" s="48"/>
      <c r="B283" s="48"/>
      <c r="C283" s="48"/>
      <c r="D283" s="48"/>
      <c r="E283" s="27"/>
      <c r="F283" s="48"/>
      <c r="G283" s="48"/>
      <c r="H283" s="56"/>
      <c r="I283" s="56"/>
      <c r="J283" s="56"/>
      <c r="K283" s="56"/>
      <c r="L283" s="56"/>
      <c r="M283" s="56"/>
      <c r="N283" s="56"/>
      <c r="O283" s="56"/>
      <c r="P283" s="56"/>
      <c r="Q283" s="56"/>
      <c r="R283" s="56"/>
      <c r="S283" s="56"/>
      <c r="T283" s="56"/>
      <c r="U283" s="56"/>
      <c r="V283" s="56"/>
      <c r="W283" s="27"/>
      <c r="X283" s="56"/>
      <c r="Y283" s="27"/>
      <c r="Z283" s="56"/>
      <c r="AA283" s="27"/>
      <c r="AB283" s="56"/>
      <c r="AC283" s="27"/>
      <c r="AD283" s="56"/>
      <c r="AE283" s="27"/>
      <c r="AF283" s="56"/>
      <c r="AG283" s="27"/>
      <c r="AH283" s="286"/>
      <c r="AI283" s="27"/>
      <c r="AJ283" s="56"/>
      <c r="AK283" s="27"/>
      <c r="AL283" s="56"/>
      <c r="AM283" s="27"/>
      <c r="AN283" s="56"/>
      <c r="AO283" s="27"/>
      <c r="AP283" s="56"/>
      <c r="AQ283" s="27"/>
      <c r="AR283" s="56"/>
      <c r="AS283" s="27"/>
      <c r="AT283" s="56"/>
      <c r="AU283" s="27"/>
      <c r="AV283" s="56"/>
      <c r="AW283" s="27"/>
      <c r="AX283" s="56"/>
      <c r="AY283" s="27"/>
      <c r="AZ283" s="56"/>
      <c r="BA283" s="27"/>
      <c r="BB283" s="48"/>
      <c r="BC283" s="48"/>
      <c r="BD283" s="48"/>
      <c r="BE283" s="48"/>
      <c r="BF283" s="48"/>
      <c r="BG283" s="48"/>
      <c r="BH283" s="48"/>
      <c r="BI283" s="48"/>
      <c r="BJ283" s="48"/>
      <c r="BK283" s="48"/>
      <c r="BL283" s="48"/>
      <c r="BM283" s="48"/>
      <c r="BN283" s="48"/>
      <c r="BO283" s="48"/>
      <c r="BP283" s="48"/>
      <c r="BQ283" s="48"/>
      <c r="BR283" s="48"/>
      <c r="BS283" s="48"/>
      <c r="BT283" s="48"/>
      <c r="BU283" s="48"/>
    </row>
    <row r="284" ht="15.75" customHeight="1">
      <c r="A284" s="48"/>
      <c r="B284" s="48"/>
      <c r="C284" s="48"/>
      <c r="D284" s="48"/>
      <c r="E284" s="27"/>
      <c r="F284" s="48"/>
      <c r="G284" s="48"/>
      <c r="H284" s="56"/>
      <c r="I284" s="56"/>
      <c r="J284" s="56"/>
      <c r="K284" s="56"/>
      <c r="L284" s="56"/>
      <c r="M284" s="56"/>
      <c r="N284" s="56"/>
      <c r="O284" s="56"/>
      <c r="P284" s="56"/>
      <c r="Q284" s="56"/>
      <c r="R284" s="56"/>
      <c r="S284" s="56"/>
      <c r="T284" s="56"/>
      <c r="U284" s="56"/>
      <c r="V284" s="56"/>
      <c r="W284" s="27"/>
      <c r="X284" s="56"/>
      <c r="Y284" s="27"/>
      <c r="Z284" s="56"/>
      <c r="AA284" s="27"/>
      <c r="AB284" s="56"/>
      <c r="AC284" s="27"/>
      <c r="AD284" s="56"/>
      <c r="AE284" s="27"/>
      <c r="AF284" s="56"/>
      <c r="AG284" s="27"/>
      <c r="AH284" s="286"/>
      <c r="AI284" s="27"/>
      <c r="AJ284" s="56"/>
      <c r="AK284" s="27"/>
      <c r="AL284" s="56"/>
      <c r="AM284" s="27"/>
      <c r="AN284" s="56"/>
      <c r="AO284" s="27"/>
      <c r="AP284" s="56"/>
      <c r="AQ284" s="27"/>
      <c r="AR284" s="56"/>
      <c r="AS284" s="27"/>
      <c r="AT284" s="56"/>
      <c r="AU284" s="27"/>
      <c r="AV284" s="56"/>
      <c r="AW284" s="27"/>
      <c r="AX284" s="56"/>
      <c r="AY284" s="27"/>
      <c r="AZ284" s="56"/>
      <c r="BA284" s="27"/>
      <c r="BB284" s="48"/>
      <c r="BC284" s="48"/>
      <c r="BD284" s="48"/>
      <c r="BE284" s="48"/>
      <c r="BF284" s="48"/>
      <c r="BG284" s="48"/>
      <c r="BH284" s="48"/>
      <c r="BI284" s="48"/>
      <c r="BJ284" s="48"/>
      <c r="BK284" s="48"/>
      <c r="BL284" s="48"/>
      <c r="BM284" s="48"/>
      <c r="BN284" s="48"/>
      <c r="BO284" s="48"/>
      <c r="BP284" s="48"/>
      <c r="BQ284" s="48"/>
      <c r="BR284" s="48"/>
      <c r="BS284" s="48"/>
      <c r="BT284" s="48"/>
      <c r="BU284" s="48"/>
    </row>
    <row r="285" ht="15.75" customHeight="1">
      <c r="A285" s="48"/>
      <c r="B285" s="48"/>
      <c r="C285" s="48"/>
      <c r="D285" s="48"/>
      <c r="E285" s="27"/>
      <c r="F285" s="48"/>
      <c r="G285" s="48"/>
      <c r="H285" s="56"/>
      <c r="I285" s="56"/>
      <c r="J285" s="56"/>
      <c r="K285" s="56"/>
      <c r="L285" s="56"/>
      <c r="M285" s="56"/>
      <c r="N285" s="56"/>
      <c r="O285" s="56"/>
      <c r="P285" s="56"/>
      <c r="Q285" s="56"/>
      <c r="R285" s="56"/>
      <c r="S285" s="56"/>
      <c r="T285" s="56"/>
      <c r="U285" s="56"/>
      <c r="V285" s="56"/>
      <c r="W285" s="27"/>
      <c r="X285" s="56"/>
      <c r="Y285" s="27"/>
      <c r="Z285" s="56"/>
      <c r="AA285" s="27"/>
      <c r="AB285" s="56"/>
      <c r="AC285" s="27"/>
      <c r="AD285" s="56"/>
      <c r="AE285" s="27"/>
      <c r="AF285" s="56"/>
      <c r="AG285" s="27"/>
      <c r="AH285" s="286"/>
      <c r="AI285" s="27"/>
      <c r="AJ285" s="56"/>
      <c r="AK285" s="27"/>
      <c r="AL285" s="56"/>
      <c r="AM285" s="27"/>
      <c r="AN285" s="56"/>
      <c r="AO285" s="27"/>
      <c r="AP285" s="56"/>
      <c r="AQ285" s="27"/>
      <c r="AR285" s="56"/>
      <c r="AS285" s="27"/>
      <c r="AT285" s="56"/>
      <c r="AU285" s="27"/>
      <c r="AV285" s="56"/>
      <c r="AW285" s="27"/>
      <c r="AX285" s="56"/>
      <c r="AY285" s="27"/>
      <c r="AZ285" s="56"/>
      <c r="BA285" s="27"/>
      <c r="BB285" s="48"/>
      <c r="BC285" s="48"/>
      <c r="BD285" s="48"/>
      <c r="BE285" s="48"/>
      <c r="BF285" s="48"/>
      <c r="BG285" s="48"/>
      <c r="BH285" s="48"/>
      <c r="BI285" s="48"/>
      <c r="BJ285" s="48"/>
      <c r="BK285" s="48"/>
      <c r="BL285" s="48"/>
      <c r="BM285" s="48"/>
      <c r="BN285" s="48"/>
      <c r="BO285" s="48"/>
      <c r="BP285" s="48"/>
      <c r="BQ285" s="48"/>
      <c r="BR285" s="48"/>
      <c r="BS285" s="48"/>
      <c r="BT285" s="48"/>
      <c r="BU285" s="48"/>
    </row>
    <row r="286" ht="15.75" customHeight="1">
      <c r="A286" s="48"/>
      <c r="B286" s="48"/>
      <c r="C286" s="48"/>
      <c r="D286" s="48"/>
      <c r="E286" s="27"/>
      <c r="F286" s="48"/>
      <c r="G286" s="48"/>
      <c r="H286" s="56"/>
      <c r="I286" s="56"/>
      <c r="J286" s="56"/>
      <c r="K286" s="56"/>
      <c r="L286" s="56"/>
      <c r="M286" s="56"/>
      <c r="N286" s="56"/>
      <c r="O286" s="56"/>
      <c r="P286" s="56"/>
      <c r="Q286" s="56"/>
      <c r="R286" s="56"/>
      <c r="S286" s="56"/>
      <c r="T286" s="56"/>
      <c r="U286" s="56"/>
      <c r="V286" s="56"/>
      <c r="W286" s="27"/>
      <c r="X286" s="56"/>
      <c r="Y286" s="27"/>
      <c r="Z286" s="56"/>
      <c r="AA286" s="27"/>
      <c r="AB286" s="56"/>
      <c r="AC286" s="27"/>
      <c r="AD286" s="56"/>
      <c r="AE286" s="27"/>
      <c r="AF286" s="56"/>
      <c r="AG286" s="27"/>
      <c r="AH286" s="286"/>
      <c r="AI286" s="27"/>
      <c r="AJ286" s="56"/>
      <c r="AK286" s="27"/>
      <c r="AL286" s="56"/>
      <c r="AM286" s="27"/>
      <c r="AN286" s="56"/>
      <c r="AO286" s="27"/>
      <c r="AP286" s="56"/>
      <c r="AQ286" s="27"/>
      <c r="AR286" s="56"/>
      <c r="AS286" s="27"/>
      <c r="AT286" s="56"/>
      <c r="AU286" s="27"/>
      <c r="AV286" s="56"/>
      <c r="AW286" s="27"/>
      <c r="AX286" s="56"/>
      <c r="AY286" s="27"/>
      <c r="AZ286" s="56"/>
      <c r="BA286" s="27"/>
      <c r="BB286" s="48"/>
      <c r="BC286" s="48"/>
      <c r="BD286" s="48"/>
      <c r="BE286" s="48"/>
      <c r="BF286" s="48"/>
      <c r="BG286" s="48"/>
      <c r="BH286" s="48"/>
      <c r="BI286" s="48"/>
      <c r="BJ286" s="48"/>
      <c r="BK286" s="48"/>
      <c r="BL286" s="48"/>
      <c r="BM286" s="48"/>
      <c r="BN286" s="48"/>
      <c r="BO286" s="48"/>
      <c r="BP286" s="48"/>
      <c r="BQ286" s="48"/>
      <c r="BR286" s="48"/>
      <c r="BS286" s="48"/>
      <c r="BT286" s="48"/>
      <c r="BU286" s="48"/>
    </row>
    <row r="287" ht="15.75" customHeight="1">
      <c r="A287" s="48"/>
      <c r="B287" s="48"/>
      <c r="C287" s="48"/>
      <c r="D287" s="48"/>
      <c r="E287" s="27"/>
      <c r="F287" s="48"/>
      <c r="G287" s="48"/>
      <c r="H287" s="56"/>
      <c r="I287" s="56"/>
      <c r="J287" s="56"/>
      <c r="K287" s="56"/>
      <c r="L287" s="56"/>
      <c r="M287" s="56"/>
      <c r="N287" s="56"/>
      <c r="O287" s="56"/>
      <c r="P287" s="56"/>
      <c r="Q287" s="56"/>
      <c r="R287" s="56"/>
      <c r="S287" s="56"/>
      <c r="T287" s="56"/>
      <c r="U287" s="56"/>
      <c r="V287" s="56"/>
      <c r="W287" s="27"/>
      <c r="X287" s="56"/>
      <c r="Y287" s="27"/>
      <c r="Z287" s="56"/>
      <c r="AA287" s="27"/>
      <c r="AB287" s="56"/>
      <c r="AC287" s="27"/>
      <c r="AD287" s="56"/>
      <c r="AE287" s="27"/>
      <c r="AF287" s="56"/>
      <c r="AG287" s="27"/>
      <c r="AH287" s="286"/>
      <c r="AI287" s="27"/>
      <c r="AJ287" s="56"/>
      <c r="AK287" s="27"/>
      <c r="AL287" s="56"/>
      <c r="AM287" s="27"/>
      <c r="AN287" s="56"/>
      <c r="AO287" s="27"/>
      <c r="AP287" s="56"/>
      <c r="AQ287" s="27"/>
      <c r="AR287" s="56"/>
      <c r="AS287" s="27"/>
      <c r="AT287" s="56"/>
      <c r="AU287" s="27"/>
      <c r="AV287" s="56"/>
      <c r="AW287" s="27"/>
      <c r="AX287" s="56"/>
      <c r="AY287" s="27"/>
      <c r="AZ287" s="56"/>
      <c r="BA287" s="27"/>
      <c r="BB287" s="48"/>
      <c r="BC287" s="48"/>
      <c r="BD287" s="48"/>
      <c r="BE287" s="48"/>
      <c r="BF287" s="48"/>
      <c r="BG287" s="48"/>
      <c r="BH287" s="48"/>
      <c r="BI287" s="48"/>
      <c r="BJ287" s="48"/>
      <c r="BK287" s="48"/>
      <c r="BL287" s="48"/>
      <c r="BM287" s="48"/>
      <c r="BN287" s="48"/>
      <c r="BO287" s="48"/>
      <c r="BP287" s="48"/>
      <c r="BQ287" s="48"/>
      <c r="BR287" s="48"/>
      <c r="BS287" s="48"/>
      <c r="BT287" s="48"/>
      <c r="BU287" s="48"/>
    </row>
    <row r="288" ht="15.75" customHeight="1">
      <c r="A288" s="48"/>
      <c r="B288" s="48"/>
      <c r="C288" s="48"/>
      <c r="D288" s="48"/>
      <c r="E288" s="27"/>
      <c r="F288" s="48"/>
      <c r="G288" s="48"/>
      <c r="H288" s="56"/>
      <c r="I288" s="56"/>
      <c r="J288" s="56"/>
      <c r="K288" s="56"/>
      <c r="L288" s="56"/>
      <c r="M288" s="56"/>
      <c r="N288" s="56"/>
      <c r="O288" s="56"/>
      <c r="P288" s="56"/>
      <c r="Q288" s="56"/>
      <c r="R288" s="56"/>
      <c r="S288" s="56"/>
      <c r="T288" s="56"/>
      <c r="U288" s="56"/>
      <c r="V288" s="56"/>
      <c r="W288" s="27"/>
      <c r="X288" s="56"/>
      <c r="Y288" s="27"/>
      <c r="Z288" s="56"/>
      <c r="AA288" s="27"/>
      <c r="AB288" s="56"/>
      <c r="AC288" s="27"/>
      <c r="AD288" s="56"/>
      <c r="AE288" s="27"/>
      <c r="AF288" s="56"/>
      <c r="AG288" s="27"/>
      <c r="AH288" s="286"/>
      <c r="AI288" s="27"/>
      <c r="AJ288" s="56"/>
      <c r="AK288" s="27"/>
      <c r="AL288" s="56"/>
      <c r="AM288" s="27"/>
      <c r="AN288" s="56"/>
      <c r="AO288" s="27"/>
      <c r="AP288" s="56"/>
      <c r="AQ288" s="27"/>
      <c r="AR288" s="56"/>
      <c r="AS288" s="27"/>
      <c r="AT288" s="56"/>
      <c r="AU288" s="27"/>
      <c r="AV288" s="56"/>
      <c r="AW288" s="27"/>
      <c r="AX288" s="56"/>
      <c r="AY288" s="27"/>
      <c r="AZ288" s="56"/>
      <c r="BA288" s="27"/>
      <c r="BB288" s="48"/>
      <c r="BC288" s="48"/>
      <c r="BD288" s="48"/>
      <c r="BE288" s="48"/>
      <c r="BF288" s="48"/>
      <c r="BG288" s="48"/>
      <c r="BH288" s="48"/>
      <c r="BI288" s="48"/>
      <c r="BJ288" s="48"/>
      <c r="BK288" s="48"/>
      <c r="BL288" s="48"/>
      <c r="BM288" s="48"/>
      <c r="BN288" s="48"/>
      <c r="BO288" s="48"/>
      <c r="BP288" s="48"/>
      <c r="BQ288" s="48"/>
      <c r="BR288" s="48"/>
      <c r="BS288" s="48"/>
      <c r="BT288" s="48"/>
      <c r="BU288" s="48"/>
    </row>
    <row r="289" ht="15.75" customHeight="1">
      <c r="A289" s="48"/>
      <c r="B289" s="48"/>
      <c r="C289" s="48"/>
      <c r="D289" s="48"/>
      <c r="E289" s="27"/>
      <c r="F289" s="48"/>
      <c r="G289" s="48"/>
      <c r="H289" s="56"/>
      <c r="I289" s="56"/>
      <c r="J289" s="56"/>
      <c r="K289" s="56"/>
      <c r="L289" s="56"/>
      <c r="M289" s="56"/>
      <c r="N289" s="56"/>
      <c r="O289" s="56"/>
      <c r="P289" s="56"/>
      <c r="Q289" s="56"/>
      <c r="R289" s="56"/>
      <c r="S289" s="56"/>
      <c r="T289" s="56"/>
      <c r="U289" s="56"/>
      <c r="V289" s="56"/>
      <c r="W289" s="27"/>
      <c r="X289" s="56"/>
      <c r="Y289" s="27"/>
      <c r="Z289" s="56"/>
      <c r="AA289" s="27"/>
      <c r="AB289" s="56"/>
      <c r="AC289" s="27"/>
      <c r="AD289" s="56"/>
      <c r="AE289" s="27"/>
      <c r="AF289" s="56"/>
      <c r="AG289" s="27"/>
      <c r="AH289" s="286"/>
      <c r="AI289" s="27"/>
      <c r="AJ289" s="56"/>
      <c r="AK289" s="27"/>
      <c r="AL289" s="56"/>
      <c r="AM289" s="27"/>
      <c r="AN289" s="56"/>
      <c r="AO289" s="27"/>
      <c r="AP289" s="56"/>
      <c r="AQ289" s="27"/>
      <c r="AR289" s="56"/>
      <c r="AS289" s="27"/>
      <c r="AT289" s="56"/>
      <c r="AU289" s="27"/>
      <c r="AV289" s="56"/>
      <c r="AW289" s="27"/>
      <c r="AX289" s="56"/>
      <c r="AY289" s="27"/>
      <c r="AZ289" s="56"/>
      <c r="BA289" s="27"/>
      <c r="BB289" s="48"/>
      <c r="BC289" s="48"/>
      <c r="BD289" s="48"/>
      <c r="BE289" s="48"/>
      <c r="BF289" s="48"/>
      <c r="BG289" s="48"/>
      <c r="BH289" s="48"/>
      <c r="BI289" s="48"/>
      <c r="BJ289" s="48"/>
      <c r="BK289" s="48"/>
      <c r="BL289" s="48"/>
      <c r="BM289" s="48"/>
      <c r="BN289" s="48"/>
      <c r="BO289" s="48"/>
      <c r="BP289" s="48"/>
      <c r="BQ289" s="48"/>
      <c r="BR289" s="48"/>
      <c r="BS289" s="48"/>
      <c r="BT289" s="48"/>
      <c r="BU289" s="48"/>
    </row>
    <row r="290" ht="15.75" customHeight="1">
      <c r="A290" s="48"/>
      <c r="B290" s="48"/>
      <c r="C290" s="48"/>
      <c r="D290" s="48"/>
      <c r="E290" s="27"/>
      <c r="F290" s="48"/>
      <c r="G290" s="48"/>
      <c r="H290" s="56"/>
      <c r="I290" s="56"/>
      <c r="J290" s="56"/>
      <c r="K290" s="56"/>
      <c r="L290" s="56"/>
      <c r="M290" s="56"/>
      <c r="N290" s="56"/>
      <c r="O290" s="56"/>
      <c r="P290" s="56"/>
      <c r="Q290" s="56"/>
      <c r="R290" s="56"/>
      <c r="S290" s="56"/>
      <c r="T290" s="56"/>
      <c r="U290" s="56"/>
      <c r="V290" s="56"/>
      <c r="W290" s="27"/>
      <c r="X290" s="56"/>
      <c r="Y290" s="27"/>
      <c r="Z290" s="56"/>
      <c r="AA290" s="27"/>
      <c r="AB290" s="56"/>
      <c r="AC290" s="27"/>
      <c r="AD290" s="56"/>
      <c r="AE290" s="27"/>
      <c r="AF290" s="56"/>
      <c r="AG290" s="27"/>
      <c r="AH290" s="286"/>
      <c r="AI290" s="27"/>
      <c r="AJ290" s="56"/>
      <c r="AK290" s="27"/>
      <c r="AL290" s="56"/>
      <c r="AM290" s="27"/>
      <c r="AN290" s="56"/>
      <c r="AO290" s="27"/>
      <c r="AP290" s="56"/>
      <c r="AQ290" s="27"/>
      <c r="AR290" s="56"/>
      <c r="AS290" s="27"/>
      <c r="AT290" s="56"/>
      <c r="AU290" s="27"/>
      <c r="AV290" s="56"/>
      <c r="AW290" s="27"/>
      <c r="AX290" s="56"/>
      <c r="AY290" s="27"/>
      <c r="AZ290" s="56"/>
      <c r="BA290" s="27"/>
      <c r="BB290" s="48"/>
      <c r="BC290" s="48"/>
      <c r="BD290" s="48"/>
      <c r="BE290" s="48"/>
      <c r="BF290" s="48"/>
      <c r="BG290" s="48"/>
      <c r="BH290" s="48"/>
      <c r="BI290" s="48"/>
      <c r="BJ290" s="48"/>
      <c r="BK290" s="48"/>
      <c r="BL290" s="48"/>
      <c r="BM290" s="48"/>
      <c r="BN290" s="48"/>
      <c r="BO290" s="48"/>
      <c r="BP290" s="48"/>
      <c r="BQ290" s="48"/>
      <c r="BR290" s="48"/>
      <c r="BS290" s="48"/>
      <c r="BT290" s="48"/>
      <c r="BU290" s="48"/>
    </row>
    <row r="291" ht="15.75" customHeight="1">
      <c r="A291" s="48"/>
      <c r="B291" s="48"/>
      <c r="C291" s="48"/>
      <c r="D291" s="48"/>
      <c r="E291" s="27"/>
      <c r="F291" s="48"/>
      <c r="G291" s="48"/>
      <c r="H291" s="56"/>
      <c r="I291" s="56"/>
      <c r="J291" s="56"/>
      <c r="K291" s="56"/>
      <c r="L291" s="56"/>
      <c r="M291" s="56"/>
      <c r="N291" s="56"/>
      <c r="O291" s="56"/>
      <c r="P291" s="56"/>
      <c r="Q291" s="56"/>
      <c r="R291" s="56"/>
      <c r="S291" s="56"/>
      <c r="T291" s="56"/>
      <c r="U291" s="56"/>
      <c r="V291" s="56"/>
      <c r="W291" s="27"/>
      <c r="X291" s="56"/>
      <c r="Y291" s="27"/>
      <c r="Z291" s="56"/>
      <c r="AA291" s="27"/>
      <c r="AB291" s="56"/>
      <c r="AC291" s="27"/>
      <c r="AD291" s="56"/>
      <c r="AE291" s="27"/>
      <c r="AF291" s="56"/>
      <c r="AG291" s="27"/>
      <c r="AH291" s="286"/>
      <c r="AI291" s="27"/>
      <c r="AJ291" s="56"/>
      <c r="AK291" s="27"/>
      <c r="AL291" s="56"/>
      <c r="AM291" s="27"/>
      <c r="AN291" s="56"/>
      <c r="AO291" s="27"/>
      <c r="AP291" s="56"/>
      <c r="AQ291" s="27"/>
      <c r="AR291" s="56"/>
      <c r="AS291" s="27"/>
      <c r="AT291" s="56"/>
      <c r="AU291" s="27"/>
      <c r="AV291" s="56"/>
      <c r="AW291" s="27"/>
      <c r="AX291" s="56"/>
      <c r="AY291" s="27"/>
      <c r="AZ291" s="56"/>
      <c r="BA291" s="27"/>
      <c r="BB291" s="48"/>
      <c r="BC291" s="48"/>
      <c r="BD291" s="48"/>
      <c r="BE291" s="48"/>
      <c r="BF291" s="48"/>
      <c r="BG291" s="48"/>
      <c r="BH291" s="48"/>
      <c r="BI291" s="48"/>
      <c r="BJ291" s="48"/>
      <c r="BK291" s="48"/>
      <c r="BL291" s="48"/>
      <c r="BM291" s="48"/>
      <c r="BN291" s="48"/>
      <c r="BO291" s="48"/>
      <c r="BP291" s="48"/>
      <c r="BQ291" s="48"/>
      <c r="BR291" s="48"/>
      <c r="BS291" s="48"/>
      <c r="BT291" s="48"/>
      <c r="BU291" s="48"/>
    </row>
    <row r="292" ht="15.75" customHeight="1">
      <c r="A292" s="48"/>
      <c r="B292" s="48"/>
      <c r="C292" s="48"/>
      <c r="D292" s="48"/>
      <c r="E292" s="27"/>
      <c r="F292" s="48"/>
      <c r="G292" s="48"/>
      <c r="H292" s="56"/>
      <c r="I292" s="56"/>
      <c r="J292" s="56"/>
      <c r="K292" s="56"/>
      <c r="L292" s="56"/>
      <c r="M292" s="56"/>
      <c r="N292" s="56"/>
      <c r="O292" s="56"/>
      <c r="P292" s="56"/>
      <c r="Q292" s="56"/>
      <c r="R292" s="56"/>
      <c r="S292" s="56"/>
      <c r="T292" s="56"/>
      <c r="U292" s="56"/>
      <c r="V292" s="56"/>
      <c r="W292" s="27"/>
      <c r="X292" s="56"/>
      <c r="Y292" s="27"/>
      <c r="Z292" s="56"/>
      <c r="AA292" s="27"/>
      <c r="AB292" s="56"/>
      <c r="AC292" s="27"/>
      <c r="AD292" s="56"/>
      <c r="AE292" s="27"/>
      <c r="AF292" s="56"/>
      <c r="AG292" s="27"/>
      <c r="AH292" s="286"/>
      <c r="AI292" s="27"/>
      <c r="AJ292" s="56"/>
      <c r="AK292" s="27"/>
      <c r="AL292" s="56"/>
      <c r="AM292" s="27"/>
      <c r="AN292" s="56"/>
      <c r="AO292" s="27"/>
      <c r="AP292" s="56"/>
      <c r="AQ292" s="27"/>
      <c r="AR292" s="56"/>
      <c r="AS292" s="27"/>
      <c r="AT292" s="56"/>
      <c r="AU292" s="27"/>
      <c r="AV292" s="56"/>
      <c r="AW292" s="27"/>
      <c r="AX292" s="56"/>
      <c r="AY292" s="27"/>
      <c r="AZ292" s="56"/>
      <c r="BA292" s="27"/>
      <c r="BB292" s="48"/>
      <c r="BC292" s="48"/>
      <c r="BD292" s="48"/>
      <c r="BE292" s="48"/>
      <c r="BF292" s="48"/>
      <c r="BG292" s="48"/>
      <c r="BH292" s="48"/>
      <c r="BI292" s="48"/>
      <c r="BJ292" s="48"/>
      <c r="BK292" s="48"/>
      <c r="BL292" s="48"/>
      <c r="BM292" s="48"/>
      <c r="BN292" s="48"/>
      <c r="BO292" s="48"/>
      <c r="BP292" s="48"/>
      <c r="BQ292" s="48"/>
      <c r="BR292" s="48"/>
      <c r="BS292" s="48"/>
      <c r="BT292" s="48"/>
      <c r="BU292" s="48"/>
    </row>
    <row r="293" ht="15.75" customHeight="1">
      <c r="A293" s="48"/>
      <c r="B293" s="48"/>
      <c r="C293" s="48"/>
      <c r="D293" s="48"/>
      <c r="E293" s="27"/>
      <c r="F293" s="48"/>
      <c r="G293" s="48"/>
      <c r="H293" s="56"/>
      <c r="I293" s="56"/>
      <c r="J293" s="56"/>
      <c r="K293" s="56"/>
      <c r="L293" s="56"/>
      <c r="M293" s="56"/>
      <c r="N293" s="56"/>
      <c r="O293" s="56"/>
      <c r="P293" s="56"/>
      <c r="Q293" s="56"/>
      <c r="R293" s="56"/>
      <c r="S293" s="56"/>
      <c r="T293" s="56"/>
      <c r="U293" s="56"/>
      <c r="V293" s="56"/>
      <c r="W293" s="27"/>
      <c r="X293" s="56"/>
      <c r="Y293" s="27"/>
      <c r="Z293" s="56"/>
      <c r="AA293" s="27"/>
      <c r="AB293" s="56"/>
      <c r="AC293" s="27"/>
      <c r="AD293" s="56"/>
      <c r="AE293" s="27"/>
      <c r="AF293" s="56"/>
      <c r="AG293" s="27"/>
      <c r="AH293" s="286"/>
      <c r="AI293" s="27"/>
      <c r="AJ293" s="56"/>
      <c r="AK293" s="27"/>
      <c r="AL293" s="56"/>
      <c r="AM293" s="27"/>
      <c r="AN293" s="56"/>
      <c r="AO293" s="27"/>
      <c r="AP293" s="56"/>
      <c r="AQ293" s="27"/>
      <c r="AR293" s="56"/>
      <c r="AS293" s="27"/>
      <c r="AT293" s="56"/>
      <c r="AU293" s="27"/>
      <c r="AV293" s="56"/>
      <c r="AW293" s="27"/>
      <c r="AX293" s="56"/>
      <c r="AY293" s="27"/>
      <c r="AZ293" s="56"/>
      <c r="BA293" s="27"/>
      <c r="BB293" s="48"/>
      <c r="BC293" s="48"/>
      <c r="BD293" s="48"/>
      <c r="BE293" s="48"/>
      <c r="BF293" s="48"/>
      <c r="BG293" s="48"/>
      <c r="BH293" s="48"/>
      <c r="BI293" s="48"/>
      <c r="BJ293" s="48"/>
      <c r="BK293" s="48"/>
      <c r="BL293" s="48"/>
      <c r="BM293" s="48"/>
      <c r="BN293" s="48"/>
      <c r="BO293" s="48"/>
      <c r="BP293" s="48"/>
      <c r="BQ293" s="48"/>
      <c r="BR293" s="48"/>
      <c r="BS293" s="48"/>
      <c r="BT293" s="48"/>
      <c r="BU293" s="48"/>
    </row>
    <row r="294" ht="15.75" customHeight="1">
      <c r="A294" s="48"/>
      <c r="B294" s="48"/>
      <c r="C294" s="48"/>
      <c r="D294" s="48"/>
      <c r="E294" s="27"/>
      <c r="F294" s="48"/>
      <c r="G294" s="48"/>
      <c r="H294" s="56"/>
      <c r="I294" s="56"/>
      <c r="J294" s="56"/>
      <c r="K294" s="56"/>
      <c r="L294" s="56"/>
      <c r="M294" s="56"/>
      <c r="N294" s="56"/>
      <c r="O294" s="56"/>
      <c r="P294" s="56"/>
      <c r="Q294" s="56"/>
      <c r="R294" s="56"/>
      <c r="S294" s="56"/>
      <c r="T294" s="56"/>
      <c r="U294" s="56"/>
      <c r="V294" s="56"/>
      <c r="W294" s="27"/>
      <c r="X294" s="56"/>
      <c r="Y294" s="27"/>
      <c r="Z294" s="56"/>
      <c r="AA294" s="27"/>
      <c r="AB294" s="56"/>
      <c r="AC294" s="27"/>
      <c r="AD294" s="56"/>
      <c r="AE294" s="27"/>
      <c r="AF294" s="56"/>
      <c r="AG294" s="27"/>
      <c r="AH294" s="286"/>
      <c r="AI294" s="27"/>
      <c r="AJ294" s="56"/>
      <c r="AK294" s="27"/>
      <c r="AL294" s="56"/>
      <c r="AM294" s="27"/>
      <c r="AN294" s="56"/>
      <c r="AO294" s="27"/>
      <c r="AP294" s="56"/>
      <c r="AQ294" s="27"/>
      <c r="AR294" s="56"/>
      <c r="AS294" s="27"/>
      <c r="AT294" s="56"/>
      <c r="AU294" s="27"/>
      <c r="AV294" s="56"/>
      <c r="AW294" s="27"/>
      <c r="AX294" s="56"/>
      <c r="AY294" s="27"/>
      <c r="AZ294" s="56"/>
      <c r="BA294" s="27"/>
      <c r="BB294" s="48"/>
      <c r="BC294" s="48"/>
      <c r="BD294" s="48"/>
      <c r="BE294" s="48"/>
      <c r="BF294" s="48"/>
      <c r="BG294" s="48"/>
      <c r="BH294" s="48"/>
      <c r="BI294" s="48"/>
      <c r="BJ294" s="48"/>
      <c r="BK294" s="48"/>
      <c r="BL294" s="48"/>
      <c r="BM294" s="48"/>
      <c r="BN294" s="48"/>
      <c r="BO294" s="48"/>
      <c r="BP294" s="48"/>
      <c r="BQ294" s="48"/>
      <c r="BR294" s="48"/>
      <c r="BS294" s="48"/>
      <c r="BT294" s="48"/>
      <c r="BU294" s="48"/>
    </row>
    <row r="295" ht="15.75" customHeight="1">
      <c r="A295" s="48"/>
      <c r="B295" s="48"/>
      <c r="C295" s="48"/>
      <c r="D295" s="48"/>
      <c r="E295" s="27"/>
      <c r="F295" s="48"/>
      <c r="G295" s="48"/>
      <c r="H295" s="56"/>
      <c r="I295" s="56"/>
      <c r="J295" s="56"/>
      <c r="K295" s="56"/>
      <c r="L295" s="56"/>
      <c r="M295" s="56"/>
      <c r="N295" s="56"/>
      <c r="O295" s="56"/>
      <c r="P295" s="56"/>
      <c r="Q295" s="56"/>
      <c r="R295" s="56"/>
      <c r="S295" s="56"/>
      <c r="T295" s="56"/>
      <c r="U295" s="56"/>
      <c r="V295" s="56"/>
      <c r="W295" s="27"/>
      <c r="X295" s="56"/>
      <c r="Y295" s="27"/>
      <c r="Z295" s="56"/>
      <c r="AA295" s="27"/>
      <c r="AB295" s="56"/>
      <c r="AC295" s="27"/>
      <c r="AD295" s="56"/>
      <c r="AE295" s="27"/>
      <c r="AF295" s="56"/>
      <c r="AG295" s="27"/>
      <c r="AH295" s="286"/>
      <c r="AI295" s="27"/>
      <c r="AJ295" s="56"/>
      <c r="AK295" s="27"/>
      <c r="AL295" s="56"/>
      <c r="AM295" s="27"/>
      <c r="AN295" s="56"/>
      <c r="AO295" s="27"/>
      <c r="AP295" s="56"/>
      <c r="AQ295" s="27"/>
      <c r="AR295" s="56"/>
      <c r="AS295" s="27"/>
      <c r="AT295" s="56"/>
      <c r="AU295" s="27"/>
      <c r="AV295" s="56"/>
      <c r="AW295" s="27"/>
      <c r="AX295" s="56"/>
      <c r="AY295" s="27"/>
      <c r="AZ295" s="56"/>
      <c r="BA295" s="27"/>
      <c r="BB295" s="48"/>
      <c r="BC295" s="48"/>
      <c r="BD295" s="48"/>
      <c r="BE295" s="48"/>
      <c r="BF295" s="48"/>
      <c r="BG295" s="48"/>
      <c r="BH295" s="48"/>
      <c r="BI295" s="48"/>
      <c r="BJ295" s="48"/>
      <c r="BK295" s="48"/>
      <c r="BL295" s="48"/>
      <c r="BM295" s="48"/>
      <c r="BN295" s="48"/>
      <c r="BO295" s="48"/>
      <c r="BP295" s="48"/>
      <c r="BQ295" s="48"/>
      <c r="BR295" s="48"/>
      <c r="BS295" s="48"/>
      <c r="BT295" s="48"/>
      <c r="BU295" s="48"/>
    </row>
    <row r="296" ht="15.75" customHeight="1">
      <c r="A296" s="48"/>
      <c r="B296" s="48"/>
      <c r="C296" s="48"/>
      <c r="D296" s="48"/>
      <c r="E296" s="27"/>
      <c r="F296" s="48"/>
      <c r="G296" s="48"/>
      <c r="H296" s="56"/>
      <c r="I296" s="56"/>
      <c r="J296" s="56"/>
      <c r="K296" s="56"/>
      <c r="L296" s="56"/>
      <c r="M296" s="56"/>
      <c r="N296" s="56"/>
      <c r="O296" s="56"/>
      <c r="P296" s="56"/>
      <c r="Q296" s="56"/>
      <c r="R296" s="56"/>
      <c r="S296" s="56"/>
      <c r="T296" s="56"/>
      <c r="U296" s="56"/>
      <c r="V296" s="56"/>
      <c r="W296" s="27"/>
      <c r="X296" s="56"/>
      <c r="Y296" s="27"/>
      <c r="Z296" s="56"/>
      <c r="AA296" s="27"/>
      <c r="AB296" s="56"/>
      <c r="AC296" s="27"/>
      <c r="AD296" s="56"/>
      <c r="AE296" s="27"/>
      <c r="AF296" s="56"/>
      <c r="AG296" s="27"/>
      <c r="AH296" s="286"/>
      <c r="AI296" s="27"/>
      <c r="AJ296" s="56"/>
      <c r="AK296" s="27"/>
      <c r="AL296" s="56"/>
      <c r="AM296" s="27"/>
      <c r="AN296" s="56"/>
      <c r="AO296" s="27"/>
      <c r="AP296" s="56"/>
      <c r="AQ296" s="27"/>
      <c r="AR296" s="56"/>
      <c r="AS296" s="27"/>
      <c r="AT296" s="56"/>
      <c r="AU296" s="27"/>
      <c r="AV296" s="56"/>
      <c r="AW296" s="27"/>
      <c r="AX296" s="56"/>
      <c r="AY296" s="27"/>
      <c r="AZ296" s="56"/>
      <c r="BA296" s="27"/>
      <c r="BB296" s="48"/>
      <c r="BC296" s="48"/>
      <c r="BD296" s="48"/>
      <c r="BE296" s="48"/>
      <c r="BF296" s="48"/>
      <c r="BG296" s="48"/>
      <c r="BH296" s="48"/>
      <c r="BI296" s="48"/>
      <c r="BJ296" s="48"/>
      <c r="BK296" s="48"/>
      <c r="BL296" s="48"/>
      <c r="BM296" s="48"/>
      <c r="BN296" s="48"/>
      <c r="BO296" s="48"/>
      <c r="BP296" s="48"/>
      <c r="BQ296" s="48"/>
      <c r="BR296" s="48"/>
      <c r="BS296" s="48"/>
      <c r="BT296" s="48"/>
      <c r="BU296" s="48"/>
    </row>
    <row r="297" ht="15.75" customHeight="1">
      <c r="A297" s="48"/>
      <c r="B297" s="48"/>
      <c r="C297" s="48"/>
      <c r="D297" s="48"/>
      <c r="E297" s="27"/>
      <c r="F297" s="48"/>
      <c r="G297" s="48"/>
      <c r="H297" s="56"/>
      <c r="I297" s="56"/>
      <c r="J297" s="56"/>
      <c r="K297" s="56"/>
      <c r="L297" s="56"/>
      <c r="M297" s="56"/>
      <c r="N297" s="56"/>
      <c r="O297" s="56"/>
      <c r="P297" s="56"/>
      <c r="Q297" s="56"/>
      <c r="R297" s="56"/>
      <c r="S297" s="56"/>
      <c r="T297" s="56"/>
      <c r="U297" s="56"/>
      <c r="V297" s="56"/>
      <c r="W297" s="27"/>
      <c r="X297" s="56"/>
      <c r="Y297" s="27"/>
      <c r="Z297" s="56"/>
      <c r="AA297" s="27"/>
      <c r="AB297" s="56"/>
      <c r="AC297" s="27"/>
      <c r="AD297" s="56"/>
      <c r="AE297" s="27"/>
      <c r="AF297" s="56"/>
      <c r="AG297" s="27"/>
      <c r="AH297" s="286"/>
      <c r="AI297" s="27"/>
      <c r="AJ297" s="56"/>
      <c r="AK297" s="27"/>
      <c r="AL297" s="56"/>
      <c r="AM297" s="27"/>
      <c r="AN297" s="56"/>
      <c r="AO297" s="27"/>
      <c r="AP297" s="56"/>
      <c r="AQ297" s="27"/>
      <c r="AR297" s="56"/>
      <c r="AS297" s="27"/>
      <c r="AT297" s="56"/>
      <c r="AU297" s="27"/>
      <c r="AV297" s="56"/>
      <c r="AW297" s="27"/>
      <c r="AX297" s="56"/>
      <c r="AY297" s="27"/>
      <c r="AZ297" s="56"/>
      <c r="BA297" s="27"/>
      <c r="BB297" s="48"/>
      <c r="BC297" s="48"/>
      <c r="BD297" s="48"/>
      <c r="BE297" s="48"/>
      <c r="BF297" s="48"/>
      <c r="BG297" s="48"/>
      <c r="BH297" s="48"/>
      <c r="BI297" s="48"/>
      <c r="BJ297" s="48"/>
      <c r="BK297" s="48"/>
      <c r="BL297" s="48"/>
      <c r="BM297" s="48"/>
      <c r="BN297" s="48"/>
      <c r="BO297" s="48"/>
      <c r="BP297" s="48"/>
      <c r="BQ297" s="48"/>
      <c r="BR297" s="48"/>
      <c r="BS297" s="48"/>
      <c r="BT297" s="48"/>
      <c r="BU297" s="48"/>
    </row>
    <row r="298" ht="15.75" customHeight="1">
      <c r="A298" s="48"/>
      <c r="B298" s="48"/>
      <c r="C298" s="48"/>
      <c r="D298" s="48"/>
      <c r="E298" s="27"/>
      <c r="F298" s="48"/>
      <c r="G298" s="48"/>
      <c r="H298" s="56"/>
      <c r="I298" s="56"/>
      <c r="J298" s="56"/>
      <c r="K298" s="56"/>
      <c r="L298" s="56"/>
      <c r="M298" s="56"/>
      <c r="N298" s="56"/>
      <c r="O298" s="56"/>
      <c r="P298" s="56"/>
      <c r="Q298" s="56"/>
      <c r="R298" s="56"/>
      <c r="S298" s="56"/>
      <c r="T298" s="56"/>
      <c r="U298" s="56"/>
      <c r="V298" s="56"/>
      <c r="W298" s="27"/>
      <c r="X298" s="56"/>
      <c r="Y298" s="27"/>
      <c r="Z298" s="56"/>
      <c r="AA298" s="27"/>
      <c r="AB298" s="56"/>
      <c r="AC298" s="27"/>
      <c r="AD298" s="56"/>
      <c r="AE298" s="27"/>
      <c r="AF298" s="56"/>
      <c r="AG298" s="27"/>
      <c r="AH298" s="286"/>
      <c r="AI298" s="27"/>
      <c r="AJ298" s="56"/>
      <c r="AK298" s="27"/>
      <c r="AL298" s="56"/>
      <c r="AM298" s="27"/>
      <c r="AN298" s="56"/>
      <c r="AO298" s="27"/>
      <c r="AP298" s="56"/>
      <c r="AQ298" s="27"/>
      <c r="AR298" s="56"/>
      <c r="AS298" s="27"/>
      <c r="AT298" s="56"/>
      <c r="AU298" s="27"/>
      <c r="AV298" s="56"/>
      <c r="AW298" s="27"/>
      <c r="AX298" s="56"/>
      <c r="AY298" s="27"/>
      <c r="AZ298" s="56"/>
      <c r="BA298" s="27"/>
      <c r="BB298" s="48"/>
      <c r="BC298" s="48"/>
      <c r="BD298" s="48"/>
      <c r="BE298" s="48"/>
      <c r="BF298" s="48"/>
      <c r="BG298" s="48"/>
      <c r="BH298" s="48"/>
      <c r="BI298" s="48"/>
      <c r="BJ298" s="48"/>
      <c r="BK298" s="48"/>
      <c r="BL298" s="48"/>
      <c r="BM298" s="48"/>
      <c r="BN298" s="48"/>
      <c r="BO298" s="48"/>
      <c r="BP298" s="48"/>
      <c r="BQ298" s="48"/>
      <c r="BR298" s="48"/>
      <c r="BS298" s="48"/>
      <c r="BT298" s="48"/>
      <c r="BU298" s="48"/>
    </row>
    <row r="299" ht="15.75" customHeight="1">
      <c r="A299" s="48"/>
      <c r="B299" s="48"/>
      <c r="C299" s="48"/>
      <c r="D299" s="48"/>
      <c r="E299" s="27"/>
      <c r="F299" s="48"/>
      <c r="G299" s="48"/>
      <c r="H299" s="56"/>
      <c r="I299" s="56"/>
      <c r="J299" s="56"/>
      <c r="K299" s="56"/>
      <c r="L299" s="56"/>
      <c r="M299" s="56"/>
      <c r="N299" s="56"/>
      <c r="O299" s="56"/>
      <c r="P299" s="56"/>
      <c r="Q299" s="56"/>
      <c r="R299" s="56"/>
      <c r="S299" s="56"/>
      <c r="T299" s="56"/>
      <c r="U299" s="56"/>
      <c r="V299" s="56"/>
      <c r="W299" s="27"/>
      <c r="X299" s="56"/>
      <c r="Y299" s="27"/>
      <c r="Z299" s="56"/>
      <c r="AA299" s="27"/>
      <c r="AB299" s="56"/>
      <c r="AC299" s="27"/>
      <c r="AD299" s="56"/>
      <c r="AE299" s="27"/>
      <c r="AF299" s="56"/>
      <c r="AG299" s="27"/>
      <c r="AH299" s="286"/>
      <c r="AI299" s="27"/>
      <c r="AJ299" s="56"/>
      <c r="AK299" s="27"/>
      <c r="AL299" s="56"/>
      <c r="AM299" s="27"/>
      <c r="AN299" s="56"/>
      <c r="AO299" s="27"/>
      <c r="AP299" s="56"/>
      <c r="AQ299" s="27"/>
      <c r="AR299" s="56"/>
      <c r="AS299" s="27"/>
      <c r="AT299" s="56"/>
      <c r="AU299" s="27"/>
      <c r="AV299" s="56"/>
      <c r="AW299" s="27"/>
      <c r="AX299" s="56"/>
      <c r="AY299" s="27"/>
      <c r="AZ299" s="56"/>
      <c r="BA299" s="27"/>
      <c r="BB299" s="48"/>
      <c r="BC299" s="48"/>
      <c r="BD299" s="48"/>
      <c r="BE299" s="48"/>
      <c r="BF299" s="48"/>
      <c r="BG299" s="48"/>
      <c r="BH299" s="48"/>
      <c r="BI299" s="48"/>
      <c r="BJ299" s="48"/>
      <c r="BK299" s="48"/>
      <c r="BL299" s="48"/>
      <c r="BM299" s="48"/>
      <c r="BN299" s="48"/>
      <c r="BO299" s="48"/>
      <c r="BP299" s="48"/>
      <c r="BQ299" s="48"/>
      <c r="BR299" s="48"/>
      <c r="BS299" s="48"/>
      <c r="BT299" s="48"/>
      <c r="BU299" s="48"/>
    </row>
    <row r="300" ht="15.75" customHeight="1">
      <c r="A300" s="48"/>
      <c r="B300" s="48"/>
      <c r="C300" s="48"/>
      <c r="D300" s="48"/>
      <c r="E300" s="27"/>
      <c r="F300" s="48"/>
      <c r="G300" s="48"/>
      <c r="H300" s="56"/>
      <c r="I300" s="56"/>
      <c r="J300" s="56"/>
      <c r="K300" s="56"/>
      <c r="L300" s="56"/>
      <c r="M300" s="56"/>
      <c r="N300" s="56"/>
      <c r="O300" s="56"/>
      <c r="P300" s="56"/>
      <c r="Q300" s="56"/>
      <c r="R300" s="56"/>
      <c r="S300" s="56"/>
      <c r="T300" s="56"/>
      <c r="U300" s="56"/>
      <c r="V300" s="56"/>
      <c r="W300" s="27"/>
      <c r="X300" s="56"/>
      <c r="Y300" s="27"/>
      <c r="Z300" s="56"/>
      <c r="AA300" s="27"/>
      <c r="AB300" s="56"/>
      <c r="AC300" s="27"/>
      <c r="AD300" s="56"/>
      <c r="AE300" s="27"/>
      <c r="AF300" s="56"/>
      <c r="AG300" s="27"/>
      <c r="AH300" s="286"/>
      <c r="AI300" s="27"/>
      <c r="AJ300" s="56"/>
      <c r="AK300" s="27"/>
      <c r="AL300" s="56"/>
      <c r="AM300" s="27"/>
      <c r="AN300" s="56"/>
      <c r="AO300" s="27"/>
      <c r="AP300" s="56"/>
      <c r="AQ300" s="27"/>
      <c r="AR300" s="56"/>
      <c r="AS300" s="27"/>
      <c r="AT300" s="56"/>
      <c r="AU300" s="27"/>
      <c r="AV300" s="56"/>
      <c r="AW300" s="27"/>
      <c r="AX300" s="56"/>
      <c r="AY300" s="27"/>
      <c r="AZ300" s="56"/>
      <c r="BA300" s="27"/>
      <c r="BB300" s="48"/>
      <c r="BC300" s="48"/>
      <c r="BD300" s="48"/>
      <c r="BE300" s="48"/>
      <c r="BF300" s="48"/>
      <c r="BG300" s="48"/>
      <c r="BH300" s="48"/>
      <c r="BI300" s="48"/>
      <c r="BJ300" s="48"/>
      <c r="BK300" s="48"/>
      <c r="BL300" s="48"/>
      <c r="BM300" s="48"/>
      <c r="BN300" s="48"/>
      <c r="BO300" s="48"/>
      <c r="BP300" s="48"/>
      <c r="BQ300" s="48"/>
      <c r="BR300" s="48"/>
      <c r="BS300" s="48"/>
      <c r="BT300" s="48"/>
      <c r="BU300" s="48"/>
    </row>
    <row r="301" ht="15.75" customHeight="1">
      <c r="A301" s="48"/>
      <c r="B301" s="48"/>
      <c r="C301" s="48"/>
      <c r="D301" s="48"/>
      <c r="E301" s="27"/>
      <c r="F301" s="48"/>
      <c r="G301" s="48"/>
      <c r="H301" s="56"/>
      <c r="I301" s="56"/>
      <c r="J301" s="56"/>
      <c r="K301" s="56"/>
      <c r="L301" s="56"/>
      <c r="M301" s="56"/>
      <c r="N301" s="56"/>
      <c r="O301" s="56"/>
      <c r="P301" s="56"/>
      <c r="Q301" s="56"/>
      <c r="R301" s="56"/>
      <c r="S301" s="56"/>
      <c r="T301" s="56"/>
      <c r="U301" s="56"/>
      <c r="V301" s="56"/>
      <c r="W301" s="27"/>
      <c r="X301" s="56"/>
      <c r="Y301" s="27"/>
      <c r="Z301" s="56"/>
      <c r="AA301" s="27"/>
      <c r="AB301" s="56"/>
      <c r="AC301" s="27"/>
      <c r="AD301" s="56"/>
      <c r="AE301" s="27"/>
      <c r="AF301" s="56"/>
      <c r="AG301" s="27"/>
      <c r="AH301" s="286"/>
      <c r="AI301" s="27"/>
      <c r="AJ301" s="56"/>
      <c r="AK301" s="27"/>
      <c r="AL301" s="56"/>
      <c r="AM301" s="27"/>
      <c r="AN301" s="56"/>
      <c r="AO301" s="27"/>
      <c r="AP301" s="56"/>
      <c r="AQ301" s="27"/>
      <c r="AR301" s="56"/>
      <c r="AS301" s="27"/>
      <c r="AT301" s="56"/>
      <c r="AU301" s="27"/>
      <c r="AV301" s="56"/>
      <c r="AW301" s="27"/>
      <c r="AX301" s="56"/>
      <c r="AY301" s="27"/>
      <c r="AZ301" s="56"/>
      <c r="BA301" s="27"/>
      <c r="BB301" s="48"/>
      <c r="BC301" s="48"/>
      <c r="BD301" s="48"/>
      <c r="BE301" s="48"/>
      <c r="BF301" s="48"/>
      <c r="BG301" s="48"/>
      <c r="BH301" s="48"/>
      <c r="BI301" s="48"/>
      <c r="BJ301" s="48"/>
      <c r="BK301" s="48"/>
      <c r="BL301" s="48"/>
      <c r="BM301" s="48"/>
      <c r="BN301" s="48"/>
      <c r="BO301" s="48"/>
      <c r="BP301" s="48"/>
      <c r="BQ301" s="48"/>
      <c r="BR301" s="48"/>
      <c r="BS301" s="48"/>
      <c r="BT301" s="48"/>
      <c r="BU301" s="48"/>
    </row>
    <row r="302" ht="15.75" customHeight="1">
      <c r="A302" s="48"/>
      <c r="B302" s="48"/>
      <c r="C302" s="48"/>
      <c r="D302" s="48"/>
      <c r="E302" s="27"/>
      <c r="F302" s="48"/>
      <c r="G302" s="48"/>
      <c r="H302" s="56"/>
      <c r="I302" s="56"/>
      <c r="J302" s="56"/>
      <c r="K302" s="56"/>
      <c r="L302" s="56"/>
      <c r="M302" s="56"/>
      <c r="N302" s="56"/>
      <c r="O302" s="56"/>
      <c r="P302" s="56"/>
      <c r="Q302" s="56"/>
      <c r="R302" s="56"/>
      <c r="S302" s="56"/>
      <c r="T302" s="56"/>
      <c r="U302" s="56"/>
      <c r="V302" s="56"/>
      <c r="W302" s="27"/>
      <c r="X302" s="56"/>
      <c r="Y302" s="27"/>
      <c r="Z302" s="56"/>
      <c r="AA302" s="27"/>
      <c r="AB302" s="56"/>
      <c r="AC302" s="27"/>
      <c r="AD302" s="56"/>
      <c r="AE302" s="27"/>
      <c r="AF302" s="56"/>
      <c r="AG302" s="27"/>
      <c r="AH302" s="286"/>
      <c r="AI302" s="27"/>
      <c r="AJ302" s="56"/>
      <c r="AK302" s="27"/>
      <c r="AL302" s="56"/>
      <c r="AM302" s="27"/>
      <c r="AN302" s="56"/>
      <c r="AO302" s="27"/>
      <c r="AP302" s="56"/>
      <c r="AQ302" s="27"/>
      <c r="AR302" s="56"/>
      <c r="AS302" s="27"/>
      <c r="AT302" s="56"/>
      <c r="AU302" s="27"/>
      <c r="AV302" s="56"/>
      <c r="AW302" s="27"/>
      <c r="AX302" s="56"/>
      <c r="AY302" s="27"/>
      <c r="AZ302" s="56"/>
      <c r="BA302" s="27"/>
      <c r="BB302" s="48"/>
      <c r="BC302" s="48"/>
      <c r="BD302" s="48"/>
      <c r="BE302" s="48"/>
      <c r="BF302" s="48"/>
      <c r="BG302" s="48"/>
      <c r="BH302" s="48"/>
      <c r="BI302" s="48"/>
      <c r="BJ302" s="48"/>
      <c r="BK302" s="48"/>
      <c r="BL302" s="48"/>
      <c r="BM302" s="48"/>
      <c r="BN302" s="48"/>
      <c r="BO302" s="48"/>
      <c r="BP302" s="48"/>
      <c r="BQ302" s="48"/>
      <c r="BR302" s="48"/>
      <c r="BS302" s="48"/>
      <c r="BT302" s="48"/>
      <c r="BU302" s="48"/>
    </row>
    <row r="303" ht="15.75" customHeight="1">
      <c r="A303" s="48"/>
      <c r="B303" s="48"/>
      <c r="C303" s="48"/>
      <c r="D303" s="48"/>
      <c r="E303" s="27"/>
      <c r="F303" s="48"/>
      <c r="G303" s="48"/>
      <c r="H303" s="56"/>
      <c r="I303" s="56"/>
      <c r="J303" s="56"/>
      <c r="K303" s="56"/>
      <c r="L303" s="56"/>
      <c r="M303" s="56"/>
      <c r="N303" s="56"/>
      <c r="O303" s="56"/>
      <c r="P303" s="56"/>
      <c r="Q303" s="56"/>
      <c r="R303" s="56"/>
      <c r="S303" s="56"/>
      <c r="T303" s="56"/>
      <c r="U303" s="56"/>
      <c r="V303" s="56"/>
      <c r="W303" s="27"/>
      <c r="X303" s="56"/>
      <c r="Y303" s="27"/>
      <c r="Z303" s="56"/>
      <c r="AA303" s="27"/>
      <c r="AB303" s="56"/>
      <c r="AC303" s="27"/>
      <c r="AD303" s="56"/>
      <c r="AE303" s="27"/>
      <c r="AF303" s="56"/>
      <c r="AG303" s="27"/>
      <c r="AH303" s="286"/>
      <c r="AI303" s="27"/>
      <c r="AJ303" s="56"/>
      <c r="AK303" s="27"/>
      <c r="AL303" s="56"/>
      <c r="AM303" s="27"/>
      <c r="AN303" s="56"/>
      <c r="AO303" s="27"/>
      <c r="AP303" s="56"/>
      <c r="AQ303" s="27"/>
      <c r="AR303" s="56"/>
      <c r="AS303" s="27"/>
      <c r="AT303" s="56"/>
      <c r="AU303" s="27"/>
      <c r="AV303" s="56"/>
      <c r="AW303" s="27"/>
      <c r="AX303" s="56"/>
      <c r="AY303" s="27"/>
      <c r="AZ303" s="56"/>
      <c r="BA303" s="27"/>
      <c r="BB303" s="48"/>
      <c r="BC303" s="48"/>
      <c r="BD303" s="48"/>
      <c r="BE303" s="48"/>
      <c r="BF303" s="48"/>
      <c r="BG303" s="48"/>
      <c r="BH303" s="48"/>
      <c r="BI303" s="48"/>
      <c r="BJ303" s="48"/>
      <c r="BK303" s="48"/>
      <c r="BL303" s="48"/>
      <c r="BM303" s="48"/>
      <c r="BN303" s="48"/>
      <c r="BO303" s="48"/>
      <c r="BP303" s="48"/>
      <c r="BQ303" s="48"/>
      <c r="BR303" s="48"/>
      <c r="BS303" s="48"/>
      <c r="BT303" s="48"/>
      <c r="BU303" s="48"/>
    </row>
    <row r="304" ht="15.75" customHeight="1">
      <c r="A304" s="48"/>
      <c r="B304" s="48"/>
      <c r="C304" s="48"/>
      <c r="D304" s="48"/>
      <c r="E304" s="27"/>
      <c r="F304" s="48"/>
      <c r="G304" s="48"/>
      <c r="H304" s="56"/>
      <c r="I304" s="56"/>
      <c r="J304" s="56"/>
      <c r="K304" s="56"/>
      <c r="L304" s="56"/>
      <c r="M304" s="56"/>
      <c r="N304" s="56"/>
      <c r="O304" s="56"/>
      <c r="P304" s="56"/>
      <c r="Q304" s="56"/>
      <c r="R304" s="56"/>
      <c r="S304" s="56"/>
      <c r="T304" s="56"/>
      <c r="U304" s="56"/>
      <c r="V304" s="56"/>
      <c r="W304" s="27"/>
      <c r="X304" s="56"/>
      <c r="Y304" s="27"/>
      <c r="Z304" s="56"/>
      <c r="AA304" s="27"/>
      <c r="AB304" s="56"/>
      <c r="AC304" s="27"/>
      <c r="AD304" s="56"/>
      <c r="AE304" s="27"/>
      <c r="AF304" s="56"/>
      <c r="AG304" s="27"/>
      <c r="AH304" s="286"/>
      <c r="AI304" s="27"/>
      <c r="AJ304" s="56"/>
      <c r="AK304" s="27"/>
      <c r="AL304" s="56"/>
      <c r="AM304" s="27"/>
      <c r="AN304" s="56"/>
      <c r="AO304" s="27"/>
      <c r="AP304" s="56"/>
      <c r="AQ304" s="27"/>
      <c r="AR304" s="56"/>
      <c r="AS304" s="27"/>
      <c r="AT304" s="56"/>
      <c r="AU304" s="27"/>
      <c r="AV304" s="56"/>
      <c r="AW304" s="27"/>
      <c r="AX304" s="56"/>
      <c r="AY304" s="27"/>
      <c r="AZ304" s="56"/>
      <c r="BA304" s="27"/>
      <c r="BB304" s="48"/>
      <c r="BC304" s="48"/>
      <c r="BD304" s="48"/>
      <c r="BE304" s="48"/>
      <c r="BF304" s="48"/>
      <c r="BG304" s="48"/>
      <c r="BH304" s="48"/>
      <c r="BI304" s="48"/>
      <c r="BJ304" s="48"/>
      <c r="BK304" s="48"/>
      <c r="BL304" s="48"/>
      <c r="BM304" s="48"/>
      <c r="BN304" s="48"/>
      <c r="BO304" s="48"/>
      <c r="BP304" s="48"/>
      <c r="BQ304" s="48"/>
      <c r="BR304" s="48"/>
      <c r="BS304" s="48"/>
      <c r="BT304" s="48"/>
      <c r="BU304" s="48"/>
    </row>
    <row r="305" ht="15.75" customHeight="1">
      <c r="A305" s="48"/>
      <c r="B305" s="48"/>
      <c r="C305" s="48"/>
      <c r="D305" s="48"/>
      <c r="E305" s="27"/>
      <c r="F305" s="48"/>
      <c r="G305" s="48"/>
      <c r="H305" s="56"/>
      <c r="I305" s="56"/>
      <c r="J305" s="56"/>
      <c r="K305" s="56"/>
      <c r="L305" s="56"/>
      <c r="M305" s="56"/>
      <c r="N305" s="56"/>
      <c r="O305" s="56"/>
      <c r="P305" s="56"/>
      <c r="Q305" s="56"/>
      <c r="R305" s="56"/>
      <c r="S305" s="56"/>
      <c r="T305" s="56"/>
      <c r="U305" s="56"/>
      <c r="V305" s="56"/>
      <c r="W305" s="27"/>
      <c r="X305" s="56"/>
      <c r="Y305" s="27"/>
      <c r="Z305" s="56"/>
      <c r="AA305" s="27"/>
      <c r="AB305" s="56"/>
      <c r="AC305" s="27"/>
      <c r="AD305" s="56"/>
      <c r="AE305" s="27"/>
      <c r="AF305" s="56"/>
      <c r="AG305" s="27"/>
      <c r="AH305" s="286"/>
      <c r="AI305" s="27"/>
      <c r="AJ305" s="56"/>
      <c r="AK305" s="27"/>
      <c r="AL305" s="56"/>
      <c r="AM305" s="27"/>
      <c r="AN305" s="56"/>
      <c r="AO305" s="27"/>
      <c r="AP305" s="56"/>
      <c r="AQ305" s="27"/>
      <c r="AR305" s="56"/>
      <c r="AS305" s="27"/>
      <c r="AT305" s="56"/>
      <c r="AU305" s="27"/>
      <c r="AV305" s="56"/>
      <c r="AW305" s="27"/>
      <c r="AX305" s="56"/>
      <c r="AY305" s="27"/>
      <c r="AZ305" s="56"/>
      <c r="BA305" s="27"/>
      <c r="BB305" s="48"/>
      <c r="BC305" s="48"/>
      <c r="BD305" s="48"/>
      <c r="BE305" s="48"/>
      <c r="BF305" s="48"/>
      <c r="BG305" s="48"/>
      <c r="BH305" s="48"/>
      <c r="BI305" s="48"/>
      <c r="BJ305" s="48"/>
      <c r="BK305" s="48"/>
      <c r="BL305" s="48"/>
      <c r="BM305" s="48"/>
      <c r="BN305" s="48"/>
      <c r="BO305" s="48"/>
      <c r="BP305" s="48"/>
      <c r="BQ305" s="48"/>
      <c r="BR305" s="48"/>
      <c r="BS305" s="48"/>
      <c r="BT305" s="48"/>
      <c r="BU305" s="48"/>
    </row>
    <row r="306" ht="15.75" customHeight="1">
      <c r="A306" s="48"/>
      <c r="B306" s="48"/>
      <c r="C306" s="48"/>
      <c r="D306" s="48"/>
      <c r="E306" s="27"/>
      <c r="F306" s="48"/>
      <c r="G306" s="48"/>
      <c r="H306" s="56"/>
      <c r="I306" s="56"/>
      <c r="J306" s="56"/>
      <c r="K306" s="56"/>
      <c r="L306" s="56"/>
      <c r="M306" s="56"/>
      <c r="N306" s="56"/>
      <c r="O306" s="56"/>
      <c r="P306" s="56"/>
      <c r="Q306" s="56"/>
      <c r="R306" s="56"/>
      <c r="S306" s="56"/>
      <c r="T306" s="56"/>
      <c r="U306" s="56"/>
      <c r="V306" s="56"/>
      <c r="W306" s="27"/>
      <c r="X306" s="56"/>
      <c r="Y306" s="27"/>
      <c r="Z306" s="56"/>
      <c r="AA306" s="27"/>
      <c r="AB306" s="56"/>
      <c r="AC306" s="27"/>
      <c r="AD306" s="56"/>
      <c r="AE306" s="27"/>
      <c r="AF306" s="56"/>
      <c r="AG306" s="27"/>
      <c r="AH306" s="286"/>
      <c r="AI306" s="27"/>
      <c r="AJ306" s="56"/>
      <c r="AK306" s="27"/>
      <c r="AL306" s="56"/>
      <c r="AM306" s="27"/>
      <c r="AN306" s="56"/>
      <c r="AO306" s="27"/>
      <c r="AP306" s="56"/>
      <c r="AQ306" s="27"/>
      <c r="AR306" s="56"/>
      <c r="AS306" s="27"/>
      <c r="AT306" s="56"/>
      <c r="AU306" s="27"/>
      <c r="AV306" s="56"/>
      <c r="AW306" s="27"/>
      <c r="AX306" s="56"/>
      <c r="AY306" s="27"/>
      <c r="AZ306" s="56"/>
      <c r="BA306" s="27"/>
      <c r="BB306" s="48"/>
      <c r="BC306" s="48"/>
      <c r="BD306" s="48"/>
      <c r="BE306" s="48"/>
      <c r="BF306" s="48"/>
      <c r="BG306" s="48"/>
      <c r="BH306" s="48"/>
      <c r="BI306" s="48"/>
      <c r="BJ306" s="48"/>
      <c r="BK306" s="48"/>
      <c r="BL306" s="48"/>
      <c r="BM306" s="48"/>
      <c r="BN306" s="48"/>
      <c r="BO306" s="48"/>
      <c r="BP306" s="48"/>
      <c r="BQ306" s="48"/>
      <c r="BR306" s="48"/>
      <c r="BS306" s="48"/>
      <c r="BT306" s="48"/>
      <c r="BU306" s="48"/>
    </row>
    <row r="307" ht="15.75" customHeight="1">
      <c r="A307" s="48"/>
      <c r="B307" s="48"/>
      <c r="C307" s="48"/>
      <c r="D307" s="48"/>
      <c r="E307" s="27"/>
      <c r="F307" s="48"/>
      <c r="G307" s="48"/>
      <c r="H307" s="56"/>
      <c r="I307" s="56"/>
      <c r="J307" s="56"/>
      <c r="K307" s="56"/>
      <c r="L307" s="56"/>
      <c r="M307" s="56"/>
      <c r="N307" s="56"/>
      <c r="O307" s="56"/>
      <c r="P307" s="56"/>
      <c r="Q307" s="56"/>
      <c r="R307" s="56"/>
      <c r="S307" s="56"/>
      <c r="T307" s="56"/>
      <c r="U307" s="56"/>
      <c r="V307" s="56"/>
      <c r="W307" s="27"/>
      <c r="X307" s="56"/>
      <c r="Y307" s="27"/>
      <c r="Z307" s="56"/>
      <c r="AA307" s="27"/>
      <c r="AB307" s="56"/>
      <c r="AC307" s="27"/>
      <c r="AD307" s="56"/>
      <c r="AE307" s="27"/>
      <c r="AF307" s="56"/>
      <c r="AG307" s="27"/>
      <c r="AH307" s="286"/>
      <c r="AI307" s="27"/>
      <c r="AJ307" s="56"/>
      <c r="AK307" s="27"/>
      <c r="AL307" s="56"/>
      <c r="AM307" s="27"/>
      <c r="AN307" s="56"/>
      <c r="AO307" s="27"/>
      <c r="AP307" s="56"/>
      <c r="AQ307" s="27"/>
      <c r="AR307" s="56"/>
      <c r="AS307" s="27"/>
      <c r="AT307" s="56"/>
      <c r="AU307" s="27"/>
      <c r="AV307" s="56"/>
      <c r="AW307" s="27"/>
      <c r="AX307" s="56"/>
      <c r="AY307" s="27"/>
      <c r="AZ307" s="56"/>
      <c r="BA307" s="27"/>
      <c r="BB307" s="48"/>
      <c r="BC307" s="48"/>
      <c r="BD307" s="48"/>
      <c r="BE307" s="48"/>
      <c r="BF307" s="48"/>
      <c r="BG307" s="48"/>
      <c r="BH307" s="48"/>
      <c r="BI307" s="48"/>
      <c r="BJ307" s="48"/>
      <c r="BK307" s="48"/>
      <c r="BL307" s="48"/>
      <c r="BM307" s="48"/>
      <c r="BN307" s="48"/>
      <c r="BO307" s="48"/>
      <c r="BP307" s="48"/>
      <c r="BQ307" s="48"/>
      <c r="BR307" s="48"/>
      <c r="BS307" s="48"/>
      <c r="BT307" s="48"/>
      <c r="BU307" s="48"/>
    </row>
    <row r="308" ht="15.75" customHeight="1">
      <c r="A308" s="48"/>
      <c r="B308" s="48"/>
      <c r="C308" s="48"/>
      <c r="D308" s="48"/>
      <c r="E308" s="27"/>
      <c r="F308" s="48"/>
      <c r="G308" s="48"/>
      <c r="H308" s="56"/>
      <c r="I308" s="56"/>
      <c r="J308" s="56"/>
      <c r="K308" s="56"/>
      <c r="L308" s="56"/>
      <c r="M308" s="56"/>
      <c r="N308" s="56"/>
      <c r="O308" s="56"/>
      <c r="P308" s="56"/>
      <c r="Q308" s="56"/>
      <c r="R308" s="56"/>
      <c r="S308" s="56"/>
      <c r="T308" s="56"/>
      <c r="U308" s="56"/>
      <c r="V308" s="56"/>
      <c r="W308" s="27"/>
      <c r="X308" s="56"/>
      <c r="Y308" s="27"/>
      <c r="Z308" s="56"/>
      <c r="AA308" s="27"/>
      <c r="AB308" s="56"/>
      <c r="AC308" s="27"/>
      <c r="AD308" s="56"/>
      <c r="AE308" s="27"/>
      <c r="AF308" s="56"/>
      <c r="AG308" s="27"/>
      <c r="AH308" s="286"/>
      <c r="AI308" s="27"/>
      <c r="AJ308" s="56"/>
      <c r="AK308" s="27"/>
      <c r="AL308" s="56"/>
      <c r="AM308" s="27"/>
      <c r="AN308" s="56"/>
      <c r="AO308" s="27"/>
      <c r="AP308" s="56"/>
      <c r="AQ308" s="27"/>
      <c r="AR308" s="56"/>
      <c r="AS308" s="27"/>
      <c r="AT308" s="56"/>
      <c r="AU308" s="27"/>
      <c r="AV308" s="56"/>
      <c r="AW308" s="27"/>
      <c r="AX308" s="56"/>
      <c r="AY308" s="27"/>
      <c r="AZ308" s="56"/>
      <c r="BA308" s="27"/>
      <c r="BB308" s="48"/>
      <c r="BC308" s="48"/>
      <c r="BD308" s="48"/>
      <c r="BE308" s="48"/>
      <c r="BF308" s="48"/>
      <c r="BG308" s="48"/>
      <c r="BH308" s="48"/>
      <c r="BI308" s="48"/>
      <c r="BJ308" s="48"/>
      <c r="BK308" s="48"/>
      <c r="BL308" s="48"/>
      <c r="BM308" s="48"/>
      <c r="BN308" s="48"/>
      <c r="BO308" s="48"/>
      <c r="BP308" s="48"/>
      <c r="BQ308" s="48"/>
      <c r="BR308" s="48"/>
      <c r="BS308" s="48"/>
      <c r="BT308" s="48"/>
      <c r="BU308" s="48"/>
    </row>
    <row r="309" ht="15.75" customHeight="1">
      <c r="A309" s="48"/>
      <c r="B309" s="48"/>
      <c r="C309" s="48"/>
      <c r="D309" s="48"/>
      <c r="E309" s="27"/>
      <c r="F309" s="48"/>
      <c r="G309" s="48"/>
      <c r="H309" s="56"/>
      <c r="I309" s="56"/>
      <c r="J309" s="56"/>
      <c r="K309" s="56"/>
      <c r="L309" s="56"/>
      <c r="M309" s="56"/>
      <c r="N309" s="56"/>
      <c r="O309" s="56"/>
      <c r="P309" s="56"/>
      <c r="Q309" s="56"/>
      <c r="R309" s="56"/>
      <c r="S309" s="56"/>
      <c r="T309" s="56"/>
      <c r="U309" s="56"/>
      <c r="V309" s="56"/>
      <c r="W309" s="27"/>
      <c r="X309" s="56"/>
      <c r="Y309" s="27"/>
      <c r="Z309" s="56"/>
      <c r="AA309" s="27"/>
      <c r="AB309" s="56"/>
      <c r="AC309" s="27"/>
      <c r="AD309" s="56"/>
      <c r="AE309" s="27"/>
      <c r="AF309" s="56"/>
      <c r="AG309" s="27"/>
      <c r="AH309" s="286"/>
      <c r="AI309" s="27"/>
      <c r="AJ309" s="56"/>
      <c r="AK309" s="27"/>
      <c r="AL309" s="56"/>
      <c r="AM309" s="27"/>
      <c r="AN309" s="56"/>
      <c r="AO309" s="27"/>
      <c r="AP309" s="56"/>
      <c r="AQ309" s="27"/>
      <c r="AR309" s="56"/>
      <c r="AS309" s="27"/>
      <c r="AT309" s="56"/>
      <c r="AU309" s="27"/>
      <c r="AV309" s="56"/>
      <c r="AW309" s="27"/>
      <c r="AX309" s="56"/>
      <c r="AY309" s="27"/>
      <c r="AZ309" s="56"/>
      <c r="BA309" s="27"/>
      <c r="BB309" s="48"/>
      <c r="BC309" s="48"/>
      <c r="BD309" s="48"/>
      <c r="BE309" s="48"/>
      <c r="BF309" s="48"/>
      <c r="BG309" s="48"/>
      <c r="BH309" s="48"/>
      <c r="BI309" s="48"/>
      <c r="BJ309" s="48"/>
      <c r="BK309" s="48"/>
      <c r="BL309" s="48"/>
      <c r="BM309" s="48"/>
      <c r="BN309" s="48"/>
      <c r="BO309" s="48"/>
      <c r="BP309" s="48"/>
      <c r="BQ309" s="48"/>
      <c r="BR309" s="48"/>
      <c r="BS309" s="48"/>
      <c r="BT309" s="48"/>
      <c r="BU309" s="48"/>
    </row>
    <row r="310" ht="15.75" customHeight="1">
      <c r="A310" s="48"/>
      <c r="B310" s="48"/>
      <c r="C310" s="48"/>
      <c r="D310" s="48"/>
      <c r="E310" s="27"/>
      <c r="F310" s="48"/>
      <c r="G310" s="48"/>
      <c r="H310" s="56"/>
      <c r="I310" s="56"/>
      <c r="J310" s="56"/>
      <c r="K310" s="56"/>
      <c r="L310" s="56"/>
      <c r="M310" s="56"/>
      <c r="N310" s="56"/>
      <c r="O310" s="56"/>
      <c r="P310" s="56"/>
      <c r="Q310" s="56"/>
      <c r="R310" s="56"/>
      <c r="S310" s="56"/>
      <c r="T310" s="56"/>
      <c r="U310" s="56"/>
      <c r="V310" s="56"/>
      <c r="W310" s="27"/>
      <c r="X310" s="56"/>
      <c r="Y310" s="27"/>
      <c r="Z310" s="56"/>
      <c r="AA310" s="27"/>
      <c r="AB310" s="56"/>
      <c r="AC310" s="27"/>
      <c r="AD310" s="56"/>
      <c r="AE310" s="27"/>
      <c r="AF310" s="56"/>
      <c r="AG310" s="27"/>
      <c r="AH310" s="286"/>
      <c r="AI310" s="27"/>
      <c r="AJ310" s="56"/>
      <c r="AK310" s="27"/>
      <c r="AL310" s="56"/>
      <c r="AM310" s="27"/>
      <c r="AN310" s="56"/>
      <c r="AO310" s="27"/>
      <c r="AP310" s="56"/>
      <c r="AQ310" s="27"/>
      <c r="AR310" s="56"/>
      <c r="AS310" s="27"/>
      <c r="AT310" s="56"/>
      <c r="AU310" s="27"/>
      <c r="AV310" s="56"/>
      <c r="AW310" s="27"/>
      <c r="AX310" s="56"/>
      <c r="AY310" s="27"/>
      <c r="AZ310" s="56"/>
      <c r="BA310" s="27"/>
      <c r="BB310" s="48"/>
      <c r="BC310" s="48"/>
      <c r="BD310" s="48"/>
      <c r="BE310" s="48"/>
      <c r="BF310" s="48"/>
      <c r="BG310" s="48"/>
      <c r="BH310" s="48"/>
      <c r="BI310" s="48"/>
      <c r="BJ310" s="48"/>
      <c r="BK310" s="48"/>
      <c r="BL310" s="48"/>
      <c r="BM310" s="48"/>
      <c r="BN310" s="48"/>
      <c r="BO310" s="48"/>
      <c r="BP310" s="48"/>
      <c r="BQ310" s="48"/>
      <c r="BR310" s="48"/>
      <c r="BS310" s="48"/>
      <c r="BT310" s="48"/>
      <c r="BU310" s="48"/>
    </row>
    <row r="311" ht="15.75" customHeight="1">
      <c r="A311" s="48"/>
      <c r="B311" s="48"/>
      <c r="C311" s="48"/>
      <c r="D311" s="48"/>
      <c r="E311" s="27"/>
      <c r="F311" s="48"/>
      <c r="G311" s="48"/>
      <c r="H311" s="56"/>
      <c r="I311" s="56"/>
      <c r="J311" s="56"/>
      <c r="K311" s="56"/>
      <c r="L311" s="56"/>
      <c r="M311" s="56"/>
      <c r="N311" s="56"/>
      <c r="O311" s="56"/>
      <c r="P311" s="56"/>
      <c r="Q311" s="56"/>
      <c r="R311" s="56"/>
      <c r="S311" s="56"/>
      <c r="T311" s="56"/>
      <c r="U311" s="56"/>
      <c r="V311" s="56"/>
      <c r="W311" s="27"/>
      <c r="X311" s="56"/>
      <c r="Y311" s="27"/>
      <c r="Z311" s="56"/>
      <c r="AA311" s="27"/>
      <c r="AB311" s="56"/>
      <c r="AC311" s="27"/>
      <c r="AD311" s="56"/>
      <c r="AE311" s="27"/>
      <c r="AF311" s="56"/>
      <c r="AG311" s="27"/>
      <c r="AH311" s="286"/>
      <c r="AI311" s="27"/>
      <c r="AJ311" s="56"/>
      <c r="AK311" s="27"/>
      <c r="AL311" s="56"/>
      <c r="AM311" s="27"/>
      <c r="AN311" s="56"/>
      <c r="AO311" s="27"/>
      <c r="AP311" s="56"/>
      <c r="AQ311" s="27"/>
      <c r="AR311" s="56"/>
      <c r="AS311" s="27"/>
      <c r="AT311" s="56"/>
      <c r="AU311" s="27"/>
      <c r="AV311" s="56"/>
      <c r="AW311" s="27"/>
      <c r="AX311" s="56"/>
      <c r="AY311" s="27"/>
      <c r="AZ311" s="56"/>
      <c r="BA311" s="27"/>
      <c r="BB311" s="48"/>
      <c r="BC311" s="48"/>
      <c r="BD311" s="48"/>
      <c r="BE311" s="48"/>
      <c r="BF311" s="48"/>
      <c r="BG311" s="48"/>
      <c r="BH311" s="48"/>
      <c r="BI311" s="48"/>
      <c r="BJ311" s="48"/>
      <c r="BK311" s="48"/>
      <c r="BL311" s="48"/>
      <c r="BM311" s="48"/>
      <c r="BN311" s="48"/>
      <c r="BO311" s="48"/>
      <c r="BP311" s="48"/>
      <c r="BQ311" s="48"/>
      <c r="BR311" s="48"/>
      <c r="BS311" s="48"/>
      <c r="BT311" s="48"/>
      <c r="BU311" s="48"/>
    </row>
    <row r="312" ht="15.75" customHeight="1">
      <c r="A312" s="48"/>
      <c r="B312" s="48"/>
      <c r="C312" s="48"/>
      <c r="D312" s="48"/>
      <c r="E312" s="27"/>
      <c r="F312" s="48"/>
      <c r="G312" s="48"/>
      <c r="H312" s="56"/>
      <c r="I312" s="56"/>
      <c r="J312" s="56"/>
      <c r="K312" s="56"/>
      <c r="L312" s="56"/>
      <c r="M312" s="56"/>
      <c r="N312" s="56"/>
      <c r="O312" s="56"/>
      <c r="P312" s="56"/>
      <c r="Q312" s="56"/>
      <c r="R312" s="56"/>
      <c r="S312" s="56"/>
      <c r="T312" s="56"/>
      <c r="U312" s="56"/>
      <c r="V312" s="56"/>
      <c r="W312" s="27"/>
      <c r="X312" s="56"/>
      <c r="Y312" s="27"/>
      <c r="Z312" s="56"/>
      <c r="AA312" s="27"/>
      <c r="AB312" s="56"/>
      <c r="AC312" s="27"/>
      <c r="AD312" s="56"/>
      <c r="AE312" s="27"/>
      <c r="AF312" s="56"/>
      <c r="AG312" s="27"/>
      <c r="AH312" s="286"/>
      <c r="AI312" s="27"/>
      <c r="AJ312" s="56"/>
      <c r="AK312" s="27"/>
      <c r="AL312" s="56"/>
      <c r="AM312" s="27"/>
      <c r="AN312" s="56"/>
      <c r="AO312" s="27"/>
      <c r="AP312" s="56"/>
      <c r="AQ312" s="27"/>
      <c r="AR312" s="56"/>
      <c r="AS312" s="27"/>
      <c r="AT312" s="56"/>
      <c r="AU312" s="27"/>
      <c r="AV312" s="56"/>
      <c r="AW312" s="27"/>
      <c r="AX312" s="56"/>
      <c r="AY312" s="27"/>
      <c r="AZ312" s="56"/>
      <c r="BA312" s="27"/>
      <c r="BB312" s="48"/>
      <c r="BC312" s="48"/>
      <c r="BD312" s="48"/>
      <c r="BE312" s="48"/>
      <c r="BF312" s="48"/>
      <c r="BG312" s="48"/>
      <c r="BH312" s="48"/>
      <c r="BI312" s="48"/>
      <c r="BJ312" s="48"/>
      <c r="BK312" s="48"/>
      <c r="BL312" s="48"/>
      <c r="BM312" s="48"/>
      <c r="BN312" s="48"/>
      <c r="BO312" s="48"/>
      <c r="BP312" s="48"/>
      <c r="BQ312" s="48"/>
      <c r="BR312" s="48"/>
      <c r="BS312" s="48"/>
      <c r="BT312" s="48"/>
      <c r="BU312" s="48"/>
    </row>
    <row r="313" ht="15.75" customHeight="1">
      <c r="A313" s="48"/>
      <c r="B313" s="48"/>
      <c r="C313" s="48"/>
      <c r="D313" s="48"/>
      <c r="E313" s="27"/>
      <c r="F313" s="48"/>
      <c r="G313" s="48"/>
      <c r="H313" s="56"/>
      <c r="I313" s="56"/>
      <c r="J313" s="56"/>
      <c r="K313" s="56"/>
      <c r="L313" s="56"/>
      <c r="M313" s="56"/>
      <c r="N313" s="56"/>
      <c r="O313" s="56"/>
      <c r="P313" s="56"/>
      <c r="Q313" s="56"/>
      <c r="R313" s="56"/>
      <c r="S313" s="56"/>
      <c r="T313" s="56"/>
      <c r="U313" s="56"/>
      <c r="V313" s="56"/>
      <c r="W313" s="27"/>
      <c r="X313" s="56"/>
      <c r="Y313" s="27"/>
      <c r="Z313" s="56"/>
      <c r="AA313" s="27"/>
      <c r="AB313" s="56"/>
      <c r="AC313" s="27"/>
      <c r="AD313" s="56"/>
      <c r="AE313" s="27"/>
      <c r="AF313" s="56"/>
      <c r="AG313" s="27"/>
      <c r="AH313" s="286"/>
      <c r="AI313" s="27"/>
      <c r="AJ313" s="56"/>
      <c r="AK313" s="27"/>
      <c r="AL313" s="56"/>
      <c r="AM313" s="27"/>
      <c r="AN313" s="56"/>
      <c r="AO313" s="27"/>
      <c r="AP313" s="56"/>
      <c r="AQ313" s="27"/>
      <c r="AR313" s="56"/>
      <c r="AS313" s="27"/>
      <c r="AT313" s="56"/>
      <c r="AU313" s="27"/>
      <c r="AV313" s="56"/>
      <c r="AW313" s="27"/>
      <c r="AX313" s="56"/>
      <c r="AY313" s="27"/>
      <c r="AZ313" s="56"/>
      <c r="BA313" s="27"/>
      <c r="BB313" s="48"/>
      <c r="BC313" s="48"/>
      <c r="BD313" s="48"/>
      <c r="BE313" s="48"/>
      <c r="BF313" s="48"/>
      <c r="BG313" s="48"/>
      <c r="BH313" s="48"/>
      <c r="BI313" s="48"/>
      <c r="BJ313" s="48"/>
      <c r="BK313" s="48"/>
      <c r="BL313" s="48"/>
      <c r="BM313" s="48"/>
      <c r="BN313" s="48"/>
      <c r="BO313" s="48"/>
      <c r="BP313" s="48"/>
      <c r="BQ313" s="48"/>
      <c r="BR313" s="48"/>
      <c r="BS313" s="48"/>
      <c r="BT313" s="48"/>
      <c r="BU313" s="48"/>
    </row>
    <row r="314" ht="15.75" customHeight="1">
      <c r="A314" s="48"/>
      <c r="B314" s="48"/>
      <c r="C314" s="48"/>
      <c r="D314" s="48"/>
      <c r="E314" s="27"/>
      <c r="F314" s="48"/>
      <c r="G314" s="48"/>
      <c r="H314" s="56"/>
      <c r="I314" s="56"/>
      <c r="J314" s="56"/>
      <c r="K314" s="56"/>
      <c r="L314" s="56"/>
      <c r="M314" s="56"/>
      <c r="N314" s="56"/>
      <c r="O314" s="56"/>
      <c r="P314" s="56"/>
      <c r="Q314" s="56"/>
      <c r="R314" s="56"/>
      <c r="S314" s="56"/>
      <c r="T314" s="56"/>
      <c r="U314" s="56"/>
      <c r="V314" s="56"/>
      <c r="W314" s="27"/>
      <c r="X314" s="56"/>
      <c r="Y314" s="27"/>
      <c r="Z314" s="56"/>
      <c r="AA314" s="27"/>
      <c r="AB314" s="56"/>
      <c r="AC314" s="27"/>
      <c r="AD314" s="56"/>
      <c r="AE314" s="27"/>
      <c r="AF314" s="56"/>
      <c r="AG314" s="27"/>
      <c r="AH314" s="286"/>
      <c r="AI314" s="27"/>
      <c r="AJ314" s="56"/>
      <c r="AK314" s="27"/>
      <c r="AL314" s="56"/>
      <c r="AM314" s="27"/>
      <c r="AN314" s="56"/>
      <c r="AO314" s="27"/>
      <c r="AP314" s="56"/>
      <c r="AQ314" s="27"/>
      <c r="AR314" s="56"/>
      <c r="AS314" s="27"/>
      <c r="AT314" s="56"/>
      <c r="AU314" s="27"/>
      <c r="AV314" s="56"/>
      <c r="AW314" s="27"/>
      <c r="AX314" s="56"/>
      <c r="AY314" s="27"/>
      <c r="AZ314" s="56"/>
      <c r="BA314" s="27"/>
      <c r="BB314" s="48"/>
      <c r="BC314" s="48"/>
      <c r="BD314" s="48"/>
      <c r="BE314" s="48"/>
      <c r="BF314" s="48"/>
      <c r="BG314" s="48"/>
      <c r="BH314" s="48"/>
      <c r="BI314" s="48"/>
      <c r="BJ314" s="48"/>
      <c r="BK314" s="48"/>
      <c r="BL314" s="48"/>
      <c r="BM314" s="48"/>
      <c r="BN314" s="48"/>
      <c r="BO314" s="48"/>
      <c r="BP314" s="48"/>
      <c r="BQ314" s="48"/>
      <c r="BR314" s="48"/>
      <c r="BS314" s="48"/>
      <c r="BT314" s="48"/>
      <c r="BU314" s="48"/>
    </row>
    <row r="315" ht="15.75" customHeight="1">
      <c r="A315" s="48"/>
      <c r="B315" s="48"/>
      <c r="C315" s="48"/>
      <c r="D315" s="48"/>
      <c r="E315" s="27"/>
      <c r="F315" s="48"/>
      <c r="G315" s="48"/>
      <c r="H315" s="56"/>
      <c r="I315" s="56"/>
      <c r="J315" s="56"/>
      <c r="K315" s="56"/>
      <c r="L315" s="56"/>
      <c r="M315" s="56"/>
      <c r="N315" s="56"/>
      <c r="O315" s="56"/>
      <c r="P315" s="56"/>
      <c r="Q315" s="56"/>
      <c r="R315" s="56"/>
      <c r="S315" s="56"/>
      <c r="T315" s="56"/>
      <c r="U315" s="56"/>
      <c r="V315" s="56"/>
      <c r="W315" s="27"/>
      <c r="X315" s="56"/>
      <c r="Y315" s="27"/>
      <c r="Z315" s="56"/>
      <c r="AA315" s="27"/>
      <c r="AB315" s="56"/>
      <c r="AC315" s="27"/>
      <c r="AD315" s="56"/>
      <c r="AE315" s="27"/>
      <c r="AF315" s="56"/>
      <c r="AG315" s="27"/>
      <c r="AH315" s="286"/>
      <c r="AI315" s="27"/>
      <c r="AJ315" s="56"/>
      <c r="AK315" s="27"/>
      <c r="AL315" s="56"/>
      <c r="AM315" s="27"/>
      <c r="AN315" s="56"/>
      <c r="AO315" s="27"/>
      <c r="AP315" s="56"/>
      <c r="AQ315" s="27"/>
      <c r="AR315" s="56"/>
      <c r="AS315" s="27"/>
      <c r="AT315" s="56"/>
      <c r="AU315" s="27"/>
      <c r="AV315" s="56"/>
      <c r="AW315" s="27"/>
      <c r="AX315" s="56"/>
      <c r="AY315" s="27"/>
      <c r="AZ315" s="56"/>
      <c r="BA315" s="27"/>
      <c r="BB315" s="48"/>
      <c r="BC315" s="48"/>
      <c r="BD315" s="48"/>
      <c r="BE315" s="48"/>
      <c r="BF315" s="48"/>
      <c r="BG315" s="48"/>
      <c r="BH315" s="48"/>
      <c r="BI315" s="48"/>
      <c r="BJ315" s="48"/>
      <c r="BK315" s="48"/>
      <c r="BL315" s="48"/>
      <c r="BM315" s="48"/>
      <c r="BN315" s="48"/>
      <c r="BO315" s="48"/>
      <c r="BP315" s="48"/>
      <c r="BQ315" s="48"/>
      <c r="BR315" s="48"/>
      <c r="BS315" s="48"/>
      <c r="BT315" s="48"/>
      <c r="BU315" s="48"/>
    </row>
    <row r="316" ht="15.75" customHeight="1">
      <c r="A316" s="48"/>
      <c r="B316" s="48"/>
      <c r="C316" s="48"/>
      <c r="D316" s="48"/>
      <c r="E316" s="27"/>
      <c r="F316" s="48"/>
      <c r="G316" s="48"/>
      <c r="H316" s="56"/>
      <c r="I316" s="56"/>
      <c r="J316" s="56"/>
      <c r="K316" s="56"/>
      <c r="L316" s="56"/>
      <c r="M316" s="56"/>
      <c r="N316" s="56"/>
      <c r="O316" s="56"/>
      <c r="P316" s="56"/>
      <c r="Q316" s="56"/>
      <c r="R316" s="56"/>
      <c r="S316" s="56"/>
      <c r="T316" s="56"/>
      <c r="U316" s="56"/>
      <c r="V316" s="56"/>
      <c r="W316" s="27"/>
      <c r="X316" s="56"/>
      <c r="Y316" s="27"/>
      <c r="Z316" s="56"/>
      <c r="AA316" s="27"/>
      <c r="AB316" s="56"/>
      <c r="AC316" s="27"/>
      <c r="AD316" s="56"/>
      <c r="AE316" s="27"/>
      <c r="AF316" s="56"/>
      <c r="AG316" s="27"/>
      <c r="AH316" s="286"/>
      <c r="AI316" s="27"/>
      <c r="AJ316" s="56"/>
      <c r="AK316" s="27"/>
      <c r="AL316" s="56"/>
      <c r="AM316" s="27"/>
      <c r="AN316" s="56"/>
      <c r="AO316" s="27"/>
      <c r="AP316" s="56"/>
      <c r="AQ316" s="27"/>
      <c r="AR316" s="56"/>
      <c r="AS316" s="27"/>
      <c r="AT316" s="56"/>
      <c r="AU316" s="27"/>
      <c r="AV316" s="56"/>
      <c r="AW316" s="27"/>
      <c r="AX316" s="56"/>
      <c r="AY316" s="27"/>
      <c r="AZ316" s="56"/>
      <c r="BA316" s="27"/>
      <c r="BB316" s="48"/>
      <c r="BC316" s="48"/>
      <c r="BD316" s="48"/>
      <c r="BE316" s="48"/>
      <c r="BF316" s="48"/>
      <c r="BG316" s="48"/>
      <c r="BH316" s="48"/>
      <c r="BI316" s="48"/>
      <c r="BJ316" s="48"/>
      <c r="BK316" s="48"/>
      <c r="BL316" s="48"/>
      <c r="BM316" s="48"/>
      <c r="BN316" s="48"/>
      <c r="BO316" s="48"/>
      <c r="BP316" s="48"/>
      <c r="BQ316" s="48"/>
      <c r="BR316" s="48"/>
      <c r="BS316" s="48"/>
      <c r="BT316" s="48"/>
      <c r="BU316" s="48"/>
    </row>
    <row r="317" ht="15.75" customHeight="1">
      <c r="A317" s="48"/>
      <c r="B317" s="48"/>
      <c r="C317" s="48"/>
      <c r="D317" s="48"/>
      <c r="E317" s="27"/>
      <c r="F317" s="48"/>
      <c r="G317" s="48"/>
      <c r="H317" s="56"/>
      <c r="I317" s="56"/>
      <c r="J317" s="56"/>
      <c r="K317" s="56"/>
      <c r="L317" s="56"/>
      <c r="M317" s="56"/>
      <c r="N317" s="56"/>
      <c r="O317" s="56"/>
      <c r="P317" s="56"/>
      <c r="Q317" s="56"/>
      <c r="R317" s="56"/>
      <c r="S317" s="56"/>
      <c r="T317" s="56"/>
      <c r="U317" s="56"/>
      <c r="V317" s="56"/>
      <c r="W317" s="27"/>
      <c r="X317" s="56"/>
      <c r="Y317" s="27"/>
      <c r="Z317" s="56"/>
      <c r="AA317" s="27"/>
      <c r="AB317" s="56"/>
      <c r="AC317" s="27"/>
      <c r="AD317" s="56"/>
      <c r="AE317" s="27"/>
      <c r="AF317" s="56"/>
      <c r="AG317" s="27"/>
      <c r="AH317" s="286"/>
      <c r="AI317" s="27"/>
      <c r="AJ317" s="56"/>
      <c r="AK317" s="27"/>
      <c r="AL317" s="56"/>
      <c r="AM317" s="27"/>
      <c r="AN317" s="56"/>
      <c r="AO317" s="27"/>
      <c r="AP317" s="56"/>
      <c r="AQ317" s="27"/>
      <c r="AR317" s="56"/>
      <c r="AS317" s="27"/>
      <c r="AT317" s="56"/>
      <c r="AU317" s="27"/>
      <c r="AV317" s="56"/>
      <c r="AW317" s="27"/>
      <c r="AX317" s="56"/>
      <c r="AY317" s="27"/>
      <c r="AZ317" s="56"/>
      <c r="BA317" s="27"/>
      <c r="BB317" s="48"/>
      <c r="BC317" s="48"/>
      <c r="BD317" s="48"/>
      <c r="BE317" s="48"/>
      <c r="BF317" s="48"/>
      <c r="BG317" s="48"/>
      <c r="BH317" s="48"/>
      <c r="BI317" s="48"/>
      <c r="BJ317" s="48"/>
      <c r="BK317" s="48"/>
      <c r="BL317" s="48"/>
      <c r="BM317" s="48"/>
      <c r="BN317" s="48"/>
      <c r="BO317" s="48"/>
      <c r="BP317" s="48"/>
      <c r="BQ317" s="48"/>
      <c r="BR317" s="48"/>
      <c r="BS317" s="48"/>
      <c r="BT317" s="48"/>
      <c r="BU317" s="48"/>
    </row>
    <row r="318" ht="15.75" customHeight="1">
      <c r="A318" s="48"/>
      <c r="B318" s="48"/>
      <c r="C318" s="48"/>
      <c r="D318" s="48"/>
      <c r="E318" s="27"/>
      <c r="F318" s="48"/>
      <c r="G318" s="48"/>
      <c r="H318" s="56"/>
      <c r="I318" s="56"/>
      <c r="J318" s="56"/>
      <c r="K318" s="56"/>
      <c r="L318" s="56"/>
      <c r="M318" s="56"/>
      <c r="N318" s="56"/>
      <c r="O318" s="56"/>
      <c r="P318" s="56"/>
      <c r="Q318" s="56"/>
      <c r="R318" s="56"/>
      <c r="S318" s="56"/>
      <c r="T318" s="56"/>
      <c r="U318" s="56"/>
      <c r="V318" s="56"/>
      <c r="W318" s="27"/>
      <c r="X318" s="56"/>
      <c r="Y318" s="27"/>
      <c r="Z318" s="56"/>
      <c r="AA318" s="27"/>
      <c r="AB318" s="56"/>
      <c r="AC318" s="27"/>
      <c r="AD318" s="56"/>
      <c r="AE318" s="27"/>
      <c r="AF318" s="56"/>
      <c r="AG318" s="27"/>
      <c r="AH318" s="286"/>
      <c r="AI318" s="27"/>
      <c r="AJ318" s="56"/>
      <c r="AK318" s="27"/>
      <c r="AL318" s="56"/>
      <c r="AM318" s="27"/>
      <c r="AN318" s="56"/>
      <c r="AO318" s="27"/>
      <c r="AP318" s="56"/>
      <c r="AQ318" s="27"/>
      <c r="AR318" s="56"/>
      <c r="AS318" s="27"/>
      <c r="AT318" s="56"/>
      <c r="AU318" s="27"/>
      <c r="AV318" s="56"/>
      <c r="AW318" s="27"/>
      <c r="AX318" s="56"/>
      <c r="AY318" s="27"/>
      <c r="AZ318" s="56"/>
      <c r="BA318" s="27"/>
      <c r="BB318" s="48"/>
      <c r="BC318" s="48"/>
      <c r="BD318" s="48"/>
      <c r="BE318" s="48"/>
      <c r="BF318" s="48"/>
      <c r="BG318" s="48"/>
      <c r="BH318" s="48"/>
      <c r="BI318" s="48"/>
      <c r="BJ318" s="48"/>
      <c r="BK318" s="48"/>
      <c r="BL318" s="48"/>
      <c r="BM318" s="48"/>
      <c r="BN318" s="48"/>
      <c r="BO318" s="48"/>
      <c r="BP318" s="48"/>
      <c r="BQ318" s="48"/>
      <c r="BR318" s="48"/>
      <c r="BS318" s="48"/>
      <c r="BT318" s="48"/>
      <c r="BU318" s="48"/>
    </row>
    <row r="319" ht="15.75" customHeight="1">
      <c r="A319" s="48"/>
      <c r="B319" s="48"/>
      <c r="C319" s="48"/>
      <c r="D319" s="48"/>
      <c r="E319" s="27"/>
      <c r="F319" s="48"/>
      <c r="G319" s="48"/>
      <c r="H319" s="56"/>
      <c r="I319" s="56"/>
      <c r="J319" s="56"/>
      <c r="K319" s="56"/>
      <c r="L319" s="56"/>
      <c r="M319" s="56"/>
      <c r="N319" s="56"/>
      <c r="O319" s="56"/>
      <c r="P319" s="56"/>
      <c r="Q319" s="56"/>
      <c r="R319" s="56"/>
      <c r="S319" s="56"/>
      <c r="T319" s="56"/>
      <c r="U319" s="56"/>
      <c r="V319" s="56"/>
      <c r="W319" s="27"/>
      <c r="X319" s="56"/>
      <c r="Y319" s="27"/>
      <c r="Z319" s="56"/>
      <c r="AA319" s="27"/>
      <c r="AB319" s="56"/>
      <c r="AC319" s="27"/>
      <c r="AD319" s="56"/>
      <c r="AE319" s="27"/>
      <c r="AF319" s="56"/>
      <c r="AG319" s="27"/>
      <c r="AH319" s="286"/>
      <c r="AI319" s="27"/>
      <c r="AJ319" s="56"/>
      <c r="AK319" s="27"/>
      <c r="AL319" s="56"/>
      <c r="AM319" s="27"/>
      <c r="AN319" s="56"/>
      <c r="AO319" s="27"/>
      <c r="AP319" s="56"/>
      <c r="AQ319" s="27"/>
      <c r="AR319" s="56"/>
      <c r="AS319" s="27"/>
      <c r="AT319" s="56"/>
      <c r="AU319" s="27"/>
      <c r="AV319" s="56"/>
      <c r="AW319" s="27"/>
      <c r="AX319" s="56"/>
      <c r="AY319" s="27"/>
      <c r="AZ319" s="56"/>
      <c r="BA319" s="27"/>
      <c r="BB319" s="48"/>
      <c r="BC319" s="48"/>
      <c r="BD319" s="48"/>
      <c r="BE319" s="48"/>
      <c r="BF319" s="48"/>
      <c r="BG319" s="48"/>
      <c r="BH319" s="48"/>
      <c r="BI319" s="48"/>
      <c r="BJ319" s="48"/>
      <c r="BK319" s="48"/>
      <c r="BL319" s="48"/>
      <c r="BM319" s="48"/>
      <c r="BN319" s="48"/>
      <c r="BO319" s="48"/>
      <c r="BP319" s="48"/>
      <c r="BQ319" s="48"/>
      <c r="BR319" s="48"/>
      <c r="BS319" s="48"/>
      <c r="BT319" s="48"/>
      <c r="BU319" s="48"/>
    </row>
    <row r="320" ht="15.75" customHeight="1">
      <c r="A320" s="48"/>
      <c r="B320" s="48"/>
      <c r="C320" s="48"/>
      <c r="D320" s="48"/>
      <c r="E320" s="27"/>
      <c r="F320" s="48"/>
      <c r="G320" s="48"/>
      <c r="H320" s="56"/>
      <c r="I320" s="56"/>
      <c r="J320" s="56"/>
      <c r="K320" s="56"/>
      <c r="L320" s="56"/>
      <c r="M320" s="56"/>
      <c r="N320" s="56"/>
      <c r="O320" s="56"/>
      <c r="P320" s="56"/>
      <c r="Q320" s="56"/>
      <c r="R320" s="56"/>
      <c r="S320" s="56"/>
      <c r="T320" s="56"/>
      <c r="U320" s="56"/>
      <c r="V320" s="56"/>
      <c r="W320" s="27"/>
      <c r="X320" s="56"/>
      <c r="Y320" s="27"/>
      <c r="Z320" s="56"/>
      <c r="AA320" s="27"/>
      <c r="AB320" s="56"/>
      <c r="AC320" s="27"/>
      <c r="AD320" s="56"/>
      <c r="AE320" s="27"/>
      <c r="AF320" s="56"/>
      <c r="AG320" s="27"/>
      <c r="AH320" s="286"/>
      <c r="AI320" s="27"/>
      <c r="AJ320" s="56"/>
      <c r="AK320" s="27"/>
      <c r="AL320" s="56"/>
      <c r="AM320" s="27"/>
      <c r="AN320" s="56"/>
      <c r="AO320" s="27"/>
      <c r="AP320" s="56"/>
      <c r="AQ320" s="27"/>
      <c r="AR320" s="56"/>
      <c r="AS320" s="27"/>
      <c r="AT320" s="56"/>
      <c r="AU320" s="27"/>
      <c r="AV320" s="56"/>
      <c r="AW320" s="27"/>
      <c r="AX320" s="56"/>
      <c r="AY320" s="27"/>
      <c r="AZ320" s="56"/>
      <c r="BA320" s="27"/>
      <c r="BB320" s="48"/>
      <c r="BC320" s="48"/>
      <c r="BD320" s="48"/>
      <c r="BE320" s="48"/>
      <c r="BF320" s="48"/>
      <c r="BG320" s="48"/>
      <c r="BH320" s="48"/>
      <c r="BI320" s="48"/>
      <c r="BJ320" s="48"/>
      <c r="BK320" s="48"/>
      <c r="BL320" s="48"/>
      <c r="BM320" s="48"/>
      <c r="BN320" s="48"/>
      <c r="BO320" s="48"/>
      <c r="BP320" s="48"/>
      <c r="BQ320" s="48"/>
      <c r="BR320" s="48"/>
      <c r="BS320" s="48"/>
      <c r="BT320" s="48"/>
      <c r="BU320" s="48"/>
    </row>
    <row r="321" ht="15.75" customHeight="1">
      <c r="A321" s="48"/>
      <c r="B321" s="48"/>
      <c r="C321" s="48"/>
      <c r="D321" s="48"/>
      <c r="E321" s="27"/>
      <c r="F321" s="48"/>
      <c r="G321" s="48"/>
      <c r="H321" s="56"/>
      <c r="I321" s="56"/>
      <c r="J321" s="56"/>
      <c r="K321" s="56"/>
      <c r="L321" s="56"/>
      <c r="M321" s="56"/>
      <c r="N321" s="56"/>
      <c r="O321" s="56"/>
      <c r="P321" s="56"/>
      <c r="Q321" s="56"/>
      <c r="R321" s="56"/>
      <c r="S321" s="56"/>
      <c r="T321" s="56"/>
      <c r="U321" s="56"/>
      <c r="V321" s="56"/>
      <c r="W321" s="27"/>
      <c r="X321" s="56"/>
      <c r="Y321" s="27"/>
      <c r="Z321" s="56"/>
      <c r="AA321" s="27"/>
      <c r="AB321" s="56"/>
      <c r="AC321" s="27"/>
      <c r="AD321" s="56"/>
      <c r="AE321" s="27"/>
      <c r="AF321" s="56"/>
      <c r="AG321" s="27"/>
      <c r="AH321" s="286"/>
      <c r="AI321" s="27"/>
      <c r="AJ321" s="56"/>
      <c r="AK321" s="27"/>
      <c r="AL321" s="56"/>
      <c r="AM321" s="27"/>
      <c r="AN321" s="56"/>
      <c r="AO321" s="27"/>
      <c r="AP321" s="56"/>
      <c r="AQ321" s="27"/>
      <c r="AR321" s="56"/>
      <c r="AS321" s="27"/>
      <c r="AT321" s="56"/>
      <c r="AU321" s="27"/>
      <c r="AV321" s="56"/>
      <c r="AW321" s="27"/>
      <c r="AX321" s="56"/>
      <c r="AY321" s="27"/>
      <c r="AZ321" s="56"/>
      <c r="BA321" s="27"/>
      <c r="BB321" s="48"/>
      <c r="BC321" s="48"/>
      <c r="BD321" s="48"/>
      <c r="BE321" s="48"/>
      <c r="BF321" s="48"/>
      <c r="BG321" s="48"/>
      <c r="BH321" s="48"/>
      <c r="BI321" s="48"/>
      <c r="BJ321" s="48"/>
      <c r="BK321" s="48"/>
      <c r="BL321" s="48"/>
      <c r="BM321" s="48"/>
      <c r="BN321" s="48"/>
      <c r="BO321" s="48"/>
      <c r="BP321" s="48"/>
      <c r="BQ321" s="48"/>
      <c r="BR321" s="48"/>
      <c r="BS321" s="48"/>
      <c r="BT321" s="48"/>
      <c r="BU321" s="48"/>
    </row>
    <row r="322" ht="15.75" customHeight="1">
      <c r="A322" s="48"/>
      <c r="B322" s="48"/>
      <c r="C322" s="48"/>
      <c r="D322" s="48"/>
      <c r="E322" s="27"/>
      <c r="F322" s="48"/>
      <c r="G322" s="48"/>
      <c r="H322" s="56"/>
      <c r="I322" s="56"/>
      <c r="J322" s="56"/>
      <c r="K322" s="56"/>
      <c r="L322" s="56"/>
      <c r="M322" s="56"/>
      <c r="N322" s="56"/>
      <c r="O322" s="56"/>
      <c r="P322" s="56"/>
      <c r="Q322" s="56"/>
      <c r="R322" s="56"/>
      <c r="S322" s="56"/>
      <c r="T322" s="56"/>
      <c r="U322" s="56"/>
      <c r="V322" s="56"/>
      <c r="W322" s="27"/>
      <c r="X322" s="56"/>
      <c r="Y322" s="27"/>
      <c r="Z322" s="56"/>
      <c r="AA322" s="27"/>
      <c r="AB322" s="56"/>
      <c r="AC322" s="27"/>
      <c r="AD322" s="56"/>
      <c r="AE322" s="27"/>
      <c r="AF322" s="56"/>
      <c r="AG322" s="27"/>
      <c r="AH322" s="286"/>
      <c r="AI322" s="27"/>
      <c r="AJ322" s="56"/>
      <c r="AK322" s="27"/>
      <c r="AL322" s="56"/>
      <c r="AM322" s="27"/>
      <c r="AN322" s="56"/>
      <c r="AO322" s="27"/>
      <c r="AP322" s="56"/>
      <c r="AQ322" s="27"/>
      <c r="AR322" s="56"/>
      <c r="AS322" s="27"/>
      <c r="AT322" s="56"/>
      <c r="AU322" s="27"/>
      <c r="AV322" s="56"/>
      <c r="AW322" s="27"/>
      <c r="AX322" s="56"/>
      <c r="AY322" s="27"/>
      <c r="AZ322" s="56"/>
      <c r="BA322" s="27"/>
      <c r="BB322" s="48"/>
      <c r="BC322" s="48"/>
      <c r="BD322" s="48"/>
      <c r="BE322" s="48"/>
      <c r="BF322" s="48"/>
      <c r="BG322" s="48"/>
      <c r="BH322" s="48"/>
      <c r="BI322" s="48"/>
      <c r="BJ322" s="48"/>
      <c r="BK322" s="48"/>
      <c r="BL322" s="48"/>
      <c r="BM322" s="48"/>
      <c r="BN322" s="48"/>
      <c r="BO322" s="48"/>
      <c r="BP322" s="48"/>
      <c r="BQ322" s="48"/>
      <c r="BR322" s="48"/>
      <c r="BS322" s="48"/>
      <c r="BT322" s="48"/>
      <c r="BU322" s="48"/>
    </row>
    <row r="323" ht="15.75" customHeight="1">
      <c r="A323" s="48"/>
      <c r="B323" s="48"/>
      <c r="C323" s="48"/>
      <c r="D323" s="48"/>
      <c r="E323" s="27"/>
      <c r="F323" s="48"/>
      <c r="G323" s="48"/>
      <c r="H323" s="56"/>
      <c r="I323" s="56"/>
      <c r="J323" s="56"/>
      <c r="K323" s="56"/>
      <c r="L323" s="56"/>
      <c r="M323" s="56"/>
      <c r="N323" s="56"/>
      <c r="O323" s="56"/>
      <c r="P323" s="56"/>
      <c r="Q323" s="56"/>
      <c r="R323" s="56"/>
      <c r="S323" s="56"/>
      <c r="T323" s="56"/>
      <c r="U323" s="56"/>
      <c r="V323" s="56"/>
      <c r="W323" s="27"/>
      <c r="X323" s="56"/>
      <c r="Y323" s="27"/>
      <c r="Z323" s="56"/>
      <c r="AA323" s="27"/>
      <c r="AB323" s="56"/>
      <c r="AC323" s="27"/>
      <c r="AD323" s="56"/>
      <c r="AE323" s="27"/>
      <c r="AF323" s="56"/>
      <c r="AG323" s="27"/>
      <c r="AH323" s="286"/>
      <c r="AI323" s="27"/>
      <c r="AJ323" s="56"/>
      <c r="AK323" s="27"/>
      <c r="AL323" s="56"/>
      <c r="AM323" s="27"/>
      <c r="AN323" s="56"/>
      <c r="AO323" s="27"/>
      <c r="AP323" s="56"/>
      <c r="AQ323" s="27"/>
      <c r="AR323" s="56"/>
      <c r="AS323" s="27"/>
      <c r="AT323" s="56"/>
      <c r="AU323" s="27"/>
      <c r="AV323" s="56"/>
      <c r="AW323" s="27"/>
      <c r="AX323" s="56"/>
      <c r="AY323" s="27"/>
      <c r="AZ323" s="56"/>
      <c r="BA323" s="27"/>
      <c r="BB323" s="48"/>
      <c r="BC323" s="48"/>
      <c r="BD323" s="48"/>
      <c r="BE323" s="48"/>
      <c r="BF323" s="48"/>
      <c r="BG323" s="48"/>
      <c r="BH323" s="48"/>
      <c r="BI323" s="48"/>
      <c r="BJ323" s="48"/>
      <c r="BK323" s="48"/>
      <c r="BL323" s="48"/>
      <c r="BM323" s="48"/>
      <c r="BN323" s="48"/>
      <c r="BO323" s="48"/>
      <c r="BP323" s="48"/>
      <c r="BQ323" s="48"/>
      <c r="BR323" s="48"/>
      <c r="BS323" s="48"/>
      <c r="BT323" s="48"/>
      <c r="BU323" s="48"/>
    </row>
    <row r="324" ht="15.75" customHeight="1">
      <c r="A324" s="48"/>
      <c r="B324" s="48"/>
      <c r="C324" s="48"/>
      <c r="D324" s="48"/>
      <c r="E324" s="27"/>
      <c r="F324" s="48"/>
      <c r="G324" s="48"/>
      <c r="H324" s="56"/>
      <c r="I324" s="56"/>
      <c r="J324" s="56"/>
      <c r="K324" s="56"/>
      <c r="L324" s="56"/>
      <c r="M324" s="56"/>
      <c r="N324" s="56"/>
      <c r="O324" s="56"/>
      <c r="P324" s="56"/>
      <c r="Q324" s="56"/>
      <c r="R324" s="56"/>
      <c r="S324" s="56"/>
      <c r="T324" s="56"/>
      <c r="U324" s="56"/>
      <c r="V324" s="56"/>
      <c r="W324" s="27"/>
      <c r="X324" s="56"/>
      <c r="Y324" s="27"/>
      <c r="Z324" s="56"/>
      <c r="AA324" s="27"/>
      <c r="AB324" s="56"/>
      <c r="AC324" s="27"/>
      <c r="AD324" s="56"/>
      <c r="AE324" s="27"/>
      <c r="AF324" s="56"/>
      <c r="AG324" s="27"/>
      <c r="AH324" s="286"/>
      <c r="AI324" s="27"/>
      <c r="AJ324" s="56"/>
      <c r="AK324" s="27"/>
      <c r="AL324" s="56"/>
      <c r="AM324" s="27"/>
      <c r="AN324" s="56"/>
      <c r="AO324" s="27"/>
      <c r="AP324" s="56"/>
      <c r="AQ324" s="27"/>
      <c r="AR324" s="56"/>
      <c r="AS324" s="27"/>
      <c r="AT324" s="56"/>
      <c r="AU324" s="27"/>
      <c r="AV324" s="56"/>
      <c r="AW324" s="27"/>
      <c r="AX324" s="56"/>
      <c r="AY324" s="27"/>
      <c r="AZ324" s="56"/>
      <c r="BA324" s="27"/>
      <c r="BB324" s="48"/>
      <c r="BC324" s="48"/>
      <c r="BD324" s="48"/>
      <c r="BE324" s="48"/>
      <c r="BF324" s="48"/>
      <c r="BG324" s="48"/>
      <c r="BH324" s="48"/>
      <c r="BI324" s="48"/>
      <c r="BJ324" s="48"/>
      <c r="BK324" s="48"/>
      <c r="BL324" s="48"/>
      <c r="BM324" s="48"/>
      <c r="BN324" s="48"/>
      <c r="BO324" s="48"/>
      <c r="BP324" s="48"/>
      <c r="BQ324" s="48"/>
      <c r="BR324" s="48"/>
      <c r="BS324" s="48"/>
      <c r="BT324" s="48"/>
      <c r="BU324" s="48"/>
    </row>
    <row r="325" ht="15.75" customHeight="1">
      <c r="A325" s="48"/>
      <c r="B325" s="48"/>
      <c r="C325" s="48"/>
      <c r="D325" s="48"/>
      <c r="E325" s="27"/>
      <c r="F325" s="48"/>
      <c r="G325" s="48"/>
      <c r="H325" s="56"/>
      <c r="I325" s="56"/>
      <c r="J325" s="56"/>
      <c r="K325" s="56"/>
      <c r="L325" s="56"/>
      <c r="M325" s="56"/>
      <c r="N325" s="56"/>
      <c r="O325" s="56"/>
      <c r="P325" s="56"/>
      <c r="Q325" s="56"/>
      <c r="R325" s="56"/>
      <c r="S325" s="56"/>
      <c r="T325" s="56"/>
      <c r="U325" s="56"/>
      <c r="V325" s="56"/>
      <c r="W325" s="27"/>
      <c r="X325" s="56"/>
      <c r="Y325" s="27"/>
      <c r="Z325" s="56"/>
      <c r="AA325" s="27"/>
      <c r="AB325" s="56"/>
      <c r="AC325" s="27"/>
      <c r="AD325" s="56"/>
      <c r="AE325" s="27"/>
      <c r="AF325" s="56"/>
      <c r="AG325" s="27"/>
      <c r="AH325" s="286"/>
      <c r="AI325" s="27"/>
      <c r="AJ325" s="56"/>
      <c r="AK325" s="27"/>
      <c r="AL325" s="56"/>
      <c r="AM325" s="27"/>
      <c r="AN325" s="56"/>
      <c r="AO325" s="27"/>
      <c r="AP325" s="56"/>
      <c r="AQ325" s="27"/>
      <c r="AR325" s="56"/>
      <c r="AS325" s="27"/>
      <c r="AT325" s="56"/>
      <c r="AU325" s="27"/>
      <c r="AV325" s="56"/>
      <c r="AW325" s="27"/>
      <c r="AX325" s="56"/>
      <c r="AY325" s="27"/>
      <c r="AZ325" s="56"/>
      <c r="BA325" s="27"/>
      <c r="BB325" s="48"/>
      <c r="BC325" s="48"/>
      <c r="BD325" s="48"/>
      <c r="BE325" s="48"/>
      <c r="BF325" s="48"/>
      <c r="BG325" s="48"/>
      <c r="BH325" s="48"/>
      <c r="BI325" s="48"/>
      <c r="BJ325" s="48"/>
      <c r="BK325" s="48"/>
      <c r="BL325" s="48"/>
      <c r="BM325" s="48"/>
      <c r="BN325" s="48"/>
      <c r="BO325" s="48"/>
      <c r="BP325" s="48"/>
      <c r="BQ325" s="48"/>
      <c r="BR325" s="48"/>
      <c r="BS325" s="48"/>
      <c r="BT325" s="48"/>
      <c r="BU325" s="48"/>
    </row>
    <row r="326" ht="15.75" customHeight="1">
      <c r="A326" s="48"/>
      <c r="B326" s="48"/>
      <c r="C326" s="48"/>
      <c r="D326" s="48"/>
      <c r="E326" s="27"/>
      <c r="F326" s="48"/>
      <c r="G326" s="48"/>
      <c r="H326" s="56"/>
      <c r="I326" s="56"/>
      <c r="J326" s="56"/>
      <c r="K326" s="56"/>
      <c r="L326" s="56"/>
      <c r="M326" s="56"/>
      <c r="N326" s="56"/>
      <c r="O326" s="56"/>
      <c r="P326" s="56"/>
      <c r="Q326" s="56"/>
      <c r="R326" s="56"/>
      <c r="S326" s="56"/>
      <c r="T326" s="56"/>
      <c r="U326" s="56"/>
      <c r="V326" s="56"/>
      <c r="W326" s="27"/>
      <c r="X326" s="56"/>
      <c r="Y326" s="27"/>
      <c r="Z326" s="56"/>
      <c r="AA326" s="27"/>
      <c r="AB326" s="56"/>
      <c r="AC326" s="27"/>
      <c r="AD326" s="56"/>
      <c r="AE326" s="27"/>
      <c r="AF326" s="56"/>
      <c r="AG326" s="27"/>
      <c r="AH326" s="286"/>
      <c r="AI326" s="27"/>
      <c r="AJ326" s="56"/>
      <c r="AK326" s="27"/>
      <c r="AL326" s="56"/>
      <c r="AM326" s="27"/>
      <c r="AN326" s="56"/>
      <c r="AO326" s="27"/>
      <c r="AP326" s="56"/>
      <c r="AQ326" s="27"/>
      <c r="AR326" s="56"/>
      <c r="AS326" s="27"/>
      <c r="AT326" s="56"/>
      <c r="AU326" s="27"/>
      <c r="AV326" s="56"/>
      <c r="AW326" s="27"/>
      <c r="AX326" s="56"/>
      <c r="AY326" s="27"/>
      <c r="AZ326" s="56"/>
      <c r="BA326" s="27"/>
      <c r="BB326" s="48"/>
      <c r="BC326" s="48"/>
      <c r="BD326" s="48"/>
      <c r="BE326" s="48"/>
      <c r="BF326" s="48"/>
      <c r="BG326" s="48"/>
      <c r="BH326" s="48"/>
      <c r="BI326" s="48"/>
      <c r="BJ326" s="48"/>
      <c r="BK326" s="48"/>
      <c r="BL326" s="48"/>
      <c r="BM326" s="48"/>
      <c r="BN326" s="48"/>
      <c r="BO326" s="48"/>
      <c r="BP326" s="48"/>
      <c r="BQ326" s="48"/>
      <c r="BR326" s="48"/>
      <c r="BS326" s="48"/>
      <c r="BT326" s="48"/>
      <c r="BU326" s="48"/>
    </row>
    <row r="327" ht="15.75" customHeight="1">
      <c r="A327" s="48"/>
      <c r="B327" s="48"/>
      <c r="C327" s="48"/>
      <c r="D327" s="48"/>
      <c r="E327" s="27"/>
      <c r="F327" s="48"/>
      <c r="G327" s="48"/>
      <c r="H327" s="56"/>
      <c r="I327" s="56"/>
      <c r="J327" s="56"/>
      <c r="K327" s="56"/>
      <c r="L327" s="56"/>
      <c r="M327" s="56"/>
      <c r="N327" s="56"/>
      <c r="O327" s="56"/>
      <c r="P327" s="56"/>
      <c r="Q327" s="56"/>
      <c r="R327" s="56"/>
      <c r="S327" s="56"/>
      <c r="T327" s="56"/>
      <c r="U327" s="56"/>
      <c r="V327" s="56"/>
      <c r="W327" s="27"/>
      <c r="X327" s="56"/>
      <c r="Y327" s="27"/>
      <c r="Z327" s="56"/>
      <c r="AA327" s="27"/>
      <c r="AB327" s="56"/>
      <c r="AC327" s="27"/>
      <c r="AD327" s="56"/>
      <c r="AE327" s="27"/>
      <c r="AF327" s="56"/>
      <c r="AG327" s="27"/>
      <c r="AH327" s="286"/>
      <c r="AI327" s="27"/>
      <c r="AJ327" s="56"/>
      <c r="AK327" s="27"/>
      <c r="AL327" s="56"/>
      <c r="AM327" s="27"/>
      <c r="AN327" s="56"/>
      <c r="AO327" s="27"/>
      <c r="AP327" s="56"/>
      <c r="AQ327" s="27"/>
      <c r="AR327" s="56"/>
      <c r="AS327" s="27"/>
      <c r="AT327" s="56"/>
      <c r="AU327" s="27"/>
      <c r="AV327" s="56"/>
      <c r="AW327" s="27"/>
      <c r="AX327" s="56"/>
      <c r="AY327" s="27"/>
      <c r="AZ327" s="56"/>
      <c r="BA327" s="27"/>
      <c r="BB327" s="48"/>
      <c r="BC327" s="48"/>
      <c r="BD327" s="48"/>
      <c r="BE327" s="48"/>
      <c r="BF327" s="48"/>
      <c r="BG327" s="48"/>
      <c r="BH327" s="48"/>
      <c r="BI327" s="48"/>
      <c r="BJ327" s="48"/>
      <c r="BK327" s="48"/>
      <c r="BL327" s="48"/>
      <c r="BM327" s="48"/>
      <c r="BN327" s="48"/>
      <c r="BO327" s="48"/>
      <c r="BP327" s="48"/>
      <c r="BQ327" s="48"/>
      <c r="BR327" s="48"/>
      <c r="BS327" s="48"/>
      <c r="BT327" s="48"/>
      <c r="BU327" s="48"/>
    </row>
    <row r="328" ht="15.75" customHeight="1">
      <c r="A328" s="48"/>
      <c r="B328" s="48"/>
      <c r="C328" s="48"/>
      <c r="D328" s="48"/>
      <c r="E328" s="27"/>
      <c r="F328" s="48"/>
      <c r="G328" s="48"/>
      <c r="H328" s="56"/>
      <c r="I328" s="56"/>
      <c r="J328" s="56"/>
      <c r="K328" s="56"/>
      <c r="L328" s="56"/>
      <c r="M328" s="56"/>
      <c r="N328" s="56"/>
      <c r="O328" s="56"/>
      <c r="P328" s="56"/>
      <c r="Q328" s="56"/>
      <c r="R328" s="56"/>
      <c r="S328" s="56"/>
      <c r="T328" s="56"/>
      <c r="U328" s="56"/>
      <c r="V328" s="56"/>
      <c r="W328" s="27"/>
      <c r="X328" s="56"/>
      <c r="Y328" s="27"/>
      <c r="Z328" s="56"/>
      <c r="AA328" s="27"/>
      <c r="AB328" s="56"/>
      <c r="AC328" s="27"/>
      <c r="AD328" s="56"/>
      <c r="AE328" s="27"/>
      <c r="AF328" s="56"/>
      <c r="AG328" s="27"/>
      <c r="AH328" s="286"/>
      <c r="AI328" s="27"/>
      <c r="AJ328" s="56"/>
      <c r="AK328" s="27"/>
      <c r="AL328" s="56"/>
      <c r="AM328" s="27"/>
      <c r="AN328" s="56"/>
      <c r="AO328" s="27"/>
      <c r="AP328" s="56"/>
      <c r="AQ328" s="27"/>
      <c r="AR328" s="56"/>
      <c r="AS328" s="27"/>
      <c r="AT328" s="56"/>
      <c r="AU328" s="27"/>
      <c r="AV328" s="56"/>
      <c r="AW328" s="27"/>
      <c r="AX328" s="56"/>
      <c r="AY328" s="27"/>
      <c r="AZ328" s="56"/>
      <c r="BA328" s="27"/>
      <c r="BB328" s="48"/>
      <c r="BC328" s="48"/>
      <c r="BD328" s="48"/>
      <c r="BE328" s="48"/>
      <c r="BF328" s="48"/>
      <c r="BG328" s="48"/>
      <c r="BH328" s="48"/>
      <c r="BI328" s="48"/>
      <c r="BJ328" s="48"/>
      <c r="BK328" s="48"/>
      <c r="BL328" s="48"/>
      <c r="BM328" s="48"/>
      <c r="BN328" s="48"/>
      <c r="BO328" s="48"/>
      <c r="BP328" s="48"/>
      <c r="BQ328" s="48"/>
      <c r="BR328" s="48"/>
      <c r="BS328" s="48"/>
      <c r="BT328" s="48"/>
      <c r="BU328" s="48"/>
    </row>
    <row r="329" ht="15.75" customHeight="1">
      <c r="A329" s="48"/>
      <c r="B329" s="48"/>
      <c r="C329" s="48"/>
      <c r="D329" s="48"/>
      <c r="E329" s="27"/>
      <c r="F329" s="48"/>
      <c r="G329" s="48"/>
      <c r="H329" s="56"/>
      <c r="I329" s="56"/>
      <c r="J329" s="56"/>
      <c r="K329" s="56"/>
      <c r="L329" s="56"/>
      <c r="M329" s="56"/>
      <c r="N329" s="56"/>
      <c r="O329" s="56"/>
      <c r="P329" s="56"/>
      <c r="Q329" s="56"/>
      <c r="R329" s="56"/>
      <c r="S329" s="56"/>
      <c r="T329" s="56"/>
      <c r="U329" s="56"/>
      <c r="V329" s="56"/>
      <c r="W329" s="27"/>
      <c r="X329" s="56"/>
      <c r="Y329" s="27"/>
      <c r="Z329" s="56"/>
      <c r="AA329" s="27"/>
      <c r="AB329" s="56"/>
      <c r="AC329" s="27"/>
      <c r="AD329" s="56"/>
      <c r="AE329" s="27"/>
      <c r="AF329" s="56"/>
      <c r="AG329" s="27"/>
      <c r="AH329" s="286"/>
      <c r="AI329" s="27"/>
      <c r="AJ329" s="56"/>
      <c r="AK329" s="27"/>
      <c r="AL329" s="56"/>
      <c r="AM329" s="27"/>
      <c r="AN329" s="56"/>
      <c r="AO329" s="27"/>
      <c r="AP329" s="56"/>
      <c r="AQ329" s="27"/>
      <c r="AR329" s="56"/>
      <c r="AS329" s="27"/>
      <c r="AT329" s="56"/>
      <c r="AU329" s="27"/>
      <c r="AV329" s="56"/>
      <c r="AW329" s="27"/>
      <c r="AX329" s="56"/>
      <c r="AY329" s="27"/>
      <c r="AZ329" s="56"/>
      <c r="BA329" s="27"/>
      <c r="BB329" s="48"/>
      <c r="BC329" s="48"/>
      <c r="BD329" s="48"/>
      <c r="BE329" s="48"/>
      <c r="BF329" s="48"/>
      <c r="BG329" s="48"/>
      <c r="BH329" s="48"/>
      <c r="BI329" s="48"/>
      <c r="BJ329" s="48"/>
      <c r="BK329" s="48"/>
      <c r="BL329" s="48"/>
      <c r="BM329" s="48"/>
      <c r="BN329" s="48"/>
      <c r="BO329" s="48"/>
      <c r="BP329" s="48"/>
      <c r="BQ329" s="48"/>
      <c r="BR329" s="48"/>
      <c r="BS329" s="48"/>
      <c r="BT329" s="48"/>
      <c r="BU329" s="48"/>
    </row>
    <row r="330" ht="15.75" customHeight="1">
      <c r="A330" s="48"/>
      <c r="B330" s="48"/>
      <c r="C330" s="48"/>
      <c r="D330" s="48"/>
      <c r="E330" s="27"/>
      <c r="F330" s="48"/>
      <c r="G330" s="48"/>
      <c r="H330" s="56"/>
      <c r="I330" s="56"/>
      <c r="J330" s="56"/>
      <c r="K330" s="56"/>
      <c r="L330" s="56"/>
      <c r="M330" s="56"/>
      <c r="N330" s="56"/>
      <c r="O330" s="56"/>
      <c r="P330" s="56"/>
      <c r="Q330" s="56"/>
      <c r="R330" s="56"/>
      <c r="S330" s="56"/>
      <c r="T330" s="56"/>
      <c r="U330" s="56"/>
      <c r="V330" s="56"/>
      <c r="W330" s="27"/>
      <c r="X330" s="56"/>
      <c r="Y330" s="27"/>
      <c r="Z330" s="56"/>
      <c r="AA330" s="27"/>
      <c r="AB330" s="56"/>
      <c r="AC330" s="27"/>
      <c r="AD330" s="56"/>
      <c r="AE330" s="27"/>
      <c r="AF330" s="56"/>
      <c r="AG330" s="27"/>
      <c r="AH330" s="286"/>
      <c r="AI330" s="27"/>
      <c r="AJ330" s="56"/>
      <c r="AK330" s="27"/>
      <c r="AL330" s="56"/>
      <c r="AM330" s="27"/>
      <c r="AN330" s="56"/>
      <c r="AO330" s="27"/>
      <c r="AP330" s="56"/>
      <c r="AQ330" s="27"/>
      <c r="AR330" s="56"/>
      <c r="AS330" s="27"/>
      <c r="AT330" s="56"/>
      <c r="AU330" s="27"/>
      <c r="AV330" s="56"/>
      <c r="AW330" s="27"/>
      <c r="AX330" s="56"/>
      <c r="AY330" s="27"/>
      <c r="AZ330" s="56"/>
      <c r="BA330" s="27"/>
      <c r="BB330" s="48"/>
      <c r="BC330" s="48"/>
      <c r="BD330" s="48"/>
      <c r="BE330" s="48"/>
      <c r="BF330" s="48"/>
      <c r="BG330" s="48"/>
      <c r="BH330" s="48"/>
      <c r="BI330" s="48"/>
      <c r="BJ330" s="48"/>
      <c r="BK330" s="48"/>
      <c r="BL330" s="48"/>
      <c r="BM330" s="48"/>
      <c r="BN330" s="48"/>
      <c r="BO330" s="48"/>
      <c r="BP330" s="48"/>
      <c r="BQ330" s="48"/>
      <c r="BR330" s="48"/>
      <c r="BS330" s="48"/>
      <c r="BT330" s="48"/>
      <c r="BU330" s="48"/>
    </row>
    <row r="331" ht="15.75" customHeight="1">
      <c r="A331" s="48"/>
      <c r="B331" s="48"/>
      <c r="C331" s="48"/>
      <c r="D331" s="48"/>
      <c r="E331" s="27"/>
      <c r="F331" s="48"/>
      <c r="G331" s="48"/>
      <c r="H331" s="56"/>
      <c r="I331" s="56"/>
      <c r="J331" s="56"/>
      <c r="K331" s="56"/>
      <c r="L331" s="56"/>
      <c r="M331" s="56"/>
      <c r="N331" s="56"/>
      <c r="O331" s="56"/>
      <c r="P331" s="56"/>
      <c r="Q331" s="56"/>
      <c r="R331" s="56"/>
      <c r="S331" s="56"/>
      <c r="T331" s="56"/>
      <c r="U331" s="56"/>
      <c r="V331" s="56"/>
      <c r="W331" s="27"/>
      <c r="X331" s="56"/>
      <c r="Y331" s="27"/>
      <c r="Z331" s="56"/>
      <c r="AA331" s="27"/>
      <c r="AB331" s="56"/>
      <c r="AC331" s="27"/>
      <c r="AD331" s="56"/>
      <c r="AE331" s="27"/>
      <c r="AF331" s="56"/>
      <c r="AG331" s="27"/>
      <c r="AH331" s="286"/>
      <c r="AI331" s="27"/>
      <c r="AJ331" s="56"/>
      <c r="AK331" s="27"/>
      <c r="AL331" s="56"/>
      <c r="AM331" s="27"/>
      <c r="AN331" s="56"/>
      <c r="AO331" s="27"/>
      <c r="AP331" s="56"/>
      <c r="AQ331" s="27"/>
      <c r="AR331" s="56"/>
      <c r="AS331" s="27"/>
      <c r="AT331" s="56"/>
      <c r="AU331" s="27"/>
      <c r="AV331" s="56"/>
      <c r="AW331" s="27"/>
      <c r="AX331" s="56"/>
      <c r="AY331" s="27"/>
      <c r="AZ331" s="56"/>
      <c r="BA331" s="27"/>
      <c r="BB331" s="48"/>
      <c r="BC331" s="48"/>
      <c r="BD331" s="48"/>
      <c r="BE331" s="48"/>
      <c r="BF331" s="48"/>
      <c r="BG331" s="48"/>
      <c r="BH331" s="48"/>
      <c r="BI331" s="48"/>
      <c r="BJ331" s="48"/>
      <c r="BK331" s="48"/>
      <c r="BL331" s="48"/>
      <c r="BM331" s="48"/>
      <c r="BN331" s="48"/>
      <c r="BO331" s="48"/>
      <c r="BP331" s="48"/>
      <c r="BQ331" s="48"/>
      <c r="BR331" s="48"/>
      <c r="BS331" s="48"/>
      <c r="BT331" s="48"/>
      <c r="BU331" s="48"/>
    </row>
    <row r="332" ht="15.75" customHeight="1">
      <c r="A332" s="48"/>
      <c r="B332" s="48"/>
      <c r="C332" s="48"/>
      <c r="D332" s="48"/>
      <c r="E332" s="27"/>
      <c r="F332" s="48"/>
      <c r="G332" s="48"/>
      <c r="H332" s="56"/>
      <c r="I332" s="56"/>
      <c r="J332" s="56"/>
      <c r="K332" s="56"/>
      <c r="L332" s="56"/>
      <c r="M332" s="56"/>
      <c r="N332" s="56"/>
      <c r="O332" s="56"/>
      <c r="P332" s="56"/>
      <c r="Q332" s="56"/>
      <c r="R332" s="56"/>
      <c r="S332" s="56"/>
      <c r="T332" s="56"/>
      <c r="U332" s="56"/>
      <c r="V332" s="56"/>
      <c r="W332" s="27"/>
      <c r="X332" s="56"/>
      <c r="Y332" s="27"/>
      <c r="Z332" s="56"/>
      <c r="AA332" s="27"/>
      <c r="AB332" s="56"/>
      <c r="AC332" s="27"/>
      <c r="AD332" s="56"/>
      <c r="AE332" s="27"/>
      <c r="AF332" s="56"/>
      <c r="AG332" s="27"/>
      <c r="AH332" s="286"/>
      <c r="AI332" s="27"/>
      <c r="AJ332" s="56"/>
      <c r="AK332" s="27"/>
      <c r="AL332" s="56"/>
      <c r="AM332" s="27"/>
      <c r="AN332" s="56"/>
      <c r="AO332" s="27"/>
      <c r="AP332" s="56"/>
      <c r="AQ332" s="27"/>
      <c r="AR332" s="56"/>
      <c r="AS332" s="27"/>
      <c r="AT332" s="56"/>
      <c r="AU332" s="27"/>
      <c r="AV332" s="56"/>
      <c r="AW332" s="27"/>
      <c r="AX332" s="56"/>
      <c r="AY332" s="27"/>
      <c r="AZ332" s="56"/>
      <c r="BA332" s="27"/>
      <c r="BB332" s="48"/>
      <c r="BC332" s="48"/>
      <c r="BD332" s="48"/>
      <c r="BE332" s="48"/>
      <c r="BF332" s="48"/>
      <c r="BG332" s="48"/>
      <c r="BH332" s="48"/>
      <c r="BI332" s="48"/>
      <c r="BJ332" s="48"/>
      <c r="BK332" s="48"/>
      <c r="BL332" s="48"/>
      <c r="BM332" s="48"/>
      <c r="BN332" s="48"/>
      <c r="BO332" s="48"/>
      <c r="BP332" s="48"/>
      <c r="BQ332" s="48"/>
      <c r="BR332" s="48"/>
      <c r="BS332" s="48"/>
      <c r="BT332" s="48"/>
      <c r="BU332" s="48"/>
    </row>
    <row r="333" ht="15.75" customHeight="1">
      <c r="A333" s="48"/>
      <c r="B333" s="48"/>
      <c r="C333" s="48"/>
      <c r="D333" s="48"/>
      <c r="E333" s="27"/>
      <c r="F333" s="48"/>
      <c r="G333" s="48"/>
      <c r="H333" s="56"/>
      <c r="I333" s="56"/>
      <c r="J333" s="56"/>
      <c r="K333" s="56"/>
      <c r="L333" s="56"/>
      <c r="M333" s="56"/>
      <c r="N333" s="56"/>
      <c r="O333" s="56"/>
      <c r="P333" s="56"/>
      <c r="Q333" s="56"/>
      <c r="R333" s="56"/>
      <c r="S333" s="56"/>
      <c r="T333" s="56"/>
      <c r="U333" s="56"/>
      <c r="V333" s="56"/>
      <c r="W333" s="27"/>
      <c r="X333" s="56"/>
      <c r="Y333" s="27"/>
      <c r="Z333" s="56"/>
      <c r="AA333" s="27"/>
      <c r="AB333" s="56"/>
      <c r="AC333" s="27"/>
      <c r="AD333" s="56"/>
      <c r="AE333" s="27"/>
      <c r="AF333" s="56"/>
      <c r="AG333" s="27"/>
      <c r="AH333" s="286"/>
      <c r="AI333" s="27"/>
      <c r="AJ333" s="56"/>
      <c r="AK333" s="27"/>
      <c r="AL333" s="56"/>
      <c r="AM333" s="27"/>
      <c r="AN333" s="56"/>
      <c r="AO333" s="27"/>
      <c r="AP333" s="56"/>
      <c r="AQ333" s="27"/>
      <c r="AR333" s="56"/>
      <c r="AS333" s="27"/>
      <c r="AT333" s="56"/>
      <c r="AU333" s="27"/>
      <c r="AV333" s="56"/>
      <c r="AW333" s="27"/>
      <c r="AX333" s="56"/>
      <c r="AY333" s="27"/>
      <c r="AZ333" s="56"/>
      <c r="BA333" s="27"/>
      <c r="BB333" s="48"/>
      <c r="BC333" s="48"/>
      <c r="BD333" s="48"/>
      <c r="BE333" s="48"/>
      <c r="BF333" s="48"/>
      <c r="BG333" s="48"/>
      <c r="BH333" s="48"/>
      <c r="BI333" s="48"/>
      <c r="BJ333" s="48"/>
      <c r="BK333" s="48"/>
      <c r="BL333" s="48"/>
      <c r="BM333" s="48"/>
      <c r="BN333" s="48"/>
      <c r="BO333" s="48"/>
      <c r="BP333" s="48"/>
      <c r="BQ333" s="48"/>
      <c r="BR333" s="48"/>
      <c r="BS333" s="48"/>
      <c r="BT333" s="48"/>
      <c r="BU333" s="48"/>
    </row>
    <row r="334" ht="15.75" customHeight="1">
      <c r="A334" s="48"/>
      <c r="B334" s="48"/>
      <c r="C334" s="48"/>
      <c r="D334" s="48"/>
      <c r="E334" s="27"/>
      <c r="F334" s="48"/>
      <c r="G334" s="48"/>
      <c r="H334" s="56"/>
      <c r="I334" s="56"/>
      <c r="J334" s="56"/>
      <c r="K334" s="56"/>
      <c r="L334" s="56"/>
      <c r="M334" s="56"/>
      <c r="N334" s="56"/>
      <c r="O334" s="56"/>
      <c r="P334" s="56"/>
      <c r="Q334" s="56"/>
      <c r="R334" s="56"/>
      <c r="S334" s="56"/>
      <c r="T334" s="56"/>
      <c r="U334" s="56"/>
      <c r="V334" s="56"/>
      <c r="W334" s="27"/>
      <c r="X334" s="56"/>
      <c r="Y334" s="27"/>
      <c r="Z334" s="56"/>
      <c r="AA334" s="27"/>
      <c r="AB334" s="56"/>
      <c r="AC334" s="27"/>
      <c r="AD334" s="56"/>
      <c r="AE334" s="27"/>
      <c r="AF334" s="56"/>
      <c r="AG334" s="27"/>
      <c r="AH334" s="286"/>
      <c r="AI334" s="27"/>
      <c r="AJ334" s="56"/>
      <c r="AK334" s="27"/>
      <c r="AL334" s="56"/>
      <c r="AM334" s="27"/>
      <c r="AN334" s="56"/>
      <c r="AO334" s="27"/>
      <c r="AP334" s="56"/>
      <c r="AQ334" s="27"/>
      <c r="AR334" s="56"/>
      <c r="AS334" s="27"/>
      <c r="AT334" s="56"/>
      <c r="AU334" s="27"/>
      <c r="AV334" s="56"/>
      <c r="AW334" s="27"/>
      <c r="AX334" s="56"/>
      <c r="AY334" s="27"/>
      <c r="AZ334" s="56"/>
      <c r="BA334" s="27"/>
      <c r="BB334" s="48"/>
      <c r="BC334" s="48"/>
      <c r="BD334" s="48"/>
      <c r="BE334" s="48"/>
      <c r="BF334" s="48"/>
      <c r="BG334" s="48"/>
      <c r="BH334" s="48"/>
      <c r="BI334" s="48"/>
      <c r="BJ334" s="48"/>
      <c r="BK334" s="48"/>
      <c r="BL334" s="48"/>
      <c r="BM334" s="48"/>
      <c r="BN334" s="48"/>
      <c r="BO334" s="48"/>
      <c r="BP334" s="48"/>
      <c r="BQ334" s="48"/>
      <c r="BR334" s="48"/>
      <c r="BS334" s="48"/>
      <c r="BT334" s="48"/>
      <c r="BU334" s="48"/>
    </row>
    <row r="335" ht="15.75" customHeight="1">
      <c r="A335" s="48"/>
      <c r="B335" s="48"/>
      <c r="C335" s="48"/>
      <c r="D335" s="48"/>
      <c r="E335" s="27"/>
      <c r="F335" s="48"/>
      <c r="G335" s="48"/>
      <c r="H335" s="56"/>
      <c r="I335" s="56"/>
      <c r="J335" s="56"/>
      <c r="K335" s="56"/>
      <c r="L335" s="56"/>
      <c r="M335" s="56"/>
      <c r="N335" s="56"/>
      <c r="O335" s="56"/>
      <c r="P335" s="56"/>
      <c r="Q335" s="56"/>
      <c r="R335" s="56"/>
      <c r="S335" s="56"/>
      <c r="T335" s="56"/>
      <c r="U335" s="56"/>
      <c r="V335" s="56"/>
      <c r="W335" s="27"/>
      <c r="X335" s="56"/>
      <c r="Y335" s="27"/>
      <c r="Z335" s="56"/>
      <c r="AA335" s="27"/>
      <c r="AB335" s="56"/>
      <c r="AC335" s="27"/>
      <c r="AD335" s="56"/>
      <c r="AE335" s="27"/>
      <c r="AF335" s="56"/>
      <c r="AG335" s="27"/>
      <c r="AH335" s="286"/>
      <c r="AI335" s="27"/>
      <c r="AJ335" s="56"/>
      <c r="AK335" s="27"/>
      <c r="AL335" s="56"/>
      <c r="AM335" s="27"/>
      <c r="AN335" s="56"/>
      <c r="AO335" s="27"/>
      <c r="AP335" s="56"/>
      <c r="AQ335" s="27"/>
      <c r="AR335" s="56"/>
      <c r="AS335" s="27"/>
      <c r="AT335" s="56"/>
      <c r="AU335" s="27"/>
      <c r="AV335" s="56"/>
      <c r="AW335" s="27"/>
      <c r="AX335" s="56"/>
      <c r="AY335" s="27"/>
      <c r="AZ335" s="56"/>
      <c r="BA335" s="27"/>
      <c r="BB335" s="48"/>
      <c r="BC335" s="48"/>
      <c r="BD335" s="48"/>
      <c r="BE335" s="48"/>
      <c r="BF335" s="48"/>
      <c r="BG335" s="48"/>
      <c r="BH335" s="48"/>
      <c r="BI335" s="48"/>
      <c r="BJ335" s="48"/>
      <c r="BK335" s="48"/>
      <c r="BL335" s="48"/>
      <c r="BM335" s="48"/>
      <c r="BN335" s="48"/>
      <c r="BO335" s="48"/>
      <c r="BP335" s="48"/>
      <c r="BQ335" s="48"/>
      <c r="BR335" s="48"/>
      <c r="BS335" s="48"/>
      <c r="BT335" s="48"/>
      <c r="BU335" s="48"/>
    </row>
    <row r="336" ht="15.75" customHeight="1">
      <c r="A336" s="48"/>
      <c r="B336" s="48"/>
      <c r="C336" s="48"/>
      <c r="D336" s="48"/>
      <c r="E336" s="27"/>
      <c r="F336" s="48"/>
      <c r="G336" s="48"/>
      <c r="H336" s="56"/>
      <c r="I336" s="56"/>
      <c r="J336" s="56"/>
      <c r="K336" s="56"/>
      <c r="L336" s="56"/>
      <c r="M336" s="56"/>
      <c r="N336" s="56"/>
      <c r="O336" s="56"/>
      <c r="P336" s="56"/>
      <c r="Q336" s="56"/>
      <c r="R336" s="56"/>
      <c r="S336" s="56"/>
      <c r="T336" s="56"/>
      <c r="U336" s="56"/>
      <c r="V336" s="56"/>
      <c r="W336" s="27"/>
      <c r="X336" s="56"/>
      <c r="Y336" s="27"/>
      <c r="Z336" s="56"/>
      <c r="AA336" s="27"/>
      <c r="AB336" s="56"/>
      <c r="AC336" s="27"/>
      <c r="AD336" s="56"/>
      <c r="AE336" s="27"/>
      <c r="AF336" s="56"/>
      <c r="AG336" s="27"/>
      <c r="AH336" s="286"/>
      <c r="AI336" s="27"/>
      <c r="AJ336" s="56"/>
      <c r="AK336" s="27"/>
      <c r="AL336" s="56"/>
      <c r="AM336" s="27"/>
      <c r="AN336" s="56"/>
      <c r="AO336" s="27"/>
      <c r="AP336" s="56"/>
      <c r="AQ336" s="27"/>
      <c r="AR336" s="56"/>
      <c r="AS336" s="27"/>
      <c r="AT336" s="56"/>
      <c r="AU336" s="27"/>
      <c r="AV336" s="56"/>
      <c r="AW336" s="27"/>
      <c r="AX336" s="56"/>
      <c r="AY336" s="27"/>
      <c r="AZ336" s="56"/>
      <c r="BA336" s="27"/>
      <c r="BB336" s="48"/>
      <c r="BC336" s="48"/>
      <c r="BD336" s="48"/>
      <c r="BE336" s="48"/>
      <c r="BF336" s="48"/>
      <c r="BG336" s="48"/>
      <c r="BH336" s="48"/>
      <c r="BI336" s="48"/>
      <c r="BJ336" s="48"/>
      <c r="BK336" s="48"/>
      <c r="BL336" s="48"/>
      <c r="BM336" s="48"/>
      <c r="BN336" s="48"/>
      <c r="BO336" s="48"/>
      <c r="BP336" s="48"/>
      <c r="BQ336" s="48"/>
      <c r="BR336" s="48"/>
      <c r="BS336" s="48"/>
      <c r="BT336" s="48"/>
      <c r="BU336" s="48"/>
    </row>
    <row r="337" ht="15.75" customHeight="1">
      <c r="A337" s="48"/>
      <c r="B337" s="48"/>
      <c r="C337" s="48"/>
      <c r="D337" s="48"/>
      <c r="E337" s="27"/>
      <c r="F337" s="48"/>
      <c r="G337" s="48"/>
      <c r="H337" s="56"/>
      <c r="I337" s="56"/>
      <c r="J337" s="56"/>
      <c r="K337" s="56"/>
      <c r="L337" s="56"/>
      <c r="M337" s="56"/>
      <c r="N337" s="56"/>
      <c r="O337" s="56"/>
      <c r="P337" s="56"/>
      <c r="Q337" s="56"/>
      <c r="R337" s="56"/>
      <c r="S337" s="56"/>
      <c r="T337" s="56"/>
      <c r="U337" s="56"/>
      <c r="V337" s="56"/>
      <c r="W337" s="27"/>
      <c r="X337" s="56"/>
      <c r="Y337" s="27"/>
      <c r="Z337" s="56"/>
      <c r="AA337" s="27"/>
      <c r="AB337" s="56"/>
      <c r="AC337" s="27"/>
      <c r="AD337" s="56"/>
      <c r="AE337" s="27"/>
      <c r="AF337" s="56"/>
      <c r="AG337" s="27"/>
      <c r="AH337" s="286"/>
      <c r="AI337" s="27"/>
      <c r="AJ337" s="56"/>
      <c r="AK337" s="27"/>
      <c r="AL337" s="56"/>
      <c r="AM337" s="27"/>
      <c r="AN337" s="56"/>
      <c r="AO337" s="27"/>
      <c r="AP337" s="56"/>
      <c r="AQ337" s="27"/>
      <c r="AR337" s="56"/>
      <c r="AS337" s="27"/>
      <c r="AT337" s="56"/>
      <c r="AU337" s="27"/>
      <c r="AV337" s="56"/>
      <c r="AW337" s="27"/>
      <c r="AX337" s="56"/>
      <c r="AY337" s="27"/>
      <c r="AZ337" s="56"/>
      <c r="BA337" s="27"/>
      <c r="BB337" s="48"/>
      <c r="BC337" s="48"/>
      <c r="BD337" s="48"/>
      <c r="BE337" s="48"/>
      <c r="BF337" s="48"/>
      <c r="BG337" s="48"/>
      <c r="BH337" s="48"/>
      <c r="BI337" s="48"/>
      <c r="BJ337" s="48"/>
      <c r="BK337" s="48"/>
      <c r="BL337" s="48"/>
      <c r="BM337" s="48"/>
      <c r="BN337" s="48"/>
      <c r="BO337" s="48"/>
      <c r="BP337" s="48"/>
      <c r="BQ337" s="48"/>
      <c r="BR337" s="48"/>
      <c r="BS337" s="48"/>
      <c r="BT337" s="48"/>
      <c r="BU337" s="48"/>
    </row>
    <row r="338" ht="15.75" customHeight="1">
      <c r="A338" s="48"/>
      <c r="B338" s="48"/>
      <c r="C338" s="48"/>
      <c r="D338" s="48"/>
      <c r="E338" s="27"/>
      <c r="F338" s="48"/>
      <c r="G338" s="48"/>
      <c r="H338" s="56"/>
      <c r="I338" s="56"/>
      <c r="J338" s="56"/>
      <c r="K338" s="56"/>
      <c r="L338" s="56"/>
      <c r="M338" s="56"/>
      <c r="N338" s="56"/>
      <c r="O338" s="56"/>
      <c r="P338" s="56"/>
      <c r="Q338" s="56"/>
      <c r="R338" s="56"/>
      <c r="S338" s="56"/>
      <c r="T338" s="56"/>
      <c r="U338" s="56"/>
      <c r="V338" s="56"/>
      <c r="W338" s="27"/>
      <c r="X338" s="56"/>
      <c r="Y338" s="27"/>
      <c r="Z338" s="56"/>
      <c r="AA338" s="27"/>
      <c r="AB338" s="56"/>
      <c r="AC338" s="27"/>
      <c r="AD338" s="56"/>
      <c r="AE338" s="27"/>
      <c r="AF338" s="56"/>
      <c r="AG338" s="27"/>
      <c r="AH338" s="286"/>
      <c r="AI338" s="27"/>
      <c r="AJ338" s="56"/>
      <c r="AK338" s="27"/>
      <c r="AL338" s="56"/>
      <c r="AM338" s="27"/>
      <c r="AN338" s="56"/>
      <c r="AO338" s="27"/>
      <c r="AP338" s="56"/>
      <c r="AQ338" s="27"/>
      <c r="AR338" s="56"/>
      <c r="AS338" s="27"/>
      <c r="AT338" s="56"/>
      <c r="AU338" s="27"/>
      <c r="AV338" s="56"/>
      <c r="AW338" s="27"/>
      <c r="AX338" s="56"/>
      <c r="AY338" s="27"/>
      <c r="AZ338" s="56"/>
      <c r="BA338" s="27"/>
      <c r="BB338" s="48"/>
      <c r="BC338" s="48"/>
      <c r="BD338" s="48"/>
      <c r="BE338" s="48"/>
      <c r="BF338" s="48"/>
      <c r="BG338" s="48"/>
      <c r="BH338" s="48"/>
      <c r="BI338" s="48"/>
      <c r="BJ338" s="48"/>
      <c r="BK338" s="48"/>
      <c r="BL338" s="48"/>
      <c r="BM338" s="48"/>
      <c r="BN338" s="48"/>
      <c r="BO338" s="48"/>
      <c r="BP338" s="48"/>
      <c r="BQ338" s="48"/>
      <c r="BR338" s="48"/>
      <c r="BS338" s="48"/>
      <c r="BT338" s="48"/>
      <c r="BU338" s="48"/>
    </row>
    <row r="339" ht="15.75" customHeight="1">
      <c r="A339" s="48"/>
      <c r="B339" s="48"/>
      <c r="C339" s="48"/>
      <c r="D339" s="48"/>
      <c r="E339" s="27"/>
      <c r="F339" s="48"/>
      <c r="G339" s="48"/>
      <c r="H339" s="56"/>
      <c r="I339" s="56"/>
      <c r="J339" s="56"/>
      <c r="K339" s="56"/>
      <c r="L339" s="56"/>
      <c r="M339" s="56"/>
      <c r="N339" s="56"/>
      <c r="O339" s="56"/>
      <c r="P339" s="56"/>
      <c r="Q339" s="56"/>
      <c r="R339" s="56"/>
      <c r="S339" s="56"/>
      <c r="T339" s="56"/>
      <c r="U339" s="56"/>
      <c r="V339" s="56"/>
      <c r="W339" s="27"/>
      <c r="X339" s="56"/>
      <c r="Y339" s="27"/>
      <c r="Z339" s="56"/>
      <c r="AA339" s="27"/>
      <c r="AB339" s="56"/>
      <c r="AC339" s="27"/>
      <c r="AD339" s="56"/>
      <c r="AE339" s="27"/>
      <c r="AF339" s="56"/>
      <c r="AG339" s="27"/>
      <c r="AH339" s="286"/>
      <c r="AI339" s="27"/>
      <c r="AJ339" s="56"/>
      <c r="AK339" s="27"/>
      <c r="AL339" s="56"/>
      <c r="AM339" s="27"/>
      <c r="AN339" s="56"/>
      <c r="AO339" s="27"/>
      <c r="AP339" s="56"/>
      <c r="AQ339" s="27"/>
      <c r="AR339" s="56"/>
      <c r="AS339" s="27"/>
      <c r="AT339" s="56"/>
      <c r="AU339" s="27"/>
      <c r="AV339" s="56"/>
      <c r="AW339" s="27"/>
      <c r="AX339" s="56"/>
      <c r="AY339" s="27"/>
      <c r="AZ339" s="56"/>
      <c r="BA339" s="27"/>
      <c r="BB339" s="48"/>
      <c r="BC339" s="48"/>
      <c r="BD339" s="48"/>
      <c r="BE339" s="48"/>
      <c r="BF339" s="48"/>
      <c r="BG339" s="48"/>
      <c r="BH339" s="48"/>
      <c r="BI339" s="48"/>
      <c r="BJ339" s="48"/>
      <c r="BK339" s="48"/>
      <c r="BL339" s="48"/>
      <c r="BM339" s="48"/>
      <c r="BN339" s="48"/>
      <c r="BO339" s="48"/>
      <c r="BP339" s="48"/>
      <c r="BQ339" s="48"/>
      <c r="BR339" s="48"/>
      <c r="BS339" s="48"/>
      <c r="BT339" s="48"/>
      <c r="BU339" s="48"/>
    </row>
    <row r="340" ht="15.75" customHeight="1">
      <c r="A340" s="48"/>
      <c r="B340" s="48"/>
      <c r="C340" s="48"/>
      <c r="D340" s="48"/>
      <c r="E340" s="27"/>
      <c r="F340" s="48"/>
      <c r="G340" s="48"/>
      <c r="H340" s="56"/>
      <c r="I340" s="56"/>
      <c r="J340" s="56"/>
      <c r="K340" s="56"/>
      <c r="L340" s="56"/>
      <c r="M340" s="56"/>
      <c r="N340" s="56"/>
      <c r="O340" s="56"/>
      <c r="P340" s="56"/>
      <c r="Q340" s="56"/>
      <c r="R340" s="56"/>
      <c r="S340" s="56"/>
      <c r="T340" s="56"/>
      <c r="U340" s="56"/>
      <c r="V340" s="56"/>
      <c r="W340" s="27"/>
      <c r="X340" s="56"/>
      <c r="Y340" s="27"/>
      <c r="Z340" s="56"/>
      <c r="AA340" s="27"/>
      <c r="AB340" s="56"/>
      <c r="AC340" s="27"/>
      <c r="AD340" s="56"/>
      <c r="AE340" s="27"/>
      <c r="AF340" s="56"/>
      <c r="AG340" s="27"/>
      <c r="AH340" s="286"/>
      <c r="AI340" s="27"/>
      <c r="AJ340" s="56"/>
      <c r="AK340" s="27"/>
      <c r="AL340" s="56"/>
      <c r="AM340" s="27"/>
      <c r="AN340" s="56"/>
      <c r="AO340" s="27"/>
      <c r="AP340" s="56"/>
      <c r="AQ340" s="27"/>
      <c r="AR340" s="56"/>
      <c r="AS340" s="27"/>
      <c r="AT340" s="56"/>
      <c r="AU340" s="27"/>
      <c r="AV340" s="56"/>
      <c r="AW340" s="27"/>
      <c r="AX340" s="56"/>
      <c r="AY340" s="27"/>
      <c r="AZ340" s="56"/>
      <c r="BA340" s="27"/>
      <c r="BB340" s="48"/>
      <c r="BC340" s="48"/>
      <c r="BD340" s="48"/>
      <c r="BE340" s="48"/>
      <c r="BF340" s="48"/>
      <c r="BG340" s="48"/>
      <c r="BH340" s="48"/>
      <c r="BI340" s="48"/>
      <c r="BJ340" s="48"/>
      <c r="BK340" s="48"/>
      <c r="BL340" s="48"/>
      <c r="BM340" s="48"/>
      <c r="BN340" s="48"/>
      <c r="BO340" s="48"/>
      <c r="BP340" s="48"/>
      <c r="BQ340" s="48"/>
      <c r="BR340" s="48"/>
      <c r="BS340" s="48"/>
      <c r="BT340" s="48"/>
      <c r="BU340" s="48"/>
    </row>
    <row r="341" ht="15.75" customHeight="1">
      <c r="A341" s="48"/>
      <c r="B341" s="48"/>
      <c r="C341" s="48"/>
      <c r="D341" s="48"/>
      <c r="E341" s="27"/>
      <c r="F341" s="48"/>
      <c r="G341" s="48"/>
      <c r="H341" s="56"/>
      <c r="I341" s="56"/>
      <c r="J341" s="56"/>
      <c r="K341" s="56"/>
      <c r="L341" s="56"/>
      <c r="M341" s="56"/>
      <c r="N341" s="56"/>
      <c r="O341" s="56"/>
      <c r="P341" s="56"/>
      <c r="Q341" s="56"/>
      <c r="R341" s="56"/>
      <c r="S341" s="56"/>
      <c r="T341" s="56"/>
      <c r="U341" s="56"/>
      <c r="V341" s="56"/>
      <c r="W341" s="27"/>
      <c r="X341" s="56"/>
      <c r="Y341" s="27"/>
      <c r="Z341" s="56"/>
      <c r="AA341" s="27"/>
      <c r="AB341" s="56"/>
      <c r="AC341" s="27"/>
      <c r="AD341" s="56"/>
      <c r="AE341" s="27"/>
      <c r="AF341" s="56"/>
      <c r="AG341" s="27"/>
      <c r="AH341" s="286"/>
      <c r="AI341" s="27"/>
      <c r="AJ341" s="56"/>
      <c r="AK341" s="27"/>
      <c r="AL341" s="56"/>
      <c r="AM341" s="27"/>
      <c r="AN341" s="56"/>
      <c r="AO341" s="27"/>
      <c r="AP341" s="56"/>
      <c r="AQ341" s="27"/>
      <c r="AR341" s="56"/>
      <c r="AS341" s="27"/>
      <c r="AT341" s="56"/>
      <c r="AU341" s="27"/>
      <c r="AV341" s="56"/>
      <c r="AW341" s="27"/>
      <c r="AX341" s="56"/>
      <c r="AY341" s="27"/>
      <c r="AZ341" s="56"/>
      <c r="BA341" s="27"/>
      <c r="BB341" s="48"/>
      <c r="BC341" s="48"/>
      <c r="BD341" s="48"/>
      <c r="BE341" s="48"/>
      <c r="BF341" s="48"/>
      <c r="BG341" s="48"/>
      <c r="BH341" s="48"/>
      <c r="BI341" s="48"/>
      <c r="BJ341" s="48"/>
      <c r="BK341" s="48"/>
      <c r="BL341" s="48"/>
      <c r="BM341" s="48"/>
      <c r="BN341" s="48"/>
      <c r="BO341" s="48"/>
      <c r="BP341" s="48"/>
      <c r="BQ341" s="48"/>
      <c r="BR341" s="48"/>
      <c r="BS341" s="48"/>
      <c r="BT341" s="48"/>
      <c r="BU341" s="48"/>
    </row>
    <row r="342" ht="15.75" customHeight="1">
      <c r="A342" s="48"/>
      <c r="B342" s="48"/>
      <c r="C342" s="48"/>
      <c r="D342" s="48"/>
      <c r="E342" s="27"/>
      <c r="F342" s="48"/>
      <c r="G342" s="48"/>
      <c r="H342" s="56"/>
      <c r="I342" s="56"/>
      <c r="J342" s="56"/>
      <c r="K342" s="56"/>
      <c r="L342" s="56"/>
      <c r="M342" s="56"/>
      <c r="N342" s="56"/>
      <c r="O342" s="56"/>
      <c r="P342" s="56"/>
      <c r="Q342" s="56"/>
      <c r="R342" s="56"/>
      <c r="S342" s="56"/>
      <c r="T342" s="56"/>
      <c r="U342" s="56"/>
      <c r="V342" s="56"/>
      <c r="W342" s="27"/>
      <c r="X342" s="56"/>
      <c r="Y342" s="27"/>
      <c r="Z342" s="56"/>
      <c r="AA342" s="27"/>
      <c r="AB342" s="56"/>
      <c r="AC342" s="27"/>
      <c r="AD342" s="56"/>
      <c r="AE342" s="27"/>
      <c r="AF342" s="56"/>
      <c r="AG342" s="27"/>
      <c r="AH342" s="286"/>
      <c r="AI342" s="27"/>
      <c r="AJ342" s="56"/>
      <c r="AK342" s="27"/>
      <c r="AL342" s="56"/>
      <c r="AM342" s="27"/>
      <c r="AN342" s="56"/>
      <c r="AO342" s="27"/>
      <c r="AP342" s="56"/>
      <c r="AQ342" s="27"/>
      <c r="AR342" s="56"/>
      <c r="AS342" s="27"/>
      <c r="AT342" s="56"/>
      <c r="AU342" s="27"/>
      <c r="AV342" s="56"/>
      <c r="AW342" s="27"/>
      <c r="AX342" s="56"/>
      <c r="AY342" s="27"/>
      <c r="AZ342" s="56"/>
      <c r="BA342" s="27"/>
      <c r="BB342" s="48"/>
      <c r="BC342" s="48"/>
      <c r="BD342" s="48"/>
      <c r="BE342" s="48"/>
      <c r="BF342" s="48"/>
      <c r="BG342" s="48"/>
      <c r="BH342" s="48"/>
      <c r="BI342" s="48"/>
      <c r="BJ342" s="48"/>
      <c r="BK342" s="48"/>
      <c r="BL342" s="48"/>
      <c r="BM342" s="48"/>
      <c r="BN342" s="48"/>
      <c r="BO342" s="48"/>
      <c r="BP342" s="48"/>
      <c r="BQ342" s="48"/>
      <c r="BR342" s="48"/>
      <c r="BS342" s="48"/>
      <c r="BT342" s="48"/>
      <c r="BU342" s="48"/>
    </row>
    <row r="343" ht="15.75" customHeight="1">
      <c r="A343" s="48"/>
      <c r="B343" s="48"/>
      <c r="C343" s="48"/>
      <c r="D343" s="48"/>
      <c r="E343" s="27"/>
      <c r="F343" s="48"/>
      <c r="G343" s="48"/>
      <c r="H343" s="56"/>
      <c r="I343" s="56"/>
      <c r="J343" s="56"/>
      <c r="K343" s="56"/>
      <c r="L343" s="56"/>
      <c r="M343" s="56"/>
      <c r="N343" s="56"/>
      <c r="O343" s="56"/>
      <c r="P343" s="56"/>
      <c r="Q343" s="56"/>
      <c r="R343" s="56"/>
      <c r="S343" s="56"/>
      <c r="T343" s="56"/>
      <c r="U343" s="56"/>
      <c r="V343" s="56"/>
      <c r="W343" s="27"/>
      <c r="X343" s="56"/>
      <c r="Y343" s="27"/>
      <c r="Z343" s="56"/>
      <c r="AA343" s="27"/>
      <c r="AB343" s="56"/>
      <c r="AC343" s="27"/>
      <c r="AD343" s="56"/>
      <c r="AE343" s="27"/>
      <c r="AF343" s="56"/>
      <c r="AG343" s="27"/>
      <c r="AH343" s="286"/>
      <c r="AI343" s="27"/>
      <c r="AJ343" s="56"/>
      <c r="AK343" s="27"/>
      <c r="AL343" s="56"/>
      <c r="AM343" s="27"/>
      <c r="AN343" s="56"/>
      <c r="AO343" s="27"/>
      <c r="AP343" s="56"/>
      <c r="AQ343" s="27"/>
      <c r="AR343" s="56"/>
      <c r="AS343" s="27"/>
      <c r="AT343" s="56"/>
      <c r="AU343" s="27"/>
      <c r="AV343" s="56"/>
      <c r="AW343" s="27"/>
      <c r="AX343" s="56"/>
      <c r="AY343" s="27"/>
      <c r="AZ343" s="56"/>
      <c r="BA343" s="27"/>
      <c r="BB343" s="48"/>
      <c r="BC343" s="48"/>
      <c r="BD343" s="48"/>
      <c r="BE343" s="48"/>
      <c r="BF343" s="48"/>
      <c r="BG343" s="48"/>
      <c r="BH343" s="48"/>
      <c r="BI343" s="48"/>
      <c r="BJ343" s="48"/>
      <c r="BK343" s="48"/>
      <c r="BL343" s="48"/>
      <c r="BM343" s="48"/>
      <c r="BN343" s="48"/>
      <c r="BO343" s="48"/>
      <c r="BP343" s="48"/>
      <c r="BQ343" s="48"/>
      <c r="BR343" s="48"/>
      <c r="BS343" s="48"/>
      <c r="BT343" s="48"/>
      <c r="BU343" s="48"/>
    </row>
    <row r="344" ht="15.75" customHeight="1">
      <c r="A344" s="48"/>
      <c r="B344" s="48"/>
      <c r="C344" s="48"/>
      <c r="D344" s="48"/>
      <c r="E344" s="27"/>
      <c r="F344" s="48"/>
      <c r="G344" s="48"/>
      <c r="H344" s="56"/>
      <c r="I344" s="56"/>
      <c r="J344" s="56"/>
      <c r="K344" s="56"/>
      <c r="L344" s="56"/>
      <c r="M344" s="56"/>
      <c r="N344" s="56"/>
      <c r="O344" s="56"/>
      <c r="P344" s="56"/>
      <c r="Q344" s="56"/>
      <c r="R344" s="56"/>
      <c r="S344" s="56"/>
      <c r="T344" s="56"/>
      <c r="U344" s="56"/>
      <c r="V344" s="56"/>
      <c r="W344" s="27"/>
      <c r="X344" s="56"/>
      <c r="Y344" s="27"/>
      <c r="Z344" s="56"/>
      <c r="AA344" s="27"/>
      <c r="AB344" s="56"/>
      <c r="AC344" s="27"/>
      <c r="AD344" s="56"/>
      <c r="AE344" s="27"/>
      <c r="AF344" s="56"/>
      <c r="AG344" s="27"/>
      <c r="AH344" s="286"/>
      <c r="AI344" s="27"/>
      <c r="AJ344" s="56"/>
      <c r="AK344" s="27"/>
      <c r="AL344" s="56"/>
      <c r="AM344" s="27"/>
      <c r="AN344" s="56"/>
      <c r="AO344" s="27"/>
      <c r="AP344" s="56"/>
      <c r="AQ344" s="27"/>
      <c r="AR344" s="56"/>
      <c r="AS344" s="27"/>
      <c r="AT344" s="56"/>
      <c r="AU344" s="27"/>
      <c r="AV344" s="56"/>
      <c r="AW344" s="27"/>
      <c r="AX344" s="56"/>
      <c r="AY344" s="27"/>
      <c r="AZ344" s="56"/>
      <c r="BA344" s="27"/>
      <c r="BB344" s="48"/>
      <c r="BC344" s="48"/>
      <c r="BD344" s="48"/>
      <c r="BE344" s="48"/>
      <c r="BF344" s="48"/>
      <c r="BG344" s="48"/>
      <c r="BH344" s="48"/>
      <c r="BI344" s="48"/>
      <c r="BJ344" s="48"/>
      <c r="BK344" s="48"/>
      <c r="BL344" s="48"/>
      <c r="BM344" s="48"/>
      <c r="BN344" s="48"/>
      <c r="BO344" s="48"/>
      <c r="BP344" s="48"/>
      <c r="BQ344" s="48"/>
      <c r="BR344" s="48"/>
      <c r="BS344" s="48"/>
      <c r="BT344" s="48"/>
      <c r="BU344" s="48"/>
    </row>
    <row r="345" ht="15.75" customHeight="1">
      <c r="A345" s="48"/>
      <c r="B345" s="48"/>
      <c r="C345" s="48"/>
      <c r="D345" s="48"/>
      <c r="E345" s="27"/>
      <c r="F345" s="48"/>
      <c r="G345" s="48"/>
      <c r="H345" s="56"/>
      <c r="I345" s="56"/>
      <c r="J345" s="56"/>
      <c r="K345" s="56"/>
      <c r="L345" s="56"/>
      <c r="M345" s="56"/>
      <c r="N345" s="56"/>
      <c r="O345" s="56"/>
      <c r="P345" s="56"/>
      <c r="Q345" s="56"/>
      <c r="R345" s="56"/>
      <c r="S345" s="56"/>
      <c r="T345" s="56"/>
      <c r="U345" s="56"/>
      <c r="V345" s="56"/>
      <c r="W345" s="27"/>
      <c r="X345" s="56"/>
      <c r="Y345" s="27"/>
      <c r="Z345" s="56"/>
      <c r="AA345" s="27"/>
      <c r="AB345" s="56"/>
      <c r="AC345" s="27"/>
      <c r="AD345" s="56"/>
      <c r="AE345" s="27"/>
      <c r="AF345" s="56"/>
      <c r="AG345" s="27"/>
      <c r="AH345" s="286"/>
      <c r="AI345" s="27"/>
      <c r="AJ345" s="56"/>
      <c r="AK345" s="27"/>
      <c r="AL345" s="56"/>
      <c r="AM345" s="27"/>
      <c r="AN345" s="56"/>
      <c r="AO345" s="27"/>
      <c r="AP345" s="56"/>
      <c r="AQ345" s="27"/>
      <c r="AR345" s="56"/>
      <c r="AS345" s="27"/>
      <c r="AT345" s="56"/>
      <c r="AU345" s="27"/>
      <c r="AV345" s="56"/>
      <c r="AW345" s="27"/>
      <c r="AX345" s="56"/>
      <c r="AY345" s="27"/>
      <c r="AZ345" s="56"/>
      <c r="BA345" s="27"/>
      <c r="BB345" s="48"/>
      <c r="BC345" s="48"/>
      <c r="BD345" s="48"/>
      <c r="BE345" s="48"/>
      <c r="BF345" s="48"/>
      <c r="BG345" s="48"/>
      <c r="BH345" s="48"/>
      <c r="BI345" s="48"/>
      <c r="BJ345" s="48"/>
      <c r="BK345" s="48"/>
      <c r="BL345" s="48"/>
      <c r="BM345" s="48"/>
      <c r="BN345" s="48"/>
      <c r="BO345" s="48"/>
      <c r="BP345" s="48"/>
      <c r="BQ345" s="48"/>
      <c r="BR345" s="48"/>
      <c r="BS345" s="48"/>
      <c r="BT345" s="48"/>
      <c r="BU345" s="48"/>
    </row>
    <row r="346" ht="15.75" customHeight="1">
      <c r="A346" s="48"/>
      <c r="B346" s="48"/>
      <c r="C346" s="48"/>
      <c r="D346" s="48"/>
      <c r="E346" s="27"/>
      <c r="F346" s="48"/>
      <c r="G346" s="48"/>
      <c r="H346" s="56"/>
      <c r="I346" s="56"/>
      <c r="J346" s="56"/>
      <c r="K346" s="56"/>
      <c r="L346" s="56"/>
      <c r="M346" s="56"/>
      <c r="N346" s="56"/>
      <c r="O346" s="56"/>
      <c r="P346" s="56"/>
      <c r="Q346" s="56"/>
      <c r="R346" s="56"/>
      <c r="S346" s="56"/>
      <c r="T346" s="56"/>
      <c r="U346" s="56"/>
      <c r="V346" s="56"/>
      <c r="W346" s="27"/>
      <c r="X346" s="56"/>
      <c r="Y346" s="27"/>
      <c r="Z346" s="56"/>
      <c r="AA346" s="27"/>
      <c r="AB346" s="56"/>
      <c r="AC346" s="27"/>
      <c r="AD346" s="56"/>
      <c r="AE346" s="27"/>
      <c r="AF346" s="56"/>
      <c r="AG346" s="27"/>
      <c r="AH346" s="286"/>
      <c r="AI346" s="27"/>
      <c r="AJ346" s="56"/>
      <c r="AK346" s="27"/>
      <c r="AL346" s="56"/>
      <c r="AM346" s="27"/>
      <c r="AN346" s="56"/>
      <c r="AO346" s="27"/>
      <c r="AP346" s="56"/>
      <c r="AQ346" s="27"/>
      <c r="AR346" s="56"/>
      <c r="AS346" s="27"/>
      <c r="AT346" s="56"/>
      <c r="AU346" s="27"/>
      <c r="AV346" s="56"/>
      <c r="AW346" s="27"/>
      <c r="AX346" s="56"/>
      <c r="AY346" s="27"/>
      <c r="AZ346" s="56"/>
      <c r="BA346" s="27"/>
      <c r="BB346" s="48"/>
      <c r="BC346" s="48"/>
      <c r="BD346" s="48"/>
      <c r="BE346" s="48"/>
      <c r="BF346" s="48"/>
      <c r="BG346" s="48"/>
      <c r="BH346" s="48"/>
      <c r="BI346" s="48"/>
      <c r="BJ346" s="48"/>
      <c r="BK346" s="48"/>
      <c r="BL346" s="48"/>
      <c r="BM346" s="48"/>
      <c r="BN346" s="48"/>
      <c r="BO346" s="48"/>
      <c r="BP346" s="48"/>
      <c r="BQ346" s="48"/>
      <c r="BR346" s="48"/>
      <c r="BS346" s="48"/>
      <c r="BT346" s="48"/>
      <c r="BU346" s="48"/>
    </row>
    <row r="347" ht="15.75" customHeight="1">
      <c r="A347" s="48"/>
      <c r="B347" s="48"/>
      <c r="C347" s="48"/>
      <c r="D347" s="48"/>
      <c r="E347" s="27"/>
      <c r="F347" s="48"/>
      <c r="G347" s="48"/>
      <c r="H347" s="56"/>
      <c r="I347" s="56"/>
      <c r="J347" s="56"/>
      <c r="K347" s="56"/>
      <c r="L347" s="56"/>
      <c r="M347" s="56"/>
      <c r="N347" s="56"/>
      <c r="O347" s="56"/>
      <c r="P347" s="56"/>
      <c r="Q347" s="56"/>
      <c r="R347" s="56"/>
      <c r="S347" s="56"/>
      <c r="T347" s="56"/>
      <c r="U347" s="56"/>
      <c r="V347" s="56"/>
      <c r="W347" s="27"/>
      <c r="X347" s="56"/>
      <c r="Y347" s="27"/>
      <c r="Z347" s="56"/>
      <c r="AA347" s="27"/>
      <c r="AB347" s="56"/>
      <c r="AC347" s="27"/>
      <c r="AD347" s="56"/>
      <c r="AE347" s="27"/>
      <c r="AF347" s="56"/>
      <c r="AG347" s="27"/>
      <c r="AH347" s="286"/>
      <c r="AI347" s="27"/>
      <c r="AJ347" s="56"/>
      <c r="AK347" s="27"/>
      <c r="AL347" s="56"/>
      <c r="AM347" s="27"/>
      <c r="AN347" s="56"/>
      <c r="AO347" s="27"/>
      <c r="AP347" s="56"/>
      <c r="AQ347" s="27"/>
      <c r="AR347" s="56"/>
      <c r="AS347" s="27"/>
      <c r="AT347" s="56"/>
      <c r="AU347" s="27"/>
      <c r="AV347" s="56"/>
      <c r="AW347" s="27"/>
      <c r="AX347" s="56"/>
      <c r="AY347" s="27"/>
      <c r="AZ347" s="56"/>
      <c r="BA347" s="27"/>
      <c r="BB347" s="48"/>
      <c r="BC347" s="48"/>
      <c r="BD347" s="48"/>
      <c r="BE347" s="48"/>
      <c r="BF347" s="48"/>
      <c r="BG347" s="48"/>
      <c r="BH347" s="48"/>
      <c r="BI347" s="48"/>
      <c r="BJ347" s="48"/>
      <c r="BK347" s="48"/>
      <c r="BL347" s="48"/>
      <c r="BM347" s="48"/>
      <c r="BN347" s="48"/>
      <c r="BO347" s="48"/>
      <c r="BP347" s="48"/>
      <c r="BQ347" s="48"/>
      <c r="BR347" s="48"/>
      <c r="BS347" s="48"/>
      <c r="BT347" s="48"/>
      <c r="BU347" s="48"/>
    </row>
    <row r="348" ht="15.75" customHeight="1">
      <c r="A348" s="48"/>
      <c r="B348" s="48"/>
      <c r="C348" s="48"/>
      <c r="D348" s="48"/>
      <c r="E348" s="27"/>
      <c r="F348" s="48"/>
      <c r="G348" s="48"/>
      <c r="H348" s="56"/>
      <c r="I348" s="56"/>
      <c r="J348" s="56"/>
      <c r="K348" s="56"/>
      <c r="L348" s="56"/>
      <c r="M348" s="56"/>
      <c r="N348" s="56"/>
      <c r="O348" s="56"/>
      <c r="P348" s="56"/>
      <c r="Q348" s="56"/>
      <c r="R348" s="56"/>
      <c r="S348" s="56"/>
      <c r="T348" s="56"/>
      <c r="U348" s="56"/>
      <c r="V348" s="56"/>
      <c r="W348" s="27"/>
      <c r="X348" s="56"/>
      <c r="Y348" s="27"/>
      <c r="Z348" s="56"/>
      <c r="AA348" s="27"/>
      <c r="AB348" s="56"/>
      <c r="AC348" s="27"/>
      <c r="AD348" s="56"/>
      <c r="AE348" s="27"/>
      <c r="AF348" s="56"/>
      <c r="AG348" s="27"/>
      <c r="AH348" s="286"/>
      <c r="AI348" s="27"/>
      <c r="AJ348" s="56"/>
      <c r="AK348" s="27"/>
      <c r="AL348" s="56"/>
      <c r="AM348" s="27"/>
      <c r="AN348" s="56"/>
      <c r="AO348" s="27"/>
      <c r="AP348" s="56"/>
      <c r="AQ348" s="27"/>
      <c r="AR348" s="56"/>
      <c r="AS348" s="27"/>
      <c r="AT348" s="56"/>
      <c r="AU348" s="27"/>
      <c r="AV348" s="56"/>
      <c r="AW348" s="27"/>
      <c r="AX348" s="56"/>
      <c r="AY348" s="27"/>
      <c r="AZ348" s="56"/>
      <c r="BA348" s="27"/>
      <c r="BB348" s="48"/>
      <c r="BC348" s="48"/>
      <c r="BD348" s="48"/>
      <c r="BE348" s="48"/>
      <c r="BF348" s="48"/>
      <c r="BG348" s="48"/>
      <c r="BH348" s="48"/>
      <c r="BI348" s="48"/>
      <c r="BJ348" s="48"/>
      <c r="BK348" s="48"/>
      <c r="BL348" s="48"/>
      <c r="BM348" s="48"/>
      <c r="BN348" s="48"/>
      <c r="BO348" s="48"/>
      <c r="BP348" s="48"/>
      <c r="BQ348" s="48"/>
      <c r="BR348" s="48"/>
      <c r="BS348" s="48"/>
      <c r="BT348" s="48"/>
      <c r="BU348" s="48"/>
    </row>
    <row r="349" ht="15.75" customHeight="1">
      <c r="A349" s="48"/>
      <c r="B349" s="48"/>
      <c r="C349" s="48"/>
      <c r="D349" s="48"/>
      <c r="E349" s="27"/>
      <c r="F349" s="48"/>
      <c r="G349" s="48"/>
      <c r="H349" s="56"/>
      <c r="I349" s="56"/>
      <c r="J349" s="56"/>
      <c r="K349" s="56"/>
      <c r="L349" s="56"/>
      <c r="M349" s="56"/>
      <c r="N349" s="56"/>
      <c r="O349" s="56"/>
      <c r="P349" s="56"/>
      <c r="Q349" s="56"/>
      <c r="R349" s="56"/>
      <c r="S349" s="56"/>
      <c r="T349" s="56"/>
      <c r="U349" s="56"/>
      <c r="V349" s="56"/>
      <c r="W349" s="27"/>
      <c r="X349" s="56"/>
      <c r="Y349" s="27"/>
      <c r="Z349" s="56"/>
      <c r="AA349" s="27"/>
      <c r="AB349" s="56"/>
      <c r="AC349" s="27"/>
      <c r="AD349" s="56"/>
      <c r="AE349" s="27"/>
      <c r="AF349" s="56"/>
      <c r="AG349" s="27"/>
      <c r="AH349" s="286"/>
      <c r="AI349" s="27"/>
      <c r="AJ349" s="56"/>
      <c r="AK349" s="27"/>
      <c r="AL349" s="56"/>
      <c r="AM349" s="27"/>
      <c r="AN349" s="56"/>
      <c r="AO349" s="27"/>
      <c r="AP349" s="56"/>
      <c r="AQ349" s="27"/>
      <c r="AR349" s="56"/>
      <c r="AS349" s="27"/>
      <c r="AT349" s="56"/>
      <c r="AU349" s="27"/>
      <c r="AV349" s="56"/>
      <c r="AW349" s="27"/>
      <c r="AX349" s="56"/>
      <c r="AY349" s="27"/>
      <c r="AZ349" s="56"/>
      <c r="BA349" s="27"/>
      <c r="BB349" s="48"/>
      <c r="BC349" s="48"/>
      <c r="BD349" s="48"/>
      <c r="BE349" s="48"/>
      <c r="BF349" s="48"/>
      <c r="BG349" s="48"/>
      <c r="BH349" s="48"/>
      <c r="BI349" s="48"/>
      <c r="BJ349" s="48"/>
      <c r="BK349" s="48"/>
      <c r="BL349" s="48"/>
      <c r="BM349" s="48"/>
      <c r="BN349" s="48"/>
      <c r="BO349" s="48"/>
      <c r="BP349" s="48"/>
      <c r="BQ349" s="48"/>
      <c r="BR349" s="48"/>
      <c r="BS349" s="48"/>
      <c r="BT349" s="48"/>
      <c r="BU349" s="48"/>
    </row>
    <row r="350" ht="15.75" customHeight="1">
      <c r="A350" s="48"/>
      <c r="B350" s="48"/>
      <c r="C350" s="48"/>
      <c r="D350" s="48"/>
      <c r="E350" s="27"/>
      <c r="F350" s="48"/>
      <c r="G350" s="48"/>
      <c r="H350" s="56"/>
      <c r="I350" s="56"/>
      <c r="J350" s="56"/>
      <c r="K350" s="56"/>
      <c r="L350" s="56"/>
      <c r="M350" s="56"/>
      <c r="N350" s="56"/>
      <c r="O350" s="56"/>
      <c r="P350" s="56"/>
      <c r="Q350" s="56"/>
      <c r="R350" s="56"/>
      <c r="S350" s="56"/>
      <c r="T350" s="56"/>
      <c r="U350" s="56"/>
      <c r="V350" s="56"/>
      <c r="W350" s="27"/>
      <c r="X350" s="56"/>
      <c r="Y350" s="27"/>
      <c r="Z350" s="56"/>
      <c r="AA350" s="27"/>
      <c r="AB350" s="56"/>
      <c r="AC350" s="27"/>
      <c r="AD350" s="56"/>
      <c r="AE350" s="27"/>
      <c r="AF350" s="56"/>
      <c r="AG350" s="27"/>
      <c r="AH350" s="286"/>
      <c r="AI350" s="27"/>
      <c r="AJ350" s="56"/>
      <c r="AK350" s="27"/>
      <c r="AL350" s="56"/>
      <c r="AM350" s="27"/>
      <c r="AN350" s="56"/>
      <c r="AO350" s="27"/>
      <c r="AP350" s="56"/>
      <c r="AQ350" s="27"/>
      <c r="AR350" s="56"/>
      <c r="AS350" s="27"/>
      <c r="AT350" s="56"/>
      <c r="AU350" s="27"/>
      <c r="AV350" s="56"/>
      <c r="AW350" s="27"/>
      <c r="AX350" s="56"/>
      <c r="AY350" s="27"/>
      <c r="AZ350" s="56"/>
      <c r="BA350" s="27"/>
      <c r="BB350" s="48"/>
      <c r="BC350" s="48"/>
      <c r="BD350" s="48"/>
      <c r="BE350" s="48"/>
      <c r="BF350" s="48"/>
      <c r="BG350" s="48"/>
      <c r="BH350" s="48"/>
      <c r="BI350" s="48"/>
      <c r="BJ350" s="48"/>
      <c r="BK350" s="48"/>
      <c r="BL350" s="48"/>
      <c r="BM350" s="48"/>
      <c r="BN350" s="48"/>
      <c r="BO350" s="48"/>
      <c r="BP350" s="48"/>
      <c r="BQ350" s="48"/>
      <c r="BR350" s="48"/>
      <c r="BS350" s="48"/>
      <c r="BT350" s="48"/>
      <c r="BU350" s="48"/>
    </row>
    <row r="351" ht="15.75" customHeight="1">
      <c r="A351" s="48"/>
      <c r="B351" s="48"/>
      <c r="C351" s="48"/>
      <c r="D351" s="48"/>
      <c r="E351" s="27"/>
      <c r="F351" s="48"/>
      <c r="G351" s="48"/>
      <c r="H351" s="56"/>
      <c r="I351" s="56"/>
      <c r="J351" s="56"/>
      <c r="K351" s="56"/>
      <c r="L351" s="56"/>
      <c r="M351" s="56"/>
      <c r="N351" s="56"/>
      <c r="O351" s="56"/>
      <c r="P351" s="56"/>
      <c r="Q351" s="56"/>
      <c r="R351" s="56"/>
      <c r="S351" s="56"/>
      <c r="T351" s="56"/>
      <c r="U351" s="56"/>
      <c r="V351" s="56"/>
      <c r="W351" s="27"/>
      <c r="X351" s="56"/>
      <c r="Y351" s="27"/>
      <c r="Z351" s="56"/>
      <c r="AA351" s="27"/>
      <c r="AB351" s="56"/>
      <c r="AC351" s="27"/>
      <c r="AD351" s="56"/>
      <c r="AE351" s="27"/>
      <c r="AF351" s="56"/>
      <c r="AG351" s="27"/>
      <c r="AH351" s="286"/>
      <c r="AI351" s="27"/>
      <c r="AJ351" s="56"/>
      <c r="AK351" s="27"/>
      <c r="AL351" s="56"/>
      <c r="AM351" s="27"/>
      <c r="AN351" s="56"/>
      <c r="AO351" s="27"/>
      <c r="AP351" s="56"/>
      <c r="AQ351" s="27"/>
      <c r="AR351" s="56"/>
      <c r="AS351" s="27"/>
      <c r="AT351" s="56"/>
      <c r="AU351" s="27"/>
      <c r="AV351" s="56"/>
      <c r="AW351" s="27"/>
      <c r="AX351" s="56"/>
      <c r="AY351" s="27"/>
      <c r="AZ351" s="56"/>
      <c r="BA351" s="27"/>
      <c r="BB351" s="48"/>
      <c r="BC351" s="48"/>
      <c r="BD351" s="48"/>
      <c r="BE351" s="48"/>
      <c r="BF351" s="48"/>
      <c r="BG351" s="48"/>
      <c r="BH351" s="48"/>
      <c r="BI351" s="48"/>
      <c r="BJ351" s="48"/>
      <c r="BK351" s="48"/>
      <c r="BL351" s="48"/>
      <c r="BM351" s="48"/>
      <c r="BN351" s="48"/>
      <c r="BO351" s="48"/>
      <c r="BP351" s="48"/>
      <c r="BQ351" s="48"/>
      <c r="BR351" s="48"/>
      <c r="BS351" s="48"/>
      <c r="BT351" s="48"/>
      <c r="BU351" s="48"/>
    </row>
    <row r="352" ht="15.75" customHeight="1">
      <c r="A352" s="48"/>
      <c r="B352" s="48"/>
      <c r="C352" s="48"/>
      <c r="D352" s="48"/>
      <c r="E352" s="27"/>
      <c r="F352" s="48"/>
      <c r="G352" s="48"/>
      <c r="H352" s="56"/>
      <c r="I352" s="56"/>
      <c r="J352" s="56"/>
      <c r="K352" s="56"/>
      <c r="L352" s="56"/>
      <c r="M352" s="56"/>
      <c r="N352" s="56"/>
      <c r="O352" s="56"/>
      <c r="P352" s="56"/>
      <c r="Q352" s="56"/>
      <c r="R352" s="56"/>
      <c r="S352" s="56"/>
      <c r="T352" s="56"/>
      <c r="U352" s="56"/>
      <c r="V352" s="56"/>
      <c r="W352" s="27"/>
      <c r="X352" s="56"/>
      <c r="Y352" s="27"/>
      <c r="Z352" s="56"/>
      <c r="AA352" s="27"/>
      <c r="AB352" s="56"/>
      <c r="AC352" s="27"/>
      <c r="AD352" s="56"/>
      <c r="AE352" s="27"/>
      <c r="AF352" s="56"/>
      <c r="AG352" s="27"/>
      <c r="AH352" s="286"/>
      <c r="AI352" s="27"/>
      <c r="AJ352" s="56"/>
      <c r="AK352" s="27"/>
      <c r="AL352" s="56"/>
      <c r="AM352" s="27"/>
      <c r="AN352" s="56"/>
      <c r="AO352" s="27"/>
      <c r="AP352" s="56"/>
      <c r="AQ352" s="27"/>
      <c r="AR352" s="56"/>
      <c r="AS352" s="27"/>
      <c r="AT352" s="56"/>
      <c r="AU352" s="27"/>
      <c r="AV352" s="56"/>
      <c r="AW352" s="27"/>
      <c r="AX352" s="56"/>
      <c r="AY352" s="27"/>
      <c r="AZ352" s="56"/>
      <c r="BA352" s="27"/>
      <c r="BB352" s="48"/>
      <c r="BC352" s="48"/>
      <c r="BD352" s="48"/>
      <c r="BE352" s="48"/>
      <c r="BF352" s="48"/>
      <c r="BG352" s="48"/>
      <c r="BH352" s="48"/>
      <c r="BI352" s="48"/>
      <c r="BJ352" s="48"/>
      <c r="BK352" s="48"/>
      <c r="BL352" s="48"/>
      <c r="BM352" s="48"/>
      <c r="BN352" s="48"/>
      <c r="BO352" s="48"/>
      <c r="BP352" s="48"/>
      <c r="BQ352" s="48"/>
      <c r="BR352" s="48"/>
      <c r="BS352" s="48"/>
      <c r="BT352" s="48"/>
      <c r="BU352" s="48"/>
    </row>
    <row r="353" ht="15.75" customHeight="1">
      <c r="A353" s="48"/>
      <c r="B353" s="48"/>
      <c r="C353" s="48"/>
      <c r="D353" s="48"/>
      <c r="E353" s="27"/>
      <c r="F353" s="48"/>
      <c r="G353" s="48"/>
      <c r="H353" s="56"/>
      <c r="I353" s="56"/>
      <c r="J353" s="56"/>
      <c r="K353" s="56"/>
      <c r="L353" s="56"/>
      <c r="M353" s="56"/>
      <c r="N353" s="56"/>
      <c r="O353" s="56"/>
      <c r="P353" s="56"/>
      <c r="Q353" s="56"/>
      <c r="R353" s="56"/>
      <c r="S353" s="56"/>
      <c r="T353" s="56"/>
      <c r="U353" s="56"/>
      <c r="V353" s="56"/>
      <c r="W353" s="27"/>
      <c r="X353" s="56"/>
      <c r="Y353" s="27"/>
      <c r="Z353" s="56"/>
      <c r="AA353" s="27"/>
      <c r="AB353" s="56"/>
      <c r="AC353" s="27"/>
      <c r="AD353" s="56"/>
      <c r="AE353" s="27"/>
      <c r="AF353" s="56"/>
      <c r="AG353" s="27"/>
      <c r="AH353" s="286"/>
      <c r="AI353" s="27"/>
      <c r="AJ353" s="56"/>
      <c r="AK353" s="27"/>
      <c r="AL353" s="56"/>
      <c r="AM353" s="27"/>
      <c r="AN353" s="56"/>
      <c r="AO353" s="27"/>
      <c r="AP353" s="56"/>
      <c r="AQ353" s="27"/>
      <c r="AR353" s="56"/>
      <c r="AS353" s="27"/>
      <c r="AT353" s="56"/>
      <c r="AU353" s="27"/>
      <c r="AV353" s="56"/>
      <c r="AW353" s="27"/>
      <c r="AX353" s="56"/>
      <c r="AY353" s="27"/>
      <c r="AZ353" s="56"/>
      <c r="BA353" s="27"/>
      <c r="BB353" s="48"/>
      <c r="BC353" s="48"/>
      <c r="BD353" s="48"/>
      <c r="BE353" s="48"/>
      <c r="BF353" s="48"/>
      <c r="BG353" s="48"/>
      <c r="BH353" s="48"/>
      <c r="BI353" s="48"/>
      <c r="BJ353" s="48"/>
      <c r="BK353" s="48"/>
      <c r="BL353" s="48"/>
      <c r="BM353" s="48"/>
      <c r="BN353" s="48"/>
      <c r="BO353" s="48"/>
      <c r="BP353" s="48"/>
      <c r="BQ353" s="48"/>
      <c r="BR353" s="48"/>
      <c r="BS353" s="48"/>
      <c r="BT353" s="48"/>
      <c r="BU353" s="48"/>
    </row>
    <row r="354" ht="15.75" customHeight="1">
      <c r="A354" s="48"/>
      <c r="B354" s="48"/>
      <c r="C354" s="48"/>
      <c r="D354" s="48"/>
      <c r="E354" s="27"/>
      <c r="F354" s="48"/>
      <c r="G354" s="48"/>
      <c r="H354" s="56"/>
      <c r="I354" s="56"/>
      <c r="J354" s="56"/>
      <c r="K354" s="56"/>
      <c r="L354" s="56"/>
      <c r="M354" s="56"/>
      <c r="N354" s="56"/>
      <c r="O354" s="56"/>
      <c r="P354" s="56"/>
      <c r="Q354" s="56"/>
      <c r="R354" s="56"/>
      <c r="S354" s="56"/>
      <c r="T354" s="56"/>
      <c r="U354" s="56"/>
      <c r="V354" s="56"/>
      <c r="W354" s="27"/>
      <c r="X354" s="56"/>
      <c r="Y354" s="27"/>
      <c r="Z354" s="56"/>
      <c r="AA354" s="27"/>
      <c r="AB354" s="56"/>
      <c r="AC354" s="27"/>
      <c r="AD354" s="56"/>
      <c r="AE354" s="27"/>
      <c r="AF354" s="56"/>
      <c r="AG354" s="27"/>
      <c r="AH354" s="286"/>
      <c r="AI354" s="27"/>
      <c r="AJ354" s="56"/>
      <c r="AK354" s="27"/>
      <c r="AL354" s="56"/>
      <c r="AM354" s="27"/>
      <c r="AN354" s="56"/>
      <c r="AO354" s="27"/>
      <c r="AP354" s="56"/>
      <c r="AQ354" s="27"/>
      <c r="AR354" s="56"/>
      <c r="AS354" s="27"/>
      <c r="AT354" s="56"/>
      <c r="AU354" s="27"/>
      <c r="AV354" s="56"/>
      <c r="AW354" s="27"/>
      <c r="AX354" s="56"/>
      <c r="AY354" s="27"/>
      <c r="AZ354" s="56"/>
      <c r="BA354" s="27"/>
      <c r="BB354" s="48"/>
      <c r="BC354" s="48"/>
      <c r="BD354" s="48"/>
      <c r="BE354" s="48"/>
      <c r="BF354" s="48"/>
      <c r="BG354" s="48"/>
      <c r="BH354" s="48"/>
      <c r="BI354" s="48"/>
      <c r="BJ354" s="48"/>
      <c r="BK354" s="48"/>
      <c r="BL354" s="48"/>
      <c r="BM354" s="48"/>
      <c r="BN354" s="48"/>
      <c r="BO354" s="48"/>
      <c r="BP354" s="48"/>
      <c r="BQ354" s="48"/>
      <c r="BR354" s="48"/>
      <c r="BS354" s="48"/>
      <c r="BT354" s="48"/>
      <c r="BU354" s="48"/>
    </row>
    <row r="355" ht="15.75" customHeight="1">
      <c r="A355" s="48"/>
      <c r="B355" s="48"/>
      <c r="C355" s="48"/>
      <c r="D355" s="48"/>
      <c r="E355" s="27"/>
      <c r="F355" s="48"/>
      <c r="G355" s="48"/>
      <c r="H355" s="56"/>
      <c r="I355" s="56"/>
      <c r="J355" s="56"/>
      <c r="K355" s="56"/>
      <c r="L355" s="56"/>
      <c r="M355" s="56"/>
      <c r="N355" s="56"/>
      <c r="O355" s="56"/>
      <c r="P355" s="56"/>
      <c r="Q355" s="56"/>
      <c r="R355" s="56"/>
      <c r="S355" s="56"/>
      <c r="T355" s="56"/>
      <c r="U355" s="56"/>
      <c r="V355" s="56"/>
      <c r="W355" s="27"/>
      <c r="X355" s="56"/>
      <c r="Y355" s="27"/>
      <c r="Z355" s="56"/>
      <c r="AA355" s="27"/>
      <c r="AB355" s="56"/>
      <c r="AC355" s="27"/>
      <c r="AD355" s="56"/>
      <c r="AE355" s="27"/>
      <c r="AF355" s="56"/>
      <c r="AG355" s="27"/>
      <c r="AH355" s="286"/>
      <c r="AI355" s="27"/>
      <c r="AJ355" s="56"/>
      <c r="AK355" s="27"/>
      <c r="AL355" s="56"/>
      <c r="AM355" s="27"/>
      <c r="AN355" s="56"/>
      <c r="AO355" s="27"/>
      <c r="AP355" s="56"/>
      <c r="AQ355" s="27"/>
      <c r="AR355" s="56"/>
      <c r="AS355" s="27"/>
      <c r="AT355" s="56"/>
      <c r="AU355" s="27"/>
      <c r="AV355" s="56"/>
      <c r="AW355" s="27"/>
      <c r="AX355" s="56"/>
      <c r="AY355" s="27"/>
      <c r="AZ355" s="56"/>
      <c r="BA355" s="27"/>
      <c r="BB355" s="48"/>
      <c r="BC355" s="48"/>
      <c r="BD355" s="48"/>
      <c r="BE355" s="48"/>
      <c r="BF355" s="48"/>
      <c r="BG355" s="48"/>
      <c r="BH355" s="48"/>
      <c r="BI355" s="48"/>
      <c r="BJ355" s="48"/>
      <c r="BK355" s="48"/>
      <c r="BL355" s="48"/>
      <c r="BM355" s="48"/>
      <c r="BN355" s="48"/>
      <c r="BO355" s="48"/>
      <c r="BP355" s="48"/>
      <c r="BQ355" s="48"/>
      <c r="BR355" s="48"/>
      <c r="BS355" s="48"/>
      <c r="BT355" s="48"/>
      <c r="BU355" s="48"/>
    </row>
    <row r="356" ht="15.75" customHeight="1">
      <c r="A356" s="48"/>
      <c r="B356" s="48"/>
      <c r="C356" s="48"/>
      <c r="D356" s="48"/>
      <c r="E356" s="27"/>
      <c r="F356" s="48"/>
      <c r="G356" s="48"/>
      <c r="H356" s="56"/>
      <c r="I356" s="56"/>
      <c r="J356" s="56"/>
      <c r="K356" s="56"/>
      <c r="L356" s="56"/>
      <c r="M356" s="56"/>
      <c r="N356" s="56"/>
      <c r="O356" s="56"/>
      <c r="P356" s="56"/>
      <c r="Q356" s="56"/>
      <c r="R356" s="56"/>
      <c r="S356" s="56"/>
      <c r="T356" s="56"/>
      <c r="U356" s="56"/>
      <c r="V356" s="56"/>
      <c r="W356" s="27"/>
      <c r="X356" s="56"/>
      <c r="Y356" s="27"/>
      <c r="Z356" s="56"/>
      <c r="AA356" s="27"/>
      <c r="AB356" s="56"/>
      <c r="AC356" s="27"/>
      <c r="AD356" s="56"/>
      <c r="AE356" s="27"/>
      <c r="AF356" s="56"/>
      <c r="AG356" s="27"/>
      <c r="AH356" s="286"/>
      <c r="AI356" s="27"/>
      <c r="AJ356" s="56"/>
      <c r="AK356" s="27"/>
      <c r="AL356" s="56"/>
      <c r="AM356" s="27"/>
      <c r="AN356" s="56"/>
      <c r="AO356" s="27"/>
      <c r="AP356" s="56"/>
      <c r="AQ356" s="27"/>
      <c r="AR356" s="56"/>
      <c r="AS356" s="27"/>
      <c r="AT356" s="56"/>
      <c r="AU356" s="27"/>
      <c r="AV356" s="56"/>
      <c r="AW356" s="27"/>
      <c r="AX356" s="56"/>
      <c r="AY356" s="27"/>
      <c r="AZ356" s="56"/>
      <c r="BA356" s="27"/>
      <c r="BB356" s="48"/>
      <c r="BC356" s="48"/>
      <c r="BD356" s="48"/>
      <c r="BE356" s="48"/>
      <c r="BF356" s="48"/>
      <c r="BG356" s="48"/>
      <c r="BH356" s="48"/>
      <c r="BI356" s="48"/>
      <c r="BJ356" s="48"/>
      <c r="BK356" s="48"/>
      <c r="BL356" s="48"/>
      <c r="BM356" s="48"/>
      <c r="BN356" s="48"/>
      <c r="BO356" s="48"/>
      <c r="BP356" s="48"/>
      <c r="BQ356" s="48"/>
      <c r="BR356" s="48"/>
      <c r="BS356" s="48"/>
      <c r="BT356" s="48"/>
      <c r="BU356" s="48"/>
    </row>
    <row r="357" ht="15.75" customHeight="1">
      <c r="A357" s="48"/>
      <c r="B357" s="48"/>
      <c r="C357" s="48"/>
      <c r="D357" s="48"/>
      <c r="E357" s="27"/>
      <c r="F357" s="48"/>
      <c r="G357" s="48"/>
      <c r="H357" s="56"/>
      <c r="I357" s="56"/>
      <c r="J357" s="56"/>
      <c r="K357" s="56"/>
      <c r="L357" s="56"/>
      <c r="M357" s="56"/>
      <c r="N357" s="56"/>
      <c r="O357" s="56"/>
      <c r="P357" s="56"/>
      <c r="Q357" s="56"/>
      <c r="R357" s="56"/>
      <c r="S357" s="56"/>
      <c r="T357" s="56"/>
      <c r="U357" s="56"/>
      <c r="V357" s="56"/>
      <c r="W357" s="27"/>
      <c r="X357" s="56"/>
      <c r="Y357" s="27"/>
      <c r="Z357" s="56"/>
      <c r="AA357" s="27"/>
      <c r="AB357" s="56"/>
      <c r="AC357" s="27"/>
      <c r="AD357" s="56"/>
      <c r="AE357" s="27"/>
      <c r="AF357" s="56"/>
      <c r="AG357" s="27"/>
      <c r="AH357" s="286"/>
      <c r="AI357" s="27"/>
      <c r="AJ357" s="56"/>
      <c r="AK357" s="27"/>
      <c r="AL357" s="56"/>
      <c r="AM357" s="27"/>
      <c r="AN357" s="56"/>
      <c r="AO357" s="27"/>
      <c r="AP357" s="56"/>
      <c r="AQ357" s="27"/>
      <c r="AR357" s="56"/>
      <c r="AS357" s="27"/>
      <c r="AT357" s="56"/>
      <c r="AU357" s="27"/>
      <c r="AV357" s="56"/>
      <c r="AW357" s="27"/>
      <c r="AX357" s="56"/>
      <c r="AY357" s="27"/>
      <c r="AZ357" s="56"/>
      <c r="BA357" s="27"/>
      <c r="BB357" s="48"/>
      <c r="BC357" s="48"/>
      <c r="BD357" s="48"/>
      <c r="BE357" s="48"/>
      <c r="BF357" s="48"/>
      <c r="BG357" s="48"/>
      <c r="BH357" s="48"/>
      <c r="BI357" s="48"/>
      <c r="BJ357" s="48"/>
      <c r="BK357" s="48"/>
      <c r="BL357" s="48"/>
      <c r="BM357" s="48"/>
      <c r="BN357" s="48"/>
      <c r="BO357" s="48"/>
      <c r="BP357" s="48"/>
      <c r="BQ357" s="48"/>
      <c r="BR357" s="48"/>
      <c r="BS357" s="48"/>
      <c r="BT357" s="48"/>
      <c r="BU357" s="48"/>
    </row>
    <row r="358" ht="15.75" customHeight="1">
      <c r="A358" s="48"/>
      <c r="B358" s="48"/>
      <c r="C358" s="48"/>
      <c r="D358" s="48"/>
      <c r="E358" s="27"/>
      <c r="F358" s="48"/>
      <c r="G358" s="48"/>
      <c r="H358" s="56"/>
      <c r="I358" s="56"/>
      <c r="J358" s="56"/>
      <c r="K358" s="56"/>
      <c r="L358" s="56"/>
      <c r="M358" s="56"/>
      <c r="N358" s="56"/>
      <c r="O358" s="56"/>
      <c r="P358" s="56"/>
      <c r="Q358" s="56"/>
      <c r="R358" s="56"/>
      <c r="S358" s="56"/>
      <c r="T358" s="56"/>
      <c r="U358" s="56"/>
      <c r="V358" s="56"/>
      <c r="W358" s="27"/>
      <c r="X358" s="56"/>
      <c r="Y358" s="27"/>
      <c r="Z358" s="56"/>
      <c r="AA358" s="27"/>
      <c r="AB358" s="56"/>
      <c r="AC358" s="27"/>
      <c r="AD358" s="56"/>
      <c r="AE358" s="27"/>
      <c r="AF358" s="56"/>
      <c r="AG358" s="27"/>
      <c r="AH358" s="286"/>
      <c r="AI358" s="27"/>
      <c r="AJ358" s="56"/>
      <c r="AK358" s="27"/>
      <c r="AL358" s="56"/>
      <c r="AM358" s="27"/>
      <c r="AN358" s="56"/>
      <c r="AO358" s="27"/>
      <c r="AP358" s="56"/>
      <c r="AQ358" s="27"/>
      <c r="AR358" s="56"/>
      <c r="AS358" s="27"/>
      <c r="AT358" s="56"/>
      <c r="AU358" s="27"/>
      <c r="AV358" s="56"/>
      <c r="AW358" s="27"/>
      <c r="AX358" s="56"/>
      <c r="AY358" s="27"/>
      <c r="AZ358" s="56"/>
      <c r="BA358" s="27"/>
      <c r="BB358" s="48"/>
      <c r="BC358" s="48"/>
      <c r="BD358" s="48"/>
      <c r="BE358" s="48"/>
      <c r="BF358" s="48"/>
      <c r="BG358" s="48"/>
      <c r="BH358" s="48"/>
      <c r="BI358" s="48"/>
      <c r="BJ358" s="48"/>
      <c r="BK358" s="48"/>
      <c r="BL358" s="48"/>
      <c r="BM358" s="48"/>
      <c r="BN358" s="48"/>
      <c r="BO358" s="48"/>
      <c r="BP358" s="48"/>
      <c r="BQ358" s="48"/>
      <c r="BR358" s="48"/>
      <c r="BS358" s="48"/>
      <c r="BT358" s="48"/>
      <c r="BU358" s="48"/>
    </row>
    <row r="359" ht="15.75" customHeight="1">
      <c r="A359" s="48"/>
      <c r="B359" s="48"/>
      <c r="C359" s="48"/>
      <c r="D359" s="48"/>
      <c r="E359" s="27"/>
      <c r="F359" s="48"/>
      <c r="G359" s="48"/>
      <c r="H359" s="56"/>
      <c r="I359" s="56"/>
      <c r="J359" s="56"/>
      <c r="K359" s="56"/>
      <c r="L359" s="56"/>
      <c r="M359" s="56"/>
      <c r="N359" s="56"/>
      <c r="O359" s="56"/>
      <c r="P359" s="56"/>
      <c r="Q359" s="56"/>
      <c r="R359" s="56"/>
      <c r="S359" s="56"/>
      <c r="T359" s="56"/>
      <c r="U359" s="56"/>
      <c r="V359" s="56"/>
      <c r="W359" s="27"/>
      <c r="X359" s="56"/>
      <c r="Y359" s="27"/>
      <c r="Z359" s="56"/>
      <c r="AA359" s="27"/>
      <c r="AB359" s="56"/>
      <c r="AC359" s="27"/>
      <c r="AD359" s="56"/>
      <c r="AE359" s="27"/>
      <c r="AF359" s="56"/>
      <c r="AG359" s="27"/>
      <c r="AH359" s="286"/>
      <c r="AI359" s="27"/>
      <c r="AJ359" s="56"/>
      <c r="AK359" s="27"/>
      <c r="AL359" s="56"/>
      <c r="AM359" s="27"/>
      <c r="AN359" s="56"/>
      <c r="AO359" s="27"/>
      <c r="AP359" s="56"/>
      <c r="AQ359" s="27"/>
      <c r="AR359" s="56"/>
      <c r="AS359" s="27"/>
      <c r="AT359" s="56"/>
      <c r="AU359" s="27"/>
      <c r="AV359" s="56"/>
      <c r="AW359" s="27"/>
      <c r="AX359" s="56"/>
      <c r="AY359" s="27"/>
      <c r="AZ359" s="56"/>
      <c r="BA359" s="27"/>
      <c r="BB359" s="48"/>
      <c r="BC359" s="48"/>
      <c r="BD359" s="48"/>
      <c r="BE359" s="48"/>
      <c r="BF359" s="48"/>
      <c r="BG359" s="48"/>
      <c r="BH359" s="48"/>
      <c r="BI359" s="48"/>
      <c r="BJ359" s="48"/>
      <c r="BK359" s="48"/>
      <c r="BL359" s="48"/>
      <c r="BM359" s="48"/>
      <c r="BN359" s="48"/>
      <c r="BO359" s="48"/>
      <c r="BP359" s="48"/>
      <c r="BQ359" s="48"/>
      <c r="BR359" s="48"/>
      <c r="BS359" s="48"/>
      <c r="BT359" s="48"/>
      <c r="BU359" s="48"/>
    </row>
    <row r="360" ht="15.75" customHeight="1">
      <c r="A360" s="48"/>
      <c r="B360" s="48"/>
      <c r="C360" s="48"/>
      <c r="D360" s="48"/>
      <c r="E360" s="27"/>
      <c r="F360" s="48"/>
      <c r="G360" s="48"/>
      <c r="H360" s="56"/>
      <c r="I360" s="56"/>
      <c r="J360" s="56"/>
      <c r="K360" s="56"/>
      <c r="L360" s="56"/>
      <c r="M360" s="56"/>
      <c r="N360" s="56"/>
      <c r="O360" s="56"/>
      <c r="P360" s="56"/>
      <c r="Q360" s="56"/>
      <c r="R360" s="56"/>
      <c r="S360" s="56"/>
      <c r="T360" s="56"/>
      <c r="U360" s="56"/>
      <c r="V360" s="56"/>
      <c r="W360" s="27"/>
      <c r="X360" s="56"/>
      <c r="Y360" s="27"/>
      <c r="Z360" s="56"/>
      <c r="AA360" s="27"/>
      <c r="AB360" s="56"/>
      <c r="AC360" s="27"/>
      <c r="AD360" s="56"/>
      <c r="AE360" s="27"/>
      <c r="AF360" s="56"/>
      <c r="AG360" s="27"/>
      <c r="AH360" s="286"/>
      <c r="AI360" s="27"/>
      <c r="AJ360" s="56"/>
      <c r="AK360" s="27"/>
      <c r="AL360" s="56"/>
      <c r="AM360" s="27"/>
      <c r="AN360" s="56"/>
      <c r="AO360" s="27"/>
      <c r="AP360" s="56"/>
      <c r="AQ360" s="27"/>
      <c r="AR360" s="56"/>
      <c r="AS360" s="27"/>
      <c r="AT360" s="56"/>
      <c r="AU360" s="27"/>
      <c r="AV360" s="56"/>
      <c r="AW360" s="27"/>
      <c r="AX360" s="56"/>
      <c r="AY360" s="27"/>
      <c r="AZ360" s="56"/>
      <c r="BA360" s="27"/>
      <c r="BB360" s="48"/>
      <c r="BC360" s="48"/>
      <c r="BD360" s="48"/>
      <c r="BE360" s="48"/>
      <c r="BF360" s="48"/>
      <c r="BG360" s="48"/>
      <c r="BH360" s="48"/>
      <c r="BI360" s="48"/>
      <c r="BJ360" s="48"/>
      <c r="BK360" s="48"/>
      <c r="BL360" s="48"/>
      <c r="BM360" s="48"/>
      <c r="BN360" s="48"/>
      <c r="BO360" s="48"/>
      <c r="BP360" s="48"/>
      <c r="BQ360" s="48"/>
      <c r="BR360" s="48"/>
      <c r="BS360" s="48"/>
      <c r="BT360" s="48"/>
      <c r="BU360" s="48"/>
    </row>
    <row r="361" ht="15.75" customHeight="1">
      <c r="A361" s="48"/>
      <c r="B361" s="48"/>
      <c r="C361" s="48"/>
      <c r="D361" s="48"/>
      <c r="E361" s="27"/>
      <c r="F361" s="48"/>
      <c r="G361" s="48"/>
      <c r="H361" s="56"/>
      <c r="I361" s="56"/>
      <c r="J361" s="56"/>
      <c r="K361" s="56"/>
      <c r="L361" s="56"/>
      <c r="M361" s="56"/>
      <c r="N361" s="56"/>
      <c r="O361" s="56"/>
      <c r="P361" s="56"/>
      <c r="Q361" s="56"/>
      <c r="R361" s="56"/>
      <c r="S361" s="56"/>
      <c r="T361" s="56"/>
      <c r="U361" s="56"/>
      <c r="V361" s="56"/>
      <c r="W361" s="27"/>
      <c r="X361" s="56"/>
      <c r="Y361" s="27"/>
      <c r="Z361" s="56"/>
      <c r="AA361" s="27"/>
      <c r="AB361" s="56"/>
      <c r="AC361" s="27"/>
      <c r="AD361" s="56"/>
      <c r="AE361" s="27"/>
      <c r="AF361" s="56"/>
      <c r="AG361" s="27"/>
      <c r="AH361" s="286"/>
      <c r="AI361" s="27"/>
      <c r="AJ361" s="56"/>
      <c r="AK361" s="27"/>
      <c r="AL361" s="56"/>
      <c r="AM361" s="27"/>
      <c r="AN361" s="56"/>
      <c r="AO361" s="27"/>
      <c r="AP361" s="56"/>
      <c r="AQ361" s="27"/>
      <c r="AR361" s="56"/>
      <c r="AS361" s="27"/>
      <c r="AT361" s="56"/>
      <c r="AU361" s="27"/>
      <c r="AV361" s="56"/>
      <c r="AW361" s="27"/>
      <c r="AX361" s="56"/>
      <c r="AY361" s="27"/>
      <c r="AZ361" s="56"/>
      <c r="BA361" s="27"/>
      <c r="BB361" s="48"/>
      <c r="BC361" s="48"/>
      <c r="BD361" s="48"/>
      <c r="BE361" s="48"/>
      <c r="BF361" s="48"/>
      <c r="BG361" s="48"/>
      <c r="BH361" s="48"/>
      <c r="BI361" s="48"/>
      <c r="BJ361" s="48"/>
      <c r="BK361" s="48"/>
      <c r="BL361" s="48"/>
      <c r="BM361" s="48"/>
      <c r="BN361" s="48"/>
      <c r="BO361" s="48"/>
      <c r="BP361" s="48"/>
      <c r="BQ361" s="48"/>
      <c r="BR361" s="48"/>
      <c r="BS361" s="48"/>
      <c r="BT361" s="48"/>
      <c r="BU361" s="48"/>
    </row>
    <row r="362" ht="15.75" customHeight="1">
      <c r="A362" s="48"/>
      <c r="B362" s="48"/>
      <c r="C362" s="48"/>
      <c r="D362" s="48"/>
      <c r="E362" s="27"/>
      <c r="F362" s="48"/>
      <c r="G362" s="48"/>
      <c r="H362" s="56"/>
      <c r="I362" s="56"/>
      <c r="J362" s="56"/>
      <c r="K362" s="56"/>
      <c r="L362" s="56"/>
      <c r="M362" s="56"/>
      <c r="N362" s="56"/>
      <c r="O362" s="56"/>
      <c r="P362" s="56"/>
      <c r="Q362" s="56"/>
      <c r="R362" s="56"/>
      <c r="S362" s="56"/>
      <c r="T362" s="56"/>
      <c r="U362" s="56"/>
      <c r="V362" s="56"/>
      <c r="W362" s="27"/>
      <c r="X362" s="56"/>
      <c r="Y362" s="27"/>
      <c r="Z362" s="56"/>
      <c r="AA362" s="27"/>
      <c r="AB362" s="56"/>
      <c r="AC362" s="27"/>
      <c r="AD362" s="56"/>
      <c r="AE362" s="27"/>
      <c r="AF362" s="56"/>
      <c r="AG362" s="27"/>
      <c r="AH362" s="286"/>
      <c r="AI362" s="27"/>
      <c r="AJ362" s="56"/>
      <c r="AK362" s="27"/>
      <c r="AL362" s="56"/>
      <c r="AM362" s="27"/>
      <c r="AN362" s="56"/>
      <c r="AO362" s="27"/>
      <c r="AP362" s="56"/>
      <c r="AQ362" s="27"/>
      <c r="AR362" s="56"/>
      <c r="AS362" s="27"/>
      <c r="AT362" s="56"/>
      <c r="AU362" s="27"/>
      <c r="AV362" s="56"/>
      <c r="AW362" s="27"/>
      <c r="AX362" s="56"/>
      <c r="AY362" s="27"/>
      <c r="AZ362" s="56"/>
      <c r="BA362" s="27"/>
      <c r="BB362" s="48"/>
      <c r="BC362" s="48"/>
      <c r="BD362" s="48"/>
      <c r="BE362" s="48"/>
      <c r="BF362" s="48"/>
      <c r="BG362" s="48"/>
      <c r="BH362" s="48"/>
      <c r="BI362" s="48"/>
      <c r="BJ362" s="48"/>
      <c r="BK362" s="48"/>
      <c r="BL362" s="48"/>
      <c r="BM362" s="48"/>
      <c r="BN362" s="48"/>
      <c r="BO362" s="48"/>
      <c r="BP362" s="48"/>
      <c r="BQ362" s="48"/>
      <c r="BR362" s="48"/>
      <c r="BS362" s="48"/>
      <c r="BT362" s="48"/>
      <c r="BU362" s="48"/>
    </row>
    <row r="363" ht="15.75" customHeight="1">
      <c r="A363" s="48"/>
      <c r="B363" s="48"/>
      <c r="C363" s="48"/>
      <c r="D363" s="48"/>
      <c r="E363" s="27"/>
      <c r="F363" s="48"/>
      <c r="G363" s="48"/>
      <c r="H363" s="56"/>
      <c r="I363" s="56"/>
      <c r="J363" s="56"/>
      <c r="K363" s="56"/>
      <c r="L363" s="56"/>
      <c r="M363" s="56"/>
      <c r="N363" s="56"/>
      <c r="O363" s="56"/>
      <c r="P363" s="56"/>
      <c r="Q363" s="56"/>
      <c r="R363" s="56"/>
      <c r="S363" s="56"/>
      <c r="T363" s="56"/>
      <c r="U363" s="56"/>
      <c r="V363" s="56"/>
      <c r="W363" s="27"/>
      <c r="X363" s="56"/>
      <c r="Y363" s="27"/>
      <c r="Z363" s="56"/>
      <c r="AA363" s="27"/>
      <c r="AB363" s="56"/>
      <c r="AC363" s="27"/>
      <c r="AD363" s="56"/>
      <c r="AE363" s="27"/>
      <c r="AF363" s="56"/>
      <c r="AG363" s="27"/>
      <c r="AH363" s="286"/>
      <c r="AI363" s="27"/>
      <c r="AJ363" s="56"/>
      <c r="AK363" s="27"/>
      <c r="AL363" s="56"/>
      <c r="AM363" s="27"/>
      <c r="AN363" s="56"/>
      <c r="AO363" s="27"/>
      <c r="AP363" s="56"/>
      <c r="AQ363" s="27"/>
      <c r="AR363" s="56"/>
      <c r="AS363" s="27"/>
      <c r="AT363" s="56"/>
      <c r="AU363" s="27"/>
      <c r="AV363" s="56"/>
      <c r="AW363" s="27"/>
      <c r="AX363" s="56"/>
      <c r="AY363" s="27"/>
      <c r="AZ363" s="56"/>
      <c r="BA363" s="27"/>
      <c r="BB363" s="48"/>
      <c r="BC363" s="48"/>
      <c r="BD363" s="48"/>
      <c r="BE363" s="48"/>
      <c r="BF363" s="48"/>
      <c r="BG363" s="48"/>
      <c r="BH363" s="48"/>
      <c r="BI363" s="48"/>
      <c r="BJ363" s="48"/>
      <c r="BK363" s="48"/>
      <c r="BL363" s="48"/>
      <c r="BM363" s="48"/>
      <c r="BN363" s="48"/>
      <c r="BO363" s="48"/>
      <c r="BP363" s="48"/>
      <c r="BQ363" s="48"/>
      <c r="BR363" s="48"/>
      <c r="BS363" s="48"/>
      <c r="BT363" s="48"/>
      <c r="BU363" s="48"/>
    </row>
    <row r="364" ht="15.75" customHeight="1">
      <c r="A364" s="48"/>
      <c r="B364" s="48"/>
      <c r="C364" s="48"/>
      <c r="D364" s="48"/>
      <c r="E364" s="27"/>
      <c r="F364" s="48"/>
      <c r="G364" s="48"/>
      <c r="H364" s="56"/>
      <c r="I364" s="56"/>
      <c r="J364" s="56"/>
      <c r="K364" s="56"/>
      <c r="L364" s="56"/>
      <c r="M364" s="56"/>
      <c r="N364" s="56"/>
      <c r="O364" s="56"/>
      <c r="P364" s="56"/>
      <c r="Q364" s="56"/>
      <c r="R364" s="56"/>
      <c r="S364" s="56"/>
      <c r="T364" s="56"/>
      <c r="U364" s="56"/>
      <c r="V364" s="56"/>
      <c r="W364" s="27"/>
      <c r="X364" s="56"/>
      <c r="Y364" s="27"/>
      <c r="Z364" s="56"/>
      <c r="AA364" s="27"/>
      <c r="AB364" s="56"/>
      <c r="AC364" s="27"/>
      <c r="AD364" s="56"/>
      <c r="AE364" s="27"/>
      <c r="AF364" s="56"/>
      <c r="AG364" s="27"/>
      <c r="AH364" s="286"/>
      <c r="AI364" s="27"/>
      <c r="AJ364" s="56"/>
      <c r="AK364" s="27"/>
      <c r="AL364" s="56"/>
      <c r="AM364" s="27"/>
      <c r="AN364" s="56"/>
      <c r="AO364" s="27"/>
      <c r="AP364" s="56"/>
      <c r="AQ364" s="27"/>
      <c r="AR364" s="56"/>
      <c r="AS364" s="27"/>
      <c r="AT364" s="56"/>
      <c r="AU364" s="27"/>
      <c r="AV364" s="56"/>
      <c r="AW364" s="27"/>
      <c r="AX364" s="56"/>
      <c r="AY364" s="27"/>
      <c r="AZ364" s="56"/>
      <c r="BA364" s="27"/>
      <c r="BB364" s="48"/>
      <c r="BC364" s="48"/>
      <c r="BD364" s="48"/>
      <c r="BE364" s="48"/>
      <c r="BF364" s="48"/>
      <c r="BG364" s="48"/>
      <c r="BH364" s="48"/>
      <c r="BI364" s="48"/>
      <c r="BJ364" s="48"/>
      <c r="BK364" s="48"/>
      <c r="BL364" s="48"/>
      <c r="BM364" s="48"/>
      <c r="BN364" s="48"/>
      <c r="BO364" s="48"/>
      <c r="BP364" s="48"/>
      <c r="BQ364" s="48"/>
      <c r="BR364" s="48"/>
      <c r="BS364" s="48"/>
      <c r="BT364" s="48"/>
      <c r="BU364" s="48"/>
    </row>
    <row r="365" ht="15.75" customHeight="1">
      <c r="A365" s="48"/>
      <c r="B365" s="48"/>
      <c r="C365" s="48"/>
      <c r="D365" s="48"/>
      <c r="E365" s="27"/>
      <c r="F365" s="48"/>
      <c r="G365" s="48"/>
      <c r="H365" s="56"/>
      <c r="I365" s="56"/>
      <c r="J365" s="56"/>
      <c r="K365" s="56"/>
      <c r="L365" s="56"/>
      <c r="M365" s="56"/>
      <c r="N365" s="56"/>
      <c r="O365" s="56"/>
      <c r="P365" s="56"/>
      <c r="Q365" s="56"/>
      <c r="R365" s="56"/>
      <c r="S365" s="56"/>
      <c r="T365" s="56"/>
      <c r="U365" s="56"/>
      <c r="V365" s="56"/>
      <c r="W365" s="27"/>
      <c r="X365" s="56"/>
      <c r="Y365" s="27"/>
      <c r="Z365" s="56"/>
      <c r="AA365" s="27"/>
      <c r="AB365" s="56"/>
      <c r="AC365" s="27"/>
      <c r="AD365" s="56"/>
      <c r="AE365" s="27"/>
      <c r="AF365" s="56"/>
      <c r="AG365" s="27"/>
      <c r="AH365" s="286"/>
      <c r="AI365" s="27"/>
      <c r="AJ365" s="56"/>
      <c r="AK365" s="27"/>
      <c r="AL365" s="56"/>
      <c r="AM365" s="27"/>
      <c r="AN365" s="56"/>
      <c r="AO365" s="27"/>
      <c r="AP365" s="56"/>
      <c r="AQ365" s="27"/>
      <c r="AR365" s="56"/>
      <c r="AS365" s="27"/>
      <c r="AT365" s="56"/>
      <c r="AU365" s="27"/>
      <c r="AV365" s="56"/>
      <c r="AW365" s="27"/>
      <c r="AX365" s="56"/>
      <c r="AY365" s="27"/>
      <c r="AZ365" s="56"/>
      <c r="BA365" s="27"/>
      <c r="BB365" s="48"/>
      <c r="BC365" s="48"/>
      <c r="BD365" s="48"/>
      <c r="BE365" s="48"/>
      <c r="BF365" s="48"/>
      <c r="BG365" s="48"/>
      <c r="BH365" s="48"/>
      <c r="BI365" s="48"/>
      <c r="BJ365" s="48"/>
      <c r="BK365" s="48"/>
      <c r="BL365" s="48"/>
      <c r="BM365" s="48"/>
      <c r="BN365" s="48"/>
      <c r="BO365" s="48"/>
      <c r="BP365" s="48"/>
      <c r="BQ365" s="48"/>
      <c r="BR365" s="48"/>
      <c r="BS365" s="48"/>
      <c r="BT365" s="48"/>
      <c r="BU365" s="48"/>
    </row>
    <row r="366" ht="15.75" customHeight="1">
      <c r="A366" s="48"/>
      <c r="B366" s="48"/>
      <c r="C366" s="48"/>
      <c r="D366" s="48"/>
      <c r="E366" s="27"/>
      <c r="F366" s="48"/>
      <c r="G366" s="48"/>
      <c r="H366" s="56"/>
      <c r="I366" s="56"/>
      <c r="J366" s="56"/>
      <c r="K366" s="56"/>
      <c r="L366" s="56"/>
      <c r="M366" s="56"/>
      <c r="N366" s="56"/>
      <c r="O366" s="56"/>
      <c r="P366" s="56"/>
      <c r="Q366" s="56"/>
      <c r="R366" s="56"/>
      <c r="S366" s="56"/>
      <c r="T366" s="56"/>
      <c r="U366" s="56"/>
      <c r="V366" s="56"/>
      <c r="W366" s="27"/>
      <c r="X366" s="56"/>
      <c r="Y366" s="27"/>
      <c r="Z366" s="56"/>
      <c r="AA366" s="27"/>
      <c r="AB366" s="56"/>
      <c r="AC366" s="27"/>
      <c r="AD366" s="56"/>
      <c r="AE366" s="27"/>
      <c r="AF366" s="56"/>
      <c r="AG366" s="27"/>
      <c r="AH366" s="286"/>
      <c r="AI366" s="27"/>
      <c r="AJ366" s="56"/>
      <c r="AK366" s="27"/>
      <c r="AL366" s="56"/>
      <c r="AM366" s="27"/>
      <c r="AN366" s="56"/>
      <c r="AO366" s="27"/>
      <c r="AP366" s="56"/>
      <c r="AQ366" s="27"/>
      <c r="AR366" s="56"/>
      <c r="AS366" s="27"/>
      <c r="AT366" s="56"/>
      <c r="AU366" s="27"/>
      <c r="AV366" s="56"/>
      <c r="AW366" s="27"/>
      <c r="AX366" s="56"/>
      <c r="AY366" s="27"/>
      <c r="AZ366" s="56"/>
      <c r="BA366" s="27"/>
      <c r="BB366" s="48"/>
      <c r="BC366" s="48"/>
      <c r="BD366" s="48"/>
      <c r="BE366" s="48"/>
      <c r="BF366" s="48"/>
      <c r="BG366" s="48"/>
      <c r="BH366" s="48"/>
      <c r="BI366" s="48"/>
      <c r="BJ366" s="48"/>
      <c r="BK366" s="48"/>
      <c r="BL366" s="48"/>
      <c r="BM366" s="48"/>
      <c r="BN366" s="48"/>
      <c r="BO366" s="48"/>
      <c r="BP366" s="48"/>
      <c r="BQ366" s="48"/>
      <c r="BR366" s="48"/>
      <c r="BS366" s="48"/>
      <c r="BT366" s="48"/>
      <c r="BU366" s="48"/>
    </row>
    <row r="367" ht="15.75" customHeight="1">
      <c r="A367" s="48"/>
      <c r="B367" s="48"/>
      <c r="C367" s="48"/>
      <c r="D367" s="48"/>
      <c r="E367" s="27"/>
      <c r="F367" s="48"/>
      <c r="G367" s="48"/>
      <c r="H367" s="56"/>
      <c r="I367" s="56"/>
      <c r="J367" s="56"/>
      <c r="K367" s="56"/>
      <c r="L367" s="56"/>
      <c r="M367" s="56"/>
      <c r="N367" s="56"/>
      <c r="O367" s="56"/>
      <c r="P367" s="56"/>
      <c r="Q367" s="56"/>
      <c r="R367" s="56"/>
      <c r="S367" s="56"/>
      <c r="T367" s="56"/>
      <c r="U367" s="56"/>
      <c r="V367" s="56"/>
      <c r="W367" s="27"/>
      <c r="X367" s="56"/>
      <c r="Y367" s="27"/>
      <c r="Z367" s="56"/>
      <c r="AA367" s="27"/>
      <c r="AB367" s="56"/>
      <c r="AC367" s="27"/>
      <c r="AD367" s="56"/>
      <c r="AE367" s="27"/>
      <c r="AF367" s="56"/>
      <c r="AG367" s="27"/>
      <c r="AH367" s="286"/>
      <c r="AI367" s="27"/>
      <c r="AJ367" s="56"/>
      <c r="AK367" s="27"/>
      <c r="AL367" s="56"/>
      <c r="AM367" s="27"/>
      <c r="AN367" s="56"/>
      <c r="AO367" s="27"/>
      <c r="AP367" s="56"/>
      <c r="AQ367" s="27"/>
      <c r="AR367" s="56"/>
      <c r="AS367" s="27"/>
      <c r="AT367" s="56"/>
      <c r="AU367" s="27"/>
      <c r="AV367" s="56"/>
      <c r="AW367" s="27"/>
      <c r="AX367" s="56"/>
      <c r="AY367" s="27"/>
      <c r="AZ367" s="56"/>
      <c r="BA367" s="27"/>
      <c r="BB367" s="48"/>
      <c r="BC367" s="48"/>
      <c r="BD367" s="48"/>
      <c r="BE367" s="48"/>
      <c r="BF367" s="48"/>
      <c r="BG367" s="48"/>
      <c r="BH367" s="48"/>
      <c r="BI367" s="48"/>
      <c r="BJ367" s="48"/>
      <c r="BK367" s="48"/>
      <c r="BL367" s="48"/>
      <c r="BM367" s="48"/>
      <c r="BN367" s="48"/>
      <c r="BO367" s="48"/>
      <c r="BP367" s="48"/>
      <c r="BQ367" s="48"/>
      <c r="BR367" s="48"/>
      <c r="BS367" s="48"/>
      <c r="BT367" s="48"/>
      <c r="BU367" s="48"/>
    </row>
    <row r="368" ht="15.75" customHeight="1">
      <c r="A368" s="48"/>
      <c r="B368" s="48"/>
      <c r="C368" s="48"/>
      <c r="D368" s="48"/>
      <c r="E368" s="27"/>
      <c r="F368" s="48"/>
      <c r="G368" s="48"/>
      <c r="H368" s="56"/>
      <c r="I368" s="56"/>
      <c r="J368" s="56"/>
      <c r="K368" s="56"/>
      <c r="L368" s="56"/>
      <c r="M368" s="56"/>
      <c r="N368" s="56"/>
      <c r="O368" s="56"/>
      <c r="P368" s="56"/>
      <c r="Q368" s="56"/>
      <c r="R368" s="56"/>
      <c r="S368" s="56"/>
      <c r="T368" s="56"/>
      <c r="U368" s="56"/>
      <c r="V368" s="56"/>
      <c r="W368" s="27"/>
      <c r="X368" s="56"/>
      <c r="Y368" s="27"/>
      <c r="Z368" s="56"/>
      <c r="AA368" s="27"/>
      <c r="AB368" s="56"/>
      <c r="AC368" s="27"/>
      <c r="AD368" s="56"/>
      <c r="AE368" s="27"/>
      <c r="AF368" s="56"/>
      <c r="AG368" s="27"/>
      <c r="AH368" s="286"/>
      <c r="AI368" s="27"/>
      <c r="AJ368" s="56"/>
      <c r="AK368" s="27"/>
      <c r="AL368" s="56"/>
      <c r="AM368" s="27"/>
      <c r="AN368" s="56"/>
      <c r="AO368" s="27"/>
      <c r="AP368" s="56"/>
      <c r="AQ368" s="27"/>
      <c r="AR368" s="56"/>
      <c r="AS368" s="27"/>
      <c r="AT368" s="56"/>
      <c r="AU368" s="27"/>
      <c r="AV368" s="56"/>
      <c r="AW368" s="27"/>
      <c r="AX368" s="56"/>
      <c r="AY368" s="27"/>
      <c r="AZ368" s="56"/>
      <c r="BA368" s="27"/>
      <c r="BB368" s="48"/>
      <c r="BC368" s="48"/>
      <c r="BD368" s="48"/>
      <c r="BE368" s="48"/>
      <c r="BF368" s="48"/>
      <c r="BG368" s="48"/>
      <c r="BH368" s="48"/>
      <c r="BI368" s="48"/>
      <c r="BJ368" s="48"/>
      <c r="BK368" s="48"/>
      <c r="BL368" s="48"/>
      <c r="BM368" s="48"/>
      <c r="BN368" s="48"/>
      <c r="BO368" s="48"/>
      <c r="BP368" s="48"/>
      <c r="BQ368" s="48"/>
      <c r="BR368" s="48"/>
      <c r="BS368" s="48"/>
      <c r="BT368" s="48"/>
      <c r="BU368" s="48"/>
    </row>
    <row r="369" ht="15.75" customHeight="1">
      <c r="A369" s="48"/>
      <c r="B369" s="48"/>
      <c r="C369" s="48"/>
      <c r="D369" s="48"/>
      <c r="E369" s="27"/>
      <c r="F369" s="48"/>
      <c r="G369" s="48"/>
      <c r="H369" s="56"/>
      <c r="I369" s="56"/>
      <c r="J369" s="56"/>
      <c r="K369" s="56"/>
      <c r="L369" s="56"/>
      <c r="M369" s="56"/>
      <c r="N369" s="56"/>
      <c r="O369" s="56"/>
      <c r="P369" s="56"/>
      <c r="Q369" s="56"/>
      <c r="R369" s="56"/>
      <c r="S369" s="56"/>
      <c r="T369" s="56"/>
      <c r="U369" s="56"/>
      <c r="V369" s="56"/>
      <c r="W369" s="27"/>
      <c r="X369" s="56"/>
      <c r="Y369" s="27"/>
      <c r="Z369" s="56"/>
      <c r="AA369" s="27"/>
      <c r="AB369" s="56"/>
      <c r="AC369" s="27"/>
      <c r="AD369" s="56"/>
      <c r="AE369" s="27"/>
      <c r="AF369" s="56"/>
      <c r="AG369" s="27"/>
      <c r="AH369" s="286"/>
      <c r="AI369" s="27"/>
      <c r="AJ369" s="56"/>
      <c r="AK369" s="27"/>
      <c r="AL369" s="56"/>
      <c r="AM369" s="27"/>
      <c r="AN369" s="56"/>
      <c r="AO369" s="27"/>
      <c r="AP369" s="56"/>
      <c r="AQ369" s="27"/>
      <c r="AR369" s="56"/>
      <c r="AS369" s="27"/>
      <c r="AT369" s="56"/>
      <c r="AU369" s="27"/>
      <c r="AV369" s="56"/>
      <c r="AW369" s="27"/>
      <c r="AX369" s="56"/>
      <c r="AY369" s="27"/>
      <c r="AZ369" s="56"/>
      <c r="BA369" s="27"/>
      <c r="BB369" s="48"/>
      <c r="BC369" s="48"/>
      <c r="BD369" s="48"/>
      <c r="BE369" s="48"/>
      <c r="BF369" s="48"/>
      <c r="BG369" s="48"/>
      <c r="BH369" s="48"/>
      <c r="BI369" s="48"/>
      <c r="BJ369" s="48"/>
      <c r="BK369" s="48"/>
      <c r="BL369" s="48"/>
      <c r="BM369" s="48"/>
      <c r="BN369" s="48"/>
      <c r="BO369" s="48"/>
      <c r="BP369" s="48"/>
      <c r="BQ369" s="48"/>
      <c r="BR369" s="48"/>
      <c r="BS369" s="48"/>
      <c r="BT369" s="48"/>
      <c r="BU369" s="48"/>
    </row>
    <row r="370" ht="15.75" customHeight="1">
      <c r="A370" s="48"/>
      <c r="B370" s="48"/>
      <c r="C370" s="48"/>
      <c r="D370" s="48"/>
      <c r="E370" s="27"/>
      <c r="F370" s="48"/>
      <c r="G370" s="48"/>
      <c r="H370" s="56"/>
      <c r="I370" s="56"/>
      <c r="J370" s="56"/>
      <c r="K370" s="56"/>
      <c r="L370" s="56"/>
      <c r="M370" s="56"/>
      <c r="N370" s="56"/>
      <c r="O370" s="56"/>
      <c r="P370" s="56"/>
      <c r="Q370" s="56"/>
      <c r="R370" s="56"/>
      <c r="S370" s="56"/>
      <c r="T370" s="56"/>
      <c r="U370" s="56"/>
      <c r="V370" s="56"/>
      <c r="W370" s="27"/>
      <c r="X370" s="56"/>
      <c r="Y370" s="27"/>
      <c r="Z370" s="56"/>
      <c r="AA370" s="27"/>
      <c r="AB370" s="56"/>
      <c r="AC370" s="27"/>
      <c r="AD370" s="56"/>
      <c r="AE370" s="27"/>
      <c r="AF370" s="56"/>
      <c r="AG370" s="27"/>
      <c r="AH370" s="286"/>
      <c r="AI370" s="27"/>
      <c r="AJ370" s="56"/>
      <c r="AK370" s="27"/>
      <c r="AL370" s="56"/>
      <c r="AM370" s="27"/>
      <c r="AN370" s="56"/>
      <c r="AO370" s="27"/>
      <c r="AP370" s="56"/>
      <c r="AQ370" s="27"/>
      <c r="AR370" s="56"/>
      <c r="AS370" s="27"/>
      <c r="AT370" s="56"/>
      <c r="AU370" s="27"/>
      <c r="AV370" s="56"/>
      <c r="AW370" s="27"/>
      <c r="AX370" s="56"/>
      <c r="AY370" s="27"/>
      <c r="AZ370" s="56"/>
      <c r="BA370" s="27"/>
      <c r="BB370" s="48"/>
      <c r="BC370" s="48"/>
      <c r="BD370" s="48"/>
      <c r="BE370" s="48"/>
      <c r="BF370" s="48"/>
      <c r="BG370" s="48"/>
      <c r="BH370" s="48"/>
      <c r="BI370" s="48"/>
      <c r="BJ370" s="48"/>
      <c r="BK370" s="48"/>
      <c r="BL370" s="48"/>
      <c r="BM370" s="48"/>
      <c r="BN370" s="48"/>
      <c r="BO370" s="48"/>
      <c r="BP370" s="48"/>
      <c r="BQ370" s="48"/>
      <c r="BR370" s="48"/>
      <c r="BS370" s="48"/>
      <c r="BT370" s="48"/>
      <c r="BU370" s="48"/>
    </row>
    <row r="371" ht="15.75" customHeight="1">
      <c r="A371" s="48"/>
      <c r="B371" s="48"/>
      <c r="C371" s="48"/>
      <c r="D371" s="48"/>
      <c r="E371" s="27"/>
      <c r="F371" s="48"/>
      <c r="G371" s="48"/>
      <c r="H371" s="56"/>
      <c r="I371" s="56"/>
      <c r="J371" s="56"/>
      <c r="K371" s="56"/>
      <c r="L371" s="56"/>
      <c r="M371" s="56"/>
      <c r="N371" s="56"/>
      <c r="O371" s="56"/>
      <c r="P371" s="56"/>
      <c r="Q371" s="56"/>
      <c r="R371" s="56"/>
      <c r="S371" s="56"/>
      <c r="T371" s="56"/>
      <c r="U371" s="56"/>
      <c r="V371" s="56"/>
      <c r="W371" s="27"/>
      <c r="X371" s="56"/>
      <c r="Y371" s="27"/>
      <c r="Z371" s="56"/>
      <c r="AA371" s="27"/>
      <c r="AB371" s="56"/>
      <c r="AC371" s="27"/>
      <c r="AD371" s="56"/>
      <c r="AE371" s="27"/>
      <c r="AF371" s="56"/>
      <c r="AG371" s="27"/>
      <c r="AH371" s="286"/>
      <c r="AI371" s="27"/>
      <c r="AJ371" s="56"/>
      <c r="AK371" s="27"/>
      <c r="AL371" s="56"/>
      <c r="AM371" s="27"/>
      <c r="AN371" s="56"/>
      <c r="AO371" s="27"/>
      <c r="AP371" s="56"/>
      <c r="AQ371" s="27"/>
      <c r="AR371" s="56"/>
      <c r="AS371" s="27"/>
      <c r="AT371" s="56"/>
      <c r="AU371" s="27"/>
      <c r="AV371" s="56"/>
      <c r="AW371" s="27"/>
      <c r="AX371" s="56"/>
      <c r="AY371" s="27"/>
      <c r="AZ371" s="56"/>
      <c r="BA371" s="27"/>
      <c r="BB371" s="48"/>
      <c r="BC371" s="48"/>
      <c r="BD371" s="48"/>
      <c r="BE371" s="48"/>
      <c r="BF371" s="48"/>
      <c r="BG371" s="48"/>
      <c r="BH371" s="48"/>
      <c r="BI371" s="48"/>
      <c r="BJ371" s="48"/>
      <c r="BK371" s="48"/>
      <c r="BL371" s="48"/>
      <c r="BM371" s="48"/>
      <c r="BN371" s="48"/>
      <c r="BO371" s="48"/>
      <c r="BP371" s="48"/>
      <c r="BQ371" s="48"/>
      <c r="BR371" s="48"/>
      <c r="BS371" s="48"/>
      <c r="BT371" s="48"/>
      <c r="BU371" s="48"/>
    </row>
    <row r="372" ht="15.75" customHeight="1">
      <c r="A372" s="48"/>
      <c r="B372" s="48"/>
      <c r="C372" s="48"/>
      <c r="D372" s="48"/>
      <c r="E372" s="27"/>
      <c r="F372" s="48"/>
      <c r="G372" s="48"/>
      <c r="H372" s="56"/>
      <c r="I372" s="56"/>
      <c r="J372" s="56"/>
      <c r="K372" s="56"/>
      <c r="L372" s="56"/>
      <c r="M372" s="56"/>
      <c r="N372" s="56"/>
      <c r="O372" s="56"/>
      <c r="P372" s="56"/>
      <c r="Q372" s="56"/>
      <c r="R372" s="56"/>
      <c r="S372" s="56"/>
      <c r="T372" s="56"/>
      <c r="U372" s="56"/>
      <c r="V372" s="56"/>
      <c r="W372" s="27"/>
      <c r="X372" s="56"/>
      <c r="Y372" s="27"/>
      <c r="Z372" s="56"/>
      <c r="AA372" s="27"/>
      <c r="AB372" s="56"/>
      <c r="AC372" s="27"/>
      <c r="AD372" s="56"/>
      <c r="AE372" s="27"/>
      <c r="AF372" s="56"/>
      <c r="AG372" s="27"/>
      <c r="AH372" s="286"/>
      <c r="AI372" s="27"/>
      <c r="AJ372" s="56"/>
      <c r="AK372" s="27"/>
      <c r="AL372" s="56"/>
      <c r="AM372" s="27"/>
      <c r="AN372" s="56"/>
      <c r="AO372" s="27"/>
      <c r="AP372" s="56"/>
      <c r="AQ372" s="27"/>
      <c r="AR372" s="56"/>
      <c r="AS372" s="27"/>
      <c r="AT372" s="56"/>
      <c r="AU372" s="27"/>
      <c r="AV372" s="56"/>
      <c r="AW372" s="27"/>
      <c r="AX372" s="56"/>
      <c r="AY372" s="27"/>
      <c r="AZ372" s="56"/>
      <c r="BA372" s="27"/>
      <c r="BB372" s="48"/>
      <c r="BC372" s="48"/>
      <c r="BD372" s="48"/>
      <c r="BE372" s="48"/>
      <c r="BF372" s="48"/>
      <c r="BG372" s="48"/>
      <c r="BH372" s="48"/>
      <c r="BI372" s="48"/>
      <c r="BJ372" s="48"/>
      <c r="BK372" s="48"/>
      <c r="BL372" s="48"/>
      <c r="BM372" s="48"/>
      <c r="BN372" s="48"/>
      <c r="BO372" s="48"/>
      <c r="BP372" s="48"/>
      <c r="BQ372" s="48"/>
      <c r="BR372" s="48"/>
      <c r="BS372" s="48"/>
      <c r="BT372" s="48"/>
      <c r="BU372" s="48"/>
    </row>
    <row r="373" ht="15.75" customHeight="1">
      <c r="A373" s="48"/>
      <c r="B373" s="48"/>
      <c r="C373" s="48"/>
      <c r="D373" s="48"/>
      <c r="E373" s="27"/>
      <c r="F373" s="48"/>
      <c r="G373" s="48"/>
      <c r="H373" s="56"/>
      <c r="I373" s="56"/>
      <c r="J373" s="56"/>
      <c r="K373" s="56"/>
      <c r="L373" s="56"/>
      <c r="M373" s="56"/>
      <c r="N373" s="56"/>
      <c r="O373" s="56"/>
      <c r="P373" s="56"/>
      <c r="Q373" s="56"/>
      <c r="R373" s="56"/>
      <c r="S373" s="56"/>
      <c r="T373" s="56"/>
      <c r="U373" s="56"/>
      <c r="V373" s="56"/>
      <c r="W373" s="27"/>
      <c r="X373" s="56"/>
      <c r="Y373" s="27"/>
      <c r="Z373" s="56"/>
      <c r="AA373" s="27"/>
      <c r="AB373" s="56"/>
      <c r="AC373" s="27"/>
      <c r="AD373" s="56"/>
      <c r="AE373" s="27"/>
      <c r="AF373" s="56"/>
      <c r="AG373" s="27"/>
      <c r="AH373" s="286"/>
      <c r="AI373" s="27"/>
      <c r="AJ373" s="56"/>
      <c r="AK373" s="27"/>
      <c r="AL373" s="56"/>
      <c r="AM373" s="27"/>
      <c r="AN373" s="56"/>
      <c r="AO373" s="27"/>
      <c r="AP373" s="56"/>
      <c r="AQ373" s="27"/>
      <c r="AR373" s="56"/>
      <c r="AS373" s="27"/>
      <c r="AT373" s="56"/>
      <c r="AU373" s="27"/>
      <c r="AV373" s="56"/>
      <c r="AW373" s="27"/>
      <c r="AX373" s="56"/>
      <c r="AY373" s="27"/>
      <c r="AZ373" s="56"/>
      <c r="BA373" s="27"/>
      <c r="BB373" s="48"/>
      <c r="BC373" s="48"/>
      <c r="BD373" s="48"/>
      <c r="BE373" s="48"/>
      <c r="BF373" s="48"/>
      <c r="BG373" s="48"/>
      <c r="BH373" s="48"/>
      <c r="BI373" s="48"/>
      <c r="BJ373" s="48"/>
      <c r="BK373" s="48"/>
      <c r="BL373" s="48"/>
      <c r="BM373" s="48"/>
      <c r="BN373" s="48"/>
      <c r="BO373" s="48"/>
      <c r="BP373" s="48"/>
      <c r="BQ373" s="48"/>
      <c r="BR373" s="48"/>
      <c r="BS373" s="48"/>
      <c r="BT373" s="48"/>
      <c r="BU373" s="48"/>
    </row>
    <row r="374" ht="15.75" customHeight="1">
      <c r="A374" s="48"/>
      <c r="B374" s="48"/>
      <c r="C374" s="48"/>
      <c r="D374" s="48"/>
      <c r="E374" s="27"/>
      <c r="F374" s="48"/>
      <c r="G374" s="48"/>
      <c r="H374" s="56"/>
      <c r="I374" s="56"/>
      <c r="J374" s="56"/>
      <c r="K374" s="56"/>
      <c r="L374" s="56"/>
      <c r="M374" s="56"/>
      <c r="N374" s="56"/>
      <c r="O374" s="56"/>
      <c r="P374" s="56"/>
      <c r="Q374" s="56"/>
      <c r="R374" s="56"/>
      <c r="S374" s="56"/>
      <c r="T374" s="56"/>
      <c r="U374" s="56"/>
      <c r="V374" s="56"/>
      <c r="W374" s="27"/>
      <c r="X374" s="56"/>
      <c r="Y374" s="27"/>
      <c r="Z374" s="56"/>
      <c r="AA374" s="27"/>
      <c r="AB374" s="56"/>
      <c r="AC374" s="27"/>
      <c r="AD374" s="56"/>
      <c r="AE374" s="27"/>
      <c r="AF374" s="56"/>
      <c r="AG374" s="27"/>
      <c r="AH374" s="286"/>
      <c r="AI374" s="27"/>
      <c r="AJ374" s="56"/>
      <c r="AK374" s="27"/>
      <c r="AL374" s="56"/>
      <c r="AM374" s="27"/>
      <c r="AN374" s="56"/>
      <c r="AO374" s="27"/>
      <c r="AP374" s="56"/>
      <c r="AQ374" s="27"/>
      <c r="AR374" s="56"/>
      <c r="AS374" s="27"/>
      <c r="AT374" s="56"/>
      <c r="AU374" s="27"/>
      <c r="AV374" s="56"/>
      <c r="AW374" s="27"/>
      <c r="AX374" s="56"/>
      <c r="AY374" s="27"/>
      <c r="AZ374" s="56"/>
      <c r="BA374" s="27"/>
      <c r="BB374" s="48"/>
      <c r="BC374" s="48"/>
      <c r="BD374" s="48"/>
      <c r="BE374" s="48"/>
      <c r="BF374" s="48"/>
      <c r="BG374" s="48"/>
      <c r="BH374" s="48"/>
      <c r="BI374" s="48"/>
      <c r="BJ374" s="48"/>
      <c r="BK374" s="48"/>
      <c r="BL374" s="48"/>
      <c r="BM374" s="48"/>
      <c r="BN374" s="48"/>
      <c r="BO374" s="48"/>
      <c r="BP374" s="48"/>
      <c r="BQ374" s="48"/>
      <c r="BR374" s="48"/>
      <c r="BS374" s="48"/>
      <c r="BT374" s="48"/>
      <c r="BU374" s="48"/>
    </row>
    <row r="375" ht="15.75" customHeight="1">
      <c r="A375" s="48"/>
      <c r="B375" s="48"/>
      <c r="C375" s="48"/>
      <c r="D375" s="48"/>
      <c r="E375" s="27"/>
      <c r="F375" s="48"/>
      <c r="G375" s="48"/>
      <c r="H375" s="56"/>
      <c r="I375" s="56"/>
      <c r="J375" s="56"/>
      <c r="K375" s="56"/>
      <c r="L375" s="56"/>
      <c r="M375" s="56"/>
      <c r="N375" s="56"/>
      <c r="O375" s="56"/>
      <c r="P375" s="56"/>
      <c r="Q375" s="56"/>
      <c r="R375" s="56"/>
      <c r="S375" s="56"/>
      <c r="T375" s="56"/>
      <c r="U375" s="56"/>
      <c r="V375" s="56"/>
      <c r="W375" s="27"/>
      <c r="X375" s="56"/>
      <c r="Y375" s="27"/>
      <c r="Z375" s="56"/>
      <c r="AA375" s="27"/>
      <c r="AB375" s="56"/>
      <c r="AC375" s="27"/>
      <c r="AD375" s="56"/>
      <c r="AE375" s="27"/>
      <c r="AF375" s="56"/>
      <c r="AG375" s="27"/>
      <c r="AH375" s="286"/>
      <c r="AI375" s="27"/>
      <c r="AJ375" s="56"/>
      <c r="AK375" s="27"/>
      <c r="AL375" s="56"/>
      <c r="AM375" s="27"/>
      <c r="AN375" s="56"/>
      <c r="AO375" s="27"/>
      <c r="AP375" s="56"/>
      <c r="AQ375" s="27"/>
      <c r="AR375" s="56"/>
      <c r="AS375" s="27"/>
      <c r="AT375" s="56"/>
      <c r="AU375" s="27"/>
      <c r="AV375" s="56"/>
      <c r="AW375" s="27"/>
      <c r="AX375" s="56"/>
      <c r="AY375" s="27"/>
      <c r="AZ375" s="56"/>
      <c r="BA375" s="27"/>
      <c r="BB375" s="48"/>
      <c r="BC375" s="48"/>
      <c r="BD375" s="48"/>
      <c r="BE375" s="48"/>
      <c r="BF375" s="48"/>
      <c r="BG375" s="48"/>
      <c r="BH375" s="48"/>
      <c r="BI375" s="48"/>
      <c r="BJ375" s="48"/>
      <c r="BK375" s="48"/>
      <c r="BL375" s="48"/>
      <c r="BM375" s="48"/>
      <c r="BN375" s="48"/>
      <c r="BO375" s="48"/>
      <c r="BP375" s="48"/>
      <c r="BQ375" s="48"/>
      <c r="BR375" s="48"/>
      <c r="BS375" s="48"/>
      <c r="BT375" s="48"/>
      <c r="BU375" s="48"/>
    </row>
    <row r="376" ht="15.75" customHeight="1">
      <c r="A376" s="48"/>
      <c r="B376" s="48"/>
      <c r="C376" s="48"/>
      <c r="D376" s="48"/>
      <c r="E376" s="27"/>
      <c r="F376" s="48"/>
      <c r="G376" s="48"/>
      <c r="H376" s="56"/>
      <c r="I376" s="56"/>
      <c r="J376" s="56"/>
      <c r="K376" s="56"/>
      <c r="L376" s="56"/>
      <c r="M376" s="56"/>
      <c r="N376" s="56"/>
      <c r="O376" s="56"/>
      <c r="P376" s="56"/>
      <c r="Q376" s="56"/>
      <c r="R376" s="56"/>
      <c r="S376" s="56"/>
      <c r="T376" s="56"/>
      <c r="U376" s="56"/>
      <c r="V376" s="56"/>
      <c r="W376" s="27"/>
      <c r="X376" s="56"/>
      <c r="Y376" s="27"/>
      <c r="Z376" s="56"/>
      <c r="AA376" s="27"/>
      <c r="AB376" s="56"/>
      <c r="AC376" s="27"/>
      <c r="AD376" s="56"/>
      <c r="AE376" s="27"/>
      <c r="AF376" s="56"/>
      <c r="AG376" s="27"/>
      <c r="AH376" s="286"/>
      <c r="AI376" s="27"/>
      <c r="AJ376" s="56"/>
      <c r="AK376" s="27"/>
      <c r="AL376" s="56"/>
      <c r="AM376" s="27"/>
      <c r="AN376" s="56"/>
      <c r="AO376" s="27"/>
      <c r="AP376" s="56"/>
      <c r="AQ376" s="27"/>
      <c r="AR376" s="56"/>
      <c r="AS376" s="27"/>
      <c r="AT376" s="56"/>
      <c r="AU376" s="27"/>
      <c r="AV376" s="56"/>
      <c r="AW376" s="27"/>
      <c r="AX376" s="56"/>
      <c r="AY376" s="27"/>
      <c r="AZ376" s="56"/>
      <c r="BA376" s="27"/>
      <c r="BB376" s="48"/>
      <c r="BC376" s="48"/>
      <c r="BD376" s="48"/>
      <c r="BE376" s="48"/>
      <c r="BF376" s="48"/>
      <c r="BG376" s="48"/>
      <c r="BH376" s="48"/>
      <c r="BI376" s="48"/>
      <c r="BJ376" s="48"/>
      <c r="BK376" s="48"/>
      <c r="BL376" s="48"/>
      <c r="BM376" s="48"/>
      <c r="BN376" s="48"/>
      <c r="BO376" s="48"/>
      <c r="BP376" s="48"/>
      <c r="BQ376" s="48"/>
      <c r="BR376" s="48"/>
      <c r="BS376" s="48"/>
      <c r="BT376" s="48"/>
      <c r="BU376" s="48"/>
    </row>
    <row r="377" ht="15.75" customHeight="1">
      <c r="A377" s="48"/>
      <c r="B377" s="48"/>
      <c r="C377" s="48"/>
      <c r="D377" s="48"/>
      <c r="E377" s="27"/>
      <c r="F377" s="48"/>
      <c r="G377" s="48"/>
      <c r="H377" s="56"/>
      <c r="I377" s="56"/>
      <c r="J377" s="56"/>
      <c r="K377" s="56"/>
      <c r="L377" s="56"/>
      <c r="M377" s="56"/>
      <c r="N377" s="56"/>
      <c r="O377" s="56"/>
      <c r="P377" s="56"/>
      <c r="Q377" s="56"/>
      <c r="R377" s="56"/>
      <c r="S377" s="56"/>
      <c r="T377" s="56"/>
      <c r="U377" s="56"/>
      <c r="V377" s="56"/>
      <c r="W377" s="27"/>
      <c r="X377" s="56"/>
      <c r="Y377" s="27"/>
      <c r="Z377" s="56"/>
      <c r="AA377" s="27"/>
      <c r="AB377" s="56"/>
      <c r="AC377" s="27"/>
      <c r="AD377" s="56"/>
      <c r="AE377" s="27"/>
      <c r="AF377" s="56"/>
      <c r="AG377" s="27"/>
      <c r="AH377" s="286"/>
      <c r="AI377" s="27"/>
      <c r="AJ377" s="56"/>
      <c r="AK377" s="27"/>
      <c r="AL377" s="56"/>
      <c r="AM377" s="27"/>
      <c r="AN377" s="56"/>
      <c r="AO377" s="27"/>
      <c r="AP377" s="56"/>
      <c r="AQ377" s="27"/>
      <c r="AR377" s="56"/>
      <c r="AS377" s="27"/>
      <c r="AT377" s="56"/>
      <c r="AU377" s="27"/>
      <c r="AV377" s="56"/>
      <c r="AW377" s="27"/>
      <c r="AX377" s="56"/>
      <c r="AY377" s="27"/>
      <c r="AZ377" s="56"/>
      <c r="BA377" s="27"/>
      <c r="BB377" s="48"/>
      <c r="BC377" s="48"/>
      <c r="BD377" s="48"/>
      <c r="BE377" s="48"/>
      <c r="BF377" s="48"/>
      <c r="BG377" s="48"/>
      <c r="BH377" s="48"/>
      <c r="BI377" s="48"/>
      <c r="BJ377" s="48"/>
      <c r="BK377" s="48"/>
      <c r="BL377" s="48"/>
      <c r="BM377" s="48"/>
      <c r="BN377" s="48"/>
      <c r="BO377" s="48"/>
      <c r="BP377" s="48"/>
      <c r="BQ377" s="48"/>
      <c r="BR377" s="48"/>
      <c r="BS377" s="48"/>
      <c r="BT377" s="48"/>
      <c r="BU377" s="48"/>
    </row>
    <row r="378" ht="15.75" customHeight="1">
      <c r="A378" s="48"/>
      <c r="B378" s="48"/>
      <c r="C378" s="48"/>
      <c r="D378" s="48"/>
      <c r="E378" s="27"/>
      <c r="F378" s="48"/>
      <c r="G378" s="48"/>
      <c r="H378" s="56"/>
      <c r="I378" s="56"/>
      <c r="J378" s="56"/>
      <c r="K378" s="56"/>
      <c r="L378" s="56"/>
      <c r="M378" s="56"/>
      <c r="N378" s="56"/>
      <c r="O378" s="56"/>
      <c r="P378" s="56"/>
      <c r="Q378" s="56"/>
      <c r="R378" s="56"/>
      <c r="S378" s="56"/>
      <c r="T378" s="56"/>
      <c r="U378" s="56"/>
      <c r="V378" s="56"/>
      <c r="W378" s="27"/>
      <c r="X378" s="56"/>
      <c r="Y378" s="27"/>
      <c r="Z378" s="56"/>
      <c r="AA378" s="27"/>
      <c r="AB378" s="56"/>
      <c r="AC378" s="27"/>
      <c r="AD378" s="56"/>
      <c r="AE378" s="27"/>
      <c r="AF378" s="56"/>
      <c r="AG378" s="27"/>
      <c r="AH378" s="286"/>
      <c r="AI378" s="27"/>
      <c r="AJ378" s="56"/>
      <c r="AK378" s="27"/>
      <c r="AL378" s="56"/>
      <c r="AM378" s="27"/>
      <c r="AN378" s="56"/>
      <c r="AO378" s="27"/>
      <c r="AP378" s="56"/>
      <c r="AQ378" s="27"/>
      <c r="AR378" s="56"/>
      <c r="AS378" s="27"/>
      <c r="AT378" s="56"/>
      <c r="AU378" s="27"/>
      <c r="AV378" s="56"/>
      <c r="AW378" s="27"/>
      <c r="AX378" s="56"/>
      <c r="AY378" s="27"/>
      <c r="AZ378" s="56"/>
      <c r="BA378" s="27"/>
      <c r="BB378" s="48"/>
      <c r="BC378" s="48"/>
      <c r="BD378" s="48"/>
      <c r="BE378" s="48"/>
      <c r="BF378" s="48"/>
      <c r="BG378" s="48"/>
      <c r="BH378" s="48"/>
      <c r="BI378" s="48"/>
      <c r="BJ378" s="48"/>
      <c r="BK378" s="48"/>
      <c r="BL378" s="48"/>
      <c r="BM378" s="48"/>
      <c r="BN378" s="48"/>
      <c r="BO378" s="48"/>
      <c r="BP378" s="48"/>
      <c r="BQ378" s="48"/>
      <c r="BR378" s="48"/>
      <c r="BS378" s="48"/>
      <c r="BT378" s="48"/>
      <c r="BU378" s="48"/>
    </row>
    <row r="379" ht="15.75" customHeight="1">
      <c r="A379" s="48"/>
      <c r="B379" s="48"/>
      <c r="C379" s="48"/>
      <c r="D379" s="48"/>
      <c r="E379" s="27"/>
      <c r="F379" s="48"/>
      <c r="G379" s="48"/>
      <c r="H379" s="56"/>
      <c r="I379" s="56"/>
      <c r="J379" s="56"/>
      <c r="K379" s="56"/>
      <c r="L379" s="56"/>
      <c r="M379" s="56"/>
      <c r="N379" s="56"/>
      <c r="O379" s="56"/>
      <c r="P379" s="56"/>
      <c r="Q379" s="56"/>
      <c r="R379" s="56"/>
      <c r="S379" s="56"/>
      <c r="T379" s="56"/>
      <c r="U379" s="56"/>
      <c r="V379" s="56"/>
      <c r="W379" s="27"/>
      <c r="X379" s="56"/>
      <c r="Y379" s="27"/>
      <c r="Z379" s="56"/>
      <c r="AA379" s="27"/>
      <c r="AB379" s="56"/>
      <c r="AC379" s="27"/>
      <c r="AD379" s="56"/>
      <c r="AE379" s="27"/>
      <c r="AF379" s="56"/>
      <c r="AG379" s="27"/>
      <c r="AH379" s="286"/>
      <c r="AI379" s="27"/>
      <c r="AJ379" s="56"/>
      <c r="AK379" s="27"/>
      <c r="AL379" s="56"/>
      <c r="AM379" s="27"/>
      <c r="AN379" s="56"/>
      <c r="AO379" s="27"/>
      <c r="AP379" s="56"/>
      <c r="AQ379" s="27"/>
      <c r="AR379" s="56"/>
      <c r="AS379" s="27"/>
      <c r="AT379" s="56"/>
      <c r="AU379" s="27"/>
      <c r="AV379" s="56"/>
      <c r="AW379" s="27"/>
      <c r="AX379" s="56"/>
      <c r="AY379" s="27"/>
      <c r="AZ379" s="56"/>
      <c r="BA379" s="27"/>
      <c r="BB379" s="48"/>
      <c r="BC379" s="48"/>
      <c r="BD379" s="48"/>
      <c r="BE379" s="48"/>
      <c r="BF379" s="48"/>
      <c r="BG379" s="48"/>
      <c r="BH379" s="48"/>
      <c r="BI379" s="48"/>
      <c r="BJ379" s="48"/>
      <c r="BK379" s="48"/>
      <c r="BL379" s="48"/>
      <c r="BM379" s="48"/>
      <c r="BN379" s="48"/>
      <c r="BO379" s="48"/>
      <c r="BP379" s="48"/>
      <c r="BQ379" s="48"/>
      <c r="BR379" s="48"/>
      <c r="BS379" s="48"/>
      <c r="BT379" s="48"/>
      <c r="BU379" s="48"/>
    </row>
    <row r="380" ht="15.75" customHeight="1">
      <c r="A380" s="48"/>
      <c r="B380" s="48"/>
      <c r="C380" s="48"/>
      <c r="D380" s="48"/>
      <c r="E380" s="27"/>
      <c r="F380" s="48"/>
      <c r="G380" s="48"/>
      <c r="H380" s="56"/>
      <c r="I380" s="56"/>
      <c r="J380" s="56"/>
      <c r="K380" s="56"/>
      <c r="L380" s="56"/>
      <c r="M380" s="56"/>
      <c r="N380" s="56"/>
      <c r="O380" s="56"/>
      <c r="P380" s="56"/>
      <c r="Q380" s="56"/>
      <c r="R380" s="56"/>
      <c r="S380" s="56"/>
      <c r="T380" s="56"/>
      <c r="U380" s="56"/>
      <c r="V380" s="56"/>
      <c r="W380" s="27"/>
      <c r="X380" s="56"/>
      <c r="Y380" s="27"/>
      <c r="Z380" s="56"/>
      <c r="AA380" s="27"/>
      <c r="AB380" s="56"/>
      <c r="AC380" s="27"/>
      <c r="AD380" s="56"/>
      <c r="AE380" s="27"/>
      <c r="AF380" s="56"/>
      <c r="AG380" s="27"/>
      <c r="AH380" s="286"/>
      <c r="AI380" s="27"/>
      <c r="AJ380" s="56"/>
      <c r="AK380" s="27"/>
      <c r="AL380" s="56"/>
      <c r="AM380" s="27"/>
      <c r="AN380" s="56"/>
      <c r="AO380" s="27"/>
      <c r="AP380" s="56"/>
      <c r="AQ380" s="27"/>
      <c r="AR380" s="56"/>
      <c r="AS380" s="27"/>
      <c r="AT380" s="56"/>
      <c r="AU380" s="27"/>
      <c r="AV380" s="56"/>
      <c r="AW380" s="27"/>
      <c r="AX380" s="56"/>
      <c r="AY380" s="27"/>
      <c r="AZ380" s="56"/>
      <c r="BA380" s="27"/>
      <c r="BB380" s="48"/>
      <c r="BC380" s="48"/>
      <c r="BD380" s="48"/>
      <c r="BE380" s="48"/>
      <c r="BF380" s="48"/>
      <c r="BG380" s="48"/>
      <c r="BH380" s="48"/>
      <c r="BI380" s="48"/>
      <c r="BJ380" s="48"/>
      <c r="BK380" s="48"/>
      <c r="BL380" s="48"/>
      <c r="BM380" s="48"/>
      <c r="BN380" s="48"/>
      <c r="BO380" s="48"/>
      <c r="BP380" s="48"/>
      <c r="BQ380" s="48"/>
      <c r="BR380" s="48"/>
      <c r="BS380" s="48"/>
      <c r="BT380" s="48"/>
      <c r="BU380" s="48"/>
    </row>
    <row r="381" ht="15.75" customHeight="1">
      <c r="A381" s="48"/>
      <c r="B381" s="48"/>
      <c r="C381" s="48"/>
      <c r="D381" s="48"/>
      <c r="E381" s="27"/>
      <c r="F381" s="48"/>
      <c r="G381" s="48"/>
      <c r="H381" s="56"/>
      <c r="I381" s="56"/>
      <c r="J381" s="56"/>
      <c r="K381" s="56"/>
      <c r="L381" s="56"/>
      <c r="M381" s="56"/>
      <c r="N381" s="56"/>
      <c r="O381" s="56"/>
      <c r="P381" s="56"/>
      <c r="Q381" s="56"/>
      <c r="R381" s="56"/>
      <c r="S381" s="56"/>
      <c r="T381" s="56"/>
      <c r="U381" s="56"/>
      <c r="V381" s="56"/>
      <c r="W381" s="27"/>
      <c r="X381" s="56"/>
      <c r="Y381" s="27"/>
      <c r="Z381" s="56"/>
      <c r="AA381" s="27"/>
      <c r="AB381" s="56"/>
      <c r="AC381" s="27"/>
      <c r="AD381" s="56"/>
      <c r="AE381" s="27"/>
      <c r="AF381" s="56"/>
      <c r="AG381" s="27"/>
      <c r="AH381" s="286"/>
      <c r="AI381" s="27"/>
      <c r="AJ381" s="56"/>
      <c r="AK381" s="27"/>
      <c r="AL381" s="56"/>
      <c r="AM381" s="27"/>
      <c r="AN381" s="56"/>
      <c r="AO381" s="27"/>
      <c r="AP381" s="56"/>
      <c r="AQ381" s="27"/>
      <c r="AR381" s="56"/>
      <c r="AS381" s="27"/>
      <c r="AT381" s="56"/>
      <c r="AU381" s="27"/>
      <c r="AV381" s="56"/>
      <c r="AW381" s="27"/>
      <c r="AX381" s="56"/>
      <c r="AY381" s="27"/>
      <c r="AZ381" s="56"/>
      <c r="BA381" s="27"/>
      <c r="BB381" s="48"/>
      <c r="BC381" s="48"/>
      <c r="BD381" s="48"/>
      <c r="BE381" s="48"/>
      <c r="BF381" s="48"/>
      <c r="BG381" s="48"/>
      <c r="BH381" s="48"/>
      <c r="BI381" s="48"/>
      <c r="BJ381" s="48"/>
      <c r="BK381" s="48"/>
      <c r="BL381" s="48"/>
      <c r="BM381" s="48"/>
      <c r="BN381" s="48"/>
      <c r="BO381" s="48"/>
      <c r="BP381" s="48"/>
      <c r="BQ381" s="48"/>
      <c r="BR381" s="48"/>
      <c r="BS381" s="48"/>
      <c r="BT381" s="48"/>
      <c r="BU381" s="48"/>
    </row>
    <row r="382" ht="15.75" customHeight="1">
      <c r="A382" s="48"/>
      <c r="B382" s="48"/>
      <c r="C382" s="48"/>
      <c r="D382" s="48"/>
      <c r="E382" s="27"/>
      <c r="F382" s="48"/>
      <c r="G382" s="48"/>
      <c r="H382" s="56"/>
      <c r="I382" s="56"/>
      <c r="J382" s="56"/>
      <c r="K382" s="56"/>
      <c r="L382" s="56"/>
      <c r="M382" s="56"/>
      <c r="N382" s="56"/>
      <c r="O382" s="56"/>
      <c r="P382" s="56"/>
      <c r="Q382" s="56"/>
      <c r="R382" s="56"/>
      <c r="S382" s="56"/>
      <c r="T382" s="56"/>
      <c r="U382" s="56"/>
      <c r="V382" s="56"/>
      <c r="W382" s="27"/>
      <c r="X382" s="56"/>
      <c r="Y382" s="27"/>
      <c r="Z382" s="56"/>
      <c r="AA382" s="27"/>
      <c r="AB382" s="56"/>
      <c r="AC382" s="27"/>
      <c r="AD382" s="56"/>
      <c r="AE382" s="27"/>
      <c r="AF382" s="56"/>
      <c r="AG382" s="27"/>
      <c r="AH382" s="286"/>
      <c r="AI382" s="27"/>
      <c r="AJ382" s="56"/>
      <c r="AK382" s="27"/>
      <c r="AL382" s="56"/>
      <c r="AM382" s="27"/>
      <c r="AN382" s="56"/>
      <c r="AO382" s="27"/>
      <c r="AP382" s="56"/>
      <c r="AQ382" s="27"/>
      <c r="AR382" s="56"/>
      <c r="AS382" s="27"/>
      <c r="AT382" s="56"/>
      <c r="AU382" s="27"/>
      <c r="AV382" s="56"/>
      <c r="AW382" s="27"/>
      <c r="AX382" s="56"/>
      <c r="AY382" s="27"/>
      <c r="AZ382" s="56"/>
      <c r="BA382" s="27"/>
      <c r="BB382" s="48"/>
      <c r="BC382" s="48"/>
      <c r="BD382" s="48"/>
      <c r="BE382" s="48"/>
      <c r="BF382" s="48"/>
      <c r="BG382" s="48"/>
      <c r="BH382" s="48"/>
      <c r="BI382" s="48"/>
      <c r="BJ382" s="48"/>
      <c r="BK382" s="48"/>
      <c r="BL382" s="48"/>
      <c r="BM382" s="48"/>
      <c r="BN382" s="48"/>
      <c r="BO382" s="48"/>
      <c r="BP382" s="48"/>
      <c r="BQ382" s="48"/>
      <c r="BR382" s="48"/>
      <c r="BS382" s="48"/>
      <c r="BT382" s="48"/>
      <c r="BU382" s="48"/>
    </row>
    <row r="383" ht="15.75" customHeight="1">
      <c r="A383" s="48"/>
      <c r="B383" s="48"/>
      <c r="C383" s="48"/>
      <c r="D383" s="48"/>
      <c r="E383" s="27"/>
      <c r="F383" s="48"/>
      <c r="G383" s="48"/>
      <c r="H383" s="56"/>
      <c r="I383" s="56"/>
      <c r="J383" s="56"/>
      <c r="K383" s="56"/>
      <c r="L383" s="56"/>
      <c r="M383" s="56"/>
      <c r="N383" s="56"/>
      <c r="O383" s="56"/>
      <c r="P383" s="56"/>
      <c r="Q383" s="56"/>
      <c r="R383" s="56"/>
      <c r="S383" s="56"/>
      <c r="T383" s="56"/>
      <c r="U383" s="56"/>
      <c r="V383" s="56"/>
      <c r="W383" s="27"/>
      <c r="X383" s="56"/>
      <c r="Y383" s="27"/>
      <c r="Z383" s="56"/>
      <c r="AA383" s="27"/>
      <c r="AB383" s="56"/>
      <c r="AC383" s="27"/>
      <c r="AD383" s="56"/>
      <c r="AE383" s="27"/>
      <c r="AF383" s="56"/>
      <c r="AG383" s="27"/>
      <c r="AH383" s="286"/>
      <c r="AI383" s="27"/>
      <c r="AJ383" s="56"/>
      <c r="AK383" s="27"/>
      <c r="AL383" s="56"/>
      <c r="AM383" s="27"/>
      <c r="AN383" s="56"/>
      <c r="AO383" s="27"/>
      <c r="AP383" s="56"/>
      <c r="AQ383" s="27"/>
      <c r="AR383" s="56"/>
      <c r="AS383" s="27"/>
      <c r="AT383" s="56"/>
      <c r="AU383" s="27"/>
      <c r="AV383" s="56"/>
      <c r="AW383" s="27"/>
      <c r="AX383" s="56"/>
      <c r="AY383" s="27"/>
      <c r="AZ383" s="56"/>
      <c r="BA383" s="27"/>
      <c r="BB383" s="48"/>
      <c r="BC383" s="48"/>
      <c r="BD383" s="48"/>
      <c r="BE383" s="48"/>
      <c r="BF383" s="48"/>
      <c r="BG383" s="48"/>
      <c r="BH383" s="48"/>
      <c r="BI383" s="48"/>
      <c r="BJ383" s="48"/>
      <c r="BK383" s="48"/>
      <c r="BL383" s="48"/>
      <c r="BM383" s="48"/>
      <c r="BN383" s="48"/>
      <c r="BO383" s="48"/>
      <c r="BP383" s="48"/>
      <c r="BQ383" s="48"/>
      <c r="BR383" s="48"/>
      <c r="BS383" s="48"/>
      <c r="BT383" s="48"/>
      <c r="BU383" s="48"/>
    </row>
    <row r="384" ht="15.75" customHeight="1">
      <c r="A384" s="48"/>
      <c r="B384" s="48"/>
      <c r="C384" s="48"/>
      <c r="D384" s="48"/>
      <c r="E384" s="27"/>
      <c r="F384" s="48"/>
      <c r="G384" s="48"/>
      <c r="H384" s="56"/>
      <c r="I384" s="56"/>
      <c r="J384" s="56"/>
      <c r="K384" s="56"/>
      <c r="L384" s="56"/>
      <c r="M384" s="56"/>
      <c r="N384" s="56"/>
      <c r="O384" s="56"/>
      <c r="P384" s="56"/>
      <c r="Q384" s="56"/>
      <c r="R384" s="56"/>
      <c r="S384" s="56"/>
      <c r="T384" s="56"/>
      <c r="U384" s="56"/>
      <c r="V384" s="56"/>
      <c r="W384" s="27"/>
      <c r="X384" s="56"/>
      <c r="Y384" s="27"/>
      <c r="Z384" s="56"/>
      <c r="AA384" s="27"/>
      <c r="AB384" s="56"/>
      <c r="AC384" s="27"/>
      <c r="AD384" s="56"/>
      <c r="AE384" s="27"/>
      <c r="AF384" s="56"/>
      <c r="AG384" s="27"/>
      <c r="AH384" s="286"/>
      <c r="AI384" s="27"/>
      <c r="AJ384" s="56"/>
      <c r="AK384" s="27"/>
      <c r="AL384" s="56"/>
      <c r="AM384" s="27"/>
      <c r="AN384" s="56"/>
      <c r="AO384" s="27"/>
      <c r="AP384" s="56"/>
      <c r="AQ384" s="27"/>
      <c r="AR384" s="56"/>
      <c r="AS384" s="27"/>
      <c r="AT384" s="56"/>
      <c r="AU384" s="27"/>
      <c r="AV384" s="56"/>
      <c r="AW384" s="27"/>
      <c r="AX384" s="56"/>
      <c r="AY384" s="27"/>
      <c r="AZ384" s="56"/>
      <c r="BA384" s="27"/>
      <c r="BB384" s="48"/>
      <c r="BC384" s="48"/>
      <c r="BD384" s="48"/>
      <c r="BE384" s="48"/>
      <c r="BF384" s="48"/>
      <c r="BG384" s="48"/>
      <c r="BH384" s="48"/>
      <c r="BI384" s="48"/>
      <c r="BJ384" s="48"/>
      <c r="BK384" s="48"/>
      <c r="BL384" s="48"/>
      <c r="BM384" s="48"/>
      <c r="BN384" s="48"/>
      <c r="BO384" s="48"/>
      <c r="BP384" s="48"/>
      <c r="BQ384" s="48"/>
      <c r="BR384" s="48"/>
      <c r="BS384" s="48"/>
      <c r="BT384" s="48"/>
      <c r="BU384" s="48"/>
    </row>
    <row r="385" ht="15.75" customHeight="1">
      <c r="A385" s="48"/>
      <c r="B385" s="48"/>
      <c r="C385" s="48"/>
      <c r="D385" s="48"/>
      <c r="E385" s="27"/>
      <c r="F385" s="48"/>
      <c r="G385" s="48"/>
      <c r="H385" s="56"/>
      <c r="I385" s="56"/>
      <c r="J385" s="56"/>
      <c r="K385" s="56"/>
      <c r="L385" s="56"/>
      <c r="M385" s="56"/>
      <c r="N385" s="56"/>
      <c r="O385" s="56"/>
      <c r="P385" s="56"/>
      <c r="Q385" s="56"/>
      <c r="R385" s="56"/>
      <c r="S385" s="56"/>
      <c r="T385" s="56"/>
      <c r="U385" s="56"/>
      <c r="V385" s="56"/>
      <c r="W385" s="27"/>
      <c r="X385" s="56"/>
      <c r="Y385" s="27"/>
      <c r="Z385" s="56"/>
      <c r="AA385" s="27"/>
      <c r="AB385" s="56"/>
      <c r="AC385" s="27"/>
      <c r="AD385" s="56"/>
      <c r="AE385" s="27"/>
      <c r="AF385" s="56"/>
      <c r="AG385" s="27"/>
      <c r="AH385" s="286"/>
      <c r="AI385" s="27"/>
      <c r="AJ385" s="56"/>
      <c r="AK385" s="27"/>
      <c r="AL385" s="56"/>
      <c r="AM385" s="27"/>
      <c r="AN385" s="56"/>
      <c r="AO385" s="27"/>
      <c r="AP385" s="56"/>
      <c r="AQ385" s="27"/>
      <c r="AR385" s="56"/>
      <c r="AS385" s="27"/>
      <c r="AT385" s="56"/>
      <c r="AU385" s="27"/>
      <c r="AV385" s="56"/>
      <c r="AW385" s="27"/>
      <c r="AX385" s="56"/>
      <c r="AY385" s="27"/>
      <c r="AZ385" s="56"/>
      <c r="BA385" s="27"/>
      <c r="BB385" s="48"/>
      <c r="BC385" s="48"/>
      <c r="BD385" s="48"/>
      <c r="BE385" s="48"/>
      <c r="BF385" s="48"/>
      <c r="BG385" s="48"/>
      <c r="BH385" s="48"/>
      <c r="BI385" s="48"/>
      <c r="BJ385" s="48"/>
      <c r="BK385" s="48"/>
      <c r="BL385" s="48"/>
      <c r="BM385" s="48"/>
      <c r="BN385" s="48"/>
      <c r="BO385" s="48"/>
      <c r="BP385" s="48"/>
      <c r="BQ385" s="48"/>
      <c r="BR385" s="48"/>
      <c r="BS385" s="48"/>
      <c r="BT385" s="48"/>
      <c r="BU385" s="48"/>
    </row>
    <row r="386" ht="15.75" customHeight="1">
      <c r="A386" s="48"/>
      <c r="B386" s="48"/>
      <c r="C386" s="48"/>
      <c r="D386" s="48"/>
      <c r="E386" s="27"/>
      <c r="F386" s="48"/>
      <c r="G386" s="48"/>
      <c r="H386" s="56"/>
      <c r="I386" s="56"/>
      <c r="J386" s="56"/>
      <c r="K386" s="56"/>
      <c r="L386" s="56"/>
      <c r="M386" s="56"/>
      <c r="N386" s="56"/>
      <c r="O386" s="56"/>
      <c r="P386" s="56"/>
      <c r="Q386" s="56"/>
      <c r="R386" s="56"/>
      <c r="S386" s="56"/>
      <c r="T386" s="56"/>
      <c r="U386" s="56"/>
      <c r="V386" s="56"/>
      <c r="W386" s="27"/>
      <c r="X386" s="56"/>
      <c r="Y386" s="27"/>
      <c r="Z386" s="56"/>
      <c r="AA386" s="27"/>
      <c r="AB386" s="56"/>
      <c r="AC386" s="27"/>
      <c r="AD386" s="56"/>
      <c r="AE386" s="27"/>
      <c r="AF386" s="56"/>
      <c r="AG386" s="27"/>
      <c r="AH386" s="286"/>
      <c r="AI386" s="27"/>
      <c r="AJ386" s="56"/>
      <c r="AK386" s="27"/>
      <c r="AL386" s="56"/>
      <c r="AM386" s="27"/>
      <c r="AN386" s="56"/>
      <c r="AO386" s="27"/>
      <c r="AP386" s="56"/>
      <c r="AQ386" s="27"/>
      <c r="AR386" s="56"/>
      <c r="AS386" s="27"/>
      <c r="AT386" s="56"/>
      <c r="AU386" s="27"/>
      <c r="AV386" s="56"/>
      <c r="AW386" s="27"/>
      <c r="AX386" s="56"/>
      <c r="AY386" s="27"/>
      <c r="AZ386" s="56"/>
      <c r="BA386" s="27"/>
      <c r="BB386" s="48"/>
      <c r="BC386" s="48"/>
      <c r="BD386" s="48"/>
      <c r="BE386" s="48"/>
      <c r="BF386" s="48"/>
      <c r="BG386" s="48"/>
      <c r="BH386" s="48"/>
      <c r="BI386" s="48"/>
      <c r="BJ386" s="48"/>
      <c r="BK386" s="48"/>
      <c r="BL386" s="48"/>
      <c r="BM386" s="48"/>
      <c r="BN386" s="48"/>
      <c r="BO386" s="48"/>
      <c r="BP386" s="48"/>
      <c r="BQ386" s="48"/>
      <c r="BR386" s="48"/>
      <c r="BS386" s="48"/>
      <c r="BT386" s="48"/>
      <c r="BU386" s="48"/>
    </row>
    <row r="387" ht="15.75" customHeight="1">
      <c r="A387" s="48"/>
      <c r="B387" s="48"/>
      <c r="C387" s="48"/>
      <c r="D387" s="48"/>
      <c r="E387" s="27"/>
      <c r="F387" s="48"/>
      <c r="G387" s="48"/>
      <c r="H387" s="56"/>
      <c r="I387" s="56"/>
      <c r="J387" s="56"/>
      <c r="K387" s="56"/>
      <c r="L387" s="56"/>
      <c r="M387" s="56"/>
      <c r="N387" s="56"/>
      <c r="O387" s="56"/>
      <c r="P387" s="56"/>
      <c r="Q387" s="56"/>
      <c r="R387" s="56"/>
      <c r="S387" s="56"/>
      <c r="T387" s="56"/>
      <c r="U387" s="56"/>
      <c r="V387" s="56"/>
      <c r="W387" s="27"/>
      <c r="X387" s="56"/>
      <c r="Y387" s="27"/>
      <c r="Z387" s="56"/>
      <c r="AA387" s="27"/>
      <c r="AB387" s="56"/>
      <c r="AC387" s="27"/>
      <c r="AD387" s="56"/>
      <c r="AE387" s="27"/>
      <c r="AF387" s="56"/>
      <c r="AG387" s="27"/>
      <c r="AH387" s="286"/>
      <c r="AI387" s="27"/>
      <c r="AJ387" s="56"/>
      <c r="AK387" s="27"/>
      <c r="AL387" s="56"/>
      <c r="AM387" s="27"/>
      <c r="AN387" s="56"/>
      <c r="AO387" s="27"/>
      <c r="AP387" s="56"/>
      <c r="AQ387" s="27"/>
      <c r="AR387" s="56"/>
      <c r="AS387" s="27"/>
      <c r="AT387" s="56"/>
      <c r="AU387" s="27"/>
      <c r="AV387" s="56"/>
      <c r="AW387" s="27"/>
      <c r="AX387" s="56"/>
      <c r="AY387" s="27"/>
      <c r="AZ387" s="56"/>
      <c r="BA387" s="27"/>
      <c r="BB387" s="48"/>
      <c r="BC387" s="48"/>
      <c r="BD387" s="48"/>
      <c r="BE387" s="48"/>
      <c r="BF387" s="48"/>
      <c r="BG387" s="48"/>
      <c r="BH387" s="48"/>
      <c r="BI387" s="48"/>
      <c r="BJ387" s="48"/>
      <c r="BK387" s="48"/>
      <c r="BL387" s="48"/>
      <c r="BM387" s="48"/>
      <c r="BN387" s="48"/>
      <c r="BO387" s="48"/>
      <c r="BP387" s="48"/>
      <c r="BQ387" s="48"/>
      <c r="BR387" s="48"/>
      <c r="BS387" s="48"/>
      <c r="BT387" s="48"/>
      <c r="BU387" s="48"/>
    </row>
    <row r="388" ht="15.75" customHeight="1">
      <c r="A388" s="48"/>
      <c r="B388" s="48"/>
      <c r="C388" s="48"/>
      <c r="D388" s="48"/>
      <c r="E388" s="27"/>
      <c r="F388" s="48"/>
      <c r="G388" s="48"/>
      <c r="H388" s="56"/>
      <c r="I388" s="56"/>
      <c r="J388" s="56"/>
      <c r="K388" s="56"/>
      <c r="L388" s="56"/>
      <c r="M388" s="56"/>
      <c r="N388" s="56"/>
      <c r="O388" s="56"/>
      <c r="P388" s="56"/>
      <c r="Q388" s="56"/>
      <c r="R388" s="56"/>
      <c r="S388" s="56"/>
      <c r="T388" s="56"/>
      <c r="U388" s="56"/>
      <c r="V388" s="56"/>
      <c r="W388" s="27"/>
      <c r="X388" s="56"/>
      <c r="Y388" s="27"/>
      <c r="Z388" s="56"/>
      <c r="AA388" s="27"/>
      <c r="AB388" s="56"/>
      <c r="AC388" s="27"/>
      <c r="AD388" s="56"/>
      <c r="AE388" s="27"/>
      <c r="AF388" s="56"/>
      <c r="AG388" s="27"/>
      <c r="AH388" s="286"/>
      <c r="AI388" s="27"/>
      <c r="AJ388" s="56"/>
      <c r="AK388" s="27"/>
      <c r="AL388" s="56"/>
      <c r="AM388" s="27"/>
      <c r="AN388" s="56"/>
      <c r="AO388" s="27"/>
      <c r="AP388" s="56"/>
      <c r="AQ388" s="27"/>
      <c r="AR388" s="56"/>
      <c r="AS388" s="27"/>
      <c r="AT388" s="56"/>
      <c r="AU388" s="27"/>
      <c r="AV388" s="56"/>
      <c r="AW388" s="27"/>
      <c r="AX388" s="56"/>
      <c r="AY388" s="27"/>
      <c r="AZ388" s="56"/>
      <c r="BA388" s="27"/>
      <c r="BB388" s="48"/>
      <c r="BC388" s="48"/>
      <c r="BD388" s="48"/>
      <c r="BE388" s="48"/>
      <c r="BF388" s="48"/>
      <c r="BG388" s="48"/>
      <c r="BH388" s="48"/>
      <c r="BI388" s="48"/>
      <c r="BJ388" s="48"/>
      <c r="BK388" s="48"/>
      <c r="BL388" s="48"/>
      <c r="BM388" s="48"/>
      <c r="BN388" s="48"/>
      <c r="BO388" s="48"/>
      <c r="BP388" s="48"/>
      <c r="BQ388" s="48"/>
      <c r="BR388" s="48"/>
      <c r="BS388" s="48"/>
      <c r="BT388" s="48"/>
      <c r="BU388" s="48"/>
    </row>
    <row r="389" ht="15.75" customHeight="1">
      <c r="A389" s="48"/>
      <c r="B389" s="48"/>
      <c r="C389" s="48"/>
      <c r="D389" s="48"/>
      <c r="E389" s="27"/>
      <c r="F389" s="48"/>
      <c r="G389" s="48"/>
      <c r="H389" s="56"/>
      <c r="I389" s="56"/>
      <c r="J389" s="56"/>
      <c r="K389" s="56"/>
      <c r="L389" s="56"/>
      <c r="M389" s="56"/>
      <c r="N389" s="56"/>
      <c r="O389" s="56"/>
      <c r="P389" s="56"/>
      <c r="Q389" s="56"/>
      <c r="R389" s="56"/>
      <c r="S389" s="56"/>
      <c r="T389" s="56"/>
      <c r="U389" s="56"/>
      <c r="V389" s="56"/>
      <c r="W389" s="27"/>
      <c r="X389" s="56"/>
      <c r="Y389" s="27"/>
      <c r="Z389" s="56"/>
      <c r="AA389" s="27"/>
      <c r="AB389" s="56"/>
      <c r="AC389" s="27"/>
      <c r="AD389" s="56"/>
      <c r="AE389" s="27"/>
      <c r="AF389" s="56"/>
      <c r="AG389" s="27"/>
      <c r="AH389" s="286"/>
      <c r="AI389" s="27"/>
      <c r="AJ389" s="56"/>
      <c r="AK389" s="27"/>
      <c r="AL389" s="56"/>
      <c r="AM389" s="27"/>
      <c r="AN389" s="56"/>
      <c r="AO389" s="27"/>
      <c r="AP389" s="56"/>
      <c r="AQ389" s="27"/>
      <c r="AR389" s="56"/>
      <c r="AS389" s="27"/>
      <c r="AT389" s="56"/>
      <c r="AU389" s="27"/>
      <c r="AV389" s="56"/>
      <c r="AW389" s="27"/>
      <c r="AX389" s="56"/>
      <c r="AY389" s="27"/>
      <c r="AZ389" s="56"/>
      <c r="BA389" s="27"/>
      <c r="BB389" s="48"/>
      <c r="BC389" s="48"/>
      <c r="BD389" s="48"/>
      <c r="BE389" s="48"/>
      <c r="BF389" s="48"/>
      <c r="BG389" s="48"/>
      <c r="BH389" s="48"/>
      <c r="BI389" s="48"/>
      <c r="BJ389" s="48"/>
      <c r="BK389" s="48"/>
      <c r="BL389" s="48"/>
      <c r="BM389" s="48"/>
      <c r="BN389" s="48"/>
      <c r="BO389" s="48"/>
      <c r="BP389" s="48"/>
      <c r="BQ389" s="48"/>
      <c r="BR389" s="48"/>
      <c r="BS389" s="48"/>
      <c r="BT389" s="48"/>
      <c r="BU389" s="48"/>
    </row>
    <row r="390" ht="15.75" customHeight="1">
      <c r="A390" s="48"/>
      <c r="B390" s="48"/>
      <c r="C390" s="48"/>
      <c r="D390" s="48"/>
      <c r="E390" s="27"/>
      <c r="F390" s="48"/>
      <c r="G390" s="48"/>
      <c r="H390" s="56"/>
      <c r="I390" s="56"/>
      <c r="J390" s="56"/>
      <c r="K390" s="56"/>
      <c r="L390" s="56"/>
      <c r="M390" s="56"/>
      <c r="N390" s="56"/>
      <c r="O390" s="56"/>
      <c r="P390" s="56"/>
      <c r="Q390" s="56"/>
      <c r="R390" s="56"/>
      <c r="S390" s="56"/>
      <c r="T390" s="56"/>
      <c r="U390" s="56"/>
      <c r="V390" s="56"/>
      <c r="W390" s="27"/>
      <c r="X390" s="56"/>
      <c r="Y390" s="27"/>
      <c r="Z390" s="56"/>
      <c r="AA390" s="27"/>
      <c r="AB390" s="56"/>
      <c r="AC390" s="27"/>
      <c r="AD390" s="56"/>
      <c r="AE390" s="27"/>
      <c r="AF390" s="56"/>
      <c r="AG390" s="27"/>
      <c r="AH390" s="286"/>
      <c r="AI390" s="27"/>
      <c r="AJ390" s="56"/>
      <c r="AK390" s="27"/>
      <c r="AL390" s="56"/>
      <c r="AM390" s="27"/>
      <c r="AN390" s="56"/>
      <c r="AO390" s="27"/>
      <c r="AP390" s="56"/>
      <c r="AQ390" s="27"/>
      <c r="AR390" s="56"/>
      <c r="AS390" s="27"/>
      <c r="AT390" s="56"/>
      <c r="AU390" s="27"/>
      <c r="AV390" s="56"/>
      <c r="AW390" s="27"/>
      <c r="AX390" s="56"/>
      <c r="AY390" s="27"/>
      <c r="AZ390" s="56"/>
      <c r="BA390" s="27"/>
      <c r="BB390" s="48"/>
      <c r="BC390" s="48"/>
      <c r="BD390" s="48"/>
      <c r="BE390" s="48"/>
      <c r="BF390" s="48"/>
      <c r="BG390" s="48"/>
      <c r="BH390" s="48"/>
      <c r="BI390" s="48"/>
      <c r="BJ390" s="48"/>
      <c r="BK390" s="48"/>
      <c r="BL390" s="48"/>
      <c r="BM390" s="48"/>
      <c r="BN390" s="48"/>
      <c r="BO390" s="48"/>
      <c r="BP390" s="48"/>
      <c r="BQ390" s="48"/>
      <c r="BR390" s="48"/>
      <c r="BS390" s="48"/>
      <c r="BT390" s="48"/>
      <c r="BU390" s="48"/>
    </row>
    <row r="391" ht="15.75" customHeight="1">
      <c r="A391" s="48"/>
      <c r="B391" s="48"/>
      <c r="C391" s="48"/>
      <c r="D391" s="48"/>
      <c r="E391" s="27"/>
      <c r="F391" s="48"/>
      <c r="G391" s="48"/>
      <c r="H391" s="56"/>
      <c r="I391" s="56"/>
      <c r="J391" s="56"/>
      <c r="K391" s="56"/>
      <c r="L391" s="56"/>
      <c r="M391" s="56"/>
      <c r="N391" s="56"/>
      <c r="O391" s="56"/>
      <c r="P391" s="56"/>
      <c r="Q391" s="56"/>
      <c r="R391" s="56"/>
      <c r="S391" s="56"/>
      <c r="T391" s="56"/>
      <c r="U391" s="56"/>
      <c r="V391" s="56"/>
      <c r="W391" s="27"/>
      <c r="X391" s="56"/>
      <c r="Y391" s="27"/>
      <c r="Z391" s="56"/>
      <c r="AA391" s="27"/>
      <c r="AB391" s="56"/>
      <c r="AC391" s="27"/>
      <c r="AD391" s="56"/>
      <c r="AE391" s="27"/>
      <c r="AF391" s="56"/>
      <c r="AG391" s="27"/>
      <c r="AH391" s="286"/>
      <c r="AI391" s="27"/>
      <c r="AJ391" s="56"/>
      <c r="AK391" s="27"/>
      <c r="AL391" s="56"/>
      <c r="AM391" s="27"/>
      <c r="AN391" s="56"/>
      <c r="AO391" s="27"/>
      <c r="AP391" s="56"/>
      <c r="AQ391" s="27"/>
      <c r="AR391" s="56"/>
      <c r="AS391" s="27"/>
      <c r="AT391" s="56"/>
      <c r="AU391" s="27"/>
      <c r="AV391" s="56"/>
      <c r="AW391" s="27"/>
      <c r="AX391" s="56"/>
      <c r="AY391" s="27"/>
      <c r="AZ391" s="56"/>
      <c r="BA391" s="27"/>
      <c r="BB391" s="48"/>
      <c r="BC391" s="48"/>
      <c r="BD391" s="48"/>
      <c r="BE391" s="48"/>
      <c r="BF391" s="48"/>
      <c r="BG391" s="48"/>
      <c r="BH391" s="48"/>
      <c r="BI391" s="48"/>
      <c r="BJ391" s="48"/>
      <c r="BK391" s="48"/>
      <c r="BL391" s="48"/>
      <c r="BM391" s="48"/>
      <c r="BN391" s="48"/>
      <c r="BO391" s="48"/>
      <c r="BP391" s="48"/>
      <c r="BQ391" s="48"/>
      <c r="BR391" s="48"/>
      <c r="BS391" s="48"/>
      <c r="BT391" s="48"/>
      <c r="BU391" s="48"/>
    </row>
    <row r="392" ht="15.75" customHeight="1">
      <c r="A392" s="48"/>
      <c r="B392" s="48"/>
      <c r="C392" s="48"/>
      <c r="D392" s="48"/>
      <c r="E392" s="27"/>
      <c r="F392" s="48"/>
      <c r="G392" s="48"/>
      <c r="H392" s="56"/>
      <c r="I392" s="56"/>
      <c r="J392" s="56"/>
      <c r="K392" s="56"/>
      <c r="L392" s="56"/>
      <c r="M392" s="56"/>
      <c r="N392" s="56"/>
      <c r="O392" s="56"/>
      <c r="P392" s="56"/>
      <c r="Q392" s="56"/>
      <c r="R392" s="56"/>
      <c r="S392" s="56"/>
      <c r="T392" s="56"/>
      <c r="U392" s="56"/>
      <c r="V392" s="56"/>
      <c r="W392" s="27"/>
      <c r="X392" s="56"/>
      <c r="Y392" s="27"/>
      <c r="Z392" s="56"/>
      <c r="AA392" s="27"/>
      <c r="AB392" s="56"/>
      <c r="AC392" s="27"/>
      <c r="AD392" s="56"/>
      <c r="AE392" s="27"/>
      <c r="AF392" s="56"/>
      <c r="AG392" s="27"/>
      <c r="AH392" s="286"/>
      <c r="AI392" s="27"/>
      <c r="AJ392" s="56"/>
      <c r="AK392" s="27"/>
      <c r="AL392" s="56"/>
      <c r="AM392" s="27"/>
      <c r="AN392" s="56"/>
      <c r="AO392" s="27"/>
      <c r="AP392" s="56"/>
      <c r="AQ392" s="27"/>
      <c r="AR392" s="56"/>
      <c r="AS392" s="27"/>
      <c r="AT392" s="56"/>
      <c r="AU392" s="27"/>
      <c r="AV392" s="56"/>
      <c r="AW392" s="27"/>
      <c r="AX392" s="56"/>
      <c r="AY392" s="27"/>
      <c r="AZ392" s="56"/>
      <c r="BA392" s="27"/>
      <c r="BB392" s="48"/>
      <c r="BC392" s="48"/>
      <c r="BD392" s="48"/>
      <c r="BE392" s="48"/>
      <c r="BF392" s="48"/>
      <c r="BG392" s="48"/>
      <c r="BH392" s="48"/>
      <c r="BI392" s="48"/>
      <c r="BJ392" s="48"/>
      <c r="BK392" s="48"/>
      <c r="BL392" s="48"/>
      <c r="BM392" s="48"/>
      <c r="BN392" s="48"/>
      <c r="BO392" s="48"/>
      <c r="BP392" s="48"/>
      <c r="BQ392" s="48"/>
      <c r="BR392" s="48"/>
      <c r="BS392" s="48"/>
      <c r="BT392" s="48"/>
      <c r="BU392" s="48"/>
    </row>
    <row r="393" ht="15.75" customHeight="1">
      <c r="A393" s="48"/>
      <c r="B393" s="48"/>
      <c r="C393" s="48"/>
      <c r="D393" s="48"/>
      <c r="E393" s="27"/>
      <c r="F393" s="48"/>
      <c r="G393" s="48"/>
      <c r="H393" s="56"/>
      <c r="I393" s="56"/>
      <c r="J393" s="56"/>
      <c r="K393" s="56"/>
      <c r="L393" s="56"/>
      <c r="M393" s="56"/>
      <c r="N393" s="56"/>
      <c r="O393" s="56"/>
      <c r="P393" s="56"/>
      <c r="Q393" s="56"/>
      <c r="R393" s="56"/>
      <c r="S393" s="56"/>
      <c r="T393" s="56"/>
      <c r="U393" s="56"/>
      <c r="V393" s="56"/>
      <c r="W393" s="27"/>
      <c r="X393" s="56"/>
      <c r="Y393" s="27"/>
      <c r="Z393" s="56"/>
      <c r="AA393" s="27"/>
      <c r="AB393" s="56"/>
      <c r="AC393" s="27"/>
      <c r="AD393" s="56"/>
      <c r="AE393" s="27"/>
      <c r="AF393" s="56"/>
      <c r="AG393" s="27"/>
      <c r="AH393" s="286"/>
      <c r="AI393" s="27"/>
      <c r="AJ393" s="56"/>
      <c r="AK393" s="27"/>
      <c r="AL393" s="56"/>
      <c r="AM393" s="27"/>
      <c r="AN393" s="56"/>
      <c r="AO393" s="27"/>
      <c r="AP393" s="56"/>
      <c r="AQ393" s="27"/>
      <c r="AR393" s="56"/>
      <c r="AS393" s="27"/>
      <c r="AT393" s="56"/>
      <c r="AU393" s="27"/>
      <c r="AV393" s="56"/>
      <c r="AW393" s="27"/>
      <c r="AX393" s="56"/>
      <c r="AY393" s="27"/>
      <c r="AZ393" s="56"/>
      <c r="BA393" s="27"/>
      <c r="BB393" s="48"/>
      <c r="BC393" s="48"/>
      <c r="BD393" s="48"/>
      <c r="BE393" s="48"/>
      <c r="BF393" s="48"/>
      <c r="BG393" s="48"/>
      <c r="BH393" s="48"/>
      <c r="BI393" s="48"/>
      <c r="BJ393" s="48"/>
      <c r="BK393" s="48"/>
      <c r="BL393" s="48"/>
      <c r="BM393" s="48"/>
      <c r="BN393" s="48"/>
      <c r="BO393" s="48"/>
      <c r="BP393" s="48"/>
      <c r="BQ393" s="48"/>
      <c r="BR393" s="48"/>
      <c r="BS393" s="48"/>
      <c r="BT393" s="48"/>
      <c r="BU393" s="48"/>
    </row>
    <row r="394" ht="15.75" customHeight="1">
      <c r="A394" s="48"/>
      <c r="B394" s="48"/>
      <c r="C394" s="48"/>
      <c r="D394" s="48"/>
      <c r="E394" s="27"/>
      <c r="F394" s="48"/>
      <c r="G394" s="48"/>
      <c r="H394" s="56"/>
      <c r="I394" s="56"/>
      <c r="J394" s="56"/>
      <c r="K394" s="56"/>
      <c r="L394" s="56"/>
      <c r="M394" s="56"/>
      <c r="N394" s="56"/>
      <c r="O394" s="56"/>
      <c r="P394" s="56"/>
      <c r="Q394" s="56"/>
      <c r="R394" s="56"/>
      <c r="S394" s="56"/>
      <c r="T394" s="56"/>
      <c r="U394" s="56"/>
      <c r="V394" s="56"/>
      <c r="W394" s="27"/>
      <c r="X394" s="56"/>
      <c r="Y394" s="27"/>
      <c r="Z394" s="56"/>
      <c r="AA394" s="27"/>
      <c r="AB394" s="56"/>
      <c r="AC394" s="27"/>
      <c r="AD394" s="56"/>
      <c r="AE394" s="27"/>
      <c r="AF394" s="56"/>
      <c r="AG394" s="27"/>
      <c r="AH394" s="286"/>
      <c r="AI394" s="27"/>
      <c r="AJ394" s="56"/>
      <c r="AK394" s="27"/>
      <c r="AL394" s="56"/>
      <c r="AM394" s="27"/>
      <c r="AN394" s="56"/>
      <c r="AO394" s="27"/>
      <c r="AP394" s="56"/>
      <c r="AQ394" s="27"/>
      <c r="AR394" s="56"/>
      <c r="AS394" s="27"/>
      <c r="AT394" s="56"/>
      <c r="AU394" s="27"/>
      <c r="AV394" s="56"/>
      <c r="AW394" s="27"/>
      <c r="AX394" s="56"/>
      <c r="AY394" s="27"/>
      <c r="AZ394" s="56"/>
      <c r="BA394" s="27"/>
      <c r="BB394" s="48"/>
      <c r="BC394" s="48"/>
      <c r="BD394" s="48"/>
      <c r="BE394" s="48"/>
      <c r="BF394" s="48"/>
      <c r="BG394" s="48"/>
      <c r="BH394" s="48"/>
      <c r="BI394" s="48"/>
      <c r="BJ394" s="48"/>
      <c r="BK394" s="48"/>
      <c r="BL394" s="48"/>
      <c r="BM394" s="48"/>
      <c r="BN394" s="48"/>
      <c r="BO394" s="48"/>
      <c r="BP394" s="48"/>
      <c r="BQ394" s="48"/>
      <c r="BR394" s="48"/>
      <c r="BS394" s="48"/>
      <c r="BT394" s="48"/>
      <c r="BU394" s="48"/>
    </row>
    <row r="395" ht="15.75" customHeight="1">
      <c r="A395" s="48"/>
      <c r="B395" s="48"/>
      <c r="C395" s="48"/>
      <c r="D395" s="48"/>
      <c r="E395" s="27"/>
      <c r="F395" s="48"/>
      <c r="G395" s="48"/>
      <c r="H395" s="56"/>
      <c r="I395" s="56"/>
      <c r="J395" s="56"/>
      <c r="K395" s="56"/>
      <c r="L395" s="56"/>
      <c r="M395" s="56"/>
      <c r="N395" s="56"/>
      <c r="O395" s="56"/>
      <c r="P395" s="56"/>
      <c r="Q395" s="56"/>
      <c r="R395" s="56"/>
      <c r="S395" s="56"/>
      <c r="T395" s="56"/>
      <c r="U395" s="56"/>
      <c r="V395" s="56"/>
      <c r="W395" s="27"/>
      <c r="X395" s="56"/>
      <c r="Y395" s="27"/>
      <c r="Z395" s="56"/>
      <c r="AA395" s="27"/>
      <c r="AB395" s="56"/>
      <c r="AC395" s="27"/>
      <c r="AD395" s="56"/>
      <c r="AE395" s="27"/>
      <c r="AF395" s="56"/>
      <c r="AG395" s="27"/>
      <c r="AH395" s="286"/>
      <c r="AI395" s="27"/>
      <c r="AJ395" s="56"/>
      <c r="AK395" s="27"/>
      <c r="AL395" s="56"/>
      <c r="AM395" s="27"/>
      <c r="AN395" s="56"/>
      <c r="AO395" s="27"/>
      <c r="AP395" s="56"/>
      <c r="AQ395" s="27"/>
      <c r="AR395" s="56"/>
      <c r="AS395" s="27"/>
      <c r="AT395" s="56"/>
      <c r="AU395" s="27"/>
      <c r="AV395" s="56"/>
      <c r="AW395" s="27"/>
      <c r="AX395" s="56"/>
      <c r="AY395" s="27"/>
      <c r="AZ395" s="56"/>
      <c r="BA395" s="27"/>
      <c r="BB395" s="48"/>
      <c r="BC395" s="48"/>
      <c r="BD395" s="48"/>
      <c r="BE395" s="48"/>
      <c r="BF395" s="48"/>
      <c r="BG395" s="48"/>
      <c r="BH395" s="48"/>
      <c r="BI395" s="48"/>
      <c r="BJ395" s="48"/>
      <c r="BK395" s="48"/>
      <c r="BL395" s="48"/>
      <c r="BM395" s="48"/>
      <c r="BN395" s="48"/>
      <c r="BO395" s="48"/>
      <c r="BP395" s="48"/>
      <c r="BQ395" s="48"/>
      <c r="BR395" s="48"/>
      <c r="BS395" s="48"/>
      <c r="BT395" s="48"/>
      <c r="BU395" s="48"/>
    </row>
    <row r="396" ht="15.75" customHeight="1">
      <c r="A396" s="48"/>
      <c r="B396" s="48"/>
      <c r="C396" s="48"/>
      <c r="D396" s="48"/>
      <c r="E396" s="27"/>
      <c r="F396" s="48"/>
      <c r="G396" s="48"/>
      <c r="H396" s="56"/>
      <c r="I396" s="56"/>
      <c r="J396" s="56"/>
      <c r="K396" s="56"/>
      <c r="L396" s="56"/>
      <c r="M396" s="56"/>
      <c r="N396" s="56"/>
      <c r="O396" s="56"/>
      <c r="P396" s="56"/>
      <c r="Q396" s="56"/>
      <c r="R396" s="56"/>
      <c r="S396" s="56"/>
      <c r="T396" s="56"/>
      <c r="U396" s="56"/>
      <c r="V396" s="56"/>
      <c r="W396" s="27"/>
      <c r="X396" s="56"/>
      <c r="Y396" s="27"/>
      <c r="Z396" s="56"/>
      <c r="AA396" s="27"/>
      <c r="AB396" s="56"/>
      <c r="AC396" s="27"/>
      <c r="AD396" s="56"/>
      <c r="AE396" s="27"/>
      <c r="AF396" s="56"/>
      <c r="AG396" s="27"/>
      <c r="AH396" s="286"/>
      <c r="AI396" s="27"/>
      <c r="AJ396" s="56"/>
      <c r="AK396" s="27"/>
      <c r="AL396" s="56"/>
      <c r="AM396" s="27"/>
      <c r="AN396" s="56"/>
      <c r="AO396" s="27"/>
      <c r="AP396" s="56"/>
      <c r="AQ396" s="27"/>
      <c r="AR396" s="56"/>
      <c r="AS396" s="27"/>
      <c r="AT396" s="56"/>
      <c r="AU396" s="27"/>
      <c r="AV396" s="56"/>
      <c r="AW396" s="27"/>
      <c r="AX396" s="56"/>
      <c r="AY396" s="27"/>
      <c r="AZ396" s="56"/>
      <c r="BA396" s="27"/>
      <c r="BB396" s="48"/>
      <c r="BC396" s="48"/>
      <c r="BD396" s="48"/>
      <c r="BE396" s="48"/>
      <c r="BF396" s="48"/>
      <c r="BG396" s="48"/>
      <c r="BH396" s="48"/>
      <c r="BI396" s="48"/>
      <c r="BJ396" s="48"/>
      <c r="BK396" s="48"/>
      <c r="BL396" s="48"/>
      <c r="BM396" s="48"/>
      <c r="BN396" s="48"/>
      <c r="BO396" s="48"/>
      <c r="BP396" s="48"/>
      <c r="BQ396" s="48"/>
      <c r="BR396" s="48"/>
      <c r="BS396" s="48"/>
      <c r="BT396" s="48"/>
      <c r="BU396" s="48"/>
    </row>
    <row r="397" ht="15.75" customHeight="1">
      <c r="A397" s="48"/>
      <c r="B397" s="48"/>
      <c r="C397" s="48"/>
      <c r="D397" s="48"/>
      <c r="E397" s="27"/>
      <c r="F397" s="48"/>
      <c r="G397" s="48"/>
      <c r="H397" s="56"/>
      <c r="I397" s="56"/>
      <c r="J397" s="56"/>
      <c r="K397" s="56"/>
      <c r="L397" s="56"/>
      <c r="M397" s="56"/>
      <c r="N397" s="56"/>
      <c r="O397" s="56"/>
      <c r="P397" s="56"/>
      <c r="Q397" s="56"/>
      <c r="R397" s="56"/>
      <c r="S397" s="56"/>
      <c r="T397" s="56"/>
      <c r="U397" s="56"/>
      <c r="V397" s="56"/>
      <c r="W397" s="27"/>
      <c r="X397" s="56"/>
      <c r="Y397" s="27"/>
      <c r="Z397" s="56"/>
      <c r="AA397" s="27"/>
      <c r="AB397" s="56"/>
      <c r="AC397" s="27"/>
      <c r="AD397" s="56"/>
      <c r="AE397" s="27"/>
      <c r="AF397" s="56"/>
      <c r="AG397" s="27"/>
      <c r="AH397" s="286"/>
      <c r="AI397" s="27"/>
      <c r="AJ397" s="56"/>
      <c r="AK397" s="27"/>
      <c r="AL397" s="56"/>
      <c r="AM397" s="27"/>
      <c r="AN397" s="56"/>
      <c r="AO397" s="27"/>
      <c r="AP397" s="56"/>
      <c r="AQ397" s="27"/>
      <c r="AR397" s="56"/>
      <c r="AS397" s="27"/>
      <c r="AT397" s="56"/>
      <c r="AU397" s="27"/>
      <c r="AV397" s="56"/>
      <c r="AW397" s="27"/>
      <c r="AX397" s="56"/>
      <c r="AY397" s="27"/>
      <c r="AZ397" s="56"/>
      <c r="BA397" s="27"/>
      <c r="BB397" s="48"/>
      <c r="BC397" s="48"/>
      <c r="BD397" s="48"/>
      <c r="BE397" s="48"/>
      <c r="BF397" s="48"/>
      <c r="BG397" s="48"/>
      <c r="BH397" s="48"/>
      <c r="BI397" s="48"/>
      <c r="BJ397" s="48"/>
      <c r="BK397" s="48"/>
      <c r="BL397" s="48"/>
      <c r="BM397" s="48"/>
      <c r="BN397" s="48"/>
      <c r="BO397" s="48"/>
      <c r="BP397" s="48"/>
      <c r="BQ397" s="48"/>
      <c r="BR397" s="48"/>
      <c r="BS397" s="48"/>
      <c r="BT397" s="48"/>
      <c r="BU397" s="48"/>
    </row>
    <row r="398" ht="15.75" customHeight="1">
      <c r="A398" s="48"/>
      <c r="B398" s="48"/>
      <c r="C398" s="48"/>
      <c r="D398" s="48"/>
      <c r="E398" s="27"/>
      <c r="F398" s="48"/>
      <c r="G398" s="48"/>
      <c r="H398" s="56"/>
      <c r="I398" s="56"/>
      <c r="J398" s="56"/>
      <c r="K398" s="56"/>
      <c r="L398" s="56"/>
      <c r="M398" s="56"/>
      <c r="N398" s="56"/>
      <c r="O398" s="56"/>
      <c r="P398" s="56"/>
      <c r="Q398" s="56"/>
      <c r="R398" s="56"/>
      <c r="S398" s="56"/>
      <c r="T398" s="56"/>
      <c r="U398" s="56"/>
      <c r="V398" s="56"/>
      <c r="W398" s="27"/>
      <c r="X398" s="56"/>
      <c r="Y398" s="27"/>
      <c r="Z398" s="56"/>
      <c r="AA398" s="27"/>
      <c r="AB398" s="56"/>
      <c r="AC398" s="27"/>
      <c r="AD398" s="56"/>
      <c r="AE398" s="27"/>
      <c r="AF398" s="56"/>
      <c r="AG398" s="27"/>
      <c r="AH398" s="286"/>
      <c r="AI398" s="27"/>
      <c r="AJ398" s="56"/>
      <c r="AK398" s="27"/>
      <c r="AL398" s="56"/>
      <c r="AM398" s="27"/>
      <c r="AN398" s="56"/>
      <c r="AO398" s="27"/>
      <c r="AP398" s="56"/>
      <c r="AQ398" s="27"/>
      <c r="AR398" s="56"/>
      <c r="AS398" s="27"/>
      <c r="AT398" s="56"/>
      <c r="AU398" s="27"/>
      <c r="AV398" s="56"/>
      <c r="AW398" s="27"/>
      <c r="AX398" s="56"/>
      <c r="AY398" s="27"/>
      <c r="AZ398" s="56"/>
      <c r="BA398" s="27"/>
      <c r="BB398" s="48"/>
      <c r="BC398" s="48"/>
      <c r="BD398" s="48"/>
      <c r="BE398" s="48"/>
      <c r="BF398" s="48"/>
      <c r="BG398" s="48"/>
      <c r="BH398" s="48"/>
      <c r="BI398" s="48"/>
      <c r="BJ398" s="48"/>
      <c r="BK398" s="48"/>
      <c r="BL398" s="48"/>
      <c r="BM398" s="48"/>
      <c r="BN398" s="48"/>
      <c r="BO398" s="48"/>
      <c r="BP398" s="48"/>
      <c r="BQ398" s="48"/>
      <c r="BR398" s="48"/>
      <c r="BS398" s="48"/>
      <c r="BT398" s="48"/>
      <c r="BU398" s="48"/>
    </row>
    <row r="399" ht="15.75" customHeight="1">
      <c r="A399" s="48"/>
      <c r="B399" s="48"/>
      <c r="C399" s="48"/>
      <c r="D399" s="48"/>
      <c r="E399" s="27"/>
      <c r="F399" s="48"/>
      <c r="G399" s="48"/>
      <c r="H399" s="56"/>
      <c r="I399" s="56"/>
      <c r="J399" s="56"/>
      <c r="K399" s="56"/>
      <c r="L399" s="56"/>
      <c r="M399" s="56"/>
      <c r="N399" s="56"/>
      <c r="O399" s="56"/>
      <c r="P399" s="56"/>
      <c r="Q399" s="56"/>
      <c r="R399" s="56"/>
      <c r="S399" s="56"/>
      <c r="T399" s="56"/>
      <c r="U399" s="56"/>
      <c r="V399" s="56"/>
      <c r="W399" s="27"/>
      <c r="X399" s="56"/>
      <c r="Y399" s="27"/>
      <c r="Z399" s="56"/>
      <c r="AA399" s="27"/>
      <c r="AB399" s="56"/>
      <c r="AC399" s="27"/>
      <c r="AD399" s="56"/>
      <c r="AE399" s="27"/>
      <c r="AF399" s="56"/>
      <c r="AG399" s="27"/>
      <c r="AH399" s="286"/>
      <c r="AI399" s="27"/>
      <c r="AJ399" s="56"/>
      <c r="AK399" s="27"/>
      <c r="AL399" s="56"/>
      <c r="AM399" s="27"/>
      <c r="AN399" s="56"/>
      <c r="AO399" s="27"/>
      <c r="AP399" s="56"/>
      <c r="AQ399" s="27"/>
      <c r="AR399" s="56"/>
      <c r="AS399" s="27"/>
      <c r="AT399" s="56"/>
      <c r="AU399" s="27"/>
      <c r="AV399" s="56"/>
      <c r="AW399" s="27"/>
      <c r="AX399" s="56"/>
      <c r="AY399" s="27"/>
      <c r="AZ399" s="56"/>
      <c r="BA399" s="27"/>
      <c r="BB399" s="48"/>
      <c r="BC399" s="48"/>
      <c r="BD399" s="48"/>
      <c r="BE399" s="48"/>
      <c r="BF399" s="48"/>
      <c r="BG399" s="48"/>
      <c r="BH399" s="48"/>
      <c r="BI399" s="48"/>
      <c r="BJ399" s="48"/>
      <c r="BK399" s="48"/>
      <c r="BL399" s="48"/>
      <c r="BM399" s="48"/>
      <c r="BN399" s="48"/>
      <c r="BO399" s="48"/>
      <c r="BP399" s="48"/>
      <c r="BQ399" s="48"/>
      <c r="BR399" s="48"/>
      <c r="BS399" s="48"/>
      <c r="BT399" s="48"/>
      <c r="BU399" s="48"/>
    </row>
    <row r="400" ht="15.75" customHeight="1">
      <c r="A400" s="48"/>
      <c r="B400" s="48"/>
      <c r="C400" s="48"/>
      <c r="D400" s="48"/>
      <c r="E400" s="27"/>
      <c r="F400" s="48"/>
      <c r="G400" s="48"/>
      <c r="H400" s="56"/>
      <c r="I400" s="56"/>
      <c r="J400" s="56"/>
      <c r="K400" s="56"/>
      <c r="L400" s="56"/>
      <c r="M400" s="56"/>
      <c r="N400" s="56"/>
      <c r="O400" s="56"/>
      <c r="P400" s="56"/>
      <c r="Q400" s="56"/>
      <c r="R400" s="56"/>
      <c r="S400" s="56"/>
      <c r="T400" s="56"/>
      <c r="U400" s="56"/>
      <c r="V400" s="56"/>
      <c r="W400" s="27"/>
      <c r="X400" s="56"/>
      <c r="Y400" s="27"/>
      <c r="Z400" s="56"/>
      <c r="AA400" s="27"/>
      <c r="AB400" s="56"/>
      <c r="AC400" s="27"/>
      <c r="AD400" s="56"/>
      <c r="AE400" s="27"/>
      <c r="AF400" s="56"/>
      <c r="AG400" s="27"/>
      <c r="AH400" s="286"/>
      <c r="AI400" s="27"/>
      <c r="AJ400" s="56"/>
      <c r="AK400" s="27"/>
      <c r="AL400" s="56"/>
      <c r="AM400" s="27"/>
      <c r="AN400" s="56"/>
      <c r="AO400" s="27"/>
      <c r="AP400" s="56"/>
      <c r="AQ400" s="27"/>
      <c r="AR400" s="56"/>
      <c r="AS400" s="27"/>
      <c r="AT400" s="56"/>
      <c r="AU400" s="27"/>
      <c r="AV400" s="56"/>
      <c r="AW400" s="27"/>
      <c r="AX400" s="56"/>
      <c r="AY400" s="27"/>
      <c r="AZ400" s="56"/>
      <c r="BA400" s="27"/>
      <c r="BB400" s="48"/>
      <c r="BC400" s="48"/>
      <c r="BD400" s="48"/>
      <c r="BE400" s="48"/>
      <c r="BF400" s="48"/>
      <c r="BG400" s="48"/>
      <c r="BH400" s="48"/>
      <c r="BI400" s="48"/>
      <c r="BJ400" s="48"/>
      <c r="BK400" s="48"/>
      <c r="BL400" s="48"/>
      <c r="BM400" s="48"/>
      <c r="BN400" s="48"/>
      <c r="BO400" s="48"/>
      <c r="BP400" s="48"/>
      <c r="BQ400" s="48"/>
      <c r="BR400" s="48"/>
      <c r="BS400" s="48"/>
      <c r="BT400" s="48"/>
      <c r="BU400" s="48"/>
    </row>
    <row r="401" ht="15.75" customHeight="1">
      <c r="A401" s="48"/>
      <c r="B401" s="48"/>
      <c r="C401" s="48"/>
      <c r="D401" s="48"/>
      <c r="E401" s="27"/>
      <c r="F401" s="48"/>
      <c r="G401" s="48"/>
      <c r="H401" s="56"/>
      <c r="I401" s="56"/>
      <c r="J401" s="56"/>
      <c r="K401" s="56"/>
      <c r="L401" s="56"/>
      <c r="M401" s="56"/>
      <c r="N401" s="56"/>
      <c r="O401" s="56"/>
      <c r="P401" s="56"/>
      <c r="Q401" s="56"/>
      <c r="R401" s="56"/>
      <c r="S401" s="56"/>
      <c r="T401" s="56"/>
      <c r="U401" s="56"/>
      <c r="V401" s="56"/>
      <c r="W401" s="27"/>
      <c r="X401" s="56"/>
      <c r="Y401" s="27"/>
      <c r="Z401" s="56"/>
      <c r="AA401" s="27"/>
      <c r="AB401" s="56"/>
      <c r="AC401" s="27"/>
      <c r="AD401" s="56"/>
      <c r="AE401" s="27"/>
      <c r="AF401" s="56"/>
      <c r="AG401" s="27"/>
      <c r="AH401" s="286"/>
      <c r="AI401" s="27"/>
      <c r="AJ401" s="56"/>
      <c r="AK401" s="27"/>
      <c r="AL401" s="56"/>
      <c r="AM401" s="27"/>
      <c r="AN401" s="56"/>
      <c r="AO401" s="27"/>
      <c r="AP401" s="56"/>
      <c r="AQ401" s="27"/>
      <c r="AR401" s="56"/>
      <c r="AS401" s="27"/>
      <c r="AT401" s="56"/>
      <c r="AU401" s="27"/>
      <c r="AV401" s="56"/>
      <c r="AW401" s="27"/>
      <c r="AX401" s="56"/>
      <c r="AY401" s="27"/>
      <c r="AZ401" s="56"/>
      <c r="BA401" s="27"/>
      <c r="BB401" s="48"/>
      <c r="BC401" s="48"/>
      <c r="BD401" s="48"/>
      <c r="BE401" s="48"/>
      <c r="BF401" s="48"/>
      <c r="BG401" s="48"/>
      <c r="BH401" s="48"/>
      <c r="BI401" s="48"/>
      <c r="BJ401" s="48"/>
      <c r="BK401" s="48"/>
      <c r="BL401" s="48"/>
      <c r="BM401" s="48"/>
      <c r="BN401" s="48"/>
      <c r="BO401" s="48"/>
      <c r="BP401" s="48"/>
      <c r="BQ401" s="48"/>
      <c r="BR401" s="48"/>
      <c r="BS401" s="48"/>
      <c r="BT401" s="48"/>
      <c r="BU401" s="48"/>
    </row>
    <row r="402" ht="15.75" customHeight="1">
      <c r="A402" s="48"/>
      <c r="B402" s="48"/>
      <c r="C402" s="48"/>
      <c r="D402" s="48"/>
      <c r="E402" s="27"/>
      <c r="F402" s="48"/>
      <c r="G402" s="48"/>
      <c r="H402" s="56"/>
      <c r="I402" s="56"/>
      <c r="J402" s="56"/>
      <c r="K402" s="56"/>
      <c r="L402" s="56"/>
      <c r="M402" s="56"/>
      <c r="N402" s="56"/>
      <c r="O402" s="56"/>
      <c r="P402" s="56"/>
      <c r="Q402" s="56"/>
      <c r="R402" s="56"/>
      <c r="S402" s="56"/>
      <c r="T402" s="56"/>
      <c r="U402" s="56"/>
      <c r="V402" s="56"/>
      <c r="W402" s="27"/>
      <c r="X402" s="56"/>
      <c r="Y402" s="27"/>
      <c r="Z402" s="56"/>
      <c r="AA402" s="27"/>
      <c r="AB402" s="56"/>
      <c r="AC402" s="27"/>
      <c r="AD402" s="56"/>
      <c r="AE402" s="27"/>
      <c r="AF402" s="56"/>
      <c r="AG402" s="27"/>
      <c r="AH402" s="286"/>
      <c r="AI402" s="27"/>
      <c r="AJ402" s="56"/>
      <c r="AK402" s="27"/>
      <c r="AL402" s="56"/>
      <c r="AM402" s="27"/>
      <c r="AN402" s="56"/>
      <c r="AO402" s="27"/>
      <c r="AP402" s="56"/>
      <c r="AQ402" s="27"/>
      <c r="AR402" s="56"/>
      <c r="AS402" s="27"/>
      <c r="AT402" s="56"/>
      <c r="AU402" s="27"/>
      <c r="AV402" s="56"/>
      <c r="AW402" s="27"/>
      <c r="AX402" s="56"/>
      <c r="AY402" s="27"/>
      <c r="AZ402" s="56"/>
      <c r="BA402" s="27"/>
      <c r="BB402" s="48"/>
      <c r="BC402" s="48"/>
      <c r="BD402" s="48"/>
      <c r="BE402" s="48"/>
      <c r="BF402" s="48"/>
      <c r="BG402" s="48"/>
      <c r="BH402" s="48"/>
      <c r="BI402" s="48"/>
      <c r="BJ402" s="48"/>
      <c r="BK402" s="48"/>
      <c r="BL402" s="48"/>
      <c r="BM402" s="48"/>
      <c r="BN402" s="48"/>
      <c r="BO402" s="48"/>
      <c r="BP402" s="48"/>
      <c r="BQ402" s="48"/>
      <c r="BR402" s="48"/>
      <c r="BS402" s="48"/>
      <c r="BT402" s="48"/>
      <c r="BU402" s="48"/>
    </row>
    <row r="403" ht="15.75" customHeight="1">
      <c r="A403" s="48"/>
      <c r="B403" s="48"/>
      <c r="C403" s="48"/>
      <c r="D403" s="48"/>
      <c r="E403" s="27"/>
      <c r="F403" s="48"/>
      <c r="G403" s="48"/>
      <c r="H403" s="56"/>
      <c r="I403" s="56"/>
      <c r="J403" s="56"/>
      <c r="K403" s="56"/>
      <c r="L403" s="56"/>
      <c r="M403" s="56"/>
      <c r="N403" s="56"/>
      <c r="O403" s="56"/>
      <c r="P403" s="56"/>
      <c r="Q403" s="56"/>
      <c r="R403" s="56"/>
      <c r="S403" s="56"/>
      <c r="T403" s="56"/>
      <c r="U403" s="56"/>
      <c r="V403" s="56"/>
      <c r="W403" s="27"/>
      <c r="X403" s="56"/>
      <c r="Y403" s="27"/>
      <c r="Z403" s="56"/>
      <c r="AA403" s="27"/>
      <c r="AB403" s="56"/>
      <c r="AC403" s="27"/>
      <c r="AD403" s="56"/>
      <c r="AE403" s="27"/>
      <c r="AF403" s="56"/>
      <c r="AG403" s="27"/>
      <c r="AH403" s="286"/>
      <c r="AI403" s="27"/>
      <c r="AJ403" s="56"/>
      <c r="AK403" s="27"/>
      <c r="AL403" s="56"/>
      <c r="AM403" s="27"/>
      <c r="AN403" s="56"/>
      <c r="AO403" s="27"/>
      <c r="AP403" s="56"/>
      <c r="AQ403" s="27"/>
      <c r="AR403" s="56"/>
      <c r="AS403" s="27"/>
      <c r="AT403" s="56"/>
      <c r="AU403" s="27"/>
      <c r="AV403" s="56"/>
      <c r="AW403" s="27"/>
      <c r="AX403" s="56"/>
      <c r="AY403" s="27"/>
      <c r="AZ403" s="56"/>
      <c r="BA403" s="27"/>
      <c r="BB403" s="48"/>
      <c r="BC403" s="48"/>
      <c r="BD403" s="48"/>
      <c r="BE403" s="48"/>
      <c r="BF403" s="48"/>
      <c r="BG403" s="48"/>
      <c r="BH403" s="48"/>
      <c r="BI403" s="48"/>
      <c r="BJ403" s="48"/>
      <c r="BK403" s="48"/>
      <c r="BL403" s="48"/>
      <c r="BM403" s="48"/>
      <c r="BN403" s="48"/>
      <c r="BO403" s="48"/>
      <c r="BP403" s="48"/>
      <c r="BQ403" s="48"/>
      <c r="BR403" s="48"/>
      <c r="BS403" s="48"/>
      <c r="BT403" s="48"/>
      <c r="BU403" s="48"/>
    </row>
    <row r="404" ht="15.75" customHeight="1">
      <c r="A404" s="48"/>
      <c r="B404" s="48"/>
      <c r="C404" s="48"/>
      <c r="D404" s="48"/>
      <c r="E404" s="27"/>
      <c r="F404" s="48"/>
      <c r="G404" s="48"/>
      <c r="H404" s="56"/>
      <c r="I404" s="56"/>
      <c r="J404" s="56"/>
      <c r="K404" s="56"/>
      <c r="L404" s="56"/>
      <c r="M404" s="56"/>
      <c r="N404" s="56"/>
      <c r="O404" s="56"/>
      <c r="P404" s="56"/>
      <c r="Q404" s="56"/>
      <c r="R404" s="56"/>
      <c r="S404" s="56"/>
      <c r="T404" s="56"/>
      <c r="U404" s="56"/>
      <c r="V404" s="56"/>
      <c r="W404" s="27"/>
      <c r="X404" s="56"/>
      <c r="Y404" s="27"/>
      <c r="Z404" s="56"/>
      <c r="AA404" s="27"/>
      <c r="AB404" s="56"/>
      <c r="AC404" s="27"/>
      <c r="AD404" s="56"/>
      <c r="AE404" s="27"/>
      <c r="AF404" s="56"/>
      <c r="AG404" s="27"/>
      <c r="AH404" s="286"/>
      <c r="AI404" s="27"/>
      <c r="AJ404" s="56"/>
      <c r="AK404" s="27"/>
      <c r="AL404" s="56"/>
      <c r="AM404" s="27"/>
      <c r="AN404" s="56"/>
      <c r="AO404" s="27"/>
      <c r="AP404" s="56"/>
      <c r="AQ404" s="27"/>
      <c r="AR404" s="56"/>
      <c r="AS404" s="27"/>
      <c r="AT404" s="56"/>
      <c r="AU404" s="27"/>
      <c r="AV404" s="56"/>
      <c r="AW404" s="27"/>
      <c r="AX404" s="56"/>
      <c r="AY404" s="27"/>
      <c r="AZ404" s="56"/>
      <c r="BA404" s="27"/>
      <c r="BB404" s="48"/>
      <c r="BC404" s="48"/>
      <c r="BD404" s="48"/>
      <c r="BE404" s="48"/>
      <c r="BF404" s="48"/>
      <c r="BG404" s="48"/>
      <c r="BH404" s="48"/>
      <c r="BI404" s="48"/>
      <c r="BJ404" s="48"/>
      <c r="BK404" s="48"/>
      <c r="BL404" s="48"/>
      <c r="BM404" s="48"/>
      <c r="BN404" s="48"/>
      <c r="BO404" s="48"/>
      <c r="BP404" s="48"/>
      <c r="BQ404" s="48"/>
      <c r="BR404" s="48"/>
      <c r="BS404" s="48"/>
      <c r="BT404" s="48"/>
      <c r="BU404" s="48"/>
    </row>
    <row r="405" ht="15.75" customHeight="1">
      <c r="A405" s="48"/>
      <c r="B405" s="48"/>
      <c r="C405" s="48"/>
      <c r="D405" s="48"/>
      <c r="E405" s="27"/>
      <c r="F405" s="48"/>
      <c r="G405" s="48"/>
      <c r="H405" s="56"/>
      <c r="I405" s="56"/>
      <c r="J405" s="56"/>
      <c r="K405" s="56"/>
      <c r="L405" s="56"/>
      <c r="M405" s="56"/>
      <c r="N405" s="56"/>
      <c r="O405" s="56"/>
      <c r="P405" s="56"/>
      <c r="Q405" s="56"/>
      <c r="R405" s="56"/>
      <c r="S405" s="56"/>
      <c r="T405" s="56"/>
      <c r="U405" s="56"/>
      <c r="V405" s="56"/>
      <c r="W405" s="27"/>
      <c r="X405" s="56"/>
      <c r="Y405" s="27"/>
      <c r="Z405" s="56"/>
      <c r="AA405" s="27"/>
      <c r="AB405" s="56"/>
      <c r="AC405" s="27"/>
      <c r="AD405" s="56"/>
      <c r="AE405" s="27"/>
      <c r="AF405" s="56"/>
      <c r="AG405" s="27"/>
      <c r="AH405" s="286"/>
      <c r="AI405" s="27"/>
      <c r="AJ405" s="56"/>
      <c r="AK405" s="27"/>
      <c r="AL405" s="56"/>
      <c r="AM405" s="27"/>
      <c r="AN405" s="56"/>
      <c r="AO405" s="27"/>
      <c r="AP405" s="56"/>
      <c r="AQ405" s="27"/>
      <c r="AR405" s="56"/>
      <c r="AS405" s="27"/>
      <c r="AT405" s="56"/>
      <c r="AU405" s="27"/>
      <c r="AV405" s="56"/>
      <c r="AW405" s="27"/>
      <c r="AX405" s="56"/>
      <c r="AY405" s="27"/>
      <c r="AZ405" s="56"/>
      <c r="BA405" s="27"/>
      <c r="BB405" s="48"/>
      <c r="BC405" s="48"/>
      <c r="BD405" s="48"/>
      <c r="BE405" s="48"/>
      <c r="BF405" s="48"/>
      <c r="BG405" s="48"/>
      <c r="BH405" s="48"/>
      <c r="BI405" s="48"/>
      <c r="BJ405" s="48"/>
      <c r="BK405" s="48"/>
      <c r="BL405" s="48"/>
      <c r="BM405" s="48"/>
      <c r="BN405" s="48"/>
      <c r="BO405" s="48"/>
      <c r="BP405" s="48"/>
      <c r="BQ405" s="48"/>
      <c r="BR405" s="48"/>
      <c r="BS405" s="48"/>
      <c r="BT405" s="48"/>
      <c r="BU405" s="48"/>
    </row>
    <row r="406" ht="15.75" customHeight="1">
      <c r="A406" s="48"/>
      <c r="B406" s="48"/>
      <c r="C406" s="48"/>
      <c r="D406" s="48"/>
      <c r="E406" s="27"/>
      <c r="F406" s="48"/>
      <c r="G406" s="48"/>
      <c r="H406" s="56"/>
      <c r="I406" s="56"/>
      <c r="J406" s="56"/>
      <c r="K406" s="56"/>
      <c r="L406" s="56"/>
      <c r="M406" s="56"/>
      <c r="N406" s="56"/>
      <c r="O406" s="56"/>
      <c r="P406" s="56"/>
      <c r="Q406" s="56"/>
      <c r="R406" s="56"/>
      <c r="S406" s="56"/>
      <c r="T406" s="56"/>
      <c r="U406" s="56"/>
      <c r="V406" s="56"/>
      <c r="W406" s="27"/>
      <c r="X406" s="56"/>
      <c r="Y406" s="27"/>
      <c r="Z406" s="56"/>
      <c r="AA406" s="27"/>
      <c r="AB406" s="56"/>
      <c r="AC406" s="27"/>
      <c r="AD406" s="56"/>
      <c r="AE406" s="27"/>
      <c r="AF406" s="56"/>
      <c r="AG406" s="27"/>
      <c r="AH406" s="286"/>
      <c r="AI406" s="27"/>
      <c r="AJ406" s="56"/>
      <c r="AK406" s="27"/>
      <c r="AL406" s="56"/>
      <c r="AM406" s="27"/>
      <c r="AN406" s="56"/>
      <c r="AO406" s="27"/>
      <c r="AP406" s="56"/>
      <c r="AQ406" s="27"/>
      <c r="AR406" s="56"/>
      <c r="AS406" s="27"/>
      <c r="AT406" s="56"/>
      <c r="AU406" s="27"/>
      <c r="AV406" s="56"/>
      <c r="AW406" s="27"/>
      <c r="AX406" s="56"/>
      <c r="AY406" s="27"/>
      <c r="AZ406" s="56"/>
      <c r="BA406" s="27"/>
      <c r="BB406" s="48"/>
      <c r="BC406" s="48"/>
      <c r="BD406" s="48"/>
      <c r="BE406" s="48"/>
      <c r="BF406" s="48"/>
      <c r="BG406" s="48"/>
      <c r="BH406" s="48"/>
      <c r="BI406" s="48"/>
      <c r="BJ406" s="48"/>
      <c r="BK406" s="48"/>
      <c r="BL406" s="48"/>
      <c r="BM406" s="48"/>
      <c r="BN406" s="48"/>
      <c r="BO406" s="48"/>
      <c r="BP406" s="48"/>
      <c r="BQ406" s="48"/>
      <c r="BR406" s="48"/>
      <c r="BS406" s="48"/>
      <c r="BT406" s="48"/>
      <c r="BU406" s="48"/>
    </row>
    <row r="407" ht="15.75" customHeight="1">
      <c r="A407" s="48"/>
      <c r="B407" s="48"/>
      <c r="C407" s="48"/>
      <c r="D407" s="48"/>
      <c r="E407" s="27"/>
      <c r="F407" s="48"/>
      <c r="G407" s="48"/>
      <c r="H407" s="56"/>
      <c r="I407" s="56"/>
      <c r="J407" s="56"/>
      <c r="K407" s="56"/>
      <c r="L407" s="56"/>
      <c r="M407" s="56"/>
      <c r="N407" s="56"/>
      <c r="O407" s="56"/>
      <c r="P407" s="56"/>
      <c r="Q407" s="56"/>
      <c r="R407" s="56"/>
      <c r="S407" s="56"/>
      <c r="T407" s="56"/>
      <c r="U407" s="56"/>
      <c r="V407" s="56"/>
      <c r="W407" s="27"/>
      <c r="X407" s="56"/>
      <c r="Y407" s="27"/>
      <c r="Z407" s="56"/>
      <c r="AA407" s="27"/>
      <c r="AB407" s="56"/>
      <c r="AC407" s="27"/>
      <c r="AD407" s="56"/>
      <c r="AE407" s="27"/>
      <c r="AF407" s="56"/>
      <c r="AG407" s="27"/>
      <c r="AH407" s="286"/>
      <c r="AI407" s="27"/>
      <c r="AJ407" s="56"/>
      <c r="AK407" s="27"/>
      <c r="AL407" s="56"/>
      <c r="AM407" s="27"/>
      <c r="AN407" s="56"/>
      <c r="AO407" s="27"/>
      <c r="AP407" s="56"/>
      <c r="AQ407" s="27"/>
      <c r="AR407" s="56"/>
      <c r="AS407" s="27"/>
      <c r="AT407" s="56"/>
      <c r="AU407" s="27"/>
      <c r="AV407" s="56"/>
      <c r="AW407" s="27"/>
      <c r="AX407" s="56"/>
      <c r="AY407" s="27"/>
      <c r="AZ407" s="56"/>
      <c r="BA407" s="27"/>
      <c r="BB407" s="48"/>
      <c r="BC407" s="48"/>
      <c r="BD407" s="48"/>
      <c r="BE407" s="48"/>
      <c r="BF407" s="48"/>
      <c r="BG407" s="48"/>
      <c r="BH407" s="48"/>
      <c r="BI407" s="48"/>
      <c r="BJ407" s="48"/>
      <c r="BK407" s="48"/>
      <c r="BL407" s="48"/>
      <c r="BM407" s="48"/>
      <c r="BN407" s="48"/>
      <c r="BO407" s="48"/>
      <c r="BP407" s="48"/>
      <c r="BQ407" s="48"/>
      <c r="BR407" s="48"/>
      <c r="BS407" s="48"/>
      <c r="BT407" s="48"/>
      <c r="BU407" s="48"/>
    </row>
    <row r="408" ht="15.75" customHeight="1">
      <c r="A408" s="48"/>
      <c r="B408" s="48"/>
      <c r="C408" s="48"/>
      <c r="D408" s="48"/>
      <c r="E408" s="27"/>
      <c r="F408" s="48"/>
      <c r="G408" s="48"/>
      <c r="H408" s="56"/>
      <c r="I408" s="56"/>
      <c r="J408" s="56"/>
      <c r="K408" s="56"/>
      <c r="L408" s="56"/>
      <c r="M408" s="56"/>
      <c r="N408" s="56"/>
      <c r="O408" s="56"/>
      <c r="P408" s="56"/>
      <c r="Q408" s="56"/>
      <c r="R408" s="56"/>
      <c r="S408" s="56"/>
      <c r="T408" s="56"/>
      <c r="U408" s="56"/>
      <c r="V408" s="56"/>
      <c r="W408" s="27"/>
      <c r="X408" s="56"/>
      <c r="Y408" s="27"/>
      <c r="Z408" s="56"/>
      <c r="AA408" s="27"/>
      <c r="AB408" s="56"/>
      <c r="AC408" s="27"/>
      <c r="AD408" s="56"/>
      <c r="AE408" s="27"/>
      <c r="AF408" s="56"/>
      <c r="AG408" s="27"/>
      <c r="AH408" s="286"/>
      <c r="AI408" s="27"/>
      <c r="AJ408" s="56"/>
      <c r="AK408" s="27"/>
      <c r="AL408" s="56"/>
      <c r="AM408" s="27"/>
      <c r="AN408" s="56"/>
      <c r="AO408" s="27"/>
      <c r="AP408" s="56"/>
      <c r="AQ408" s="27"/>
      <c r="AR408" s="56"/>
      <c r="AS408" s="27"/>
      <c r="AT408" s="56"/>
      <c r="AU408" s="27"/>
      <c r="AV408" s="56"/>
      <c r="AW408" s="27"/>
      <c r="AX408" s="56"/>
      <c r="AY408" s="27"/>
      <c r="AZ408" s="56"/>
      <c r="BA408" s="27"/>
      <c r="BB408" s="48"/>
      <c r="BC408" s="48"/>
      <c r="BD408" s="48"/>
      <c r="BE408" s="48"/>
      <c r="BF408" s="48"/>
      <c r="BG408" s="48"/>
      <c r="BH408" s="48"/>
      <c r="BI408" s="48"/>
      <c r="BJ408" s="48"/>
      <c r="BK408" s="48"/>
      <c r="BL408" s="48"/>
      <c r="BM408" s="48"/>
      <c r="BN408" s="48"/>
      <c r="BO408" s="48"/>
      <c r="BP408" s="48"/>
      <c r="BQ408" s="48"/>
      <c r="BR408" s="48"/>
      <c r="BS408" s="48"/>
      <c r="BT408" s="48"/>
      <c r="BU408" s="48"/>
    </row>
    <row r="409" ht="15.75" customHeight="1">
      <c r="A409" s="48"/>
      <c r="B409" s="48"/>
      <c r="C409" s="48"/>
      <c r="D409" s="48"/>
      <c r="E409" s="27"/>
      <c r="F409" s="48"/>
      <c r="G409" s="48"/>
      <c r="H409" s="56"/>
      <c r="I409" s="56"/>
      <c r="J409" s="56"/>
      <c r="K409" s="56"/>
      <c r="L409" s="56"/>
      <c r="M409" s="56"/>
      <c r="N409" s="56"/>
      <c r="O409" s="56"/>
      <c r="P409" s="56"/>
      <c r="Q409" s="56"/>
      <c r="R409" s="56"/>
      <c r="S409" s="56"/>
      <c r="T409" s="56"/>
      <c r="U409" s="56"/>
      <c r="V409" s="56"/>
      <c r="W409" s="27"/>
      <c r="X409" s="56"/>
      <c r="Y409" s="27"/>
      <c r="Z409" s="56"/>
      <c r="AA409" s="27"/>
      <c r="AB409" s="56"/>
      <c r="AC409" s="27"/>
      <c r="AD409" s="56"/>
      <c r="AE409" s="27"/>
      <c r="AF409" s="56"/>
      <c r="AG409" s="27"/>
      <c r="AH409" s="286"/>
      <c r="AI409" s="27"/>
      <c r="AJ409" s="56"/>
      <c r="AK409" s="27"/>
      <c r="AL409" s="56"/>
      <c r="AM409" s="27"/>
      <c r="AN409" s="56"/>
      <c r="AO409" s="27"/>
      <c r="AP409" s="56"/>
      <c r="AQ409" s="27"/>
      <c r="AR409" s="56"/>
      <c r="AS409" s="27"/>
      <c r="AT409" s="56"/>
      <c r="AU409" s="27"/>
      <c r="AV409" s="56"/>
      <c r="AW409" s="27"/>
      <c r="AX409" s="56"/>
      <c r="AY409" s="27"/>
      <c r="AZ409" s="56"/>
      <c r="BA409" s="27"/>
      <c r="BB409" s="48"/>
      <c r="BC409" s="48"/>
      <c r="BD409" s="48"/>
      <c r="BE409" s="48"/>
      <c r="BF409" s="48"/>
      <c r="BG409" s="48"/>
      <c r="BH409" s="48"/>
      <c r="BI409" s="48"/>
      <c r="BJ409" s="48"/>
      <c r="BK409" s="48"/>
      <c r="BL409" s="48"/>
      <c r="BM409" s="48"/>
      <c r="BN409" s="48"/>
      <c r="BO409" s="48"/>
      <c r="BP409" s="48"/>
      <c r="BQ409" s="48"/>
      <c r="BR409" s="48"/>
      <c r="BS409" s="48"/>
      <c r="BT409" s="48"/>
      <c r="BU409" s="48"/>
    </row>
    <row r="410" ht="15.75" customHeight="1">
      <c r="A410" s="48"/>
      <c r="B410" s="48"/>
      <c r="C410" s="48"/>
      <c r="D410" s="48"/>
      <c r="E410" s="27"/>
      <c r="F410" s="48"/>
      <c r="G410" s="48"/>
      <c r="H410" s="56"/>
      <c r="I410" s="56"/>
      <c r="J410" s="56"/>
      <c r="K410" s="56"/>
      <c r="L410" s="56"/>
      <c r="M410" s="56"/>
      <c r="N410" s="56"/>
      <c r="O410" s="56"/>
      <c r="P410" s="56"/>
      <c r="Q410" s="56"/>
      <c r="R410" s="56"/>
      <c r="S410" s="56"/>
      <c r="T410" s="56"/>
      <c r="U410" s="56"/>
      <c r="V410" s="56"/>
      <c r="W410" s="27"/>
      <c r="X410" s="56"/>
      <c r="Y410" s="27"/>
      <c r="Z410" s="56"/>
      <c r="AA410" s="27"/>
      <c r="AB410" s="56"/>
      <c r="AC410" s="27"/>
      <c r="AD410" s="56"/>
      <c r="AE410" s="27"/>
      <c r="AF410" s="56"/>
      <c r="AG410" s="27"/>
      <c r="AH410" s="286"/>
      <c r="AI410" s="27"/>
      <c r="AJ410" s="56"/>
      <c r="AK410" s="27"/>
      <c r="AL410" s="56"/>
      <c r="AM410" s="27"/>
      <c r="AN410" s="56"/>
      <c r="AO410" s="27"/>
      <c r="AP410" s="56"/>
      <c r="AQ410" s="27"/>
      <c r="AR410" s="56"/>
      <c r="AS410" s="27"/>
      <c r="AT410" s="56"/>
      <c r="AU410" s="27"/>
      <c r="AV410" s="56"/>
      <c r="AW410" s="27"/>
      <c r="AX410" s="56"/>
      <c r="AY410" s="27"/>
      <c r="AZ410" s="56"/>
      <c r="BA410" s="27"/>
      <c r="BB410" s="48"/>
      <c r="BC410" s="48"/>
      <c r="BD410" s="48"/>
      <c r="BE410" s="48"/>
      <c r="BF410" s="48"/>
      <c r="BG410" s="48"/>
      <c r="BH410" s="48"/>
      <c r="BI410" s="48"/>
      <c r="BJ410" s="48"/>
      <c r="BK410" s="48"/>
      <c r="BL410" s="48"/>
      <c r="BM410" s="48"/>
      <c r="BN410" s="48"/>
      <c r="BO410" s="48"/>
      <c r="BP410" s="48"/>
      <c r="BQ410" s="48"/>
      <c r="BR410" s="48"/>
      <c r="BS410" s="48"/>
      <c r="BT410" s="48"/>
      <c r="BU410" s="48"/>
    </row>
    <row r="411" ht="15.75" customHeight="1">
      <c r="A411" s="48"/>
      <c r="B411" s="48"/>
      <c r="C411" s="48"/>
      <c r="D411" s="48"/>
      <c r="E411" s="27"/>
      <c r="F411" s="48"/>
      <c r="G411" s="48"/>
      <c r="H411" s="56"/>
      <c r="I411" s="56"/>
      <c r="J411" s="56"/>
      <c r="K411" s="56"/>
      <c r="L411" s="56"/>
      <c r="M411" s="56"/>
      <c r="N411" s="56"/>
      <c r="O411" s="56"/>
      <c r="P411" s="56"/>
      <c r="Q411" s="56"/>
      <c r="R411" s="56"/>
      <c r="S411" s="56"/>
      <c r="T411" s="56"/>
      <c r="U411" s="56"/>
      <c r="V411" s="56"/>
      <c r="W411" s="27"/>
      <c r="X411" s="56"/>
      <c r="Y411" s="27"/>
      <c r="Z411" s="56"/>
      <c r="AA411" s="27"/>
      <c r="AB411" s="56"/>
      <c r="AC411" s="27"/>
      <c r="AD411" s="56"/>
      <c r="AE411" s="27"/>
      <c r="AF411" s="56"/>
      <c r="AG411" s="27"/>
      <c r="AH411" s="286"/>
      <c r="AI411" s="27"/>
      <c r="AJ411" s="56"/>
      <c r="AK411" s="27"/>
      <c r="AL411" s="56"/>
      <c r="AM411" s="27"/>
      <c r="AN411" s="56"/>
      <c r="AO411" s="27"/>
      <c r="AP411" s="56"/>
      <c r="AQ411" s="27"/>
      <c r="AR411" s="56"/>
      <c r="AS411" s="27"/>
      <c r="AT411" s="56"/>
      <c r="AU411" s="27"/>
      <c r="AV411" s="56"/>
      <c r="AW411" s="27"/>
      <c r="AX411" s="56"/>
      <c r="AY411" s="27"/>
      <c r="AZ411" s="56"/>
      <c r="BA411" s="27"/>
      <c r="BB411" s="48"/>
      <c r="BC411" s="48"/>
      <c r="BD411" s="48"/>
      <c r="BE411" s="48"/>
      <c r="BF411" s="48"/>
      <c r="BG411" s="48"/>
      <c r="BH411" s="48"/>
      <c r="BI411" s="48"/>
      <c r="BJ411" s="48"/>
      <c r="BK411" s="48"/>
      <c r="BL411" s="48"/>
      <c r="BM411" s="48"/>
      <c r="BN411" s="48"/>
      <c r="BO411" s="48"/>
      <c r="BP411" s="48"/>
      <c r="BQ411" s="48"/>
      <c r="BR411" s="48"/>
      <c r="BS411" s="48"/>
      <c r="BT411" s="48"/>
      <c r="BU411" s="48"/>
    </row>
    <row r="412" ht="15.75" customHeight="1">
      <c r="A412" s="48"/>
      <c r="B412" s="48"/>
      <c r="C412" s="48"/>
      <c r="D412" s="48"/>
      <c r="E412" s="27"/>
      <c r="F412" s="48"/>
      <c r="G412" s="48"/>
      <c r="H412" s="56"/>
      <c r="I412" s="56"/>
      <c r="J412" s="56"/>
      <c r="K412" s="56"/>
      <c r="L412" s="56"/>
      <c r="M412" s="56"/>
      <c r="N412" s="56"/>
      <c r="O412" s="56"/>
      <c r="P412" s="56"/>
      <c r="Q412" s="56"/>
      <c r="R412" s="56"/>
      <c r="S412" s="56"/>
      <c r="T412" s="56"/>
      <c r="U412" s="56"/>
      <c r="V412" s="56"/>
      <c r="W412" s="27"/>
      <c r="X412" s="56"/>
      <c r="Y412" s="27"/>
      <c r="Z412" s="56"/>
      <c r="AA412" s="27"/>
      <c r="AB412" s="56"/>
      <c r="AC412" s="27"/>
      <c r="AD412" s="56"/>
      <c r="AE412" s="27"/>
      <c r="AF412" s="56"/>
      <c r="AG412" s="27"/>
      <c r="AH412" s="286"/>
      <c r="AI412" s="27"/>
      <c r="AJ412" s="56"/>
      <c r="AK412" s="27"/>
      <c r="AL412" s="56"/>
      <c r="AM412" s="27"/>
      <c r="AN412" s="56"/>
      <c r="AO412" s="27"/>
      <c r="AP412" s="56"/>
      <c r="AQ412" s="27"/>
      <c r="AR412" s="56"/>
      <c r="AS412" s="27"/>
      <c r="AT412" s="56"/>
      <c r="AU412" s="27"/>
      <c r="AV412" s="56"/>
      <c r="AW412" s="27"/>
      <c r="AX412" s="56"/>
      <c r="AY412" s="27"/>
      <c r="AZ412" s="56"/>
      <c r="BA412" s="27"/>
      <c r="BB412" s="48"/>
      <c r="BC412" s="48"/>
      <c r="BD412" s="48"/>
      <c r="BE412" s="48"/>
      <c r="BF412" s="48"/>
      <c r="BG412" s="48"/>
      <c r="BH412" s="48"/>
      <c r="BI412" s="48"/>
      <c r="BJ412" s="48"/>
      <c r="BK412" s="48"/>
      <c r="BL412" s="48"/>
      <c r="BM412" s="48"/>
      <c r="BN412" s="48"/>
      <c r="BO412" s="48"/>
      <c r="BP412" s="48"/>
      <c r="BQ412" s="48"/>
      <c r="BR412" s="48"/>
      <c r="BS412" s="48"/>
      <c r="BT412" s="48"/>
      <c r="BU412" s="48"/>
    </row>
    <row r="413" ht="15.75" customHeight="1">
      <c r="A413" s="48"/>
      <c r="B413" s="48"/>
      <c r="C413" s="48"/>
      <c r="D413" s="48"/>
      <c r="E413" s="27"/>
      <c r="F413" s="48"/>
      <c r="G413" s="48"/>
      <c r="H413" s="56"/>
      <c r="I413" s="56"/>
      <c r="J413" s="56"/>
      <c r="K413" s="56"/>
      <c r="L413" s="56"/>
      <c r="M413" s="56"/>
      <c r="N413" s="56"/>
      <c r="O413" s="56"/>
      <c r="P413" s="56"/>
      <c r="Q413" s="56"/>
      <c r="R413" s="56"/>
      <c r="S413" s="56"/>
      <c r="T413" s="56"/>
      <c r="U413" s="56"/>
      <c r="V413" s="56"/>
      <c r="W413" s="27"/>
      <c r="X413" s="56"/>
      <c r="Y413" s="27"/>
      <c r="Z413" s="56"/>
      <c r="AA413" s="27"/>
      <c r="AB413" s="56"/>
      <c r="AC413" s="27"/>
      <c r="AD413" s="56"/>
      <c r="AE413" s="27"/>
      <c r="AF413" s="56"/>
      <c r="AG413" s="27"/>
      <c r="AH413" s="286"/>
      <c r="AI413" s="27"/>
      <c r="AJ413" s="56"/>
      <c r="AK413" s="27"/>
      <c r="AL413" s="56"/>
      <c r="AM413" s="27"/>
      <c r="AN413" s="56"/>
      <c r="AO413" s="27"/>
      <c r="AP413" s="56"/>
      <c r="AQ413" s="27"/>
      <c r="AR413" s="56"/>
      <c r="AS413" s="27"/>
      <c r="AT413" s="56"/>
      <c r="AU413" s="27"/>
      <c r="AV413" s="56"/>
      <c r="AW413" s="27"/>
      <c r="AX413" s="56"/>
      <c r="AY413" s="27"/>
      <c r="AZ413" s="56"/>
      <c r="BA413" s="27"/>
      <c r="BB413" s="48"/>
      <c r="BC413" s="48"/>
      <c r="BD413" s="48"/>
      <c r="BE413" s="48"/>
      <c r="BF413" s="48"/>
      <c r="BG413" s="48"/>
      <c r="BH413" s="48"/>
      <c r="BI413" s="48"/>
      <c r="BJ413" s="48"/>
      <c r="BK413" s="48"/>
      <c r="BL413" s="48"/>
      <c r="BM413" s="48"/>
      <c r="BN413" s="48"/>
      <c r="BO413" s="48"/>
      <c r="BP413" s="48"/>
      <c r="BQ413" s="48"/>
      <c r="BR413" s="48"/>
      <c r="BS413" s="48"/>
      <c r="BT413" s="48"/>
      <c r="BU413" s="48"/>
    </row>
    <row r="414" ht="15.75" customHeight="1">
      <c r="A414" s="48"/>
      <c r="B414" s="48"/>
      <c r="C414" s="48"/>
      <c r="D414" s="48"/>
      <c r="E414" s="27"/>
      <c r="F414" s="48"/>
      <c r="G414" s="48"/>
      <c r="H414" s="56"/>
      <c r="I414" s="56"/>
      <c r="J414" s="56"/>
      <c r="K414" s="56"/>
      <c r="L414" s="56"/>
      <c r="M414" s="56"/>
      <c r="N414" s="56"/>
      <c r="O414" s="56"/>
      <c r="P414" s="56"/>
      <c r="Q414" s="56"/>
      <c r="R414" s="56"/>
      <c r="S414" s="56"/>
      <c r="T414" s="56"/>
      <c r="U414" s="56"/>
      <c r="V414" s="56"/>
      <c r="W414" s="27"/>
      <c r="X414" s="56"/>
      <c r="Y414" s="27"/>
      <c r="Z414" s="56"/>
      <c r="AA414" s="27"/>
      <c r="AB414" s="56"/>
      <c r="AC414" s="27"/>
      <c r="AD414" s="56"/>
      <c r="AE414" s="27"/>
      <c r="AF414" s="56"/>
      <c r="AG414" s="27"/>
      <c r="AH414" s="286"/>
      <c r="AI414" s="27"/>
      <c r="AJ414" s="56"/>
      <c r="AK414" s="27"/>
      <c r="AL414" s="56"/>
      <c r="AM414" s="27"/>
      <c r="AN414" s="56"/>
      <c r="AO414" s="27"/>
      <c r="AP414" s="56"/>
      <c r="AQ414" s="27"/>
      <c r="AR414" s="56"/>
      <c r="AS414" s="27"/>
      <c r="AT414" s="56"/>
      <c r="AU414" s="27"/>
      <c r="AV414" s="56"/>
      <c r="AW414" s="27"/>
      <c r="AX414" s="56"/>
      <c r="AY414" s="27"/>
      <c r="AZ414" s="56"/>
      <c r="BA414" s="27"/>
      <c r="BB414" s="48"/>
      <c r="BC414" s="48"/>
      <c r="BD414" s="48"/>
      <c r="BE414" s="48"/>
      <c r="BF414" s="48"/>
      <c r="BG414" s="48"/>
      <c r="BH414" s="48"/>
      <c r="BI414" s="48"/>
      <c r="BJ414" s="48"/>
      <c r="BK414" s="48"/>
      <c r="BL414" s="48"/>
      <c r="BM414" s="48"/>
      <c r="BN414" s="48"/>
      <c r="BO414" s="48"/>
      <c r="BP414" s="48"/>
      <c r="BQ414" s="48"/>
      <c r="BR414" s="48"/>
      <c r="BS414" s="48"/>
      <c r="BT414" s="48"/>
      <c r="BU414" s="48"/>
    </row>
    <row r="415" ht="15.75" customHeight="1">
      <c r="A415" s="48"/>
      <c r="B415" s="48"/>
      <c r="C415" s="48"/>
      <c r="D415" s="48"/>
      <c r="E415" s="27"/>
      <c r="F415" s="48"/>
      <c r="G415" s="48"/>
      <c r="H415" s="56"/>
      <c r="I415" s="56"/>
      <c r="J415" s="56"/>
      <c r="K415" s="56"/>
      <c r="L415" s="56"/>
      <c r="M415" s="56"/>
      <c r="N415" s="56"/>
      <c r="O415" s="56"/>
      <c r="P415" s="56"/>
      <c r="Q415" s="56"/>
      <c r="R415" s="56"/>
      <c r="S415" s="56"/>
      <c r="T415" s="56"/>
      <c r="U415" s="56"/>
      <c r="V415" s="56"/>
      <c r="W415" s="27"/>
      <c r="X415" s="56"/>
      <c r="Y415" s="27"/>
      <c r="Z415" s="56"/>
      <c r="AA415" s="27"/>
      <c r="AB415" s="56"/>
      <c r="AC415" s="27"/>
      <c r="AD415" s="56"/>
      <c r="AE415" s="27"/>
      <c r="AF415" s="56"/>
      <c r="AG415" s="27"/>
      <c r="AH415" s="286"/>
      <c r="AI415" s="27"/>
      <c r="AJ415" s="56"/>
      <c r="AK415" s="27"/>
      <c r="AL415" s="56"/>
      <c r="AM415" s="27"/>
      <c r="AN415" s="56"/>
      <c r="AO415" s="27"/>
      <c r="AP415" s="56"/>
      <c r="AQ415" s="27"/>
      <c r="AR415" s="56"/>
      <c r="AS415" s="27"/>
      <c r="AT415" s="56"/>
      <c r="AU415" s="27"/>
      <c r="AV415" s="56"/>
      <c r="AW415" s="27"/>
      <c r="AX415" s="56"/>
      <c r="AY415" s="27"/>
      <c r="AZ415" s="56"/>
      <c r="BA415" s="27"/>
      <c r="BB415" s="48"/>
      <c r="BC415" s="48"/>
      <c r="BD415" s="48"/>
      <c r="BE415" s="48"/>
      <c r="BF415" s="48"/>
      <c r="BG415" s="48"/>
      <c r="BH415" s="48"/>
      <c r="BI415" s="48"/>
      <c r="BJ415" s="48"/>
      <c r="BK415" s="48"/>
      <c r="BL415" s="48"/>
      <c r="BM415" s="48"/>
      <c r="BN415" s="48"/>
      <c r="BO415" s="48"/>
      <c r="BP415" s="48"/>
      <c r="BQ415" s="48"/>
      <c r="BR415" s="48"/>
      <c r="BS415" s="48"/>
      <c r="BT415" s="48"/>
      <c r="BU415" s="48"/>
    </row>
    <row r="416" ht="15.75" customHeight="1">
      <c r="A416" s="48"/>
      <c r="B416" s="48"/>
      <c r="C416" s="48"/>
      <c r="D416" s="48"/>
      <c r="E416" s="27"/>
      <c r="F416" s="48"/>
      <c r="G416" s="48"/>
      <c r="H416" s="56"/>
      <c r="I416" s="56"/>
      <c r="J416" s="56"/>
      <c r="K416" s="56"/>
      <c r="L416" s="56"/>
      <c r="M416" s="56"/>
      <c r="N416" s="56"/>
      <c r="O416" s="56"/>
      <c r="P416" s="56"/>
      <c r="Q416" s="56"/>
      <c r="R416" s="56"/>
      <c r="S416" s="56"/>
      <c r="T416" s="56"/>
      <c r="U416" s="56"/>
      <c r="V416" s="56"/>
      <c r="W416" s="27"/>
      <c r="X416" s="56"/>
      <c r="Y416" s="27"/>
      <c r="Z416" s="56"/>
      <c r="AA416" s="27"/>
      <c r="AB416" s="56"/>
      <c r="AC416" s="27"/>
      <c r="AD416" s="56"/>
      <c r="AE416" s="27"/>
      <c r="AF416" s="56"/>
      <c r="AG416" s="27"/>
      <c r="AH416" s="286"/>
      <c r="AI416" s="27"/>
      <c r="AJ416" s="56"/>
      <c r="AK416" s="27"/>
      <c r="AL416" s="56"/>
      <c r="AM416" s="27"/>
      <c r="AN416" s="56"/>
      <c r="AO416" s="27"/>
      <c r="AP416" s="56"/>
      <c r="AQ416" s="27"/>
      <c r="AR416" s="56"/>
      <c r="AS416" s="27"/>
      <c r="AT416" s="56"/>
      <c r="AU416" s="27"/>
      <c r="AV416" s="56"/>
      <c r="AW416" s="27"/>
      <c r="AX416" s="56"/>
      <c r="AY416" s="27"/>
      <c r="AZ416" s="56"/>
      <c r="BA416" s="27"/>
      <c r="BB416" s="48"/>
      <c r="BC416" s="48"/>
      <c r="BD416" s="48"/>
      <c r="BE416" s="48"/>
      <c r="BF416" s="48"/>
      <c r="BG416" s="48"/>
      <c r="BH416" s="48"/>
      <c r="BI416" s="48"/>
      <c r="BJ416" s="48"/>
      <c r="BK416" s="48"/>
      <c r="BL416" s="48"/>
      <c r="BM416" s="48"/>
      <c r="BN416" s="48"/>
      <c r="BO416" s="48"/>
      <c r="BP416" s="48"/>
      <c r="BQ416" s="48"/>
      <c r="BR416" s="48"/>
      <c r="BS416" s="48"/>
      <c r="BT416" s="48"/>
      <c r="BU416" s="48"/>
    </row>
    <row r="417" ht="15.75" customHeight="1">
      <c r="A417" s="48"/>
      <c r="B417" s="48"/>
      <c r="C417" s="48"/>
      <c r="D417" s="48"/>
      <c r="E417" s="27"/>
      <c r="F417" s="48"/>
      <c r="G417" s="48"/>
      <c r="H417" s="56"/>
      <c r="I417" s="56"/>
      <c r="J417" s="56"/>
      <c r="K417" s="56"/>
      <c r="L417" s="56"/>
      <c r="M417" s="56"/>
      <c r="N417" s="56"/>
      <c r="O417" s="56"/>
      <c r="P417" s="56"/>
      <c r="Q417" s="56"/>
      <c r="R417" s="56"/>
      <c r="S417" s="56"/>
      <c r="T417" s="56"/>
      <c r="U417" s="56"/>
      <c r="V417" s="56"/>
      <c r="W417" s="27"/>
      <c r="X417" s="56"/>
      <c r="Y417" s="27"/>
      <c r="Z417" s="56"/>
      <c r="AA417" s="27"/>
      <c r="AB417" s="56"/>
      <c r="AC417" s="27"/>
      <c r="AD417" s="56"/>
      <c r="AE417" s="27"/>
      <c r="AF417" s="56"/>
      <c r="AG417" s="27"/>
      <c r="AH417" s="286"/>
      <c r="AI417" s="27"/>
      <c r="AJ417" s="56"/>
      <c r="AK417" s="27"/>
      <c r="AL417" s="56"/>
      <c r="AM417" s="27"/>
      <c r="AN417" s="56"/>
      <c r="AO417" s="27"/>
      <c r="AP417" s="56"/>
      <c r="AQ417" s="27"/>
      <c r="AR417" s="56"/>
      <c r="AS417" s="27"/>
      <c r="AT417" s="56"/>
      <c r="AU417" s="27"/>
      <c r="AV417" s="56"/>
      <c r="AW417" s="27"/>
      <c r="AX417" s="56"/>
      <c r="AY417" s="27"/>
      <c r="AZ417" s="56"/>
      <c r="BA417" s="27"/>
      <c r="BB417" s="48"/>
      <c r="BC417" s="48"/>
      <c r="BD417" s="48"/>
      <c r="BE417" s="48"/>
      <c r="BF417" s="48"/>
      <c r="BG417" s="48"/>
      <c r="BH417" s="48"/>
      <c r="BI417" s="48"/>
      <c r="BJ417" s="48"/>
      <c r="BK417" s="48"/>
      <c r="BL417" s="48"/>
      <c r="BM417" s="48"/>
      <c r="BN417" s="48"/>
      <c r="BO417" s="48"/>
      <c r="BP417" s="48"/>
      <c r="BQ417" s="48"/>
      <c r="BR417" s="48"/>
      <c r="BS417" s="48"/>
      <c r="BT417" s="48"/>
      <c r="BU417" s="48"/>
    </row>
    <row r="418" ht="15.75" customHeight="1">
      <c r="A418" s="48"/>
      <c r="B418" s="48"/>
      <c r="C418" s="48"/>
      <c r="D418" s="48"/>
      <c r="E418" s="27"/>
      <c r="F418" s="48"/>
      <c r="G418" s="48"/>
      <c r="H418" s="56"/>
      <c r="I418" s="56"/>
      <c r="J418" s="56"/>
      <c r="K418" s="56"/>
      <c r="L418" s="56"/>
      <c r="M418" s="56"/>
      <c r="N418" s="56"/>
      <c r="O418" s="56"/>
      <c r="P418" s="56"/>
      <c r="Q418" s="56"/>
      <c r="R418" s="56"/>
      <c r="S418" s="56"/>
      <c r="T418" s="56"/>
      <c r="U418" s="56"/>
      <c r="V418" s="56"/>
      <c r="W418" s="27"/>
      <c r="X418" s="56"/>
      <c r="Y418" s="27"/>
      <c r="Z418" s="56"/>
      <c r="AA418" s="27"/>
      <c r="AB418" s="56"/>
      <c r="AC418" s="27"/>
      <c r="AD418" s="56"/>
      <c r="AE418" s="27"/>
      <c r="AF418" s="56"/>
      <c r="AG418" s="27"/>
      <c r="AH418" s="286"/>
      <c r="AI418" s="27"/>
      <c r="AJ418" s="56"/>
      <c r="AK418" s="27"/>
      <c r="AL418" s="56"/>
      <c r="AM418" s="27"/>
      <c r="AN418" s="56"/>
      <c r="AO418" s="27"/>
      <c r="AP418" s="56"/>
      <c r="AQ418" s="27"/>
      <c r="AR418" s="56"/>
      <c r="AS418" s="27"/>
      <c r="AT418" s="56"/>
      <c r="AU418" s="27"/>
      <c r="AV418" s="56"/>
      <c r="AW418" s="27"/>
      <c r="AX418" s="56"/>
      <c r="AY418" s="27"/>
      <c r="AZ418" s="56"/>
      <c r="BA418" s="27"/>
      <c r="BB418" s="48"/>
      <c r="BC418" s="48"/>
      <c r="BD418" s="48"/>
      <c r="BE418" s="48"/>
      <c r="BF418" s="48"/>
      <c r="BG418" s="48"/>
      <c r="BH418" s="48"/>
      <c r="BI418" s="48"/>
      <c r="BJ418" s="48"/>
      <c r="BK418" s="48"/>
      <c r="BL418" s="48"/>
      <c r="BM418" s="48"/>
      <c r="BN418" s="48"/>
      <c r="BO418" s="48"/>
      <c r="BP418" s="48"/>
      <c r="BQ418" s="48"/>
      <c r="BR418" s="48"/>
      <c r="BS418" s="48"/>
      <c r="BT418" s="48"/>
      <c r="BU418" s="48"/>
    </row>
    <row r="419" ht="15.75" customHeight="1">
      <c r="A419" s="48"/>
      <c r="B419" s="48"/>
      <c r="C419" s="48"/>
      <c r="D419" s="48"/>
      <c r="E419" s="27"/>
      <c r="F419" s="48"/>
      <c r="G419" s="48"/>
      <c r="H419" s="56"/>
      <c r="I419" s="56"/>
      <c r="J419" s="56"/>
      <c r="K419" s="56"/>
      <c r="L419" s="56"/>
      <c r="M419" s="56"/>
      <c r="N419" s="56"/>
      <c r="O419" s="56"/>
      <c r="P419" s="56"/>
      <c r="Q419" s="56"/>
      <c r="R419" s="56"/>
      <c r="S419" s="56"/>
      <c r="T419" s="56"/>
      <c r="U419" s="56"/>
      <c r="V419" s="56"/>
      <c r="W419" s="27"/>
      <c r="X419" s="56"/>
      <c r="Y419" s="27"/>
      <c r="Z419" s="56"/>
      <c r="AA419" s="27"/>
      <c r="AB419" s="56"/>
      <c r="AC419" s="27"/>
      <c r="AD419" s="56"/>
      <c r="AE419" s="27"/>
      <c r="AF419" s="56"/>
      <c r="AG419" s="27"/>
      <c r="AH419" s="286"/>
      <c r="AI419" s="27"/>
      <c r="AJ419" s="56"/>
      <c r="AK419" s="27"/>
      <c r="AL419" s="56"/>
      <c r="AM419" s="27"/>
      <c r="AN419" s="56"/>
      <c r="AO419" s="27"/>
      <c r="AP419" s="56"/>
      <c r="AQ419" s="27"/>
      <c r="AR419" s="56"/>
      <c r="AS419" s="27"/>
      <c r="AT419" s="56"/>
      <c r="AU419" s="27"/>
      <c r="AV419" s="56"/>
      <c r="AW419" s="27"/>
      <c r="AX419" s="56"/>
      <c r="AY419" s="27"/>
      <c r="AZ419" s="56"/>
      <c r="BA419" s="27"/>
      <c r="BB419" s="48"/>
      <c r="BC419" s="48"/>
      <c r="BD419" s="48"/>
      <c r="BE419" s="48"/>
      <c r="BF419" s="48"/>
      <c r="BG419" s="48"/>
      <c r="BH419" s="48"/>
      <c r="BI419" s="48"/>
      <c r="BJ419" s="48"/>
      <c r="BK419" s="48"/>
      <c r="BL419" s="48"/>
      <c r="BM419" s="48"/>
      <c r="BN419" s="48"/>
      <c r="BO419" s="48"/>
      <c r="BP419" s="48"/>
      <c r="BQ419" s="48"/>
      <c r="BR419" s="48"/>
      <c r="BS419" s="48"/>
      <c r="BT419" s="48"/>
      <c r="BU419" s="48"/>
    </row>
    <row r="420" ht="15.75" customHeight="1">
      <c r="A420" s="48"/>
      <c r="B420" s="48"/>
      <c r="C420" s="48"/>
      <c r="D420" s="48"/>
      <c r="E420" s="27"/>
      <c r="F420" s="48"/>
      <c r="G420" s="48"/>
      <c r="H420" s="56"/>
      <c r="I420" s="56"/>
      <c r="J420" s="56"/>
      <c r="K420" s="56"/>
      <c r="L420" s="56"/>
      <c r="M420" s="56"/>
      <c r="N420" s="56"/>
      <c r="O420" s="56"/>
      <c r="P420" s="56"/>
      <c r="Q420" s="56"/>
      <c r="R420" s="56"/>
      <c r="S420" s="56"/>
      <c r="T420" s="56"/>
      <c r="U420" s="56"/>
      <c r="V420" s="56"/>
      <c r="W420" s="27"/>
      <c r="X420" s="56"/>
      <c r="Y420" s="27"/>
      <c r="Z420" s="56"/>
      <c r="AA420" s="27"/>
      <c r="AB420" s="56"/>
      <c r="AC420" s="27"/>
      <c r="AD420" s="56"/>
      <c r="AE420" s="27"/>
      <c r="AF420" s="56"/>
      <c r="AG420" s="27"/>
      <c r="AH420" s="286"/>
      <c r="AI420" s="27"/>
      <c r="AJ420" s="56"/>
      <c r="AK420" s="27"/>
      <c r="AL420" s="56"/>
      <c r="AM420" s="27"/>
      <c r="AN420" s="56"/>
      <c r="AO420" s="27"/>
      <c r="AP420" s="56"/>
      <c r="AQ420" s="27"/>
      <c r="AR420" s="56"/>
      <c r="AS420" s="27"/>
      <c r="AT420" s="56"/>
      <c r="AU420" s="27"/>
      <c r="AV420" s="56"/>
      <c r="AW420" s="27"/>
      <c r="AX420" s="56"/>
      <c r="AY420" s="27"/>
      <c r="AZ420" s="56"/>
      <c r="BA420" s="27"/>
      <c r="BB420" s="48"/>
      <c r="BC420" s="48"/>
      <c r="BD420" s="48"/>
      <c r="BE420" s="48"/>
      <c r="BF420" s="48"/>
      <c r="BG420" s="48"/>
      <c r="BH420" s="48"/>
      <c r="BI420" s="48"/>
      <c r="BJ420" s="48"/>
      <c r="BK420" s="48"/>
      <c r="BL420" s="48"/>
      <c r="BM420" s="48"/>
      <c r="BN420" s="48"/>
      <c r="BO420" s="48"/>
      <c r="BP420" s="48"/>
      <c r="BQ420" s="48"/>
      <c r="BR420" s="48"/>
      <c r="BS420" s="48"/>
      <c r="BT420" s="48"/>
      <c r="BU420" s="48"/>
    </row>
    <row r="421" ht="15.75" customHeight="1">
      <c r="A421" s="48"/>
      <c r="B421" s="48"/>
      <c r="C421" s="48"/>
      <c r="D421" s="48"/>
      <c r="E421" s="27"/>
      <c r="F421" s="48"/>
      <c r="G421" s="48"/>
      <c r="H421" s="56"/>
      <c r="I421" s="56"/>
      <c r="J421" s="56"/>
      <c r="K421" s="56"/>
      <c r="L421" s="56"/>
      <c r="M421" s="56"/>
      <c r="N421" s="56"/>
      <c r="O421" s="56"/>
      <c r="P421" s="56"/>
      <c r="Q421" s="56"/>
      <c r="R421" s="56"/>
      <c r="S421" s="56"/>
      <c r="T421" s="56"/>
      <c r="U421" s="56"/>
      <c r="V421" s="56"/>
      <c r="W421" s="27"/>
      <c r="X421" s="56"/>
      <c r="Y421" s="27"/>
      <c r="Z421" s="56"/>
      <c r="AA421" s="27"/>
      <c r="AB421" s="56"/>
      <c r="AC421" s="27"/>
      <c r="AD421" s="56"/>
      <c r="AE421" s="27"/>
      <c r="AF421" s="56"/>
      <c r="AG421" s="27"/>
      <c r="AH421" s="286"/>
      <c r="AI421" s="27"/>
      <c r="AJ421" s="56"/>
      <c r="AK421" s="27"/>
      <c r="AL421" s="56"/>
      <c r="AM421" s="27"/>
      <c r="AN421" s="56"/>
      <c r="AO421" s="27"/>
      <c r="AP421" s="56"/>
      <c r="AQ421" s="27"/>
      <c r="AR421" s="56"/>
      <c r="AS421" s="27"/>
      <c r="AT421" s="56"/>
      <c r="AU421" s="27"/>
      <c r="AV421" s="56"/>
      <c r="AW421" s="27"/>
      <c r="AX421" s="56"/>
      <c r="AY421" s="27"/>
      <c r="AZ421" s="56"/>
      <c r="BA421" s="27"/>
      <c r="BB421" s="48"/>
      <c r="BC421" s="48"/>
      <c r="BD421" s="48"/>
      <c r="BE421" s="48"/>
      <c r="BF421" s="48"/>
      <c r="BG421" s="48"/>
      <c r="BH421" s="48"/>
      <c r="BI421" s="48"/>
      <c r="BJ421" s="48"/>
      <c r="BK421" s="48"/>
      <c r="BL421" s="48"/>
      <c r="BM421" s="48"/>
      <c r="BN421" s="48"/>
      <c r="BO421" s="48"/>
      <c r="BP421" s="48"/>
      <c r="BQ421" s="48"/>
      <c r="BR421" s="48"/>
      <c r="BS421" s="48"/>
      <c r="BT421" s="48"/>
      <c r="BU421" s="48"/>
    </row>
    <row r="422" ht="15.75" customHeight="1">
      <c r="A422" s="48"/>
      <c r="B422" s="48"/>
      <c r="C422" s="48"/>
      <c r="D422" s="48"/>
      <c r="E422" s="27"/>
      <c r="F422" s="48"/>
      <c r="G422" s="48"/>
      <c r="H422" s="56"/>
      <c r="I422" s="56"/>
      <c r="J422" s="56"/>
      <c r="K422" s="56"/>
      <c r="L422" s="56"/>
      <c r="M422" s="56"/>
      <c r="N422" s="56"/>
      <c r="O422" s="56"/>
      <c r="P422" s="56"/>
      <c r="Q422" s="56"/>
      <c r="R422" s="56"/>
      <c r="S422" s="56"/>
      <c r="T422" s="56"/>
      <c r="U422" s="56"/>
      <c r="V422" s="56"/>
      <c r="W422" s="27"/>
      <c r="X422" s="56"/>
      <c r="Y422" s="27"/>
      <c r="Z422" s="56"/>
      <c r="AA422" s="27"/>
      <c r="AB422" s="56"/>
      <c r="AC422" s="27"/>
      <c r="AD422" s="56"/>
      <c r="AE422" s="27"/>
      <c r="AF422" s="56"/>
      <c r="AG422" s="27"/>
      <c r="AH422" s="286"/>
      <c r="AI422" s="27"/>
      <c r="AJ422" s="56"/>
      <c r="AK422" s="27"/>
      <c r="AL422" s="56"/>
      <c r="AM422" s="27"/>
      <c r="AN422" s="56"/>
      <c r="AO422" s="27"/>
      <c r="AP422" s="56"/>
      <c r="AQ422" s="27"/>
      <c r="AR422" s="56"/>
      <c r="AS422" s="27"/>
      <c r="AT422" s="56"/>
      <c r="AU422" s="27"/>
      <c r="AV422" s="56"/>
      <c r="AW422" s="27"/>
      <c r="AX422" s="56"/>
      <c r="AY422" s="27"/>
      <c r="AZ422" s="56"/>
      <c r="BA422" s="27"/>
      <c r="BB422" s="48"/>
      <c r="BC422" s="48"/>
      <c r="BD422" s="48"/>
      <c r="BE422" s="48"/>
      <c r="BF422" s="48"/>
      <c r="BG422" s="48"/>
      <c r="BH422" s="48"/>
      <c r="BI422" s="48"/>
      <c r="BJ422" s="48"/>
      <c r="BK422" s="48"/>
      <c r="BL422" s="48"/>
      <c r="BM422" s="48"/>
      <c r="BN422" s="48"/>
      <c r="BO422" s="48"/>
      <c r="BP422" s="48"/>
      <c r="BQ422" s="48"/>
      <c r="BR422" s="48"/>
      <c r="BS422" s="48"/>
      <c r="BT422" s="48"/>
      <c r="BU422" s="48"/>
    </row>
    <row r="423" ht="15.75" customHeight="1">
      <c r="A423" s="48"/>
      <c r="B423" s="48"/>
      <c r="C423" s="48"/>
      <c r="D423" s="48"/>
      <c r="E423" s="27"/>
      <c r="F423" s="48"/>
      <c r="G423" s="48"/>
      <c r="H423" s="56"/>
      <c r="I423" s="56"/>
      <c r="J423" s="56"/>
      <c r="K423" s="56"/>
      <c r="L423" s="56"/>
      <c r="M423" s="56"/>
      <c r="N423" s="56"/>
      <c r="O423" s="56"/>
      <c r="P423" s="56"/>
      <c r="Q423" s="56"/>
      <c r="R423" s="56"/>
      <c r="S423" s="56"/>
      <c r="T423" s="56"/>
      <c r="U423" s="56"/>
      <c r="V423" s="56"/>
      <c r="W423" s="27"/>
      <c r="X423" s="56"/>
      <c r="Y423" s="27"/>
      <c r="Z423" s="56"/>
      <c r="AA423" s="27"/>
      <c r="AB423" s="56"/>
      <c r="AC423" s="27"/>
      <c r="AD423" s="56"/>
      <c r="AE423" s="27"/>
      <c r="AF423" s="56"/>
      <c r="AG423" s="27"/>
      <c r="AH423" s="286"/>
      <c r="AI423" s="27"/>
      <c r="AJ423" s="56"/>
      <c r="AK423" s="27"/>
      <c r="AL423" s="56"/>
      <c r="AM423" s="27"/>
      <c r="AN423" s="56"/>
      <c r="AO423" s="27"/>
      <c r="AP423" s="56"/>
      <c r="AQ423" s="27"/>
      <c r="AR423" s="56"/>
      <c r="AS423" s="27"/>
      <c r="AT423" s="56"/>
      <c r="AU423" s="27"/>
      <c r="AV423" s="56"/>
      <c r="AW423" s="27"/>
      <c r="AX423" s="56"/>
      <c r="AY423" s="27"/>
      <c r="AZ423" s="56"/>
      <c r="BA423" s="27"/>
      <c r="BB423" s="48"/>
      <c r="BC423" s="48"/>
      <c r="BD423" s="48"/>
      <c r="BE423" s="48"/>
      <c r="BF423" s="48"/>
      <c r="BG423" s="48"/>
      <c r="BH423" s="48"/>
      <c r="BI423" s="48"/>
      <c r="BJ423" s="48"/>
      <c r="BK423" s="48"/>
      <c r="BL423" s="48"/>
      <c r="BM423" s="48"/>
      <c r="BN423" s="48"/>
      <c r="BO423" s="48"/>
      <c r="BP423" s="48"/>
      <c r="BQ423" s="48"/>
      <c r="BR423" s="48"/>
      <c r="BS423" s="48"/>
      <c r="BT423" s="48"/>
      <c r="BU423" s="48"/>
    </row>
    <row r="424" ht="15.75" customHeight="1">
      <c r="A424" s="48"/>
      <c r="B424" s="48"/>
      <c r="C424" s="48"/>
      <c r="D424" s="48"/>
      <c r="E424" s="27"/>
      <c r="F424" s="48"/>
      <c r="G424" s="48"/>
      <c r="H424" s="56"/>
      <c r="I424" s="56"/>
      <c r="J424" s="56"/>
      <c r="K424" s="56"/>
      <c r="L424" s="56"/>
      <c r="M424" s="56"/>
      <c r="N424" s="56"/>
      <c r="O424" s="56"/>
      <c r="P424" s="56"/>
      <c r="Q424" s="56"/>
      <c r="R424" s="56"/>
      <c r="S424" s="56"/>
      <c r="T424" s="56"/>
      <c r="U424" s="56"/>
      <c r="V424" s="56"/>
      <c r="W424" s="27"/>
      <c r="X424" s="56"/>
      <c r="Y424" s="27"/>
      <c r="Z424" s="56"/>
      <c r="AA424" s="27"/>
      <c r="AB424" s="56"/>
      <c r="AC424" s="27"/>
      <c r="AD424" s="56"/>
      <c r="AE424" s="27"/>
      <c r="AF424" s="56"/>
      <c r="AG424" s="27"/>
      <c r="AH424" s="286"/>
      <c r="AI424" s="27"/>
      <c r="AJ424" s="56"/>
      <c r="AK424" s="27"/>
      <c r="AL424" s="56"/>
      <c r="AM424" s="27"/>
      <c r="AN424" s="56"/>
      <c r="AO424" s="27"/>
      <c r="AP424" s="56"/>
      <c r="AQ424" s="27"/>
      <c r="AR424" s="56"/>
      <c r="AS424" s="27"/>
      <c r="AT424" s="56"/>
      <c r="AU424" s="27"/>
      <c r="AV424" s="56"/>
      <c r="AW424" s="27"/>
      <c r="AX424" s="56"/>
      <c r="AY424" s="27"/>
      <c r="AZ424" s="56"/>
      <c r="BA424" s="27"/>
      <c r="BB424" s="48"/>
      <c r="BC424" s="48"/>
      <c r="BD424" s="48"/>
      <c r="BE424" s="48"/>
      <c r="BF424" s="48"/>
      <c r="BG424" s="48"/>
      <c r="BH424" s="48"/>
      <c r="BI424" s="48"/>
      <c r="BJ424" s="48"/>
      <c r="BK424" s="48"/>
      <c r="BL424" s="48"/>
      <c r="BM424" s="48"/>
      <c r="BN424" s="48"/>
      <c r="BO424" s="48"/>
      <c r="BP424" s="48"/>
      <c r="BQ424" s="48"/>
      <c r="BR424" s="48"/>
      <c r="BS424" s="48"/>
      <c r="BT424" s="48"/>
      <c r="BU424" s="48"/>
    </row>
    <row r="425" ht="15.75" customHeight="1">
      <c r="A425" s="48"/>
      <c r="B425" s="48"/>
      <c r="C425" s="48"/>
      <c r="D425" s="48"/>
      <c r="E425" s="27"/>
      <c r="F425" s="48"/>
      <c r="G425" s="48"/>
      <c r="H425" s="56"/>
      <c r="I425" s="56"/>
      <c r="J425" s="56"/>
      <c r="K425" s="56"/>
      <c r="L425" s="56"/>
      <c r="M425" s="56"/>
      <c r="N425" s="56"/>
      <c r="O425" s="56"/>
      <c r="P425" s="56"/>
      <c r="Q425" s="56"/>
      <c r="R425" s="56"/>
      <c r="S425" s="56"/>
      <c r="T425" s="56"/>
      <c r="U425" s="56"/>
      <c r="V425" s="56"/>
      <c r="W425" s="27"/>
      <c r="X425" s="56"/>
      <c r="Y425" s="27"/>
      <c r="Z425" s="56"/>
      <c r="AA425" s="27"/>
      <c r="AB425" s="56"/>
      <c r="AC425" s="27"/>
      <c r="AD425" s="56"/>
      <c r="AE425" s="27"/>
      <c r="AF425" s="56"/>
      <c r="AG425" s="27"/>
      <c r="AH425" s="286"/>
      <c r="AI425" s="27"/>
      <c r="AJ425" s="56"/>
      <c r="AK425" s="27"/>
      <c r="AL425" s="56"/>
      <c r="AM425" s="27"/>
      <c r="AN425" s="56"/>
      <c r="AO425" s="27"/>
      <c r="AP425" s="56"/>
      <c r="AQ425" s="27"/>
      <c r="AR425" s="56"/>
      <c r="AS425" s="27"/>
      <c r="AT425" s="56"/>
      <c r="AU425" s="27"/>
      <c r="AV425" s="56"/>
      <c r="AW425" s="27"/>
      <c r="AX425" s="56"/>
      <c r="AY425" s="27"/>
      <c r="AZ425" s="56"/>
      <c r="BA425" s="27"/>
      <c r="BB425" s="48"/>
      <c r="BC425" s="48"/>
      <c r="BD425" s="48"/>
      <c r="BE425" s="48"/>
      <c r="BF425" s="48"/>
      <c r="BG425" s="48"/>
      <c r="BH425" s="48"/>
      <c r="BI425" s="48"/>
      <c r="BJ425" s="48"/>
      <c r="BK425" s="48"/>
      <c r="BL425" s="48"/>
      <c r="BM425" s="48"/>
      <c r="BN425" s="48"/>
      <c r="BO425" s="48"/>
      <c r="BP425" s="48"/>
      <c r="BQ425" s="48"/>
      <c r="BR425" s="48"/>
      <c r="BS425" s="48"/>
      <c r="BT425" s="48"/>
      <c r="BU425" s="48"/>
    </row>
    <row r="426" ht="15.75" customHeight="1">
      <c r="A426" s="48"/>
      <c r="B426" s="48"/>
      <c r="C426" s="48"/>
      <c r="D426" s="48"/>
      <c r="E426" s="27"/>
      <c r="F426" s="48"/>
      <c r="G426" s="48"/>
      <c r="H426" s="56"/>
      <c r="I426" s="56"/>
      <c r="J426" s="56"/>
      <c r="K426" s="56"/>
      <c r="L426" s="56"/>
      <c r="M426" s="56"/>
      <c r="N426" s="56"/>
      <c r="O426" s="56"/>
      <c r="P426" s="56"/>
      <c r="Q426" s="56"/>
      <c r="R426" s="56"/>
      <c r="S426" s="56"/>
      <c r="T426" s="56"/>
      <c r="U426" s="56"/>
      <c r="V426" s="56"/>
      <c r="W426" s="27"/>
      <c r="X426" s="56"/>
      <c r="Y426" s="27"/>
      <c r="Z426" s="56"/>
      <c r="AA426" s="27"/>
      <c r="AB426" s="56"/>
      <c r="AC426" s="27"/>
      <c r="AD426" s="56"/>
      <c r="AE426" s="27"/>
      <c r="AF426" s="56"/>
      <c r="AG426" s="27"/>
      <c r="AH426" s="286"/>
      <c r="AI426" s="27"/>
      <c r="AJ426" s="56"/>
      <c r="AK426" s="27"/>
      <c r="AL426" s="56"/>
      <c r="AM426" s="27"/>
      <c r="AN426" s="56"/>
      <c r="AO426" s="27"/>
      <c r="AP426" s="56"/>
      <c r="AQ426" s="27"/>
      <c r="AR426" s="56"/>
      <c r="AS426" s="27"/>
      <c r="AT426" s="56"/>
      <c r="AU426" s="27"/>
      <c r="AV426" s="56"/>
      <c r="AW426" s="27"/>
      <c r="AX426" s="56"/>
      <c r="AY426" s="27"/>
      <c r="AZ426" s="56"/>
      <c r="BA426" s="27"/>
      <c r="BB426" s="48"/>
      <c r="BC426" s="48"/>
      <c r="BD426" s="48"/>
      <c r="BE426" s="48"/>
      <c r="BF426" s="48"/>
      <c r="BG426" s="48"/>
      <c r="BH426" s="48"/>
      <c r="BI426" s="48"/>
      <c r="BJ426" s="48"/>
      <c r="BK426" s="48"/>
      <c r="BL426" s="48"/>
      <c r="BM426" s="48"/>
      <c r="BN426" s="48"/>
      <c r="BO426" s="48"/>
      <c r="BP426" s="48"/>
      <c r="BQ426" s="48"/>
      <c r="BR426" s="48"/>
      <c r="BS426" s="48"/>
      <c r="BT426" s="48"/>
      <c r="BU426" s="48"/>
    </row>
    <row r="427" ht="15.75" customHeight="1">
      <c r="A427" s="48"/>
      <c r="B427" s="48"/>
      <c r="C427" s="48"/>
      <c r="D427" s="48"/>
      <c r="E427" s="27"/>
      <c r="F427" s="48"/>
      <c r="G427" s="48"/>
      <c r="H427" s="56"/>
      <c r="I427" s="56"/>
      <c r="J427" s="56"/>
      <c r="K427" s="56"/>
      <c r="L427" s="56"/>
      <c r="M427" s="56"/>
      <c r="N427" s="56"/>
      <c r="O427" s="56"/>
      <c r="P427" s="56"/>
      <c r="Q427" s="56"/>
      <c r="R427" s="56"/>
      <c r="S427" s="56"/>
      <c r="T427" s="56"/>
      <c r="U427" s="56"/>
      <c r="V427" s="56"/>
      <c r="W427" s="27"/>
      <c r="X427" s="56"/>
      <c r="Y427" s="27"/>
      <c r="Z427" s="56"/>
      <c r="AA427" s="27"/>
      <c r="AB427" s="56"/>
      <c r="AC427" s="27"/>
      <c r="AD427" s="56"/>
      <c r="AE427" s="27"/>
      <c r="AF427" s="56"/>
      <c r="AG427" s="27"/>
      <c r="AH427" s="286"/>
      <c r="AI427" s="27"/>
      <c r="AJ427" s="56"/>
      <c r="AK427" s="27"/>
      <c r="AL427" s="56"/>
      <c r="AM427" s="27"/>
      <c r="AN427" s="56"/>
      <c r="AO427" s="27"/>
      <c r="AP427" s="56"/>
      <c r="AQ427" s="27"/>
      <c r="AR427" s="56"/>
      <c r="AS427" s="27"/>
      <c r="AT427" s="56"/>
      <c r="AU427" s="27"/>
      <c r="AV427" s="56"/>
      <c r="AW427" s="27"/>
      <c r="AX427" s="56"/>
      <c r="AY427" s="27"/>
      <c r="AZ427" s="56"/>
      <c r="BA427" s="27"/>
      <c r="BB427" s="48"/>
      <c r="BC427" s="48"/>
      <c r="BD427" s="48"/>
      <c r="BE427" s="48"/>
      <c r="BF427" s="48"/>
      <c r="BG427" s="48"/>
      <c r="BH427" s="48"/>
      <c r="BI427" s="48"/>
      <c r="BJ427" s="48"/>
      <c r="BK427" s="48"/>
      <c r="BL427" s="48"/>
      <c r="BM427" s="48"/>
      <c r="BN427" s="48"/>
      <c r="BO427" s="48"/>
      <c r="BP427" s="48"/>
      <c r="BQ427" s="48"/>
      <c r="BR427" s="48"/>
      <c r="BS427" s="48"/>
      <c r="BT427" s="48"/>
      <c r="BU427" s="48"/>
    </row>
    <row r="428" ht="15.75" customHeight="1">
      <c r="A428" s="48"/>
      <c r="B428" s="48"/>
      <c r="C428" s="48"/>
      <c r="D428" s="48"/>
      <c r="E428" s="27"/>
      <c r="F428" s="48"/>
      <c r="G428" s="48"/>
      <c r="H428" s="56"/>
      <c r="I428" s="56"/>
      <c r="J428" s="56"/>
      <c r="K428" s="56"/>
      <c r="L428" s="56"/>
      <c r="M428" s="56"/>
      <c r="N428" s="56"/>
      <c r="O428" s="56"/>
      <c r="P428" s="56"/>
      <c r="Q428" s="56"/>
      <c r="R428" s="56"/>
      <c r="S428" s="56"/>
      <c r="T428" s="56"/>
      <c r="U428" s="56"/>
      <c r="V428" s="56"/>
      <c r="W428" s="27"/>
      <c r="X428" s="56"/>
      <c r="Y428" s="27"/>
      <c r="Z428" s="56"/>
      <c r="AA428" s="27"/>
      <c r="AB428" s="56"/>
      <c r="AC428" s="27"/>
      <c r="AD428" s="56"/>
      <c r="AE428" s="27"/>
      <c r="AF428" s="56"/>
      <c r="AG428" s="27"/>
      <c r="AH428" s="286"/>
      <c r="AI428" s="27"/>
      <c r="AJ428" s="56"/>
      <c r="AK428" s="27"/>
      <c r="AL428" s="56"/>
      <c r="AM428" s="27"/>
      <c r="AN428" s="56"/>
      <c r="AO428" s="27"/>
      <c r="AP428" s="56"/>
      <c r="AQ428" s="27"/>
      <c r="AR428" s="56"/>
      <c r="AS428" s="27"/>
      <c r="AT428" s="56"/>
      <c r="AU428" s="27"/>
      <c r="AV428" s="56"/>
      <c r="AW428" s="27"/>
      <c r="AX428" s="56"/>
      <c r="AY428" s="27"/>
      <c r="AZ428" s="56"/>
      <c r="BA428" s="27"/>
      <c r="BB428" s="48"/>
      <c r="BC428" s="48"/>
      <c r="BD428" s="48"/>
      <c r="BE428" s="48"/>
      <c r="BF428" s="48"/>
      <c r="BG428" s="48"/>
      <c r="BH428" s="48"/>
      <c r="BI428" s="48"/>
      <c r="BJ428" s="48"/>
      <c r="BK428" s="48"/>
      <c r="BL428" s="48"/>
      <c r="BM428" s="48"/>
      <c r="BN428" s="48"/>
      <c r="BO428" s="48"/>
      <c r="BP428" s="48"/>
      <c r="BQ428" s="48"/>
      <c r="BR428" s="48"/>
      <c r="BS428" s="48"/>
      <c r="BT428" s="48"/>
      <c r="BU428" s="48"/>
    </row>
    <row r="429" ht="15.75" customHeight="1">
      <c r="A429" s="48"/>
      <c r="B429" s="48"/>
      <c r="C429" s="48"/>
      <c r="D429" s="48"/>
      <c r="E429" s="27"/>
      <c r="F429" s="48"/>
      <c r="G429" s="48"/>
      <c r="H429" s="56"/>
      <c r="I429" s="56"/>
      <c r="J429" s="56"/>
      <c r="K429" s="56"/>
      <c r="L429" s="56"/>
      <c r="M429" s="56"/>
      <c r="N429" s="56"/>
      <c r="O429" s="56"/>
      <c r="P429" s="56"/>
      <c r="Q429" s="56"/>
      <c r="R429" s="56"/>
      <c r="S429" s="56"/>
      <c r="T429" s="56"/>
      <c r="U429" s="56"/>
      <c r="V429" s="56"/>
      <c r="W429" s="27"/>
      <c r="X429" s="56"/>
      <c r="Y429" s="27"/>
      <c r="Z429" s="56"/>
      <c r="AA429" s="27"/>
      <c r="AB429" s="56"/>
      <c r="AC429" s="27"/>
      <c r="AD429" s="56"/>
      <c r="AE429" s="27"/>
      <c r="AF429" s="56"/>
      <c r="AG429" s="27"/>
      <c r="AH429" s="286"/>
      <c r="AI429" s="27"/>
      <c r="AJ429" s="56"/>
      <c r="AK429" s="27"/>
      <c r="AL429" s="56"/>
      <c r="AM429" s="27"/>
      <c r="AN429" s="56"/>
      <c r="AO429" s="27"/>
      <c r="AP429" s="56"/>
      <c r="AQ429" s="27"/>
      <c r="AR429" s="56"/>
      <c r="AS429" s="27"/>
      <c r="AT429" s="56"/>
      <c r="AU429" s="27"/>
      <c r="AV429" s="56"/>
      <c r="AW429" s="27"/>
      <c r="AX429" s="56"/>
      <c r="AY429" s="27"/>
      <c r="AZ429" s="56"/>
      <c r="BA429" s="27"/>
      <c r="BB429" s="48"/>
      <c r="BC429" s="48"/>
      <c r="BD429" s="48"/>
      <c r="BE429" s="48"/>
      <c r="BF429" s="48"/>
      <c r="BG429" s="48"/>
      <c r="BH429" s="48"/>
      <c r="BI429" s="48"/>
      <c r="BJ429" s="48"/>
      <c r="BK429" s="48"/>
      <c r="BL429" s="48"/>
      <c r="BM429" s="48"/>
      <c r="BN429" s="48"/>
      <c r="BO429" s="48"/>
      <c r="BP429" s="48"/>
      <c r="BQ429" s="48"/>
      <c r="BR429" s="48"/>
      <c r="BS429" s="48"/>
      <c r="BT429" s="48"/>
      <c r="BU429" s="48"/>
    </row>
    <row r="430" ht="15.75" customHeight="1">
      <c r="A430" s="48"/>
      <c r="B430" s="48"/>
      <c r="C430" s="48"/>
      <c r="D430" s="48"/>
      <c r="E430" s="27"/>
      <c r="F430" s="48"/>
      <c r="G430" s="48"/>
      <c r="H430" s="56"/>
      <c r="I430" s="56"/>
      <c r="J430" s="56"/>
      <c r="K430" s="56"/>
      <c r="L430" s="56"/>
      <c r="M430" s="56"/>
      <c r="N430" s="56"/>
      <c r="O430" s="56"/>
      <c r="P430" s="56"/>
      <c r="Q430" s="56"/>
      <c r="R430" s="56"/>
      <c r="S430" s="56"/>
      <c r="T430" s="56"/>
      <c r="U430" s="56"/>
      <c r="V430" s="56"/>
      <c r="W430" s="27"/>
      <c r="X430" s="56"/>
      <c r="Y430" s="27"/>
      <c r="Z430" s="56"/>
      <c r="AA430" s="27"/>
      <c r="AB430" s="56"/>
      <c r="AC430" s="27"/>
      <c r="AD430" s="56"/>
      <c r="AE430" s="27"/>
      <c r="AF430" s="56"/>
      <c r="AG430" s="27"/>
      <c r="AH430" s="286"/>
      <c r="AI430" s="27"/>
      <c r="AJ430" s="56"/>
      <c r="AK430" s="27"/>
      <c r="AL430" s="56"/>
      <c r="AM430" s="27"/>
      <c r="AN430" s="56"/>
      <c r="AO430" s="27"/>
      <c r="AP430" s="56"/>
      <c r="AQ430" s="27"/>
      <c r="AR430" s="56"/>
      <c r="AS430" s="27"/>
      <c r="AT430" s="56"/>
      <c r="AU430" s="27"/>
      <c r="AV430" s="56"/>
      <c r="AW430" s="27"/>
      <c r="AX430" s="56"/>
      <c r="AY430" s="27"/>
      <c r="AZ430" s="56"/>
      <c r="BA430" s="27"/>
      <c r="BB430" s="48"/>
      <c r="BC430" s="48"/>
      <c r="BD430" s="48"/>
      <c r="BE430" s="48"/>
      <c r="BF430" s="48"/>
      <c r="BG430" s="48"/>
      <c r="BH430" s="48"/>
      <c r="BI430" s="48"/>
      <c r="BJ430" s="48"/>
      <c r="BK430" s="48"/>
      <c r="BL430" s="48"/>
      <c r="BM430" s="48"/>
      <c r="BN430" s="48"/>
      <c r="BO430" s="48"/>
      <c r="BP430" s="48"/>
      <c r="BQ430" s="48"/>
      <c r="BR430" s="48"/>
      <c r="BS430" s="48"/>
      <c r="BT430" s="48"/>
      <c r="BU430" s="48"/>
    </row>
    <row r="431" ht="15.75" customHeight="1">
      <c r="A431" s="48"/>
      <c r="B431" s="48"/>
      <c r="C431" s="48"/>
      <c r="D431" s="48"/>
      <c r="E431" s="27"/>
      <c r="F431" s="48"/>
      <c r="G431" s="48"/>
      <c r="H431" s="56"/>
      <c r="I431" s="56"/>
      <c r="J431" s="56"/>
      <c r="K431" s="56"/>
      <c r="L431" s="56"/>
      <c r="M431" s="56"/>
      <c r="N431" s="56"/>
      <c r="O431" s="56"/>
      <c r="P431" s="56"/>
      <c r="Q431" s="56"/>
      <c r="R431" s="56"/>
      <c r="S431" s="56"/>
      <c r="T431" s="56"/>
      <c r="U431" s="56"/>
      <c r="V431" s="56"/>
      <c r="W431" s="27"/>
      <c r="X431" s="56"/>
      <c r="Y431" s="27"/>
      <c r="Z431" s="56"/>
      <c r="AA431" s="27"/>
      <c r="AB431" s="56"/>
      <c r="AC431" s="27"/>
      <c r="AD431" s="56"/>
      <c r="AE431" s="27"/>
      <c r="AF431" s="56"/>
      <c r="AG431" s="27"/>
      <c r="AH431" s="286"/>
      <c r="AI431" s="27"/>
      <c r="AJ431" s="56"/>
      <c r="AK431" s="27"/>
      <c r="AL431" s="56"/>
      <c r="AM431" s="27"/>
      <c r="AN431" s="56"/>
      <c r="AO431" s="27"/>
      <c r="AP431" s="56"/>
      <c r="AQ431" s="27"/>
      <c r="AR431" s="56"/>
      <c r="AS431" s="27"/>
      <c r="AT431" s="56"/>
      <c r="AU431" s="27"/>
      <c r="AV431" s="56"/>
      <c r="AW431" s="27"/>
      <c r="AX431" s="56"/>
      <c r="AY431" s="27"/>
      <c r="AZ431" s="56"/>
      <c r="BA431" s="27"/>
      <c r="BB431" s="48"/>
      <c r="BC431" s="48"/>
      <c r="BD431" s="48"/>
      <c r="BE431" s="48"/>
      <c r="BF431" s="48"/>
      <c r="BG431" s="48"/>
      <c r="BH431" s="48"/>
      <c r="BI431" s="48"/>
      <c r="BJ431" s="48"/>
      <c r="BK431" s="48"/>
      <c r="BL431" s="48"/>
      <c r="BM431" s="48"/>
      <c r="BN431" s="48"/>
      <c r="BO431" s="48"/>
      <c r="BP431" s="48"/>
      <c r="BQ431" s="48"/>
      <c r="BR431" s="48"/>
      <c r="BS431" s="48"/>
      <c r="BT431" s="48"/>
      <c r="BU431" s="48"/>
    </row>
    <row r="432" ht="15.75" customHeight="1">
      <c r="A432" s="48"/>
      <c r="B432" s="48"/>
      <c r="C432" s="48"/>
      <c r="D432" s="48"/>
      <c r="E432" s="27"/>
      <c r="F432" s="48"/>
      <c r="G432" s="48"/>
      <c r="H432" s="56"/>
      <c r="I432" s="56"/>
      <c r="J432" s="56"/>
      <c r="K432" s="56"/>
      <c r="L432" s="56"/>
      <c r="M432" s="56"/>
      <c r="N432" s="56"/>
      <c r="O432" s="56"/>
      <c r="P432" s="56"/>
      <c r="Q432" s="56"/>
      <c r="R432" s="56"/>
      <c r="S432" s="56"/>
      <c r="T432" s="56"/>
      <c r="U432" s="56"/>
      <c r="V432" s="56"/>
      <c r="W432" s="27"/>
      <c r="X432" s="56"/>
      <c r="Y432" s="27"/>
      <c r="Z432" s="56"/>
      <c r="AA432" s="27"/>
      <c r="AB432" s="56"/>
      <c r="AC432" s="27"/>
      <c r="AD432" s="56"/>
      <c r="AE432" s="27"/>
      <c r="AF432" s="56"/>
      <c r="AG432" s="27"/>
      <c r="AH432" s="286"/>
      <c r="AI432" s="27"/>
      <c r="AJ432" s="56"/>
      <c r="AK432" s="27"/>
      <c r="AL432" s="56"/>
      <c r="AM432" s="27"/>
      <c r="AN432" s="56"/>
      <c r="AO432" s="27"/>
      <c r="AP432" s="56"/>
      <c r="AQ432" s="27"/>
      <c r="AR432" s="56"/>
      <c r="AS432" s="27"/>
      <c r="AT432" s="56"/>
      <c r="AU432" s="27"/>
      <c r="AV432" s="56"/>
      <c r="AW432" s="27"/>
      <c r="AX432" s="56"/>
      <c r="AY432" s="27"/>
      <c r="AZ432" s="56"/>
      <c r="BA432" s="27"/>
      <c r="BB432" s="48"/>
      <c r="BC432" s="48"/>
      <c r="BD432" s="48"/>
      <c r="BE432" s="48"/>
      <c r="BF432" s="48"/>
      <c r="BG432" s="48"/>
      <c r="BH432" s="48"/>
      <c r="BI432" s="48"/>
      <c r="BJ432" s="48"/>
      <c r="BK432" s="48"/>
      <c r="BL432" s="48"/>
      <c r="BM432" s="48"/>
      <c r="BN432" s="48"/>
      <c r="BO432" s="48"/>
      <c r="BP432" s="48"/>
      <c r="BQ432" s="48"/>
      <c r="BR432" s="48"/>
      <c r="BS432" s="48"/>
      <c r="BT432" s="48"/>
      <c r="BU432" s="48"/>
    </row>
    <row r="433" ht="15.75" customHeight="1">
      <c r="A433" s="48"/>
      <c r="B433" s="48"/>
      <c r="C433" s="48"/>
      <c r="D433" s="48"/>
      <c r="E433" s="27"/>
      <c r="F433" s="48"/>
      <c r="G433" s="48"/>
      <c r="H433" s="56"/>
      <c r="I433" s="56"/>
      <c r="J433" s="56"/>
      <c r="K433" s="56"/>
      <c r="L433" s="56"/>
      <c r="M433" s="56"/>
      <c r="N433" s="56"/>
      <c r="O433" s="56"/>
      <c r="P433" s="56"/>
      <c r="Q433" s="56"/>
      <c r="R433" s="56"/>
      <c r="S433" s="56"/>
      <c r="T433" s="56"/>
      <c r="U433" s="56"/>
      <c r="V433" s="56"/>
      <c r="W433" s="27"/>
      <c r="X433" s="56"/>
      <c r="Y433" s="27"/>
      <c r="Z433" s="56"/>
      <c r="AA433" s="27"/>
      <c r="AB433" s="56"/>
      <c r="AC433" s="27"/>
      <c r="AD433" s="56"/>
      <c r="AE433" s="27"/>
      <c r="AF433" s="56"/>
      <c r="AG433" s="27"/>
      <c r="AH433" s="286"/>
      <c r="AI433" s="27"/>
      <c r="AJ433" s="56"/>
      <c r="AK433" s="27"/>
      <c r="AL433" s="56"/>
      <c r="AM433" s="27"/>
      <c r="AN433" s="56"/>
      <c r="AO433" s="27"/>
      <c r="AP433" s="56"/>
      <c r="AQ433" s="27"/>
      <c r="AR433" s="56"/>
      <c r="AS433" s="27"/>
      <c r="AT433" s="56"/>
      <c r="AU433" s="27"/>
      <c r="AV433" s="56"/>
      <c r="AW433" s="27"/>
      <c r="AX433" s="56"/>
      <c r="AY433" s="27"/>
      <c r="AZ433" s="56"/>
      <c r="BA433" s="27"/>
      <c r="BB433" s="48"/>
      <c r="BC433" s="48"/>
      <c r="BD433" s="48"/>
      <c r="BE433" s="48"/>
      <c r="BF433" s="48"/>
      <c r="BG433" s="48"/>
      <c r="BH433" s="48"/>
      <c r="BI433" s="48"/>
      <c r="BJ433" s="48"/>
      <c r="BK433" s="48"/>
      <c r="BL433" s="48"/>
      <c r="BM433" s="48"/>
      <c r="BN433" s="48"/>
      <c r="BO433" s="48"/>
      <c r="BP433" s="48"/>
      <c r="BQ433" s="48"/>
      <c r="BR433" s="48"/>
      <c r="BS433" s="48"/>
      <c r="BT433" s="48"/>
      <c r="BU433" s="48"/>
    </row>
    <row r="434" ht="15.75" customHeight="1">
      <c r="A434" s="48"/>
      <c r="B434" s="48"/>
      <c r="C434" s="48"/>
      <c r="D434" s="48"/>
      <c r="E434" s="27"/>
      <c r="F434" s="48"/>
      <c r="G434" s="48"/>
      <c r="H434" s="56"/>
      <c r="I434" s="56"/>
      <c r="J434" s="56"/>
      <c r="K434" s="56"/>
      <c r="L434" s="56"/>
      <c r="M434" s="56"/>
      <c r="N434" s="56"/>
      <c r="O434" s="56"/>
      <c r="P434" s="56"/>
      <c r="Q434" s="56"/>
      <c r="R434" s="56"/>
      <c r="S434" s="56"/>
      <c r="T434" s="56"/>
      <c r="U434" s="56"/>
      <c r="V434" s="56"/>
      <c r="W434" s="27"/>
      <c r="X434" s="56"/>
      <c r="Y434" s="27"/>
      <c r="Z434" s="56"/>
      <c r="AA434" s="27"/>
      <c r="AB434" s="56"/>
      <c r="AC434" s="27"/>
      <c r="AD434" s="56"/>
      <c r="AE434" s="27"/>
      <c r="AF434" s="56"/>
      <c r="AG434" s="27"/>
      <c r="AH434" s="286"/>
      <c r="AI434" s="27"/>
      <c r="AJ434" s="56"/>
      <c r="AK434" s="27"/>
      <c r="AL434" s="56"/>
      <c r="AM434" s="27"/>
      <c r="AN434" s="56"/>
      <c r="AO434" s="27"/>
      <c r="AP434" s="56"/>
      <c r="AQ434" s="27"/>
      <c r="AR434" s="56"/>
      <c r="AS434" s="27"/>
      <c r="AT434" s="56"/>
      <c r="AU434" s="27"/>
      <c r="AV434" s="56"/>
      <c r="AW434" s="27"/>
      <c r="AX434" s="56"/>
      <c r="AY434" s="27"/>
      <c r="AZ434" s="56"/>
      <c r="BA434" s="27"/>
      <c r="BB434" s="48"/>
      <c r="BC434" s="48"/>
      <c r="BD434" s="48"/>
      <c r="BE434" s="48"/>
      <c r="BF434" s="48"/>
      <c r="BG434" s="48"/>
      <c r="BH434" s="48"/>
      <c r="BI434" s="48"/>
      <c r="BJ434" s="48"/>
      <c r="BK434" s="48"/>
      <c r="BL434" s="48"/>
      <c r="BM434" s="48"/>
      <c r="BN434" s="48"/>
      <c r="BO434" s="48"/>
      <c r="BP434" s="48"/>
      <c r="BQ434" s="48"/>
      <c r="BR434" s="48"/>
      <c r="BS434" s="48"/>
      <c r="BT434" s="48"/>
      <c r="BU434" s="48"/>
    </row>
    <row r="435" ht="15.75" customHeight="1">
      <c r="A435" s="48"/>
      <c r="B435" s="48"/>
      <c r="C435" s="48"/>
      <c r="D435" s="48"/>
      <c r="E435" s="27"/>
      <c r="F435" s="48"/>
      <c r="G435" s="48"/>
      <c r="H435" s="56"/>
      <c r="I435" s="56"/>
      <c r="J435" s="56"/>
      <c r="K435" s="56"/>
      <c r="L435" s="56"/>
      <c r="M435" s="56"/>
      <c r="N435" s="56"/>
      <c r="O435" s="56"/>
      <c r="P435" s="56"/>
      <c r="Q435" s="56"/>
      <c r="R435" s="56"/>
      <c r="S435" s="56"/>
      <c r="T435" s="56"/>
      <c r="U435" s="56"/>
      <c r="V435" s="56"/>
      <c r="W435" s="27"/>
      <c r="X435" s="56"/>
      <c r="Y435" s="27"/>
      <c r="Z435" s="56"/>
      <c r="AA435" s="27"/>
      <c r="AB435" s="56"/>
      <c r="AC435" s="27"/>
      <c r="AD435" s="56"/>
      <c r="AE435" s="27"/>
      <c r="AF435" s="56"/>
      <c r="AG435" s="27"/>
      <c r="AH435" s="286"/>
      <c r="AI435" s="27"/>
      <c r="AJ435" s="56"/>
      <c r="AK435" s="27"/>
      <c r="AL435" s="56"/>
      <c r="AM435" s="27"/>
      <c r="AN435" s="56"/>
      <c r="AO435" s="27"/>
      <c r="AP435" s="56"/>
      <c r="AQ435" s="27"/>
      <c r="AR435" s="56"/>
      <c r="AS435" s="27"/>
      <c r="AT435" s="56"/>
      <c r="AU435" s="27"/>
      <c r="AV435" s="56"/>
      <c r="AW435" s="27"/>
      <c r="AX435" s="56"/>
      <c r="AY435" s="27"/>
      <c r="AZ435" s="56"/>
      <c r="BA435" s="27"/>
      <c r="BB435" s="48"/>
      <c r="BC435" s="48"/>
      <c r="BD435" s="48"/>
      <c r="BE435" s="48"/>
      <c r="BF435" s="48"/>
      <c r="BG435" s="48"/>
      <c r="BH435" s="48"/>
      <c r="BI435" s="48"/>
      <c r="BJ435" s="48"/>
      <c r="BK435" s="48"/>
      <c r="BL435" s="48"/>
      <c r="BM435" s="48"/>
      <c r="BN435" s="48"/>
      <c r="BO435" s="48"/>
      <c r="BP435" s="48"/>
      <c r="BQ435" s="48"/>
      <c r="BR435" s="48"/>
      <c r="BS435" s="48"/>
      <c r="BT435" s="48"/>
      <c r="BU435" s="48"/>
    </row>
    <row r="436" ht="15.75" customHeight="1">
      <c r="A436" s="48"/>
      <c r="B436" s="48"/>
      <c r="C436" s="48"/>
      <c r="D436" s="48"/>
      <c r="E436" s="27"/>
      <c r="F436" s="48"/>
      <c r="G436" s="48"/>
      <c r="H436" s="56"/>
      <c r="I436" s="56"/>
      <c r="J436" s="56"/>
      <c r="K436" s="56"/>
      <c r="L436" s="56"/>
      <c r="M436" s="56"/>
      <c r="N436" s="56"/>
      <c r="O436" s="56"/>
      <c r="P436" s="56"/>
      <c r="Q436" s="56"/>
      <c r="R436" s="56"/>
      <c r="S436" s="56"/>
      <c r="T436" s="56"/>
      <c r="U436" s="56"/>
      <c r="V436" s="56"/>
      <c r="W436" s="27"/>
      <c r="X436" s="56"/>
      <c r="Y436" s="27"/>
      <c r="Z436" s="56"/>
      <c r="AA436" s="27"/>
      <c r="AB436" s="56"/>
      <c r="AC436" s="27"/>
      <c r="AD436" s="56"/>
      <c r="AE436" s="27"/>
      <c r="AF436" s="56"/>
      <c r="AG436" s="27"/>
      <c r="AH436" s="286"/>
      <c r="AI436" s="27"/>
      <c r="AJ436" s="56"/>
      <c r="AK436" s="27"/>
      <c r="AL436" s="56"/>
      <c r="AM436" s="27"/>
      <c r="AN436" s="56"/>
      <c r="AO436" s="27"/>
      <c r="AP436" s="56"/>
      <c r="AQ436" s="27"/>
      <c r="AR436" s="56"/>
      <c r="AS436" s="27"/>
      <c r="AT436" s="56"/>
      <c r="AU436" s="27"/>
      <c r="AV436" s="56"/>
      <c r="AW436" s="27"/>
      <c r="AX436" s="56"/>
      <c r="AY436" s="27"/>
      <c r="AZ436" s="56"/>
      <c r="BA436" s="27"/>
      <c r="BB436" s="48"/>
      <c r="BC436" s="48"/>
      <c r="BD436" s="48"/>
      <c r="BE436" s="48"/>
      <c r="BF436" s="48"/>
      <c r="BG436" s="48"/>
      <c r="BH436" s="48"/>
      <c r="BI436" s="48"/>
      <c r="BJ436" s="48"/>
      <c r="BK436" s="48"/>
      <c r="BL436" s="48"/>
      <c r="BM436" s="48"/>
      <c r="BN436" s="48"/>
      <c r="BO436" s="48"/>
      <c r="BP436" s="48"/>
      <c r="BQ436" s="48"/>
      <c r="BR436" s="48"/>
      <c r="BS436" s="48"/>
      <c r="BT436" s="48"/>
      <c r="BU436" s="48"/>
    </row>
    <row r="437" ht="15.75" customHeight="1">
      <c r="A437" s="48"/>
      <c r="B437" s="48"/>
      <c r="C437" s="48"/>
      <c r="D437" s="48"/>
      <c r="E437" s="27"/>
      <c r="F437" s="48"/>
      <c r="G437" s="48"/>
      <c r="H437" s="56"/>
      <c r="I437" s="56"/>
      <c r="J437" s="56"/>
      <c r="K437" s="56"/>
      <c r="L437" s="56"/>
      <c r="M437" s="56"/>
      <c r="N437" s="56"/>
      <c r="O437" s="56"/>
      <c r="P437" s="56"/>
      <c r="Q437" s="56"/>
      <c r="R437" s="56"/>
      <c r="S437" s="56"/>
      <c r="T437" s="56"/>
      <c r="U437" s="56"/>
      <c r="V437" s="56"/>
      <c r="W437" s="27"/>
      <c r="X437" s="56"/>
      <c r="Y437" s="27"/>
      <c r="Z437" s="56"/>
      <c r="AA437" s="27"/>
      <c r="AB437" s="56"/>
      <c r="AC437" s="27"/>
      <c r="AD437" s="56"/>
      <c r="AE437" s="27"/>
      <c r="AF437" s="56"/>
      <c r="AG437" s="27"/>
      <c r="AH437" s="286"/>
      <c r="AI437" s="27"/>
      <c r="AJ437" s="56"/>
      <c r="AK437" s="27"/>
      <c r="AL437" s="56"/>
      <c r="AM437" s="27"/>
      <c r="AN437" s="56"/>
      <c r="AO437" s="27"/>
      <c r="AP437" s="56"/>
      <c r="AQ437" s="27"/>
      <c r="AR437" s="56"/>
      <c r="AS437" s="27"/>
      <c r="AT437" s="56"/>
      <c r="AU437" s="27"/>
      <c r="AV437" s="56"/>
      <c r="AW437" s="27"/>
      <c r="AX437" s="56"/>
      <c r="AY437" s="27"/>
      <c r="AZ437" s="56"/>
      <c r="BA437" s="27"/>
      <c r="BB437" s="48"/>
      <c r="BC437" s="48"/>
      <c r="BD437" s="48"/>
      <c r="BE437" s="48"/>
      <c r="BF437" s="48"/>
      <c r="BG437" s="48"/>
      <c r="BH437" s="48"/>
      <c r="BI437" s="48"/>
      <c r="BJ437" s="48"/>
      <c r="BK437" s="48"/>
      <c r="BL437" s="48"/>
      <c r="BM437" s="48"/>
      <c r="BN437" s="48"/>
      <c r="BO437" s="48"/>
      <c r="BP437" s="48"/>
      <c r="BQ437" s="48"/>
      <c r="BR437" s="48"/>
      <c r="BS437" s="48"/>
      <c r="BT437" s="48"/>
      <c r="BU437" s="48"/>
    </row>
    <row r="438" ht="15.75" customHeight="1">
      <c r="A438" s="48"/>
      <c r="B438" s="48"/>
      <c r="C438" s="48"/>
      <c r="D438" s="48"/>
      <c r="E438" s="27"/>
      <c r="F438" s="48"/>
      <c r="G438" s="48"/>
      <c r="H438" s="56"/>
      <c r="I438" s="56"/>
      <c r="J438" s="56"/>
      <c r="K438" s="56"/>
      <c r="L438" s="56"/>
      <c r="M438" s="56"/>
      <c r="N438" s="56"/>
      <c r="O438" s="56"/>
      <c r="P438" s="56"/>
      <c r="Q438" s="56"/>
      <c r="R438" s="56"/>
      <c r="S438" s="56"/>
      <c r="T438" s="56"/>
      <c r="U438" s="56"/>
      <c r="V438" s="56"/>
      <c r="W438" s="27"/>
      <c r="X438" s="56"/>
      <c r="Y438" s="27"/>
      <c r="Z438" s="56"/>
      <c r="AA438" s="27"/>
      <c r="AB438" s="56"/>
      <c r="AC438" s="27"/>
      <c r="AD438" s="56"/>
      <c r="AE438" s="27"/>
      <c r="AF438" s="56"/>
      <c r="AG438" s="27"/>
      <c r="AH438" s="286"/>
      <c r="AI438" s="27"/>
      <c r="AJ438" s="56"/>
      <c r="AK438" s="27"/>
      <c r="AL438" s="56"/>
      <c r="AM438" s="27"/>
      <c r="AN438" s="56"/>
      <c r="AO438" s="27"/>
      <c r="AP438" s="56"/>
      <c r="AQ438" s="27"/>
      <c r="AR438" s="56"/>
      <c r="AS438" s="27"/>
      <c r="AT438" s="56"/>
      <c r="AU438" s="27"/>
      <c r="AV438" s="56"/>
      <c r="AW438" s="27"/>
      <c r="AX438" s="56"/>
      <c r="AY438" s="27"/>
      <c r="AZ438" s="56"/>
      <c r="BA438" s="27"/>
      <c r="BB438" s="48"/>
      <c r="BC438" s="48"/>
      <c r="BD438" s="48"/>
      <c r="BE438" s="48"/>
      <c r="BF438" s="48"/>
      <c r="BG438" s="48"/>
      <c r="BH438" s="48"/>
      <c r="BI438" s="48"/>
      <c r="BJ438" s="48"/>
      <c r="BK438" s="48"/>
      <c r="BL438" s="48"/>
      <c r="BM438" s="48"/>
      <c r="BN438" s="48"/>
      <c r="BO438" s="48"/>
      <c r="BP438" s="48"/>
      <c r="BQ438" s="48"/>
      <c r="BR438" s="48"/>
      <c r="BS438" s="48"/>
      <c r="BT438" s="48"/>
      <c r="BU438" s="48"/>
    </row>
    <row r="439" ht="15.75" customHeight="1">
      <c r="A439" s="48"/>
      <c r="B439" s="48"/>
      <c r="C439" s="48"/>
      <c r="D439" s="48"/>
      <c r="E439" s="27"/>
      <c r="F439" s="48"/>
      <c r="G439" s="48"/>
      <c r="H439" s="56"/>
      <c r="I439" s="56"/>
      <c r="J439" s="56"/>
      <c r="K439" s="56"/>
      <c r="L439" s="56"/>
      <c r="M439" s="56"/>
      <c r="N439" s="56"/>
      <c r="O439" s="56"/>
      <c r="P439" s="56"/>
      <c r="Q439" s="56"/>
      <c r="R439" s="56"/>
      <c r="S439" s="56"/>
      <c r="T439" s="56"/>
      <c r="U439" s="56"/>
      <c r="V439" s="56"/>
      <c r="W439" s="27"/>
      <c r="X439" s="56"/>
      <c r="Y439" s="27"/>
      <c r="Z439" s="56"/>
      <c r="AA439" s="27"/>
      <c r="AB439" s="56"/>
      <c r="AC439" s="27"/>
      <c r="AD439" s="56"/>
      <c r="AE439" s="27"/>
      <c r="AF439" s="56"/>
      <c r="AG439" s="27"/>
      <c r="AH439" s="286"/>
      <c r="AI439" s="27"/>
      <c r="AJ439" s="56"/>
      <c r="AK439" s="27"/>
      <c r="AL439" s="56"/>
      <c r="AM439" s="27"/>
      <c r="AN439" s="56"/>
      <c r="AO439" s="27"/>
      <c r="AP439" s="56"/>
      <c r="AQ439" s="27"/>
      <c r="AR439" s="56"/>
      <c r="AS439" s="27"/>
      <c r="AT439" s="56"/>
      <c r="AU439" s="27"/>
      <c r="AV439" s="56"/>
      <c r="AW439" s="27"/>
      <c r="AX439" s="56"/>
      <c r="AY439" s="27"/>
      <c r="AZ439" s="56"/>
      <c r="BA439" s="27"/>
      <c r="BB439" s="48"/>
      <c r="BC439" s="48"/>
      <c r="BD439" s="48"/>
      <c r="BE439" s="48"/>
      <c r="BF439" s="48"/>
      <c r="BG439" s="48"/>
      <c r="BH439" s="48"/>
      <c r="BI439" s="48"/>
      <c r="BJ439" s="48"/>
      <c r="BK439" s="48"/>
      <c r="BL439" s="48"/>
      <c r="BM439" s="48"/>
      <c r="BN439" s="48"/>
      <c r="BO439" s="48"/>
      <c r="BP439" s="48"/>
      <c r="BQ439" s="48"/>
      <c r="BR439" s="48"/>
      <c r="BS439" s="48"/>
      <c r="BT439" s="48"/>
      <c r="BU439" s="48"/>
    </row>
    <row r="440" ht="15.75" customHeight="1">
      <c r="A440" s="48"/>
      <c r="B440" s="48"/>
      <c r="C440" s="48"/>
      <c r="D440" s="48"/>
      <c r="E440" s="27"/>
      <c r="F440" s="48"/>
      <c r="G440" s="48"/>
      <c r="H440" s="56"/>
      <c r="I440" s="56"/>
      <c r="J440" s="56"/>
      <c r="K440" s="56"/>
      <c r="L440" s="56"/>
      <c r="M440" s="56"/>
      <c r="N440" s="56"/>
      <c r="O440" s="56"/>
      <c r="P440" s="56"/>
      <c r="Q440" s="56"/>
      <c r="R440" s="56"/>
      <c r="S440" s="56"/>
      <c r="T440" s="56"/>
      <c r="U440" s="56"/>
      <c r="V440" s="56"/>
      <c r="W440" s="27"/>
      <c r="X440" s="56"/>
      <c r="Y440" s="27"/>
      <c r="Z440" s="56"/>
      <c r="AA440" s="27"/>
      <c r="AB440" s="56"/>
      <c r="AC440" s="27"/>
      <c r="AD440" s="56"/>
      <c r="AE440" s="27"/>
      <c r="AF440" s="56"/>
      <c r="AG440" s="27"/>
      <c r="AH440" s="286"/>
      <c r="AI440" s="27"/>
      <c r="AJ440" s="56"/>
      <c r="AK440" s="27"/>
      <c r="AL440" s="56"/>
      <c r="AM440" s="27"/>
      <c r="AN440" s="56"/>
      <c r="AO440" s="27"/>
      <c r="AP440" s="56"/>
      <c r="AQ440" s="27"/>
      <c r="AR440" s="56"/>
      <c r="AS440" s="27"/>
      <c r="AT440" s="56"/>
      <c r="AU440" s="27"/>
      <c r="AV440" s="56"/>
      <c r="AW440" s="27"/>
      <c r="AX440" s="56"/>
      <c r="AY440" s="27"/>
      <c r="AZ440" s="56"/>
      <c r="BA440" s="27"/>
      <c r="BB440" s="48"/>
      <c r="BC440" s="48"/>
      <c r="BD440" s="48"/>
      <c r="BE440" s="48"/>
      <c r="BF440" s="48"/>
      <c r="BG440" s="48"/>
      <c r="BH440" s="48"/>
      <c r="BI440" s="48"/>
      <c r="BJ440" s="48"/>
      <c r="BK440" s="48"/>
      <c r="BL440" s="48"/>
      <c r="BM440" s="48"/>
      <c r="BN440" s="48"/>
      <c r="BO440" s="48"/>
      <c r="BP440" s="48"/>
      <c r="BQ440" s="48"/>
      <c r="BR440" s="48"/>
      <c r="BS440" s="48"/>
      <c r="BT440" s="48"/>
      <c r="BU440" s="48"/>
    </row>
    <row r="441" ht="15.75" customHeight="1">
      <c r="A441" s="48"/>
      <c r="B441" s="48"/>
      <c r="C441" s="48"/>
      <c r="D441" s="48"/>
      <c r="E441" s="27"/>
      <c r="F441" s="48"/>
      <c r="G441" s="48"/>
      <c r="H441" s="56"/>
      <c r="I441" s="56"/>
      <c r="J441" s="56"/>
      <c r="K441" s="56"/>
      <c r="L441" s="56"/>
      <c r="M441" s="56"/>
      <c r="N441" s="56"/>
      <c r="O441" s="56"/>
      <c r="P441" s="56"/>
      <c r="Q441" s="56"/>
      <c r="R441" s="56"/>
      <c r="S441" s="56"/>
      <c r="T441" s="56"/>
      <c r="U441" s="56"/>
      <c r="V441" s="56"/>
      <c r="W441" s="27"/>
      <c r="X441" s="56"/>
      <c r="Y441" s="27"/>
      <c r="Z441" s="56"/>
      <c r="AA441" s="27"/>
      <c r="AB441" s="56"/>
      <c r="AC441" s="27"/>
      <c r="AD441" s="56"/>
      <c r="AE441" s="27"/>
      <c r="AF441" s="56"/>
      <c r="AG441" s="27"/>
      <c r="AH441" s="286"/>
      <c r="AI441" s="27"/>
      <c r="AJ441" s="56"/>
      <c r="AK441" s="27"/>
      <c r="AL441" s="56"/>
      <c r="AM441" s="27"/>
      <c r="AN441" s="56"/>
      <c r="AO441" s="27"/>
      <c r="AP441" s="56"/>
      <c r="AQ441" s="27"/>
      <c r="AR441" s="56"/>
      <c r="AS441" s="27"/>
      <c r="AT441" s="56"/>
      <c r="AU441" s="27"/>
      <c r="AV441" s="56"/>
      <c r="AW441" s="27"/>
      <c r="AX441" s="56"/>
      <c r="AY441" s="27"/>
      <c r="AZ441" s="56"/>
      <c r="BA441" s="27"/>
      <c r="BB441" s="48"/>
      <c r="BC441" s="48"/>
      <c r="BD441" s="48"/>
      <c r="BE441" s="48"/>
      <c r="BF441" s="48"/>
      <c r="BG441" s="48"/>
      <c r="BH441" s="48"/>
      <c r="BI441" s="48"/>
      <c r="BJ441" s="48"/>
      <c r="BK441" s="48"/>
      <c r="BL441" s="48"/>
      <c r="BM441" s="48"/>
      <c r="BN441" s="48"/>
      <c r="BO441" s="48"/>
      <c r="BP441" s="48"/>
      <c r="BQ441" s="48"/>
      <c r="BR441" s="48"/>
      <c r="BS441" s="48"/>
      <c r="BT441" s="48"/>
      <c r="BU441" s="48"/>
    </row>
    <row r="442" ht="15.75" customHeight="1">
      <c r="A442" s="48"/>
      <c r="B442" s="48"/>
      <c r="C442" s="48"/>
      <c r="D442" s="48"/>
      <c r="E442" s="27"/>
      <c r="F442" s="48"/>
      <c r="G442" s="48"/>
      <c r="H442" s="56"/>
      <c r="I442" s="56"/>
      <c r="J442" s="56"/>
      <c r="K442" s="56"/>
      <c r="L442" s="56"/>
      <c r="M442" s="56"/>
      <c r="N442" s="56"/>
      <c r="O442" s="56"/>
      <c r="P442" s="56"/>
      <c r="Q442" s="56"/>
      <c r="R442" s="56"/>
      <c r="S442" s="56"/>
      <c r="T442" s="56"/>
      <c r="U442" s="56"/>
      <c r="V442" s="56"/>
      <c r="W442" s="27"/>
      <c r="X442" s="56"/>
      <c r="Y442" s="27"/>
      <c r="Z442" s="56"/>
      <c r="AA442" s="27"/>
      <c r="AB442" s="56"/>
      <c r="AC442" s="27"/>
      <c r="AD442" s="56"/>
      <c r="AE442" s="27"/>
      <c r="AF442" s="56"/>
      <c r="AG442" s="27"/>
      <c r="AH442" s="286"/>
      <c r="AI442" s="27"/>
      <c r="AJ442" s="56"/>
      <c r="AK442" s="27"/>
      <c r="AL442" s="56"/>
      <c r="AM442" s="27"/>
      <c r="AN442" s="56"/>
      <c r="AO442" s="27"/>
      <c r="AP442" s="56"/>
      <c r="AQ442" s="27"/>
      <c r="AR442" s="56"/>
      <c r="AS442" s="27"/>
      <c r="AT442" s="56"/>
      <c r="AU442" s="27"/>
      <c r="AV442" s="56"/>
      <c r="AW442" s="27"/>
      <c r="AX442" s="56"/>
      <c r="AY442" s="27"/>
      <c r="AZ442" s="56"/>
      <c r="BA442" s="27"/>
      <c r="BB442" s="48"/>
      <c r="BC442" s="48"/>
      <c r="BD442" s="48"/>
      <c r="BE442" s="48"/>
      <c r="BF442" s="48"/>
      <c r="BG442" s="48"/>
      <c r="BH442" s="48"/>
      <c r="BI442" s="48"/>
      <c r="BJ442" s="48"/>
      <c r="BK442" s="48"/>
      <c r="BL442" s="48"/>
      <c r="BM442" s="48"/>
      <c r="BN442" s="48"/>
      <c r="BO442" s="48"/>
      <c r="BP442" s="48"/>
      <c r="BQ442" s="48"/>
      <c r="BR442" s="48"/>
      <c r="BS442" s="48"/>
      <c r="BT442" s="48"/>
      <c r="BU442" s="48"/>
    </row>
    <row r="443" ht="15.75" customHeight="1">
      <c r="A443" s="48"/>
      <c r="B443" s="48"/>
      <c r="C443" s="48"/>
      <c r="D443" s="48"/>
      <c r="E443" s="27"/>
      <c r="F443" s="48"/>
      <c r="G443" s="48"/>
      <c r="H443" s="56"/>
      <c r="I443" s="56"/>
      <c r="J443" s="56"/>
      <c r="K443" s="56"/>
      <c r="L443" s="56"/>
      <c r="M443" s="56"/>
      <c r="N443" s="56"/>
      <c r="O443" s="56"/>
      <c r="P443" s="56"/>
      <c r="Q443" s="56"/>
      <c r="R443" s="56"/>
      <c r="S443" s="56"/>
      <c r="T443" s="56"/>
      <c r="U443" s="56"/>
      <c r="V443" s="56"/>
      <c r="W443" s="27"/>
      <c r="X443" s="56"/>
      <c r="Y443" s="27"/>
      <c r="Z443" s="56"/>
      <c r="AA443" s="27"/>
      <c r="AB443" s="56"/>
      <c r="AC443" s="27"/>
      <c r="AD443" s="56"/>
      <c r="AE443" s="27"/>
      <c r="AF443" s="56"/>
      <c r="AG443" s="27"/>
      <c r="AH443" s="286"/>
      <c r="AI443" s="27"/>
      <c r="AJ443" s="56"/>
      <c r="AK443" s="27"/>
      <c r="AL443" s="56"/>
      <c r="AM443" s="27"/>
      <c r="AN443" s="56"/>
      <c r="AO443" s="27"/>
      <c r="AP443" s="56"/>
      <c r="AQ443" s="27"/>
      <c r="AR443" s="56"/>
      <c r="AS443" s="27"/>
      <c r="AT443" s="56"/>
      <c r="AU443" s="27"/>
      <c r="AV443" s="56"/>
      <c r="AW443" s="27"/>
      <c r="AX443" s="56"/>
      <c r="AY443" s="27"/>
      <c r="AZ443" s="56"/>
      <c r="BA443" s="27"/>
      <c r="BB443" s="48"/>
      <c r="BC443" s="48"/>
      <c r="BD443" s="48"/>
      <c r="BE443" s="48"/>
      <c r="BF443" s="48"/>
      <c r="BG443" s="48"/>
      <c r="BH443" s="48"/>
      <c r="BI443" s="48"/>
      <c r="BJ443" s="48"/>
      <c r="BK443" s="48"/>
      <c r="BL443" s="48"/>
      <c r="BM443" s="48"/>
      <c r="BN443" s="48"/>
      <c r="BO443" s="48"/>
      <c r="BP443" s="48"/>
      <c r="BQ443" s="48"/>
      <c r="BR443" s="48"/>
      <c r="BS443" s="48"/>
      <c r="BT443" s="48"/>
      <c r="BU443" s="48"/>
    </row>
    <row r="444" ht="15.75" customHeight="1">
      <c r="A444" s="48"/>
      <c r="B444" s="48"/>
      <c r="C444" s="48"/>
      <c r="D444" s="48"/>
      <c r="E444" s="27"/>
      <c r="F444" s="48"/>
      <c r="G444" s="48"/>
      <c r="H444" s="56"/>
      <c r="I444" s="56"/>
      <c r="J444" s="56"/>
      <c r="K444" s="56"/>
      <c r="L444" s="56"/>
      <c r="M444" s="56"/>
      <c r="N444" s="56"/>
      <c r="O444" s="56"/>
      <c r="P444" s="56"/>
      <c r="Q444" s="56"/>
      <c r="R444" s="56"/>
      <c r="S444" s="56"/>
      <c r="T444" s="56"/>
      <c r="U444" s="56"/>
      <c r="V444" s="56"/>
      <c r="W444" s="27"/>
      <c r="X444" s="56"/>
      <c r="Y444" s="27"/>
      <c r="Z444" s="56"/>
      <c r="AA444" s="27"/>
      <c r="AB444" s="56"/>
      <c r="AC444" s="27"/>
      <c r="AD444" s="56"/>
      <c r="AE444" s="27"/>
      <c r="AF444" s="56"/>
      <c r="AG444" s="27"/>
      <c r="AH444" s="286"/>
      <c r="AI444" s="27"/>
      <c r="AJ444" s="56"/>
      <c r="AK444" s="27"/>
      <c r="AL444" s="56"/>
      <c r="AM444" s="27"/>
      <c r="AN444" s="56"/>
      <c r="AO444" s="27"/>
      <c r="AP444" s="56"/>
      <c r="AQ444" s="27"/>
      <c r="AR444" s="56"/>
      <c r="AS444" s="27"/>
      <c r="AT444" s="56"/>
      <c r="AU444" s="27"/>
      <c r="AV444" s="56"/>
      <c r="AW444" s="27"/>
      <c r="AX444" s="56"/>
      <c r="AY444" s="27"/>
      <c r="AZ444" s="56"/>
      <c r="BA444" s="27"/>
      <c r="BB444" s="48"/>
      <c r="BC444" s="48"/>
      <c r="BD444" s="48"/>
      <c r="BE444" s="48"/>
      <c r="BF444" s="48"/>
      <c r="BG444" s="48"/>
      <c r="BH444" s="48"/>
      <c r="BI444" s="48"/>
      <c r="BJ444" s="48"/>
      <c r="BK444" s="48"/>
      <c r="BL444" s="48"/>
      <c r="BM444" s="48"/>
      <c r="BN444" s="48"/>
      <c r="BO444" s="48"/>
      <c r="BP444" s="48"/>
      <c r="BQ444" s="48"/>
      <c r="BR444" s="48"/>
      <c r="BS444" s="48"/>
      <c r="BT444" s="48"/>
      <c r="BU444" s="48"/>
    </row>
    <row r="445" ht="15.75" customHeight="1">
      <c r="A445" s="48"/>
      <c r="B445" s="48"/>
      <c r="C445" s="48"/>
      <c r="D445" s="48"/>
      <c r="E445" s="27"/>
      <c r="F445" s="48"/>
      <c r="G445" s="48"/>
      <c r="H445" s="56"/>
      <c r="I445" s="56"/>
      <c r="J445" s="56"/>
      <c r="K445" s="56"/>
      <c r="L445" s="56"/>
      <c r="M445" s="56"/>
      <c r="N445" s="56"/>
      <c r="O445" s="56"/>
      <c r="P445" s="56"/>
      <c r="Q445" s="56"/>
      <c r="R445" s="56"/>
      <c r="S445" s="56"/>
      <c r="T445" s="56"/>
      <c r="U445" s="56"/>
      <c r="V445" s="56"/>
      <c r="W445" s="27"/>
      <c r="X445" s="56"/>
      <c r="Y445" s="27"/>
      <c r="Z445" s="56"/>
      <c r="AA445" s="27"/>
      <c r="AB445" s="56"/>
      <c r="AC445" s="27"/>
      <c r="AD445" s="56"/>
      <c r="AE445" s="27"/>
      <c r="AF445" s="56"/>
      <c r="AG445" s="27"/>
      <c r="AH445" s="286"/>
      <c r="AI445" s="27"/>
      <c r="AJ445" s="56"/>
      <c r="AK445" s="27"/>
      <c r="AL445" s="56"/>
      <c r="AM445" s="27"/>
      <c r="AN445" s="56"/>
      <c r="AO445" s="27"/>
      <c r="AP445" s="56"/>
      <c r="AQ445" s="27"/>
      <c r="AR445" s="56"/>
      <c r="AS445" s="27"/>
      <c r="AT445" s="56"/>
      <c r="AU445" s="27"/>
      <c r="AV445" s="56"/>
      <c r="AW445" s="27"/>
      <c r="AX445" s="56"/>
      <c r="AY445" s="27"/>
      <c r="AZ445" s="56"/>
      <c r="BA445" s="27"/>
      <c r="BB445" s="48"/>
      <c r="BC445" s="48"/>
      <c r="BD445" s="48"/>
      <c r="BE445" s="48"/>
      <c r="BF445" s="48"/>
      <c r="BG445" s="48"/>
      <c r="BH445" s="48"/>
      <c r="BI445" s="48"/>
      <c r="BJ445" s="48"/>
      <c r="BK445" s="48"/>
      <c r="BL445" s="48"/>
      <c r="BM445" s="48"/>
      <c r="BN445" s="48"/>
      <c r="BO445" s="48"/>
      <c r="BP445" s="48"/>
      <c r="BQ445" s="48"/>
      <c r="BR445" s="48"/>
      <c r="BS445" s="48"/>
      <c r="BT445" s="48"/>
      <c r="BU445" s="48"/>
    </row>
    <row r="446" ht="15.75" customHeight="1">
      <c r="A446" s="48"/>
      <c r="B446" s="48"/>
      <c r="C446" s="48"/>
      <c r="D446" s="48"/>
      <c r="E446" s="27"/>
      <c r="F446" s="48"/>
      <c r="G446" s="48"/>
      <c r="H446" s="56"/>
      <c r="I446" s="56"/>
      <c r="J446" s="56"/>
      <c r="K446" s="56"/>
      <c r="L446" s="56"/>
      <c r="M446" s="56"/>
      <c r="N446" s="56"/>
      <c r="O446" s="56"/>
      <c r="P446" s="56"/>
      <c r="Q446" s="56"/>
      <c r="R446" s="56"/>
      <c r="S446" s="56"/>
      <c r="T446" s="56"/>
      <c r="U446" s="56"/>
      <c r="V446" s="56"/>
      <c r="W446" s="27"/>
      <c r="X446" s="56"/>
      <c r="Y446" s="27"/>
      <c r="Z446" s="56"/>
      <c r="AA446" s="27"/>
      <c r="AB446" s="56"/>
      <c r="AC446" s="27"/>
      <c r="AD446" s="56"/>
      <c r="AE446" s="27"/>
      <c r="AF446" s="56"/>
      <c r="AG446" s="27"/>
      <c r="AH446" s="286"/>
      <c r="AI446" s="27"/>
      <c r="AJ446" s="56"/>
      <c r="AK446" s="27"/>
      <c r="AL446" s="56"/>
      <c r="AM446" s="27"/>
      <c r="AN446" s="56"/>
      <c r="AO446" s="27"/>
      <c r="AP446" s="56"/>
      <c r="AQ446" s="27"/>
      <c r="AR446" s="56"/>
      <c r="AS446" s="27"/>
      <c r="AT446" s="56"/>
      <c r="AU446" s="27"/>
      <c r="AV446" s="56"/>
      <c r="AW446" s="27"/>
      <c r="AX446" s="56"/>
      <c r="AY446" s="27"/>
      <c r="AZ446" s="56"/>
      <c r="BA446" s="27"/>
      <c r="BB446" s="48"/>
      <c r="BC446" s="48"/>
      <c r="BD446" s="48"/>
      <c r="BE446" s="48"/>
      <c r="BF446" s="48"/>
      <c r="BG446" s="48"/>
      <c r="BH446" s="48"/>
      <c r="BI446" s="48"/>
      <c r="BJ446" s="48"/>
      <c r="BK446" s="48"/>
      <c r="BL446" s="48"/>
      <c r="BM446" s="48"/>
      <c r="BN446" s="48"/>
      <c r="BO446" s="48"/>
      <c r="BP446" s="48"/>
      <c r="BQ446" s="48"/>
      <c r="BR446" s="48"/>
      <c r="BS446" s="48"/>
      <c r="BT446" s="48"/>
      <c r="BU446" s="48"/>
    </row>
    <row r="447" ht="15.75" customHeight="1">
      <c r="A447" s="48"/>
      <c r="B447" s="48"/>
      <c r="C447" s="48"/>
      <c r="D447" s="48"/>
      <c r="E447" s="27"/>
      <c r="F447" s="48"/>
      <c r="G447" s="48"/>
      <c r="H447" s="56"/>
      <c r="I447" s="56"/>
      <c r="J447" s="56"/>
      <c r="K447" s="56"/>
      <c r="L447" s="56"/>
      <c r="M447" s="56"/>
      <c r="N447" s="56"/>
      <c r="O447" s="56"/>
      <c r="P447" s="56"/>
      <c r="Q447" s="56"/>
      <c r="R447" s="56"/>
      <c r="S447" s="56"/>
      <c r="T447" s="56"/>
      <c r="U447" s="56"/>
      <c r="V447" s="56"/>
      <c r="W447" s="27"/>
      <c r="X447" s="56"/>
      <c r="Y447" s="27"/>
      <c r="Z447" s="56"/>
      <c r="AA447" s="27"/>
      <c r="AB447" s="56"/>
      <c r="AC447" s="27"/>
      <c r="AD447" s="56"/>
      <c r="AE447" s="27"/>
      <c r="AF447" s="56"/>
      <c r="AG447" s="27"/>
      <c r="AH447" s="286"/>
      <c r="AI447" s="27"/>
      <c r="AJ447" s="56"/>
      <c r="AK447" s="27"/>
      <c r="AL447" s="56"/>
      <c r="AM447" s="27"/>
      <c r="AN447" s="56"/>
      <c r="AO447" s="27"/>
      <c r="AP447" s="56"/>
      <c r="AQ447" s="27"/>
      <c r="AR447" s="56"/>
      <c r="AS447" s="27"/>
      <c r="AT447" s="56"/>
      <c r="AU447" s="27"/>
      <c r="AV447" s="56"/>
      <c r="AW447" s="27"/>
      <c r="AX447" s="56"/>
      <c r="AY447" s="27"/>
      <c r="AZ447" s="56"/>
      <c r="BA447" s="27"/>
      <c r="BB447" s="48"/>
      <c r="BC447" s="48"/>
      <c r="BD447" s="48"/>
      <c r="BE447" s="48"/>
      <c r="BF447" s="48"/>
      <c r="BG447" s="48"/>
      <c r="BH447" s="48"/>
      <c r="BI447" s="48"/>
      <c r="BJ447" s="48"/>
      <c r="BK447" s="48"/>
      <c r="BL447" s="48"/>
      <c r="BM447" s="48"/>
      <c r="BN447" s="48"/>
      <c r="BO447" s="48"/>
      <c r="BP447" s="48"/>
      <c r="BQ447" s="48"/>
      <c r="BR447" s="48"/>
      <c r="BS447" s="48"/>
      <c r="BT447" s="48"/>
      <c r="BU447" s="48"/>
    </row>
    <row r="448" ht="15.75" customHeight="1">
      <c r="A448" s="48"/>
      <c r="B448" s="48"/>
      <c r="C448" s="48"/>
      <c r="D448" s="48"/>
      <c r="E448" s="27"/>
      <c r="F448" s="48"/>
      <c r="G448" s="48"/>
      <c r="H448" s="56"/>
      <c r="I448" s="56"/>
      <c r="J448" s="56"/>
      <c r="K448" s="56"/>
      <c r="L448" s="56"/>
      <c r="M448" s="56"/>
      <c r="N448" s="56"/>
      <c r="O448" s="56"/>
      <c r="P448" s="56"/>
      <c r="Q448" s="56"/>
      <c r="R448" s="56"/>
      <c r="S448" s="56"/>
      <c r="T448" s="56"/>
      <c r="U448" s="56"/>
      <c r="V448" s="56"/>
      <c r="W448" s="27"/>
      <c r="X448" s="56"/>
      <c r="Y448" s="27"/>
      <c r="Z448" s="56"/>
      <c r="AA448" s="27"/>
      <c r="AB448" s="56"/>
      <c r="AC448" s="27"/>
      <c r="AD448" s="56"/>
      <c r="AE448" s="27"/>
      <c r="AF448" s="56"/>
      <c r="AG448" s="27"/>
      <c r="AH448" s="286"/>
      <c r="AI448" s="27"/>
      <c r="AJ448" s="56"/>
      <c r="AK448" s="27"/>
      <c r="AL448" s="56"/>
      <c r="AM448" s="27"/>
      <c r="AN448" s="56"/>
      <c r="AO448" s="27"/>
      <c r="AP448" s="56"/>
      <c r="AQ448" s="27"/>
      <c r="AR448" s="56"/>
      <c r="AS448" s="27"/>
      <c r="AT448" s="56"/>
      <c r="AU448" s="27"/>
      <c r="AV448" s="56"/>
      <c r="AW448" s="27"/>
      <c r="AX448" s="56"/>
      <c r="AY448" s="27"/>
      <c r="AZ448" s="56"/>
      <c r="BA448" s="27"/>
      <c r="BB448" s="48"/>
      <c r="BC448" s="48"/>
      <c r="BD448" s="48"/>
      <c r="BE448" s="48"/>
      <c r="BF448" s="48"/>
      <c r="BG448" s="48"/>
      <c r="BH448" s="48"/>
      <c r="BI448" s="48"/>
      <c r="BJ448" s="48"/>
      <c r="BK448" s="48"/>
      <c r="BL448" s="48"/>
      <c r="BM448" s="48"/>
      <c r="BN448" s="48"/>
      <c r="BO448" s="48"/>
      <c r="BP448" s="48"/>
      <c r="BQ448" s="48"/>
      <c r="BR448" s="48"/>
      <c r="BS448" s="48"/>
      <c r="BT448" s="48"/>
      <c r="BU448" s="48"/>
    </row>
    <row r="449" ht="15.75" customHeight="1">
      <c r="A449" s="48"/>
      <c r="B449" s="48"/>
      <c r="C449" s="48"/>
      <c r="D449" s="48"/>
      <c r="E449" s="27"/>
      <c r="F449" s="48"/>
      <c r="G449" s="48"/>
      <c r="H449" s="56"/>
      <c r="I449" s="56"/>
      <c r="J449" s="56"/>
      <c r="K449" s="56"/>
      <c r="L449" s="56"/>
      <c r="M449" s="56"/>
      <c r="N449" s="56"/>
      <c r="O449" s="56"/>
      <c r="P449" s="56"/>
      <c r="Q449" s="56"/>
      <c r="R449" s="56"/>
      <c r="S449" s="56"/>
      <c r="T449" s="56"/>
      <c r="U449" s="56"/>
      <c r="V449" s="56"/>
      <c r="W449" s="27"/>
      <c r="X449" s="56"/>
      <c r="Y449" s="27"/>
      <c r="Z449" s="56"/>
      <c r="AA449" s="27"/>
      <c r="AB449" s="56"/>
      <c r="AC449" s="27"/>
      <c r="AD449" s="56"/>
      <c r="AE449" s="27"/>
      <c r="AF449" s="56"/>
      <c r="AG449" s="27"/>
      <c r="AH449" s="286"/>
      <c r="AI449" s="27"/>
      <c r="AJ449" s="56"/>
      <c r="AK449" s="27"/>
      <c r="AL449" s="56"/>
      <c r="AM449" s="27"/>
      <c r="AN449" s="56"/>
      <c r="AO449" s="27"/>
      <c r="AP449" s="56"/>
      <c r="AQ449" s="27"/>
      <c r="AR449" s="56"/>
      <c r="AS449" s="27"/>
      <c r="AT449" s="56"/>
      <c r="AU449" s="27"/>
      <c r="AV449" s="56"/>
      <c r="AW449" s="27"/>
      <c r="AX449" s="56"/>
      <c r="AY449" s="27"/>
      <c r="AZ449" s="56"/>
      <c r="BA449" s="27"/>
      <c r="BB449" s="48"/>
      <c r="BC449" s="48"/>
      <c r="BD449" s="48"/>
      <c r="BE449" s="48"/>
      <c r="BF449" s="48"/>
      <c r="BG449" s="48"/>
      <c r="BH449" s="48"/>
      <c r="BI449" s="48"/>
      <c r="BJ449" s="48"/>
      <c r="BK449" s="48"/>
      <c r="BL449" s="48"/>
      <c r="BM449" s="48"/>
      <c r="BN449" s="48"/>
      <c r="BO449" s="48"/>
      <c r="BP449" s="48"/>
      <c r="BQ449" s="48"/>
      <c r="BR449" s="48"/>
      <c r="BS449" s="48"/>
      <c r="BT449" s="48"/>
      <c r="BU449" s="48"/>
    </row>
    <row r="450" ht="15.75" customHeight="1">
      <c r="A450" s="48"/>
      <c r="B450" s="48"/>
      <c r="C450" s="48"/>
      <c r="D450" s="48"/>
      <c r="E450" s="27"/>
      <c r="F450" s="48"/>
      <c r="G450" s="48"/>
      <c r="H450" s="56"/>
      <c r="I450" s="56"/>
      <c r="J450" s="56"/>
      <c r="K450" s="56"/>
      <c r="L450" s="56"/>
      <c r="M450" s="56"/>
      <c r="N450" s="56"/>
      <c r="O450" s="56"/>
      <c r="P450" s="56"/>
      <c r="Q450" s="56"/>
      <c r="R450" s="56"/>
      <c r="S450" s="56"/>
      <c r="T450" s="56"/>
      <c r="U450" s="56"/>
      <c r="V450" s="56"/>
      <c r="W450" s="27"/>
      <c r="X450" s="56"/>
      <c r="Y450" s="27"/>
      <c r="Z450" s="56"/>
      <c r="AA450" s="27"/>
      <c r="AB450" s="56"/>
      <c r="AC450" s="27"/>
      <c r="AD450" s="56"/>
      <c r="AE450" s="27"/>
      <c r="AF450" s="56"/>
      <c r="AG450" s="27"/>
      <c r="AH450" s="286"/>
      <c r="AI450" s="27"/>
      <c r="AJ450" s="56"/>
      <c r="AK450" s="27"/>
      <c r="AL450" s="56"/>
      <c r="AM450" s="27"/>
      <c r="AN450" s="56"/>
      <c r="AO450" s="27"/>
      <c r="AP450" s="56"/>
      <c r="AQ450" s="27"/>
      <c r="AR450" s="56"/>
      <c r="AS450" s="27"/>
      <c r="AT450" s="56"/>
      <c r="AU450" s="27"/>
      <c r="AV450" s="56"/>
      <c r="AW450" s="27"/>
      <c r="AX450" s="56"/>
      <c r="AY450" s="27"/>
      <c r="AZ450" s="56"/>
      <c r="BA450" s="27"/>
      <c r="BB450" s="48"/>
      <c r="BC450" s="48"/>
      <c r="BD450" s="48"/>
      <c r="BE450" s="48"/>
      <c r="BF450" s="48"/>
      <c r="BG450" s="48"/>
      <c r="BH450" s="48"/>
      <c r="BI450" s="48"/>
      <c r="BJ450" s="48"/>
      <c r="BK450" s="48"/>
      <c r="BL450" s="48"/>
      <c r="BM450" s="48"/>
      <c r="BN450" s="48"/>
      <c r="BO450" s="48"/>
      <c r="BP450" s="48"/>
      <c r="BQ450" s="48"/>
      <c r="BR450" s="48"/>
      <c r="BS450" s="48"/>
      <c r="BT450" s="48"/>
      <c r="BU450" s="48"/>
    </row>
    <row r="451" ht="15.75" customHeight="1">
      <c r="A451" s="48"/>
      <c r="B451" s="48"/>
      <c r="C451" s="48"/>
      <c r="D451" s="48"/>
      <c r="E451" s="27"/>
      <c r="F451" s="48"/>
      <c r="G451" s="48"/>
      <c r="H451" s="56"/>
      <c r="I451" s="56"/>
      <c r="J451" s="56"/>
      <c r="K451" s="56"/>
      <c r="L451" s="56"/>
      <c r="M451" s="56"/>
      <c r="N451" s="56"/>
      <c r="O451" s="56"/>
      <c r="P451" s="56"/>
      <c r="Q451" s="56"/>
      <c r="R451" s="56"/>
      <c r="S451" s="56"/>
      <c r="T451" s="56"/>
      <c r="U451" s="56"/>
      <c r="V451" s="56"/>
      <c r="W451" s="27"/>
      <c r="X451" s="56"/>
      <c r="Y451" s="27"/>
      <c r="Z451" s="56"/>
      <c r="AA451" s="27"/>
      <c r="AB451" s="56"/>
      <c r="AC451" s="27"/>
      <c r="AD451" s="56"/>
      <c r="AE451" s="27"/>
      <c r="AF451" s="56"/>
      <c r="AG451" s="27"/>
      <c r="AH451" s="286"/>
      <c r="AI451" s="27"/>
      <c r="AJ451" s="56"/>
      <c r="AK451" s="27"/>
      <c r="AL451" s="56"/>
      <c r="AM451" s="27"/>
      <c r="AN451" s="56"/>
      <c r="AO451" s="27"/>
      <c r="AP451" s="56"/>
      <c r="AQ451" s="27"/>
      <c r="AR451" s="56"/>
      <c r="AS451" s="27"/>
      <c r="AT451" s="56"/>
      <c r="AU451" s="27"/>
      <c r="AV451" s="56"/>
      <c r="AW451" s="27"/>
      <c r="AX451" s="56"/>
      <c r="AY451" s="27"/>
      <c r="AZ451" s="56"/>
      <c r="BA451" s="27"/>
      <c r="BB451" s="48"/>
      <c r="BC451" s="48"/>
      <c r="BD451" s="48"/>
      <c r="BE451" s="48"/>
      <c r="BF451" s="48"/>
      <c r="BG451" s="48"/>
      <c r="BH451" s="48"/>
      <c r="BI451" s="48"/>
      <c r="BJ451" s="48"/>
      <c r="BK451" s="48"/>
      <c r="BL451" s="48"/>
      <c r="BM451" s="48"/>
      <c r="BN451" s="48"/>
      <c r="BO451" s="48"/>
      <c r="BP451" s="48"/>
      <c r="BQ451" s="48"/>
      <c r="BR451" s="48"/>
      <c r="BS451" s="48"/>
      <c r="BT451" s="48"/>
      <c r="BU451" s="48"/>
    </row>
    <row r="452" ht="15.75" customHeight="1">
      <c r="A452" s="48"/>
      <c r="B452" s="48"/>
      <c r="C452" s="48"/>
      <c r="D452" s="48"/>
      <c r="E452" s="27"/>
      <c r="F452" s="48"/>
      <c r="G452" s="48"/>
      <c r="H452" s="56"/>
      <c r="I452" s="56"/>
      <c r="J452" s="56"/>
      <c r="K452" s="56"/>
      <c r="L452" s="56"/>
      <c r="M452" s="56"/>
      <c r="N452" s="56"/>
      <c r="O452" s="56"/>
      <c r="P452" s="56"/>
      <c r="Q452" s="56"/>
      <c r="R452" s="56"/>
      <c r="S452" s="56"/>
      <c r="T452" s="56"/>
      <c r="U452" s="56"/>
      <c r="V452" s="56"/>
      <c r="W452" s="27"/>
      <c r="X452" s="56"/>
      <c r="Y452" s="27"/>
      <c r="Z452" s="56"/>
      <c r="AA452" s="27"/>
      <c r="AB452" s="56"/>
      <c r="AC452" s="27"/>
      <c r="AD452" s="56"/>
      <c r="AE452" s="27"/>
      <c r="AF452" s="56"/>
      <c r="AG452" s="27"/>
      <c r="AH452" s="286"/>
      <c r="AI452" s="27"/>
      <c r="AJ452" s="56"/>
      <c r="AK452" s="27"/>
      <c r="AL452" s="56"/>
      <c r="AM452" s="27"/>
      <c r="AN452" s="56"/>
      <c r="AO452" s="27"/>
      <c r="AP452" s="56"/>
      <c r="AQ452" s="27"/>
      <c r="AR452" s="56"/>
      <c r="AS452" s="27"/>
      <c r="AT452" s="56"/>
      <c r="AU452" s="27"/>
      <c r="AV452" s="56"/>
      <c r="AW452" s="27"/>
      <c r="AX452" s="56"/>
      <c r="AY452" s="27"/>
      <c r="AZ452" s="56"/>
      <c r="BA452" s="27"/>
      <c r="BB452" s="48"/>
      <c r="BC452" s="48"/>
      <c r="BD452" s="48"/>
      <c r="BE452" s="48"/>
      <c r="BF452" s="48"/>
      <c r="BG452" s="48"/>
      <c r="BH452" s="48"/>
      <c r="BI452" s="48"/>
      <c r="BJ452" s="48"/>
      <c r="BK452" s="48"/>
      <c r="BL452" s="48"/>
      <c r="BM452" s="48"/>
      <c r="BN452" s="48"/>
      <c r="BO452" s="48"/>
      <c r="BP452" s="48"/>
      <c r="BQ452" s="48"/>
      <c r="BR452" s="48"/>
      <c r="BS452" s="48"/>
      <c r="BT452" s="48"/>
      <c r="BU452" s="48"/>
    </row>
    <row r="453" ht="15.75" customHeight="1">
      <c r="A453" s="48"/>
      <c r="B453" s="48"/>
      <c r="C453" s="48"/>
      <c r="D453" s="48"/>
      <c r="E453" s="27"/>
      <c r="F453" s="48"/>
      <c r="G453" s="48"/>
      <c r="H453" s="56"/>
      <c r="I453" s="56"/>
      <c r="J453" s="56"/>
      <c r="K453" s="56"/>
      <c r="L453" s="56"/>
      <c r="M453" s="56"/>
      <c r="N453" s="56"/>
      <c r="O453" s="56"/>
      <c r="P453" s="56"/>
      <c r="Q453" s="56"/>
      <c r="R453" s="56"/>
      <c r="S453" s="56"/>
      <c r="T453" s="56"/>
      <c r="U453" s="56"/>
      <c r="V453" s="56"/>
      <c r="W453" s="27"/>
      <c r="X453" s="56"/>
      <c r="Y453" s="27"/>
      <c r="Z453" s="56"/>
      <c r="AA453" s="27"/>
      <c r="AB453" s="56"/>
      <c r="AC453" s="27"/>
      <c r="AD453" s="56"/>
      <c r="AE453" s="27"/>
      <c r="AF453" s="56"/>
      <c r="AG453" s="27"/>
      <c r="AH453" s="286"/>
      <c r="AI453" s="27"/>
      <c r="AJ453" s="56"/>
      <c r="AK453" s="27"/>
      <c r="AL453" s="56"/>
      <c r="AM453" s="27"/>
      <c r="AN453" s="56"/>
      <c r="AO453" s="27"/>
      <c r="AP453" s="56"/>
      <c r="AQ453" s="27"/>
      <c r="AR453" s="56"/>
      <c r="AS453" s="27"/>
      <c r="AT453" s="56"/>
      <c r="AU453" s="27"/>
      <c r="AV453" s="56"/>
      <c r="AW453" s="27"/>
      <c r="AX453" s="56"/>
      <c r="AY453" s="27"/>
      <c r="AZ453" s="56"/>
      <c r="BA453" s="27"/>
      <c r="BB453" s="48"/>
      <c r="BC453" s="48"/>
      <c r="BD453" s="48"/>
      <c r="BE453" s="48"/>
      <c r="BF453" s="48"/>
      <c r="BG453" s="48"/>
      <c r="BH453" s="48"/>
      <c r="BI453" s="48"/>
      <c r="BJ453" s="48"/>
      <c r="BK453" s="48"/>
      <c r="BL453" s="48"/>
      <c r="BM453" s="48"/>
      <c r="BN453" s="48"/>
      <c r="BO453" s="48"/>
      <c r="BP453" s="48"/>
      <c r="BQ453" s="48"/>
      <c r="BR453" s="48"/>
      <c r="BS453" s="48"/>
      <c r="BT453" s="48"/>
      <c r="BU453" s="48"/>
    </row>
    <row r="454" ht="15.75" customHeight="1">
      <c r="A454" s="48"/>
      <c r="B454" s="48"/>
      <c r="C454" s="48"/>
      <c r="D454" s="48"/>
      <c r="E454" s="27"/>
      <c r="F454" s="48"/>
      <c r="G454" s="48"/>
      <c r="H454" s="56"/>
      <c r="I454" s="56"/>
      <c r="J454" s="56"/>
      <c r="K454" s="56"/>
      <c r="L454" s="56"/>
      <c r="M454" s="56"/>
      <c r="N454" s="56"/>
      <c r="O454" s="56"/>
      <c r="P454" s="56"/>
      <c r="Q454" s="56"/>
      <c r="R454" s="56"/>
      <c r="S454" s="56"/>
      <c r="T454" s="56"/>
      <c r="U454" s="56"/>
      <c r="V454" s="56"/>
      <c r="W454" s="27"/>
      <c r="X454" s="56"/>
      <c r="Y454" s="27"/>
      <c r="Z454" s="56"/>
      <c r="AA454" s="27"/>
      <c r="AB454" s="56"/>
      <c r="AC454" s="27"/>
      <c r="AD454" s="56"/>
      <c r="AE454" s="27"/>
      <c r="AF454" s="56"/>
      <c r="AG454" s="27"/>
      <c r="AH454" s="286"/>
      <c r="AI454" s="27"/>
      <c r="AJ454" s="56"/>
      <c r="AK454" s="27"/>
      <c r="AL454" s="56"/>
      <c r="AM454" s="27"/>
      <c r="AN454" s="56"/>
      <c r="AO454" s="27"/>
      <c r="AP454" s="56"/>
      <c r="AQ454" s="27"/>
      <c r="AR454" s="56"/>
      <c r="AS454" s="27"/>
      <c r="AT454" s="56"/>
      <c r="AU454" s="27"/>
      <c r="AV454" s="56"/>
      <c r="AW454" s="27"/>
      <c r="AX454" s="56"/>
      <c r="AY454" s="27"/>
      <c r="AZ454" s="56"/>
      <c r="BA454" s="27"/>
      <c r="BB454" s="48"/>
      <c r="BC454" s="48"/>
      <c r="BD454" s="48"/>
      <c r="BE454" s="48"/>
      <c r="BF454" s="48"/>
      <c r="BG454" s="48"/>
      <c r="BH454" s="48"/>
      <c r="BI454" s="48"/>
      <c r="BJ454" s="48"/>
      <c r="BK454" s="48"/>
      <c r="BL454" s="48"/>
      <c r="BM454" s="48"/>
      <c r="BN454" s="48"/>
      <c r="BO454" s="48"/>
      <c r="BP454" s="48"/>
      <c r="BQ454" s="48"/>
      <c r="BR454" s="48"/>
      <c r="BS454" s="48"/>
      <c r="BT454" s="48"/>
      <c r="BU454" s="48"/>
    </row>
    <row r="455" ht="15.75" customHeight="1">
      <c r="A455" s="48"/>
      <c r="B455" s="48"/>
      <c r="C455" s="48"/>
      <c r="D455" s="48"/>
      <c r="E455" s="27"/>
      <c r="F455" s="48"/>
      <c r="G455" s="48"/>
      <c r="H455" s="56"/>
      <c r="I455" s="56"/>
      <c r="J455" s="56"/>
      <c r="K455" s="56"/>
      <c r="L455" s="56"/>
      <c r="M455" s="56"/>
      <c r="N455" s="56"/>
      <c r="O455" s="56"/>
      <c r="P455" s="56"/>
      <c r="Q455" s="56"/>
      <c r="R455" s="56"/>
      <c r="S455" s="56"/>
      <c r="T455" s="56"/>
      <c r="U455" s="56"/>
      <c r="V455" s="56"/>
      <c r="W455" s="27"/>
      <c r="X455" s="56"/>
      <c r="Y455" s="27"/>
      <c r="Z455" s="56"/>
      <c r="AA455" s="27"/>
      <c r="AB455" s="56"/>
      <c r="AC455" s="27"/>
      <c r="AD455" s="56"/>
      <c r="AE455" s="27"/>
      <c r="AF455" s="56"/>
      <c r="AG455" s="27"/>
      <c r="AH455" s="286"/>
      <c r="AI455" s="27"/>
      <c r="AJ455" s="56"/>
      <c r="AK455" s="27"/>
      <c r="AL455" s="56"/>
      <c r="AM455" s="27"/>
      <c r="AN455" s="56"/>
      <c r="AO455" s="27"/>
      <c r="AP455" s="56"/>
      <c r="AQ455" s="27"/>
      <c r="AR455" s="56"/>
      <c r="AS455" s="27"/>
      <c r="AT455" s="56"/>
      <c r="AU455" s="27"/>
      <c r="AV455" s="56"/>
      <c r="AW455" s="27"/>
      <c r="AX455" s="56"/>
      <c r="AY455" s="27"/>
      <c r="AZ455" s="56"/>
      <c r="BA455" s="27"/>
      <c r="BB455" s="48"/>
      <c r="BC455" s="48"/>
      <c r="BD455" s="48"/>
      <c r="BE455" s="48"/>
      <c r="BF455" s="48"/>
      <c r="BG455" s="48"/>
      <c r="BH455" s="48"/>
      <c r="BI455" s="48"/>
      <c r="BJ455" s="48"/>
      <c r="BK455" s="48"/>
      <c r="BL455" s="48"/>
      <c r="BM455" s="48"/>
      <c r="BN455" s="48"/>
      <c r="BO455" s="48"/>
      <c r="BP455" s="48"/>
      <c r="BQ455" s="48"/>
      <c r="BR455" s="48"/>
      <c r="BS455" s="48"/>
      <c r="BT455" s="48"/>
      <c r="BU455" s="48"/>
    </row>
    <row r="456" ht="15.75" customHeight="1">
      <c r="A456" s="48"/>
      <c r="B456" s="48"/>
      <c r="C456" s="48"/>
      <c r="D456" s="48"/>
      <c r="E456" s="27"/>
      <c r="F456" s="48"/>
      <c r="G456" s="48"/>
      <c r="H456" s="56"/>
      <c r="I456" s="56"/>
      <c r="J456" s="56"/>
      <c r="K456" s="56"/>
      <c r="L456" s="56"/>
      <c r="M456" s="56"/>
      <c r="N456" s="56"/>
      <c r="O456" s="56"/>
      <c r="P456" s="56"/>
      <c r="Q456" s="56"/>
      <c r="R456" s="56"/>
      <c r="S456" s="56"/>
      <c r="T456" s="56"/>
      <c r="U456" s="56"/>
      <c r="V456" s="56"/>
      <c r="W456" s="27"/>
      <c r="X456" s="56"/>
      <c r="Y456" s="27"/>
      <c r="Z456" s="56"/>
      <c r="AA456" s="27"/>
      <c r="AB456" s="56"/>
      <c r="AC456" s="27"/>
      <c r="AD456" s="56"/>
      <c r="AE456" s="27"/>
      <c r="AF456" s="56"/>
      <c r="AG456" s="27"/>
      <c r="AH456" s="286"/>
      <c r="AI456" s="27"/>
      <c r="AJ456" s="56"/>
      <c r="AK456" s="27"/>
      <c r="AL456" s="56"/>
      <c r="AM456" s="27"/>
      <c r="AN456" s="56"/>
      <c r="AO456" s="27"/>
      <c r="AP456" s="56"/>
      <c r="AQ456" s="27"/>
      <c r="AR456" s="56"/>
      <c r="AS456" s="27"/>
      <c r="AT456" s="56"/>
      <c r="AU456" s="27"/>
      <c r="AV456" s="56"/>
      <c r="AW456" s="27"/>
      <c r="AX456" s="56"/>
      <c r="AY456" s="27"/>
      <c r="AZ456" s="56"/>
      <c r="BA456" s="27"/>
      <c r="BB456" s="48"/>
      <c r="BC456" s="48"/>
      <c r="BD456" s="48"/>
      <c r="BE456" s="48"/>
      <c r="BF456" s="48"/>
      <c r="BG456" s="48"/>
      <c r="BH456" s="48"/>
      <c r="BI456" s="48"/>
      <c r="BJ456" s="48"/>
      <c r="BK456" s="48"/>
      <c r="BL456" s="48"/>
      <c r="BM456" s="48"/>
      <c r="BN456" s="48"/>
      <c r="BO456" s="48"/>
      <c r="BP456" s="48"/>
      <c r="BQ456" s="48"/>
      <c r="BR456" s="48"/>
      <c r="BS456" s="48"/>
      <c r="BT456" s="48"/>
      <c r="BU456" s="48"/>
    </row>
    <row r="457" ht="15.75" customHeight="1">
      <c r="A457" s="48"/>
      <c r="B457" s="48"/>
      <c r="C457" s="48"/>
      <c r="D457" s="48"/>
      <c r="E457" s="27"/>
      <c r="F457" s="48"/>
      <c r="G457" s="48"/>
      <c r="H457" s="56"/>
      <c r="I457" s="56"/>
      <c r="J457" s="56"/>
      <c r="K457" s="56"/>
      <c r="L457" s="56"/>
      <c r="M457" s="56"/>
      <c r="N457" s="56"/>
      <c r="O457" s="56"/>
      <c r="P457" s="56"/>
      <c r="Q457" s="56"/>
      <c r="R457" s="56"/>
      <c r="S457" s="56"/>
      <c r="T457" s="56"/>
      <c r="U457" s="56"/>
      <c r="V457" s="56"/>
      <c r="W457" s="27"/>
      <c r="X457" s="56"/>
      <c r="Y457" s="27"/>
      <c r="Z457" s="56"/>
      <c r="AA457" s="27"/>
      <c r="AB457" s="56"/>
      <c r="AC457" s="27"/>
      <c r="AD457" s="56"/>
      <c r="AE457" s="27"/>
      <c r="AF457" s="56"/>
      <c r="AG457" s="27"/>
      <c r="AH457" s="286"/>
      <c r="AI457" s="27"/>
      <c r="AJ457" s="56"/>
      <c r="AK457" s="27"/>
      <c r="AL457" s="56"/>
      <c r="AM457" s="27"/>
      <c r="AN457" s="56"/>
      <c r="AO457" s="27"/>
      <c r="AP457" s="56"/>
      <c r="AQ457" s="27"/>
      <c r="AR457" s="56"/>
      <c r="AS457" s="27"/>
      <c r="AT457" s="56"/>
      <c r="AU457" s="27"/>
      <c r="AV457" s="56"/>
      <c r="AW457" s="27"/>
      <c r="AX457" s="56"/>
      <c r="AY457" s="27"/>
      <c r="AZ457" s="56"/>
      <c r="BA457" s="27"/>
      <c r="BB457" s="48"/>
      <c r="BC457" s="48"/>
      <c r="BD457" s="48"/>
      <c r="BE457" s="48"/>
      <c r="BF457" s="48"/>
      <c r="BG457" s="48"/>
      <c r="BH457" s="48"/>
      <c r="BI457" s="48"/>
      <c r="BJ457" s="48"/>
      <c r="BK457" s="48"/>
      <c r="BL457" s="48"/>
      <c r="BM457" s="48"/>
      <c r="BN457" s="48"/>
      <c r="BO457" s="48"/>
      <c r="BP457" s="48"/>
      <c r="BQ457" s="48"/>
      <c r="BR457" s="48"/>
      <c r="BS457" s="48"/>
      <c r="BT457" s="48"/>
      <c r="BU457" s="48"/>
    </row>
    <row r="458" ht="15.75" customHeight="1">
      <c r="A458" s="48"/>
      <c r="B458" s="48"/>
      <c r="C458" s="48"/>
      <c r="D458" s="48"/>
      <c r="E458" s="27"/>
      <c r="F458" s="48"/>
      <c r="G458" s="48"/>
      <c r="H458" s="56"/>
      <c r="I458" s="56"/>
      <c r="J458" s="56"/>
      <c r="K458" s="56"/>
      <c r="L458" s="56"/>
      <c r="M458" s="56"/>
      <c r="N458" s="56"/>
      <c r="O458" s="56"/>
      <c r="P458" s="56"/>
      <c r="Q458" s="56"/>
      <c r="R458" s="56"/>
      <c r="S458" s="56"/>
      <c r="T458" s="56"/>
      <c r="U458" s="56"/>
      <c r="V458" s="56"/>
      <c r="W458" s="27"/>
      <c r="X458" s="56"/>
      <c r="Y458" s="27"/>
      <c r="Z458" s="56"/>
      <c r="AA458" s="27"/>
      <c r="AB458" s="56"/>
      <c r="AC458" s="27"/>
      <c r="AD458" s="56"/>
      <c r="AE458" s="27"/>
      <c r="AF458" s="56"/>
      <c r="AG458" s="27"/>
      <c r="AH458" s="286"/>
      <c r="AI458" s="27"/>
      <c r="AJ458" s="56"/>
      <c r="AK458" s="27"/>
      <c r="AL458" s="56"/>
      <c r="AM458" s="27"/>
      <c r="AN458" s="56"/>
      <c r="AO458" s="27"/>
      <c r="AP458" s="56"/>
      <c r="AQ458" s="27"/>
      <c r="AR458" s="56"/>
      <c r="AS458" s="27"/>
      <c r="AT458" s="56"/>
      <c r="AU458" s="27"/>
      <c r="AV458" s="56"/>
      <c r="AW458" s="27"/>
      <c r="AX458" s="56"/>
      <c r="AY458" s="27"/>
      <c r="AZ458" s="56"/>
      <c r="BA458" s="27"/>
      <c r="BB458" s="48"/>
      <c r="BC458" s="48"/>
      <c r="BD458" s="48"/>
      <c r="BE458" s="48"/>
      <c r="BF458" s="48"/>
      <c r="BG458" s="48"/>
      <c r="BH458" s="48"/>
      <c r="BI458" s="48"/>
      <c r="BJ458" s="48"/>
      <c r="BK458" s="48"/>
      <c r="BL458" s="48"/>
      <c r="BM458" s="48"/>
      <c r="BN458" s="48"/>
      <c r="BO458" s="48"/>
      <c r="BP458" s="48"/>
      <c r="BQ458" s="48"/>
      <c r="BR458" s="48"/>
      <c r="BS458" s="48"/>
      <c r="BT458" s="48"/>
      <c r="BU458" s="48"/>
    </row>
    <row r="459" ht="15.75" customHeight="1">
      <c r="A459" s="48"/>
      <c r="B459" s="48"/>
      <c r="C459" s="48"/>
      <c r="D459" s="48"/>
      <c r="E459" s="27"/>
      <c r="F459" s="48"/>
      <c r="G459" s="48"/>
      <c r="H459" s="56"/>
      <c r="I459" s="56"/>
      <c r="J459" s="56"/>
      <c r="K459" s="56"/>
      <c r="L459" s="56"/>
      <c r="M459" s="56"/>
      <c r="N459" s="56"/>
      <c r="O459" s="56"/>
      <c r="P459" s="56"/>
      <c r="Q459" s="56"/>
      <c r="R459" s="56"/>
      <c r="S459" s="56"/>
      <c r="T459" s="56"/>
      <c r="U459" s="56"/>
      <c r="V459" s="56"/>
      <c r="W459" s="27"/>
      <c r="X459" s="56"/>
      <c r="Y459" s="27"/>
      <c r="Z459" s="56"/>
      <c r="AA459" s="27"/>
      <c r="AB459" s="56"/>
      <c r="AC459" s="27"/>
      <c r="AD459" s="56"/>
      <c r="AE459" s="27"/>
      <c r="AF459" s="56"/>
      <c r="AG459" s="27"/>
      <c r="AH459" s="286"/>
      <c r="AI459" s="27"/>
      <c r="AJ459" s="56"/>
      <c r="AK459" s="27"/>
      <c r="AL459" s="56"/>
      <c r="AM459" s="27"/>
      <c r="AN459" s="56"/>
      <c r="AO459" s="27"/>
      <c r="AP459" s="56"/>
      <c r="AQ459" s="27"/>
      <c r="AR459" s="56"/>
      <c r="AS459" s="27"/>
      <c r="AT459" s="56"/>
      <c r="AU459" s="27"/>
      <c r="AV459" s="56"/>
      <c r="AW459" s="27"/>
      <c r="AX459" s="56"/>
      <c r="AY459" s="27"/>
      <c r="AZ459" s="56"/>
      <c r="BA459" s="27"/>
      <c r="BB459" s="48"/>
      <c r="BC459" s="48"/>
      <c r="BD459" s="48"/>
      <c r="BE459" s="48"/>
      <c r="BF459" s="48"/>
      <c r="BG459" s="48"/>
      <c r="BH459" s="48"/>
      <c r="BI459" s="48"/>
      <c r="BJ459" s="48"/>
      <c r="BK459" s="48"/>
      <c r="BL459" s="48"/>
      <c r="BM459" s="48"/>
      <c r="BN459" s="48"/>
      <c r="BO459" s="48"/>
      <c r="BP459" s="48"/>
      <c r="BQ459" s="48"/>
      <c r="BR459" s="48"/>
      <c r="BS459" s="48"/>
      <c r="BT459" s="48"/>
      <c r="BU459" s="48"/>
    </row>
    <row r="460" ht="15.75" customHeight="1">
      <c r="A460" s="48"/>
      <c r="B460" s="48"/>
      <c r="C460" s="48"/>
      <c r="D460" s="48"/>
      <c r="E460" s="27"/>
      <c r="F460" s="48"/>
      <c r="G460" s="48"/>
      <c r="H460" s="56"/>
      <c r="I460" s="56"/>
      <c r="J460" s="56"/>
      <c r="K460" s="56"/>
      <c r="L460" s="56"/>
      <c r="M460" s="56"/>
      <c r="N460" s="56"/>
      <c r="O460" s="56"/>
      <c r="P460" s="56"/>
      <c r="Q460" s="56"/>
      <c r="R460" s="56"/>
      <c r="S460" s="56"/>
      <c r="T460" s="56"/>
      <c r="U460" s="56"/>
      <c r="V460" s="56"/>
      <c r="W460" s="27"/>
      <c r="X460" s="56"/>
      <c r="Y460" s="27"/>
      <c r="Z460" s="56"/>
      <c r="AA460" s="27"/>
      <c r="AB460" s="56"/>
      <c r="AC460" s="27"/>
      <c r="AD460" s="56"/>
      <c r="AE460" s="27"/>
      <c r="AF460" s="56"/>
      <c r="AG460" s="27"/>
      <c r="AH460" s="286"/>
      <c r="AI460" s="27"/>
      <c r="AJ460" s="56"/>
      <c r="AK460" s="27"/>
      <c r="AL460" s="56"/>
      <c r="AM460" s="27"/>
      <c r="AN460" s="56"/>
      <c r="AO460" s="27"/>
      <c r="AP460" s="56"/>
      <c r="AQ460" s="27"/>
      <c r="AR460" s="56"/>
      <c r="AS460" s="27"/>
      <c r="AT460" s="56"/>
      <c r="AU460" s="27"/>
      <c r="AV460" s="56"/>
      <c r="AW460" s="27"/>
      <c r="AX460" s="56"/>
      <c r="AY460" s="27"/>
      <c r="AZ460" s="56"/>
      <c r="BA460" s="27"/>
      <c r="BB460" s="48"/>
      <c r="BC460" s="48"/>
      <c r="BD460" s="48"/>
      <c r="BE460" s="48"/>
      <c r="BF460" s="48"/>
      <c r="BG460" s="48"/>
      <c r="BH460" s="48"/>
      <c r="BI460" s="48"/>
      <c r="BJ460" s="48"/>
      <c r="BK460" s="48"/>
      <c r="BL460" s="48"/>
      <c r="BM460" s="48"/>
      <c r="BN460" s="48"/>
      <c r="BO460" s="48"/>
      <c r="BP460" s="48"/>
      <c r="BQ460" s="48"/>
      <c r="BR460" s="48"/>
      <c r="BS460" s="48"/>
      <c r="BT460" s="48"/>
      <c r="BU460" s="48"/>
    </row>
    <row r="461" ht="15.75" customHeight="1">
      <c r="A461" s="48"/>
      <c r="B461" s="48"/>
      <c r="C461" s="48"/>
      <c r="D461" s="48"/>
      <c r="E461" s="27"/>
      <c r="F461" s="48"/>
      <c r="G461" s="48"/>
      <c r="H461" s="56"/>
      <c r="I461" s="56"/>
      <c r="J461" s="56"/>
      <c r="K461" s="56"/>
      <c r="L461" s="56"/>
      <c r="M461" s="56"/>
      <c r="N461" s="56"/>
      <c r="O461" s="56"/>
      <c r="P461" s="56"/>
      <c r="Q461" s="56"/>
      <c r="R461" s="56"/>
      <c r="S461" s="56"/>
      <c r="T461" s="56"/>
      <c r="U461" s="56"/>
      <c r="V461" s="56"/>
      <c r="W461" s="27"/>
      <c r="X461" s="56"/>
      <c r="Y461" s="27"/>
      <c r="Z461" s="56"/>
      <c r="AA461" s="27"/>
      <c r="AB461" s="56"/>
      <c r="AC461" s="27"/>
      <c r="AD461" s="56"/>
      <c r="AE461" s="27"/>
      <c r="AF461" s="56"/>
      <c r="AG461" s="27"/>
      <c r="AH461" s="286"/>
      <c r="AI461" s="27"/>
      <c r="AJ461" s="56"/>
      <c r="AK461" s="27"/>
      <c r="AL461" s="56"/>
      <c r="AM461" s="27"/>
      <c r="AN461" s="56"/>
      <c r="AO461" s="27"/>
      <c r="AP461" s="56"/>
      <c r="AQ461" s="27"/>
      <c r="AR461" s="56"/>
      <c r="AS461" s="27"/>
      <c r="AT461" s="56"/>
      <c r="AU461" s="27"/>
      <c r="AV461" s="56"/>
      <c r="AW461" s="27"/>
      <c r="AX461" s="56"/>
      <c r="AY461" s="27"/>
      <c r="AZ461" s="56"/>
      <c r="BA461" s="27"/>
      <c r="BB461" s="48"/>
      <c r="BC461" s="48"/>
      <c r="BD461" s="48"/>
      <c r="BE461" s="48"/>
      <c r="BF461" s="48"/>
      <c r="BG461" s="48"/>
      <c r="BH461" s="48"/>
      <c r="BI461" s="48"/>
      <c r="BJ461" s="48"/>
      <c r="BK461" s="48"/>
      <c r="BL461" s="48"/>
      <c r="BM461" s="48"/>
      <c r="BN461" s="48"/>
      <c r="BO461" s="48"/>
      <c r="BP461" s="48"/>
      <c r="BQ461" s="48"/>
      <c r="BR461" s="48"/>
      <c r="BS461" s="48"/>
      <c r="BT461" s="48"/>
      <c r="BU461" s="48"/>
    </row>
    <row r="462" ht="15.75" customHeight="1">
      <c r="A462" s="48"/>
      <c r="B462" s="48"/>
      <c r="C462" s="48"/>
      <c r="D462" s="48"/>
      <c r="E462" s="27"/>
      <c r="F462" s="48"/>
      <c r="G462" s="48"/>
      <c r="H462" s="56"/>
      <c r="I462" s="56"/>
      <c r="J462" s="56"/>
      <c r="K462" s="56"/>
      <c r="L462" s="56"/>
      <c r="M462" s="56"/>
      <c r="N462" s="56"/>
      <c r="O462" s="56"/>
      <c r="P462" s="56"/>
      <c r="Q462" s="56"/>
      <c r="R462" s="56"/>
      <c r="S462" s="56"/>
      <c r="T462" s="56"/>
      <c r="U462" s="56"/>
      <c r="V462" s="56"/>
      <c r="W462" s="27"/>
      <c r="X462" s="56"/>
      <c r="Y462" s="27"/>
      <c r="Z462" s="56"/>
      <c r="AA462" s="27"/>
      <c r="AB462" s="56"/>
      <c r="AC462" s="27"/>
      <c r="AD462" s="56"/>
      <c r="AE462" s="27"/>
      <c r="AF462" s="56"/>
      <c r="AG462" s="27"/>
      <c r="AH462" s="286"/>
      <c r="AI462" s="27"/>
      <c r="AJ462" s="56"/>
      <c r="AK462" s="27"/>
      <c r="AL462" s="56"/>
      <c r="AM462" s="27"/>
      <c r="AN462" s="56"/>
      <c r="AO462" s="27"/>
      <c r="AP462" s="56"/>
      <c r="AQ462" s="27"/>
      <c r="AR462" s="56"/>
      <c r="AS462" s="27"/>
      <c r="AT462" s="56"/>
      <c r="AU462" s="27"/>
      <c r="AV462" s="56"/>
      <c r="AW462" s="27"/>
      <c r="AX462" s="56"/>
      <c r="AY462" s="27"/>
      <c r="AZ462" s="56"/>
      <c r="BA462" s="27"/>
      <c r="BB462" s="48"/>
      <c r="BC462" s="48"/>
      <c r="BD462" s="48"/>
      <c r="BE462" s="48"/>
      <c r="BF462" s="48"/>
      <c r="BG462" s="48"/>
      <c r="BH462" s="48"/>
      <c r="BI462" s="48"/>
      <c r="BJ462" s="48"/>
      <c r="BK462" s="48"/>
      <c r="BL462" s="48"/>
      <c r="BM462" s="48"/>
      <c r="BN462" s="48"/>
      <c r="BO462" s="48"/>
      <c r="BP462" s="48"/>
      <c r="BQ462" s="48"/>
      <c r="BR462" s="48"/>
      <c r="BS462" s="48"/>
      <c r="BT462" s="48"/>
      <c r="BU462" s="48"/>
    </row>
    <row r="463" ht="15.75" customHeight="1">
      <c r="A463" s="48"/>
      <c r="B463" s="48"/>
      <c r="C463" s="48"/>
      <c r="D463" s="48"/>
      <c r="E463" s="27"/>
      <c r="F463" s="48"/>
      <c r="G463" s="48"/>
      <c r="H463" s="56"/>
      <c r="I463" s="56"/>
      <c r="J463" s="56"/>
      <c r="K463" s="56"/>
      <c r="L463" s="56"/>
      <c r="M463" s="56"/>
      <c r="N463" s="56"/>
      <c r="O463" s="56"/>
      <c r="P463" s="56"/>
      <c r="Q463" s="56"/>
      <c r="R463" s="56"/>
      <c r="S463" s="56"/>
      <c r="T463" s="56"/>
      <c r="U463" s="56"/>
      <c r="V463" s="56"/>
      <c r="W463" s="27"/>
      <c r="X463" s="56"/>
      <c r="Y463" s="27"/>
      <c r="Z463" s="56"/>
      <c r="AA463" s="27"/>
      <c r="AB463" s="56"/>
      <c r="AC463" s="27"/>
      <c r="AD463" s="56"/>
      <c r="AE463" s="27"/>
      <c r="AF463" s="56"/>
      <c r="AG463" s="27"/>
      <c r="AH463" s="286"/>
      <c r="AI463" s="27"/>
      <c r="AJ463" s="56"/>
      <c r="AK463" s="27"/>
      <c r="AL463" s="56"/>
      <c r="AM463" s="27"/>
      <c r="AN463" s="56"/>
      <c r="AO463" s="27"/>
      <c r="AP463" s="56"/>
      <c r="AQ463" s="27"/>
      <c r="AR463" s="56"/>
      <c r="AS463" s="27"/>
      <c r="AT463" s="56"/>
      <c r="AU463" s="27"/>
      <c r="AV463" s="56"/>
      <c r="AW463" s="27"/>
      <c r="AX463" s="56"/>
      <c r="AY463" s="27"/>
      <c r="AZ463" s="56"/>
      <c r="BA463" s="27"/>
      <c r="BB463" s="48"/>
      <c r="BC463" s="48"/>
      <c r="BD463" s="48"/>
      <c r="BE463" s="48"/>
      <c r="BF463" s="48"/>
      <c r="BG463" s="48"/>
      <c r="BH463" s="48"/>
      <c r="BI463" s="48"/>
      <c r="BJ463" s="48"/>
      <c r="BK463" s="48"/>
      <c r="BL463" s="48"/>
      <c r="BM463" s="48"/>
      <c r="BN463" s="48"/>
      <c r="BO463" s="48"/>
      <c r="BP463" s="48"/>
      <c r="BQ463" s="48"/>
      <c r="BR463" s="48"/>
      <c r="BS463" s="48"/>
      <c r="BT463" s="48"/>
      <c r="BU463" s="48"/>
    </row>
    <row r="464" ht="15.75" customHeight="1">
      <c r="A464" s="48"/>
      <c r="B464" s="48"/>
      <c r="C464" s="48"/>
      <c r="D464" s="48"/>
      <c r="E464" s="27"/>
      <c r="F464" s="48"/>
      <c r="G464" s="48"/>
      <c r="H464" s="56"/>
      <c r="I464" s="56"/>
      <c r="J464" s="56"/>
      <c r="K464" s="56"/>
      <c r="L464" s="56"/>
      <c r="M464" s="56"/>
      <c r="N464" s="56"/>
      <c r="O464" s="56"/>
      <c r="P464" s="56"/>
      <c r="Q464" s="56"/>
      <c r="R464" s="56"/>
      <c r="S464" s="56"/>
      <c r="T464" s="56"/>
      <c r="U464" s="56"/>
      <c r="V464" s="56"/>
      <c r="W464" s="27"/>
      <c r="X464" s="56"/>
      <c r="Y464" s="27"/>
      <c r="Z464" s="56"/>
      <c r="AA464" s="27"/>
      <c r="AB464" s="56"/>
      <c r="AC464" s="27"/>
      <c r="AD464" s="56"/>
      <c r="AE464" s="27"/>
      <c r="AF464" s="56"/>
      <c r="AG464" s="27"/>
      <c r="AH464" s="286"/>
      <c r="AI464" s="27"/>
      <c r="AJ464" s="56"/>
      <c r="AK464" s="27"/>
      <c r="AL464" s="56"/>
      <c r="AM464" s="27"/>
      <c r="AN464" s="56"/>
      <c r="AO464" s="27"/>
      <c r="AP464" s="56"/>
      <c r="AQ464" s="27"/>
      <c r="AR464" s="56"/>
      <c r="AS464" s="27"/>
      <c r="AT464" s="56"/>
      <c r="AU464" s="27"/>
      <c r="AV464" s="56"/>
      <c r="AW464" s="27"/>
      <c r="AX464" s="56"/>
      <c r="AY464" s="27"/>
      <c r="AZ464" s="56"/>
      <c r="BA464" s="27"/>
      <c r="BB464" s="48"/>
      <c r="BC464" s="48"/>
      <c r="BD464" s="48"/>
      <c r="BE464" s="48"/>
      <c r="BF464" s="48"/>
      <c r="BG464" s="48"/>
      <c r="BH464" s="48"/>
      <c r="BI464" s="48"/>
      <c r="BJ464" s="48"/>
      <c r="BK464" s="48"/>
      <c r="BL464" s="48"/>
      <c r="BM464" s="48"/>
      <c r="BN464" s="48"/>
      <c r="BO464" s="48"/>
      <c r="BP464" s="48"/>
      <c r="BQ464" s="48"/>
      <c r="BR464" s="48"/>
      <c r="BS464" s="48"/>
      <c r="BT464" s="48"/>
      <c r="BU464" s="48"/>
    </row>
    <row r="465" ht="15.75" customHeight="1">
      <c r="A465" s="48"/>
      <c r="B465" s="48"/>
      <c r="C465" s="48"/>
      <c r="D465" s="48"/>
      <c r="E465" s="27"/>
      <c r="F465" s="48"/>
      <c r="G465" s="48"/>
      <c r="H465" s="56"/>
      <c r="I465" s="56"/>
      <c r="J465" s="56"/>
      <c r="K465" s="56"/>
      <c r="L465" s="56"/>
      <c r="M465" s="56"/>
      <c r="N465" s="56"/>
      <c r="O465" s="56"/>
      <c r="P465" s="56"/>
      <c r="Q465" s="56"/>
      <c r="R465" s="56"/>
      <c r="S465" s="56"/>
      <c r="T465" s="56"/>
      <c r="U465" s="56"/>
      <c r="V465" s="56"/>
      <c r="W465" s="27"/>
      <c r="X465" s="56"/>
      <c r="Y465" s="27"/>
      <c r="Z465" s="56"/>
      <c r="AA465" s="27"/>
      <c r="AB465" s="56"/>
      <c r="AC465" s="27"/>
      <c r="AD465" s="56"/>
      <c r="AE465" s="27"/>
      <c r="AF465" s="56"/>
      <c r="AG465" s="27"/>
      <c r="AH465" s="286"/>
      <c r="AI465" s="27"/>
      <c r="AJ465" s="56"/>
      <c r="AK465" s="27"/>
      <c r="AL465" s="56"/>
      <c r="AM465" s="27"/>
      <c r="AN465" s="56"/>
      <c r="AO465" s="27"/>
      <c r="AP465" s="56"/>
      <c r="AQ465" s="27"/>
      <c r="AR465" s="56"/>
      <c r="AS465" s="27"/>
      <c r="AT465" s="56"/>
      <c r="AU465" s="27"/>
      <c r="AV465" s="56"/>
      <c r="AW465" s="27"/>
      <c r="AX465" s="56"/>
      <c r="AY465" s="27"/>
      <c r="AZ465" s="56"/>
      <c r="BA465" s="27"/>
      <c r="BB465" s="48"/>
      <c r="BC465" s="48"/>
      <c r="BD465" s="48"/>
      <c r="BE465" s="48"/>
      <c r="BF465" s="48"/>
      <c r="BG465" s="48"/>
      <c r="BH465" s="48"/>
      <c r="BI465" s="48"/>
      <c r="BJ465" s="48"/>
      <c r="BK465" s="48"/>
      <c r="BL465" s="48"/>
      <c r="BM465" s="48"/>
      <c r="BN465" s="48"/>
      <c r="BO465" s="48"/>
      <c r="BP465" s="48"/>
      <c r="BQ465" s="48"/>
      <c r="BR465" s="48"/>
      <c r="BS465" s="48"/>
      <c r="BT465" s="48"/>
      <c r="BU465" s="48"/>
    </row>
    <row r="466" ht="15.75" customHeight="1">
      <c r="A466" s="48"/>
      <c r="B466" s="48"/>
      <c r="C466" s="48"/>
      <c r="D466" s="48"/>
      <c r="E466" s="27"/>
      <c r="F466" s="48"/>
      <c r="G466" s="48"/>
      <c r="H466" s="56"/>
      <c r="I466" s="56"/>
      <c r="J466" s="56"/>
      <c r="K466" s="56"/>
      <c r="L466" s="56"/>
      <c r="M466" s="56"/>
      <c r="N466" s="56"/>
      <c r="O466" s="56"/>
      <c r="P466" s="56"/>
      <c r="Q466" s="56"/>
      <c r="R466" s="56"/>
      <c r="S466" s="56"/>
      <c r="T466" s="56"/>
      <c r="U466" s="56"/>
      <c r="V466" s="56"/>
      <c r="W466" s="27"/>
      <c r="X466" s="56"/>
      <c r="Y466" s="27"/>
      <c r="Z466" s="56"/>
      <c r="AA466" s="27"/>
      <c r="AB466" s="56"/>
      <c r="AC466" s="27"/>
      <c r="AD466" s="56"/>
      <c r="AE466" s="27"/>
      <c r="AF466" s="56"/>
      <c r="AG466" s="27"/>
      <c r="AH466" s="286"/>
      <c r="AI466" s="27"/>
      <c r="AJ466" s="56"/>
      <c r="AK466" s="27"/>
      <c r="AL466" s="56"/>
      <c r="AM466" s="27"/>
      <c r="AN466" s="56"/>
      <c r="AO466" s="27"/>
      <c r="AP466" s="56"/>
      <c r="AQ466" s="27"/>
      <c r="AR466" s="56"/>
      <c r="AS466" s="27"/>
      <c r="AT466" s="56"/>
      <c r="AU466" s="27"/>
      <c r="AV466" s="56"/>
      <c r="AW466" s="27"/>
      <c r="AX466" s="56"/>
      <c r="AY466" s="27"/>
      <c r="AZ466" s="56"/>
      <c r="BA466" s="27"/>
      <c r="BB466" s="48"/>
      <c r="BC466" s="48"/>
      <c r="BD466" s="48"/>
      <c r="BE466" s="48"/>
      <c r="BF466" s="48"/>
      <c r="BG466" s="48"/>
      <c r="BH466" s="48"/>
      <c r="BI466" s="48"/>
      <c r="BJ466" s="48"/>
      <c r="BK466" s="48"/>
      <c r="BL466" s="48"/>
      <c r="BM466" s="48"/>
      <c r="BN466" s="48"/>
      <c r="BO466" s="48"/>
      <c r="BP466" s="48"/>
      <c r="BQ466" s="48"/>
      <c r="BR466" s="48"/>
      <c r="BS466" s="48"/>
      <c r="BT466" s="48"/>
      <c r="BU466" s="48"/>
    </row>
    <row r="467" ht="15.75" customHeight="1">
      <c r="A467" s="48"/>
      <c r="B467" s="48"/>
      <c r="C467" s="48"/>
      <c r="D467" s="48"/>
      <c r="E467" s="27"/>
      <c r="F467" s="48"/>
      <c r="G467" s="48"/>
      <c r="H467" s="56"/>
      <c r="I467" s="56"/>
      <c r="J467" s="56"/>
      <c r="K467" s="56"/>
      <c r="L467" s="56"/>
      <c r="M467" s="56"/>
      <c r="N467" s="56"/>
      <c r="O467" s="56"/>
      <c r="P467" s="56"/>
      <c r="Q467" s="56"/>
      <c r="R467" s="56"/>
      <c r="S467" s="56"/>
      <c r="T467" s="56"/>
      <c r="U467" s="56"/>
      <c r="V467" s="56"/>
      <c r="W467" s="27"/>
      <c r="X467" s="56"/>
      <c r="Y467" s="27"/>
      <c r="Z467" s="56"/>
      <c r="AA467" s="27"/>
      <c r="AB467" s="56"/>
      <c r="AC467" s="27"/>
      <c r="AD467" s="56"/>
      <c r="AE467" s="27"/>
      <c r="AF467" s="56"/>
      <c r="AG467" s="27"/>
      <c r="AH467" s="286"/>
      <c r="AI467" s="27"/>
      <c r="AJ467" s="56"/>
      <c r="AK467" s="27"/>
      <c r="AL467" s="56"/>
      <c r="AM467" s="27"/>
      <c r="AN467" s="56"/>
      <c r="AO467" s="27"/>
      <c r="AP467" s="56"/>
      <c r="AQ467" s="27"/>
      <c r="AR467" s="56"/>
      <c r="AS467" s="27"/>
      <c r="AT467" s="56"/>
      <c r="AU467" s="27"/>
      <c r="AV467" s="56"/>
      <c r="AW467" s="27"/>
      <c r="AX467" s="56"/>
      <c r="AY467" s="27"/>
      <c r="AZ467" s="56"/>
      <c r="BA467" s="27"/>
      <c r="BB467" s="48"/>
      <c r="BC467" s="48"/>
      <c r="BD467" s="48"/>
      <c r="BE467" s="48"/>
      <c r="BF467" s="48"/>
      <c r="BG467" s="48"/>
      <c r="BH467" s="48"/>
      <c r="BI467" s="48"/>
      <c r="BJ467" s="48"/>
      <c r="BK467" s="48"/>
      <c r="BL467" s="48"/>
      <c r="BM467" s="48"/>
      <c r="BN467" s="48"/>
      <c r="BO467" s="48"/>
      <c r="BP467" s="48"/>
      <c r="BQ467" s="48"/>
      <c r="BR467" s="48"/>
      <c r="BS467" s="48"/>
      <c r="BT467" s="48"/>
      <c r="BU467" s="48"/>
    </row>
    <row r="468" ht="15.75" customHeight="1">
      <c r="A468" s="48"/>
      <c r="B468" s="48"/>
      <c r="C468" s="48"/>
      <c r="D468" s="48"/>
      <c r="E468" s="27"/>
      <c r="F468" s="48"/>
      <c r="G468" s="48"/>
      <c r="H468" s="56"/>
      <c r="I468" s="56"/>
      <c r="J468" s="56"/>
      <c r="K468" s="56"/>
      <c r="L468" s="56"/>
      <c r="M468" s="56"/>
      <c r="N468" s="56"/>
      <c r="O468" s="56"/>
      <c r="P468" s="56"/>
      <c r="Q468" s="56"/>
      <c r="R468" s="56"/>
      <c r="S468" s="56"/>
      <c r="T468" s="56"/>
      <c r="U468" s="56"/>
      <c r="V468" s="56"/>
      <c r="W468" s="27"/>
      <c r="X468" s="56"/>
      <c r="Y468" s="27"/>
      <c r="Z468" s="56"/>
      <c r="AA468" s="27"/>
      <c r="AB468" s="56"/>
      <c r="AC468" s="27"/>
      <c r="AD468" s="56"/>
      <c r="AE468" s="27"/>
      <c r="AF468" s="56"/>
      <c r="AG468" s="27"/>
      <c r="AH468" s="286"/>
      <c r="AI468" s="27"/>
      <c r="AJ468" s="56"/>
      <c r="AK468" s="27"/>
      <c r="AL468" s="56"/>
      <c r="AM468" s="27"/>
      <c r="AN468" s="56"/>
      <c r="AO468" s="27"/>
      <c r="AP468" s="56"/>
      <c r="AQ468" s="27"/>
      <c r="AR468" s="56"/>
      <c r="AS468" s="27"/>
      <c r="AT468" s="56"/>
      <c r="AU468" s="27"/>
      <c r="AV468" s="56"/>
      <c r="AW468" s="27"/>
      <c r="AX468" s="56"/>
      <c r="AY468" s="27"/>
      <c r="AZ468" s="56"/>
      <c r="BA468" s="27"/>
      <c r="BB468" s="48"/>
      <c r="BC468" s="48"/>
      <c r="BD468" s="48"/>
      <c r="BE468" s="48"/>
      <c r="BF468" s="48"/>
      <c r="BG468" s="48"/>
      <c r="BH468" s="48"/>
      <c r="BI468" s="48"/>
      <c r="BJ468" s="48"/>
      <c r="BK468" s="48"/>
      <c r="BL468" s="48"/>
      <c r="BM468" s="48"/>
      <c r="BN468" s="48"/>
      <c r="BO468" s="48"/>
      <c r="BP468" s="48"/>
      <c r="BQ468" s="48"/>
      <c r="BR468" s="48"/>
      <c r="BS468" s="48"/>
      <c r="BT468" s="48"/>
      <c r="BU468" s="48"/>
    </row>
    <row r="469" ht="15.75" customHeight="1">
      <c r="A469" s="48"/>
      <c r="B469" s="48"/>
      <c r="C469" s="48"/>
      <c r="D469" s="48"/>
      <c r="E469" s="27"/>
      <c r="F469" s="48"/>
      <c r="G469" s="48"/>
      <c r="H469" s="56"/>
      <c r="I469" s="56"/>
      <c r="J469" s="56"/>
      <c r="K469" s="56"/>
      <c r="L469" s="56"/>
      <c r="M469" s="56"/>
      <c r="N469" s="56"/>
      <c r="O469" s="56"/>
      <c r="P469" s="56"/>
      <c r="Q469" s="56"/>
      <c r="R469" s="56"/>
      <c r="S469" s="56"/>
      <c r="T469" s="56"/>
      <c r="U469" s="56"/>
      <c r="V469" s="56"/>
      <c r="W469" s="27"/>
      <c r="X469" s="56"/>
      <c r="Y469" s="27"/>
      <c r="Z469" s="56"/>
      <c r="AA469" s="27"/>
      <c r="AB469" s="56"/>
      <c r="AC469" s="27"/>
      <c r="AD469" s="56"/>
      <c r="AE469" s="27"/>
      <c r="AF469" s="56"/>
      <c r="AG469" s="27"/>
      <c r="AH469" s="286"/>
      <c r="AI469" s="27"/>
      <c r="AJ469" s="56"/>
      <c r="AK469" s="27"/>
      <c r="AL469" s="56"/>
      <c r="AM469" s="27"/>
      <c r="AN469" s="56"/>
      <c r="AO469" s="27"/>
      <c r="AP469" s="56"/>
      <c r="AQ469" s="27"/>
      <c r="AR469" s="56"/>
      <c r="AS469" s="27"/>
      <c r="AT469" s="56"/>
      <c r="AU469" s="27"/>
      <c r="AV469" s="56"/>
      <c r="AW469" s="27"/>
      <c r="AX469" s="56"/>
      <c r="AY469" s="27"/>
      <c r="AZ469" s="56"/>
      <c r="BA469" s="27"/>
      <c r="BB469" s="48"/>
      <c r="BC469" s="48"/>
      <c r="BD469" s="48"/>
      <c r="BE469" s="48"/>
      <c r="BF469" s="48"/>
      <c r="BG469" s="48"/>
      <c r="BH469" s="48"/>
      <c r="BI469" s="48"/>
      <c r="BJ469" s="48"/>
      <c r="BK469" s="48"/>
      <c r="BL469" s="48"/>
      <c r="BM469" s="48"/>
      <c r="BN469" s="48"/>
      <c r="BO469" s="48"/>
      <c r="BP469" s="48"/>
      <c r="BQ469" s="48"/>
      <c r="BR469" s="48"/>
      <c r="BS469" s="48"/>
      <c r="BT469" s="48"/>
      <c r="BU469" s="48"/>
    </row>
    <row r="470" ht="15.75" customHeight="1">
      <c r="A470" s="48"/>
      <c r="B470" s="48"/>
      <c r="C470" s="48"/>
      <c r="D470" s="48"/>
      <c r="E470" s="27"/>
      <c r="F470" s="48"/>
      <c r="G470" s="48"/>
      <c r="H470" s="56"/>
      <c r="I470" s="56"/>
      <c r="J470" s="56"/>
      <c r="K470" s="56"/>
      <c r="L470" s="56"/>
      <c r="M470" s="56"/>
      <c r="N470" s="56"/>
      <c r="O470" s="56"/>
      <c r="P470" s="56"/>
      <c r="Q470" s="56"/>
      <c r="R470" s="56"/>
      <c r="S470" s="56"/>
      <c r="T470" s="56"/>
      <c r="U470" s="56"/>
      <c r="V470" s="56"/>
      <c r="W470" s="27"/>
      <c r="X470" s="56"/>
      <c r="Y470" s="27"/>
      <c r="Z470" s="56"/>
      <c r="AA470" s="27"/>
      <c r="AB470" s="56"/>
      <c r="AC470" s="27"/>
      <c r="AD470" s="56"/>
      <c r="AE470" s="27"/>
      <c r="AF470" s="56"/>
      <c r="AG470" s="27"/>
      <c r="AH470" s="286"/>
      <c r="AI470" s="27"/>
      <c r="AJ470" s="56"/>
      <c r="AK470" s="27"/>
      <c r="AL470" s="56"/>
      <c r="AM470" s="27"/>
      <c r="AN470" s="56"/>
      <c r="AO470" s="27"/>
      <c r="AP470" s="56"/>
      <c r="AQ470" s="27"/>
      <c r="AR470" s="56"/>
      <c r="AS470" s="27"/>
      <c r="AT470" s="56"/>
      <c r="AU470" s="27"/>
      <c r="AV470" s="56"/>
      <c r="AW470" s="27"/>
      <c r="AX470" s="56"/>
      <c r="AY470" s="27"/>
      <c r="AZ470" s="56"/>
      <c r="BA470" s="27"/>
      <c r="BB470" s="48"/>
      <c r="BC470" s="48"/>
      <c r="BD470" s="48"/>
      <c r="BE470" s="48"/>
      <c r="BF470" s="48"/>
      <c r="BG470" s="48"/>
      <c r="BH470" s="48"/>
      <c r="BI470" s="48"/>
      <c r="BJ470" s="48"/>
      <c r="BK470" s="48"/>
      <c r="BL470" s="48"/>
      <c r="BM470" s="48"/>
      <c r="BN470" s="48"/>
      <c r="BO470" s="48"/>
      <c r="BP470" s="48"/>
      <c r="BQ470" s="48"/>
      <c r="BR470" s="48"/>
      <c r="BS470" s="48"/>
      <c r="BT470" s="48"/>
      <c r="BU470" s="48"/>
    </row>
    <row r="471" ht="15.75" customHeight="1">
      <c r="A471" s="48"/>
      <c r="B471" s="48"/>
      <c r="C471" s="48"/>
      <c r="D471" s="48"/>
      <c r="E471" s="27"/>
      <c r="F471" s="48"/>
      <c r="G471" s="48"/>
      <c r="H471" s="56"/>
      <c r="I471" s="56"/>
      <c r="J471" s="56"/>
      <c r="K471" s="56"/>
      <c r="L471" s="56"/>
      <c r="M471" s="56"/>
      <c r="N471" s="56"/>
      <c r="O471" s="56"/>
      <c r="P471" s="56"/>
      <c r="Q471" s="56"/>
      <c r="R471" s="56"/>
      <c r="S471" s="56"/>
      <c r="T471" s="56"/>
      <c r="U471" s="56"/>
      <c r="V471" s="56"/>
      <c r="W471" s="27"/>
      <c r="X471" s="56"/>
      <c r="Y471" s="27"/>
      <c r="Z471" s="56"/>
      <c r="AA471" s="27"/>
      <c r="AB471" s="56"/>
      <c r="AC471" s="27"/>
      <c r="AD471" s="56"/>
      <c r="AE471" s="27"/>
      <c r="AF471" s="56"/>
      <c r="AG471" s="27"/>
      <c r="AH471" s="286"/>
      <c r="AI471" s="27"/>
      <c r="AJ471" s="56"/>
      <c r="AK471" s="27"/>
      <c r="AL471" s="56"/>
      <c r="AM471" s="27"/>
      <c r="AN471" s="56"/>
      <c r="AO471" s="27"/>
      <c r="AP471" s="56"/>
      <c r="AQ471" s="27"/>
      <c r="AR471" s="56"/>
      <c r="AS471" s="27"/>
      <c r="AT471" s="56"/>
      <c r="AU471" s="27"/>
      <c r="AV471" s="56"/>
      <c r="AW471" s="27"/>
      <c r="AX471" s="56"/>
      <c r="AY471" s="27"/>
      <c r="AZ471" s="56"/>
      <c r="BA471" s="27"/>
      <c r="BB471" s="48"/>
      <c r="BC471" s="48"/>
      <c r="BD471" s="48"/>
      <c r="BE471" s="48"/>
      <c r="BF471" s="48"/>
      <c r="BG471" s="48"/>
      <c r="BH471" s="48"/>
      <c r="BI471" s="48"/>
      <c r="BJ471" s="48"/>
      <c r="BK471" s="48"/>
      <c r="BL471" s="48"/>
      <c r="BM471" s="48"/>
      <c r="BN471" s="48"/>
      <c r="BO471" s="48"/>
      <c r="BP471" s="48"/>
      <c r="BQ471" s="48"/>
      <c r="BR471" s="48"/>
      <c r="BS471" s="48"/>
      <c r="BT471" s="48"/>
      <c r="BU471" s="48"/>
    </row>
    <row r="472" ht="15.75" customHeight="1">
      <c r="A472" s="48"/>
      <c r="B472" s="48"/>
      <c r="C472" s="48"/>
      <c r="D472" s="48"/>
      <c r="E472" s="27"/>
      <c r="F472" s="48"/>
      <c r="G472" s="48"/>
      <c r="H472" s="56"/>
      <c r="I472" s="56"/>
      <c r="J472" s="56"/>
      <c r="K472" s="56"/>
      <c r="L472" s="56"/>
      <c r="M472" s="56"/>
      <c r="N472" s="56"/>
      <c r="O472" s="56"/>
      <c r="P472" s="56"/>
      <c r="Q472" s="56"/>
      <c r="R472" s="56"/>
      <c r="S472" s="56"/>
      <c r="T472" s="56"/>
      <c r="U472" s="56"/>
      <c r="V472" s="56"/>
      <c r="W472" s="27"/>
      <c r="X472" s="56"/>
      <c r="Y472" s="27"/>
      <c r="Z472" s="56"/>
      <c r="AA472" s="27"/>
      <c r="AB472" s="56"/>
      <c r="AC472" s="27"/>
      <c r="AD472" s="56"/>
      <c r="AE472" s="27"/>
      <c r="AF472" s="56"/>
      <c r="AG472" s="27"/>
      <c r="AH472" s="286"/>
      <c r="AI472" s="27"/>
      <c r="AJ472" s="56"/>
      <c r="AK472" s="27"/>
      <c r="AL472" s="56"/>
      <c r="AM472" s="27"/>
      <c r="AN472" s="56"/>
      <c r="AO472" s="27"/>
      <c r="AP472" s="56"/>
      <c r="AQ472" s="27"/>
      <c r="AR472" s="56"/>
      <c r="AS472" s="27"/>
      <c r="AT472" s="56"/>
      <c r="AU472" s="27"/>
      <c r="AV472" s="56"/>
      <c r="AW472" s="27"/>
      <c r="AX472" s="56"/>
      <c r="AY472" s="27"/>
      <c r="AZ472" s="56"/>
      <c r="BA472" s="27"/>
      <c r="BB472" s="48"/>
      <c r="BC472" s="48"/>
      <c r="BD472" s="48"/>
      <c r="BE472" s="48"/>
      <c r="BF472" s="48"/>
      <c r="BG472" s="48"/>
      <c r="BH472" s="48"/>
      <c r="BI472" s="48"/>
      <c r="BJ472" s="48"/>
      <c r="BK472" s="48"/>
      <c r="BL472" s="48"/>
      <c r="BM472" s="48"/>
      <c r="BN472" s="48"/>
      <c r="BO472" s="48"/>
      <c r="BP472" s="48"/>
      <c r="BQ472" s="48"/>
      <c r="BR472" s="48"/>
      <c r="BS472" s="48"/>
      <c r="BT472" s="48"/>
      <c r="BU472" s="48"/>
    </row>
    <row r="473" ht="15.75" customHeight="1">
      <c r="A473" s="48"/>
      <c r="B473" s="48"/>
      <c r="C473" s="48"/>
      <c r="D473" s="48"/>
      <c r="E473" s="27"/>
      <c r="F473" s="48"/>
      <c r="G473" s="48"/>
      <c r="H473" s="56"/>
      <c r="I473" s="56"/>
      <c r="J473" s="56"/>
      <c r="K473" s="56"/>
      <c r="L473" s="56"/>
      <c r="M473" s="56"/>
      <c r="N473" s="56"/>
      <c r="O473" s="56"/>
      <c r="P473" s="56"/>
      <c r="Q473" s="56"/>
      <c r="R473" s="56"/>
      <c r="S473" s="56"/>
      <c r="T473" s="56"/>
      <c r="U473" s="56"/>
      <c r="V473" s="56"/>
      <c r="W473" s="27"/>
      <c r="X473" s="56"/>
      <c r="Y473" s="27"/>
      <c r="Z473" s="56"/>
      <c r="AA473" s="27"/>
      <c r="AB473" s="56"/>
      <c r="AC473" s="27"/>
      <c r="AD473" s="56"/>
      <c r="AE473" s="27"/>
      <c r="AF473" s="56"/>
      <c r="AG473" s="27"/>
      <c r="AH473" s="286"/>
      <c r="AI473" s="27"/>
      <c r="AJ473" s="56"/>
      <c r="AK473" s="27"/>
      <c r="AL473" s="56"/>
      <c r="AM473" s="27"/>
      <c r="AN473" s="56"/>
      <c r="AO473" s="27"/>
      <c r="AP473" s="56"/>
      <c r="AQ473" s="27"/>
      <c r="AR473" s="56"/>
      <c r="AS473" s="27"/>
      <c r="AT473" s="56"/>
      <c r="AU473" s="27"/>
      <c r="AV473" s="56"/>
      <c r="AW473" s="27"/>
      <c r="AX473" s="56"/>
      <c r="AY473" s="27"/>
      <c r="AZ473" s="56"/>
      <c r="BA473" s="27"/>
      <c r="BB473" s="48"/>
      <c r="BC473" s="48"/>
      <c r="BD473" s="48"/>
      <c r="BE473" s="48"/>
      <c r="BF473" s="48"/>
      <c r="BG473" s="48"/>
      <c r="BH473" s="48"/>
      <c r="BI473" s="48"/>
      <c r="BJ473" s="48"/>
      <c r="BK473" s="48"/>
      <c r="BL473" s="48"/>
      <c r="BM473" s="48"/>
      <c r="BN473" s="48"/>
      <c r="BO473" s="48"/>
      <c r="BP473" s="48"/>
      <c r="BQ473" s="48"/>
      <c r="BR473" s="48"/>
      <c r="BS473" s="48"/>
      <c r="BT473" s="48"/>
      <c r="BU473" s="48"/>
    </row>
    <row r="474" ht="15.75" customHeight="1">
      <c r="A474" s="48"/>
      <c r="B474" s="48"/>
      <c r="C474" s="48"/>
      <c r="D474" s="48"/>
      <c r="E474" s="27"/>
      <c r="F474" s="48"/>
      <c r="G474" s="48"/>
      <c r="H474" s="56"/>
      <c r="I474" s="56"/>
      <c r="J474" s="56"/>
      <c r="K474" s="56"/>
      <c r="L474" s="56"/>
      <c r="M474" s="56"/>
      <c r="N474" s="56"/>
      <c r="O474" s="56"/>
      <c r="P474" s="56"/>
      <c r="Q474" s="56"/>
      <c r="R474" s="56"/>
      <c r="S474" s="56"/>
      <c r="T474" s="56"/>
      <c r="U474" s="56"/>
      <c r="V474" s="56"/>
      <c r="W474" s="27"/>
      <c r="X474" s="56"/>
      <c r="Y474" s="27"/>
      <c r="Z474" s="56"/>
      <c r="AA474" s="27"/>
      <c r="AB474" s="56"/>
      <c r="AC474" s="27"/>
      <c r="AD474" s="56"/>
      <c r="AE474" s="27"/>
      <c r="AF474" s="56"/>
      <c r="AG474" s="27"/>
      <c r="AH474" s="286"/>
      <c r="AI474" s="27"/>
      <c r="AJ474" s="56"/>
      <c r="AK474" s="27"/>
      <c r="AL474" s="56"/>
      <c r="AM474" s="27"/>
      <c r="AN474" s="56"/>
      <c r="AO474" s="27"/>
      <c r="AP474" s="56"/>
      <c r="AQ474" s="27"/>
      <c r="AR474" s="56"/>
      <c r="AS474" s="27"/>
      <c r="AT474" s="56"/>
      <c r="AU474" s="27"/>
      <c r="AV474" s="56"/>
      <c r="AW474" s="27"/>
      <c r="AX474" s="56"/>
      <c r="AY474" s="27"/>
      <c r="AZ474" s="56"/>
      <c r="BA474" s="27"/>
      <c r="BB474" s="48"/>
      <c r="BC474" s="48"/>
      <c r="BD474" s="48"/>
      <c r="BE474" s="48"/>
      <c r="BF474" s="48"/>
      <c r="BG474" s="48"/>
      <c r="BH474" s="48"/>
      <c r="BI474" s="48"/>
      <c r="BJ474" s="48"/>
      <c r="BK474" s="48"/>
      <c r="BL474" s="48"/>
      <c r="BM474" s="48"/>
      <c r="BN474" s="48"/>
      <c r="BO474" s="48"/>
      <c r="BP474" s="48"/>
      <c r="BQ474" s="48"/>
      <c r="BR474" s="48"/>
      <c r="BS474" s="48"/>
      <c r="BT474" s="48"/>
      <c r="BU474" s="48"/>
    </row>
    <row r="475" ht="15.75" customHeight="1">
      <c r="A475" s="48"/>
      <c r="B475" s="48"/>
      <c r="C475" s="48"/>
      <c r="D475" s="48"/>
      <c r="E475" s="27"/>
      <c r="F475" s="48"/>
      <c r="G475" s="48"/>
      <c r="H475" s="56"/>
      <c r="I475" s="56"/>
      <c r="J475" s="56"/>
      <c r="K475" s="56"/>
      <c r="L475" s="56"/>
      <c r="M475" s="56"/>
      <c r="N475" s="56"/>
      <c r="O475" s="56"/>
      <c r="P475" s="56"/>
      <c r="Q475" s="56"/>
      <c r="R475" s="56"/>
      <c r="S475" s="56"/>
      <c r="T475" s="56"/>
      <c r="U475" s="56"/>
      <c r="V475" s="56"/>
      <c r="W475" s="27"/>
      <c r="X475" s="56"/>
      <c r="Y475" s="27"/>
      <c r="Z475" s="56"/>
      <c r="AA475" s="27"/>
      <c r="AB475" s="56"/>
      <c r="AC475" s="27"/>
      <c r="AD475" s="56"/>
      <c r="AE475" s="27"/>
      <c r="AF475" s="56"/>
      <c r="AG475" s="27"/>
      <c r="AH475" s="286"/>
      <c r="AI475" s="27"/>
      <c r="AJ475" s="56"/>
      <c r="AK475" s="27"/>
      <c r="AL475" s="56"/>
      <c r="AM475" s="27"/>
      <c r="AN475" s="56"/>
      <c r="AO475" s="27"/>
      <c r="AP475" s="56"/>
      <c r="AQ475" s="27"/>
      <c r="AR475" s="56"/>
      <c r="AS475" s="27"/>
      <c r="AT475" s="56"/>
      <c r="AU475" s="27"/>
      <c r="AV475" s="56"/>
      <c r="AW475" s="27"/>
      <c r="AX475" s="56"/>
      <c r="AY475" s="27"/>
      <c r="AZ475" s="56"/>
      <c r="BA475" s="27"/>
      <c r="BB475" s="48"/>
      <c r="BC475" s="48"/>
      <c r="BD475" s="48"/>
      <c r="BE475" s="48"/>
      <c r="BF475" s="48"/>
      <c r="BG475" s="48"/>
      <c r="BH475" s="48"/>
      <c r="BI475" s="48"/>
      <c r="BJ475" s="48"/>
      <c r="BK475" s="48"/>
      <c r="BL475" s="48"/>
      <c r="BM475" s="48"/>
      <c r="BN475" s="48"/>
      <c r="BO475" s="48"/>
      <c r="BP475" s="48"/>
      <c r="BQ475" s="48"/>
      <c r="BR475" s="48"/>
      <c r="BS475" s="48"/>
      <c r="BT475" s="48"/>
      <c r="BU475" s="48"/>
    </row>
    <row r="476" ht="15.75" customHeight="1">
      <c r="A476" s="48"/>
      <c r="B476" s="48"/>
      <c r="C476" s="48"/>
      <c r="D476" s="48"/>
      <c r="E476" s="27"/>
      <c r="F476" s="48"/>
      <c r="G476" s="48"/>
      <c r="H476" s="56"/>
      <c r="I476" s="56"/>
      <c r="J476" s="56"/>
      <c r="K476" s="56"/>
      <c r="L476" s="56"/>
      <c r="M476" s="56"/>
      <c r="N476" s="56"/>
      <c r="O476" s="56"/>
      <c r="P476" s="56"/>
      <c r="Q476" s="56"/>
      <c r="R476" s="56"/>
      <c r="S476" s="56"/>
      <c r="T476" s="56"/>
      <c r="U476" s="56"/>
      <c r="V476" s="56"/>
      <c r="W476" s="27"/>
      <c r="X476" s="56"/>
      <c r="Y476" s="27"/>
      <c r="Z476" s="56"/>
      <c r="AA476" s="27"/>
      <c r="AB476" s="56"/>
      <c r="AC476" s="27"/>
      <c r="AD476" s="56"/>
      <c r="AE476" s="27"/>
      <c r="AF476" s="56"/>
      <c r="AG476" s="27"/>
      <c r="AH476" s="286"/>
      <c r="AI476" s="27"/>
      <c r="AJ476" s="56"/>
      <c r="AK476" s="27"/>
      <c r="AL476" s="56"/>
      <c r="AM476" s="27"/>
      <c r="AN476" s="56"/>
      <c r="AO476" s="27"/>
      <c r="AP476" s="56"/>
      <c r="AQ476" s="27"/>
      <c r="AR476" s="56"/>
      <c r="AS476" s="27"/>
      <c r="AT476" s="56"/>
      <c r="AU476" s="27"/>
      <c r="AV476" s="56"/>
      <c r="AW476" s="27"/>
      <c r="AX476" s="56"/>
      <c r="AY476" s="27"/>
      <c r="AZ476" s="56"/>
      <c r="BA476" s="27"/>
      <c r="BB476" s="48"/>
      <c r="BC476" s="48"/>
      <c r="BD476" s="48"/>
      <c r="BE476" s="48"/>
      <c r="BF476" s="48"/>
      <c r="BG476" s="48"/>
      <c r="BH476" s="48"/>
      <c r="BI476" s="48"/>
      <c r="BJ476" s="48"/>
      <c r="BK476" s="48"/>
      <c r="BL476" s="48"/>
      <c r="BM476" s="48"/>
      <c r="BN476" s="48"/>
      <c r="BO476" s="48"/>
      <c r="BP476" s="48"/>
      <c r="BQ476" s="48"/>
      <c r="BR476" s="48"/>
      <c r="BS476" s="48"/>
      <c r="BT476" s="48"/>
      <c r="BU476" s="48"/>
    </row>
    <row r="477" ht="15.75" customHeight="1">
      <c r="A477" s="48"/>
      <c r="B477" s="48"/>
      <c r="C477" s="48"/>
      <c r="D477" s="48"/>
      <c r="E477" s="27"/>
      <c r="F477" s="48"/>
      <c r="G477" s="48"/>
      <c r="H477" s="56"/>
      <c r="I477" s="56"/>
      <c r="J477" s="56"/>
      <c r="K477" s="56"/>
      <c r="L477" s="56"/>
      <c r="M477" s="56"/>
      <c r="N477" s="56"/>
      <c r="O477" s="56"/>
      <c r="P477" s="56"/>
      <c r="Q477" s="56"/>
      <c r="R477" s="56"/>
      <c r="S477" s="56"/>
      <c r="T477" s="56"/>
      <c r="U477" s="56"/>
      <c r="V477" s="56"/>
      <c r="W477" s="27"/>
      <c r="X477" s="56"/>
      <c r="Y477" s="27"/>
      <c r="Z477" s="56"/>
      <c r="AA477" s="27"/>
      <c r="AB477" s="56"/>
      <c r="AC477" s="27"/>
      <c r="AD477" s="56"/>
      <c r="AE477" s="27"/>
      <c r="AF477" s="56"/>
      <c r="AG477" s="27"/>
      <c r="AH477" s="286"/>
      <c r="AI477" s="27"/>
      <c r="AJ477" s="56"/>
      <c r="AK477" s="27"/>
      <c r="AL477" s="56"/>
      <c r="AM477" s="27"/>
      <c r="AN477" s="56"/>
      <c r="AO477" s="27"/>
      <c r="AP477" s="56"/>
      <c r="AQ477" s="27"/>
      <c r="AR477" s="56"/>
      <c r="AS477" s="27"/>
      <c r="AT477" s="56"/>
      <c r="AU477" s="27"/>
      <c r="AV477" s="56"/>
      <c r="AW477" s="27"/>
      <c r="AX477" s="56"/>
      <c r="AY477" s="27"/>
      <c r="AZ477" s="56"/>
      <c r="BA477" s="27"/>
      <c r="BB477" s="48"/>
      <c r="BC477" s="48"/>
      <c r="BD477" s="48"/>
      <c r="BE477" s="48"/>
      <c r="BF477" s="48"/>
      <c r="BG477" s="48"/>
      <c r="BH477" s="48"/>
      <c r="BI477" s="48"/>
      <c r="BJ477" s="48"/>
      <c r="BK477" s="48"/>
      <c r="BL477" s="48"/>
      <c r="BM477" s="48"/>
      <c r="BN477" s="48"/>
      <c r="BO477" s="48"/>
      <c r="BP477" s="48"/>
      <c r="BQ477" s="48"/>
      <c r="BR477" s="48"/>
      <c r="BS477" s="48"/>
      <c r="BT477" s="48"/>
      <c r="BU477" s="48"/>
    </row>
    <row r="478" ht="15.75" customHeight="1">
      <c r="A478" s="48"/>
      <c r="B478" s="48"/>
      <c r="C478" s="48"/>
      <c r="D478" s="48"/>
      <c r="E478" s="27"/>
      <c r="F478" s="48"/>
      <c r="G478" s="48"/>
      <c r="H478" s="56"/>
      <c r="I478" s="56"/>
      <c r="J478" s="56"/>
      <c r="K478" s="56"/>
      <c r="L478" s="56"/>
      <c r="M478" s="56"/>
      <c r="N478" s="56"/>
      <c r="O478" s="56"/>
      <c r="P478" s="56"/>
      <c r="Q478" s="56"/>
      <c r="R478" s="56"/>
      <c r="S478" s="56"/>
      <c r="T478" s="56"/>
      <c r="U478" s="56"/>
      <c r="V478" s="56"/>
      <c r="W478" s="27"/>
      <c r="X478" s="56"/>
      <c r="Y478" s="27"/>
      <c r="Z478" s="56"/>
      <c r="AA478" s="27"/>
      <c r="AB478" s="56"/>
      <c r="AC478" s="27"/>
      <c r="AD478" s="56"/>
      <c r="AE478" s="27"/>
      <c r="AF478" s="56"/>
      <c r="AG478" s="27"/>
      <c r="AH478" s="286"/>
      <c r="AI478" s="27"/>
      <c r="AJ478" s="56"/>
      <c r="AK478" s="27"/>
      <c r="AL478" s="56"/>
      <c r="AM478" s="27"/>
      <c r="AN478" s="56"/>
      <c r="AO478" s="27"/>
      <c r="AP478" s="56"/>
      <c r="AQ478" s="27"/>
      <c r="AR478" s="56"/>
      <c r="AS478" s="27"/>
      <c r="AT478" s="56"/>
      <c r="AU478" s="27"/>
      <c r="AV478" s="56"/>
      <c r="AW478" s="27"/>
      <c r="AX478" s="56"/>
      <c r="AY478" s="27"/>
      <c r="AZ478" s="56"/>
      <c r="BA478" s="27"/>
      <c r="BB478" s="48"/>
      <c r="BC478" s="48"/>
      <c r="BD478" s="48"/>
      <c r="BE478" s="48"/>
      <c r="BF478" s="48"/>
      <c r="BG478" s="48"/>
      <c r="BH478" s="48"/>
      <c r="BI478" s="48"/>
      <c r="BJ478" s="48"/>
      <c r="BK478" s="48"/>
      <c r="BL478" s="48"/>
      <c r="BM478" s="48"/>
      <c r="BN478" s="48"/>
      <c r="BO478" s="48"/>
      <c r="BP478" s="48"/>
      <c r="BQ478" s="48"/>
      <c r="BR478" s="48"/>
      <c r="BS478" s="48"/>
      <c r="BT478" s="48"/>
      <c r="BU478" s="48"/>
    </row>
    <row r="479" ht="15.75" customHeight="1">
      <c r="A479" s="48"/>
      <c r="B479" s="48"/>
      <c r="C479" s="48"/>
      <c r="D479" s="48"/>
      <c r="E479" s="27"/>
      <c r="F479" s="48"/>
      <c r="G479" s="48"/>
      <c r="H479" s="56"/>
      <c r="I479" s="56"/>
      <c r="J479" s="56"/>
      <c r="K479" s="56"/>
      <c r="L479" s="56"/>
      <c r="M479" s="56"/>
      <c r="N479" s="56"/>
      <c r="O479" s="56"/>
      <c r="P479" s="56"/>
      <c r="Q479" s="56"/>
      <c r="R479" s="56"/>
      <c r="S479" s="56"/>
      <c r="T479" s="56"/>
      <c r="U479" s="56"/>
      <c r="V479" s="56"/>
      <c r="W479" s="27"/>
      <c r="X479" s="56"/>
      <c r="Y479" s="27"/>
      <c r="Z479" s="56"/>
      <c r="AA479" s="27"/>
      <c r="AB479" s="56"/>
      <c r="AC479" s="27"/>
      <c r="AD479" s="56"/>
      <c r="AE479" s="27"/>
      <c r="AF479" s="56"/>
      <c r="AG479" s="27"/>
      <c r="AH479" s="286"/>
      <c r="AI479" s="27"/>
      <c r="AJ479" s="56"/>
      <c r="AK479" s="27"/>
      <c r="AL479" s="56"/>
      <c r="AM479" s="27"/>
      <c r="AN479" s="56"/>
      <c r="AO479" s="27"/>
      <c r="AP479" s="56"/>
      <c r="AQ479" s="27"/>
      <c r="AR479" s="56"/>
      <c r="AS479" s="27"/>
      <c r="AT479" s="56"/>
      <c r="AU479" s="27"/>
      <c r="AV479" s="56"/>
      <c r="AW479" s="27"/>
      <c r="AX479" s="56"/>
      <c r="AY479" s="27"/>
      <c r="AZ479" s="56"/>
      <c r="BA479" s="27"/>
      <c r="BB479" s="48"/>
      <c r="BC479" s="48"/>
      <c r="BD479" s="48"/>
      <c r="BE479" s="48"/>
      <c r="BF479" s="48"/>
      <c r="BG479" s="48"/>
      <c r="BH479" s="48"/>
      <c r="BI479" s="48"/>
      <c r="BJ479" s="48"/>
      <c r="BK479" s="48"/>
      <c r="BL479" s="48"/>
      <c r="BM479" s="48"/>
      <c r="BN479" s="48"/>
      <c r="BO479" s="48"/>
      <c r="BP479" s="48"/>
      <c r="BQ479" s="48"/>
      <c r="BR479" s="48"/>
      <c r="BS479" s="48"/>
      <c r="BT479" s="48"/>
      <c r="BU479" s="48"/>
    </row>
    <row r="480" ht="15.75" customHeight="1">
      <c r="A480" s="48"/>
      <c r="B480" s="48"/>
      <c r="C480" s="48"/>
      <c r="D480" s="48"/>
      <c r="E480" s="27"/>
      <c r="F480" s="48"/>
      <c r="G480" s="48"/>
      <c r="H480" s="56"/>
      <c r="I480" s="56"/>
      <c r="J480" s="56"/>
      <c r="K480" s="56"/>
      <c r="L480" s="56"/>
      <c r="M480" s="56"/>
      <c r="N480" s="56"/>
      <c r="O480" s="56"/>
      <c r="P480" s="56"/>
      <c r="Q480" s="56"/>
      <c r="R480" s="56"/>
      <c r="S480" s="56"/>
      <c r="T480" s="56"/>
      <c r="U480" s="56"/>
      <c r="V480" s="56"/>
      <c r="W480" s="27"/>
      <c r="X480" s="56"/>
      <c r="Y480" s="27"/>
      <c r="Z480" s="56"/>
      <c r="AA480" s="27"/>
      <c r="AB480" s="56"/>
      <c r="AC480" s="27"/>
      <c r="AD480" s="56"/>
      <c r="AE480" s="27"/>
      <c r="AF480" s="56"/>
      <c r="AG480" s="27"/>
      <c r="AH480" s="286"/>
      <c r="AI480" s="27"/>
      <c r="AJ480" s="56"/>
      <c r="AK480" s="27"/>
      <c r="AL480" s="56"/>
      <c r="AM480" s="27"/>
      <c r="AN480" s="56"/>
      <c r="AO480" s="27"/>
      <c r="AP480" s="56"/>
      <c r="AQ480" s="27"/>
      <c r="AR480" s="56"/>
      <c r="AS480" s="27"/>
      <c r="AT480" s="56"/>
      <c r="AU480" s="27"/>
      <c r="AV480" s="56"/>
      <c r="AW480" s="27"/>
      <c r="AX480" s="56"/>
      <c r="AY480" s="27"/>
      <c r="AZ480" s="56"/>
      <c r="BA480" s="27"/>
      <c r="BB480" s="48"/>
      <c r="BC480" s="48"/>
      <c r="BD480" s="48"/>
      <c r="BE480" s="48"/>
      <c r="BF480" s="48"/>
      <c r="BG480" s="48"/>
      <c r="BH480" s="48"/>
      <c r="BI480" s="48"/>
      <c r="BJ480" s="48"/>
      <c r="BK480" s="48"/>
      <c r="BL480" s="48"/>
      <c r="BM480" s="48"/>
      <c r="BN480" s="48"/>
      <c r="BO480" s="48"/>
      <c r="BP480" s="48"/>
      <c r="BQ480" s="48"/>
      <c r="BR480" s="48"/>
      <c r="BS480" s="48"/>
      <c r="BT480" s="48"/>
      <c r="BU480" s="48"/>
    </row>
    <row r="481" ht="15.75" customHeight="1">
      <c r="A481" s="48"/>
      <c r="B481" s="48"/>
      <c r="C481" s="48"/>
      <c r="D481" s="48"/>
      <c r="E481" s="27"/>
      <c r="F481" s="48"/>
      <c r="G481" s="48"/>
      <c r="H481" s="56"/>
      <c r="I481" s="56"/>
      <c r="J481" s="56"/>
      <c r="K481" s="56"/>
      <c r="L481" s="56"/>
      <c r="M481" s="56"/>
      <c r="N481" s="56"/>
      <c r="O481" s="56"/>
      <c r="P481" s="56"/>
      <c r="Q481" s="56"/>
      <c r="R481" s="56"/>
      <c r="S481" s="56"/>
      <c r="T481" s="56"/>
      <c r="U481" s="56"/>
      <c r="V481" s="56"/>
      <c r="W481" s="27"/>
      <c r="X481" s="56"/>
      <c r="Y481" s="27"/>
      <c r="Z481" s="56"/>
      <c r="AA481" s="27"/>
      <c r="AB481" s="56"/>
      <c r="AC481" s="27"/>
      <c r="AD481" s="56"/>
      <c r="AE481" s="27"/>
      <c r="AF481" s="56"/>
      <c r="AG481" s="27"/>
      <c r="AH481" s="286"/>
      <c r="AI481" s="27"/>
      <c r="AJ481" s="56"/>
      <c r="AK481" s="27"/>
      <c r="AL481" s="56"/>
      <c r="AM481" s="27"/>
      <c r="AN481" s="56"/>
      <c r="AO481" s="27"/>
      <c r="AP481" s="56"/>
      <c r="AQ481" s="27"/>
      <c r="AR481" s="56"/>
      <c r="AS481" s="27"/>
      <c r="AT481" s="56"/>
      <c r="AU481" s="27"/>
      <c r="AV481" s="56"/>
      <c r="AW481" s="27"/>
      <c r="AX481" s="56"/>
      <c r="AY481" s="27"/>
      <c r="AZ481" s="56"/>
      <c r="BA481" s="27"/>
      <c r="BB481" s="48"/>
      <c r="BC481" s="48"/>
      <c r="BD481" s="48"/>
      <c r="BE481" s="48"/>
      <c r="BF481" s="48"/>
      <c r="BG481" s="48"/>
      <c r="BH481" s="48"/>
      <c r="BI481" s="48"/>
      <c r="BJ481" s="48"/>
      <c r="BK481" s="48"/>
      <c r="BL481" s="48"/>
      <c r="BM481" s="48"/>
      <c r="BN481" s="48"/>
      <c r="BO481" s="48"/>
      <c r="BP481" s="48"/>
      <c r="BQ481" s="48"/>
      <c r="BR481" s="48"/>
      <c r="BS481" s="48"/>
      <c r="BT481" s="48"/>
      <c r="BU481" s="48"/>
    </row>
    <row r="482" ht="15.75" customHeight="1">
      <c r="A482" s="48"/>
      <c r="B482" s="48"/>
      <c r="C482" s="48"/>
      <c r="D482" s="48"/>
      <c r="E482" s="27"/>
      <c r="F482" s="48"/>
      <c r="G482" s="48"/>
      <c r="H482" s="56"/>
      <c r="I482" s="56"/>
      <c r="J482" s="56"/>
      <c r="K482" s="56"/>
      <c r="L482" s="56"/>
      <c r="M482" s="56"/>
      <c r="N482" s="56"/>
      <c r="O482" s="56"/>
      <c r="P482" s="56"/>
      <c r="Q482" s="56"/>
      <c r="R482" s="56"/>
      <c r="S482" s="56"/>
      <c r="T482" s="56"/>
      <c r="U482" s="56"/>
      <c r="V482" s="56"/>
      <c r="W482" s="27"/>
      <c r="X482" s="56"/>
      <c r="Y482" s="27"/>
      <c r="Z482" s="56"/>
      <c r="AA482" s="27"/>
      <c r="AB482" s="56"/>
      <c r="AC482" s="27"/>
      <c r="AD482" s="56"/>
      <c r="AE482" s="27"/>
      <c r="AF482" s="56"/>
      <c r="AG482" s="27"/>
      <c r="AH482" s="286"/>
      <c r="AI482" s="27"/>
      <c r="AJ482" s="56"/>
      <c r="AK482" s="27"/>
      <c r="AL482" s="56"/>
      <c r="AM482" s="27"/>
      <c r="AN482" s="56"/>
      <c r="AO482" s="27"/>
      <c r="AP482" s="56"/>
      <c r="AQ482" s="27"/>
      <c r="AR482" s="56"/>
      <c r="AS482" s="27"/>
      <c r="AT482" s="56"/>
      <c r="AU482" s="27"/>
      <c r="AV482" s="56"/>
      <c r="AW482" s="27"/>
      <c r="AX482" s="56"/>
      <c r="AY482" s="27"/>
      <c r="AZ482" s="56"/>
      <c r="BA482" s="27"/>
      <c r="BB482" s="48"/>
      <c r="BC482" s="48"/>
      <c r="BD482" s="48"/>
      <c r="BE482" s="48"/>
      <c r="BF482" s="48"/>
      <c r="BG482" s="48"/>
      <c r="BH482" s="48"/>
      <c r="BI482" s="48"/>
      <c r="BJ482" s="48"/>
      <c r="BK482" s="48"/>
      <c r="BL482" s="48"/>
      <c r="BM482" s="48"/>
      <c r="BN482" s="48"/>
      <c r="BO482" s="48"/>
      <c r="BP482" s="48"/>
      <c r="BQ482" s="48"/>
      <c r="BR482" s="48"/>
      <c r="BS482" s="48"/>
      <c r="BT482" s="48"/>
      <c r="BU482" s="48"/>
    </row>
    <row r="483" ht="15.75" customHeight="1">
      <c r="A483" s="48"/>
      <c r="B483" s="48"/>
      <c r="C483" s="48"/>
      <c r="D483" s="48"/>
      <c r="E483" s="27"/>
      <c r="F483" s="48"/>
      <c r="G483" s="48"/>
      <c r="H483" s="56"/>
      <c r="I483" s="56"/>
      <c r="J483" s="56"/>
      <c r="K483" s="56"/>
      <c r="L483" s="56"/>
      <c r="M483" s="56"/>
      <c r="N483" s="56"/>
      <c r="O483" s="56"/>
      <c r="P483" s="56"/>
      <c r="Q483" s="56"/>
      <c r="R483" s="56"/>
      <c r="S483" s="56"/>
      <c r="T483" s="56"/>
      <c r="U483" s="56"/>
      <c r="V483" s="56"/>
      <c r="W483" s="27"/>
      <c r="X483" s="56"/>
      <c r="Y483" s="27"/>
      <c r="Z483" s="56"/>
      <c r="AA483" s="27"/>
      <c r="AB483" s="56"/>
      <c r="AC483" s="27"/>
      <c r="AD483" s="56"/>
      <c r="AE483" s="27"/>
      <c r="AF483" s="56"/>
      <c r="AG483" s="27"/>
      <c r="AH483" s="286"/>
      <c r="AI483" s="27"/>
      <c r="AJ483" s="56"/>
      <c r="AK483" s="27"/>
      <c r="AL483" s="56"/>
      <c r="AM483" s="27"/>
      <c r="AN483" s="56"/>
      <c r="AO483" s="27"/>
      <c r="AP483" s="56"/>
      <c r="AQ483" s="27"/>
      <c r="AR483" s="56"/>
      <c r="AS483" s="27"/>
      <c r="AT483" s="56"/>
      <c r="AU483" s="27"/>
      <c r="AV483" s="56"/>
      <c r="AW483" s="27"/>
      <c r="AX483" s="56"/>
      <c r="AY483" s="27"/>
      <c r="AZ483" s="56"/>
      <c r="BA483" s="27"/>
      <c r="BB483" s="48"/>
      <c r="BC483" s="48"/>
      <c r="BD483" s="48"/>
      <c r="BE483" s="48"/>
      <c r="BF483" s="48"/>
      <c r="BG483" s="48"/>
      <c r="BH483" s="48"/>
      <c r="BI483" s="48"/>
      <c r="BJ483" s="48"/>
      <c r="BK483" s="48"/>
      <c r="BL483" s="48"/>
      <c r="BM483" s="48"/>
      <c r="BN483" s="48"/>
      <c r="BO483" s="48"/>
      <c r="BP483" s="48"/>
      <c r="BQ483" s="48"/>
      <c r="BR483" s="48"/>
      <c r="BS483" s="48"/>
      <c r="BT483" s="48"/>
      <c r="BU483" s="48"/>
    </row>
    <row r="484" ht="15.75" customHeight="1">
      <c r="A484" s="48"/>
      <c r="B484" s="48"/>
      <c r="C484" s="48"/>
      <c r="D484" s="48"/>
      <c r="E484" s="27"/>
      <c r="F484" s="48"/>
      <c r="G484" s="48"/>
      <c r="H484" s="56"/>
      <c r="I484" s="56"/>
      <c r="J484" s="56"/>
      <c r="K484" s="56"/>
      <c r="L484" s="56"/>
      <c r="M484" s="56"/>
      <c r="N484" s="56"/>
      <c r="O484" s="56"/>
      <c r="P484" s="56"/>
      <c r="Q484" s="56"/>
      <c r="R484" s="56"/>
      <c r="S484" s="56"/>
      <c r="T484" s="56"/>
      <c r="U484" s="56"/>
      <c r="V484" s="56"/>
      <c r="W484" s="27"/>
      <c r="X484" s="56"/>
      <c r="Y484" s="27"/>
      <c r="Z484" s="56"/>
      <c r="AA484" s="27"/>
      <c r="AB484" s="56"/>
      <c r="AC484" s="27"/>
      <c r="AD484" s="56"/>
      <c r="AE484" s="27"/>
      <c r="AF484" s="56"/>
      <c r="AG484" s="27"/>
      <c r="AH484" s="286"/>
      <c r="AI484" s="27"/>
      <c r="AJ484" s="56"/>
      <c r="AK484" s="27"/>
      <c r="AL484" s="56"/>
      <c r="AM484" s="27"/>
      <c r="AN484" s="56"/>
      <c r="AO484" s="27"/>
      <c r="AP484" s="56"/>
      <c r="AQ484" s="27"/>
      <c r="AR484" s="56"/>
      <c r="AS484" s="27"/>
      <c r="AT484" s="56"/>
      <c r="AU484" s="27"/>
      <c r="AV484" s="56"/>
      <c r="AW484" s="27"/>
      <c r="AX484" s="56"/>
      <c r="AY484" s="27"/>
      <c r="AZ484" s="56"/>
      <c r="BA484" s="27"/>
      <c r="BB484" s="48"/>
      <c r="BC484" s="48"/>
      <c r="BD484" s="48"/>
      <c r="BE484" s="48"/>
      <c r="BF484" s="48"/>
      <c r="BG484" s="48"/>
      <c r="BH484" s="48"/>
      <c r="BI484" s="48"/>
      <c r="BJ484" s="48"/>
      <c r="BK484" s="48"/>
      <c r="BL484" s="48"/>
      <c r="BM484" s="48"/>
      <c r="BN484" s="48"/>
      <c r="BO484" s="48"/>
      <c r="BP484" s="48"/>
      <c r="BQ484" s="48"/>
      <c r="BR484" s="48"/>
      <c r="BS484" s="48"/>
      <c r="BT484" s="48"/>
      <c r="BU484" s="48"/>
    </row>
    <row r="485" ht="15.75" customHeight="1">
      <c r="A485" s="48"/>
      <c r="B485" s="48"/>
      <c r="C485" s="48"/>
      <c r="D485" s="48"/>
      <c r="E485" s="27"/>
      <c r="F485" s="48"/>
      <c r="G485" s="48"/>
      <c r="H485" s="56"/>
      <c r="I485" s="56"/>
      <c r="J485" s="56"/>
      <c r="K485" s="56"/>
      <c r="L485" s="56"/>
      <c r="M485" s="56"/>
      <c r="N485" s="56"/>
      <c r="O485" s="56"/>
      <c r="P485" s="56"/>
      <c r="Q485" s="56"/>
      <c r="R485" s="56"/>
      <c r="S485" s="56"/>
      <c r="T485" s="56"/>
      <c r="U485" s="56"/>
      <c r="V485" s="56"/>
      <c r="W485" s="27"/>
      <c r="X485" s="56"/>
      <c r="Y485" s="27"/>
      <c r="Z485" s="56"/>
      <c r="AA485" s="27"/>
      <c r="AB485" s="56"/>
      <c r="AC485" s="27"/>
      <c r="AD485" s="56"/>
      <c r="AE485" s="27"/>
      <c r="AF485" s="56"/>
      <c r="AG485" s="27"/>
      <c r="AH485" s="286"/>
      <c r="AI485" s="27"/>
      <c r="AJ485" s="56"/>
      <c r="AK485" s="27"/>
      <c r="AL485" s="56"/>
      <c r="AM485" s="27"/>
      <c r="AN485" s="56"/>
      <c r="AO485" s="27"/>
      <c r="AP485" s="56"/>
      <c r="AQ485" s="27"/>
      <c r="AR485" s="56"/>
      <c r="AS485" s="27"/>
      <c r="AT485" s="56"/>
      <c r="AU485" s="27"/>
      <c r="AV485" s="56"/>
      <c r="AW485" s="27"/>
      <c r="AX485" s="56"/>
      <c r="AY485" s="27"/>
      <c r="AZ485" s="56"/>
      <c r="BA485" s="27"/>
      <c r="BB485" s="48"/>
      <c r="BC485" s="48"/>
      <c r="BD485" s="48"/>
      <c r="BE485" s="48"/>
      <c r="BF485" s="48"/>
      <c r="BG485" s="48"/>
      <c r="BH485" s="48"/>
      <c r="BI485" s="48"/>
      <c r="BJ485" s="48"/>
      <c r="BK485" s="48"/>
      <c r="BL485" s="48"/>
      <c r="BM485" s="48"/>
      <c r="BN485" s="48"/>
      <c r="BO485" s="48"/>
      <c r="BP485" s="48"/>
      <c r="BQ485" s="48"/>
      <c r="BR485" s="48"/>
      <c r="BS485" s="48"/>
      <c r="BT485" s="48"/>
      <c r="BU485" s="48"/>
    </row>
    <row r="486" ht="15.75" customHeight="1">
      <c r="A486" s="48"/>
      <c r="B486" s="48"/>
      <c r="C486" s="48"/>
      <c r="D486" s="48"/>
      <c r="E486" s="27"/>
      <c r="F486" s="48"/>
      <c r="G486" s="48"/>
      <c r="H486" s="56"/>
      <c r="I486" s="56"/>
      <c r="J486" s="56"/>
      <c r="K486" s="56"/>
      <c r="L486" s="56"/>
      <c r="M486" s="56"/>
      <c r="N486" s="56"/>
      <c r="O486" s="56"/>
      <c r="P486" s="56"/>
      <c r="Q486" s="56"/>
      <c r="R486" s="56"/>
      <c r="S486" s="56"/>
      <c r="T486" s="56"/>
      <c r="U486" s="56"/>
      <c r="V486" s="56"/>
      <c r="W486" s="27"/>
      <c r="X486" s="56"/>
      <c r="Y486" s="27"/>
      <c r="Z486" s="56"/>
      <c r="AA486" s="27"/>
      <c r="AB486" s="56"/>
      <c r="AC486" s="27"/>
      <c r="AD486" s="56"/>
      <c r="AE486" s="27"/>
      <c r="AF486" s="56"/>
      <c r="AG486" s="27"/>
      <c r="AH486" s="286"/>
      <c r="AI486" s="27"/>
      <c r="AJ486" s="56"/>
      <c r="AK486" s="27"/>
      <c r="AL486" s="56"/>
      <c r="AM486" s="27"/>
      <c r="AN486" s="56"/>
      <c r="AO486" s="27"/>
      <c r="AP486" s="56"/>
      <c r="AQ486" s="27"/>
      <c r="AR486" s="56"/>
      <c r="AS486" s="27"/>
      <c r="AT486" s="56"/>
      <c r="AU486" s="27"/>
      <c r="AV486" s="56"/>
      <c r="AW486" s="27"/>
      <c r="AX486" s="56"/>
      <c r="AY486" s="27"/>
      <c r="AZ486" s="56"/>
      <c r="BA486" s="27"/>
      <c r="BB486" s="48"/>
      <c r="BC486" s="48"/>
      <c r="BD486" s="48"/>
      <c r="BE486" s="48"/>
      <c r="BF486" s="48"/>
      <c r="BG486" s="48"/>
      <c r="BH486" s="48"/>
      <c r="BI486" s="48"/>
      <c r="BJ486" s="48"/>
      <c r="BK486" s="48"/>
      <c r="BL486" s="48"/>
      <c r="BM486" s="48"/>
      <c r="BN486" s="48"/>
      <c r="BO486" s="48"/>
      <c r="BP486" s="48"/>
      <c r="BQ486" s="48"/>
      <c r="BR486" s="48"/>
      <c r="BS486" s="48"/>
      <c r="BT486" s="48"/>
      <c r="BU486" s="48"/>
    </row>
    <row r="487" ht="15.75" customHeight="1">
      <c r="A487" s="48"/>
      <c r="B487" s="48"/>
      <c r="C487" s="48"/>
      <c r="D487" s="48"/>
      <c r="E487" s="27"/>
      <c r="F487" s="48"/>
      <c r="G487" s="48"/>
      <c r="H487" s="56"/>
      <c r="I487" s="56"/>
      <c r="J487" s="56"/>
      <c r="K487" s="56"/>
      <c r="L487" s="56"/>
      <c r="M487" s="56"/>
      <c r="N487" s="56"/>
      <c r="O487" s="56"/>
      <c r="P487" s="56"/>
      <c r="Q487" s="56"/>
      <c r="R487" s="56"/>
      <c r="S487" s="56"/>
      <c r="T487" s="56"/>
      <c r="U487" s="56"/>
      <c r="V487" s="56"/>
      <c r="W487" s="27"/>
      <c r="X487" s="56"/>
      <c r="Y487" s="27"/>
      <c r="Z487" s="56"/>
      <c r="AA487" s="27"/>
      <c r="AB487" s="56"/>
      <c r="AC487" s="27"/>
      <c r="AD487" s="56"/>
      <c r="AE487" s="27"/>
      <c r="AF487" s="56"/>
      <c r="AG487" s="27"/>
      <c r="AH487" s="286"/>
      <c r="AI487" s="27"/>
      <c r="AJ487" s="56"/>
      <c r="AK487" s="27"/>
      <c r="AL487" s="56"/>
      <c r="AM487" s="27"/>
      <c r="AN487" s="56"/>
      <c r="AO487" s="27"/>
      <c r="AP487" s="56"/>
      <c r="AQ487" s="27"/>
      <c r="AR487" s="56"/>
      <c r="AS487" s="27"/>
      <c r="AT487" s="56"/>
      <c r="AU487" s="27"/>
      <c r="AV487" s="56"/>
      <c r="AW487" s="27"/>
      <c r="AX487" s="56"/>
      <c r="AY487" s="27"/>
      <c r="AZ487" s="56"/>
      <c r="BA487" s="27"/>
      <c r="BB487" s="48"/>
      <c r="BC487" s="48"/>
      <c r="BD487" s="48"/>
      <c r="BE487" s="48"/>
      <c r="BF487" s="48"/>
      <c r="BG487" s="48"/>
      <c r="BH487" s="48"/>
      <c r="BI487" s="48"/>
      <c r="BJ487" s="48"/>
      <c r="BK487" s="48"/>
      <c r="BL487" s="48"/>
      <c r="BM487" s="48"/>
      <c r="BN487" s="48"/>
      <c r="BO487" s="48"/>
      <c r="BP487" s="48"/>
      <c r="BQ487" s="48"/>
      <c r="BR487" s="48"/>
      <c r="BS487" s="48"/>
      <c r="BT487" s="48"/>
      <c r="BU487" s="48"/>
    </row>
    <row r="488" ht="15.75" customHeight="1">
      <c r="A488" s="48"/>
      <c r="B488" s="48"/>
      <c r="C488" s="48"/>
      <c r="D488" s="48"/>
      <c r="E488" s="27"/>
      <c r="F488" s="48"/>
      <c r="G488" s="48"/>
      <c r="H488" s="56"/>
      <c r="I488" s="56"/>
      <c r="J488" s="56"/>
      <c r="K488" s="56"/>
      <c r="L488" s="56"/>
      <c r="M488" s="56"/>
      <c r="N488" s="56"/>
      <c r="O488" s="56"/>
      <c r="P488" s="56"/>
      <c r="Q488" s="56"/>
      <c r="R488" s="56"/>
      <c r="S488" s="56"/>
      <c r="T488" s="56"/>
      <c r="U488" s="56"/>
      <c r="V488" s="56"/>
      <c r="W488" s="27"/>
      <c r="X488" s="56"/>
      <c r="Y488" s="27"/>
      <c r="Z488" s="56"/>
      <c r="AA488" s="27"/>
      <c r="AB488" s="56"/>
      <c r="AC488" s="27"/>
      <c r="AD488" s="56"/>
      <c r="AE488" s="27"/>
      <c r="AF488" s="56"/>
      <c r="AG488" s="27"/>
      <c r="AH488" s="286"/>
      <c r="AI488" s="27"/>
      <c r="AJ488" s="56"/>
      <c r="AK488" s="27"/>
      <c r="AL488" s="56"/>
      <c r="AM488" s="27"/>
      <c r="AN488" s="56"/>
      <c r="AO488" s="27"/>
      <c r="AP488" s="56"/>
      <c r="AQ488" s="27"/>
      <c r="AR488" s="56"/>
      <c r="AS488" s="27"/>
      <c r="AT488" s="56"/>
      <c r="AU488" s="27"/>
      <c r="AV488" s="56"/>
      <c r="AW488" s="27"/>
      <c r="AX488" s="56"/>
      <c r="AY488" s="27"/>
      <c r="AZ488" s="56"/>
      <c r="BA488" s="27"/>
      <c r="BB488" s="48"/>
      <c r="BC488" s="48"/>
      <c r="BD488" s="48"/>
      <c r="BE488" s="48"/>
      <c r="BF488" s="48"/>
      <c r="BG488" s="48"/>
      <c r="BH488" s="48"/>
      <c r="BI488" s="48"/>
      <c r="BJ488" s="48"/>
      <c r="BK488" s="48"/>
      <c r="BL488" s="48"/>
      <c r="BM488" s="48"/>
      <c r="BN488" s="48"/>
      <c r="BO488" s="48"/>
      <c r="BP488" s="48"/>
      <c r="BQ488" s="48"/>
      <c r="BR488" s="48"/>
      <c r="BS488" s="48"/>
      <c r="BT488" s="48"/>
      <c r="BU488" s="48"/>
    </row>
    <row r="489" ht="15.75" customHeight="1">
      <c r="A489" s="48"/>
      <c r="B489" s="48"/>
      <c r="C489" s="48"/>
      <c r="D489" s="48"/>
      <c r="E489" s="27"/>
      <c r="F489" s="48"/>
      <c r="G489" s="48"/>
      <c r="H489" s="56"/>
      <c r="I489" s="56"/>
      <c r="J489" s="56"/>
      <c r="K489" s="56"/>
      <c r="L489" s="56"/>
      <c r="M489" s="56"/>
      <c r="N489" s="56"/>
      <c r="O489" s="56"/>
      <c r="P489" s="56"/>
      <c r="Q489" s="56"/>
      <c r="R489" s="56"/>
      <c r="S489" s="56"/>
      <c r="T489" s="56"/>
      <c r="U489" s="56"/>
      <c r="V489" s="56"/>
      <c r="W489" s="27"/>
      <c r="X489" s="56"/>
      <c r="Y489" s="27"/>
      <c r="Z489" s="56"/>
      <c r="AA489" s="27"/>
      <c r="AB489" s="56"/>
      <c r="AC489" s="27"/>
      <c r="AD489" s="56"/>
      <c r="AE489" s="27"/>
      <c r="AF489" s="56"/>
      <c r="AG489" s="27"/>
      <c r="AH489" s="286"/>
      <c r="AI489" s="27"/>
      <c r="AJ489" s="56"/>
      <c r="AK489" s="27"/>
      <c r="AL489" s="56"/>
      <c r="AM489" s="27"/>
      <c r="AN489" s="56"/>
      <c r="AO489" s="27"/>
      <c r="AP489" s="56"/>
      <c r="AQ489" s="27"/>
      <c r="AR489" s="56"/>
      <c r="AS489" s="27"/>
      <c r="AT489" s="56"/>
      <c r="AU489" s="27"/>
      <c r="AV489" s="56"/>
      <c r="AW489" s="27"/>
      <c r="AX489" s="56"/>
      <c r="AY489" s="27"/>
      <c r="AZ489" s="56"/>
      <c r="BA489" s="27"/>
      <c r="BB489" s="48"/>
      <c r="BC489" s="48"/>
      <c r="BD489" s="48"/>
      <c r="BE489" s="48"/>
      <c r="BF489" s="48"/>
      <c r="BG489" s="48"/>
      <c r="BH489" s="48"/>
      <c r="BI489" s="48"/>
      <c r="BJ489" s="48"/>
      <c r="BK489" s="48"/>
      <c r="BL489" s="48"/>
      <c r="BM489" s="48"/>
      <c r="BN489" s="48"/>
      <c r="BO489" s="48"/>
      <c r="BP489" s="48"/>
      <c r="BQ489" s="48"/>
      <c r="BR489" s="48"/>
      <c r="BS489" s="48"/>
      <c r="BT489" s="48"/>
      <c r="BU489" s="48"/>
    </row>
    <row r="490" ht="15.75" customHeight="1">
      <c r="A490" s="48"/>
      <c r="B490" s="48"/>
      <c r="C490" s="48"/>
      <c r="D490" s="48"/>
      <c r="E490" s="27"/>
      <c r="F490" s="48"/>
      <c r="G490" s="48"/>
      <c r="H490" s="56"/>
      <c r="I490" s="56"/>
      <c r="J490" s="56"/>
      <c r="K490" s="56"/>
      <c r="L490" s="56"/>
      <c r="M490" s="56"/>
      <c r="N490" s="56"/>
      <c r="O490" s="56"/>
      <c r="P490" s="56"/>
      <c r="Q490" s="56"/>
      <c r="R490" s="56"/>
      <c r="S490" s="56"/>
      <c r="T490" s="56"/>
      <c r="U490" s="56"/>
      <c r="V490" s="56"/>
      <c r="W490" s="27"/>
      <c r="X490" s="56"/>
      <c r="Y490" s="27"/>
      <c r="Z490" s="56"/>
      <c r="AA490" s="27"/>
      <c r="AB490" s="56"/>
      <c r="AC490" s="27"/>
      <c r="AD490" s="56"/>
      <c r="AE490" s="27"/>
      <c r="AF490" s="56"/>
      <c r="AG490" s="27"/>
      <c r="AH490" s="286"/>
      <c r="AI490" s="27"/>
      <c r="AJ490" s="56"/>
      <c r="AK490" s="27"/>
      <c r="AL490" s="56"/>
      <c r="AM490" s="27"/>
      <c r="AN490" s="56"/>
      <c r="AO490" s="27"/>
      <c r="AP490" s="56"/>
      <c r="AQ490" s="27"/>
      <c r="AR490" s="56"/>
      <c r="AS490" s="27"/>
      <c r="AT490" s="56"/>
      <c r="AU490" s="27"/>
      <c r="AV490" s="56"/>
      <c r="AW490" s="27"/>
      <c r="AX490" s="56"/>
      <c r="AY490" s="27"/>
      <c r="AZ490" s="56"/>
      <c r="BA490" s="27"/>
      <c r="BB490" s="48"/>
      <c r="BC490" s="48"/>
      <c r="BD490" s="48"/>
      <c r="BE490" s="48"/>
      <c r="BF490" s="48"/>
      <c r="BG490" s="48"/>
      <c r="BH490" s="48"/>
      <c r="BI490" s="48"/>
      <c r="BJ490" s="48"/>
      <c r="BK490" s="48"/>
      <c r="BL490" s="48"/>
      <c r="BM490" s="48"/>
      <c r="BN490" s="48"/>
      <c r="BO490" s="48"/>
      <c r="BP490" s="48"/>
      <c r="BQ490" s="48"/>
      <c r="BR490" s="48"/>
      <c r="BS490" s="48"/>
      <c r="BT490" s="48"/>
      <c r="BU490" s="48"/>
    </row>
    <row r="491" ht="15.75" customHeight="1">
      <c r="A491" s="48"/>
      <c r="B491" s="48"/>
      <c r="C491" s="48"/>
      <c r="D491" s="48"/>
      <c r="E491" s="27"/>
      <c r="F491" s="48"/>
      <c r="G491" s="48"/>
      <c r="H491" s="56"/>
      <c r="I491" s="56"/>
      <c r="J491" s="56"/>
      <c r="K491" s="56"/>
      <c r="L491" s="56"/>
      <c r="M491" s="56"/>
      <c r="N491" s="56"/>
      <c r="O491" s="56"/>
      <c r="P491" s="56"/>
      <c r="Q491" s="56"/>
      <c r="R491" s="56"/>
      <c r="S491" s="56"/>
      <c r="T491" s="56"/>
      <c r="U491" s="56"/>
      <c r="V491" s="56"/>
      <c r="W491" s="27"/>
      <c r="X491" s="56"/>
      <c r="Y491" s="27"/>
      <c r="Z491" s="56"/>
      <c r="AA491" s="27"/>
      <c r="AB491" s="56"/>
      <c r="AC491" s="27"/>
      <c r="AD491" s="56"/>
      <c r="AE491" s="27"/>
      <c r="AF491" s="56"/>
      <c r="AG491" s="27"/>
      <c r="AH491" s="286"/>
      <c r="AI491" s="27"/>
      <c r="AJ491" s="56"/>
      <c r="AK491" s="27"/>
      <c r="AL491" s="56"/>
      <c r="AM491" s="27"/>
      <c r="AN491" s="56"/>
      <c r="AO491" s="27"/>
      <c r="AP491" s="56"/>
      <c r="AQ491" s="27"/>
      <c r="AR491" s="56"/>
      <c r="AS491" s="27"/>
      <c r="AT491" s="56"/>
      <c r="AU491" s="27"/>
      <c r="AV491" s="56"/>
      <c r="AW491" s="27"/>
      <c r="AX491" s="56"/>
      <c r="AY491" s="27"/>
      <c r="AZ491" s="56"/>
      <c r="BA491" s="27"/>
      <c r="BB491" s="48"/>
      <c r="BC491" s="48"/>
      <c r="BD491" s="48"/>
      <c r="BE491" s="48"/>
      <c r="BF491" s="48"/>
      <c r="BG491" s="48"/>
      <c r="BH491" s="48"/>
      <c r="BI491" s="48"/>
      <c r="BJ491" s="48"/>
      <c r="BK491" s="48"/>
      <c r="BL491" s="48"/>
      <c r="BM491" s="48"/>
      <c r="BN491" s="48"/>
      <c r="BO491" s="48"/>
      <c r="BP491" s="48"/>
      <c r="BQ491" s="48"/>
      <c r="BR491" s="48"/>
      <c r="BS491" s="48"/>
      <c r="BT491" s="48"/>
      <c r="BU491" s="48"/>
    </row>
    <row r="492" ht="15.75" customHeight="1">
      <c r="A492" s="48"/>
      <c r="B492" s="48"/>
      <c r="C492" s="48"/>
      <c r="D492" s="48"/>
      <c r="E492" s="27"/>
      <c r="F492" s="48"/>
      <c r="G492" s="48"/>
      <c r="H492" s="56"/>
      <c r="I492" s="56"/>
      <c r="J492" s="56"/>
      <c r="K492" s="56"/>
      <c r="L492" s="56"/>
      <c r="M492" s="56"/>
      <c r="N492" s="56"/>
      <c r="O492" s="56"/>
      <c r="P492" s="56"/>
      <c r="Q492" s="56"/>
      <c r="R492" s="56"/>
      <c r="S492" s="56"/>
      <c r="T492" s="56"/>
      <c r="U492" s="56"/>
      <c r="V492" s="56"/>
      <c r="W492" s="27"/>
      <c r="X492" s="56"/>
      <c r="Y492" s="27"/>
      <c r="Z492" s="56"/>
      <c r="AA492" s="27"/>
      <c r="AB492" s="56"/>
      <c r="AC492" s="27"/>
      <c r="AD492" s="56"/>
      <c r="AE492" s="27"/>
      <c r="AF492" s="56"/>
      <c r="AG492" s="27"/>
      <c r="AH492" s="286"/>
      <c r="AI492" s="27"/>
      <c r="AJ492" s="56"/>
      <c r="AK492" s="27"/>
      <c r="AL492" s="56"/>
      <c r="AM492" s="27"/>
      <c r="AN492" s="56"/>
      <c r="AO492" s="27"/>
      <c r="AP492" s="56"/>
      <c r="AQ492" s="27"/>
      <c r="AR492" s="56"/>
      <c r="AS492" s="27"/>
      <c r="AT492" s="56"/>
      <c r="AU492" s="27"/>
      <c r="AV492" s="56"/>
      <c r="AW492" s="27"/>
      <c r="AX492" s="56"/>
      <c r="AY492" s="27"/>
      <c r="AZ492" s="56"/>
      <c r="BA492" s="27"/>
      <c r="BB492" s="48"/>
      <c r="BC492" s="48"/>
      <c r="BD492" s="48"/>
      <c r="BE492" s="48"/>
      <c r="BF492" s="48"/>
      <c r="BG492" s="48"/>
      <c r="BH492" s="48"/>
      <c r="BI492" s="48"/>
      <c r="BJ492" s="48"/>
      <c r="BK492" s="48"/>
      <c r="BL492" s="48"/>
      <c r="BM492" s="48"/>
      <c r="BN492" s="48"/>
      <c r="BO492" s="48"/>
      <c r="BP492" s="48"/>
      <c r="BQ492" s="48"/>
      <c r="BR492" s="48"/>
      <c r="BS492" s="48"/>
      <c r="BT492" s="48"/>
      <c r="BU492" s="48"/>
    </row>
    <row r="493" ht="15.75" customHeight="1">
      <c r="A493" s="48"/>
      <c r="B493" s="48"/>
      <c r="C493" s="48"/>
      <c r="D493" s="48"/>
      <c r="E493" s="27"/>
      <c r="F493" s="48"/>
      <c r="G493" s="48"/>
      <c r="H493" s="56"/>
      <c r="I493" s="56"/>
      <c r="J493" s="56"/>
      <c r="K493" s="56"/>
      <c r="L493" s="56"/>
      <c r="M493" s="56"/>
      <c r="N493" s="56"/>
      <c r="O493" s="56"/>
      <c r="P493" s="56"/>
      <c r="Q493" s="56"/>
      <c r="R493" s="56"/>
      <c r="S493" s="56"/>
      <c r="T493" s="56"/>
      <c r="U493" s="56"/>
      <c r="V493" s="56"/>
      <c r="W493" s="27"/>
      <c r="X493" s="56"/>
      <c r="Y493" s="27"/>
      <c r="Z493" s="56"/>
      <c r="AA493" s="27"/>
      <c r="AB493" s="56"/>
      <c r="AC493" s="27"/>
      <c r="AD493" s="56"/>
      <c r="AE493" s="27"/>
      <c r="AF493" s="56"/>
      <c r="AG493" s="27"/>
      <c r="AH493" s="286"/>
      <c r="AI493" s="27"/>
      <c r="AJ493" s="56"/>
      <c r="AK493" s="27"/>
      <c r="AL493" s="56"/>
      <c r="AM493" s="27"/>
      <c r="AN493" s="56"/>
      <c r="AO493" s="27"/>
      <c r="AP493" s="56"/>
      <c r="AQ493" s="27"/>
      <c r="AR493" s="56"/>
      <c r="AS493" s="27"/>
      <c r="AT493" s="56"/>
      <c r="AU493" s="27"/>
      <c r="AV493" s="56"/>
      <c r="AW493" s="27"/>
      <c r="AX493" s="56"/>
      <c r="AY493" s="27"/>
      <c r="AZ493" s="56"/>
      <c r="BA493" s="27"/>
      <c r="BB493" s="48"/>
      <c r="BC493" s="48"/>
      <c r="BD493" s="48"/>
      <c r="BE493" s="48"/>
      <c r="BF493" s="48"/>
      <c r="BG493" s="48"/>
      <c r="BH493" s="48"/>
      <c r="BI493" s="48"/>
      <c r="BJ493" s="48"/>
      <c r="BK493" s="48"/>
      <c r="BL493" s="48"/>
      <c r="BM493" s="48"/>
      <c r="BN493" s="48"/>
      <c r="BO493" s="48"/>
      <c r="BP493" s="48"/>
      <c r="BQ493" s="48"/>
      <c r="BR493" s="48"/>
      <c r="BS493" s="48"/>
      <c r="BT493" s="48"/>
      <c r="BU493" s="48"/>
    </row>
    <row r="494" ht="15.75" customHeight="1">
      <c r="A494" s="48"/>
      <c r="B494" s="48"/>
      <c r="C494" s="48"/>
      <c r="D494" s="48"/>
      <c r="E494" s="27"/>
      <c r="F494" s="48"/>
      <c r="G494" s="48"/>
      <c r="H494" s="56"/>
      <c r="I494" s="56"/>
      <c r="J494" s="56"/>
      <c r="K494" s="56"/>
      <c r="L494" s="56"/>
      <c r="M494" s="56"/>
      <c r="N494" s="56"/>
      <c r="O494" s="56"/>
      <c r="P494" s="56"/>
      <c r="Q494" s="56"/>
      <c r="R494" s="56"/>
      <c r="S494" s="56"/>
      <c r="T494" s="56"/>
      <c r="U494" s="56"/>
      <c r="V494" s="56"/>
      <c r="W494" s="27"/>
      <c r="X494" s="56"/>
      <c r="Y494" s="27"/>
      <c r="Z494" s="56"/>
      <c r="AA494" s="27"/>
      <c r="AB494" s="56"/>
      <c r="AC494" s="27"/>
      <c r="AD494" s="56"/>
      <c r="AE494" s="27"/>
      <c r="AF494" s="56"/>
      <c r="AG494" s="27"/>
      <c r="AH494" s="286"/>
      <c r="AI494" s="27"/>
      <c r="AJ494" s="56"/>
      <c r="AK494" s="27"/>
      <c r="AL494" s="56"/>
      <c r="AM494" s="27"/>
      <c r="AN494" s="56"/>
      <c r="AO494" s="27"/>
      <c r="AP494" s="56"/>
      <c r="AQ494" s="27"/>
      <c r="AR494" s="56"/>
      <c r="AS494" s="27"/>
      <c r="AT494" s="56"/>
      <c r="AU494" s="27"/>
      <c r="AV494" s="56"/>
      <c r="AW494" s="27"/>
      <c r="AX494" s="56"/>
      <c r="AY494" s="27"/>
      <c r="AZ494" s="56"/>
      <c r="BA494" s="27"/>
      <c r="BB494" s="48"/>
      <c r="BC494" s="48"/>
      <c r="BD494" s="48"/>
      <c r="BE494" s="48"/>
      <c r="BF494" s="48"/>
      <c r="BG494" s="48"/>
      <c r="BH494" s="48"/>
      <c r="BI494" s="48"/>
      <c r="BJ494" s="48"/>
      <c r="BK494" s="48"/>
      <c r="BL494" s="48"/>
      <c r="BM494" s="48"/>
      <c r="BN494" s="48"/>
      <c r="BO494" s="48"/>
      <c r="BP494" s="48"/>
      <c r="BQ494" s="48"/>
      <c r="BR494" s="48"/>
      <c r="BS494" s="48"/>
      <c r="BT494" s="48"/>
      <c r="BU494" s="48"/>
    </row>
    <row r="495" ht="15.75" customHeight="1">
      <c r="A495" s="48"/>
      <c r="B495" s="48"/>
      <c r="C495" s="48"/>
      <c r="D495" s="48"/>
      <c r="E495" s="27"/>
      <c r="F495" s="48"/>
      <c r="G495" s="48"/>
      <c r="H495" s="56"/>
      <c r="I495" s="56"/>
      <c r="J495" s="56"/>
      <c r="K495" s="56"/>
      <c r="L495" s="56"/>
      <c r="M495" s="56"/>
      <c r="N495" s="56"/>
      <c r="O495" s="56"/>
      <c r="P495" s="56"/>
      <c r="Q495" s="56"/>
      <c r="R495" s="56"/>
      <c r="S495" s="56"/>
      <c r="T495" s="56"/>
      <c r="U495" s="56"/>
      <c r="V495" s="56"/>
      <c r="W495" s="27"/>
      <c r="X495" s="56"/>
      <c r="Y495" s="27"/>
      <c r="Z495" s="56"/>
      <c r="AA495" s="27"/>
      <c r="AB495" s="56"/>
      <c r="AC495" s="27"/>
      <c r="AD495" s="56"/>
      <c r="AE495" s="27"/>
      <c r="AF495" s="56"/>
      <c r="AG495" s="27"/>
      <c r="AH495" s="286"/>
      <c r="AI495" s="27"/>
      <c r="AJ495" s="56"/>
      <c r="AK495" s="27"/>
      <c r="AL495" s="56"/>
      <c r="AM495" s="27"/>
      <c r="AN495" s="56"/>
      <c r="AO495" s="27"/>
      <c r="AP495" s="56"/>
      <c r="AQ495" s="27"/>
      <c r="AR495" s="56"/>
      <c r="AS495" s="27"/>
      <c r="AT495" s="56"/>
      <c r="AU495" s="27"/>
      <c r="AV495" s="56"/>
      <c r="AW495" s="27"/>
      <c r="AX495" s="56"/>
      <c r="AY495" s="27"/>
      <c r="AZ495" s="56"/>
      <c r="BA495" s="27"/>
      <c r="BB495" s="48"/>
      <c r="BC495" s="48"/>
      <c r="BD495" s="48"/>
      <c r="BE495" s="48"/>
      <c r="BF495" s="48"/>
      <c r="BG495" s="48"/>
      <c r="BH495" s="48"/>
      <c r="BI495" s="48"/>
      <c r="BJ495" s="48"/>
      <c r="BK495" s="48"/>
      <c r="BL495" s="48"/>
      <c r="BM495" s="48"/>
      <c r="BN495" s="48"/>
      <c r="BO495" s="48"/>
      <c r="BP495" s="48"/>
      <c r="BQ495" s="48"/>
      <c r="BR495" s="48"/>
      <c r="BS495" s="48"/>
      <c r="BT495" s="48"/>
      <c r="BU495" s="48"/>
    </row>
    <row r="496" ht="15.75" customHeight="1">
      <c r="A496" s="48"/>
      <c r="B496" s="48"/>
      <c r="C496" s="48"/>
      <c r="D496" s="48"/>
      <c r="E496" s="27"/>
      <c r="F496" s="48"/>
      <c r="G496" s="48"/>
      <c r="H496" s="56"/>
      <c r="I496" s="56"/>
      <c r="J496" s="56"/>
      <c r="K496" s="56"/>
      <c r="L496" s="56"/>
      <c r="M496" s="56"/>
      <c r="N496" s="56"/>
      <c r="O496" s="56"/>
      <c r="P496" s="56"/>
      <c r="Q496" s="56"/>
      <c r="R496" s="56"/>
      <c r="S496" s="56"/>
      <c r="T496" s="56"/>
      <c r="U496" s="56"/>
      <c r="V496" s="56"/>
      <c r="W496" s="27"/>
      <c r="X496" s="56"/>
      <c r="Y496" s="27"/>
      <c r="Z496" s="56"/>
      <c r="AA496" s="27"/>
      <c r="AB496" s="56"/>
      <c r="AC496" s="27"/>
      <c r="AD496" s="56"/>
      <c r="AE496" s="27"/>
      <c r="AF496" s="56"/>
      <c r="AG496" s="27"/>
      <c r="AH496" s="286"/>
      <c r="AI496" s="27"/>
      <c r="AJ496" s="56"/>
      <c r="AK496" s="27"/>
      <c r="AL496" s="56"/>
      <c r="AM496" s="27"/>
      <c r="AN496" s="56"/>
      <c r="AO496" s="27"/>
      <c r="AP496" s="56"/>
      <c r="AQ496" s="27"/>
      <c r="AR496" s="56"/>
      <c r="AS496" s="27"/>
      <c r="AT496" s="56"/>
      <c r="AU496" s="27"/>
      <c r="AV496" s="56"/>
      <c r="AW496" s="27"/>
      <c r="AX496" s="56"/>
      <c r="AY496" s="27"/>
      <c r="AZ496" s="56"/>
      <c r="BA496" s="27"/>
      <c r="BB496" s="48"/>
      <c r="BC496" s="48"/>
      <c r="BD496" s="48"/>
      <c r="BE496" s="48"/>
      <c r="BF496" s="48"/>
      <c r="BG496" s="48"/>
      <c r="BH496" s="48"/>
      <c r="BI496" s="48"/>
      <c r="BJ496" s="48"/>
      <c r="BK496" s="48"/>
      <c r="BL496" s="48"/>
      <c r="BM496" s="48"/>
      <c r="BN496" s="48"/>
      <c r="BO496" s="48"/>
      <c r="BP496" s="48"/>
      <c r="BQ496" s="48"/>
      <c r="BR496" s="48"/>
      <c r="BS496" s="48"/>
      <c r="BT496" s="48"/>
      <c r="BU496" s="48"/>
    </row>
    <row r="497" ht="15.75" customHeight="1">
      <c r="A497" s="48"/>
      <c r="B497" s="48"/>
      <c r="C497" s="48"/>
      <c r="D497" s="48"/>
      <c r="E497" s="27"/>
      <c r="F497" s="48"/>
      <c r="G497" s="48"/>
      <c r="H497" s="56"/>
      <c r="I497" s="56"/>
      <c r="J497" s="56"/>
      <c r="K497" s="56"/>
      <c r="L497" s="56"/>
      <c r="M497" s="56"/>
      <c r="N497" s="56"/>
      <c r="O497" s="56"/>
      <c r="P497" s="56"/>
      <c r="Q497" s="56"/>
      <c r="R497" s="56"/>
      <c r="S497" s="56"/>
      <c r="T497" s="56"/>
      <c r="U497" s="56"/>
      <c r="V497" s="56"/>
      <c r="W497" s="27"/>
      <c r="X497" s="56"/>
      <c r="Y497" s="27"/>
      <c r="Z497" s="56"/>
      <c r="AA497" s="27"/>
      <c r="AB497" s="56"/>
      <c r="AC497" s="27"/>
      <c r="AD497" s="56"/>
      <c r="AE497" s="27"/>
      <c r="AF497" s="56"/>
      <c r="AG497" s="27"/>
      <c r="AH497" s="286"/>
      <c r="AI497" s="27"/>
      <c r="AJ497" s="56"/>
      <c r="AK497" s="27"/>
      <c r="AL497" s="56"/>
      <c r="AM497" s="27"/>
      <c r="AN497" s="56"/>
      <c r="AO497" s="27"/>
      <c r="AP497" s="56"/>
      <c r="AQ497" s="27"/>
      <c r="AR497" s="56"/>
      <c r="AS497" s="27"/>
      <c r="AT497" s="56"/>
      <c r="AU497" s="27"/>
      <c r="AV497" s="56"/>
      <c r="AW497" s="27"/>
      <c r="AX497" s="56"/>
      <c r="AY497" s="27"/>
      <c r="AZ497" s="56"/>
      <c r="BA497" s="27"/>
      <c r="BB497" s="48"/>
      <c r="BC497" s="48"/>
      <c r="BD497" s="48"/>
      <c r="BE497" s="48"/>
      <c r="BF497" s="48"/>
      <c r="BG497" s="48"/>
      <c r="BH497" s="48"/>
      <c r="BI497" s="48"/>
      <c r="BJ497" s="48"/>
      <c r="BK497" s="48"/>
      <c r="BL497" s="48"/>
      <c r="BM497" s="48"/>
      <c r="BN497" s="48"/>
      <c r="BO497" s="48"/>
      <c r="BP497" s="48"/>
      <c r="BQ497" s="48"/>
      <c r="BR497" s="48"/>
      <c r="BS497" s="48"/>
      <c r="BT497" s="48"/>
      <c r="BU497" s="48"/>
    </row>
    <row r="498" ht="15.75" customHeight="1">
      <c r="A498" s="48"/>
      <c r="B498" s="48"/>
      <c r="C498" s="48"/>
      <c r="D498" s="48"/>
      <c r="E498" s="27"/>
      <c r="F498" s="48"/>
      <c r="G498" s="48"/>
      <c r="H498" s="56"/>
      <c r="I498" s="56"/>
      <c r="J498" s="56"/>
      <c r="K498" s="56"/>
      <c r="L498" s="56"/>
      <c r="M498" s="56"/>
      <c r="N498" s="56"/>
      <c r="O498" s="56"/>
      <c r="P498" s="56"/>
      <c r="Q498" s="56"/>
      <c r="R498" s="56"/>
      <c r="S498" s="56"/>
      <c r="T498" s="56"/>
      <c r="U498" s="56"/>
      <c r="V498" s="56"/>
      <c r="W498" s="27"/>
      <c r="X498" s="56"/>
      <c r="Y498" s="27"/>
      <c r="Z498" s="56"/>
      <c r="AA498" s="27"/>
      <c r="AB498" s="56"/>
      <c r="AC498" s="27"/>
      <c r="AD498" s="56"/>
      <c r="AE498" s="27"/>
      <c r="AF498" s="56"/>
      <c r="AG498" s="27"/>
      <c r="AH498" s="286"/>
      <c r="AI498" s="27"/>
      <c r="AJ498" s="56"/>
      <c r="AK498" s="27"/>
      <c r="AL498" s="56"/>
      <c r="AM498" s="27"/>
      <c r="AN498" s="56"/>
      <c r="AO498" s="27"/>
      <c r="AP498" s="56"/>
      <c r="AQ498" s="27"/>
      <c r="AR498" s="56"/>
      <c r="AS498" s="27"/>
      <c r="AT498" s="56"/>
      <c r="AU498" s="27"/>
      <c r="AV498" s="56"/>
      <c r="AW498" s="27"/>
      <c r="AX498" s="56"/>
      <c r="AY498" s="27"/>
      <c r="AZ498" s="56"/>
      <c r="BA498" s="27"/>
      <c r="BB498" s="48"/>
      <c r="BC498" s="48"/>
      <c r="BD498" s="48"/>
      <c r="BE498" s="48"/>
      <c r="BF498" s="48"/>
      <c r="BG498" s="48"/>
      <c r="BH498" s="48"/>
      <c r="BI498" s="48"/>
      <c r="BJ498" s="48"/>
      <c r="BK498" s="48"/>
      <c r="BL498" s="48"/>
      <c r="BM498" s="48"/>
      <c r="BN498" s="48"/>
      <c r="BO498" s="48"/>
      <c r="BP498" s="48"/>
      <c r="BQ498" s="48"/>
      <c r="BR498" s="48"/>
      <c r="BS498" s="48"/>
      <c r="BT498" s="48"/>
      <c r="BU498" s="48"/>
    </row>
    <row r="499" ht="15.75" customHeight="1">
      <c r="A499" s="48"/>
      <c r="B499" s="48"/>
      <c r="C499" s="48"/>
      <c r="D499" s="48"/>
      <c r="E499" s="27"/>
      <c r="F499" s="48"/>
      <c r="G499" s="48"/>
      <c r="H499" s="56"/>
      <c r="I499" s="56"/>
      <c r="J499" s="56"/>
      <c r="K499" s="56"/>
      <c r="L499" s="56"/>
      <c r="M499" s="56"/>
      <c r="N499" s="56"/>
      <c r="O499" s="56"/>
      <c r="P499" s="56"/>
      <c r="Q499" s="56"/>
      <c r="R499" s="56"/>
      <c r="S499" s="56"/>
      <c r="T499" s="56"/>
      <c r="U499" s="56"/>
      <c r="V499" s="56"/>
      <c r="W499" s="27"/>
      <c r="X499" s="56"/>
      <c r="Y499" s="27"/>
      <c r="Z499" s="56"/>
      <c r="AA499" s="27"/>
      <c r="AB499" s="56"/>
      <c r="AC499" s="27"/>
      <c r="AD499" s="56"/>
      <c r="AE499" s="27"/>
      <c r="AF499" s="56"/>
      <c r="AG499" s="27"/>
      <c r="AH499" s="286"/>
      <c r="AI499" s="27"/>
      <c r="AJ499" s="56"/>
      <c r="AK499" s="27"/>
      <c r="AL499" s="56"/>
      <c r="AM499" s="27"/>
      <c r="AN499" s="56"/>
      <c r="AO499" s="27"/>
      <c r="AP499" s="56"/>
      <c r="AQ499" s="27"/>
      <c r="AR499" s="56"/>
      <c r="AS499" s="27"/>
      <c r="AT499" s="56"/>
      <c r="AU499" s="27"/>
      <c r="AV499" s="56"/>
      <c r="AW499" s="27"/>
      <c r="AX499" s="56"/>
      <c r="AY499" s="27"/>
      <c r="AZ499" s="56"/>
      <c r="BA499" s="27"/>
      <c r="BB499" s="48"/>
      <c r="BC499" s="48"/>
      <c r="BD499" s="48"/>
      <c r="BE499" s="48"/>
      <c r="BF499" s="48"/>
      <c r="BG499" s="48"/>
      <c r="BH499" s="48"/>
      <c r="BI499" s="48"/>
      <c r="BJ499" s="48"/>
      <c r="BK499" s="48"/>
      <c r="BL499" s="48"/>
      <c r="BM499" s="48"/>
      <c r="BN499" s="48"/>
      <c r="BO499" s="48"/>
      <c r="BP499" s="48"/>
      <c r="BQ499" s="48"/>
      <c r="BR499" s="48"/>
      <c r="BS499" s="48"/>
      <c r="BT499" s="48"/>
      <c r="BU499" s="48"/>
    </row>
    <row r="500" ht="15.75" customHeight="1">
      <c r="A500" s="48"/>
      <c r="B500" s="48"/>
      <c r="C500" s="48"/>
      <c r="D500" s="48"/>
      <c r="E500" s="27"/>
      <c r="F500" s="48"/>
      <c r="G500" s="48"/>
      <c r="H500" s="56"/>
      <c r="I500" s="56"/>
      <c r="J500" s="56"/>
      <c r="K500" s="56"/>
      <c r="L500" s="56"/>
      <c r="M500" s="56"/>
      <c r="N500" s="56"/>
      <c r="O500" s="56"/>
      <c r="P500" s="56"/>
      <c r="Q500" s="56"/>
      <c r="R500" s="56"/>
      <c r="S500" s="56"/>
      <c r="T500" s="56"/>
      <c r="U500" s="56"/>
      <c r="V500" s="56"/>
      <c r="W500" s="27"/>
      <c r="X500" s="56"/>
      <c r="Y500" s="27"/>
      <c r="Z500" s="56"/>
      <c r="AA500" s="27"/>
      <c r="AB500" s="56"/>
      <c r="AC500" s="27"/>
      <c r="AD500" s="56"/>
      <c r="AE500" s="27"/>
      <c r="AF500" s="56"/>
      <c r="AG500" s="27"/>
      <c r="AH500" s="286"/>
      <c r="AI500" s="27"/>
      <c r="AJ500" s="56"/>
      <c r="AK500" s="27"/>
      <c r="AL500" s="56"/>
      <c r="AM500" s="27"/>
      <c r="AN500" s="56"/>
      <c r="AO500" s="27"/>
      <c r="AP500" s="56"/>
      <c r="AQ500" s="27"/>
      <c r="AR500" s="56"/>
      <c r="AS500" s="27"/>
      <c r="AT500" s="56"/>
      <c r="AU500" s="27"/>
      <c r="AV500" s="56"/>
      <c r="AW500" s="27"/>
      <c r="AX500" s="56"/>
      <c r="AY500" s="27"/>
      <c r="AZ500" s="56"/>
      <c r="BA500" s="27"/>
      <c r="BB500" s="48"/>
      <c r="BC500" s="48"/>
      <c r="BD500" s="48"/>
      <c r="BE500" s="48"/>
      <c r="BF500" s="48"/>
      <c r="BG500" s="48"/>
      <c r="BH500" s="48"/>
      <c r="BI500" s="48"/>
      <c r="BJ500" s="48"/>
      <c r="BK500" s="48"/>
      <c r="BL500" s="48"/>
      <c r="BM500" s="48"/>
      <c r="BN500" s="48"/>
      <c r="BO500" s="48"/>
      <c r="BP500" s="48"/>
      <c r="BQ500" s="48"/>
      <c r="BR500" s="48"/>
      <c r="BS500" s="48"/>
      <c r="BT500" s="48"/>
      <c r="BU500" s="48"/>
    </row>
    <row r="501" ht="15.75" customHeight="1">
      <c r="A501" s="48"/>
      <c r="B501" s="48"/>
      <c r="C501" s="48"/>
      <c r="D501" s="48"/>
      <c r="E501" s="27"/>
      <c r="F501" s="48"/>
      <c r="G501" s="48"/>
      <c r="H501" s="56"/>
      <c r="I501" s="56"/>
      <c r="J501" s="56"/>
      <c r="K501" s="56"/>
      <c r="L501" s="56"/>
      <c r="M501" s="56"/>
      <c r="N501" s="56"/>
      <c r="O501" s="56"/>
      <c r="P501" s="56"/>
      <c r="Q501" s="56"/>
      <c r="R501" s="56"/>
      <c r="S501" s="56"/>
      <c r="T501" s="56"/>
      <c r="U501" s="56"/>
      <c r="V501" s="56"/>
      <c r="W501" s="27"/>
      <c r="X501" s="56"/>
      <c r="Y501" s="27"/>
      <c r="Z501" s="56"/>
      <c r="AA501" s="27"/>
      <c r="AB501" s="56"/>
      <c r="AC501" s="27"/>
      <c r="AD501" s="56"/>
      <c r="AE501" s="27"/>
      <c r="AF501" s="56"/>
      <c r="AG501" s="27"/>
      <c r="AH501" s="286"/>
      <c r="AI501" s="27"/>
      <c r="AJ501" s="56"/>
      <c r="AK501" s="27"/>
      <c r="AL501" s="56"/>
      <c r="AM501" s="27"/>
      <c r="AN501" s="56"/>
      <c r="AO501" s="27"/>
      <c r="AP501" s="56"/>
      <c r="AQ501" s="27"/>
      <c r="AR501" s="56"/>
      <c r="AS501" s="27"/>
      <c r="AT501" s="56"/>
      <c r="AU501" s="27"/>
      <c r="AV501" s="56"/>
      <c r="AW501" s="27"/>
      <c r="AX501" s="56"/>
      <c r="AY501" s="27"/>
      <c r="AZ501" s="56"/>
      <c r="BA501" s="27"/>
      <c r="BB501" s="48"/>
      <c r="BC501" s="48"/>
      <c r="BD501" s="48"/>
      <c r="BE501" s="48"/>
      <c r="BF501" s="48"/>
      <c r="BG501" s="48"/>
      <c r="BH501" s="48"/>
      <c r="BI501" s="48"/>
      <c r="BJ501" s="48"/>
      <c r="BK501" s="48"/>
      <c r="BL501" s="48"/>
      <c r="BM501" s="48"/>
      <c r="BN501" s="48"/>
      <c r="BO501" s="48"/>
      <c r="BP501" s="48"/>
      <c r="BQ501" s="48"/>
      <c r="BR501" s="48"/>
      <c r="BS501" s="48"/>
      <c r="BT501" s="48"/>
      <c r="BU501" s="48"/>
    </row>
    <row r="502" ht="15.75" customHeight="1">
      <c r="A502" s="48"/>
      <c r="B502" s="48"/>
      <c r="C502" s="48"/>
      <c r="D502" s="48"/>
      <c r="E502" s="27"/>
      <c r="F502" s="48"/>
      <c r="G502" s="48"/>
      <c r="H502" s="56"/>
      <c r="I502" s="56"/>
      <c r="J502" s="56"/>
      <c r="K502" s="56"/>
      <c r="L502" s="56"/>
      <c r="M502" s="56"/>
      <c r="N502" s="56"/>
      <c r="O502" s="56"/>
      <c r="P502" s="56"/>
      <c r="Q502" s="56"/>
      <c r="R502" s="56"/>
      <c r="S502" s="56"/>
      <c r="T502" s="56"/>
      <c r="U502" s="56"/>
      <c r="V502" s="56"/>
      <c r="W502" s="27"/>
      <c r="X502" s="56"/>
      <c r="Y502" s="27"/>
      <c r="Z502" s="56"/>
      <c r="AA502" s="27"/>
      <c r="AB502" s="56"/>
      <c r="AC502" s="27"/>
      <c r="AD502" s="56"/>
      <c r="AE502" s="27"/>
      <c r="AF502" s="56"/>
      <c r="AG502" s="27"/>
      <c r="AH502" s="286"/>
      <c r="AI502" s="27"/>
      <c r="AJ502" s="56"/>
      <c r="AK502" s="27"/>
      <c r="AL502" s="56"/>
      <c r="AM502" s="27"/>
      <c r="AN502" s="56"/>
      <c r="AO502" s="27"/>
      <c r="AP502" s="56"/>
      <c r="AQ502" s="27"/>
      <c r="AR502" s="56"/>
      <c r="AS502" s="27"/>
      <c r="AT502" s="56"/>
      <c r="AU502" s="27"/>
      <c r="AV502" s="56"/>
      <c r="AW502" s="27"/>
      <c r="AX502" s="56"/>
      <c r="AY502" s="27"/>
      <c r="AZ502" s="56"/>
      <c r="BA502" s="27"/>
      <c r="BB502" s="48"/>
      <c r="BC502" s="48"/>
      <c r="BD502" s="48"/>
      <c r="BE502" s="48"/>
      <c r="BF502" s="48"/>
      <c r="BG502" s="48"/>
      <c r="BH502" s="48"/>
      <c r="BI502" s="48"/>
      <c r="BJ502" s="48"/>
      <c r="BK502" s="48"/>
      <c r="BL502" s="48"/>
      <c r="BM502" s="48"/>
      <c r="BN502" s="48"/>
      <c r="BO502" s="48"/>
      <c r="BP502" s="48"/>
      <c r="BQ502" s="48"/>
      <c r="BR502" s="48"/>
      <c r="BS502" s="48"/>
      <c r="BT502" s="48"/>
      <c r="BU502" s="48"/>
    </row>
    <row r="503" ht="15.75" customHeight="1">
      <c r="A503" s="48"/>
      <c r="B503" s="48"/>
      <c r="C503" s="48"/>
      <c r="D503" s="48"/>
      <c r="E503" s="27"/>
      <c r="F503" s="48"/>
      <c r="G503" s="48"/>
      <c r="H503" s="56"/>
      <c r="I503" s="56"/>
      <c r="J503" s="56"/>
      <c r="K503" s="56"/>
      <c r="L503" s="56"/>
      <c r="M503" s="56"/>
      <c r="N503" s="56"/>
      <c r="O503" s="56"/>
      <c r="P503" s="56"/>
      <c r="Q503" s="56"/>
      <c r="R503" s="56"/>
      <c r="S503" s="56"/>
      <c r="T503" s="56"/>
      <c r="U503" s="56"/>
      <c r="V503" s="56"/>
      <c r="W503" s="27"/>
      <c r="X503" s="56"/>
      <c r="Y503" s="27"/>
      <c r="Z503" s="56"/>
      <c r="AA503" s="27"/>
      <c r="AB503" s="56"/>
      <c r="AC503" s="27"/>
      <c r="AD503" s="56"/>
      <c r="AE503" s="27"/>
      <c r="AF503" s="56"/>
      <c r="AG503" s="27"/>
      <c r="AH503" s="286"/>
      <c r="AI503" s="27"/>
      <c r="AJ503" s="56"/>
      <c r="AK503" s="27"/>
      <c r="AL503" s="56"/>
      <c r="AM503" s="27"/>
      <c r="AN503" s="56"/>
      <c r="AO503" s="27"/>
      <c r="AP503" s="56"/>
      <c r="AQ503" s="27"/>
      <c r="AR503" s="56"/>
      <c r="AS503" s="27"/>
      <c r="AT503" s="56"/>
      <c r="AU503" s="27"/>
      <c r="AV503" s="56"/>
      <c r="AW503" s="27"/>
      <c r="AX503" s="56"/>
      <c r="AY503" s="27"/>
      <c r="AZ503" s="56"/>
      <c r="BA503" s="27"/>
      <c r="BB503" s="48"/>
      <c r="BC503" s="48"/>
      <c r="BD503" s="48"/>
      <c r="BE503" s="48"/>
      <c r="BF503" s="48"/>
      <c r="BG503" s="48"/>
      <c r="BH503" s="48"/>
      <c r="BI503" s="48"/>
      <c r="BJ503" s="48"/>
      <c r="BK503" s="48"/>
      <c r="BL503" s="48"/>
      <c r="BM503" s="48"/>
      <c r="BN503" s="48"/>
      <c r="BO503" s="48"/>
      <c r="BP503" s="48"/>
      <c r="BQ503" s="48"/>
      <c r="BR503" s="48"/>
      <c r="BS503" s="48"/>
      <c r="BT503" s="48"/>
      <c r="BU503" s="48"/>
    </row>
    <row r="504" ht="15.75" customHeight="1">
      <c r="A504" s="48"/>
      <c r="B504" s="48"/>
      <c r="C504" s="48"/>
      <c r="D504" s="48"/>
      <c r="E504" s="27"/>
      <c r="F504" s="48"/>
      <c r="G504" s="48"/>
      <c r="H504" s="56"/>
      <c r="I504" s="56"/>
      <c r="J504" s="56"/>
      <c r="K504" s="56"/>
      <c r="L504" s="56"/>
      <c r="M504" s="56"/>
      <c r="N504" s="56"/>
      <c r="O504" s="56"/>
      <c r="P504" s="56"/>
      <c r="Q504" s="56"/>
      <c r="R504" s="56"/>
      <c r="S504" s="56"/>
      <c r="T504" s="56"/>
      <c r="U504" s="56"/>
      <c r="V504" s="56"/>
      <c r="W504" s="27"/>
      <c r="X504" s="56"/>
      <c r="Y504" s="27"/>
      <c r="Z504" s="56"/>
      <c r="AA504" s="27"/>
      <c r="AB504" s="56"/>
      <c r="AC504" s="27"/>
      <c r="AD504" s="56"/>
      <c r="AE504" s="27"/>
      <c r="AF504" s="56"/>
      <c r="AG504" s="27"/>
      <c r="AH504" s="286"/>
      <c r="AI504" s="27"/>
      <c r="AJ504" s="56"/>
      <c r="AK504" s="27"/>
      <c r="AL504" s="56"/>
      <c r="AM504" s="27"/>
      <c r="AN504" s="56"/>
      <c r="AO504" s="27"/>
      <c r="AP504" s="56"/>
      <c r="AQ504" s="27"/>
      <c r="AR504" s="56"/>
      <c r="AS504" s="27"/>
      <c r="AT504" s="56"/>
      <c r="AU504" s="27"/>
      <c r="AV504" s="56"/>
      <c r="AW504" s="27"/>
      <c r="AX504" s="56"/>
      <c r="AY504" s="27"/>
      <c r="AZ504" s="56"/>
      <c r="BA504" s="27"/>
      <c r="BB504" s="48"/>
      <c r="BC504" s="48"/>
      <c r="BD504" s="48"/>
      <c r="BE504" s="48"/>
      <c r="BF504" s="48"/>
      <c r="BG504" s="48"/>
      <c r="BH504" s="48"/>
      <c r="BI504" s="48"/>
      <c r="BJ504" s="48"/>
      <c r="BK504" s="48"/>
      <c r="BL504" s="48"/>
      <c r="BM504" s="48"/>
      <c r="BN504" s="48"/>
      <c r="BO504" s="48"/>
      <c r="BP504" s="48"/>
      <c r="BQ504" s="48"/>
      <c r="BR504" s="48"/>
      <c r="BS504" s="48"/>
      <c r="BT504" s="48"/>
      <c r="BU504" s="48"/>
    </row>
    <row r="505" ht="15.75" customHeight="1">
      <c r="A505" s="48"/>
      <c r="B505" s="48"/>
      <c r="C505" s="48"/>
      <c r="D505" s="48"/>
      <c r="E505" s="27"/>
      <c r="F505" s="48"/>
      <c r="G505" s="48"/>
      <c r="H505" s="56"/>
      <c r="I505" s="56"/>
      <c r="J505" s="56"/>
      <c r="K505" s="56"/>
      <c r="L505" s="56"/>
      <c r="M505" s="56"/>
      <c r="N505" s="56"/>
      <c r="O505" s="56"/>
      <c r="P505" s="56"/>
      <c r="Q505" s="56"/>
      <c r="R505" s="56"/>
      <c r="S505" s="56"/>
      <c r="T505" s="56"/>
      <c r="U505" s="56"/>
      <c r="V505" s="56"/>
      <c r="W505" s="27"/>
      <c r="X505" s="56"/>
      <c r="Y505" s="27"/>
      <c r="Z505" s="56"/>
      <c r="AA505" s="27"/>
      <c r="AB505" s="56"/>
      <c r="AC505" s="27"/>
      <c r="AD505" s="56"/>
      <c r="AE505" s="27"/>
      <c r="AF505" s="56"/>
      <c r="AG505" s="27"/>
      <c r="AH505" s="286"/>
      <c r="AI505" s="27"/>
      <c r="AJ505" s="56"/>
      <c r="AK505" s="27"/>
      <c r="AL505" s="56"/>
      <c r="AM505" s="27"/>
      <c r="AN505" s="56"/>
      <c r="AO505" s="27"/>
      <c r="AP505" s="56"/>
      <c r="AQ505" s="27"/>
      <c r="AR505" s="56"/>
      <c r="AS505" s="27"/>
      <c r="AT505" s="56"/>
      <c r="AU505" s="27"/>
      <c r="AV505" s="56"/>
      <c r="AW505" s="27"/>
      <c r="AX505" s="56"/>
      <c r="AY505" s="27"/>
      <c r="AZ505" s="56"/>
      <c r="BA505" s="27"/>
      <c r="BB505" s="48"/>
      <c r="BC505" s="48"/>
      <c r="BD505" s="48"/>
      <c r="BE505" s="48"/>
      <c r="BF505" s="48"/>
      <c r="BG505" s="48"/>
      <c r="BH505" s="48"/>
      <c r="BI505" s="48"/>
      <c r="BJ505" s="48"/>
      <c r="BK505" s="48"/>
      <c r="BL505" s="48"/>
      <c r="BM505" s="48"/>
      <c r="BN505" s="48"/>
      <c r="BO505" s="48"/>
      <c r="BP505" s="48"/>
      <c r="BQ505" s="48"/>
      <c r="BR505" s="48"/>
      <c r="BS505" s="48"/>
      <c r="BT505" s="48"/>
      <c r="BU505" s="48"/>
    </row>
    <row r="506" ht="15.75" customHeight="1">
      <c r="A506" s="48"/>
      <c r="B506" s="48"/>
      <c r="C506" s="48"/>
      <c r="D506" s="48"/>
      <c r="E506" s="27"/>
      <c r="F506" s="48"/>
      <c r="G506" s="48"/>
      <c r="H506" s="56"/>
      <c r="I506" s="56"/>
      <c r="J506" s="56"/>
      <c r="K506" s="56"/>
      <c r="L506" s="56"/>
      <c r="M506" s="56"/>
      <c r="N506" s="56"/>
      <c r="O506" s="56"/>
      <c r="P506" s="56"/>
      <c r="Q506" s="56"/>
      <c r="R506" s="56"/>
      <c r="S506" s="56"/>
      <c r="T506" s="56"/>
      <c r="U506" s="56"/>
      <c r="V506" s="56"/>
      <c r="W506" s="27"/>
      <c r="X506" s="56"/>
      <c r="Y506" s="27"/>
      <c r="Z506" s="56"/>
      <c r="AA506" s="27"/>
      <c r="AB506" s="56"/>
      <c r="AC506" s="27"/>
      <c r="AD506" s="56"/>
      <c r="AE506" s="27"/>
      <c r="AF506" s="56"/>
      <c r="AG506" s="27"/>
      <c r="AH506" s="286"/>
      <c r="AI506" s="27"/>
      <c r="AJ506" s="56"/>
      <c r="AK506" s="27"/>
      <c r="AL506" s="56"/>
      <c r="AM506" s="27"/>
      <c r="AN506" s="56"/>
      <c r="AO506" s="27"/>
      <c r="AP506" s="56"/>
      <c r="AQ506" s="27"/>
      <c r="AR506" s="56"/>
      <c r="AS506" s="27"/>
      <c r="AT506" s="56"/>
      <c r="AU506" s="27"/>
      <c r="AV506" s="56"/>
      <c r="AW506" s="27"/>
      <c r="AX506" s="56"/>
      <c r="AY506" s="27"/>
      <c r="AZ506" s="56"/>
      <c r="BA506" s="27"/>
      <c r="BB506" s="48"/>
      <c r="BC506" s="48"/>
      <c r="BD506" s="48"/>
      <c r="BE506" s="48"/>
      <c r="BF506" s="48"/>
      <c r="BG506" s="48"/>
      <c r="BH506" s="48"/>
      <c r="BI506" s="48"/>
      <c r="BJ506" s="48"/>
      <c r="BK506" s="48"/>
      <c r="BL506" s="48"/>
      <c r="BM506" s="48"/>
      <c r="BN506" s="48"/>
      <c r="BO506" s="48"/>
      <c r="BP506" s="48"/>
      <c r="BQ506" s="48"/>
      <c r="BR506" s="48"/>
      <c r="BS506" s="48"/>
      <c r="BT506" s="48"/>
      <c r="BU506" s="48"/>
    </row>
    <row r="507" ht="15.75" customHeight="1">
      <c r="A507" s="48"/>
      <c r="B507" s="48"/>
      <c r="C507" s="48"/>
      <c r="D507" s="48"/>
      <c r="E507" s="27"/>
      <c r="F507" s="48"/>
      <c r="G507" s="48"/>
      <c r="H507" s="56"/>
      <c r="I507" s="56"/>
      <c r="J507" s="56"/>
      <c r="K507" s="56"/>
      <c r="L507" s="56"/>
      <c r="M507" s="56"/>
      <c r="N507" s="56"/>
      <c r="O507" s="56"/>
      <c r="P507" s="56"/>
      <c r="Q507" s="56"/>
      <c r="R507" s="56"/>
      <c r="S507" s="56"/>
      <c r="T507" s="56"/>
      <c r="U507" s="56"/>
      <c r="V507" s="56"/>
      <c r="W507" s="27"/>
      <c r="X507" s="56"/>
      <c r="Y507" s="27"/>
      <c r="Z507" s="56"/>
      <c r="AA507" s="27"/>
      <c r="AB507" s="56"/>
      <c r="AC507" s="27"/>
      <c r="AD507" s="56"/>
      <c r="AE507" s="27"/>
      <c r="AF507" s="56"/>
      <c r="AG507" s="27"/>
      <c r="AH507" s="286"/>
      <c r="AI507" s="27"/>
      <c r="AJ507" s="56"/>
      <c r="AK507" s="27"/>
      <c r="AL507" s="56"/>
      <c r="AM507" s="27"/>
      <c r="AN507" s="56"/>
      <c r="AO507" s="27"/>
      <c r="AP507" s="56"/>
      <c r="AQ507" s="27"/>
      <c r="AR507" s="56"/>
      <c r="AS507" s="27"/>
      <c r="AT507" s="56"/>
      <c r="AU507" s="27"/>
      <c r="AV507" s="56"/>
      <c r="AW507" s="27"/>
      <c r="AX507" s="56"/>
      <c r="AY507" s="27"/>
      <c r="AZ507" s="56"/>
      <c r="BA507" s="27"/>
      <c r="BB507" s="48"/>
      <c r="BC507" s="48"/>
      <c r="BD507" s="48"/>
      <c r="BE507" s="48"/>
      <c r="BF507" s="48"/>
      <c r="BG507" s="48"/>
      <c r="BH507" s="48"/>
      <c r="BI507" s="48"/>
      <c r="BJ507" s="48"/>
      <c r="BK507" s="48"/>
      <c r="BL507" s="48"/>
      <c r="BM507" s="48"/>
      <c r="BN507" s="48"/>
      <c r="BO507" s="48"/>
      <c r="BP507" s="48"/>
      <c r="BQ507" s="48"/>
      <c r="BR507" s="48"/>
      <c r="BS507" s="48"/>
      <c r="BT507" s="48"/>
      <c r="BU507" s="48"/>
    </row>
    <row r="508" ht="15.75" customHeight="1">
      <c r="A508" s="48"/>
      <c r="B508" s="48"/>
      <c r="C508" s="48"/>
      <c r="D508" s="48"/>
      <c r="E508" s="27"/>
      <c r="F508" s="48"/>
      <c r="G508" s="48"/>
      <c r="H508" s="56"/>
      <c r="I508" s="56"/>
      <c r="J508" s="56"/>
      <c r="K508" s="56"/>
      <c r="L508" s="56"/>
      <c r="M508" s="56"/>
      <c r="N508" s="56"/>
      <c r="O508" s="56"/>
      <c r="P508" s="56"/>
      <c r="Q508" s="56"/>
      <c r="R508" s="56"/>
      <c r="S508" s="56"/>
      <c r="T508" s="56"/>
      <c r="U508" s="56"/>
      <c r="V508" s="56"/>
      <c r="W508" s="27"/>
      <c r="X508" s="56"/>
      <c r="Y508" s="27"/>
      <c r="Z508" s="56"/>
      <c r="AA508" s="27"/>
      <c r="AB508" s="56"/>
      <c r="AC508" s="27"/>
      <c r="AD508" s="56"/>
      <c r="AE508" s="27"/>
      <c r="AF508" s="56"/>
      <c r="AG508" s="27"/>
      <c r="AH508" s="286"/>
      <c r="AI508" s="27"/>
      <c r="AJ508" s="56"/>
      <c r="AK508" s="27"/>
      <c r="AL508" s="56"/>
      <c r="AM508" s="27"/>
      <c r="AN508" s="56"/>
      <c r="AO508" s="27"/>
      <c r="AP508" s="56"/>
      <c r="AQ508" s="27"/>
      <c r="AR508" s="56"/>
      <c r="AS508" s="27"/>
      <c r="AT508" s="56"/>
      <c r="AU508" s="27"/>
      <c r="AV508" s="56"/>
      <c r="AW508" s="27"/>
      <c r="AX508" s="56"/>
      <c r="AY508" s="27"/>
      <c r="AZ508" s="56"/>
      <c r="BA508" s="27"/>
      <c r="BB508" s="48"/>
      <c r="BC508" s="48"/>
      <c r="BD508" s="48"/>
      <c r="BE508" s="48"/>
      <c r="BF508" s="48"/>
      <c r="BG508" s="48"/>
      <c r="BH508" s="48"/>
      <c r="BI508" s="48"/>
      <c r="BJ508" s="48"/>
      <c r="BK508" s="48"/>
      <c r="BL508" s="48"/>
      <c r="BM508" s="48"/>
      <c r="BN508" s="48"/>
      <c r="BO508" s="48"/>
      <c r="BP508" s="48"/>
      <c r="BQ508" s="48"/>
      <c r="BR508" s="48"/>
      <c r="BS508" s="48"/>
      <c r="BT508" s="48"/>
      <c r="BU508" s="48"/>
    </row>
    <row r="509" ht="15.75" customHeight="1">
      <c r="A509" s="48"/>
      <c r="B509" s="48"/>
      <c r="C509" s="48"/>
      <c r="D509" s="48"/>
      <c r="E509" s="27"/>
      <c r="F509" s="48"/>
      <c r="G509" s="48"/>
      <c r="H509" s="56"/>
      <c r="I509" s="56"/>
      <c r="J509" s="56"/>
      <c r="K509" s="56"/>
      <c r="L509" s="56"/>
      <c r="M509" s="56"/>
      <c r="N509" s="56"/>
      <c r="O509" s="56"/>
      <c r="P509" s="56"/>
      <c r="Q509" s="56"/>
      <c r="R509" s="56"/>
      <c r="S509" s="56"/>
      <c r="T509" s="56"/>
      <c r="U509" s="56"/>
      <c r="V509" s="56"/>
      <c r="W509" s="27"/>
      <c r="X509" s="56"/>
      <c r="Y509" s="27"/>
      <c r="Z509" s="56"/>
      <c r="AA509" s="27"/>
      <c r="AB509" s="56"/>
      <c r="AC509" s="27"/>
      <c r="AD509" s="56"/>
      <c r="AE509" s="27"/>
      <c r="AF509" s="56"/>
      <c r="AG509" s="27"/>
      <c r="AH509" s="286"/>
      <c r="AI509" s="27"/>
      <c r="AJ509" s="56"/>
      <c r="AK509" s="27"/>
      <c r="AL509" s="56"/>
      <c r="AM509" s="27"/>
      <c r="AN509" s="56"/>
      <c r="AO509" s="27"/>
      <c r="AP509" s="56"/>
      <c r="AQ509" s="27"/>
      <c r="AR509" s="56"/>
      <c r="AS509" s="27"/>
      <c r="AT509" s="56"/>
      <c r="AU509" s="27"/>
      <c r="AV509" s="56"/>
      <c r="AW509" s="27"/>
      <c r="AX509" s="56"/>
      <c r="AY509" s="27"/>
      <c r="AZ509" s="56"/>
      <c r="BA509" s="27"/>
      <c r="BB509" s="48"/>
      <c r="BC509" s="48"/>
      <c r="BD509" s="48"/>
      <c r="BE509" s="48"/>
      <c r="BF509" s="48"/>
      <c r="BG509" s="48"/>
      <c r="BH509" s="48"/>
      <c r="BI509" s="48"/>
      <c r="BJ509" s="48"/>
      <c r="BK509" s="48"/>
      <c r="BL509" s="48"/>
      <c r="BM509" s="48"/>
      <c r="BN509" s="48"/>
      <c r="BO509" s="48"/>
      <c r="BP509" s="48"/>
      <c r="BQ509" s="48"/>
      <c r="BR509" s="48"/>
      <c r="BS509" s="48"/>
      <c r="BT509" s="48"/>
      <c r="BU509" s="48"/>
    </row>
    <row r="510" ht="15.75" customHeight="1">
      <c r="A510" s="48"/>
      <c r="B510" s="48"/>
      <c r="C510" s="48"/>
      <c r="D510" s="48"/>
      <c r="E510" s="27"/>
      <c r="F510" s="48"/>
      <c r="G510" s="48"/>
      <c r="H510" s="56"/>
      <c r="I510" s="56"/>
      <c r="J510" s="56"/>
      <c r="K510" s="56"/>
      <c r="L510" s="56"/>
      <c r="M510" s="56"/>
      <c r="N510" s="56"/>
      <c r="O510" s="56"/>
      <c r="P510" s="56"/>
      <c r="Q510" s="56"/>
      <c r="R510" s="56"/>
      <c r="S510" s="56"/>
      <c r="T510" s="56"/>
      <c r="U510" s="56"/>
      <c r="V510" s="56"/>
      <c r="W510" s="27"/>
      <c r="X510" s="56"/>
      <c r="Y510" s="27"/>
      <c r="Z510" s="56"/>
      <c r="AA510" s="27"/>
      <c r="AB510" s="56"/>
      <c r="AC510" s="27"/>
      <c r="AD510" s="56"/>
      <c r="AE510" s="27"/>
      <c r="AF510" s="56"/>
      <c r="AG510" s="27"/>
      <c r="AH510" s="286"/>
      <c r="AI510" s="27"/>
      <c r="AJ510" s="56"/>
      <c r="AK510" s="27"/>
      <c r="AL510" s="56"/>
      <c r="AM510" s="27"/>
      <c r="AN510" s="56"/>
      <c r="AO510" s="27"/>
      <c r="AP510" s="56"/>
      <c r="AQ510" s="27"/>
      <c r="AR510" s="56"/>
      <c r="AS510" s="27"/>
      <c r="AT510" s="56"/>
      <c r="AU510" s="27"/>
      <c r="AV510" s="56"/>
      <c r="AW510" s="27"/>
      <c r="AX510" s="56"/>
      <c r="AY510" s="27"/>
      <c r="AZ510" s="56"/>
      <c r="BA510" s="27"/>
      <c r="BB510" s="48"/>
      <c r="BC510" s="48"/>
      <c r="BD510" s="48"/>
      <c r="BE510" s="48"/>
      <c r="BF510" s="48"/>
      <c r="BG510" s="48"/>
      <c r="BH510" s="48"/>
      <c r="BI510" s="48"/>
      <c r="BJ510" s="48"/>
      <c r="BK510" s="48"/>
      <c r="BL510" s="48"/>
      <c r="BM510" s="48"/>
      <c r="BN510" s="48"/>
      <c r="BO510" s="48"/>
      <c r="BP510" s="48"/>
      <c r="BQ510" s="48"/>
      <c r="BR510" s="48"/>
      <c r="BS510" s="48"/>
      <c r="BT510" s="48"/>
      <c r="BU510" s="48"/>
    </row>
    <row r="511" ht="15.75" customHeight="1">
      <c r="A511" s="48"/>
      <c r="B511" s="48"/>
      <c r="C511" s="48"/>
      <c r="D511" s="48"/>
      <c r="E511" s="27"/>
      <c r="F511" s="48"/>
      <c r="G511" s="48"/>
      <c r="H511" s="56"/>
      <c r="I511" s="56"/>
      <c r="J511" s="56"/>
      <c r="K511" s="56"/>
      <c r="L511" s="56"/>
      <c r="M511" s="56"/>
      <c r="N511" s="56"/>
      <c r="O511" s="56"/>
      <c r="P511" s="56"/>
      <c r="Q511" s="56"/>
      <c r="R511" s="56"/>
      <c r="S511" s="56"/>
      <c r="T511" s="56"/>
      <c r="U511" s="56"/>
      <c r="V511" s="56"/>
      <c r="W511" s="27"/>
      <c r="X511" s="56"/>
      <c r="Y511" s="27"/>
      <c r="Z511" s="56"/>
      <c r="AA511" s="27"/>
      <c r="AB511" s="56"/>
      <c r="AC511" s="27"/>
      <c r="AD511" s="56"/>
      <c r="AE511" s="27"/>
      <c r="AF511" s="56"/>
      <c r="AG511" s="27"/>
      <c r="AH511" s="286"/>
      <c r="AI511" s="27"/>
      <c r="AJ511" s="56"/>
      <c r="AK511" s="27"/>
      <c r="AL511" s="56"/>
      <c r="AM511" s="27"/>
      <c r="AN511" s="56"/>
      <c r="AO511" s="27"/>
      <c r="AP511" s="56"/>
      <c r="AQ511" s="27"/>
      <c r="AR511" s="56"/>
      <c r="AS511" s="27"/>
      <c r="AT511" s="56"/>
      <c r="AU511" s="27"/>
      <c r="AV511" s="56"/>
      <c r="AW511" s="27"/>
      <c r="AX511" s="56"/>
      <c r="AY511" s="27"/>
      <c r="AZ511" s="56"/>
      <c r="BA511" s="27"/>
      <c r="BB511" s="48"/>
      <c r="BC511" s="48"/>
      <c r="BD511" s="48"/>
      <c r="BE511" s="48"/>
      <c r="BF511" s="48"/>
      <c r="BG511" s="48"/>
      <c r="BH511" s="48"/>
      <c r="BI511" s="48"/>
      <c r="BJ511" s="48"/>
      <c r="BK511" s="48"/>
      <c r="BL511" s="48"/>
      <c r="BM511" s="48"/>
      <c r="BN511" s="48"/>
      <c r="BO511" s="48"/>
      <c r="BP511" s="48"/>
      <c r="BQ511" s="48"/>
      <c r="BR511" s="48"/>
      <c r="BS511" s="48"/>
      <c r="BT511" s="48"/>
      <c r="BU511" s="48"/>
    </row>
    <row r="512" ht="15.75" customHeight="1">
      <c r="A512" s="48"/>
      <c r="B512" s="48"/>
      <c r="C512" s="48"/>
      <c r="D512" s="48"/>
      <c r="E512" s="27"/>
      <c r="F512" s="48"/>
      <c r="G512" s="48"/>
      <c r="H512" s="56"/>
      <c r="I512" s="56"/>
      <c r="J512" s="56"/>
      <c r="K512" s="56"/>
      <c r="L512" s="56"/>
      <c r="M512" s="56"/>
      <c r="N512" s="56"/>
      <c r="O512" s="56"/>
      <c r="P512" s="56"/>
      <c r="Q512" s="56"/>
      <c r="R512" s="56"/>
      <c r="S512" s="56"/>
      <c r="T512" s="56"/>
      <c r="U512" s="56"/>
      <c r="V512" s="56"/>
      <c r="W512" s="27"/>
      <c r="X512" s="56"/>
      <c r="Y512" s="27"/>
      <c r="Z512" s="56"/>
      <c r="AA512" s="27"/>
      <c r="AB512" s="56"/>
      <c r="AC512" s="27"/>
      <c r="AD512" s="56"/>
      <c r="AE512" s="27"/>
      <c r="AF512" s="56"/>
      <c r="AG512" s="27"/>
      <c r="AH512" s="286"/>
      <c r="AI512" s="27"/>
      <c r="AJ512" s="56"/>
      <c r="AK512" s="27"/>
      <c r="AL512" s="56"/>
      <c r="AM512" s="27"/>
      <c r="AN512" s="56"/>
      <c r="AO512" s="27"/>
      <c r="AP512" s="56"/>
      <c r="AQ512" s="27"/>
      <c r="AR512" s="56"/>
      <c r="AS512" s="27"/>
      <c r="AT512" s="56"/>
      <c r="AU512" s="27"/>
      <c r="AV512" s="56"/>
      <c r="AW512" s="27"/>
      <c r="AX512" s="56"/>
      <c r="AY512" s="27"/>
      <c r="AZ512" s="56"/>
      <c r="BA512" s="27"/>
      <c r="BB512" s="48"/>
      <c r="BC512" s="48"/>
      <c r="BD512" s="48"/>
      <c r="BE512" s="48"/>
      <c r="BF512" s="48"/>
      <c r="BG512" s="48"/>
      <c r="BH512" s="48"/>
      <c r="BI512" s="48"/>
      <c r="BJ512" s="48"/>
      <c r="BK512" s="48"/>
      <c r="BL512" s="48"/>
      <c r="BM512" s="48"/>
      <c r="BN512" s="48"/>
      <c r="BO512" s="48"/>
      <c r="BP512" s="48"/>
      <c r="BQ512" s="48"/>
      <c r="BR512" s="48"/>
      <c r="BS512" s="48"/>
      <c r="BT512" s="48"/>
      <c r="BU512" s="48"/>
    </row>
    <row r="513" ht="15.75" customHeight="1">
      <c r="A513" s="48"/>
      <c r="B513" s="48"/>
      <c r="C513" s="48"/>
      <c r="D513" s="48"/>
      <c r="E513" s="27"/>
      <c r="F513" s="48"/>
      <c r="G513" s="48"/>
      <c r="H513" s="56"/>
      <c r="I513" s="56"/>
      <c r="J513" s="56"/>
      <c r="K513" s="56"/>
      <c r="L513" s="56"/>
      <c r="M513" s="56"/>
      <c r="N513" s="56"/>
      <c r="O513" s="56"/>
      <c r="P513" s="56"/>
      <c r="Q513" s="56"/>
      <c r="R513" s="56"/>
      <c r="S513" s="56"/>
      <c r="T513" s="56"/>
      <c r="U513" s="56"/>
      <c r="V513" s="56"/>
      <c r="W513" s="27"/>
      <c r="X513" s="56"/>
      <c r="Y513" s="27"/>
      <c r="Z513" s="56"/>
      <c r="AA513" s="27"/>
      <c r="AB513" s="56"/>
      <c r="AC513" s="27"/>
      <c r="AD513" s="56"/>
      <c r="AE513" s="27"/>
      <c r="AF513" s="56"/>
      <c r="AG513" s="27"/>
      <c r="AH513" s="286"/>
      <c r="AI513" s="27"/>
      <c r="AJ513" s="56"/>
      <c r="AK513" s="27"/>
      <c r="AL513" s="56"/>
      <c r="AM513" s="27"/>
      <c r="AN513" s="56"/>
      <c r="AO513" s="27"/>
      <c r="AP513" s="56"/>
      <c r="AQ513" s="27"/>
      <c r="AR513" s="56"/>
      <c r="AS513" s="27"/>
      <c r="AT513" s="56"/>
      <c r="AU513" s="27"/>
      <c r="AV513" s="56"/>
      <c r="AW513" s="27"/>
      <c r="AX513" s="56"/>
      <c r="AY513" s="27"/>
      <c r="AZ513" s="56"/>
      <c r="BA513" s="27"/>
      <c r="BB513" s="48"/>
      <c r="BC513" s="48"/>
      <c r="BD513" s="48"/>
      <c r="BE513" s="48"/>
      <c r="BF513" s="48"/>
      <c r="BG513" s="48"/>
      <c r="BH513" s="48"/>
      <c r="BI513" s="48"/>
      <c r="BJ513" s="48"/>
      <c r="BK513" s="48"/>
      <c r="BL513" s="48"/>
      <c r="BM513" s="48"/>
      <c r="BN513" s="48"/>
      <c r="BO513" s="48"/>
      <c r="BP513" s="48"/>
      <c r="BQ513" s="48"/>
      <c r="BR513" s="48"/>
      <c r="BS513" s="48"/>
      <c r="BT513" s="48"/>
      <c r="BU513" s="48"/>
    </row>
    <row r="514" ht="15.75" customHeight="1">
      <c r="A514" s="48"/>
      <c r="B514" s="48"/>
      <c r="C514" s="48"/>
      <c r="D514" s="48"/>
      <c r="E514" s="27"/>
      <c r="F514" s="48"/>
      <c r="G514" s="48"/>
      <c r="H514" s="56"/>
      <c r="I514" s="56"/>
      <c r="J514" s="56"/>
      <c r="K514" s="56"/>
      <c r="L514" s="56"/>
      <c r="M514" s="56"/>
      <c r="N514" s="56"/>
      <c r="O514" s="56"/>
      <c r="P514" s="56"/>
      <c r="Q514" s="56"/>
      <c r="R514" s="56"/>
      <c r="S514" s="56"/>
      <c r="T514" s="56"/>
      <c r="U514" s="56"/>
      <c r="V514" s="56"/>
      <c r="W514" s="27"/>
      <c r="X514" s="56"/>
      <c r="Y514" s="27"/>
      <c r="Z514" s="56"/>
      <c r="AA514" s="27"/>
      <c r="AB514" s="56"/>
      <c r="AC514" s="27"/>
      <c r="AD514" s="56"/>
      <c r="AE514" s="27"/>
      <c r="AF514" s="56"/>
      <c r="AG514" s="27"/>
      <c r="AH514" s="286"/>
      <c r="AI514" s="27"/>
      <c r="AJ514" s="56"/>
      <c r="AK514" s="27"/>
      <c r="AL514" s="56"/>
      <c r="AM514" s="27"/>
      <c r="AN514" s="56"/>
      <c r="AO514" s="27"/>
      <c r="AP514" s="56"/>
      <c r="AQ514" s="27"/>
      <c r="AR514" s="56"/>
      <c r="AS514" s="27"/>
      <c r="AT514" s="56"/>
      <c r="AU514" s="27"/>
      <c r="AV514" s="56"/>
      <c r="AW514" s="27"/>
      <c r="AX514" s="56"/>
      <c r="AY514" s="27"/>
      <c r="AZ514" s="56"/>
      <c r="BA514" s="27"/>
      <c r="BB514" s="48"/>
      <c r="BC514" s="48"/>
      <c r="BD514" s="48"/>
      <c r="BE514" s="48"/>
      <c r="BF514" s="48"/>
      <c r="BG514" s="48"/>
      <c r="BH514" s="48"/>
      <c r="BI514" s="48"/>
      <c r="BJ514" s="48"/>
      <c r="BK514" s="48"/>
      <c r="BL514" s="48"/>
      <c r="BM514" s="48"/>
      <c r="BN514" s="48"/>
      <c r="BO514" s="48"/>
      <c r="BP514" s="48"/>
      <c r="BQ514" s="48"/>
      <c r="BR514" s="48"/>
      <c r="BS514" s="48"/>
      <c r="BT514" s="48"/>
      <c r="BU514" s="48"/>
    </row>
    <row r="515" ht="15.75" customHeight="1">
      <c r="A515" s="48"/>
      <c r="B515" s="48"/>
      <c r="C515" s="48"/>
      <c r="D515" s="48"/>
      <c r="E515" s="27"/>
      <c r="F515" s="48"/>
      <c r="G515" s="48"/>
      <c r="H515" s="56"/>
      <c r="I515" s="56"/>
      <c r="J515" s="56"/>
      <c r="K515" s="56"/>
      <c r="L515" s="56"/>
      <c r="M515" s="56"/>
      <c r="N515" s="56"/>
      <c r="O515" s="56"/>
      <c r="P515" s="56"/>
      <c r="Q515" s="56"/>
      <c r="R515" s="56"/>
      <c r="S515" s="56"/>
      <c r="T515" s="56"/>
      <c r="U515" s="56"/>
      <c r="V515" s="56"/>
      <c r="W515" s="27"/>
      <c r="X515" s="56"/>
      <c r="Y515" s="27"/>
      <c r="Z515" s="56"/>
      <c r="AA515" s="27"/>
      <c r="AB515" s="56"/>
      <c r="AC515" s="27"/>
      <c r="AD515" s="56"/>
      <c r="AE515" s="27"/>
      <c r="AF515" s="56"/>
      <c r="AG515" s="27"/>
      <c r="AH515" s="286"/>
      <c r="AI515" s="27"/>
      <c r="AJ515" s="56"/>
      <c r="AK515" s="27"/>
      <c r="AL515" s="56"/>
      <c r="AM515" s="27"/>
      <c r="AN515" s="56"/>
      <c r="AO515" s="27"/>
      <c r="AP515" s="56"/>
      <c r="AQ515" s="27"/>
      <c r="AR515" s="56"/>
      <c r="AS515" s="27"/>
      <c r="AT515" s="56"/>
      <c r="AU515" s="27"/>
      <c r="AV515" s="56"/>
      <c r="AW515" s="27"/>
      <c r="AX515" s="56"/>
      <c r="AY515" s="27"/>
      <c r="AZ515" s="56"/>
      <c r="BA515" s="27"/>
      <c r="BB515" s="48"/>
      <c r="BC515" s="48"/>
      <c r="BD515" s="48"/>
      <c r="BE515" s="48"/>
      <c r="BF515" s="48"/>
      <c r="BG515" s="48"/>
      <c r="BH515" s="48"/>
      <c r="BI515" s="48"/>
      <c r="BJ515" s="48"/>
      <c r="BK515" s="48"/>
      <c r="BL515" s="48"/>
      <c r="BM515" s="48"/>
      <c r="BN515" s="48"/>
      <c r="BO515" s="48"/>
      <c r="BP515" s="48"/>
      <c r="BQ515" s="48"/>
      <c r="BR515" s="48"/>
      <c r="BS515" s="48"/>
      <c r="BT515" s="48"/>
      <c r="BU515" s="48"/>
    </row>
    <row r="516" ht="15.75" customHeight="1">
      <c r="A516" s="48"/>
      <c r="B516" s="48"/>
      <c r="C516" s="48"/>
      <c r="D516" s="48"/>
      <c r="E516" s="27"/>
      <c r="F516" s="48"/>
      <c r="G516" s="48"/>
      <c r="H516" s="56"/>
      <c r="I516" s="56"/>
      <c r="J516" s="56"/>
      <c r="K516" s="56"/>
      <c r="L516" s="56"/>
      <c r="M516" s="56"/>
      <c r="N516" s="56"/>
      <c r="O516" s="56"/>
      <c r="P516" s="56"/>
      <c r="Q516" s="56"/>
      <c r="R516" s="56"/>
      <c r="S516" s="56"/>
      <c r="T516" s="56"/>
      <c r="U516" s="56"/>
      <c r="V516" s="56"/>
      <c r="W516" s="27"/>
      <c r="X516" s="56"/>
      <c r="Y516" s="27"/>
      <c r="Z516" s="56"/>
      <c r="AA516" s="27"/>
      <c r="AB516" s="56"/>
      <c r="AC516" s="27"/>
      <c r="AD516" s="56"/>
      <c r="AE516" s="27"/>
      <c r="AF516" s="56"/>
      <c r="AG516" s="27"/>
      <c r="AH516" s="286"/>
      <c r="AI516" s="27"/>
      <c r="AJ516" s="56"/>
      <c r="AK516" s="27"/>
      <c r="AL516" s="56"/>
      <c r="AM516" s="27"/>
      <c r="AN516" s="56"/>
      <c r="AO516" s="27"/>
      <c r="AP516" s="56"/>
      <c r="AQ516" s="27"/>
      <c r="AR516" s="56"/>
      <c r="AS516" s="27"/>
      <c r="AT516" s="56"/>
      <c r="AU516" s="27"/>
      <c r="AV516" s="56"/>
      <c r="AW516" s="27"/>
      <c r="AX516" s="56"/>
      <c r="AY516" s="27"/>
      <c r="AZ516" s="56"/>
      <c r="BA516" s="27"/>
      <c r="BB516" s="48"/>
      <c r="BC516" s="48"/>
      <c r="BD516" s="48"/>
      <c r="BE516" s="48"/>
      <c r="BF516" s="48"/>
      <c r="BG516" s="48"/>
      <c r="BH516" s="48"/>
      <c r="BI516" s="48"/>
      <c r="BJ516" s="48"/>
      <c r="BK516" s="48"/>
      <c r="BL516" s="48"/>
      <c r="BM516" s="48"/>
      <c r="BN516" s="48"/>
      <c r="BO516" s="48"/>
      <c r="BP516" s="48"/>
      <c r="BQ516" s="48"/>
      <c r="BR516" s="48"/>
      <c r="BS516" s="48"/>
      <c r="BT516" s="48"/>
      <c r="BU516" s="48"/>
    </row>
    <row r="517" ht="15.75" customHeight="1">
      <c r="A517" s="48"/>
      <c r="B517" s="48"/>
      <c r="C517" s="48"/>
      <c r="D517" s="48"/>
      <c r="E517" s="27"/>
      <c r="F517" s="48"/>
      <c r="G517" s="48"/>
      <c r="H517" s="56"/>
      <c r="I517" s="56"/>
      <c r="J517" s="56"/>
      <c r="K517" s="56"/>
      <c r="L517" s="56"/>
      <c r="M517" s="56"/>
      <c r="N517" s="56"/>
      <c r="O517" s="56"/>
      <c r="P517" s="56"/>
      <c r="Q517" s="56"/>
      <c r="R517" s="56"/>
      <c r="S517" s="56"/>
      <c r="T517" s="56"/>
      <c r="U517" s="56"/>
      <c r="V517" s="56"/>
      <c r="W517" s="27"/>
      <c r="X517" s="56"/>
      <c r="Y517" s="27"/>
      <c r="Z517" s="56"/>
      <c r="AA517" s="27"/>
      <c r="AB517" s="56"/>
      <c r="AC517" s="27"/>
      <c r="AD517" s="56"/>
      <c r="AE517" s="27"/>
      <c r="AF517" s="56"/>
      <c r="AG517" s="27"/>
      <c r="AH517" s="286"/>
      <c r="AI517" s="27"/>
      <c r="AJ517" s="56"/>
      <c r="AK517" s="27"/>
      <c r="AL517" s="56"/>
      <c r="AM517" s="27"/>
      <c r="AN517" s="56"/>
      <c r="AO517" s="27"/>
      <c r="AP517" s="56"/>
      <c r="AQ517" s="27"/>
      <c r="AR517" s="56"/>
      <c r="AS517" s="27"/>
      <c r="AT517" s="56"/>
      <c r="AU517" s="27"/>
      <c r="AV517" s="56"/>
      <c r="AW517" s="27"/>
      <c r="AX517" s="56"/>
      <c r="AY517" s="27"/>
      <c r="AZ517" s="56"/>
      <c r="BA517" s="27"/>
      <c r="BB517" s="48"/>
      <c r="BC517" s="48"/>
      <c r="BD517" s="48"/>
      <c r="BE517" s="48"/>
      <c r="BF517" s="48"/>
      <c r="BG517" s="48"/>
      <c r="BH517" s="48"/>
      <c r="BI517" s="48"/>
      <c r="BJ517" s="48"/>
      <c r="BK517" s="48"/>
      <c r="BL517" s="48"/>
      <c r="BM517" s="48"/>
      <c r="BN517" s="48"/>
      <c r="BO517" s="48"/>
      <c r="BP517" s="48"/>
      <c r="BQ517" s="48"/>
      <c r="BR517" s="48"/>
      <c r="BS517" s="48"/>
      <c r="BT517" s="48"/>
      <c r="BU517" s="48"/>
    </row>
    <row r="518" ht="15.75" customHeight="1">
      <c r="A518" s="48"/>
      <c r="B518" s="48"/>
      <c r="C518" s="48"/>
      <c r="D518" s="48"/>
      <c r="E518" s="27"/>
      <c r="F518" s="48"/>
      <c r="G518" s="48"/>
      <c r="H518" s="56"/>
      <c r="I518" s="56"/>
      <c r="J518" s="56"/>
      <c r="K518" s="56"/>
      <c r="L518" s="56"/>
      <c r="M518" s="56"/>
      <c r="N518" s="56"/>
      <c r="O518" s="56"/>
      <c r="P518" s="56"/>
      <c r="Q518" s="56"/>
      <c r="R518" s="56"/>
      <c r="S518" s="56"/>
      <c r="T518" s="56"/>
      <c r="U518" s="56"/>
      <c r="V518" s="56"/>
      <c r="W518" s="27"/>
      <c r="X518" s="56"/>
      <c r="Y518" s="27"/>
      <c r="Z518" s="56"/>
      <c r="AA518" s="27"/>
      <c r="AB518" s="56"/>
      <c r="AC518" s="27"/>
      <c r="AD518" s="56"/>
      <c r="AE518" s="27"/>
      <c r="AF518" s="56"/>
      <c r="AG518" s="27"/>
      <c r="AH518" s="286"/>
      <c r="AI518" s="27"/>
      <c r="AJ518" s="56"/>
      <c r="AK518" s="27"/>
      <c r="AL518" s="56"/>
      <c r="AM518" s="27"/>
      <c r="AN518" s="56"/>
      <c r="AO518" s="27"/>
      <c r="AP518" s="56"/>
      <c r="AQ518" s="27"/>
      <c r="AR518" s="56"/>
      <c r="AS518" s="27"/>
      <c r="AT518" s="56"/>
      <c r="AU518" s="27"/>
      <c r="AV518" s="56"/>
      <c r="AW518" s="27"/>
      <c r="AX518" s="56"/>
      <c r="AY518" s="27"/>
      <c r="AZ518" s="56"/>
      <c r="BA518" s="27"/>
      <c r="BB518" s="48"/>
      <c r="BC518" s="48"/>
      <c r="BD518" s="48"/>
      <c r="BE518" s="48"/>
      <c r="BF518" s="48"/>
      <c r="BG518" s="48"/>
      <c r="BH518" s="48"/>
      <c r="BI518" s="48"/>
      <c r="BJ518" s="48"/>
      <c r="BK518" s="48"/>
      <c r="BL518" s="48"/>
      <c r="BM518" s="48"/>
      <c r="BN518" s="48"/>
      <c r="BO518" s="48"/>
      <c r="BP518" s="48"/>
      <c r="BQ518" s="48"/>
      <c r="BR518" s="48"/>
      <c r="BS518" s="48"/>
      <c r="BT518" s="48"/>
      <c r="BU518" s="48"/>
    </row>
    <row r="519" ht="15.75" customHeight="1">
      <c r="A519" s="48"/>
      <c r="B519" s="48"/>
      <c r="C519" s="48"/>
      <c r="D519" s="48"/>
      <c r="E519" s="27"/>
      <c r="F519" s="48"/>
      <c r="G519" s="48"/>
      <c r="H519" s="56"/>
      <c r="I519" s="56"/>
      <c r="J519" s="56"/>
      <c r="K519" s="56"/>
      <c r="L519" s="56"/>
      <c r="M519" s="56"/>
      <c r="N519" s="56"/>
      <c r="O519" s="56"/>
      <c r="P519" s="56"/>
      <c r="Q519" s="56"/>
      <c r="R519" s="56"/>
      <c r="S519" s="56"/>
      <c r="T519" s="56"/>
      <c r="U519" s="56"/>
      <c r="V519" s="56"/>
      <c r="W519" s="27"/>
      <c r="X519" s="56"/>
      <c r="Y519" s="27"/>
      <c r="Z519" s="56"/>
      <c r="AA519" s="27"/>
      <c r="AB519" s="56"/>
      <c r="AC519" s="27"/>
      <c r="AD519" s="56"/>
      <c r="AE519" s="27"/>
      <c r="AF519" s="56"/>
      <c r="AG519" s="27"/>
      <c r="AH519" s="286"/>
      <c r="AI519" s="27"/>
      <c r="AJ519" s="56"/>
      <c r="AK519" s="27"/>
      <c r="AL519" s="56"/>
      <c r="AM519" s="27"/>
      <c r="AN519" s="56"/>
      <c r="AO519" s="27"/>
      <c r="AP519" s="56"/>
      <c r="AQ519" s="27"/>
      <c r="AR519" s="56"/>
      <c r="AS519" s="27"/>
      <c r="AT519" s="56"/>
      <c r="AU519" s="27"/>
      <c r="AV519" s="56"/>
      <c r="AW519" s="27"/>
      <c r="AX519" s="56"/>
      <c r="AY519" s="27"/>
      <c r="AZ519" s="56"/>
      <c r="BA519" s="27"/>
      <c r="BB519" s="48"/>
      <c r="BC519" s="48"/>
      <c r="BD519" s="48"/>
      <c r="BE519" s="48"/>
      <c r="BF519" s="48"/>
      <c r="BG519" s="48"/>
      <c r="BH519" s="48"/>
      <c r="BI519" s="48"/>
      <c r="BJ519" s="48"/>
      <c r="BK519" s="48"/>
      <c r="BL519" s="48"/>
      <c r="BM519" s="48"/>
      <c r="BN519" s="48"/>
      <c r="BO519" s="48"/>
      <c r="BP519" s="48"/>
      <c r="BQ519" s="48"/>
      <c r="BR519" s="48"/>
      <c r="BS519" s="48"/>
      <c r="BT519" s="48"/>
      <c r="BU519" s="48"/>
    </row>
    <row r="520" ht="15.75" customHeight="1">
      <c r="A520" s="48"/>
      <c r="B520" s="48"/>
      <c r="C520" s="48"/>
      <c r="D520" s="48"/>
      <c r="E520" s="27"/>
      <c r="F520" s="48"/>
      <c r="G520" s="48"/>
      <c r="H520" s="56"/>
      <c r="I520" s="56"/>
      <c r="J520" s="56"/>
      <c r="K520" s="56"/>
      <c r="L520" s="56"/>
      <c r="M520" s="56"/>
      <c r="N520" s="56"/>
      <c r="O520" s="56"/>
      <c r="P520" s="56"/>
      <c r="Q520" s="56"/>
      <c r="R520" s="56"/>
      <c r="S520" s="56"/>
      <c r="T520" s="56"/>
      <c r="U520" s="56"/>
      <c r="V520" s="56"/>
      <c r="W520" s="27"/>
      <c r="X520" s="56"/>
      <c r="Y520" s="27"/>
      <c r="Z520" s="56"/>
      <c r="AA520" s="27"/>
      <c r="AB520" s="56"/>
      <c r="AC520" s="27"/>
      <c r="AD520" s="56"/>
      <c r="AE520" s="27"/>
      <c r="AF520" s="56"/>
      <c r="AG520" s="27"/>
      <c r="AH520" s="286"/>
      <c r="AI520" s="27"/>
      <c r="AJ520" s="56"/>
      <c r="AK520" s="27"/>
      <c r="AL520" s="56"/>
      <c r="AM520" s="27"/>
      <c r="AN520" s="56"/>
      <c r="AO520" s="27"/>
      <c r="AP520" s="56"/>
      <c r="AQ520" s="27"/>
      <c r="AR520" s="56"/>
      <c r="AS520" s="27"/>
      <c r="AT520" s="56"/>
      <c r="AU520" s="27"/>
      <c r="AV520" s="56"/>
      <c r="AW520" s="27"/>
      <c r="AX520" s="56"/>
      <c r="AY520" s="27"/>
      <c r="AZ520" s="56"/>
      <c r="BA520" s="27"/>
      <c r="BB520" s="48"/>
      <c r="BC520" s="48"/>
      <c r="BD520" s="48"/>
      <c r="BE520" s="48"/>
      <c r="BF520" s="48"/>
      <c r="BG520" s="48"/>
      <c r="BH520" s="48"/>
      <c r="BI520" s="48"/>
      <c r="BJ520" s="48"/>
      <c r="BK520" s="48"/>
      <c r="BL520" s="48"/>
      <c r="BM520" s="48"/>
      <c r="BN520" s="48"/>
      <c r="BO520" s="48"/>
      <c r="BP520" s="48"/>
      <c r="BQ520" s="48"/>
      <c r="BR520" s="48"/>
      <c r="BS520" s="48"/>
      <c r="BT520" s="48"/>
      <c r="BU520" s="48"/>
    </row>
    <row r="521" ht="15.75" customHeight="1">
      <c r="A521" s="48"/>
      <c r="B521" s="48"/>
      <c r="C521" s="48"/>
      <c r="D521" s="48"/>
      <c r="E521" s="27"/>
      <c r="F521" s="48"/>
      <c r="G521" s="48"/>
      <c r="H521" s="56"/>
      <c r="I521" s="56"/>
      <c r="J521" s="56"/>
      <c r="K521" s="56"/>
      <c r="L521" s="56"/>
      <c r="M521" s="56"/>
      <c r="N521" s="56"/>
      <c r="O521" s="56"/>
      <c r="P521" s="56"/>
      <c r="Q521" s="56"/>
      <c r="R521" s="56"/>
      <c r="S521" s="56"/>
      <c r="T521" s="56"/>
      <c r="U521" s="56"/>
      <c r="V521" s="56"/>
      <c r="W521" s="27"/>
      <c r="X521" s="56"/>
      <c r="Y521" s="27"/>
      <c r="Z521" s="56"/>
      <c r="AA521" s="27"/>
      <c r="AB521" s="56"/>
      <c r="AC521" s="27"/>
      <c r="AD521" s="56"/>
      <c r="AE521" s="27"/>
      <c r="AF521" s="56"/>
      <c r="AG521" s="27"/>
      <c r="AH521" s="286"/>
      <c r="AI521" s="27"/>
      <c r="AJ521" s="56"/>
      <c r="AK521" s="27"/>
      <c r="AL521" s="56"/>
      <c r="AM521" s="27"/>
      <c r="AN521" s="56"/>
      <c r="AO521" s="27"/>
      <c r="AP521" s="56"/>
      <c r="AQ521" s="27"/>
      <c r="AR521" s="56"/>
      <c r="AS521" s="27"/>
      <c r="AT521" s="56"/>
      <c r="AU521" s="27"/>
      <c r="AV521" s="56"/>
      <c r="AW521" s="27"/>
      <c r="AX521" s="56"/>
      <c r="AY521" s="27"/>
      <c r="AZ521" s="56"/>
      <c r="BA521" s="27"/>
      <c r="BB521" s="48"/>
      <c r="BC521" s="48"/>
      <c r="BD521" s="48"/>
      <c r="BE521" s="48"/>
      <c r="BF521" s="48"/>
      <c r="BG521" s="48"/>
      <c r="BH521" s="48"/>
      <c r="BI521" s="48"/>
      <c r="BJ521" s="48"/>
      <c r="BK521" s="48"/>
      <c r="BL521" s="48"/>
      <c r="BM521" s="48"/>
      <c r="BN521" s="48"/>
      <c r="BO521" s="48"/>
      <c r="BP521" s="48"/>
      <c r="BQ521" s="48"/>
      <c r="BR521" s="48"/>
      <c r="BS521" s="48"/>
      <c r="BT521" s="48"/>
      <c r="BU521" s="48"/>
    </row>
    <row r="522" ht="15.75" customHeight="1">
      <c r="A522" s="48"/>
      <c r="B522" s="48"/>
      <c r="C522" s="48"/>
      <c r="D522" s="48"/>
      <c r="E522" s="27"/>
      <c r="F522" s="48"/>
      <c r="G522" s="48"/>
      <c r="H522" s="56"/>
      <c r="I522" s="56"/>
      <c r="J522" s="56"/>
      <c r="K522" s="56"/>
      <c r="L522" s="56"/>
      <c r="M522" s="56"/>
      <c r="N522" s="56"/>
      <c r="O522" s="56"/>
      <c r="P522" s="56"/>
      <c r="Q522" s="56"/>
      <c r="R522" s="56"/>
      <c r="S522" s="56"/>
      <c r="T522" s="56"/>
      <c r="U522" s="56"/>
      <c r="V522" s="56"/>
      <c r="W522" s="27"/>
      <c r="X522" s="56"/>
      <c r="Y522" s="27"/>
      <c r="Z522" s="56"/>
      <c r="AA522" s="27"/>
      <c r="AB522" s="56"/>
      <c r="AC522" s="27"/>
      <c r="AD522" s="56"/>
      <c r="AE522" s="27"/>
      <c r="AF522" s="56"/>
      <c r="AG522" s="27"/>
      <c r="AH522" s="286"/>
      <c r="AI522" s="27"/>
      <c r="AJ522" s="56"/>
      <c r="AK522" s="27"/>
      <c r="AL522" s="56"/>
      <c r="AM522" s="27"/>
      <c r="AN522" s="56"/>
      <c r="AO522" s="27"/>
      <c r="AP522" s="56"/>
      <c r="AQ522" s="27"/>
      <c r="AR522" s="56"/>
      <c r="AS522" s="27"/>
      <c r="AT522" s="56"/>
      <c r="AU522" s="27"/>
      <c r="AV522" s="56"/>
      <c r="AW522" s="27"/>
      <c r="AX522" s="56"/>
      <c r="AY522" s="27"/>
      <c r="AZ522" s="56"/>
      <c r="BA522" s="27"/>
      <c r="BB522" s="48"/>
      <c r="BC522" s="48"/>
      <c r="BD522" s="48"/>
      <c r="BE522" s="48"/>
      <c r="BF522" s="48"/>
      <c r="BG522" s="48"/>
      <c r="BH522" s="48"/>
      <c r="BI522" s="48"/>
      <c r="BJ522" s="48"/>
      <c r="BK522" s="48"/>
      <c r="BL522" s="48"/>
      <c r="BM522" s="48"/>
      <c r="BN522" s="48"/>
      <c r="BO522" s="48"/>
      <c r="BP522" s="48"/>
      <c r="BQ522" s="48"/>
      <c r="BR522" s="48"/>
      <c r="BS522" s="48"/>
      <c r="BT522" s="48"/>
      <c r="BU522" s="48"/>
    </row>
    <row r="523" ht="15.75" customHeight="1">
      <c r="A523" s="48"/>
      <c r="B523" s="48"/>
      <c r="C523" s="48"/>
      <c r="D523" s="48"/>
      <c r="E523" s="27"/>
      <c r="F523" s="48"/>
      <c r="G523" s="48"/>
      <c r="H523" s="56"/>
      <c r="I523" s="56"/>
      <c r="J523" s="56"/>
      <c r="K523" s="56"/>
      <c r="L523" s="56"/>
      <c r="M523" s="56"/>
      <c r="N523" s="56"/>
      <c r="O523" s="56"/>
      <c r="P523" s="56"/>
      <c r="Q523" s="56"/>
      <c r="R523" s="56"/>
      <c r="S523" s="56"/>
      <c r="T523" s="56"/>
      <c r="U523" s="56"/>
      <c r="V523" s="56"/>
      <c r="W523" s="27"/>
      <c r="X523" s="56"/>
      <c r="Y523" s="27"/>
      <c r="Z523" s="56"/>
      <c r="AA523" s="27"/>
      <c r="AB523" s="56"/>
      <c r="AC523" s="27"/>
      <c r="AD523" s="56"/>
      <c r="AE523" s="27"/>
      <c r="AF523" s="56"/>
      <c r="AG523" s="27"/>
      <c r="AH523" s="286"/>
      <c r="AI523" s="27"/>
      <c r="AJ523" s="56"/>
      <c r="AK523" s="27"/>
      <c r="AL523" s="56"/>
      <c r="AM523" s="27"/>
      <c r="AN523" s="56"/>
      <c r="AO523" s="27"/>
      <c r="AP523" s="56"/>
      <c r="AQ523" s="27"/>
      <c r="AR523" s="56"/>
      <c r="AS523" s="27"/>
      <c r="AT523" s="56"/>
      <c r="AU523" s="27"/>
      <c r="AV523" s="56"/>
      <c r="AW523" s="27"/>
      <c r="AX523" s="56"/>
      <c r="AY523" s="27"/>
      <c r="AZ523" s="56"/>
      <c r="BA523" s="27"/>
      <c r="BB523" s="48"/>
      <c r="BC523" s="48"/>
      <c r="BD523" s="48"/>
      <c r="BE523" s="48"/>
      <c r="BF523" s="48"/>
      <c r="BG523" s="48"/>
      <c r="BH523" s="48"/>
      <c r="BI523" s="48"/>
      <c r="BJ523" s="48"/>
      <c r="BK523" s="48"/>
      <c r="BL523" s="48"/>
      <c r="BM523" s="48"/>
      <c r="BN523" s="48"/>
      <c r="BO523" s="48"/>
      <c r="BP523" s="48"/>
      <c r="BQ523" s="48"/>
      <c r="BR523" s="48"/>
      <c r="BS523" s="48"/>
      <c r="BT523" s="48"/>
      <c r="BU523" s="48"/>
    </row>
    <row r="524" ht="15.75" customHeight="1">
      <c r="A524" s="48"/>
      <c r="B524" s="48"/>
      <c r="C524" s="48"/>
      <c r="D524" s="48"/>
      <c r="E524" s="27"/>
      <c r="F524" s="48"/>
      <c r="G524" s="48"/>
      <c r="H524" s="56"/>
      <c r="I524" s="56"/>
      <c r="J524" s="56"/>
      <c r="K524" s="56"/>
      <c r="L524" s="56"/>
      <c r="M524" s="56"/>
      <c r="N524" s="56"/>
      <c r="O524" s="56"/>
      <c r="P524" s="56"/>
      <c r="Q524" s="56"/>
      <c r="R524" s="56"/>
      <c r="S524" s="56"/>
      <c r="T524" s="56"/>
      <c r="U524" s="56"/>
      <c r="V524" s="56"/>
      <c r="W524" s="27"/>
      <c r="X524" s="56"/>
      <c r="Y524" s="27"/>
      <c r="Z524" s="56"/>
      <c r="AA524" s="27"/>
      <c r="AB524" s="56"/>
      <c r="AC524" s="27"/>
      <c r="AD524" s="56"/>
      <c r="AE524" s="27"/>
      <c r="AF524" s="56"/>
      <c r="AG524" s="27"/>
      <c r="AH524" s="286"/>
      <c r="AI524" s="27"/>
      <c r="AJ524" s="56"/>
      <c r="AK524" s="27"/>
      <c r="AL524" s="56"/>
      <c r="AM524" s="27"/>
      <c r="AN524" s="56"/>
      <c r="AO524" s="27"/>
      <c r="AP524" s="56"/>
      <c r="AQ524" s="27"/>
      <c r="AR524" s="56"/>
      <c r="AS524" s="27"/>
      <c r="AT524" s="56"/>
      <c r="AU524" s="27"/>
      <c r="AV524" s="56"/>
      <c r="AW524" s="27"/>
      <c r="AX524" s="56"/>
      <c r="AY524" s="27"/>
      <c r="AZ524" s="56"/>
      <c r="BA524" s="27"/>
      <c r="BB524" s="48"/>
      <c r="BC524" s="48"/>
      <c r="BD524" s="48"/>
      <c r="BE524" s="48"/>
      <c r="BF524" s="48"/>
      <c r="BG524" s="48"/>
      <c r="BH524" s="48"/>
      <c r="BI524" s="48"/>
      <c r="BJ524" s="48"/>
      <c r="BK524" s="48"/>
      <c r="BL524" s="48"/>
      <c r="BM524" s="48"/>
      <c r="BN524" s="48"/>
      <c r="BO524" s="48"/>
      <c r="BP524" s="48"/>
      <c r="BQ524" s="48"/>
      <c r="BR524" s="48"/>
      <c r="BS524" s="48"/>
      <c r="BT524" s="48"/>
      <c r="BU524" s="48"/>
    </row>
    <row r="525" ht="15.75" customHeight="1">
      <c r="A525" s="48"/>
      <c r="B525" s="48"/>
      <c r="C525" s="48"/>
      <c r="D525" s="48"/>
      <c r="E525" s="27"/>
      <c r="F525" s="48"/>
      <c r="G525" s="48"/>
      <c r="H525" s="56"/>
      <c r="I525" s="56"/>
      <c r="J525" s="56"/>
      <c r="K525" s="56"/>
      <c r="L525" s="56"/>
      <c r="M525" s="56"/>
      <c r="N525" s="56"/>
      <c r="O525" s="56"/>
      <c r="P525" s="56"/>
      <c r="Q525" s="56"/>
      <c r="R525" s="56"/>
      <c r="S525" s="56"/>
      <c r="T525" s="56"/>
      <c r="U525" s="56"/>
      <c r="V525" s="56"/>
      <c r="W525" s="27"/>
      <c r="X525" s="56"/>
      <c r="Y525" s="27"/>
      <c r="Z525" s="56"/>
      <c r="AA525" s="27"/>
      <c r="AB525" s="56"/>
      <c r="AC525" s="27"/>
      <c r="AD525" s="56"/>
      <c r="AE525" s="27"/>
      <c r="AF525" s="56"/>
      <c r="AG525" s="27"/>
      <c r="AH525" s="286"/>
      <c r="AI525" s="27"/>
      <c r="AJ525" s="56"/>
      <c r="AK525" s="27"/>
      <c r="AL525" s="56"/>
      <c r="AM525" s="27"/>
      <c r="AN525" s="56"/>
      <c r="AO525" s="27"/>
      <c r="AP525" s="56"/>
      <c r="AQ525" s="27"/>
      <c r="AR525" s="56"/>
      <c r="AS525" s="27"/>
      <c r="AT525" s="56"/>
      <c r="AU525" s="27"/>
      <c r="AV525" s="56"/>
      <c r="AW525" s="27"/>
      <c r="AX525" s="56"/>
      <c r="AY525" s="27"/>
      <c r="AZ525" s="56"/>
      <c r="BA525" s="27"/>
      <c r="BB525" s="48"/>
      <c r="BC525" s="48"/>
      <c r="BD525" s="48"/>
      <c r="BE525" s="48"/>
      <c r="BF525" s="48"/>
      <c r="BG525" s="48"/>
      <c r="BH525" s="48"/>
      <c r="BI525" s="48"/>
      <c r="BJ525" s="48"/>
      <c r="BK525" s="48"/>
      <c r="BL525" s="48"/>
      <c r="BM525" s="48"/>
      <c r="BN525" s="48"/>
      <c r="BO525" s="48"/>
      <c r="BP525" s="48"/>
      <c r="BQ525" s="48"/>
      <c r="BR525" s="48"/>
      <c r="BS525" s="48"/>
      <c r="BT525" s="48"/>
      <c r="BU525" s="48"/>
    </row>
    <row r="526" ht="15.75" customHeight="1">
      <c r="A526" s="48"/>
      <c r="B526" s="48"/>
      <c r="C526" s="48"/>
      <c r="D526" s="48"/>
      <c r="E526" s="27"/>
      <c r="F526" s="48"/>
      <c r="G526" s="48"/>
      <c r="H526" s="56"/>
      <c r="I526" s="56"/>
      <c r="J526" s="56"/>
      <c r="K526" s="56"/>
      <c r="L526" s="56"/>
      <c r="M526" s="56"/>
      <c r="N526" s="56"/>
      <c r="O526" s="56"/>
      <c r="P526" s="56"/>
      <c r="Q526" s="56"/>
      <c r="R526" s="56"/>
      <c r="S526" s="56"/>
      <c r="T526" s="56"/>
      <c r="U526" s="56"/>
      <c r="V526" s="56"/>
      <c r="W526" s="27"/>
      <c r="X526" s="56"/>
      <c r="Y526" s="27"/>
      <c r="Z526" s="56"/>
      <c r="AA526" s="27"/>
      <c r="AB526" s="56"/>
      <c r="AC526" s="27"/>
      <c r="AD526" s="56"/>
      <c r="AE526" s="27"/>
      <c r="AF526" s="56"/>
      <c r="AG526" s="27"/>
      <c r="AH526" s="286"/>
      <c r="AI526" s="27"/>
      <c r="AJ526" s="56"/>
      <c r="AK526" s="27"/>
      <c r="AL526" s="56"/>
      <c r="AM526" s="27"/>
      <c r="AN526" s="56"/>
      <c r="AO526" s="27"/>
      <c r="AP526" s="56"/>
      <c r="AQ526" s="27"/>
      <c r="AR526" s="56"/>
      <c r="AS526" s="27"/>
      <c r="AT526" s="56"/>
      <c r="AU526" s="27"/>
      <c r="AV526" s="56"/>
      <c r="AW526" s="27"/>
      <c r="AX526" s="56"/>
      <c r="AY526" s="27"/>
      <c r="AZ526" s="56"/>
      <c r="BA526" s="27"/>
      <c r="BB526" s="48"/>
      <c r="BC526" s="48"/>
      <c r="BD526" s="48"/>
      <c r="BE526" s="48"/>
      <c r="BF526" s="48"/>
      <c r="BG526" s="48"/>
      <c r="BH526" s="48"/>
      <c r="BI526" s="48"/>
      <c r="BJ526" s="48"/>
      <c r="BK526" s="48"/>
      <c r="BL526" s="48"/>
      <c r="BM526" s="48"/>
      <c r="BN526" s="48"/>
      <c r="BO526" s="48"/>
      <c r="BP526" s="48"/>
      <c r="BQ526" s="48"/>
      <c r="BR526" s="48"/>
      <c r="BS526" s="48"/>
      <c r="BT526" s="48"/>
      <c r="BU526" s="48"/>
    </row>
    <row r="527" ht="15.75" customHeight="1">
      <c r="A527" s="48"/>
      <c r="B527" s="48"/>
      <c r="C527" s="48"/>
      <c r="D527" s="48"/>
      <c r="E527" s="27"/>
      <c r="F527" s="48"/>
      <c r="G527" s="48"/>
      <c r="H527" s="56"/>
      <c r="I527" s="56"/>
      <c r="J527" s="56"/>
      <c r="K527" s="56"/>
      <c r="L527" s="56"/>
      <c r="M527" s="56"/>
      <c r="N527" s="56"/>
      <c r="O527" s="56"/>
      <c r="P527" s="56"/>
      <c r="Q527" s="56"/>
      <c r="R527" s="56"/>
      <c r="S527" s="56"/>
      <c r="T527" s="56"/>
      <c r="U527" s="56"/>
      <c r="V527" s="56"/>
      <c r="W527" s="27"/>
      <c r="X527" s="56"/>
      <c r="Y527" s="27"/>
      <c r="Z527" s="56"/>
      <c r="AA527" s="27"/>
      <c r="AB527" s="56"/>
      <c r="AC527" s="27"/>
      <c r="AD527" s="56"/>
      <c r="AE527" s="27"/>
      <c r="AF527" s="56"/>
      <c r="AG527" s="27"/>
      <c r="AH527" s="286"/>
      <c r="AI527" s="27"/>
      <c r="AJ527" s="56"/>
      <c r="AK527" s="27"/>
      <c r="AL527" s="56"/>
      <c r="AM527" s="27"/>
      <c r="AN527" s="56"/>
      <c r="AO527" s="27"/>
      <c r="AP527" s="56"/>
      <c r="AQ527" s="27"/>
      <c r="AR527" s="56"/>
      <c r="AS527" s="27"/>
      <c r="AT527" s="56"/>
      <c r="AU527" s="27"/>
      <c r="AV527" s="56"/>
      <c r="AW527" s="27"/>
      <c r="AX527" s="56"/>
      <c r="AY527" s="27"/>
      <c r="AZ527" s="56"/>
      <c r="BA527" s="27"/>
      <c r="BB527" s="48"/>
      <c r="BC527" s="48"/>
      <c r="BD527" s="48"/>
      <c r="BE527" s="48"/>
      <c r="BF527" s="48"/>
      <c r="BG527" s="48"/>
      <c r="BH527" s="48"/>
      <c r="BI527" s="48"/>
      <c r="BJ527" s="48"/>
      <c r="BK527" s="48"/>
      <c r="BL527" s="48"/>
      <c r="BM527" s="48"/>
      <c r="BN527" s="48"/>
      <c r="BO527" s="48"/>
      <c r="BP527" s="48"/>
      <c r="BQ527" s="48"/>
      <c r="BR527" s="48"/>
      <c r="BS527" s="48"/>
      <c r="BT527" s="48"/>
      <c r="BU527" s="48"/>
    </row>
    <row r="528" ht="15.75" customHeight="1">
      <c r="A528" s="48"/>
      <c r="B528" s="48"/>
      <c r="C528" s="48"/>
      <c r="D528" s="48"/>
      <c r="E528" s="27"/>
      <c r="F528" s="48"/>
      <c r="G528" s="48"/>
      <c r="H528" s="56"/>
      <c r="I528" s="56"/>
      <c r="J528" s="56"/>
      <c r="K528" s="56"/>
      <c r="L528" s="56"/>
      <c r="M528" s="56"/>
      <c r="N528" s="56"/>
      <c r="O528" s="56"/>
      <c r="P528" s="56"/>
      <c r="Q528" s="56"/>
      <c r="R528" s="56"/>
      <c r="S528" s="56"/>
      <c r="T528" s="56"/>
      <c r="U528" s="56"/>
      <c r="V528" s="56"/>
      <c r="W528" s="27"/>
      <c r="X528" s="56"/>
      <c r="Y528" s="27"/>
      <c r="Z528" s="56"/>
      <c r="AA528" s="27"/>
      <c r="AB528" s="56"/>
      <c r="AC528" s="27"/>
      <c r="AD528" s="56"/>
      <c r="AE528" s="27"/>
      <c r="AF528" s="56"/>
      <c r="AG528" s="27"/>
      <c r="AH528" s="286"/>
      <c r="AI528" s="27"/>
      <c r="AJ528" s="56"/>
      <c r="AK528" s="27"/>
      <c r="AL528" s="56"/>
      <c r="AM528" s="27"/>
      <c r="AN528" s="56"/>
      <c r="AO528" s="27"/>
      <c r="AP528" s="56"/>
      <c r="AQ528" s="27"/>
      <c r="AR528" s="56"/>
      <c r="AS528" s="27"/>
      <c r="AT528" s="56"/>
      <c r="AU528" s="27"/>
      <c r="AV528" s="56"/>
      <c r="AW528" s="27"/>
      <c r="AX528" s="56"/>
      <c r="AY528" s="27"/>
      <c r="AZ528" s="56"/>
      <c r="BA528" s="27"/>
      <c r="BB528" s="48"/>
      <c r="BC528" s="48"/>
      <c r="BD528" s="48"/>
      <c r="BE528" s="48"/>
      <c r="BF528" s="48"/>
      <c r="BG528" s="48"/>
      <c r="BH528" s="48"/>
      <c r="BI528" s="48"/>
      <c r="BJ528" s="48"/>
      <c r="BK528" s="48"/>
      <c r="BL528" s="48"/>
      <c r="BM528" s="48"/>
      <c r="BN528" s="48"/>
      <c r="BO528" s="48"/>
      <c r="BP528" s="48"/>
      <c r="BQ528" s="48"/>
      <c r="BR528" s="48"/>
      <c r="BS528" s="48"/>
      <c r="BT528" s="48"/>
      <c r="BU528" s="48"/>
    </row>
    <row r="529" ht="15.75" customHeight="1">
      <c r="A529" s="48"/>
      <c r="B529" s="48"/>
      <c r="C529" s="48"/>
      <c r="D529" s="48"/>
      <c r="E529" s="27"/>
      <c r="F529" s="48"/>
      <c r="G529" s="48"/>
      <c r="H529" s="56"/>
      <c r="I529" s="56"/>
      <c r="J529" s="56"/>
      <c r="K529" s="56"/>
      <c r="L529" s="56"/>
      <c r="M529" s="56"/>
      <c r="N529" s="56"/>
      <c r="O529" s="56"/>
      <c r="P529" s="56"/>
      <c r="Q529" s="56"/>
      <c r="R529" s="56"/>
      <c r="S529" s="56"/>
      <c r="T529" s="56"/>
      <c r="U529" s="56"/>
      <c r="V529" s="56"/>
      <c r="W529" s="27"/>
      <c r="X529" s="56"/>
      <c r="Y529" s="27"/>
      <c r="Z529" s="56"/>
      <c r="AA529" s="27"/>
      <c r="AB529" s="56"/>
      <c r="AC529" s="27"/>
      <c r="AD529" s="56"/>
      <c r="AE529" s="27"/>
      <c r="AF529" s="56"/>
      <c r="AG529" s="27"/>
      <c r="AH529" s="286"/>
      <c r="AI529" s="27"/>
      <c r="AJ529" s="56"/>
      <c r="AK529" s="27"/>
      <c r="AL529" s="56"/>
      <c r="AM529" s="27"/>
      <c r="AN529" s="56"/>
      <c r="AO529" s="27"/>
      <c r="AP529" s="56"/>
      <c r="AQ529" s="27"/>
      <c r="AR529" s="56"/>
      <c r="AS529" s="27"/>
      <c r="AT529" s="56"/>
      <c r="AU529" s="27"/>
      <c r="AV529" s="56"/>
      <c r="AW529" s="27"/>
      <c r="AX529" s="56"/>
      <c r="AY529" s="27"/>
      <c r="AZ529" s="56"/>
      <c r="BA529" s="27"/>
      <c r="BB529" s="48"/>
      <c r="BC529" s="48"/>
      <c r="BD529" s="48"/>
      <c r="BE529" s="48"/>
      <c r="BF529" s="48"/>
      <c r="BG529" s="48"/>
      <c r="BH529" s="48"/>
      <c r="BI529" s="48"/>
      <c r="BJ529" s="48"/>
      <c r="BK529" s="48"/>
      <c r="BL529" s="48"/>
      <c r="BM529" s="48"/>
      <c r="BN529" s="48"/>
      <c r="BO529" s="48"/>
      <c r="BP529" s="48"/>
      <c r="BQ529" s="48"/>
      <c r="BR529" s="48"/>
      <c r="BS529" s="48"/>
      <c r="BT529" s="48"/>
      <c r="BU529" s="48"/>
    </row>
    <row r="530" ht="15.75" customHeight="1">
      <c r="A530" s="48"/>
      <c r="B530" s="48"/>
      <c r="C530" s="48"/>
      <c r="D530" s="48"/>
      <c r="E530" s="27"/>
      <c r="F530" s="48"/>
      <c r="G530" s="48"/>
      <c r="H530" s="56"/>
      <c r="I530" s="56"/>
      <c r="J530" s="56"/>
      <c r="K530" s="56"/>
      <c r="L530" s="56"/>
      <c r="M530" s="56"/>
      <c r="N530" s="56"/>
      <c r="O530" s="56"/>
      <c r="P530" s="56"/>
      <c r="Q530" s="56"/>
      <c r="R530" s="56"/>
      <c r="S530" s="56"/>
      <c r="T530" s="56"/>
      <c r="U530" s="56"/>
      <c r="V530" s="56"/>
      <c r="W530" s="27"/>
      <c r="X530" s="56"/>
      <c r="Y530" s="27"/>
      <c r="Z530" s="56"/>
      <c r="AA530" s="27"/>
      <c r="AB530" s="56"/>
      <c r="AC530" s="27"/>
      <c r="AD530" s="56"/>
      <c r="AE530" s="27"/>
      <c r="AF530" s="56"/>
      <c r="AG530" s="27"/>
      <c r="AH530" s="286"/>
      <c r="AI530" s="27"/>
      <c r="AJ530" s="56"/>
      <c r="AK530" s="27"/>
      <c r="AL530" s="56"/>
      <c r="AM530" s="27"/>
      <c r="AN530" s="56"/>
      <c r="AO530" s="27"/>
      <c r="AP530" s="56"/>
      <c r="AQ530" s="27"/>
      <c r="AR530" s="56"/>
      <c r="AS530" s="27"/>
      <c r="AT530" s="56"/>
      <c r="AU530" s="27"/>
      <c r="AV530" s="56"/>
      <c r="AW530" s="27"/>
      <c r="AX530" s="56"/>
      <c r="AY530" s="27"/>
      <c r="AZ530" s="56"/>
      <c r="BA530" s="27"/>
      <c r="BB530" s="48"/>
      <c r="BC530" s="48"/>
      <c r="BD530" s="48"/>
      <c r="BE530" s="48"/>
      <c r="BF530" s="48"/>
      <c r="BG530" s="48"/>
      <c r="BH530" s="48"/>
      <c r="BI530" s="48"/>
      <c r="BJ530" s="48"/>
      <c r="BK530" s="48"/>
      <c r="BL530" s="48"/>
      <c r="BM530" s="48"/>
      <c r="BN530" s="48"/>
      <c r="BO530" s="48"/>
      <c r="BP530" s="48"/>
      <c r="BQ530" s="48"/>
      <c r="BR530" s="48"/>
      <c r="BS530" s="48"/>
      <c r="BT530" s="48"/>
      <c r="BU530" s="48"/>
    </row>
    <row r="531" ht="15.75" customHeight="1">
      <c r="A531" s="48"/>
      <c r="B531" s="48"/>
      <c r="C531" s="48"/>
      <c r="D531" s="48"/>
      <c r="E531" s="27"/>
      <c r="F531" s="48"/>
      <c r="G531" s="48"/>
      <c r="H531" s="56"/>
      <c r="I531" s="56"/>
      <c r="J531" s="56"/>
      <c r="K531" s="56"/>
      <c r="L531" s="56"/>
      <c r="M531" s="56"/>
      <c r="N531" s="56"/>
      <c r="O531" s="56"/>
      <c r="P531" s="56"/>
      <c r="Q531" s="56"/>
      <c r="R531" s="56"/>
      <c r="S531" s="56"/>
      <c r="T531" s="56"/>
      <c r="U531" s="56"/>
      <c r="V531" s="56"/>
      <c r="W531" s="27"/>
      <c r="X531" s="56"/>
      <c r="Y531" s="27"/>
      <c r="Z531" s="56"/>
      <c r="AA531" s="27"/>
      <c r="AB531" s="56"/>
      <c r="AC531" s="27"/>
      <c r="AD531" s="56"/>
      <c r="AE531" s="27"/>
      <c r="AF531" s="56"/>
      <c r="AG531" s="27"/>
      <c r="AH531" s="286"/>
      <c r="AI531" s="27"/>
      <c r="AJ531" s="56"/>
      <c r="AK531" s="27"/>
      <c r="AL531" s="56"/>
      <c r="AM531" s="27"/>
      <c r="AN531" s="56"/>
      <c r="AO531" s="27"/>
      <c r="AP531" s="56"/>
      <c r="AQ531" s="27"/>
      <c r="AR531" s="56"/>
      <c r="AS531" s="27"/>
      <c r="AT531" s="56"/>
      <c r="AU531" s="27"/>
      <c r="AV531" s="56"/>
      <c r="AW531" s="27"/>
      <c r="AX531" s="56"/>
      <c r="AY531" s="27"/>
      <c r="AZ531" s="56"/>
      <c r="BA531" s="27"/>
      <c r="BB531" s="48"/>
      <c r="BC531" s="48"/>
      <c r="BD531" s="48"/>
      <c r="BE531" s="48"/>
      <c r="BF531" s="48"/>
      <c r="BG531" s="48"/>
      <c r="BH531" s="48"/>
      <c r="BI531" s="48"/>
      <c r="BJ531" s="48"/>
      <c r="BK531" s="48"/>
      <c r="BL531" s="48"/>
      <c r="BM531" s="48"/>
      <c r="BN531" s="48"/>
      <c r="BO531" s="48"/>
      <c r="BP531" s="48"/>
      <c r="BQ531" s="48"/>
      <c r="BR531" s="48"/>
      <c r="BS531" s="48"/>
      <c r="BT531" s="48"/>
      <c r="BU531" s="48"/>
    </row>
    <row r="532" ht="15.75" customHeight="1">
      <c r="A532" s="48"/>
      <c r="B532" s="48"/>
      <c r="C532" s="48"/>
      <c r="D532" s="48"/>
      <c r="E532" s="27"/>
      <c r="F532" s="48"/>
      <c r="G532" s="48"/>
      <c r="H532" s="56"/>
      <c r="I532" s="56"/>
      <c r="J532" s="56"/>
      <c r="K532" s="56"/>
      <c r="L532" s="56"/>
      <c r="M532" s="56"/>
      <c r="N532" s="56"/>
      <c r="O532" s="56"/>
      <c r="P532" s="56"/>
      <c r="Q532" s="56"/>
      <c r="R532" s="56"/>
      <c r="S532" s="56"/>
      <c r="T532" s="56"/>
      <c r="U532" s="56"/>
      <c r="V532" s="56"/>
      <c r="W532" s="27"/>
      <c r="X532" s="56"/>
      <c r="Y532" s="27"/>
      <c r="Z532" s="56"/>
      <c r="AA532" s="27"/>
      <c r="AB532" s="56"/>
      <c r="AC532" s="27"/>
      <c r="AD532" s="56"/>
      <c r="AE532" s="27"/>
      <c r="AF532" s="56"/>
      <c r="AG532" s="27"/>
      <c r="AH532" s="286"/>
      <c r="AI532" s="27"/>
      <c r="AJ532" s="56"/>
      <c r="AK532" s="27"/>
      <c r="AL532" s="56"/>
      <c r="AM532" s="27"/>
      <c r="AN532" s="56"/>
      <c r="AO532" s="27"/>
      <c r="AP532" s="56"/>
      <c r="AQ532" s="27"/>
      <c r="AR532" s="56"/>
      <c r="AS532" s="27"/>
      <c r="AT532" s="56"/>
      <c r="AU532" s="27"/>
      <c r="AV532" s="56"/>
      <c r="AW532" s="27"/>
      <c r="AX532" s="56"/>
      <c r="AY532" s="27"/>
      <c r="AZ532" s="56"/>
      <c r="BA532" s="27"/>
      <c r="BB532" s="48"/>
      <c r="BC532" s="48"/>
      <c r="BD532" s="48"/>
      <c r="BE532" s="48"/>
      <c r="BF532" s="48"/>
      <c r="BG532" s="48"/>
      <c r="BH532" s="48"/>
      <c r="BI532" s="48"/>
      <c r="BJ532" s="48"/>
      <c r="BK532" s="48"/>
      <c r="BL532" s="48"/>
      <c r="BM532" s="48"/>
      <c r="BN532" s="48"/>
      <c r="BO532" s="48"/>
      <c r="BP532" s="48"/>
      <c r="BQ532" s="48"/>
      <c r="BR532" s="48"/>
      <c r="BS532" s="48"/>
      <c r="BT532" s="48"/>
      <c r="BU532" s="48"/>
    </row>
    <row r="533" ht="15.75" customHeight="1">
      <c r="A533" s="48"/>
      <c r="B533" s="48"/>
      <c r="C533" s="48"/>
      <c r="D533" s="48"/>
      <c r="E533" s="27"/>
      <c r="F533" s="48"/>
      <c r="G533" s="48"/>
      <c r="H533" s="56"/>
      <c r="I533" s="56"/>
      <c r="J533" s="56"/>
      <c r="K533" s="56"/>
      <c r="L533" s="56"/>
      <c r="M533" s="56"/>
      <c r="N533" s="56"/>
      <c r="O533" s="56"/>
      <c r="P533" s="56"/>
      <c r="Q533" s="56"/>
      <c r="R533" s="56"/>
      <c r="S533" s="56"/>
      <c r="T533" s="56"/>
      <c r="U533" s="56"/>
      <c r="V533" s="56"/>
      <c r="W533" s="27"/>
      <c r="X533" s="56"/>
      <c r="Y533" s="27"/>
      <c r="Z533" s="56"/>
      <c r="AA533" s="27"/>
      <c r="AB533" s="56"/>
      <c r="AC533" s="27"/>
      <c r="AD533" s="56"/>
      <c r="AE533" s="27"/>
      <c r="AF533" s="56"/>
      <c r="AG533" s="27"/>
      <c r="AH533" s="286"/>
      <c r="AI533" s="27"/>
      <c r="AJ533" s="56"/>
      <c r="AK533" s="27"/>
      <c r="AL533" s="56"/>
      <c r="AM533" s="27"/>
      <c r="AN533" s="56"/>
      <c r="AO533" s="27"/>
      <c r="AP533" s="56"/>
      <c r="AQ533" s="27"/>
      <c r="AR533" s="56"/>
      <c r="AS533" s="27"/>
      <c r="AT533" s="56"/>
      <c r="AU533" s="27"/>
      <c r="AV533" s="56"/>
      <c r="AW533" s="27"/>
      <c r="AX533" s="56"/>
      <c r="AY533" s="27"/>
      <c r="AZ533" s="56"/>
      <c r="BA533" s="27"/>
      <c r="BB533" s="48"/>
      <c r="BC533" s="48"/>
      <c r="BD533" s="48"/>
      <c r="BE533" s="48"/>
      <c r="BF533" s="48"/>
      <c r="BG533" s="48"/>
      <c r="BH533" s="48"/>
      <c r="BI533" s="48"/>
      <c r="BJ533" s="48"/>
      <c r="BK533" s="48"/>
      <c r="BL533" s="48"/>
      <c r="BM533" s="48"/>
      <c r="BN533" s="48"/>
      <c r="BO533" s="48"/>
      <c r="BP533" s="48"/>
      <c r="BQ533" s="48"/>
      <c r="BR533" s="48"/>
      <c r="BS533" s="48"/>
      <c r="BT533" s="48"/>
      <c r="BU533" s="48"/>
    </row>
    <row r="534" ht="15.75" customHeight="1">
      <c r="A534" s="48"/>
      <c r="B534" s="48"/>
      <c r="C534" s="48"/>
      <c r="D534" s="48"/>
      <c r="E534" s="27"/>
      <c r="F534" s="48"/>
      <c r="G534" s="48"/>
      <c r="H534" s="56"/>
      <c r="I534" s="56"/>
      <c r="J534" s="56"/>
      <c r="K534" s="56"/>
      <c r="L534" s="56"/>
      <c r="M534" s="56"/>
      <c r="N534" s="56"/>
      <c r="O534" s="56"/>
      <c r="P534" s="56"/>
      <c r="Q534" s="56"/>
      <c r="R534" s="56"/>
      <c r="S534" s="56"/>
      <c r="T534" s="56"/>
      <c r="U534" s="56"/>
      <c r="V534" s="56"/>
      <c r="W534" s="27"/>
      <c r="X534" s="56"/>
      <c r="Y534" s="27"/>
      <c r="Z534" s="56"/>
      <c r="AA534" s="27"/>
      <c r="AB534" s="56"/>
      <c r="AC534" s="27"/>
      <c r="AD534" s="56"/>
      <c r="AE534" s="27"/>
      <c r="AF534" s="56"/>
      <c r="AG534" s="27"/>
      <c r="AH534" s="286"/>
      <c r="AI534" s="27"/>
      <c r="AJ534" s="56"/>
      <c r="AK534" s="27"/>
      <c r="AL534" s="56"/>
      <c r="AM534" s="27"/>
      <c r="AN534" s="56"/>
      <c r="AO534" s="27"/>
      <c r="AP534" s="56"/>
      <c r="AQ534" s="27"/>
      <c r="AR534" s="56"/>
      <c r="AS534" s="27"/>
      <c r="AT534" s="56"/>
      <c r="AU534" s="27"/>
      <c r="AV534" s="56"/>
      <c r="AW534" s="27"/>
      <c r="AX534" s="56"/>
      <c r="AY534" s="27"/>
      <c r="AZ534" s="56"/>
      <c r="BA534" s="27"/>
      <c r="BB534" s="48"/>
      <c r="BC534" s="48"/>
      <c r="BD534" s="48"/>
      <c r="BE534" s="48"/>
      <c r="BF534" s="48"/>
      <c r="BG534" s="48"/>
      <c r="BH534" s="48"/>
      <c r="BI534" s="48"/>
      <c r="BJ534" s="48"/>
      <c r="BK534" s="48"/>
      <c r="BL534" s="48"/>
      <c r="BM534" s="48"/>
      <c r="BN534" s="48"/>
      <c r="BO534" s="48"/>
      <c r="BP534" s="48"/>
      <c r="BQ534" s="48"/>
      <c r="BR534" s="48"/>
      <c r="BS534" s="48"/>
      <c r="BT534" s="48"/>
      <c r="BU534" s="48"/>
    </row>
    <row r="535" ht="15.75" customHeight="1">
      <c r="A535" s="48"/>
      <c r="B535" s="48"/>
      <c r="C535" s="48"/>
      <c r="D535" s="48"/>
      <c r="E535" s="27"/>
      <c r="F535" s="48"/>
      <c r="G535" s="48"/>
      <c r="H535" s="56"/>
      <c r="I535" s="56"/>
      <c r="J535" s="56"/>
      <c r="K535" s="56"/>
      <c r="L535" s="56"/>
      <c r="M535" s="56"/>
      <c r="N535" s="56"/>
      <c r="O535" s="56"/>
      <c r="P535" s="56"/>
      <c r="Q535" s="56"/>
      <c r="R535" s="56"/>
      <c r="S535" s="56"/>
      <c r="T535" s="56"/>
      <c r="U535" s="56"/>
      <c r="V535" s="56"/>
      <c r="W535" s="27"/>
      <c r="X535" s="56"/>
      <c r="Y535" s="27"/>
      <c r="Z535" s="56"/>
      <c r="AA535" s="27"/>
      <c r="AB535" s="56"/>
      <c r="AC535" s="27"/>
      <c r="AD535" s="56"/>
      <c r="AE535" s="27"/>
      <c r="AF535" s="56"/>
      <c r="AG535" s="27"/>
      <c r="AH535" s="286"/>
      <c r="AI535" s="27"/>
      <c r="AJ535" s="56"/>
      <c r="AK535" s="27"/>
      <c r="AL535" s="56"/>
      <c r="AM535" s="27"/>
      <c r="AN535" s="56"/>
      <c r="AO535" s="27"/>
      <c r="AP535" s="56"/>
      <c r="AQ535" s="27"/>
      <c r="AR535" s="56"/>
      <c r="AS535" s="27"/>
      <c r="AT535" s="56"/>
      <c r="AU535" s="27"/>
      <c r="AV535" s="56"/>
      <c r="AW535" s="27"/>
      <c r="AX535" s="56"/>
      <c r="AY535" s="27"/>
      <c r="AZ535" s="56"/>
      <c r="BA535" s="27"/>
      <c r="BB535" s="48"/>
      <c r="BC535" s="48"/>
      <c r="BD535" s="48"/>
      <c r="BE535" s="48"/>
      <c r="BF535" s="48"/>
      <c r="BG535" s="48"/>
      <c r="BH535" s="48"/>
      <c r="BI535" s="48"/>
      <c r="BJ535" s="48"/>
      <c r="BK535" s="48"/>
      <c r="BL535" s="48"/>
      <c r="BM535" s="48"/>
      <c r="BN535" s="48"/>
      <c r="BO535" s="48"/>
      <c r="BP535" s="48"/>
      <c r="BQ535" s="48"/>
      <c r="BR535" s="48"/>
      <c r="BS535" s="48"/>
      <c r="BT535" s="48"/>
      <c r="BU535" s="48"/>
    </row>
    <row r="536" ht="15.75" customHeight="1">
      <c r="A536" s="48"/>
      <c r="B536" s="48"/>
      <c r="C536" s="48"/>
      <c r="D536" s="48"/>
      <c r="E536" s="27"/>
      <c r="F536" s="48"/>
      <c r="G536" s="48"/>
      <c r="H536" s="56"/>
      <c r="I536" s="56"/>
      <c r="J536" s="56"/>
      <c r="K536" s="56"/>
      <c r="L536" s="56"/>
      <c r="M536" s="56"/>
      <c r="N536" s="56"/>
      <c r="O536" s="56"/>
      <c r="P536" s="56"/>
      <c r="Q536" s="56"/>
      <c r="R536" s="56"/>
      <c r="S536" s="56"/>
      <c r="T536" s="56"/>
      <c r="U536" s="56"/>
      <c r="V536" s="56"/>
      <c r="W536" s="27"/>
      <c r="X536" s="56"/>
      <c r="Y536" s="27"/>
      <c r="Z536" s="56"/>
      <c r="AA536" s="27"/>
      <c r="AB536" s="56"/>
      <c r="AC536" s="27"/>
      <c r="AD536" s="56"/>
      <c r="AE536" s="27"/>
      <c r="AF536" s="56"/>
      <c r="AG536" s="27"/>
      <c r="AH536" s="286"/>
      <c r="AI536" s="27"/>
      <c r="AJ536" s="56"/>
      <c r="AK536" s="27"/>
      <c r="AL536" s="56"/>
      <c r="AM536" s="27"/>
      <c r="AN536" s="56"/>
      <c r="AO536" s="27"/>
      <c r="AP536" s="56"/>
      <c r="AQ536" s="27"/>
      <c r="AR536" s="56"/>
      <c r="AS536" s="27"/>
      <c r="AT536" s="56"/>
      <c r="AU536" s="27"/>
      <c r="AV536" s="56"/>
      <c r="AW536" s="27"/>
      <c r="AX536" s="56"/>
      <c r="AY536" s="27"/>
      <c r="AZ536" s="56"/>
      <c r="BA536" s="27"/>
      <c r="BB536" s="48"/>
      <c r="BC536" s="48"/>
      <c r="BD536" s="48"/>
      <c r="BE536" s="48"/>
      <c r="BF536" s="48"/>
      <c r="BG536" s="48"/>
      <c r="BH536" s="48"/>
      <c r="BI536" s="48"/>
      <c r="BJ536" s="48"/>
      <c r="BK536" s="48"/>
      <c r="BL536" s="48"/>
      <c r="BM536" s="48"/>
      <c r="BN536" s="48"/>
      <c r="BO536" s="48"/>
      <c r="BP536" s="48"/>
      <c r="BQ536" s="48"/>
      <c r="BR536" s="48"/>
      <c r="BS536" s="48"/>
      <c r="BT536" s="48"/>
      <c r="BU536" s="48"/>
    </row>
    <row r="537" ht="15.75" customHeight="1">
      <c r="A537" s="48"/>
      <c r="B537" s="48"/>
      <c r="C537" s="48"/>
      <c r="D537" s="48"/>
      <c r="E537" s="27"/>
      <c r="F537" s="48"/>
      <c r="G537" s="48"/>
      <c r="H537" s="56"/>
      <c r="I537" s="56"/>
      <c r="J537" s="56"/>
      <c r="K537" s="56"/>
      <c r="L537" s="56"/>
      <c r="M537" s="56"/>
      <c r="N537" s="56"/>
      <c r="O537" s="56"/>
      <c r="P537" s="56"/>
      <c r="Q537" s="56"/>
      <c r="R537" s="56"/>
      <c r="S537" s="56"/>
      <c r="T537" s="56"/>
      <c r="U537" s="56"/>
      <c r="V537" s="56"/>
      <c r="W537" s="27"/>
      <c r="X537" s="56"/>
      <c r="Y537" s="27"/>
      <c r="Z537" s="56"/>
      <c r="AA537" s="27"/>
      <c r="AB537" s="56"/>
      <c r="AC537" s="27"/>
      <c r="AD537" s="56"/>
      <c r="AE537" s="27"/>
      <c r="AF537" s="56"/>
      <c r="AG537" s="27"/>
      <c r="AH537" s="286"/>
      <c r="AI537" s="27"/>
      <c r="AJ537" s="56"/>
      <c r="AK537" s="27"/>
      <c r="AL537" s="56"/>
      <c r="AM537" s="27"/>
      <c r="AN537" s="56"/>
      <c r="AO537" s="27"/>
      <c r="AP537" s="56"/>
      <c r="AQ537" s="27"/>
      <c r="AR537" s="56"/>
      <c r="AS537" s="27"/>
      <c r="AT537" s="56"/>
      <c r="AU537" s="27"/>
      <c r="AV537" s="56"/>
      <c r="AW537" s="27"/>
      <c r="AX537" s="56"/>
      <c r="AY537" s="27"/>
      <c r="AZ537" s="56"/>
      <c r="BA537" s="27"/>
      <c r="BB537" s="48"/>
      <c r="BC537" s="48"/>
      <c r="BD537" s="48"/>
      <c r="BE537" s="48"/>
      <c r="BF537" s="48"/>
      <c r="BG537" s="48"/>
      <c r="BH537" s="48"/>
      <c r="BI537" s="48"/>
      <c r="BJ537" s="48"/>
      <c r="BK537" s="48"/>
      <c r="BL537" s="48"/>
      <c r="BM537" s="48"/>
      <c r="BN537" s="48"/>
      <c r="BO537" s="48"/>
      <c r="BP537" s="48"/>
      <c r="BQ537" s="48"/>
      <c r="BR537" s="48"/>
      <c r="BS537" s="48"/>
      <c r="BT537" s="48"/>
      <c r="BU537" s="48"/>
    </row>
    <row r="538" ht="15.75" customHeight="1">
      <c r="A538" s="48"/>
      <c r="B538" s="48"/>
      <c r="C538" s="48"/>
      <c r="D538" s="48"/>
      <c r="E538" s="27"/>
      <c r="F538" s="48"/>
      <c r="G538" s="48"/>
      <c r="H538" s="56"/>
      <c r="I538" s="56"/>
      <c r="J538" s="56"/>
      <c r="K538" s="56"/>
      <c r="L538" s="56"/>
      <c r="M538" s="56"/>
      <c r="N538" s="56"/>
      <c r="O538" s="56"/>
      <c r="P538" s="56"/>
      <c r="Q538" s="56"/>
      <c r="R538" s="56"/>
      <c r="S538" s="56"/>
      <c r="T538" s="56"/>
      <c r="U538" s="56"/>
      <c r="V538" s="56"/>
      <c r="W538" s="27"/>
      <c r="X538" s="56"/>
      <c r="Y538" s="27"/>
      <c r="Z538" s="56"/>
      <c r="AA538" s="27"/>
      <c r="AB538" s="56"/>
      <c r="AC538" s="27"/>
      <c r="AD538" s="56"/>
      <c r="AE538" s="27"/>
      <c r="AF538" s="56"/>
      <c r="AG538" s="27"/>
      <c r="AH538" s="286"/>
      <c r="AI538" s="27"/>
      <c r="AJ538" s="56"/>
      <c r="AK538" s="27"/>
      <c r="AL538" s="56"/>
      <c r="AM538" s="27"/>
      <c r="AN538" s="56"/>
      <c r="AO538" s="27"/>
      <c r="AP538" s="56"/>
      <c r="AQ538" s="27"/>
      <c r="AR538" s="56"/>
      <c r="AS538" s="27"/>
      <c r="AT538" s="56"/>
      <c r="AU538" s="27"/>
      <c r="AV538" s="56"/>
      <c r="AW538" s="27"/>
      <c r="AX538" s="56"/>
      <c r="AY538" s="27"/>
      <c r="AZ538" s="56"/>
      <c r="BA538" s="27"/>
      <c r="BB538" s="48"/>
      <c r="BC538" s="48"/>
      <c r="BD538" s="48"/>
      <c r="BE538" s="48"/>
      <c r="BF538" s="48"/>
      <c r="BG538" s="48"/>
      <c r="BH538" s="48"/>
      <c r="BI538" s="48"/>
      <c r="BJ538" s="48"/>
      <c r="BK538" s="48"/>
      <c r="BL538" s="48"/>
      <c r="BM538" s="48"/>
      <c r="BN538" s="48"/>
      <c r="BO538" s="48"/>
      <c r="BP538" s="48"/>
      <c r="BQ538" s="48"/>
      <c r="BR538" s="48"/>
      <c r="BS538" s="48"/>
      <c r="BT538" s="48"/>
      <c r="BU538" s="48"/>
    </row>
    <row r="539" ht="15.75" customHeight="1">
      <c r="A539" s="48"/>
      <c r="B539" s="48"/>
      <c r="C539" s="48"/>
      <c r="D539" s="48"/>
      <c r="E539" s="27"/>
      <c r="F539" s="48"/>
      <c r="G539" s="48"/>
      <c r="H539" s="56"/>
      <c r="I539" s="56"/>
      <c r="J539" s="56"/>
      <c r="K539" s="56"/>
      <c r="L539" s="56"/>
      <c r="M539" s="56"/>
      <c r="N539" s="56"/>
      <c r="O539" s="56"/>
      <c r="P539" s="56"/>
      <c r="Q539" s="56"/>
      <c r="R539" s="56"/>
      <c r="S539" s="56"/>
      <c r="T539" s="56"/>
      <c r="U539" s="56"/>
      <c r="V539" s="56"/>
      <c r="W539" s="27"/>
      <c r="X539" s="56"/>
      <c r="Y539" s="27"/>
      <c r="Z539" s="56"/>
      <c r="AA539" s="27"/>
      <c r="AB539" s="56"/>
      <c r="AC539" s="27"/>
      <c r="AD539" s="56"/>
      <c r="AE539" s="27"/>
      <c r="AF539" s="56"/>
      <c r="AG539" s="27"/>
      <c r="AH539" s="286"/>
      <c r="AI539" s="27"/>
      <c r="AJ539" s="56"/>
      <c r="AK539" s="27"/>
      <c r="AL539" s="56"/>
      <c r="AM539" s="27"/>
      <c r="AN539" s="56"/>
      <c r="AO539" s="27"/>
      <c r="AP539" s="56"/>
      <c r="AQ539" s="27"/>
      <c r="AR539" s="56"/>
      <c r="AS539" s="27"/>
      <c r="AT539" s="56"/>
      <c r="AU539" s="27"/>
      <c r="AV539" s="56"/>
      <c r="AW539" s="27"/>
      <c r="AX539" s="56"/>
      <c r="AY539" s="27"/>
      <c r="AZ539" s="56"/>
      <c r="BA539" s="27"/>
      <c r="BB539" s="48"/>
      <c r="BC539" s="48"/>
      <c r="BD539" s="48"/>
      <c r="BE539" s="48"/>
      <c r="BF539" s="48"/>
      <c r="BG539" s="48"/>
      <c r="BH539" s="48"/>
      <c r="BI539" s="48"/>
      <c r="BJ539" s="48"/>
      <c r="BK539" s="48"/>
      <c r="BL539" s="48"/>
      <c r="BM539" s="48"/>
      <c r="BN539" s="48"/>
      <c r="BO539" s="48"/>
      <c r="BP539" s="48"/>
      <c r="BQ539" s="48"/>
      <c r="BR539" s="48"/>
      <c r="BS539" s="48"/>
      <c r="BT539" s="48"/>
      <c r="BU539" s="48"/>
    </row>
    <row r="540" ht="15.75" customHeight="1">
      <c r="A540" s="48"/>
      <c r="B540" s="48"/>
      <c r="C540" s="48"/>
      <c r="D540" s="48"/>
      <c r="E540" s="27"/>
      <c r="F540" s="48"/>
      <c r="G540" s="48"/>
      <c r="H540" s="56"/>
      <c r="I540" s="56"/>
      <c r="J540" s="56"/>
      <c r="K540" s="56"/>
      <c r="L540" s="56"/>
      <c r="M540" s="56"/>
      <c r="N540" s="56"/>
      <c r="O540" s="56"/>
      <c r="P540" s="56"/>
      <c r="Q540" s="56"/>
      <c r="R540" s="56"/>
      <c r="S540" s="56"/>
      <c r="T540" s="56"/>
      <c r="U540" s="56"/>
      <c r="V540" s="56"/>
      <c r="W540" s="27"/>
      <c r="X540" s="56"/>
      <c r="Y540" s="27"/>
      <c r="Z540" s="56"/>
      <c r="AA540" s="27"/>
      <c r="AB540" s="56"/>
      <c r="AC540" s="27"/>
      <c r="AD540" s="56"/>
      <c r="AE540" s="27"/>
      <c r="AF540" s="56"/>
      <c r="AG540" s="27"/>
      <c r="AH540" s="286"/>
      <c r="AI540" s="27"/>
      <c r="AJ540" s="56"/>
      <c r="AK540" s="27"/>
      <c r="AL540" s="56"/>
      <c r="AM540" s="27"/>
      <c r="AN540" s="56"/>
      <c r="AO540" s="27"/>
      <c r="AP540" s="56"/>
      <c r="AQ540" s="27"/>
      <c r="AR540" s="56"/>
      <c r="AS540" s="27"/>
      <c r="AT540" s="56"/>
      <c r="AU540" s="27"/>
      <c r="AV540" s="56"/>
      <c r="AW540" s="27"/>
      <c r="AX540" s="56"/>
      <c r="AY540" s="27"/>
      <c r="AZ540" s="56"/>
      <c r="BA540" s="27"/>
      <c r="BB540" s="48"/>
      <c r="BC540" s="48"/>
      <c r="BD540" s="48"/>
      <c r="BE540" s="48"/>
      <c r="BF540" s="48"/>
      <c r="BG540" s="48"/>
      <c r="BH540" s="48"/>
      <c r="BI540" s="48"/>
      <c r="BJ540" s="48"/>
      <c r="BK540" s="48"/>
      <c r="BL540" s="48"/>
      <c r="BM540" s="48"/>
      <c r="BN540" s="48"/>
      <c r="BO540" s="48"/>
      <c r="BP540" s="48"/>
      <c r="BQ540" s="48"/>
      <c r="BR540" s="48"/>
      <c r="BS540" s="48"/>
      <c r="BT540" s="48"/>
      <c r="BU540" s="48"/>
    </row>
    <row r="541" ht="15.75" customHeight="1">
      <c r="A541" s="48"/>
      <c r="B541" s="48"/>
      <c r="C541" s="48"/>
      <c r="D541" s="48"/>
      <c r="E541" s="27"/>
      <c r="F541" s="48"/>
      <c r="G541" s="48"/>
      <c r="H541" s="56"/>
      <c r="I541" s="56"/>
      <c r="J541" s="56"/>
      <c r="K541" s="56"/>
      <c r="L541" s="56"/>
      <c r="M541" s="56"/>
      <c r="N541" s="56"/>
      <c r="O541" s="56"/>
      <c r="P541" s="56"/>
      <c r="Q541" s="56"/>
      <c r="R541" s="56"/>
      <c r="S541" s="56"/>
      <c r="T541" s="56"/>
      <c r="U541" s="56"/>
      <c r="V541" s="56"/>
      <c r="W541" s="27"/>
      <c r="X541" s="56"/>
      <c r="Y541" s="27"/>
      <c r="Z541" s="56"/>
      <c r="AA541" s="27"/>
      <c r="AB541" s="56"/>
      <c r="AC541" s="27"/>
      <c r="AD541" s="56"/>
      <c r="AE541" s="27"/>
      <c r="AF541" s="56"/>
      <c r="AG541" s="27"/>
      <c r="AH541" s="286"/>
      <c r="AI541" s="27"/>
      <c r="AJ541" s="56"/>
      <c r="AK541" s="27"/>
      <c r="AL541" s="56"/>
      <c r="AM541" s="27"/>
      <c r="AN541" s="56"/>
      <c r="AO541" s="27"/>
      <c r="AP541" s="56"/>
      <c r="AQ541" s="27"/>
      <c r="AR541" s="56"/>
      <c r="AS541" s="27"/>
      <c r="AT541" s="56"/>
      <c r="AU541" s="27"/>
      <c r="AV541" s="56"/>
      <c r="AW541" s="27"/>
      <c r="AX541" s="56"/>
      <c r="AY541" s="27"/>
      <c r="AZ541" s="56"/>
      <c r="BA541" s="27"/>
      <c r="BB541" s="48"/>
      <c r="BC541" s="48"/>
      <c r="BD541" s="48"/>
      <c r="BE541" s="48"/>
      <c r="BF541" s="48"/>
      <c r="BG541" s="48"/>
      <c r="BH541" s="48"/>
      <c r="BI541" s="48"/>
      <c r="BJ541" s="48"/>
      <c r="BK541" s="48"/>
      <c r="BL541" s="48"/>
      <c r="BM541" s="48"/>
      <c r="BN541" s="48"/>
      <c r="BO541" s="48"/>
      <c r="BP541" s="48"/>
      <c r="BQ541" s="48"/>
      <c r="BR541" s="48"/>
      <c r="BS541" s="48"/>
      <c r="BT541" s="48"/>
      <c r="BU541" s="48"/>
    </row>
    <row r="542" ht="15.75" customHeight="1">
      <c r="A542" s="48"/>
      <c r="B542" s="48"/>
      <c r="C542" s="48"/>
      <c r="D542" s="48"/>
      <c r="E542" s="27"/>
      <c r="F542" s="48"/>
      <c r="G542" s="48"/>
      <c r="H542" s="56"/>
      <c r="I542" s="56"/>
      <c r="J542" s="56"/>
      <c r="K542" s="56"/>
      <c r="L542" s="56"/>
      <c r="M542" s="56"/>
      <c r="N542" s="56"/>
      <c r="O542" s="56"/>
      <c r="P542" s="56"/>
      <c r="Q542" s="56"/>
      <c r="R542" s="56"/>
      <c r="S542" s="56"/>
      <c r="T542" s="56"/>
      <c r="U542" s="56"/>
      <c r="V542" s="56"/>
      <c r="W542" s="27"/>
      <c r="X542" s="56"/>
      <c r="Y542" s="27"/>
      <c r="Z542" s="56"/>
      <c r="AA542" s="27"/>
      <c r="AB542" s="56"/>
      <c r="AC542" s="27"/>
      <c r="AD542" s="56"/>
      <c r="AE542" s="27"/>
      <c r="AF542" s="56"/>
      <c r="AG542" s="27"/>
      <c r="AH542" s="286"/>
      <c r="AI542" s="27"/>
      <c r="AJ542" s="56"/>
      <c r="AK542" s="27"/>
      <c r="AL542" s="56"/>
      <c r="AM542" s="27"/>
      <c r="AN542" s="56"/>
      <c r="AO542" s="27"/>
      <c r="AP542" s="56"/>
      <c r="AQ542" s="27"/>
      <c r="AR542" s="56"/>
      <c r="AS542" s="27"/>
      <c r="AT542" s="56"/>
      <c r="AU542" s="27"/>
      <c r="AV542" s="56"/>
      <c r="AW542" s="27"/>
      <c r="AX542" s="56"/>
      <c r="AY542" s="27"/>
      <c r="AZ542" s="56"/>
      <c r="BA542" s="27"/>
      <c r="BB542" s="48"/>
      <c r="BC542" s="48"/>
      <c r="BD542" s="48"/>
      <c r="BE542" s="48"/>
      <c r="BF542" s="48"/>
      <c r="BG542" s="48"/>
      <c r="BH542" s="48"/>
      <c r="BI542" s="48"/>
      <c r="BJ542" s="48"/>
      <c r="BK542" s="48"/>
      <c r="BL542" s="48"/>
      <c r="BM542" s="48"/>
      <c r="BN542" s="48"/>
      <c r="BO542" s="48"/>
      <c r="BP542" s="48"/>
      <c r="BQ542" s="48"/>
      <c r="BR542" s="48"/>
      <c r="BS542" s="48"/>
      <c r="BT542" s="48"/>
      <c r="BU542" s="48"/>
    </row>
    <row r="543" ht="15.75" customHeight="1">
      <c r="A543" s="48"/>
      <c r="B543" s="48"/>
      <c r="C543" s="48"/>
      <c r="D543" s="48"/>
      <c r="E543" s="27"/>
      <c r="F543" s="48"/>
      <c r="G543" s="48"/>
      <c r="H543" s="56"/>
      <c r="I543" s="56"/>
      <c r="J543" s="56"/>
      <c r="K543" s="56"/>
      <c r="L543" s="56"/>
      <c r="M543" s="56"/>
      <c r="N543" s="56"/>
      <c r="O543" s="56"/>
      <c r="P543" s="56"/>
      <c r="Q543" s="56"/>
      <c r="R543" s="56"/>
      <c r="S543" s="56"/>
      <c r="T543" s="56"/>
      <c r="U543" s="56"/>
      <c r="V543" s="56"/>
      <c r="W543" s="27"/>
      <c r="X543" s="56"/>
      <c r="Y543" s="27"/>
      <c r="Z543" s="56"/>
      <c r="AA543" s="27"/>
      <c r="AB543" s="56"/>
      <c r="AC543" s="27"/>
      <c r="AD543" s="56"/>
      <c r="AE543" s="27"/>
      <c r="AF543" s="56"/>
      <c r="AG543" s="27"/>
      <c r="AH543" s="286"/>
      <c r="AI543" s="27"/>
      <c r="AJ543" s="56"/>
      <c r="AK543" s="27"/>
      <c r="AL543" s="56"/>
      <c r="AM543" s="27"/>
      <c r="AN543" s="56"/>
      <c r="AO543" s="27"/>
      <c r="AP543" s="56"/>
      <c r="AQ543" s="27"/>
      <c r="AR543" s="56"/>
      <c r="AS543" s="27"/>
      <c r="AT543" s="56"/>
      <c r="AU543" s="27"/>
      <c r="AV543" s="56"/>
      <c r="AW543" s="27"/>
      <c r="AX543" s="56"/>
      <c r="AY543" s="27"/>
      <c r="AZ543" s="56"/>
      <c r="BA543" s="27"/>
      <c r="BB543" s="48"/>
      <c r="BC543" s="48"/>
      <c r="BD543" s="48"/>
      <c r="BE543" s="48"/>
      <c r="BF543" s="48"/>
      <c r="BG543" s="48"/>
      <c r="BH543" s="48"/>
      <c r="BI543" s="48"/>
      <c r="BJ543" s="48"/>
      <c r="BK543" s="48"/>
      <c r="BL543" s="48"/>
      <c r="BM543" s="48"/>
      <c r="BN543" s="48"/>
      <c r="BO543" s="48"/>
      <c r="BP543" s="48"/>
      <c r="BQ543" s="48"/>
      <c r="BR543" s="48"/>
      <c r="BS543" s="48"/>
      <c r="BT543" s="48"/>
      <c r="BU543" s="48"/>
    </row>
    <row r="544" ht="15.75" customHeight="1">
      <c r="A544" s="48"/>
      <c r="B544" s="48"/>
      <c r="C544" s="48"/>
      <c r="D544" s="48"/>
      <c r="E544" s="27"/>
      <c r="F544" s="48"/>
      <c r="G544" s="48"/>
      <c r="H544" s="56"/>
      <c r="I544" s="56"/>
      <c r="J544" s="56"/>
      <c r="K544" s="56"/>
      <c r="L544" s="56"/>
      <c r="M544" s="56"/>
      <c r="N544" s="56"/>
      <c r="O544" s="56"/>
      <c r="P544" s="56"/>
      <c r="Q544" s="56"/>
      <c r="R544" s="56"/>
      <c r="S544" s="56"/>
      <c r="T544" s="56"/>
      <c r="U544" s="56"/>
      <c r="V544" s="56"/>
      <c r="W544" s="27"/>
      <c r="X544" s="56"/>
      <c r="Y544" s="27"/>
      <c r="Z544" s="56"/>
      <c r="AA544" s="27"/>
      <c r="AB544" s="56"/>
      <c r="AC544" s="27"/>
      <c r="AD544" s="56"/>
      <c r="AE544" s="27"/>
      <c r="AF544" s="56"/>
      <c r="AG544" s="27"/>
      <c r="AH544" s="286"/>
      <c r="AI544" s="27"/>
      <c r="AJ544" s="56"/>
      <c r="AK544" s="27"/>
      <c r="AL544" s="56"/>
      <c r="AM544" s="27"/>
      <c r="AN544" s="56"/>
      <c r="AO544" s="27"/>
      <c r="AP544" s="56"/>
      <c r="AQ544" s="27"/>
      <c r="AR544" s="56"/>
      <c r="AS544" s="27"/>
      <c r="AT544" s="56"/>
      <c r="AU544" s="27"/>
      <c r="AV544" s="56"/>
      <c r="AW544" s="27"/>
      <c r="AX544" s="56"/>
      <c r="AY544" s="27"/>
      <c r="AZ544" s="56"/>
      <c r="BA544" s="27"/>
      <c r="BB544" s="48"/>
      <c r="BC544" s="48"/>
      <c r="BD544" s="48"/>
      <c r="BE544" s="48"/>
      <c r="BF544" s="48"/>
      <c r="BG544" s="48"/>
      <c r="BH544" s="48"/>
      <c r="BI544" s="48"/>
      <c r="BJ544" s="48"/>
      <c r="BK544" s="48"/>
      <c r="BL544" s="48"/>
      <c r="BM544" s="48"/>
      <c r="BN544" s="48"/>
      <c r="BO544" s="48"/>
      <c r="BP544" s="48"/>
      <c r="BQ544" s="48"/>
      <c r="BR544" s="48"/>
      <c r="BS544" s="48"/>
      <c r="BT544" s="48"/>
      <c r="BU544" s="48"/>
    </row>
    <row r="545" ht="15.75" customHeight="1">
      <c r="A545" s="48"/>
      <c r="B545" s="48"/>
      <c r="C545" s="48"/>
      <c r="D545" s="48"/>
      <c r="E545" s="27"/>
      <c r="F545" s="48"/>
      <c r="G545" s="48"/>
      <c r="H545" s="56"/>
      <c r="I545" s="56"/>
      <c r="J545" s="56"/>
      <c r="K545" s="56"/>
      <c r="L545" s="56"/>
      <c r="M545" s="56"/>
      <c r="N545" s="56"/>
      <c r="O545" s="56"/>
      <c r="P545" s="56"/>
      <c r="Q545" s="56"/>
      <c r="R545" s="56"/>
      <c r="S545" s="56"/>
      <c r="T545" s="56"/>
      <c r="U545" s="56"/>
      <c r="V545" s="56"/>
      <c r="W545" s="27"/>
      <c r="X545" s="56"/>
      <c r="Y545" s="27"/>
      <c r="Z545" s="56"/>
      <c r="AA545" s="27"/>
      <c r="AB545" s="56"/>
      <c r="AC545" s="27"/>
      <c r="AD545" s="56"/>
      <c r="AE545" s="27"/>
      <c r="AF545" s="56"/>
      <c r="AG545" s="27"/>
      <c r="AH545" s="286"/>
      <c r="AI545" s="27"/>
      <c r="AJ545" s="56"/>
      <c r="AK545" s="27"/>
      <c r="AL545" s="56"/>
      <c r="AM545" s="27"/>
      <c r="AN545" s="56"/>
      <c r="AO545" s="27"/>
      <c r="AP545" s="56"/>
      <c r="AQ545" s="27"/>
      <c r="AR545" s="56"/>
      <c r="AS545" s="27"/>
      <c r="AT545" s="56"/>
      <c r="AU545" s="27"/>
      <c r="AV545" s="56"/>
      <c r="AW545" s="27"/>
      <c r="AX545" s="56"/>
      <c r="AY545" s="27"/>
      <c r="AZ545" s="56"/>
      <c r="BA545" s="27"/>
      <c r="BB545" s="48"/>
      <c r="BC545" s="48"/>
      <c r="BD545" s="48"/>
      <c r="BE545" s="48"/>
      <c r="BF545" s="48"/>
      <c r="BG545" s="48"/>
      <c r="BH545" s="48"/>
      <c r="BI545" s="48"/>
      <c r="BJ545" s="48"/>
      <c r="BK545" s="48"/>
      <c r="BL545" s="48"/>
      <c r="BM545" s="48"/>
      <c r="BN545" s="48"/>
      <c r="BO545" s="48"/>
      <c r="BP545" s="48"/>
      <c r="BQ545" s="48"/>
      <c r="BR545" s="48"/>
      <c r="BS545" s="48"/>
      <c r="BT545" s="48"/>
      <c r="BU545" s="48"/>
    </row>
    <row r="546" ht="15.75" customHeight="1">
      <c r="A546" s="48"/>
      <c r="B546" s="48"/>
      <c r="C546" s="48"/>
      <c r="D546" s="48"/>
      <c r="E546" s="27"/>
      <c r="F546" s="48"/>
      <c r="G546" s="48"/>
      <c r="H546" s="56"/>
      <c r="I546" s="56"/>
      <c r="J546" s="56"/>
      <c r="K546" s="56"/>
      <c r="L546" s="56"/>
      <c r="M546" s="56"/>
      <c r="N546" s="56"/>
      <c r="O546" s="56"/>
      <c r="P546" s="56"/>
      <c r="Q546" s="56"/>
      <c r="R546" s="56"/>
      <c r="S546" s="56"/>
      <c r="T546" s="56"/>
      <c r="U546" s="56"/>
      <c r="V546" s="56"/>
      <c r="W546" s="27"/>
      <c r="X546" s="56"/>
      <c r="Y546" s="27"/>
      <c r="Z546" s="56"/>
      <c r="AA546" s="27"/>
      <c r="AB546" s="56"/>
      <c r="AC546" s="27"/>
      <c r="AD546" s="56"/>
      <c r="AE546" s="27"/>
      <c r="AF546" s="56"/>
      <c r="AG546" s="27"/>
      <c r="AH546" s="286"/>
      <c r="AI546" s="27"/>
      <c r="AJ546" s="56"/>
      <c r="AK546" s="27"/>
      <c r="AL546" s="56"/>
      <c r="AM546" s="27"/>
      <c r="AN546" s="56"/>
      <c r="AO546" s="27"/>
      <c r="AP546" s="56"/>
      <c r="AQ546" s="27"/>
      <c r="AR546" s="56"/>
      <c r="AS546" s="27"/>
      <c r="AT546" s="56"/>
      <c r="AU546" s="27"/>
      <c r="AV546" s="56"/>
      <c r="AW546" s="27"/>
      <c r="AX546" s="56"/>
      <c r="AY546" s="27"/>
      <c r="AZ546" s="56"/>
      <c r="BA546" s="27"/>
      <c r="BB546" s="48"/>
      <c r="BC546" s="48"/>
      <c r="BD546" s="48"/>
      <c r="BE546" s="48"/>
      <c r="BF546" s="48"/>
      <c r="BG546" s="48"/>
      <c r="BH546" s="48"/>
      <c r="BI546" s="48"/>
      <c r="BJ546" s="48"/>
      <c r="BK546" s="48"/>
      <c r="BL546" s="48"/>
      <c r="BM546" s="48"/>
      <c r="BN546" s="48"/>
      <c r="BO546" s="48"/>
      <c r="BP546" s="48"/>
      <c r="BQ546" s="48"/>
      <c r="BR546" s="48"/>
      <c r="BS546" s="48"/>
      <c r="BT546" s="48"/>
      <c r="BU546" s="48"/>
    </row>
    <row r="547" ht="15.75" customHeight="1">
      <c r="A547" s="48"/>
      <c r="B547" s="48"/>
      <c r="C547" s="48"/>
      <c r="D547" s="48"/>
      <c r="E547" s="27"/>
      <c r="F547" s="48"/>
      <c r="G547" s="48"/>
      <c r="H547" s="56"/>
      <c r="I547" s="56"/>
      <c r="J547" s="56"/>
      <c r="K547" s="56"/>
      <c r="L547" s="56"/>
      <c r="M547" s="56"/>
      <c r="N547" s="56"/>
      <c r="O547" s="56"/>
      <c r="P547" s="56"/>
      <c r="Q547" s="56"/>
      <c r="R547" s="56"/>
      <c r="S547" s="56"/>
      <c r="T547" s="56"/>
      <c r="U547" s="56"/>
      <c r="V547" s="56"/>
      <c r="W547" s="27"/>
      <c r="X547" s="56"/>
      <c r="Y547" s="27"/>
      <c r="Z547" s="56"/>
      <c r="AA547" s="27"/>
      <c r="AB547" s="56"/>
      <c r="AC547" s="27"/>
      <c r="AD547" s="56"/>
      <c r="AE547" s="27"/>
      <c r="AF547" s="56"/>
      <c r="AG547" s="27"/>
      <c r="AH547" s="286"/>
      <c r="AI547" s="27"/>
      <c r="AJ547" s="56"/>
      <c r="AK547" s="27"/>
      <c r="AL547" s="56"/>
      <c r="AM547" s="27"/>
      <c r="AN547" s="56"/>
      <c r="AO547" s="27"/>
      <c r="AP547" s="56"/>
      <c r="AQ547" s="27"/>
      <c r="AR547" s="56"/>
      <c r="AS547" s="27"/>
      <c r="AT547" s="56"/>
      <c r="AU547" s="27"/>
      <c r="AV547" s="56"/>
      <c r="AW547" s="27"/>
      <c r="AX547" s="56"/>
      <c r="AY547" s="27"/>
      <c r="AZ547" s="56"/>
      <c r="BA547" s="27"/>
      <c r="BB547" s="48"/>
      <c r="BC547" s="48"/>
      <c r="BD547" s="48"/>
      <c r="BE547" s="48"/>
      <c r="BF547" s="48"/>
      <c r="BG547" s="48"/>
      <c r="BH547" s="48"/>
      <c r="BI547" s="48"/>
      <c r="BJ547" s="48"/>
      <c r="BK547" s="48"/>
      <c r="BL547" s="48"/>
      <c r="BM547" s="48"/>
      <c r="BN547" s="48"/>
      <c r="BO547" s="48"/>
      <c r="BP547" s="48"/>
      <c r="BQ547" s="48"/>
      <c r="BR547" s="48"/>
      <c r="BS547" s="48"/>
      <c r="BT547" s="48"/>
      <c r="BU547" s="48"/>
    </row>
    <row r="548" ht="15.75" customHeight="1">
      <c r="A548" s="48"/>
      <c r="B548" s="48"/>
      <c r="C548" s="48"/>
      <c r="D548" s="48"/>
      <c r="E548" s="27"/>
      <c r="F548" s="48"/>
      <c r="G548" s="48"/>
      <c r="H548" s="56"/>
      <c r="I548" s="56"/>
      <c r="J548" s="56"/>
      <c r="K548" s="56"/>
      <c r="L548" s="56"/>
      <c r="M548" s="56"/>
      <c r="N548" s="56"/>
      <c r="O548" s="56"/>
      <c r="P548" s="56"/>
      <c r="Q548" s="56"/>
      <c r="R548" s="56"/>
      <c r="S548" s="56"/>
      <c r="T548" s="56"/>
      <c r="U548" s="56"/>
      <c r="V548" s="56"/>
      <c r="W548" s="27"/>
      <c r="X548" s="56"/>
      <c r="Y548" s="27"/>
      <c r="Z548" s="56"/>
      <c r="AA548" s="27"/>
      <c r="AB548" s="56"/>
      <c r="AC548" s="27"/>
      <c r="AD548" s="56"/>
      <c r="AE548" s="27"/>
      <c r="AF548" s="56"/>
      <c r="AG548" s="27"/>
      <c r="AH548" s="286"/>
      <c r="AI548" s="27"/>
      <c r="AJ548" s="56"/>
      <c r="AK548" s="27"/>
      <c r="AL548" s="56"/>
      <c r="AM548" s="27"/>
      <c r="AN548" s="56"/>
      <c r="AO548" s="27"/>
      <c r="AP548" s="56"/>
      <c r="AQ548" s="27"/>
      <c r="AR548" s="56"/>
      <c r="AS548" s="27"/>
      <c r="AT548" s="56"/>
      <c r="AU548" s="27"/>
      <c r="AV548" s="56"/>
      <c r="AW548" s="27"/>
      <c r="AX548" s="56"/>
      <c r="AY548" s="27"/>
      <c r="AZ548" s="56"/>
      <c r="BA548" s="27"/>
      <c r="BB548" s="48"/>
      <c r="BC548" s="48"/>
      <c r="BD548" s="48"/>
      <c r="BE548" s="48"/>
      <c r="BF548" s="48"/>
      <c r="BG548" s="48"/>
      <c r="BH548" s="48"/>
      <c r="BI548" s="48"/>
      <c r="BJ548" s="48"/>
      <c r="BK548" s="48"/>
      <c r="BL548" s="48"/>
      <c r="BM548" s="48"/>
      <c r="BN548" s="48"/>
      <c r="BO548" s="48"/>
      <c r="BP548" s="48"/>
      <c r="BQ548" s="48"/>
      <c r="BR548" s="48"/>
      <c r="BS548" s="48"/>
      <c r="BT548" s="48"/>
      <c r="BU548" s="48"/>
    </row>
    <row r="549" ht="15.75" customHeight="1">
      <c r="A549" s="48"/>
      <c r="B549" s="48"/>
      <c r="C549" s="48"/>
      <c r="D549" s="48"/>
      <c r="E549" s="27"/>
      <c r="F549" s="48"/>
      <c r="G549" s="48"/>
      <c r="H549" s="56"/>
      <c r="I549" s="56"/>
      <c r="J549" s="56"/>
      <c r="K549" s="56"/>
      <c r="L549" s="56"/>
      <c r="M549" s="56"/>
      <c r="N549" s="56"/>
      <c r="O549" s="56"/>
      <c r="P549" s="56"/>
      <c r="Q549" s="56"/>
      <c r="R549" s="56"/>
      <c r="S549" s="56"/>
      <c r="T549" s="56"/>
      <c r="U549" s="56"/>
      <c r="V549" s="56"/>
      <c r="W549" s="27"/>
      <c r="X549" s="56"/>
      <c r="Y549" s="27"/>
      <c r="Z549" s="56"/>
      <c r="AA549" s="27"/>
      <c r="AB549" s="56"/>
      <c r="AC549" s="27"/>
      <c r="AD549" s="56"/>
      <c r="AE549" s="27"/>
      <c r="AF549" s="56"/>
      <c r="AG549" s="27"/>
      <c r="AH549" s="286"/>
      <c r="AI549" s="27"/>
      <c r="AJ549" s="56"/>
      <c r="AK549" s="27"/>
      <c r="AL549" s="56"/>
      <c r="AM549" s="27"/>
      <c r="AN549" s="56"/>
      <c r="AO549" s="27"/>
      <c r="AP549" s="56"/>
      <c r="AQ549" s="27"/>
      <c r="AR549" s="56"/>
      <c r="AS549" s="27"/>
      <c r="AT549" s="56"/>
      <c r="AU549" s="27"/>
      <c r="AV549" s="56"/>
      <c r="AW549" s="27"/>
      <c r="AX549" s="56"/>
      <c r="AY549" s="27"/>
      <c r="AZ549" s="56"/>
      <c r="BA549" s="27"/>
      <c r="BB549" s="48"/>
      <c r="BC549" s="48"/>
      <c r="BD549" s="48"/>
      <c r="BE549" s="48"/>
      <c r="BF549" s="48"/>
      <c r="BG549" s="48"/>
      <c r="BH549" s="48"/>
      <c r="BI549" s="48"/>
      <c r="BJ549" s="48"/>
      <c r="BK549" s="48"/>
      <c r="BL549" s="48"/>
      <c r="BM549" s="48"/>
      <c r="BN549" s="48"/>
      <c r="BO549" s="48"/>
      <c r="BP549" s="48"/>
      <c r="BQ549" s="48"/>
      <c r="BR549" s="48"/>
      <c r="BS549" s="48"/>
      <c r="BT549" s="48"/>
      <c r="BU549" s="48"/>
    </row>
    <row r="550" ht="15.75" customHeight="1">
      <c r="A550" s="48"/>
      <c r="B550" s="48"/>
      <c r="C550" s="48"/>
      <c r="D550" s="48"/>
      <c r="E550" s="27"/>
      <c r="F550" s="48"/>
      <c r="G550" s="48"/>
      <c r="H550" s="56"/>
      <c r="I550" s="56"/>
      <c r="J550" s="56"/>
      <c r="K550" s="56"/>
      <c r="L550" s="56"/>
      <c r="M550" s="56"/>
      <c r="N550" s="56"/>
      <c r="O550" s="56"/>
      <c r="P550" s="56"/>
      <c r="Q550" s="56"/>
      <c r="R550" s="56"/>
      <c r="S550" s="56"/>
      <c r="T550" s="56"/>
      <c r="U550" s="56"/>
      <c r="V550" s="56"/>
      <c r="W550" s="27"/>
      <c r="X550" s="56"/>
      <c r="Y550" s="27"/>
      <c r="Z550" s="56"/>
      <c r="AA550" s="27"/>
      <c r="AB550" s="56"/>
      <c r="AC550" s="27"/>
      <c r="AD550" s="56"/>
      <c r="AE550" s="27"/>
      <c r="AF550" s="56"/>
      <c r="AG550" s="27"/>
      <c r="AH550" s="286"/>
      <c r="AI550" s="27"/>
      <c r="AJ550" s="56"/>
      <c r="AK550" s="27"/>
      <c r="AL550" s="56"/>
      <c r="AM550" s="27"/>
      <c r="AN550" s="56"/>
      <c r="AO550" s="27"/>
      <c r="AP550" s="56"/>
      <c r="AQ550" s="27"/>
      <c r="AR550" s="56"/>
      <c r="AS550" s="27"/>
      <c r="AT550" s="56"/>
      <c r="AU550" s="27"/>
      <c r="AV550" s="56"/>
      <c r="AW550" s="27"/>
      <c r="AX550" s="56"/>
      <c r="AY550" s="27"/>
      <c r="AZ550" s="56"/>
      <c r="BA550" s="27"/>
      <c r="BB550" s="48"/>
      <c r="BC550" s="48"/>
      <c r="BD550" s="48"/>
      <c r="BE550" s="48"/>
      <c r="BF550" s="48"/>
      <c r="BG550" s="48"/>
      <c r="BH550" s="48"/>
      <c r="BI550" s="48"/>
      <c r="BJ550" s="48"/>
      <c r="BK550" s="48"/>
      <c r="BL550" s="48"/>
      <c r="BM550" s="48"/>
      <c r="BN550" s="48"/>
      <c r="BO550" s="48"/>
      <c r="BP550" s="48"/>
      <c r="BQ550" s="48"/>
      <c r="BR550" s="48"/>
      <c r="BS550" s="48"/>
      <c r="BT550" s="48"/>
      <c r="BU550" s="48"/>
    </row>
    <row r="551" ht="15.75" customHeight="1">
      <c r="A551" s="48"/>
      <c r="B551" s="48"/>
      <c r="C551" s="48"/>
      <c r="D551" s="48"/>
      <c r="E551" s="27"/>
      <c r="F551" s="48"/>
      <c r="G551" s="48"/>
      <c r="H551" s="56"/>
      <c r="I551" s="56"/>
      <c r="J551" s="56"/>
      <c r="K551" s="56"/>
      <c r="L551" s="56"/>
      <c r="M551" s="56"/>
      <c r="N551" s="56"/>
      <c r="O551" s="56"/>
      <c r="P551" s="56"/>
      <c r="Q551" s="56"/>
      <c r="R551" s="56"/>
      <c r="S551" s="56"/>
      <c r="T551" s="56"/>
      <c r="U551" s="56"/>
      <c r="V551" s="56"/>
      <c r="W551" s="27"/>
      <c r="X551" s="56"/>
      <c r="Y551" s="27"/>
      <c r="Z551" s="56"/>
      <c r="AA551" s="27"/>
      <c r="AB551" s="56"/>
      <c r="AC551" s="27"/>
      <c r="AD551" s="56"/>
      <c r="AE551" s="27"/>
      <c r="AF551" s="56"/>
      <c r="AG551" s="27"/>
      <c r="AH551" s="286"/>
      <c r="AI551" s="27"/>
      <c r="AJ551" s="56"/>
      <c r="AK551" s="27"/>
      <c r="AL551" s="56"/>
      <c r="AM551" s="27"/>
      <c r="AN551" s="56"/>
      <c r="AO551" s="27"/>
      <c r="AP551" s="56"/>
      <c r="AQ551" s="27"/>
      <c r="AR551" s="56"/>
      <c r="AS551" s="27"/>
      <c r="AT551" s="56"/>
      <c r="AU551" s="27"/>
      <c r="AV551" s="56"/>
      <c r="AW551" s="27"/>
      <c r="AX551" s="56"/>
      <c r="AY551" s="27"/>
      <c r="AZ551" s="56"/>
      <c r="BA551" s="27"/>
      <c r="BB551" s="48"/>
      <c r="BC551" s="48"/>
      <c r="BD551" s="48"/>
      <c r="BE551" s="48"/>
      <c r="BF551" s="48"/>
      <c r="BG551" s="48"/>
      <c r="BH551" s="48"/>
      <c r="BI551" s="48"/>
      <c r="BJ551" s="48"/>
      <c r="BK551" s="48"/>
      <c r="BL551" s="48"/>
      <c r="BM551" s="48"/>
      <c r="BN551" s="48"/>
      <c r="BO551" s="48"/>
      <c r="BP551" s="48"/>
      <c r="BQ551" s="48"/>
      <c r="BR551" s="48"/>
      <c r="BS551" s="48"/>
      <c r="BT551" s="48"/>
      <c r="BU551" s="48"/>
    </row>
    <row r="552" ht="15.75" customHeight="1">
      <c r="A552" s="48"/>
      <c r="B552" s="48"/>
      <c r="C552" s="48"/>
      <c r="D552" s="48"/>
      <c r="E552" s="27"/>
      <c r="F552" s="48"/>
      <c r="G552" s="48"/>
      <c r="H552" s="56"/>
      <c r="I552" s="56"/>
      <c r="J552" s="56"/>
      <c r="K552" s="56"/>
      <c r="L552" s="56"/>
      <c r="M552" s="56"/>
      <c r="N552" s="56"/>
      <c r="O552" s="56"/>
      <c r="P552" s="56"/>
      <c r="Q552" s="56"/>
      <c r="R552" s="56"/>
      <c r="S552" s="56"/>
      <c r="T552" s="56"/>
      <c r="U552" s="56"/>
      <c r="V552" s="56"/>
      <c r="W552" s="27"/>
      <c r="X552" s="56"/>
      <c r="Y552" s="27"/>
      <c r="Z552" s="56"/>
      <c r="AA552" s="27"/>
      <c r="AB552" s="56"/>
      <c r="AC552" s="27"/>
      <c r="AD552" s="56"/>
      <c r="AE552" s="27"/>
      <c r="AF552" s="56"/>
      <c r="AG552" s="27"/>
      <c r="AH552" s="286"/>
      <c r="AI552" s="27"/>
      <c r="AJ552" s="56"/>
      <c r="AK552" s="27"/>
      <c r="AL552" s="56"/>
      <c r="AM552" s="27"/>
      <c r="AN552" s="56"/>
      <c r="AO552" s="27"/>
      <c r="AP552" s="56"/>
      <c r="AQ552" s="27"/>
      <c r="AR552" s="56"/>
      <c r="AS552" s="27"/>
      <c r="AT552" s="56"/>
      <c r="AU552" s="27"/>
      <c r="AV552" s="56"/>
      <c r="AW552" s="27"/>
      <c r="AX552" s="56"/>
      <c r="AY552" s="27"/>
      <c r="AZ552" s="56"/>
      <c r="BA552" s="27"/>
      <c r="BB552" s="48"/>
      <c r="BC552" s="48"/>
      <c r="BD552" s="48"/>
      <c r="BE552" s="48"/>
      <c r="BF552" s="48"/>
      <c r="BG552" s="48"/>
      <c r="BH552" s="48"/>
      <c r="BI552" s="48"/>
      <c r="BJ552" s="48"/>
      <c r="BK552" s="48"/>
      <c r="BL552" s="48"/>
      <c r="BM552" s="48"/>
      <c r="BN552" s="48"/>
      <c r="BO552" s="48"/>
      <c r="BP552" s="48"/>
      <c r="BQ552" s="48"/>
      <c r="BR552" s="48"/>
      <c r="BS552" s="48"/>
      <c r="BT552" s="48"/>
      <c r="BU552" s="48"/>
    </row>
    <row r="553" ht="15.75" customHeight="1">
      <c r="A553" s="48"/>
      <c r="B553" s="48"/>
      <c r="C553" s="48"/>
      <c r="D553" s="48"/>
      <c r="E553" s="27"/>
      <c r="F553" s="48"/>
      <c r="G553" s="48"/>
      <c r="H553" s="56"/>
      <c r="I553" s="56"/>
      <c r="J553" s="56"/>
      <c r="K553" s="56"/>
      <c r="L553" s="56"/>
      <c r="M553" s="56"/>
      <c r="N553" s="56"/>
      <c r="O553" s="56"/>
      <c r="P553" s="56"/>
      <c r="Q553" s="56"/>
      <c r="R553" s="56"/>
      <c r="S553" s="56"/>
      <c r="T553" s="56"/>
      <c r="U553" s="56"/>
      <c r="V553" s="56"/>
      <c r="W553" s="27"/>
      <c r="X553" s="56"/>
      <c r="Y553" s="27"/>
      <c r="Z553" s="56"/>
      <c r="AA553" s="27"/>
      <c r="AB553" s="56"/>
      <c r="AC553" s="27"/>
      <c r="AD553" s="56"/>
      <c r="AE553" s="27"/>
      <c r="AF553" s="56"/>
      <c r="AG553" s="27"/>
      <c r="AH553" s="286"/>
      <c r="AI553" s="27"/>
      <c r="AJ553" s="56"/>
      <c r="AK553" s="27"/>
      <c r="AL553" s="56"/>
      <c r="AM553" s="27"/>
      <c r="AN553" s="56"/>
      <c r="AO553" s="27"/>
      <c r="AP553" s="56"/>
      <c r="AQ553" s="27"/>
      <c r="AR553" s="56"/>
      <c r="AS553" s="27"/>
      <c r="AT553" s="56"/>
      <c r="AU553" s="27"/>
      <c r="AV553" s="56"/>
      <c r="AW553" s="27"/>
      <c r="AX553" s="56"/>
      <c r="AY553" s="27"/>
      <c r="AZ553" s="56"/>
      <c r="BA553" s="27"/>
      <c r="BB553" s="48"/>
      <c r="BC553" s="48"/>
      <c r="BD553" s="48"/>
      <c r="BE553" s="48"/>
      <c r="BF553" s="48"/>
      <c r="BG553" s="48"/>
      <c r="BH553" s="48"/>
      <c r="BI553" s="48"/>
      <c r="BJ553" s="48"/>
      <c r="BK553" s="48"/>
      <c r="BL553" s="48"/>
      <c r="BM553" s="48"/>
      <c r="BN553" s="48"/>
      <c r="BO553" s="48"/>
      <c r="BP553" s="48"/>
      <c r="BQ553" s="48"/>
      <c r="BR553" s="48"/>
      <c r="BS553" s="48"/>
      <c r="BT553" s="48"/>
      <c r="BU553" s="48"/>
    </row>
    <row r="554" ht="15.75" customHeight="1">
      <c r="A554" s="48"/>
      <c r="B554" s="48"/>
      <c r="C554" s="48"/>
      <c r="D554" s="48"/>
      <c r="E554" s="27"/>
      <c r="F554" s="48"/>
      <c r="G554" s="48"/>
      <c r="H554" s="56"/>
      <c r="I554" s="56"/>
      <c r="J554" s="56"/>
      <c r="K554" s="56"/>
      <c r="L554" s="56"/>
      <c r="M554" s="56"/>
      <c r="N554" s="56"/>
      <c r="O554" s="56"/>
      <c r="P554" s="56"/>
      <c r="Q554" s="56"/>
      <c r="R554" s="56"/>
      <c r="S554" s="56"/>
      <c r="T554" s="56"/>
      <c r="U554" s="56"/>
      <c r="V554" s="56"/>
      <c r="W554" s="27"/>
      <c r="X554" s="56"/>
      <c r="Y554" s="27"/>
      <c r="Z554" s="56"/>
      <c r="AA554" s="27"/>
      <c r="AB554" s="56"/>
      <c r="AC554" s="27"/>
      <c r="AD554" s="56"/>
      <c r="AE554" s="27"/>
      <c r="AF554" s="56"/>
      <c r="AG554" s="27"/>
      <c r="AH554" s="286"/>
      <c r="AI554" s="27"/>
      <c r="AJ554" s="56"/>
      <c r="AK554" s="27"/>
      <c r="AL554" s="56"/>
      <c r="AM554" s="27"/>
      <c r="AN554" s="56"/>
      <c r="AO554" s="27"/>
      <c r="AP554" s="56"/>
      <c r="AQ554" s="27"/>
      <c r="AR554" s="56"/>
      <c r="AS554" s="27"/>
      <c r="AT554" s="56"/>
      <c r="AU554" s="27"/>
      <c r="AV554" s="56"/>
      <c r="AW554" s="27"/>
      <c r="AX554" s="56"/>
      <c r="AY554" s="27"/>
      <c r="AZ554" s="56"/>
      <c r="BA554" s="27"/>
      <c r="BB554" s="48"/>
      <c r="BC554" s="48"/>
      <c r="BD554" s="48"/>
      <c r="BE554" s="48"/>
      <c r="BF554" s="48"/>
      <c r="BG554" s="48"/>
      <c r="BH554" s="48"/>
      <c r="BI554" s="48"/>
      <c r="BJ554" s="48"/>
      <c r="BK554" s="48"/>
      <c r="BL554" s="48"/>
      <c r="BM554" s="48"/>
      <c r="BN554" s="48"/>
      <c r="BO554" s="48"/>
      <c r="BP554" s="48"/>
      <c r="BQ554" s="48"/>
      <c r="BR554" s="48"/>
      <c r="BS554" s="48"/>
      <c r="BT554" s="48"/>
      <c r="BU554" s="48"/>
    </row>
    <row r="555" ht="15.75" customHeight="1">
      <c r="A555" s="48"/>
      <c r="B555" s="48"/>
      <c r="C555" s="48"/>
      <c r="D555" s="48"/>
      <c r="E555" s="27"/>
      <c r="F555" s="48"/>
      <c r="G555" s="48"/>
      <c r="H555" s="56"/>
      <c r="I555" s="56"/>
      <c r="J555" s="56"/>
      <c r="K555" s="56"/>
      <c r="L555" s="56"/>
      <c r="M555" s="56"/>
      <c r="N555" s="56"/>
      <c r="O555" s="56"/>
      <c r="P555" s="56"/>
      <c r="Q555" s="56"/>
      <c r="R555" s="56"/>
      <c r="S555" s="56"/>
      <c r="T555" s="56"/>
      <c r="U555" s="56"/>
      <c r="V555" s="56"/>
      <c r="W555" s="27"/>
      <c r="X555" s="56"/>
      <c r="Y555" s="27"/>
      <c r="Z555" s="56"/>
      <c r="AA555" s="27"/>
      <c r="AB555" s="56"/>
      <c r="AC555" s="27"/>
      <c r="AD555" s="56"/>
      <c r="AE555" s="27"/>
      <c r="AF555" s="56"/>
      <c r="AG555" s="27"/>
      <c r="AH555" s="286"/>
      <c r="AI555" s="27"/>
      <c r="AJ555" s="56"/>
      <c r="AK555" s="27"/>
      <c r="AL555" s="56"/>
      <c r="AM555" s="27"/>
      <c r="AN555" s="56"/>
      <c r="AO555" s="27"/>
      <c r="AP555" s="56"/>
      <c r="AQ555" s="27"/>
      <c r="AR555" s="56"/>
      <c r="AS555" s="27"/>
      <c r="AT555" s="56"/>
      <c r="AU555" s="27"/>
      <c r="AV555" s="56"/>
      <c r="AW555" s="27"/>
      <c r="AX555" s="56"/>
      <c r="AY555" s="27"/>
      <c r="AZ555" s="56"/>
      <c r="BA555" s="27"/>
      <c r="BB555" s="48"/>
      <c r="BC555" s="48"/>
      <c r="BD555" s="48"/>
      <c r="BE555" s="48"/>
      <c r="BF555" s="48"/>
      <c r="BG555" s="48"/>
      <c r="BH555" s="48"/>
      <c r="BI555" s="48"/>
      <c r="BJ555" s="48"/>
      <c r="BK555" s="48"/>
      <c r="BL555" s="48"/>
      <c r="BM555" s="48"/>
      <c r="BN555" s="48"/>
      <c r="BO555" s="48"/>
      <c r="BP555" s="48"/>
      <c r="BQ555" s="48"/>
      <c r="BR555" s="48"/>
      <c r="BS555" s="48"/>
      <c r="BT555" s="48"/>
      <c r="BU555" s="48"/>
    </row>
    <row r="556" ht="15.75" customHeight="1">
      <c r="A556" s="48"/>
      <c r="B556" s="48"/>
      <c r="C556" s="48"/>
      <c r="D556" s="48"/>
      <c r="E556" s="27"/>
      <c r="F556" s="48"/>
      <c r="G556" s="48"/>
      <c r="H556" s="56"/>
      <c r="I556" s="56"/>
      <c r="J556" s="56"/>
      <c r="K556" s="56"/>
      <c r="L556" s="56"/>
      <c r="M556" s="56"/>
      <c r="N556" s="56"/>
      <c r="O556" s="56"/>
      <c r="P556" s="56"/>
      <c r="Q556" s="56"/>
      <c r="R556" s="56"/>
      <c r="S556" s="56"/>
      <c r="T556" s="56"/>
      <c r="U556" s="56"/>
      <c r="V556" s="56"/>
      <c r="W556" s="27"/>
      <c r="X556" s="56"/>
      <c r="Y556" s="27"/>
      <c r="Z556" s="56"/>
      <c r="AA556" s="27"/>
      <c r="AB556" s="56"/>
      <c r="AC556" s="27"/>
      <c r="AD556" s="56"/>
      <c r="AE556" s="27"/>
      <c r="AF556" s="56"/>
      <c r="AG556" s="27"/>
      <c r="AH556" s="286"/>
      <c r="AI556" s="27"/>
      <c r="AJ556" s="56"/>
      <c r="AK556" s="27"/>
      <c r="AL556" s="56"/>
      <c r="AM556" s="27"/>
      <c r="AN556" s="56"/>
      <c r="AO556" s="27"/>
      <c r="AP556" s="56"/>
      <c r="AQ556" s="27"/>
      <c r="AR556" s="56"/>
      <c r="AS556" s="27"/>
      <c r="AT556" s="56"/>
      <c r="AU556" s="27"/>
      <c r="AV556" s="56"/>
      <c r="AW556" s="27"/>
      <c r="AX556" s="56"/>
      <c r="AY556" s="27"/>
      <c r="AZ556" s="56"/>
      <c r="BA556" s="27"/>
      <c r="BB556" s="48"/>
      <c r="BC556" s="48"/>
      <c r="BD556" s="48"/>
      <c r="BE556" s="48"/>
      <c r="BF556" s="48"/>
      <c r="BG556" s="48"/>
      <c r="BH556" s="48"/>
      <c r="BI556" s="48"/>
      <c r="BJ556" s="48"/>
      <c r="BK556" s="48"/>
      <c r="BL556" s="48"/>
      <c r="BM556" s="48"/>
      <c r="BN556" s="48"/>
      <c r="BO556" s="48"/>
      <c r="BP556" s="48"/>
      <c r="BQ556" s="48"/>
      <c r="BR556" s="48"/>
      <c r="BS556" s="48"/>
      <c r="BT556" s="48"/>
      <c r="BU556" s="48"/>
    </row>
    <row r="557" ht="15.75" customHeight="1">
      <c r="A557" s="48"/>
      <c r="B557" s="48"/>
      <c r="C557" s="48"/>
      <c r="D557" s="48"/>
      <c r="E557" s="27"/>
      <c r="F557" s="48"/>
      <c r="G557" s="48"/>
      <c r="H557" s="56"/>
      <c r="I557" s="56"/>
      <c r="J557" s="56"/>
      <c r="K557" s="56"/>
      <c r="L557" s="56"/>
      <c r="M557" s="56"/>
      <c r="N557" s="56"/>
      <c r="O557" s="56"/>
      <c r="P557" s="56"/>
      <c r="Q557" s="56"/>
      <c r="R557" s="56"/>
      <c r="S557" s="56"/>
      <c r="T557" s="56"/>
      <c r="U557" s="56"/>
      <c r="V557" s="56"/>
      <c r="W557" s="27"/>
      <c r="X557" s="56"/>
      <c r="Y557" s="27"/>
      <c r="Z557" s="56"/>
      <c r="AA557" s="27"/>
      <c r="AB557" s="56"/>
      <c r="AC557" s="27"/>
      <c r="AD557" s="56"/>
      <c r="AE557" s="27"/>
      <c r="AF557" s="56"/>
      <c r="AG557" s="27"/>
      <c r="AH557" s="286"/>
      <c r="AI557" s="27"/>
      <c r="AJ557" s="56"/>
      <c r="AK557" s="27"/>
      <c r="AL557" s="56"/>
      <c r="AM557" s="27"/>
      <c r="AN557" s="56"/>
      <c r="AO557" s="27"/>
      <c r="AP557" s="56"/>
      <c r="AQ557" s="27"/>
      <c r="AR557" s="56"/>
      <c r="AS557" s="27"/>
      <c r="AT557" s="56"/>
      <c r="AU557" s="27"/>
      <c r="AV557" s="56"/>
      <c r="AW557" s="27"/>
      <c r="AX557" s="56"/>
      <c r="AY557" s="27"/>
      <c r="AZ557" s="56"/>
      <c r="BA557" s="27"/>
      <c r="BB557" s="48"/>
      <c r="BC557" s="48"/>
      <c r="BD557" s="48"/>
      <c r="BE557" s="48"/>
      <c r="BF557" s="48"/>
      <c r="BG557" s="48"/>
      <c r="BH557" s="48"/>
      <c r="BI557" s="48"/>
      <c r="BJ557" s="48"/>
      <c r="BK557" s="48"/>
      <c r="BL557" s="48"/>
      <c r="BM557" s="48"/>
      <c r="BN557" s="48"/>
      <c r="BO557" s="48"/>
      <c r="BP557" s="48"/>
      <c r="BQ557" s="48"/>
      <c r="BR557" s="48"/>
      <c r="BS557" s="48"/>
      <c r="BT557" s="48"/>
      <c r="BU557" s="48"/>
    </row>
    <row r="558" ht="15.75" customHeight="1">
      <c r="A558" s="48"/>
      <c r="B558" s="48"/>
      <c r="C558" s="48"/>
      <c r="D558" s="48"/>
      <c r="E558" s="27"/>
      <c r="F558" s="48"/>
      <c r="G558" s="48"/>
      <c r="H558" s="56"/>
      <c r="I558" s="56"/>
      <c r="J558" s="56"/>
      <c r="K558" s="56"/>
      <c r="L558" s="56"/>
      <c r="M558" s="56"/>
      <c r="N558" s="56"/>
      <c r="O558" s="56"/>
      <c r="P558" s="56"/>
      <c r="Q558" s="56"/>
      <c r="R558" s="56"/>
      <c r="S558" s="56"/>
      <c r="T558" s="56"/>
      <c r="U558" s="56"/>
      <c r="V558" s="56"/>
      <c r="W558" s="27"/>
      <c r="X558" s="56"/>
      <c r="Y558" s="27"/>
      <c r="Z558" s="56"/>
      <c r="AA558" s="27"/>
      <c r="AB558" s="56"/>
      <c r="AC558" s="27"/>
      <c r="AD558" s="56"/>
      <c r="AE558" s="27"/>
      <c r="AF558" s="56"/>
      <c r="AG558" s="27"/>
      <c r="AH558" s="286"/>
      <c r="AI558" s="27"/>
      <c r="AJ558" s="56"/>
      <c r="AK558" s="27"/>
      <c r="AL558" s="56"/>
      <c r="AM558" s="27"/>
      <c r="AN558" s="56"/>
      <c r="AO558" s="27"/>
      <c r="AP558" s="56"/>
      <c r="AQ558" s="27"/>
      <c r="AR558" s="56"/>
      <c r="AS558" s="27"/>
      <c r="AT558" s="56"/>
      <c r="AU558" s="27"/>
      <c r="AV558" s="56"/>
      <c r="AW558" s="27"/>
      <c r="AX558" s="56"/>
      <c r="AY558" s="27"/>
      <c r="AZ558" s="56"/>
      <c r="BA558" s="27"/>
      <c r="BB558" s="48"/>
      <c r="BC558" s="48"/>
      <c r="BD558" s="48"/>
      <c r="BE558" s="48"/>
      <c r="BF558" s="48"/>
      <c r="BG558" s="48"/>
      <c r="BH558" s="48"/>
      <c r="BI558" s="48"/>
      <c r="BJ558" s="48"/>
      <c r="BK558" s="48"/>
      <c r="BL558" s="48"/>
      <c r="BM558" s="48"/>
      <c r="BN558" s="48"/>
      <c r="BO558" s="48"/>
      <c r="BP558" s="48"/>
      <c r="BQ558" s="48"/>
      <c r="BR558" s="48"/>
      <c r="BS558" s="48"/>
      <c r="BT558" s="48"/>
      <c r="BU558" s="48"/>
    </row>
    <row r="559" ht="15.75" customHeight="1">
      <c r="A559" s="48"/>
      <c r="B559" s="48"/>
      <c r="C559" s="48"/>
      <c r="D559" s="48"/>
      <c r="E559" s="27"/>
      <c r="F559" s="48"/>
      <c r="G559" s="48"/>
      <c r="H559" s="56"/>
      <c r="I559" s="56"/>
      <c r="J559" s="56"/>
      <c r="K559" s="56"/>
      <c r="L559" s="56"/>
      <c r="M559" s="56"/>
      <c r="N559" s="56"/>
      <c r="O559" s="56"/>
      <c r="P559" s="56"/>
      <c r="Q559" s="56"/>
      <c r="R559" s="56"/>
      <c r="S559" s="56"/>
      <c r="T559" s="56"/>
      <c r="U559" s="56"/>
      <c r="V559" s="56"/>
      <c r="W559" s="27"/>
      <c r="X559" s="56"/>
      <c r="Y559" s="27"/>
      <c r="Z559" s="56"/>
      <c r="AA559" s="27"/>
      <c r="AB559" s="56"/>
      <c r="AC559" s="27"/>
      <c r="AD559" s="56"/>
      <c r="AE559" s="27"/>
      <c r="AF559" s="56"/>
      <c r="AG559" s="27"/>
      <c r="AH559" s="286"/>
      <c r="AI559" s="27"/>
      <c r="AJ559" s="56"/>
      <c r="AK559" s="27"/>
      <c r="AL559" s="56"/>
      <c r="AM559" s="27"/>
      <c r="AN559" s="56"/>
      <c r="AO559" s="27"/>
      <c r="AP559" s="56"/>
      <c r="AQ559" s="27"/>
      <c r="AR559" s="56"/>
      <c r="AS559" s="27"/>
      <c r="AT559" s="56"/>
      <c r="AU559" s="27"/>
      <c r="AV559" s="56"/>
      <c r="AW559" s="27"/>
      <c r="AX559" s="56"/>
      <c r="AY559" s="27"/>
      <c r="AZ559" s="56"/>
      <c r="BA559" s="27"/>
      <c r="BB559" s="48"/>
      <c r="BC559" s="48"/>
      <c r="BD559" s="48"/>
      <c r="BE559" s="48"/>
      <c r="BF559" s="48"/>
      <c r="BG559" s="48"/>
      <c r="BH559" s="48"/>
      <c r="BI559" s="48"/>
      <c r="BJ559" s="48"/>
      <c r="BK559" s="48"/>
      <c r="BL559" s="48"/>
      <c r="BM559" s="48"/>
      <c r="BN559" s="48"/>
      <c r="BO559" s="48"/>
      <c r="BP559" s="48"/>
      <c r="BQ559" s="48"/>
      <c r="BR559" s="48"/>
      <c r="BS559" s="48"/>
      <c r="BT559" s="48"/>
      <c r="BU559" s="48"/>
    </row>
    <row r="560" ht="15.75" customHeight="1">
      <c r="A560" s="48"/>
      <c r="B560" s="48"/>
      <c r="C560" s="48"/>
      <c r="D560" s="48"/>
      <c r="E560" s="27"/>
      <c r="F560" s="48"/>
      <c r="G560" s="48"/>
      <c r="H560" s="56"/>
      <c r="I560" s="56"/>
      <c r="J560" s="56"/>
      <c r="K560" s="56"/>
      <c r="L560" s="56"/>
      <c r="M560" s="56"/>
      <c r="N560" s="56"/>
      <c r="O560" s="56"/>
      <c r="P560" s="56"/>
      <c r="Q560" s="56"/>
      <c r="R560" s="56"/>
      <c r="S560" s="56"/>
      <c r="T560" s="56"/>
      <c r="U560" s="56"/>
      <c r="V560" s="56"/>
      <c r="W560" s="27"/>
      <c r="X560" s="56"/>
      <c r="Y560" s="27"/>
      <c r="Z560" s="56"/>
      <c r="AA560" s="27"/>
      <c r="AB560" s="56"/>
      <c r="AC560" s="27"/>
      <c r="AD560" s="56"/>
      <c r="AE560" s="27"/>
      <c r="AF560" s="56"/>
      <c r="AG560" s="27"/>
      <c r="AH560" s="286"/>
      <c r="AI560" s="27"/>
      <c r="AJ560" s="56"/>
      <c r="AK560" s="27"/>
      <c r="AL560" s="56"/>
      <c r="AM560" s="27"/>
      <c r="AN560" s="56"/>
      <c r="AO560" s="27"/>
      <c r="AP560" s="56"/>
      <c r="AQ560" s="27"/>
      <c r="AR560" s="56"/>
      <c r="AS560" s="27"/>
      <c r="AT560" s="56"/>
      <c r="AU560" s="27"/>
      <c r="AV560" s="56"/>
      <c r="AW560" s="27"/>
      <c r="AX560" s="56"/>
      <c r="AY560" s="27"/>
      <c r="AZ560" s="56"/>
      <c r="BA560" s="27"/>
      <c r="BB560" s="48"/>
      <c r="BC560" s="48"/>
      <c r="BD560" s="48"/>
      <c r="BE560" s="48"/>
      <c r="BF560" s="48"/>
      <c r="BG560" s="48"/>
      <c r="BH560" s="48"/>
      <c r="BI560" s="48"/>
      <c r="BJ560" s="48"/>
      <c r="BK560" s="48"/>
      <c r="BL560" s="48"/>
      <c r="BM560" s="48"/>
      <c r="BN560" s="48"/>
      <c r="BO560" s="48"/>
      <c r="BP560" s="48"/>
      <c r="BQ560" s="48"/>
      <c r="BR560" s="48"/>
      <c r="BS560" s="48"/>
      <c r="BT560" s="48"/>
      <c r="BU560" s="48"/>
    </row>
    <row r="561" ht="15.75" customHeight="1">
      <c r="A561" s="48"/>
      <c r="B561" s="48"/>
      <c r="C561" s="48"/>
      <c r="D561" s="48"/>
      <c r="E561" s="27"/>
      <c r="F561" s="48"/>
      <c r="G561" s="48"/>
      <c r="H561" s="56"/>
      <c r="I561" s="56"/>
      <c r="J561" s="56"/>
      <c r="K561" s="56"/>
      <c r="L561" s="56"/>
      <c r="M561" s="56"/>
      <c r="N561" s="56"/>
      <c r="O561" s="56"/>
      <c r="P561" s="56"/>
      <c r="Q561" s="56"/>
      <c r="R561" s="56"/>
      <c r="S561" s="56"/>
      <c r="T561" s="56"/>
      <c r="U561" s="56"/>
      <c r="V561" s="56"/>
      <c r="W561" s="27"/>
      <c r="X561" s="56"/>
      <c r="Y561" s="27"/>
      <c r="Z561" s="56"/>
      <c r="AA561" s="27"/>
      <c r="AB561" s="56"/>
      <c r="AC561" s="27"/>
      <c r="AD561" s="56"/>
      <c r="AE561" s="27"/>
      <c r="AF561" s="56"/>
      <c r="AG561" s="27"/>
      <c r="AH561" s="286"/>
      <c r="AI561" s="27"/>
      <c r="AJ561" s="56"/>
      <c r="AK561" s="27"/>
      <c r="AL561" s="56"/>
      <c r="AM561" s="27"/>
      <c r="AN561" s="56"/>
      <c r="AO561" s="27"/>
      <c r="AP561" s="56"/>
      <c r="AQ561" s="27"/>
      <c r="AR561" s="56"/>
      <c r="AS561" s="27"/>
      <c r="AT561" s="56"/>
      <c r="AU561" s="27"/>
      <c r="AV561" s="56"/>
      <c r="AW561" s="27"/>
      <c r="AX561" s="56"/>
      <c r="AY561" s="27"/>
      <c r="AZ561" s="56"/>
      <c r="BA561" s="27"/>
      <c r="BB561" s="48"/>
      <c r="BC561" s="48"/>
      <c r="BD561" s="48"/>
      <c r="BE561" s="48"/>
      <c r="BF561" s="48"/>
      <c r="BG561" s="48"/>
      <c r="BH561" s="48"/>
      <c r="BI561" s="48"/>
      <c r="BJ561" s="48"/>
      <c r="BK561" s="48"/>
      <c r="BL561" s="48"/>
      <c r="BM561" s="48"/>
      <c r="BN561" s="48"/>
      <c r="BO561" s="48"/>
      <c r="BP561" s="48"/>
      <c r="BQ561" s="48"/>
      <c r="BR561" s="48"/>
      <c r="BS561" s="48"/>
      <c r="BT561" s="48"/>
      <c r="BU561" s="48"/>
    </row>
    <row r="562" ht="15.75" customHeight="1">
      <c r="A562" s="48"/>
      <c r="B562" s="48"/>
      <c r="C562" s="48"/>
      <c r="D562" s="48"/>
      <c r="E562" s="27"/>
      <c r="F562" s="48"/>
      <c r="G562" s="48"/>
      <c r="H562" s="56"/>
      <c r="I562" s="56"/>
      <c r="J562" s="56"/>
      <c r="K562" s="56"/>
      <c r="L562" s="56"/>
      <c r="M562" s="56"/>
      <c r="N562" s="56"/>
      <c r="O562" s="56"/>
      <c r="P562" s="56"/>
      <c r="Q562" s="56"/>
      <c r="R562" s="56"/>
      <c r="S562" s="56"/>
      <c r="T562" s="56"/>
      <c r="U562" s="56"/>
      <c r="V562" s="56"/>
      <c r="W562" s="27"/>
      <c r="X562" s="56"/>
      <c r="Y562" s="27"/>
      <c r="Z562" s="56"/>
      <c r="AA562" s="27"/>
      <c r="AB562" s="56"/>
      <c r="AC562" s="27"/>
      <c r="AD562" s="56"/>
      <c r="AE562" s="27"/>
      <c r="AF562" s="56"/>
      <c r="AG562" s="27"/>
      <c r="AH562" s="286"/>
      <c r="AI562" s="27"/>
      <c r="AJ562" s="56"/>
      <c r="AK562" s="27"/>
      <c r="AL562" s="56"/>
      <c r="AM562" s="27"/>
      <c r="AN562" s="56"/>
      <c r="AO562" s="27"/>
      <c r="AP562" s="56"/>
      <c r="AQ562" s="27"/>
      <c r="AR562" s="56"/>
      <c r="AS562" s="27"/>
      <c r="AT562" s="56"/>
      <c r="AU562" s="27"/>
      <c r="AV562" s="56"/>
      <c r="AW562" s="27"/>
      <c r="AX562" s="56"/>
      <c r="AY562" s="27"/>
      <c r="AZ562" s="56"/>
      <c r="BA562" s="27"/>
      <c r="BB562" s="48"/>
      <c r="BC562" s="48"/>
      <c r="BD562" s="48"/>
      <c r="BE562" s="48"/>
      <c r="BF562" s="48"/>
      <c r="BG562" s="48"/>
      <c r="BH562" s="48"/>
      <c r="BI562" s="48"/>
      <c r="BJ562" s="48"/>
      <c r="BK562" s="48"/>
      <c r="BL562" s="48"/>
      <c r="BM562" s="48"/>
      <c r="BN562" s="48"/>
      <c r="BO562" s="48"/>
      <c r="BP562" s="48"/>
      <c r="BQ562" s="48"/>
      <c r="BR562" s="48"/>
      <c r="BS562" s="48"/>
      <c r="BT562" s="48"/>
      <c r="BU562" s="48"/>
    </row>
    <row r="563" ht="15.75" customHeight="1">
      <c r="A563" s="48"/>
      <c r="B563" s="48"/>
      <c r="C563" s="48"/>
      <c r="D563" s="48"/>
      <c r="E563" s="27"/>
      <c r="F563" s="48"/>
      <c r="G563" s="48"/>
      <c r="H563" s="56"/>
      <c r="I563" s="56"/>
      <c r="J563" s="56"/>
      <c r="K563" s="56"/>
      <c r="L563" s="56"/>
      <c r="M563" s="56"/>
      <c r="N563" s="56"/>
      <c r="O563" s="56"/>
      <c r="P563" s="56"/>
      <c r="Q563" s="56"/>
      <c r="R563" s="56"/>
      <c r="S563" s="56"/>
      <c r="T563" s="56"/>
      <c r="U563" s="56"/>
      <c r="V563" s="56"/>
      <c r="W563" s="27"/>
      <c r="X563" s="56"/>
      <c r="Y563" s="27"/>
      <c r="Z563" s="56"/>
      <c r="AA563" s="27"/>
      <c r="AB563" s="56"/>
      <c r="AC563" s="27"/>
      <c r="AD563" s="56"/>
      <c r="AE563" s="27"/>
      <c r="AF563" s="56"/>
      <c r="AG563" s="27"/>
      <c r="AH563" s="286"/>
      <c r="AI563" s="27"/>
      <c r="AJ563" s="56"/>
      <c r="AK563" s="27"/>
      <c r="AL563" s="56"/>
      <c r="AM563" s="27"/>
      <c r="AN563" s="56"/>
      <c r="AO563" s="27"/>
      <c r="AP563" s="56"/>
      <c r="AQ563" s="27"/>
      <c r="AR563" s="56"/>
      <c r="AS563" s="27"/>
      <c r="AT563" s="56"/>
      <c r="AU563" s="27"/>
      <c r="AV563" s="56"/>
      <c r="AW563" s="27"/>
      <c r="AX563" s="56"/>
      <c r="AY563" s="27"/>
      <c r="AZ563" s="56"/>
      <c r="BA563" s="27"/>
      <c r="BB563" s="48"/>
      <c r="BC563" s="48"/>
      <c r="BD563" s="48"/>
      <c r="BE563" s="48"/>
      <c r="BF563" s="48"/>
      <c r="BG563" s="48"/>
      <c r="BH563" s="48"/>
      <c r="BI563" s="48"/>
      <c r="BJ563" s="48"/>
      <c r="BK563" s="48"/>
      <c r="BL563" s="48"/>
      <c r="BM563" s="48"/>
      <c r="BN563" s="48"/>
      <c r="BO563" s="48"/>
      <c r="BP563" s="48"/>
      <c r="BQ563" s="48"/>
      <c r="BR563" s="48"/>
      <c r="BS563" s="48"/>
      <c r="BT563" s="48"/>
      <c r="BU563" s="48"/>
    </row>
    <row r="564" ht="15.75" customHeight="1">
      <c r="A564" s="48"/>
      <c r="B564" s="48"/>
      <c r="C564" s="48"/>
      <c r="D564" s="48"/>
      <c r="E564" s="27"/>
      <c r="F564" s="48"/>
      <c r="G564" s="48"/>
      <c r="H564" s="56"/>
      <c r="I564" s="56"/>
      <c r="J564" s="56"/>
      <c r="K564" s="56"/>
      <c r="L564" s="56"/>
      <c r="M564" s="56"/>
      <c r="N564" s="56"/>
      <c r="O564" s="56"/>
      <c r="P564" s="56"/>
      <c r="Q564" s="56"/>
      <c r="R564" s="56"/>
      <c r="S564" s="56"/>
      <c r="T564" s="56"/>
      <c r="U564" s="56"/>
      <c r="V564" s="56"/>
      <c r="W564" s="27"/>
      <c r="X564" s="56"/>
      <c r="Y564" s="27"/>
      <c r="Z564" s="56"/>
      <c r="AA564" s="27"/>
      <c r="AB564" s="56"/>
      <c r="AC564" s="27"/>
      <c r="AD564" s="56"/>
      <c r="AE564" s="27"/>
      <c r="AF564" s="56"/>
      <c r="AG564" s="27"/>
      <c r="AH564" s="286"/>
      <c r="AI564" s="27"/>
      <c r="AJ564" s="56"/>
      <c r="AK564" s="27"/>
      <c r="AL564" s="56"/>
      <c r="AM564" s="27"/>
      <c r="AN564" s="56"/>
      <c r="AO564" s="27"/>
      <c r="AP564" s="56"/>
      <c r="AQ564" s="27"/>
      <c r="AR564" s="56"/>
      <c r="AS564" s="27"/>
      <c r="AT564" s="56"/>
      <c r="AU564" s="27"/>
      <c r="AV564" s="56"/>
      <c r="AW564" s="27"/>
      <c r="AX564" s="56"/>
      <c r="AY564" s="27"/>
      <c r="AZ564" s="56"/>
      <c r="BA564" s="27"/>
      <c r="BB564" s="48"/>
      <c r="BC564" s="48"/>
      <c r="BD564" s="48"/>
      <c r="BE564" s="48"/>
      <c r="BF564" s="48"/>
      <c r="BG564" s="48"/>
      <c r="BH564" s="48"/>
      <c r="BI564" s="48"/>
      <c r="BJ564" s="48"/>
      <c r="BK564" s="48"/>
      <c r="BL564" s="48"/>
      <c r="BM564" s="48"/>
      <c r="BN564" s="48"/>
      <c r="BO564" s="48"/>
      <c r="BP564" s="48"/>
      <c r="BQ564" s="48"/>
      <c r="BR564" s="48"/>
      <c r="BS564" s="48"/>
      <c r="BT564" s="48"/>
      <c r="BU564" s="48"/>
    </row>
    <row r="565" ht="15.75" customHeight="1">
      <c r="A565" s="48"/>
      <c r="B565" s="48"/>
      <c r="C565" s="48"/>
      <c r="D565" s="48"/>
      <c r="E565" s="27"/>
      <c r="F565" s="48"/>
      <c r="G565" s="48"/>
      <c r="H565" s="56"/>
      <c r="I565" s="56"/>
      <c r="J565" s="56"/>
      <c r="K565" s="56"/>
      <c r="L565" s="56"/>
      <c r="M565" s="56"/>
      <c r="N565" s="56"/>
      <c r="O565" s="56"/>
      <c r="P565" s="56"/>
      <c r="Q565" s="56"/>
      <c r="R565" s="56"/>
      <c r="S565" s="56"/>
      <c r="T565" s="56"/>
      <c r="U565" s="56"/>
      <c r="V565" s="56"/>
      <c r="W565" s="27"/>
      <c r="X565" s="56"/>
      <c r="Y565" s="27"/>
      <c r="Z565" s="56"/>
      <c r="AA565" s="27"/>
      <c r="AB565" s="56"/>
      <c r="AC565" s="27"/>
      <c r="AD565" s="56"/>
      <c r="AE565" s="27"/>
      <c r="AF565" s="56"/>
      <c r="AG565" s="27"/>
      <c r="AH565" s="286"/>
      <c r="AI565" s="27"/>
      <c r="AJ565" s="56"/>
      <c r="AK565" s="27"/>
      <c r="AL565" s="56"/>
      <c r="AM565" s="27"/>
      <c r="AN565" s="56"/>
      <c r="AO565" s="27"/>
      <c r="AP565" s="56"/>
      <c r="AQ565" s="27"/>
      <c r="AR565" s="56"/>
      <c r="AS565" s="27"/>
      <c r="AT565" s="56"/>
      <c r="AU565" s="27"/>
      <c r="AV565" s="56"/>
      <c r="AW565" s="27"/>
      <c r="AX565" s="56"/>
      <c r="AY565" s="27"/>
      <c r="AZ565" s="56"/>
      <c r="BA565" s="27"/>
      <c r="BB565" s="48"/>
      <c r="BC565" s="48"/>
      <c r="BD565" s="48"/>
      <c r="BE565" s="48"/>
      <c r="BF565" s="48"/>
      <c r="BG565" s="48"/>
      <c r="BH565" s="48"/>
      <c r="BI565" s="48"/>
      <c r="BJ565" s="48"/>
      <c r="BK565" s="48"/>
      <c r="BL565" s="48"/>
      <c r="BM565" s="48"/>
      <c r="BN565" s="48"/>
      <c r="BO565" s="48"/>
      <c r="BP565" s="48"/>
      <c r="BQ565" s="48"/>
      <c r="BR565" s="48"/>
      <c r="BS565" s="48"/>
      <c r="BT565" s="48"/>
      <c r="BU565" s="48"/>
    </row>
    <row r="566" ht="15.75" customHeight="1">
      <c r="A566" s="48"/>
      <c r="B566" s="48"/>
      <c r="C566" s="48"/>
      <c r="D566" s="48"/>
      <c r="E566" s="27"/>
      <c r="F566" s="48"/>
      <c r="G566" s="48"/>
      <c r="H566" s="56"/>
      <c r="I566" s="56"/>
      <c r="J566" s="56"/>
      <c r="K566" s="56"/>
      <c r="L566" s="56"/>
      <c r="M566" s="56"/>
      <c r="N566" s="56"/>
      <c r="O566" s="56"/>
      <c r="P566" s="56"/>
      <c r="Q566" s="56"/>
      <c r="R566" s="56"/>
      <c r="S566" s="56"/>
      <c r="T566" s="56"/>
      <c r="U566" s="56"/>
      <c r="V566" s="56"/>
      <c r="W566" s="27"/>
      <c r="X566" s="56"/>
      <c r="Y566" s="27"/>
      <c r="Z566" s="56"/>
      <c r="AA566" s="27"/>
      <c r="AB566" s="56"/>
      <c r="AC566" s="27"/>
      <c r="AD566" s="56"/>
      <c r="AE566" s="27"/>
      <c r="AF566" s="56"/>
      <c r="AG566" s="27"/>
      <c r="AH566" s="286"/>
      <c r="AI566" s="27"/>
      <c r="AJ566" s="56"/>
      <c r="AK566" s="27"/>
      <c r="AL566" s="56"/>
      <c r="AM566" s="27"/>
      <c r="AN566" s="56"/>
      <c r="AO566" s="27"/>
      <c r="AP566" s="56"/>
      <c r="AQ566" s="27"/>
      <c r="AR566" s="56"/>
      <c r="AS566" s="27"/>
      <c r="AT566" s="56"/>
      <c r="AU566" s="27"/>
      <c r="AV566" s="56"/>
      <c r="AW566" s="27"/>
      <c r="AX566" s="56"/>
      <c r="AY566" s="27"/>
      <c r="AZ566" s="56"/>
      <c r="BA566" s="27"/>
      <c r="BB566" s="48"/>
      <c r="BC566" s="48"/>
      <c r="BD566" s="48"/>
      <c r="BE566" s="48"/>
      <c r="BF566" s="48"/>
      <c r="BG566" s="48"/>
      <c r="BH566" s="48"/>
      <c r="BI566" s="48"/>
      <c r="BJ566" s="48"/>
      <c r="BK566" s="48"/>
      <c r="BL566" s="48"/>
      <c r="BM566" s="48"/>
      <c r="BN566" s="48"/>
      <c r="BO566" s="48"/>
      <c r="BP566" s="48"/>
      <c r="BQ566" s="48"/>
      <c r="BR566" s="48"/>
      <c r="BS566" s="48"/>
      <c r="BT566" s="48"/>
      <c r="BU566" s="48"/>
    </row>
    <row r="567" ht="15.75" customHeight="1">
      <c r="A567" s="48"/>
      <c r="B567" s="48"/>
      <c r="C567" s="48"/>
      <c r="D567" s="48"/>
      <c r="E567" s="27"/>
      <c r="F567" s="48"/>
      <c r="G567" s="48"/>
      <c r="H567" s="56"/>
      <c r="I567" s="56"/>
      <c r="J567" s="56"/>
      <c r="K567" s="56"/>
      <c r="L567" s="56"/>
      <c r="M567" s="56"/>
      <c r="N567" s="56"/>
      <c r="O567" s="56"/>
      <c r="P567" s="56"/>
      <c r="Q567" s="56"/>
      <c r="R567" s="56"/>
      <c r="S567" s="56"/>
      <c r="T567" s="56"/>
      <c r="U567" s="56"/>
      <c r="V567" s="56"/>
      <c r="W567" s="27"/>
      <c r="X567" s="56"/>
      <c r="Y567" s="27"/>
      <c r="Z567" s="56"/>
      <c r="AA567" s="27"/>
      <c r="AB567" s="56"/>
      <c r="AC567" s="27"/>
      <c r="AD567" s="56"/>
      <c r="AE567" s="27"/>
      <c r="AF567" s="56"/>
      <c r="AG567" s="27"/>
      <c r="AH567" s="286"/>
      <c r="AI567" s="27"/>
      <c r="AJ567" s="56"/>
      <c r="AK567" s="27"/>
      <c r="AL567" s="56"/>
      <c r="AM567" s="27"/>
      <c r="AN567" s="56"/>
      <c r="AO567" s="27"/>
      <c r="AP567" s="56"/>
      <c r="AQ567" s="27"/>
      <c r="AR567" s="56"/>
      <c r="AS567" s="27"/>
      <c r="AT567" s="56"/>
      <c r="AU567" s="27"/>
      <c r="AV567" s="56"/>
      <c r="AW567" s="27"/>
      <c r="AX567" s="56"/>
      <c r="AY567" s="27"/>
      <c r="AZ567" s="56"/>
      <c r="BA567" s="27"/>
      <c r="BB567" s="48"/>
      <c r="BC567" s="48"/>
      <c r="BD567" s="48"/>
      <c r="BE567" s="48"/>
      <c r="BF567" s="48"/>
      <c r="BG567" s="48"/>
      <c r="BH567" s="48"/>
      <c r="BI567" s="48"/>
      <c r="BJ567" s="48"/>
      <c r="BK567" s="48"/>
      <c r="BL567" s="48"/>
      <c r="BM567" s="48"/>
      <c r="BN567" s="48"/>
      <c r="BO567" s="48"/>
      <c r="BP567" s="48"/>
      <c r="BQ567" s="48"/>
      <c r="BR567" s="48"/>
      <c r="BS567" s="48"/>
      <c r="BT567" s="48"/>
      <c r="BU567" s="48"/>
    </row>
    <row r="568" ht="15.75" customHeight="1">
      <c r="A568" s="48"/>
      <c r="B568" s="48"/>
      <c r="C568" s="48"/>
      <c r="D568" s="48"/>
      <c r="E568" s="27"/>
      <c r="F568" s="48"/>
      <c r="G568" s="48"/>
      <c r="H568" s="56"/>
      <c r="I568" s="56"/>
      <c r="J568" s="56"/>
      <c r="K568" s="56"/>
      <c r="L568" s="56"/>
      <c r="M568" s="56"/>
      <c r="N568" s="56"/>
      <c r="O568" s="56"/>
      <c r="P568" s="56"/>
      <c r="Q568" s="56"/>
      <c r="R568" s="56"/>
      <c r="S568" s="56"/>
      <c r="T568" s="56"/>
      <c r="U568" s="56"/>
      <c r="V568" s="56"/>
      <c r="W568" s="27"/>
      <c r="X568" s="56"/>
      <c r="Y568" s="27"/>
      <c r="Z568" s="56"/>
      <c r="AA568" s="27"/>
      <c r="AB568" s="56"/>
      <c r="AC568" s="27"/>
      <c r="AD568" s="56"/>
      <c r="AE568" s="27"/>
      <c r="AF568" s="56"/>
      <c r="AG568" s="27"/>
      <c r="AH568" s="286"/>
      <c r="AI568" s="27"/>
      <c r="AJ568" s="56"/>
      <c r="AK568" s="27"/>
      <c r="AL568" s="56"/>
      <c r="AM568" s="27"/>
      <c r="AN568" s="56"/>
      <c r="AO568" s="27"/>
      <c r="AP568" s="56"/>
      <c r="AQ568" s="27"/>
      <c r="AR568" s="56"/>
      <c r="AS568" s="27"/>
      <c r="AT568" s="56"/>
      <c r="AU568" s="27"/>
      <c r="AV568" s="56"/>
      <c r="AW568" s="27"/>
      <c r="AX568" s="56"/>
      <c r="AY568" s="27"/>
      <c r="AZ568" s="56"/>
      <c r="BA568" s="27"/>
      <c r="BB568" s="48"/>
      <c r="BC568" s="48"/>
      <c r="BD568" s="48"/>
      <c r="BE568" s="48"/>
      <c r="BF568" s="48"/>
      <c r="BG568" s="48"/>
      <c r="BH568" s="48"/>
      <c r="BI568" s="48"/>
      <c r="BJ568" s="48"/>
      <c r="BK568" s="48"/>
      <c r="BL568" s="48"/>
      <c r="BM568" s="48"/>
      <c r="BN568" s="48"/>
      <c r="BO568" s="48"/>
      <c r="BP568" s="48"/>
      <c r="BQ568" s="48"/>
      <c r="BR568" s="48"/>
      <c r="BS568" s="48"/>
      <c r="BT568" s="48"/>
      <c r="BU568" s="48"/>
    </row>
    <row r="569" ht="15.75" customHeight="1">
      <c r="A569" s="48"/>
      <c r="B569" s="48"/>
      <c r="C569" s="48"/>
      <c r="D569" s="48"/>
      <c r="E569" s="27"/>
      <c r="F569" s="48"/>
      <c r="G569" s="48"/>
      <c r="H569" s="56"/>
      <c r="I569" s="56"/>
      <c r="J569" s="56"/>
      <c r="K569" s="56"/>
      <c r="L569" s="56"/>
      <c r="M569" s="56"/>
      <c r="N569" s="56"/>
      <c r="O569" s="56"/>
      <c r="P569" s="56"/>
      <c r="Q569" s="56"/>
      <c r="R569" s="56"/>
      <c r="S569" s="56"/>
      <c r="T569" s="56"/>
      <c r="U569" s="56"/>
      <c r="V569" s="56"/>
      <c r="W569" s="27"/>
      <c r="X569" s="56"/>
      <c r="Y569" s="27"/>
      <c r="Z569" s="56"/>
      <c r="AA569" s="27"/>
      <c r="AB569" s="56"/>
      <c r="AC569" s="27"/>
      <c r="AD569" s="56"/>
      <c r="AE569" s="27"/>
      <c r="AF569" s="56"/>
      <c r="AG569" s="27"/>
      <c r="AH569" s="286"/>
      <c r="AI569" s="27"/>
      <c r="AJ569" s="56"/>
      <c r="AK569" s="27"/>
      <c r="AL569" s="56"/>
      <c r="AM569" s="27"/>
      <c r="AN569" s="56"/>
      <c r="AO569" s="27"/>
      <c r="AP569" s="56"/>
      <c r="AQ569" s="27"/>
      <c r="AR569" s="56"/>
      <c r="AS569" s="27"/>
      <c r="AT569" s="56"/>
      <c r="AU569" s="27"/>
      <c r="AV569" s="56"/>
      <c r="AW569" s="27"/>
      <c r="AX569" s="56"/>
      <c r="AY569" s="27"/>
      <c r="AZ569" s="56"/>
      <c r="BA569" s="27"/>
      <c r="BB569" s="48"/>
      <c r="BC569" s="48"/>
      <c r="BD569" s="48"/>
      <c r="BE569" s="48"/>
      <c r="BF569" s="48"/>
      <c r="BG569" s="48"/>
      <c r="BH569" s="48"/>
      <c r="BI569" s="48"/>
      <c r="BJ569" s="48"/>
      <c r="BK569" s="48"/>
      <c r="BL569" s="48"/>
      <c r="BM569" s="48"/>
      <c r="BN569" s="48"/>
      <c r="BO569" s="48"/>
      <c r="BP569" s="48"/>
      <c r="BQ569" s="48"/>
      <c r="BR569" s="48"/>
      <c r="BS569" s="48"/>
      <c r="BT569" s="48"/>
      <c r="BU569" s="48"/>
    </row>
    <row r="570" ht="15.75" customHeight="1">
      <c r="A570" s="48"/>
      <c r="B570" s="48"/>
      <c r="C570" s="48"/>
      <c r="D570" s="48"/>
      <c r="E570" s="27"/>
      <c r="F570" s="48"/>
      <c r="G570" s="48"/>
      <c r="H570" s="56"/>
      <c r="I570" s="56"/>
      <c r="J570" s="56"/>
      <c r="K570" s="56"/>
      <c r="L570" s="56"/>
      <c r="M570" s="56"/>
      <c r="N570" s="56"/>
      <c r="O570" s="56"/>
      <c r="P570" s="56"/>
      <c r="Q570" s="56"/>
      <c r="R570" s="56"/>
      <c r="S570" s="56"/>
      <c r="T570" s="56"/>
      <c r="U570" s="56"/>
      <c r="V570" s="56"/>
      <c r="W570" s="27"/>
      <c r="X570" s="56"/>
      <c r="Y570" s="27"/>
      <c r="Z570" s="56"/>
      <c r="AA570" s="27"/>
      <c r="AB570" s="56"/>
      <c r="AC570" s="27"/>
      <c r="AD570" s="56"/>
      <c r="AE570" s="27"/>
      <c r="AF570" s="56"/>
      <c r="AG570" s="27"/>
      <c r="AH570" s="286"/>
      <c r="AI570" s="27"/>
      <c r="AJ570" s="56"/>
      <c r="AK570" s="27"/>
      <c r="AL570" s="56"/>
      <c r="AM570" s="27"/>
      <c r="AN570" s="56"/>
      <c r="AO570" s="27"/>
      <c r="AP570" s="56"/>
      <c r="AQ570" s="27"/>
      <c r="AR570" s="56"/>
      <c r="AS570" s="27"/>
      <c r="AT570" s="56"/>
      <c r="AU570" s="27"/>
      <c r="AV570" s="56"/>
      <c r="AW570" s="27"/>
      <c r="AX570" s="56"/>
      <c r="AY570" s="27"/>
      <c r="AZ570" s="56"/>
      <c r="BA570" s="27"/>
      <c r="BB570" s="48"/>
      <c r="BC570" s="48"/>
      <c r="BD570" s="48"/>
      <c r="BE570" s="48"/>
      <c r="BF570" s="48"/>
      <c r="BG570" s="48"/>
      <c r="BH570" s="48"/>
      <c r="BI570" s="48"/>
      <c r="BJ570" s="48"/>
      <c r="BK570" s="48"/>
      <c r="BL570" s="48"/>
      <c r="BM570" s="48"/>
      <c r="BN570" s="48"/>
      <c r="BO570" s="48"/>
      <c r="BP570" s="48"/>
      <c r="BQ570" s="48"/>
      <c r="BR570" s="48"/>
      <c r="BS570" s="48"/>
      <c r="BT570" s="48"/>
      <c r="BU570" s="48"/>
    </row>
    <row r="571" ht="15.75" customHeight="1">
      <c r="A571" s="48"/>
      <c r="B571" s="48"/>
      <c r="C571" s="48"/>
      <c r="D571" s="48"/>
      <c r="E571" s="27"/>
      <c r="F571" s="48"/>
      <c r="G571" s="48"/>
      <c r="H571" s="56"/>
      <c r="I571" s="56"/>
      <c r="J571" s="56"/>
      <c r="K571" s="56"/>
      <c r="L571" s="56"/>
      <c r="M571" s="56"/>
      <c r="N571" s="56"/>
      <c r="O571" s="56"/>
      <c r="P571" s="56"/>
      <c r="Q571" s="56"/>
      <c r="R571" s="56"/>
      <c r="S571" s="56"/>
      <c r="T571" s="56"/>
      <c r="U571" s="56"/>
      <c r="V571" s="56"/>
      <c r="W571" s="27"/>
      <c r="X571" s="56"/>
      <c r="Y571" s="27"/>
      <c r="Z571" s="56"/>
      <c r="AA571" s="27"/>
      <c r="AB571" s="56"/>
      <c r="AC571" s="27"/>
      <c r="AD571" s="56"/>
      <c r="AE571" s="27"/>
      <c r="AF571" s="56"/>
      <c r="AG571" s="27"/>
      <c r="AH571" s="286"/>
      <c r="AI571" s="27"/>
      <c r="AJ571" s="56"/>
      <c r="AK571" s="27"/>
      <c r="AL571" s="56"/>
      <c r="AM571" s="27"/>
      <c r="AN571" s="56"/>
      <c r="AO571" s="27"/>
      <c r="AP571" s="56"/>
      <c r="AQ571" s="27"/>
      <c r="AR571" s="56"/>
      <c r="AS571" s="27"/>
      <c r="AT571" s="56"/>
      <c r="AU571" s="27"/>
      <c r="AV571" s="56"/>
      <c r="AW571" s="27"/>
      <c r="AX571" s="56"/>
      <c r="AY571" s="27"/>
      <c r="AZ571" s="56"/>
      <c r="BA571" s="27"/>
      <c r="BB571" s="48"/>
      <c r="BC571" s="48"/>
      <c r="BD571" s="48"/>
      <c r="BE571" s="48"/>
      <c r="BF571" s="48"/>
      <c r="BG571" s="48"/>
      <c r="BH571" s="48"/>
      <c r="BI571" s="48"/>
      <c r="BJ571" s="48"/>
      <c r="BK571" s="48"/>
      <c r="BL571" s="48"/>
      <c r="BM571" s="48"/>
      <c r="BN571" s="48"/>
      <c r="BO571" s="48"/>
      <c r="BP571" s="48"/>
      <c r="BQ571" s="48"/>
      <c r="BR571" s="48"/>
      <c r="BS571" s="48"/>
      <c r="BT571" s="48"/>
      <c r="BU571" s="48"/>
    </row>
    <row r="572" ht="15.75" customHeight="1">
      <c r="A572" s="48"/>
      <c r="B572" s="48"/>
      <c r="C572" s="48"/>
      <c r="D572" s="48"/>
      <c r="E572" s="27"/>
      <c r="F572" s="48"/>
      <c r="G572" s="48"/>
      <c r="H572" s="56"/>
      <c r="I572" s="56"/>
      <c r="J572" s="56"/>
      <c r="K572" s="56"/>
      <c r="L572" s="56"/>
      <c r="M572" s="56"/>
      <c r="N572" s="56"/>
      <c r="O572" s="56"/>
      <c r="P572" s="56"/>
      <c r="Q572" s="56"/>
      <c r="R572" s="56"/>
      <c r="S572" s="56"/>
      <c r="T572" s="56"/>
      <c r="U572" s="56"/>
      <c r="V572" s="56"/>
      <c r="W572" s="27"/>
      <c r="X572" s="56"/>
      <c r="Y572" s="27"/>
      <c r="Z572" s="56"/>
      <c r="AA572" s="27"/>
      <c r="AB572" s="56"/>
      <c r="AC572" s="27"/>
      <c r="AD572" s="56"/>
      <c r="AE572" s="27"/>
      <c r="AF572" s="56"/>
      <c r="AG572" s="27"/>
      <c r="AH572" s="286"/>
      <c r="AI572" s="27"/>
      <c r="AJ572" s="56"/>
      <c r="AK572" s="27"/>
      <c r="AL572" s="56"/>
      <c r="AM572" s="27"/>
      <c r="AN572" s="56"/>
      <c r="AO572" s="27"/>
      <c r="AP572" s="56"/>
      <c r="AQ572" s="27"/>
      <c r="AR572" s="56"/>
      <c r="AS572" s="27"/>
      <c r="AT572" s="56"/>
      <c r="AU572" s="27"/>
      <c r="AV572" s="56"/>
      <c r="AW572" s="27"/>
      <c r="AX572" s="56"/>
      <c r="AY572" s="27"/>
      <c r="AZ572" s="56"/>
      <c r="BA572" s="27"/>
      <c r="BB572" s="48"/>
      <c r="BC572" s="48"/>
      <c r="BD572" s="48"/>
      <c r="BE572" s="48"/>
      <c r="BF572" s="48"/>
      <c r="BG572" s="48"/>
      <c r="BH572" s="48"/>
      <c r="BI572" s="48"/>
      <c r="BJ572" s="48"/>
      <c r="BK572" s="48"/>
      <c r="BL572" s="48"/>
      <c r="BM572" s="48"/>
      <c r="BN572" s="48"/>
      <c r="BO572" s="48"/>
      <c r="BP572" s="48"/>
      <c r="BQ572" s="48"/>
      <c r="BR572" s="48"/>
      <c r="BS572" s="48"/>
      <c r="BT572" s="48"/>
      <c r="BU572" s="48"/>
    </row>
    <row r="573" ht="15.75" customHeight="1">
      <c r="A573" s="48"/>
      <c r="B573" s="48"/>
      <c r="C573" s="48"/>
      <c r="D573" s="48"/>
      <c r="E573" s="27"/>
      <c r="F573" s="48"/>
      <c r="G573" s="48"/>
      <c r="H573" s="56"/>
      <c r="I573" s="56"/>
      <c r="J573" s="56"/>
      <c r="K573" s="56"/>
      <c r="L573" s="56"/>
      <c r="M573" s="56"/>
      <c r="N573" s="56"/>
      <c r="O573" s="56"/>
      <c r="P573" s="56"/>
      <c r="Q573" s="56"/>
      <c r="R573" s="56"/>
      <c r="S573" s="56"/>
      <c r="T573" s="56"/>
      <c r="U573" s="56"/>
      <c r="V573" s="56"/>
      <c r="W573" s="27"/>
      <c r="X573" s="56"/>
      <c r="Y573" s="27"/>
      <c r="Z573" s="56"/>
      <c r="AA573" s="27"/>
      <c r="AB573" s="56"/>
      <c r="AC573" s="27"/>
      <c r="AD573" s="56"/>
      <c r="AE573" s="27"/>
      <c r="AF573" s="56"/>
      <c r="AG573" s="27"/>
      <c r="AH573" s="286"/>
      <c r="AI573" s="27"/>
      <c r="AJ573" s="56"/>
      <c r="AK573" s="27"/>
      <c r="AL573" s="56"/>
      <c r="AM573" s="27"/>
      <c r="AN573" s="56"/>
      <c r="AO573" s="27"/>
      <c r="AP573" s="56"/>
      <c r="AQ573" s="27"/>
      <c r="AR573" s="56"/>
      <c r="AS573" s="27"/>
      <c r="AT573" s="56"/>
      <c r="AU573" s="27"/>
      <c r="AV573" s="56"/>
      <c r="AW573" s="27"/>
      <c r="AX573" s="56"/>
      <c r="AY573" s="27"/>
      <c r="AZ573" s="56"/>
      <c r="BA573" s="27"/>
      <c r="BB573" s="48"/>
      <c r="BC573" s="48"/>
      <c r="BD573" s="48"/>
      <c r="BE573" s="48"/>
      <c r="BF573" s="48"/>
      <c r="BG573" s="48"/>
      <c r="BH573" s="48"/>
      <c r="BI573" s="48"/>
      <c r="BJ573" s="48"/>
      <c r="BK573" s="48"/>
      <c r="BL573" s="48"/>
      <c r="BM573" s="48"/>
      <c r="BN573" s="48"/>
      <c r="BO573" s="48"/>
      <c r="BP573" s="48"/>
      <c r="BQ573" s="48"/>
      <c r="BR573" s="48"/>
      <c r="BS573" s="48"/>
      <c r="BT573" s="48"/>
      <c r="BU573" s="48"/>
    </row>
    <row r="574" ht="15.75" customHeight="1">
      <c r="A574" s="48"/>
      <c r="B574" s="48"/>
      <c r="C574" s="48"/>
      <c r="D574" s="48"/>
      <c r="E574" s="27"/>
      <c r="F574" s="48"/>
      <c r="G574" s="48"/>
      <c r="H574" s="56"/>
      <c r="I574" s="56"/>
      <c r="J574" s="56"/>
      <c r="K574" s="56"/>
      <c r="L574" s="56"/>
      <c r="M574" s="56"/>
      <c r="N574" s="56"/>
      <c r="O574" s="56"/>
      <c r="P574" s="56"/>
      <c r="Q574" s="56"/>
      <c r="R574" s="56"/>
      <c r="S574" s="56"/>
      <c r="T574" s="56"/>
      <c r="U574" s="56"/>
      <c r="V574" s="56"/>
      <c r="W574" s="27"/>
      <c r="X574" s="56"/>
      <c r="Y574" s="27"/>
      <c r="Z574" s="56"/>
      <c r="AA574" s="27"/>
      <c r="AB574" s="56"/>
      <c r="AC574" s="27"/>
      <c r="AD574" s="56"/>
      <c r="AE574" s="27"/>
      <c r="AF574" s="56"/>
      <c r="AG574" s="27"/>
      <c r="AH574" s="286"/>
      <c r="AI574" s="27"/>
      <c r="AJ574" s="56"/>
      <c r="AK574" s="27"/>
      <c r="AL574" s="56"/>
      <c r="AM574" s="27"/>
      <c r="AN574" s="56"/>
      <c r="AO574" s="27"/>
      <c r="AP574" s="56"/>
      <c r="AQ574" s="27"/>
      <c r="AR574" s="56"/>
      <c r="AS574" s="27"/>
      <c r="AT574" s="56"/>
      <c r="AU574" s="27"/>
      <c r="AV574" s="56"/>
      <c r="AW574" s="27"/>
      <c r="AX574" s="56"/>
      <c r="AY574" s="27"/>
      <c r="AZ574" s="56"/>
      <c r="BA574" s="27"/>
      <c r="BB574" s="48"/>
      <c r="BC574" s="48"/>
      <c r="BD574" s="48"/>
      <c r="BE574" s="48"/>
      <c r="BF574" s="48"/>
      <c r="BG574" s="48"/>
      <c r="BH574" s="48"/>
      <c r="BI574" s="48"/>
      <c r="BJ574" s="48"/>
      <c r="BK574" s="48"/>
      <c r="BL574" s="48"/>
      <c r="BM574" s="48"/>
      <c r="BN574" s="48"/>
      <c r="BO574" s="48"/>
      <c r="BP574" s="48"/>
      <c r="BQ574" s="48"/>
      <c r="BR574" s="48"/>
      <c r="BS574" s="48"/>
      <c r="BT574" s="48"/>
      <c r="BU574" s="48"/>
    </row>
    <row r="575" ht="15.75" customHeight="1">
      <c r="A575" s="48"/>
      <c r="B575" s="48"/>
      <c r="C575" s="48"/>
      <c r="D575" s="48"/>
      <c r="E575" s="27"/>
      <c r="F575" s="48"/>
      <c r="G575" s="48"/>
      <c r="H575" s="56"/>
      <c r="I575" s="56"/>
      <c r="J575" s="56"/>
      <c r="K575" s="56"/>
      <c r="L575" s="56"/>
      <c r="M575" s="56"/>
      <c r="N575" s="56"/>
      <c r="O575" s="56"/>
      <c r="P575" s="56"/>
      <c r="Q575" s="56"/>
      <c r="R575" s="56"/>
      <c r="S575" s="56"/>
      <c r="T575" s="56"/>
      <c r="U575" s="56"/>
      <c r="V575" s="56"/>
      <c r="W575" s="27"/>
      <c r="X575" s="56"/>
      <c r="Y575" s="27"/>
      <c r="Z575" s="56"/>
      <c r="AA575" s="27"/>
      <c r="AB575" s="56"/>
      <c r="AC575" s="27"/>
      <c r="AD575" s="56"/>
      <c r="AE575" s="27"/>
      <c r="AF575" s="56"/>
      <c r="AG575" s="27"/>
      <c r="AH575" s="286"/>
      <c r="AI575" s="27"/>
      <c r="AJ575" s="56"/>
      <c r="AK575" s="27"/>
      <c r="AL575" s="56"/>
      <c r="AM575" s="27"/>
      <c r="AN575" s="56"/>
      <c r="AO575" s="27"/>
      <c r="AP575" s="56"/>
      <c r="AQ575" s="27"/>
      <c r="AR575" s="56"/>
      <c r="AS575" s="27"/>
      <c r="AT575" s="56"/>
      <c r="AU575" s="27"/>
      <c r="AV575" s="56"/>
      <c r="AW575" s="27"/>
      <c r="AX575" s="56"/>
      <c r="AY575" s="27"/>
      <c r="AZ575" s="56"/>
      <c r="BA575" s="27"/>
      <c r="BB575" s="48"/>
      <c r="BC575" s="48"/>
      <c r="BD575" s="48"/>
      <c r="BE575" s="48"/>
      <c r="BF575" s="48"/>
      <c r="BG575" s="48"/>
      <c r="BH575" s="48"/>
      <c r="BI575" s="48"/>
      <c r="BJ575" s="48"/>
      <c r="BK575" s="48"/>
      <c r="BL575" s="48"/>
      <c r="BM575" s="48"/>
      <c r="BN575" s="48"/>
      <c r="BO575" s="48"/>
      <c r="BP575" s="48"/>
      <c r="BQ575" s="48"/>
      <c r="BR575" s="48"/>
      <c r="BS575" s="48"/>
      <c r="BT575" s="48"/>
      <c r="BU575" s="48"/>
    </row>
    <row r="576" ht="15.75" customHeight="1">
      <c r="A576" s="48"/>
      <c r="B576" s="48"/>
      <c r="C576" s="48"/>
      <c r="D576" s="48"/>
      <c r="E576" s="27"/>
      <c r="F576" s="48"/>
      <c r="G576" s="48"/>
      <c r="H576" s="56"/>
      <c r="I576" s="56"/>
      <c r="J576" s="56"/>
      <c r="K576" s="56"/>
      <c r="L576" s="56"/>
      <c r="M576" s="56"/>
      <c r="N576" s="56"/>
      <c r="O576" s="56"/>
      <c r="P576" s="56"/>
      <c r="Q576" s="56"/>
      <c r="R576" s="56"/>
      <c r="S576" s="56"/>
      <c r="T576" s="56"/>
      <c r="U576" s="56"/>
      <c r="V576" s="56"/>
      <c r="W576" s="27"/>
      <c r="X576" s="56"/>
      <c r="Y576" s="27"/>
      <c r="Z576" s="56"/>
      <c r="AA576" s="27"/>
      <c r="AB576" s="56"/>
      <c r="AC576" s="27"/>
      <c r="AD576" s="56"/>
      <c r="AE576" s="27"/>
      <c r="AF576" s="56"/>
      <c r="AG576" s="27"/>
      <c r="AH576" s="286"/>
      <c r="AI576" s="27"/>
      <c r="AJ576" s="56"/>
      <c r="AK576" s="27"/>
      <c r="AL576" s="56"/>
      <c r="AM576" s="27"/>
      <c r="AN576" s="56"/>
      <c r="AO576" s="27"/>
      <c r="AP576" s="56"/>
      <c r="AQ576" s="27"/>
      <c r="AR576" s="56"/>
      <c r="AS576" s="27"/>
      <c r="AT576" s="56"/>
      <c r="AU576" s="27"/>
      <c r="AV576" s="56"/>
      <c r="AW576" s="27"/>
      <c r="AX576" s="56"/>
      <c r="AY576" s="27"/>
      <c r="AZ576" s="56"/>
      <c r="BA576" s="27"/>
      <c r="BB576" s="48"/>
      <c r="BC576" s="48"/>
      <c r="BD576" s="48"/>
      <c r="BE576" s="48"/>
      <c r="BF576" s="48"/>
      <c r="BG576" s="48"/>
      <c r="BH576" s="48"/>
      <c r="BI576" s="48"/>
      <c r="BJ576" s="48"/>
      <c r="BK576" s="48"/>
      <c r="BL576" s="48"/>
      <c r="BM576" s="48"/>
      <c r="BN576" s="48"/>
      <c r="BO576" s="48"/>
      <c r="BP576" s="48"/>
      <c r="BQ576" s="48"/>
      <c r="BR576" s="48"/>
      <c r="BS576" s="48"/>
      <c r="BT576" s="48"/>
      <c r="BU576" s="48"/>
    </row>
    <row r="577" ht="15.75" customHeight="1">
      <c r="A577" s="48"/>
      <c r="B577" s="48"/>
      <c r="C577" s="48"/>
      <c r="D577" s="48"/>
      <c r="E577" s="27"/>
      <c r="F577" s="48"/>
      <c r="G577" s="48"/>
      <c r="H577" s="56"/>
      <c r="I577" s="56"/>
      <c r="J577" s="56"/>
      <c r="K577" s="56"/>
      <c r="L577" s="56"/>
      <c r="M577" s="56"/>
      <c r="N577" s="56"/>
      <c r="O577" s="56"/>
      <c r="P577" s="56"/>
      <c r="Q577" s="56"/>
      <c r="R577" s="56"/>
      <c r="S577" s="56"/>
      <c r="T577" s="56"/>
      <c r="U577" s="56"/>
      <c r="V577" s="56"/>
      <c r="W577" s="27"/>
      <c r="X577" s="56"/>
      <c r="Y577" s="27"/>
      <c r="Z577" s="56"/>
      <c r="AA577" s="27"/>
      <c r="AB577" s="56"/>
      <c r="AC577" s="27"/>
      <c r="AD577" s="56"/>
      <c r="AE577" s="27"/>
      <c r="AF577" s="56"/>
      <c r="AG577" s="27"/>
      <c r="AH577" s="286"/>
      <c r="AI577" s="27"/>
      <c r="AJ577" s="56"/>
      <c r="AK577" s="27"/>
      <c r="AL577" s="56"/>
      <c r="AM577" s="27"/>
      <c r="AN577" s="56"/>
      <c r="AO577" s="27"/>
      <c r="AP577" s="56"/>
      <c r="AQ577" s="27"/>
      <c r="AR577" s="56"/>
      <c r="AS577" s="27"/>
      <c r="AT577" s="56"/>
      <c r="AU577" s="27"/>
      <c r="AV577" s="56"/>
      <c r="AW577" s="27"/>
      <c r="AX577" s="56"/>
      <c r="AY577" s="27"/>
      <c r="AZ577" s="56"/>
      <c r="BA577" s="27"/>
      <c r="BB577" s="48"/>
      <c r="BC577" s="48"/>
      <c r="BD577" s="48"/>
      <c r="BE577" s="48"/>
      <c r="BF577" s="48"/>
      <c r="BG577" s="48"/>
      <c r="BH577" s="48"/>
      <c r="BI577" s="48"/>
      <c r="BJ577" s="48"/>
      <c r="BK577" s="48"/>
      <c r="BL577" s="48"/>
      <c r="BM577" s="48"/>
      <c r="BN577" s="48"/>
      <c r="BO577" s="48"/>
      <c r="BP577" s="48"/>
      <c r="BQ577" s="48"/>
      <c r="BR577" s="48"/>
      <c r="BS577" s="48"/>
      <c r="BT577" s="48"/>
      <c r="BU577" s="48"/>
    </row>
    <row r="578" ht="15.75" customHeight="1">
      <c r="A578" s="48"/>
      <c r="B578" s="48"/>
      <c r="C578" s="48"/>
      <c r="D578" s="48"/>
      <c r="E578" s="27"/>
      <c r="F578" s="48"/>
      <c r="G578" s="48"/>
      <c r="H578" s="56"/>
      <c r="I578" s="56"/>
      <c r="J578" s="56"/>
      <c r="K578" s="56"/>
      <c r="L578" s="56"/>
      <c r="M578" s="56"/>
      <c r="N578" s="56"/>
      <c r="O578" s="56"/>
      <c r="P578" s="56"/>
      <c r="Q578" s="56"/>
      <c r="R578" s="56"/>
      <c r="S578" s="56"/>
      <c r="T578" s="56"/>
      <c r="U578" s="56"/>
      <c r="V578" s="56"/>
      <c r="W578" s="27"/>
      <c r="X578" s="56"/>
      <c r="Y578" s="27"/>
      <c r="Z578" s="56"/>
      <c r="AA578" s="27"/>
      <c r="AB578" s="56"/>
      <c r="AC578" s="27"/>
      <c r="AD578" s="56"/>
      <c r="AE578" s="27"/>
      <c r="AF578" s="56"/>
      <c r="AG578" s="27"/>
      <c r="AH578" s="286"/>
      <c r="AI578" s="27"/>
      <c r="AJ578" s="56"/>
      <c r="AK578" s="27"/>
      <c r="AL578" s="56"/>
      <c r="AM578" s="27"/>
      <c r="AN578" s="56"/>
      <c r="AO578" s="27"/>
      <c r="AP578" s="56"/>
      <c r="AQ578" s="27"/>
      <c r="AR578" s="56"/>
      <c r="AS578" s="27"/>
      <c r="AT578" s="56"/>
      <c r="AU578" s="27"/>
      <c r="AV578" s="56"/>
      <c r="AW578" s="27"/>
      <c r="AX578" s="56"/>
      <c r="AY578" s="27"/>
      <c r="AZ578" s="56"/>
      <c r="BA578" s="27"/>
      <c r="BB578" s="48"/>
      <c r="BC578" s="48"/>
      <c r="BD578" s="48"/>
      <c r="BE578" s="48"/>
      <c r="BF578" s="48"/>
      <c r="BG578" s="48"/>
      <c r="BH578" s="48"/>
      <c r="BI578" s="48"/>
      <c r="BJ578" s="48"/>
      <c r="BK578" s="48"/>
      <c r="BL578" s="48"/>
      <c r="BM578" s="48"/>
      <c r="BN578" s="48"/>
      <c r="BO578" s="48"/>
      <c r="BP578" s="48"/>
      <c r="BQ578" s="48"/>
      <c r="BR578" s="48"/>
      <c r="BS578" s="48"/>
      <c r="BT578" s="48"/>
      <c r="BU578" s="48"/>
    </row>
    <row r="579" ht="15.75" customHeight="1">
      <c r="A579" s="48"/>
      <c r="B579" s="48"/>
      <c r="C579" s="48"/>
      <c r="D579" s="48"/>
      <c r="E579" s="27"/>
      <c r="F579" s="48"/>
      <c r="G579" s="48"/>
      <c r="H579" s="56"/>
      <c r="I579" s="56"/>
      <c r="J579" s="56"/>
      <c r="K579" s="56"/>
      <c r="L579" s="56"/>
      <c r="M579" s="56"/>
      <c r="N579" s="56"/>
      <c r="O579" s="56"/>
      <c r="P579" s="56"/>
      <c r="Q579" s="56"/>
      <c r="R579" s="56"/>
      <c r="S579" s="56"/>
      <c r="T579" s="56"/>
      <c r="U579" s="56"/>
      <c r="V579" s="56"/>
      <c r="W579" s="27"/>
      <c r="X579" s="56"/>
      <c r="Y579" s="27"/>
      <c r="Z579" s="56"/>
      <c r="AA579" s="27"/>
      <c r="AB579" s="56"/>
      <c r="AC579" s="27"/>
      <c r="AD579" s="56"/>
      <c r="AE579" s="27"/>
      <c r="AF579" s="56"/>
      <c r="AG579" s="27"/>
      <c r="AH579" s="286"/>
      <c r="AI579" s="27"/>
      <c r="AJ579" s="56"/>
      <c r="AK579" s="27"/>
      <c r="AL579" s="56"/>
      <c r="AM579" s="27"/>
      <c r="AN579" s="56"/>
      <c r="AO579" s="27"/>
      <c r="AP579" s="56"/>
      <c r="AQ579" s="27"/>
      <c r="AR579" s="56"/>
      <c r="AS579" s="27"/>
      <c r="AT579" s="56"/>
      <c r="AU579" s="27"/>
      <c r="AV579" s="56"/>
      <c r="AW579" s="27"/>
      <c r="AX579" s="56"/>
      <c r="AY579" s="27"/>
      <c r="AZ579" s="56"/>
      <c r="BA579" s="27"/>
      <c r="BB579" s="48"/>
      <c r="BC579" s="48"/>
      <c r="BD579" s="48"/>
      <c r="BE579" s="48"/>
      <c r="BF579" s="48"/>
      <c r="BG579" s="48"/>
      <c r="BH579" s="48"/>
      <c r="BI579" s="48"/>
      <c r="BJ579" s="48"/>
      <c r="BK579" s="48"/>
      <c r="BL579" s="48"/>
      <c r="BM579" s="48"/>
      <c r="BN579" s="48"/>
      <c r="BO579" s="48"/>
      <c r="BP579" s="48"/>
      <c r="BQ579" s="48"/>
      <c r="BR579" s="48"/>
      <c r="BS579" s="48"/>
      <c r="BT579" s="48"/>
      <c r="BU579" s="48"/>
    </row>
    <row r="580" ht="15.75" customHeight="1">
      <c r="A580" s="48"/>
      <c r="B580" s="48"/>
      <c r="C580" s="48"/>
      <c r="D580" s="48"/>
      <c r="E580" s="27"/>
      <c r="F580" s="48"/>
      <c r="G580" s="48"/>
      <c r="H580" s="56"/>
      <c r="I580" s="56"/>
      <c r="J580" s="56"/>
      <c r="K580" s="56"/>
      <c r="L580" s="56"/>
      <c r="M580" s="56"/>
      <c r="N580" s="56"/>
      <c r="O580" s="56"/>
      <c r="P580" s="56"/>
      <c r="Q580" s="56"/>
      <c r="R580" s="56"/>
      <c r="S580" s="56"/>
      <c r="T580" s="56"/>
      <c r="U580" s="56"/>
      <c r="V580" s="56"/>
      <c r="W580" s="27"/>
      <c r="X580" s="56"/>
      <c r="Y580" s="27"/>
      <c r="Z580" s="56"/>
      <c r="AA580" s="27"/>
      <c r="AB580" s="56"/>
      <c r="AC580" s="27"/>
      <c r="AD580" s="56"/>
      <c r="AE580" s="27"/>
      <c r="AF580" s="56"/>
      <c r="AG580" s="27"/>
      <c r="AH580" s="286"/>
      <c r="AI580" s="27"/>
      <c r="AJ580" s="56"/>
      <c r="AK580" s="27"/>
      <c r="AL580" s="56"/>
      <c r="AM580" s="27"/>
      <c r="AN580" s="56"/>
      <c r="AO580" s="27"/>
      <c r="AP580" s="56"/>
      <c r="AQ580" s="27"/>
      <c r="AR580" s="56"/>
      <c r="AS580" s="27"/>
      <c r="AT580" s="56"/>
      <c r="AU580" s="27"/>
      <c r="AV580" s="56"/>
      <c r="AW580" s="27"/>
      <c r="AX580" s="56"/>
      <c r="AY580" s="27"/>
      <c r="AZ580" s="56"/>
      <c r="BA580" s="27"/>
      <c r="BB580" s="48"/>
      <c r="BC580" s="48"/>
      <c r="BD580" s="48"/>
      <c r="BE580" s="48"/>
      <c r="BF580" s="48"/>
      <c r="BG580" s="48"/>
      <c r="BH580" s="48"/>
      <c r="BI580" s="48"/>
      <c r="BJ580" s="48"/>
      <c r="BK580" s="48"/>
      <c r="BL580" s="48"/>
      <c r="BM580" s="48"/>
      <c r="BN580" s="48"/>
      <c r="BO580" s="48"/>
      <c r="BP580" s="48"/>
      <c r="BQ580" s="48"/>
      <c r="BR580" s="48"/>
      <c r="BS580" s="48"/>
      <c r="BT580" s="48"/>
      <c r="BU580" s="48"/>
    </row>
    <row r="581" ht="15.75" customHeight="1">
      <c r="A581" s="48"/>
      <c r="B581" s="48"/>
      <c r="C581" s="48"/>
      <c r="D581" s="48"/>
      <c r="E581" s="27"/>
      <c r="F581" s="48"/>
      <c r="G581" s="48"/>
      <c r="H581" s="56"/>
      <c r="I581" s="56"/>
      <c r="J581" s="56"/>
      <c r="K581" s="56"/>
      <c r="L581" s="56"/>
      <c r="M581" s="56"/>
      <c r="N581" s="56"/>
      <c r="O581" s="56"/>
      <c r="P581" s="56"/>
      <c r="Q581" s="56"/>
      <c r="R581" s="56"/>
      <c r="S581" s="56"/>
      <c r="T581" s="56"/>
      <c r="U581" s="56"/>
      <c r="V581" s="56"/>
      <c r="W581" s="27"/>
      <c r="X581" s="56"/>
      <c r="Y581" s="27"/>
      <c r="Z581" s="56"/>
      <c r="AA581" s="27"/>
      <c r="AB581" s="56"/>
      <c r="AC581" s="27"/>
      <c r="AD581" s="56"/>
      <c r="AE581" s="27"/>
      <c r="AF581" s="56"/>
      <c r="AG581" s="27"/>
      <c r="AH581" s="286"/>
      <c r="AI581" s="27"/>
      <c r="AJ581" s="56"/>
      <c r="AK581" s="27"/>
      <c r="AL581" s="56"/>
      <c r="AM581" s="27"/>
      <c r="AN581" s="56"/>
      <c r="AO581" s="27"/>
      <c r="AP581" s="56"/>
      <c r="AQ581" s="27"/>
      <c r="AR581" s="56"/>
      <c r="AS581" s="27"/>
      <c r="AT581" s="56"/>
      <c r="AU581" s="27"/>
      <c r="AV581" s="56"/>
      <c r="AW581" s="27"/>
      <c r="AX581" s="56"/>
      <c r="AY581" s="27"/>
      <c r="AZ581" s="56"/>
      <c r="BA581" s="27"/>
      <c r="BB581" s="48"/>
      <c r="BC581" s="48"/>
      <c r="BD581" s="48"/>
      <c r="BE581" s="48"/>
      <c r="BF581" s="48"/>
      <c r="BG581" s="48"/>
      <c r="BH581" s="48"/>
      <c r="BI581" s="48"/>
      <c r="BJ581" s="48"/>
      <c r="BK581" s="48"/>
      <c r="BL581" s="48"/>
      <c r="BM581" s="48"/>
      <c r="BN581" s="48"/>
      <c r="BO581" s="48"/>
      <c r="BP581" s="48"/>
      <c r="BQ581" s="48"/>
      <c r="BR581" s="48"/>
      <c r="BS581" s="48"/>
      <c r="BT581" s="48"/>
      <c r="BU581" s="48"/>
    </row>
    <row r="582" ht="15.75" customHeight="1">
      <c r="A582" s="48"/>
      <c r="B582" s="48"/>
      <c r="C582" s="48"/>
      <c r="D582" s="48"/>
      <c r="E582" s="27"/>
      <c r="F582" s="48"/>
      <c r="G582" s="48"/>
      <c r="H582" s="56"/>
      <c r="I582" s="56"/>
      <c r="J582" s="56"/>
      <c r="K582" s="56"/>
      <c r="L582" s="56"/>
      <c r="M582" s="56"/>
      <c r="N582" s="56"/>
      <c r="O582" s="56"/>
      <c r="P582" s="56"/>
      <c r="Q582" s="56"/>
      <c r="R582" s="56"/>
      <c r="S582" s="56"/>
      <c r="T582" s="56"/>
      <c r="U582" s="56"/>
      <c r="V582" s="56"/>
      <c r="W582" s="27"/>
      <c r="X582" s="56"/>
      <c r="Y582" s="27"/>
      <c r="Z582" s="56"/>
      <c r="AA582" s="27"/>
      <c r="AB582" s="56"/>
      <c r="AC582" s="27"/>
      <c r="AD582" s="56"/>
      <c r="AE582" s="27"/>
      <c r="AF582" s="56"/>
      <c r="AG582" s="27"/>
      <c r="AH582" s="286"/>
      <c r="AI582" s="27"/>
      <c r="AJ582" s="56"/>
      <c r="AK582" s="27"/>
      <c r="AL582" s="56"/>
      <c r="AM582" s="27"/>
      <c r="AN582" s="56"/>
      <c r="AO582" s="27"/>
      <c r="AP582" s="56"/>
      <c r="AQ582" s="27"/>
      <c r="AR582" s="56"/>
      <c r="AS582" s="27"/>
      <c r="AT582" s="56"/>
      <c r="AU582" s="27"/>
      <c r="AV582" s="56"/>
      <c r="AW582" s="27"/>
      <c r="AX582" s="56"/>
      <c r="AY582" s="27"/>
      <c r="AZ582" s="56"/>
      <c r="BA582" s="27"/>
      <c r="BB582" s="48"/>
      <c r="BC582" s="48"/>
      <c r="BD582" s="48"/>
      <c r="BE582" s="48"/>
      <c r="BF582" s="48"/>
      <c r="BG582" s="48"/>
      <c r="BH582" s="48"/>
      <c r="BI582" s="48"/>
      <c r="BJ582" s="48"/>
      <c r="BK582" s="48"/>
      <c r="BL582" s="48"/>
      <c r="BM582" s="48"/>
      <c r="BN582" s="48"/>
      <c r="BO582" s="48"/>
      <c r="BP582" s="48"/>
      <c r="BQ582" s="48"/>
      <c r="BR582" s="48"/>
      <c r="BS582" s="48"/>
      <c r="BT582" s="48"/>
      <c r="BU582" s="48"/>
    </row>
    <row r="583" ht="15.75" customHeight="1">
      <c r="A583" s="48"/>
      <c r="B583" s="48"/>
      <c r="C583" s="48"/>
      <c r="D583" s="48"/>
      <c r="E583" s="27"/>
      <c r="F583" s="48"/>
      <c r="G583" s="48"/>
      <c r="H583" s="56"/>
      <c r="I583" s="56"/>
      <c r="J583" s="56"/>
      <c r="K583" s="56"/>
      <c r="L583" s="56"/>
      <c r="M583" s="56"/>
      <c r="N583" s="56"/>
      <c r="O583" s="56"/>
      <c r="P583" s="56"/>
      <c r="Q583" s="56"/>
      <c r="R583" s="56"/>
      <c r="S583" s="56"/>
      <c r="T583" s="56"/>
      <c r="U583" s="56"/>
      <c r="V583" s="56"/>
      <c r="W583" s="27"/>
      <c r="X583" s="56"/>
      <c r="Y583" s="27"/>
      <c r="Z583" s="56"/>
      <c r="AA583" s="27"/>
      <c r="AB583" s="56"/>
      <c r="AC583" s="27"/>
      <c r="AD583" s="56"/>
      <c r="AE583" s="27"/>
      <c r="AF583" s="56"/>
      <c r="AG583" s="27"/>
      <c r="AH583" s="286"/>
      <c r="AI583" s="27"/>
      <c r="AJ583" s="56"/>
      <c r="AK583" s="27"/>
      <c r="AL583" s="56"/>
      <c r="AM583" s="27"/>
      <c r="AN583" s="56"/>
      <c r="AO583" s="27"/>
      <c r="AP583" s="56"/>
      <c r="AQ583" s="27"/>
      <c r="AR583" s="56"/>
      <c r="AS583" s="27"/>
      <c r="AT583" s="56"/>
      <c r="AU583" s="27"/>
      <c r="AV583" s="56"/>
      <c r="AW583" s="27"/>
      <c r="AX583" s="56"/>
      <c r="AY583" s="27"/>
      <c r="AZ583" s="56"/>
      <c r="BA583" s="27"/>
      <c r="BB583" s="48"/>
      <c r="BC583" s="48"/>
      <c r="BD583" s="48"/>
      <c r="BE583" s="48"/>
      <c r="BF583" s="48"/>
      <c r="BG583" s="48"/>
      <c r="BH583" s="48"/>
      <c r="BI583" s="48"/>
      <c r="BJ583" s="48"/>
      <c r="BK583" s="48"/>
      <c r="BL583" s="48"/>
      <c r="BM583" s="48"/>
      <c r="BN583" s="48"/>
      <c r="BO583" s="48"/>
      <c r="BP583" s="48"/>
      <c r="BQ583" s="48"/>
      <c r="BR583" s="48"/>
      <c r="BS583" s="48"/>
      <c r="BT583" s="48"/>
      <c r="BU583" s="48"/>
    </row>
    <row r="584" ht="15.75" customHeight="1">
      <c r="A584" s="48"/>
      <c r="B584" s="48"/>
      <c r="C584" s="48"/>
      <c r="D584" s="48"/>
      <c r="E584" s="27"/>
      <c r="F584" s="48"/>
      <c r="G584" s="48"/>
      <c r="H584" s="56"/>
      <c r="I584" s="56"/>
      <c r="J584" s="56"/>
      <c r="K584" s="56"/>
      <c r="L584" s="56"/>
      <c r="M584" s="56"/>
      <c r="N584" s="56"/>
      <c r="O584" s="56"/>
      <c r="P584" s="56"/>
      <c r="Q584" s="56"/>
      <c r="R584" s="56"/>
      <c r="S584" s="56"/>
      <c r="T584" s="56"/>
      <c r="U584" s="56"/>
      <c r="V584" s="56"/>
      <c r="W584" s="27"/>
      <c r="X584" s="56"/>
      <c r="Y584" s="27"/>
      <c r="Z584" s="56"/>
      <c r="AA584" s="27"/>
      <c r="AB584" s="56"/>
      <c r="AC584" s="27"/>
      <c r="AD584" s="56"/>
      <c r="AE584" s="27"/>
      <c r="AF584" s="56"/>
      <c r="AG584" s="27"/>
      <c r="AH584" s="286"/>
      <c r="AI584" s="27"/>
      <c r="AJ584" s="56"/>
      <c r="AK584" s="27"/>
      <c r="AL584" s="56"/>
      <c r="AM584" s="27"/>
      <c r="AN584" s="56"/>
      <c r="AO584" s="27"/>
      <c r="AP584" s="56"/>
      <c r="AQ584" s="27"/>
      <c r="AR584" s="56"/>
      <c r="AS584" s="27"/>
      <c r="AT584" s="56"/>
      <c r="AU584" s="27"/>
      <c r="AV584" s="56"/>
      <c r="AW584" s="27"/>
      <c r="AX584" s="56"/>
      <c r="AY584" s="27"/>
      <c r="AZ584" s="56"/>
      <c r="BA584" s="27"/>
      <c r="BB584" s="48"/>
      <c r="BC584" s="48"/>
      <c r="BD584" s="48"/>
      <c r="BE584" s="48"/>
      <c r="BF584" s="48"/>
      <c r="BG584" s="48"/>
      <c r="BH584" s="48"/>
      <c r="BI584" s="48"/>
      <c r="BJ584" s="48"/>
      <c r="BK584" s="48"/>
      <c r="BL584" s="48"/>
      <c r="BM584" s="48"/>
      <c r="BN584" s="48"/>
      <c r="BO584" s="48"/>
      <c r="BP584" s="48"/>
      <c r="BQ584" s="48"/>
      <c r="BR584" s="48"/>
      <c r="BS584" s="48"/>
      <c r="BT584" s="48"/>
      <c r="BU584" s="48"/>
    </row>
    <row r="585" ht="15.75" customHeight="1">
      <c r="A585" s="48"/>
      <c r="B585" s="48"/>
      <c r="C585" s="48"/>
      <c r="D585" s="48"/>
      <c r="E585" s="27"/>
      <c r="F585" s="48"/>
      <c r="G585" s="48"/>
      <c r="H585" s="56"/>
      <c r="I585" s="56"/>
      <c r="J585" s="56"/>
      <c r="K585" s="56"/>
      <c r="L585" s="56"/>
      <c r="M585" s="56"/>
      <c r="N585" s="56"/>
      <c r="O585" s="56"/>
      <c r="P585" s="56"/>
      <c r="Q585" s="56"/>
      <c r="R585" s="56"/>
      <c r="S585" s="56"/>
      <c r="T585" s="56"/>
      <c r="U585" s="56"/>
      <c r="V585" s="56"/>
      <c r="W585" s="27"/>
      <c r="X585" s="56"/>
      <c r="Y585" s="27"/>
      <c r="Z585" s="56"/>
      <c r="AA585" s="27"/>
      <c r="AB585" s="56"/>
      <c r="AC585" s="27"/>
      <c r="AD585" s="56"/>
      <c r="AE585" s="27"/>
      <c r="AF585" s="56"/>
      <c r="AG585" s="27"/>
      <c r="AH585" s="286"/>
      <c r="AI585" s="27"/>
      <c r="AJ585" s="56"/>
      <c r="AK585" s="27"/>
      <c r="AL585" s="56"/>
      <c r="AM585" s="27"/>
      <c r="AN585" s="56"/>
      <c r="AO585" s="27"/>
      <c r="AP585" s="56"/>
      <c r="AQ585" s="27"/>
      <c r="AR585" s="56"/>
      <c r="AS585" s="27"/>
      <c r="AT585" s="56"/>
      <c r="AU585" s="27"/>
      <c r="AV585" s="56"/>
      <c r="AW585" s="27"/>
      <c r="AX585" s="56"/>
      <c r="AY585" s="27"/>
      <c r="AZ585" s="56"/>
      <c r="BA585" s="27"/>
      <c r="BB585" s="48"/>
      <c r="BC585" s="48"/>
      <c r="BD585" s="48"/>
      <c r="BE585" s="48"/>
      <c r="BF585" s="48"/>
      <c r="BG585" s="48"/>
      <c r="BH585" s="48"/>
      <c r="BI585" s="48"/>
      <c r="BJ585" s="48"/>
      <c r="BK585" s="48"/>
      <c r="BL585" s="48"/>
      <c r="BM585" s="48"/>
      <c r="BN585" s="48"/>
      <c r="BO585" s="48"/>
      <c r="BP585" s="48"/>
      <c r="BQ585" s="48"/>
      <c r="BR585" s="48"/>
      <c r="BS585" s="48"/>
      <c r="BT585" s="48"/>
      <c r="BU585" s="48"/>
    </row>
    <row r="586" ht="15.75" customHeight="1">
      <c r="A586" s="48"/>
      <c r="B586" s="48"/>
      <c r="C586" s="48"/>
      <c r="D586" s="48"/>
      <c r="E586" s="27"/>
      <c r="F586" s="48"/>
      <c r="G586" s="48"/>
      <c r="H586" s="56"/>
      <c r="I586" s="56"/>
      <c r="J586" s="56"/>
      <c r="K586" s="56"/>
      <c r="L586" s="56"/>
      <c r="M586" s="56"/>
      <c r="N586" s="56"/>
      <c r="O586" s="56"/>
      <c r="P586" s="56"/>
      <c r="Q586" s="56"/>
      <c r="R586" s="56"/>
      <c r="S586" s="56"/>
      <c r="T586" s="56"/>
      <c r="U586" s="56"/>
      <c r="V586" s="56"/>
      <c r="W586" s="27"/>
      <c r="X586" s="56"/>
      <c r="Y586" s="27"/>
      <c r="Z586" s="56"/>
      <c r="AA586" s="27"/>
      <c r="AB586" s="56"/>
      <c r="AC586" s="27"/>
      <c r="AD586" s="56"/>
      <c r="AE586" s="27"/>
      <c r="AF586" s="56"/>
      <c r="AG586" s="27"/>
      <c r="AH586" s="286"/>
      <c r="AI586" s="27"/>
      <c r="AJ586" s="56"/>
      <c r="AK586" s="27"/>
      <c r="AL586" s="56"/>
      <c r="AM586" s="27"/>
      <c r="AN586" s="56"/>
      <c r="AO586" s="27"/>
      <c r="AP586" s="56"/>
      <c r="AQ586" s="27"/>
      <c r="AR586" s="56"/>
      <c r="AS586" s="27"/>
      <c r="AT586" s="56"/>
      <c r="AU586" s="27"/>
      <c r="AV586" s="56"/>
      <c r="AW586" s="27"/>
      <c r="AX586" s="56"/>
      <c r="AY586" s="27"/>
      <c r="AZ586" s="56"/>
      <c r="BA586" s="27"/>
      <c r="BB586" s="48"/>
      <c r="BC586" s="48"/>
      <c r="BD586" s="48"/>
      <c r="BE586" s="48"/>
      <c r="BF586" s="48"/>
      <c r="BG586" s="48"/>
      <c r="BH586" s="48"/>
      <c r="BI586" s="48"/>
      <c r="BJ586" s="48"/>
      <c r="BK586" s="48"/>
      <c r="BL586" s="48"/>
      <c r="BM586" s="48"/>
      <c r="BN586" s="48"/>
      <c r="BO586" s="48"/>
      <c r="BP586" s="48"/>
      <c r="BQ586" s="48"/>
      <c r="BR586" s="48"/>
      <c r="BS586" s="48"/>
      <c r="BT586" s="48"/>
      <c r="BU586" s="48"/>
    </row>
    <row r="587" ht="15.75" customHeight="1">
      <c r="A587" s="48"/>
      <c r="B587" s="48"/>
      <c r="C587" s="48"/>
      <c r="D587" s="48"/>
      <c r="E587" s="27"/>
      <c r="F587" s="48"/>
      <c r="G587" s="48"/>
      <c r="H587" s="56"/>
      <c r="I587" s="56"/>
      <c r="J587" s="56"/>
      <c r="K587" s="56"/>
      <c r="L587" s="56"/>
      <c r="M587" s="56"/>
      <c r="N587" s="56"/>
      <c r="O587" s="56"/>
      <c r="P587" s="56"/>
      <c r="Q587" s="56"/>
      <c r="R587" s="56"/>
      <c r="S587" s="56"/>
      <c r="T587" s="56"/>
      <c r="U587" s="56"/>
      <c r="V587" s="56"/>
      <c r="W587" s="27"/>
      <c r="X587" s="56"/>
      <c r="Y587" s="27"/>
      <c r="Z587" s="56"/>
      <c r="AA587" s="27"/>
      <c r="AB587" s="56"/>
      <c r="AC587" s="27"/>
      <c r="AD587" s="56"/>
      <c r="AE587" s="27"/>
      <c r="AF587" s="56"/>
      <c r="AG587" s="27"/>
      <c r="AH587" s="286"/>
      <c r="AI587" s="27"/>
      <c r="AJ587" s="56"/>
      <c r="AK587" s="27"/>
      <c r="AL587" s="56"/>
      <c r="AM587" s="27"/>
      <c r="AN587" s="56"/>
      <c r="AO587" s="27"/>
      <c r="AP587" s="56"/>
      <c r="AQ587" s="27"/>
      <c r="AR587" s="56"/>
      <c r="AS587" s="27"/>
      <c r="AT587" s="56"/>
      <c r="AU587" s="27"/>
      <c r="AV587" s="56"/>
      <c r="AW587" s="27"/>
      <c r="AX587" s="56"/>
      <c r="AY587" s="27"/>
      <c r="AZ587" s="56"/>
      <c r="BA587" s="27"/>
      <c r="BB587" s="48"/>
      <c r="BC587" s="48"/>
      <c r="BD587" s="48"/>
      <c r="BE587" s="48"/>
      <c r="BF587" s="48"/>
      <c r="BG587" s="48"/>
      <c r="BH587" s="48"/>
      <c r="BI587" s="48"/>
      <c r="BJ587" s="48"/>
      <c r="BK587" s="48"/>
      <c r="BL587" s="48"/>
      <c r="BM587" s="48"/>
      <c r="BN587" s="48"/>
      <c r="BO587" s="48"/>
      <c r="BP587" s="48"/>
      <c r="BQ587" s="48"/>
      <c r="BR587" s="48"/>
      <c r="BS587" s="48"/>
      <c r="BT587" s="48"/>
      <c r="BU587" s="48"/>
    </row>
    <row r="588" ht="15.75" customHeight="1">
      <c r="A588" s="48"/>
      <c r="B588" s="48"/>
      <c r="C588" s="48"/>
      <c r="D588" s="48"/>
      <c r="E588" s="27"/>
      <c r="F588" s="48"/>
      <c r="G588" s="48"/>
      <c r="H588" s="56"/>
      <c r="I588" s="56"/>
      <c r="J588" s="56"/>
      <c r="K588" s="56"/>
      <c r="L588" s="56"/>
      <c r="M588" s="56"/>
      <c r="N588" s="56"/>
      <c r="O588" s="56"/>
      <c r="P588" s="56"/>
      <c r="Q588" s="56"/>
      <c r="R588" s="56"/>
      <c r="S588" s="56"/>
      <c r="T588" s="56"/>
      <c r="U588" s="56"/>
      <c r="V588" s="56"/>
      <c r="W588" s="27"/>
      <c r="X588" s="56"/>
      <c r="Y588" s="27"/>
      <c r="Z588" s="56"/>
      <c r="AA588" s="27"/>
      <c r="AB588" s="56"/>
      <c r="AC588" s="27"/>
      <c r="AD588" s="56"/>
      <c r="AE588" s="27"/>
      <c r="AF588" s="56"/>
      <c r="AG588" s="27"/>
      <c r="AH588" s="286"/>
      <c r="AI588" s="27"/>
      <c r="AJ588" s="56"/>
      <c r="AK588" s="27"/>
      <c r="AL588" s="56"/>
      <c r="AM588" s="27"/>
      <c r="AN588" s="56"/>
      <c r="AO588" s="27"/>
      <c r="AP588" s="56"/>
      <c r="AQ588" s="27"/>
      <c r="AR588" s="56"/>
      <c r="AS588" s="27"/>
      <c r="AT588" s="56"/>
      <c r="AU588" s="27"/>
      <c r="AV588" s="56"/>
      <c r="AW588" s="27"/>
      <c r="AX588" s="56"/>
      <c r="AY588" s="27"/>
      <c r="AZ588" s="56"/>
      <c r="BA588" s="27"/>
      <c r="BB588" s="48"/>
      <c r="BC588" s="48"/>
      <c r="BD588" s="48"/>
      <c r="BE588" s="48"/>
      <c r="BF588" s="48"/>
      <c r="BG588" s="48"/>
      <c r="BH588" s="48"/>
      <c r="BI588" s="48"/>
      <c r="BJ588" s="48"/>
      <c r="BK588" s="48"/>
      <c r="BL588" s="48"/>
      <c r="BM588" s="48"/>
      <c r="BN588" s="48"/>
      <c r="BO588" s="48"/>
      <c r="BP588" s="48"/>
      <c r="BQ588" s="48"/>
      <c r="BR588" s="48"/>
      <c r="BS588" s="48"/>
      <c r="BT588" s="48"/>
      <c r="BU588" s="48"/>
    </row>
    <row r="589" ht="15.75" customHeight="1">
      <c r="A589" s="48"/>
      <c r="B589" s="48"/>
      <c r="C589" s="48"/>
      <c r="D589" s="48"/>
      <c r="E589" s="27"/>
      <c r="F589" s="48"/>
      <c r="G589" s="48"/>
      <c r="H589" s="56"/>
      <c r="I589" s="56"/>
      <c r="J589" s="56"/>
      <c r="K589" s="56"/>
      <c r="L589" s="56"/>
      <c r="M589" s="56"/>
      <c r="N589" s="56"/>
      <c r="O589" s="56"/>
      <c r="P589" s="56"/>
      <c r="Q589" s="56"/>
      <c r="R589" s="56"/>
      <c r="S589" s="56"/>
      <c r="T589" s="56"/>
      <c r="U589" s="56"/>
      <c r="V589" s="56"/>
      <c r="W589" s="27"/>
      <c r="X589" s="56"/>
      <c r="Y589" s="27"/>
      <c r="Z589" s="56"/>
      <c r="AA589" s="27"/>
      <c r="AB589" s="56"/>
      <c r="AC589" s="27"/>
      <c r="AD589" s="56"/>
      <c r="AE589" s="27"/>
      <c r="AF589" s="56"/>
      <c r="AG589" s="27"/>
      <c r="AH589" s="286"/>
      <c r="AI589" s="27"/>
      <c r="AJ589" s="56"/>
      <c r="AK589" s="27"/>
      <c r="AL589" s="56"/>
      <c r="AM589" s="27"/>
      <c r="AN589" s="56"/>
      <c r="AO589" s="27"/>
      <c r="AP589" s="56"/>
      <c r="AQ589" s="27"/>
      <c r="AR589" s="56"/>
      <c r="AS589" s="27"/>
      <c r="AT589" s="56"/>
      <c r="AU589" s="27"/>
      <c r="AV589" s="56"/>
      <c r="AW589" s="27"/>
      <c r="AX589" s="56"/>
      <c r="AY589" s="27"/>
      <c r="AZ589" s="56"/>
      <c r="BA589" s="27"/>
      <c r="BB589" s="48"/>
      <c r="BC589" s="48"/>
      <c r="BD589" s="48"/>
      <c r="BE589" s="48"/>
      <c r="BF589" s="48"/>
      <c r="BG589" s="48"/>
      <c r="BH589" s="48"/>
      <c r="BI589" s="48"/>
      <c r="BJ589" s="48"/>
      <c r="BK589" s="48"/>
      <c r="BL589" s="48"/>
      <c r="BM589" s="48"/>
      <c r="BN589" s="48"/>
      <c r="BO589" s="48"/>
      <c r="BP589" s="48"/>
      <c r="BQ589" s="48"/>
      <c r="BR589" s="48"/>
      <c r="BS589" s="48"/>
      <c r="BT589" s="48"/>
      <c r="BU589" s="48"/>
    </row>
    <row r="590" ht="15.75" customHeight="1">
      <c r="A590" s="48"/>
      <c r="B590" s="48"/>
      <c r="C590" s="48"/>
      <c r="D590" s="48"/>
      <c r="E590" s="27"/>
      <c r="F590" s="48"/>
      <c r="G590" s="48"/>
      <c r="H590" s="56"/>
      <c r="I590" s="56"/>
      <c r="J590" s="56"/>
      <c r="K590" s="56"/>
      <c r="L590" s="56"/>
      <c r="M590" s="56"/>
      <c r="N590" s="56"/>
      <c r="O590" s="56"/>
      <c r="P590" s="56"/>
      <c r="Q590" s="56"/>
      <c r="R590" s="56"/>
      <c r="S590" s="56"/>
      <c r="T590" s="56"/>
      <c r="U590" s="56"/>
      <c r="V590" s="56"/>
      <c r="W590" s="27"/>
      <c r="X590" s="56"/>
      <c r="Y590" s="27"/>
      <c r="Z590" s="56"/>
      <c r="AA590" s="27"/>
      <c r="AB590" s="56"/>
      <c r="AC590" s="27"/>
      <c r="AD590" s="56"/>
      <c r="AE590" s="27"/>
      <c r="AF590" s="56"/>
      <c r="AG590" s="27"/>
      <c r="AH590" s="286"/>
      <c r="AI590" s="27"/>
      <c r="AJ590" s="56"/>
      <c r="AK590" s="27"/>
      <c r="AL590" s="56"/>
      <c r="AM590" s="27"/>
      <c r="AN590" s="56"/>
      <c r="AO590" s="27"/>
      <c r="AP590" s="56"/>
      <c r="AQ590" s="27"/>
      <c r="AR590" s="56"/>
      <c r="AS590" s="27"/>
      <c r="AT590" s="56"/>
      <c r="AU590" s="27"/>
      <c r="AV590" s="56"/>
      <c r="AW590" s="27"/>
      <c r="AX590" s="56"/>
      <c r="AY590" s="27"/>
      <c r="AZ590" s="56"/>
      <c r="BA590" s="27"/>
      <c r="BB590" s="48"/>
      <c r="BC590" s="48"/>
      <c r="BD590" s="48"/>
      <c r="BE590" s="48"/>
      <c r="BF590" s="48"/>
      <c r="BG590" s="48"/>
      <c r="BH590" s="48"/>
      <c r="BI590" s="48"/>
      <c r="BJ590" s="48"/>
      <c r="BK590" s="48"/>
      <c r="BL590" s="48"/>
      <c r="BM590" s="48"/>
      <c r="BN590" s="48"/>
      <c r="BO590" s="48"/>
      <c r="BP590" s="48"/>
      <c r="BQ590" s="48"/>
      <c r="BR590" s="48"/>
      <c r="BS590" s="48"/>
      <c r="BT590" s="48"/>
      <c r="BU590" s="48"/>
    </row>
    <row r="591" ht="15.75" customHeight="1">
      <c r="A591" s="48"/>
      <c r="B591" s="48"/>
      <c r="C591" s="48"/>
      <c r="D591" s="48"/>
      <c r="E591" s="27"/>
      <c r="F591" s="48"/>
      <c r="G591" s="48"/>
      <c r="H591" s="56"/>
      <c r="I591" s="56"/>
      <c r="J591" s="56"/>
      <c r="K591" s="56"/>
      <c r="L591" s="56"/>
      <c r="M591" s="56"/>
      <c r="N591" s="56"/>
      <c r="O591" s="56"/>
      <c r="P591" s="56"/>
      <c r="Q591" s="56"/>
      <c r="R591" s="56"/>
      <c r="S591" s="56"/>
      <c r="T591" s="56"/>
      <c r="U591" s="56"/>
      <c r="V591" s="56"/>
      <c r="W591" s="27"/>
      <c r="X591" s="56"/>
      <c r="Y591" s="27"/>
      <c r="Z591" s="56"/>
      <c r="AA591" s="27"/>
      <c r="AB591" s="56"/>
      <c r="AC591" s="27"/>
      <c r="AD591" s="56"/>
      <c r="AE591" s="27"/>
      <c r="AF591" s="56"/>
      <c r="AG591" s="27"/>
      <c r="AH591" s="286"/>
      <c r="AI591" s="27"/>
      <c r="AJ591" s="56"/>
      <c r="AK591" s="27"/>
      <c r="AL591" s="56"/>
      <c r="AM591" s="27"/>
      <c r="AN591" s="56"/>
      <c r="AO591" s="27"/>
      <c r="AP591" s="56"/>
      <c r="AQ591" s="27"/>
      <c r="AR591" s="56"/>
      <c r="AS591" s="27"/>
      <c r="AT591" s="56"/>
      <c r="AU591" s="27"/>
      <c r="AV591" s="56"/>
      <c r="AW591" s="27"/>
      <c r="AX591" s="56"/>
      <c r="AY591" s="27"/>
      <c r="AZ591" s="56"/>
      <c r="BA591" s="27"/>
      <c r="BB591" s="48"/>
      <c r="BC591" s="48"/>
      <c r="BD591" s="48"/>
      <c r="BE591" s="48"/>
      <c r="BF591" s="48"/>
      <c r="BG591" s="48"/>
      <c r="BH591" s="48"/>
      <c r="BI591" s="48"/>
      <c r="BJ591" s="48"/>
      <c r="BK591" s="48"/>
      <c r="BL591" s="48"/>
      <c r="BM591" s="48"/>
      <c r="BN591" s="48"/>
      <c r="BO591" s="48"/>
      <c r="BP591" s="48"/>
      <c r="BQ591" s="48"/>
      <c r="BR591" s="48"/>
      <c r="BS591" s="48"/>
      <c r="BT591" s="48"/>
      <c r="BU591" s="48"/>
    </row>
    <row r="592" ht="15.75" customHeight="1">
      <c r="A592" s="48"/>
      <c r="B592" s="48"/>
      <c r="C592" s="48"/>
      <c r="D592" s="48"/>
      <c r="E592" s="27"/>
      <c r="F592" s="48"/>
      <c r="G592" s="48"/>
      <c r="H592" s="56"/>
      <c r="I592" s="56"/>
      <c r="J592" s="56"/>
      <c r="K592" s="56"/>
      <c r="L592" s="56"/>
      <c r="M592" s="56"/>
      <c r="N592" s="56"/>
      <c r="O592" s="56"/>
      <c r="P592" s="56"/>
      <c r="Q592" s="56"/>
      <c r="R592" s="56"/>
      <c r="S592" s="56"/>
      <c r="T592" s="56"/>
      <c r="U592" s="56"/>
      <c r="V592" s="56"/>
      <c r="W592" s="27"/>
      <c r="X592" s="56"/>
      <c r="Y592" s="27"/>
      <c r="Z592" s="56"/>
      <c r="AA592" s="27"/>
      <c r="AB592" s="56"/>
      <c r="AC592" s="27"/>
      <c r="AD592" s="56"/>
      <c r="AE592" s="27"/>
      <c r="AF592" s="56"/>
      <c r="AG592" s="27"/>
      <c r="AH592" s="286"/>
      <c r="AI592" s="27"/>
      <c r="AJ592" s="56"/>
      <c r="AK592" s="27"/>
      <c r="AL592" s="56"/>
      <c r="AM592" s="27"/>
      <c r="AN592" s="56"/>
      <c r="AO592" s="27"/>
      <c r="AP592" s="56"/>
      <c r="AQ592" s="27"/>
      <c r="AR592" s="56"/>
      <c r="AS592" s="27"/>
      <c r="AT592" s="56"/>
      <c r="AU592" s="27"/>
      <c r="AV592" s="56"/>
      <c r="AW592" s="27"/>
      <c r="AX592" s="56"/>
      <c r="AY592" s="27"/>
      <c r="AZ592" s="56"/>
      <c r="BA592" s="27"/>
      <c r="BB592" s="48"/>
      <c r="BC592" s="48"/>
      <c r="BD592" s="48"/>
      <c r="BE592" s="48"/>
      <c r="BF592" s="48"/>
      <c r="BG592" s="48"/>
      <c r="BH592" s="48"/>
      <c r="BI592" s="48"/>
      <c r="BJ592" s="48"/>
      <c r="BK592" s="48"/>
      <c r="BL592" s="48"/>
      <c r="BM592" s="48"/>
      <c r="BN592" s="48"/>
      <c r="BO592" s="48"/>
      <c r="BP592" s="48"/>
      <c r="BQ592" s="48"/>
      <c r="BR592" s="48"/>
      <c r="BS592" s="48"/>
      <c r="BT592" s="48"/>
      <c r="BU592" s="48"/>
    </row>
    <row r="593" ht="15.75" customHeight="1">
      <c r="A593" s="48"/>
      <c r="B593" s="48"/>
      <c r="C593" s="48"/>
      <c r="D593" s="48"/>
      <c r="E593" s="27"/>
      <c r="F593" s="48"/>
      <c r="G593" s="48"/>
      <c r="H593" s="56"/>
      <c r="I593" s="56"/>
      <c r="J593" s="56"/>
      <c r="K593" s="56"/>
      <c r="L593" s="56"/>
      <c r="M593" s="56"/>
      <c r="N593" s="56"/>
      <c r="O593" s="56"/>
      <c r="P593" s="56"/>
      <c r="Q593" s="56"/>
      <c r="R593" s="56"/>
      <c r="S593" s="56"/>
      <c r="T593" s="56"/>
      <c r="U593" s="56"/>
      <c r="V593" s="56"/>
      <c r="W593" s="27"/>
      <c r="X593" s="56"/>
      <c r="Y593" s="27"/>
      <c r="Z593" s="56"/>
      <c r="AA593" s="27"/>
      <c r="AB593" s="56"/>
      <c r="AC593" s="27"/>
      <c r="AD593" s="56"/>
      <c r="AE593" s="27"/>
      <c r="AF593" s="56"/>
      <c r="AG593" s="27"/>
      <c r="AH593" s="286"/>
      <c r="AI593" s="27"/>
      <c r="AJ593" s="56"/>
      <c r="AK593" s="27"/>
      <c r="AL593" s="56"/>
      <c r="AM593" s="27"/>
      <c r="AN593" s="56"/>
      <c r="AO593" s="27"/>
      <c r="AP593" s="56"/>
      <c r="AQ593" s="27"/>
      <c r="AR593" s="56"/>
      <c r="AS593" s="27"/>
      <c r="AT593" s="56"/>
      <c r="AU593" s="27"/>
      <c r="AV593" s="56"/>
      <c r="AW593" s="27"/>
      <c r="AX593" s="56"/>
      <c r="AY593" s="27"/>
      <c r="AZ593" s="56"/>
      <c r="BA593" s="27"/>
      <c r="BB593" s="48"/>
      <c r="BC593" s="48"/>
      <c r="BD593" s="48"/>
      <c r="BE593" s="48"/>
      <c r="BF593" s="48"/>
      <c r="BG593" s="48"/>
      <c r="BH593" s="48"/>
      <c r="BI593" s="48"/>
      <c r="BJ593" s="48"/>
      <c r="BK593" s="48"/>
      <c r="BL593" s="48"/>
      <c r="BM593" s="48"/>
      <c r="BN593" s="48"/>
      <c r="BO593" s="48"/>
      <c r="BP593" s="48"/>
      <c r="BQ593" s="48"/>
      <c r="BR593" s="48"/>
      <c r="BS593" s="48"/>
      <c r="BT593" s="48"/>
      <c r="BU593" s="48"/>
    </row>
    <row r="594" ht="15.75" customHeight="1">
      <c r="A594" s="48"/>
      <c r="B594" s="48"/>
      <c r="C594" s="48"/>
      <c r="D594" s="48"/>
      <c r="E594" s="27"/>
      <c r="F594" s="48"/>
      <c r="G594" s="48"/>
      <c r="H594" s="56"/>
      <c r="I594" s="56"/>
      <c r="J594" s="56"/>
      <c r="K594" s="56"/>
      <c r="L594" s="56"/>
      <c r="M594" s="56"/>
      <c r="N594" s="56"/>
      <c r="O594" s="56"/>
      <c r="P594" s="56"/>
      <c r="Q594" s="56"/>
      <c r="R594" s="56"/>
      <c r="S594" s="56"/>
      <c r="T594" s="56"/>
      <c r="U594" s="56"/>
      <c r="V594" s="56"/>
      <c r="W594" s="27"/>
      <c r="X594" s="56"/>
      <c r="Y594" s="27"/>
      <c r="Z594" s="56"/>
      <c r="AA594" s="27"/>
      <c r="AB594" s="56"/>
      <c r="AC594" s="27"/>
      <c r="AD594" s="56"/>
      <c r="AE594" s="27"/>
      <c r="AF594" s="56"/>
      <c r="AG594" s="27"/>
      <c r="AH594" s="286"/>
      <c r="AI594" s="27"/>
      <c r="AJ594" s="56"/>
      <c r="AK594" s="27"/>
      <c r="AL594" s="56"/>
      <c r="AM594" s="27"/>
      <c r="AN594" s="56"/>
      <c r="AO594" s="27"/>
      <c r="AP594" s="56"/>
      <c r="AQ594" s="27"/>
      <c r="AR594" s="56"/>
      <c r="AS594" s="27"/>
      <c r="AT594" s="56"/>
      <c r="AU594" s="27"/>
      <c r="AV594" s="56"/>
      <c r="AW594" s="27"/>
      <c r="AX594" s="56"/>
      <c r="AY594" s="27"/>
      <c r="AZ594" s="56"/>
      <c r="BA594" s="27"/>
      <c r="BB594" s="48"/>
      <c r="BC594" s="48"/>
      <c r="BD594" s="48"/>
      <c r="BE594" s="48"/>
      <c r="BF594" s="48"/>
      <c r="BG594" s="48"/>
      <c r="BH594" s="48"/>
      <c r="BI594" s="48"/>
      <c r="BJ594" s="48"/>
      <c r="BK594" s="48"/>
      <c r="BL594" s="48"/>
      <c r="BM594" s="48"/>
      <c r="BN594" s="48"/>
      <c r="BO594" s="48"/>
      <c r="BP594" s="48"/>
      <c r="BQ594" s="48"/>
      <c r="BR594" s="48"/>
      <c r="BS594" s="48"/>
      <c r="BT594" s="48"/>
      <c r="BU594" s="48"/>
    </row>
    <row r="595" ht="15.75" customHeight="1">
      <c r="A595" s="48"/>
      <c r="B595" s="48"/>
      <c r="C595" s="48"/>
      <c r="D595" s="48"/>
      <c r="E595" s="27"/>
      <c r="F595" s="48"/>
      <c r="G595" s="48"/>
      <c r="H595" s="56"/>
      <c r="I595" s="56"/>
      <c r="J595" s="56"/>
      <c r="K595" s="56"/>
      <c r="L595" s="56"/>
      <c r="M595" s="56"/>
      <c r="N595" s="56"/>
      <c r="O595" s="56"/>
      <c r="P595" s="56"/>
      <c r="Q595" s="56"/>
      <c r="R595" s="56"/>
      <c r="S595" s="56"/>
      <c r="T595" s="56"/>
      <c r="U595" s="56"/>
      <c r="V595" s="56"/>
      <c r="W595" s="27"/>
      <c r="X595" s="56"/>
      <c r="Y595" s="27"/>
      <c r="Z595" s="56"/>
      <c r="AA595" s="27"/>
      <c r="AB595" s="56"/>
      <c r="AC595" s="27"/>
      <c r="AD595" s="56"/>
      <c r="AE595" s="27"/>
      <c r="AF595" s="56"/>
      <c r="AG595" s="27"/>
      <c r="AH595" s="286"/>
      <c r="AI595" s="27"/>
      <c r="AJ595" s="56"/>
      <c r="AK595" s="27"/>
      <c r="AL595" s="56"/>
      <c r="AM595" s="27"/>
      <c r="AN595" s="56"/>
      <c r="AO595" s="27"/>
      <c r="AP595" s="56"/>
      <c r="AQ595" s="27"/>
      <c r="AR595" s="56"/>
      <c r="AS595" s="27"/>
      <c r="AT595" s="56"/>
      <c r="AU595" s="27"/>
      <c r="AV595" s="56"/>
      <c r="AW595" s="27"/>
      <c r="AX595" s="56"/>
      <c r="AY595" s="27"/>
      <c r="AZ595" s="56"/>
      <c r="BA595" s="27"/>
      <c r="BB595" s="48"/>
      <c r="BC595" s="48"/>
      <c r="BD595" s="48"/>
      <c r="BE595" s="48"/>
      <c r="BF595" s="48"/>
      <c r="BG595" s="48"/>
      <c r="BH595" s="48"/>
      <c r="BI595" s="48"/>
      <c r="BJ595" s="48"/>
      <c r="BK595" s="48"/>
      <c r="BL595" s="48"/>
      <c r="BM595" s="48"/>
      <c r="BN595" s="48"/>
      <c r="BO595" s="48"/>
      <c r="BP595" s="48"/>
      <c r="BQ595" s="48"/>
      <c r="BR595" s="48"/>
      <c r="BS595" s="48"/>
      <c r="BT595" s="48"/>
      <c r="BU595" s="48"/>
    </row>
    <row r="596" ht="15.75" customHeight="1">
      <c r="A596" s="48"/>
      <c r="B596" s="48"/>
      <c r="C596" s="48"/>
      <c r="D596" s="48"/>
      <c r="E596" s="27"/>
      <c r="F596" s="48"/>
      <c r="G596" s="48"/>
      <c r="H596" s="56"/>
      <c r="I596" s="56"/>
      <c r="J596" s="56"/>
      <c r="K596" s="56"/>
      <c r="L596" s="56"/>
      <c r="M596" s="56"/>
      <c r="N596" s="56"/>
      <c r="O596" s="56"/>
      <c r="P596" s="56"/>
      <c r="Q596" s="56"/>
      <c r="R596" s="56"/>
      <c r="S596" s="56"/>
      <c r="T596" s="56"/>
      <c r="U596" s="56"/>
      <c r="V596" s="56"/>
      <c r="W596" s="27"/>
      <c r="X596" s="56"/>
      <c r="Y596" s="27"/>
      <c r="Z596" s="56"/>
      <c r="AA596" s="27"/>
      <c r="AB596" s="56"/>
      <c r="AC596" s="27"/>
      <c r="AD596" s="56"/>
      <c r="AE596" s="27"/>
      <c r="AF596" s="56"/>
      <c r="AG596" s="27"/>
      <c r="AH596" s="286"/>
      <c r="AI596" s="27"/>
      <c r="AJ596" s="56"/>
      <c r="AK596" s="27"/>
      <c r="AL596" s="56"/>
      <c r="AM596" s="27"/>
      <c r="AN596" s="56"/>
      <c r="AO596" s="27"/>
      <c r="AP596" s="56"/>
      <c r="AQ596" s="27"/>
      <c r="AR596" s="56"/>
      <c r="AS596" s="27"/>
      <c r="AT596" s="56"/>
      <c r="AU596" s="27"/>
      <c r="AV596" s="56"/>
      <c r="AW596" s="27"/>
      <c r="AX596" s="56"/>
      <c r="AY596" s="27"/>
      <c r="AZ596" s="56"/>
      <c r="BA596" s="27"/>
      <c r="BB596" s="48"/>
      <c r="BC596" s="48"/>
      <c r="BD596" s="48"/>
      <c r="BE596" s="48"/>
      <c r="BF596" s="48"/>
      <c r="BG596" s="48"/>
      <c r="BH596" s="48"/>
      <c r="BI596" s="48"/>
      <c r="BJ596" s="48"/>
      <c r="BK596" s="48"/>
      <c r="BL596" s="48"/>
      <c r="BM596" s="48"/>
      <c r="BN596" s="48"/>
      <c r="BO596" s="48"/>
      <c r="BP596" s="48"/>
      <c r="BQ596" s="48"/>
      <c r="BR596" s="48"/>
      <c r="BS596" s="48"/>
      <c r="BT596" s="48"/>
      <c r="BU596" s="48"/>
    </row>
    <row r="597" ht="15.75" customHeight="1">
      <c r="A597" s="48"/>
      <c r="B597" s="48"/>
      <c r="C597" s="48"/>
      <c r="D597" s="48"/>
      <c r="E597" s="27"/>
      <c r="F597" s="48"/>
      <c r="G597" s="48"/>
      <c r="H597" s="56"/>
      <c r="I597" s="56"/>
      <c r="J597" s="56"/>
      <c r="K597" s="56"/>
      <c r="L597" s="56"/>
      <c r="M597" s="56"/>
      <c r="N597" s="56"/>
      <c r="O597" s="56"/>
      <c r="P597" s="56"/>
      <c r="Q597" s="56"/>
      <c r="R597" s="56"/>
      <c r="S597" s="56"/>
      <c r="T597" s="56"/>
      <c r="U597" s="56"/>
      <c r="V597" s="56"/>
      <c r="W597" s="27"/>
      <c r="X597" s="56"/>
      <c r="Y597" s="27"/>
      <c r="Z597" s="56"/>
      <c r="AA597" s="27"/>
      <c r="AB597" s="56"/>
      <c r="AC597" s="27"/>
      <c r="AD597" s="56"/>
      <c r="AE597" s="27"/>
      <c r="AF597" s="56"/>
      <c r="AG597" s="27"/>
      <c r="AH597" s="286"/>
      <c r="AI597" s="27"/>
      <c r="AJ597" s="56"/>
      <c r="AK597" s="27"/>
      <c r="AL597" s="56"/>
      <c r="AM597" s="27"/>
      <c r="AN597" s="56"/>
      <c r="AO597" s="27"/>
      <c r="AP597" s="56"/>
      <c r="AQ597" s="27"/>
      <c r="AR597" s="56"/>
      <c r="AS597" s="27"/>
      <c r="AT597" s="56"/>
      <c r="AU597" s="27"/>
      <c r="AV597" s="56"/>
      <c r="AW597" s="27"/>
      <c r="AX597" s="56"/>
      <c r="AY597" s="27"/>
      <c r="AZ597" s="56"/>
      <c r="BA597" s="27"/>
      <c r="BB597" s="48"/>
      <c r="BC597" s="48"/>
      <c r="BD597" s="48"/>
      <c r="BE597" s="48"/>
      <c r="BF597" s="48"/>
      <c r="BG597" s="48"/>
      <c r="BH597" s="48"/>
      <c r="BI597" s="48"/>
      <c r="BJ597" s="48"/>
      <c r="BK597" s="48"/>
      <c r="BL597" s="48"/>
      <c r="BM597" s="48"/>
      <c r="BN597" s="48"/>
      <c r="BO597" s="48"/>
      <c r="BP597" s="48"/>
      <c r="BQ597" s="48"/>
      <c r="BR597" s="48"/>
      <c r="BS597" s="48"/>
      <c r="BT597" s="48"/>
      <c r="BU597" s="48"/>
    </row>
    <row r="598" ht="15.75" customHeight="1">
      <c r="A598" s="48"/>
      <c r="B598" s="48"/>
      <c r="C598" s="48"/>
      <c r="D598" s="48"/>
      <c r="E598" s="27"/>
      <c r="F598" s="48"/>
      <c r="G598" s="48"/>
      <c r="H598" s="56"/>
      <c r="I598" s="56"/>
      <c r="J598" s="56"/>
      <c r="K598" s="56"/>
      <c r="L598" s="56"/>
      <c r="M598" s="56"/>
      <c r="N598" s="56"/>
      <c r="O598" s="56"/>
      <c r="P598" s="56"/>
      <c r="Q598" s="56"/>
      <c r="R598" s="56"/>
      <c r="S598" s="56"/>
      <c r="T598" s="56"/>
      <c r="U598" s="56"/>
      <c r="V598" s="56"/>
      <c r="W598" s="27"/>
      <c r="X598" s="56"/>
      <c r="Y598" s="27"/>
      <c r="Z598" s="56"/>
      <c r="AA598" s="27"/>
      <c r="AB598" s="56"/>
      <c r="AC598" s="27"/>
      <c r="AD598" s="56"/>
      <c r="AE598" s="27"/>
      <c r="AF598" s="56"/>
      <c r="AG598" s="27"/>
      <c r="AH598" s="286"/>
      <c r="AI598" s="27"/>
      <c r="AJ598" s="56"/>
      <c r="AK598" s="27"/>
      <c r="AL598" s="56"/>
      <c r="AM598" s="27"/>
      <c r="AN598" s="56"/>
      <c r="AO598" s="27"/>
      <c r="AP598" s="56"/>
      <c r="AQ598" s="27"/>
      <c r="AR598" s="56"/>
      <c r="AS598" s="27"/>
      <c r="AT598" s="56"/>
      <c r="AU598" s="27"/>
      <c r="AV598" s="56"/>
      <c r="AW598" s="27"/>
      <c r="AX598" s="56"/>
      <c r="AY598" s="27"/>
      <c r="AZ598" s="56"/>
      <c r="BA598" s="27"/>
      <c r="BB598" s="48"/>
      <c r="BC598" s="48"/>
      <c r="BD598" s="48"/>
      <c r="BE598" s="48"/>
      <c r="BF598" s="48"/>
      <c r="BG598" s="48"/>
      <c r="BH598" s="48"/>
      <c r="BI598" s="48"/>
      <c r="BJ598" s="48"/>
      <c r="BK598" s="48"/>
      <c r="BL598" s="48"/>
      <c r="BM598" s="48"/>
      <c r="BN598" s="48"/>
      <c r="BO598" s="48"/>
      <c r="BP598" s="48"/>
      <c r="BQ598" s="48"/>
      <c r="BR598" s="48"/>
      <c r="BS598" s="48"/>
      <c r="BT598" s="48"/>
      <c r="BU598" s="48"/>
    </row>
    <row r="599" ht="15.75" customHeight="1">
      <c r="A599" s="48"/>
      <c r="B599" s="48"/>
      <c r="C599" s="48"/>
      <c r="D599" s="48"/>
      <c r="E599" s="27"/>
      <c r="F599" s="48"/>
      <c r="G599" s="48"/>
      <c r="H599" s="56"/>
      <c r="I599" s="56"/>
      <c r="J599" s="56"/>
      <c r="K599" s="56"/>
      <c r="L599" s="56"/>
      <c r="M599" s="56"/>
      <c r="N599" s="56"/>
      <c r="O599" s="56"/>
      <c r="P599" s="56"/>
      <c r="Q599" s="56"/>
      <c r="R599" s="56"/>
      <c r="S599" s="56"/>
      <c r="T599" s="56"/>
      <c r="U599" s="56"/>
      <c r="V599" s="56"/>
      <c r="W599" s="27"/>
      <c r="X599" s="56"/>
      <c r="Y599" s="27"/>
      <c r="Z599" s="56"/>
      <c r="AA599" s="27"/>
      <c r="AB599" s="56"/>
      <c r="AC599" s="27"/>
      <c r="AD599" s="56"/>
      <c r="AE599" s="27"/>
      <c r="AF599" s="56"/>
      <c r="AG599" s="27"/>
      <c r="AH599" s="286"/>
      <c r="AI599" s="27"/>
      <c r="AJ599" s="56"/>
      <c r="AK599" s="27"/>
      <c r="AL599" s="56"/>
      <c r="AM599" s="27"/>
      <c r="AN599" s="56"/>
      <c r="AO599" s="27"/>
      <c r="AP599" s="56"/>
      <c r="AQ599" s="27"/>
      <c r="AR599" s="56"/>
      <c r="AS599" s="27"/>
      <c r="AT599" s="56"/>
      <c r="AU599" s="27"/>
      <c r="AV599" s="56"/>
      <c r="AW599" s="27"/>
      <c r="AX599" s="56"/>
      <c r="AY599" s="27"/>
      <c r="AZ599" s="56"/>
      <c r="BA599" s="27"/>
      <c r="BB599" s="48"/>
      <c r="BC599" s="48"/>
      <c r="BD599" s="48"/>
      <c r="BE599" s="48"/>
      <c r="BF599" s="48"/>
      <c r="BG599" s="48"/>
      <c r="BH599" s="48"/>
      <c r="BI599" s="48"/>
      <c r="BJ599" s="48"/>
      <c r="BK599" s="48"/>
      <c r="BL599" s="48"/>
      <c r="BM599" s="48"/>
      <c r="BN599" s="48"/>
      <c r="BO599" s="48"/>
      <c r="BP599" s="48"/>
      <c r="BQ599" s="48"/>
      <c r="BR599" s="48"/>
      <c r="BS599" s="48"/>
      <c r="BT599" s="48"/>
      <c r="BU599" s="48"/>
    </row>
    <row r="600" ht="15.75" customHeight="1">
      <c r="A600" s="48"/>
      <c r="B600" s="48"/>
      <c r="C600" s="48"/>
      <c r="D600" s="48"/>
      <c r="E600" s="27"/>
      <c r="F600" s="48"/>
      <c r="G600" s="48"/>
      <c r="H600" s="56"/>
      <c r="I600" s="56"/>
      <c r="J600" s="56"/>
      <c r="K600" s="56"/>
      <c r="L600" s="56"/>
      <c r="M600" s="56"/>
      <c r="N600" s="56"/>
      <c r="O600" s="56"/>
      <c r="P600" s="56"/>
      <c r="Q600" s="56"/>
      <c r="R600" s="56"/>
      <c r="S600" s="56"/>
      <c r="T600" s="56"/>
      <c r="U600" s="56"/>
      <c r="V600" s="56"/>
      <c r="W600" s="27"/>
      <c r="X600" s="56"/>
      <c r="Y600" s="27"/>
      <c r="Z600" s="56"/>
      <c r="AA600" s="27"/>
      <c r="AB600" s="56"/>
      <c r="AC600" s="27"/>
      <c r="AD600" s="56"/>
      <c r="AE600" s="27"/>
      <c r="AF600" s="56"/>
      <c r="AG600" s="27"/>
      <c r="AH600" s="286"/>
      <c r="AI600" s="27"/>
      <c r="AJ600" s="56"/>
      <c r="AK600" s="27"/>
      <c r="AL600" s="56"/>
      <c r="AM600" s="27"/>
      <c r="AN600" s="56"/>
      <c r="AO600" s="27"/>
      <c r="AP600" s="56"/>
      <c r="AQ600" s="27"/>
      <c r="AR600" s="56"/>
      <c r="AS600" s="27"/>
      <c r="AT600" s="56"/>
      <c r="AU600" s="27"/>
      <c r="AV600" s="56"/>
      <c r="AW600" s="27"/>
      <c r="AX600" s="56"/>
      <c r="AY600" s="27"/>
      <c r="AZ600" s="56"/>
      <c r="BA600" s="27"/>
      <c r="BB600" s="48"/>
      <c r="BC600" s="48"/>
      <c r="BD600" s="48"/>
      <c r="BE600" s="48"/>
      <c r="BF600" s="48"/>
      <c r="BG600" s="48"/>
      <c r="BH600" s="48"/>
      <c r="BI600" s="48"/>
      <c r="BJ600" s="48"/>
      <c r="BK600" s="48"/>
      <c r="BL600" s="48"/>
      <c r="BM600" s="48"/>
      <c r="BN600" s="48"/>
      <c r="BO600" s="48"/>
      <c r="BP600" s="48"/>
      <c r="BQ600" s="48"/>
      <c r="BR600" s="48"/>
      <c r="BS600" s="48"/>
      <c r="BT600" s="48"/>
      <c r="BU600" s="48"/>
    </row>
    <row r="601" ht="15.75" customHeight="1">
      <c r="A601" s="48"/>
      <c r="B601" s="48"/>
      <c r="C601" s="48"/>
      <c r="D601" s="48"/>
      <c r="E601" s="27"/>
      <c r="F601" s="48"/>
      <c r="G601" s="48"/>
      <c r="H601" s="56"/>
      <c r="I601" s="56"/>
      <c r="J601" s="56"/>
      <c r="K601" s="56"/>
      <c r="L601" s="56"/>
      <c r="M601" s="56"/>
      <c r="N601" s="56"/>
      <c r="O601" s="56"/>
      <c r="P601" s="56"/>
      <c r="Q601" s="56"/>
      <c r="R601" s="56"/>
      <c r="S601" s="56"/>
      <c r="T601" s="56"/>
      <c r="U601" s="56"/>
      <c r="V601" s="56"/>
      <c r="W601" s="27"/>
      <c r="X601" s="56"/>
      <c r="Y601" s="27"/>
      <c r="Z601" s="56"/>
      <c r="AA601" s="27"/>
      <c r="AB601" s="56"/>
      <c r="AC601" s="27"/>
      <c r="AD601" s="56"/>
      <c r="AE601" s="27"/>
      <c r="AF601" s="56"/>
      <c r="AG601" s="27"/>
      <c r="AH601" s="286"/>
      <c r="AI601" s="27"/>
      <c r="AJ601" s="56"/>
      <c r="AK601" s="27"/>
      <c r="AL601" s="56"/>
      <c r="AM601" s="27"/>
      <c r="AN601" s="56"/>
      <c r="AO601" s="27"/>
      <c r="AP601" s="56"/>
      <c r="AQ601" s="27"/>
      <c r="AR601" s="56"/>
      <c r="AS601" s="27"/>
      <c r="AT601" s="56"/>
      <c r="AU601" s="27"/>
      <c r="AV601" s="56"/>
      <c r="AW601" s="27"/>
      <c r="AX601" s="56"/>
      <c r="AY601" s="27"/>
      <c r="AZ601" s="56"/>
      <c r="BA601" s="27"/>
      <c r="BB601" s="48"/>
      <c r="BC601" s="48"/>
      <c r="BD601" s="48"/>
      <c r="BE601" s="48"/>
      <c r="BF601" s="48"/>
      <c r="BG601" s="48"/>
      <c r="BH601" s="48"/>
      <c r="BI601" s="48"/>
      <c r="BJ601" s="48"/>
      <c r="BK601" s="48"/>
      <c r="BL601" s="48"/>
      <c r="BM601" s="48"/>
      <c r="BN601" s="48"/>
      <c r="BO601" s="48"/>
      <c r="BP601" s="48"/>
      <c r="BQ601" s="48"/>
      <c r="BR601" s="48"/>
      <c r="BS601" s="48"/>
      <c r="BT601" s="48"/>
      <c r="BU601" s="48"/>
    </row>
    <row r="602" ht="15.75" customHeight="1">
      <c r="A602" s="48"/>
      <c r="B602" s="48"/>
      <c r="C602" s="48"/>
      <c r="D602" s="48"/>
      <c r="E602" s="27"/>
      <c r="F602" s="48"/>
      <c r="G602" s="48"/>
      <c r="H602" s="56"/>
      <c r="I602" s="56"/>
      <c r="J602" s="56"/>
      <c r="K602" s="56"/>
      <c r="L602" s="56"/>
      <c r="M602" s="56"/>
      <c r="N602" s="56"/>
      <c r="O602" s="56"/>
      <c r="P602" s="56"/>
      <c r="Q602" s="56"/>
      <c r="R602" s="56"/>
      <c r="S602" s="56"/>
      <c r="T602" s="56"/>
      <c r="U602" s="56"/>
      <c r="V602" s="56"/>
      <c r="W602" s="27"/>
      <c r="X602" s="56"/>
      <c r="Y602" s="27"/>
      <c r="Z602" s="56"/>
      <c r="AA602" s="27"/>
      <c r="AB602" s="56"/>
      <c r="AC602" s="27"/>
      <c r="AD602" s="56"/>
      <c r="AE602" s="27"/>
      <c r="AF602" s="56"/>
      <c r="AG602" s="27"/>
      <c r="AH602" s="286"/>
      <c r="AI602" s="27"/>
      <c r="AJ602" s="56"/>
      <c r="AK602" s="27"/>
      <c r="AL602" s="56"/>
      <c r="AM602" s="27"/>
      <c r="AN602" s="56"/>
      <c r="AO602" s="27"/>
      <c r="AP602" s="56"/>
      <c r="AQ602" s="27"/>
      <c r="AR602" s="56"/>
      <c r="AS602" s="27"/>
      <c r="AT602" s="56"/>
      <c r="AU602" s="27"/>
      <c r="AV602" s="56"/>
      <c r="AW602" s="27"/>
      <c r="AX602" s="56"/>
      <c r="AY602" s="27"/>
      <c r="AZ602" s="56"/>
      <c r="BA602" s="27"/>
      <c r="BB602" s="48"/>
      <c r="BC602" s="48"/>
      <c r="BD602" s="48"/>
      <c r="BE602" s="48"/>
      <c r="BF602" s="48"/>
      <c r="BG602" s="48"/>
      <c r="BH602" s="48"/>
      <c r="BI602" s="48"/>
      <c r="BJ602" s="48"/>
      <c r="BK602" s="48"/>
      <c r="BL602" s="48"/>
      <c r="BM602" s="48"/>
      <c r="BN602" s="48"/>
      <c r="BO602" s="48"/>
      <c r="BP602" s="48"/>
      <c r="BQ602" s="48"/>
      <c r="BR602" s="48"/>
      <c r="BS602" s="48"/>
      <c r="BT602" s="48"/>
      <c r="BU602" s="48"/>
    </row>
    <row r="603" ht="15.75" customHeight="1">
      <c r="A603" s="48"/>
      <c r="B603" s="48"/>
      <c r="C603" s="48"/>
      <c r="D603" s="48"/>
      <c r="E603" s="27"/>
      <c r="F603" s="48"/>
      <c r="G603" s="48"/>
      <c r="H603" s="56"/>
      <c r="I603" s="56"/>
      <c r="J603" s="56"/>
      <c r="K603" s="56"/>
      <c r="L603" s="56"/>
      <c r="M603" s="56"/>
      <c r="N603" s="56"/>
      <c r="O603" s="56"/>
      <c r="P603" s="56"/>
      <c r="Q603" s="56"/>
      <c r="R603" s="56"/>
      <c r="S603" s="56"/>
      <c r="T603" s="56"/>
      <c r="U603" s="56"/>
      <c r="V603" s="56"/>
      <c r="W603" s="27"/>
      <c r="X603" s="56"/>
      <c r="Y603" s="27"/>
      <c r="Z603" s="56"/>
      <c r="AA603" s="27"/>
      <c r="AB603" s="56"/>
      <c r="AC603" s="27"/>
      <c r="AD603" s="56"/>
      <c r="AE603" s="27"/>
      <c r="AF603" s="56"/>
      <c r="AG603" s="27"/>
      <c r="AH603" s="286"/>
      <c r="AI603" s="27"/>
      <c r="AJ603" s="56"/>
      <c r="AK603" s="27"/>
      <c r="AL603" s="56"/>
      <c r="AM603" s="27"/>
      <c r="AN603" s="56"/>
      <c r="AO603" s="27"/>
      <c r="AP603" s="56"/>
      <c r="AQ603" s="27"/>
      <c r="AR603" s="56"/>
      <c r="AS603" s="27"/>
      <c r="AT603" s="56"/>
      <c r="AU603" s="27"/>
      <c r="AV603" s="56"/>
      <c r="AW603" s="27"/>
      <c r="AX603" s="56"/>
      <c r="AY603" s="27"/>
      <c r="AZ603" s="56"/>
      <c r="BA603" s="27"/>
      <c r="BB603" s="48"/>
      <c r="BC603" s="48"/>
      <c r="BD603" s="48"/>
      <c r="BE603" s="48"/>
      <c r="BF603" s="48"/>
      <c r="BG603" s="48"/>
      <c r="BH603" s="48"/>
      <c r="BI603" s="48"/>
      <c r="BJ603" s="48"/>
      <c r="BK603" s="48"/>
      <c r="BL603" s="48"/>
      <c r="BM603" s="48"/>
      <c r="BN603" s="48"/>
      <c r="BO603" s="48"/>
      <c r="BP603" s="48"/>
      <c r="BQ603" s="48"/>
      <c r="BR603" s="48"/>
      <c r="BS603" s="48"/>
      <c r="BT603" s="48"/>
      <c r="BU603" s="48"/>
    </row>
    <row r="604" ht="15.75" customHeight="1">
      <c r="A604" s="48"/>
      <c r="B604" s="48"/>
      <c r="C604" s="48"/>
      <c r="D604" s="48"/>
      <c r="E604" s="27"/>
      <c r="F604" s="48"/>
      <c r="G604" s="48"/>
      <c r="H604" s="56"/>
      <c r="I604" s="56"/>
      <c r="J604" s="56"/>
      <c r="K604" s="56"/>
      <c r="L604" s="56"/>
      <c r="M604" s="56"/>
      <c r="N604" s="56"/>
      <c r="O604" s="56"/>
      <c r="P604" s="56"/>
      <c r="Q604" s="56"/>
      <c r="R604" s="56"/>
      <c r="S604" s="56"/>
      <c r="T604" s="56"/>
      <c r="U604" s="56"/>
      <c r="V604" s="56"/>
      <c r="W604" s="27"/>
      <c r="X604" s="56"/>
      <c r="Y604" s="27"/>
      <c r="Z604" s="56"/>
      <c r="AA604" s="27"/>
      <c r="AB604" s="56"/>
      <c r="AC604" s="27"/>
      <c r="AD604" s="56"/>
      <c r="AE604" s="27"/>
      <c r="AF604" s="56"/>
      <c r="AG604" s="27"/>
      <c r="AH604" s="286"/>
      <c r="AI604" s="27"/>
      <c r="AJ604" s="56"/>
      <c r="AK604" s="27"/>
      <c r="AL604" s="56"/>
      <c r="AM604" s="27"/>
      <c r="AN604" s="56"/>
      <c r="AO604" s="27"/>
      <c r="AP604" s="56"/>
      <c r="AQ604" s="27"/>
      <c r="AR604" s="56"/>
      <c r="AS604" s="27"/>
      <c r="AT604" s="56"/>
      <c r="AU604" s="27"/>
      <c r="AV604" s="56"/>
      <c r="AW604" s="27"/>
      <c r="AX604" s="56"/>
      <c r="AY604" s="27"/>
      <c r="AZ604" s="56"/>
      <c r="BA604" s="27"/>
      <c r="BB604" s="48"/>
      <c r="BC604" s="48"/>
      <c r="BD604" s="48"/>
      <c r="BE604" s="48"/>
      <c r="BF604" s="48"/>
      <c r="BG604" s="48"/>
      <c r="BH604" s="48"/>
      <c r="BI604" s="48"/>
      <c r="BJ604" s="48"/>
      <c r="BK604" s="48"/>
      <c r="BL604" s="48"/>
      <c r="BM604" s="48"/>
      <c r="BN604" s="48"/>
      <c r="BO604" s="48"/>
      <c r="BP604" s="48"/>
      <c r="BQ604" s="48"/>
      <c r="BR604" s="48"/>
      <c r="BS604" s="48"/>
      <c r="BT604" s="48"/>
      <c r="BU604" s="48"/>
    </row>
    <row r="605" ht="15.75" customHeight="1">
      <c r="A605" s="48"/>
      <c r="B605" s="48"/>
      <c r="C605" s="48"/>
      <c r="D605" s="48"/>
      <c r="E605" s="27"/>
      <c r="F605" s="48"/>
      <c r="G605" s="48"/>
      <c r="H605" s="56"/>
      <c r="I605" s="56"/>
      <c r="J605" s="56"/>
      <c r="K605" s="56"/>
      <c r="L605" s="56"/>
      <c r="M605" s="56"/>
      <c r="N605" s="56"/>
      <c r="O605" s="56"/>
      <c r="P605" s="56"/>
      <c r="Q605" s="56"/>
      <c r="R605" s="56"/>
      <c r="S605" s="56"/>
      <c r="T605" s="56"/>
      <c r="U605" s="56"/>
      <c r="V605" s="56"/>
      <c r="W605" s="27"/>
      <c r="X605" s="56"/>
      <c r="Y605" s="27"/>
      <c r="Z605" s="56"/>
      <c r="AA605" s="27"/>
      <c r="AB605" s="56"/>
      <c r="AC605" s="27"/>
      <c r="AD605" s="56"/>
      <c r="AE605" s="27"/>
      <c r="AF605" s="56"/>
      <c r="AG605" s="27"/>
      <c r="AH605" s="286"/>
      <c r="AI605" s="27"/>
      <c r="AJ605" s="56"/>
      <c r="AK605" s="27"/>
      <c r="AL605" s="56"/>
      <c r="AM605" s="27"/>
      <c r="AN605" s="56"/>
      <c r="AO605" s="27"/>
      <c r="AP605" s="56"/>
      <c r="AQ605" s="27"/>
      <c r="AR605" s="56"/>
      <c r="AS605" s="27"/>
      <c r="AT605" s="56"/>
      <c r="AU605" s="27"/>
      <c r="AV605" s="56"/>
      <c r="AW605" s="27"/>
      <c r="AX605" s="56"/>
      <c r="AY605" s="27"/>
      <c r="AZ605" s="56"/>
      <c r="BA605" s="27"/>
      <c r="BB605" s="48"/>
      <c r="BC605" s="48"/>
      <c r="BD605" s="48"/>
      <c r="BE605" s="48"/>
      <c r="BF605" s="48"/>
      <c r="BG605" s="48"/>
      <c r="BH605" s="48"/>
      <c r="BI605" s="48"/>
      <c r="BJ605" s="48"/>
      <c r="BK605" s="48"/>
      <c r="BL605" s="48"/>
      <c r="BM605" s="48"/>
      <c r="BN605" s="48"/>
      <c r="BO605" s="48"/>
      <c r="BP605" s="48"/>
      <c r="BQ605" s="48"/>
      <c r="BR605" s="48"/>
      <c r="BS605" s="48"/>
      <c r="BT605" s="48"/>
      <c r="BU605" s="48"/>
    </row>
    <row r="606" ht="15.75" customHeight="1">
      <c r="A606" s="48"/>
      <c r="B606" s="48"/>
      <c r="C606" s="48"/>
      <c r="D606" s="48"/>
      <c r="E606" s="27"/>
      <c r="F606" s="48"/>
      <c r="G606" s="48"/>
      <c r="H606" s="56"/>
      <c r="I606" s="56"/>
      <c r="J606" s="56"/>
      <c r="K606" s="56"/>
      <c r="L606" s="56"/>
      <c r="M606" s="56"/>
      <c r="N606" s="56"/>
      <c r="O606" s="56"/>
      <c r="P606" s="56"/>
      <c r="Q606" s="56"/>
      <c r="R606" s="56"/>
      <c r="S606" s="56"/>
      <c r="T606" s="56"/>
      <c r="U606" s="56"/>
      <c r="V606" s="56"/>
      <c r="W606" s="27"/>
      <c r="X606" s="56"/>
      <c r="Y606" s="27"/>
      <c r="Z606" s="56"/>
      <c r="AA606" s="27"/>
      <c r="AB606" s="56"/>
      <c r="AC606" s="27"/>
      <c r="AD606" s="56"/>
      <c r="AE606" s="27"/>
      <c r="AF606" s="56"/>
      <c r="AG606" s="27"/>
      <c r="AH606" s="286"/>
      <c r="AI606" s="27"/>
      <c r="AJ606" s="56"/>
      <c r="AK606" s="27"/>
      <c r="AL606" s="56"/>
      <c r="AM606" s="27"/>
      <c r="AN606" s="56"/>
      <c r="AO606" s="27"/>
      <c r="AP606" s="56"/>
      <c r="AQ606" s="27"/>
      <c r="AR606" s="56"/>
      <c r="AS606" s="27"/>
      <c r="AT606" s="56"/>
      <c r="AU606" s="27"/>
      <c r="AV606" s="56"/>
      <c r="AW606" s="27"/>
      <c r="AX606" s="56"/>
      <c r="AY606" s="27"/>
      <c r="AZ606" s="56"/>
      <c r="BA606" s="27"/>
      <c r="BB606" s="48"/>
      <c r="BC606" s="48"/>
      <c r="BD606" s="48"/>
      <c r="BE606" s="48"/>
      <c r="BF606" s="48"/>
      <c r="BG606" s="48"/>
      <c r="BH606" s="48"/>
      <c r="BI606" s="48"/>
      <c r="BJ606" s="48"/>
      <c r="BK606" s="48"/>
      <c r="BL606" s="48"/>
      <c r="BM606" s="48"/>
      <c r="BN606" s="48"/>
      <c r="BO606" s="48"/>
      <c r="BP606" s="48"/>
      <c r="BQ606" s="48"/>
      <c r="BR606" s="48"/>
      <c r="BS606" s="48"/>
      <c r="BT606" s="48"/>
      <c r="BU606" s="48"/>
    </row>
    <row r="607" ht="15.75" customHeight="1">
      <c r="A607" s="48"/>
      <c r="B607" s="48"/>
      <c r="C607" s="48"/>
      <c r="D607" s="48"/>
      <c r="E607" s="27"/>
      <c r="F607" s="48"/>
      <c r="G607" s="48"/>
      <c r="H607" s="56"/>
      <c r="I607" s="56"/>
      <c r="J607" s="56"/>
      <c r="K607" s="56"/>
      <c r="L607" s="56"/>
      <c r="M607" s="56"/>
      <c r="N607" s="56"/>
      <c r="O607" s="56"/>
      <c r="P607" s="56"/>
      <c r="Q607" s="56"/>
      <c r="R607" s="56"/>
      <c r="S607" s="56"/>
      <c r="T607" s="56"/>
      <c r="U607" s="56"/>
      <c r="V607" s="56"/>
      <c r="W607" s="27"/>
      <c r="X607" s="56"/>
      <c r="Y607" s="27"/>
      <c r="Z607" s="56"/>
      <c r="AA607" s="27"/>
      <c r="AB607" s="56"/>
      <c r="AC607" s="27"/>
      <c r="AD607" s="56"/>
      <c r="AE607" s="27"/>
      <c r="AF607" s="56"/>
      <c r="AG607" s="27"/>
      <c r="AH607" s="286"/>
      <c r="AI607" s="27"/>
      <c r="AJ607" s="56"/>
      <c r="AK607" s="27"/>
      <c r="AL607" s="56"/>
      <c r="AM607" s="27"/>
      <c r="AN607" s="56"/>
      <c r="AO607" s="27"/>
      <c r="AP607" s="56"/>
      <c r="AQ607" s="27"/>
      <c r="AR607" s="56"/>
      <c r="AS607" s="27"/>
      <c r="AT607" s="56"/>
      <c r="AU607" s="27"/>
      <c r="AV607" s="56"/>
      <c r="AW607" s="27"/>
      <c r="AX607" s="56"/>
      <c r="AY607" s="27"/>
      <c r="AZ607" s="56"/>
      <c r="BA607" s="27"/>
      <c r="BB607" s="48"/>
      <c r="BC607" s="48"/>
      <c r="BD607" s="48"/>
      <c r="BE607" s="48"/>
      <c r="BF607" s="48"/>
      <c r="BG607" s="48"/>
      <c r="BH607" s="48"/>
      <c r="BI607" s="48"/>
      <c r="BJ607" s="48"/>
      <c r="BK607" s="48"/>
      <c r="BL607" s="48"/>
      <c r="BM607" s="48"/>
      <c r="BN607" s="48"/>
      <c r="BO607" s="48"/>
      <c r="BP607" s="48"/>
      <c r="BQ607" s="48"/>
      <c r="BR607" s="48"/>
      <c r="BS607" s="48"/>
      <c r="BT607" s="48"/>
      <c r="BU607" s="48"/>
    </row>
    <row r="608" ht="15.75" customHeight="1">
      <c r="A608" s="48"/>
      <c r="B608" s="48"/>
      <c r="C608" s="48"/>
      <c r="D608" s="48"/>
      <c r="E608" s="27"/>
      <c r="F608" s="48"/>
      <c r="G608" s="48"/>
      <c r="H608" s="56"/>
      <c r="I608" s="56"/>
      <c r="J608" s="56"/>
      <c r="K608" s="56"/>
      <c r="L608" s="56"/>
      <c r="M608" s="56"/>
      <c r="N608" s="56"/>
      <c r="O608" s="56"/>
      <c r="P608" s="56"/>
      <c r="Q608" s="56"/>
      <c r="R608" s="56"/>
      <c r="S608" s="56"/>
      <c r="T608" s="56"/>
      <c r="U608" s="56"/>
      <c r="V608" s="56"/>
      <c r="W608" s="27"/>
      <c r="X608" s="56"/>
      <c r="Y608" s="27"/>
      <c r="Z608" s="56"/>
      <c r="AA608" s="27"/>
      <c r="AB608" s="56"/>
      <c r="AC608" s="27"/>
      <c r="AD608" s="56"/>
      <c r="AE608" s="27"/>
      <c r="AF608" s="56"/>
      <c r="AG608" s="27"/>
      <c r="AH608" s="286"/>
      <c r="AI608" s="27"/>
      <c r="AJ608" s="56"/>
      <c r="AK608" s="27"/>
      <c r="AL608" s="56"/>
      <c r="AM608" s="27"/>
      <c r="AN608" s="56"/>
      <c r="AO608" s="27"/>
      <c r="AP608" s="56"/>
      <c r="AQ608" s="27"/>
      <c r="AR608" s="56"/>
      <c r="AS608" s="27"/>
      <c r="AT608" s="56"/>
      <c r="AU608" s="27"/>
      <c r="AV608" s="56"/>
      <c r="AW608" s="27"/>
      <c r="AX608" s="56"/>
      <c r="AY608" s="27"/>
      <c r="AZ608" s="56"/>
      <c r="BA608" s="27"/>
      <c r="BB608" s="48"/>
      <c r="BC608" s="48"/>
      <c r="BD608" s="48"/>
      <c r="BE608" s="48"/>
      <c r="BF608" s="48"/>
      <c r="BG608" s="48"/>
      <c r="BH608" s="48"/>
      <c r="BI608" s="48"/>
      <c r="BJ608" s="48"/>
      <c r="BK608" s="48"/>
      <c r="BL608" s="48"/>
      <c r="BM608" s="48"/>
      <c r="BN608" s="48"/>
      <c r="BO608" s="48"/>
      <c r="BP608" s="48"/>
      <c r="BQ608" s="48"/>
      <c r="BR608" s="48"/>
      <c r="BS608" s="48"/>
      <c r="BT608" s="48"/>
      <c r="BU608" s="48"/>
    </row>
    <row r="609" ht="15.75" customHeight="1">
      <c r="A609" s="48"/>
      <c r="B609" s="48"/>
      <c r="C609" s="48"/>
      <c r="D609" s="48"/>
      <c r="E609" s="27"/>
      <c r="F609" s="48"/>
      <c r="G609" s="48"/>
      <c r="H609" s="56"/>
      <c r="I609" s="56"/>
      <c r="J609" s="56"/>
      <c r="K609" s="56"/>
      <c r="L609" s="56"/>
      <c r="M609" s="56"/>
      <c r="N609" s="56"/>
      <c r="O609" s="56"/>
      <c r="P609" s="56"/>
      <c r="Q609" s="56"/>
      <c r="R609" s="56"/>
      <c r="S609" s="56"/>
      <c r="T609" s="56"/>
      <c r="U609" s="56"/>
      <c r="V609" s="56"/>
      <c r="W609" s="27"/>
      <c r="X609" s="56"/>
      <c r="Y609" s="27"/>
      <c r="Z609" s="56"/>
      <c r="AA609" s="27"/>
      <c r="AB609" s="56"/>
      <c r="AC609" s="27"/>
      <c r="AD609" s="56"/>
      <c r="AE609" s="27"/>
      <c r="AF609" s="56"/>
      <c r="AG609" s="27"/>
      <c r="AH609" s="286"/>
      <c r="AI609" s="27"/>
      <c r="AJ609" s="56"/>
      <c r="AK609" s="27"/>
      <c r="AL609" s="56"/>
      <c r="AM609" s="27"/>
      <c r="AN609" s="56"/>
      <c r="AO609" s="27"/>
      <c r="AP609" s="56"/>
      <c r="AQ609" s="27"/>
      <c r="AR609" s="56"/>
      <c r="AS609" s="27"/>
      <c r="AT609" s="56"/>
      <c r="AU609" s="27"/>
      <c r="AV609" s="56"/>
      <c r="AW609" s="27"/>
      <c r="AX609" s="56"/>
      <c r="AY609" s="27"/>
      <c r="AZ609" s="56"/>
      <c r="BA609" s="27"/>
      <c r="BB609" s="48"/>
      <c r="BC609" s="48"/>
      <c r="BD609" s="48"/>
      <c r="BE609" s="48"/>
      <c r="BF609" s="48"/>
      <c r="BG609" s="48"/>
      <c r="BH609" s="48"/>
      <c r="BI609" s="48"/>
      <c r="BJ609" s="48"/>
      <c r="BK609" s="48"/>
      <c r="BL609" s="48"/>
      <c r="BM609" s="48"/>
      <c r="BN609" s="48"/>
      <c r="BO609" s="48"/>
      <c r="BP609" s="48"/>
      <c r="BQ609" s="48"/>
      <c r="BR609" s="48"/>
      <c r="BS609" s="48"/>
      <c r="BT609" s="48"/>
      <c r="BU609" s="48"/>
    </row>
    <row r="610" ht="15.75" customHeight="1">
      <c r="A610" s="48"/>
      <c r="B610" s="48"/>
      <c r="C610" s="48"/>
      <c r="D610" s="48"/>
      <c r="E610" s="27"/>
      <c r="F610" s="48"/>
      <c r="G610" s="48"/>
      <c r="H610" s="56"/>
      <c r="I610" s="56"/>
      <c r="J610" s="56"/>
      <c r="K610" s="56"/>
      <c r="L610" s="56"/>
      <c r="M610" s="56"/>
      <c r="N610" s="56"/>
      <c r="O610" s="56"/>
      <c r="P610" s="56"/>
      <c r="Q610" s="56"/>
      <c r="R610" s="56"/>
      <c r="S610" s="56"/>
      <c r="T610" s="56"/>
      <c r="U610" s="56"/>
      <c r="V610" s="56"/>
      <c r="W610" s="27"/>
      <c r="X610" s="56"/>
      <c r="Y610" s="27"/>
      <c r="Z610" s="56"/>
      <c r="AA610" s="27"/>
      <c r="AB610" s="56"/>
      <c r="AC610" s="27"/>
      <c r="AD610" s="56"/>
      <c r="AE610" s="27"/>
      <c r="AF610" s="56"/>
      <c r="AG610" s="27"/>
      <c r="AH610" s="286"/>
      <c r="AI610" s="27"/>
      <c r="AJ610" s="56"/>
      <c r="AK610" s="27"/>
      <c r="AL610" s="56"/>
      <c r="AM610" s="27"/>
      <c r="AN610" s="56"/>
      <c r="AO610" s="27"/>
      <c r="AP610" s="56"/>
      <c r="AQ610" s="27"/>
      <c r="AR610" s="56"/>
      <c r="AS610" s="27"/>
      <c r="AT610" s="56"/>
      <c r="AU610" s="27"/>
      <c r="AV610" s="56"/>
      <c r="AW610" s="27"/>
      <c r="AX610" s="56"/>
      <c r="AY610" s="27"/>
      <c r="AZ610" s="56"/>
      <c r="BA610" s="27"/>
      <c r="BB610" s="48"/>
      <c r="BC610" s="48"/>
      <c r="BD610" s="48"/>
      <c r="BE610" s="48"/>
      <c r="BF610" s="48"/>
      <c r="BG610" s="48"/>
      <c r="BH610" s="48"/>
      <c r="BI610" s="48"/>
      <c r="BJ610" s="48"/>
      <c r="BK610" s="48"/>
      <c r="BL610" s="48"/>
      <c r="BM610" s="48"/>
      <c r="BN610" s="48"/>
      <c r="BO610" s="48"/>
      <c r="BP610" s="48"/>
      <c r="BQ610" s="48"/>
      <c r="BR610" s="48"/>
      <c r="BS610" s="48"/>
      <c r="BT610" s="48"/>
      <c r="BU610" s="48"/>
    </row>
    <row r="611" ht="15.75" customHeight="1">
      <c r="A611" s="48"/>
      <c r="B611" s="48"/>
      <c r="C611" s="48"/>
      <c r="D611" s="48"/>
      <c r="E611" s="27"/>
      <c r="F611" s="48"/>
      <c r="G611" s="48"/>
      <c r="H611" s="56"/>
      <c r="I611" s="56"/>
      <c r="J611" s="56"/>
      <c r="K611" s="56"/>
      <c r="L611" s="56"/>
      <c r="M611" s="56"/>
      <c r="N611" s="56"/>
      <c r="O611" s="56"/>
      <c r="P611" s="56"/>
      <c r="Q611" s="56"/>
      <c r="R611" s="56"/>
      <c r="S611" s="56"/>
      <c r="T611" s="56"/>
      <c r="U611" s="56"/>
      <c r="V611" s="56"/>
      <c r="W611" s="27"/>
      <c r="X611" s="56"/>
      <c r="Y611" s="27"/>
      <c r="Z611" s="56"/>
      <c r="AA611" s="27"/>
      <c r="AB611" s="56"/>
      <c r="AC611" s="27"/>
      <c r="AD611" s="56"/>
      <c r="AE611" s="27"/>
      <c r="AF611" s="56"/>
      <c r="AG611" s="27"/>
      <c r="AH611" s="286"/>
      <c r="AI611" s="27"/>
      <c r="AJ611" s="56"/>
      <c r="AK611" s="27"/>
      <c r="AL611" s="56"/>
      <c r="AM611" s="27"/>
      <c r="AN611" s="56"/>
      <c r="AO611" s="27"/>
      <c r="AP611" s="56"/>
      <c r="AQ611" s="27"/>
      <c r="AR611" s="56"/>
      <c r="AS611" s="27"/>
      <c r="AT611" s="56"/>
      <c r="AU611" s="27"/>
      <c r="AV611" s="56"/>
      <c r="AW611" s="27"/>
      <c r="AX611" s="56"/>
      <c r="AY611" s="27"/>
      <c r="AZ611" s="56"/>
      <c r="BA611" s="27"/>
      <c r="BB611" s="48"/>
      <c r="BC611" s="48"/>
      <c r="BD611" s="48"/>
      <c r="BE611" s="48"/>
      <c r="BF611" s="48"/>
      <c r="BG611" s="48"/>
      <c r="BH611" s="48"/>
      <c r="BI611" s="48"/>
      <c r="BJ611" s="48"/>
      <c r="BK611" s="48"/>
      <c r="BL611" s="48"/>
      <c r="BM611" s="48"/>
      <c r="BN611" s="48"/>
      <c r="BO611" s="48"/>
      <c r="BP611" s="48"/>
      <c r="BQ611" s="48"/>
      <c r="BR611" s="48"/>
      <c r="BS611" s="48"/>
      <c r="BT611" s="48"/>
      <c r="BU611" s="48"/>
    </row>
    <row r="612" ht="15.75" customHeight="1">
      <c r="A612" s="48"/>
      <c r="B612" s="48"/>
      <c r="C612" s="48"/>
      <c r="D612" s="48"/>
      <c r="E612" s="27"/>
      <c r="F612" s="48"/>
      <c r="G612" s="48"/>
      <c r="H612" s="56"/>
      <c r="I612" s="56"/>
      <c r="J612" s="56"/>
      <c r="K612" s="56"/>
      <c r="L612" s="56"/>
      <c r="M612" s="56"/>
      <c r="N612" s="56"/>
      <c r="O612" s="56"/>
      <c r="P612" s="56"/>
      <c r="Q612" s="56"/>
      <c r="R612" s="56"/>
      <c r="S612" s="56"/>
      <c r="T612" s="56"/>
      <c r="U612" s="56"/>
      <c r="V612" s="56"/>
      <c r="W612" s="27"/>
      <c r="X612" s="56"/>
      <c r="Y612" s="27"/>
      <c r="Z612" s="56"/>
      <c r="AA612" s="27"/>
      <c r="AB612" s="56"/>
      <c r="AC612" s="27"/>
      <c r="AD612" s="56"/>
      <c r="AE612" s="27"/>
      <c r="AF612" s="56"/>
      <c r="AG612" s="27"/>
      <c r="AH612" s="286"/>
      <c r="AI612" s="27"/>
      <c r="AJ612" s="56"/>
      <c r="AK612" s="27"/>
      <c r="AL612" s="56"/>
      <c r="AM612" s="27"/>
      <c r="AN612" s="56"/>
      <c r="AO612" s="27"/>
      <c r="AP612" s="56"/>
      <c r="AQ612" s="27"/>
      <c r="AR612" s="56"/>
      <c r="AS612" s="27"/>
      <c r="AT612" s="56"/>
      <c r="AU612" s="27"/>
      <c r="AV612" s="56"/>
      <c r="AW612" s="27"/>
      <c r="AX612" s="56"/>
      <c r="AY612" s="27"/>
      <c r="AZ612" s="56"/>
      <c r="BA612" s="27"/>
      <c r="BB612" s="48"/>
      <c r="BC612" s="48"/>
      <c r="BD612" s="48"/>
      <c r="BE612" s="48"/>
      <c r="BF612" s="48"/>
      <c r="BG612" s="48"/>
      <c r="BH612" s="48"/>
      <c r="BI612" s="48"/>
      <c r="BJ612" s="48"/>
      <c r="BK612" s="48"/>
      <c r="BL612" s="48"/>
      <c r="BM612" s="48"/>
      <c r="BN612" s="48"/>
      <c r="BO612" s="48"/>
      <c r="BP612" s="48"/>
      <c r="BQ612" s="48"/>
      <c r="BR612" s="48"/>
      <c r="BS612" s="48"/>
      <c r="BT612" s="48"/>
      <c r="BU612" s="48"/>
    </row>
    <row r="613" ht="15.75" customHeight="1">
      <c r="A613" s="48"/>
      <c r="B613" s="48"/>
      <c r="C613" s="48"/>
      <c r="D613" s="48"/>
      <c r="E613" s="27"/>
      <c r="F613" s="48"/>
      <c r="G613" s="48"/>
      <c r="H613" s="56"/>
      <c r="I613" s="56"/>
      <c r="J613" s="56"/>
      <c r="K613" s="56"/>
      <c r="L613" s="56"/>
      <c r="M613" s="56"/>
      <c r="N613" s="56"/>
      <c r="O613" s="56"/>
      <c r="P613" s="56"/>
      <c r="Q613" s="56"/>
      <c r="R613" s="56"/>
      <c r="S613" s="56"/>
      <c r="T613" s="56"/>
      <c r="U613" s="56"/>
      <c r="V613" s="56"/>
      <c r="W613" s="27"/>
      <c r="X613" s="56"/>
      <c r="Y613" s="27"/>
      <c r="Z613" s="56"/>
      <c r="AA613" s="27"/>
      <c r="AB613" s="56"/>
      <c r="AC613" s="27"/>
      <c r="AD613" s="56"/>
      <c r="AE613" s="27"/>
      <c r="AF613" s="56"/>
      <c r="AG613" s="27"/>
      <c r="AH613" s="286"/>
      <c r="AI613" s="27"/>
      <c r="AJ613" s="56"/>
      <c r="AK613" s="27"/>
      <c r="AL613" s="56"/>
      <c r="AM613" s="27"/>
      <c r="AN613" s="56"/>
      <c r="AO613" s="27"/>
      <c r="AP613" s="56"/>
      <c r="AQ613" s="27"/>
      <c r="AR613" s="56"/>
      <c r="AS613" s="27"/>
      <c r="AT613" s="56"/>
      <c r="AU613" s="27"/>
      <c r="AV613" s="56"/>
      <c r="AW613" s="27"/>
      <c r="AX613" s="56"/>
      <c r="AY613" s="27"/>
      <c r="AZ613" s="56"/>
      <c r="BA613" s="27"/>
      <c r="BB613" s="48"/>
      <c r="BC613" s="48"/>
      <c r="BD613" s="48"/>
      <c r="BE613" s="48"/>
      <c r="BF613" s="48"/>
      <c r="BG613" s="48"/>
      <c r="BH613" s="48"/>
      <c r="BI613" s="48"/>
      <c r="BJ613" s="48"/>
      <c r="BK613" s="48"/>
      <c r="BL613" s="48"/>
      <c r="BM613" s="48"/>
      <c r="BN613" s="48"/>
      <c r="BO613" s="48"/>
      <c r="BP613" s="48"/>
      <c r="BQ613" s="48"/>
      <c r="BR613" s="48"/>
      <c r="BS613" s="48"/>
      <c r="BT613" s="48"/>
      <c r="BU613" s="48"/>
    </row>
    <row r="614" ht="15.75" customHeight="1">
      <c r="A614" s="48"/>
      <c r="B614" s="48"/>
      <c r="C614" s="48"/>
      <c r="D614" s="48"/>
      <c r="E614" s="27"/>
      <c r="F614" s="48"/>
      <c r="G614" s="48"/>
      <c r="H614" s="56"/>
      <c r="I614" s="56"/>
      <c r="J614" s="56"/>
      <c r="K614" s="56"/>
      <c r="L614" s="56"/>
      <c r="M614" s="56"/>
      <c r="N614" s="56"/>
      <c r="O614" s="56"/>
      <c r="P614" s="56"/>
      <c r="Q614" s="56"/>
      <c r="R614" s="56"/>
      <c r="S614" s="56"/>
      <c r="T614" s="56"/>
      <c r="U614" s="56"/>
      <c r="V614" s="56"/>
      <c r="W614" s="27"/>
      <c r="X614" s="56"/>
      <c r="Y614" s="27"/>
      <c r="Z614" s="56"/>
      <c r="AA614" s="27"/>
      <c r="AB614" s="56"/>
      <c r="AC614" s="27"/>
      <c r="AD614" s="56"/>
      <c r="AE614" s="27"/>
      <c r="AF614" s="56"/>
      <c r="AG614" s="27"/>
      <c r="AH614" s="286"/>
      <c r="AI614" s="27"/>
      <c r="AJ614" s="56"/>
      <c r="AK614" s="27"/>
      <c r="AL614" s="56"/>
      <c r="AM614" s="27"/>
      <c r="AN614" s="56"/>
      <c r="AO614" s="27"/>
      <c r="AP614" s="56"/>
      <c r="AQ614" s="27"/>
      <c r="AR614" s="56"/>
      <c r="AS614" s="27"/>
      <c r="AT614" s="56"/>
      <c r="AU614" s="27"/>
      <c r="AV614" s="56"/>
      <c r="AW614" s="27"/>
      <c r="AX614" s="56"/>
      <c r="AY614" s="27"/>
      <c r="AZ614" s="56"/>
      <c r="BA614" s="27"/>
      <c r="BB614" s="48"/>
      <c r="BC614" s="48"/>
      <c r="BD614" s="48"/>
      <c r="BE614" s="48"/>
      <c r="BF614" s="48"/>
      <c r="BG614" s="48"/>
      <c r="BH614" s="48"/>
      <c r="BI614" s="48"/>
      <c r="BJ614" s="48"/>
      <c r="BK614" s="48"/>
      <c r="BL614" s="48"/>
      <c r="BM614" s="48"/>
      <c r="BN614" s="48"/>
      <c r="BO614" s="48"/>
      <c r="BP614" s="48"/>
      <c r="BQ614" s="48"/>
      <c r="BR614" s="48"/>
      <c r="BS614" s="48"/>
      <c r="BT614" s="48"/>
      <c r="BU614" s="48"/>
    </row>
    <row r="615" ht="15.75" customHeight="1">
      <c r="A615" s="48"/>
      <c r="B615" s="48"/>
      <c r="C615" s="48"/>
      <c r="D615" s="48"/>
      <c r="E615" s="27"/>
      <c r="F615" s="48"/>
      <c r="G615" s="48"/>
      <c r="H615" s="56"/>
      <c r="I615" s="56"/>
      <c r="J615" s="56"/>
      <c r="K615" s="56"/>
      <c r="L615" s="56"/>
      <c r="M615" s="56"/>
      <c r="N615" s="56"/>
      <c r="O615" s="56"/>
      <c r="P615" s="56"/>
      <c r="Q615" s="56"/>
      <c r="R615" s="56"/>
      <c r="S615" s="56"/>
      <c r="T615" s="56"/>
      <c r="U615" s="56"/>
      <c r="V615" s="56"/>
      <c r="W615" s="27"/>
      <c r="X615" s="56"/>
      <c r="Y615" s="27"/>
      <c r="Z615" s="56"/>
      <c r="AA615" s="27"/>
      <c r="AB615" s="56"/>
      <c r="AC615" s="27"/>
      <c r="AD615" s="56"/>
      <c r="AE615" s="27"/>
      <c r="AF615" s="56"/>
      <c r="AG615" s="27"/>
      <c r="AH615" s="286"/>
      <c r="AI615" s="27"/>
      <c r="AJ615" s="56"/>
      <c r="AK615" s="27"/>
      <c r="AL615" s="56"/>
      <c r="AM615" s="27"/>
      <c r="AN615" s="56"/>
      <c r="AO615" s="27"/>
      <c r="AP615" s="56"/>
      <c r="AQ615" s="27"/>
      <c r="AR615" s="56"/>
      <c r="AS615" s="27"/>
      <c r="AT615" s="56"/>
      <c r="AU615" s="27"/>
      <c r="AV615" s="56"/>
      <c r="AW615" s="27"/>
      <c r="AX615" s="56"/>
      <c r="AY615" s="27"/>
      <c r="AZ615" s="56"/>
      <c r="BA615" s="27"/>
      <c r="BB615" s="48"/>
      <c r="BC615" s="48"/>
      <c r="BD615" s="48"/>
      <c r="BE615" s="48"/>
      <c r="BF615" s="48"/>
      <c r="BG615" s="48"/>
      <c r="BH615" s="48"/>
      <c r="BI615" s="48"/>
      <c r="BJ615" s="48"/>
      <c r="BK615" s="48"/>
      <c r="BL615" s="48"/>
      <c r="BM615" s="48"/>
      <c r="BN615" s="48"/>
      <c r="BO615" s="48"/>
      <c r="BP615" s="48"/>
      <c r="BQ615" s="48"/>
      <c r="BR615" s="48"/>
      <c r="BS615" s="48"/>
      <c r="BT615" s="48"/>
      <c r="BU615" s="48"/>
    </row>
    <row r="616" ht="15.75" customHeight="1">
      <c r="A616" s="48"/>
      <c r="B616" s="48"/>
      <c r="C616" s="48"/>
      <c r="D616" s="48"/>
      <c r="E616" s="27"/>
      <c r="F616" s="48"/>
      <c r="G616" s="48"/>
      <c r="H616" s="56"/>
      <c r="I616" s="56"/>
      <c r="J616" s="56"/>
      <c r="K616" s="56"/>
      <c r="L616" s="56"/>
      <c r="M616" s="56"/>
      <c r="N616" s="56"/>
      <c r="O616" s="56"/>
      <c r="P616" s="56"/>
      <c r="Q616" s="56"/>
      <c r="R616" s="56"/>
      <c r="S616" s="56"/>
      <c r="T616" s="56"/>
      <c r="U616" s="56"/>
      <c r="V616" s="56"/>
      <c r="W616" s="27"/>
      <c r="X616" s="56"/>
      <c r="Y616" s="27"/>
      <c r="Z616" s="56"/>
      <c r="AA616" s="27"/>
      <c r="AB616" s="56"/>
      <c r="AC616" s="27"/>
      <c r="AD616" s="56"/>
      <c r="AE616" s="27"/>
      <c r="AF616" s="56"/>
      <c r="AG616" s="27"/>
      <c r="AH616" s="286"/>
      <c r="AI616" s="27"/>
      <c r="AJ616" s="56"/>
      <c r="AK616" s="27"/>
      <c r="AL616" s="56"/>
      <c r="AM616" s="27"/>
      <c r="AN616" s="56"/>
      <c r="AO616" s="27"/>
      <c r="AP616" s="56"/>
      <c r="AQ616" s="27"/>
      <c r="AR616" s="56"/>
      <c r="AS616" s="27"/>
      <c r="AT616" s="56"/>
      <c r="AU616" s="27"/>
      <c r="AV616" s="56"/>
      <c r="AW616" s="27"/>
      <c r="AX616" s="56"/>
      <c r="AY616" s="27"/>
      <c r="AZ616" s="56"/>
      <c r="BA616" s="27"/>
      <c r="BB616" s="48"/>
      <c r="BC616" s="48"/>
      <c r="BD616" s="48"/>
      <c r="BE616" s="48"/>
      <c r="BF616" s="48"/>
      <c r="BG616" s="48"/>
      <c r="BH616" s="48"/>
      <c r="BI616" s="48"/>
      <c r="BJ616" s="48"/>
      <c r="BK616" s="48"/>
      <c r="BL616" s="48"/>
      <c r="BM616" s="48"/>
      <c r="BN616" s="48"/>
      <c r="BO616" s="48"/>
      <c r="BP616" s="48"/>
      <c r="BQ616" s="48"/>
      <c r="BR616" s="48"/>
      <c r="BS616" s="48"/>
      <c r="BT616" s="48"/>
      <c r="BU616" s="48"/>
    </row>
    <row r="617" ht="15.75" customHeight="1">
      <c r="A617" s="48"/>
      <c r="B617" s="48"/>
      <c r="C617" s="48"/>
      <c r="D617" s="48"/>
      <c r="E617" s="27"/>
      <c r="F617" s="48"/>
      <c r="G617" s="48"/>
      <c r="H617" s="56"/>
      <c r="I617" s="56"/>
      <c r="J617" s="56"/>
      <c r="K617" s="56"/>
      <c r="L617" s="56"/>
      <c r="M617" s="56"/>
      <c r="N617" s="56"/>
      <c r="O617" s="56"/>
      <c r="P617" s="56"/>
      <c r="Q617" s="56"/>
      <c r="R617" s="56"/>
      <c r="S617" s="56"/>
      <c r="T617" s="56"/>
      <c r="U617" s="56"/>
      <c r="V617" s="56"/>
      <c r="W617" s="27"/>
      <c r="X617" s="56"/>
      <c r="Y617" s="27"/>
      <c r="Z617" s="56"/>
      <c r="AA617" s="27"/>
      <c r="AB617" s="56"/>
      <c r="AC617" s="27"/>
      <c r="AD617" s="56"/>
      <c r="AE617" s="27"/>
      <c r="AF617" s="56"/>
      <c r="AG617" s="27"/>
      <c r="AH617" s="286"/>
      <c r="AI617" s="27"/>
      <c r="AJ617" s="56"/>
      <c r="AK617" s="27"/>
      <c r="AL617" s="56"/>
      <c r="AM617" s="27"/>
      <c r="AN617" s="56"/>
      <c r="AO617" s="27"/>
      <c r="AP617" s="56"/>
      <c r="AQ617" s="27"/>
      <c r="AR617" s="56"/>
      <c r="AS617" s="27"/>
      <c r="AT617" s="56"/>
      <c r="AU617" s="27"/>
      <c r="AV617" s="56"/>
      <c r="AW617" s="27"/>
      <c r="AX617" s="56"/>
      <c r="AY617" s="27"/>
      <c r="AZ617" s="56"/>
      <c r="BA617" s="27"/>
      <c r="BB617" s="48"/>
      <c r="BC617" s="48"/>
      <c r="BD617" s="48"/>
      <c r="BE617" s="48"/>
      <c r="BF617" s="48"/>
      <c r="BG617" s="48"/>
      <c r="BH617" s="48"/>
      <c r="BI617" s="48"/>
      <c r="BJ617" s="48"/>
      <c r="BK617" s="48"/>
      <c r="BL617" s="48"/>
      <c r="BM617" s="48"/>
      <c r="BN617" s="48"/>
      <c r="BO617" s="48"/>
      <c r="BP617" s="48"/>
      <c r="BQ617" s="48"/>
      <c r="BR617" s="48"/>
      <c r="BS617" s="48"/>
      <c r="BT617" s="48"/>
      <c r="BU617" s="48"/>
    </row>
    <row r="618" ht="15.75" customHeight="1">
      <c r="A618" s="48"/>
      <c r="B618" s="48"/>
      <c r="C618" s="48"/>
      <c r="D618" s="48"/>
      <c r="E618" s="27"/>
      <c r="F618" s="48"/>
      <c r="G618" s="48"/>
      <c r="H618" s="56"/>
      <c r="I618" s="56"/>
      <c r="J618" s="56"/>
      <c r="K618" s="56"/>
      <c r="L618" s="56"/>
      <c r="M618" s="56"/>
      <c r="N618" s="56"/>
      <c r="O618" s="56"/>
      <c r="P618" s="56"/>
      <c r="Q618" s="56"/>
      <c r="R618" s="56"/>
      <c r="S618" s="56"/>
      <c r="T618" s="56"/>
      <c r="U618" s="56"/>
      <c r="V618" s="56"/>
      <c r="W618" s="27"/>
      <c r="X618" s="56"/>
      <c r="Y618" s="27"/>
      <c r="Z618" s="56"/>
      <c r="AA618" s="27"/>
      <c r="AB618" s="56"/>
      <c r="AC618" s="27"/>
      <c r="AD618" s="56"/>
      <c r="AE618" s="27"/>
      <c r="AF618" s="56"/>
      <c r="AG618" s="27"/>
      <c r="AH618" s="286"/>
      <c r="AI618" s="27"/>
      <c r="AJ618" s="56"/>
      <c r="AK618" s="27"/>
      <c r="AL618" s="56"/>
      <c r="AM618" s="27"/>
      <c r="AN618" s="56"/>
      <c r="AO618" s="27"/>
      <c r="AP618" s="56"/>
      <c r="AQ618" s="27"/>
      <c r="AR618" s="56"/>
      <c r="AS618" s="27"/>
      <c r="AT618" s="56"/>
      <c r="AU618" s="27"/>
      <c r="AV618" s="56"/>
      <c r="AW618" s="27"/>
      <c r="AX618" s="56"/>
      <c r="AY618" s="27"/>
      <c r="AZ618" s="56"/>
      <c r="BA618" s="27"/>
      <c r="BB618" s="48"/>
      <c r="BC618" s="48"/>
      <c r="BD618" s="48"/>
      <c r="BE618" s="48"/>
      <c r="BF618" s="48"/>
      <c r="BG618" s="48"/>
      <c r="BH618" s="48"/>
      <c r="BI618" s="48"/>
      <c r="BJ618" s="48"/>
      <c r="BK618" s="48"/>
      <c r="BL618" s="48"/>
      <c r="BM618" s="48"/>
      <c r="BN618" s="48"/>
      <c r="BO618" s="48"/>
      <c r="BP618" s="48"/>
      <c r="BQ618" s="48"/>
      <c r="BR618" s="48"/>
      <c r="BS618" s="48"/>
      <c r="BT618" s="48"/>
      <c r="BU618" s="48"/>
    </row>
    <row r="619" ht="15.75" customHeight="1">
      <c r="A619" s="48"/>
      <c r="B619" s="48"/>
      <c r="C619" s="48"/>
      <c r="D619" s="48"/>
      <c r="E619" s="27"/>
      <c r="F619" s="48"/>
      <c r="G619" s="48"/>
      <c r="H619" s="56"/>
      <c r="I619" s="56"/>
      <c r="J619" s="56"/>
      <c r="K619" s="56"/>
      <c r="L619" s="56"/>
      <c r="M619" s="56"/>
      <c r="N619" s="56"/>
      <c r="O619" s="56"/>
      <c r="P619" s="56"/>
      <c r="Q619" s="56"/>
      <c r="R619" s="56"/>
      <c r="S619" s="56"/>
      <c r="T619" s="56"/>
      <c r="U619" s="56"/>
      <c r="V619" s="56"/>
      <c r="W619" s="27"/>
      <c r="X619" s="56"/>
      <c r="Y619" s="27"/>
      <c r="Z619" s="56"/>
      <c r="AA619" s="27"/>
      <c r="AB619" s="56"/>
      <c r="AC619" s="27"/>
      <c r="AD619" s="56"/>
      <c r="AE619" s="27"/>
      <c r="AF619" s="56"/>
      <c r="AG619" s="27"/>
      <c r="AH619" s="286"/>
      <c r="AI619" s="27"/>
      <c r="AJ619" s="56"/>
      <c r="AK619" s="27"/>
      <c r="AL619" s="56"/>
      <c r="AM619" s="27"/>
      <c r="AN619" s="56"/>
      <c r="AO619" s="27"/>
      <c r="AP619" s="56"/>
      <c r="AQ619" s="27"/>
      <c r="AR619" s="56"/>
      <c r="AS619" s="27"/>
      <c r="AT619" s="56"/>
      <c r="AU619" s="27"/>
      <c r="AV619" s="56"/>
      <c r="AW619" s="27"/>
      <c r="AX619" s="56"/>
      <c r="AY619" s="27"/>
      <c r="AZ619" s="56"/>
      <c r="BA619" s="27"/>
      <c r="BB619" s="48"/>
      <c r="BC619" s="48"/>
      <c r="BD619" s="48"/>
      <c r="BE619" s="48"/>
      <c r="BF619" s="48"/>
      <c r="BG619" s="48"/>
      <c r="BH619" s="48"/>
      <c r="BI619" s="48"/>
      <c r="BJ619" s="48"/>
      <c r="BK619" s="48"/>
      <c r="BL619" s="48"/>
      <c r="BM619" s="48"/>
      <c r="BN619" s="48"/>
      <c r="BO619" s="48"/>
      <c r="BP619" s="48"/>
      <c r="BQ619" s="48"/>
      <c r="BR619" s="48"/>
      <c r="BS619" s="48"/>
      <c r="BT619" s="48"/>
      <c r="BU619" s="48"/>
    </row>
    <row r="620" ht="15.75" customHeight="1">
      <c r="A620" s="48"/>
      <c r="B620" s="48"/>
      <c r="C620" s="48"/>
      <c r="D620" s="48"/>
      <c r="E620" s="27"/>
      <c r="F620" s="48"/>
      <c r="G620" s="48"/>
      <c r="H620" s="56"/>
      <c r="I620" s="56"/>
      <c r="J620" s="56"/>
      <c r="K620" s="56"/>
      <c r="L620" s="56"/>
      <c r="M620" s="56"/>
      <c r="N620" s="56"/>
      <c r="O620" s="56"/>
      <c r="P620" s="56"/>
      <c r="Q620" s="56"/>
      <c r="R620" s="56"/>
      <c r="S620" s="56"/>
      <c r="T620" s="56"/>
      <c r="U620" s="56"/>
      <c r="V620" s="56"/>
      <c r="W620" s="27"/>
      <c r="X620" s="56"/>
      <c r="Y620" s="27"/>
      <c r="Z620" s="56"/>
      <c r="AA620" s="27"/>
      <c r="AB620" s="56"/>
      <c r="AC620" s="27"/>
      <c r="AD620" s="56"/>
      <c r="AE620" s="27"/>
      <c r="AF620" s="56"/>
      <c r="AG620" s="27"/>
      <c r="AH620" s="286"/>
      <c r="AI620" s="27"/>
      <c r="AJ620" s="56"/>
      <c r="AK620" s="27"/>
      <c r="AL620" s="56"/>
      <c r="AM620" s="27"/>
      <c r="AN620" s="56"/>
      <c r="AO620" s="27"/>
      <c r="AP620" s="56"/>
      <c r="AQ620" s="27"/>
      <c r="AR620" s="56"/>
      <c r="AS620" s="27"/>
      <c r="AT620" s="56"/>
      <c r="AU620" s="27"/>
      <c r="AV620" s="56"/>
      <c r="AW620" s="27"/>
      <c r="AX620" s="56"/>
      <c r="AY620" s="27"/>
      <c r="AZ620" s="56"/>
      <c r="BA620" s="27"/>
      <c r="BB620" s="48"/>
      <c r="BC620" s="48"/>
      <c r="BD620" s="48"/>
      <c r="BE620" s="48"/>
      <c r="BF620" s="48"/>
      <c r="BG620" s="48"/>
      <c r="BH620" s="48"/>
      <c r="BI620" s="48"/>
      <c r="BJ620" s="48"/>
      <c r="BK620" s="48"/>
      <c r="BL620" s="48"/>
      <c r="BM620" s="48"/>
      <c r="BN620" s="48"/>
      <c r="BO620" s="48"/>
      <c r="BP620" s="48"/>
      <c r="BQ620" s="48"/>
      <c r="BR620" s="48"/>
      <c r="BS620" s="48"/>
      <c r="BT620" s="48"/>
      <c r="BU620" s="48"/>
    </row>
    <row r="621" ht="15.75" customHeight="1">
      <c r="A621" s="48"/>
      <c r="B621" s="48"/>
      <c r="C621" s="48"/>
      <c r="D621" s="48"/>
      <c r="E621" s="27"/>
      <c r="F621" s="48"/>
      <c r="G621" s="48"/>
      <c r="H621" s="56"/>
      <c r="I621" s="56"/>
      <c r="J621" s="56"/>
      <c r="K621" s="56"/>
      <c r="L621" s="56"/>
      <c r="M621" s="56"/>
      <c r="N621" s="56"/>
      <c r="O621" s="56"/>
      <c r="P621" s="56"/>
      <c r="Q621" s="56"/>
      <c r="R621" s="56"/>
      <c r="S621" s="56"/>
      <c r="T621" s="56"/>
      <c r="U621" s="56"/>
      <c r="V621" s="56"/>
      <c r="W621" s="27"/>
      <c r="X621" s="56"/>
      <c r="Y621" s="27"/>
      <c r="Z621" s="56"/>
      <c r="AA621" s="27"/>
      <c r="AB621" s="56"/>
      <c r="AC621" s="27"/>
      <c r="AD621" s="56"/>
      <c r="AE621" s="27"/>
      <c r="AF621" s="56"/>
      <c r="AG621" s="27"/>
      <c r="AH621" s="286"/>
      <c r="AI621" s="27"/>
      <c r="AJ621" s="56"/>
      <c r="AK621" s="27"/>
      <c r="AL621" s="56"/>
      <c r="AM621" s="27"/>
      <c r="AN621" s="56"/>
      <c r="AO621" s="27"/>
      <c r="AP621" s="56"/>
      <c r="AQ621" s="27"/>
      <c r="AR621" s="56"/>
      <c r="AS621" s="27"/>
      <c r="AT621" s="56"/>
      <c r="AU621" s="27"/>
      <c r="AV621" s="56"/>
      <c r="AW621" s="27"/>
      <c r="AX621" s="56"/>
      <c r="AY621" s="27"/>
      <c r="AZ621" s="56"/>
      <c r="BA621" s="27"/>
      <c r="BB621" s="48"/>
      <c r="BC621" s="48"/>
      <c r="BD621" s="48"/>
      <c r="BE621" s="48"/>
      <c r="BF621" s="48"/>
      <c r="BG621" s="48"/>
      <c r="BH621" s="48"/>
      <c r="BI621" s="48"/>
      <c r="BJ621" s="48"/>
      <c r="BK621" s="48"/>
      <c r="BL621" s="48"/>
      <c r="BM621" s="48"/>
      <c r="BN621" s="48"/>
      <c r="BO621" s="48"/>
      <c r="BP621" s="48"/>
      <c r="BQ621" s="48"/>
      <c r="BR621" s="48"/>
      <c r="BS621" s="48"/>
      <c r="BT621" s="48"/>
      <c r="BU621" s="48"/>
    </row>
    <row r="622" ht="15.75" customHeight="1">
      <c r="A622" s="48"/>
      <c r="B622" s="48"/>
      <c r="C622" s="48"/>
      <c r="D622" s="48"/>
      <c r="E622" s="27"/>
      <c r="F622" s="48"/>
      <c r="G622" s="48"/>
      <c r="H622" s="56"/>
      <c r="I622" s="56"/>
      <c r="J622" s="56"/>
      <c r="K622" s="56"/>
      <c r="L622" s="56"/>
      <c r="M622" s="56"/>
      <c r="N622" s="56"/>
      <c r="O622" s="56"/>
      <c r="P622" s="56"/>
      <c r="Q622" s="56"/>
      <c r="R622" s="56"/>
      <c r="S622" s="56"/>
      <c r="T622" s="56"/>
      <c r="U622" s="56"/>
      <c r="V622" s="56"/>
      <c r="W622" s="27"/>
      <c r="X622" s="56"/>
      <c r="Y622" s="27"/>
      <c r="Z622" s="56"/>
      <c r="AA622" s="27"/>
      <c r="AB622" s="56"/>
      <c r="AC622" s="27"/>
      <c r="AD622" s="56"/>
      <c r="AE622" s="27"/>
      <c r="AF622" s="56"/>
      <c r="AG622" s="27"/>
      <c r="AH622" s="286"/>
      <c r="AI622" s="27"/>
      <c r="AJ622" s="56"/>
      <c r="AK622" s="27"/>
      <c r="AL622" s="56"/>
      <c r="AM622" s="27"/>
      <c r="AN622" s="56"/>
      <c r="AO622" s="27"/>
      <c r="AP622" s="56"/>
      <c r="AQ622" s="27"/>
      <c r="AR622" s="56"/>
      <c r="AS622" s="27"/>
      <c r="AT622" s="56"/>
      <c r="AU622" s="27"/>
      <c r="AV622" s="56"/>
      <c r="AW622" s="27"/>
      <c r="AX622" s="56"/>
      <c r="AY622" s="27"/>
      <c r="AZ622" s="56"/>
      <c r="BA622" s="27"/>
      <c r="BB622" s="48"/>
      <c r="BC622" s="48"/>
      <c r="BD622" s="48"/>
      <c r="BE622" s="48"/>
      <c r="BF622" s="48"/>
      <c r="BG622" s="48"/>
      <c r="BH622" s="48"/>
      <c r="BI622" s="48"/>
      <c r="BJ622" s="48"/>
      <c r="BK622" s="48"/>
      <c r="BL622" s="48"/>
      <c r="BM622" s="48"/>
      <c r="BN622" s="48"/>
      <c r="BO622" s="48"/>
      <c r="BP622" s="48"/>
      <c r="BQ622" s="48"/>
      <c r="BR622" s="48"/>
      <c r="BS622" s="48"/>
      <c r="BT622" s="48"/>
      <c r="BU622" s="48"/>
    </row>
    <row r="623" ht="15.75" customHeight="1">
      <c r="A623" s="48"/>
      <c r="B623" s="48"/>
      <c r="C623" s="48"/>
      <c r="D623" s="48"/>
      <c r="E623" s="27"/>
      <c r="F623" s="48"/>
      <c r="G623" s="48"/>
      <c r="H623" s="56"/>
      <c r="I623" s="56"/>
      <c r="J623" s="56"/>
      <c r="K623" s="56"/>
      <c r="L623" s="56"/>
      <c r="M623" s="56"/>
      <c r="N623" s="56"/>
      <c r="O623" s="56"/>
      <c r="P623" s="56"/>
      <c r="Q623" s="56"/>
      <c r="R623" s="56"/>
      <c r="S623" s="56"/>
      <c r="T623" s="56"/>
      <c r="U623" s="56"/>
      <c r="V623" s="56"/>
      <c r="W623" s="27"/>
      <c r="X623" s="56"/>
      <c r="Y623" s="27"/>
      <c r="Z623" s="56"/>
      <c r="AA623" s="27"/>
      <c r="AB623" s="56"/>
      <c r="AC623" s="27"/>
      <c r="AD623" s="56"/>
      <c r="AE623" s="27"/>
      <c r="AF623" s="56"/>
      <c r="AG623" s="27"/>
      <c r="AH623" s="286"/>
      <c r="AI623" s="27"/>
      <c r="AJ623" s="56"/>
      <c r="AK623" s="27"/>
      <c r="AL623" s="56"/>
      <c r="AM623" s="27"/>
      <c r="AN623" s="56"/>
      <c r="AO623" s="27"/>
      <c r="AP623" s="56"/>
      <c r="AQ623" s="27"/>
      <c r="AR623" s="56"/>
      <c r="AS623" s="27"/>
      <c r="AT623" s="56"/>
      <c r="AU623" s="27"/>
      <c r="AV623" s="56"/>
      <c r="AW623" s="27"/>
      <c r="AX623" s="56"/>
      <c r="AY623" s="27"/>
      <c r="AZ623" s="56"/>
      <c r="BA623" s="27"/>
      <c r="BB623" s="48"/>
      <c r="BC623" s="48"/>
      <c r="BD623" s="48"/>
      <c r="BE623" s="48"/>
      <c r="BF623" s="48"/>
      <c r="BG623" s="48"/>
      <c r="BH623" s="48"/>
      <c r="BI623" s="48"/>
      <c r="BJ623" s="48"/>
      <c r="BK623" s="48"/>
      <c r="BL623" s="48"/>
      <c r="BM623" s="48"/>
      <c r="BN623" s="48"/>
      <c r="BO623" s="48"/>
      <c r="BP623" s="48"/>
      <c r="BQ623" s="48"/>
      <c r="BR623" s="48"/>
      <c r="BS623" s="48"/>
      <c r="BT623" s="48"/>
      <c r="BU623" s="48"/>
    </row>
    <row r="624" ht="15.75" customHeight="1">
      <c r="A624" s="48"/>
      <c r="B624" s="48"/>
      <c r="C624" s="48"/>
      <c r="D624" s="48"/>
      <c r="E624" s="27"/>
      <c r="F624" s="48"/>
      <c r="G624" s="48"/>
      <c r="H624" s="56"/>
      <c r="I624" s="56"/>
      <c r="J624" s="56"/>
      <c r="K624" s="56"/>
      <c r="L624" s="56"/>
      <c r="M624" s="56"/>
      <c r="N624" s="56"/>
      <c r="O624" s="56"/>
      <c r="P624" s="56"/>
      <c r="Q624" s="56"/>
      <c r="R624" s="56"/>
      <c r="S624" s="56"/>
      <c r="T624" s="56"/>
      <c r="U624" s="56"/>
      <c r="V624" s="56"/>
      <c r="W624" s="27"/>
      <c r="X624" s="56"/>
      <c r="Y624" s="27"/>
      <c r="Z624" s="56"/>
      <c r="AA624" s="27"/>
      <c r="AB624" s="56"/>
      <c r="AC624" s="27"/>
      <c r="AD624" s="56"/>
      <c r="AE624" s="27"/>
      <c r="AF624" s="56"/>
      <c r="AG624" s="27"/>
      <c r="AH624" s="286"/>
      <c r="AI624" s="27"/>
      <c r="AJ624" s="56"/>
      <c r="AK624" s="27"/>
      <c r="AL624" s="56"/>
      <c r="AM624" s="27"/>
      <c r="AN624" s="56"/>
      <c r="AO624" s="27"/>
      <c r="AP624" s="56"/>
      <c r="AQ624" s="27"/>
      <c r="AR624" s="56"/>
      <c r="AS624" s="27"/>
      <c r="AT624" s="56"/>
      <c r="AU624" s="27"/>
      <c r="AV624" s="56"/>
      <c r="AW624" s="27"/>
      <c r="AX624" s="56"/>
      <c r="AY624" s="27"/>
      <c r="AZ624" s="56"/>
      <c r="BA624" s="27"/>
      <c r="BB624" s="48"/>
      <c r="BC624" s="48"/>
      <c r="BD624" s="48"/>
      <c r="BE624" s="48"/>
      <c r="BF624" s="48"/>
      <c r="BG624" s="48"/>
      <c r="BH624" s="48"/>
      <c r="BI624" s="48"/>
      <c r="BJ624" s="48"/>
      <c r="BK624" s="48"/>
      <c r="BL624" s="48"/>
      <c r="BM624" s="48"/>
      <c r="BN624" s="48"/>
      <c r="BO624" s="48"/>
      <c r="BP624" s="48"/>
      <c r="BQ624" s="48"/>
      <c r="BR624" s="48"/>
      <c r="BS624" s="48"/>
      <c r="BT624" s="48"/>
      <c r="BU624" s="48"/>
    </row>
    <row r="625" ht="15.75" customHeight="1">
      <c r="A625" s="48"/>
      <c r="B625" s="48"/>
      <c r="C625" s="48"/>
      <c r="D625" s="48"/>
      <c r="E625" s="27"/>
      <c r="F625" s="48"/>
      <c r="G625" s="48"/>
      <c r="H625" s="56"/>
      <c r="I625" s="56"/>
      <c r="J625" s="56"/>
      <c r="K625" s="56"/>
      <c r="L625" s="56"/>
      <c r="M625" s="56"/>
      <c r="N625" s="56"/>
      <c r="O625" s="56"/>
      <c r="P625" s="56"/>
      <c r="Q625" s="56"/>
      <c r="R625" s="56"/>
      <c r="S625" s="56"/>
      <c r="T625" s="56"/>
      <c r="U625" s="56"/>
      <c r="V625" s="56"/>
      <c r="W625" s="27"/>
      <c r="X625" s="56"/>
      <c r="Y625" s="27"/>
      <c r="Z625" s="56"/>
      <c r="AA625" s="27"/>
      <c r="AB625" s="56"/>
      <c r="AC625" s="27"/>
      <c r="AD625" s="56"/>
      <c r="AE625" s="27"/>
      <c r="AF625" s="56"/>
      <c r="AG625" s="27"/>
      <c r="AH625" s="286"/>
      <c r="AI625" s="27"/>
      <c r="AJ625" s="56"/>
      <c r="AK625" s="27"/>
      <c r="AL625" s="56"/>
      <c r="AM625" s="27"/>
      <c r="AN625" s="56"/>
      <c r="AO625" s="27"/>
      <c r="AP625" s="56"/>
      <c r="AQ625" s="27"/>
      <c r="AR625" s="56"/>
      <c r="AS625" s="27"/>
      <c r="AT625" s="56"/>
      <c r="AU625" s="27"/>
      <c r="AV625" s="56"/>
      <c r="AW625" s="27"/>
      <c r="AX625" s="56"/>
      <c r="AY625" s="27"/>
      <c r="AZ625" s="56"/>
      <c r="BA625" s="27"/>
      <c r="BB625" s="48"/>
      <c r="BC625" s="48"/>
      <c r="BD625" s="48"/>
      <c r="BE625" s="48"/>
      <c r="BF625" s="48"/>
      <c r="BG625" s="48"/>
      <c r="BH625" s="48"/>
      <c r="BI625" s="48"/>
      <c r="BJ625" s="48"/>
      <c r="BK625" s="48"/>
      <c r="BL625" s="48"/>
      <c r="BM625" s="48"/>
      <c r="BN625" s="48"/>
      <c r="BO625" s="48"/>
      <c r="BP625" s="48"/>
      <c r="BQ625" s="48"/>
      <c r="BR625" s="48"/>
      <c r="BS625" s="48"/>
      <c r="BT625" s="48"/>
      <c r="BU625" s="48"/>
    </row>
    <row r="626" ht="15.75" customHeight="1">
      <c r="A626" s="48"/>
      <c r="B626" s="48"/>
      <c r="C626" s="48"/>
      <c r="D626" s="48"/>
      <c r="E626" s="27"/>
      <c r="F626" s="48"/>
      <c r="G626" s="48"/>
      <c r="H626" s="56"/>
      <c r="I626" s="56"/>
      <c r="J626" s="56"/>
      <c r="K626" s="56"/>
      <c r="L626" s="56"/>
      <c r="M626" s="56"/>
      <c r="N626" s="56"/>
      <c r="O626" s="56"/>
      <c r="P626" s="56"/>
      <c r="Q626" s="56"/>
      <c r="R626" s="56"/>
      <c r="S626" s="56"/>
      <c r="T626" s="56"/>
      <c r="U626" s="56"/>
      <c r="V626" s="56"/>
      <c r="W626" s="27"/>
      <c r="X626" s="56"/>
      <c r="Y626" s="27"/>
      <c r="Z626" s="56"/>
      <c r="AA626" s="27"/>
      <c r="AB626" s="56"/>
      <c r="AC626" s="27"/>
      <c r="AD626" s="56"/>
      <c r="AE626" s="27"/>
      <c r="AF626" s="56"/>
      <c r="AG626" s="27"/>
      <c r="AH626" s="286"/>
      <c r="AI626" s="27"/>
      <c r="AJ626" s="56"/>
      <c r="AK626" s="27"/>
      <c r="AL626" s="56"/>
      <c r="AM626" s="27"/>
      <c r="AN626" s="56"/>
      <c r="AO626" s="27"/>
      <c r="AP626" s="56"/>
      <c r="AQ626" s="27"/>
      <c r="AR626" s="56"/>
      <c r="AS626" s="27"/>
      <c r="AT626" s="56"/>
      <c r="AU626" s="27"/>
      <c r="AV626" s="56"/>
      <c r="AW626" s="27"/>
      <c r="AX626" s="56"/>
      <c r="AY626" s="27"/>
      <c r="AZ626" s="56"/>
      <c r="BA626" s="27"/>
      <c r="BB626" s="48"/>
      <c r="BC626" s="48"/>
      <c r="BD626" s="48"/>
      <c r="BE626" s="48"/>
      <c r="BF626" s="48"/>
      <c r="BG626" s="48"/>
      <c r="BH626" s="48"/>
      <c r="BI626" s="48"/>
      <c r="BJ626" s="48"/>
      <c r="BK626" s="48"/>
      <c r="BL626" s="48"/>
      <c r="BM626" s="48"/>
      <c r="BN626" s="48"/>
      <c r="BO626" s="48"/>
      <c r="BP626" s="48"/>
      <c r="BQ626" s="48"/>
      <c r="BR626" s="48"/>
      <c r="BS626" s="48"/>
      <c r="BT626" s="48"/>
      <c r="BU626" s="48"/>
    </row>
    <row r="627" ht="15.75" customHeight="1">
      <c r="A627" s="48"/>
      <c r="B627" s="48"/>
      <c r="C627" s="48"/>
      <c r="D627" s="48"/>
      <c r="E627" s="27"/>
      <c r="F627" s="48"/>
      <c r="G627" s="48"/>
      <c r="H627" s="56"/>
      <c r="I627" s="56"/>
      <c r="J627" s="56"/>
      <c r="K627" s="56"/>
      <c r="L627" s="56"/>
      <c r="M627" s="56"/>
      <c r="N627" s="56"/>
      <c r="O627" s="56"/>
      <c r="P627" s="56"/>
      <c r="Q627" s="56"/>
      <c r="R627" s="56"/>
      <c r="S627" s="56"/>
      <c r="T627" s="56"/>
      <c r="U627" s="56"/>
      <c r="V627" s="56"/>
      <c r="W627" s="27"/>
      <c r="X627" s="56"/>
      <c r="Y627" s="27"/>
      <c r="Z627" s="56"/>
      <c r="AA627" s="27"/>
      <c r="AB627" s="56"/>
      <c r="AC627" s="27"/>
      <c r="AD627" s="56"/>
      <c r="AE627" s="27"/>
      <c r="AF627" s="56"/>
      <c r="AG627" s="27"/>
      <c r="AH627" s="286"/>
      <c r="AI627" s="27"/>
      <c r="AJ627" s="56"/>
      <c r="AK627" s="27"/>
      <c r="AL627" s="56"/>
      <c r="AM627" s="27"/>
      <c r="AN627" s="56"/>
      <c r="AO627" s="27"/>
      <c r="AP627" s="56"/>
      <c r="AQ627" s="27"/>
      <c r="AR627" s="56"/>
      <c r="AS627" s="27"/>
      <c r="AT627" s="56"/>
      <c r="AU627" s="27"/>
      <c r="AV627" s="56"/>
      <c r="AW627" s="27"/>
      <c r="AX627" s="56"/>
      <c r="AY627" s="27"/>
      <c r="AZ627" s="56"/>
      <c r="BA627" s="27"/>
      <c r="BB627" s="48"/>
      <c r="BC627" s="48"/>
      <c r="BD627" s="48"/>
      <c r="BE627" s="48"/>
      <c r="BF627" s="48"/>
      <c r="BG627" s="48"/>
      <c r="BH627" s="48"/>
      <c r="BI627" s="48"/>
      <c r="BJ627" s="48"/>
      <c r="BK627" s="48"/>
      <c r="BL627" s="48"/>
      <c r="BM627" s="48"/>
      <c r="BN627" s="48"/>
      <c r="BO627" s="48"/>
      <c r="BP627" s="48"/>
      <c r="BQ627" s="48"/>
      <c r="BR627" s="48"/>
      <c r="BS627" s="48"/>
      <c r="BT627" s="48"/>
      <c r="BU627" s="48"/>
    </row>
    <row r="628" ht="15.75" customHeight="1">
      <c r="A628" s="48"/>
      <c r="B628" s="48"/>
      <c r="C628" s="48"/>
      <c r="D628" s="48"/>
      <c r="E628" s="27"/>
      <c r="F628" s="48"/>
      <c r="G628" s="48"/>
      <c r="H628" s="56"/>
      <c r="I628" s="56"/>
      <c r="J628" s="56"/>
      <c r="K628" s="56"/>
      <c r="L628" s="56"/>
      <c r="M628" s="56"/>
      <c r="N628" s="56"/>
      <c r="O628" s="56"/>
      <c r="P628" s="56"/>
      <c r="Q628" s="56"/>
      <c r="R628" s="56"/>
      <c r="S628" s="56"/>
      <c r="T628" s="56"/>
      <c r="U628" s="56"/>
      <c r="V628" s="56"/>
      <c r="W628" s="27"/>
      <c r="X628" s="56"/>
      <c r="Y628" s="27"/>
      <c r="Z628" s="56"/>
      <c r="AA628" s="27"/>
      <c r="AB628" s="56"/>
      <c r="AC628" s="27"/>
      <c r="AD628" s="56"/>
      <c r="AE628" s="27"/>
      <c r="AF628" s="56"/>
      <c r="AG628" s="27"/>
      <c r="AH628" s="286"/>
      <c r="AI628" s="27"/>
      <c r="AJ628" s="56"/>
      <c r="AK628" s="27"/>
      <c r="AL628" s="56"/>
      <c r="AM628" s="27"/>
      <c r="AN628" s="56"/>
      <c r="AO628" s="27"/>
      <c r="AP628" s="56"/>
      <c r="AQ628" s="27"/>
      <c r="AR628" s="56"/>
      <c r="AS628" s="27"/>
      <c r="AT628" s="56"/>
      <c r="AU628" s="27"/>
      <c r="AV628" s="56"/>
      <c r="AW628" s="27"/>
      <c r="AX628" s="56"/>
      <c r="AY628" s="27"/>
      <c r="AZ628" s="56"/>
      <c r="BA628" s="27"/>
      <c r="BB628" s="48"/>
      <c r="BC628" s="48"/>
      <c r="BD628" s="48"/>
      <c r="BE628" s="48"/>
      <c r="BF628" s="48"/>
      <c r="BG628" s="48"/>
      <c r="BH628" s="48"/>
      <c r="BI628" s="48"/>
      <c r="BJ628" s="48"/>
      <c r="BK628" s="48"/>
      <c r="BL628" s="48"/>
      <c r="BM628" s="48"/>
      <c r="BN628" s="48"/>
      <c r="BO628" s="48"/>
      <c r="BP628" s="48"/>
      <c r="BQ628" s="48"/>
      <c r="BR628" s="48"/>
      <c r="BS628" s="48"/>
      <c r="BT628" s="48"/>
      <c r="BU628" s="48"/>
    </row>
    <row r="629" ht="15.75" customHeight="1">
      <c r="A629" s="48"/>
      <c r="B629" s="48"/>
      <c r="C629" s="48"/>
      <c r="D629" s="48"/>
      <c r="E629" s="27"/>
      <c r="F629" s="48"/>
      <c r="G629" s="48"/>
      <c r="H629" s="56"/>
      <c r="I629" s="56"/>
      <c r="J629" s="56"/>
      <c r="K629" s="56"/>
      <c r="L629" s="56"/>
      <c r="M629" s="56"/>
      <c r="N629" s="56"/>
      <c r="O629" s="56"/>
      <c r="P629" s="56"/>
      <c r="Q629" s="56"/>
      <c r="R629" s="56"/>
      <c r="S629" s="56"/>
      <c r="T629" s="56"/>
      <c r="U629" s="56"/>
      <c r="V629" s="56"/>
      <c r="W629" s="27"/>
      <c r="X629" s="56"/>
      <c r="Y629" s="27"/>
      <c r="Z629" s="56"/>
      <c r="AA629" s="27"/>
      <c r="AB629" s="56"/>
      <c r="AC629" s="27"/>
      <c r="AD629" s="56"/>
      <c r="AE629" s="27"/>
      <c r="AF629" s="56"/>
      <c r="AG629" s="27"/>
      <c r="AH629" s="286"/>
      <c r="AI629" s="27"/>
      <c r="AJ629" s="56"/>
      <c r="AK629" s="27"/>
      <c r="AL629" s="56"/>
      <c r="AM629" s="27"/>
      <c r="AN629" s="56"/>
      <c r="AO629" s="27"/>
      <c r="AP629" s="56"/>
      <c r="AQ629" s="27"/>
      <c r="AR629" s="56"/>
      <c r="AS629" s="27"/>
      <c r="AT629" s="56"/>
      <c r="AU629" s="27"/>
      <c r="AV629" s="56"/>
      <c r="AW629" s="27"/>
      <c r="AX629" s="56"/>
      <c r="AY629" s="27"/>
      <c r="AZ629" s="56"/>
      <c r="BA629" s="27"/>
      <c r="BB629" s="48"/>
      <c r="BC629" s="48"/>
      <c r="BD629" s="48"/>
      <c r="BE629" s="48"/>
      <c r="BF629" s="48"/>
      <c r="BG629" s="48"/>
      <c r="BH629" s="48"/>
      <c r="BI629" s="48"/>
      <c r="BJ629" s="48"/>
      <c r="BK629" s="48"/>
      <c r="BL629" s="48"/>
      <c r="BM629" s="48"/>
      <c r="BN629" s="48"/>
      <c r="BO629" s="48"/>
      <c r="BP629" s="48"/>
      <c r="BQ629" s="48"/>
      <c r="BR629" s="48"/>
      <c r="BS629" s="48"/>
      <c r="BT629" s="48"/>
      <c r="BU629" s="48"/>
    </row>
    <row r="630" ht="15.75" customHeight="1">
      <c r="A630" s="48"/>
      <c r="B630" s="48"/>
      <c r="C630" s="48"/>
      <c r="D630" s="48"/>
      <c r="E630" s="27"/>
      <c r="F630" s="48"/>
      <c r="G630" s="48"/>
      <c r="H630" s="56"/>
      <c r="I630" s="56"/>
      <c r="J630" s="56"/>
      <c r="K630" s="56"/>
      <c r="L630" s="56"/>
      <c r="M630" s="56"/>
      <c r="N630" s="56"/>
      <c r="O630" s="56"/>
      <c r="P630" s="56"/>
      <c r="Q630" s="56"/>
      <c r="R630" s="56"/>
      <c r="S630" s="56"/>
      <c r="T630" s="56"/>
      <c r="U630" s="56"/>
      <c r="V630" s="56"/>
      <c r="W630" s="27"/>
      <c r="X630" s="56"/>
      <c r="Y630" s="27"/>
      <c r="Z630" s="56"/>
      <c r="AA630" s="27"/>
      <c r="AB630" s="56"/>
      <c r="AC630" s="27"/>
      <c r="AD630" s="56"/>
      <c r="AE630" s="27"/>
      <c r="AF630" s="56"/>
      <c r="AG630" s="27"/>
      <c r="AH630" s="286"/>
      <c r="AI630" s="27"/>
      <c r="AJ630" s="56"/>
      <c r="AK630" s="27"/>
      <c r="AL630" s="56"/>
      <c r="AM630" s="27"/>
      <c r="AN630" s="56"/>
      <c r="AO630" s="27"/>
      <c r="AP630" s="56"/>
      <c r="AQ630" s="27"/>
      <c r="AR630" s="56"/>
      <c r="AS630" s="27"/>
      <c r="AT630" s="56"/>
      <c r="AU630" s="27"/>
      <c r="AV630" s="56"/>
      <c r="AW630" s="27"/>
      <c r="AX630" s="56"/>
      <c r="AY630" s="27"/>
      <c r="AZ630" s="56"/>
      <c r="BA630" s="27"/>
      <c r="BB630" s="48"/>
      <c r="BC630" s="48"/>
      <c r="BD630" s="48"/>
      <c r="BE630" s="48"/>
      <c r="BF630" s="48"/>
      <c r="BG630" s="48"/>
      <c r="BH630" s="48"/>
      <c r="BI630" s="48"/>
      <c r="BJ630" s="48"/>
      <c r="BK630" s="48"/>
      <c r="BL630" s="48"/>
      <c r="BM630" s="48"/>
      <c r="BN630" s="48"/>
      <c r="BO630" s="48"/>
      <c r="BP630" s="48"/>
      <c r="BQ630" s="48"/>
      <c r="BR630" s="48"/>
      <c r="BS630" s="48"/>
      <c r="BT630" s="48"/>
      <c r="BU630" s="48"/>
    </row>
    <row r="631" ht="15.75" customHeight="1">
      <c r="A631" s="48"/>
      <c r="B631" s="48"/>
      <c r="C631" s="48"/>
      <c r="D631" s="48"/>
      <c r="E631" s="27"/>
      <c r="F631" s="48"/>
      <c r="G631" s="48"/>
      <c r="H631" s="56"/>
      <c r="I631" s="56"/>
      <c r="J631" s="56"/>
      <c r="K631" s="56"/>
      <c r="L631" s="56"/>
      <c r="M631" s="56"/>
      <c r="N631" s="56"/>
      <c r="O631" s="56"/>
      <c r="P631" s="56"/>
      <c r="Q631" s="56"/>
      <c r="R631" s="56"/>
      <c r="S631" s="56"/>
      <c r="T631" s="56"/>
      <c r="U631" s="56"/>
      <c r="V631" s="56"/>
      <c r="W631" s="27"/>
      <c r="X631" s="56"/>
      <c r="Y631" s="27"/>
      <c r="Z631" s="56"/>
      <c r="AA631" s="27"/>
      <c r="AB631" s="56"/>
      <c r="AC631" s="27"/>
      <c r="AD631" s="56"/>
      <c r="AE631" s="27"/>
      <c r="AF631" s="56"/>
      <c r="AG631" s="27"/>
      <c r="AH631" s="286"/>
      <c r="AI631" s="27"/>
      <c r="AJ631" s="56"/>
      <c r="AK631" s="27"/>
      <c r="AL631" s="56"/>
      <c r="AM631" s="27"/>
      <c r="AN631" s="56"/>
      <c r="AO631" s="27"/>
      <c r="AP631" s="56"/>
      <c r="AQ631" s="27"/>
      <c r="AR631" s="56"/>
      <c r="AS631" s="27"/>
      <c r="AT631" s="56"/>
      <c r="AU631" s="27"/>
      <c r="AV631" s="56"/>
      <c r="AW631" s="27"/>
      <c r="AX631" s="56"/>
      <c r="AY631" s="27"/>
      <c r="AZ631" s="56"/>
      <c r="BA631" s="27"/>
      <c r="BB631" s="48"/>
      <c r="BC631" s="48"/>
      <c r="BD631" s="48"/>
      <c r="BE631" s="48"/>
      <c r="BF631" s="48"/>
      <c r="BG631" s="48"/>
      <c r="BH631" s="48"/>
      <c r="BI631" s="48"/>
      <c r="BJ631" s="48"/>
      <c r="BK631" s="48"/>
      <c r="BL631" s="48"/>
      <c r="BM631" s="48"/>
      <c r="BN631" s="48"/>
      <c r="BO631" s="48"/>
      <c r="BP631" s="48"/>
      <c r="BQ631" s="48"/>
      <c r="BR631" s="48"/>
      <c r="BS631" s="48"/>
      <c r="BT631" s="48"/>
      <c r="BU631" s="48"/>
    </row>
    <row r="632" ht="15.75" customHeight="1">
      <c r="A632" s="48"/>
      <c r="B632" s="48"/>
      <c r="C632" s="48"/>
      <c r="D632" s="48"/>
      <c r="E632" s="27"/>
      <c r="F632" s="48"/>
      <c r="G632" s="48"/>
      <c r="H632" s="56"/>
      <c r="I632" s="56"/>
      <c r="J632" s="56"/>
      <c r="K632" s="56"/>
      <c r="L632" s="56"/>
      <c r="M632" s="56"/>
      <c r="N632" s="56"/>
      <c r="O632" s="56"/>
      <c r="P632" s="56"/>
      <c r="Q632" s="56"/>
      <c r="R632" s="56"/>
      <c r="S632" s="56"/>
      <c r="T632" s="56"/>
      <c r="U632" s="56"/>
      <c r="V632" s="56"/>
      <c r="W632" s="27"/>
      <c r="X632" s="56"/>
      <c r="Y632" s="27"/>
      <c r="Z632" s="56"/>
      <c r="AA632" s="27"/>
      <c r="AB632" s="56"/>
      <c r="AC632" s="27"/>
      <c r="AD632" s="56"/>
      <c r="AE632" s="27"/>
      <c r="AF632" s="56"/>
      <c r="AG632" s="27"/>
      <c r="AH632" s="286"/>
      <c r="AI632" s="27"/>
      <c r="AJ632" s="56"/>
      <c r="AK632" s="27"/>
      <c r="AL632" s="56"/>
      <c r="AM632" s="27"/>
      <c r="AN632" s="56"/>
      <c r="AO632" s="27"/>
      <c r="AP632" s="56"/>
      <c r="AQ632" s="27"/>
      <c r="AR632" s="56"/>
      <c r="AS632" s="27"/>
      <c r="AT632" s="56"/>
      <c r="AU632" s="27"/>
      <c r="AV632" s="56"/>
      <c r="AW632" s="27"/>
      <c r="AX632" s="56"/>
      <c r="AY632" s="27"/>
      <c r="AZ632" s="56"/>
      <c r="BA632" s="27"/>
      <c r="BB632" s="48"/>
      <c r="BC632" s="48"/>
      <c r="BD632" s="48"/>
      <c r="BE632" s="48"/>
      <c r="BF632" s="48"/>
      <c r="BG632" s="48"/>
      <c r="BH632" s="48"/>
      <c r="BI632" s="48"/>
      <c r="BJ632" s="48"/>
      <c r="BK632" s="48"/>
      <c r="BL632" s="48"/>
      <c r="BM632" s="48"/>
      <c r="BN632" s="48"/>
      <c r="BO632" s="48"/>
      <c r="BP632" s="48"/>
      <c r="BQ632" s="48"/>
      <c r="BR632" s="48"/>
      <c r="BS632" s="48"/>
      <c r="BT632" s="48"/>
      <c r="BU632" s="48"/>
    </row>
    <row r="633" ht="15.75" customHeight="1">
      <c r="A633" s="48"/>
      <c r="B633" s="48"/>
      <c r="C633" s="48"/>
      <c r="D633" s="48"/>
      <c r="E633" s="27"/>
      <c r="F633" s="48"/>
      <c r="G633" s="48"/>
      <c r="H633" s="56"/>
      <c r="I633" s="56"/>
      <c r="J633" s="56"/>
      <c r="K633" s="56"/>
      <c r="L633" s="56"/>
      <c r="M633" s="56"/>
      <c r="N633" s="56"/>
      <c r="O633" s="56"/>
      <c r="P633" s="56"/>
      <c r="Q633" s="56"/>
      <c r="R633" s="56"/>
      <c r="S633" s="56"/>
      <c r="T633" s="56"/>
      <c r="U633" s="56"/>
      <c r="V633" s="56"/>
      <c r="W633" s="27"/>
      <c r="X633" s="56"/>
      <c r="Y633" s="27"/>
      <c r="Z633" s="56"/>
      <c r="AA633" s="27"/>
      <c r="AB633" s="56"/>
      <c r="AC633" s="27"/>
      <c r="AD633" s="56"/>
      <c r="AE633" s="27"/>
      <c r="AF633" s="56"/>
      <c r="AG633" s="27"/>
      <c r="AH633" s="286"/>
      <c r="AI633" s="27"/>
      <c r="AJ633" s="56"/>
      <c r="AK633" s="27"/>
      <c r="AL633" s="56"/>
      <c r="AM633" s="27"/>
      <c r="AN633" s="56"/>
      <c r="AO633" s="27"/>
      <c r="AP633" s="56"/>
      <c r="AQ633" s="27"/>
      <c r="AR633" s="56"/>
      <c r="AS633" s="27"/>
      <c r="AT633" s="56"/>
      <c r="AU633" s="27"/>
      <c r="AV633" s="56"/>
      <c r="AW633" s="27"/>
      <c r="AX633" s="56"/>
      <c r="AY633" s="27"/>
      <c r="AZ633" s="56"/>
      <c r="BA633" s="27"/>
      <c r="BB633" s="48"/>
      <c r="BC633" s="48"/>
      <c r="BD633" s="48"/>
      <c r="BE633" s="48"/>
      <c r="BF633" s="48"/>
      <c r="BG633" s="48"/>
      <c r="BH633" s="48"/>
      <c r="BI633" s="48"/>
      <c r="BJ633" s="48"/>
      <c r="BK633" s="48"/>
      <c r="BL633" s="48"/>
      <c r="BM633" s="48"/>
      <c r="BN633" s="48"/>
      <c r="BO633" s="48"/>
      <c r="BP633" s="48"/>
      <c r="BQ633" s="48"/>
      <c r="BR633" s="48"/>
      <c r="BS633" s="48"/>
      <c r="BT633" s="48"/>
      <c r="BU633" s="48"/>
    </row>
    <row r="634" ht="15.75" customHeight="1">
      <c r="A634" s="48"/>
      <c r="B634" s="48"/>
      <c r="C634" s="48"/>
      <c r="D634" s="48"/>
      <c r="E634" s="27"/>
      <c r="F634" s="48"/>
      <c r="G634" s="48"/>
      <c r="H634" s="56"/>
      <c r="I634" s="56"/>
      <c r="J634" s="56"/>
      <c r="K634" s="56"/>
      <c r="L634" s="56"/>
      <c r="M634" s="56"/>
      <c r="N634" s="56"/>
      <c r="O634" s="56"/>
      <c r="P634" s="56"/>
      <c r="Q634" s="56"/>
      <c r="R634" s="56"/>
      <c r="S634" s="56"/>
      <c r="T634" s="56"/>
      <c r="U634" s="56"/>
      <c r="V634" s="56"/>
      <c r="W634" s="27"/>
      <c r="X634" s="56"/>
      <c r="Y634" s="27"/>
      <c r="Z634" s="56"/>
      <c r="AA634" s="27"/>
      <c r="AB634" s="56"/>
      <c r="AC634" s="27"/>
      <c r="AD634" s="56"/>
      <c r="AE634" s="27"/>
      <c r="AF634" s="56"/>
      <c r="AG634" s="27"/>
      <c r="AH634" s="286"/>
      <c r="AI634" s="27"/>
      <c r="AJ634" s="56"/>
      <c r="AK634" s="27"/>
      <c r="AL634" s="56"/>
      <c r="AM634" s="27"/>
      <c r="AN634" s="56"/>
      <c r="AO634" s="27"/>
      <c r="AP634" s="56"/>
      <c r="AQ634" s="27"/>
      <c r="AR634" s="56"/>
      <c r="AS634" s="27"/>
      <c r="AT634" s="56"/>
      <c r="AU634" s="27"/>
      <c r="AV634" s="56"/>
      <c r="AW634" s="27"/>
      <c r="AX634" s="56"/>
      <c r="AY634" s="27"/>
      <c r="AZ634" s="56"/>
      <c r="BA634" s="27"/>
      <c r="BB634" s="48"/>
      <c r="BC634" s="48"/>
      <c r="BD634" s="48"/>
      <c r="BE634" s="48"/>
      <c r="BF634" s="48"/>
      <c r="BG634" s="48"/>
      <c r="BH634" s="48"/>
      <c r="BI634" s="48"/>
      <c r="BJ634" s="48"/>
      <c r="BK634" s="48"/>
      <c r="BL634" s="48"/>
      <c r="BM634" s="48"/>
      <c r="BN634" s="48"/>
      <c r="BO634" s="48"/>
      <c r="BP634" s="48"/>
      <c r="BQ634" s="48"/>
      <c r="BR634" s="48"/>
      <c r="BS634" s="48"/>
      <c r="BT634" s="48"/>
      <c r="BU634" s="48"/>
    </row>
    <row r="635" ht="15.75" customHeight="1">
      <c r="A635" s="48"/>
      <c r="B635" s="48"/>
      <c r="C635" s="48"/>
      <c r="D635" s="48"/>
      <c r="E635" s="27"/>
      <c r="F635" s="48"/>
      <c r="G635" s="48"/>
      <c r="H635" s="56"/>
      <c r="I635" s="56"/>
      <c r="J635" s="56"/>
      <c r="K635" s="56"/>
      <c r="L635" s="56"/>
      <c r="M635" s="56"/>
      <c r="N635" s="56"/>
      <c r="O635" s="56"/>
      <c r="P635" s="56"/>
      <c r="Q635" s="56"/>
      <c r="R635" s="56"/>
      <c r="S635" s="56"/>
      <c r="T635" s="56"/>
      <c r="U635" s="56"/>
      <c r="V635" s="56"/>
      <c r="W635" s="27"/>
      <c r="X635" s="56"/>
      <c r="Y635" s="27"/>
      <c r="Z635" s="56"/>
      <c r="AA635" s="27"/>
      <c r="AB635" s="56"/>
      <c r="AC635" s="27"/>
      <c r="AD635" s="56"/>
      <c r="AE635" s="27"/>
      <c r="AF635" s="56"/>
      <c r="AG635" s="27"/>
      <c r="AH635" s="286"/>
      <c r="AI635" s="27"/>
      <c r="AJ635" s="56"/>
      <c r="AK635" s="27"/>
      <c r="AL635" s="56"/>
      <c r="AM635" s="27"/>
      <c r="AN635" s="56"/>
      <c r="AO635" s="27"/>
      <c r="AP635" s="56"/>
      <c r="AQ635" s="27"/>
      <c r="AR635" s="56"/>
      <c r="AS635" s="27"/>
      <c r="AT635" s="56"/>
      <c r="AU635" s="27"/>
      <c r="AV635" s="56"/>
      <c r="AW635" s="27"/>
      <c r="AX635" s="56"/>
      <c r="AY635" s="27"/>
      <c r="AZ635" s="56"/>
      <c r="BA635" s="27"/>
      <c r="BB635" s="48"/>
      <c r="BC635" s="48"/>
      <c r="BD635" s="48"/>
      <c r="BE635" s="48"/>
      <c r="BF635" s="48"/>
      <c r="BG635" s="48"/>
      <c r="BH635" s="48"/>
      <c r="BI635" s="48"/>
      <c r="BJ635" s="48"/>
      <c r="BK635" s="48"/>
      <c r="BL635" s="48"/>
      <c r="BM635" s="48"/>
      <c r="BN635" s="48"/>
      <c r="BO635" s="48"/>
      <c r="BP635" s="48"/>
      <c r="BQ635" s="48"/>
      <c r="BR635" s="48"/>
      <c r="BS635" s="48"/>
      <c r="BT635" s="48"/>
      <c r="BU635" s="48"/>
    </row>
    <row r="636" ht="15.75" customHeight="1">
      <c r="A636" s="48"/>
      <c r="B636" s="48"/>
      <c r="C636" s="48"/>
      <c r="D636" s="48"/>
      <c r="E636" s="27"/>
      <c r="F636" s="48"/>
      <c r="G636" s="48"/>
      <c r="H636" s="56"/>
      <c r="I636" s="56"/>
      <c r="J636" s="56"/>
      <c r="K636" s="56"/>
      <c r="L636" s="56"/>
      <c r="M636" s="56"/>
      <c r="N636" s="56"/>
      <c r="O636" s="56"/>
      <c r="P636" s="56"/>
      <c r="Q636" s="56"/>
      <c r="R636" s="56"/>
      <c r="S636" s="56"/>
      <c r="T636" s="56"/>
      <c r="U636" s="56"/>
      <c r="V636" s="56"/>
      <c r="W636" s="27"/>
      <c r="X636" s="56"/>
      <c r="Y636" s="27"/>
      <c r="Z636" s="56"/>
      <c r="AA636" s="27"/>
      <c r="AB636" s="56"/>
      <c r="AC636" s="27"/>
      <c r="AD636" s="56"/>
      <c r="AE636" s="27"/>
      <c r="AF636" s="56"/>
      <c r="AG636" s="27"/>
      <c r="AH636" s="286"/>
      <c r="AI636" s="27"/>
      <c r="AJ636" s="56"/>
      <c r="AK636" s="27"/>
      <c r="AL636" s="56"/>
      <c r="AM636" s="27"/>
      <c r="AN636" s="56"/>
      <c r="AO636" s="27"/>
      <c r="AP636" s="56"/>
      <c r="AQ636" s="27"/>
      <c r="AR636" s="56"/>
      <c r="AS636" s="27"/>
      <c r="AT636" s="56"/>
      <c r="AU636" s="27"/>
      <c r="AV636" s="56"/>
      <c r="AW636" s="27"/>
      <c r="AX636" s="56"/>
      <c r="AY636" s="27"/>
      <c r="AZ636" s="56"/>
      <c r="BA636" s="27"/>
      <c r="BB636" s="48"/>
      <c r="BC636" s="48"/>
      <c r="BD636" s="48"/>
      <c r="BE636" s="48"/>
      <c r="BF636" s="48"/>
      <c r="BG636" s="48"/>
      <c r="BH636" s="48"/>
      <c r="BI636" s="48"/>
      <c r="BJ636" s="48"/>
      <c r="BK636" s="48"/>
      <c r="BL636" s="48"/>
      <c r="BM636" s="48"/>
      <c r="BN636" s="48"/>
      <c r="BO636" s="48"/>
      <c r="BP636" s="48"/>
      <c r="BQ636" s="48"/>
      <c r="BR636" s="48"/>
      <c r="BS636" s="48"/>
      <c r="BT636" s="48"/>
      <c r="BU636" s="48"/>
    </row>
    <row r="637" ht="15.75" customHeight="1">
      <c r="A637" s="48"/>
      <c r="B637" s="48"/>
      <c r="C637" s="48"/>
      <c r="D637" s="48"/>
      <c r="E637" s="27"/>
      <c r="F637" s="48"/>
      <c r="G637" s="48"/>
      <c r="H637" s="56"/>
      <c r="I637" s="56"/>
      <c r="J637" s="56"/>
      <c r="K637" s="56"/>
      <c r="L637" s="56"/>
      <c r="M637" s="56"/>
      <c r="N637" s="56"/>
      <c r="O637" s="56"/>
      <c r="P637" s="56"/>
      <c r="Q637" s="56"/>
      <c r="R637" s="56"/>
      <c r="S637" s="56"/>
      <c r="T637" s="56"/>
      <c r="U637" s="56"/>
      <c r="V637" s="56"/>
      <c r="W637" s="27"/>
      <c r="X637" s="56"/>
      <c r="Y637" s="27"/>
      <c r="Z637" s="56"/>
      <c r="AA637" s="27"/>
      <c r="AB637" s="56"/>
      <c r="AC637" s="27"/>
      <c r="AD637" s="56"/>
      <c r="AE637" s="27"/>
      <c r="AF637" s="56"/>
      <c r="AG637" s="27"/>
      <c r="AH637" s="286"/>
      <c r="AI637" s="27"/>
      <c r="AJ637" s="56"/>
      <c r="AK637" s="27"/>
      <c r="AL637" s="56"/>
      <c r="AM637" s="27"/>
      <c r="AN637" s="56"/>
      <c r="AO637" s="27"/>
      <c r="AP637" s="56"/>
      <c r="AQ637" s="27"/>
      <c r="AR637" s="56"/>
      <c r="AS637" s="27"/>
      <c r="AT637" s="56"/>
      <c r="AU637" s="27"/>
      <c r="AV637" s="56"/>
      <c r="AW637" s="27"/>
      <c r="AX637" s="56"/>
      <c r="AY637" s="27"/>
      <c r="AZ637" s="56"/>
      <c r="BA637" s="27"/>
      <c r="BB637" s="48"/>
      <c r="BC637" s="48"/>
      <c r="BD637" s="48"/>
      <c r="BE637" s="48"/>
      <c r="BF637" s="48"/>
      <c r="BG637" s="48"/>
      <c r="BH637" s="48"/>
      <c r="BI637" s="48"/>
      <c r="BJ637" s="48"/>
      <c r="BK637" s="48"/>
      <c r="BL637" s="48"/>
      <c r="BM637" s="48"/>
      <c r="BN637" s="48"/>
      <c r="BO637" s="48"/>
      <c r="BP637" s="48"/>
      <c r="BQ637" s="48"/>
      <c r="BR637" s="48"/>
      <c r="BS637" s="48"/>
      <c r="BT637" s="48"/>
      <c r="BU637" s="48"/>
    </row>
    <row r="638" ht="15.75" customHeight="1">
      <c r="A638" s="48"/>
      <c r="B638" s="48"/>
      <c r="C638" s="48"/>
      <c r="D638" s="48"/>
      <c r="E638" s="27"/>
      <c r="F638" s="48"/>
      <c r="G638" s="48"/>
      <c r="H638" s="56"/>
      <c r="I638" s="56"/>
      <c r="J638" s="56"/>
      <c r="K638" s="56"/>
      <c r="L638" s="56"/>
      <c r="M638" s="56"/>
      <c r="N638" s="56"/>
      <c r="O638" s="56"/>
      <c r="P638" s="56"/>
      <c r="Q638" s="56"/>
      <c r="R638" s="56"/>
      <c r="S638" s="56"/>
      <c r="T638" s="56"/>
      <c r="U638" s="56"/>
      <c r="V638" s="56"/>
      <c r="W638" s="27"/>
      <c r="X638" s="56"/>
      <c r="Y638" s="27"/>
      <c r="Z638" s="56"/>
      <c r="AA638" s="27"/>
      <c r="AB638" s="56"/>
      <c r="AC638" s="27"/>
      <c r="AD638" s="56"/>
      <c r="AE638" s="27"/>
      <c r="AF638" s="56"/>
      <c r="AG638" s="27"/>
      <c r="AH638" s="286"/>
      <c r="AI638" s="27"/>
      <c r="AJ638" s="56"/>
      <c r="AK638" s="27"/>
      <c r="AL638" s="56"/>
      <c r="AM638" s="27"/>
      <c r="AN638" s="56"/>
      <c r="AO638" s="27"/>
      <c r="AP638" s="56"/>
      <c r="AQ638" s="27"/>
      <c r="AR638" s="56"/>
      <c r="AS638" s="27"/>
      <c r="AT638" s="56"/>
      <c r="AU638" s="27"/>
      <c r="AV638" s="56"/>
      <c r="AW638" s="27"/>
      <c r="AX638" s="56"/>
      <c r="AY638" s="27"/>
      <c r="AZ638" s="56"/>
      <c r="BA638" s="27"/>
      <c r="BB638" s="48"/>
      <c r="BC638" s="48"/>
      <c r="BD638" s="48"/>
      <c r="BE638" s="48"/>
      <c r="BF638" s="48"/>
      <c r="BG638" s="48"/>
      <c r="BH638" s="48"/>
      <c r="BI638" s="48"/>
      <c r="BJ638" s="48"/>
      <c r="BK638" s="48"/>
      <c r="BL638" s="48"/>
      <c r="BM638" s="48"/>
      <c r="BN638" s="48"/>
      <c r="BO638" s="48"/>
      <c r="BP638" s="48"/>
      <c r="BQ638" s="48"/>
      <c r="BR638" s="48"/>
      <c r="BS638" s="48"/>
      <c r="BT638" s="48"/>
      <c r="BU638" s="48"/>
    </row>
    <row r="639" ht="15.75" customHeight="1">
      <c r="A639" s="48"/>
      <c r="B639" s="48"/>
      <c r="C639" s="48"/>
      <c r="D639" s="48"/>
      <c r="E639" s="27"/>
      <c r="F639" s="48"/>
      <c r="G639" s="48"/>
      <c r="H639" s="56"/>
      <c r="I639" s="56"/>
      <c r="J639" s="56"/>
      <c r="K639" s="56"/>
      <c r="L639" s="56"/>
      <c r="M639" s="56"/>
      <c r="N639" s="56"/>
      <c r="O639" s="56"/>
      <c r="P639" s="56"/>
      <c r="Q639" s="56"/>
      <c r="R639" s="56"/>
      <c r="S639" s="56"/>
      <c r="T639" s="56"/>
      <c r="U639" s="56"/>
      <c r="V639" s="56"/>
      <c r="W639" s="27"/>
      <c r="X639" s="56"/>
      <c r="Y639" s="27"/>
      <c r="Z639" s="56"/>
      <c r="AA639" s="27"/>
      <c r="AB639" s="56"/>
      <c r="AC639" s="27"/>
      <c r="AD639" s="56"/>
      <c r="AE639" s="27"/>
      <c r="AF639" s="56"/>
      <c r="AG639" s="27"/>
      <c r="AH639" s="286"/>
      <c r="AI639" s="27"/>
      <c r="AJ639" s="56"/>
      <c r="AK639" s="27"/>
      <c r="AL639" s="56"/>
      <c r="AM639" s="27"/>
      <c r="AN639" s="56"/>
      <c r="AO639" s="27"/>
      <c r="AP639" s="56"/>
      <c r="AQ639" s="27"/>
      <c r="AR639" s="56"/>
      <c r="AS639" s="27"/>
      <c r="AT639" s="56"/>
      <c r="AU639" s="27"/>
      <c r="AV639" s="56"/>
      <c r="AW639" s="27"/>
      <c r="AX639" s="56"/>
      <c r="AY639" s="27"/>
      <c r="AZ639" s="56"/>
      <c r="BA639" s="27"/>
      <c r="BB639" s="48"/>
      <c r="BC639" s="48"/>
      <c r="BD639" s="48"/>
      <c r="BE639" s="48"/>
      <c r="BF639" s="48"/>
      <c r="BG639" s="48"/>
      <c r="BH639" s="48"/>
      <c r="BI639" s="48"/>
      <c r="BJ639" s="48"/>
      <c r="BK639" s="48"/>
      <c r="BL639" s="48"/>
      <c r="BM639" s="48"/>
      <c r="BN639" s="48"/>
      <c r="BO639" s="48"/>
      <c r="BP639" s="48"/>
      <c r="BQ639" s="48"/>
      <c r="BR639" s="48"/>
      <c r="BS639" s="48"/>
      <c r="BT639" s="48"/>
      <c r="BU639" s="48"/>
    </row>
    <row r="640" ht="15.75" customHeight="1">
      <c r="A640" s="48"/>
      <c r="B640" s="48"/>
      <c r="C640" s="48"/>
      <c r="D640" s="48"/>
      <c r="E640" s="27"/>
      <c r="F640" s="48"/>
      <c r="G640" s="48"/>
      <c r="H640" s="56"/>
      <c r="I640" s="56"/>
      <c r="J640" s="56"/>
      <c r="K640" s="56"/>
      <c r="L640" s="56"/>
      <c r="M640" s="56"/>
      <c r="N640" s="56"/>
      <c r="O640" s="56"/>
      <c r="P640" s="56"/>
      <c r="Q640" s="56"/>
      <c r="R640" s="56"/>
      <c r="S640" s="56"/>
      <c r="T640" s="56"/>
      <c r="U640" s="56"/>
      <c r="V640" s="56"/>
      <c r="W640" s="27"/>
      <c r="X640" s="56"/>
      <c r="Y640" s="27"/>
      <c r="Z640" s="56"/>
      <c r="AA640" s="27"/>
      <c r="AB640" s="56"/>
      <c r="AC640" s="27"/>
      <c r="AD640" s="56"/>
      <c r="AE640" s="27"/>
      <c r="AF640" s="56"/>
      <c r="AG640" s="27"/>
      <c r="AH640" s="286"/>
      <c r="AI640" s="27"/>
      <c r="AJ640" s="56"/>
      <c r="AK640" s="27"/>
      <c r="AL640" s="56"/>
      <c r="AM640" s="27"/>
      <c r="AN640" s="56"/>
      <c r="AO640" s="27"/>
      <c r="AP640" s="56"/>
      <c r="AQ640" s="27"/>
      <c r="AR640" s="56"/>
      <c r="AS640" s="27"/>
      <c r="AT640" s="56"/>
      <c r="AU640" s="27"/>
      <c r="AV640" s="56"/>
      <c r="AW640" s="27"/>
      <c r="AX640" s="56"/>
      <c r="AY640" s="27"/>
      <c r="AZ640" s="56"/>
      <c r="BA640" s="27"/>
      <c r="BB640" s="48"/>
      <c r="BC640" s="48"/>
      <c r="BD640" s="48"/>
      <c r="BE640" s="48"/>
      <c r="BF640" s="48"/>
      <c r="BG640" s="48"/>
      <c r="BH640" s="48"/>
      <c r="BI640" s="48"/>
      <c r="BJ640" s="48"/>
      <c r="BK640" s="48"/>
      <c r="BL640" s="48"/>
      <c r="BM640" s="48"/>
      <c r="BN640" s="48"/>
      <c r="BO640" s="48"/>
      <c r="BP640" s="48"/>
      <c r="BQ640" s="48"/>
      <c r="BR640" s="48"/>
      <c r="BS640" s="48"/>
      <c r="BT640" s="48"/>
      <c r="BU640" s="48"/>
    </row>
    <row r="641" ht="15.75" customHeight="1">
      <c r="A641" s="48"/>
      <c r="B641" s="48"/>
      <c r="C641" s="48"/>
      <c r="D641" s="48"/>
      <c r="E641" s="27"/>
      <c r="F641" s="48"/>
      <c r="G641" s="48"/>
      <c r="H641" s="56"/>
      <c r="I641" s="56"/>
      <c r="J641" s="56"/>
      <c r="K641" s="56"/>
      <c r="L641" s="56"/>
      <c r="M641" s="56"/>
      <c r="N641" s="56"/>
      <c r="O641" s="56"/>
      <c r="P641" s="56"/>
      <c r="Q641" s="56"/>
      <c r="R641" s="56"/>
      <c r="S641" s="56"/>
      <c r="T641" s="56"/>
      <c r="U641" s="56"/>
      <c r="V641" s="56"/>
      <c r="W641" s="27"/>
      <c r="X641" s="56"/>
      <c r="Y641" s="27"/>
      <c r="Z641" s="56"/>
      <c r="AA641" s="27"/>
      <c r="AB641" s="56"/>
      <c r="AC641" s="27"/>
      <c r="AD641" s="56"/>
      <c r="AE641" s="27"/>
      <c r="AF641" s="56"/>
      <c r="AG641" s="27"/>
      <c r="AH641" s="286"/>
      <c r="AI641" s="27"/>
      <c r="AJ641" s="56"/>
      <c r="AK641" s="27"/>
      <c r="AL641" s="56"/>
      <c r="AM641" s="27"/>
      <c r="AN641" s="56"/>
      <c r="AO641" s="27"/>
      <c r="AP641" s="56"/>
      <c r="AQ641" s="27"/>
      <c r="AR641" s="56"/>
      <c r="AS641" s="27"/>
      <c r="AT641" s="56"/>
      <c r="AU641" s="27"/>
      <c r="AV641" s="56"/>
      <c r="AW641" s="27"/>
      <c r="AX641" s="56"/>
      <c r="AY641" s="27"/>
      <c r="AZ641" s="56"/>
      <c r="BA641" s="27"/>
      <c r="BB641" s="48"/>
      <c r="BC641" s="48"/>
      <c r="BD641" s="48"/>
      <c r="BE641" s="48"/>
      <c r="BF641" s="48"/>
      <c r="BG641" s="48"/>
      <c r="BH641" s="48"/>
      <c r="BI641" s="48"/>
      <c r="BJ641" s="48"/>
      <c r="BK641" s="48"/>
      <c r="BL641" s="48"/>
      <c r="BM641" s="48"/>
      <c r="BN641" s="48"/>
      <c r="BO641" s="48"/>
      <c r="BP641" s="48"/>
      <c r="BQ641" s="48"/>
      <c r="BR641" s="48"/>
      <c r="BS641" s="48"/>
      <c r="BT641" s="48"/>
      <c r="BU641" s="48"/>
    </row>
    <row r="642" ht="15.75" customHeight="1">
      <c r="A642" s="48"/>
      <c r="B642" s="48"/>
      <c r="C642" s="48"/>
      <c r="D642" s="48"/>
      <c r="E642" s="27"/>
      <c r="F642" s="48"/>
      <c r="G642" s="48"/>
      <c r="H642" s="56"/>
      <c r="I642" s="56"/>
      <c r="J642" s="56"/>
      <c r="K642" s="56"/>
      <c r="L642" s="56"/>
      <c r="M642" s="56"/>
      <c r="N642" s="56"/>
      <c r="O642" s="56"/>
      <c r="P642" s="56"/>
      <c r="Q642" s="56"/>
      <c r="R642" s="56"/>
      <c r="S642" s="56"/>
      <c r="T642" s="56"/>
      <c r="U642" s="56"/>
      <c r="V642" s="56"/>
      <c r="W642" s="27"/>
      <c r="X642" s="56"/>
      <c r="Y642" s="27"/>
      <c r="Z642" s="56"/>
      <c r="AA642" s="27"/>
      <c r="AB642" s="56"/>
      <c r="AC642" s="27"/>
      <c r="AD642" s="56"/>
      <c r="AE642" s="27"/>
      <c r="AF642" s="56"/>
      <c r="AG642" s="27"/>
      <c r="AH642" s="286"/>
      <c r="AI642" s="27"/>
      <c r="AJ642" s="56"/>
      <c r="AK642" s="27"/>
      <c r="AL642" s="56"/>
      <c r="AM642" s="27"/>
      <c r="AN642" s="56"/>
      <c r="AO642" s="27"/>
      <c r="AP642" s="56"/>
      <c r="AQ642" s="27"/>
      <c r="AR642" s="56"/>
      <c r="AS642" s="27"/>
      <c r="AT642" s="56"/>
      <c r="AU642" s="27"/>
      <c r="AV642" s="56"/>
      <c r="AW642" s="27"/>
      <c r="AX642" s="56"/>
      <c r="AY642" s="27"/>
      <c r="AZ642" s="56"/>
      <c r="BA642" s="27"/>
      <c r="BB642" s="48"/>
      <c r="BC642" s="48"/>
      <c r="BD642" s="48"/>
      <c r="BE642" s="48"/>
      <c r="BF642" s="48"/>
      <c r="BG642" s="48"/>
      <c r="BH642" s="48"/>
      <c r="BI642" s="48"/>
      <c r="BJ642" s="48"/>
      <c r="BK642" s="48"/>
      <c r="BL642" s="48"/>
      <c r="BM642" s="48"/>
      <c r="BN642" s="48"/>
      <c r="BO642" s="48"/>
      <c r="BP642" s="48"/>
      <c r="BQ642" s="48"/>
      <c r="BR642" s="48"/>
      <c r="BS642" s="48"/>
      <c r="BT642" s="48"/>
      <c r="BU642" s="48"/>
    </row>
    <row r="643" ht="15.75" customHeight="1">
      <c r="A643" s="48"/>
      <c r="B643" s="48"/>
      <c r="C643" s="48"/>
      <c r="D643" s="48"/>
      <c r="E643" s="27"/>
      <c r="F643" s="48"/>
      <c r="G643" s="48"/>
      <c r="H643" s="56"/>
      <c r="I643" s="56"/>
      <c r="J643" s="56"/>
      <c r="K643" s="56"/>
      <c r="L643" s="56"/>
      <c r="M643" s="56"/>
      <c r="N643" s="56"/>
      <c r="O643" s="56"/>
      <c r="P643" s="56"/>
      <c r="Q643" s="56"/>
      <c r="R643" s="56"/>
      <c r="S643" s="56"/>
      <c r="T643" s="56"/>
      <c r="U643" s="56"/>
      <c r="V643" s="56"/>
      <c r="W643" s="27"/>
      <c r="X643" s="56"/>
      <c r="Y643" s="27"/>
      <c r="Z643" s="56"/>
      <c r="AA643" s="27"/>
      <c r="AB643" s="56"/>
      <c r="AC643" s="27"/>
      <c r="AD643" s="56"/>
      <c r="AE643" s="27"/>
      <c r="AF643" s="56"/>
      <c r="AG643" s="27"/>
      <c r="AH643" s="286"/>
      <c r="AI643" s="27"/>
      <c r="AJ643" s="56"/>
      <c r="AK643" s="27"/>
      <c r="AL643" s="56"/>
      <c r="AM643" s="27"/>
      <c r="AN643" s="56"/>
      <c r="AO643" s="27"/>
      <c r="AP643" s="56"/>
      <c r="AQ643" s="27"/>
      <c r="AR643" s="56"/>
      <c r="AS643" s="27"/>
      <c r="AT643" s="56"/>
      <c r="AU643" s="27"/>
      <c r="AV643" s="56"/>
      <c r="AW643" s="27"/>
      <c r="AX643" s="56"/>
      <c r="AY643" s="27"/>
      <c r="AZ643" s="56"/>
      <c r="BA643" s="27"/>
      <c r="BB643" s="48"/>
      <c r="BC643" s="48"/>
      <c r="BD643" s="48"/>
      <c r="BE643" s="48"/>
      <c r="BF643" s="48"/>
      <c r="BG643" s="48"/>
      <c r="BH643" s="48"/>
      <c r="BI643" s="48"/>
      <c r="BJ643" s="48"/>
      <c r="BK643" s="48"/>
      <c r="BL643" s="48"/>
      <c r="BM643" s="48"/>
      <c r="BN643" s="48"/>
      <c r="BO643" s="48"/>
      <c r="BP643" s="48"/>
      <c r="BQ643" s="48"/>
      <c r="BR643" s="48"/>
      <c r="BS643" s="48"/>
      <c r="BT643" s="48"/>
      <c r="BU643" s="48"/>
    </row>
    <row r="644" ht="15.75" customHeight="1">
      <c r="A644" s="48"/>
      <c r="B644" s="48"/>
      <c r="C644" s="48"/>
      <c r="D644" s="48"/>
      <c r="E644" s="27"/>
      <c r="F644" s="48"/>
      <c r="G644" s="48"/>
      <c r="H644" s="56"/>
      <c r="I644" s="56"/>
      <c r="J644" s="56"/>
      <c r="K644" s="56"/>
      <c r="L644" s="56"/>
      <c r="M644" s="56"/>
      <c r="N644" s="56"/>
      <c r="O644" s="56"/>
      <c r="P644" s="56"/>
      <c r="Q644" s="56"/>
      <c r="R644" s="56"/>
      <c r="S644" s="56"/>
      <c r="T644" s="56"/>
      <c r="U644" s="56"/>
      <c r="V644" s="56"/>
      <c r="W644" s="27"/>
      <c r="X644" s="56"/>
      <c r="Y644" s="27"/>
      <c r="Z644" s="56"/>
      <c r="AA644" s="27"/>
      <c r="AB644" s="56"/>
      <c r="AC644" s="27"/>
      <c r="AD644" s="56"/>
      <c r="AE644" s="27"/>
      <c r="AF644" s="56"/>
      <c r="AG644" s="27"/>
      <c r="AH644" s="286"/>
      <c r="AI644" s="27"/>
      <c r="AJ644" s="56"/>
      <c r="AK644" s="27"/>
      <c r="AL644" s="56"/>
      <c r="AM644" s="27"/>
      <c r="AN644" s="56"/>
      <c r="AO644" s="27"/>
      <c r="AP644" s="56"/>
      <c r="AQ644" s="27"/>
      <c r="AR644" s="56"/>
      <c r="AS644" s="27"/>
      <c r="AT644" s="56"/>
      <c r="AU644" s="27"/>
      <c r="AV644" s="56"/>
      <c r="AW644" s="27"/>
      <c r="AX644" s="56"/>
      <c r="AY644" s="27"/>
      <c r="AZ644" s="56"/>
      <c r="BA644" s="27"/>
      <c r="BB644" s="48"/>
      <c r="BC644" s="48"/>
      <c r="BD644" s="48"/>
      <c r="BE644" s="48"/>
      <c r="BF644" s="48"/>
      <c r="BG644" s="48"/>
      <c r="BH644" s="48"/>
      <c r="BI644" s="48"/>
      <c r="BJ644" s="48"/>
      <c r="BK644" s="48"/>
      <c r="BL644" s="48"/>
      <c r="BM644" s="48"/>
      <c r="BN644" s="48"/>
      <c r="BO644" s="48"/>
      <c r="BP644" s="48"/>
      <c r="BQ644" s="48"/>
      <c r="BR644" s="48"/>
      <c r="BS644" s="48"/>
      <c r="BT644" s="48"/>
      <c r="BU644" s="48"/>
    </row>
    <row r="645" ht="15.75" customHeight="1">
      <c r="A645" s="48"/>
      <c r="B645" s="48"/>
      <c r="C645" s="48"/>
      <c r="D645" s="48"/>
      <c r="E645" s="27"/>
      <c r="F645" s="48"/>
      <c r="G645" s="48"/>
      <c r="H645" s="56"/>
      <c r="I645" s="56"/>
      <c r="J645" s="56"/>
      <c r="K645" s="56"/>
      <c r="L645" s="56"/>
      <c r="M645" s="56"/>
      <c r="N645" s="56"/>
      <c r="O645" s="56"/>
      <c r="P645" s="56"/>
      <c r="Q645" s="56"/>
      <c r="R645" s="56"/>
      <c r="S645" s="56"/>
      <c r="T645" s="56"/>
      <c r="U645" s="56"/>
      <c r="V645" s="56"/>
      <c r="W645" s="27"/>
      <c r="X645" s="56"/>
      <c r="Y645" s="27"/>
      <c r="Z645" s="56"/>
      <c r="AA645" s="27"/>
      <c r="AB645" s="56"/>
      <c r="AC645" s="27"/>
      <c r="AD645" s="56"/>
      <c r="AE645" s="27"/>
      <c r="AF645" s="56"/>
      <c r="AG645" s="27"/>
      <c r="AH645" s="286"/>
      <c r="AI645" s="27"/>
      <c r="AJ645" s="56"/>
      <c r="AK645" s="27"/>
      <c r="AL645" s="56"/>
      <c r="AM645" s="27"/>
      <c r="AN645" s="56"/>
      <c r="AO645" s="27"/>
      <c r="AP645" s="56"/>
      <c r="AQ645" s="27"/>
      <c r="AR645" s="56"/>
      <c r="AS645" s="27"/>
      <c r="AT645" s="56"/>
      <c r="AU645" s="27"/>
      <c r="AV645" s="56"/>
      <c r="AW645" s="27"/>
      <c r="AX645" s="56"/>
      <c r="AY645" s="27"/>
      <c r="AZ645" s="56"/>
      <c r="BA645" s="27"/>
      <c r="BB645" s="48"/>
      <c r="BC645" s="48"/>
      <c r="BD645" s="48"/>
      <c r="BE645" s="48"/>
      <c r="BF645" s="48"/>
      <c r="BG645" s="48"/>
      <c r="BH645" s="48"/>
      <c r="BI645" s="48"/>
      <c r="BJ645" s="48"/>
      <c r="BK645" s="48"/>
      <c r="BL645" s="48"/>
      <c r="BM645" s="48"/>
      <c r="BN645" s="48"/>
      <c r="BO645" s="48"/>
      <c r="BP645" s="48"/>
      <c r="BQ645" s="48"/>
      <c r="BR645" s="48"/>
      <c r="BS645" s="48"/>
      <c r="BT645" s="48"/>
      <c r="BU645" s="48"/>
    </row>
    <row r="646" ht="15.75" customHeight="1">
      <c r="A646" s="48"/>
      <c r="B646" s="48"/>
      <c r="C646" s="48"/>
      <c r="D646" s="48"/>
      <c r="E646" s="27"/>
      <c r="F646" s="48"/>
      <c r="G646" s="48"/>
      <c r="H646" s="56"/>
      <c r="I646" s="56"/>
      <c r="J646" s="56"/>
      <c r="K646" s="56"/>
      <c r="L646" s="56"/>
      <c r="M646" s="56"/>
      <c r="N646" s="56"/>
      <c r="O646" s="56"/>
      <c r="P646" s="56"/>
      <c r="Q646" s="56"/>
      <c r="R646" s="56"/>
      <c r="S646" s="56"/>
      <c r="T646" s="56"/>
      <c r="U646" s="56"/>
      <c r="V646" s="56"/>
      <c r="W646" s="27"/>
      <c r="X646" s="56"/>
      <c r="Y646" s="27"/>
      <c r="Z646" s="56"/>
      <c r="AA646" s="27"/>
      <c r="AB646" s="56"/>
      <c r="AC646" s="27"/>
      <c r="AD646" s="56"/>
      <c r="AE646" s="27"/>
      <c r="AF646" s="56"/>
      <c r="AG646" s="27"/>
      <c r="AH646" s="286"/>
      <c r="AI646" s="27"/>
      <c r="AJ646" s="56"/>
      <c r="AK646" s="27"/>
      <c r="AL646" s="56"/>
      <c r="AM646" s="27"/>
      <c r="AN646" s="56"/>
      <c r="AO646" s="27"/>
      <c r="AP646" s="56"/>
      <c r="AQ646" s="27"/>
      <c r="AR646" s="56"/>
      <c r="AS646" s="27"/>
      <c r="AT646" s="56"/>
      <c r="AU646" s="27"/>
      <c r="AV646" s="56"/>
      <c r="AW646" s="27"/>
      <c r="AX646" s="56"/>
      <c r="AY646" s="27"/>
      <c r="AZ646" s="56"/>
      <c r="BA646" s="27"/>
      <c r="BB646" s="48"/>
      <c r="BC646" s="48"/>
      <c r="BD646" s="48"/>
      <c r="BE646" s="48"/>
      <c r="BF646" s="48"/>
      <c r="BG646" s="48"/>
      <c r="BH646" s="48"/>
      <c r="BI646" s="48"/>
      <c r="BJ646" s="48"/>
      <c r="BK646" s="48"/>
      <c r="BL646" s="48"/>
      <c r="BM646" s="48"/>
      <c r="BN646" s="48"/>
      <c r="BO646" s="48"/>
      <c r="BP646" s="48"/>
      <c r="BQ646" s="48"/>
      <c r="BR646" s="48"/>
      <c r="BS646" s="48"/>
      <c r="BT646" s="48"/>
      <c r="BU646" s="48"/>
    </row>
    <row r="647" ht="15.75" customHeight="1">
      <c r="A647" s="48"/>
      <c r="B647" s="48"/>
      <c r="C647" s="48"/>
      <c r="D647" s="48"/>
      <c r="E647" s="27"/>
      <c r="F647" s="48"/>
      <c r="G647" s="48"/>
      <c r="H647" s="56"/>
      <c r="I647" s="56"/>
      <c r="J647" s="56"/>
      <c r="K647" s="56"/>
      <c r="L647" s="56"/>
      <c r="M647" s="56"/>
      <c r="N647" s="56"/>
      <c r="O647" s="56"/>
      <c r="P647" s="56"/>
      <c r="Q647" s="56"/>
      <c r="R647" s="56"/>
      <c r="S647" s="56"/>
      <c r="T647" s="56"/>
      <c r="U647" s="56"/>
      <c r="V647" s="56"/>
      <c r="W647" s="27"/>
      <c r="X647" s="56"/>
      <c r="Y647" s="27"/>
      <c r="Z647" s="56"/>
      <c r="AA647" s="27"/>
      <c r="AB647" s="56"/>
      <c r="AC647" s="27"/>
      <c r="AD647" s="56"/>
      <c r="AE647" s="27"/>
      <c r="AF647" s="56"/>
      <c r="AG647" s="27"/>
      <c r="AH647" s="286"/>
      <c r="AI647" s="27"/>
      <c r="AJ647" s="56"/>
      <c r="AK647" s="27"/>
      <c r="AL647" s="56"/>
      <c r="AM647" s="27"/>
      <c r="AN647" s="56"/>
      <c r="AO647" s="27"/>
      <c r="AP647" s="56"/>
      <c r="AQ647" s="27"/>
      <c r="AR647" s="56"/>
      <c r="AS647" s="27"/>
      <c r="AT647" s="56"/>
      <c r="AU647" s="27"/>
      <c r="AV647" s="56"/>
      <c r="AW647" s="27"/>
      <c r="AX647" s="56"/>
      <c r="AY647" s="27"/>
      <c r="AZ647" s="56"/>
      <c r="BA647" s="27"/>
      <c r="BB647" s="48"/>
      <c r="BC647" s="48"/>
      <c r="BD647" s="48"/>
      <c r="BE647" s="48"/>
      <c r="BF647" s="48"/>
      <c r="BG647" s="48"/>
      <c r="BH647" s="48"/>
      <c r="BI647" s="48"/>
      <c r="BJ647" s="48"/>
      <c r="BK647" s="48"/>
      <c r="BL647" s="48"/>
      <c r="BM647" s="48"/>
      <c r="BN647" s="48"/>
      <c r="BO647" s="48"/>
      <c r="BP647" s="48"/>
      <c r="BQ647" s="48"/>
      <c r="BR647" s="48"/>
      <c r="BS647" s="48"/>
      <c r="BT647" s="48"/>
      <c r="BU647" s="48"/>
    </row>
    <row r="648" ht="15.75" customHeight="1">
      <c r="A648" s="48"/>
      <c r="B648" s="48"/>
      <c r="C648" s="48"/>
      <c r="D648" s="48"/>
      <c r="E648" s="27"/>
      <c r="F648" s="48"/>
      <c r="G648" s="48"/>
      <c r="H648" s="56"/>
      <c r="I648" s="56"/>
      <c r="J648" s="56"/>
      <c r="K648" s="56"/>
      <c r="L648" s="56"/>
      <c r="M648" s="56"/>
      <c r="N648" s="56"/>
      <c r="O648" s="56"/>
      <c r="P648" s="56"/>
      <c r="Q648" s="56"/>
      <c r="R648" s="56"/>
      <c r="S648" s="56"/>
      <c r="T648" s="56"/>
      <c r="U648" s="56"/>
      <c r="V648" s="56"/>
      <c r="W648" s="27"/>
      <c r="X648" s="56"/>
      <c r="Y648" s="27"/>
      <c r="Z648" s="56"/>
      <c r="AA648" s="27"/>
      <c r="AB648" s="56"/>
      <c r="AC648" s="27"/>
      <c r="AD648" s="56"/>
      <c r="AE648" s="27"/>
      <c r="AF648" s="56"/>
      <c r="AG648" s="27"/>
      <c r="AH648" s="286"/>
      <c r="AI648" s="27"/>
      <c r="AJ648" s="56"/>
      <c r="AK648" s="27"/>
      <c r="AL648" s="56"/>
      <c r="AM648" s="27"/>
      <c r="AN648" s="56"/>
      <c r="AO648" s="27"/>
      <c r="AP648" s="56"/>
      <c r="AQ648" s="27"/>
      <c r="AR648" s="56"/>
      <c r="AS648" s="27"/>
      <c r="AT648" s="56"/>
      <c r="AU648" s="27"/>
      <c r="AV648" s="56"/>
      <c r="AW648" s="27"/>
      <c r="AX648" s="56"/>
      <c r="AY648" s="27"/>
      <c r="AZ648" s="56"/>
      <c r="BA648" s="27"/>
      <c r="BB648" s="48"/>
      <c r="BC648" s="48"/>
      <c r="BD648" s="48"/>
      <c r="BE648" s="48"/>
      <c r="BF648" s="48"/>
      <c r="BG648" s="48"/>
      <c r="BH648" s="48"/>
      <c r="BI648" s="48"/>
      <c r="BJ648" s="48"/>
      <c r="BK648" s="48"/>
      <c r="BL648" s="48"/>
      <c r="BM648" s="48"/>
      <c r="BN648" s="48"/>
      <c r="BO648" s="48"/>
      <c r="BP648" s="48"/>
      <c r="BQ648" s="48"/>
      <c r="BR648" s="48"/>
      <c r="BS648" s="48"/>
      <c r="BT648" s="48"/>
      <c r="BU648" s="48"/>
    </row>
    <row r="649" ht="15.75" customHeight="1">
      <c r="A649" s="48"/>
      <c r="B649" s="48"/>
      <c r="C649" s="48"/>
      <c r="D649" s="48"/>
      <c r="E649" s="27"/>
      <c r="F649" s="48"/>
      <c r="G649" s="48"/>
      <c r="H649" s="56"/>
      <c r="I649" s="56"/>
      <c r="J649" s="56"/>
      <c r="K649" s="56"/>
      <c r="L649" s="56"/>
      <c r="M649" s="56"/>
      <c r="N649" s="56"/>
      <c r="O649" s="56"/>
      <c r="P649" s="56"/>
      <c r="Q649" s="56"/>
      <c r="R649" s="56"/>
      <c r="S649" s="56"/>
      <c r="T649" s="56"/>
      <c r="U649" s="56"/>
      <c r="V649" s="56"/>
      <c r="W649" s="27"/>
      <c r="X649" s="56"/>
      <c r="Y649" s="27"/>
      <c r="Z649" s="56"/>
      <c r="AA649" s="27"/>
      <c r="AB649" s="56"/>
      <c r="AC649" s="27"/>
      <c r="AD649" s="56"/>
      <c r="AE649" s="27"/>
      <c r="AF649" s="56"/>
      <c r="AG649" s="27"/>
      <c r="AH649" s="286"/>
      <c r="AI649" s="27"/>
      <c r="AJ649" s="56"/>
      <c r="AK649" s="27"/>
      <c r="AL649" s="56"/>
      <c r="AM649" s="27"/>
      <c r="AN649" s="56"/>
      <c r="AO649" s="27"/>
      <c r="AP649" s="56"/>
      <c r="AQ649" s="27"/>
      <c r="AR649" s="56"/>
      <c r="AS649" s="27"/>
      <c r="AT649" s="56"/>
      <c r="AU649" s="27"/>
      <c r="AV649" s="56"/>
      <c r="AW649" s="27"/>
      <c r="AX649" s="56"/>
      <c r="AY649" s="27"/>
      <c r="AZ649" s="56"/>
      <c r="BA649" s="27"/>
      <c r="BB649" s="48"/>
      <c r="BC649" s="48"/>
      <c r="BD649" s="48"/>
      <c r="BE649" s="48"/>
      <c r="BF649" s="48"/>
      <c r="BG649" s="48"/>
      <c r="BH649" s="48"/>
      <c r="BI649" s="48"/>
      <c r="BJ649" s="48"/>
      <c r="BK649" s="48"/>
      <c r="BL649" s="48"/>
      <c r="BM649" s="48"/>
      <c r="BN649" s="48"/>
      <c r="BO649" s="48"/>
      <c r="BP649" s="48"/>
      <c r="BQ649" s="48"/>
      <c r="BR649" s="48"/>
      <c r="BS649" s="48"/>
      <c r="BT649" s="48"/>
      <c r="BU649" s="48"/>
    </row>
    <row r="650" ht="15.75" customHeight="1">
      <c r="A650" s="48"/>
      <c r="B650" s="48"/>
      <c r="C650" s="48"/>
      <c r="D650" s="48"/>
      <c r="E650" s="27"/>
      <c r="F650" s="48"/>
      <c r="G650" s="48"/>
      <c r="H650" s="56"/>
      <c r="I650" s="56"/>
      <c r="J650" s="56"/>
      <c r="K650" s="56"/>
      <c r="L650" s="56"/>
      <c r="M650" s="56"/>
      <c r="N650" s="56"/>
      <c r="O650" s="56"/>
      <c r="P650" s="56"/>
      <c r="Q650" s="56"/>
      <c r="R650" s="56"/>
      <c r="S650" s="56"/>
      <c r="T650" s="56"/>
      <c r="U650" s="56"/>
      <c r="V650" s="56"/>
      <c r="W650" s="27"/>
      <c r="X650" s="56"/>
      <c r="Y650" s="27"/>
      <c r="Z650" s="56"/>
      <c r="AA650" s="27"/>
      <c r="AB650" s="56"/>
      <c r="AC650" s="27"/>
      <c r="AD650" s="56"/>
      <c r="AE650" s="27"/>
      <c r="AF650" s="56"/>
      <c r="AG650" s="27"/>
      <c r="AH650" s="286"/>
      <c r="AI650" s="27"/>
      <c r="AJ650" s="56"/>
      <c r="AK650" s="27"/>
      <c r="AL650" s="56"/>
      <c r="AM650" s="27"/>
      <c r="AN650" s="56"/>
      <c r="AO650" s="27"/>
      <c r="AP650" s="56"/>
      <c r="AQ650" s="27"/>
      <c r="AR650" s="56"/>
      <c r="AS650" s="27"/>
      <c r="AT650" s="56"/>
      <c r="AU650" s="27"/>
      <c r="AV650" s="56"/>
      <c r="AW650" s="27"/>
      <c r="AX650" s="56"/>
      <c r="AY650" s="27"/>
      <c r="AZ650" s="56"/>
      <c r="BA650" s="27"/>
      <c r="BB650" s="48"/>
      <c r="BC650" s="48"/>
      <c r="BD650" s="48"/>
      <c r="BE650" s="48"/>
      <c r="BF650" s="48"/>
      <c r="BG650" s="48"/>
      <c r="BH650" s="48"/>
      <c r="BI650" s="48"/>
      <c r="BJ650" s="48"/>
      <c r="BK650" s="48"/>
      <c r="BL650" s="48"/>
      <c r="BM650" s="48"/>
      <c r="BN650" s="48"/>
      <c r="BO650" s="48"/>
      <c r="BP650" s="48"/>
      <c r="BQ650" s="48"/>
      <c r="BR650" s="48"/>
      <c r="BS650" s="48"/>
      <c r="BT650" s="48"/>
      <c r="BU650" s="48"/>
    </row>
    <row r="651" ht="15.75" customHeight="1">
      <c r="A651" s="48"/>
      <c r="B651" s="48"/>
      <c r="C651" s="48"/>
      <c r="D651" s="48"/>
      <c r="E651" s="27"/>
      <c r="F651" s="48"/>
      <c r="G651" s="48"/>
      <c r="H651" s="56"/>
      <c r="I651" s="56"/>
      <c r="J651" s="56"/>
      <c r="K651" s="56"/>
      <c r="L651" s="56"/>
      <c r="M651" s="56"/>
      <c r="N651" s="56"/>
      <c r="O651" s="56"/>
      <c r="P651" s="56"/>
      <c r="Q651" s="56"/>
      <c r="R651" s="56"/>
      <c r="S651" s="56"/>
      <c r="T651" s="56"/>
      <c r="U651" s="56"/>
      <c r="V651" s="56"/>
      <c r="W651" s="27"/>
      <c r="X651" s="56"/>
      <c r="Y651" s="27"/>
      <c r="Z651" s="56"/>
      <c r="AA651" s="27"/>
      <c r="AB651" s="56"/>
      <c r="AC651" s="27"/>
      <c r="AD651" s="56"/>
      <c r="AE651" s="27"/>
      <c r="AF651" s="56"/>
      <c r="AG651" s="27"/>
      <c r="AH651" s="286"/>
      <c r="AI651" s="27"/>
      <c r="AJ651" s="56"/>
      <c r="AK651" s="27"/>
      <c r="AL651" s="56"/>
      <c r="AM651" s="27"/>
      <c r="AN651" s="56"/>
      <c r="AO651" s="27"/>
      <c r="AP651" s="56"/>
      <c r="AQ651" s="27"/>
      <c r="AR651" s="56"/>
      <c r="AS651" s="27"/>
      <c r="AT651" s="56"/>
      <c r="AU651" s="27"/>
      <c r="AV651" s="56"/>
      <c r="AW651" s="27"/>
      <c r="AX651" s="56"/>
      <c r="AY651" s="27"/>
      <c r="AZ651" s="56"/>
      <c r="BA651" s="27"/>
      <c r="BB651" s="48"/>
      <c r="BC651" s="48"/>
      <c r="BD651" s="48"/>
      <c r="BE651" s="48"/>
      <c r="BF651" s="48"/>
      <c r="BG651" s="48"/>
      <c r="BH651" s="48"/>
      <c r="BI651" s="48"/>
      <c r="BJ651" s="48"/>
      <c r="BK651" s="48"/>
      <c r="BL651" s="48"/>
      <c r="BM651" s="48"/>
      <c r="BN651" s="48"/>
      <c r="BO651" s="48"/>
      <c r="BP651" s="48"/>
      <c r="BQ651" s="48"/>
      <c r="BR651" s="48"/>
      <c r="BS651" s="48"/>
      <c r="BT651" s="48"/>
      <c r="BU651" s="48"/>
    </row>
    <row r="652" ht="15.75" customHeight="1">
      <c r="A652" s="48"/>
      <c r="B652" s="48"/>
      <c r="C652" s="48"/>
      <c r="D652" s="48"/>
      <c r="E652" s="27"/>
      <c r="F652" s="48"/>
      <c r="G652" s="48"/>
      <c r="H652" s="56"/>
      <c r="I652" s="56"/>
      <c r="J652" s="56"/>
      <c r="K652" s="56"/>
      <c r="L652" s="56"/>
      <c r="M652" s="56"/>
      <c r="N652" s="56"/>
      <c r="O652" s="56"/>
      <c r="P652" s="56"/>
      <c r="Q652" s="56"/>
      <c r="R652" s="56"/>
      <c r="S652" s="56"/>
      <c r="T652" s="56"/>
      <c r="U652" s="56"/>
      <c r="V652" s="56"/>
      <c r="W652" s="27"/>
      <c r="X652" s="56"/>
      <c r="Y652" s="27"/>
      <c r="Z652" s="56"/>
      <c r="AA652" s="27"/>
      <c r="AB652" s="56"/>
      <c r="AC652" s="27"/>
      <c r="AD652" s="56"/>
      <c r="AE652" s="27"/>
      <c r="AF652" s="56"/>
      <c r="AG652" s="27"/>
      <c r="AH652" s="286"/>
      <c r="AI652" s="27"/>
      <c r="AJ652" s="56"/>
      <c r="AK652" s="27"/>
      <c r="AL652" s="56"/>
      <c r="AM652" s="27"/>
      <c r="AN652" s="56"/>
      <c r="AO652" s="27"/>
      <c r="AP652" s="56"/>
      <c r="AQ652" s="27"/>
      <c r="AR652" s="56"/>
      <c r="AS652" s="27"/>
      <c r="AT652" s="56"/>
      <c r="AU652" s="27"/>
      <c r="AV652" s="56"/>
      <c r="AW652" s="27"/>
      <c r="AX652" s="56"/>
      <c r="AY652" s="27"/>
      <c r="AZ652" s="56"/>
      <c r="BA652" s="27"/>
      <c r="BB652" s="48"/>
      <c r="BC652" s="48"/>
      <c r="BD652" s="48"/>
      <c r="BE652" s="48"/>
      <c r="BF652" s="48"/>
      <c r="BG652" s="48"/>
      <c r="BH652" s="48"/>
      <c r="BI652" s="48"/>
      <c r="BJ652" s="48"/>
      <c r="BK652" s="48"/>
      <c r="BL652" s="48"/>
      <c r="BM652" s="48"/>
      <c r="BN652" s="48"/>
      <c r="BO652" s="48"/>
      <c r="BP652" s="48"/>
      <c r="BQ652" s="48"/>
      <c r="BR652" s="48"/>
      <c r="BS652" s="48"/>
      <c r="BT652" s="48"/>
      <c r="BU652" s="48"/>
    </row>
    <row r="653" ht="15.75" customHeight="1">
      <c r="A653" s="48"/>
      <c r="B653" s="48"/>
      <c r="C653" s="48"/>
      <c r="D653" s="48"/>
      <c r="E653" s="27"/>
      <c r="F653" s="48"/>
      <c r="G653" s="48"/>
      <c r="H653" s="56"/>
      <c r="I653" s="56"/>
      <c r="J653" s="56"/>
      <c r="K653" s="56"/>
      <c r="L653" s="56"/>
      <c r="M653" s="56"/>
      <c r="N653" s="56"/>
      <c r="O653" s="56"/>
      <c r="P653" s="56"/>
      <c r="Q653" s="56"/>
      <c r="R653" s="56"/>
      <c r="S653" s="56"/>
      <c r="T653" s="56"/>
      <c r="U653" s="56"/>
      <c r="V653" s="56"/>
      <c r="W653" s="27"/>
      <c r="X653" s="56"/>
      <c r="Y653" s="27"/>
      <c r="Z653" s="56"/>
      <c r="AA653" s="27"/>
      <c r="AB653" s="56"/>
      <c r="AC653" s="27"/>
      <c r="AD653" s="56"/>
      <c r="AE653" s="27"/>
      <c r="AF653" s="56"/>
      <c r="AG653" s="27"/>
      <c r="AH653" s="286"/>
      <c r="AI653" s="27"/>
      <c r="AJ653" s="56"/>
      <c r="AK653" s="27"/>
      <c r="AL653" s="56"/>
      <c r="AM653" s="27"/>
      <c r="AN653" s="56"/>
      <c r="AO653" s="27"/>
      <c r="AP653" s="56"/>
      <c r="AQ653" s="27"/>
      <c r="AR653" s="56"/>
      <c r="AS653" s="27"/>
      <c r="AT653" s="56"/>
      <c r="AU653" s="27"/>
      <c r="AV653" s="56"/>
      <c r="AW653" s="27"/>
      <c r="AX653" s="56"/>
      <c r="AY653" s="27"/>
      <c r="AZ653" s="56"/>
      <c r="BA653" s="27"/>
      <c r="BB653" s="48"/>
      <c r="BC653" s="48"/>
      <c r="BD653" s="48"/>
      <c r="BE653" s="48"/>
      <c r="BF653" s="48"/>
      <c r="BG653" s="48"/>
      <c r="BH653" s="48"/>
      <c r="BI653" s="48"/>
      <c r="BJ653" s="48"/>
      <c r="BK653" s="48"/>
      <c r="BL653" s="48"/>
      <c r="BM653" s="48"/>
      <c r="BN653" s="48"/>
      <c r="BO653" s="48"/>
      <c r="BP653" s="48"/>
      <c r="BQ653" s="48"/>
      <c r="BR653" s="48"/>
      <c r="BS653" s="48"/>
      <c r="BT653" s="48"/>
      <c r="BU653" s="48"/>
    </row>
    <row r="654" ht="15.75" customHeight="1">
      <c r="A654" s="48"/>
      <c r="B654" s="48"/>
      <c r="C654" s="48"/>
      <c r="D654" s="48"/>
      <c r="E654" s="27"/>
      <c r="F654" s="48"/>
      <c r="G654" s="48"/>
      <c r="H654" s="56"/>
      <c r="I654" s="56"/>
      <c r="J654" s="56"/>
      <c r="K654" s="56"/>
      <c r="L654" s="56"/>
      <c r="M654" s="56"/>
      <c r="N654" s="56"/>
      <c r="O654" s="56"/>
      <c r="P654" s="56"/>
      <c r="Q654" s="56"/>
      <c r="R654" s="56"/>
      <c r="S654" s="56"/>
      <c r="T654" s="56"/>
      <c r="U654" s="56"/>
      <c r="V654" s="56"/>
      <c r="W654" s="27"/>
      <c r="X654" s="56"/>
      <c r="Y654" s="27"/>
      <c r="Z654" s="56"/>
      <c r="AA654" s="27"/>
      <c r="AB654" s="56"/>
      <c r="AC654" s="27"/>
      <c r="AD654" s="56"/>
      <c r="AE654" s="27"/>
      <c r="AF654" s="56"/>
      <c r="AG654" s="27"/>
      <c r="AH654" s="286"/>
      <c r="AI654" s="27"/>
      <c r="AJ654" s="56"/>
      <c r="AK654" s="27"/>
      <c r="AL654" s="56"/>
      <c r="AM654" s="27"/>
      <c r="AN654" s="56"/>
      <c r="AO654" s="27"/>
      <c r="AP654" s="56"/>
      <c r="AQ654" s="27"/>
      <c r="AR654" s="56"/>
      <c r="AS654" s="27"/>
      <c r="AT654" s="56"/>
      <c r="AU654" s="27"/>
      <c r="AV654" s="56"/>
      <c r="AW654" s="27"/>
      <c r="AX654" s="56"/>
      <c r="AY654" s="27"/>
      <c r="AZ654" s="56"/>
      <c r="BA654" s="27"/>
      <c r="BB654" s="48"/>
      <c r="BC654" s="48"/>
      <c r="BD654" s="48"/>
      <c r="BE654" s="48"/>
      <c r="BF654" s="48"/>
      <c r="BG654" s="48"/>
      <c r="BH654" s="48"/>
      <c r="BI654" s="48"/>
      <c r="BJ654" s="48"/>
      <c r="BK654" s="48"/>
      <c r="BL654" s="48"/>
      <c r="BM654" s="48"/>
      <c r="BN654" s="48"/>
      <c r="BO654" s="48"/>
      <c r="BP654" s="48"/>
      <c r="BQ654" s="48"/>
      <c r="BR654" s="48"/>
      <c r="BS654" s="48"/>
      <c r="BT654" s="48"/>
      <c r="BU654" s="48"/>
    </row>
    <row r="655" ht="15.75" customHeight="1">
      <c r="A655" s="48"/>
      <c r="B655" s="48"/>
      <c r="C655" s="48"/>
      <c r="D655" s="48"/>
      <c r="E655" s="27"/>
      <c r="F655" s="48"/>
      <c r="G655" s="48"/>
      <c r="H655" s="56"/>
      <c r="I655" s="56"/>
      <c r="J655" s="56"/>
      <c r="K655" s="56"/>
      <c r="L655" s="56"/>
      <c r="M655" s="56"/>
      <c r="N655" s="56"/>
      <c r="O655" s="56"/>
      <c r="P655" s="56"/>
      <c r="Q655" s="56"/>
      <c r="R655" s="56"/>
      <c r="S655" s="56"/>
      <c r="T655" s="56"/>
      <c r="U655" s="56"/>
      <c r="V655" s="56"/>
      <c r="W655" s="27"/>
      <c r="X655" s="56"/>
      <c r="Y655" s="27"/>
      <c r="Z655" s="56"/>
      <c r="AA655" s="27"/>
      <c r="AB655" s="56"/>
      <c r="AC655" s="27"/>
      <c r="AD655" s="56"/>
      <c r="AE655" s="27"/>
      <c r="AF655" s="56"/>
      <c r="AG655" s="27"/>
      <c r="AH655" s="286"/>
      <c r="AI655" s="27"/>
      <c r="AJ655" s="56"/>
      <c r="AK655" s="27"/>
      <c r="AL655" s="56"/>
      <c r="AM655" s="27"/>
      <c r="AN655" s="56"/>
      <c r="AO655" s="27"/>
      <c r="AP655" s="56"/>
      <c r="AQ655" s="27"/>
      <c r="AR655" s="56"/>
      <c r="AS655" s="27"/>
      <c r="AT655" s="56"/>
      <c r="AU655" s="27"/>
      <c r="AV655" s="56"/>
      <c r="AW655" s="27"/>
      <c r="AX655" s="56"/>
      <c r="AY655" s="27"/>
      <c r="AZ655" s="56"/>
      <c r="BA655" s="27"/>
      <c r="BB655" s="48"/>
      <c r="BC655" s="48"/>
      <c r="BD655" s="48"/>
      <c r="BE655" s="48"/>
      <c r="BF655" s="48"/>
      <c r="BG655" s="48"/>
      <c r="BH655" s="48"/>
      <c r="BI655" s="48"/>
      <c r="BJ655" s="48"/>
      <c r="BK655" s="48"/>
      <c r="BL655" s="48"/>
      <c r="BM655" s="48"/>
      <c r="BN655" s="48"/>
      <c r="BO655" s="48"/>
      <c r="BP655" s="48"/>
      <c r="BQ655" s="48"/>
      <c r="BR655" s="48"/>
      <c r="BS655" s="48"/>
      <c r="BT655" s="48"/>
      <c r="BU655" s="48"/>
    </row>
    <row r="656" ht="15.75" customHeight="1">
      <c r="A656" s="48"/>
      <c r="B656" s="48"/>
      <c r="C656" s="48"/>
      <c r="D656" s="48"/>
      <c r="E656" s="27"/>
      <c r="F656" s="48"/>
      <c r="G656" s="48"/>
      <c r="H656" s="56"/>
      <c r="I656" s="56"/>
      <c r="J656" s="56"/>
      <c r="K656" s="56"/>
      <c r="L656" s="56"/>
      <c r="M656" s="56"/>
      <c r="N656" s="56"/>
      <c r="O656" s="56"/>
      <c r="P656" s="56"/>
      <c r="Q656" s="56"/>
      <c r="R656" s="56"/>
      <c r="S656" s="56"/>
      <c r="T656" s="56"/>
      <c r="U656" s="56"/>
      <c r="V656" s="56"/>
      <c r="W656" s="27"/>
      <c r="X656" s="56"/>
      <c r="Y656" s="27"/>
      <c r="Z656" s="56"/>
      <c r="AA656" s="27"/>
      <c r="AB656" s="56"/>
      <c r="AC656" s="27"/>
      <c r="AD656" s="56"/>
      <c r="AE656" s="27"/>
      <c r="AF656" s="56"/>
      <c r="AG656" s="27"/>
      <c r="AH656" s="286"/>
      <c r="AI656" s="27"/>
      <c r="AJ656" s="56"/>
      <c r="AK656" s="27"/>
      <c r="AL656" s="56"/>
      <c r="AM656" s="27"/>
      <c r="AN656" s="56"/>
      <c r="AO656" s="27"/>
      <c r="AP656" s="56"/>
      <c r="AQ656" s="27"/>
      <c r="AR656" s="56"/>
      <c r="AS656" s="27"/>
      <c r="AT656" s="56"/>
      <c r="AU656" s="27"/>
      <c r="AV656" s="56"/>
      <c r="AW656" s="27"/>
      <c r="AX656" s="56"/>
      <c r="AY656" s="27"/>
      <c r="AZ656" s="56"/>
      <c r="BA656" s="27"/>
      <c r="BB656" s="48"/>
      <c r="BC656" s="48"/>
      <c r="BD656" s="48"/>
      <c r="BE656" s="48"/>
      <c r="BF656" s="48"/>
      <c r="BG656" s="48"/>
      <c r="BH656" s="48"/>
      <c r="BI656" s="48"/>
      <c r="BJ656" s="48"/>
      <c r="BK656" s="48"/>
      <c r="BL656" s="48"/>
      <c r="BM656" s="48"/>
      <c r="BN656" s="48"/>
      <c r="BO656" s="48"/>
      <c r="BP656" s="48"/>
      <c r="BQ656" s="48"/>
      <c r="BR656" s="48"/>
      <c r="BS656" s="48"/>
      <c r="BT656" s="48"/>
      <c r="BU656" s="48"/>
    </row>
    <row r="657" ht="15.75" customHeight="1">
      <c r="A657" s="48"/>
      <c r="B657" s="48"/>
      <c r="C657" s="48"/>
      <c r="D657" s="48"/>
      <c r="E657" s="27"/>
      <c r="F657" s="48"/>
      <c r="G657" s="48"/>
      <c r="H657" s="56"/>
      <c r="I657" s="56"/>
      <c r="J657" s="56"/>
      <c r="K657" s="56"/>
      <c r="L657" s="56"/>
      <c r="M657" s="56"/>
      <c r="N657" s="56"/>
      <c r="O657" s="56"/>
      <c r="P657" s="56"/>
      <c r="Q657" s="56"/>
      <c r="R657" s="56"/>
      <c r="S657" s="56"/>
      <c r="T657" s="56"/>
      <c r="U657" s="56"/>
      <c r="V657" s="56"/>
      <c r="W657" s="27"/>
      <c r="X657" s="56"/>
      <c r="Y657" s="27"/>
      <c r="Z657" s="56"/>
      <c r="AA657" s="27"/>
      <c r="AB657" s="56"/>
      <c r="AC657" s="27"/>
      <c r="AD657" s="56"/>
      <c r="AE657" s="27"/>
      <c r="AF657" s="56"/>
      <c r="AG657" s="27"/>
      <c r="AH657" s="286"/>
      <c r="AI657" s="27"/>
      <c r="AJ657" s="56"/>
      <c r="AK657" s="27"/>
      <c r="AL657" s="56"/>
      <c r="AM657" s="27"/>
      <c r="AN657" s="56"/>
      <c r="AO657" s="27"/>
      <c r="AP657" s="56"/>
      <c r="AQ657" s="27"/>
      <c r="AR657" s="56"/>
      <c r="AS657" s="27"/>
      <c r="AT657" s="56"/>
      <c r="AU657" s="27"/>
      <c r="AV657" s="56"/>
      <c r="AW657" s="27"/>
      <c r="AX657" s="56"/>
      <c r="AY657" s="27"/>
      <c r="AZ657" s="56"/>
      <c r="BA657" s="27"/>
      <c r="BB657" s="48"/>
      <c r="BC657" s="48"/>
      <c r="BD657" s="48"/>
      <c r="BE657" s="48"/>
      <c r="BF657" s="48"/>
      <c r="BG657" s="48"/>
      <c r="BH657" s="48"/>
      <c r="BI657" s="48"/>
      <c r="BJ657" s="48"/>
      <c r="BK657" s="48"/>
      <c r="BL657" s="48"/>
      <c r="BM657" s="48"/>
      <c r="BN657" s="48"/>
      <c r="BO657" s="48"/>
      <c r="BP657" s="48"/>
      <c r="BQ657" s="48"/>
      <c r="BR657" s="48"/>
      <c r="BS657" s="48"/>
      <c r="BT657" s="48"/>
      <c r="BU657" s="48"/>
    </row>
    <row r="658" ht="15.75" customHeight="1">
      <c r="A658" s="48"/>
      <c r="B658" s="48"/>
      <c r="C658" s="48"/>
      <c r="D658" s="48"/>
      <c r="E658" s="27"/>
      <c r="F658" s="48"/>
      <c r="G658" s="48"/>
      <c r="H658" s="56"/>
      <c r="I658" s="56"/>
      <c r="J658" s="56"/>
      <c r="K658" s="56"/>
      <c r="L658" s="56"/>
      <c r="M658" s="56"/>
      <c r="N658" s="56"/>
      <c r="O658" s="56"/>
      <c r="P658" s="56"/>
      <c r="Q658" s="56"/>
      <c r="R658" s="56"/>
      <c r="S658" s="56"/>
      <c r="T658" s="56"/>
      <c r="U658" s="56"/>
      <c r="V658" s="56"/>
      <c r="W658" s="27"/>
      <c r="X658" s="56"/>
      <c r="Y658" s="27"/>
      <c r="Z658" s="56"/>
      <c r="AA658" s="27"/>
      <c r="AB658" s="56"/>
      <c r="AC658" s="27"/>
      <c r="AD658" s="56"/>
      <c r="AE658" s="27"/>
      <c r="AF658" s="56"/>
      <c r="AG658" s="27"/>
      <c r="AH658" s="286"/>
      <c r="AI658" s="27"/>
      <c r="AJ658" s="56"/>
      <c r="AK658" s="27"/>
      <c r="AL658" s="56"/>
      <c r="AM658" s="27"/>
      <c r="AN658" s="56"/>
      <c r="AO658" s="27"/>
      <c r="AP658" s="56"/>
      <c r="AQ658" s="27"/>
      <c r="AR658" s="56"/>
      <c r="AS658" s="27"/>
      <c r="AT658" s="56"/>
      <c r="AU658" s="27"/>
      <c r="AV658" s="56"/>
      <c r="AW658" s="27"/>
      <c r="AX658" s="56"/>
      <c r="AY658" s="27"/>
      <c r="AZ658" s="56"/>
      <c r="BA658" s="27"/>
      <c r="BB658" s="48"/>
      <c r="BC658" s="48"/>
      <c r="BD658" s="48"/>
      <c r="BE658" s="48"/>
      <c r="BF658" s="48"/>
      <c r="BG658" s="48"/>
      <c r="BH658" s="48"/>
      <c r="BI658" s="48"/>
      <c r="BJ658" s="48"/>
      <c r="BK658" s="48"/>
      <c r="BL658" s="48"/>
      <c r="BM658" s="48"/>
      <c r="BN658" s="48"/>
      <c r="BO658" s="48"/>
      <c r="BP658" s="48"/>
      <c r="BQ658" s="48"/>
      <c r="BR658" s="48"/>
      <c r="BS658" s="48"/>
      <c r="BT658" s="48"/>
      <c r="BU658" s="48"/>
    </row>
    <row r="659" ht="15.75" customHeight="1">
      <c r="A659" s="48"/>
      <c r="B659" s="48"/>
      <c r="C659" s="48"/>
      <c r="D659" s="48"/>
      <c r="E659" s="27"/>
      <c r="F659" s="48"/>
      <c r="G659" s="48"/>
      <c r="H659" s="56"/>
      <c r="I659" s="56"/>
      <c r="J659" s="56"/>
      <c r="K659" s="56"/>
      <c r="L659" s="56"/>
      <c r="M659" s="56"/>
      <c r="N659" s="56"/>
      <c r="O659" s="56"/>
      <c r="P659" s="56"/>
      <c r="Q659" s="56"/>
      <c r="R659" s="56"/>
      <c r="S659" s="56"/>
      <c r="T659" s="56"/>
      <c r="U659" s="56"/>
      <c r="V659" s="56"/>
      <c r="W659" s="27"/>
      <c r="X659" s="56"/>
      <c r="Y659" s="27"/>
      <c r="Z659" s="56"/>
      <c r="AA659" s="27"/>
      <c r="AB659" s="56"/>
      <c r="AC659" s="27"/>
      <c r="AD659" s="56"/>
      <c r="AE659" s="27"/>
      <c r="AF659" s="56"/>
      <c r="AG659" s="27"/>
      <c r="AH659" s="286"/>
      <c r="AI659" s="27"/>
      <c r="AJ659" s="56"/>
      <c r="AK659" s="27"/>
      <c r="AL659" s="56"/>
      <c r="AM659" s="27"/>
      <c r="AN659" s="56"/>
      <c r="AO659" s="27"/>
      <c r="AP659" s="56"/>
      <c r="AQ659" s="27"/>
      <c r="AR659" s="56"/>
      <c r="AS659" s="27"/>
      <c r="AT659" s="56"/>
      <c r="AU659" s="27"/>
      <c r="AV659" s="56"/>
      <c r="AW659" s="27"/>
      <c r="AX659" s="56"/>
      <c r="AY659" s="27"/>
      <c r="AZ659" s="56"/>
      <c r="BA659" s="27"/>
      <c r="BB659" s="48"/>
      <c r="BC659" s="48"/>
      <c r="BD659" s="48"/>
      <c r="BE659" s="48"/>
      <c r="BF659" s="48"/>
      <c r="BG659" s="48"/>
      <c r="BH659" s="48"/>
      <c r="BI659" s="48"/>
      <c r="BJ659" s="48"/>
      <c r="BK659" s="48"/>
      <c r="BL659" s="48"/>
      <c r="BM659" s="48"/>
      <c r="BN659" s="48"/>
      <c r="BO659" s="48"/>
      <c r="BP659" s="48"/>
      <c r="BQ659" s="48"/>
      <c r="BR659" s="48"/>
      <c r="BS659" s="48"/>
      <c r="BT659" s="48"/>
      <c r="BU659" s="48"/>
    </row>
    <row r="660" ht="15.75" customHeight="1">
      <c r="A660" s="48"/>
      <c r="B660" s="48"/>
      <c r="C660" s="48"/>
      <c r="D660" s="48"/>
      <c r="E660" s="27"/>
      <c r="F660" s="48"/>
      <c r="G660" s="48"/>
      <c r="H660" s="56"/>
      <c r="I660" s="56"/>
      <c r="J660" s="56"/>
      <c r="K660" s="56"/>
      <c r="L660" s="56"/>
      <c r="M660" s="56"/>
      <c r="N660" s="56"/>
      <c r="O660" s="56"/>
      <c r="P660" s="56"/>
      <c r="Q660" s="56"/>
      <c r="R660" s="56"/>
      <c r="S660" s="56"/>
      <c r="T660" s="56"/>
      <c r="U660" s="56"/>
      <c r="V660" s="56"/>
      <c r="W660" s="27"/>
      <c r="X660" s="56"/>
      <c r="Y660" s="27"/>
      <c r="Z660" s="56"/>
      <c r="AA660" s="27"/>
      <c r="AB660" s="56"/>
      <c r="AC660" s="27"/>
      <c r="AD660" s="56"/>
      <c r="AE660" s="27"/>
      <c r="AF660" s="56"/>
      <c r="AG660" s="27"/>
      <c r="AH660" s="286"/>
      <c r="AI660" s="27"/>
      <c r="AJ660" s="56"/>
      <c r="AK660" s="27"/>
      <c r="AL660" s="56"/>
      <c r="AM660" s="27"/>
      <c r="AN660" s="56"/>
      <c r="AO660" s="27"/>
      <c r="AP660" s="56"/>
      <c r="AQ660" s="27"/>
      <c r="AR660" s="56"/>
      <c r="AS660" s="27"/>
      <c r="AT660" s="56"/>
      <c r="AU660" s="27"/>
      <c r="AV660" s="56"/>
      <c r="AW660" s="27"/>
      <c r="AX660" s="56"/>
      <c r="AY660" s="27"/>
      <c r="AZ660" s="56"/>
      <c r="BA660" s="27"/>
      <c r="BB660" s="48"/>
      <c r="BC660" s="48"/>
      <c r="BD660" s="48"/>
      <c r="BE660" s="48"/>
      <c r="BF660" s="48"/>
      <c r="BG660" s="48"/>
      <c r="BH660" s="48"/>
      <c r="BI660" s="48"/>
      <c r="BJ660" s="48"/>
      <c r="BK660" s="48"/>
      <c r="BL660" s="48"/>
      <c r="BM660" s="48"/>
      <c r="BN660" s="48"/>
      <c r="BO660" s="48"/>
      <c r="BP660" s="48"/>
      <c r="BQ660" s="48"/>
      <c r="BR660" s="48"/>
      <c r="BS660" s="48"/>
      <c r="BT660" s="48"/>
      <c r="BU660" s="48"/>
    </row>
    <row r="661" ht="15.75" customHeight="1">
      <c r="A661" s="48"/>
      <c r="B661" s="48"/>
      <c r="C661" s="48"/>
      <c r="D661" s="48"/>
      <c r="E661" s="27"/>
      <c r="F661" s="48"/>
      <c r="G661" s="48"/>
      <c r="H661" s="56"/>
      <c r="I661" s="56"/>
      <c r="J661" s="56"/>
      <c r="K661" s="56"/>
      <c r="L661" s="56"/>
      <c r="M661" s="56"/>
      <c r="N661" s="56"/>
      <c r="O661" s="56"/>
      <c r="P661" s="56"/>
      <c r="Q661" s="56"/>
      <c r="R661" s="56"/>
      <c r="S661" s="56"/>
      <c r="T661" s="56"/>
      <c r="U661" s="56"/>
      <c r="V661" s="56"/>
      <c r="W661" s="27"/>
      <c r="X661" s="56"/>
      <c r="Y661" s="27"/>
      <c r="Z661" s="56"/>
      <c r="AA661" s="27"/>
      <c r="AB661" s="56"/>
      <c r="AC661" s="27"/>
      <c r="AD661" s="56"/>
      <c r="AE661" s="27"/>
      <c r="AF661" s="56"/>
      <c r="AG661" s="27"/>
      <c r="AH661" s="286"/>
      <c r="AI661" s="27"/>
      <c r="AJ661" s="56"/>
      <c r="AK661" s="27"/>
      <c r="AL661" s="56"/>
      <c r="AM661" s="27"/>
      <c r="AN661" s="56"/>
      <c r="AO661" s="27"/>
      <c r="AP661" s="56"/>
      <c r="AQ661" s="27"/>
      <c r="AR661" s="56"/>
      <c r="AS661" s="27"/>
      <c r="AT661" s="56"/>
      <c r="AU661" s="27"/>
      <c r="AV661" s="56"/>
      <c r="AW661" s="27"/>
      <c r="AX661" s="56"/>
      <c r="AY661" s="27"/>
      <c r="AZ661" s="56"/>
      <c r="BA661" s="27"/>
      <c r="BB661" s="48"/>
      <c r="BC661" s="48"/>
      <c r="BD661" s="48"/>
      <c r="BE661" s="48"/>
      <c r="BF661" s="48"/>
      <c r="BG661" s="48"/>
      <c r="BH661" s="48"/>
      <c r="BI661" s="48"/>
      <c r="BJ661" s="48"/>
      <c r="BK661" s="48"/>
      <c r="BL661" s="48"/>
      <c r="BM661" s="48"/>
      <c r="BN661" s="48"/>
      <c r="BO661" s="48"/>
      <c r="BP661" s="48"/>
      <c r="BQ661" s="48"/>
      <c r="BR661" s="48"/>
      <c r="BS661" s="48"/>
      <c r="BT661" s="48"/>
      <c r="BU661" s="48"/>
    </row>
    <row r="662" ht="15.75" customHeight="1">
      <c r="A662" s="48"/>
      <c r="B662" s="48"/>
      <c r="C662" s="48"/>
      <c r="D662" s="48"/>
      <c r="E662" s="27"/>
      <c r="F662" s="48"/>
      <c r="G662" s="48"/>
      <c r="H662" s="56"/>
      <c r="I662" s="56"/>
      <c r="J662" s="56"/>
      <c r="K662" s="56"/>
      <c r="L662" s="56"/>
      <c r="M662" s="56"/>
      <c r="N662" s="56"/>
      <c r="O662" s="56"/>
      <c r="P662" s="56"/>
      <c r="Q662" s="56"/>
      <c r="R662" s="56"/>
      <c r="S662" s="56"/>
      <c r="T662" s="56"/>
      <c r="U662" s="56"/>
      <c r="V662" s="56"/>
      <c r="W662" s="27"/>
      <c r="X662" s="56"/>
      <c r="Y662" s="27"/>
      <c r="Z662" s="56"/>
      <c r="AA662" s="27"/>
      <c r="AB662" s="56"/>
      <c r="AC662" s="27"/>
      <c r="AD662" s="56"/>
      <c r="AE662" s="27"/>
      <c r="AF662" s="56"/>
      <c r="AG662" s="27"/>
      <c r="AH662" s="286"/>
      <c r="AI662" s="27"/>
      <c r="AJ662" s="56"/>
      <c r="AK662" s="27"/>
      <c r="AL662" s="56"/>
      <c r="AM662" s="27"/>
      <c r="AN662" s="56"/>
      <c r="AO662" s="27"/>
      <c r="AP662" s="56"/>
      <c r="AQ662" s="27"/>
      <c r="AR662" s="56"/>
      <c r="AS662" s="27"/>
      <c r="AT662" s="56"/>
      <c r="AU662" s="27"/>
      <c r="AV662" s="56"/>
      <c r="AW662" s="27"/>
      <c r="AX662" s="56"/>
      <c r="AY662" s="27"/>
      <c r="AZ662" s="56"/>
      <c r="BA662" s="27"/>
      <c r="BB662" s="48"/>
      <c r="BC662" s="48"/>
      <c r="BD662" s="48"/>
      <c r="BE662" s="48"/>
      <c r="BF662" s="48"/>
      <c r="BG662" s="48"/>
      <c r="BH662" s="48"/>
      <c r="BI662" s="48"/>
      <c r="BJ662" s="48"/>
      <c r="BK662" s="48"/>
      <c r="BL662" s="48"/>
      <c r="BM662" s="48"/>
      <c r="BN662" s="48"/>
      <c r="BO662" s="48"/>
      <c r="BP662" s="48"/>
      <c r="BQ662" s="48"/>
      <c r="BR662" s="48"/>
      <c r="BS662" s="48"/>
      <c r="BT662" s="48"/>
      <c r="BU662" s="48"/>
    </row>
    <row r="663" ht="15.75" customHeight="1">
      <c r="A663" s="48"/>
      <c r="B663" s="48"/>
      <c r="C663" s="48"/>
      <c r="D663" s="48"/>
      <c r="E663" s="27"/>
      <c r="F663" s="48"/>
      <c r="G663" s="48"/>
      <c r="H663" s="56"/>
      <c r="I663" s="56"/>
      <c r="J663" s="56"/>
      <c r="K663" s="56"/>
      <c r="L663" s="56"/>
      <c r="M663" s="56"/>
      <c r="N663" s="56"/>
      <c r="O663" s="56"/>
      <c r="P663" s="56"/>
      <c r="Q663" s="56"/>
      <c r="R663" s="56"/>
      <c r="S663" s="56"/>
      <c r="T663" s="56"/>
      <c r="U663" s="56"/>
      <c r="V663" s="56"/>
      <c r="W663" s="27"/>
      <c r="X663" s="56"/>
      <c r="Y663" s="27"/>
      <c r="Z663" s="56"/>
      <c r="AA663" s="27"/>
      <c r="AB663" s="56"/>
      <c r="AC663" s="27"/>
      <c r="AD663" s="56"/>
      <c r="AE663" s="27"/>
      <c r="AF663" s="56"/>
      <c r="AG663" s="27"/>
      <c r="AH663" s="286"/>
      <c r="AI663" s="27"/>
      <c r="AJ663" s="56"/>
      <c r="AK663" s="27"/>
      <c r="AL663" s="56"/>
      <c r="AM663" s="27"/>
      <c r="AN663" s="56"/>
      <c r="AO663" s="27"/>
      <c r="AP663" s="56"/>
      <c r="AQ663" s="27"/>
      <c r="AR663" s="56"/>
      <c r="AS663" s="27"/>
      <c r="AT663" s="56"/>
      <c r="AU663" s="27"/>
      <c r="AV663" s="56"/>
      <c r="AW663" s="27"/>
      <c r="AX663" s="56"/>
      <c r="AY663" s="27"/>
      <c r="AZ663" s="56"/>
      <c r="BA663" s="27"/>
      <c r="BB663" s="48"/>
      <c r="BC663" s="48"/>
      <c r="BD663" s="48"/>
      <c r="BE663" s="48"/>
      <c r="BF663" s="48"/>
      <c r="BG663" s="48"/>
      <c r="BH663" s="48"/>
      <c r="BI663" s="48"/>
      <c r="BJ663" s="48"/>
      <c r="BK663" s="48"/>
      <c r="BL663" s="48"/>
      <c r="BM663" s="48"/>
      <c r="BN663" s="48"/>
      <c r="BO663" s="48"/>
      <c r="BP663" s="48"/>
      <c r="BQ663" s="48"/>
      <c r="BR663" s="48"/>
      <c r="BS663" s="48"/>
      <c r="BT663" s="48"/>
      <c r="BU663" s="48"/>
    </row>
    <row r="664" ht="15.75" customHeight="1">
      <c r="A664" s="48"/>
      <c r="B664" s="48"/>
      <c r="C664" s="48"/>
      <c r="D664" s="48"/>
      <c r="E664" s="27"/>
      <c r="F664" s="48"/>
      <c r="G664" s="48"/>
      <c r="H664" s="56"/>
      <c r="I664" s="56"/>
      <c r="J664" s="56"/>
      <c r="K664" s="56"/>
      <c r="L664" s="56"/>
      <c r="M664" s="56"/>
      <c r="N664" s="56"/>
      <c r="O664" s="56"/>
      <c r="P664" s="56"/>
      <c r="Q664" s="56"/>
      <c r="R664" s="56"/>
      <c r="S664" s="56"/>
      <c r="T664" s="56"/>
      <c r="U664" s="56"/>
      <c r="V664" s="56"/>
      <c r="W664" s="27"/>
      <c r="X664" s="56"/>
      <c r="Y664" s="27"/>
      <c r="Z664" s="56"/>
      <c r="AA664" s="27"/>
      <c r="AB664" s="56"/>
      <c r="AC664" s="27"/>
      <c r="AD664" s="56"/>
      <c r="AE664" s="27"/>
      <c r="AF664" s="56"/>
      <c r="AG664" s="27"/>
      <c r="AH664" s="286"/>
      <c r="AI664" s="27"/>
      <c r="AJ664" s="56"/>
      <c r="AK664" s="27"/>
      <c r="AL664" s="56"/>
      <c r="AM664" s="27"/>
      <c r="AN664" s="56"/>
      <c r="AO664" s="27"/>
      <c r="AP664" s="56"/>
      <c r="AQ664" s="27"/>
      <c r="AR664" s="56"/>
      <c r="AS664" s="27"/>
      <c r="AT664" s="56"/>
      <c r="AU664" s="27"/>
      <c r="AV664" s="56"/>
      <c r="AW664" s="27"/>
      <c r="AX664" s="56"/>
      <c r="AY664" s="27"/>
      <c r="AZ664" s="56"/>
      <c r="BA664" s="27"/>
      <c r="BB664" s="48"/>
      <c r="BC664" s="48"/>
      <c r="BD664" s="48"/>
      <c r="BE664" s="48"/>
      <c r="BF664" s="48"/>
      <c r="BG664" s="48"/>
      <c r="BH664" s="48"/>
      <c r="BI664" s="48"/>
      <c r="BJ664" s="48"/>
      <c r="BK664" s="48"/>
      <c r="BL664" s="48"/>
      <c r="BM664" s="48"/>
      <c r="BN664" s="48"/>
      <c r="BO664" s="48"/>
      <c r="BP664" s="48"/>
      <c r="BQ664" s="48"/>
      <c r="BR664" s="48"/>
      <c r="BS664" s="48"/>
      <c r="BT664" s="48"/>
      <c r="BU664" s="48"/>
    </row>
    <row r="665" ht="15.75" customHeight="1">
      <c r="A665" s="48"/>
      <c r="B665" s="48"/>
      <c r="C665" s="48"/>
      <c r="D665" s="48"/>
      <c r="E665" s="27"/>
      <c r="F665" s="48"/>
      <c r="G665" s="48"/>
      <c r="H665" s="56"/>
      <c r="I665" s="56"/>
      <c r="J665" s="56"/>
      <c r="K665" s="56"/>
      <c r="L665" s="56"/>
      <c r="M665" s="56"/>
      <c r="N665" s="56"/>
      <c r="O665" s="56"/>
      <c r="P665" s="56"/>
      <c r="Q665" s="56"/>
      <c r="R665" s="56"/>
      <c r="S665" s="56"/>
      <c r="T665" s="56"/>
      <c r="U665" s="56"/>
      <c r="V665" s="56"/>
      <c r="W665" s="27"/>
      <c r="X665" s="56"/>
      <c r="Y665" s="27"/>
      <c r="Z665" s="56"/>
      <c r="AA665" s="27"/>
      <c r="AB665" s="56"/>
      <c r="AC665" s="27"/>
      <c r="AD665" s="56"/>
      <c r="AE665" s="27"/>
      <c r="AF665" s="56"/>
      <c r="AG665" s="27"/>
      <c r="AH665" s="286"/>
      <c r="AI665" s="27"/>
      <c r="AJ665" s="56"/>
      <c r="AK665" s="27"/>
      <c r="AL665" s="56"/>
      <c r="AM665" s="27"/>
      <c r="AN665" s="56"/>
      <c r="AO665" s="27"/>
      <c r="AP665" s="56"/>
      <c r="AQ665" s="27"/>
      <c r="AR665" s="56"/>
      <c r="AS665" s="27"/>
      <c r="AT665" s="56"/>
      <c r="AU665" s="27"/>
      <c r="AV665" s="56"/>
      <c r="AW665" s="27"/>
      <c r="AX665" s="56"/>
      <c r="AY665" s="27"/>
      <c r="AZ665" s="56"/>
      <c r="BA665" s="27"/>
      <c r="BB665" s="48"/>
      <c r="BC665" s="48"/>
      <c r="BD665" s="48"/>
      <c r="BE665" s="48"/>
      <c r="BF665" s="48"/>
      <c r="BG665" s="48"/>
      <c r="BH665" s="48"/>
      <c r="BI665" s="48"/>
      <c r="BJ665" s="48"/>
      <c r="BK665" s="48"/>
      <c r="BL665" s="48"/>
      <c r="BM665" s="48"/>
      <c r="BN665" s="48"/>
      <c r="BO665" s="48"/>
      <c r="BP665" s="48"/>
      <c r="BQ665" s="48"/>
      <c r="BR665" s="48"/>
      <c r="BS665" s="48"/>
      <c r="BT665" s="48"/>
      <c r="BU665" s="48"/>
    </row>
    <row r="666" ht="15.75" customHeight="1">
      <c r="A666" s="48"/>
      <c r="B666" s="48"/>
      <c r="C666" s="48"/>
      <c r="D666" s="48"/>
      <c r="E666" s="27"/>
      <c r="F666" s="48"/>
      <c r="G666" s="48"/>
      <c r="H666" s="56"/>
      <c r="I666" s="56"/>
      <c r="J666" s="56"/>
      <c r="K666" s="56"/>
      <c r="L666" s="56"/>
      <c r="M666" s="56"/>
      <c r="N666" s="56"/>
      <c r="O666" s="56"/>
      <c r="P666" s="56"/>
      <c r="Q666" s="56"/>
      <c r="R666" s="56"/>
      <c r="S666" s="56"/>
      <c r="T666" s="56"/>
      <c r="U666" s="56"/>
      <c r="V666" s="56"/>
      <c r="W666" s="27"/>
      <c r="X666" s="56"/>
      <c r="Y666" s="27"/>
      <c r="Z666" s="56"/>
      <c r="AA666" s="27"/>
      <c r="AB666" s="56"/>
      <c r="AC666" s="27"/>
      <c r="AD666" s="56"/>
      <c r="AE666" s="27"/>
      <c r="AF666" s="56"/>
      <c r="AG666" s="27"/>
      <c r="AH666" s="286"/>
      <c r="AI666" s="27"/>
      <c r="AJ666" s="56"/>
      <c r="AK666" s="27"/>
      <c r="AL666" s="56"/>
      <c r="AM666" s="27"/>
      <c r="AN666" s="56"/>
      <c r="AO666" s="27"/>
      <c r="AP666" s="56"/>
      <c r="AQ666" s="27"/>
      <c r="AR666" s="56"/>
      <c r="AS666" s="27"/>
      <c r="AT666" s="56"/>
      <c r="AU666" s="27"/>
      <c r="AV666" s="56"/>
      <c r="AW666" s="27"/>
      <c r="AX666" s="56"/>
      <c r="AY666" s="27"/>
      <c r="AZ666" s="56"/>
      <c r="BA666" s="27"/>
      <c r="BB666" s="48"/>
      <c r="BC666" s="48"/>
      <c r="BD666" s="48"/>
      <c r="BE666" s="48"/>
      <c r="BF666" s="48"/>
      <c r="BG666" s="48"/>
      <c r="BH666" s="48"/>
      <c r="BI666" s="48"/>
      <c r="BJ666" s="48"/>
      <c r="BK666" s="48"/>
      <c r="BL666" s="48"/>
      <c r="BM666" s="48"/>
      <c r="BN666" s="48"/>
      <c r="BO666" s="48"/>
      <c r="BP666" s="48"/>
      <c r="BQ666" s="48"/>
      <c r="BR666" s="48"/>
      <c r="BS666" s="48"/>
      <c r="BT666" s="48"/>
      <c r="BU666" s="48"/>
    </row>
    <row r="667" ht="15.75" customHeight="1">
      <c r="A667" s="48"/>
      <c r="B667" s="48"/>
      <c r="C667" s="48"/>
      <c r="D667" s="48"/>
      <c r="E667" s="27"/>
      <c r="F667" s="48"/>
      <c r="G667" s="48"/>
      <c r="H667" s="56"/>
      <c r="I667" s="56"/>
      <c r="J667" s="56"/>
      <c r="K667" s="56"/>
      <c r="L667" s="56"/>
      <c r="M667" s="56"/>
      <c r="N667" s="56"/>
      <c r="O667" s="56"/>
      <c r="P667" s="56"/>
      <c r="Q667" s="56"/>
      <c r="R667" s="56"/>
      <c r="S667" s="56"/>
      <c r="T667" s="56"/>
      <c r="U667" s="56"/>
      <c r="V667" s="56"/>
      <c r="W667" s="27"/>
      <c r="X667" s="56"/>
      <c r="Y667" s="27"/>
      <c r="Z667" s="56"/>
      <c r="AA667" s="27"/>
      <c r="AB667" s="56"/>
      <c r="AC667" s="27"/>
      <c r="AD667" s="56"/>
      <c r="AE667" s="27"/>
      <c r="AF667" s="56"/>
      <c r="AG667" s="27"/>
      <c r="AH667" s="286"/>
      <c r="AI667" s="27"/>
      <c r="AJ667" s="56"/>
      <c r="AK667" s="27"/>
      <c r="AL667" s="56"/>
      <c r="AM667" s="27"/>
      <c r="AN667" s="56"/>
      <c r="AO667" s="27"/>
      <c r="AP667" s="56"/>
      <c r="AQ667" s="27"/>
      <c r="AR667" s="56"/>
      <c r="AS667" s="27"/>
      <c r="AT667" s="56"/>
      <c r="AU667" s="27"/>
      <c r="AV667" s="56"/>
      <c r="AW667" s="27"/>
      <c r="AX667" s="56"/>
      <c r="AY667" s="27"/>
      <c r="AZ667" s="56"/>
      <c r="BA667" s="27"/>
      <c r="BB667" s="48"/>
      <c r="BC667" s="48"/>
      <c r="BD667" s="48"/>
      <c r="BE667" s="48"/>
      <c r="BF667" s="48"/>
      <c r="BG667" s="48"/>
      <c r="BH667" s="48"/>
      <c r="BI667" s="48"/>
      <c r="BJ667" s="48"/>
      <c r="BK667" s="48"/>
      <c r="BL667" s="48"/>
      <c r="BM667" s="48"/>
      <c r="BN667" s="48"/>
      <c r="BO667" s="48"/>
      <c r="BP667" s="48"/>
      <c r="BQ667" s="48"/>
      <c r="BR667" s="48"/>
      <c r="BS667" s="48"/>
      <c r="BT667" s="48"/>
      <c r="BU667" s="48"/>
    </row>
    <row r="668" ht="15.75" customHeight="1">
      <c r="A668" s="48"/>
      <c r="B668" s="48"/>
      <c r="C668" s="48"/>
      <c r="D668" s="48"/>
      <c r="E668" s="27"/>
      <c r="F668" s="48"/>
      <c r="G668" s="48"/>
      <c r="H668" s="56"/>
      <c r="I668" s="56"/>
      <c r="J668" s="56"/>
      <c r="K668" s="56"/>
      <c r="L668" s="56"/>
      <c r="M668" s="56"/>
      <c r="N668" s="56"/>
      <c r="O668" s="56"/>
      <c r="P668" s="56"/>
      <c r="Q668" s="56"/>
      <c r="R668" s="56"/>
      <c r="S668" s="56"/>
      <c r="T668" s="56"/>
      <c r="U668" s="56"/>
      <c r="V668" s="56"/>
      <c r="W668" s="27"/>
      <c r="X668" s="56"/>
      <c r="Y668" s="27"/>
      <c r="Z668" s="56"/>
      <c r="AA668" s="27"/>
      <c r="AB668" s="56"/>
      <c r="AC668" s="27"/>
      <c r="AD668" s="56"/>
      <c r="AE668" s="27"/>
      <c r="AF668" s="56"/>
      <c r="AG668" s="27"/>
      <c r="AH668" s="286"/>
      <c r="AI668" s="27"/>
      <c r="AJ668" s="56"/>
      <c r="AK668" s="27"/>
      <c r="AL668" s="56"/>
      <c r="AM668" s="27"/>
      <c r="AN668" s="56"/>
      <c r="AO668" s="27"/>
      <c r="AP668" s="56"/>
      <c r="AQ668" s="27"/>
      <c r="AR668" s="56"/>
      <c r="AS668" s="27"/>
      <c r="AT668" s="56"/>
      <c r="AU668" s="27"/>
      <c r="AV668" s="56"/>
      <c r="AW668" s="27"/>
      <c r="AX668" s="56"/>
      <c r="AY668" s="27"/>
      <c r="AZ668" s="56"/>
      <c r="BA668" s="27"/>
      <c r="BB668" s="48"/>
      <c r="BC668" s="48"/>
      <c r="BD668" s="48"/>
      <c r="BE668" s="48"/>
      <c r="BF668" s="48"/>
      <c r="BG668" s="48"/>
      <c r="BH668" s="48"/>
      <c r="BI668" s="48"/>
      <c r="BJ668" s="48"/>
      <c r="BK668" s="48"/>
      <c r="BL668" s="48"/>
      <c r="BM668" s="48"/>
      <c r="BN668" s="48"/>
      <c r="BO668" s="48"/>
      <c r="BP668" s="48"/>
      <c r="BQ668" s="48"/>
      <c r="BR668" s="48"/>
      <c r="BS668" s="48"/>
      <c r="BT668" s="48"/>
      <c r="BU668" s="48"/>
    </row>
    <row r="669" ht="15.75" customHeight="1">
      <c r="A669" s="48"/>
      <c r="B669" s="48"/>
      <c r="C669" s="48"/>
      <c r="D669" s="48"/>
      <c r="E669" s="27"/>
      <c r="F669" s="48"/>
      <c r="G669" s="48"/>
      <c r="H669" s="56"/>
      <c r="I669" s="56"/>
      <c r="J669" s="56"/>
      <c r="K669" s="56"/>
      <c r="L669" s="56"/>
      <c r="M669" s="56"/>
      <c r="N669" s="56"/>
      <c r="O669" s="56"/>
      <c r="P669" s="56"/>
      <c r="Q669" s="56"/>
      <c r="R669" s="56"/>
      <c r="S669" s="56"/>
      <c r="T669" s="56"/>
      <c r="U669" s="56"/>
      <c r="V669" s="56"/>
      <c r="W669" s="27"/>
      <c r="X669" s="56"/>
      <c r="Y669" s="27"/>
      <c r="Z669" s="56"/>
      <c r="AA669" s="27"/>
      <c r="AB669" s="56"/>
      <c r="AC669" s="27"/>
      <c r="AD669" s="56"/>
      <c r="AE669" s="27"/>
      <c r="AF669" s="56"/>
      <c r="AG669" s="27"/>
      <c r="AH669" s="286"/>
      <c r="AI669" s="27"/>
      <c r="AJ669" s="56"/>
      <c r="AK669" s="27"/>
      <c r="AL669" s="56"/>
      <c r="AM669" s="27"/>
      <c r="AN669" s="56"/>
      <c r="AO669" s="27"/>
      <c r="AP669" s="56"/>
      <c r="AQ669" s="27"/>
      <c r="AR669" s="56"/>
      <c r="AS669" s="27"/>
      <c r="AT669" s="56"/>
      <c r="AU669" s="27"/>
      <c r="AV669" s="56"/>
      <c r="AW669" s="27"/>
      <c r="AX669" s="56"/>
      <c r="AY669" s="27"/>
      <c r="AZ669" s="56"/>
      <c r="BA669" s="27"/>
      <c r="BB669" s="48"/>
      <c r="BC669" s="48"/>
      <c r="BD669" s="48"/>
      <c r="BE669" s="48"/>
      <c r="BF669" s="48"/>
      <c r="BG669" s="48"/>
      <c r="BH669" s="48"/>
      <c r="BI669" s="48"/>
      <c r="BJ669" s="48"/>
      <c r="BK669" s="48"/>
      <c r="BL669" s="48"/>
      <c r="BM669" s="48"/>
      <c r="BN669" s="48"/>
      <c r="BO669" s="48"/>
      <c r="BP669" s="48"/>
      <c r="BQ669" s="48"/>
      <c r="BR669" s="48"/>
      <c r="BS669" s="48"/>
      <c r="BT669" s="48"/>
      <c r="BU669" s="48"/>
    </row>
    <row r="670" ht="15.75" customHeight="1">
      <c r="A670" s="48"/>
      <c r="B670" s="48"/>
      <c r="C670" s="48"/>
      <c r="D670" s="48"/>
      <c r="E670" s="27"/>
      <c r="F670" s="48"/>
      <c r="G670" s="48"/>
      <c r="H670" s="56"/>
      <c r="I670" s="56"/>
      <c r="J670" s="56"/>
      <c r="K670" s="56"/>
      <c r="L670" s="56"/>
      <c r="M670" s="56"/>
      <c r="N670" s="56"/>
      <c r="O670" s="56"/>
      <c r="P670" s="56"/>
      <c r="Q670" s="56"/>
      <c r="R670" s="56"/>
      <c r="S670" s="56"/>
      <c r="T670" s="56"/>
      <c r="U670" s="56"/>
      <c r="V670" s="56"/>
      <c r="W670" s="27"/>
      <c r="X670" s="56"/>
      <c r="Y670" s="27"/>
      <c r="Z670" s="56"/>
      <c r="AA670" s="27"/>
      <c r="AB670" s="56"/>
      <c r="AC670" s="27"/>
      <c r="AD670" s="56"/>
      <c r="AE670" s="27"/>
      <c r="AF670" s="56"/>
      <c r="AG670" s="27"/>
      <c r="AH670" s="286"/>
      <c r="AI670" s="27"/>
      <c r="AJ670" s="56"/>
      <c r="AK670" s="27"/>
      <c r="AL670" s="56"/>
      <c r="AM670" s="27"/>
      <c r="AN670" s="56"/>
      <c r="AO670" s="27"/>
      <c r="AP670" s="56"/>
      <c r="AQ670" s="27"/>
      <c r="AR670" s="56"/>
      <c r="AS670" s="27"/>
      <c r="AT670" s="56"/>
      <c r="AU670" s="27"/>
      <c r="AV670" s="56"/>
      <c r="AW670" s="27"/>
      <c r="AX670" s="56"/>
      <c r="AY670" s="27"/>
      <c r="AZ670" s="56"/>
      <c r="BA670" s="27"/>
      <c r="BB670" s="48"/>
      <c r="BC670" s="48"/>
      <c r="BD670" s="48"/>
      <c r="BE670" s="48"/>
      <c r="BF670" s="48"/>
      <c r="BG670" s="48"/>
      <c r="BH670" s="48"/>
      <c r="BI670" s="48"/>
      <c r="BJ670" s="48"/>
      <c r="BK670" s="48"/>
      <c r="BL670" s="48"/>
      <c r="BM670" s="48"/>
      <c r="BN670" s="48"/>
      <c r="BO670" s="48"/>
      <c r="BP670" s="48"/>
      <c r="BQ670" s="48"/>
      <c r="BR670" s="48"/>
      <c r="BS670" s="48"/>
      <c r="BT670" s="48"/>
      <c r="BU670" s="48"/>
    </row>
    <row r="671" ht="15.75" customHeight="1">
      <c r="A671" s="48"/>
      <c r="B671" s="48"/>
      <c r="C671" s="48"/>
      <c r="D671" s="48"/>
      <c r="E671" s="27"/>
      <c r="F671" s="48"/>
      <c r="G671" s="48"/>
      <c r="H671" s="56"/>
      <c r="I671" s="56"/>
      <c r="J671" s="56"/>
      <c r="K671" s="56"/>
      <c r="L671" s="56"/>
      <c r="M671" s="56"/>
      <c r="N671" s="56"/>
      <c r="O671" s="56"/>
      <c r="P671" s="56"/>
      <c r="Q671" s="56"/>
      <c r="R671" s="56"/>
      <c r="S671" s="56"/>
      <c r="T671" s="56"/>
      <c r="U671" s="56"/>
      <c r="V671" s="56"/>
      <c r="W671" s="27"/>
      <c r="X671" s="56"/>
      <c r="Y671" s="27"/>
      <c r="Z671" s="56"/>
      <c r="AA671" s="27"/>
      <c r="AB671" s="56"/>
      <c r="AC671" s="27"/>
      <c r="AD671" s="56"/>
      <c r="AE671" s="27"/>
      <c r="AF671" s="56"/>
      <c r="AG671" s="27"/>
      <c r="AH671" s="286"/>
      <c r="AI671" s="27"/>
      <c r="AJ671" s="56"/>
      <c r="AK671" s="27"/>
      <c r="AL671" s="56"/>
      <c r="AM671" s="27"/>
      <c r="AN671" s="56"/>
      <c r="AO671" s="27"/>
      <c r="AP671" s="56"/>
      <c r="AQ671" s="27"/>
      <c r="AR671" s="56"/>
      <c r="AS671" s="27"/>
      <c r="AT671" s="56"/>
      <c r="AU671" s="27"/>
      <c r="AV671" s="56"/>
      <c r="AW671" s="27"/>
      <c r="AX671" s="56"/>
      <c r="AY671" s="27"/>
      <c r="AZ671" s="56"/>
      <c r="BA671" s="27"/>
      <c r="BB671" s="48"/>
      <c r="BC671" s="48"/>
      <c r="BD671" s="48"/>
      <c r="BE671" s="48"/>
      <c r="BF671" s="48"/>
      <c r="BG671" s="48"/>
      <c r="BH671" s="48"/>
      <c r="BI671" s="48"/>
      <c r="BJ671" s="48"/>
      <c r="BK671" s="48"/>
      <c r="BL671" s="48"/>
      <c r="BM671" s="48"/>
      <c r="BN671" s="48"/>
      <c r="BO671" s="48"/>
      <c r="BP671" s="48"/>
      <c r="BQ671" s="48"/>
      <c r="BR671" s="48"/>
      <c r="BS671" s="48"/>
      <c r="BT671" s="48"/>
      <c r="BU671" s="48"/>
    </row>
    <row r="672" ht="15.75" customHeight="1">
      <c r="A672" s="48"/>
      <c r="B672" s="48"/>
      <c r="C672" s="48"/>
      <c r="D672" s="48"/>
      <c r="E672" s="27"/>
      <c r="F672" s="48"/>
      <c r="G672" s="48"/>
      <c r="H672" s="56"/>
      <c r="I672" s="56"/>
      <c r="J672" s="56"/>
      <c r="K672" s="56"/>
      <c r="L672" s="56"/>
      <c r="M672" s="56"/>
      <c r="N672" s="56"/>
      <c r="O672" s="56"/>
      <c r="P672" s="56"/>
      <c r="Q672" s="56"/>
      <c r="R672" s="56"/>
      <c r="S672" s="56"/>
      <c r="T672" s="56"/>
      <c r="U672" s="56"/>
      <c r="V672" s="56"/>
      <c r="W672" s="27"/>
      <c r="X672" s="56"/>
      <c r="Y672" s="27"/>
      <c r="Z672" s="56"/>
      <c r="AA672" s="27"/>
      <c r="AB672" s="56"/>
      <c r="AC672" s="27"/>
      <c r="AD672" s="56"/>
      <c r="AE672" s="27"/>
      <c r="AF672" s="56"/>
      <c r="AG672" s="27"/>
      <c r="AH672" s="286"/>
      <c r="AI672" s="27"/>
      <c r="AJ672" s="56"/>
      <c r="AK672" s="27"/>
      <c r="AL672" s="56"/>
      <c r="AM672" s="27"/>
      <c r="AN672" s="56"/>
      <c r="AO672" s="27"/>
      <c r="AP672" s="56"/>
      <c r="AQ672" s="27"/>
      <c r="AR672" s="56"/>
      <c r="AS672" s="27"/>
      <c r="AT672" s="56"/>
      <c r="AU672" s="27"/>
      <c r="AV672" s="56"/>
      <c r="AW672" s="27"/>
      <c r="AX672" s="56"/>
      <c r="AY672" s="27"/>
      <c r="AZ672" s="56"/>
      <c r="BA672" s="27"/>
      <c r="BB672" s="48"/>
      <c r="BC672" s="48"/>
      <c r="BD672" s="48"/>
      <c r="BE672" s="48"/>
      <c r="BF672" s="48"/>
      <c r="BG672" s="48"/>
      <c r="BH672" s="48"/>
      <c r="BI672" s="48"/>
      <c r="BJ672" s="48"/>
      <c r="BK672" s="48"/>
      <c r="BL672" s="48"/>
      <c r="BM672" s="48"/>
      <c r="BN672" s="48"/>
      <c r="BO672" s="48"/>
      <c r="BP672" s="48"/>
      <c r="BQ672" s="48"/>
      <c r="BR672" s="48"/>
      <c r="BS672" s="48"/>
      <c r="BT672" s="48"/>
      <c r="BU672" s="48"/>
    </row>
    <row r="673" ht="15.75" customHeight="1">
      <c r="A673" s="48"/>
      <c r="B673" s="48"/>
      <c r="C673" s="48"/>
      <c r="D673" s="48"/>
      <c r="E673" s="27"/>
      <c r="F673" s="48"/>
      <c r="G673" s="48"/>
      <c r="H673" s="56"/>
      <c r="I673" s="56"/>
      <c r="J673" s="56"/>
      <c r="K673" s="56"/>
      <c r="L673" s="56"/>
      <c r="M673" s="56"/>
      <c r="N673" s="56"/>
      <c r="O673" s="56"/>
      <c r="P673" s="56"/>
      <c r="Q673" s="56"/>
      <c r="R673" s="56"/>
      <c r="S673" s="56"/>
      <c r="T673" s="56"/>
      <c r="U673" s="56"/>
      <c r="V673" s="56"/>
      <c r="W673" s="27"/>
      <c r="X673" s="56"/>
      <c r="Y673" s="27"/>
      <c r="Z673" s="56"/>
      <c r="AA673" s="27"/>
      <c r="AB673" s="56"/>
      <c r="AC673" s="27"/>
      <c r="AD673" s="56"/>
      <c r="AE673" s="27"/>
      <c r="AF673" s="56"/>
      <c r="AG673" s="27"/>
      <c r="AH673" s="286"/>
      <c r="AI673" s="27"/>
      <c r="AJ673" s="56"/>
      <c r="AK673" s="27"/>
      <c r="AL673" s="56"/>
      <c r="AM673" s="27"/>
      <c r="AN673" s="56"/>
      <c r="AO673" s="27"/>
      <c r="AP673" s="56"/>
      <c r="AQ673" s="27"/>
      <c r="AR673" s="56"/>
      <c r="AS673" s="27"/>
      <c r="AT673" s="56"/>
      <c r="AU673" s="27"/>
      <c r="AV673" s="56"/>
      <c r="AW673" s="27"/>
      <c r="AX673" s="56"/>
      <c r="AY673" s="27"/>
      <c r="AZ673" s="56"/>
      <c r="BA673" s="27"/>
      <c r="BB673" s="48"/>
      <c r="BC673" s="48"/>
      <c r="BD673" s="48"/>
      <c r="BE673" s="48"/>
      <c r="BF673" s="48"/>
      <c r="BG673" s="48"/>
      <c r="BH673" s="48"/>
      <c r="BI673" s="48"/>
      <c r="BJ673" s="48"/>
      <c r="BK673" s="48"/>
      <c r="BL673" s="48"/>
      <c r="BM673" s="48"/>
      <c r="BN673" s="48"/>
      <c r="BO673" s="48"/>
      <c r="BP673" s="48"/>
      <c r="BQ673" s="48"/>
      <c r="BR673" s="48"/>
      <c r="BS673" s="48"/>
      <c r="BT673" s="48"/>
      <c r="BU673" s="48"/>
    </row>
    <row r="674" ht="15.75" customHeight="1">
      <c r="A674" s="48"/>
      <c r="B674" s="48"/>
      <c r="C674" s="48"/>
      <c r="D674" s="48"/>
      <c r="E674" s="27"/>
      <c r="F674" s="48"/>
      <c r="G674" s="48"/>
      <c r="H674" s="56"/>
      <c r="I674" s="56"/>
      <c r="J674" s="56"/>
      <c r="K674" s="56"/>
      <c r="L674" s="56"/>
      <c r="M674" s="56"/>
      <c r="N674" s="56"/>
      <c r="O674" s="56"/>
      <c r="P674" s="56"/>
      <c r="Q674" s="56"/>
      <c r="R674" s="56"/>
      <c r="S674" s="56"/>
      <c r="T674" s="56"/>
      <c r="U674" s="56"/>
      <c r="V674" s="56"/>
      <c r="W674" s="27"/>
      <c r="X674" s="56"/>
      <c r="Y674" s="27"/>
      <c r="Z674" s="56"/>
      <c r="AA674" s="27"/>
      <c r="AB674" s="56"/>
      <c r="AC674" s="27"/>
      <c r="AD674" s="56"/>
      <c r="AE674" s="27"/>
      <c r="AF674" s="56"/>
      <c r="AG674" s="27"/>
      <c r="AH674" s="286"/>
      <c r="AI674" s="27"/>
      <c r="AJ674" s="56"/>
      <c r="AK674" s="27"/>
      <c r="AL674" s="56"/>
      <c r="AM674" s="27"/>
      <c r="AN674" s="56"/>
      <c r="AO674" s="27"/>
      <c r="AP674" s="56"/>
      <c r="AQ674" s="27"/>
      <c r="AR674" s="56"/>
      <c r="AS674" s="27"/>
      <c r="AT674" s="56"/>
      <c r="AU674" s="27"/>
      <c r="AV674" s="56"/>
      <c r="AW674" s="27"/>
      <c r="AX674" s="56"/>
      <c r="AY674" s="27"/>
      <c r="AZ674" s="56"/>
      <c r="BA674" s="27"/>
      <c r="BB674" s="48"/>
      <c r="BC674" s="48"/>
      <c r="BD674" s="48"/>
      <c r="BE674" s="48"/>
      <c r="BF674" s="48"/>
      <c r="BG674" s="48"/>
      <c r="BH674" s="48"/>
      <c r="BI674" s="48"/>
      <c r="BJ674" s="48"/>
      <c r="BK674" s="48"/>
      <c r="BL674" s="48"/>
      <c r="BM674" s="48"/>
      <c r="BN674" s="48"/>
      <c r="BO674" s="48"/>
      <c r="BP674" s="48"/>
      <c r="BQ674" s="48"/>
      <c r="BR674" s="48"/>
      <c r="BS674" s="48"/>
      <c r="BT674" s="48"/>
      <c r="BU674" s="48"/>
    </row>
    <row r="675" ht="15.75" customHeight="1">
      <c r="A675" s="48"/>
      <c r="B675" s="48"/>
      <c r="C675" s="48"/>
      <c r="D675" s="48"/>
      <c r="E675" s="27"/>
      <c r="F675" s="48"/>
      <c r="G675" s="48"/>
      <c r="H675" s="56"/>
      <c r="I675" s="56"/>
      <c r="J675" s="56"/>
      <c r="K675" s="56"/>
      <c r="L675" s="56"/>
      <c r="M675" s="56"/>
      <c r="N675" s="56"/>
      <c r="O675" s="56"/>
      <c r="P675" s="56"/>
      <c r="Q675" s="56"/>
      <c r="R675" s="56"/>
      <c r="S675" s="56"/>
      <c r="T675" s="56"/>
      <c r="U675" s="56"/>
      <c r="V675" s="56"/>
      <c r="W675" s="27"/>
      <c r="X675" s="56"/>
      <c r="Y675" s="27"/>
      <c r="Z675" s="56"/>
      <c r="AA675" s="27"/>
      <c r="AB675" s="56"/>
      <c r="AC675" s="27"/>
      <c r="AD675" s="56"/>
      <c r="AE675" s="27"/>
      <c r="AF675" s="56"/>
      <c r="AG675" s="27"/>
      <c r="AH675" s="286"/>
      <c r="AI675" s="27"/>
      <c r="AJ675" s="56"/>
      <c r="AK675" s="27"/>
      <c r="AL675" s="56"/>
      <c r="AM675" s="27"/>
      <c r="AN675" s="56"/>
      <c r="AO675" s="27"/>
      <c r="AP675" s="56"/>
      <c r="AQ675" s="27"/>
      <c r="AR675" s="56"/>
      <c r="AS675" s="27"/>
      <c r="AT675" s="56"/>
      <c r="AU675" s="27"/>
      <c r="AV675" s="56"/>
      <c r="AW675" s="27"/>
      <c r="AX675" s="56"/>
      <c r="AY675" s="27"/>
      <c r="AZ675" s="56"/>
      <c r="BA675" s="27"/>
      <c r="BB675" s="48"/>
      <c r="BC675" s="48"/>
      <c r="BD675" s="48"/>
      <c r="BE675" s="48"/>
      <c r="BF675" s="48"/>
      <c r="BG675" s="48"/>
      <c r="BH675" s="48"/>
      <c r="BI675" s="48"/>
      <c r="BJ675" s="48"/>
      <c r="BK675" s="48"/>
      <c r="BL675" s="48"/>
      <c r="BM675" s="48"/>
      <c r="BN675" s="48"/>
      <c r="BO675" s="48"/>
      <c r="BP675" s="48"/>
      <c r="BQ675" s="48"/>
      <c r="BR675" s="48"/>
      <c r="BS675" s="48"/>
      <c r="BT675" s="48"/>
      <c r="BU675" s="48"/>
    </row>
    <row r="676" ht="15.75" customHeight="1">
      <c r="A676" s="48"/>
      <c r="B676" s="48"/>
      <c r="C676" s="48"/>
      <c r="D676" s="48"/>
      <c r="E676" s="27"/>
      <c r="F676" s="48"/>
      <c r="G676" s="48"/>
      <c r="H676" s="56"/>
      <c r="I676" s="56"/>
      <c r="J676" s="56"/>
      <c r="K676" s="56"/>
      <c r="L676" s="56"/>
      <c r="M676" s="56"/>
      <c r="N676" s="56"/>
      <c r="O676" s="56"/>
      <c r="P676" s="56"/>
      <c r="Q676" s="56"/>
      <c r="R676" s="56"/>
      <c r="S676" s="56"/>
      <c r="T676" s="56"/>
      <c r="U676" s="56"/>
      <c r="V676" s="56"/>
      <c r="W676" s="27"/>
      <c r="X676" s="56"/>
      <c r="Y676" s="27"/>
      <c r="Z676" s="56"/>
      <c r="AA676" s="27"/>
      <c r="AB676" s="56"/>
      <c r="AC676" s="27"/>
      <c r="AD676" s="56"/>
      <c r="AE676" s="27"/>
      <c r="AF676" s="56"/>
      <c r="AG676" s="27"/>
      <c r="AH676" s="286"/>
      <c r="AI676" s="27"/>
      <c r="AJ676" s="56"/>
      <c r="AK676" s="27"/>
      <c r="AL676" s="56"/>
      <c r="AM676" s="27"/>
      <c r="AN676" s="56"/>
      <c r="AO676" s="27"/>
      <c r="AP676" s="56"/>
      <c r="AQ676" s="27"/>
      <c r="AR676" s="56"/>
      <c r="AS676" s="27"/>
      <c r="AT676" s="56"/>
      <c r="AU676" s="27"/>
      <c r="AV676" s="56"/>
      <c r="AW676" s="27"/>
      <c r="AX676" s="56"/>
      <c r="AY676" s="27"/>
      <c r="AZ676" s="56"/>
      <c r="BA676" s="27"/>
      <c r="BB676" s="48"/>
      <c r="BC676" s="48"/>
      <c r="BD676" s="48"/>
      <c r="BE676" s="48"/>
      <c r="BF676" s="48"/>
      <c r="BG676" s="48"/>
      <c r="BH676" s="48"/>
      <c r="BI676" s="48"/>
      <c r="BJ676" s="48"/>
      <c r="BK676" s="48"/>
      <c r="BL676" s="48"/>
      <c r="BM676" s="48"/>
      <c r="BN676" s="48"/>
      <c r="BO676" s="48"/>
      <c r="BP676" s="48"/>
      <c r="BQ676" s="48"/>
      <c r="BR676" s="48"/>
      <c r="BS676" s="48"/>
      <c r="BT676" s="48"/>
      <c r="BU676" s="48"/>
    </row>
    <row r="677" ht="15.75" customHeight="1">
      <c r="A677" s="48"/>
      <c r="B677" s="48"/>
      <c r="C677" s="48"/>
      <c r="D677" s="48"/>
      <c r="E677" s="27"/>
      <c r="F677" s="48"/>
      <c r="G677" s="48"/>
      <c r="H677" s="56"/>
      <c r="I677" s="56"/>
      <c r="J677" s="56"/>
      <c r="K677" s="56"/>
      <c r="L677" s="56"/>
      <c r="M677" s="56"/>
      <c r="N677" s="56"/>
      <c r="O677" s="56"/>
      <c r="P677" s="56"/>
      <c r="Q677" s="56"/>
      <c r="R677" s="56"/>
      <c r="S677" s="56"/>
      <c r="T677" s="56"/>
      <c r="U677" s="56"/>
      <c r="V677" s="56"/>
      <c r="W677" s="27"/>
      <c r="X677" s="56"/>
      <c r="Y677" s="27"/>
      <c r="Z677" s="56"/>
      <c r="AA677" s="27"/>
      <c r="AB677" s="56"/>
      <c r="AC677" s="27"/>
      <c r="AD677" s="56"/>
      <c r="AE677" s="27"/>
      <c r="AF677" s="56"/>
      <c r="AG677" s="27"/>
      <c r="AH677" s="286"/>
      <c r="AI677" s="27"/>
      <c r="AJ677" s="56"/>
      <c r="AK677" s="27"/>
      <c r="AL677" s="56"/>
      <c r="AM677" s="27"/>
      <c r="AN677" s="56"/>
      <c r="AO677" s="27"/>
      <c r="AP677" s="56"/>
      <c r="AQ677" s="27"/>
      <c r="AR677" s="56"/>
      <c r="AS677" s="27"/>
      <c r="AT677" s="56"/>
      <c r="AU677" s="27"/>
      <c r="AV677" s="56"/>
      <c r="AW677" s="27"/>
      <c r="AX677" s="56"/>
      <c r="AY677" s="27"/>
      <c r="AZ677" s="56"/>
      <c r="BA677" s="27"/>
      <c r="BB677" s="48"/>
      <c r="BC677" s="48"/>
      <c r="BD677" s="48"/>
      <c r="BE677" s="48"/>
      <c r="BF677" s="48"/>
      <c r="BG677" s="48"/>
      <c r="BH677" s="48"/>
      <c r="BI677" s="48"/>
      <c r="BJ677" s="48"/>
      <c r="BK677" s="48"/>
      <c r="BL677" s="48"/>
      <c r="BM677" s="48"/>
      <c r="BN677" s="48"/>
      <c r="BO677" s="48"/>
      <c r="BP677" s="48"/>
      <c r="BQ677" s="48"/>
      <c r="BR677" s="48"/>
      <c r="BS677" s="48"/>
      <c r="BT677" s="48"/>
      <c r="BU677" s="48"/>
    </row>
    <row r="678" ht="15.75" customHeight="1">
      <c r="A678" s="48"/>
      <c r="B678" s="48"/>
      <c r="C678" s="48"/>
      <c r="D678" s="48"/>
      <c r="E678" s="27"/>
      <c r="F678" s="48"/>
      <c r="G678" s="48"/>
      <c r="H678" s="56"/>
      <c r="I678" s="56"/>
      <c r="J678" s="56"/>
      <c r="K678" s="56"/>
      <c r="L678" s="56"/>
      <c r="M678" s="56"/>
      <c r="N678" s="56"/>
      <c r="O678" s="56"/>
      <c r="P678" s="56"/>
      <c r="Q678" s="56"/>
      <c r="R678" s="56"/>
      <c r="S678" s="56"/>
      <c r="T678" s="56"/>
      <c r="U678" s="56"/>
      <c r="V678" s="56"/>
      <c r="W678" s="27"/>
      <c r="X678" s="56"/>
      <c r="Y678" s="27"/>
      <c r="Z678" s="56"/>
      <c r="AA678" s="27"/>
      <c r="AB678" s="56"/>
      <c r="AC678" s="27"/>
      <c r="AD678" s="56"/>
      <c r="AE678" s="27"/>
      <c r="AF678" s="56"/>
      <c r="AG678" s="27"/>
      <c r="AH678" s="286"/>
      <c r="AI678" s="27"/>
      <c r="AJ678" s="56"/>
      <c r="AK678" s="27"/>
      <c r="AL678" s="56"/>
      <c r="AM678" s="27"/>
      <c r="AN678" s="56"/>
      <c r="AO678" s="27"/>
      <c r="AP678" s="56"/>
      <c r="AQ678" s="27"/>
      <c r="AR678" s="56"/>
      <c r="AS678" s="27"/>
      <c r="AT678" s="56"/>
      <c r="AU678" s="27"/>
      <c r="AV678" s="56"/>
      <c r="AW678" s="27"/>
      <c r="AX678" s="56"/>
      <c r="AY678" s="27"/>
      <c r="AZ678" s="56"/>
      <c r="BA678" s="27"/>
      <c r="BB678" s="48"/>
      <c r="BC678" s="48"/>
      <c r="BD678" s="48"/>
      <c r="BE678" s="48"/>
      <c r="BF678" s="48"/>
      <c r="BG678" s="48"/>
      <c r="BH678" s="48"/>
      <c r="BI678" s="48"/>
      <c r="BJ678" s="48"/>
      <c r="BK678" s="48"/>
      <c r="BL678" s="48"/>
      <c r="BM678" s="48"/>
      <c r="BN678" s="48"/>
      <c r="BO678" s="48"/>
      <c r="BP678" s="48"/>
      <c r="BQ678" s="48"/>
      <c r="BR678" s="48"/>
      <c r="BS678" s="48"/>
      <c r="BT678" s="48"/>
      <c r="BU678" s="48"/>
    </row>
    <row r="679" ht="15.75" customHeight="1">
      <c r="A679" s="48"/>
      <c r="B679" s="48"/>
      <c r="C679" s="48"/>
      <c r="D679" s="48"/>
      <c r="E679" s="27"/>
      <c r="F679" s="48"/>
      <c r="G679" s="48"/>
      <c r="H679" s="56"/>
      <c r="I679" s="56"/>
      <c r="J679" s="56"/>
      <c r="K679" s="56"/>
      <c r="L679" s="56"/>
      <c r="M679" s="56"/>
      <c r="N679" s="56"/>
      <c r="O679" s="56"/>
      <c r="P679" s="56"/>
      <c r="Q679" s="56"/>
      <c r="R679" s="56"/>
      <c r="S679" s="56"/>
      <c r="T679" s="56"/>
      <c r="U679" s="56"/>
      <c r="V679" s="56"/>
      <c r="W679" s="27"/>
      <c r="X679" s="56"/>
      <c r="Y679" s="27"/>
      <c r="Z679" s="56"/>
      <c r="AA679" s="27"/>
      <c r="AB679" s="56"/>
      <c r="AC679" s="27"/>
      <c r="AD679" s="56"/>
      <c r="AE679" s="27"/>
      <c r="AF679" s="56"/>
      <c r="AG679" s="27"/>
      <c r="AH679" s="286"/>
      <c r="AI679" s="27"/>
      <c r="AJ679" s="56"/>
      <c r="AK679" s="27"/>
      <c r="AL679" s="56"/>
      <c r="AM679" s="27"/>
      <c r="AN679" s="56"/>
      <c r="AO679" s="27"/>
      <c r="AP679" s="56"/>
      <c r="AQ679" s="27"/>
      <c r="AR679" s="56"/>
      <c r="AS679" s="27"/>
      <c r="AT679" s="56"/>
      <c r="AU679" s="27"/>
      <c r="AV679" s="56"/>
      <c r="AW679" s="27"/>
      <c r="AX679" s="56"/>
      <c r="AY679" s="27"/>
      <c r="AZ679" s="56"/>
      <c r="BA679" s="27"/>
      <c r="BB679" s="48"/>
      <c r="BC679" s="48"/>
      <c r="BD679" s="48"/>
      <c r="BE679" s="48"/>
      <c r="BF679" s="48"/>
      <c r="BG679" s="48"/>
      <c r="BH679" s="48"/>
      <c r="BI679" s="48"/>
      <c r="BJ679" s="48"/>
      <c r="BK679" s="48"/>
      <c r="BL679" s="48"/>
      <c r="BM679" s="48"/>
      <c r="BN679" s="48"/>
      <c r="BO679" s="48"/>
      <c r="BP679" s="48"/>
      <c r="BQ679" s="48"/>
      <c r="BR679" s="48"/>
      <c r="BS679" s="48"/>
      <c r="BT679" s="48"/>
      <c r="BU679" s="48"/>
    </row>
    <row r="680" ht="15.75" customHeight="1">
      <c r="A680" s="48"/>
      <c r="B680" s="48"/>
      <c r="C680" s="48"/>
      <c r="D680" s="48"/>
      <c r="E680" s="27"/>
      <c r="F680" s="48"/>
      <c r="G680" s="48"/>
      <c r="H680" s="56"/>
      <c r="I680" s="56"/>
      <c r="J680" s="56"/>
      <c r="K680" s="56"/>
      <c r="L680" s="56"/>
      <c r="M680" s="56"/>
      <c r="N680" s="56"/>
      <c r="O680" s="56"/>
      <c r="P680" s="56"/>
      <c r="Q680" s="56"/>
      <c r="R680" s="56"/>
      <c r="S680" s="56"/>
      <c r="T680" s="56"/>
      <c r="U680" s="56"/>
      <c r="V680" s="56"/>
      <c r="W680" s="27"/>
      <c r="X680" s="56"/>
      <c r="Y680" s="27"/>
      <c r="Z680" s="56"/>
      <c r="AA680" s="27"/>
      <c r="AB680" s="56"/>
      <c r="AC680" s="27"/>
      <c r="AD680" s="56"/>
      <c r="AE680" s="27"/>
      <c r="AF680" s="56"/>
      <c r="AG680" s="27"/>
      <c r="AH680" s="286"/>
      <c r="AI680" s="27"/>
      <c r="AJ680" s="56"/>
      <c r="AK680" s="27"/>
      <c r="AL680" s="56"/>
      <c r="AM680" s="27"/>
      <c r="AN680" s="56"/>
      <c r="AO680" s="27"/>
      <c r="AP680" s="56"/>
      <c r="AQ680" s="27"/>
      <c r="AR680" s="56"/>
      <c r="AS680" s="27"/>
      <c r="AT680" s="56"/>
      <c r="AU680" s="27"/>
      <c r="AV680" s="56"/>
      <c r="AW680" s="27"/>
      <c r="AX680" s="56"/>
      <c r="AY680" s="27"/>
      <c r="AZ680" s="56"/>
      <c r="BA680" s="27"/>
      <c r="BB680" s="48"/>
      <c r="BC680" s="48"/>
      <c r="BD680" s="48"/>
      <c r="BE680" s="48"/>
      <c r="BF680" s="48"/>
      <c r="BG680" s="48"/>
      <c r="BH680" s="48"/>
      <c r="BI680" s="48"/>
      <c r="BJ680" s="48"/>
      <c r="BK680" s="48"/>
      <c r="BL680" s="48"/>
      <c r="BM680" s="48"/>
      <c r="BN680" s="48"/>
      <c r="BO680" s="48"/>
      <c r="BP680" s="48"/>
      <c r="BQ680" s="48"/>
      <c r="BR680" s="48"/>
      <c r="BS680" s="48"/>
      <c r="BT680" s="48"/>
      <c r="BU680" s="48"/>
    </row>
    <row r="681" ht="15.75" customHeight="1">
      <c r="A681" s="48"/>
      <c r="B681" s="48"/>
      <c r="C681" s="48"/>
      <c r="D681" s="48"/>
      <c r="E681" s="27"/>
      <c r="F681" s="48"/>
      <c r="G681" s="48"/>
      <c r="H681" s="56"/>
      <c r="I681" s="56"/>
      <c r="J681" s="56"/>
      <c r="K681" s="56"/>
      <c r="L681" s="56"/>
      <c r="M681" s="56"/>
      <c r="N681" s="56"/>
      <c r="O681" s="56"/>
      <c r="P681" s="56"/>
      <c r="Q681" s="56"/>
      <c r="R681" s="56"/>
      <c r="S681" s="56"/>
      <c r="T681" s="56"/>
      <c r="U681" s="56"/>
      <c r="V681" s="56"/>
      <c r="W681" s="27"/>
      <c r="X681" s="56"/>
      <c r="Y681" s="27"/>
      <c r="Z681" s="56"/>
      <c r="AA681" s="27"/>
      <c r="AB681" s="56"/>
      <c r="AC681" s="27"/>
      <c r="AD681" s="56"/>
      <c r="AE681" s="27"/>
      <c r="AF681" s="56"/>
      <c r="AG681" s="27"/>
      <c r="AH681" s="286"/>
      <c r="AI681" s="27"/>
      <c r="AJ681" s="56"/>
      <c r="AK681" s="27"/>
      <c r="AL681" s="56"/>
      <c r="AM681" s="27"/>
      <c r="AN681" s="56"/>
      <c r="AO681" s="27"/>
      <c r="AP681" s="56"/>
      <c r="AQ681" s="27"/>
      <c r="AR681" s="56"/>
      <c r="AS681" s="27"/>
      <c r="AT681" s="56"/>
      <c r="AU681" s="27"/>
      <c r="AV681" s="56"/>
      <c r="AW681" s="27"/>
      <c r="AX681" s="56"/>
      <c r="AY681" s="27"/>
      <c r="AZ681" s="56"/>
      <c r="BA681" s="27"/>
      <c r="BB681" s="48"/>
      <c r="BC681" s="48"/>
      <c r="BD681" s="48"/>
      <c r="BE681" s="48"/>
      <c r="BF681" s="48"/>
      <c r="BG681" s="48"/>
      <c r="BH681" s="48"/>
      <c r="BI681" s="48"/>
      <c r="BJ681" s="48"/>
      <c r="BK681" s="48"/>
      <c r="BL681" s="48"/>
      <c r="BM681" s="48"/>
      <c r="BN681" s="48"/>
      <c r="BO681" s="48"/>
      <c r="BP681" s="48"/>
      <c r="BQ681" s="48"/>
      <c r="BR681" s="48"/>
      <c r="BS681" s="48"/>
      <c r="BT681" s="48"/>
      <c r="BU681" s="48"/>
    </row>
    <row r="682" ht="15.75" customHeight="1">
      <c r="A682" s="48"/>
      <c r="B682" s="48"/>
      <c r="C682" s="48"/>
      <c r="D682" s="48"/>
      <c r="E682" s="27"/>
      <c r="F682" s="48"/>
      <c r="G682" s="48"/>
      <c r="H682" s="56"/>
      <c r="I682" s="56"/>
      <c r="J682" s="56"/>
      <c r="K682" s="56"/>
      <c r="L682" s="56"/>
      <c r="M682" s="56"/>
      <c r="N682" s="56"/>
      <c r="O682" s="56"/>
      <c r="P682" s="56"/>
      <c r="Q682" s="56"/>
      <c r="R682" s="56"/>
      <c r="S682" s="56"/>
      <c r="T682" s="56"/>
      <c r="U682" s="56"/>
      <c r="V682" s="56"/>
      <c r="W682" s="27"/>
      <c r="X682" s="56"/>
      <c r="Y682" s="27"/>
      <c r="Z682" s="56"/>
      <c r="AA682" s="27"/>
      <c r="AB682" s="56"/>
      <c r="AC682" s="27"/>
      <c r="AD682" s="56"/>
      <c r="AE682" s="27"/>
      <c r="AF682" s="56"/>
      <c r="AG682" s="27"/>
      <c r="AH682" s="286"/>
      <c r="AI682" s="27"/>
      <c r="AJ682" s="56"/>
      <c r="AK682" s="27"/>
      <c r="AL682" s="56"/>
      <c r="AM682" s="27"/>
      <c r="AN682" s="56"/>
      <c r="AO682" s="27"/>
      <c r="AP682" s="56"/>
      <c r="AQ682" s="27"/>
      <c r="AR682" s="56"/>
      <c r="AS682" s="27"/>
      <c r="AT682" s="56"/>
      <c r="AU682" s="27"/>
      <c r="AV682" s="56"/>
      <c r="AW682" s="27"/>
      <c r="AX682" s="56"/>
      <c r="AY682" s="27"/>
      <c r="AZ682" s="56"/>
      <c r="BA682" s="27"/>
      <c r="BB682" s="48"/>
      <c r="BC682" s="48"/>
      <c r="BD682" s="48"/>
      <c r="BE682" s="48"/>
      <c r="BF682" s="48"/>
      <c r="BG682" s="48"/>
      <c r="BH682" s="48"/>
      <c r="BI682" s="48"/>
      <c r="BJ682" s="48"/>
      <c r="BK682" s="48"/>
      <c r="BL682" s="48"/>
      <c r="BM682" s="48"/>
      <c r="BN682" s="48"/>
      <c r="BO682" s="48"/>
      <c r="BP682" s="48"/>
      <c r="BQ682" s="48"/>
      <c r="BR682" s="48"/>
      <c r="BS682" s="48"/>
      <c r="BT682" s="48"/>
      <c r="BU682" s="48"/>
    </row>
    <row r="683" ht="15.75" customHeight="1">
      <c r="A683" s="48"/>
      <c r="B683" s="48"/>
      <c r="C683" s="48"/>
      <c r="D683" s="48"/>
      <c r="E683" s="27"/>
      <c r="F683" s="48"/>
      <c r="G683" s="48"/>
      <c r="H683" s="56"/>
      <c r="I683" s="56"/>
      <c r="J683" s="56"/>
      <c r="K683" s="56"/>
      <c r="L683" s="56"/>
      <c r="M683" s="56"/>
      <c r="N683" s="56"/>
      <c r="O683" s="56"/>
      <c r="P683" s="56"/>
      <c r="Q683" s="56"/>
      <c r="R683" s="56"/>
      <c r="S683" s="56"/>
      <c r="T683" s="56"/>
      <c r="U683" s="56"/>
      <c r="V683" s="56"/>
      <c r="W683" s="27"/>
      <c r="X683" s="56"/>
      <c r="Y683" s="27"/>
      <c r="Z683" s="56"/>
      <c r="AA683" s="27"/>
      <c r="AB683" s="56"/>
      <c r="AC683" s="27"/>
      <c r="AD683" s="56"/>
      <c r="AE683" s="27"/>
      <c r="AF683" s="56"/>
      <c r="AG683" s="27"/>
      <c r="AH683" s="286"/>
      <c r="AI683" s="27"/>
      <c r="AJ683" s="56"/>
      <c r="AK683" s="27"/>
      <c r="AL683" s="56"/>
      <c r="AM683" s="27"/>
      <c r="AN683" s="56"/>
      <c r="AO683" s="27"/>
      <c r="AP683" s="56"/>
      <c r="AQ683" s="27"/>
      <c r="AR683" s="56"/>
      <c r="AS683" s="27"/>
      <c r="AT683" s="56"/>
      <c r="AU683" s="27"/>
      <c r="AV683" s="56"/>
      <c r="AW683" s="27"/>
      <c r="AX683" s="56"/>
      <c r="AY683" s="27"/>
      <c r="AZ683" s="56"/>
      <c r="BA683" s="27"/>
      <c r="BB683" s="48"/>
      <c r="BC683" s="48"/>
      <c r="BD683" s="48"/>
      <c r="BE683" s="48"/>
      <c r="BF683" s="48"/>
      <c r="BG683" s="48"/>
      <c r="BH683" s="48"/>
      <c r="BI683" s="48"/>
      <c r="BJ683" s="48"/>
      <c r="BK683" s="48"/>
      <c r="BL683" s="48"/>
      <c r="BM683" s="48"/>
      <c r="BN683" s="48"/>
      <c r="BO683" s="48"/>
      <c r="BP683" s="48"/>
      <c r="BQ683" s="48"/>
      <c r="BR683" s="48"/>
      <c r="BS683" s="48"/>
      <c r="BT683" s="48"/>
      <c r="BU683" s="48"/>
    </row>
    <row r="684" ht="15.75" customHeight="1">
      <c r="A684" s="48"/>
      <c r="B684" s="48"/>
      <c r="C684" s="48"/>
      <c r="D684" s="48"/>
      <c r="E684" s="27"/>
      <c r="F684" s="48"/>
      <c r="G684" s="48"/>
      <c r="H684" s="56"/>
      <c r="I684" s="56"/>
      <c r="J684" s="56"/>
      <c r="K684" s="56"/>
      <c r="L684" s="56"/>
      <c r="M684" s="56"/>
      <c r="N684" s="56"/>
      <c r="O684" s="56"/>
      <c r="P684" s="56"/>
      <c r="Q684" s="56"/>
      <c r="R684" s="56"/>
      <c r="S684" s="56"/>
      <c r="T684" s="56"/>
      <c r="U684" s="56"/>
      <c r="V684" s="56"/>
      <c r="W684" s="27"/>
      <c r="X684" s="56"/>
      <c r="Y684" s="27"/>
      <c r="Z684" s="56"/>
      <c r="AA684" s="27"/>
      <c r="AB684" s="56"/>
      <c r="AC684" s="27"/>
      <c r="AD684" s="56"/>
      <c r="AE684" s="27"/>
      <c r="AF684" s="56"/>
      <c r="AG684" s="27"/>
      <c r="AH684" s="286"/>
      <c r="AI684" s="27"/>
      <c r="AJ684" s="56"/>
      <c r="AK684" s="27"/>
      <c r="AL684" s="56"/>
      <c r="AM684" s="27"/>
      <c r="AN684" s="56"/>
      <c r="AO684" s="27"/>
      <c r="AP684" s="56"/>
      <c r="AQ684" s="27"/>
      <c r="AR684" s="56"/>
      <c r="AS684" s="27"/>
      <c r="AT684" s="56"/>
      <c r="AU684" s="27"/>
      <c r="AV684" s="56"/>
      <c r="AW684" s="27"/>
      <c r="AX684" s="56"/>
      <c r="AY684" s="27"/>
      <c r="AZ684" s="56"/>
      <c r="BA684" s="27"/>
      <c r="BB684" s="48"/>
      <c r="BC684" s="48"/>
      <c r="BD684" s="48"/>
      <c r="BE684" s="48"/>
      <c r="BF684" s="48"/>
      <c r="BG684" s="48"/>
      <c r="BH684" s="48"/>
      <c r="BI684" s="48"/>
      <c r="BJ684" s="48"/>
      <c r="BK684" s="48"/>
      <c r="BL684" s="48"/>
      <c r="BM684" s="48"/>
      <c r="BN684" s="48"/>
      <c r="BO684" s="48"/>
      <c r="BP684" s="48"/>
      <c r="BQ684" s="48"/>
      <c r="BR684" s="48"/>
      <c r="BS684" s="48"/>
      <c r="BT684" s="48"/>
      <c r="BU684" s="48"/>
    </row>
    <row r="685" ht="15.75" customHeight="1">
      <c r="A685" s="48"/>
      <c r="B685" s="48"/>
      <c r="C685" s="48"/>
      <c r="D685" s="48"/>
      <c r="E685" s="27"/>
      <c r="F685" s="48"/>
      <c r="G685" s="48"/>
      <c r="H685" s="56"/>
      <c r="I685" s="56"/>
      <c r="J685" s="56"/>
      <c r="K685" s="56"/>
      <c r="L685" s="56"/>
      <c r="M685" s="56"/>
      <c r="N685" s="56"/>
      <c r="O685" s="56"/>
      <c r="P685" s="56"/>
      <c r="Q685" s="56"/>
      <c r="R685" s="56"/>
      <c r="S685" s="56"/>
      <c r="T685" s="56"/>
      <c r="U685" s="56"/>
      <c r="V685" s="56"/>
      <c r="W685" s="27"/>
      <c r="X685" s="56"/>
      <c r="Y685" s="27"/>
      <c r="Z685" s="56"/>
      <c r="AA685" s="27"/>
      <c r="AB685" s="56"/>
      <c r="AC685" s="27"/>
      <c r="AD685" s="56"/>
      <c r="AE685" s="27"/>
      <c r="AF685" s="56"/>
      <c r="AG685" s="27"/>
      <c r="AH685" s="286"/>
      <c r="AI685" s="27"/>
      <c r="AJ685" s="56"/>
      <c r="AK685" s="27"/>
      <c r="AL685" s="56"/>
      <c r="AM685" s="27"/>
      <c r="AN685" s="56"/>
      <c r="AO685" s="27"/>
      <c r="AP685" s="56"/>
      <c r="AQ685" s="27"/>
      <c r="AR685" s="56"/>
      <c r="AS685" s="27"/>
      <c r="AT685" s="56"/>
      <c r="AU685" s="27"/>
      <c r="AV685" s="56"/>
      <c r="AW685" s="27"/>
      <c r="AX685" s="56"/>
      <c r="AY685" s="27"/>
      <c r="AZ685" s="56"/>
      <c r="BA685" s="27"/>
      <c r="BB685" s="48"/>
      <c r="BC685" s="48"/>
      <c r="BD685" s="48"/>
      <c r="BE685" s="48"/>
      <c r="BF685" s="48"/>
      <c r="BG685" s="48"/>
      <c r="BH685" s="48"/>
      <c r="BI685" s="48"/>
      <c r="BJ685" s="48"/>
      <c r="BK685" s="48"/>
      <c r="BL685" s="48"/>
      <c r="BM685" s="48"/>
      <c r="BN685" s="48"/>
      <c r="BO685" s="48"/>
      <c r="BP685" s="48"/>
      <c r="BQ685" s="48"/>
      <c r="BR685" s="48"/>
      <c r="BS685" s="48"/>
      <c r="BT685" s="48"/>
      <c r="BU685" s="48"/>
    </row>
    <row r="686" ht="15.75" customHeight="1">
      <c r="A686" s="48"/>
      <c r="B686" s="48"/>
      <c r="C686" s="48"/>
      <c r="D686" s="48"/>
      <c r="E686" s="27"/>
      <c r="F686" s="48"/>
      <c r="G686" s="48"/>
      <c r="H686" s="56"/>
      <c r="I686" s="56"/>
      <c r="J686" s="56"/>
      <c r="K686" s="56"/>
      <c r="L686" s="56"/>
      <c r="M686" s="56"/>
      <c r="N686" s="56"/>
      <c r="O686" s="56"/>
      <c r="P686" s="56"/>
      <c r="Q686" s="56"/>
      <c r="R686" s="56"/>
      <c r="S686" s="56"/>
      <c r="T686" s="56"/>
      <c r="U686" s="56"/>
      <c r="V686" s="56"/>
      <c r="W686" s="27"/>
      <c r="X686" s="56"/>
      <c r="Y686" s="27"/>
      <c r="Z686" s="56"/>
      <c r="AA686" s="27"/>
      <c r="AB686" s="56"/>
      <c r="AC686" s="27"/>
      <c r="AD686" s="56"/>
      <c r="AE686" s="27"/>
      <c r="AF686" s="56"/>
      <c r="AG686" s="27"/>
      <c r="AH686" s="286"/>
      <c r="AI686" s="27"/>
      <c r="AJ686" s="56"/>
      <c r="AK686" s="27"/>
      <c r="AL686" s="56"/>
      <c r="AM686" s="27"/>
      <c r="AN686" s="56"/>
      <c r="AO686" s="27"/>
      <c r="AP686" s="56"/>
      <c r="AQ686" s="27"/>
      <c r="AR686" s="56"/>
      <c r="AS686" s="27"/>
      <c r="AT686" s="56"/>
      <c r="AU686" s="27"/>
      <c r="AV686" s="56"/>
      <c r="AW686" s="27"/>
      <c r="AX686" s="56"/>
      <c r="AY686" s="27"/>
      <c r="AZ686" s="56"/>
      <c r="BA686" s="27"/>
      <c r="BB686" s="48"/>
      <c r="BC686" s="48"/>
      <c r="BD686" s="48"/>
      <c r="BE686" s="48"/>
      <c r="BF686" s="48"/>
      <c r="BG686" s="48"/>
      <c r="BH686" s="48"/>
      <c r="BI686" s="48"/>
      <c r="BJ686" s="48"/>
      <c r="BK686" s="48"/>
      <c r="BL686" s="48"/>
      <c r="BM686" s="48"/>
      <c r="BN686" s="48"/>
      <c r="BO686" s="48"/>
      <c r="BP686" s="48"/>
      <c r="BQ686" s="48"/>
      <c r="BR686" s="48"/>
      <c r="BS686" s="48"/>
      <c r="BT686" s="48"/>
      <c r="BU686" s="48"/>
    </row>
    <row r="687" ht="15.75" customHeight="1">
      <c r="A687" s="48"/>
      <c r="B687" s="48"/>
      <c r="C687" s="48"/>
      <c r="D687" s="48"/>
      <c r="E687" s="27"/>
      <c r="F687" s="48"/>
      <c r="G687" s="48"/>
      <c r="H687" s="56"/>
      <c r="I687" s="56"/>
      <c r="J687" s="56"/>
      <c r="K687" s="56"/>
      <c r="L687" s="56"/>
      <c r="M687" s="56"/>
      <c r="N687" s="56"/>
      <c r="O687" s="56"/>
      <c r="P687" s="56"/>
      <c r="Q687" s="56"/>
      <c r="R687" s="56"/>
      <c r="S687" s="56"/>
      <c r="T687" s="56"/>
      <c r="U687" s="56"/>
      <c r="V687" s="56"/>
      <c r="W687" s="27"/>
      <c r="X687" s="56"/>
      <c r="Y687" s="27"/>
      <c r="Z687" s="56"/>
      <c r="AA687" s="27"/>
      <c r="AB687" s="56"/>
      <c r="AC687" s="27"/>
      <c r="AD687" s="56"/>
      <c r="AE687" s="27"/>
      <c r="AF687" s="56"/>
      <c r="AG687" s="27"/>
      <c r="AH687" s="286"/>
      <c r="AI687" s="27"/>
      <c r="AJ687" s="56"/>
      <c r="AK687" s="27"/>
      <c r="AL687" s="56"/>
      <c r="AM687" s="27"/>
      <c r="AN687" s="56"/>
      <c r="AO687" s="27"/>
      <c r="AP687" s="56"/>
      <c r="AQ687" s="27"/>
      <c r="AR687" s="56"/>
      <c r="AS687" s="27"/>
      <c r="AT687" s="56"/>
      <c r="AU687" s="27"/>
      <c r="AV687" s="56"/>
      <c r="AW687" s="27"/>
      <c r="AX687" s="56"/>
      <c r="AY687" s="27"/>
      <c r="AZ687" s="56"/>
      <c r="BA687" s="27"/>
      <c r="BB687" s="48"/>
      <c r="BC687" s="48"/>
      <c r="BD687" s="48"/>
      <c r="BE687" s="48"/>
      <c r="BF687" s="48"/>
      <c r="BG687" s="48"/>
      <c r="BH687" s="48"/>
      <c r="BI687" s="48"/>
      <c r="BJ687" s="48"/>
      <c r="BK687" s="48"/>
      <c r="BL687" s="48"/>
      <c r="BM687" s="48"/>
      <c r="BN687" s="48"/>
      <c r="BO687" s="48"/>
      <c r="BP687" s="48"/>
      <c r="BQ687" s="48"/>
      <c r="BR687" s="48"/>
      <c r="BS687" s="48"/>
      <c r="BT687" s="48"/>
      <c r="BU687" s="48"/>
    </row>
    <row r="688" ht="15.75" customHeight="1">
      <c r="A688" s="48"/>
      <c r="B688" s="48"/>
      <c r="C688" s="48"/>
      <c r="D688" s="48"/>
      <c r="E688" s="27"/>
      <c r="F688" s="48"/>
      <c r="G688" s="48"/>
      <c r="H688" s="56"/>
      <c r="I688" s="56"/>
      <c r="J688" s="56"/>
      <c r="K688" s="56"/>
      <c r="L688" s="56"/>
      <c r="M688" s="56"/>
      <c r="N688" s="56"/>
      <c r="O688" s="56"/>
      <c r="P688" s="56"/>
      <c r="Q688" s="56"/>
      <c r="R688" s="56"/>
      <c r="S688" s="56"/>
      <c r="T688" s="56"/>
      <c r="U688" s="56"/>
      <c r="V688" s="56"/>
      <c r="W688" s="27"/>
      <c r="X688" s="56"/>
      <c r="Y688" s="27"/>
      <c r="Z688" s="56"/>
      <c r="AA688" s="27"/>
      <c r="AB688" s="56"/>
      <c r="AC688" s="27"/>
      <c r="AD688" s="56"/>
      <c r="AE688" s="27"/>
      <c r="AF688" s="56"/>
      <c r="AG688" s="27"/>
      <c r="AH688" s="286"/>
      <c r="AI688" s="27"/>
      <c r="AJ688" s="56"/>
      <c r="AK688" s="27"/>
      <c r="AL688" s="56"/>
      <c r="AM688" s="27"/>
      <c r="AN688" s="56"/>
      <c r="AO688" s="27"/>
      <c r="AP688" s="56"/>
      <c r="AQ688" s="27"/>
      <c r="AR688" s="56"/>
      <c r="AS688" s="27"/>
      <c r="AT688" s="56"/>
      <c r="AU688" s="27"/>
      <c r="AV688" s="56"/>
      <c r="AW688" s="27"/>
      <c r="AX688" s="56"/>
      <c r="AY688" s="27"/>
      <c r="AZ688" s="56"/>
      <c r="BA688" s="27"/>
      <c r="BB688" s="48"/>
      <c r="BC688" s="48"/>
      <c r="BD688" s="48"/>
      <c r="BE688" s="48"/>
      <c r="BF688" s="48"/>
      <c r="BG688" s="48"/>
      <c r="BH688" s="48"/>
      <c r="BI688" s="48"/>
      <c r="BJ688" s="48"/>
      <c r="BK688" s="48"/>
      <c r="BL688" s="48"/>
      <c r="BM688" s="48"/>
      <c r="BN688" s="48"/>
      <c r="BO688" s="48"/>
      <c r="BP688" s="48"/>
      <c r="BQ688" s="48"/>
      <c r="BR688" s="48"/>
      <c r="BS688" s="48"/>
      <c r="BT688" s="48"/>
      <c r="BU688" s="48"/>
    </row>
    <row r="689" ht="15.75" customHeight="1">
      <c r="A689" s="48"/>
      <c r="B689" s="48"/>
      <c r="C689" s="48"/>
      <c r="D689" s="48"/>
      <c r="E689" s="27"/>
      <c r="F689" s="48"/>
      <c r="G689" s="48"/>
      <c r="H689" s="56"/>
      <c r="I689" s="56"/>
      <c r="J689" s="56"/>
      <c r="K689" s="56"/>
      <c r="L689" s="56"/>
      <c r="M689" s="56"/>
      <c r="N689" s="56"/>
      <c r="O689" s="56"/>
      <c r="P689" s="56"/>
      <c r="Q689" s="56"/>
      <c r="R689" s="56"/>
      <c r="S689" s="56"/>
      <c r="T689" s="56"/>
      <c r="U689" s="56"/>
      <c r="V689" s="56"/>
      <c r="W689" s="27"/>
      <c r="X689" s="56"/>
      <c r="Y689" s="27"/>
      <c r="Z689" s="56"/>
      <c r="AA689" s="27"/>
      <c r="AB689" s="56"/>
      <c r="AC689" s="27"/>
      <c r="AD689" s="56"/>
      <c r="AE689" s="27"/>
      <c r="AF689" s="56"/>
      <c r="AG689" s="27"/>
      <c r="AH689" s="286"/>
      <c r="AI689" s="27"/>
      <c r="AJ689" s="56"/>
      <c r="AK689" s="27"/>
      <c r="AL689" s="56"/>
      <c r="AM689" s="27"/>
      <c r="AN689" s="56"/>
      <c r="AO689" s="27"/>
      <c r="AP689" s="56"/>
      <c r="AQ689" s="27"/>
      <c r="AR689" s="56"/>
      <c r="AS689" s="27"/>
      <c r="AT689" s="56"/>
      <c r="AU689" s="27"/>
      <c r="AV689" s="56"/>
      <c r="AW689" s="27"/>
      <c r="AX689" s="56"/>
      <c r="AY689" s="27"/>
      <c r="AZ689" s="56"/>
      <c r="BA689" s="27"/>
      <c r="BB689" s="48"/>
      <c r="BC689" s="48"/>
      <c r="BD689" s="48"/>
      <c r="BE689" s="48"/>
      <c r="BF689" s="48"/>
      <c r="BG689" s="48"/>
      <c r="BH689" s="48"/>
      <c r="BI689" s="48"/>
      <c r="BJ689" s="48"/>
      <c r="BK689" s="48"/>
      <c r="BL689" s="48"/>
      <c r="BM689" s="48"/>
      <c r="BN689" s="48"/>
      <c r="BO689" s="48"/>
      <c r="BP689" s="48"/>
      <c r="BQ689" s="48"/>
      <c r="BR689" s="48"/>
      <c r="BS689" s="48"/>
      <c r="BT689" s="48"/>
      <c r="BU689" s="48"/>
    </row>
    <row r="690" ht="15.75" customHeight="1">
      <c r="A690" s="48"/>
      <c r="B690" s="48"/>
      <c r="C690" s="48"/>
      <c r="D690" s="48"/>
      <c r="E690" s="27"/>
      <c r="F690" s="48"/>
      <c r="G690" s="48"/>
      <c r="H690" s="56"/>
      <c r="I690" s="56"/>
      <c r="J690" s="56"/>
      <c r="K690" s="56"/>
      <c r="L690" s="56"/>
      <c r="M690" s="56"/>
      <c r="N690" s="56"/>
      <c r="O690" s="56"/>
      <c r="P690" s="56"/>
      <c r="Q690" s="56"/>
      <c r="R690" s="56"/>
      <c r="S690" s="56"/>
      <c r="T690" s="56"/>
      <c r="U690" s="56"/>
      <c r="V690" s="56"/>
      <c r="W690" s="27"/>
      <c r="X690" s="56"/>
      <c r="Y690" s="27"/>
      <c r="Z690" s="56"/>
      <c r="AA690" s="27"/>
      <c r="AB690" s="56"/>
      <c r="AC690" s="27"/>
      <c r="AD690" s="56"/>
      <c r="AE690" s="27"/>
      <c r="AF690" s="56"/>
      <c r="AG690" s="27"/>
      <c r="AH690" s="286"/>
      <c r="AI690" s="27"/>
      <c r="AJ690" s="56"/>
      <c r="AK690" s="27"/>
      <c r="AL690" s="56"/>
      <c r="AM690" s="27"/>
      <c r="AN690" s="56"/>
      <c r="AO690" s="27"/>
      <c r="AP690" s="56"/>
      <c r="AQ690" s="27"/>
      <c r="AR690" s="56"/>
      <c r="AS690" s="27"/>
      <c r="AT690" s="56"/>
      <c r="AU690" s="27"/>
      <c r="AV690" s="56"/>
      <c r="AW690" s="27"/>
      <c r="AX690" s="56"/>
      <c r="AY690" s="27"/>
      <c r="AZ690" s="56"/>
      <c r="BA690" s="27"/>
      <c r="BB690" s="48"/>
      <c r="BC690" s="48"/>
      <c r="BD690" s="48"/>
      <c r="BE690" s="48"/>
      <c r="BF690" s="48"/>
      <c r="BG690" s="48"/>
      <c r="BH690" s="48"/>
      <c r="BI690" s="48"/>
      <c r="BJ690" s="48"/>
      <c r="BK690" s="48"/>
      <c r="BL690" s="48"/>
      <c r="BM690" s="48"/>
      <c r="BN690" s="48"/>
      <c r="BO690" s="48"/>
      <c r="BP690" s="48"/>
      <c r="BQ690" s="48"/>
      <c r="BR690" s="48"/>
      <c r="BS690" s="48"/>
      <c r="BT690" s="48"/>
      <c r="BU690" s="48"/>
    </row>
    <row r="691" ht="15.75" customHeight="1">
      <c r="A691" s="48"/>
      <c r="B691" s="48"/>
      <c r="C691" s="48"/>
      <c r="D691" s="48"/>
      <c r="E691" s="27"/>
      <c r="F691" s="48"/>
      <c r="G691" s="48"/>
      <c r="H691" s="56"/>
      <c r="I691" s="56"/>
      <c r="J691" s="56"/>
      <c r="K691" s="56"/>
      <c r="L691" s="56"/>
      <c r="M691" s="56"/>
      <c r="N691" s="56"/>
      <c r="O691" s="56"/>
      <c r="P691" s="56"/>
      <c r="Q691" s="56"/>
      <c r="R691" s="56"/>
      <c r="S691" s="56"/>
      <c r="T691" s="56"/>
      <c r="U691" s="56"/>
      <c r="V691" s="56"/>
      <c r="W691" s="27"/>
      <c r="X691" s="56"/>
      <c r="Y691" s="27"/>
      <c r="Z691" s="56"/>
      <c r="AA691" s="27"/>
      <c r="AB691" s="56"/>
      <c r="AC691" s="27"/>
      <c r="AD691" s="56"/>
      <c r="AE691" s="27"/>
      <c r="AF691" s="56"/>
      <c r="AG691" s="27"/>
      <c r="AH691" s="286"/>
      <c r="AI691" s="27"/>
      <c r="AJ691" s="56"/>
      <c r="AK691" s="27"/>
      <c r="AL691" s="56"/>
      <c r="AM691" s="27"/>
      <c r="AN691" s="56"/>
      <c r="AO691" s="27"/>
      <c r="AP691" s="56"/>
      <c r="AQ691" s="27"/>
      <c r="AR691" s="56"/>
      <c r="AS691" s="27"/>
      <c r="AT691" s="56"/>
      <c r="AU691" s="27"/>
      <c r="AV691" s="56"/>
      <c r="AW691" s="27"/>
      <c r="AX691" s="56"/>
      <c r="AY691" s="27"/>
      <c r="AZ691" s="56"/>
      <c r="BA691" s="27"/>
      <c r="BB691" s="48"/>
      <c r="BC691" s="48"/>
      <c r="BD691" s="48"/>
      <c r="BE691" s="48"/>
      <c r="BF691" s="48"/>
      <c r="BG691" s="48"/>
      <c r="BH691" s="48"/>
      <c r="BI691" s="48"/>
      <c r="BJ691" s="48"/>
      <c r="BK691" s="48"/>
      <c r="BL691" s="48"/>
      <c r="BM691" s="48"/>
      <c r="BN691" s="48"/>
      <c r="BO691" s="48"/>
      <c r="BP691" s="48"/>
      <c r="BQ691" s="48"/>
      <c r="BR691" s="48"/>
      <c r="BS691" s="48"/>
      <c r="BT691" s="48"/>
      <c r="BU691" s="48"/>
    </row>
    <row r="692" ht="15.75" customHeight="1">
      <c r="A692" s="48"/>
      <c r="B692" s="48"/>
      <c r="C692" s="48"/>
      <c r="D692" s="48"/>
      <c r="E692" s="27"/>
      <c r="F692" s="48"/>
      <c r="G692" s="48"/>
      <c r="H692" s="56"/>
      <c r="I692" s="56"/>
      <c r="J692" s="56"/>
      <c r="K692" s="56"/>
      <c r="L692" s="56"/>
      <c r="M692" s="56"/>
      <c r="N692" s="56"/>
      <c r="O692" s="56"/>
      <c r="P692" s="56"/>
      <c r="Q692" s="56"/>
      <c r="R692" s="56"/>
      <c r="S692" s="56"/>
      <c r="T692" s="56"/>
      <c r="U692" s="56"/>
      <c r="V692" s="56"/>
      <c r="W692" s="27"/>
      <c r="X692" s="56"/>
      <c r="Y692" s="27"/>
      <c r="Z692" s="56"/>
      <c r="AA692" s="27"/>
      <c r="AB692" s="56"/>
      <c r="AC692" s="27"/>
      <c r="AD692" s="56"/>
      <c r="AE692" s="27"/>
      <c r="AF692" s="56"/>
      <c r="AG692" s="27"/>
      <c r="AH692" s="286"/>
      <c r="AI692" s="27"/>
      <c r="AJ692" s="56"/>
      <c r="AK692" s="27"/>
      <c r="AL692" s="56"/>
      <c r="AM692" s="27"/>
      <c r="AN692" s="56"/>
      <c r="AO692" s="27"/>
      <c r="AP692" s="56"/>
      <c r="AQ692" s="27"/>
      <c r="AR692" s="56"/>
      <c r="AS692" s="27"/>
      <c r="AT692" s="56"/>
      <c r="AU692" s="27"/>
      <c r="AV692" s="56"/>
      <c r="AW692" s="27"/>
      <c r="AX692" s="56"/>
      <c r="AY692" s="27"/>
      <c r="AZ692" s="56"/>
      <c r="BA692" s="27"/>
      <c r="BB692" s="48"/>
      <c r="BC692" s="48"/>
      <c r="BD692" s="48"/>
      <c r="BE692" s="48"/>
      <c r="BF692" s="48"/>
      <c r="BG692" s="48"/>
      <c r="BH692" s="48"/>
      <c r="BI692" s="48"/>
      <c r="BJ692" s="48"/>
      <c r="BK692" s="48"/>
      <c r="BL692" s="48"/>
      <c r="BM692" s="48"/>
      <c r="BN692" s="48"/>
      <c r="BO692" s="48"/>
      <c r="BP692" s="48"/>
      <c r="BQ692" s="48"/>
      <c r="BR692" s="48"/>
      <c r="BS692" s="48"/>
      <c r="BT692" s="48"/>
      <c r="BU692" s="48"/>
    </row>
    <row r="693" ht="15.75" customHeight="1">
      <c r="A693" s="48"/>
      <c r="B693" s="48"/>
      <c r="C693" s="48"/>
      <c r="D693" s="48"/>
      <c r="E693" s="27"/>
      <c r="F693" s="48"/>
      <c r="G693" s="48"/>
      <c r="H693" s="56"/>
      <c r="I693" s="56"/>
      <c r="J693" s="56"/>
      <c r="K693" s="56"/>
      <c r="L693" s="56"/>
      <c r="M693" s="56"/>
      <c r="N693" s="56"/>
      <c r="O693" s="56"/>
      <c r="P693" s="56"/>
      <c r="Q693" s="56"/>
      <c r="R693" s="56"/>
      <c r="S693" s="56"/>
      <c r="T693" s="56"/>
      <c r="U693" s="56"/>
      <c r="V693" s="56"/>
      <c r="W693" s="27"/>
      <c r="X693" s="56"/>
      <c r="Y693" s="27"/>
      <c r="Z693" s="56"/>
      <c r="AA693" s="27"/>
      <c r="AB693" s="56"/>
      <c r="AC693" s="27"/>
      <c r="AD693" s="56"/>
      <c r="AE693" s="27"/>
      <c r="AF693" s="56"/>
      <c r="AG693" s="27"/>
      <c r="AH693" s="286"/>
      <c r="AI693" s="27"/>
      <c r="AJ693" s="56"/>
      <c r="AK693" s="27"/>
      <c r="AL693" s="56"/>
      <c r="AM693" s="27"/>
      <c r="AN693" s="56"/>
      <c r="AO693" s="27"/>
      <c r="AP693" s="56"/>
      <c r="AQ693" s="27"/>
      <c r="AR693" s="56"/>
      <c r="AS693" s="27"/>
      <c r="AT693" s="56"/>
      <c r="AU693" s="27"/>
      <c r="AV693" s="56"/>
      <c r="AW693" s="27"/>
      <c r="AX693" s="56"/>
      <c r="AY693" s="27"/>
      <c r="AZ693" s="56"/>
      <c r="BA693" s="27"/>
      <c r="BB693" s="48"/>
      <c r="BC693" s="48"/>
      <c r="BD693" s="48"/>
      <c r="BE693" s="48"/>
      <c r="BF693" s="48"/>
      <c r="BG693" s="48"/>
      <c r="BH693" s="48"/>
      <c r="BI693" s="48"/>
      <c r="BJ693" s="48"/>
      <c r="BK693" s="48"/>
      <c r="BL693" s="48"/>
      <c r="BM693" s="48"/>
      <c r="BN693" s="48"/>
      <c r="BO693" s="48"/>
      <c r="BP693" s="48"/>
      <c r="BQ693" s="48"/>
      <c r="BR693" s="48"/>
      <c r="BS693" s="48"/>
      <c r="BT693" s="48"/>
      <c r="BU693" s="48"/>
    </row>
    <row r="694" ht="15.75" customHeight="1">
      <c r="A694" s="48"/>
      <c r="B694" s="48"/>
      <c r="C694" s="48"/>
      <c r="D694" s="48"/>
      <c r="E694" s="27"/>
      <c r="F694" s="48"/>
      <c r="G694" s="48"/>
      <c r="H694" s="56"/>
      <c r="I694" s="56"/>
      <c r="J694" s="56"/>
      <c r="K694" s="56"/>
      <c r="L694" s="56"/>
      <c r="M694" s="56"/>
      <c r="N694" s="56"/>
      <c r="O694" s="56"/>
      <c r="P694" s="56"/>
      <c r="Q694" s="56"/>
      <c r="R694" s="56"/>
      <c r="S694" s="56"/>
      <c r="T694" s="56"/>
      <c r="U694" s="56"/>
      <c r="V694" s="56"/>
      <c r="W694" s="27"/>
      <c r="X694" s="56"/>
      <c r="Y694" s="27"/>
      <c r="Z694" s="56"/>
      <c r="AA694" s="27"/>
      <c r="AB694" s="56"/>
      <c r="AC694" s="27"/>
      <c r="AD694" s="56"/>
      <c r="AE694" s="27"/>
      <c r="AF694" s="56"/>
      <c r="AG694" s="27"/>
      <c r="AH694" s="286"/>
      <c r="AI694" s="27"/>
      <c r="AJ694" s="56"/>
      <c r="AK694" s="27"/>
      <c r="AL694" s="56"/>
      <c r="AM694" s="27"/>
      <c r="AN694" s="56"/>
      <c r="AO694" s="27"/>
      <c r="AP694" s="56"/>
      <c r="AQ694" s="27"/>
      <c r="AR694" s="56"/>
      <c r="AS694" s="27"/>
      <c r="AT694" s="56"/>
      <c r="AU694" s="27"/>
      <c r="AV694" s="56"/>
      <c r="AW694" s="27"/>
      <c r="AX694" s="56"/>
      <c r="AY694" s="27"/>
      <c r="AZ694" s="56"/>
      <c r="BA694" s="27"/>
      <c r="BB694" s="48"/>
      <c r="BC694" s="48"/>
      <c r="BD694" s="48"/>
      <c r="BE694" s="48"/>
      <c r="BF694" s="48"/>
      <c r="BG694" s="48"/>
      <c r="BH694" s="48"/>
      <c r="BI694" s="48"/>
      <c r="BJ694" s="48"/>
      <c r="BK694" s="48"/>
      <c r="BL694" s="48"/>
      <c r="BM694" s="48"/>
      <c r="BN694" s="48"/>
      <c r="BO694" s="48"/>
      <c r="BP694" s="48"/>
      <c r="BQ694" s="48"/>
      <c r="BR694" s="48"/>
      <c r="BS694" s="48"/>
      <c r="BT694" s="48"/>
      <c r="BU694" s="48"/>
    </row>
    <row r="695" ht="15.75" customHeight="1">
      <c r="A695" s="48"/>
      <c r="B695" s="48"/>
      <c r="C695" s="48"/>
      <c r="D695" s="48"/>
      <c r="E695" s="27"/>
      <c r="F695" s="48"/>
      <c r="G695" s="48"/>
      <c r="H695" s="56"/>
      <c r="I695" s="56"/>
      <c r="J695" s="56"/>
      <c r="K695" s="56"/>
      <c r="L695" s="56"/>
      <c r="M695" s="56"/>
      <c r="N695" s="56"/>
      <c r="O695" s="56"/>
      <c r="P695" s="56"/>
      <c r="Q695" s="56"/>
      <c r="R695" s="56"/>
      <c r="S695" s="56"/>
      <c r="T695" s="56"/>
      <c r="U695" s="56"/>
      <c r="V695" s="56"/>
      <c r="W695" s="27"/>
      <c r="X695" s="56"/>
      <c r="Y695" s="27"/>
      <c r="Z695" s="56"/>
      <c r="AA695" s="27"/>
      <c r="AB695" s="56"/>
      <c r="AC695" s="27"/>
      <c r="AD695" s="56"/>
      <c r="AE695" s="27"/>
      <c r="AF695" s="56"/>
      <c r="AG695" s="27"/>
      <c r="AH695" s="286"/>
      <c r="AI695" s="27"/>
      <c r="AJ695" s="56"/>
      <c r="AK695" s="27"/>
      <c r="AL695" s="56"/>
      <c r="AM695" s="27"/>
      <c r="AN695" s="56"/>
      <c r="AO695" s="27"/>
      <c r="AP695" s="56"/>
      <c r="AQ695" s="27"/>
      <c r="AR695" s="56"/>
      <c r="AS695" s="27"/>
      <c r="AT695" s="56"/>
      <c r="AU695" s="27"/>
      <c r="AV695" s="56"/>
      <c r="AW695" s="27"/>
      <c r="AX695" s="56"/>
      <c r="AY695" s="27"/>
      <c r="AZ695" s="56"/>
      <c r="BA695" s="27"/>
      <c r="BB695" s="48"/>
      <c r="BC695" s="48"/>
      <c r="BD695" s="48"/>
      <c r="BE695" s="48"/>
      <c r="BF695" s="48"/>
      <c r="BG695" s="48"/>
      <c r="BH695" s="48"/>
      <c r="BI695" s="48"/>
      <c r="BJ695" s="48"/>
      <c r="BK695" s="48"/>
      <c r="BL695" s="48"/>
      <c r="BM695" s="48"/>
      <c r="BN695" s="48"/>
      <c r="BO695" s="48"/>
      <c r="BP695" s="48"/>
      <c r="BQ695" s="48"/>
      <c r="BR695" s="48"/>
      <c r="BS695" s="48"/>
      <c r="BT695" s="48"/>
      <c r="BU695" s="48"/>
    </row>
    <row r="696" ht="15.75" customHeight="1">
      <c r="A696" s="48"/>
      <c r="B696" s="48"/>
      <c r="C696" s="48"/>
      <c r="D696" s="48"/>
      <c r="E696" s="27"/>
      <c r="F696" s="48"/>
      <c r="G696" s="48"/>
      <c r="H696" s="56"/>
      <c r="I696" s="56"/>
      <c r="J696" s="56"/>
      <c r="K696" s="56"/>
      <c r="L696" s="56"/>
      <c r="M696" s="56"/>
      <c r="N696" s="56"/>
      <c r="O696" s="56"/>
      <c r="P696" s="56"/>
      <c r="Q696" s="56"/>
      <c r="R696" s="56"/>
      <c r="S696" s="56"/>
      <c r="T696" s="56"/>
      <c r="U696" s="56"/>
      <c r="V696" s="56"/>
      <c r="W696" s="27"/>
      <c r="X696" s="56"/>
      <c r="Y696" s="27"/>
      <c r="Z696" s="56"/>
      <c r="AA696" s="27"/>
      <c r="AB696" s="56"/>
      <c r="AC696" s="27"/>
      <c r="AD696" s="56"/>
      <c r="AE696" s="27"/>
      <c r="AF696" s="56"/>
      <c r="AG696" s="27"/>
      <c r="AH696" s="286"/>
      <c r="AI696" s="27"/>
      <c r="AJ696" s="56"/>
      <c r="AK696" s="27"/>
      <c r="AL696" s="56"/>
      <c r="AM696" s="27"/>
      <c r="AN696" s="56"/>
      <c r="AO696" s="27"/>
      <c r="AP696" s="56"/>
      <c r="AQ696" s="27"/>
      <c r="AR696" s="56"/>
      <c r="AS696" s="27"/>
      <c r="AT696" s="56"/>
      <c r="AU696" s="27"/>
      <c r="AV696" s="56"/>
      <c r="AW696" s="27"/>
      <c r="AX696" s="56"/>
      <c r="AY696" s="27"/>
      <c r="AZ696" s="56"/>
      <c r="BA696" s="27"/>
      <c r="BB696" s="48"/>
      <c r="BC696" s="48"/>
      <c r="BD696" s="48"/>
      <c r="BE696" s="48"/>
      <c r="BF696" s="48"/>
      <c r="BG696" s="48"/>
      <c r="BH696" s="48"/>
      <c r="BI696" s="48"/>
      <c r="BJ696" s="48"/>
      <c r="BK696" s="48"/>
      <c r="BL696" s="48"/>
      <c r="BM696" s="48"/>
      <c r="BN696" s="48"/>
      <c r="BO696" s="48"/>
      <c r="BP696" s="48"/>
      <c r="BQ696" s="48"/>
      <c r="BR696" s="48"/>
      <c r="BS696" s="48"/>
      <c r="BT696" s="48"/>
      <c r="BU696" s="48"/>
    </row>
    <row r="697" ht="15.75" customHeight="1">
      <c r="A697" s="48"/>
      <c r="B697" s="48"/>
      <c r="C697" s="48"/>
      <c r="D697" s="48"/>
      <c r="E697" s="27"/>
      <c r="F697" s="48"/>
      <c r="G697" s="48"/>
      <c r="H697" s="56"/>
      <c r="I697" s="56"/>
      <c r="J697" s="56"/>
      <c r="K697" s="56"/>
      <c r="L697" s="56"/>
      <c r="M697" s="56"/>
      <c r="N697" s="56"/>
      <c r="O697" s="56"/>
      <c r="P697" s="56"/>
      <c r="Q697" s="56"/>
      <c r="R697" s="56"/>
      <c r="S697" s="56"/>
      <c r="T697" s="56"/>
      <c r="U697" s="56"/>
      <c r="V697" s="56"/>
      <c r="W697" s="27"/>
      <c r="X697" s="56"/>
      <c r="Y697" s="27"/>
      <c r="Z697" s="56"/>
      <c r="AA697" s="27"/>
      <c r="AB697" s="56"/>
      <c r="AC697" s="27"/>
      <c r="AD697" s="56"/>
      <c r="AE697" s="27"/>
      <c r="AF697" s="56"/>
      <c r="AG697" s="27"/>
      <c r="AH697" s="286"/>
      <c r="AI697" s="27"/>
      <c r="AJ697" s="56"/>
      <c r="AK697" s="27"/>
      <c r="AL697" s="56"/>
      <c r="AM697" s="27"/>
      <c r="AN697" s="56"/>
      <c r="AO697" s="27"/>
      <c r="AP697" s="56"/>
      <c r="AQ697" s="27"/>
      <c r="AR697" s="56"/>
      <c r="AS697" s="27"/>
      <c r="AT697" s="56"/>
      <c r="AU697" s="27"/>
      <c r="AV697" s="56"/>
      <c r="AW697" s="27"/>
      <c r="AX697" s="56"/>
      <c r="AY697" s="27"/>
      <c r="AZ697" s="56"/>
      <c r="BA697" s="27"/>
      <c r="BB697" s="48"/>
      <c r="BC697" s="48"/>
      <c r="BD697" s="48"/>
      <c r="BE697" s="48"/>
      <c r="BF697" s="48"/>
      <c r="BG697" s="48"/>
      <c r="BH697" s="48"/>
      <c r="BI697" s="48"/>
      <c r="BJ697" s="48"/>
      <c r="BK697" s="48"/>
      <c r="BL697" s="48"/>
      <c r="BM697" s="48"/>
      <c r="BN697" s="48"/>
      <c r="BO697" s="48"/>
      <c r="BP697" s="48"/>
      <c r="BQ697" s="48"/>
      <c r="BR697" s="48"/>
      <c r="BS697" s="48"/>
      <c r="BT697" s="48"/>
      <c r="BU697" s="48"/>
    </row>
    <row r="698" ht="15.75" customHeight="1">
      <c r="A698" s="48"/>
      <c r="B698" s="48"/>
      <c r="C698" s="48"/>
      <c r="D698" s="48"/>
      <c r="E698" s="27"/>
      <c r="F698" s="48"/>
      <c r="G698" s="48"/>
      <c r="H698" s="56"/>
      <c r="I698" s="56"/>
      <c r="J698" s="56"/>
      <c r="K698" s="56"/>
      <c r="L698" s="56"/>
      <c r="M698" s="56"/>
      <c r="N698" s="56"/>
      <c r="O698" s="56"/>
      <c r="P698" s="56"/>
      <c r="Q698" s="56"/>
      <c r="R698" s="56"/>
      <c r="S698" s="56"/>
      <c r="T698" s="56"/>
      <c r="U698" s="56"/>
      <c r="V698" s="56"/>
      <c r="W698" s="27"/>
      <c r="X698" s="56"/>
      <c r="Y698" s="27"/>
      <c r="Z698" s="56"/>
      <c r="AA698" s="27"/>
      <c r="AB698" s="56"/>
      <c r="AC698" s="27"/>
      <c r="AD698" s="56"/>
      <c r="AE698" s="27"/>
      <c r="AF698" s="56"/>
      <c r="AG698" s="27"/>
      <c r="AH698" s="286"/>
      <c r="AI698" s="27"/>
      <c r="AJ698" s="56"/>
      <c r="AK698" s="27"/>
      <c r="AL698" s="56"/>
      <c r="AM698" s="27"/>
      <c r="AN698" s="56"/>
      <c r="AO698" s="27"/>
      <c r="AP698" s="56"/>
      <c r="AQ698" s="27"/>
      <c r="AR698" s="56"/>
      <c r="AS698" s="27"/>
      <c r="AT698" s="56"/>
      <c r="AU698" s="27"/>
      <c r="AV698" s="56"/>
      <c r="AW698" s="27"/>
      <c r="AX698" s="56"/>
      <c r="AY698" s="27"/>
      <c r="AZ698" s="56"/>
      <c r="BA698" s="27"/>
      <c r="BB698" s="48"/>
      <c r="BC698" s="48"/>
      <c r="BD698" s="48"/>
      <c r="BE698" s="48"/>
      <c r="BF698" s="48"/>
      <c r="BG698" s="48"/>
      <c r="BH698" s="48"/>
      <c r="BI698" s="48"/>
      <c r="BJ698" s="48"/>
      <c r="BK698" s="48"/>
      <c r="BL698" s="48"/>
      <c r="BM698" s="48"/>
      <c r="BN698" s="48"/>
      <c r="BO698" s="48"/>
      <c r="BP698" s="48"/>
      <c r="BQ698" s="48"/>
      <c r="BR698" s="48"/>
      <c r="BS698" s="48"/>
      <c r="BT698" s="48"/>
      <c r="BU698" s="48"/>
    </row>
    <row r="699" ht="15.75" customHeight="1">
      <c r="A699" s="48"/>
      <c r="B699" s="48"/>
      <c r="C699" s="48"/>
      <c r="D699" s="48"/>
      <c r="E699" s="27"/>
      <c r="F699" s="48"/>
      <c r="G699" s="48"/>
      <c r="H699" s="56"/>
      <c r="I699" s="56"/>
      <c r="J699" s="56"/>
      <c r="K699" s="56"/>
      <c r="L699" s="56"/>
      <c r="M699" s="56"/>
      <c r="N699" s="56"/>
      <c r="O699" s="56"/>
      <c r="P699" s="56"/>
      <c r="Q699" s="56"/>
      <c r="R699" s="56"/>
      <c r="S699" s="56"/>
      <c r="T699" s="56"/>
      <c r="U699" s="56"/>
      <c r="V699" s="56"/>
      <c r="W699" s="27"/>
      <c r="X699" s="56"/>
      <c r="Y699" s="27"/>
      <c r="Z699" s="56"/>
      <c r="AA699" s="27"/>
      <c r="AB699" s="56"/>
      <c r="AC699" s="27"/>
      <c r="AD699" s="56"/>
      <c r="AE699" s="27"/>
      <c r="AF699" s="56"/>
      <c r="AG699" s="27"/>
      <c r="AH699" s="286"/>
      <c r="AI699" s="27"/>
      <c r="AJ699" s="56"/>
      <c r="AK699" s="27"/>
      <c r="AL699" s="56"/>
      <c r="AM699" s="27"/>
      <c r="AN699" s="56"/>
      <c r="AO699" s="27"/>
      <c r="AP699" s="56"/>
      <c r="AQ699" s="27"/>
      <c r="AR699" s="56"/>
      <c r="AS699" s="27"/>
      <c r="AT699" s="56"/>
      <c r="AU699" s="27"/>
      <c r="AV699" s="56"/>
      <c r="AW699" s="27"/>
      <c r="AX699" s="56"/>
      <c r="AY699" s="27"/>
      <c r="AZ699" s="56"/>
      <c r="BA699" s="27"/>
      <c r="BB699" s="48"/>
      <c r="BC699" s="48"/>
      <c r="BD699" s="48"/>
      <c r="BE699" s="48"/>
      <c r="BF699" s="48"/>
      <c r="BG699" s="48"/>
      <c r="BH699" s="48"/>
      <c r="BI699" s="48"/>
      <c r="BJ699" s="48"/>
      <c r="BK699" s="48"/>
      <c r="BL699" s="48"/>
      <c r="BM699" s="48"/>
      <c r="BN699" s="48"/>
      <c r="BO699" s="48"/>
      <c r="BP699" s="48"/>
      <c r="BQ699" s="48"/>
      <c r="BR699" s="48"/>
      <c r="BS699" s="48"/>
      <c r="BT699" s="48"/>
      <c r="BU699" s="48"/>
    </row>
    <row r="700" ht="15.75" customHeight="1">
      <c r="A700" s="48"/>
      <c r="B700" s="48"/>
      <c r="C700" s="48"/>
      <c r="D700" s="48"/>
      <c r="E700" s="27"/>
      <c r="F700" s="48"/>
      <c r="G700" s="48"/>
      <c r="H700" s="56"/>
      <c r="I700" s="56"/>
      <c r="J700" s="56"/>
      <c r="K700" s="56"/>
      <c r="L700" s="56"/>
      <c r="M700" s="56"/>
      <c r="N700" s="56"/>
      <c r="O700" s="56"/>
      <c r="P700" s="56"/>
      <c r="Q700" s="56"/>
      <c r="R700" s="56"/>
      <c r="S700" s="56"/>
      <c r="T700" s="56"/>
      <c r="U700" s="56"/>
      <c r="V700" s="56"/>
      <c r="W700" s="27"/>
      <c r="X700" s="56"/>
      <c r="Y700" s="27"/>
      <c r="Z700" s="56"/>
      <c r="AA700" s="27"/>
      <c r="AB700" s="56"/>
      <c r="AC700" s="27"/>
      <c r="AD700" s="56"/>
      <c r="AE700" s="27"/>
      <c r="AF700" s="56"/>
      <c r="AG700" s="27"/>
      <c r="AH700" s="286"/>
      <c r="AI700" s="27"/>
      <c r="AJ700" s="56"/>
      <c r="AK700" s="27"/>
      <c r="AL700" s="56"/>
      <c r="AM700" s="27"/>
      <c r="AN700" s="56"/>
      <c r="AO700" s="27"/>
      <c r="AP700" s="56"/>
      <c r="AQ700" s="27"/>
      <c r="AR700" s="56"/>
      <c r="AS700" s="27"/>
      <c r="AT700" s="56"/>
      <c r="AU700" s="27"/>
      <c r="AV700" s="56"/>
      <c r="AW700" s="27"/>
      <c r="AX700" s="56"/>
      <c r="AY700" s="27"/>
      <c r="AZ700" s="56"/>
      <c r="BA700" s="27"/>
      <c r="BB700" s="48"/>
      <c r="BC700" s="48"/>
      <c r="BD700" s="48"/>
      <c r="BE700" s="48"/>
      <c r="BF700" s="48"/>
      <c r="BG700" s="48"/>
      <c r="BH700" s="48"/>
      <c r="BI700" s="48"/>
      <c r="BJ700" s="48"/>
      <c r="BK700" s="48"/>
      <c r="BL700" s="48"/>
      <c r="BM700" s="48"/>
      <c r="BN700" s="48"/>
      <c r="BO700" s="48"/>
      <c r="BP700" s="48"/>
      <c r="BQ700" s="48"/>
      <c r="BR700" s="48"/>
      <c r="BS700" s="48"/>
      <c r="BT700" s="48"/>
      <c r="BU700" s="48"/>
    </row>
    <row r="701" ht="15.75" customHeight="1">
      <c r="A701" s="48"/>
      <c r="B701" s="48"/>
      <c r="C701" s="48"/>
      <c r="D701" s="48"/>
      <c r="E701" s="27"/>
      <c r="F701" s="48"/>
      <c r="G701" s="48"/>
      <c r="H701" s="56"/>
      <c r="I701" s="56"/>
      <c r="J701" s="56"/>
      <c r="K701" s="56"/>
      <c r="L701" s="56"/>
      <c r="M701" s="56"/>
      <c r="N701" s="56"/>
      <c r="O701" s="56"/>
      <c r="P701" s="56"/>
      <c r="Q701" s="56"/>
      <c r="R701" s="56"/>
      <c r="S701" s="56"/>
      <c r="T701" s="56"/>
      <c r="U701" s="56"/>
      <c r="V701" s="56"/>
      <c r="W701" s="27"/>
      <c r="X701" s="56"/>
      <c r="Y701" s="27"/>
      <c r="Z701" s="56"/>
      <c r="AA701" s="27"/>
      <c r="AB701" s="56"/>
      <c r="AC701" s="27"/>
      <c r="AD701" s="56"/>
      <c r="AE701" s="27"/>
      <c r="AF701" s="56"/>
      <c r="AG701" s="27"/>
      <c r="AH701" s="286"/>
      <c r="AI701" s="27"/>
      <c r="AJ701" s="56"/>
      <c r="AK701" s="27"/>
      <c r="AL701" s="56"/>
      <c r="AM701" s="27"/>
      <c r="AN701" s="56"/>
      <c r="AO701" s="27"/>
      <c r="AP701" s="56"/>
      <c r="AQ701" s="27"/>
      <c r="AR701" s="56"/>
      <c r="AS701" s="27"/>
      <c r="AT701" s="56"/>
      <c r="AU701" s="27"/>
      <c r="AV701" s="56"/>
      <c r="AW701" s="27"/>
      <c r="AX701" s="56"/>
      <c r="AY701" s="27"/>
      <c r="AZ701" s="56"/>
      <c r="BA701" s="27"/>
      <c r="BB701" s="48"/>
      <c r="BC701" s="48"/>
      <c r="BD701" s="48"/>
      <c r="BE701" s="48"/>
      <c r="BF701" s="48"/>
      <c r="BG701" s="48"/>
      <c r="BH701" s="48"/>
      <c r="BI701" s="48"/>
      <c r="BJ701" s="48"/>
      <c r="BK701" s="48"/>
      <c r="BL701" s="48"/>
      <c r="BM701" s="48"/>
      <c r="BN701" s="48"/>
      <c r="BO701" s="48"/>
      <c r="BP701" s="48"/>
      <c r="BQ701" s="48"/>
      <c r="BR701" s="48"/>
      <c r="BS701" s="48"/>
      <c r="BT701" s="48"/>
      <c r="BU701" s="48"/>
    </row>
    <row r="702" ht="15.75" customHeight="1">
      <c r="A702" s="48"/>
      <c r="B702" s="48"/>
      <c r="C702" s="48"/>
      <c r="D702" s="48"/>
      <c r="E702" s="27"/>
      <c r="F702" s="48"/>
      <c r="G702" s="48"/>
      <c r="H702" s="56"/>
      <c r="I702" s="56"/>
      <c r="J702" s="56"/>
      <c r="K702" s="56"/>
      <c r="L702" s="56"/>
      <c r="M702" s="56"/>
      <c r="N702" s="56"/>
      <c r="O702" s="56"/>
      <c r="P702" s="56"/>
      <c r="Q702" s="56"/>
      <c r="R702" s="56"/>
      <c r="S702" s="56"/>
      <c r="T702" s="56"/>
      <c r="U702" s="56"/>
      <c r="V702" s="56"/>
      <c r="W702" s="27"/>
      <c r="X702" s="56"/>
      <c r="Y702" s="27"/>
      <c r="Z702" s="56"/>
      <c r="AA702" s="27"/>
      <c r="AB702" s="56"/>
      <c r="AC702" s="27"/>
      <c r="AD702" s="56"/>
      <c r="AE702" s="27"/>
      <c r="AF702" s="56"/>
      <c r="AG702" s="27"/>
      <c r="AH702" s="286"/>
      <c r="AI702" s="27"/>
      <c r="AJ702" s="56"/>
      <c r="AK702" s="27"/>
      <c r="AL702" s="56"/>
      <c r="AM702" s="27"/>
      <c r="AN702" s="56"/>
      <c r="AO702" s="27"/>
      <c r="AP702" s="56"/>
      <c r="AQ702" s="27"/>
      <c r="AR702" s="56"/>
      <c r="AS702" s="27"/>
      <c r="AT702" s="56"/>
      <c r="AU702" s="27"/>
      <c r="AV702" s="56"/>
      <c r="AW702" s="27"/>
      <c r="AX702" s="56"/>
      <c r="AY702" s="27"/>
      <c r="AZ702" s="56"/>
      <c r="BA702" s="27"/>
      <c r="BB702" s="48"/>
      <c r="BC702" s="48"/>
      <c r="BD702" s="48"/>
      <c r="BE702" s="48"/>
      <c r="BF702" s="48"/>
      <c r="BG702" s="48"/>
      <c r="BH702" s="48"/>
      <c r="BI702" s="48"/>
      <c r="BJ702" s="48"/>
      <c r="BK702" s="48"/>
      <c r="BL702" s="48"/>
      <c r="BM702" s="48"/>
      <c r="BN702" s="48"/>
      <c r="BO702" s="48"/>
      <c r="BP702" s="48"/>
      <c r="BQ702" s="48"/>
      <c r="BR702" s="48"/>
      <c r="BS702" s="48"/>
      <c r="BT702" s="48"/>
      <c r="BU702" s="48"/>
    </row>
    <row r="703" ht="15.75" customHeight="1">
      <c r="A703" s="48"/>
      <c r="B703" s="48"/>
      <c r="C703" s="48"/>
      <c r="D703" s="48"/>
      <c r="E703" s="27"/>
      <c r="F703" s="48"/>
      <c r="G703" s="48"/>
      <c r="H703" s="56"/>
      <c r="I703" s="56"/>
      <c r="J703" s="56"/>
      <c r="K703" s="56"/>
      <c r="L703" s="56"/>
      <c r="M703" s="56"/>
      <c r="N703" s="56"/>
      <c r="O703" s="56"/>
      <c r="P703" s="56"/>
      <c r="Q703" s="56"/>
      <c r="R703" s="56"/>
      <c r="S703" s="56"/>
      <c r="T703" s="56"/>
      <c r="U703" s="56"/>
      <c r="V703" s="56"/>
      <c r="W703" s="27"/>
      <c r="X703" s="56"/>
      <c r="Y703" s="27"/>
      <c r="Z703" s="56"/>
      <c r="AA703" s="27"/>
      <c r="AB703" s="56"/>
      <c r="AC703" s="27"/>
      <c r="AD703" s="56"/>
      <c r="AE703" s="27"/>
      <c r="AF703" s="56"/>
      <c r="AG703" s="27"/>
      <c r="AH703" s="286"/>
      <c r="AI703" s="27"/>
      <c r="AJ703" s="56"/>
      <c r="AK703" s="27"/>
      <c r="AL703" s="56"/>
      <c r="AM703" s="27"/>
      <c r="AN703" s="56"/>
      <c r="AO703" s="27"/>
      <c r="AP703" s="56"/>
      <c r="AQ703" s="27"/>
      <c r="AR703" s="56"/>
      <c r="AS703" s="27"/>
      <c r="AT703" s="56"/>
      <c r="AU703" s="27"/>
      <c r="AV703" s="56"/>
      <c r="AW703" s="27"/>
      <c r="AX703" s="56"/>
      <c r="AY703" s="27"/>
      <c r="AZ703" s="56"/>
      <c r="BA703" s="27"/>
      <c r="BB703" s="48"/>
      <c r="BC703" s="48"/>
      <c r="BD703" s="48"/>
      <c r="BE703" s="48"/>
      <c r="BF703" s="48"/>
      <c r="BG703" s="48"/>
      <c r="BH703" s="48"/>
      <c r="BI703" s="48"/>
      <c r="BJ703" s="48"/>
      <c r="BK703" s="48"/>
      <c r="BL703" s="48"/>
      <c r="BM703" s="48"/>
      <c r="BN703" s="48"/>
      <c r="BO703" s="48"/>
      <c r="BP703" s="48"/>
      <c r="BQ703" s="48"/>
      <c r="BR703" s="48"/>
      <c r="BS703" s="48"/>
      <c r="BT703" s="48"/>
      <c r="BU703" s="48"/>
    </row>
    <row r="704" ht="15.75" customHeight="1">
      <c r="A704" s="48"/>
      <c r="B704" s="48"/>
      <c r="C704" s="48"/>
      <c r="D704" s="48"/>
      <c r="E704" s="27"/>
      <c r="F704" s="48"/>
      <c r="G704" s="48"/>
      <c r="H704" s="56"/>
      <c r="I704" s="56"/>
      <c r="J704" s="56"/>
      <c r="K704" s="56"/>
      <c r="L704" s="56"/>
      <c r="M704" s="56"/>
      <c r="N704" s="56"/>
      <c r="O704" s="56"/>
      <c r="P704" s="56"/>
      <c r="Q704" s="56"/>
      <c r="R704" s="56"/>
      <c r="S704" s="56"/>
      <c r="T704" s="56"/>
      <c r="U704" s="56"/>
      <c r="V704" s="56"/>
      <c r="W704" s="27"/>
      <c r="X704" s="56"/>
      <c r="Y704" s="27"/>
      <c r="Z704" s="56"/>
      <c r="AA704" s="27"/>
      <c r="AB704" s="56"/>
      <c r="AC704" s="27"/>
      <c r="AD704" s="56"/>
      <c r="AE704" s="27"/>
      <c r="AF704" s="56"/>
      <c r="AG704" s="27"/>
      <c r="AH704" s="286"/>
      <c r="AI704" s="27"/>
      <c r="AJ704" s="56"/>
      <c r="AK704" s="27"/>
      <c r="AL704" s="56"/>
      <c r="AM704" s="27"/>
      <c r="AN704" s="56"/>
      <c r="AO704" s="27"/>
      <c r="AP704" s="56"/>
      <c r="AQ704" s="27"/>
      <c r="AR704" s="56"/>
      <c r="AS704" s="27"/>
      <c r="AT704" s="56"/>
      <c r="AU704" s="27"/>
      <c r="AV704" s="56"/>
      <c r="AW704" s="27"/>
      <c r="AX704" s="56"/>
      <c r="AY704" s="27"/>
      <c r="AZ704" s="56"/>
      <c r="BA704" s="27"/>
      <c r="BB704" s="48"/>
      <c r="BC704" s="48"/>
      <c r="BD704" s="48"/>
      <c r="BE704" s="48"/>
      <c r="BF704" s="48"/>
      <c r="BG704" s="48"/>
      <c r="BH704" s="48"/>
      <c r="BI704" s="48"/>
      <c r="BJ704" s="48"/>
      <c r="BK704" s="48"/>
      <c r="BL704" s="48"/>
      <c r="BM704" s="48"/>
      <c r="BN704" s="48"/>
      <c r="BO704" s="48"/>
      <c r="BP704" s="48"/>
      <c r="BQ704" s="48"/>
      <c r="BR704" s="48"/>
      <c r="BS704" s="48"/>
      <c r="BT704" s="48"/>
      <c r="BU704" s="48"/>
    </row>
    <row r="705" ht="15.75" customHeight="1">
      <c r="A705" s="48"/>
      <c r="B705" s="48"/>
      <c r="C705" s="48"/>
      <c r="D705" s="48"/>
      <c r="E705" s="27"/>
      <c r="F705" s="48"/>
      <c r="G705" s="48"/>
      <c r="H705" s="56"/>
      <c r="I705" s="56"/>
      <c r="J705" s="56"/>
      <c r="K705" s="56"/>
      <c r="L705" s="56"/>
      <c r="M705" s="56"/>
      <c r="N705" s="56"/>
      <c r="O705" s="56"/>
      <c r="P705" s="56"/>
      <c r="Q705" s="56"/>
      <c r="R705" s="56"/>
      <c r="S705" s="56"/>
      <c r="T705" s="56"/>
      <c r="U705" s="56"/>
      <c r="V705" s="56"/>
      <c r="W705" s="27"/>
      <c r="X705" s="56"/>
      <c r="Y705" s="27"/>
      <c r="Z705" s="56"/>
      <c r="AA705" s="27"/>
      <c r="AB705" s="56"/>
      <c r="AC705" s="27"/>
      <c r="AD705" s="56"/>
      <c r="AE705" s="27"/>
      <c r="AF705" s="56"/>
      <c r="AG705" s="27"/>
      <c r="AH705" s="286"/>
      <c r="AI705" s="27"/>
      <c r="AJ705" s="56"/>
      <c r="AK705" s="27"/>
      <c r="AL705" s="56"/>
      <c r="AM705" s="27"/>
      <c r="AN705" s="56"/>
      <c r="AO705" s="27"/>
      <c r="AP705" s="56"/>
      <c r="AQ705" s="27"/>
      <c r="AR705" s="56"/>
      <c r="AS705" s="27"/>
      <c r="AT705" s="56"/>
      <c r="AU705" s="27"/>
      <c r="AV705" s="56"/>
      <c r="AW705" s="27"/>
      <c r="AX705" s="56"/>
      <c r="AY705" s="27"/>
      <c r="AZ705" s="56"/>
      <c r="BA705" s="27"/>
      <c r="BB705" s="48"/>
      <c r="BC705" s="48"/>
      <c r="BD705" s="48"/>
      <c r="BE705" s="48"/>
      <c r="BF705" s="48"/>
      <c r="BG705" s="48"/>
      <c r="BH705" s="48"/>
      <c r="BI705" s="48"/>
      <c r="BJ705" s="48"/>
      <c r="BK705" s="48"/>
      <c r="BL705" s="48"/>
      <c r="BM705" s="48"/>
      <c r="BN705" s="48"/>
      <c r="BO705" s="48"/>
      <c r="BP705" s="48"/>
      <c r="BQ705" s="48"/>
      <c r="BR705" s="48"/>
      <c r="BS705" s="48"/>
      <c r="BT705" s="48"/>
      <c r="BU705" s="48"/>
    </row>
    <row r="706" ht="15.75" customHeight="1">
      <c r="A706" s="48"/>
      <c r="B706" s="48"/>
      <c r="C706" s="48"/>
      <c r="D706" s="48"/>
      <c r="E706" s="27"/>
      <c r="F706" s="48"/>
      <c r="G706" s="48"/>
      <c r="H706" s="56"/>
      <c r="I706" s="56"/>
      <c r="J706" s="56"/>
      <c r="K706" s="56"/>
      <c r="L706" s="56"/>
      <c r="M706" s="56"/>
      <c r="N706" s="56"/>
      <c r="O706" s="56"/>
      <c r="P706" s="56"/>
      <c r="Q706" s="56"/>
      <c r="R706" s="56"/>
      <c r="S706" s="56"/>
      <c r="T706" s="56"/>
      <c r="U706" s="56"/>
      <c r="V706" s="56"/>
      <c r="W706" s="27"/>
      <c r="X706" s="56"/>
      <c r="Y706" s="27"/>
      <c r="Z706" s="56"/>
      <c r="AA706" s="27"/>
      <c r="AB706" s="56"/>
      <c r="AC706" s="27"/>
      <c r="AD706" s="56"/>
      <c r="AE706" s="27"/>
      <c r="AF706" s="56"/>
      <c r="AG706" s="27"/>
      <c r="AH706" s="286"/>
      <c r="AI706" s="27"/>
      <c r="AJ706" s="56"/>
      <c r="AK706" s="27"/>
      <c r="AL706" s="56"/>
      <c r="AM706" s="27"/>
      <c r="AN706" s="56"/>
      <c r="AO706" s="27"/>
      <c r="AP706" s="56"/>
      <c r="AQ706" s="27"/>
      <c r="AR706" s="56"/>
      <c r="AS706" s="27"/>
      <c r="AT706" s="56"/>
      <c r="AU706" s="27"/>
      <c r="AV706" s="56"/>
      <c r="AW706" s="27"/>
      <c r="AX706" s="56"/>
      <c r="AY706" s="27"/>
      <c r="AZ706" s="56"/>
      <c r="BA706" s="27"/>
      <c r="BB706" s="48"/>
      <c r="BC706" s="48"/>
      <c r="BD706" s="48"/>
      <c r="BE706" s="48"/>
      <c r="BF706" s="48"/>
      <c r="BG706" s="48"/>
      <c r="BH706" s="48"/>
      <c r="BI706" s="48"/>
      <c r="BJ706" s="48"/>
      <c r="BK706" s="48"/>
      <c r="BL706" s="48"/>
      <c r="BM706" s="48"/>
      <c r="BN706" s="48"/>
      <c r="BO706" s="48"/>
      <c r="BP706" s="48"/>
      <c r="BQ706" s="48"/>
      <c r="BR706" s="48"/>
      <c r="BS706" s="48"/>
      <c r="BT706" s="48"/>
      <c r="BU706" s="48"/>
    </row>
    <row r="707" ht="15.75" customHeight="1">
      <c r="A707" s="48"/>
      <c r="B707" s="48"/>
      <c r="C707" s="48"/>
      <c r="D707" s="48"/>
      <c r="E707" s="27"/>
      <c r="F707" s="48"/>
      <c r="G707" s="48"/>
      <c r="H707" s="56"/>
      <c r="I707" s="56"/>
      <c r="J707" s="56"/>
      <c r="K707" s="56"/>
      <c r="L707" s="56"/>
      <c r="M707" s="56"/>
      <c r="N707" s="56"/>
      <c r="O707" s="56"/>
      <c r="P707" s="56"/>
      <c r="Q707" s="56"/>
      <c r="R707" s="56"/>
      <c r="S707" s="56"/>
      <c r="T707" s="56"/>
      <c r="U707" s="56"/>
      <c r="V707" s="56"/>
      <c r="W707" s="27"/>
      <c r="X707" s="56"/>
      <c r="Y707" s="27"/>
      <c r="Z707" s="56"/>
      <c r="AA707" s="27"/>
      <c r="AB707" s="56"/>
      <c r="AC707" s="27"/>
      <c r="AD707" s="56"/>
      <c r="AE707" s="27"/>
      <c r="AF707" s="56"/>
      <c r="AG707" s="27"/>
      <c r="AH707" s="286"/>
      <c r="AI707" s="27"/>
      <c r="AJ707" s="56"/>
      <c r="AK707" s="27"/>
      <c r="AL707" s="56"/>
      <c r="AM707" s="27"/>
      <c r="AN707" s="56"/>
      <c r="AO707" s="27"/>
      <c r="AP707" s="56"/>
      <c r="AQ707" s="27"/>
      <c r="AR707" s="56"/>
      <c r="AS707" s="27"/>
      <c r="AT707" s="56"/>
      <c r="AU707" s="27"/>
      <c r="AV707" s="56"/>
      <c r="AW707" s="27"/>
      <c r="AX707" s="56"/>
      <c r="AY707" s="27"/>
      <c r="AZ707" s="56"/>
      <c r="BA707" s="27"/>
      <c r="BB707" s="48"/>
      <c r="BC707" s="48"/>
      <c r="BD707" s="48"/>
      <c r="BE707" s="48"/>
      <c r="BF707" s="48"/>
      <c r="BG707" s="48"/>
      <c r="BH707" s="48"/>
      <c r="BI707" s="48"/>
      <c r="BJ707" s="48"/>
      <c r="BK707" s="48"/>
      <c r="BL707" s="48"/>
      <c r="BM707" s="48"/>
      <c r="BN707" s="48"/>
      <c r="BO707" s="48"/>
      <c r="BP707" s="48"/>
      <c r="BQ707" s="48"/>
      <c r="BR707" s="48"/>
      <c r="BS707" s="48"/>
      <c r="BT707" s="48"/>
      <c r="BU707" s="48"/>
    </row>
    <row r="708" ht="15.75" customHeight="1">
      <c r="A708" s="48"/>
      <c r="B708" s="48"/>
      <c r="C708" s="48"/>
      <c r="D708" s="48"/>
      <c r="E708" s="27"/>
      <c r="F708" s="48"/>
      <c r="G708" s="48"/>
      <c r="H708" s="56"/>
      <c r="I708" s="56"/>
      <c r="J708" s="56"/>
      <c r="K708" s="56"/>
      <c r="L708" s="56"/>
      <c r="M708" s="56"/>
      <c r="N708" s="56"/>
      <c r="O708" s="56"/>
      <c r="P708" s="56"/>
      <c r="Q708" s="56"/>
      <c r="R708" s="56"/>
      <c r="S708" s="56"/>
      <c r="T708" s="56"/>
      <c r="U708" s="56"/>
      <c r="V708" s="56"/>
      <c r="W708" s="27"/>
      <c r="X708" s="56"/>
      <c r="Y708" s="27"/>
      <c r="Z708" s="56"/>
      <c r="AA708" s="27"/>
      <c r="AB708" s="56"/>
      <c r="AC708" s="27"/>
      <c r="AD708" s="56"/>
      <c r="AE708" s="27"/>
      <c r="AF708" s="56"/>
      <c r="AG708" s="27"/>
      <c r="AH708" s="286"/>
      <c r="AI708" s="27"/>
      <c r="AJ708" s="56"/>
      <c r="AK708" s="27"/>
      <c r="AL708" s="56"/>
      <c r="AM708" s="27"/>
      <c r="AN708" s="56"/>
      <c r="AO708" s="27"/>
      <c r="AP708" s="56"/>
      <c r="AQ708" s="27"/>
      <c r="AR708" s="56"/>
      <c r="AS708" s="27"/>
      <c r="AT708" s="56"/>
      <c r="AU708" s="27"/>
      <c r="AV708" s="56"/>
      <c r="AW708" s="27"/>
      <c r="AX708" s="56"/>
      <c r="AY708" s="27"/>
      <c r="AZ708" s="56"/>
      <c r="BA708" s="27"/>
      <c r="BB708" s="48"/>
      <c r="BC708" s="48"/>
      <c r="BD708" s="48"/>
      <c r="BE708" s="48"/>
      <c r="BF708" s="48"/>
      <c r="BG708" s="48"/>
      <c r="BH708" s="48"/>
      <c r="BI708" s="48"/>
      <c r="BJ708" s="48"/>
      <c r="BK708" s="48"/>
      <c r="BL708" s="48"/>
      <c r="BM708" s="48"/>
      <c r="BN708" s="48"/>
      <c r="BO708" s="48"/>
      <c r="BP708" s="48"/>
      <c r="BQ708" s="48"/>
      <c r="BR708" s="48"/>
      <c r="BS708" s="48"/>
      <c r="BT708" s="48"/>
      <c r="BU708" s="48"/>
    </row>
    <row r="709" ht="15.75" customHeight="1">
      <c r="A709" s="48"/>
      <c r="B709" s="48"/>
      <c r="C709" s="48"/>
      <c r="D709" s="48"/>
      <c r="E709" s="27"/>
      <c r="F709" s="48"/>
      <c r="G709" s="48"/>
      <c r="H709" s="56"/>
      <c r="I709" s="56"/>
      <c r="J709" s="56"/>
      <c r="K709" s="56"/>
      <c r="L709" s="56"/>
      <c r="M709" s="56"/>
      <c r="N709" s="56"/>
      <c r="O709" s="56"/>
      <c r="P709" s="56"/>
      <c r="Q709" s="56"/>
      <c r="R709" s="56"/>
      <c r="S709" s="56"/>
      <c r="T709" s="56"/>
      <c r="U709" s="56"/>
      <c r="V709" s="56"/>
      <c r="W709" s="27"/>
      <c r="X709" s="56"/>
      <c r="Y709" s="27"/>
      <c r="Z709" s="56"/>
      <c r="AA709" s="27"/>
      <c r="AB709" s="56"/>
      <c r="AC709" s="27"/>
      <c r="AD709" s="56"/>
      <c r="AE709" s="27"/>
      <c r="AF709" s="56"/>
      <c r="AG709" s="27"/>
      <c r="AH709" s="286"/>
      <c r="AI709" s="27"/>
      <c r="AJ709" s="56"/>
      <c r="AK709" s="27"/>
      <c r="AL709" s="56"/>
      <c r="AM709" s="27"/>
      <c r="AN709" s="56"/>
      <c r="AO709" s="27"/>
      <c r="AP709" s="56"/>
      <c r="AQ709" s="27"/>
      <c r="AR709" s="56"/>
      <c r="AS709" s="27"/>
      <c r="AT709" s="56"/>
      <c r="AU709" s="27"/>
      <c r="AV709" s="56"/>
      <c r="AW709" s="27"/>
      <c r="AX709" s="56"/>
      <c r="AY709" s="27"/>
      <c r="AZ709" s="56"/>
      <c r="BA709" s="27"/>
      <c r="BB709" s="48"/>
      <c r="BC709" s="48"/>
      <c r="BD709" s="48"/>
      <c r="BE709" s="48"/>
      <c r="BF709" s="48"/>
      <c r="BG709" s="48"/>
      <c r="BH709" s="48"/>
      <c r="BI709" s="48"/>
      <c r="BJ709" s="48"/>
      <c r="BK709" s="48"/>
      <c r="BL709" s="48"/>
      <c r="BM709" s="48"/>
      <c r="BN709" s="48"/>
      <c r="BO709" s="48"/>
      <c r="BP709" s="48"/>
      <c r="BQ709" s="48"/>
      <c r="BR709" s="48"/>
      <c r="BS709" s="48"/>
      <c r="BT709" s="48"/>
      <c r="BU709" s="48"/>
    </row>
    <row r="710" ht="15.75" customHeight="1">
      <c r="A710" s="48"/>
      <c r="B710" s="48"/>
      <c r="C710" s="48"/>
      <c r="D710" s="48"/>
      <c r="E710" s="27"/>
      <c r="F710" s="48"/>
      <c r="G710" s="48"/>
      <c r="H710" s="56"/>
      <c r="I710" s="56"/>
      <c r="J710" s="56"/>
      <c r="K710" s="56"/>
      <c r="L710" s="56"/>
      <c r="M710" s="56"/>
      <c r="N710" s="56"/>
      <c r="O710" s="56"/>
      <c r="P710" s="56"/>
      <c r="Q710" s="56"/>
      <c r="R710" s="56"/>
      <c r="S710" s="56"/>
      <c r="T710" s="56"/>
      <c r="U710" s="56"/>
      <c r="V710" s="56"/>
      <c r="W710" s="27"/>
      <c r="X710" s="56"/>
      <c r="Y710" s="27"/>
      <c r="Z710" s="56"/>
      <c r="AA710" s="27"/>
      <c r="AB710" s="56"/>
      <c r="AC710" s="27"/>
      <c r="AD710" s="56"/>
      <c r="AE710" s="27"/>
      <c r="AF710" s="56"/>
      <c r="AG710" s="27"/>
      <c r="AH710" s="286"/>
      <c r="AI710" s="27"/>
      <c r="AJ710" s="56"/>
      <c r="AK710" s="27"/>
      <c r="AL710" s="56"/>
      <c r="AM710" s="27"/>
      <c r="AN710" s="56"/>
      <c r="AO710" s="27"/>
      <c r="AP710" s="56"/>
      <c r="AQ710" s="27"/>
      <c r="AR710" s="56"/>
      <c r="AS710" s="27"/>
      <c r="AT710" s="56"/>
      <c r="AU710" s="27"/>
      <c r="AV710" s="56"/>
      <c r="AW710" s="27"/>
      <c r="AX710" s="56"/>
      <c r="AY710" s="27"/>
      <c r="AZ710" s="56"/>
      <c r="BA710" s="27"/>
      <c r="BB710" s="48"/>
      <c r="BC710" s="48"/>
      <c r="BD710" s="48"/>
      <c r="BE710" s="48"/>
      <c r="BF710" s="48"/>
      <c r="BG710" s="48"/>
      <c r="BH710" s="48"/>
      <c r="BI710" s="48"/>
      <c r="BJ710" s="48"/>
      <c r="BK710" s="48"/>
      <c r="BL710" s="48"/>
      <c r="BM710" s="48"/>
      <c r="BN710" s="48"/>
      <c r="BO710" s="48"/>
      <c r="BP710" s="48"/>
      <c r="BQ710" s="48"/>
      <c r="BR710" s="48"/>
      <c r="BS710" s="48"/>
      <c r="BT710" s="48"/>
      <c r="BU710" s="48"/>
    </row>
    <row r="711" ht="15.75" customHeight="1">
      <c r="A711" s="48"/>
      <c r="B711" s="48"/>
      <c r="C711" s="48"/>
      <c r="D711" s="48"/>
      <c r="E711" s="27"/>
      <c r="F711" s="48"/>
      <c r="G711" s="48"/>
      <c r="H711" s="56"/>
      <c r="I711" s="56"/>
      <c r="J711" s="56"/>
      <c r="K711" s="56"/>
      <c r="L711" s="56"/>
      <c r="M711" s="56"/>
      <c r="N711" s="56"/>
      <c r="O711" s="56"/>
      <c r="P711" s="56"/>
      <c r="Q711" s="56"/>
      <c r="R711" s="56"/>
      <c r="S711" s="56"/>
      <c r="T711" s="56"/>
      <c r="U711" s="56"/>
      <c r="V711" s="56"/>
      <c r="W711" s="27"/>
      <c r="X711" s="56"/>
      <c r="Y711" s="27"/>
      <c r="Z711" s="56"/>
      <c r="AA711" s="27"/>
      <c r="AB711" s="56"/>
      <c r="AC711" s="27"/>
      <c r="AD711" s="56"/>
      <c r="AE711" s="27"/>
      <c r="AF711" s="56"/>
      <c r="AG711" s="27"/>
      <c r="AH711" s="286"/>
      <c r="AI711" s="27"/>
      <c r="AJ711" s="56"/>
      <c r="AK711" s="27"/>
      <c r="AL711" s="56"/>
      <c r="AM711" s="27"/>
      <c r="AN711" s="56"/>
      <c r="AO711" s="27"/>
      <c r="AP711" s="56"/>
      <c r="AQ711" s="27"/>
      <c r="AR711" s="56"/>
      <c r="AS711" s="27"/>
      <c r="AT711" s="56"/>
      <c r="AU711" s="27"/>
      <c r="AV711" s="56"/>
      <c r="AW711" s="27"/>
      <c r="AX711" s="56"/>
      <c r="AY711" s="27"/>
      <c r="AZ711" s="56"/>
      <c r="BA711" s="27"/>
      <c r="BB711" s="48"/>
      <c r="BC711" s="48"/>
      <c r="BD711" s="48"/>
      <c r="BE711" s="48"/>
      <c r="BF711" s="48"/>
      <c r="BG711" s="48"/>
      <c r="BH711" s="48"/>
      <c r="BI711" s="48"/>
      <c r="BJ711" s="48"/>
      <c r="BK711" s="48"/>
      <c r="BL711" s="48"/>
      <c r="BM711" s="48"/>
      <c r="BN711" s="48"/>
      <c r="BO711" s="48"/>
      <c r="BP711" s="48"/>
      <c r="BQ711" s="48"/>
      <c r="BR711" s="48"/>
      <c r="BS711" s="48"/>
      <c r="BT711" s="48"/>
      <c r="BU711" s="48"/>
    </row>
    <row r="712" ht="15.75" customHeight="1">
      <c r="A712" s="48"/>
      <c r="B712" s="48"/>
      <c r="C712" s="48"/>
      <c r="D712" s="48"/>
      <c r="E712" s="27"/>
      <c r="F712" s="48"/>
      <c r="G712" s="48"/>
      <c r="H712" s="56"/>
      <c r="I712" s="56"/>
      <c r="J712" s="56"/>
      <c r="K712" s="56"/>
      <c r="L712" s="56"/>
      <c r="M712" s="56"/>
      <c r="N712" s="56"/>
      <c r="O712" s="56"/>
      <c r="P712" s="56"/>
      <c r="Q712" s="56"/>
      <c r="R712" s="56"/>
      <c r="S712" s="56"/>
      <c r="T712" s="56"/>
      <c r="U712" s="56"/>
      <c r="V712" s="56"/>
      <c r="W712" s="27"/>
      <c r="X712" s="56"/>
      <c r="Y712" s="27"/>
      <c r="Z712" s="56"/>
      <c r="AA712" s="27"/>
      <c r="AB712" s="56"/>
      <c r="AC712" s="27"/>
      <c r="AD712" s="56"/>
      <c r="AE712" s="27"/>
      <c r="AF712" s="56"/>
      <c r="AG712" s="27"/>
      <c r="AH712" s="286"/>
      <c r="AI712" s="27"/>
      <c r="AJ712" s="56"/>
      <c r="AK712" s="27"/>
      <c r="AL712" s="56"/>
      <c r="AM712" s="27"/>
      <c r="AN712" s="56"/>
      <c r="AO712" s="27"/>
      <c r="AP712" s="56"/>
      <c r="AQ712" s="27"/>
      <c r="AR712" s="56"/>
      <c r="AS712" s="27"/>
      <c r="AT712" s="56"/>
      <c r="AU712" s="27"/>
      <c r="AV712" s="56"/>
      <c r="AW712" s="27"/>
      <c r="AX712" s="56"/>
      <c r="AY712" s="27"/>
      <c r="AZ712" s="56"/>
      <c r="BA712" s="27"/>
      <c r="BB712" s="48"/>
      <c r="BC712" s="48"/>
      <c r="BD712" s="48"/>
      <c r="BE712" s="48"/>
      <c r="BF712" s="48"/>
      <c r="BG712" s="48"/>
      <c r="BH712" s="48"/>
      <c r="BI712" s="48"/>
      <c r="BJ712" s="48"/>
      <c r="BK712" s="48"/>
      <c r="BL712" s="48"/>
      <c r="BM712" s="48"/>
      <c r="BN712" s="48"/>
      <c r="BO712" s="48"/>
      <c r="BP712" s="48"/>
      <c r="BQ712" s="48"/>
      <c r="BR712" s="48"/>
      <c r="BS712" s="48"/>
      <c r="BT712" s="48"/>
      <c r="BU712" s="48"/>
    </row>
    <row r="713" ht="15.75" customHeight="1">
      <c r="A713" s="48"/>
      <c r="B713" s="48"/>
      <c r="C713" s="48"/>
      <c r="D713" s="48"/>
      <c r="E713" s="27"/>
      <c r="F713" s="48"/>
      <c r="G713" s="48"/>
      <c r="H713" s="56"/>
      <c r="I713" s="56"/>
      <c r="J713" s="56"/>
      <c r="K713" s="56"/>
      <c r="L713" s="56"/>
      <c r="M713" s="56"/>
      <c r="N713" s="56"/>
      <c r="O713" s="56"/>
      <c r="P713" s="56"/>
      <c r="Q713" s="56"/>
      <c r="R713" s="56"/>
      <c r="S713" s="56"/>
      <c r="T713" s="56"/>
      <c r="U713" s="56"/>
      <c r="V713" s="56"/>
      <c r="W713" s="27"/>
      <c r="X713" s="56"/>
      <c r="Y713" s="27"/>
      <c r="Z713" s="56"/>
      <c r="AA713" s="27"/>
      <c r="AB713" s="56"/>
      <c r="AC713" s="27"/>
      <c r="AD713" s="56"/>
      <c r="AE713" s="27"/>
      <c r="AF713" s="56"/>
      <c r="AG713" s="27"/>
      <c r="AH713" s="286"/>
      <c r="AI713" s="27"/>
      <c r="AJ713" s="56"/>
      <c r="AK713" s="27"/>
      <c r="AL713" s="56"/>
      <c r="AM713" s="27"/>
      <c r="AN713" s="56"/>
      <c r="AO713" s="27"/>
      <c r="AP713" s="56"/>
      <c r="AQ713" s="27"/>
      <c r="AR713" s="56"/>
      <c r="AS713" s="27"/>
      <c r="AT713" s="56"/>
      <c r="AU713" s="27"/>
      <c r="AV713" s="56"/>
      <c r="AW713" s="27"/>
      <c r="AX713" s="56"/>
      <c r="AY713" s="27"/>
      <c r="AZ713" s="56"/>
      <c r="BA713" s="27"/>
      <c r="BB713" s="48"/>
      <c r="BC713" s="48"/>
      <c r="BD713" s="48"/>
      <c r="BE713" s="48"/>
      <c r="BF713" s="48"/>
      <c r="BG713" s="48"/>
      <c r="BH713" s="48"/>
      <c r="BI713" s="48"/>
      <c r="BJ713" s="48"/>
      <c r="BK713" s="48"/>
      <c r="BL713" s="48"/>
      <c r="BM713" s="48"/>
      <c r="BN713" s="48"/>
      <c r="BO713" s="48"/>
      <c r="BP713" s="48"/>
      <c r="BQ713" s="48"/>
      <c r="BR713" s="48"/>
      <c r="BS713" s="48"/>
      <c r="BT713" s="48"/>
      <c r="BU713" s="48"/>
    </row>
    <row r="714" ht="15.75" customHeight="1">
      <c r="A714" s="48"/>
      <c r="B714" s="48"/>
      <c r="C714" s="48"/>
      <c r="D714" s="48"/>
      <c r="E714" s="27"/>
      <c r="F714" s="48"/>
      <c r="G714" s="48"/>
      <c r="H714" s="56"/>
      <c r="I714" s="56"/>
      <c r="J714" s="56"/>
      <c r="K714" s="56"/>
      <c r="L714" s="56"/>
      <c r="M714" s="56"/>
      <c r="N714" s="56"/>
      <c r="O714" s="56"/>
      <c r="P714" s="56"/>
      <c r="Q714" s="56"/>
      <c r="R714" s="56"/>
      <c r="S714" s="56"/>
      <c r="T714" s="56"/>
      <c r="U714" s="56"/>
      <c r="V714" s="56"/>
      <c r="W714" s="27"/>
      <c r="X714" s="56"/>
      <c r="Y714" s="27"/>
      <c r="Z714" s="56"/>
      <c r="AA714" s="27"/>
      <c r="AB714" s="56"/>
      <c r="AC714" s="27"/>
      <c r="AD714" s="56"/>
      <c r="AE714" s="27"/>
      <c r="AF714" s="56"/>
      <c r="AG714" s="27"/>
      <c r="AH714" s="286"/>
      <c r="AI714" s="27"/>
      <c r="AJ714" s="56"/>
      <c r="AK714" s="27"/>
      <c r="AL714" s="56"/>
      <c r="AM714" s="27"/>
      <c r="AN714" s="56"/>
      <c r="AO714" s="27"/>
      <c r="AP714" s="56"/>
      <c r="AQ714" s="27"/>
      <c r="AR714" s="56"/>
      <c r="AS714" s="27"/>
      <c r="AT714" s="56"/>
      <c r="AU714" s="27"/>
      <c r="AV714" s="56"/>
      <c r="AW714" s="27"/>
      <c r="AX714" s="56"/>
      <c r="AY714" s="27"/>
      <c r="AZ714" s="56"/>
      <c r="BA714" s="27"/>
      <c r="BB714" s="48"/>
      <c r="BC714" s="48"/>
      <c r="BD714" s="48"/>
      <c r="BE714" s="48"/>
      <c r="BF714" s="48"/>
      <c r="BG714" s="48"/>
      <c r="BH714" s="48"/>
      <c r="BI714" s="48"/>
      <c r="BJ714" s="48"/>
      <c r="BK714" s="48"/>
      <c r="BL714" s="48"/>
      <c r="BM714" s="48"/>
      <c r="BN714" s="48"/>
      <c r="BO714" s="48"/>
      <c r="BP714" s="48"/>
      <c r="BQ714" s="48"/>
      <c r="BR714" s="48"/>
      <c r="BS714" s="48"/>
      <c r="BT714" s="48"/>
      <c r="BU714" s="48"/>
    </row>
    <row r="715" ht="15.75" customHeight="1">
      <c r="A715" s="48"/>
      <c r="B715" s="48"/>
      <c r="C715" s="48"/>
      <c r="D715" s="48"/>
      <c r="E715" s="27"/>
      <c r="F715" s="48"/>
      <c r="G715" s="48"/>
      <c r="H715" s="56"/>
      <c r="I715" s="56"/>
      <c r="J715" s="56"/>
      <c r="K715" s="56"/>
      <c r="L715" s="56"/>
      <c r="M715" s="56"/>
      <c r="N715" s="56"/>
      <c r="O715" s="56"/>
      <c r="P715" s="56"/>
      <c r="Q715" s="56"/>
      <c r="R715" s="56"/>
      <c r="S715" s="56"/>
      <c r="T715" s="56"/>
      <c r="U715" s="56"/>
      <c r="V715" s="56"/>
      <c r="W715" s="27"/>
      <c r="X715" s="56"/>
      <c r="Y715" s="27"/>
      <c r="Z715" s="56"/>
      <c r="AA715" s="27"/>
      <c r="AB715" s="56"/>
      <c r="AC715" s="27"/>
      <c r="AD715" s="56"/>
      <c r="AE715" s="27"/>
      <c r="AF715" s="56"/>
      <c r="AG715" s="27"/>
      <c r="AH715" s="286"/>
      <c r="AI715" s="27"/>
      <c r="AJ715" s="56"/>
      <c r="AK715" s="27"/>
      <c r="AL715" s="56"/>
      <c r="AM715" s="27"/>
      <c r="AN715" s="56"/>
      <c r="AO715" s="27"/>
      <c r="AP715" s="56"/>
      <c r="AQ715" s="27"/>
      <c r="AR715" s="56"/>
      <c r="AS715" s="27"/>
      <c r="AT715" s="56"/>
      <c r="AU715" s="27"/>
      <c r="AV715" s="56"/>
      <c r="AW715" s="27"/>
      <c r="AX715" s="56"/>
      <c r="AY715" s="27"/>
      <c r="AZ715" s="56"/>
      <c r="BA715" s="27"/>
      <c r="BB715" s="48"/>
      <c r="BC715" s="48"/>
      <c r="BD715" s="48"/>
      <c r="BE715" s="48"/>
      <c r="BF715" s="48"/>
      <c r="BG715" s="48"/>
      <c r="BH715" s="48"/>
      <c r="BI715" s="48"/>
      <c r="BJ715" s="48"/>
      <c r="BK715" s="48"/>
      <c r="BL715" s="48"/>
      <c r="BM715" s="48"/>
      <c r="BN715" s="48"/>
      <c r="BO715" s="48"/>
      <c r="BP715" s="48"/>
      <c r="BQ715" s="48"/>
      <c r="BR715" s="48"/>
      <c r="BS715" s="48"/>
      <c r="BT715" s="48"/>
      <c r="BU715" s="48"/>
    </row>
    <row r="716" ht="15.75" customHeight="1">
      <c r="A716" s="48"/>
      <c r="B716" s="48"/>
      <c r="C716" s="48"/>
      <c r="D716" s="48"/>
      <c r="E716" s="27"/>
      <c r="F716" s="48"/>
      <c r="G716" s="48"/>
      <c r="H716" s="56"/>
      <c r="I716" s="56"/>
      <c r="J716" s="56"/>
      <c r="K716" s="56"/>
      <c r="L716" s="56"/>
      <c r="M716" s="56"/>
      <c r="N716" s="56"/>
      <c r="O716" s="56"/>
      <c r="P716" s="56"/>
      <c r="Q716" s="56"/>
      <c r="R716" s="56"/>
      <c r="S716" s="56"/>
      <c r="T716" s="56"/>
      <c r="U716" s="56"/>
      <c r="V716" s="56"/>
      <c r="W716" s="27"/>
      <c r="X716" s="56"/>
      <c r="Y716" s="27"/>
      <c r="Z716" s="56"/>
      <c r="AA716" s="27"/>
      <c r="AB716" s="56"/>
      <c r="AC716" s="27"/>
      <c r="AD716" s="56"/>
      <c r="AE716" s="27"/>
      <c r="AF716" s="56"/>
      <c r="AG716" s="27"/>
      <c r="AH716" s="286"/>
      <c r="AI716" s="27"/>
      <c r="AJ716" s="56"/>
      <c r="AK716" s="27"/>
      <c r="AL716" s="56"/>
      <c r="AM716" s="27"/>
      <c r="AN716" s="56"/>
      <c r="AO716" s="27"/>
      <c r="AP716" s="56"/>
      <c r="AQ716" s="27"/>
      <c r="AR716" s="56"/>
      <c r="AS716" s="27"/>
      <c r="AT716" s="56"/>
      <c r="AU716" s="27"/>
      <c r="AV716" s="56"/>
      <c r="AW716" s="27"/>
      <c r="AX716" s="56"/>
      <c r="AY716" s="27"/>
      <c r="AZ716" s="56"/>
      <c r="BA716" s="27"/>
      <c r="BB716" s="48"/>
      <c r="BC716" s="48"/>
      <c r="BD716" s="48"/>
      <c r="BE716" s="48"/>
      <c r="BF716" s="48"/>
      <c r="BG716" s="48"/>
      <c r="BH716" s="48"/>
      <c r="BI716" s="48"/>
      <c r="BJ716" s="48"/>
      <c r="BK716" s="48"/>
      <c r="BL716" s="48"/>
      <c r="BM716" s="48"/>
      <c r="BN716" s="48"/>
      <c r="BO716" s="48"/>
      <c r="BP716" s="48"/>
      <c r="BQ716" s="48"/>
      <c r="BR716" s="48"/>
      <c r="BS716" s="48"/>
      <c r="BT716" s="48"/>
      <c r="BU716" s="48"/>
    </row>
    <row r="717" ht="15.75" customHeight="1">
      <c r="A717" s="48"/>
      <c r="B717" s="48"/>
      <c r="C717" s="48"/>
      <c r="D717" s="48"/>
      <c r="E717" s="27"/>
      <c r="F717" s="48"/>
      <c r="G717" s="48"/>
      <c r="H717" s="56"/>
      <c r="I717" s="56"/>
      <c r="J717" s="56"/>
      <c r="K717" s="56"/>
      <c r="L717" s="56"/>
      <c r="M717" s="56"/>
      <c r="N717" s="56"/>
      <c r="O717" s="56"/>
      <c r="P717" s="56"/>
      <c r="Q717" s="56"/>
      <c r="R717" s="56"/>
      <c r="S717" s="56"/>
      <c r="T717" s="56"/>
      <c r="U717" s="56"/>
      <c r="V717" s="56"/>
      <c r="W717" s="27"/>
      <c r="X717" s="56"/>
      <c r="Y717" s="27"/>
      <c r="Z717" s="56"/>
      <c r="AA717" s="27"/>
      <c r="AB717" s="56"/>
      <c r="AC717" s="27"/>
      <c r="AD717" s="56"/>
      <c r="AE717" s="27"/>
      <c r="AF717" s="56"/>
      <c r="AG717" s="27"/>
      <c r="AH717" s="286"/>
      <c r="AI717" s="27"/>
      <c r="AJ717" s="56"/>
      <c r="AK717" s="27"/>
      <c r="AL717" s="56"/>
      <c r="AM717" s="27"/>
      <c r="AN717" s="56"/>
      <c r="AO717" s="27"/>
      <c r="AP717" s="56"/>
      <c r="AQ717" s="27"/>
      <c r="AR717" s="56"/>
      <c r="AS717" s="27"/>
      <c r="AT717" s="56"/>
      <c r="AU717" s="27"/>
      <c r="AV717" s="56"/>
      <c r="AW717" s="27"/>
      <c r="AX717" s="56"/>
      <c r="AY717" s="27"/>
      <c r="AZ717" s="56"/>
      <c r="BA717" s="27"/>
      <c r="BB717" s="48"/>
      <c r="BC717" s="48"/>
      <c r="BD717" s="48"/>
      <c r="BE717" s="48"/>
      <c r="BF717" s="48"/>
      <c r="BG717" s="48"/>
      <c r="BH717" s="48"/>
      <c r="BI717" s="48"/>
      <c r="BJ717" s="48"/>
      <c r="BK717" s="48"/>
      <c r="BL717" s="48"/>
      <c r="BM717" s="48"/>
      <c r="BN717" s="48"/>
      <c r="BO717" s="48"/>
      <c r="BP717" s="48"/>
      <c r="BQ717" s="48"/>
      <c r="BR717" s="48"/>
      <c r="BS717" s="48"/>
      <c r="BT717" s="48"/>
      <c r="BU717" s="48"/>
    </row>
    <row r="718" ht="15.75" customHeight="1">
      <c r="A718" s="48"/>
      <c r="B718" s="48"/>
      <c r="C718" s="48"/>
      <c r="D718" s="48"/>
      <c r="E718" s="27"/>
      <c r="F718" s="48"/>
      <c r="G718" s="48"/>
      <c r="H718" s="56"/>
      <c r="I718" s="56"/>
      <c r="J718" s="56"/>
      <c r="K718" s="56"/>
      <c r="L718" s="56"/>
      <c r="M718" s="56"/>
      <c r="N718" s="56"/>
      <c r="O718" s="56"/>
      <c r="P718" s="56"/>
      <c r="Q718" s="56"/>
      <c r="R718" s="56"/>
      <c r="S718" s="56"/>
      <c r="T718" s="56"/>
      <c r="U718" s="56"/>
      <c r="V718" s="56"/>
      <c r="W718" s="27"/>
      <c r="X718" s="56"/>
      <c r="Y718" s="27"/>
      <c r="Z718" s="56"/>
      <c r="AA718" s="27"/>
      <c r="AB718" s="56"/>
      <c r="AC718" s="27"/>
      <c r="AD718" s="56"/>
      <c r="AE718" s="27"/>
      <c r="AF718" s="56"/>
      <c r="AG718" s="27"/>
      <c r="AH718" s="286"/>
      <c r="AI718" s="27"/>
      <c r="AJ718" s="56"/>
      <c r="AK718" s="27"/>
      <c r="AL718" s="56"/>
      <c r="AM718" s="27"/>
      <c r="AN718" s="56"/>
      <c r="AO718" s="27"/>
      <c r="AP718" s="56"/>
      <c r="AQ718" s="27"/>
      <c r="AR718" s="56"/>
      <c r="AS718" s="27"/>
      <c r="AT718" s="56"/>
      <c r="AU718" s="27"/>
      <c r="AV718" s="56"/>
      <c r="AW718" s="27"/>
      <c r="AX718" s="56"/>
      <c r="AY718" s="27"/>
      <c r="AZ718" s="56"/>
      <c r="BA718" s="27"/>
      <c r="BB718" s="48"/>
      <c r="BC718" s="48"/>
      <c r="BD718" s="48"/>
      <c r="BE718" s="48"/>
      <c r="BF718" s="48"/>
      <c r="BG718" s="48"/>
      <c r="BH718" s="48"/>
      <c r="BI718" s="48"/>
      <c r="BJ718" s="48"/>
      <c r="BK718" s="48"/>
      <c r="BL718" s="48"/>
      <c r="BM718" s="48"/>
      <c r="BN718" s="48"/>
      <c r="BO718" s="48"/>
      <c r="BP718" s="48"/>
      <c r="BQ718" s="48"/>
      <c r="BR718" s="48"/>
      <c r="BS718" s="48"/>
      <c r="BT718" s="48"/>
      <c r="BU718" s="48"/>
    </row>
    <row r="719" ht="15.75" customHeight="1">
      <c r="A719" s="48"/>
      <c r="B719" s="48"/>
      <c r="C719" s="48"/>
      <c r="D719" s="48"/>
      <c r="E719" s="27"/>
      <c r="F719" s="48"/>
      <c r="G719" s="48"/>
      <c r="H719" s="56"/>
      <c r="I719" s="56"/>
      <c r="J719" s="56"/>
      <c r="K719" s="56"/>
      <c r="L719" s="56"/>
      <c r="M719" s="56"/>
      <c r="N719" s="56"/>
      <c r="O719" s="56"/>
      <c r="P719" s="56"/>
      <c r="Q719" s="56"/>
      <c r="R719" s="56"/>
      <c r="S719" s="56"/>
      <c r="T719" s="56"/>
      <c r="U719" s="56"/>
      <c r="V719" s="56"/>
      <c r="W719" s="27"/>
      <c r="X719" s="56"/>
      <c r="Y719" s="27"/>
      <c r="Z719" s="56"/>
      <c r="AA719" s="27"/>
      <c r="AB719" s="56"/>
      <c r="AC719" s="27"/>
      <c r="AD719" s="56"/>
      <c r="AE719" s="27"/>
      <c r="AF719" s="56"/>
      <c r="AG719" s="27"/>
      <c r="AH719" s="286"/>
      <c r="AI719" s="27"/>
      <c r="AJ719" s="56"/>
      <c r="AK719" s="27"/>
      <c r="AL719" s="56"/>
      <c r="AM719" s="27"/>
      <c r="AN719" s="56"/>
      <c r="AO719" s="27"/>
      <c r="AP719" s="56"/>
      <c r="AQ719" s="27"/>
      <c r="AR719" s="56"/>
      <c r="AS719" s="27"/>
      <c r="AT719" s="56"/>
      <c r="AU719" s="27"/>
      <c r="AV719" s="56"/>
      <c r="AW719" s="27"/>
      <c r="AX719" s="56"/>
      <c r="AY719" s="27"/>
      <c r="AZ719" s="56"/>
      <c r="BA719" s="27"/>
      <c r="BB719" s="48"/>
      <c r="BC719" s="48"/>
      <c r="BD719" s="48"/>
      <c r="BE719" s="48"/>
      <c r="BF719" s="48"/>
      <c r="BG719" s="48"/>
      <c r="BH719" s="48"/>
      <c r="BI719" s="48"/>
      <c r="BJ719" s="48"/>
      <c r="BK719" s="48"/>
      <c r="BL719" s="48"/>
      <c r="BM719" s="48"/>
      <c r="BN719" s="48"/>
      <c r="BO719" s="48"/>
      <c r="BP719" s="48"/>
      <c r="BQ719" s="48"/>
      <c r="BR719" s="48"/>
      <c r="BS719" s="48"/>
      <c r="BT719" s="48"/>
      <c r="BU719" s="48"/>
    </row>
    <row r="720" ht="15.75" customHeight="1">
      <c r="A720" s="48"/>
      <c r="B720" s="48"/>
      <c r="C720" s="48"/>
      <c r="D720" s="48"/>
      <c r="E720" s="27"/>
      <c r="F720" s="48"/>
      <c r="G720" s="48"/>
      <c r="H720" s="56"/>
      <c r="I720" s="56"/>
      <c r="J720" s="56"/>
      <c r="K720" s="56"/>
      <c r="L720" s="56"/>
      <c r="M720" s="56"/>
      <c r="N720" s="56"/>
      <c r="O720" s="56"/>
      <c r="P720" s="56"/>
      <c r="Q720" s="56"/>
      <c r="R720" s="56"/>
      <c r="S720" s="56"/>
      <c r="T720" s="56"/>
      <c r="U720" s="56"/>
      <c r="V720" s="56"/>
      <c r="W720" s="27"/>
      <c r="X720" s="56"/>
      <c r="Y720" s="27"/>
      <c r="Z720" s="56"/>
      <c r="AA720" s="27"/>
      <c r="AB720" s="56"/>
      <c r="AC720" s="27"/>
      <c r="AD720" s="56"/>
      <c r="AE720" s="27"/>
      <c r="AF720" s="56"/>
      <c r="AG720" s="27"/>
      <c r="AH720" s="286"/>
      <c r="AI720" s="27"/>
      <c r="AJ720" s="56"/>
      <c r="AK720" s="27"/>
      <c r="AL720" s="56"/>
      <c r="AM720" s="27"/>
      <c r="AN720" s="56"/>
      <c r="AO720" s="27"/>
      <c r="AP720" s="56"/>
      <c r="AQ720" s="27"/>
      <c r="AR720" s="56"/>
      <c r="AS720" s="27"/>
      <c r="AT720" s="56"/>
      <c r="AU720" s="27"/>
      <c r="AV720" s="56"/>
      <c r="AW720" s="27"/>
      <c r="AX720" s="56"/>
      <c r="AY720" s="27"/>
      <c r="AZ720" s="56"/>
      <c r="BA720" s="27"/>
      <c r="BB720" s="48"/>
      <c r="BC720" s="48"/>
      <c r="BD720" s="48"/>
      <c r="BE720" s="48"/>
      <c r="BF720" s="48"/>
      <c r="BG720" s="48"/>
      <c r="BH720" s="48"/>
      <c r="BI720" s="48"/>
      <c r="BJ720" s="48"/>
      <c r="BK720" s="48"/>
      <c r="BL720" s="48"/>
      <c r="BM720" s="48"/>
      <c r="BN720" s="48"/>
      <c r="BO720" s="48"/>
      <c r="BP720" s="48"/>
      <c r="BQ720" s="48"/>
      <c r="BR720" s="48"/>
      <c r="BS720" s="48"/>
      <c r="BT720" s="48"/>
      <c r="BU720" s="48"/>
    </row>
    <row r="721" ht="15.75" customHeight="1">
      <c r="A721" s="48"/>
      <c r="B721" s="48"/>
      <c r="C721" s="48"/>
      <c r="D721" s="48"/>
      <c r="E721" s="27"/>
      <c r="F721" s="48"/>
      <c r="G721" s="48"/>
      <c r="H721" s="56"/>
      <c r="I721" s="56"/>
      <c r="J721" s="56"/>
      <c r="K721" s="56"/>
      <c r="L721" s="56"/>
      <c r="M721" s="56"/>
      <c r="N721" s="56"/>
      <c r="O721" s="56"/>
      <c r="P721" s="56"/>
      <c r="Q721" s="56"/>
      <c r="R721" s="56"/>
      <c r="S721" s="56"/>
      <c r="T721" s="56"/>
      <c r="U721" s="56"/>
      <c r="V721" s="56"/>
      <c r="W721" s="27"/>
      <c r="X721" s="56"/>
      <c r="Y721" s="27"/>
      <c r="Z721" s="56"/>
      <c r="AA721" s="27"/>
      <c r="AB721" s="56"/>
      <c r="AC721" s="27"/>
      <c r="AD721" s="56"/>
      <c r="AE721" s="27"/>
      <c r="AF721" s="56"/>
      <c r="AG721" s="27"/>
      <c r="AH721" s="286"/>
      <c r="AI721" s="27"/>
      <c r="AJ721" s="56"/>
      <c r="AK721" s="27"/>
      <c r="AL721" s="56"/>
      <c r="AM721" s="27"/>
      <c r="AN721" s="56"/>
      <c r="AO721" s="27"/>
      <c r="AP721" s="56"/>
      <c r="AQ721" s="27"/>
      <c r="AR721" s="56"/>
      <c r="AS721" s="27"/>
      <c r="AT721" s="56"/>
      <c r="AU721" s="27"/>
      <c r="AV721" s="56"/>
      <c r="AW721" s="27"/>
      <c r="AX721" s="56"/>
      <c r="AY721" s="27"/>
      <c r="AZ721" s="56"/>
      <c r="BA721" s="27"/>
      <c r="BB721" s="48"/>
      <c r="BC721" s="48"/>
      <c r="BD721" s="48"/>
      <c r="BE721" s="48"/>
      <c r="BF721" s="48"/>
      <c r="BG721" s="48"/>
      <c r="BH721" s="48"/>
      <c r="BI721" s="48"/>
      <c r="BJ721" s="48"/>
      <c r="BK721" s="48"/>
      <c r="BL721" s="48"/>
      <c r="BM721" s="48"/>
      <c r="BN721" s="48"/>
      <c r="BO721" s="48"/>
      <c r="BP721" s="48"/>
      <c r="BQ721" s="48"/>
      <c r="BR721" s="48"/>
      <c r="BS721" s="48"/>
      <c r="BT721" s="48"/>
      <c r="BU721" s="48"/>
    </row>
    <row r="722" ht="15.75" customHeight="1">
      <c r="A722" s="48"/>
      <c r="B722" s="48"/>
      <c r="C722" s="48"/>
      <c r="D722" s="48"/>
      <c r="E722" s="27"/>
      <c r="F722" s="48"/>
      <c r="G722" s="48"/>
      <c r="H722" s="56"/>
      <c r="I722" s="56"/>
      <c r="J722" s="56"/>
      <c r="K722" s="56"/>
      <c r="L722" s="56"/>
      <c r="M722" s="56"/>
      <c r="N722" s="56"/>
      <c r="O722" s="56"/>
      <c r="P722" s="56"/>
      <c r="Q722" s="56"/>
      <c r="R722" s="56"/>
      <c r="S722" s="56"/>
      <c r="T722" s="56"/>
      <c r="U722" s="56"/>
      <c r="V722" s="56"/>
      <c r="W722" s="27"/>
      <c r="X722" s="56"/>
      <c r="Y722" s="27"/>
      <c r="Z722" s="56"/>
      <c r="AA722" s="27"/>
      <c r="AB722" s="56"/>
      <c r="AC722" s="27"/>
      <c r="AD722" s="56"/>
      <c r="AE722" s="27"/>
      <c r="AF722" s="56"/>
      <c r="AG722" s="27"/>
      <c r="AH722" s="286"/>
      <c r="AI722" s="27"/>
      <c r="AJ722" s="56"/>
      <c r="AK722" s="27"/>
      <c r="AL722" s="56"/>
      <c r="AM722" s="27"/>
      <c r="AN722" s="56"/>
      <c r="AO722" s="27"/>
      <c r="AP722" s="56"/>
      <c r="AQ722" s="27"/>
      <c r="AR722" s="56"/>
      <c r="AS722" s="27"/>
      <c r="AT722" s="56"/>
      <c r="AU722" s="27"/>
      <c r="AV722" s="56"/>
      <c r="AW722" s="27"/>
      <c r="AX722" s="56"/>
      <c r="AY722" s="27"/>
      <c r="AZ722" s="56"/>
      <c r="BA722" s="27"/>
      <c r="BB722" s="48"/>
      <c r="BC722" s="48"/>
      <c r="BD722" s="48"/>
      <c r="BE722" s="48"/>
      <c r="BF722" s="48"/>
      <c r="BG722" s="48"/>
      <c r="BH722" s="48"/>
      <c r="BI722" s="48"/>
      <c r="BJ722" s="48"/>
      <c r="BK722" s="48"/>
      <c r="BL722" s="48"/>
      <c r="BM722" s="48"/>
      <c r="BN722" s="48"/>
      <c r="BO722" s="48"/>
      <c r="BP722" s="48"/>
      <c r="BQ722" s="48"/>
      <c r="BR722" s="48"/>
      <c r="BS722" s="48"/>
      <c r="BT722" s="48"/>
      <c r="BU722" s="48"/>
    </row>
    <row r="723" ht="15.75" customHeight="1">
      <c r="A723" s="48"/>
      <c r="B723" s="48"/>
      <c r="C723" s="48"/>
      <c r="D723" s="48"/>
      <c r="E723" s="27"/>
      <c r="F723" s="48"/>
      <c r="G723" s="48"/>
      <c r="H723" s="56"/>
      <c r="I723" s="56"/>
      <c r="J723" s="56"/>
      <c r="K723" s="56"/>
      <c r="L723" s="56"/>
      <c r="M723" s="56"/>
      <c r="N723" s="56"/>
      <c r="O723" s="56"/>
      <c r="P723" s="56"/>
      <c r="Q723" s="56"/>
      <c r="R723" s="56"/>
      <c r="S723" s="56"/>
      <c r="T723" s="56"/>
      <c r="U723" s="56"/>
      <c r="V723" s="56"/>
      <c r="W723" s="27"/>
      <c r="X723" s="56"/>
      <c r="Y723" s="27"/>
      <c r="Z723" s="56"/>
      <c r="AA723" s="27"/>
      <c r="AB723" s="56"/>
      <c r="AC723" s="27"/>
      <c r="AD723" s="56"/>
      <c r="AE723" s="27"/>
      <c r="AF723" s="56"/>
      <c r="AG723" s="27"/>
      <c r="AH723" s="286"/>
      <c r="AI723" s="27"/>
      <c r="AJ723" s="56"/>
      <c r="AK723" s="27"/>
      <c r="AL723" s="56"/>
      <c r="AM723" s="27"/>
      <c r="AN723" s="56"/>
      <c r="AO723" s="27"/>
      <c r="AP723" s="56"/>
      <c r="AQ723" s="27"/>
      <c r="AR723" s="56"/>
      <c r="AS723" s="27"/>
      <c r="AT723" s="56"/>
      <c r="AU723" s="27"/>
      <c r="AV723" s="56"/>
      <c r="AW723" s="27"/>
      <c r="AX723" s="56"/>
      <c r="AY723" s="27"/>
      <c r="AZ723" s="56"/>
      <c r="BA723" s="27"/>
      <c r="BB723" s="48"/>
      <c r="BC723" s="48"/>
      <c r="BD723" s="48"/>
      <c r="BE723" s="48"/>
      <c r="BF723" s="48"/>
      <c r="BG723" s="48"/>
      <c r="BH723" s="48"/>
      <c r="BI723" s="48"/>
      <c r="BJ723" s="48"/>
      <c r="BK723" s="48"/>
      <c r="BL723" s="48"/>
      <c r="BM723" s="48"/>
      <c r="BN723" s="48"/>
      <c r="BO723" s="48"/>
      <c r="BP723" s="48"/>
      <c r="BQ723" s="48"/>
      <c r="BR723" s="48"/>
      <c r="BS723" s="48"/>
      <c r="BT723" s="48"/>
      <c r="BU723" s="48"/>
    </row>
    <row r="724" ht="15.75" customHeight="1">
      <c r="A724" s="48"/>
      <c r="B724" s="48"/>
      <c r="C724" s="48"/>
      <c r="D724" s="48"/>
      <c r="E724" s="27"/>
      <c r="F724" s="48"/>
      <c r="G724" s="48"/>
      <c r="H724" s="56"/>
      <c r="I724" s="56"/>
      <c r="J724" s="56"/>
      <c r="K724" s="56"/>
      <c r="L724" s="56"/>
      <c r="M724" s="56"/>
      <c r="N724" s="56"/>
      <c r="O724" s="56"/>
      <c r="P724" s="56"/>
      <c r="Q724" s="56"/>
      <c r="R724" s="56"/>
      <c r="S724" s="56"/>
      <c r="T724" s="56"/>
      <c r="U724" s="56"/>
      <c r="V724" s="56"/>
      <c r="W724" s="27"/>
      <c r="X724" s="56"/>
      <c r="Y724" s="27"/>
      <c r="Z724" s="56"/>
      <c r="AA724" s="27"/>
      <c r="AB724" s="56"/>
      <c r="AC724" s="27"/>
      <c r="AD724" s="56"/>
      <c r="AE724" s="27"/>
      <c r="AF724" s="56"/>
      <c r="AG724" s="27"/>
      <c r="AH724" s="286"/>
      <c r="AI724" s="27"/>
      <c r="AJ724" s="56"/>
      <c r="AK724" s="27"/>
      <c r="AL724" s="56"/>
      <c r="AM724" s="27"/>
      <c r="AN724" s="56"/>
      <c r="AO724" s="27"/>
      <c r="AP724" s="56"/>
      <c r="AQ724" s="27"/>
      <c r="AR724" s="56"/>
      <c r="AS724" s="27"/>
      <c r="AT724" s="56"/>
      <c r="AU724" s="27"/>
      <c r="AV724" s="56"/>
      <c r="AW724" s="27"/>
      <c r="AX724" s="56"/>
      <c r="AY724" s="27"/>
      <c r="AZ724" s="56"/>
      <c r="BA724" s="27"/>
      <c r="BB724" s="48"/>
      <c r="BC724" s="48"/>
      <c r="BD724" s="48"/>
      <c r="BE724" s="48"/>
      <c r="BF724" s="48"/>
      <c r="BG724" s="48"/>
      <c r="BH724" s="48"/>
      <c r="BI724" s="48"/>
      <c r="BJ724" s="48"/>
      <c r="BK724" s="48"/>
      <c r="BL724" s="48"/>
      <c r="BM724" s="48"/>
      <c r="BN724" s="48"/>
      <c r="BO724" s="48"/>
      <c r="BP724" s="48"/>
      <c r="BQ724" s="48"/>
      <c r="BR724" s="48"/>
      <c r="BS724" s="48"/>
      <c r="BT724" s="48"/>
      <c r="BU724" s="48"/>
    </row>
    <row r="725" ht="15.75" customHeight="1">
      <c r="A725" s="48"/>
      <c r="B725" s="48"/>
      <c r="C725" s="48"/>
      <c r="D725" s="48"/>
      <c r="E725" s="27"/>
      <c r="F725" s="48"/>
      <c r="G725" s="48"/>
      <c r="H725" s="56"/>
      <c r="I725" s="56"/>
      <c r="J725" s="56"/>
      <c r="K725" s="56"/>
      <c r="L725" s="56"/>
      <c r="M725" s="56"/>
      <c r="N725" s="56"/>
      <c r="O725" s="56"/>
      <c r="P725" s="56"/>
      <c r="Q725" s="56"/>
      <c r="R725" s="56"/>
      <c r="S725" s="56"/>
      <c r="T725" s="56"/>
      <c r="U725" s="56"/>
      <c r="V725" s="56"/>
      <c r="W725" s="27"/>
      <c r="X725" s="56"/>
      <c r="Y725" s="27"/>
      <c r="Z725" s="56"/>
      <c r="AA725" s="27"/>
      <c r="AB725" s="56"/>
      <c r="AC725" s="27"/>
      <c r="AD725" s="56"/>
      <c r="AE725" s="27"/>
      <c r="AF725" s="56"/>
      <c r="AG725" s="27"/>
      <c r="AH725" s="286"/>
      <c r="AI725" s="27"/>
      <c r="AJ725" s="56"/>
      <c r="AK725" s="27"/>
      <c r="AL725" s="56"/>
      <c r="AM725" s="27"/>
      <c r="AN725" s="56"/>
      <c r="AO725" s="27"/>
      <c r="AP725" s="56"/>
      <c r="AQ725" s="27"/>
      <c r="AR725" s="56"/>
      <c r="AS725" s="27"/>
      <c r="AT725" s="56"/>
      <c r="AU725" s="27"/>
      <c r="AV725" s="56"/>
      <c r="AW725" s="27"/>
      <c r="AX725" s="56"/>
      <c r="AY725" s="27"/>
      <c r="AZ725" s="56"/>
      <c r="BA725" s="27"/>
      <c r="BB725" s="48"/>
      <c r="BC725" s="48"/>
      <c r="BD725" s="48"/>
      <c r="BE725" s="48"/>
      <c r="BF725" s="48"/>
      <c r="BG725" s="48"/>
      <c r="BH725" s="48"/>
      <c r="BI725" s="48"/>
      <c r="BJ725" s="48"/>
      <c r="BK725" s="48"/>
      <c r="BL725" s="48"/>
      <c r="BM725" s="48"/>
      <c r="BN725" s="48"/>
      <c r="BO725" s="48"/>
      <c r="BP725" s="48"/>
      <c r="BQ725" s="48"/>
      <c r="BR725" s="48"/>
      <c r="BS725" s="48"/>
      <c r="BT725" s="48"/>
      <c r="BU725" s="48"/>
    </row>
    <row r="726" ht="15.75" customHeight="1">
      <c r="A726" s="48"/>
      <c r="B726" s="48"/>
      <c r="C726" s="48"/>
      <c r="D726" s="48"/>
      <c r="E726" s="27"/>
      <c r="F726" s="48"/>
      <c r="G726" s="48"/>
      <c r="H726" s="56"/>
      <c r="I726" s="56"/>
      <c r="J726" s="56"/>
      <c r="K726" s="56"/>
      <c r="L726" s="56"/>
      <c r="M726" s="56"/>
      <c r="N726" s="56"/>
      <c r="O726" s="56"/>
      <c r="P726" s="56"/>
      <c r="Q726" s="56"/>
      <c r="R726" s="56"/>
      <c r="S726" s="56"/>
      <c r="T726" s="56"/>
      <c r="U726" s="56"/>
      <c r="V726" s="56"/>
      <c r="W726" s="27"/>
      <c r="X726" s="56"/>
      <c r="Y726" s="27"/>
      <c r="Z726" s="56"/>
      <c r="AA726" s="27"/>
      <c r="AB726" s="56"/>
      <c r="AC726" s="27"/>
      <c r="AD726" s="56"/>
      <c r="AE726" s="27"/>
      <c r="AF726" s="56"/>
      <c r="AG726" s="27"/>
      <c r="AH726" s="286"/>
      <c r="AI726" s="27"/>
      <c r="AJ726" s="56"/>
      <c r="AK726" s="27"/>
      <c r="AL726" s="56"/>
      <c r="AM726" s="27"/>
      <c r="AN726" s="56"/>
      <c r="AO726" s="27"/>
      <c r="AP726" s="56"/>
      <c r="AQ726" s="27"/>
      <c r="AR726" s="56"/>
      <c r="AS726" s="27"/>
      <c r="AT726" s="56"/>
      <c r="AU726" s="27"/>
      <c r="AV726" s="56"/>
      <c r="AW726" s="27"/>
      <c r="AX726" s="56"/>
      <c r="AY726" s="27"/>
      <c r="AZ726" s="56"/>
      <c r="BA726" s="27"/>
      <c r="BB726" s="48"/>
      <c r="BC726" s="48"/>
      <c r="BD726" s="48"/>
      <c r="BE726" s="48"/>
      <c r="BF726" s="48"/>
      <c r="BG726" s="48"/>
      <c r="BH726" s="48"/>
      <c r="BI726" s="48"/>
      <c r="BJ726" s="48"/>
      <c r="BK726" s="48"/>
      <c r="BL726" s="48"/>
      <c r="BM726" s="48"/>
      <c r="BN726" s="48"/>
      <c r="BO726" s="48"/>
      <c r="BP726" s="48"/>
      <c r="BQ726" s="48"/>
      <c r="BR726" s="48"/>
      <c r="BS726" s="48"/>
      <c r="BT726" s="48"/>
      <c r="BU726" s="48"/>
    </row>
    <row r="727" ht="15.75" customHeight="1">
      <c r="A727" s="48"/>
      <c r="B727" s="48"/>
      <c r="C727" s="48"/>
      <c r="D727" s="48"/>
      <c r="E727" s="27"/>
      <c r="F727" s="48"/>
      <c r="G727" s="48"/>
      <c r="H727" s="56"/>
      <c r="I727" s="56"/>
      <c r="J727" s="56"/>
      <c r="K727" s="56"/>
      <c r="L727" s="56"/>
      <c r="M727" s="56"/>
      <c r="N727" s="56"/>
      <c r="O727" s="56"/>
      <c r="P727" s="56"/>
      <c r="Q727" s="56"/>
      <c r="R727" s="56"/>
      <c r="S727" s="56"/>
      <c r="T727" s="56"/>
      <c r="U727" s="56"/>
      <c r="V727" s="56"/>
      <c r="W727" s="27"/>
      <c r="X727" s="56"/>
      <c r="Y727" s="27"/>
      <c r="Z727" s="56"/>
      <c r="AA727" s="27"/>
      <c r="AB727" s="56"/>
      <c r="AC727" s="27"/>
      <c r="AD727" s="56"/>
      <c r="AE727" s="27"/>
      <c r="AF727" s="56"/>
      <c r="AG727" s="27"/>
      <c r="AH727" s="286"/>
      <c r="AI727" s="27"/>
      <c r="AJ727" s="56"/>
      <c r="AK727" s="27"/>
      <c r="AL727" s="56"/>
      <c r="AM727" s="27"/>
      <c r="AN727" s="56"/>
      <c r="AO727" s="27"/>
      <c r="AP727" s="56"/>
      <c r="AQ727" s="27"/>
      <c r="AR727" s="56"/>
      <c r="AS727" s="27"/>
      <c r="AT727" s="56"/>
      <c r="AU727" s="27"/>
      <c r="AV727" s="56"/>
      <c r="AW727" s="27"/>
      <c r="AX727" s="56"/>
      <c r="AY727" s="27"/>
      <c r="AZ727" s="56"/>
      <c r="BA727" s="27"/>
      <c r="BB727" s="48"/>
      <c r="BC727" s="48"/>
      <c r="BD727" s="48"/>
      <c r="BE727" s="48"/>
      <c r="BF727" s="48"/>
      <c r="BG727" s="48"/>
      <c r="BH727" s="48"/>
      <c r="BI727" s="48"/>
      <c r="BJ727" s="48"/>
      <c r="BK727" s="48"/>
      <c r="BL727" s="48"/>
      <c r="BM727" s="48"/>
      <c r="BN727" s="48"/>
      <c r="BO727" s="48"/>
      <c r="BP727" s="48"/>
      <c r="BQ727" s="48"/>
      <c r="BR727" s="48"/>
      <c r="BS727" s="48"/>
      <c r="BT727" s="48"/>
      <c r="BU727" s="48"/>
    </row>
    <row r="728" ht="15.75" customHeight="1">
      <c r="A728" s="48"/>
      <c r="B728" s="48"/>
      <c r="C728" s="48"/>
      <c r="D728" s="48"/>
      <c r="E728" s="27"/>
      <c r="F728" s="48"/>
      <c r="G728" s="48"/>
      <c r="H728" s="56"/>
      <c r="I728" s="56"/>
      <c r="J728" s="56"/>
      <c r="K728" s="56"/>
      <c r="L728" s="56"/>
      <c r="M728" s="56"/>
      <c r="N728" s="56"/>
      <c r="O728" s="56"/>
      <c r="P728" s="56"/>
      <c r="Q728" s="56"/>
      <c r="R728" s="56"/>
      <c r="S728" s="56"/>
      <c r="T728" s="56"/>
      <c r="U728" s="56"/>
      <c r="V728" s="56"/>
      <c r="W728" s="27"/>
      <c r="X728" s="56"/>
      <c r="Y728" s="27"/>
      <c r="Z728" s="56"/>
      <c r="AA728" s="27"/>
      <c r="AB728" s="56"/>
      <c r="AC728" s="27"/>
      <c r="AD728" s="56"/>
      <c r="AE728" s="27"/>
      <c r="AF728" s="56"/>
      <c r="AG728" s="27"/>
      <c r="AH728" s="286"/>
      <c r="AI728" s="27"/>
      <c r="AJ728" s="56"/>
      <c r="AK728" s="27"/>
      <c r="AL728" s="56"/>
      <c r="AM728" s="27"/>
      <c r="AN728" s="56"/>
      <c r="AO728" s="27"/>
      <c r="AP728" s="56"/>
      <c r="AQ728" s="27"/>
      <c r="AR728" s="56"/>
      <c r="AS728" s="27"/>
      <c r="AT728" s="56"/>
      <c r="AU728" s="27"/>
      <c r="AV728" s="56"/>
      <c r="AW728" s="27"/>
      <c r="AX728" s="56"/>
      <c r="AY728" s="27"/>
      <c r="AZ728" s="56"/>
      <c r="BA728" s="27"/>
      <c r="BB728" s="48"/>
      <c r="BC728" s="48"/>
      <c r="BD728" s="48"/>
      <c r="BE728" s="48"/>
      <c r="BF728" s="48"/>
      <c r="BG728" s="48"/>
      <c r="BH728" s="48"/>
      <c r="BI728" s="48"/>
      <c r="BJ728" s="48"/>
      <c r="BK728" s="48"/>
      <c r="BL728" s="48"/>
      <c r="BM728" s="48"/>
      <c r="BN728" s="48"/>
      <c r="BO728" s="48"/>
      <c r="BP728" s="48"/>
      <c r="BQ728" s="48"/>
      <c r="BR728" s="48"/>
      <c r="BS728" s="48"/>
      <c r="BT728" s="48"/>
      <c r="BU728" s="48"/>
    </row>
    <row r="729" ht="15.75" customHeight="1">
      <c r="A729" s="48"/>
      <c r="B729" s="48"/>
      <c r="C729" s="48"/>
      <c r="D729" s="48"/>
      <c r="E729" s="27"/>
      <c r="F729" s="48"/>
      <c r="G729" s="48"/>
      <c r="H729" s="56"/>
      <c r="I729" s="56"/>
      <c r="J729" s="56"/>
      <c r="K729" s="56"/>
      <c r="L729" s="56"/>
      <c r="M729" s="56"/>
      <c r="N729" s="56"/>
      <c r="O729" s="56"/>
      <c r="P729" s="56"/>
      <c r="Q729" s="56"/>
      <c r="R729" s="56"/>
      <c r="S729" s="56"/>
      <c r="T729" s="56"/>
      <c r="U729" s="56"/>
      <c r="V729" s="56"/>
      <c r="W729" s="27"/>
      <c r="X729" s="56"/>
      <c r="Y729" s="27"/>
      <c r="Z729" s="56"/>
      <c r="AA729" s="27"/>
      <c r="AB729" s="56"/>
      <c r="AC729" s="27"/>
      <c r="AD729" s="56"/>
      <c r="AE729" s="27"/>
      <c r="AF729" s="56"/>
      <c r="AG729" s="27"/>
      <c r="AH729" s="286"/>
      <c r="AI729" s="27"/>
      <c r="AJ729" s="56"/>
      <c r="AK729" s="27"/>
      <c r="AL729" s="56"/>
      <c r="AM729" s="27"/>
      <c r="AN729" s="56"/>
      <c r="AO729" s="27"/>
      <c r="AP729" s="56"/>
      <c r="AQ729" s="27"/>
      <c r="AR729" s="56"/>
      <c r="AS729" s="27"/>
      <c r="AT729" s="56"/>
      <c r="AU729" s="27"/>
      <c r="AV729" s="56"/>
      <c r="AW729" s="27"/>
      <c r="AX729" s="56"/>
      <c r="AY729" s="27"/>
      <c r="AZ729" s="56"/>
      <c r="BA729" s="27"/>
      <c r="BB729" s="48"/>
      <c r="BC729" s="48"/>
      <c r="BD729" s="48"/>
      <c r="BE729" s="48"/>
      <c r="BF729" s="48"/>
      <c r="BG729" s="48"/>
      <c r="BH729" s="48"/>
      <c r="BI729" s="48"/>
      <c r="BJ729" s="48"/>
      <c r="BK729" s="48"/>
      <c r="BL729" s="48"/>
      <c r="BM729" s="48"/>
      <c r="BN729" s="48"/>
      <c r="BO729" s="48"/>
      <c r="BP729" s="48"/>
      <c r="BQ729" s="48"/>
      <c r="BR729" s="48"/>
      <c r="BS729" s="48"/>
      <c r="BT729" s="48"/>
      <c r="BU729" s="48"/>
    </row>
    <row r="730" ht="15.75" customHeight="1">
      <c r="A730" s="48"/>
      <c r="B730" s="48"/>
      <c r="C730" s="48"/>
      <c r="D730" s="48"/>
      <c r="E730" s="27"/>
      <c r="F730" s="48"/>
      <c r="G730" s="48"/>
      <c r="H730" s="56"/>
      <c r="I730" s="56"/>
      <c r="J730" s="56"/>
      <c r="K730" s="56"/>
      <c r="L730" s="56"/>
      <c r="M730" s="56"/>
      <c r="N730" s="56"/>
      <c r="O730" s="56"/>
      <c r="P730" s="56"/>
      <c r="Q730" s="56"/>
      <c r="R730" s="56"/>
      <c r="S730" s="56"/>
      <c r="T730" s="56"/>
      <c r="U730" s="56"/>
      <c r="V730" s="56"/>
      <c r="W730" s="27"/>
      <c r="X730" s="56"/>
      <c r="Y730" s="27"/>
      <c r="Z730" s="56"/>
      <c r="AA730" s="27"/>
      <c r="AB730" s="56"/>
      <c r="AC730" s="27"/>
      <c r="AD730" s="56"/>
      <c r="AE730" s="27"/>
      <c r="AF730" s="56"/>
      <c r="AG730" s="27"/>
      <c r="AH730" s="286"/>
      <c r="AI730" s="27"/>
      <c r="AJ730" s="56"/>
      <c r="AK730" s="27"/>
      <c r="AL730" s="56"/>
      <c r="AM730" s="27"/>
      <c r="AN730" s="56"/>
      <c r="AO730" s="27"/>
      <c r="AP730" s="56"/>
      <c r="AQ730" s="27"/>
      <c r="AR730" s="56"/>
      <c r="AS730" s="27"/>
      <c r="AT730" s="56"/>
      <c r="AU730" s="27"/>
      <c r="AV730" s="56"/>
      <c r="AW730" s="27"/>
      <c r="AX730" s="56"/>
      <c r="AY730" s="27"/>
      <c r="AZ730" s="56"/>
      <c r="BA730" s="27"/>
      <c r="BB730" s="48"/>
      <c r="BC730" s="48"/>
      <c r="BD730" s="48"/>
      <c r="BE730" s="48"/>
      <c r="BF730" s="48"/>
      <c r="BG730" s="48"/>
      <c r="BH730" s="48"/>
      <c r="BI730" s="48"/>
      <c r="BJ730" s="48"/>
      <c r="BK730" s="48"/>
      <c r="BL730" s="48"/>
      <c r="BM730" s="48"/>
      <c r="BN730" s="48"/>
      <c r="BO730" s="48"/>
      <c r="BP730" s="48"/>
      <c r="BQ730" s="48"/>
      <c r="BR730" s="48"/>
      <c r="BS730" s="48"/>
      <c r="BT730" s="48"/>
      <c r="BU730" s="48"/>
    </row>
    <row r="731" ht="15.75" customHeight="1">
      <c r="A731" s="48"/>
      <c r="B731" s="48"/>
      <c r="C731" s="48"/>
      <c r="D731" s="48"/>
      <c r="E731" s="27"/>
      <c r="F731" s="48"/>
      <c r="G731" s="48"/>
      <c r="H731" s="56"/>
      <c r="I731" s="56"/>
      <c r="J731" s="56"/>
      <c r="K731" s="56"/>
      <c r="L731" s="56"/>
      <c r="M731" s="56"/>
      <c r="N731" s="56"/>
      <c r="O731" s="56"/>
      <c r="P731" s="56"/>
      <c r="Q731" s="56"/>
      <c r="R731" s="56"/>
      <c r="S731" s="56"/>
      <c r="T731" s="56"/>
      <c r="U731" s="56"/>
      <c r="V731" s="56"/>
      <c r="W731" s="27"/>
      <c r="X731" s="56"/>
      <c r="Y731" s="27"/>
      <c r="Z731" s="56"/>
      <c r="AA731" s="27"/>
      <c r="AB731" s="56"/>
      <c r="AC731" s="27"/>
      <c r="AD731" s="56"/>
      <c r="AE731" s="27"/>
      <c r="AF731" s="56"/>
      <c r="AG731" s="27"/>
      <c r="AH731" s="286"/>
      <c r="AI731" s="27"/>
      <c r="AJ731" s="56"/>
      <c r="AK731" s="27"/>
      <c r="AL731" s="56"/>
      <c r="AM731" s="27"/>
      <c r="AN731" s="56"/>
      <c r="AO731" s="27"/>
      <c r="AP731" s="56"/>
      <c r="AQ731" s="27"/>
      <c r="AR731" s="56"/>
      <c r="AS731" s="27"/>
      <c r="AT731" s="56"/>
      <c r="AU731" s="27"/>
      <c r="AV731" s="56"/>
      <c r="AW731" s="27"/>
      <c r="AX731" s="56"/>
      <c r="AY731" s="27"/>
      <c r="AZ731" s="56"/>
      <c r="BA731" s="27"/>
      <c r="BB731" s="48"/>
      <c r="BC731" s="48"/>
      <c r="BD731" s="48"/>
      <c r="BE731" s="48"/>
      <c r="BF731" s="48"/>
      <c r="BG731" s="48"/>
      <c r="BH731" s="48"/>
      <c r="BI731" s="48"/>
      <c r="BJ731" s="48"/>
      <c r="BK731" s="48"/>
      <c r="BL731" s="48"/>
      <c r="BM731" s="48"/>
      <c r="BN731" s="48"/>
      <c r="BO731" s="48"/>
      <c r="BP731" s="48"/>
      <c r="BQ731" s="48"/>
      <c r="BR731" s="48"/>
      <c r="BS731" s="48"/>
      <c r="BT731" s="48"/>
      <c r="BU731" s="48"/>
    </row>
    <row r="732" ht="15.75" customHeight="1">
      <c r="A732" s="48"/>
      <c r="B732" s="48"/>
      <c r="C732" s="48"/>
      <c r="D732" s="48"/>
      <c r="E732" s="27"/>
      <c r="F732" s="48"/>
      <c r="G732" s="48"/>
      <c r="H732" s="56"/>
      <c r="I732" s="56"/>
      <c r="J732" s="56"/>
      <c r="K732" s="56"/>
      <c r="L732" s="56"/>
      <c r="M732" s="56"/>
      <c r="N732" s="56"/>
      <c r="O732" s="56"/>
      <c r="P732" s="56"/>
      <c r="Q732" s="56"/>
      <c r="R732" s="56"/>
      <c r="S732" s="56"/>
      <c r="T732" s="56"/>
      <c r="U732" s="56"/>
      <c r="V732" s="56"/>
      <c r="W732" s="27"/>
      <c r="X732" s="56"/>
      <c r="Y732" s="27"/>
      <c r="Z732" s="56"/>
      <c r="AA732" s="27"/>
      <c r="AB732" s="56"/>
      <c r="AC732" s="27"/>
      <c r="AD732" s="56"/>
      <c r="AE732" s="27"/>
      <c r="AF732" s="56"/>
      <c r="AG732" s="27"/>
      <c r="AH732" s="286"/>
      <c r="AI732" s="27"/>
      <c r="AJ732" s="56"/>
      <c r="AK732" s="27"/>
      <c r="AL732" s="56"/>
      <c r="AM732" s="27"/>
      <c r="AN732" s="56"/>
      <c r="AO732" s="27"/>
      <c r="AP732" s="56"/>
      <c r="AQ732" s="27"/>
      <c r="AR732" s="56"/>
      <c r="AS732" s="27"/>
      <c r="AT732" s="56"/>
      <c r="AU732" s="27"/>
      <c r="AV732" s="56"/>
      <c r="AW732" s="27"/>
      <c r="AX732" s="56"/>
      <c r="AY732" s="27"/>
      <c r="AZ732" s="56"/>
      <c r="BA732" s="27"/>
      <c r="BB732" s="48"/>
      <c r="BC732" s="48"/>
      <c r="BD732" s="48"/>
      <c r="BE732" s="48"/>
      <c r="BF732" s="48"/>
      <c r="BG732" s="48"/>
      <c r="BH732" s="48"/>
      <c r="BI732" s="48"/>
      <c r="BJ732" s="48"/>
      <c r="BK732" s="48"/>
      <c r="BL732" s="48"/>
      <c r="BM732" s="48"/>
      <c r="BN732" s="48"/>
      <c r="BO732" s="48"/>
      <c r="BP732" s="48"/>
      <c r="BQ732" s="48"/>
      <c r="BR732" s="48"/>
      <c r="BS732" s="48"/>
      <c r="BT732" s="48"/>
      <c r="BU732" s="48"/>
    </row>
    <row r="733" ht="15.75" customHeight="1">
      <c r="A733" s="48"/>
      <c r="B733" s="48"/>
      <c r="C733" s="48"/>
      <c r="D733" s="48"/>
      <c r="E733" s="27"/>
      <c r="F733" s="48"/>
      <c r="G733" s="48"/>
      <c r="H733" s="56"/>
      <c r="I733" s="56"/>
      <c r="J733" s="56"/>
      <c r="K733" s="56"/>
      <c r="L733" s="56"/>
      <c r="M733" s="56"/>
      <c r="N733" s="56"/>
      <c r="O733" s="56"/>
      <c r="P733" s="56"/>
      <c r="Q733" s="56"/>
      <c r="R733" s="56"/>
      <c r="S733" s="56"/>
      <c r="T733" s="56"/>
      <c r="U733" s="56"/>
      <c r="V733" s="56"/>
      <c r="W733" s="27"/>
      <c r="X733" s="56"/>
      <c r="Y733" s="27"/>
      <c r="Z733" s="56"/>
      <c r="AA733" s="27"/>
      <c r="AB733" s="56"/>
      <c r="AC733" s="27"/>
      <c r="AD733" s="56"/>
      <c r="AE733" s="27"/>
      <c r="AF733" s="56"/>
      <c r="AG733" s="27"/>
      <c r="AH733" s="286"/>
      <c r="AI733" s="27"/>
      <c r="AJ733" s="56"/>
      <c r="AK733" s="27"/>
      <c r="AL733" s="56"/>
      <c r="AM733" s="27"/>
      <c r="AN733" s="56"/>
      <c r="AO733" s="27"/>
      <c r="AP733" s="56"/>
      <c r="AQ733" s="27"/>
      <c r="AR733" s="56"/>
      <c r="AS733" s="27"/>
      <c r="AT733" s="56"/>
      <c r="AU733" s="27"/>
      <c r="AV733" s="56"/>
      <c r="AW733" s="27"/>
      <c r="AX733" s="56"/>
      <c r="AY733" s="27"/>
      <c r="AZ733" s="56"/>
      <c r="BA733" s="27"/>
      <c r="BB733" s="48"/>
      <c r="BC733" s="48"/>
      <c r="BD733" s="48"/>
      <c r="BE733" s="48"/>
      <c r="BF733" s="48"/>
      <c r="BG733" s="48"/>
      <c r="BH733" s="48"/>
      <c r="BI733" s="48"/>
      <c r="BJ733" s="48"/>
      <c r="BK733" s="48"/>
      <c r="BL733" s="48"/>
      <c r="BM733" s="48"/>
      <c r="BN733" s="48"/>
      <c r="BO733" s="48"/>
      <c r="BP733" s="48"/>
      <c r="BQ733" s="48"/>
      <c r="BR733" s="48"/>
      <c r="BS733" s="48"/>
      <c r="BT733" s="48"/>
      <c r="BU733" s="48"/>
    </row>
    <row r="734" ht="15.75" customHeight="1">
      <c r="A734" s="48"/>
      <c r="B734" s="48"/>
      <c r="C734" s="48"/>
      <c r="D734" s="48"/>
      <c r="E734" s="27"/>
      <c r="F734" s="48"/>
      <c r="G734" s="48"/>
      <c r="H734" s="56"/>
      <c r="I734" s="56"/>
      <c r="J734" s="56"/>
      <c r="K734" s="56"/>
      <c r="L734" s="56"/>
      <c r="M734" s="56"/>
      <c r="N734" s="56"/>
      <c r="O734" s="56"/>
      <c r="P734" s="56"/>
      <c r="Q734" s="56"/>
      <c r="R734" s="56"/>
      <c r="S734" s="56"/>
      <c r="T734" s="56"/>
      <c r="U734" s="56"/>
      <c r="V734" s="56"/>
      <c r="W734" s="27"/>
      <c r="X734" s="56"/>
      <c r="Y734" s="27"/>
      <c r="Z734" s="56"/>
      <c r="AA734" s="27"/>
      <c r="AB734" s="56"/>
      <c r="AC734" s="27"/>
      <c r="AD734" s="56"/>
      <c r="AE734" s="27"/>
      <c r="AF734" s="56"/>
      <c r="AG734" s="27"/>
      <c r="AH734" s="286"/>
      <c r="AI734" s="27"/>
      <c r="AJ734" s="56"/>
      <c r="AK734" s="27"/>
      <c r="AL734" s="56"/>
      <c r="AM734" s="27"/>
      <c r="AN734" s="56"/>
      <c r="AO734" s="27"/>
      <c r="AP734" s="56"/>
      <c r="AQ734" s="27"/>
      <c r="AR734" s="56"/>
      <c r="AS734" s="27"/>
      <c r="AT734" s="56"/>
      <c r="AU734" s="27"/>
      <c r="AV734" s="56"/>
      <c r="AW734" s="27"/>
      <c r="AX734" s="56"/>
      <c r="AY734" s="27"/>
      <c r="AZ734" s="56"/>
      <c r="BA734" s="27"/>
      <c r="BB734" s="48"/>
      <c r="BC734" s="48"/>
      <c r="BD734" s="48"/>
      <c r="BE734" s="48"/>
      <c r="BF734" s="48"/>
      <c r="BG734" s="48"/>
      <c r="BH734" s="48"/>
      <c r="BI734" s="48"/>
      <c r="BJ734" s="48"/>
      <c r="BK734" s="48"/>
      <c r="BL734" s="48"/>
      <c r="BM734" s="48"/>
      <c r="BN734" s="48"/>
      <c r="BO734" s="48"/>
      <c r="BP734" s="48"/>
      <c r="BQ734" s="48"/>
      <c r="BR734" s="48"/>
      <c r="BS734" s="48"/>
      <c r="BT734" s="48"/>
      <c r="BU734" s="48"/>
    </row>
    <row r="735" ht="15.75" customHeight="1">
      <c r="A735" s="48"/>
      <c r="B735" s="48"/>
      <c r="C735" s="48"/>
      <c r="D735" s="48"/>
      <c r="E735" s="27"/>
      <c r="F735" s="48"/>
      <c r="G735" s="48"/>
      <c r="H735" s="56"/>
      <c r="I735" s="56"/>
      <c r="J735" s="56"/>
      <c r="K735" s="56"/>
      <c r="L735" s="56"/>
      <c r="M735" s="56"/>
      <c r="N735" s="56"/>
      <c r="O735" s="56"/>
      <c r="P735" s="56"/>
      <c r="Q735" s="56"/>
      <c r="R735" s="56"/>
      <c r="S735" s="56"/>
      <c r="T735" s="56"/>
      <c r="U735" s="56"/>
      <c r="V735" s="56"/>
      <c r="W735" s="27"/>
      <c r="X735" s="56"/>
      <c r="Y735" s="27"/>
      <c r="Z735" s="56"/>
      <c r="AA735" s="27"/>
      <c r="AB735" s="56"/>
      <c r="AC735" s="27"/>
      <c r="AD735" s="56"/>
      <c r="AE735" s="27"/>
      <c r="AF735" s="56"/>
      <c r="AG735" s="27"/>
      <c r="AH735" s="286"/>
      <c r="AI735" s="27"/>
      <c r="AJ735" s="56"/>
      <c r="AK735" s="27"/>
      <c r="AL735" s="56"/>
      <c r="AM735" s="27"/>
      <c r="AN735" s="56"/>
      <c r="AO735" s="27"/>
      <c r="AP735" s="56"/>
      <c r="AQ735" s="27"/>
      <c r="AR735" s="56"/>
      <c r="AS735" s="27"/>
      <c r="AT735" s="56"/>
      <c r="AU735" s="27"/>
      <c r="AV735" s="56"/>
      <c r="AW735" s="27"/>
      <c r="AX735" s="56"/>
      <c r="AY735" s="27"/>
      <c r="AZ735" s="56"/>
      <c r="BA735" s="27"/>
      <c r="BB735" s="48"/>
      <c r="BC735" s="48"/>
      <c r="BD735" s="48"/>
      <c r="BE735" s="48"/>
      <c r="BF735" s="48"/>
      <c r="BG735" s="48"/>
      <c r="BH735" s="48"/>
      <c r="BI735" s="48"/>
      <c r="BJ735" s="48"/>
      <c r="BK735" s="48"/>
      <c r="BL735" s="48"/>
      <c r="BM735" s="48"/>
      <c r="BN735" s="48"/>
      <c r="BO735" s="48"/>
      <c r="BP735" s="48"/>
      <c r="BQ735" s="48"/>
      <c r="BR735" s="48"/>
      <c r="BS735" s="48"/>
      <c r="BT735" s="48"/>
      <c r="BU735" s="48"/>
    </row>
    <row r="736" ht="15.75" customHeight="1">
      <c r="A736" s="48"/>
      <c r="B736" s="48"/>
      <c r="C736" s="48"/>
      <c r="D736" s="48"/>
      <c r="E736" s="27"/>
      <c r="F736" s="48"/>
      <c r="G736" s="48"/>
      <c r="H736" s="56"/>
      <c r="I736" s="56"/>
      <c r="J736" s="56"/>
      <c r="K736" s="56"/>
      <c r="L736" s="56"/>
      <c r="M736" s="56"/>
      <c r="N736" s="56"/>
      <c r="O736" s="56"/>
      <c r="P736" s="56"/>
      <c r="Q736" s="56"/>
      <c r="R736" s="56"/>
      <c r="S736" s="56"/>
      <c r="T736" s="56"/>
      <c r="U736" s="56"/>
      <c r="V736" s="56"/>
      <c r="W736" s="27"/>
      <c r="X736" s="56"/>
      <c r="Y736" s="27"/>
      <c r="Z736" s="56"/>
      <c r="AA736" s="27"/>
      <c r="AB736" s="56"/>
      <c r="AC736" s="27"/>
      <c r="AD736" s="56"/>
      <c r="AE736" s="27"/>
      <c r="AF736" s="56"/>
      <c r="AG736" s="27"/>
      <c r="AH736" s="286"/>
      <c r="AI736" s="27"/>
      <c r="AJ736" s="56"/>
      <c r="AK736" s="27"/>
      <c r="AL736" s="56"/>
      <c r="AM736" s="27"/>
      <c r="AN736" s="56"/>
      <c r="AO736" s="27"/>
      <c r="AP736" s="56"/>
      <c r="AQ736" s="27"/>
      <c r="AR736" s="56"/>
      <c r="AS736" s="27"/>
      <c r="AT736" s="56"/>
      <c r="AU736" s="27"/>
      <c r="AV736" s="56"/>
      <c r="AW736" s="27"/>
      <c r="AX736" s="56"/>
      <c r="AY736" s="27"/>
      <c r="AZ736" s="56"/>
      <c r="BA736" s="27"/>
      <c r="BB736" s="48"/>
      <c r="BC736" s="48"/>
      <c r="BD736" s="48"/>
      <c r="BE736" s="48"/>
      <c r="BF736" s="48"/>
      <c r="BG736" s="48"/>
      <c r="BH736" s="48"/>
      <c r="BI736" s="48"/>
      <c r="BJ736" s="48"/>
      <c r="BK736" s="48"/>
      <c r="BL736" s="48"/>
      <c r="BM736" s="48"/>
      <c r="BN736" s="48"/>
      <c r="BO736" s="48"/>
      <c r="BP736" s="48"/>
      <c r="BQ736" s="48"/>
      <c r="BR736" s="48"/>
      <c r="BS736" s="48"/>
      <c r="BT736" s="48"/>
      <c r="BU736" s="48"/>
    </row>
    <row r="737" ht="15.75" customHeight="1">
      <c r="A737" s="48"/>
      <c r="B737" s="48"/>
      <c r="C737" s="48"/>
      <c r="D737" s="48"/>
      <c r="E737" s="27"/>
      <c r="F737" s="48"/>
      <c r="G737" s="48"/>
      <c r="H737" s="56"/>
      <c r="I737" s="56"/>
      <c r="J737" s="56"/>
      <c r="K737" s="56"/>
      <c r="L737" s="56"/>
      <c r="M737" s="56"/>
      <c r="N737" s="56"/>
      <c r="O737" s="56"/>
      <c r="P737" s="56"/>
      <c r="Q737" s="56"/>
      <c r="R737" s="56"/>
      <c r="S737" s="56"/>
      <c r="T737" s="56"/>
      <c r="U737" s="56"/>
      <c r="V737" s="56"/>
      <c r="W737" s="27"/>
      <c r="X737" s="56"/>
      <c r="Y737" s="27"/>
      <c r="Z737" s="56"/>
      <c r="AA737" s="27"/>
      <c r="AB737" s="56"/>
      <c r="AC737" s="27"/>
      <c r="AD737" s="56"/>
      <c r="AE737" s="27"/>
      <c r="AF737" s="56"/>
      <c r="AG737" s="27"/>
      <c r="AH737" s="286"/>
      <c r="AI737" s="27"/>
      <c r="AJ737" s="56"/>
      <c r="AK737" s="27"/>
      <c r="AL737" s="56"/>
      <c r="AM737" s="27"/>
      <c r="AN737" s="56"/>
      <c r="AO737" s="27"/>
      <c r="AP737" s="56"/>
      <c r="AQ737" s="27"/>
      <c r="AR737" s="56"/>
      <c r="AS737" s="27"/>
      <c r="AT737" s="56"/>
      <c r="AU737" s="27"/>
      <c r="AV737" s="56"/>
      <c r="AW737" s="27"/>
      <c r="AX737" s="56"/>
      <c r="AY737" s="27"/>
      <c r="AZ737" s="56"/>
      <c r="BA737" s="27"/>
      <c r="BB737" s="48"/>
      <c r="BC737" s="48"/>
      <c r="BD737" s="48"/>
      <c r="BE737" s="48"/>
      <c r="BF737" s="48"/>
      <c r="BG737" s="48"/>
      <c r="BH737" s="48"/>
      <c r="BI737" s="48"/>
      <c r="BJ737" s="48"/>
      <c r="BK737" s="48"/>
      <c r="BL737" s="48"/>
      <c r="BM737" s="48"/>
      <c r="BN737" s="48"/>
      <c r="BO737" s="48"/>
      <c r="BP737" s="48"/>
      <c r="BQ737" s="48"/>
      <c r="BR737" s="48"/>
      <c r="BS737" s="48"/>
      <c r="BT737" s="48"/>
      <c r="BU737" s="48"/>
    </row>
    <row r="738" ht="15.75" customHeight="1">
      <c r="A738" s="48"/>
      <c r="B738" s="48"/>
      <c r="C738" s="48"/>
      <c r="D738" s="48"/>
      <c r="E738" s="27"/>
      <c r="F738" s="48"/>
      <c r="G738" s="48"/>
      <c r="H738" s="56"/>
      <c r="I738" s="56"/>
      <c r="J738" s="56"/>
      <c r="K738" s="56"/>
      <c r="L738" s="56"/>
      <c r="M738" s="56"/>
      <c r="N738" s="56"/>
      <c r="O738" s="56"/>
      <c r="P738" s="56"/>
      <c r="Q738" s="56"/>
      <c r="R738" s="56"/>
      <c r="S738" s="56"/>
      <c r="T738" s="56"/>
      <c r="U738" s="56"/>
      <c r="V738" s="56"/>
      <c r="W738" s="27"/>
      <c r="X738" s="56"/>
      <c r="Y738" s="27"/>
      <c r="Z738" s="56"/>
      <c r="AA738" s="27"/>
      <c r="AB738" s="56"/>
      <c r="AC738" s="27"/>
      <c r="AD738" s="56"/>
      <c r="AE738" s="27"/>
      <c r="AF738" s="56"/>
      <c r="AG738" s="27"/>
      <c r="AH738" s="286"/>
      <c r="AI738" s="27"/>
      <c r="AJ738" s="56"/>
      <c r="AK738" s="27"/>
      <c r="AL738" s="56"/>
      <c r="AM738" s="27"/>
      <c r="AN738" s="56"/>
      <c r="AO738" s="27"/>
      <c r="AP738" s="56"/>
      <c r="AQ738" s="27"/>
      <c r="AR738" s="56"/>
      <c r="AS738" s="27"/>
      <c r="AT738" s="56"/>
      <c r="AU738" s="27"/>
      <c r="AV738" s="56"/>
      <c r="AW738" s="27"/>
      <c r="AX738" s="56"/>
      <c r="AY738" s="27"/>
      <c r="AZ738" s="56"/>
      <c r="BA738" s="27"/>
      <c r="BB738" s="48"/>
      <c r="BC738" s="48"/>
      <c r="BD738" s="48"/>
      <c r="BE738" s="48"/>
      <c r="BF738" s="48"/>
      <c r="BG738" s="48"/>
      <c r="BH738" s="48"/>
      <c r="BI738" s="48"/>
      <c r="BJ738" s="48"/>
      <c r="BK738" s="48"/>
      <c r="BL738" s="48"/>
      <c r="BM738" s="48"/>
      <c r="BN738" s="48"/>
      <c r="BO738" s="48"/>
      <c r="BP738" s="48"/>
      <c r="BQ738" s="48"/>
      <c r="BR738" s="48"/>
      <c r="BS738" s="48"/>
      <c r="BT738" s="48"/>
      <c r="BU738" s="48"/>
    </row>
    <row r="739" ht="15.75" customHeight="1">
      <c r="A739" s="48"/>
      <c r="B739" s="48"/>
      <c r="C739" s="48"/>
      <c r="D739" s="48"/>
      <c r="E739" s="27"/>
      <c r="F739" s="48"/>
      <c r="G739" s="48"/>
      <c r="H739" s="56"/>
      <c r="I739" s="56"/>
      <c r="J739" s="56"/>
      <c r="K739" s="56"/>
      <c r="L739" s="56"/>
      <c r="M739" s="56"/>
      <c r="N739" s="56"/>
      <c r="O739" s="56"/>
      <c r="P739" s="56"/>
      <c r="Q739" s="56"/>
      <c r="R739" s="56"/>
      <c r="S739" s="56"/>
      <c r="T739" s="56"/>
      <c r="U739" s="56"/>
      <c r="V739" s="56"/>
      <c r="W739" s="27"/>
      <c r="X739" s="56"/>
      <c r="Y739" s="27"/>
      <c r="Z739" s="56"/>
      <c r="AA739" s="27"/>
      <c r="AB739" s="56"/>
      <c r="AC739" s="27"/>
      <c r="AD739" s="56"/>
      <c r="AE739" s="27"/>
      <c r="AF739" s="56"/>
      <c r="AG739" s="27"/>
      <c r="AH739" s="286"/>
      <c r="AI739" s="27"/>
      <c r="AJ739" s="56"/>
      <c r="AK739" s="27"/>
      <c r="AL739" s="56"/>
      <c r="AM739" s="27"/>
      <c r="AN739" s="56"/>
      <c r="AO739" s="27"/>
      <c r="AP739" s="56"/>
      <c r="AQ739" s="27"/>
      <c r="AR739" s="56"/>
      <c r="AS739" s="27"/>
      <c r="AT739" s="56"/>
      <c r="AU739" s="27"/>
      <c r="AV739" s="56"/>
      <c r="AW739" s="27"/>
      <c r="AX739" s="56"/>
      <c r="AY739" s="27"/>
      <c r="AZ739" s="56"/>
      <c r="BA739" s="27"/>
      <c r="BB739" s="48"/>
      <c r="BC739" s="48"/>
      <c r="BD739" s="48"/>
      <c r="BE739" s="48"/>
      <c r="BF739" s="48"/>
      <c r="BG739" s="48"/>
      <c r="BH739" s="48"/>
      <c r="BI739" s="48"/>
      <c r="BJ739" s="48"/>
      <c r="BK739" s="48"/>
      <c r="BL739" s="48"/>
      <c r="BM739" s="48"/>
      <c r="BN739" s="48"/>
      <c r="BO739" s="48"/>
      <c r="BP739" s="48"/>
      <c r="BQ739" s="48"/>
      <c r="BR739" s="48"/>
      <c r="BS739" s="48"/>
      <c r="BT739" s="48"/>
      <c r="BU739" s="48"/>
    </row>
    <row r="740" ht="15.75" customHeight="1">
      <c r="A740" s="48"/>
      <c r="B740" s="48"/>
      <c r="C740" s="48"/>
      <c r="D740" s="48"/>
      <c r="E740" s="27"/>
      <c r="F740" s="48"/>
      <c r="G740" s="48"/>
      <c r="H740" s="56"/>
      <c r="I740" s="56"/>
      <c r="J740" s="56"/>
      <c r="K740" s="56"/>
      <c r="L740" s="56"/>
      <c r="M740" s="56"/>
      <c r="N740" s="56"/>
      <c r="O740" s="56"/>
      <c r="P740" s="56"/>
      <c r="Q740" s="56"/>
      <c r="R740" s="56"/>
      <c r="S740" s="56"/>
      <c r="T740" s="56"/>
      <c r="U740" s="56"/>
      <c r="V740" s="56"/>
      <c r="W740" s="27"/>
      <c r="X740" s="56"/>
      <c r="Y740" s="27"/>
      <c r="Z740" s="56"/>
      <c r="AA740" s="27"/>
      <c r="AB740" s="56"/>
      <c r="AC740" s="27"/>
      <c r="AD740" s="56"/>
      <c r="AE740" s="27"/>
      <c r="AF740" s="56"/>
      <c r="AG740" s="27"/>
      <c r="AH740" s="286"/>
      <c r="AI740" s="27"/>
      <c r="AJ740" s="56"/>
      <c r="AK740" s="27"/>
      <c r="AL740" s="56"/>
      <c r="AM740" s="27"/>
      <c r="AN740" s="56"/>
      <c r="AO740" s="27"/>
      <c r="AP740" s="56"/>
      <c r="AQ740" s="27"/>
      <c r="AR740" s="56"/>
      <c r="AS740" s="27"/>
      <c r="AT740" s="56"/>
      <c r="AU740" s="27"/>
      <c r="AV740" s="56"/>
      <c r="AW740" s="27"/>
      <c r="AX740" s="56"/>
      <c r="AY740" s="27"/>
      <c r="AZ740" s="56"/>
      <c r="BA740" s="27"/>
      <c r="BB740" s="48"/>
      <c r="BC740" s="48"/>
      <c r="BD740" s="48"/>
      <c r="BE740" s="48"/>
      <c r="BF740" s="48"/>
      <c r="BG740" s="48"/>
      <c r="BH740" s="48"/>
      <c r="BI740" s="48"/>
      <c r="BJ740" s="48"/>
      <c r="BK740" s="48"/>
      <c r="BL740" s="48"/>
      <c r="BM740" s="48"/>
      <c r="BN740" s="48"/>
      <c r="BO740" s="48"/>
      <c r="BP740" s="48"/>
      <c r="BQ740" s="48"/>
      <c r="BR740" s="48"/>
      <c r="BS740" s="48"/>
      <c r="BT740" s="48"/>
      <c r="BU740" s="48"/>
    </row>
    <row r="741" ht="15.75" customHeight="1">
      <c r="A741" s="48"/>
      <c r="B741" s="48"/>
      <c r="C741" s="48"/>
      <c r="D741" s="48"/>
      <c r="E741" s="27"/>
      <c r="F741" s="48"/>
      <c r="G741" s="48"/>
      <c r="H741" s="56"/>
      <c r="I741" s="56"/>
      <c r="J741" s="56"/>
      <c r="K741" s="56"/>
      <c r="L741" s="56"/>
      <c r="M741" s="56"/>
      <c r="N741" s="56"/>
      <c r="O741" s="56"/>
      <c r="P741" s="56"/>
      <c r="Q741" s="56"/>
      <c r="R741" s="56"/>
      <c r="S741" s="56"/>
      <c r="T741" s="56"/>
      <c r="U741" s="56"/>
      <c r="V741" s="56"/>
      <c r="W741" s="27"/>
      <c r="X741" s="56"/>
      <c r="Y741" s="27"/>
      <c r="Z741" s="56"/>
      <c r="AA741" s="27"/>
      <c r="AB741" s="56"/>
      <c r="AC741" s="27"/>
      <c r="AD741" s="56"/>
      <c r="AE741" s="27"/>
      <c r="AF741" s="56"/>
      <c r="AG741" s="27"/>
      <c r="AH741" s="286"/>
      <c r="AI741" s="27"/>
      <c r="AJ741" s="56"/>
      <c r="AK741" s="27"/>
      <c r="AL741" s="56"/>
      <c r="AM741" s="27"/>
      <c r="AN741" s="56"/>
      <c r="AO741" s="27"/>
      <c r="AP741" s="56"/>
      <c r="AQ741" s="27"/>
      <c r="AR741" s="56"/>
      <c r="AS741" s="27"/>
      <c r="AT741" s="56"/>
      <c r="AU741" s="27"/>
      <c r="AV741" s="56"/>
      <c r="AW741" s="27"/>
      <c r="AX741" s="56"/>
      <c r="AY741" s="27"/>
      <c r="AZ741" s="56"/>
      <c r="BA741" s="27"/>
      <c r="BB741" s="48"/>
      <c r="BC741" s="48"/>
      <c r="BD741" s="48"/>
      <c r="BE741" s="48"/>
      <c r="BF741" s="48"/>
      <c r="BG741" s="48"/>
      <c r="BH741" s="48"/>
      <c r="BI741" s="48"/>
      <c r="BJ741" s="48"/>
      <c r="BK741" s="48"/>
      <c r="BL741" s="48"/>
      <c r="BM741" s="48"/>
      <c r="BN741" s="48"/>
      <c r="BO741" s="48"/>
      <c r="BP741" s="48"/>
      <c r="BQ741" s="48"/>
      <c r="BR741" s="48"/>
      <c r="BS741" s="48"/>
      <c r="BT741" s="48"/>
      <c r="BU741" s="48"/>
    </row>
    <row r="742" ht="15.75" customHeight="1">
      <c r="A742" s="48"/>
      <c r="B742" s="48"/>
      <c r="C742" s="48"/>
      <c r="D742" s="48"/>
      <c r="E742" s="27"/>
      <c r="F742" s="48"/>
      <c r="G742" s="48"/>
      <c r="H742" s="56"/>
      <c r="I742" s="56"/>
      <c r="J742" s="56"/>
      <c r="K742" s="56"/>
      <c r="L742" s="56"/>
      <c r="M742" s="56"/>
      <c r="N742" s="56"/>
      <c r="O742" s="56"/>
      <c r="P742" s="56"/>
      <c r="Q742" s="56"/>
      <c r="R742" s="56"/>
      <c r="S742" s="56"/>
      <c r="T742" s="56"/>
      <c r="U742" s="56"/>
      <c r="V742" s="56"/>
      <c r="W742" s="27"/>
      <c r="X742" s="56"/>
      <c r="Y742" s="27"/>
      <c r="Z742" s="56"/>
      <c r="AA742" s="27"/>
      <c r="AB742" s="56"/>
      <c r="AC742" s="27"/>
      <c r="AD742" s="56"/>
      <c r="AE742" s="27"/>
      <c r="AF742" s="56"/>
      <c r="AG742" s="27"/>
      <c r="AH742" s="286"/>
      <c r="AI742" s="27"/>
      <c r="AJ742" s="56"/>
      <c r="AK742" s="27"/>
      <c r="AL742" s="56"/>
      <c r="AM742" s="27"/>
      <c r="AN742" s="56"/>
      <c r="AO742" s="27"/>
      <c r="AP742" s="56"/>
      <c r="AQ742" s="27"/>
      <c r="AR742" s="56"/>
      <c r="AS742" s="27"/>
      <c r="AT742" s="56"/>
      <c r="AU742" s="27"/>
      <c r="AV742" s="56"/>
      <c r="AW742" s="27"/>
      <c r="AX742" s="56"/>
      <c r="AY742" s="27"/>
      <c r="AZ742" s="56"/>
      <c r="BA742" s="27"/>
      <c r="BB742" s="48"/>
      <c r="BC742" s="48"/>
      <c r="BD742" s="48"/>
      <c r="BE742" s="48"/>
      <c r="BF742" s="48"/>
      <c r="BG742" s="48"/>
      <c r="BH742" s="48"/>
      <c r="BI742" s="48"/>
      <c r="BJ742" s="48"/>
      <c r="BK742" s="48"/>
      <c r="BL742" s="48"/>
      <c r="BM742" s="48"/>
      <c r="BN742" s="48"/>
      <c r="BO742" s="48"/>
      <c r="BP742" s="48"/>
      <c r="BQ742" s="48"/>
      <c r="BR742" s="48"/>
      <c r="BS742" s="48"/>
      <c r="BT742" s="48"/>
      <c r="BU742" s="48"/>
    </row>
    <row r="743" ht="15.75" customHeight="1">
      <c r="A743" s="48"/>
      <c r="B743" s="48"/>
      <c r="C743" s="48"/>
      <c r="D743" s="48"/>
      <c r="E743" s="27"/>
      <c r="F743" s="48"/>
      <c r="G743" s="48"/>
      <c r="H743" s="56"/>
      <c r="I743" s="56"/>
      <c r="J743" s="56"/>
      <c r="K743" s="56"/>
      <c r="L743" s="56"/>
      <c r="M743" s="56"/>
      <c r="N743" s="56"/>
      <c r="O743" s="56"/>
      <c r="P743" s="56"/>
      <c r="Q743" s="56"/>
      <c r="R743" s="56"/>
      <c r="S743" s="56"/>
      <c r="T743" s="56"/>
      <c r="U743" s="56"/>
      <c r="V743" s="56"/>
      <c r="W743" s="27"/>
      <c r="X743" s="56"/>
      <c r="Y743" s="27"/>
      <c r="Z743" s="56"/>
      <c r="AA743" s="27"/>
      <c r="AB743" s="56"/>
      <c r="AC743" s="27"/>
      <c r="AD743" s="56"/>
      <c r="AE743" s="27"/>
      <c r="AF743" s="56"/>
      <c r="AG743" s="27"/>
      <c r="AH743" s="286"/>
      <c r="AI743" s="27"/>
      <c r="AJ743" s="56"/>
      <c r="AK743" s="27"/>
      <c r="AL743" s="56"/>
      <c r="AM743" s="27"/>
      <c r="AN743" s="56"/>
      <c r="AO743" s="27"/>
      <c r="AP743" s="56"/>
      <c r="AQ743" s="27"/>
      <c r="AR743" s="56"/>
      <c r="AS743" s="27"/>
      <c r="AT743" s="56"/>
      <c r="AU743" s="27"/>
      <c r="AV743" s="56"/>
      <c r="AW743" s="27"/>
      <c r="AX743" s="56"/>
      <c r="AY743" s="27"/>
      <c r="AZ743" s="56"/>
      <c r="BA743" s="27"/>
      <c r="BB743" s="48"/>
      <c r="BC743" s="48"/>
      <c r="BD743" s="48"/>
      <c r="BE743" s="48"/>
      <c r="BF743" s="48"/>
      <c r="BG743" s="48"/>
      <c r="BH743" s="48"/>
      <c r="BI743" s="48"/>
      <c r="BJ743" s="48"/>
      <c r="BK743" s="48"/>
      <c r="BL743" s="48"/>
      <c r="BM743" s="48"/>
      <c r="BN743" s="48"/>
      <c r="BO743" s="48"/>
      <c r="BP743" s="48"/>
      <c r="BQ743" s="48"/>
      <c r="BR743" s="48"/>
      <c r="BS743" s="48"/>
      <c r="BT743" s="48"/>
      <c r="BU743" s="48"/>
    </row>
    <row r="744" ht="15.75" customHeight="1">
      <c r="A744" s="48"/>
      <c r="B744" s="48"/>
      <c r="C744" s="48"/>
      <c r="D744" s="48"/>
      <c r="E744" s="27"/>
      <c r="F744" s="48"/>
      <c r="G744" s="48"/>
      <c r="H744" s="56"/>
      <c r="I744" s="56"/>
      <c r="J744" s="56"/>
      <c r="K744" s="56"/>
      <c r="L744" s="56"/>
      <c r="M744" s="56"/>
      <c r="N744" s="56"/>
      <c r="O744" s="56"/>
      <c r="P744" s="56"/>
      <c r="Q744" s="56"/>
      <c r="R744" s="56"/>
      <c r="S744" s="56"/>
      <c r="T744" s="56"/>
      <c r="U744" s="56"/>
      <c r="V744" s="56"/>
      <c r="W744" s="27"/>
      <c r="X744" s="56"/>
      <c r="Y744" s="27"/>
      <c r="Z744" s="56"/>
      <c r="AA744" s="27"/>
      <c r="AB744" s="56"/>
      <c r="AC744" s="27"/>
      <c r="AD744" s="56"/>
      <c r="AE744" s="27"/>
      <c r="AF744" s="56"/>
      <c r="AG744" s="27"/>
      <c r="AH744" s="286"/>
      <c r="AI744" s="27"/>
      <c r="AJ744" s="56"/>
      <c r="AK744" s="27"/>
      <c r="AL744" s="56"/>
      <c r="AM744" s="27"/>
      <c r="AN744" s="56"/>
      <c r="AO744" s="27"/>
      <c r="AP744" s="56"/>
      <c r="AQ744" s="27"/>
      <c r="AR744" s="56"/>
      <c r="AS744" s="27"/>
      <c r="AT744" s="56"/>
      <c r="AU744" s="27"/>
      <c r="AV744" s="56"/>
      <c r="AW744" s="27"/>
      <c r="AX744" s="56"/>
      <c r="AY744" s="27"/>
      <c r="AZ744" s="56"/>
      <c r="BA744" s="27"/>
      <c r="BB744" s="48"/>
      <c r="BC744" s="48"/>
      <c r="BD744" s="48"/>
      <c r="BE744" s="48"/>
      <c r="BF744" s="48"/>
      <c r="BG744" s="48"/>
      <c r="BH744" s="48"/>
      <c r="BI744" s="48"/>
      <c r="BJ744" s="48"/>
      <c r="BK744" s="48"/>
      <c r="BL744" s="48"/>
      <c r="BM744" s="48"/>
      <c r="BN744" s="48"/>
      <c r="BO744" s="48"/>
      <c r="BP744" s="48"/>
      <c r="BQ744" s="48"/>
      <c r="BR744" s="48"/>
      <c r="BS744" s="48"/>
      <c r="BT744" s="48"/>
      <c r="BU744" s="48"/>
    </row>
    <row r="745" ht="15.75" customHeight="1">
      <c r="A745" s="48"/>
      <c r="B745" s="48"/>
      <c r="C745" s="48"/>
      <c r="D745" s="48"/>
      <c r="E745" s="27"/>
      <c r="F745" s="48"/>
      <c r="G745" s="48"/>
      <c r="H745" s="56"/>
      <c r="I745" s="56"/>
      <c r="J745" s="56"/>
      <c r="K745" s="56"/>
      <c r="L745" s="56"/>
      <c r="M745" s="56"/>
      <c r="N745" s="56"/>
      <c r="O745" s="56"/>
      <c r="P745" s="56"/>
      <c r="Q745" s="56"/>
      <c r="R745" s="56"/>
      <c r="S745" s="56"/>
      <c r="T745" s="56"/>
      <c r="U745" s="56"/>
      <c r="V745" s="56"/>
      <c r="W745" s="27"/>
      <c r="X745" s="56"/>
      <c r="Y745" s="27"/>
      <c r="Z745" s="56"/>
      <c r="AA745" s="27"/>
      <c r="AB745" s="56"/>
      <c r="AC745" s="27"/>
      <c r="AD745" s="56"/>
      <c r="AE745" s="27"/>
      <c r="AF745" s="56"/>
      <c r="AG745" s="27"/>
      <c r="AH745" s="286"/>
      <c r="AI745" s="27"/>
      <c r="AJ745" s="56"/>
      <c r="AK745" s="27"/>
      <c r="AL745" s="56"/>
      <c r="AM745" s="27"/>
      <c r="AN745" s="56"/>
      <c r="AO745" s="27"/>
      <c r="AP745" s="56"/>
      <c r="AQ745" s="27"/>
      <c r="AR745" s="56"/>
      <c r="AS745" s="27"/>
      <c r="AT745" s="56"/>
      <c r="AU745" s="27"/>
      <c r="AV745" s="56"/>
      <c r="AW745" s="27"/>
      <c r="AX745" s="56"/>
      <c r="AY745" s="27"/>
      <c r="AZ745" s="56"/>
      <c r="BA745" s="27"/>
      <c r="BB745" s="48"/>
      <c r="BC745" s="48"/>
      <c r="BD745" s="48"/>
      <c r="BE745" s="48"/>
      <c r="BF745" s="48"/>
      <c r="BG745" s="48"/>
      <c r="BH745" s="48"/>
      <c r="BI745" s="48"/>
      <c r="BJ745" s="48"/>
      <c r="BK745" s="48"/>
      <c r="BL745" s="48"/>
      <c r="BM745" s="48"/>
      <c r="BN745" s="48"/>
      <c r="BO745" s="48"/>
      <c r="BP745" s="48"/>
      <c r="BQ745" s="48"/>
      <c r="BR745" s="48"/>
      <c r="BS745" s="48"/>
      <c r="BT745" s="48"/>
      <c r="BU745" s="48"/>
    </row>
    <row r="746" ht="15.75" customHeight="1">
      <c r="A746" s="48"/>
      <c r="B746" s="48"/>
      <c r="C746" s="48"/>
      <c r="D746" s="48"/>
      <c r="E746" s="27"/>
      <c r="F746" s="48"/>
      <c r="G746" s="48"/>
      <c r="H746" s="56"/>
      <c r="I746" s="56"/>
      <c r="J746" s="56"/>
      <c r="K746" s="56"/>
      <c r="L746" s="56"/>
      <c r="M746" s="56"/>
      <c r="N746" s="56"/>
      <c r="O746" s="56"/>
      <c r="P746" s="56"/>
      <c r="Q746" s="56"/>
      <c r="R746" s="56"/>
      <c r="S746" s="56"/>
      <c r="T746" s="56"/>
      <c r="U746" s="56"/>
      <c r="V746" s="56"/>
      <c r="W746" s="27"/>
      <c r="X746" s="56"/>
      <c r="Y746" s="27"/>
      <c r="Z746" s="56"/>
      <c r="AA746" s="27"/>
      <c r="AB746" s="56"/>
      <c r="AC746" s="27"/>
      <c r="AD746" s="56"/>
      <c r="AE746" s="27"/>
      <c r="AF746" s="56"/>
      <c r="AG746" s="27"/>
      <c r="AH746" s="286"/>
      <c r="AI746" s="27"/>
      <c r="AJ746" s="56"/>
      <c r="AK746" s="27"/>
      <c r="AL746" s="56"/>
      <c r="AM746" s="27"/>
      <c r="AN746" s="56"/>
      <c r="AO746" s="27"/>
      <c r="AP746" s="56"/>
      <c r="AQ746" s="27"/>
      <c r="AR746" s="56"/>
      <c r="AS746" s="27"/>
      <c r="AT746" s="56"/>
      <c r="AU746" s="27"/>
      <c r="AV746" s="56"/>
      <c r="AW746" s="27"/>
      <c r="AX746" s="56"/>
      <c r="AY746" s="27"/>
      <c r="AZ746" s="56"/>
      <c r="BA746" s="27"/>
      <c r="BB746" s="48"/>
      <c r="BC746" s="48"/>
      <c r="BD746" s="48"/>
      <c r="BE746" s="48"/>
      <c r="BF746" s="48"/>
      <c r="BG746" s="48"/>
      <c r="BH746" s="48"/>
      <c r="BI746" s="48"/>
      <c r="BJ746" s="48"/>
      <c r="BK746" s="48"/>
      <c r="BL746" s="48"/>
      <c r="BM746" s="48"/>
      <c r="BN746" s="48"/>
      <c r="BO746" s="48"/>
      <c r="BP746" s="48"/>
      <c r="BQ746" s="48"/>
      <c r="BR746" s="48"/>
      <c r="BS746" s="48"/>
      <c r="BT746" s="48"/>
      <c r="BU746" s="48"/>
    </row>
    <row r="747" ht="15.75" customHeight="1">
      <c r="A747" s="48"/>
      <c r="B747" s="48"/>
      <c r="C747" s="48"/>
      <c r="D747" s="48"/>
      <c r="E747" s="27"/>
      <c r="F747" s="48"/>
      <c r="G747" s="48"/>
      <c r="H747" s="56"/>
      <c r="I747" s="56"/>
      <c r="J747" s="56"/>
      <c r="K747" s="56"/>
      <c r="L747" s="56"/>
      <c r="M747" s="56"/>
      <c r="N747" s="56"/>
      <c r="O747" s="56"/>
      <c r="P747" s="56"/>
      <c r="Q747" s="56"/>
      <c r="R747" s="56"/>
      <c r="S747" s="56"/>
      <c r="T747" s="56"/>
      <c r="U747" s="56"/>
      <c r="V747" s="56"/>
      <c r="W747" s="27"/>
      <c r="X747" s="56"/>
      <c r="Y747" s="27"/>
      <c r="Z747" s="56"/>
      <c r="AA747" s="27"/>
      <c r="AB747" s="56"/>
      <c r="AC747" s="27"/>
      <c r="AD747" s="56"/>
      <c r="AE747" s="27"/>
      <c r="AF747" s="56"/>
      <c r="AG747" s="27"/>
      <c r="AH747" s="286"/>
      <c r="AI747" s="27"/>
      <c r="AJ747" s="56"/>
      <c r="AK747" s="27"/>
      <c r="AL747" s="56"/>
      <c r="AM747" s="27"/>
      <c r="AN747" s="56"/>
      <c r="AO747" s="27"/>
      <c r="AP747" s="56"/>
      <c r="AQ747" s="27"/>
      <c r="AR747" s="56"/>
      <c r="AS747" s="27"/>
      <c r="AT747" s="56"/>
      <c r="AU747" s="27"/>
      <c r="AV747" s="56"/>
      <c r="AW747" s="27"/>
      <c r="AX747" s="56"/>
      <c r="AY747" s="27"/>
      <c r="AZ747" s="56"/>
      <c r="BA747" s="27"/>
      <c r="BB747" s="48"/>
      <c r="BC747" s="48"/>
      <c r="BD747" s="48"/>
      <c r="BE747" s="48"/>
      <c r="BF747" s="48"/>
      <c r="BG747" s="48"/>
      <c r="BH747" s="48"/>
      <c r="BI747" s="48"/>
      <c r="BJ747" s="48"/>
      <c r="BK747" s="48"/>
      <c r="BL747" s="48"/>
      <c r="BM747" s="48"/>
      <c r="BN747" s="48"/>
      <c r="BO747" s="48"/>
      <c r="BP747" s="48"/>
      <c r="BQ747" s="48"/>
      <c r="BR747" s="48"/>
      <c r="BS747" s="48"/>
      <c r="BT747" s="48"/>
      <c r="BU747" s="48"/>
    </row>
    <row r="748" ht="15.75" customHeight="1">
      <c r="A748" s="48"/>
      <c r="B748" s="48"/>
      <c r="C748" s="48"/>
      <c r="D748" s="48"/>
      <c r="E748" s="27"/>
      <c r="F748" s="48"/>
      <c r="G748" s="48"/>
      <c r="H748" s="56"/>
      <c r="I748" s="56"/>
      <c r="J748" s="56"/>
      <c r="K748" s="56"/>
      <c r="L748" s="56"/>
      <c r="M748" s="56"/>
      <c r="N748" s="56"/>
      <c r="O748" s="56"/>
      <c r="P748" s="56"/>
      <c r="Q748" s="56"/>
      <c r="R748" s="56"/>
      <c r="S748" s="56"/>
      <c r="T748" s="56"/>
      <c r="U748" s="56"/>
      <c r="V748" s="56"/>
      <c r="W748" s="27"/>
      <c r="X748" s="56"/>
      <c r="Y748" s="27"/>
      <c r="Z748" s="56"/>
      <c r="AA748" s="27"/>
      <c r="AB748" s="56"/>
      <c r="AC748" s="27"/>
      <c r="AD748" s="56"/>
      <c r="AE748" s="27"/>
      <c r="AF748" s="56"/>
      <c r="AG748" s="27"/>
      <c r="AH748" s="286"/>
      <c r="AI748" s="27"/>
      <c r="AJ748" s="56"/>
      <c r="AK748" s="27"/>
      <c r="AL748" s="56"/>
      <c r="AM748" s="27"/>
      <c r="AN748" s="56"/>
      <c r="AO748" s="27"/>
      <c r="AP748" s="56"/>
      <c r="AQ748" s="27"/>
      <c r="AR748" s="56"/>
      <c r="AS748" s="27"/>
      <c r="AT748" s="56"/>
      <c r="AU748" s="27"/>
      <c r="AV748" s="56"/>
      <c r="AW748" s="27"/>
      <c r="AX748" s="56"/>
      <c r="AY748" s="27"/>
      <c r="AZ748" s="56"/>
      <c r="BA748" s="27"/>
      <c r="BB748" s="48"/>
      <c r="BC748" s="48"/>
      <c r="BD748" s="48"/>
      <c r="BE748" s="48"/>
      <c r="BF748" s="48"/>
      <c r="BG748" s="48"/>
      <c r="BH748" s="48"/>
      <c r="BI748" s="48"/>
      <c r="BJ748" s="48"/>
      <c r="BK748" s="48"/>
      <c r="BL748" s="48"/>
      <c r="BM748" s="48"/>
      <c r="BN748" s="48"/>
      <c r="BO748" s="48"/>
      <c r="BP748" s="48"/>
      <c r="BQ748" s="48"/>
      <c r="BR748" s="48"/>
      <c r="BS748" s="48"/>
      <c r="BT748" s="48"/>
      <c r="BU748" s="48"/>
    </row>
    <row r="749" ht="15.75" customHeight="1">
      <c r="A749" s="48"/>
      <c r="B749" s="48"/>
      <c r="C749" s="48"/>
      <c r="D749" s="48"/>
      <c r="E749" s="27"/>
      <c r="F749" s="48"/>
      <c r="G749" s="48"/>
      <c r="H749" s="56"/>
      <c r="I749" s="56"/>
      <c r="J749" s="56"/>
      <c r="K749" s="56"/>
      <c r="L749" s="56"/>
      <c r="M749" s="56"/>
      <c r="N749" s="56"/>
      <c r="O749" s="56"/>
      <c r="P749" s="56"/>
      <c r="Q749" s="56"/>
      <c r="R749" s="56"/>
      <c r="S749" s="56"/>
      <c r="T749" s="56"/>
      <c r="U749" s="56"/>
      <c r="V749" s="56"/>
      <c r="W749" s="27"/>
      <c r="X749" s="56"/>
      <c r="Y749" s="27"/>
      <c r="Z749" s="56"/>
      <c r="AA749" s="27"/>
      <c r="AB749" s="56"/>
      <c r="AC749" s="27"/>
      <c r="AD749" s="56"/>
      <c r="AE749" s="27"/>
      <c r="AF749" s="56"/>
      <c r="AG749" s="27"/>
      <c r="AH749" s="286"/>
      <c r="AI749" s="27"/>
      <c r="AJ749" s="56"/>
      <c r="AK749" s="27"/>
      <c r="AL749" s="56"/>
      <c r="AM749" s="27"/>
      <c r="AN749" s="56"/>
      <c r="AO749" s="27"/>
      <c r="AP749" s="56"/>
      <c r="AQ749" s="27"/>
      <c r="AR749" s="56"/>
      <c r="AS749" s="27"/>
      <c r="AT749" s="56"/>
      <c r="AU749" s="27"/>
      <c r="AV749" s="56"/>
      <c r="AW749" s="27"/>
      <c r="AX749" s="56"/>
      <c r="AY749" s="27"/>
      <c r="AZ749" s="56"/>
      <c r="BA749" s="27"/>
      <c r="BB749" s="48"/>
      <c r="BC749" s="48"/>
      <c r="BD749" s="48"/>
      <c r="BE749" s="48"/>
      <c r="BF749" s="48"/>
      <c r="BG749" s="48"/>
      <c r="BH749" s="48"/>
      <c r="BI749" s="48"/>
      <c r="BJ749" s="48"/>
      <c r="BK749" s="48"/>
      <c r="BL749" s="48"/>
      <c r="BM749" s="48"/>
      <c r="BN749" s="48"/>
      <c r="BO749" s="48"/>
      <c r="BP749" s="48"/>
      <c r="BQ749" s="48"/>
      <c r="BR749" s="48"/>
      <c r="BS749" s="48"/>
      <c r="BT749" s="48"/>
      <c r="BU749" s="48"/>
    </row>
    <row r="750" ht="15.75" customHeight="1">
      <c r="A750" s="48"/>
      <c r="B750" s="48"/>
      <c r="C750" s="48"/>
      <c r="D750" s="48"/>
      <c r="E750" s="27"/>
      <c r="F750" s="48"/>
      <c r="G750" s="48"/>
      <c r="H750" s="56"/>
      <c r="I750" s="56"/>
      <c r="J750" s="56"/>
      <c r="K750" s="56"/>
      <c r="L750" s="56"/>
      <c r="M750" s="56"/>
      <c r="N750" s="56"/>
      <c r="O750" s="56"/>
      <c r="P750" s="56"/>
      <c r="Q750" s="56"/>
      <c r="R750" s="56"/>
      <c r="S750" s="56"/>
      <c r="T750" s="56"/>
      <c r="U750" s="56"/>
      <c r="V750" s="56"/>
      <c r="W750" s="27"/>
      <c r="X750" s="56"/>
      <c r="Y750" s="27"/>
      <c r="Z750" s="56"/>
      <c r="AA750" s="27"/>
      <c r="AB750" s="56"/>
      <c r="AC750" s="27"/>
      <c r="AD750" s="56"/>
      <c r="AE750" s="27"/>
      <c r="AF750" s="56"/>
      <c r="AG750" s="27"/>
      <c r="AH750" s="286"/>
      <c r="AI750" s="27"/>
      <c r="AJ750" s="56"/>
      <c r="AK750" s="27"/>
      <c r="AL750" s="56"/>
      <c r="AM750" s="27"/>
      <c r="AN750" s="56"/>
      <c r="AO750" s="27"/>
      <c r="AP750" s="56"/>
      <c r="AQ750" s="27"/>
      <c r="AR750" s="56"/>
      <c r="AS750" s="27"/>
      <c r="AT750" s="56"/>
      <c r="AU750" s="27"/>
      <c r="AV750" s="56"/>
      <c r="AW750" s="27"/>
      <c r="AX750" s="56"/>
      <c r="AY750" s="27"/>
      <c r="AZ750" s="56"/>
      <c r="BA750" s="27"/>
      <c r="BB750" s="48"/>
      <c r="BC750" s="48"/>
      <c r="BD750" s="48"/>
      <c r="BE750" s="48"/>
      <c r="BF750" s="48"/>
      <c r="BG750" s="48"/>
      <c r="BH750" s="48"/>
      <c r="BI750" s="48"/>
      <c r="BJ750" s="48"/>
      <c r="BK750" s="48"/>
      <c r="BL750" s="48"/>
      <c r="BM750" s="48"/>
      <c r="BN750" s="48"/>
      <c r="BO750" s="48"/>
      <c r="BP750" s="48"/>
      <c r="BQ750" s="48"/>
      <c r="BR750" s="48"/>
      <c r="BS750" s="48"/>
      <c r="BT750" s="48"/>
      <c r="BU750" s="48"/>
    </row>
    <row r="751" ht="15.75" customHeight="1">
      <c r="A751" s="48"/>
      <c r="B751" s="48"/>
      <c r="C751" s="48"/>
      <c r="D751" s="48"/>
      <c r="E751" s="27"/>
      <c r="F751" s="48"/>
      <c r="G751" s="48"/>
      <c r="H751" s="56"/>
      <c r="I751" s="56"/>
      <c r="J751" s="56"/>
      <c r="K751" s="56"/>
      <c r="L751" s="56"/>
      <c r="M751" s="56"/>
      <c r="N751" s="56"/>
      <c r="O751" s="56"/>
      <c r="P751" s="56"/>
      <c r="Q751" s="56"/>
      <c r="R751" s="56"/>
      <c r="S751" s="56"/>
      <c r="T751" s="56"/>
      <c r="U751" s="56"/>
      <c r="V751" s="56"/>
      <c r="W751" s="27"/>
      <c r="X751" s="56"/>
      <c r="Y751" s="27"/>
      <c r="Z751" s="56"/>
      <c r="AA751" s="27"/>
      <c r="AB751" s="56"/>
      <c r="AC751" s="27"/>
      <c r="AD751" s="56"/>
      <c r="AE751" s="27"/>
      <c r="AF751" s="56"/>
      <c r="AG751" s="27"/>
      <c r="AH751" s="286"/>
      <c r="AI751" s="27"/>
      <c r="AJ751" s="56"/>
      <c r="AK751" s="27"/>
      <c r="AL751" s="56"/>
      <c r="AM751" s="27"/>
      <c r="AN751" s="56"/>
      <c r="AO751" s="27"/>
      <c r="AP751" s="56"/>
      <c r="AQ751" s="27"/>
      <c r="AR751" s="56"/>
      <c r="AS751" s="27"/>
      <c r="AT751" s="56"/>
      <c r="AU751" s="27"/>
      <c r="AV751" s="56"/>
      <c r="AW751" s="27"/>
      <c r="AX751" s="56"/>
      <c r="AY751" s="27"/>
      <c r="AZ751" s="56"/>
      <c r="BA751" s="27"/>
      <c r="BB751" s="48"/>
      <c r="BC751" s="48"/>
      <c r="BD751" s="48"/>
      <c r="BE751" s="48"/>
      <c r="BF751" s="48"/>
      <c r="BG751" s="48"/>
      <c r="BH751" s="48"/>
      <c r="BI751" s="48"/>
      <c r="BJ751" s="48"/>
      <c r="BK751" s="48"/>
      <c r="BL751" s="48"/>
      <c r="BM751" s="48"/>
      <c r="BN751" s="48"/>
      <c r="BO751" s="48"/>
      <c r="BP751" s="48"/>
      <c r="BQ751" s="48"/>
      <c r="BR751" s="48"/>
      <c r="BS751" s="48"/>
      <c r="BT751" s="48"/>
      <c r="BU751" s="48"/>
    </row>
    <row r="752" ht="15.75" customHeight="1">
      <c r="A752" s="48"/>
      <c r="B752" s="48"/>
      <c r="C752" s="48"/>
      <c r="D752" s="48"/>
      <c r="E752" s="27"/>
      <c r="F752" s="48"/>
      <c r="G752" s="48"/>
      <c r="H752" s="56"/>
      <c r="I752" s="56"/>
      <c r="J752" s="56"/>
      <c r="K752" s="56"/>
      <c r="L752" s="56"/>
      <c r="M752" s="56"/>
      <c r="N752" s="56"/>
      <c r="O752" s="56"/>
      <c r="P752" s="56"/>
      <c r="Q752" s="56"/>
      <c r="R752" s="56"/>
      <c r="S752" s="56"/>
      <c r="T752" s="56"/>
      <c r="U752" s="56"/>
      <c r="V752" s="56"/>
      <c r="W752" s="27"/>
      <c r="X752" s="56"/>
      <c r="Y752" s="27"/>
      <c r="Z752" s="56"/>
      <c r="AA752" s="27"/>
      <c r="AB752" s="56"/>
      <c r="AC752" s="27"/>
      <c r="AD752" s="56"/>
      <c r="AE752" s="27"/>
      <c r="AF752" s="56"/>
      <c r="AG752" s="27"/>
      <c r="AH752" s="286"/>
      <c r="AI752" s="27"/>
      <c r="AJ752" s="56"/>
      <c r="AK752" s="27"/>
      <c r="AL752" s="56"/>
      <c r="AM752" s="27"/>
      <c r="AN752" s="56"/>
      <c r="AO752" s="27"/>
      <c r="AP752" s="56"/>
      <c r="AQ752" s="27"/>
      <c r="AR752" s="56"/>
      <c r="AS752" s="27"/>
      <c r="AT752" s="56"/>
      <c r="AU752" s="27"/>
      <c r="AV752" s="56"/>
      <c r="AW752" s="27"/>
      <c r="AX752" s="56"/>
      <c r="AY752" s="27"/>
      <c r="AZ752" s="56"/>
      <c r="BA752" s="27"/>
      <c r="BB752" s="48"/>
      <c r="BC752" s="48"/>
      <c r="BD752" s="48"/>
      <c r="BE752" s="48"/>
      <c r="BF752" s="48"/>
      <c r="BG752" s="48"/>
      <c r="BH752" s="48"/>
      <c r="BI752" s="48"/>
      <c r="BJ752" s="48"/>
      <c r="BK752" s="48"/>
      <c r="BL752" s="48"/>
      <c r="BM752" s="48"/>
      <c r="BN752" s="48"/>
      <c r="BO752" s="48"/>
      <c r="BP752" s="48"/>
      <c r="BQ752" s="48"/>
      <c r="BR752" s="48"/>
      <c r="BS752" s="48"/>
      <c r="BT752" s="48"/>
      <c r="BU752" s="48"/>
    </row>
    <row r="753" ht="15.75" customHeight="1">
      <c r="A753" s="48"/>
      <c r="B753" s="48"/>
      <c r="C753" s="48"/>
      <c r="D753" s="48"/>
      <c r="E753" s="27"/>
      <c r="F753" s="48"/>
      <c r="G753" s="48"/>
      <c r="H753" s="56"/>
      <c r="I753" s="56"/>
      <c r="J753" s="56"/>
      <c r="K753" s="56"/>
      <c r="L753" s="56"/>
      <c r="M753" s="56"/>
      <c r="N753" s="56"/>
      <c r="O753" s="56"/>
      <c r="P753" s="56"/>
      <c r="Q753" s="56"/>
      <c r="R753" s="56"/>
      <c r="S753" s="56"/>
      <c r="T753" s="56"/>
      <c r="U753" s="56"/>
      <c r="V753" s="56"/>
      <c r="W753" s="27"/>
      <c r="X753" s="56"/>
      <c r="Y753" s="27"/>
      <c r="Z753" s="56"/>
      <c r="AA753" s="27"/>
      <c r="AB753" s="56"/>
      <c r="AC753" s="27"/>
      <c r="AD753" s="56"/>
      <c r="AE753" s="27"/>
      <c r="AF753" s="56"/>
      <c r="AG753" s="27"/>
      <c r="AH753" s="286"/>
      <c r="AI753" s="27"/>
      <c r="AJ753" s="56"/>
      <c r="AK753" s="27"/>
      <c r="AL753" s="56"/>
      <c r="AM753" s="27"/>
      <c r="AN753" s="56"/>
      <c r="AO753" s="27"/>
      <c r="AP753" s="56"/>
      <c r="AQ753" s="27"/>
      <c r="AR753" s="56"/>
      <c r="AS753" s="27"/>
      <c r="AT753" s="56"/>
      <c r="AU753" s="27"/>
      <c r="AV753" s="56"/>
      <c r="AW753" s="27"/>
      <c r="AX753" s="56"/>
      <c r="AY753" s="27"/>
      <c r="AZ753" s="56"/>
      <c r="BA753" s="27"/>
      <c r="BB753" s="48"/>
      <c r="BC753" s="48"/>
      <c r="BD753" s="48"/>
      <c r="BE753" s="48"/>
      <c r="BF753" s="48"/>
      <c r="BG753" s="48"/>
      <c r="BH753" s="48"/>
      <c r="BI753" s="48"/>
      <c r="BJ753" s="48"/>
      <c r="BK753" s="48"/>
      <c r="BL753" s="48"/>
      <c r="BM753" s="48"/>
      <c r="BN753" s="48"/>
      <c r="BO753" s="48"/>
      <c r="BP753" s="48"/>
      <c r="BQ753" s="48"/>
      <c r="BR753" s="48"/>
      <c r="BS753" s="48"/>
      <c r="BT753" s="48"/>
      <c r="BU753" s="48"/>
    </row>
    <row r="754" ht="15.75" customHeight="1">
      <c r="A754" s="48"/>
      <c r="B754" s="48"/>
      <c r="C754" s="48"/>
      <c r="D754" s="48"/>
      <c r="E754" s="27"/>
      <c r="F754" s="48"/>
      <c r="G754" s="48"/>
      <c r="H754" s="56"/>
      <c r="I754" s="56"/>
      <c r="J754" s="56"/>
      <c r="K754" s="56"/>
      <c r="L754" s="56"/>
      <c r="M754" s="56"/>
      <c r="N754" s="56"/>
      <c r="O754" s="56"/>
      <c r="P754" s="56"/>
      <c r="Q754" s="56"/>
      <c r="R754" s="56"/>
      <c r="S754" s="56"/>
      <c r="T754" s="56"/>
      <c r="U754" s="56"/>
      <c r="V754" s="56"/>
      <c r="W754" s="27"/>
      <c r="X754" s="56"/>
      <c r="Y754" s="27"/>
      <c r="Z754" s="56"/>
      <c r="AA754" s="27"/>
      <c r="AB754" s="56"/>
      <c r="AC754" s="27"/>
      <c r="AD754" s="56"/>
      <c r="AE754" s="27"/>
      <c r="AF754" s="56"/>
      <c r="AG754" s="27"/>
      <c r="AH754" s="286"/>
      <c r="AI754" s="27"/>
      <c r="AJ754" s="56"/>
      <c r="AK754" s="27"/>
      <c r="AL754" s="56"/>
      <c r="AM754" s="27"/>
      <c r="AN754" s="56"/>
      <c r="AO754" s="27"/>
      <c r="AP754" s="56"/>
      <c r="AQ754" s="27"/>
      <c r="AR754" s="56"/>
      <c r="AS754" s="27"/>
      <c r="AT754" s="56"/>
      <c r="AU754" s="27"/>
      <c r="AV754" s="56"/>
      <c r="AW754" s="27"/>
      <c r="AX754" s="56"/>
      <c r="AY754" s="27"/>
      <c r="AZ754" s="56"/>
      <c r="BA754" s="27"/>
      <c r="BB754" s="48"/>
      <c r="BC754" s="48"/>
      <c r="BD754" s="48"/>
      <c r="BE754" s="48"/>
      <c r="BF754" s="48"/>
      <c r="BG754" s="48"/>
      <c r="BH754" s="48"/>
      <c r="BI754" s="48"/>
      <c r="BJ754" s="48"/>
      <c r="BK754" s="48"/>
      <c r="BL754" s="48"/>
      <c r="BM754" s="48"/>
      <c r="BN754" s="48"/>
      <c r="BO754" s="48"/>
      <c r="BP754" s="48"/>
      <c r="BQ754" s="48"/>
      <c r="BR754" s="48"/>
      <c r="BS754" s="48"/>
      <c r="BT754" s="48"/>
      <c r="BU754" s="48"/>
    </row>
    <row r="755" ht="15.75" customHeight="1">
      <c r="A755" s="48"/>
      <c r="B755" s="48"/>
      <c r="C755" s="48"/>
      <c r="D755" s="48"/>
      <c r="E755" s="27"/>
      <c r="F755" s="48"/>
      <c r="G755" s="48"/>
      <c r="H755" s="56"/>
      <c r="I755" s="56"/>
      <c r="J755" s="56"/>
      <c r="K755" s="56"/>
      <c r="L755" s="56"/>
      <c r="M755" s="56"/>
      <c r="N755" s="56"/>
      <c r="O755" s="56"/>
      <c r="P755" s="56"/>
      <c r="Q755" s="56"/>
      <c r="R755" s="56"/>
      <c r="S755" s="56"/>
      <c r="T755" s="56"/>
      <c r="U755" s="56"/>
      <c r="V755" s="56"/>
      <c r="W755" s="27"/>
      <c r="X755" s="56"/>
      <c r="Y755" s="27"/>
      <c r="Z755" s="56"/>
      <c r="AA755" s="27"/>
      <c r="AB755" s="56"/>
      <c r="AC755" s="27"/>
      <c r="AD755" s="56"/>
      <c r="AE755" s="27"/>
      <c r="AF755" s="56"/>
      <c r="AG755" s="27"/>
      <c r="AH755" s="286"/>
      <c r="AI755" s="27"/>
      <c r="AJ755" s="56"/>
      <c r="AK755" s="27"/>
      <c r="AL755" s="56"/>
      <c r="AM755" s="27"/>
      <c r="AN755" s="56"/>
      <c r="AO755" s="27"/>
      <c r="AP755" s="56"/>
      <c r="AQ755" s="27"/>
      <c r="AR755" s="56"/>
      <c r="AS755" s="27"/>
      <c r="AT755" s="56"/>
      <c r="AU755" s="27"/>
      <c r="AV755" s="56"/>
      <c r="AW755" s="27"/>
      <c r="AX755" s="56"/>
      <c r="AY755" s="27"/>
      <c r="AZ755" s="56"/>
      <c r="BA755" s="27"/>
      <c r="BB755" s="48"/>
      <c r="BC755" s="48"/>
      <c r="BD755" s="48"/>
      <c r="BE755" s="48"/>
      <c r="BF755" s="48"/>
      <c r="BG755" s="48"/>
      <c r="BH755" s="48"/>
      <c r="BI755" s="48"/>
      <c r="BJ755" s="48"/>
      <c r="BK755" s="48"/>
      <c r="BL755" s="48"/>
      <c r="BM755" s="48"/>
      <c r="BN755" s="48"/>
      <c r="BO755" s="48"/>
      <c r="BP755" s="48"/>
      <c r="BQ755" s="48"/>
      <c r="BR755" s="48"/>
      <c r="BS755" s="48"/>
      <c r="BT755" s="48"/>
      <c r="BU755" s="48"/>
    </row>
    <row r="756" ht="15.75" customHeight="1">
      <c r="A756" s="48"/>
      <c r="B756" s="48"/>
      <c r="C756" s="48"/>
      <c r="D756" s="48"/>
      <c r="E756" s="27"/>
      <c r="F756" s="48"/>
      <c r="G756" s="48"/>
      <c r="H756" s="56"/>
      <c r="I756" s="56"/>
      <c r="J756" s="56"/>
      <c r="K756" s="56"/>
      <c r="L756" s="56"/>
      <c r="M756" s="56"/>
      <c r="N756" s="56"/>
      <c r="O756" s="56"/>
      <c r="P756" s="56"/>
      <c r="Q756" s="56"/>
      <c r="R756" s="56"/>
      <c r="S756" s="56"/>
      <c r="T756" s="56"/>
      <c r="U756" s="56"/>
      <c r="V756" s="56"/>
      <c r="W756" s="27"/>
      <c r="X756" s="56"/>
      <c r="Y756" s="27"/>
      <c r="Z756" s="56"/>
      <c r="AA756" s="27"/>
      <c r="AB756" s="56"/>
      <c r="AC756" s="27"/>
      <c r="AD756" s="56"/>
      <c r="AE756" s="27"/>
      <c r="AF756" s="56"/>
      <c r="AG756" s="27"/>
      <c r="AH756" s="286"/>
      <c r="AI756" s="27"/>
      <c r="AJ756" s="56"/>
      <c r="AK756" s="27"/>
      <c r="AL756" s="56"/>
      <c r="AM756" s="27"/>
      <c r="AN756" s="56"/>
      <c r="AO756" s="27"/>
      <c r="AP756" s="56"/>
      <c r="AQ756" s="27"/>
      <c r="AR756" s="56"/>
      <c r="AS756" s="27"/>
      <c r="AT756" s="56"/>
      <c r="AU756" s="27"/>
      <c r="AV756" s="56"/>
      <c r="AW756" s="27"/>
      <c r="AX756" s="56"/>
      <c r="AY756" s="27"/>
      <c r="AZ756" s="56"/>
      <c r="BA756" s="27"/>
      <c r="BB756" s="48"/>
      <c r="BC756" s="48"/>
      <c r="BD756" s="48"/>
      <c r="BE756" s="48"/>
      <c r="BF756" s="48"/>
      <c r="BG756" s="48"/>
      <c r="BH756" s="48"/>
      <c r="BI756" s="48"/>
      <c r="BJ756" s="48"/>
      <c r="BK756" s="48"/>
      <c r="BL756" s="48"/>
      <c r="BM756" s="48"/>
      <c r="BN756" s="48"/>
      <c r="BO756" s="48"/>
      <c r="BP756" s="48"/>
      <c r="BQ756" s="48"/>
      <c r="BR756" s="48"/>
      <c r="BS756" s="48"/>
      <c r="BT756" s="48"/>
      <c r="BU756" s="48"/>
    </row>
    <row r="757" ht="15.75" customHeight="1">
      <c r="A757" s="48"/>
      <c r="B757" s="48"/>
      <c r="C757" s="48"/>
      <c r="D757" s="48"/>
      <c r="E757" s="27"/>
      <c r="F757" s="48"/>
      <c r="G757" s="48"/>
      <c r="H757" s="56"/>
      <c r="I757" s="56"/>
      <c r="J757" s="56"/>
      <c r="K757" s="56"/>
      <c r="L757" s="56"/>
      <c r="M757" s="56"/>
      <c r="N757" s="56"/>
      <c r="O757" s="56"/>
      <c r="P757" s="56"/>
      <c r="Q757" s="56"/>
      <c r="R757" s="56"/>
      <c r="S757" s="56"/>
      <c r="T757" s="56"/>
      <c r="U757" s="56"/>
      <c r="V757" s="56"/>
      <c r="W757" s="27"/>
      <c r="X757" s="56"/>
      <c r="Y757" s="27"/>
      <c r="Z757" s="56"/>
      <c r="AA757" s="27"/>
      <c r="AB757" s="56"/>
      <c r="AC757" s="27"/>
      <c r="AD757" s="56"/>
      <c r="AE757" s="27"/>
      <c r="AF757" s="56"/>
      <c r="AG757" s="27"/>
      <c r="AH757" s="286"/>
      <c r="AI757" s="27"/>
      <c r="AJ757" s="56"/>
      <c r="AK757" s="27"/>
      <c r="AL757" s="56"/>
      <c r="AM757" s="27"/>
      <c r="AN757" s="56"/>
      <c r="AO757" s="27"/>
      <c r="AP757" s="56"/>
      <c r="AQ757" s="27"/>
      <c r="AR757" s="56"/>
      <c r="AS757" s="27"/>
      <c r="AT757" s="56"/>
      <c r="AU757" s="27"/>
      <c r="AV757" s="56"/>
      <c r="AW757" s="27"/>
      <c r="AX757" s="56"/>
      <c r="AY757" s="27"/>
      <c r="AZ757" s="56"/>
      <c r="BA757" s="27"/>
      <c r="BB757" s="48"/>
      <c r="BC757" s="48"/>
      <c r="BD757" s="48"/>
      <c r="BE757" s="48"/>
      <c r="BF757" s="48"/>
      <c r="BG757" s="48"/>
      <c r="BH757" s="48"/>
      <c r="BI757" s="48"/>
      <c r="BJ757" s="48"/>
      <c r="BK757" s="48"/>
      <c r="BL757" s="48"/>
      <c r="BM757" s="48"/>
      <c r="BN757" s="48"/>
      <c r="BO757" s="48"/>
      <c r="BP757" s="48"/>
      <c r="BQ757" s="48"/>
      <c r="BR757" s="48"/>
      <c r="BS757" s="48"/>
      <c r="BT757" s="48"/>
      <c r="BU757" s="48"/>
    </row>
    <row r="758" ht="15.75" customHeight="1">
      <c r="A758" s="48"/>
      <c r="B758" s="48"/>
      <c r="C758" s="48"/>
      <c r="D758" s="48"/>
      <c r="E758" s="27"/>
      <c r="F758" s="48"/>
      <c r="G758" s="48"/>
      <c r="H758" s="56"/>
      <c r="I758" s="56"/>
      <c r="J758" s="56"/>
      <c r="K758" s="56"/>
      <c r="L758" s="56"/>
      <c r="M758" s="56"/>
      <c r="N758" s="56"/>
      <c r="O758" s="56"/>
      <c r="P758" s="56"/>
      <c r="Q758" s="56"/>
      <c r="R758" s="56"/>
      <c r="S758" s="56"/>
      <c r="T758" s="56"/>
      <c r="U758" s="56"/>
      <c r="V758" s="56"/>
      <c r="W758" s="27"/>
      <c r="X758" s="56"/>
      <c r="Y758" s="27"/>
      <c r="Z758" s="56"/>
      <c r="AA758" s="27"/>
      <c r="AB758" s="56"/>
      <c r="AC758" s="27"/>
      <c r="AD758" s="56"/>
      <c r="AE758" s="27"/>
      <c r="AF758" s="56"/>
      <c r="AG758" s="27"/>
      <c r="AH758" s="286"/>
      <c r="AI758" s="27"/>
      <c r="AJ758" s="56"/>
      <c r="AK758" s="27"/>
      <c r="AL758" s="56"/>
      <c r="AM758" s="27"/>
      <c r="AN758" s="56"/>
      <c r="AO758" s="27"/>
      <c r="AP758" s="56"/>
      <c r="AQ758" s="27"/>
      <c r="AR758" s="56"/>
      <c r="AS758" s="27"/>
      <c r="AT758" s="56"/>
      <c r="AU758" s="27"/>
      <c r="AV758" s="56"/>
      <c r="AW758" s="27"/>
      <c r="AX758" s="56"/>
      <c r="AY758" s="27"/>
      <c r="AZ758" s="56"/>
      <c r="BA758" s="27"/>
      <c r="BB758" s="48"/>
      <c r="BC758" s="48"/>
      <c r="BD758" s="48"/>
      <c r="BE758" s="48"/>
      <c r="BF758" s="48"/>
      <c r="BG758" s="48"/>
      <c r="BH758" s="48"/>
      <c r="BI758" s="48"/>
      <c r="BJ758" s="48"/>
      <c r="BK758" s="48"/>
      <c r="BL758" s="48"/>
      <c r="BM758" s="48"/>
      <c r="BN758" s="48"/>
      <c r="BO758" s="48"/>
      <c r="BP758" s="48"/>
      <c r="BQ758" s="48"/>
      <c r="BR758" s="48"/>
      <c r="BS758" s="48"/>
      <c r="BT758" s="48"/>
      <c r="BU758" s="48"/>
    </row>
    <row r="759" ht="15.75" customHeight="1">
      <c r="A759" s="48"/>
      <c r="B759" s="48"/>
      <c r="C759" s="48"/>
      <c r="D759" s="48"/>
      <c r="E759" s="27"/>
      <c r="F759" s="48"/>
      <c r="G759" s="48"/>
      <c r="H759" s="56"/>
      <c r="I759" s="56"/>
      <c r="J759" s="56"/>
      <c r="K759" s="56"/>
      <c r="L759" s="56"/>
      <c r="M759" s="56"/>
      <c r="N759" s="56"/>
      <c r="O759" s="56"/>
      <c r="P759" s="56"/>
      <c r="Q759" s="56"/>
      <c r="R759" s="56"/>
      <c r="S759" s="56"/>
      <c r="T759" s="56"/>
      <c r="U759" s="56"/>
      <c r="V759" s="56"/>
      <c r="W759" s="27"/>
      <c r="X759" s="56"/>
      <c r="Y759" s="27"/>
      <c r="Z759" s="56"/>
      <c r="AA759" s="27"/>
      <c r="AB759" s="56"/>
      <c r="AC759" s="27"/>
      <c r="AD759" s="56"/>
      <c r="AE759" s="27"/>
      <c r="AF759" s="56"/>
      <c r="AG759" s="27"/>
      <c r="AH759" s="286"/>
      <c r="AI759" s="27"/>
      <c r="AJ759" s="56"/>
      <c r="AK759" s="27"/>
      <c r="AL759" s="56"/>
      <c r="AM759" s="27"/>
      <c r="AN759" s="56"/>
      <c r="AO759" s="27"/>
      <c r="AP759" s="56"/>
      <c r="AQ759" s="27"/>
      <c r="AR759" s="56"/>
      <c r="AS759" s="27"/>
      <c r="AT759" s="56"/>
      <c r="AU759" s="27"/>
      <c r="AV759" s="56"/>
      <c r="AW759" s="27"/>
      <c r="AX759" s="56"/>
      <c r="AY759" s="27"/>
      <c r="AZ759" s="56"/>
      <c r="BA759" s="27"/>
      <c r="BB759" s="48"/>
      <c r="BC759" s="48"/>
      <c r="BD759" s="48"/>
      <c r="BE759" s="48"/>
      <c r="BF759" s="48"/>
      <c r="BG759" s="48"/>
      <c r="BH759" s="48"/>
      <c r="BI759" s="48"/>
      <c r="BJ759" s="48"/>
      <c r="BK759" s="48"/>
      <c r="BL759" s="48"/>
      <c r="BM759" s="48"/>
      <c r="BN759" s="48"/>
      <c r="BO759" s="48"/>
      <c r="BP759" s="48"/>
      <c r="BQ759" s="48"/>
      <c r="BR759" s="48"/>
      <c r="BS759" s="48"/>
      <c r="BT759" s="48"/>
      <c r="BU759" s="48"/>
    </row>
    <row r="760" ht="15.75" customHeight="1">
      <c r="A760" s="48"/>
      <c r="B760" s="48"/>
      <c r="C760" s="48"/>
      <c r="D760" s="48"/>
      <c r="E760" s="27"/>
      <c r="F760" s="48"/>
      <c r="G760" s="48"/>
      <c r="H760" s="56"/>
      <c r="I760" s="56"/>
      <c r="J760" s="56"/>
      <c r="K760" s="56"/>
      <c r="L760" s="56"/>
      <c r="M760" s="56"/>
      <c r="N760" s="56"/>
      <c r="O760" s="56"/>
      <c r="P760" s="56"/>
      <c r="Q760" s="56"/>
      <c r="R760" s="56"/>
      <c r="S760" s="56"/>
      <c r="T760" s="56"/>
      <c r="U760" s="56"/>
      <c r="V760" s="56"/>
      <c r="W760" s="27"/>
      <c r="X760" s="56"/>
      <c r="Y760" s="27"/>
      <c r="Z760" s="56"/>
      <c r="AA760" s="27"/>
      <c r="AB760" s="56"/>
      <c r="AC760" s="27"/>
      <c r="AD760" s="56"/>
      <c r="AE760" s="27"/>
      <c r="AF760" s="56"/>
      <c r="AG760" s="27"/>
      <c r="AH760" s="286"/>
      <c r="AI760" s="27"/>
      <c r="AJ760" s="56"/>
      <c r="AK760" s="27"/>
      <c r="AL760" s="56"/>
      <c r="AM760" s="27"/>
      <c r="AN760" s="56"/>
      <c r="AO760" s="27"/>
      <c r="AP760" s="56"/>
      <c r="AQ760" s="27"/>
      <c r="AR760" s="56"/>
      <c r="AS760" s="27"/>
      <c r="AT760" s="56"/>
      <c r="AU760" s="27"/>
      <c r="AV760" s="56"/>
      <c r="AW760" s="27"/>
      <c r="AX760" s="56"/>
      <c r="AY760" s="27"/>
      <c r="AZ760" s="56"/>
      <c r="BA760" s="27"/>
      <c r="BB760" s="48"/>
      <c r="BC760" s="48"/>
      <c r="BD760" s="48"/>
      <c r="BE760" s="48"/>
      <c r="BF760" s="48"/>
      <c r="BG760" s="48"/>
      <c r="BH760" s="48"/>
      <c r="BI760" s="48"/>
      <c r="BJ760" s="48"/>
      <c r="BK760" s="48"/>
      <c r="BL760" s="48"/>
      <c r="BM760" s="48"/>
      <c r="BN760" s="48"/>
      <c r="BO760" s="48"/>
      <c r="BP760" s="48"/>
      <c r="BQ760" s="48"/>
      <c r="BR760" s="48"/>
      <c r="BS760" s="48"/>
      <c r="BT760" s="48"/>
      <c r="BU760" s="48"/>
    </row>
    <row r="761" ht="15.75" customHeight="1">
      <c r="A761" s="48"/>
      <c r="B761" s="48"/>
      <c r="C761" s="48"/>
      <c r="D761" s="48"/>
      <c r="E761" s="27"/>
      <c r="F761" s="48"/>
      <c r="G761" s="48"/>
      <c r="H761" s="56"/>
      <c r="I761" s="56"/>
      <c r="J761" s="56"/>
      <c r="K761" s="56"/>
      <c r="L761" s="56"/>
      <c r="M761" s="56"/>
      <c r="N761" s="56"/>
      <c r="O761" s="56"/>
      <c r="P761" s="56"/>
      <c r="Q761" s="56"/>
      <c r="R761" s="56"/>
      <c r="S761" s="56"/>
      <c r="T761" s="56"/>
      <c r="U761" s="56"/>
      <c r="V761" s="56"/>
      <c r="W761" s="27"/>
      <c r="X761" s="56"/>
      <c r="Y761" s="27"/>
      <c r="Z761" s="56"/>
      <c r="AA761" s="27"/>
      <c r="AB761" s="56"/>
      <c r="AC761" s="27"/>
      <c r="AD761" s="56"/>
      <c r="AE761" s="27"/>
      <c r="AF761" s="56"/>
      <c r="AG761" s="27"/>
      <c r="AH761" s="286"/>
      <c r="AI761" s="27"/>
      <c r="AJ761" s="56"/>
      <c r="AK761" s="27"/>
      <c r="AL761" s="56"/>
      <c r="AM761" s="27"/>
      <c r="AN761" s="56"/>
      <c r="AO761" s="27"/>
      <c r="AP761" s="56"/>
      <c r="AQ761" s="27"/>
      <c r="AR761" s="56"/>
      <c r="AS761" s="27"/>
      <c r="AT761" s="56"/>
      <c r="AU761" s="27"/>
      <c r="AV761" s="56"/>
      <c r="AW761" s="27"/>
      <c r="AX761" s="56"/>
      <c r="AY761" s="27"/>
      <c r="AZ761" s="56"/>
      <c r="BA761" s="27"/>
      <c r="BB761" s="48"/>
      <c r="BC761" s="48"/>
      <c r="BD761" s="48"/>
      <c r="BE761" s="48"/>
      <c r="BF761" s="48"/>
      <c r="BG761" s="48"/>
      <c r="BH761" s="48"/>
      <c r="BI761" s="48"/>
      <c r="BJ761" s="48"/>
      <c r="BK761" s="48"/>
      <c r="BL761" s="48"/>
      <c r="BM761" s="48"/>
      <c r="BN761" s="48"/>
      <c r="BO761" s="48"/>
      <c r="BP761" s="48"/>
      <c r="BQ761" s="48"/>
      <c r="BR761" s="48"/>
      <c r="BS761" s="48"/>
      <c r="BT761" s="48"/>
      <c r="BU761" s="48"/>
    </row>
    <row r="762" ht="15.75" customHeight="1">
      <c r="A762" s="48"/>
      <c r="B762" s="48"/>
      <c r="C762" s="48"/>
      <c r="D762" s="48"/>
      <c r="E762" s="27"/>
      <c r="F762" s="48"/>
      <c r="G762" s="48"/>
      <c r="H762" s="56"/>
      <c r="I762" s="56"/>
      <c r="J762" s="56"/>
      <c r="K762" s="56"/>
      <c r="L762" s="56"/>
      <c r="M762" s="56"/>
      <c r="N762" s="56"/>
      <c r="O762" s="56"/>
      <c r="P762" s="56"/>
      <c r="Q762" s="56"/>
      <c r="R762" s="56"/>
      <c r="S762" s="56"/>
      <c r="T762" s="56"/>
      <c r="U762" s="56"/>
      <c r="V762" s="56"/>
      <c r="W762" s="27"/>
      <c r="X762" s="56"/>
      <c r="Y762" s="27"/>
      <c r="Z762" s="56"/>
      <c r="AA762" s="27"/>
      <c r="AB762" s="56"/>
      <c r="AC762" s="27"/>
      <c r="AD762" s="56"/>
      <c r="AE762" s="27"/>
      <c r="AF762" s="56"/>
      <c r="AG762" s="27"/>
      <c r="AH762" s="286"/>
      <c r="AI762" s="27"/>
      <c r="AJ762" s="56"/>
      <c r="AK762" s="27"/>
      <c r="AL762" s="56"/>
      <c r="AM762" s="27"/>
      <c r="AN762" s="56"/>
      <c r="AO762" s="27"/>
      <c r="AP762" s="56"/>
      <c r="AQ762" s="27"/>
      <c r="AR762" s="56"/>
      <c r="AS762" s="27"/>
      <c r="AT762" s="56"/>
      <c r="AU762" s="27"/>
      <c r="AV762" s="56"/>
      <c r="AW762" s="27"/>
      <c r="AX762" s="56"/>
      <c r="AY762" s="27"/>
      <c r="AZ762" s="56"/>
      <c r="BA762" s="27"/>
      <c r="BB762" s="48"/>
      <c r="BC762" s="48"/>
      <c r="BD762" s="48"/>
      <c r="BE762" s="48"/>
      <c r="BF762" s="48"/>
      <c r="BG762" s="48"/>
      <c r="BH762" s="48"/>
      <c r="BI762" s="48"/>
      <c r="BJ762" s="48"/>
      <c r="BK762" s="48"/>
      <c r="BL762" s="48"/>
      <c r="BM762" s="48"/>
      <c r="BN762" s="48"/>
      <c r="BO762" s="48"/>
      <c r="BP762" s="48"/>
      <c r="BQ762" s="48"/>
      <c r="BR762" s="48"/>
      <c r="BS762" s="48"/>
      <c r="BT762" s="48"/>
      <c r="BU762" s="48"/>
    </row>
    <row r="763" ht="15.75" customHeight="1">
      <c r="A763" s="48"/>
      <c r="B763" s="48"/>
      <c r="C763" s="48"/>
      <c r="D763" s="48"/>
      <c r="E763" s="27"/>
      <c r="F763" s="48"/>
      <c r="G763" s="48"/>
      <c r="H763" s="56"/>
      <c r="I763" s="56"/>
      <c r="J763" s="56"/>
      <c r="K763" s="56"/>
      <c r="L763" s="56"/>
      <c r="M763" s="56"/>
      <c r="N763" s="56"/>
      <c r="O763" s="56"/>
      <c r="P763" s="56"/>
      <c r="Q763" s="56"/>
      <c r="R763" s="56"/>
      <c r="S763" s="56"/>
      <c r="T763" s="56"/>
      <c r="U763" s="56"/>
      <c r="V763" s="56"/>
      <c r="W763" s="27"/>
      <c r="X763" s="56"/>
      <c r="Y763" s="27"/>
      <c r="Z763" s="56"/>
      <c r="AA763" s="27"/>
      <c r="AB763" s="56"/>
      <c r="AC763" s="27"/>
      <c r="AD763" s="56"/>
      <c r="AE763" s="27"/>
      <c r="AF763" s="56"/>
      <c r="AG763" s="27"/>
      <c r="AH763" s="286"/>
      <c r="AI763" s="27"/>
      <c r="AJ763" s="56"/>
      <c r="AK763" s="27"/>
      <c r="AL763" s="56"/>
      <c r="AM763" s="27"/>
      <c r="AN763" s="56"/>
      <c r="AO763" s="27"/>
      <c r="AP763" s="56"/>
      <c r="AQ763" s="27"/>
      <c r="AR763" s="56"/>
      <c r="AS763" s="27"/>
      <c r="AT763" s="56"/>
      <c r="AU763" s="27"/>
      <c r="AV763" s="56"/>
      <c r="AW763" s="27"/>
      <c r="AX763" s="56"/>
      <c r="AY763" s="27"/>
      <c r="AZ763" s="56"/>
      <c r="BA763" s="27"/>
      <c r="BB763" s="48"/>
      <c r="BC763" s="48"/>
      <c r="BD763" s="48"/>
      <c r="BE763" s="48"/>
      <c r="BF763" s="48"/>
      <c r="BG763" s="48"/>
      <c r="BH763" s="48"/>
      <c r="BI763" s="48"/>
      <c r="BJ763" s="48"/>
      <c r="BK763" s="48"/>
      <c r="BL763" s="48"/>
      <c r="BM763" s="48"/>
      <c r="BN763" s="48"/>
      <c r="BO763" s="48"/>
      <c r="BP763" s="48"/>
      <c r="BQ763" s="48"/>
      <c r="BR763" s="48"/>
      <c r="BS763" s="48"/>
      <c r="BT763" s="48"/>
      <c r="BU763" s="48"/>
    </row>
    <row r="764" ht="15.75" customHeight="1">
      <c r="A764" s="48"/>
      <c r="B764" s="48"/>
      <c r="C764" s="48"/>
      <c r="D764" s="48"/>
      <c r="E764" s="27"/>
      <c r="F764" s="48"/>
      <c r="G764" s="48"/>
      <c r="H764" s="56"/>
      <c r="I764" s="56"/>
      <c r="J764" s="56"/>
      <c r="K764" s="56"/>
      <c r="L764" s="56"/>
      <c r="M764" s="56"/>
      <c r="N764" s="56"/>
      <c r="O764" s="56"/>
      <c r="P764" s="56"/>
      <c r="Q764" s="56"/>
      <c r="R764" s="56"/>
      <c r="S764" s="56"/>
      <c r="T764" s="56"/>
      <c r="U764" s="56"/>
      <c r="V764" s="56"/>
      <c r="W764" s="27"/>
      <c r="X764" s="56"/>
      <c r="Y764" s="27"/>
      <c r="Z764" s="56"/>
      <c r="AA764" s="27"/>
      <c r="AB764" s="56"/>
      <c r="AC764" s="27"/>
      <c r="AD764" s="56"/>
      <c r="AE764" s="27"/>
      <c r="AF764" s="56"/>
      <c r="AG764" s="27"/>
      <c r="AH764" s="286"/>
      <c r="AI764" s="27"/>
      <c r="AJ764" s="56"/>
      <c r="AK764" s="27"/>
      <c r="AL764" s="56"/>
      <c r="AM764" s="27"/>
      <c r="AN764" s="56"/>
      <c r="AO764" s="27"/>
      <c r="AP764" s="56"/>
      <c r="AQ764" s="27"/>
      <c r="AR764" s="56"/>
      <c r="AS764" s="27"/>
      <c r="AT764" s="56"/>
      <c r="AU764" s="27"/>
      <c r="AV764" s="56"/>
      <c r="AW764" s="27"/>
      <c r="AX764" s="56"/>
      <c r="AY764" s="27"/>
      <c r="AZ764" s="56"/>
      <c r="BA764" s="27"/>
      <c r="BB764" s="48"/>
      <c r="BC764" s="48"/>
      <c r="BD764" s="48"/>
      <c r="BE764" s="48"/>
      <c r="BF764" s="48"/>
      <c r="BG764" s="48"/>
      <c r="BH764" s="48"/>
      <c r="BI764" s="48"/>
      <c r="BJ764" s="48"/>
      <c r="BK764" s="48"/>
      <c r="BL764" s="48"/>
      <c r="BM764" s="48"/>
      <c r="BN764" s="48"/>
      <c r="BO764" s="48"/>
      <c r="BP764" s="48"/>
      <c r="BQ764" s="48"/>
      <c r="BR764" s="48"/>
      <c r="BS764" s="48"/>
      <c r="BT764" s="48"/>
      <c r="BU764" s="48"/>
    </row>
    <row r="765" ht="15.75" customHeight="1">
      <c r="A765" s="48"/>
      <c r="B765" s="48"/>
      <c r="C765" s="48"/>
      <c r="D765" s="48"/>
      <c r="E765" s="27"/>
      <c r="F765" s="48"/>
      <c r="G765" s="48"/>
      <c r="H765" s="56"/>
      <c r="I765" s="56"/>
      <c r="J765" s="56"/>
      <c r="K765" s="56"/>
      <c r="L765" s="56"/>
      <c r="M765" s="56"/>
      <c r="N765" s="56"/>
      <c r="O765" s="56"/>
      <c r="P765" s="56"/>
      <c r="Q765" s="56"/>
      <c r="R765" s="56"/>
      <c r="S765" s="56"/>
      <c r="T765" s="56"/>
      <c r="U765" s="56"/>
      <c r="V765" s="56"/>
      <c r="W765" s="27"/>
      <c r="X765" s="56"/>
      <c r="Y765" s="27"/>
      <c r="Z765" s="56"/>
      <c r="AA765" s="27"/>
      <c r="AB765" s="56"/>
      <c r="AC765" s="27"/>
      <c r="AD765" s="56"/>
      <c r="AE765" s="27"/>
      <c r="AF765" s="56"/>
      <c r="AG765" s="27"/>
      <c r="AH765" s="286"/>
      <c r="AI765" s="27"/>
      <c r="AJ765" s="56"/>
      <c r="AK765" s="27"/>
      <c r="AL765" s="56"/>
      <c r="AM765" s="27"/>
      <c r="AN765" s="56"/>
      <c r="AO765" s="27"/>
      <c r="AP765" s="56"/>
      <c r="AQ765" s="27"/>
      <c r="AR765" s="56"/>
      <c r="AS765" s="27"/>
      <c r="AT765" s="56"/>
      <c r="AU765" s="27"/>
      <c r="AV765" s="56"/>
      <c r="AW765" s="27"/>
      <c r="AX765" s="56"/>
      <c r="AY765" s="27"/>
      <c r="AZ765" s="56"/>
      <c r="BA765" s="27"/>
      <c r="BB765" s="48"/>
      <c r="BC765" s="48"/>
      <c r="BD765" s="48"/>
      <c r="BE765" s="48"/>
      <c r="BF765" s="48"/>
      <c r="BG765" s="48"/>
      <c r="BH765" s="48"/>
      <c r="BI765" s="48"/>
      <c r="BJ765" s="48"/>
      <c r="BK765" s="48"/>
      <c r="BL765" s="48"/>
      <c r="BM765" s="48"/>
      <c r="BN765" s="48"/>
      <c r="BO765" s="48"/>
      <c r="BP765" s="48"/>
      <c r="BQ765" s="48"/>
      <c r="BR765" s="48"/>
      <c r="BS765" s="48"/>
      <c r="BT765" s="48"/>
      <c r="BU765" s="48"/>
    </row>
    <row r="766" ht="15.75" customHeight="1">
      <c r="A766" s="48"/>
      <c r="B766" s="48"/>
      <c r="C766" s="48"/>
      <c r="D766" s="48"/>
      <c r="E766" s="27"/>
      <c r="F766" s="48"/>
      <c r="G766" s="48"/>
      <c r="H766" s="56"/>
      <c r="I766" s="56"/>
      <c r="J766" s="56"/>
      <c r="K766" s="56"/>
      <c r="L766" s="56"/>
      <c r="M766" s="56"/>
      <c r="N766" s="56"/>
      <c r="O766" s="56"/>
      <c r="P766" s="56"/>
      <c r="Q766" s="56"/>
      <c r="R766" s="56"/>
      <c r="S766" s="56"/>
      <c r="T766" s="56"/>
      <c r="U766" s="56"/>
      <c r="V766" s="56"/>
      <c r="W766" s="27"/>
      <c r="X766" s="56"/>
      <c r="Y766" s="27"/>
      <c r="Z766" s="56"/>
      <c r="AA766" s="27"/>
      <c r="AB766" s="56"/>
      <c r="AC766" s="27"/>
      <c r="AD766" s="56"/>
      <c r="AE766" s="27"/>
      <c r="AF766" s="56"/>
      <c r="AG766" s="27"/>
      <c r="AH766" s="286"/>
      <c r="AI766" s="27"/>
      <c r="AJ766" s="56"/>
      <c r="AK766" s="27"/>
      <c r="AL766" s="56"/>
      <c r="AM766" s="27"/>
      <c r="AN766" s="56"/>
      <c r="AO766" s="27"/>
      <c r="AP766" s="56"/>
      <c r="AQ766" s="27"/>
      <c r="AR766" s="56"/>
      <c r="AS766" s="27"/>
      <c r="AT766" s="56"/>
      <c r="AU766" s="27"/>
      <c r="AV766" s="56"/>
      <c r="AW766" s="27"/>
      <c r="AX766" s="56"/>
      <c r="AY766" s="27"/>
      <c r="AZ766" s="56"/>
      <c r="BA766" s="27"/>
      <c r="BB766" s="48"/>
      <c r="BC766" s="48"/>
      <c r="BD766" s="48"/>
      <c r="BE766" s="48"/>
      <c r="BF766" s="48"/>
      <c r="BG766" s="48"/>
      <c r="BH766" s="48"/>
      <c r="BI766" s="48"/>
      <c r="BJ766" s="48"/>
      <c r="BK766" s="48"/>
      <c r="BL766" s="48"/>
      <c r="BM766" s="48"/>
      <c r="BN766" s="48"/>
      <c r="BO766" s="48"/>
      <c r="BP766" s="48"/>
      <c r="BQ766" s="48"/>
      <c r="BR766" s="48"/>
      <c r="BS766" s="48"/>
      <c r="BT766" s="48"/>
      <c r="BU766" s="48"/>
    </row>
    <row r="767" ht="15.75" customHeight="1">
      <c r="A767" s="48"/>
      <c r="B767" s="48"/>
      <c r="C767" s="48"/>
      <c r="D767" s="48"/>
      <c r="E767" s="27"/>
      <c r="F767" s="48"/>
      <c r="G767" s="48"/>
      <c r="H767" s="56"/>
      <c r="I767" s="56"/>
      <c r="J767" s="56"/>
      <c r="K767" s="56"/>
      <c r="L767" s="56"/>
      <c r="M767" s="56"/>
      <c r="N767" s="56"/>
      <c r="O767" s="56"/>
      <c r="P767" s="56"/>
      <c r="Q767" s="56"/>
      <c r="R767" s="56"/>
      <c r="S767" s="56"/>
      <c r="T767" s="56"/>
      <c r="U767" s="56"/>
      <c r="V767" s="56"/>
      <c r="W767" s="27"/>
      <c r="X767" s="56"/>
      <c r="Y767" s="27"/>
      <c r="Z767" s="56"/>
      <c r="AA767" s="27"/>
      <c r="AB767" s="56"/>
      <c r="AC767" s="27"/>
      <c r="AD767" s="56"/>
      <c r="AE767" s="27"/>
      <c r="AF767" s="56"/>
      <c r="AG767" s="27"/>
      <c r="AH767" s="286"/>
      <c r="AI767" s="27"/>
      <c r="AJ767" s="56"/>
      <c r="AK767" s="27"/>
      <c r="AL767" s="56"/>
      <c r="AM767" s="27"/>
      <c r="AN767" s="56"/>
      <c r="AO767" s="27"/>
      <c r="AP767" s="56"/>
      <c r="AQ767" s="27"/>
      <c r="AR767" s="56"/>
      <c r="AS767" s="27"/>
      <c r="AT767" s="56"/>
      <c r="AU767" s="27"/>
      <c r="AV767" s="56"/>
      <c r="AW767" s="27"/>
      <c r="AX767" s="56"/>
      <c r="AY767" s="27"/>
      <c r="AZ767" s="56"/>
      <c r="BA767" s="27"/>
      <c r="BB767" s="48"/>
      <c r="BC767" s="48"/>
      <c r="BD767" s="48"/>
      <c r="BE767" s="48"/>
      <c r="BF767" s="48"/>
      <c r="BG767" s="48"/>
      <c r="BH767" s="48"/>
      <c r="BI767" s="48"/>
      <c r="BJ767" s="48"/>
      <c r="BK767" s="48"/>
      <c r="BL767" s="48"/>
      <c r="BM767" s="48"/>
      <c r="BN767" s="48"/>
      <c r="BO767" s="48"/>
      <c r="BP767" s="48"/>
      <c r="BQ767" s="48"/>
      <c r="BR767" s="48"/>
      <c r="BS767" s="48"/>
      <c r="BT767" s="48"/>
      <c r="BU767" s="48"/>
    </row>
    <row r="768" ht="15.75" customHeight="1">
      <c r="A768" s="48"/>
      <c r="B768" s="48"/>
      <c r="C768" s="48"/>
      <c r="D768" s="48"/>
      <c r="E768" s="27"/>
      <c r="F768" s="48"/>
      <c r="G768" s="48"/>
      <c r="H768" s="56"/>
      <c r="I768" s="56"/>
      <c r="J768" s="56"/>
      <c r="K768" s="56"/>
      <c r="L768" s="56"/>
      <c r="M768" s="56"/>
      <c r="N768" s="56"/>
      <c r="O768" s="56"/>
      <c r="P768" s="56"/>
      <c r="Q768" s="56"/>
      <c r="R768" s="56"/>
      <c r="S768" s="56"/>
      <c r="T768" s="56"/>
      <c r="U768" s="56"/>
      <c r="V768" s="56"/>
      <c r="W768" s="27"/>
      <c r="X768" s="56"/>
      <c r="Y768" s="27"/>
      <c r="Z768" s="56"/>
      <c r="AA768" s="27"/>
      <c r="AB768" s="56"/>
      <c r="AC768" s="27"/>
      <c r="AD768" s="56"/>
      <c r="AE768" s="27"/>
      <c r="AF768" s="56"/>
      <c r="AG768" s="27"/>
      <c r="AH768" s="286"/>
      <c r="AI768" s="27"/>
      <c r="AJ768" s="56"/>
      <c r="AK768" s="27"/>
      <c r="AL768" s="56"/>
      <c r="AM768" s="27"/>
      <c r="AN768" s="56"/>
      <c r="AO768" s="27"/>
      <c r="AP768" s="56"/>
      <c r="AQ768" s="27"/>
      <c r="AR768" s="56"/>
      <c r="AS768" s="27"/>
      <c r="AT768" s="56"/>
      <c r="AU768" s="27"/>
      <c r="AV768" s="56"/>
      <c r="AW768" s="27"/>
      <c r="AX768" s="56"/>
      <c r="AY768" s="27"/>
      <c r="AZ768" s="56"/>
      <c r="BA768" s="27"/>
      <c r="BB768" s="48"/>
      <c r="BC768" s="48"/>
      <c r="BD768" s="48"/>
      <c r="BE768" s="48"/>
      <c r="BF768" s="48"/>
      <c r="BG768" s="48"/>
      <c r="BH768" s="48"/>
      <c r="BI768" s="48"/>
      <c r="BJ768" s="48"/>
      <c r="BK768" s="48"/>
      <c r="BL768" s="48"/>
      <c r="BM768" s="48"/>
      <c r="BN768" s="48"/>
      <c r="BO768" s="48"/>
      <c r="BP768" s="48"/>
      <c r="BQ768" s="48"/>
      <c r="BR768" s="48"/>
      <c r="BS768" s="48"/>
      <c r="BT768" s="48"/>
      <c r="BU768" s="48"/>
    </row>
    <row r="769" ht="15.75" customHeight="1">
      <c r="A769" s="48"/>
      <c r="B769" s="48"/>
      <c r="C769" s="48"/>
      <c r="D769" s="48"/>
      <c r="E769" s="27"/>
      <c r="F769" s="48"/>
      <c r="G769" s="48"/>
      <c r="H769" s="56"/>
      <c r="I769" s="56"/>
      <c r="J769" s="56"/>
      <c r="K769" s="56"/>
      <c r="L769" s="56"/>
      <c r="M769" s="56"/>
      <c r="N769" s="56"/>
      <c r="O769" s="56"/>
      <c r="P769" s="56"/>
      <c r="Q769" s="56"/>
      <c r="R769" s="56"/>
      <c r="S769" s="56"/>
      <c r="T769" s="56"/>
      <c r="U769" s="56"/>
      <c r="V769" s="56"/>
      <c r="W769" s="27"/>
      <c r="X769" s="56"/>
      <c r="Y769" s="27"/>
      <c r="Z769" s="56"/>
      <c r="AA769" s="27"/>
      <c r="AB769" s="56"/>
      <c r="AC769" s="27"/>
      <c r="AD769" s="56"/>
      <c r="AE769" s="27"/>
      <c r="AF769" s="56"/>
      <c r="AG769" s="27"/>
      <c r="AH769" s="286"/>
      <c r="AI769" s="27"/>
      <c r="AJ769" s="56"/>
      <c r="AK769" s="27"/>
      <c r="AL769" s="56"/>
      <c r="AM769" s="27"/>
      <c r="AN769" s="56"/>
      <c r="AO769" s="27"/>
      <c r="AP769" s="56"/>
      <c r="AQ769" s="27"/>
      <c r="AR769" s="56"/>
      <c r="AS769" s="27"/>
      <c r="AT769" s="56"/>
      <c r="AU769" s="27"/>
      <c r="AV769" s="56"/>
      <c r="AW769" s="27"/>
      <c r="AX769" s="56"/>
      <c r="AY769" s="27"/>
      <c r="AZ769" s="56"/>
      <c r="BA769" s="27"/>
      <c r="BB769" s="48"/>
      <c r="BC769" s="48"/>
      <c r="BD769" s="48"/>
      <c r="BE769" s="48"/>
      <c r="BF769" s="48"/>
      <c r="BG769" s="48"/>
      <c r="BH769" s="48"/>
      <c r="BI769" s="48"/>
      <c r="BJ769" s="48"/>
      <c r="BK769" s="48"/>
      <c r="BL769" s="48"/>
      <c r="BM769" s="48"/>
      <c r="BN769" s="48"/>
      <c r="BO769" s="48"/>
      <c r="BP769" s="48"/>
      <c r="BQ769" s="48"/>
      <c r="BR769" s="48"/>
      <c r="BS769" s="48"/>
      <c r="BT769" s="48"/>
      <c r="BU769" s="48"/>
    </row>
    <row r="770" ht="15.75" customHeight="1">
      <c r="A770" s="48"/>
      <c r="B770" s="48"/>
      <c r="C770" s="48"/>
      <c r="D770" s="48"/>
      <c r="E770" s="27"/>
      <c r="F770" s="48"/>
      <c r="G770" s="48"/>
      <c r="H770" s="56"/>
      <c r="I770" s="56"/>
      <c r="J770" s="56"/>
      <c r="K770" s="56"/>
      <c r="L770" s="56"/>
      <c r="M770" s="56"/>
      <c r="N770" s="56"/>
      <c r="O770" s="56"/>
      <c r="P770" s="56"/>
      <c r="Q770" s="56"/>
      <c r="R770" s="56"/>
      <c r="S770" s="56"/>
      <c r="T770" s="56"/>
      <c r="U770" s="56"/>
      <c r="V770" s="56"/>
      <c r="W770" s="27"/>
      <c r="X770" s="56"/>
      <c r="Y770" s="27"/>
      <c r="Z770" s="56"/>
      <c r="AA770" s="27"/>
      <c r="AB770" s="56"/>
      <c r="AC770" s="27"/>
      <c r="AD770" s="56"/>
      <c r="AE770" s="27"/>
      <c r="AF770" s="56"/>
      <c r="AG770" s="27"/>
      <c r="AH770" s="286"/>
      <c r="AI770" s="27"/>
      <c r="AJ770" s="56"/>
      <c r="AK770" s="27"/>
      <c r="AL770" s="56"/>
      <c r="AM770" s="27"/>
      <c r="AN770" s="56"/>
      <c r="AO770" s="27"/>
      <c r="AP770" s="56"/>
      <c r="AQ770" s="27"/>
      <c r="AR770" s="56"/>
      <c r="AS770" s="27"/>
      <c r="AT770" s="56"/>
      <c r="AU770" s="27"/>
      <c r="AV770" s="56"/>
      <c r="AW770" s="27"/>
      <c r="AX770" s="56"/>
      <c r="AY770" s="27"/>
      <c r="AZ770" s="56"/>
      <c r="BA770" s="27"/>
      <c r="BB770" s="48"/>
      <c r="BC770" s="48"/>
      <c r="BD770" s="48"/>
      <c r="BE770" s="48"/>
      <c r="BF770" s="48"/>
      <c r="BG770" s="48"/>
      <c r="BH770" s="48"/>
      <c r="BI770" s="48"/>
      <c r="BJ770" s="48"/>
      <c r="BK770" s="48"/>
      <c r="BL770" s="48"/>
      <c r="BM770" s="48"/>
      <c r="BN770" s="48"/>
      <c r="BO770" s="48"/>
      <c r="BP770" s="48"/>
      <c r="BQ770" s="48"/>
      <c r="BR770" s="48"/>
      <c r="BS770" s="48"/>
      <c r="BT770" s="48"/>
      <c r="BU770" s="48"/>
    </row>
    <row r="771" ht="15.75" customHeight="1">
      <c r="A771" s="48"/>
      <c r="B771" s="48"/>
      <c r="C771" s="48"/>
      <c r="D771" s="48"/>
      <c r="E771" s="27"/>
      <c r="F771" s="48"/>
      <c r="G771" s="48"/>
      <c r="H771" s="56"/>
      <c r="I771" s="56"/>
      <c r="J771" s="56"/>
      <c r="K771" s="56"/>
      <c r="L771" s="56"/>
      <c r="M771" s="56"/>
      <c r="N771" s="56"/>
      <c r="O771" s="56"/>
      <c r="P771" s="56"/>
      <c r="Q771" s="56"/>
      <c r="R771" s="56"/>
      <c r="S771" s="56"/>
      <c r="T771" s="56"/>
      <c r="U771" s="56"/>
      <c r="V771" s="56"/>
      <c r="W771" s="27"/>
      <c r="X771" s="56"/>
      <c r="Y771" s="27"/>
      <c r="Z771" s="56"/>
      <c r="AA771" s="27"/>
      <c r="AB771" s="56"/>
      <c r="AC771" s="27"/>
      <c r="AD771" s="56"/>
      <c r="AE771" s="27"/>
      <c r="AF771" s="56"/>
      <c r="AG771" s="27"/>
      <c r="AH771" s="286"/>
      <c r="AI771" s="27"/>
      <c r="AJ771" s="56"/>
      <c r="AK771" s="27"/>
      <c r="AL771" s="56"/>
      <c r="AM771" s="27"/>
      <c r="AN771" s="56"/>
      <c r="AO771" s="27"/>
      <c r="AP771" s="56"/>
      <c r="AQ771" s="27"/>
      <c r="AR771" s="56"/>
      <c r="AS771" s="27"/>
      <c r="AT771" s="56"/>
      <c r="AU771" s="27"/>
      <c r="AV771" s="56"/>
      <c r="AW771" s="27"/>
      <c r="AX771" s="56"/>
      <c r="AY771" s="27"/>
      <c r="AZ771" s="56"/>
      <c r="BA771" s="27"/>
      <c r="BB771" s="48"/>
      <c r="BC771" s="48"/>
      <c r="BD771" s="48"/>
      <c r="BE771" s="48"/>
      <c r="BF771" s="48"/>
      <c r="BG771" s="48"/>
      <c r="BH771" s="48"/>
      <c r="BI771" s="48"/>
      <c r="BJ771" s="48"/>
      <c r="BK771" s="48"/>
      <c r="BL771" s="48"/>
      <c r="BM771" s="48"/>
      <c r="BN771" s="48"/>
      <c r="BO771" s="48"/>
      <c r="BP771" s="48"/>
      <c r="BQ771" s="48"/>
      <c r="BR771" s="48"/>
      <c r="BS771" s="48"/>
      <c r="BT771" s="48"/>
      <c r="BU771" s="48"/>
    </row>
    <row r="772" ht="15.75" customHeight="1">
      <c r="A772" s="48"/>
      <c r="B772" s="48"/>
      <c r="C772" s="48"/>
      <c r="D772" s="48"/>
      <c r="E772" s="27"/>
      <c r="F772" s="48"/>
      <c r="G772" s="48"/>
      <c r="H772" s="56"/>
      <c r="I772" s="56"/>
      <c r="J772" s="56"/>
      <c r="K772" s="56"/>
      <c r="L772" s="56"/>
      <c r="M772" s="56"/>
      <c r="N772" s="56"/>
      <c r="O772" s="56"/>
      <c r="P772" s="56"/>
      <c r="Q772" s="56"/>
      <c r="R772" s="56"/>
      <c r="S772" s="56"/>
      <c r="T772" s="56"/>
      <c r="U772" s="56"/>
      <c r="V772" s="56"/>
      <c r="W772" s="27"/>
      <c r="X772" s="56"/>
      <c r="Y772" s="27"/>
      <c r="Z772" s="56"/>
      <c r="AA772" s="27"/>
      <c r="AB772" s="56"/>
      <c r="AC772" s="27"/>
      <c r="AD772" s="56"/>
      <c r="AE772" s="27"/>
      <c r="AF772" s="56"/>
      <c r="AG772" s="27"/>
      <c r="AH772" s="286"/>
      <c r="AI772" s="27"/>
      <c r="AJ772" s="56"/>
      <c r="AK772" s="27"/>
      <c r="AL772" s="56"/>
      <c r="AM772" s="27"/>
      <c r="AN772" s="56"/>
      <c r="AO772" s="27"/>
      <c r="AP772" s="56"/>
      <c r="AQ772" s="27"/>
      <c r="AR772" s="56"/>
      <c r="AS772" s="27"/>
      <c r="AT772" s="56"/>
      <c r="AU772" s="27"/>
      <c r="AV772" s="56"/>
      <c r="AW772" s="27"/>
      <c r="AX772" s="56"/>
      <c r="AY772" s="27"/>
      <c r="AZ772" s="56"/>
      <c r="BA772" s="27"/>
      <c r="BB772" s="48"/>
      <c r="BC772" s="48"/>
      <c r="BD772" s="48"/>
      <c r="BE772" s="48"/>
      <c r="BF772" s="48"/>
      <c r="BG772" s="48"/>
      <c r="BH772" s="48"/>
      <c r="BI772" s="48"/>
      <c r="BJ772" s="48"/>
      <c r="BK772" s="48"/>
      <c r="BL772" s="48"/>
      <c r="BM772" s="48"/>
      <c r="BN772" s="48"/>
      <c r="BO772" s="48"/>
      <c r="BP772" s="48"/>
      <c r="BQ772" s="48"/>
      <c r="BR772" s="48"/>
      <c r="BS772" s="48"/>
      <c r="BT772" s="48"/>
      <c r="BU772" s="48"/>
    </row>
    <row r="773" ht="15.75" customHeight="1">
      <c r="A773" s="48"/>
      <c r="B773" s="48"/>
      <c r="C773" s="48"/>
      <c r="D773" s="48"/>
      <c r="E773" s="27"/>
      <c r="F773" s="48"/>
      <c r="G773" s="48"/>
      <c r="H773" s="56"/>
      <c r="I773" s="56"/>
      <c r="J773" s="56"/>
      <c r="K773" s="56"/>
      <c r="L773" s="56"/>
      <c r="M773" s="56"/>
      <c r="N773" s="56"/>
      <c r="O773" s="56"/>
      <c r="P773" s="56"/>
      <c r="Q773" s="56"/>
      <c r="R773" s="56"/>
      <c r="S773" s="56"/>
      <c r="T773" s="56"/>
      <c r="U773" s="56"/>
      <c r="V773" s="56"/>
      <c r="W773" s="27"/>
      <c r="X773" s="56"/>
      <c r="Y773" s="27"/>
      <c r="Z773" s="56"/>
      <c r="AA773" s="27"/>
      <c r="AB773" s="56"/>
      <c r="AC773" s="27"/>
      <c r="AD773" s="56"/>
      <c r="AE773" s="27"/>
      <c r="AF773" s="56"/>
      <c r="AG773" s="27"/>
      <c r="AH773" s="286"/>
      <c r="AI773" s="27"/>
      <c r="AJ773" s="56"/>
      <c r="AK773" s="27"/>
      <c r="AL773" s="56"/>
      <c r="AM773" s="27"/>
      <c r="AN773" s="56"/>
      <c r="AO773" s="27"/>
      <c r="AP773" s="56"/>
      <c r="AQ773" s="27"/>
      <c r="AR773" s="56"/>
      <c r="AS773" s="27"/>
      <c r="AT773" s="56"/>
      <c r="AU773" s="27"/>
      <c r="AV773" s="56"/>
      <c r="AW773" s="27"/>
      <c r="AX773" s="56"/>
      <c r="AY773" s="27"/>
      <c r="AZ773" s="56"/>
      <c r="BA773" s="27"/>
      <c r="BB773" s="48"/>
      <c r="BC773" s="48"/>
      <c r="BD773" s="48"/>
      <c r="BE773" s="48"/>
      <c r="BF773" s="48"/>
      <c r="BG773" s="48"/>
      <c r="BH773" s="48"/>
      <c r="BI773" s="48"/>
      <c r="BJ773" s="48"/>
      <c r="BK773" s="48"/>
      <c r="BL773" s="48"/>
      <c r="BM773" s="48"/>
      <c r="BN773" s="48"/>
      <c r="BO773" s="48"/>
      <c r="BP773" s="48"/>
      <c r="BQ773" s="48"/>
      <c r="BR773" s="48"/>
      <c r="BS773" s="48"/>
      <c r="BT773" s="48"/>
      <c r="BU773" s="48"/>
    </row>
    <row r="774" ht="15.75" customHeight="1">
      <c r="A774" s="48"/>
      <c r="B774" s="48"/>
      <c r="C774" s="48"/>
      <c r="D774" s="48"/>
      <c r="E774" s="27"/>
      <c r="F774" s="48"/>
      <c r="G774" s="48"/>
      <c r="H774" s="56"/>
      <c r="I774" s="56"/>
      <c r="J774" s="56"/>
      <c r="K774" s="56"/>
      <c r="L774" s="56"/>
      <c r="M774" s="56"/>
      <c r="N774" s="56"/>
      <c r="O774" s="56"/>
      <c r="P774" s="56"/>
      <c r="Q774" s="56"/>
      <c r="R774" s="56"/>
      <c r="S774" s="56"/>
      <c r="T774" s="56"/>
      <c r="U774" s="56"/>
      <c r="V774" s="56"/>
      <c r="W774" s="27"/>
      <c r="X774" s="56"/>
      <c r="Y774" s="27"/>
      <c r="Z774" s="56"/>
      <c r="AA774" s="27"/>
      <c r="AB774" s="56"/>
      <c r="AC774" s="27"/>
      <c r="AD774" s="56"/>
      <c r="AE774" s="27"/>
      <c r="AF774" s="56"/>
      <c r="AG774" s="27"/>
      <c r="AH774" s="286"/>
      <c r="AI774" s="27"/>
      <c r="AJ774" s="56"/>
      <c r="AK774" s="27"/>
      <c r="AL774" s="56"/>
      <c r="AM774" s="27"/>
      <c r="AN774" s="56"/>
      <c r="AO774" s="27"/>
      <c r="AP774" s="56"/>
      <c r="AQ774" s="27"/>
      <c r="AR774" s="56"/>
      <c r="AS774" s="27"/>
      <c r="AT774" s="56"/>
      <c r="AU774" s="27"/>
      <c r="AV774" s="56"/>
      <c r="AW774" s="27"/>
      <c r="AX774" s="56"/>
      <c r="AY774" s="27"/>
      <c r="AZ774" s="56"/>
      <c r="BA774" s="27"/>
      <c r="BB774" s="48"/>
      <c r="BC774" s="48"/>
      <c r="BD774" s="48"/>
      <c r="BE774" s="48"/>
      <c r="BF774" s="48"/>
      <c r="BG774" s="48"/>
      <c r="BH774" s="48"/>
      <c r="BI774" s="48"/>
      <c r="BJ774" s="48"/>
      <c r="BK774" s="48"/>
      <c r="BL774" s="48"/>
      <c r="BM774" s="48"/>
      <c r="BN774" s="48"/>
      <c r="BO774" s="48"/>
      <c r="BP774" s="48"/>
      <c r="BQ774" s="48"/>
      <c r="BR774" s="48"/>
      <c r="BS774" s="48"/>
      <c r="BT774" s="48"/>
      <c r="BU774" s="48"/>
    </row>
    <row r="775" ht="15.75" customHeight="1">
      <c r="A775" s="48"/>
      <c r="B775" s="48"/>
      <c r="C775" s="48"/>
      <c r="D775" s="48"/>
      <c r="E775" s="27"/>
      <c r="F775" s="48"/>
      <c r="G775" s="48"/>
      <c r="H775" s="56"/>
      <c r="I775" s="56"/>
      <c r="J775" s="56"/>
      <c r="K775" s="56"/>
      <c r="L775" s="56"/>
      <c r="M775" s="56"/>
      <c r="N775" s="56"/>
      <c r="O775" s="56"/>
      <c r="P775" s="56"/>
      <c r="Q775" s="56"/>
      <c r="R775" s="56"/>
      <c r="S775" s="56"/>
      <c r="T775" s="56"/>
      <c r="U775" s="56"/>
      <c r="V775" s="56"/>
      <c r="W775" s="27"/>
      <c r="X775" s="56"/>
      <c r="Y775" s="27"/>
      <c r="Z775" s="56"/>
      <c r="AA775" s="27"/>
      <c r="AB775" s="56"/>
      <c r="AC775" s="27"/>
      <c r="AD775" s="56"/>
      <c r="AE775" s="27"/>
      <c r="AF775" s="56"/>
      <c r="AG775" s="27"/>
      <c r="AH775" s="286"/>
      <c r="AI775" s="27"/>
      <c r="AJ775" s="56"/>
      <c r="AK775" s="27"/>
      <c r="AL775" s="56"/>
      <c r="AM775" s="27"/>
      <c r="AN775" s="56"/>
      <c r="AO775" s="27"/>
      <c r="AP775" s="56"/>
      <c r="AQ775" s="27"/>
      <c r="AR775" s="56"/>
      <c r="AS775" s="27"/>
      <c r="AT775" s="56"/>
      <c r="AU775" s="27"/>
      <c r="AV775" s="56"/>
      <c r="AW775" s="27"/>
      <c r="AX775" s="56"/>
      <c r="AY775" s="27"/>
      <c r="AZ775" s="56"/>
      <c r="BA775" s="27"/>
      <c r="BB775" s="48"/>
      <c r="BC775" s="48"/>
      <c r="BD775" s="48"/>
      <c r="BE775" s="48"/>
      <c r="BF775" s="48"/>
      <c r="BG775" s="48"/>
      <c r="BH775" s="48"/>
      <c r="BI775" s="48"/>
      <c r="BJ775" s="48"/>
      <c r="BK775" s="48"/>
      <c r="BL775" s="48"/>
      <c r="BM775" s="48"/>
      <c r="BN775" s="48"/>
      <c r="BO775" s="48"/>
      <c r="BP775" s="48"/>
      <c r="BQ775" s="48"/>
      <c r="BR775" s="48"/>
      <c r="BS775" s="48"/>
      <c r="BT775" s="48"/>
      <c r="BU775" s="48"/>
    </row>
    <row r="776" ht="15.75" customHeight="1">
      <c r="A776" s="48"/>
      <c r="B776" s="48"/>
      <c r="C776" s="48"/>
      <c r="D776" s="48"/>
      <c r="E776" s="27"/>
      <c r="F776" s="48"/>
      <c r="G776" s="48"/>
      <c r="H776" s="56"/>
      <c r="I776" s="56"/>
      <c r="J776" s="56"/>
      <c r="K776" s="56"/>
      <c r="L776" s="56"/>
      <c r="M776" s="56"/>
      <c r="N776" s="56"/>
      <c r="O776" s="56"/>
      <c r="P776" s="56"/>
      <c r="Q776" s="56"/>
      <c r="R776" s="56"/>
      <c r="S776" s="56"/>
      <c r="T776" s="56"/>
      <c r="U776" s="56"/>
      <c r="V776" s="56"/>
      <c r="W776" s="27"/>
      <c r="X776" s="56"/>
      <c r="Y776" s="27"/>
      <c r="Z776" s="56"/>
      <c r="AA776" s="27"/>
      <c r="AB776" s="56"/>
      <c r="AC776" s="27"/>
      <c r="AD776" s="56"/>
      <c r="AE776" s="27"/>
      <c r="AF776" s="56"/>
      <c r="AG776" s="27"/>
      <c r="AH776" s="286"/>
      <c r="AI776" s="27"/>
      <c r="AJ776" s="56"/>
      <c r="AK776" s="27"/>
      <c r="AL776" s="56"/>
      <c r="AM776" s="27"/>
      <c r="AN776" s="56"/>
      <c r="AO776" s="27"/>
      <c r="AP776" s="56"/>
      <c r="AQ776" s="27"/>
      <c r="AR776" s="56"/>
      <c r="AS776" s="27"/>
      <c r="AT776" s="56"/>
      <c r="AU776" s="27"/>
      <c r="AV776" s="56"/>
      <c r="AW776" s="27"/>
      <c r="AX776" s="56"/>
      <c r="AY776" s="27"/>
      <c r="AZ776" s="56"/>
      <c r="BA776" s="27"/>
      <c r="BB776" s="48"/>
      <c r="BC776" s="48"/>
      <c r="BD776" s="48"/>
      <c r="BE776" s="48"/>
      <c r="BF776" s="48"/>
      <c r="BG776" s="48"/>
      <c r="BH776" s="48"/>
      <c r="BI776" s="48"/>
      <c r="BJ776" s="48"/>
      <c r="BK776" s="48"/>
      <c r="BL776" s="48"/>
      <c r="BM776" s="48"/>
      <c r="BN776" s="48"/>
      <c r="BO776" s="48"/>
      <c r="BP776" s="48"/>
      <c r="BQ776" s="48"/>
      <c r="BR776" s="48"/>
      <c r="BS776" s="48"/>
      <c r="BT776" s="48"/>
      <c r="BU776" s="48"/>
    </row>
    <row r="777" ht="15.75" customHeight="1">
      <c r="A777" s="48"/>
      <c r="B777" s="48"/>
      <c r="C777" s="48"/>
      <c r="D777" s="48"/>
      <c r="E777" s="27"/>
      <c r="F777" s="48"/>
      <c r="G777" s="48"/>
      <c r="H777" s="56"/>
      <c r="I777" s="56"/>
      <c r="J777" s="56"/>
      <c r="K777" s="56"/>
      <c r="L777" s="56"/>
      <c r="M777" s="56"/>
      <c r="N777" s="56"/>
      <c r="O777" s="56"/>
      <c r="P777" s="56"/>
      <c r="Q777" s="56"/>
      <c r="R777" s="56"/>
      <c r="S777" s="56"/>
      <c r="T777" s="56"/>
      <c r="U777" s="56"/>
      <c r="V777" s="56"/>
      <c r="W777" s="27"/>
      <c r="X777" s="56"/>
      <c r="Y777" s="27"/>
      <c r="Z777" s="56"/>
      <c r="AA777" s="27"/>
      <c r="AB777" s="56"/>
      <c r="AC777" s="27"/>
      <c r="AD777" s="56"/>
      <c r="AE777" s="27"/>
      <c r="AF777" s="56"/>
      <c r="AG777" s="27"/>
      <c r="AH777" s="286"/>
      <c r="AI777" s="27"/>
      <c r="AJ777" s="56"/>
      <c r="AK777" s="27"/>
      <c r="AL777" s="56"/>
      <c r="AM777" s="27"/>
      <c r="AN777" s="56"/>
      <c r="AO777" s="27"/>
      <c r="AP777" s="56"/>
      <c r="AQ777" s="27"/>
      <c r="AR777" s="56"/>
      <c r="AS777" s="27"/>
      <c r="AT777" s="56"/>
      <c r="AU777" s="27"/>
      <c r="AV777" s="56"/>
      <c r="AW777" s="27"/>
      <c r="AX777" s="56"/>
      <c r="AY777" s="27"/>
      <c r="AZ777" s="56"/>
      <c r="BA777" s="27"/>
      <c r="BB777" s="48"/>
      <c r="BC777" s="48"/>
      <c r="BD777" s="48"/>
      <c r="BE777" s="48"/>
      <c r="BF777" s="48"/>
      <c r="BG777" s="48"/>
      <c r="BH777" s="48"/>
      <c r="BI777" s="48"/>
      <c r="BJ777" s="48"/>
      <c r="BK777" s="48"/>
      <c r="BL777" s="48"/>
      <c r="BM777" s="48"/>
      <c r="BN777" s="48"/>
      <c r="BO777" s="48"/>
      <c r="BP777" s="48"/>
      <c r="BQ777" s="48"/>
      <c r="BR777" s="48"/>
      <c r="BS777" s="48"/>
      <c r="BT777" s="48"/>
      <c r="BU777" s="48"/>
    </row>
    <row r="778" ht="15.75" customHeight="1">
      <c r="A778" s="48"/>
      <c r="B778" s="48"/>
      <c r="C778" s="48"/>
      <c r="D778" s="48"/>
      <c r="E778" s="27"/>
      <c r="F778" s="48"/>
      <c r="G778" s="48"/>
      <c r="H778" s="56"/>
      <c r="I778" s="56"/>
      <c r="J778" s="56"/>
      <c r="K778" s="56"/>
      <c r="L778" s="56"/>
      <c r="M778" s="56"/>
      <c r="N778" s="56"/>
      <c r="O778" s="56"/>
      <c r="P778" s="56"/>
      <c r="Q778" s="56"/>
      <c r="R778" s="56"/>
      <c r="S778" s="56"/>
      <c r="T778" s="56"/>
      <c r="U778" s="56"/>
      <c r="V778" s="56"/>
      <c r="W778" s="27"/>
      <c r="X778" s="56"/>
      <c r="Y778" s="27"/>
      <c r="Z778" s="56"/>
      <c r="AA778" s="27"/>
      <c r="AB778" s="56"/>
      <c r="AC778" s="27"/>
      <c r="AD778" s="56"/>
      <c r="AE778" s="27"/>
      <c r="AF778" s="56"/>
      <c r="AG778" s="27"/>
      <c r="AH778" s="286"/>
      <c r="AI778" s="27"/>
      <c r="AJ778" s="56"/>
      <c r="AK778" s="27"/>
      <c r="AL778" s="56"/>
      <c r="AM778" s="27"/>
      <c r="AN778" s="56"/>
      <c r="AO778" s="27"/>
      <c r="AP778" s="56"/>
      <c r="AQ778" s="27"/>
      <c r="AR778" s="56"/>
      <c r="AS778" s="27"/>
      <c r="AT778" s="56"/>
      <c r="AU778" s="27"/>
      <c r="AV778" s="56"/>
      <c r="AW778" s="27"/>
      <c r="AX778" s="56"/>
      <c r="AY778" s="27"/>
      <c r="AZ778" s="56"/>
      <c r="BA778" s="27"/>
      <c r="BB778" s="48"/>
      <c r="BC778" s="48"/>
      <c r="BD778" s="48"/>
      <c r="BE778" s="48"/>
      <c r="BF778" s="48"/>
      <c r="BG778" s="48"/>
      <c r="BH778" s="48"/>
      <c r="BI778" s="48"/>
      <c r="BJ778" s="48"/>
      <c r="BK778" s="48"/>
      <c r="BL778" s="48"/>
      <c r="BM778" s="48"/>
      <c r="BN778" s="48"/>
      <c r="BO778" s="48"/>
      <c r="BP778" s="48"/>
      <c r="BQ778" s="48"/>
      <c r="BR778" s="48"/>
      <c r="BS778" s="48"/>
      <c r="BT778" s="48"/>
      <c r="BU778" s="48"/>
    </row>
    <row r="779" ht="15.75" customHeight="1">
      <c r="A779" s="48"/>
      <c r="B779" s="48"/>
      <c r="C779" s="48"/>
      <c r="D779" s="48"/>
      <c r="E779" s="27"/>
      <c r="F779" s="48"/>
      <c r="G779" s="48"/>
      <c r="H779" s="56"/>
      <c r="I779" s="56"/>
      <c r="J779" s="56"/>
      <c r="K779" s="56"/>
      <c r="L779" s="56"/>
      <c r="M779" s="56"/>
      <c r="N779" s="56"/>
      <c r="O779" s="56"/>
      <c r="P779" s="56"/>
      <c r="Q779" s="56"/>
      <c r="R779" s="56"/>
      <c r="S779" s="56"/>
      <c r="T779" s="56"/>
      <c r="U779" s="56"/>
      <c r="V779" s="56"/>
      <c r="W779" s="27"/>
      <c r="X779" s="56"/>
      <c r="Y779" s="27"/>
      <c r="Z779" s="56"/>
      <c r="AA779" s="27"/>
      <c r="AB779" s="56"/>
      <c r="AC779" s="27"/>
      <c r="AD779" s="56"/>
      <c r="AE779" s="27"/>
      <c r="AF779" s="56"/>
      <c r="AG779" s="27"/>
      <c r="AH779" s="286"/>
      <c r="AI779" s="27"/>
      <c r="AJ779" s="56"/>
      <c r="AK779" s="27"/>
      <c r="AL779" s="56"/>
      <c r="AM779" s="27"/>
      <c r="AN779" s="56"/>
      <c r="AO779" s="27"/>
      <c r="AP779" s="56"/>
      <c r="AQ779" s="27"/>
      <c r="AR779" s="56"/>
      <c r="AS779" s="27"/>
      <c r="AT779" s="56"/>
      <c r="AU779" s="27"/>
      <c r="AV779" s="56"/>
      <c r="AW779" s="27"/>
      <c r="AX779" s="56"/>
      <c r="AY779" s="27"/>
      <c r="AZ779" s="56"/>
      <c r="BA779" s="27"/>
      <c r="BB779" s="48"/>
      <c r="BC779" s="48"/>
      <c r="BD779" s="48"/>
      <c r="BE779" s="48"/>
      <c r="BF779" s="48"/>
      <c r="BG779" s="48"/>
      <c r="BH779" s="48"/>
      <c r="BI779" s="48"/>
      <c r="BJ779" s="48"/>
      <c r="BK779" s="48"/>
      <c r="BL779" s="48"/>
      <c r="BM779" s="48"/>
      <c r="BN779" s="48"/>
      <c r="BO779" s="48"/>
      <c r="BP779" s="48"/>
      <c r="BQ779" s="48"/>
      <c r="BR779" s="48"/>
      <c r="BS779" s="48"/>
      <c r="BT779" s="48"/>
      <c r="BU779" s="48"/>
    </row>
    <row r="780" ht="15.75" customHeight="1">
      <c r="A780" s="48"/>
      <c r="B780" s="48"/>
      <c r="C780" s="48"/>
      <c r="D780" s="48"/>
      <c r="E780" s="27"/>
      <c r="F780" s="48"/>
      <c r="G780" s="48"/>
      <c r="H780" s="56"/>
      <c r="I780" s="56"/>
      <c r="J780" s="56"/>
      <c r="K780" s="56"/>
      <c r="L780" s="56"/>
      <c r="M780" s="56"/>
      <c r="N780" s="56"/>
      <c r="O780" s="56"/>
      <c r="P780" s="56"/>
      <c r="Q780" s="56"/>
      <c r="R780" s="56"/>
      <c r="S780" s="56"/>
      <c r="T780" s="56"/>
      <c r="U780" s="56"/>
      <c r="V780" s="56"/>
      <c r="W780" s="27"/>
      <c r="X780" s="56"/>
      <c r="Y780" s="27"/>
      <c r="Z780" s="56"/>
      <c r="AA780" s="27"/>
      <c r="AB780" s="56"/>
      <c r="AC780" s="27"/>
      <c r="AD780" s="56"/>
      <c r="AE780" s="27"/>
      <c r="AF780" s="56"/>
      <c r="AG780" s="27"/>
      <c r="AH780" s="286"/>
      <c r="AI780" s="27"/>
      <c r="AJ780" s="56"/>
      <c r="AK780" s="27"/>
      <c r="AL780" s="56"/>
      <c r="AM780" s="27"/>
      <c r="AN780" s="56"/>
      <c r="AO780" s="27"/>
      <c r="AP780" s="56"/>
      <c r="AQ780" s="27"/>
      <c r="AR780" s="56"/>
      <c r="AS780" s="27"/>
      <c r="AT780" s="56"/>
      <c r="AU780" s="27"/>
      <c r="AV780" s="56"/>
      <c r="AW780" s="27"/>
      <c r="AX780" s="56"/>
      <c r="AY780" s="27"/>
      <c r="AZ780" s="56"/>
      <c r="BA780" s="27"/>
      <c r="BB780" s="48"/>
      <c r="BC780" s="48"/>
      <c r="BD780" s="48"/>
      <c r="BE780" s="48"/>
      <c r="BF780" s="48"/>
      <c r="BG780" s="48"/>
      <c r="BH780" s="48"/>
      <c r="BI780" s="48"/>
      <c r="BJ780" s="48"/>
      <c r="BK780" s="48"/>
      <c r="BL780" s="48"/>
      <c r="BM780" s="48"/>
      <c r="BN780" s="48"/>
      <c r="BO780" s="48"/>
      <c r="BP780" s="48"/>
      <c r="BQ780" s="48"/>
      <c r="BR780" s="48"/>
      <c r="BS780" s="48"/>
      <c r="BT780" s="48"/>
      <c r="BU780" s="48"/>
    </row>
    <row r="781" ht="15.75" customHeight="1">
      <c r="A781" s="48"/>
      <c r="B781" s="48"/>
      <c r="C781" s="48"/>
      <c r="D781" s="48"/>
      <c r="E781" s="27"/>
      <c r="F781" s="48"/>
      <c r="G781" s="48"/>
      <c r="H781" s="56"/>
      <c r="I781" s="56"/>
      <c r="J781" s="56"/>
      <c r="K781" s="56"/>
      <c r="L781" s="56"/>
      <c r="M781" s="56"/>
      <c r="N781" s="56"/>
      <c r="O781" s="56"/>
      <c r="P781" s="56"/>
      <c r="Q781" s="56"/>
      <c r="R781" s="56"/>
      <c r="S781" s="56"/>
      <c r="T781" s="56"/>
      <c r="U781" s="56"/>
      <c r="V781" s="56"/>
      <c r="W781" s="27"/>
      <c r="X781" s="56"/>
      <c r="Y781" s="27"/>
      <c r="Z781" s="56"/>
      <c r="AA781" s="27"/>
      <c r="AB781" s="56"/>
      <c r="AC781" s="27"/>
      <c r="AD781" s="56"/>
      <c r="AE781" s="27"/>
      <c r="AF781" s="56"/>
      <c r="AG781" s="27"/>
      <c r="AH781" s="286"/>
      <c r="AI781" s="27"/>
      <c r="AJ781" s="56"/>
      <c r="AK781" s="27"/>
      <c r="AL781" s="56"/>
      <c r="AM781" s="27"/>
      <c r="AN781" s="56"/>
      <c r="AO781" s="27"/>
      <c r="AP781" s="56"/>
      <c r="AQ781" s="27"/>
      <c r="AR781" s="56"/>
      <c r="AS781" s="27"/>
      <c r="AT781" s="56"/>
      <c r="AU781" s="27"/>
      <c r="AV781" s="56"/>
      <c r="AW781" s="27"/>
      <c r="AX781" s="56"/>
      <c r="AY781" s="27"/>
      <c r="AZ781" s="56"/>
      <c r="BA781" s="27"/>
      <c r="BB781" s="48"/>
      <c r="BC781" s="48"/>
      <c r="BD781" s="48"/>
      <c r="BE781" s="48"/>
      <c r="BF781" s="48"/>
      <c r="BG781" s="48"/>
      <c r="BH781" s="48"/>
      <c r="BI781" s="48"/>
      <c r="BJ781" s="48"/>
      <c r="BK781" s="48"/>
      <c r="BL781" s="48"/>
      <c r="BM781" s="48"/>
      <c r="BN781" s="48"/>
      <c r="BO781" s="48"/>
      <c r="BP781" s="48"/>
      <c r="BQ781" s="48"/>
      <c r="BR781" s="48"/>
      <c r="BS781" s="48"/>
      <c r="BT781" s="48"/>
      <c r="BU781" s="48"/>
    </row>
    <row r="782" ht="15.75" customHeight="1">
      <c r="A782" s="48"/>
      <c r="B782" s="48"/>
      <c r="C782" s="48"/>
      <c r="D782" s="48"/>
      <c r="E782" s="27"/>
      <c r="F782" s="48"/>
      <c r="G782" s="48"/>
      <c r="H782" s="56"/>
      <c r="I782" s="56"/>
      <c r="J782" s="56"/>
      <c r="K782" s="56"/>
      <c r="L782" s="56"/>
      <c r="M782" s="56"/>
      <c r="N782" s="56"/>
      <c r="O782" s="56"/>
      <c r="P782" s="56"/>
      <c r="Q782" s="56"/>
      <c r="R782" s="56"/>
      <c r="S782" s="56"/>
      <c r="T782" s="56"/>
      <c r="U782" s="56"/>
      <c r="V782" s="56"/>
      <c r="W782" s="27"/>
      <c r="X782" s="56"/>
      <c r="Y782" s="27"/>
      <c r="Z782" s="56"/>
      <c r="AA782" s="27"/>
      <c r="AB782" s="56"/>
      <c r="AC782" s="27"/>
      <c r="AD782" s="56"/>
      <c r="AE782" s="27"/>
      <c r="AF782" s="56"/>
      <c r="AG782" s="27"/>
      <c r="AH782" s="286"/>
      <c r="AI782" s="27"/>
      <c r="AJ782" s="56"/>
      <c r="AK782" s="27"/>
      <c r="AL782" s="56"/>
      <c r="AM782" s="27"/>
      <c r="AN782" s="56"/>
      <c r="AO782" s="27"/>
      <c r="AP782" s="56"/>
      <c r="AQ782" s="27"/>
      <c r="AR782" s="56"/>
      <c r="AS782" s="27"/>
      <c r="AT782" s="56"/>
      <c r="AU782" s="27"/>
      <c r="AV782" s="56"/>
      <c r="AW782" s="27"/>
      <c r="AX782" s="56"/>
      <c r="AY782" s="27"/>
      <c r="AZ782" s="56"/>
      <c r="BA782" s="27"/>
      <c r="BB782" s="48"/>
      <c r="BC782" s="48"/>
      <c r="BD782" s="48"/>
      <c r="BE782" s="48"/>
      <c r="BF782" s="48"/>
      <c r="BG782" s="48"/>
      <c r="BH782" s="48"/>
      <c r="BI782" s="48"/>
      <c r="BJ782" s="48"/>
      <c r="BK782" s="48"/>
      <c r="BL782" s="48"/>
      <c r="BM782" s="48"/>
      <c r="BN782" s="48"/>
      <c r="BO782" s="48"/>
      <c r="BP782" s="48"/>
      <c r="BQ782" s="48"/>
      <c r="BR782" s="48"/>
      <c r="BS782" s="48"/>
      <c r="BT782" s="48"/>
      <c r="BU782" s="48"/>
    </row>
    <row r="783" ht="15.75" customHeight="1">
      <c r="A783" s="48"/>
      <c r="B783" s="48"/>
      <c r="C783" s="48"/>
      <c r="D783" s="48"/>
      <c r="E783" s="27"/>
      <c r="F783" s="48"/>
      <c r="G783" s="48"/>
      <c r="H783" s="56"/>
      <c r="I783" s="56"/>
      <c r="J783" s="56"/>
      <c r="K783" s="56"/>
      <c r="L783" s="56"/>
      <c r="M783" s="56"/>
      <c r="N783" s="56"/>
      <c r="O783" s="56"/>
      <c r="P783" s="56"/>
      <c r="Q783" s="56"/>
      <c r="R783" s="56"/>
      <c r="S783" s="56"/>
      <c r="T783" s="56"/>
      <c r="U783" s="56"/>
      <c r="V783" s="56"/>
      <c r="W783" s="27"/>
      <c r="X783" s="56"/>
      <c r="Y783" s="27"/>
      <c r="Z783" s="56"/>
      <c r="AA783" s="27"/>
      <c r="AB783" s="56"/>
      <c r="AC783" s="27"/>
      <c r="AD783" s="56"/>
      <c r="AE783" s="27"/>
      <c r="AF783" s="56"/>
      <c r="AG783" s="27"/>
      <c r="AH783" s="286"/>
      <c r="AI783" s="27"/>
      <c r="AJ783" s="56"/>
      <c r="AK783" s="27"/>
      <c r="AL783" s="56"/>
      <c r="AM783" s="27"/>
      <c r="AN783" s="56"/>
      <c r="AO783" s="27"/>
      <c r="AP783" s="56"/>
      <c r="AQ783" s="27"/>
      <c r="AR783" s="56"/>
      <c r="AS783" s="27"/>
      <c r="AT783" s="56"/>
      <c r="AU783" s="27"/>
      <c r="AV783" s="56"/>
      <c r="AW783" s="27"/>
      <c r="AX783" s="56"/>
      <c r="AY783" s="27"/>
      <c r="AZ783" s="56"/>
      <c r="BA783" s="27"/>
      <c r="BB783" s="48"/>
      <c r="BC783" s="48"/>
      <c r="BD783" s="48"/>
      <c r="BE783" s="48"/>
      <c r="BF783" s="48"/>
      <c r="BG783" s="48"/>
      <c r="BH783" s="48"/>
      <c r="BI783" s="48"/>
      <c r="BJ783" s="48"/>
      <c r="BK783" s="48"/>
      <c r="BL783" s="48"/>
      <c r="BM783" s="48"/>
      <c r="BN783" s="48"/>
      <c r="BO783" s="48"/>
      <c r="BP783" s="48"/>
      <c r="BQ783" s="48"/>
      <c r="BR783" s="48"/>
      <c r="BS783" s="48"/>
      <c r="BT783" s="48"/>
      <c r="BU783" s="48"/>
    </row>
    <row r="784" ht="15.75" customHeight="1">
      <c r="A784" s="48"/>
      <c r="B784" s="48"/>
      <c r="C784" s="48"/>
      <c r="D784" s="48"/>
      <c r="E784" s="27"/>
      <c r="F784" s="48"/>
      <c r="G784" s="48"/>
      <c r="H784" s="56"/>
      <c r="I784" s="56"/>
      <c r="J784" s="56"/>
      <c r="K784" s="56"/>
      <c r="L784" s="56"/>
      <c r="M784" s="56"/>
      <c r="N784" s="56"/>
      <c r="O784" s="56"/>
      <c r="P784" s="56"/>
      <c r="Q784" s="56"/>
      <c r="R784" s="56"/>
      <c r="S784" s="56"/>
      <c r="T784" s="56"/>
      <c r="U784" s="56"/>
      <c r="V784" s="56"/>
      <c r="W784" s="27"/>
      <c r="X784" s="56"/>
      <c r="Y784" s="27"/>
      <c r="Z784" s="56"/>
      <c r="AA784" s="27"/>
      <c r="AB784" s="56"/>
      <c r="AC784" s="27"/>
      <c r="AD784" s="56"/>
      <c r="AE784" s="27"/>
      <c r="AF784" s="56"/>
      <c r="AG784" s="27"/>
      <c r="AH784" s="286"/>
      <c r="AI784" s="27"/>
      <c r="AJ784" s="56"/>
      <c r="AK784" s="27"/>
      <c r="AL784" s="56"/>
      <c r="AM784" s="27"/>
      <c r="AN784" s="56"/>
      <c r="AO784" s="27"/>
      <c r="AP784" s="56"/>
      <c r="AQ784" s="27"/>
      <c r="AR784" s="56"/>
      <c r="AS784" s="27"/>
      <c r="AT784" s="56"/>
      <c r="AU784" s="27"/>
      <c r="AV784" s="56"/>
      <c r="AW784" s="27"/>
      <c r="AX784" s="56"/>
      <c r="AY784" s="27"/>
      <c r="AZ784" s="56"/>
      <c r="BA784" s="27"/>
      <c r="BB784" s="48"/>
      <c r="BC784" s="48"/>
      <c r="BD784" s="48"/>
      <c r="BE784" s="48"/>
      <c r="BF784" s="48"/>
      <c r="BG784" s="48"/>
      <c r="BH784" s="48"/>
      <c r="BI784" s="48"/>
      <c r="BJ784" s="48"/>
      <c r="BK784" s="48"/>
      <c r="BL784" s="48"/>
      <c r="BM784" s="48"/>
      <c r="BN784" s="48"/>
      <c r="BO784" s="48"/>
      <c r="BP784" s="48"/>
      <c r="BQ784" s="48"/>
      <c r="BR784" s="48"/>
      <c r="BS784" s="48"/>
      <c r="BT784" s="48"/>
      <c r="BU784" s="48"/>
    </row>
    <row r="785" ht="15.75" customHeight="1">
      <c r="A785" s="48"/>
      <c r="B785" s="48"/>
      <c r="C785" s="48"/>
      <c r="D785" s="48"/>
      <c r="E785" s="27"/>
      <c r="F785" s="48"/>
      <c r="G785" s="48"/>
      <c r="H785" s="56"/>
      <c r="I785" s="56"/>
      <c r="J785" s="56"/>
      <c r="K785" s="56"/>
      <c r="L785" s="56"/>
      <c r="M785" s="56"/>
      <c r="N785" s="56"/>
      <c r="O785" s="56"/>
      <c r="P785" s="56"/>
      <c r="Q785" s="56"/>
      <c r="R785" s="56"/>
      <c r="S785" s="56"/>
      <c r="T785" s="56"/>
      <c r="U785" s="56"/>
      <c r="V785" s="56"/>
      <c r="W785" s="27"/>
      <c r="X785" s="56"/>
      <c r="Y785" s="27"/>
      <c r="Z785" s="56"/>
      <c r="AA785" s="27"/>
      <c r="AB785" s="56"/>
      <c r="AC785" s="27"/>
      <c r="AD785" s="56"/>
      <c r="AE785" s="27"/>
      <c r="AF785" s="56"/>
      <c r="AG785" s="27"/>
      <c r="AH785" s="286"/>
      <c r="AI785" s="27"/>
      <c r="AJ785" s="56"/>
      <c r="AK785" s="27"/>
      <c r="AL785" s="56"/>
      <c r="AM785" s="27"/>
      <c r="AN785" s="56"/>
      <c r="AO785" s="27"/>
      <c r="AP785" s="56"/>
      <c r="AQ785" s="27"/>
      <c r="AR785" s="56"/>
      <c r="AS785" s="27"/>
      <c r="AT785" s="56"/>
      <c r="AU785" s="27"/>
      <c r="AV785" s="56"/>
      <c r="AW785" s="27"/>
      <c r="AX785" s="56"/>
      <c r="AY785" s="27"/>
      <c r="AZ785" s="56"/>
      <c r="BA785" s="27"/>
      <c r="BB785" s="48"/>
      <c r="BC785" s="48"/>
      <c r="BD785" s="48"/>
      <c r="BE785" s="48"/>
      <c r="BF785" s="48"/>
      <c r="BG785" s="48"/>
      <c r="BH785" s="48"/>
      <c r="BI785" s="48"/>
      <c r="BJ785" s="48"/>
      <c r="BK785" s="48"/>
      <c r="BL785" s="48"/>
      <c r="BM785" s="48"/>
      <c r="BN785" s="48"/>
      <c r="BO785" s="48"/>
      <c r="BP785" s="48"/>
      <c r="BQ785" s="48"/>
      <c r="BR785" s="48"/>
      <c r="BS785" s="48"/>
      <c r="BT785" s="48"/>
      <c r="BU785" s="48"/>
    </row>
    <row r="786" ht="15.75" customHeight="1">
      <c r="A786" s="48"/>
      <c r="B786" s="48"/>
      <c r="C786" s="48"/>
      <c r="D786" s="48"/>
      <c r="E786" s="27"/>
      <c r="F786" s="48"/>
      <c r="G786" s="48"/>
      <c r="H786" s="56"/>
      <c r="I786" s="56"/>
      <c r="J786" s="56"/>
      <c r="K786" s="56"/>
      <c r="L786" s="56"/>
      <c r="M786" s="56"/>
      <c r="N786" s="56"/>
      <c r="O786" s="56"/>
      <c r="P786" s="56"/>
      <c r="Q786" s="56"/>
      <c r="R786" s="56"/>
      <c r="S786" s="56"/>
      <c r="T786" s="56"/>
      <c r="U786" s="56"/>
      <c r="V786" s="56"/>
      <c r="W786" s="27"/>
      <c r="X786" s="56"/>
      <c r="Y786" s="27"/>
      <c r="Z786" s="56"/>
      <c r="AA786" s="27"/>
      <c r="AB786" s="56"/>
      <c r="AC786" s="27"/>
      <c r="AD786" s="56"/>
      <c r="AE786" s="27"/>
      <c r="AF786" s="56"/>
      <c r="AG786" s="27"/>
      <c r="AH786" s="286"/>
      <c r="AI786" s="27"/>
      <c r="AJ786" s="56"/>
      <c r="AK786" s="27"/>
      <c r="AL786" s="56"/>
      <c r="AM786" s="27"/>
      <c r="AN786" s="56"/>
      <c r="AO786" s="27"/>
      <c r="AP786" s="56"/>
      <c r="AQ786" s="27"/>
      <c r="AR786" s="56"/>
      <c r="AS786" s="27"/>
      <c r="AT786" s="56"/>
      <c r="AU786" s="27"/>
      <c r="AV786" s="56"/>
      <c r="AW786" s="27"/>
      <c r="AX786" s="56"/>
      <c r="AY786" s="27"/>
      <c r="AZ786" s="56"/>
      <c r="BA786" s="27"/>
      <c r="BB786" s="48"/>
      <c r="BC786" s="48"/>
      <c r="BD786" s="48"/>
      <c r="BE786" s="48"/>
      <c r="BF786" s="48"/>
      <c r="BG786" s="48"/>
      <c r="BH786" s="48"/>
      <c r="BI786" s="48"/>
      <c r="BJ786" s="48"/>
      <c r="BK786" s="48"/>
      <c r="BL786" s="48"/>
      <c r="BM786" s="48"/>
      <c r="BN786" s="48"/>
      <c r="BO786" s="48"/>
      <c r="BP786" s="48"/>
      <c r="BQ786" s="48"/>
      <c r="BR786" s="48"/>
      <c r="BS786" s="48"/>
      <c r="BT786" s="48"/>
      <c r="BU786" s="48"/>
    </row>
    <row r="787" ht="15.75" customHeight="1">
      <c r="A787" s="48"/>
      <c r="B787" s="48"/>
      <c r="C787" s="48"/>
      <c r="D787" s="48"/>
      <c r="E787" s="27"/>
      <c r="F787" s="48"/>
      <c r="G787" s="48"/>
      <c r="H787" s="56"/>
      <c r="I787" s="56"/>
      <c r="J787" s="56"/>
      <c r="K787" s="56"/>
      <c r="L787" s="56"/>
      <c r="M787" s="56"/>
      <c r="N787" s="56"/>
      <c r="O787" s="56"/>
      <c r="P787" s="56"/>
      <c r="Q787" s="56"/>
      <c r="R787" s="56"/>
      <c r="S787" s="56"/>
      <c r="T787" s="56"/>
      <c r="U787" s="56"/>
      <c r="V787" s="56"/>
      <c r="W787" s="27"/>
      <c r="X787" s="56"/>
      <c r="Y787" s="27"/>
      <c r="Z787" s="56"/>
      <c r="AA787" s="27"/>
      <c r="AB787" s="56"/>
      <c r="AC787" s="27"/>
      <c r="AD787" s="56"/>
      <c r="AE787" s="27"/>
      <c r="AF787" s="56"/>
      <c r="AG787" s="27"/>
      <c r="AH787" s="286"/>
      <c r="AI787" s="27"/>
      <c r="AJ787" s="56"/>
      <c r="AK787" s="27"/>
      <c r="AL787" s="56"/>
      <c r="AM787" s="27"/>
      <c r="AN787" s="56"/>
      <c r="AO787" s="27"/>
      <c r="AP787" s="56"/>
      <c r="AQ787" s="27"/>
      <c r="AR787" s="56"/>
      <c r="AS787" s="27"/>
      <c r="AT787" s="56"/>
      <c r="AU787" s="27"/>
      <c r="AV787" s="56"/>
      <c r="AW787" s="27"/>
      <c r="AX787" s="56"/>
      <c r="AY787" s="27"/>
      <c r="AZ787" s="56"/>
      <c r="BA787" s="27"/>
      <c r="BB787" s="48"/>
      <c r="BC787" s="48"/>
      <c r="BD787" s="48"/>
      <c r="BE787" s="48"/>
      <c r="BF787" s="48"/>
      <c r="BG787" s="48"/>
      <c r="BH787" s="48"/>
      <c r="BI787" s="48"/>
      <c r="BJ787" s="48"/>
      <c r="BK787" s="48"/>
      <c r="BL787" s="48"/>
      <c r="BM787" s="48"/>
      <c r="BN787" s="48"/>
      <c r="BO787" s="48"/>
      <c r="BP787" s="48"/>
      <c r="BQ787" s="48"/>
      <c r="BR787" s="48"/>
      <c r="BS787" s="48"/>
      <c r="BT787" s="48"/>
      <c r="BU787" s="48"/>
    </row>
    <row r="788" ht="15.75" customHeight="1">
      <c r="A788" s="48"/>
      <c r="B788" s="48"/>
      <c r="C788" s="48"/>
      <c r="D788" s="48"/>
      <c r="E788" s="27"/>
      <c r="F788" s="48"/>
      <c r="G788" s="48"/>
      <c r="H788" s="56"/>
      <c r="I788" s="56"/>
      <c r="J788" s="56"/>
      <c r="K788" s="56"/>
      <c r="L788" s="56"/>
      <c r="M788" s="56"/>
      <c r="N788" s="56"/>
      <c r="O788" s="56"/>
      <c r="P788" s="56"/>
      <c r="Q788" s="56"/>
      <c r="R788" s="56"/>
      <c r="S788" s="56"/>
      <c r="T788" s="56"/>
      <c r="U788" s="56"/>
      <c r="V788" s="56"/>
      <c r="W788" s="27"/>
      <c r="X788" s="56"/>
      <c r="Y788" s="27"/>
      <c r="Z788" s="56"/>
      <c r="AA788" s="27"/>
      <c r="AB788" s="56"/>
      <c r="AC788" s="27"/>
      <c r="AD788" s="56"/>
      <c r="AE788" s="27"/>
      <c r="AF788" s="56"/>
      <c r="AG788" s="27"/>
      <c r="AH788" s="286"/>
      <c r="AI788" s="27"/>
      <c r="AJ788" s="56"/>
      <c r="AK788" s="27"/>
      <c r="AL788" s="56"/>
      <c r="AM788" s="27"/>
      <c r="AN788" s="56"/>
      <c r="AO788" s="27"/>
      <c r="AP788" s="56"/>
      <c r="AQ788" s="27"/>
      <c r="AR788" s="56"/>
      <c r="AS788" s="27"/>
      <c r="AT788" s="56"/>
      <c r="AU788" s="27"/>
      <c r="AV788" s="56"/>
      <c r="AW788" s="27"/>
      <c r="AX788" s="56"/>
      <c r="AY788" s="27"/>
      <c r="AZ788" s="56"/>
      <c r="BA788" s="27"/>
      <c r="BB788" s="48"/>
      <c r="BC788" s="48"/>
      <c r="BD788" s="48"/>
      <c r="BE788" s="48"/>
      <c r="BF788" s="48"/>
      <c r="BG788" s="48"/>
      <c r="BH788" s="48"/>
      <c r="BI788" s="48"/>
      <c r="BJ788" s="48"/>
      <c r="BK788" s="48"/>
      <c r="BL788" s="48"/>
      <c r="BM788" s="48"/>
      <c r="BN788" s="48"/>
      <c r="BO788" s="48"/>
      <c r="BP788" s="48"/>
      <c r="BQ788" s="48"/>
      <c r="BR788" s="48"/>
      <c r="BS788" s="48"/>
      <c r="BT788" s="48"/>
      <c r="BU788" s="48"/>
    </row>
    <row r="789" ht="15.75" customHeight="1">
      <c r="A789" s="48"/>
      <c r="B789" s="48"/>
      <c r="C789" s="48"/>
      <c r="D789" s="48"/>
      <c r="E789" s="27"/>
      <c r="F789" s="48"/>
      <c r="G789" s="48"/>
      <c r="H789" s="56"/>
      <c r="I789" s="56"/>
      <c r="J789" s="56"/>
      <c r="K789" s="56"/>
      <c r="L789" s="56"/>
      <c r="M789" s="56"/>
      <c r="N789" s="56"/>
      <c r="O789" s="56"/>
      <c r="P789" s="56"/>
      <c r="Q789" s="56"/>
      <c r="R789" s="56"/>
      <c r="S789" s="56"/>
      <c r="T789" s="56"/>
      <c r="U789" s="56"/>
      <c r="V789" s="56"/>
      <c r="W789" s="27"/>
      <c r="X789" s="56"/>
      <c r="Y789" s="27"/>
      <c r="Z789" s="56"/>
      <c r="AA789" s="27"/>
      <c r="AB789" s="56"/>
      <c r="AC789" s="27"/>
      <c r="AD789" s="56"/>
      <c r="AE789" s="27"/>
      <c r="AF789" s="56"/>
      <c r="AG789" s="27"/>
      <c r="AH789" s="286"/>
      <c r="AI789" s="27"/>
      <c r="AJ789" s="56"/>
      <c r="AK789" s="27"/>
      <c r="AL789" s="56"/>
      <c r="AM789" s="27"/>
      <c r="AN789" s="56"/>
      <c r="AO789" s="27"/>
      <c r="AP789" s="56"/>
      <c r="AQ789" s="27"/>
      <c r="AR789" s="56"/>
      <c r="AS789" s="27"/>
      <c r="AT789" s="56"/>
      <c r="AU789" s="27"/>
      <c r="AV789" s="56"/>
      <c r="AW789" s="27"/>
      <c r="AX789" s="56"/>
      <c r="AY789" s="27"/>
      <c r="AZ789" s="56"/>
      <c r="BA789" s="27"/>
      <c r="BB789" s="48"/>
      <c r="BC789" s="48"/>
      <c r="BD789" s="48"/>
      <c r="BE789" s="48"/>
      <c r="BF789" s="48"/>
      <c r="BG789" s="48"/>
      <c r="BH789" s="48"/>
      <c r="BI789" s="48"/>
      <c r="BJ789" s="48"/>
      <c r="BK789" s="48"/>
      <c r="BL789" s="48"/>
      <c r="BM789" s="48"/>
      <c r="BN789" s="48"/>
      <c r="BO789" s="48"/>
      <c r="BP789" s="48"/>
      <c r="BQ789" s="48"/>
      <c r="BR789" s="48"/>
      <c r="BS789" s="48"/>
      <c r="BT789" s="48"/>
      <c r="BU789" s="48"/>
    </row>
    <row r="790" ht="15.75" customHeight="1">
      <c r="A790" s="48"/>
      <c r="B790" s="48"/>
      <c r="C790" s="48"/>
      <c r="D790" s="48"/>
      <c r="E790" s="27"/>
      <c r="F790" s="48"/>
      <c r="G790" s="48"/>
      <c r="H790" s="56"/>
      <c r="I790" s="56"/>
      <c r="J790" s="56"/>
      <c r="K790" s="56"/>
      <c r="L790" s="56"/>
      <c r="M790" s="56"/>
      <c r="N790" s="56"/>
      <c r="O790" s="56"/>
      <c r="P790" s="56"/>
      <c r="Q790" s="56"/>
      <c r="R790" s="56"/>
      <c r="S790" s="56"/>
      <c r="T790" s="56"/>
      <c r="U790" s="56"/>
      <c r="V790" s="56"/>
      <c r="W790" s="27"/>
      <c r="X790" s="56"/>
      <c r="Y790" s="27"/>
      <c r="Z790" s="56"/>
      <c r="AA790" s="27"/>
      <c r="AB790" s="56"/>
      <c r="AC790" s="27"/>
      <c r="AD790" s="56"/>
      <c r="AE790" s="27"/>
      <c r="AF790" s="56"/>
      <c r="AG790" s="27"/>
      <c r="AH790" s="286"/>
      <c r="AI790" s="27"/>
      <c r="AJ790" s="56"/>
      <c r="AK790" s="27"/>
      <c r="AL790" s="56"/>
      <c r="AM790" s="27"/>
      <c r="AN790" s="56"/>
      <c r="AO790" s="27"/>
      <c r="AP790" s="56"/>
      <c r="AQ790" s="27"/>
      <c r="AR790" s="56"/>
      <c r="AS790" s="27"/>
      <c r="AT790" s="56"/>
      <c r="AU790" s="27"/>
      <c r="AV790" s="56"/>
      <c r="AW790" s="27"/>
      <c r="AX790" s="56"/>
      <c r="AY790" s="27"/>
      <c r="AZ790" s="56"/>
      <c r="BA790" s="27"/>
      <c r="BB790" s="48"/>
      <c r="BC790" s="48"/>
      <c r="BD790" s="48"/>
      <c r="BE790" s="48"/>
      <c r="BF790" s="48"/>
      <c r="BG790" s="48"/>
      <c r="BH790" s="48"/>
      <c r="BI790" s="48"/>
      <c r="BJ790" s="48"/>
      <c r="BK790" s="48"/>
      <c r="BL790" s="48"/>
      <c r="BM790" s="48"/>
      <c r="BN790" s="48"/>
      <c r="BO790" s="48"/>
      <c r="BP790" s="48"/>
      <c r="BQ790" s="48"/>
      <c r="BR790" s="48"/>
      <c r="BS790" s="48"/>
      <c r="BT790" s="48"/>
      <c r="BU790" s="48"/>
    </row>
    <row r="791" ht="15.75" customHeight="1">
      <c r="A791" s="48"/>
      <c r="B791" s="48"/>
      <c r="C791" s="48"/>
      <c r="D791" s="48"/>
      <c r="E791" s="27"/>
      <c r="F791" s="48"/>
      <c r="G791" s="48"/>
      <c r="H791" s="56"/>
      <c r="I791" s="56"/>
      <c r="J791" s="56"/>
      <c r="K791" s="56"/>
      <c r="L791" s="56"/>
      <c r="M791" s="56"/>
      <c r="N791" s="56"/>
      <c r="O791" s="56"/>
      <c r="P791" s="56"/>
      <c r="Q791" s="56"/>
      <c r="R791" s="56"/>
      <c r="S791" s="56"/>
      <c r="T791" s="56"/>
      <c r="U791" s="56"/>
      <c r="V791" s="56"/>
      <c r="W791" s="27"/>
      <c r="X791" s="56"/>
      <c r="Y791" s="27"/>
      <c r="Z791" s="56"/>
      <c r="AA791" s="27"/>
      <c r="AB791" s="56"/>
      <c r="AC791" s="27"/>
      <c r="AD791" s="56"/>
      <c r="AE791" s="27"/>
      <c r="AF791" s="56"/>
      <c r="AG791" s="27"/>
      <c r="AH791" s="286"/>
      <c r="AI791" s="27"/>
      <c r="AJ791" s="56"/>
      <c r="AK791" s="27"/>
      <c r="AL791" s="56"/>
      <c r="AM791" s="27"/>
      <c r="AN791" s="56"/>
      <c r="AO791" s="27"/>
      <c r="AP791" s="56"/>
      <c r="AQ791" s="27"/>
      <c r="AR791" s="56"/>
      <c r="AS791" s="27"/>
      <c r="AT791" s="56"/>
      <c r="AU791" s="27"/>
      <c r="AV791" s="56"/>
      <c r="AW791" s="27"/>
      <c r="AX791" s="56"/>
      <c r="AY791" s="27"/>
      <c r="AZ791" s="56"/>
      <c r="BA791" s="27"/>
      <c r="BB791" s="48"/>
      <c r="BC791" s="48"/>
      <c r="BD791" s="48"/>
      <c r="BE791" s="48"/>
      <c r="BF791" s="48"/>
      <c r="BG791" s="48"/>
      <c r="BH791" s="48"/>
      <c r="BI791" s="48"/>
      <c r="BJ791" s="48"/>
      <c r="BK791" s="48"/>
      <c r="BL791" s="48"/>
      <c r="BM791" s="48"/>
      <c r="BN791" s="48"/>
      <c r="BO791" s="48"/>
      <c r="BP791" s="48"/>
      <c r="BQ791" s="48"/>
      <c r="BR791" s="48"/>
      <c r="BS791" s="48"/>
      <c r="BT791" s="48"/>
      <c r="BU791" s="48"/>
    </row>
    <row r="792" ht="15.75" customHeight="1">
      <c r="A792" s="48"/>
      <c r="B792" s="48"/>
      <c r="C792" s="48"/>
      <c r="D792" s="48"/>
      <c r="E792" s="27"/>
      <c r="F792" s="48"/>
      <c r="G792" s="48"/>
      <c r="H792" s="56"/>
      <c r="I792" s="56"/>
      <c r="J792" s="56"/>
      <c r="K792" s="56"/>
      <c r="L792" s="56"/>
      <c r="M792" s="56"/>
      <c r="N792" s="56"/>
      <c r="O792" s="56"/>
      <c r="P792" s="56"/>
      <c r="Q792" s="56"/>
      <c r="R792" s="56"/>
      <c r="S792" s="56"/>
      <c r="T792" s="56"/>
      <c r="U792" s="56"/>
      <c r="V792" s="56"/>
      <c r="W792" s="27"/>
      <c r="X792" s="56"/>
      <c r="Y792" s="27"/>
      <c r="Z792" s="56"/>
      <c r="AA792" s="27"/>
      <c r="AB792" s="56"/>
      <c r="AC792" s="27"/>
      <c r="AD792" s="56"/>
      <c r="AE792" s="27"/>
      <c r="AF792" s="56"/>
      <c r="AG792" s="27"/>
      <c r="AH792" s="286"/>
      <c r="AI792" s="27"/>
      <c r="AJ792" s="56"/>
      <c r="AK792" s="27"/>
      <c r="AL792" s="56"/>
      <c r="AM792" s="27"/>
      <c r="AN792" s="56"/>
      <c r="AO792" s="27"/>
      <c r="AP792" s="56"/>
      <c r="AQ792" s="27"/>
      <c r="AR792" s="56"/>
      <c r="AS792" s="27"/>
      <c r="AT792" s="56"/>
      <c r="AU792" s="27"/>
      <c r="AV792" s="56"/>
      <c r="AW792" s="27"/>
      <c r="AX792" s="56"/>
      <c r="AY792" s="27"/>
      <c r="AZ792" s="56"/>
      <c r="BA792" s="27"/>
      <c r="BB792" s="48"/>
      <c r="BC792" s="48"/>
      <c r="BD792" s="48"/>
      <c r="BE792" s="48"/>
      <c r="BF792" s="48"/>
      <c r="BG792" s="48"/>
      <c r="BH792" s="48"/>
      <c r="BI792" s="48"/>
      <c r="BJ792" s="48"/>
      <c r="BK792" s="48"/>
      <c r="BL792" s="48"/>
      <c r="BM792" s="48"/>
      <c r="BN792" s="48"/>
      <c r="BO792" s="48"/>
      <c r="BP792" s="48"/>
      <c r="BQ792" s="48"/>
      <c r="BR792" s="48"/>
      <c r="BS792" s="48"/>
      <c r="BT792" s="48"/>
      <c r="BU792" s="48"/>
    </row>
    <row r="793" ht="15.75" customHeight="1">
      <c r="A793" s="48"/>
      <c r="B793" s="48"/>
      <c r="C793" s="48"/>
      <c r="D793" s="48"/>
      <c r="E793" s="27"/>
      <c r="F793" s="48"/>
      <c r="G793" s="48"/>
      <c r="H793" s="56"/>
      <c r="I793" s="56"/>
      <c r="J793" s="56"/>
      <c r="K793" s="56"/>
      <c r="L793" s="56"/>
      <c r="M793" s="56"/>
      <c r="N793" s="56"/>
      <c r="O793" s="56"/>
      <c r="P793" s="56"/>
      <c r="Q793" s="56"/>
      <c r="R793" s="56"/>
      <c r="S793" s="56"/>
      <c r="T793" s="56"/>
      <c r="U793" s="56"/>
      <c r="V793" s="56"/>
      <c r="W793" s="27"/>
      <c r="X793" s="56"/>
      <c r="Y793" s="27"/>
      <c r="Z793" s="56"/>
      <c r="AA793" s="27"/>
      <c r="AB793" s="56"/>
      <c r="AC793" s="27"/>
      <c r="AD793" s="56"/>
      <c r="AE793" s="27"/>
      <c r="AF793" s="56"/>
      <c r="AG793" s="27"/>
      <c r="AH793" s="286"/>
      <c r="AI793" s="27"/>
      <c r="AJ793" s="56"/>
      <c r="AK793" s="27"/>
      <c r="AL793" s="56"/>
      <c r="AM793" s="27"/>
      <c r="AN793" s="56"/>
      <c r="AO793" s="27"/>
      <c r="AP793" s="56"/>
      <c r="AQ793" s="27"/>
      <c r="AR793" s="56"/>
      <c r="AS793" s="27"/>
      <c r="AT793" s="56"/>
      <c r="AU793" s="27"/>
      <c r="AV793" s="56"/>
      <c r="AW793" s="27"/>
      <c r="AX793" s="56"/>
      <c r="AY793" s="27"/>
      <c r="AZ793" s="56"/>
      <c r="BA793" s="27"/>
      <c r="BB793" s="48"/>
      <c r="BC793" s="48"/>
      <c r="BD793" s="48"/>
      <c r="BE793" s="48"/>
      <c r="BF793" s="48"/>
      <c r="BG793" s="48"/>
      <c r="BH793" s="48"/>
      <c r="BI793" s="48"/>
      <c r="BJ793" s="48"/>
      <c r="BK793" s="48"/>
      <c r="BL793" s="48"/>
      <c r="BM793" s="48"/>
      <c r="BN793" s="48"/>
      <c r="BO793" s="48"/>
      <c r="BP793" s="48"/>
      <c r="BQ793" s="48"/>
      <c r="BR793" s="48"/>
      <c r="BS793" s="48"/>
      <c r="BT793" s="48"/>
      <c r="BU793" s="48"/>
    </row>
    <row r="794" ht="15.75" customHeight="1">
      <c r="A794" s="48"/>
      <c r="B794" s="48"/>
      <c r="C794" s="48"/>
      <c r="D794" s="48"/>
      <c r="E794" s="27"/>
      <c r="F794" s="48"/>
      <c r="G794" s="48"/>
      <c r="H794" s="56"/>
      <c r="I794" s="56"/>
      <c r="J794" s="56"/>
      <c r="K794" s="56"/>
      <c r="L794" s="56"/>
      <c r="M794" s="56"/>
      <c r="N794" s="56"/>
      <c r="O794" s="56"/>
      <c r="P794" s="56"/>
      <c r="Q794" s="56"/>
      <c r="R794" s="56"/>
      <c r="S794" s="56"/>
      <c r="T794" s="56"/>
      <c r="U794" s="56"/>
      <c r="V794" s="56"/>
      <c r="W794" s="27"/>
      <c r="X794" s="56"/>
      <c r="Y794" s="27"/>
      <c r="Z794" s="56"/>
      <c r="AA794" s="27"/>
      <c r="AB794" s="56"/>
      <c r="AC794" s="27"/>
      <c r="AD794" s="56"/>
      <c r="AE794" s="27"/>
      <c r="AF794" s="56"/>
      <c r="AG794" s="27"/>
      <c r="AH794" s="286"/>
      <c r="AI794" s="27"/>
      <c r="AJ794" s="56"/>
      <c r="AK794" s="27"/>
      <c r="AL794" s="56"/>
      <c r="AM794" s="27"/>
      <c r="AN794" s="56"/>
      <c r="AO794" s="27"/>
      <c r="AP794" s="56"/>
      <c r="AQ794" s="27"/>
      <c r="AR794" s="56"/>
      <c r="AS794" s="27"/>
      <c r="AT794" s="56"/>
      <c r="AU794" s="27"/>
      <c r="AV794" s="56"/>
      <c r="AW794" s="27"/>
      <c r="AX794" s="56"/>
      <c r="AY794" s="27"/>
      <c r="AZ794" s="56"/>
      <c r="BA794" s="27"/>
      <c r="BB794" s="48"/>
      <c r="BC794" s="48"/>
      <c r="BD794" s="48"/>
      <c r="BE794" s="48"/>
      <c r="BF794" s="48"/>
      <c r="BG794" s="48"/>
      <c r="BH794" s="48"/>
      <c r="BI794" s="48"/>
      <c r="BJ794" s="48"/>
      <c r="BK794" s="48"/>
      <c r="BL794" s="48"/>
      <c r="BM794" s="48"/>
      <c r="BN794" s="48"/>
      <c r="BO794" s="48"/>
      <c r="BP794" s="48"/>
      <c r="BQ794" s="48"/>
      <c r="BR794" s="48"/>
      <c r="BS794" s="48"/>
      <c r="BT794" s="48"/>
      <c r="BU794" s="48"/>
    </row>
    <row r="795" ht="15.75" customHeight="1">
      <c r="A795" s="48"/>
      <c r="B795" s="48"/>
      <c r="C795" s="48"/>
      <c r="D795" s="48"/>
      <c r="E795" s="27"/>
      <c r="F795" s="48"/>
      <c r="G795" s="48"/>
      <c r="H795" s="56"/>
      <c r="I795" s="56"/>
      <c r="J795" s="56"/>
      <c r="K795" s="56"/>
      <c r="L795" s="56"/>
      <c r="M795" s="56"/>
      <c r="N795" s="56"/>
      <c r="O795" s="56"/>
      <c r="P795" s="56"/>
      <c r="Q795" s="56"/>
      <c r="R795" s="56"/>
      <c r="S795" s="56"/>
      <c r="T795" s="56"/>
      <c r="U795" s="56"/>
      <c r="V795" s="56"/>
      <c r="W795" s="27"/>
      <c r="X795" s="56"/>
      <c r="Y795" s="27"/>
      <c r="Z795" s="56"/>
      <c r="AA795" s="27"/>
      <c r="AB795" s="56"/>
      <c r="AC795" s="27"/>
      <c r="AD795" s="56"/>
      <c r="AE795" s="27"/>
      <c r="AF795" s="56"/>
      <c r="AG795" s="27"/>
      <c r="AH795" s="286"/>
      <c r="AI795" s="27"/>
      <c r="AJ795" s="56"/>
      <c r="AK795" s="27"/>
      <c r="AL795" s="56"/>
      <c r="AM795" s="27"/>
      <c r="AN795" s="56"/>
      <c r="AO795" s="27"/>
      <c r="AP795" s="56"/>
      <c r="AQ795" s="27"/>
      <c r="AR795" s="56"/>
      <c r="AS795" s="27"/>
      <c r="AT795" s="56"/>
      <c r="AU795" s="27"/>
      <c r="AV795" s="56"/>
      <c r="AW795" s="27"/>
      <c r="AX795" s="56"/>
      <c r="AY795" s="27"/>
      <c r="AZ795" s="56"/>
      <c r="BA795" s="27"/>
      <c r="BB795" s="48"/>
      <c r="BC795" s="48"/>
      <c r="BD795" s="48"/>
      <c r="BE795" s="48"/>
      <c r="BF795" s="48"/>
      <c r="BG795" s="48"/>
      <c r="BH795" s="48"/>
      <c r="BI795" s="48"/>
      <c r="BJ795" s="48"/>
      <c r="BK795" s="48"/>
      <c r="BL795" s="48"/>
      <c r="BM795" s="48"/>
      <c r="BN795" s="48"/>
      <c r="BO795" s="48"/>
      <c r="BP795" s="48"/>
      <c r="BQ795" s="48"/>
      <c r="BR795" s="48"/>
      <c r="BS795" s="48"/>
      <c r="BT795" s="48"/>
      <c r="BU795" s="48"/>
    </row>
    <row r="796" ht="15.75" customHeight="1">
      <c r="A796" s="48"/>
      <c r="B796" s="48"/>
      <c r="C796" s="48"/>
      <c r="D796" s="48"/>
      <c r="E796" s="27"/>
      <c r="F796" s="48"/>
      <c r="G796" s="48"/>
      <c r="H796" s="56"/>
      <c r="I796" s="56"/>
      <c r="J796" s="56"/>
      <c r="K796" s="56"/>
      <c r="L796" s="56"/>
      <c r="M796" s="56"/>
      <c r="N796" s="56"/>
      <c r="O796" s="56"/>
      <c r="P796" s="56"/>
      <c r="Q796" s="56"/>
      <c r="R796" s="56"/>
      <c r="S796" s="56"/>
      <c r="T796" s="56"/>
      <c r="U796" s="56"/>
      <c r="V796" s="56"/>
      <c r="W796" s="27"/>
      <c r="X796" s="56"/>
      <c r="Y796" s="27"/>
      <c r="Z796" s="56"/>
      <c r="AA796" s="27"/>
      <c r="AB796" s="56"/>
      <c r="AC796" s="27"/>
      <c r="AD796" s="56"/>
      <c r="AE796" s="27"/>
      <c r="AF796" s="56"/>
      <c r="AG796" s="27"/>
      <c r="AH796" s="286"/>
      <c r="AI796" s="27"/>
      <c r="AJ796" s="56"/>
      <c r="AK796" s="27"/>
      <c r="AL796" s="56"/>
      <c r="AM796" s="27"/>
      <c r="AN796" s="56"/>
      <c r="AO796" s="27"/>
      <c r="AP796" s="56"/>
      <c r="AQ796" s="27"/>
      <c r="AR796" s="56"/>
      <c r="AS796" s="27"/>
      <c r="AT796" s="56"/>
      <c r="AU796" s="27"/>
      <c r="AV796" s="56"/>
      <c r="AW796" s="27"/>
      <c r="AX796" s="56"/>
      <c r="AY796" s="27"/>
      <c r="AZ796" s="56"/>
      <c r="BA796" s="27"/>
      <c r="BB796" s="48"/>
      <c r="BC796" s="48"/>
      <c r="BD796" s="48"/>
      <c r="BE796" s="48"/>
      <c r="BF796" s="48"/>
      <c r="BG796" s="48"/>
      <c r="BH796" s="48"/>
      <c r="BI796" s="48"/>
      <c r="BJ796" s="48"/>
      <c r="BK796" s="48"/>
      <c r="BL796" s="48"/>
      <c r="BM796" s="48"/>
      <c r="BN796" s="48"/>
      <c r="BO796" s="48"/>
      <c r="BP796" s="48"/>
      <c r="BQ796" s="48"/>
      <c r="BR796" s="48"/>
      <c r="BS796" s="48"/>
      <c r="BT796" s="48"/>
      <c r="BU796" s="48"/>
    </row>
    <row r="797" ht="15.75" customHeight="1">
      <c r="A797" s="48"/>
      <c r="B797" s="48"/>
      <c r="C797" s="48"/>
      <c r="D797" s="48"/>
      <c r="E797" s="27"/>
      <c r="F797" s="48"/>
      <c r="G797" s="48"/>
      <c r="H797" s="56"/>
      <c r="I797" s="56"/>
      <c r="J797" s="56"/>
      <c r="K797" s="56"/>
      <c r="L797" s="56"/>
      <c r="M797" s="56"/>
      <c r="N797" s="56"/>
      <c r="O797" s="56"/>
      <c r="P797" s="56"/>
      <c r="Q797" s="56"/>
      <c r="R797" s="56"/>
      <c r="S797" s="56"/>
      <c r="T797" s="56"/>
      <c r="U797" s="56"/>
      <c r="V797" s="56"/>
      <c r="W797" s="27"/>
      <c r="X797" s="56"/>
      <c r="Y797" s="27"/>
      <c r="Z797" s="56"/>
      <c r="AA797" s="27"/>
      <c r="AB797" s="56"/>
      <c r="AC797" s="27"/>
      <c r="AD797" s="56"/>
      <c r="AE797" s="27"/>
      <c r="AF797" s="56"/>
      <c r="AG797" s="27"/>
      <c r="AH797" s="286"/>
      <c r="AI797" s="27"/>
      <c r="AJ797" s="56"/>
      <c r="AK797" s="27"/>
      <c r="AL797" s="56"/>
      <c r="AM797" s="27"/>
      <c r="AN797" s="56"/>
      <c r="AO797" s="27"/>
      <c r="AP797" s="56"/>
      <c r="AQ797" s="27"/>
      <c r="AR797" s="56"/>
      <c r="AS797" s="27"/>
      <c r="AT797" s="56"/>
      <c r="AU797" s="27"/>
      <c r="AV797" s="56"/>
      <c r="AW797" s="27"/>
      <c r="AX797" s="56"/>
      <c r="AY797" s="27"/>
      <c r="AZ797" s="56"/>
      <c r="BA797" s="27"/>
      <c r="BB797" s="48"/>
      <c r="BC797" s="48"/>
      <c r="BD797" s="48"/>
      <c r="BE797" s="48"/>
      <c r="BF797" s="48"/>
      <c r="BG797" s="48"/>
      <c r="BH797" s="48"/>
      <c r="BI797" s="48"/>
      <c r="BJ797" s="48"/>
      <c r="BK797" s="48"/>
      <c r="BL797" s="48"/>
      <c r="BM797" s="48"/>
      <c r="BN797" s="48"/>
      <c r="BO797" s="48"/>
      <c r="BP797" s="48"/>
      <c r="BQ797" s="48"/>
      <c r="BR797" s="48"/>
      <c r="BS797" s="48"/>
      <c r="BT797" s="48"/>
      <c r="BU797" s="48"/>
    </row>
    <row r="798" ht="15.75" customHeight="1">
      <c r="A798" s="48"/>
      <c r="B798" s="48"/>
      <c r="C798" s="48"/>
      <c r="D798" s="48"/>
      <c r="E798" s="27"/>
      <c r="F798" s="48"/>
      <c r="G798" s="48"/>
      <c r="H798" s="56"/>
      <c r="I798" s="56"/>
      <c r="J798" s="56"/>
      <c r="K798" s="56"/>
      <c r="L798" s="56"/>
      <c r="M798" s="56"/>
      <c r="N798" s="56"/>
      <c r="O798" s="56"/>
      <c r="P798" s="56"/>
      <c r="Q798" s="56"/>
      <c r="R798" s="56"/>
      <c r="S798" s="56"/>
      <c r="T798" s="56"/>
      <c r="U798" s="56"/>
      <c r="V798" s="56"/>
      <c r="W798" s="27"/>
      <c r="X798" s="56"/>
      <c r="Y798" s="27"/>
      <c r="Z798" s="56"/>
      <c r="AA798" s="27"/>
      <c r="AB798" s="56"/>
      <c r="AC798" s="27"/>
      <c r="AD798" s="56"/>
      <c r="AE798" s="27"/>
      <c r="AF798" s="56"/>
      <c r="AG798" s="27"/>
      <c r="AH798" s="286"/>
      <c r="AI798" s="27"/>
      <c r="AJ798" s="56"/>
      <c r="AK798" s="27"/>
      <c r="AL798" s="56"/>
      <c r="AM798" s="27"/>
      <c r="AN798" s="56"/>
      <c r="AO798" s="27"/>
      <c r="AP798" s="56"/>
      <c r="AQ798" s="27"/>
      <c r="AR798" s="56"/>
      <c r="AS798" s="27"/>
      <c r="AT798" s="56"/>
      <c r="AU798" s="27"/>
      <c r="AV798" s="56"/>
      <c r="AW798" s="27"/>
      <c r="AX798" s="56"/>
      <c r="AY798" s="27"/>
      <c r="AZ798" s="56"/>
      <c r="BA798" s="27"/>
      <c r="BB798" s="48"/>
      <c r="BC798" s="48"/>
      <c r="BD798" s="48"/>
      <c r="BE798" s="48"/>
      <c r="BF798" s="48"/>
      <c r="BG798" s="48"/>
      <c r="BH798" s="48"/>
      <c r="BI798" s="48"/>
      <c r="BJ798" s="48"/>
      <c r="BK798" s="48"/>
      <c r="BL798" s="48"/>
      <c r="BM798" s="48"/>
      <c r="BN798" s="48"/>
      <c r="BO798" s="48"/>
      <c r="BP798" s="48"/>
      <c r="BQ798" s="48"/>
      <c r="BR798" s="48"/>
      <c r="BS798" s="48"/>
      <c r="BT798" s="48"/>
      <c r="BU798" s="48"/>
    </row>
    <row r="799" ht="15.75" customHeight="1">
      <c r="A799" s="48"/>
      <c r="B799" s="48"/>
      <c r="C799" s="48"/>
      <c r="D799" s="48"/>
      <c r="E799" s="27"/>
      <c r="F799" s="48"/>
      <c r="G799" s="48"/>
      <c r="H799" s="56"/>
      <c r="I799" s="56"/>
      <c r="J799" s="56"/>
      <c r="K799" s="56"/>
      <c r="L799" s="56"/>
      <c r="M799" s="56"/>
      <c r="N799" s="56"/>
      <c r="O799" s="56"/>
      <c r="P799" s="56"/>
      <c r="Q799" s="56"/>
      <c r="R799" s="56"/>
      <c r="S799" s="56"/>
      <c r="T799" s="56"/>
      <c r="U799" s="56"/>
      <c r="V799" s="56"/>
      <c r="W799" s="27"/>
      <c r="X799" s="56"/>
      <c r="Y799" s="27"/>
      <c r="Z799" s="56"/>
      <c r="AA799" s="27"/>
      <c r="AB799" s="56"/>
      <c r="AC799" s="27"/>
      <c r="AD799" s="56"/>
      <c r="AE799" s="27"/>
      <c r="AF799" s="56"/>
      <c r="AG799" s="27"/>
      <c r="AH799" s="286"/>
      <c r="AI799" s="27"/>
      <c r="AJ799" s="56"/>
      <c r="AK799" s="27"/>
      <c r="AL799" s="56"/>
      <c r="AM799" s="27"/>
      <c r="AN799" s="56"/>
      <c r="AO799" s="27"/>
      <c r="AP799" s="56"/>
      <c r="AQ799" s="27"/>
      <c r="AR799" s="56"/>
      <c r="AS799" s="27"/>
      <c r="AT799" s="56"/>
      <c r="AU799" s="27"/>
      <c r="AV799" s="56"/>
      <c r="AW799" s="27"/>
      <c r="AX799" s="56"/>
      <c r="AY799" s="27"/>
      <c r="AZ799" s="56"/>
      <c r="BA799" s="27"/>
      <c r="BB799" s="48"/>
      <c r="BC799" s="48"/>
      <c r="BD799" s="48"/>
      <c r="BE799" s="48"/>
      <c r="BF799" s="48"/>
      <c r="BG799" s="48"/>
      <c r="BH799" s="48"/>
      <c r="BI799" s="48"/>
      <c r="BJ799" s="48"/>
      <c r="BK799" s="48"/>
      <c r="BL799" s="48"/>
      <c r="BM799" s="48"/>
      <c r="BN799" s="48"/>
      <c r="BO799" s="48"/>
      <c r="BP799" s="48"/>
      <c r="BQ799" s="48"/>
      <c r="BR799" s="48"/>
      <c r="BS799" s="48"/>
      <c r="BT799" s="48"/>
      <c r="BU799" s="48"/>
    </row>
    <row r="800" ht="15.75" customHeight="1">
      <c r="A800" s="48"/>
      <c r="B800" s="48"/>
      <c r="C800" s="48"/>
      <c r="D800" s="48"/>
      <c r="E800" s="27"/>
      <c r="F800" s="48"/>
      <c r="G800" s="48"/>
      <c r="H800" s="56"/>
      <c r="I800" s="56"/>
      <c r="J800" s="56"/>
      <c r="K800" s="56"/>
      <c r="L800" s="56"/>
      <c r="M800" s="56"/>
      <c r="N800" s="56"/>
      <c r="O800" s="56"/>
      <c r="P800" s="56"/>
      <c r="Q800" s="56"/>
      <c r="R800" s="56"/>
      <c r="S800" s="56"/>
      <c r="T800" s="56"/>
      <c r="U800" s="56"/>
      <c r="V800" s="56"/>
      <c r="W800" s="27"/>
      <c r="X800" s="56"/>
      <c r="Y800" s="27"/>
      <c r="Z800" s="56"/>
      <c r="AA800" s="27"/>
      <c r="AB800" s="56"/>
      <c r="AC800" s="27"/>
      <c r="AD800" s="56"/>
      <c r="AE800" s="27"/>
      <c r="AF800" s="56"/>
      <c r="AG800" s="27"/>
      <c r="AH800" s="286"/>
      <c r="AI800" s="27"/>
      <c r="AJ800" s="56"/>
      <c r="AK800" s="27"/>
      <c r="AL800" s="56"/>
      <c r="AM800" s="27"/>
      <c r="AN800" s="56"/>
      <c r="AO800" s="27"/>
      <c r="AP800" s="56"/>
      <c r="AQ800" s="27"/>
      <c r="AR800" s="56"/>
      <c r="AS800" s="27"/>
      <c r="AT800" s="56"/>
      <c r="AU800" s="27"/>
      <c r="AV800" s="56"/>
      <c r="AW800" s="27"/>
      <c r="AX800" s="56"/>
      <c r="AY800" s="27"/>
      <c r="AZ800" s="56"/>
      <c r="BA800" s="27"/>
      <c r="BB800" s="48"/>
      <c r="BC800" s="48"/>
      <c r="BD800" s="48"/>
      <c r="BE800" s="48"/>
      <c r="BF800" s="48"/>
      <c r="BG800" s="48"/>
      <c r="BH800" s="48"/>
      <c r="BI800" s="48"/>
      <c r="BJ800" s="48"/>
      <c r="BK800" s="48"/>
      <c r="BL800" s="48"/>
      <c r="BM800" s="48"/>
      <c r="BN800" s="48"/>
      <c r="BO800" s="48"/>
      <c r="BP800" s="48"/>
      <c r="BQ800" s="48"/>
      <c r="BR800" s="48"/>
      <c r="BS800" s="48"/>
      <c r="BT800" s="48"/>
      <c r="BU800" s="48"/>
    </row>
    <row r="801" ht="15.75" customHeight="1">
      <c r="A801" s="48"/>
      <c r="B801" s="48"/>
      <c r="C801" s="48"/>
      <c r="D801" s="48"/>
      <c r="E801" s="27"/>
      <c r="F801" s="48"/>
      <c r="G801" s="48"/>
      <c r="H801" s="56"/>
      <c r="I801" s="56"/>
      <c r="J801" s="56"/>
      <c r="K801" s="56"/>
      <c r="L801" s="56"/>
      <c r="M801" s="56"/>
      <c r="N801" s="56"/>
      <c r="O801" s="56"/>
      <c r="P801" s="56"/>
      <c r="Q801" s="56"/>
      <c r="R801" s="56"/>
      <c r="S801" s="56"/>
      <c r="T801" s="56"/>
      <c r="U801" s="56"/>
      <c r="V801" s="56"/>
      <c r="W801" s="27"/>
      <c r="X801" s="56"/>
      <c r="Y801" s="27"/>
      <c r="Z801" s="56"/>
      <c r="AA801" s="27"/>
      <c r="AB801" s="56"/>
      <c r="AC801" s="27"/>
      <c r="AD801" s="56"/>
      <c r="AE801" s="27"/>
      <c r="AF801" s="56"/>
      <c r="AG801" s="27"/>
      <c r="AH801" s="286"/>
      <c r="AI801" s="27"/>
      <c r="AJ801" s="56"/>
      <c r="AK801" s="27"/>
      <c r="AL801" s="56"/>
      <c r="AM801" s="27"/>
      <c r="AN801" s="56"/>
      <c r="AO801" s="27"/>
      <c r="AP801" s="56"/>
      <c r="AQ801" s="27"/>
      <c r="AR801" s="56"/>
      <c r="AS801" s="27"/>
      <c r="AT801" s="56"/>
      <c r="AU801" s="27"/>
      <c r="AV801" s="56"/>
      <c r="AW801" s="27"/>
      <c r="AX801" s="56"/>
      <c r="AY801" s="27"/>
      <c r="AZ801" s="56"/>
      <c r="BA801" s="27"/>
      <c r="BB801" s="48"/>
      <c r="BC801" s="48"/>
      <c r="BD801" s="48"/>
      <c r="BE801" s="48"/>
      <c r="BF801" s="48"/>
      <c r="BG801" s="48"/>
      <c r="BH801" s="48"/>
      <c r="BI801" s="48"/>
      <c r="BJ801" s="48"/>
      <c r="BK801" s="48"/>
      <c r="BL801" s="48"/>
      <c r="BM801" s="48"/>
      <c r="BN801" s="48"/>
      <c r="BO801" s="48"/>
      <c r="BP801" s="48"/>
      <c r="BQ801" s="48"/>
      <c r="BR801" s="48"/>
      <c r="BS801" s="48"/>
      <c r="BT801" s="48"/>
      <c r="BU801" s="48"/>
    </row>
    <row r="802" ht="15.75" customHeight="1">
      <c r="A802" s="48"/>
      <c r="B802" s="48"/>
      <c r="C802" s="48"/>
      <c r="D802" s="48"/>
      <c r="E802" s="27"/>
      <c r="F802" s="48"/>
      <c r="G802" s="48"/>
      <c r="H802" s="56"/>
      <c r="I802" s="56"/>
      <c r="J802" s="56"/>
      <c r="K802" s="56"/>
      <c r="L802" s="56"/>
      <c r="M802" s="56"/>
      <c r="N802" s="56"/>
      <c r="O802" s="56"/>
      <c r="P802" s="56"/>
      <c r="Q802" s="56"/>
      <c r="R802" s="56"/>
      <c r="S802" s="56"/>
      <c r="T802" s="56"/>
      <c r="U802" s="56"/>
      <c r="V802" s="56"/>
      <c r="W802" s="27"/>
      <c r="X802" s="56"/>
      <c r="Y802" s="27"/>
      <c r="Z802" s="56"/>
      <c r="AA802" s="27"/>
      <c r="AB802" s="56"/>
      <c r="AC802" s="27"/>
      <c r="AD802" s="56"/>
      <c r="AE802" s="27"/>
      <c r="AF802" s="56"/>
      <c r="AG802" s="27"/>
      <c r="AH802" s="286"/>
      <c r="AI802" s="27"/>
      <c r="AJ802" s="56"/>
      <c r="AK802" s="27"/>
      <c r="AL802" s="56"/>
      <c r="AM802" s="27"/>
      <c r="AN802" s="56"/>
      <c r="AO802" s="27"/>
      <c r="AP802" s="56"/>
      <c r="AQ802" s="27"/>
      <c r="AR802" s="56"/>
      <c r="AS802" s="27"/>
      <c r="AT802" s="56"/>
      <c r="AU802" s="27"/>
      <c r="AV802" s="56"/>
      <c r="AW802" s="27"/>
      <c r="AX802" s="56"/>
      <c r="AY802" s="27"/>
      <c r="AZ802" s="56"/>
      <c r="BA802" s="27"/>
      <c r="BB802" s="48"/>
      <c r="BC802" s="48"/>
      <c r="BD802" s="48"/>
      <c r="BE802" s="48"/>
      <c r="BF802" s="48"/>
      <c r="BG802" s="48"/>
      <c r="BH802" s="48"/>
      <c r="BI802" s="48"/>
      <c r="BJ802" s="48"/>
      <c r="BK802" s="48"/>
      <c r="BL802" s="48"/>
      <c r="BM802" s="48"/>
      <c r="BN802" s="48"/>
      <c r="BO802" s="48"/>
      <c r="BP802" s="48"/>
      <c r="BQ802" s="48"/>
      <c r="BR802" s="48"/>
      <c r="BS802" s="48"/>
      <c r="BT802" s="48"/>
      <c r="BU802" s="48"/>
    </row>
    <row r="803" ht="15.75" customHeight="1">
      <c r="A803" s="48"/>
      <c r="B803" s="48"/>
      <c r="C803" s="48"/>
      <c r="D803" s="48"/>
      <c r="E803" s="27"/>
      <c r="F803" s="48"/>
      <c r="G803" s="48"/>
      <c r="H803" s="56"/>
      <c r="I803" s="56"/>
      <c r="J803" s="56"/>
      <c r="K803" s="56"/>
      <c r="L803" s="56"/>
      <c r="M803" s="56"/>
      <c r="N803" s="56"/>
      <c r="O803" s="56"/>
      <c r="P803" s="56"/>
      <c r="Q803" s="56"/>
      <c r="R803" s="56"/>
      <c r="S803" s="56"/>
      <c r="T803" s="56"/>
      <c r="U803" s="56"/>
      <c r="V803" s="56"/>
      <c r="W803" s="27"/>
      <c r="X803" s="56"/>
      <c r="Y803" s="27"/>
      <c r="Z803" s="56"/>
      <c r="AA803" s="27"/>
      <c r="AB803" s="56"/>
      <c r="AC803" s="27"/>
      <c r="AD803" s="56"/>
      <c r="AE803" s="27"/>
      <c r="AF803" s="56"/>
      <c r="AG803" s="27"/>
      <c r="AH803" s="286"/>
      <c r="AI803" s="27"/>
      <c r="AJ803" s="56"/>
      <c r="AK803" s="27"/>
      <c r="AL803" s="56"/>
      <c r="AM803" s="27"/>
      <c r="AN803" s="56"/>
      <c r="AO803" s="27"/>
      <c r="AP803" s="56"/>
      <c r="AQ803" s="27"/>
      <c r="AR803" s="56"/>
      <c r="AS803" s="27"/>
      <c r="AT803" s="56"/>
      <c r="AU803" s="27"/>
      <c r="AV803" s="56"/>
      <c r="AW803" s="27"/>
      <c r="AX803" s="56"/>
      <c r="AY803" s="27"/>
      <c r="AZ803" s="56"/>
      <c r="BA803" s="27"/>
      <c r="BB803" s="48"/>
      <c r="BC803" s="48"/>
      <c r="BD803" s="48"/>
      <c r="BE803" s="48"/>
      <c r="BF803" s="48"/>
      <c r="BG803" s="48"/>
      <c r="BH803" s="48"/>
      <c r="BI803" s="48"/>
      <c r="BJ803" s="48"/>
      <c r="BK803" s="48"/>
      <c r="BL803" s="48"/>
      <c r="BM803" s="48"/>
      <c r="BN803" s="48"/>
      <c r="BO803" s="48"/>
      <c r="BP803" s="48"/>
      <c r="BQ803" s="48"/>
      <c r="BR803" s="48"/>
      <c r="BS803" s="48"/>
      <c r="BT803" s="48"/>
      <c r="BU803" s="48"/>
    </row>
    <row r="804" ht="15.75" customHeight="1">
      <c r="A804" s="48"/>
      <c r="B804" s="48"/>
      <c r="C804" s="48"/>
      <c r="D804" s="48"/>
      <c r="E804" s="27"/>
      <c r="F804" s="48"/>
      <c r="G804" s="48"/>
      <c r="H804" s="56"/>
      <c r="I804" s="56"/>
      <c r="J804" s="56"/>
      <c r="K804" s="56"/>
      <c r="L804" s="56"/>
      <c r="M804" s="56"/>
      <c r="N804" s="56"/>
      <c r="O804" s="56"/>
      <c r="P804" s="56"/>
      <c r="Q804" s="56"/>
      <c r="R804" s="56"/>
      <c r="S804" s="56"/>
      <c r="T804" s="56"/>
      <c r="U804" s="56"/>
      <c r="V804" s="56"/>
      <c r="W804" s="27"/>
      <c r="X804" s="56"/>
      <c r="Y804" s="27"/>
      <c r="Z804" s="56"/>
      <c r="AA804" s="27"/>
      <c r="AB804" s="56"/>
      <c r="AC804" s="27"/>
      <c r="AD804" s="56"/>
      <c r="AE804" s="27"/>
      <c r="AF804" s="56"/>
      <c r="AG804" s="27"/>
      <c r="AH804" s="286"/>
      <c r="AI804" s="27"/>
      <c r="AJ804" s="56"/>
      <c r="AK804" s="27"/>
      <c r="AL804" s="56"/>
      <c r="AM804" s="27"/>
      <c r="AN804" s="56"/>
      <c r="AO804" s="27"/>
      <c r="AP804" s="56"/>
      <c r="AQ804" s="27"/>
      <c r="AR804" s="56"/>
      <c r="AS804" s="27"/>
      <c r="AT804" s="56"/>
      <c r="AU804" s="27"/>
      <c r="AV804" s="56"/>
      <c r="AW804" s="27"/>
      <c r="AX804" s="56"/>
      <c r="AY804" s="27"/>
      <c r="AZ804" s="56"/>
      <c r="BA804" s="27"/>
      <c r="BB804" s="48"/>
      <c r="BC804" s="48"/>
      <c r="BD804" s="48"/>
      <c r="BE804" s="48"/>
      <c r="BF804" s="48"/>
      <c r="BG804" s="48"/>
      <c r="BH804" s="48"/>
      <c r="BI804" s="48"/>
      <c r="BJ804" s="48"/>
      <c r="BK804" s="48"/>
      <c r="BL804" s="48"/>
      <c r="BM804" s="48"/>
      <c r="BN804" s="48"/>
      <c r="BO804" s="48"/>
      <c r="BP804" s="48"/>
      <c r="BQ804" s="48"/>
      <c r="BR804" s="48"/>
      <c r="BS804" s="48"/>
      <c r="BT804" s="48"/>
      <c r="BU804" s="48"/>
    </row>
    <row r="805" ht="15.75" customHeight="1">
      <c r="A805" s="48"/>
      <c r="B805" s="48"/>
      <c r="C805" s="48"/>
      <c r="D805" s="48"/>
      <c r="E805" s="27"/>
      <c r="F805" s="48"/>
      <c r="G805" s="48"/>
      <c r="H805" s="56"/>
      <c r="I805" s="56"/>
      <c r="J805" s="56"/>
      <c r="K805" s="56"/>
      <c r="L805" s="56"/>
      <c r="M805" s="56"/>
      <c r="N805" s="56"/>
      <c r="O805" s="56"/>
      <c r="P805" s="56"/>
      <c r="Q805" s="56"/>
      <c r="R805" s="56"/>
      <c r="S805" s="56"/>
      <c r="T805" s="56"/>
      <c r="U805" s="56"/>
      <c r="V805" s="56"/>
      <c r="W805" s="27"/>
      <c r="X805" s="56"/>
      <c r="Y805" s="27"/>
      <c r="Z805" s="56"/>
      <c r="AA805" s="27"/>
      <c r="AB805" s="56"/>
      <c r="AC805" s="27"/>
      <c r="AD805" s="56"/>
      <c r="AE805" s="27"/>
      <c r="AF805" s="56"/>
      <c r="AG805" s="27"/>
      <c r="AH805" s="286"/>
      <c r="AI805" s="27"/>
      <c r="AJ805" s="56"/>
      <c r="AK805" s="27"/>
      <c r="AL805" s="56"/>
      <c r="AM805" s="27"/>
      <c r="AN805" s="56"/>
      <c r="AO805" s="27"/>
      <c r="AP805" s="56"/>
      <c r="AQ805" s="27"/>
      <c r="AR805" s="56"/>
      <c r="AS805" s="27"/>
      <c r="AT805" s="56"/>
      <c r="AU805" s="27"/>
      <c r="AV805" s="56"/>
      <c r="AW805" s="27"/>
      <c r="AX805" s="56"/>
      <c r="AY805" s="27"/>
      <c r="AZ805" s="56"/>
      <c r="BA805" s="27"/>
      <c r="BB805" s="48"/>
      <c r="BC805" s="48"/>
      <c r="BD805" s="48"/>
      <c r="BE805" s="48"/>
      <c r="BF805" s="48"/>
      <c r="BG805" s="48"/>
      <c r="BH805" s="48"/>
      <c r="BI805" s="48"/>
      <c r="BJ805" s="48"/>
      <c r="BK805" s="48"/>
      <c r="BL805" s="48"/>
      <c r="BM805" s="48"/>
      <c r="BN805" s="48"/>
      <c r="BO805" s="48"/>
      <c r="BP805" s="48"/>
      <c r="BQ805" s="48"/>
      <c r="BR805" s="48"/>
      <c r="BS805" s="48"/>
      <c r="BT805" s="48"/>
      <c r="BU805" s="48"/>
    </row>
    <row r="806" ht="15.75" customHeight="1">
      <c r="A806" s="48"/>
      <c r="B806" s="48"/>
      <c r="C806" s="48"/>
      <c r="D806" s="48"/>
      <c r="E806" s="27"/>
      <c r="F806" s="48"/>
      <c r="G806" s="48"/>
      <c r="H806" s="56"/>
      <c r="I806" s="56"/>
      <c r="J806" s="56"/>
      <c r="K806" s="56"/>
      <c r="L806" s="56"/>
      <c r="M806" s="56"/>
      <c r="N806" s="56"/>
      <c r="O806" s="56"/>
      <c r="P806" s="56"/>
      <c r="Q806" s="56"/>
      <c r="R806" s="56"/>
      <c r="S806" s="56"/>
      <c r="T806" s="56"/>
      <c r="U806" s="56"/>
      <c r="V806" s="56"/>
      <c r="W806" s="27"/>
      <c r="X806" s="56"/>
      <c r="Y806" s="27"/>
      <c r="Z806" s="56"/>
      <c r="AA806" s="27"/>
      <c r="AB806" s="56"/>
      <c r="AC806" s="27"/>
      <c r="AD806" s="56"/>
      <c r="AE806" s="27"/>
      <c r="AF806" s="56"/>
      <c r="AG806" s="27"/>
      <c r="AH806" s="286"/>
      <c r="AI806" s="27"/>
      <c r="AJ806" s="56"/>
      <c r="AK806" s="27"/>
      <c r="AL806" s="56"/>
      <c r="AM806" s="27"/>
      <c r="AN806" s="56"/>
      <c r="AO806" s="27"/>
      <c r="AP806" s="56"/>
      <c r="AQ806" s="27"/>
      <c r="AR806" s="56"/>
      <c r="AS806" s="27"/>
      <c r="AT806" s="56"/>
      <c r="AU806" s="27"/>
      <c r="AV806" s="56"/>
      <c r="AW806" s="27"/>
      <c r="AX806" s="56"/>
      <c r="AY806" s="27"/>
      <c r="AZ806" s="56"/>
      <c r="BA806" s="27"/>
      <c r="BB806" s="48"/>
      <c r="BC806" s="48"/>
      <c r="BD806" s="48"/>
      <c r="BE806" s="48"/>
      <c r="BF806" s="48"/>
      <c r="BG806" s="48"/>
      <c r="BH806" s="48"/>
      <c r="BI806" s="48"/>
      <c r="BJ806" s="48"/>
      <c r="BK806" s="48"/>
      <c r="BL806" s="48"/>
      <c r="BM806" s="48"/>
      <c r="BN806" s="48"/>
      <c r="BO806" s="48"/>
      <c r="BP806" s="48"/>
      <c r="BQ806" s="48"/>
      <c r="BR806" s="48"/>
      <c r="BS806" s="48"/>
      <c r="BT806" s="48"/>
      <c r="BU806" s="48"/>
    </row>
    <row r="807" ht="15.75" customHeight="1">
      <c r="A807" s="48"/>
      <c r="B807" s="48"/>
      <c r="C807" s="48"/>
      <c r="D807" s="48"/>
      <c r="E807" s="27"/>
      <c r="F807" s="48"/>
      <c r="G807" s="48"/>
      <c r="H807" s="56"/>
      <c r="I807" s="56"/>
      <c r="J807" s="56"/>
      <c r="K807" s="56"/>
      <c r="L807" s="56"/>
      <c r="M807" s="56"/>
      <c r="N807" s="56"/>
      <c r="O807" s="56"/>
      <c r="P807" s="56"/>
      <c r="Q807" s="56"/>
      <c r="R807" s="56"/>
      <c r="S807" s="56"/>
      <c r="T807" s="56"/>
      <c r="U807" s="56"/>
      <c r="V807" s="56"/>
      <c r="W807" s="27"/>
      <c r="X807" s="56"/>
      <c r="Y807" s="27"/>
      <c r="Z807" s="56"/>
      <c r="AA807" s="27"/>
      <c r="AB807" s="56"/>
      <c r="AC807" s="27"/>
      <c r="AD807" s="56"/>
      <c r="AE807" s="27"/>
      <c r="AF807" s="56"/>
      <c r="AG807" s="27"/>
      <c r="AH807" s="286"/>
      <c r="AI807" s="27"/>
      <c r="AJ807" s="56"/>
      <c r="AK807" s="27"/>
      <c r="AL807" s="56"/>
      <c r="AM807" s="27"/>
      <c r="AN807" s="56"/>
      <c r="AO807" s="27"/>
      <c r="AP807" s="56"/>
      <c r="AQ807" s="27"/>
      <c r="AR807" s="56"/>
      <c r="AS807" s="27"/>
      <c r="AT807" s="56"/>
      <c r="AU807" s="27"/>
      <c r="AV807" s="56"/>
      <c r="AW807" s="27"/>
      <c r="AX807" s="56"/>
      <c r="AY807" s="27"/>
      <c r="AZ807" s="56"/>
      <c r="BA807" s="27"/>
      <c r="BB807" s="48"/>
      <c r="BC807" s="48"/>
      <c r="BD807" s="48"/>
      <c r="BE807" s="48"/>
      <c r="BF807" s="48"/>
      <c r="BG807" s="48"/>
      <c r="BH807" s="48"/>
      <c r="BI807" s="48"/>
      <c r="BJ807" s="48"/>
      <c r="BK807" s="48"/>
      <c r="BL807" s="48"/>
      <c r="BM807" s="48"/>
      <c r="BN807" s="48"/>
      <c r="BO807" s="48"/>
      <c r="BP807" s="48"/>
      <c r="BQ807" s="48"/>
      <c r="BR807" s="48"/>
      <c r="BS807" s="48"/>
      <c r="BT807" s="48"/>
      <c r="BU807" s="48"/>
    </row>
    <row r="808" ht="15.75" customHeight="1">
      <c r="A808" s="48"/>
      <c r="B808" s="48"/>
      <c r="C808" s="48"/>
      <c r="D808" s="48"/>
      <c r="E808" s="27"/>
      <c r="F808" s="48"/>
      <c r="G808" s="48"/>
      <c r="H808" s="56"/>
      <c r="I808" s="56"/>
      <c r="J808" s="56"/>
      <c r="K808" s="56"/>
      <c r="L808" s="56"/>
      <c r="M808" s="56"/>
      <c r="N808" s="56"/>
      <c r="O808" s="56"/>
      <c r="P808" s="56"/>
      <c r="Q808" s="56"/>
      <c r="R808" s="56"/>
      <c r="S808" s="56"/>
      <c r="T808" s="56"/>
      <c r="U808" s="56"/>
      <c r="V808" s="56"/>
      <c r="W808" s="27"/>
      <c r="X808" s="56"/>
      <c r="Y808" s="27"/>
      <c r="Z808" s="56"/>
      <c r="AA808" s="27"/>
      <c r="AB808" s="56"/>
      <c r="AC808" s="27"/>
      <c r="AD808" s="56"/>
      <c r="AE808" s="27"/>
      <c r="AF808" s="56"/>
      <c r="AG808" s="27"/>
      <c r="AH808" s="286"/>
      <c r="AI808" s="27"/>
      <c r="AJ808" s="56"/>
      <c r="AK808" s="27"/>
      <c r="AL808" s="56"/>
      <c r="AM808" s="27"/>
      <c r="AN808" s="56"/>
      <c r="AO808" s="27"/>
      <c r="AP808" s="56"/>
      <c r="AQ808" s="27"/>
      <c r="AR808" s="56"/>
      <c r="AS808" s="27"/>
      <c r="AT808" s="56"/>
      <c r="AU808" s="27"/>
      <c r="AV808" s="56"/>
      <c r="AW808" s="27"/>
      <c r="AX808" s="56"/>
      <c r="AY808" s="27"/>
      <c r="AZ808" s="56"/>
      <c r="BA808" s="27"/>
      <c r="BB808" s="48"/>
      <c r="BC808" s="48"/>
      <c r="BD808" s="48"/>
      <c r="BE808" s="48"/>
      <c r="BF808" s="48"/>
      <c r="BG808" s="48"/>
      <c r="BH808" s="48"/>
      <c r="BI808" s="48"/>
      <c r="BJ808" s="48"/>
      <c r="BK808" s="48"/>
      <c r="BL808" s="48"/>
      <c r="BM808" s="48"/>
      <c r="BN808" s="48"/>
      <c r="BO808" s="48"/>
      <c r="BP808" s="48"/>
      <c r="BQ808" s="48"/>
      <c r="BR808" s="48"/>
      <c r="BS808" s="48"/>
      <c r="BT808" s="48"/>
      <c r="BU808" s="48"/>
    </row>
    <row r="809" ht="15.75" customHeight="1">
      <c r="A809" s="48"/>
      <c r="B809" s="48"/>
      <c r="C809" s="48"/>
      <c r="D809" s="48"/>
      <c r="E809" s="27"/>
      <c r="F809" s="48"/>
      <c r="G809" s="48"/>
      <c r="H809" s="56"/>
      <c r="I809" s="56"/>
      <c r="J809" s="56"/>
      <c r="K809" s="56"/>
      <c r="L809" s="56"/>
      <c r="M809" s="56"/>
      <c r="N809" s="56"/>
      <c r="O809" s="56"/>
      <c r="P809" s="56"/>
      <c r="Q809" s="56"/>
      <c r="R809" s="56"/>
      <c r="S809" s="56"/>
      <c r="T809" s="56"/>
      <c r="U809" s="56"/>
      <c r="V809" s="56"/>
      <c r="W809" s="27"/>
      <c r="X809" s="56"/>
      <c r="Y809" s="27"/>
      <c r="Z809" s="56"/>
      <c r="AA809" s="27"/>
      <c r="AB809" s="56"/>
      <c r="AC809" s="27"/>
      <c r="AD809" s="56"/>
      <c r="AE809" s="27"/>
      <c r="AF809" s="56"/>
      <c r="AG809" s="27"/>
      <c r="AH809" s="286"/>
      <c r="AI809" s="27"/>
      <c r="AJ809" s="56"/>
      <c r="AK809" s="27"/>
      <c r="AL809" s="56"/>
      <c r="AM809" s="27"/>
      <c r="AN809" s="56"/>
      <c r="AO809" s="27"/>
      <c r="AP809" s="56"/>
      <c r="AQ809" s="27"/>
      <c r="AR809" s="56"/>
      <c r="AS809" s="27"/>
      <c r="AT809" s="56"/>
      <c r="AU809" s="27"/>
      <c r="AV809" s="56"/>
      <c r="AW809" s="27"/>
      <c r="AX809" s="56"/>
      <c r="AY809" s="27"/>
      <c r="AZ809" s="56"/>
      <c r="BA809" s="27"/>
      <c r="BB809" s="48"/>
      <c r="BC809" s="48"/>
      <c r="BD809" s="48"/>
      <c r="BE809" s="48"/>
      <c r="BF809" s="48"/>
      <c r="BG809" s="48"/>
      <c r="BH809" s="48"/>
      <c r="BI809" s="48"/>
      <c r="BJ809" s="48"/>
      <c r="BK809" s="48"/>
      <c r="BL809" s="48"/>
      <c r="BM809" s="48"/>
      <c r="BN809" s="48"/>
      <c r="BO809" s="48"/>
      <c r="BP809" s="48"/>
      <c r="BQ809" s="48"/>
      <c r="BR809" s="48"/>
      <c r="BS809" s="48"/>
      <c r="BT809" s="48"/>
      <c r="BU809" s="48"/>
    </row>
    <row r="810" ht="15.75" customHeight="1">
      <c r="A810" s="48"/>
      <c r="B810" s="48"/>
      <c r="C810" s="48"/>
      <c r="D810" s="48"/>
      <c r="E810" s="27"/>
      <c r="F810" s="48"/>
      <c r="G810" s="48"/>
      <c r="H810" s="56"/>
      <c r="I810" s="56"/>
      <c r="J810" s="56"/>
      <c r="K810" s="56"/>
      <c r="L810" s="56"/>
      <c r="M810" s="56"/>
      <c r="N810" s="56"/>
      <c r="O810" s="56"/>
      <c r="P810" s="56"/>
      <c r="Q810" s="56"/>
      <c r="R810" s="56"/>
      <c r="S810" s="56"/>
      <c r="T810" s="56"/>
      <c r="U810" s="56"/>
      <c r="V810" s="56"/>
      <c r="W810" s="27"/>
      <c r="X810" s="56"/>
      <c r="Y810" s="27"/>
      <c r="Z810" s="56"/>
      <c r="AA810" s="27"/>
      <c r="AB810" s="56"/>
      <c r="AC810" s="27"/>
      <c r="AD810" s="56"/>
      <c r="AE810" s="27"/>
      <c r="AF810" s="56"/>
      <c r="AG810" s="27"/>
      <c r="AH810" s="286"/>
      <c r="AI810" s="27"/>
      <c r="AJ810" s="56"/>
      <c r="AK810" s="27"/>
      <c r="AL810" s="56"/>
      <c r="AM810" s="27"/>
      <c r="AN810" s="56"/>
      <c r="AO810" s="27"/>
      <c r="AP810" s="56"/>
      <c r="AQ810" s="27"/>
      <c r="AR810" s="56"/>
      <c r="AS810" s="27"/>
      <c r="AT810" s="56"/>
      <c r="AU810" s="27"/>
      <c r="AV810" s="56"/>
      <c r="AW810" s="27"/>
      <c r="AX810" s="56"/>
      <c r="AY810" s="27"/>
      <c r="AZ810" s="56"/>
      <c r="BA810" s="27"/>
      <c r="BB810" s="48"/>
      <c r="BC810" s="48"/>
      <c r="BD810" s="48"/>
      <c r="BE810" s="48"/>
      <c r="BF810" s="48"/>
      <c r="BG810" s="48"/>
      <c r="BH810" s="48"/>
      <c r="BI810" s="48"/>
      <c r="BJ810" s="48"/>
      <c r="BK810" s="48"/>
      <c r="BL810" s="48"/>
      <c r="BM810" s="48"/>
      <c r="BN810" s="48"/>
      <c r="BO810" s="48"/>
      <c r="BP810" s="48"/>
      <c r="BQ810" s="48"/>
      <c r="BR810" s="48"/>
      <c r="BS810" s="48"/>
      <c r="BT810" s="48"/>
      <c r="BU810" s="48"/>
    </row>
    <row r="811" ht="15.75" customHeight="1">
      <c r="A811" s="48"/>
      <c r="B811" s="48"/>
      <c r="C811" s="48"/>
      <c r="D811" s="48"/>
      <c r="E811" s="27"/>
      <c r="F811" s="48"/>
      <c r="G811" s="48"/>
      <c r="H811" s="56"/>
      <c r="I811" s="56"/>
      <c r="J811" s="56"/>
      <c r="K811" s="56"/>
      <c r="L811" s="56"/>
      <c r="M811" s="56"/>
      <c r="N811" s="56"/>
      <c r="O811" s="56"/>
      <c r="P811" s="56"/>
      <c r="Q811" s="56"/>
      <c r="R811" s="56"/>
      <c r="S811" s="56"/>
      <c r="T811" s="56"/>
      <c r="U811" s="56"/>
      <c r="V811" s="56"/>
      <c r="W811" s="27"/>
      <c r="X811" s="56"/>
      <c r="Y811" s="27"/>
      <c r="Z811" s="56"/>
      <c r="AA811" s="27"/>
      <c r="AB811" s="56"/>
      <c r="AC811" s="27"/>
      <c r="AD811" s="56"/>
      <c r="AE811" s="27"/>
      <c r="AF811" s="56"/>
      <c r="AG811" s="27"/>
      <c r="AH811" s="286"/>
      <c r="AI811" s="27"/>
      <c r="AJ811" s="56"/>
      <c r="AK811" s="27"/>
      <c r="AL811" s="56"/>
      <c r="AM811" s="27"/>
      <c r="AN811" s="56"/>
      <c r="AO811" s="27"/>
      <c r="AP811" s="56"/>
      <c r="AQ811" s="27"/>
      <c r="AR811" s="56"/>
      <c r="AS811" s="27"/>
      <c r="AT811" s="56"/>
      <c r="AU811" s="27"/>
      <c r="AV811" s="56"/>
      <c r="AW811" s="27"/>
      <c r="AX811" s="56"/>
      <c r="AY811" s="27"/>
      <c r="AZ811" s="56"/>
      <c r="BA811" s="27"/>
      <c r="BB811" s="48"/>
      <c r="BC811" s="48"/>
      <c r="BD811" s="48"/>
      <c r="BE811" s="48"/>
      <c r="BF811" s="48"/>
      <c r="BG811" s="48"/>
      <c r="BH811" s="48"/>
      <c r="BI811" s="48"/>
      <c r="BJ811" s="48"/>
      <c r="BK811" s="48"/>
      <c r="BL811" s="48"/>
      <c r="BM811" s="48"/>
      <c r="BN811" s="48"/>
      <c r="BO811" s="48"/>
      <c r="BP811" s="48"/>
      <c r="BQ811" s="48"/>
      <c r="BR811" s="48"/>
      <c r="BS811" s="48"/>
      <c r="BT811" s="48"/>
      <c r="BU811" s="48"/>
    </row>
    <row r="812" ht="15.75" customHeight="1">
      <c r="A812" s="48"/>
      <c r="B812" s="48"/>
      <c r="C812" s="48"/>
      <c r="D812" s="48"/>
      <c r="E812" s="27"/>
      <c r="F812" s="48"/>
      <c r="G812" s="48"/>
      <c r="H812" s="56"/>
      <c r="I812" s="56"/>
      <c r="J812" s="56"/>
      <c r="K812" s="56"/>
      <c r="L812" s="56"/>
      <c r="M812" s="56"/>
      <c r="N812" s="56"/>
      <c r="O812" s="56"/>
      <c r="P812" s="56"/>
      <c r="Q812" s="56"/>
      <c r="R812" s="56"/>
      <c r="S812" s="56"/>
      <c r="T812" s="56"/>
      <c r="U812" s="56"/>
      <c r="V812" s="56"/>
      <c r="W812" s="27"/>
      <c r="X812" s="56"/>
      <c r="Y812" s="27"/>
      <c r="Z812" s="56"/>
      <c r="AA812" s="27"/>
      <c r="AB812" s="56"/>
      <c r="AC812" s="27"/>
      <c r="AD812" s="56"/>
      <c r="AE812" s="27"/>
      <c r="AF812" s="56"/>
      <c r="AG812" s="27"/>
      <c r="AH812" s="286"/>
      <c r="AI812" s="27"/>
      <c r="AJ812" s="56"/>
      <c r="AK812" s="27"/>
      <c r="AL812" s="56"/>
      <c r="AM812" s="27"/>
      <c r="AN812" s="56"/>
      <c r="AO812" s="27"/>
      <c r="AP812" s="56"/>
      <c r="AQ812" s="27"/>
      <c r="AR812" s="56"/>
      <c r="AS812" s="27"/>
      <c r="AT812" s="56"/>
      <c r="AU812" s="27"/>
      <c r="AV812" s="56"/>
      <c r="AW812" s="27"/>
      <c r="AX812" s="56"/>
      <c r="AY812" s="27"/>
      <c r="AZ812" s="56"/>
      <c r="BA812" s="27"/>
      <c r="BB812" s="48"/>
      <c r="BC812" s="48"/>
      <c r="BD812" s="48"/>
      <c r="BE812" s="48"/>
      <c r="BF812" s="48"/>
      <c r="BG812" s="48"/>
      <c r="BH812" s="48"/>
      <c r="BI812" s="48"/>
      <c r="BJ812" s="48"/>
      <c r="BK812" s="48"/>
      <c r="BL812" s="48"/>
      <c r="BM812" s="48"/>
      <c r="BN812" s="48"/>
      <c r="BO812" s="48"/>
      <c r="BP812" s="48"/>
      <c r="BQ812" s="48"/>
      <c r="BR812" s="48"/>
      <c r="BS812" s="48"/>
      <c r="BT812" s="48"/>
      <c r="BU812" s="48"/>
    </row>
    <row r="813" ht="15.75" customHeight="1">
      <c r="A813" s="48"/>
      <c r="B813" s="48"/>
      <c r="C813" s="48"/>
      <c r="D813" s="48"/>
      <c r="E813" s="27"/>
      <c r="F813" s="48"/>
      <c r="G813" s="48"/>
      <c r="H813" s="56"/>
      <c r="I813" s="56"/>
      <c r="J813" s="56"/>
      <c r="K813" s="56"/>
      <c r="L813" s="56"/>
      <c r="M813" s="56"/>
      <c r="N813" s="56"/>
      <c r="O813" s="56"/>
      <c r="P813" s="56"/>
      <c r="Q813" s="56"/>
      <c r="R813" s="56"/>
      <c r="S813" s="56"/>
      <c r="T813" s="56"/>
      <c r="U813" s="56"/>
      <c r="V813" s="56"/>
      <c r="W813" s="27"/>
      <c r="X813" s="56"/>
      <c r="Y813" s="27"/>
      <c r="Z813" s="56"/>
      <c r="AA813" s="27"/>
      <c r="AB813" s="56"/>
      <c r="AC813" s="27"/>
      <c r="AD813" s="56"/>
      <c r="AE813" s="27"/>
      <c r="AF813" s="56"/>
      <c r="AG813" s="27"/>
      <c r="AH813" s="286"/>
      <c r="AI813" s="27"/>
      <c r="AJ813" s="56"/>
      <c r="AK813" s="27"/>
      <c r="AL813" s="56"/>
      <c r="AM813" s="27"/>
      <c r="AN813" s="56"/>
      <c r="AO813" s="27"/>
      <c r="AP813" s="56"/>
      <c r="AQ813" s="27"/>
      <c r="AR813" s="56"/>
      <c r="AS813" s="27"/>
      <c r="AT813" s="56"/>
      <c r="AU813" s="27"/>
      <c r="AV813" s="56"/>
      <c r="AW813" s="27"/>
      <c r="AX813" s="56"/>
      <c r="AY813" s="27"/>
      <c r="AZ813" s="56"/>
      <c r="BA813" s="27"/>
      <c r="BB813" s="48"/>
      <c r="BC813" s="48"/>
      <c r="BD813" s="48"/>
      <c r="BE813" s="48"/>
      <c r="BF813" s="48"/>
      <c r="BG813" s="48"/>
      <c r="BH813" s="48"/>
      <c r="BI813" s="48"/>
      <c r="BJ813" s="48"/>
      <c r="BK813" s="48"/>
      <c r="BL813" s="48"/>
      <c r="BM813" s="48"/>
      <c r="BN813" s="48"/>
      <c r="BO813" s="48"/>
      <c r="BP813" s="48"/>
      <c r="BQ813" s="48"/>
      <c r="BR813" s="48"/>
      <c r="BS813" s="48"/>
      <c r="BT813" s="48"/>
      <c r="BU813" s="48"/>
    </row>
    <row r="814" ht="15.75" customHeight="1">
      <c r="A814" s="48"/>
      <c r="B814" s="48"/>
      <c r="C814" s="48"/>
      <c r="D814" s="48"/>
      <c r="E814" s="27"/>
      <c r="F814" s="48"/>
      <c r="G814" s="48"/>
      <c r="H814" s="56"/>
      <c r="I814" s="56"/>
      <c r="J814" s="56"/>
      <c r="K814" s="56"/>
      <c r="L814" s="56"/>
      <c r="M814" s="56"/>
      <c r="N814" s="56"/>
      <c r="O814" s="56"/>
      <c r="P814" s="56"/>
      <c r="Q814" s="56"/>
      <c r="R814" s="56"/>
      <c r="S814" s="56"/>
      <c r="T814" s="56"/>
      <c r="U814" s="56"/>
      <c r="V814" s="56"/>
      <c r="W814" s="27"/>
      <c r="X814" s="56"/>
      <c r="Y814" s="27"/>
      <c r="Z814" s="56"/>
      <c r="AA814" s="27"/>
      <c r="AB814" s="56"/>
      <c r="AC814" s="27"/>
      <c r="AD814" s="56"/>
      <c r="AE814" s="27"/>
      <c r="AF814" s="56"/>
      <c r="AG814" s="27"/>
      <c r="AH814" s="286"/>
      <c r="AI814" s="27"/>
      <c r="AJ814" s="56"/>
      <c r="AK814" s="27"/>
      <c r="AL814" s="56"/>
      <c r="AM814" s="27"/>
      <c r="AN814" s="56"/>
      <c r="AO814" s="27"/>
      <c r="AP814" s="56"/>
      <c r="AQ814" s="27"/>
      <c r="AR814" s="56"/>
      <c r="AS814" s="27"/>
      <c r="AT814" s="56"/>
      <c r="AU814" s="27"/>
      <c r="AV814" s="56"/>
      <c r="AW814" s="27"/>
      <c r="AX814" s="56"/>
      <c r="AY814" s="27"/>
      <c r="AZ814" s="56"/>
      <c r="BA814" s="27"/>
      <c r="BB814" s="48"/>
      <c r="BC814" s="48"/>
      <c r="BD814" s="48"/>
      <c r="BE814" s="48"/>
      <c r="BF814" s="48"/>
      <c r="BG814" s="48"/>
      <c r="BH814" s="48"/>
      <c r="BI814" s="48"/>
      <c r="BJ814" s="48"/>
      <c r="BK814" s="48"/>
      <c r="BL814" s="48"/>
      <c r="BM814" s="48"/>
      <c r="BN814" s="48"/>
      <c r="BO814" s="48"/>
      <c r="BP814" s="48"/>
      <c r="BQ814" s="48"/>
      <c r="BR814" s="48"/>
      <c r="BS814" s="48"/>
      <c r="BT814" s="48"/>
      <c r="BU814" s="48"/>
    </row>
    <row r="815" ht="15.75" customHeight="1">
      <c r="A815" s="48"/>
      <c r="B815" s="48"/>
      <c r="C815" s="48"/>
      <c r="D815" s="48"/>
      <c r="E815" s="27"/>
      <c r="F815" s="48"/>
      <c r="G815" s="48"/>
      <c r="H815" s="56"/>
      <c r="I815" s="56"/>
      <c r="J815" s="56"/>
      <c r="K815" s="56"/>
      <c r="L815" s="56"/>
      <c r="M815" s="56"/>
      <c r="N815" s="56"/>
      <c r="O815" s="56"/>
      <c r="P815" s="56"/>
      <c r="Q815" s="56"/>
      <c r="R815" s="56"/>
      <c r="S815" s="56"/>
      <c r="T815" s="56"/>
      <c r="U815" s="56"/>
      <c r="V815" s="56"/>
      <c r="W815" s="27"/>
      <c r="X815" s="56"/>
      <c r="Y815" s="27"/>
      <c r="Z815" s="56"/>
      <c r="AA815" s="27"/>
      <c r="AB815" s="56"/>
      <c r="AC815" s="27"/>
      <c r="AD815" s="56"/>
      <c r="AE815" s="27"/>
      <c r="AF815" s="56"/>
      <c r="AG815" s="27"/>
      <c r="AH815" s="286"/>
      <c r="AI815" s="27"/>
      <c r="AJ815" s="56"/>
      <c r="AK815" s="27"/>
      <c r="AL815" s="56"/>
      <c r="AM815" s="27"/>
      <c r="AN815" s="56"/>
      <c r="AO815" s="27"/>
      <c r="AP815" s="56"/>
      <c r="AQ815" s="27"/>
      <c r="AR815" s="56"/>
      <c r="AS815" s="27"/>
      <c r="AT815" s="56"/>
      <c r="AU815" s="27"/>
      <c r="AV815" s="56"/>
      <c r="AW815" s="27"/>
      <c r="AX815" s="56"/>
      <c r="AY815" s="27"/>
      <c r="AZ815" s="56"/>
      <c r="BA815" s="27"/>
      <c r="BB815" s="48"/>
      <c r="BC815" s="48"/>
      <c r="BD815" s="48"/>
      <c r="BE815" s="48"/>
      <c r="BF815" s="48"/>
      <c r="BG815" s="48"/>
      <c r="BH815" s="48"/>
      <c r="BI815" s="48"/>
      <c r="BJ815" s="48"/>
      <c r="BK815" s="48"/>
      <c r="BL815" s="48"/>
      <c r="BM815" s="48"/>
      <c r="BN815" s="48"/>
      <c r="BO815" s="48"/>
      <c r="BP815" s="48"/>
      <c r="BQ815" s="48"/>
      <c r="BR815" s="48"/>
      <c r="BS815" s="48"/>
      <c r="BT815" s="48"/>
      <c r="BU815" s="48"/>
    </row>
    <row r="816" ht="15.75" customHeight="1">
      <c r="A816" s="48"/>
      <c r="B816" s="48"/>
      <c r="C816" s="48"/>
      <c r="D816" s="48"/>
      <c r="E816" s="27"/>
      <c r="F816" s="48"/>
      <c r="G816" s="48"/>
      <c r="H816" s="56"/>
      <c r="I816" s="56"/>
      <c r="J816" s="56"/>
      <c r="K816" s="56"/>
      <c r="L816" s="56"/>
      <c r="M816" s="56"/>
      <c r="N816" s="56"/>
      <c r="O816" s="56"/>
      <c r="P816" s="56"/>
      <c r="Q816" s="56"/>
      <c r="R816" s="56"/>
      <c r="S816" s="56"/>
      <c r="T816" s="56"/>
      <c r="U816" s="56"/>
      <c r="V816" s="56"/>
      <c r="W816" s="27"/>
      <c r="X816" s="56"/>
      <c r="Y816" s="27"/>
      <c r="Z816" s="56"/>
      <c r="AA816" s="27"/>
      <c r="AB816" s="56"/>
      <c r="AC816" s="27"/>
      <c r="AD816" s="56"/>
      <c r="AE816" s="27"/>
      <c r="AF816" s="56"/>
      <c r="AG816" s="27"/>
      <c r="AH816" s="286"/>
      <c r="AI816" s="27"/>
      <c r="AJ816" s="56"/>
      <c r="AK816" s="27"/>
      <c r="AL816" s="56"/>
      <c r="AM816" s="27"/>
      <c r="AN816" s="56"/>
      <c r="AO816" s="27"/>
      <c r="AP816" s="56"/>
      <c r="AQ816" s="27"/>
      <c r="AR816" s="56"/>
      <c r="AS816" s="27"/>
      <c r="AT816" s="56"/>
      <c r="AU816" s="27"/>
      <c r="AV816" s="56"/>
      <c r="AW816" s="27"/>
      <c r="AX816" s="56"/>
      <c r="AY816" s="27"/>
      <c r="AZ816" s="56"/>
      <c r="BA816" s="27"/>
      <c r="BB816" s="48"/>
      <c r="BC816" s="48"/>
      <c r="BD816" s="48"/>
      <c r="BE816" s="48"/>
      <c r="BF816" s="48"/>
      <c r="BG816" s="48"/>
      <c r="BH816" s="48"/>
      <c r="BI816" s="48"/>
      <c r="BJ816" s="48"/>
      <c r="BK816" s="48"/>
      <c r="BL816" s="48"/>
      <c r="BM816" s="48"/>
      <c r="BN816" s="48"/>
      <c r="BO816" s="48"/>
      <c r="BP816" s="48"/>
      <c r="BQ816" s="48"/>
      <c r="BR816" s="48"/>
      <c r="BS816" s="48"/>
      <c r="BT816" s="48"/>
      <c r="BU816" s="48"/>
    </row>
    <row r="817" ht="15.75" customHeight="1">
      <c r="A817" s="48"/>
      <c r="B817" s="48"/>
      <c r="C817" s="48"/>
      <c r="D817" s="48"/>
      <c r="E817" s="27"/>
      <c r="F817" s="48"/>
      <c r="G817" s="48"/>
      <c r="H817" s="56"/>
      <c r="I817" s="56"/>
      <c r="J817" s="56"/>
      <c r="K817" s="56"/>
      <c r="L817" s="56"/>
      <c r="M817" s="56"/>
      <c r="N817" s="56"/>
      <c r="O817" s="56"/>
      <c r="P817" s="56"/>
      <c r="Q817" s="56"/>
      <c r="R817" s="56"/>
      <c r="S817" s="56"/>
      <c r="T817" s="56"/>
      <c r="U817" s="56"/>
      <c r="V817" s="56"/>
      <c r="W817" s="27"/>
      <c r="X817" s="56"/>
      <c r="Y817" s="27"/>
      <c r="Z817" s="56"/>
      <c r="AA817" s="27"/>
      <c r="AB817" s="56"/>
      <c r="AC817" s="27"/>
      <c r="AD817" s="56"/>
      <c r="AE817" s="27"/>
      <c r="AF817" s="56"/>
      <c r="AG817" s="27"/>
      <c r="AH817" s="286"/>
      <c r="AI817" s="27"/>
      <c r="AJ817" s="56"/>
      <c r="AK817" s="27"/>
      <c r="AL817" s="56"/>
      <c r="AM817" s="27"/>
      <c r="AN817" s="56"/>
      <c r="AO817" s="27"/>
      <c r="AP817" s="56"/>
      <c r="AQ817" s="27"/>
      <c r="AR817" s="56"/>
      <c r="AS817" s="27"/>
      <c r="AT817" s="56"/>
      <c r="AU817" s="27"/>
      <c r="AV817" s="56"/>
      <c r="AW817" s="27"/>
      <c r="AX817" s="56"/>
      <c r="AY817" s="27"/>
      <c r="AZ817" s="56"/>
      <c r="BA817" s="27"/>
      <c r="BB817" s="48"/>
      <c r="BC817" s="48"/>
      <c r="BD817" s="48"/>
      <c r="BE817" s="48"/>
      <c r="BF817" s="48"/>
      <c r="BG817" s="48"/>
      <c r="BH817" s="48"/>
      <c r="BI817" s="48"/>
      <c r="BJ817" s="48"/>
      <c r="BK817" s="48"/>
      <c r="BL817" s="48"/>
      <c r="BM817" s="48"/>
      <c r="BN817" s="48"/>
      <c r="BO817" s="48"/>
      <c r="BP817" s="48"/>
      <c r="BQ817" s="48"/>
      <c r="BR817" s="48"/>
      <c r="BS817" s="48"/>
      <c r="BT817" s="48"/>
      <c r="BU817" s="48"/>
    </row>
    <row r="818" ht="15.75" customHeight="1">
      <c r="A818" s="48"/>
      <c r="B818" s="48"/>
      <c r="C818" s="48"/>
      <c r="D818" s="48"/>
      <c r="E818" s="27"/>
      <c r="F818" s="48"/>
      <c r="G818" s="48"/>
      <c r="H818" s="56"/>
      <c r="I818" s="56"/>
      <c r="J818" s="56"/>
      <c r="K818" s="56"/>
      <c r="L818" s="56"/>
      <c r="M818" s="56"/>
      <c r="N818" s="56"/>
      <c r="O818" s="56"/>
      <c r="P818" s="56"/>
      <c r="Q818" s="56"/>
      <c r="R818" s="56"/>
      <c r="S818" s="56"/>
      <c r="T818" s="56"/>
      <c r="U818" s="56"/>
      <c r="V818" s="56"/>
      <c r="W818" s="27"/>
      <c r="X818" s="56"/>
      <c r="Y818" s="27"/>
      <c r="Z818" s="56"/>
      <c r="AA818" s="27"/>
      <c r="AB818" s="56"/>
      <c r="AC818" s="27"/>
      <c r="AD818" s="56"/>
      <c r="AE818" s="27"/>
      <c r="AF818" s="56"/>
      <c r="AG818" s="27"/>
      <c r="AH818" s="286"/>
      <c r="AI818" s="27"/>
      <c r="AJ818" s="56"/>
      <c r="AK818" s="27"/>
      <c r="AL818" s="56"/>
      <c r="AM818" s="27"/>
      <c r="AN818" s="56"/>
      <c r="AO818" s="27"/>
      <c r="AP818" s="56"/>
      <c r="AQ818" s="27"/>
      <c r="AR818" s="56"/>
      <c r="AS818" s="27"/>
      <c r="AT818" s="56"/>
      <c r="AU818" s="27"/>
      <c r="AV818" s="56"/>
      <c r="AW818" s="27"/>
      <c r="AX818" s="56"/>
      <c r="AY818" s="27"/>
      <c r="AZ818" s="56"/>
      <c r="BA818" s="27"/>
      <c r="BB818" s="48"/>
      <c r="BC818" s="48"/>
      <c r="BD818" s="48"/>
      <c r="BE818" s="48"/>
      <c r="BF818" s="48"/>
      <c r="BG818" s="48"/>
      <c r="BH818" s="48"/>
      <c r="BI818" s="48"/>
      <c r="BJ818" s="48"/>
      <c r="BK818" s="48"/>
      <c r="BL818" s="48"/>
      <c r="BM818" s="48"/>
      <c r="BN818" s="48"/>
      <c r="BO818" s="48"/>
      <c r="BP818" s="48"/>
      <c r="BQ818" s="48"/>
      <c r="BR818" s="48"/>
      <c r="BS818" s="48"/>
      <c r="BT818" s="48"/>
      <c r="BU818" s="48"/>
    </row>
    <row r="819" ht="15.75" customHeight="1">
      <c r="A819" s="48"/>
      <c r="B819" s="48"/>
      <c r="C819" s="48"/>
      <c r="D819" s="48"/>
      <c r="E819" s="27"/>
      <c r="F819" s="48"/>
      <c r="G819" s="48"/>
      <c r="H819" s="56"/>
      <c r="I819" s="56"/>
      <c r="J819" s="56"/>
      <c r="K819" s="56"/>
      <c r="L819" s="56"/>
      <c r="M819" s="56"/>
      <c r="N819" s="56"/>
      <c r="O819" s="56"/>
      <c r="P819" s="56"/>
      <c r="Q819" s="56"/>
      <c r="R819" s="56"/>
      <c r="S819" s="56"/>
      <c r="T819" s="56"/>
      <c r="U819" s="56"/>
      <c r="V819" s="56"/>
      <c r="W819" s="27"/>
      <c r="X819" s="56"/>
      <c r="Y819" s="27"/>
      <c r="Z819" s="56"/>
      <c r="AA819" s="27"/>
      <c r="AB819" s="56"/>
      <c r="AC819" s="27"/>
      <c r="AD819" s="56"/>
      <c r="AE819" s="27"/>
      <c r="AF819" s="56"/>
      <c r="AG819" s="27"/>
      <c r="AH819" s="286"/>
      <c r="AI819" s="27"/>
      <c r="AJ819" s="56"/>
      <c r="AK819" s="27"/>
      <c r="AL819" s="56"/>
      <c r="AM819" s="27"/>
      <c r="AN819" s="56"/>
      <c r="AO819" s="27"/>
      <c r="AP819" s="56"/>
      <c r="AQ819" s="27"/>
      <c r="AR819" s="56"/>
      <c r="AS819" s="27"/>
      <c r="AT819" s="56"/>
      <c r="AU819" s="27"/>
      <c r="AV819" s="56"/>
      <c r="AW819" s="27"/>
      <c r="AX819" s="56"/>
      <c r="AY819" s="27"/>
      <c r="AZ819" s="56"/>
      <c r="BA819" s="27"/>
      <c r="BB819" s="48"/>
      <c r="BC819" s="48"/>
      <c r="BD819" s="48"/>
      <c r="BE819" s="48"/>
      <c r="BF819" s="48"/>
      <c r="BG819" s="48"/>
      <c r="BH819" s="48"/>
      <c r="BI819" s="48"/>
      <c r="BJ819" s="48"/>
      <c r="BK819" s="48"/>
      <c r="BL819" s="48"/>
      <c r="BM819" s="48"/>
      <c r="BN819" s="48"/>
      <c r="BO819" s="48"/>
      <c r="BP819" s="48"/>
      <c r="BQ819" s="48"/>
      <c r="BR819" s="48"/>
      <c r="BS819" s="48"/>
      <c r="BT819" s="48"/>
      <c r="BU819" s="48"/>
    </row>
    <row r="820" ht="15.75" customHeight="1">
      <c r="A820" s="48"/>
      <c r="B820" s="48"/>
      <c r="C820" s="48"/>
      <c r="D820" s="48"/>
      <c r="E820" s="27"/>
      <c r="F820" s="48"/>
      <c r="G820" s="48"/>
      <c r="H820" s="56"/>
      <c r="I820" s="56"/>
      <c r="J820" s="56"/>
      <c r="K820" s="56"/>
      <c r="L820" s="56"/>
      <c r="M820" s="56"/>
      <c r="N820" s="56"/>
      <c r="O820" s="56"/>
      <c r="P820" s="56"/>
      <c r="Q820" s="56"/>
      <c r="R820" s="56"/>
      <c r="S820" s="56"/>
      <c r="T820" s="56"/>
      <c r="U820" s="56"/>
      <c r="V820" s="56"/>
      <c r="W820" s="27"/>
      <c r="X820" s="56"/>
      <c r="Y820" s="27"/>
      <c r="Z820" s="56"/>
      <c r="AA820" s="27"/>
      <c r="AB820" s="56"/>
      <c r="AC820" s="27"/>
      <c r="AD820" s="56"/>
      <c r="AE820" s="27"/>
      <c r="AF820" s="56"/>
      <c r="AG820" s="27"/>
      <c r="AH820" s="286"/>
      <c r="AI820" s="27"/>
      <c r="AJ820" s="56"/>
      <c r="AK820" s="27"/>
      <c r="AL820" s="56"/>
      <c r="AM820" s="27"/>
      <c r="AN820" s="56"/>
      <c r="AO820" s="27"/>
      <c r="AP820" s="56"/>
      <c r="AQ820" s="27"/>
      <c r="AR820" s="56"/>
      <c r="AS820" s="27"/>
      <c r="AT820" s="56"/>
      <c r="AU820" s="27"/>
      <c r="AV820" s="56"/>
      <c r="AW820" s="27"/>
      <c r="AX820" s="56"/>
      <c r="AY820" s="27"/>
      <c r="AZ820" s="56"/>
      <c r="BA820" s="27"/>
      <c r="BB820" s="48"/>
      <c r="BC820" s="48"/>
      <c r="BD820" s="48"/>
      <c r="BE820" s="48"/>
      <c r="BF820" s="48"/>
      <c r="BG820" s="48"/>
      <c r="BH820" s="48"/>
      <c r="BI820" s="48"/>
      <c r="BJ820" s="48"/>
      <c r="BK820" s="48"/>
      <c r="BL820" s="48"/>
      <c r="BM820" s="48"/>
      <c r="BN820" s="48"/>
      <c r="BO820" s="48"/>
      <c r="BP820" s="48"/>
      <c r="BQ820" s="48"/>
      <c r="BR820" s="48"/>
      <c r="BS820" s="48"/>
      <c r="BT820" s="48"/>
      <c r="BU820" s="48"/>
    </row>
    <row r="821" ht="15.75" customHeight="1">
      <c r="A821" s="48"/>
      <c r="B821" s="48"/>
      <c r="C821" s="48"/>
      <c r="D821" s="48"/>
      <c r="E821" s="27"/>
      <c r="F821" s="48"/>
      <c r="G821" s="48"/>
      <c r="H821" s="56"/>
      <c r="I821" s="56"/>
      <c r="J821" s="56"/>
      <c r="K821" s="56"/>
      <c r="L821" s="56"/>
      <c r="M821" s="56"/>
      <c r="N821" s="56"/>
      <c r="O821" s="56"/>
      <c r="P821" s="56"/>
      <c r="Q821" s="56"/>
      <c r="R821" s="56"/>
      <c r="S821" s="56"/>
      <c r="T821" s="56"/>
      <c r="U821" s="56"/>
      <c r="V821" s="56"/>
      <c r="W821" s="27"/>
      <c r="X821" s="56"/>
      <c r="Y821" s="27"/>
      <c r="Z821" s="56"/>
      <c r="AA821" s="27"/>
      <c r="AB821" s="56"/>
      <c r="AC821" s="27"/>
      <c r="AD821" s="56"/>
      <c r="AE821" s="27"/>
      <c r="AF821" s="56"/>
      <c r="AG821" s="27"/>
      <c r="AH821" s="286"/>
      <c r="AI821" s="27"/>
      <c r="AJ821" s="56"/>
      <c r="AK821" s="27"/>
      <c r="AL821" s="56"/>
      <c r="AM821" s="27"/>
      <c r="AN821" s="56"/>
      <c r="AO821" s="27"/>
      <c r="AP821" s="56"/>
      <c r="AQ821" s="27"/>
      <c r="AR821" s="56"/>
      <c r="AS821" s="27"/>
      <c r="AT821" s="56"/>
      <c r="AU821" s="27"/>
      <c r="AV821" s="56"/>
      <c r="AW821" s="27"/>
      <c r="AX821" s="56"/>
      <c r="AY821" s="27"/>
      <c r="AZ821" s="56"/>
      <c r="BA821" s="27"/>
      <c r="BB821" s="48"/>
      <c r="BC821" s="48"/>
      <c r="BD821" s="48"/>
      <c r="BE821" s="48"/>
      <c r="BF821" s="48"/>
      <c r="BG821" s="48"/>
      <c r="BH821" s="48"/>
      <c r="BI821" s="48"/>
      <c r="BJ821" s="48"/>
      <c r="BK821" s="48"/>
      <c r="BL821" s="48"/>
      <c r="BM821" s="48"/>
      <c r="BN821" s="48"/>
      <c r="BO821" s="48"/>
      <c r="BP821" s="48"/>
      <c r="BQ821" s="48"/>
      <c r="BR821" s="48"/>
      <c r="BS821" s="48"/>
      <c r="BT821" s="48"/>
      <c r="BU821" s="48"/>
    </row>
    <row r="822" ht="15.75" customHeight="1">
      <c r="A822" s="48"/>
      <c r="B822" s="48"/>
      <c r="C822" s="48"/>
      <c r="D822" s="48"/>
      <c r="E822" s="27"/>
      <c r="F822" s="48"/>
      <c r="G822" s="48"/>
      <c r="H822" s="56"/>
      <c r="I822" s="56"/>
      <c r="J822" s="56"/>
      <c r="K822" s="56"/>
      <c r="L822" s="56"/>
      <c r="M822" s="56"/>
      <c r="N822" s="56"/>
      <c r="O822" s="56"/>
      <c r="P822" s="56"/>
      <c r="Q822" s="56"/>
      <c r="R822" s="56"/>
      <c r="S822" s="56"/>
      <c r="T822" s="56"/>
      <c r="U822" s="56"/>
      <c r="V822" s="56"/>
      <c r="W822" s="27"/>
      <c r="X822" s="56"/>
      <c r="Y822" s="27"/>
      <c r="Z822" s="56"/>
      <c r="AA822" s="27"/>
      <c r="AB822" s="56"/>
      <c r="AC822" s="27"/>
      <c r="AD822" s="56"/>
      <c r="AE822" s="27"/>
      <c r="AF822" s="56"/>
      <c r="AG822" s="27"/>
      <c r="AH822" s="286"/>
      <c r="AI822" s="27"/>
      <c r="AJ822" s="56"/>
      <c r="AK822" s="27"/>
      <c r="AL822" s="56"/>
      <c r="AM822" s="27"/>
      <c r="AN822" s="56"/>
      <c r="AO822" s="27"/>
      <c r="AP822" s="56"/>
      <c r="AQ822" s="27"/>
      <c r="AR822" s="56"/>
      <c r="AS822" s="27"/>
      <c r="AT822" s="56"/>
      <c r="AU822" s="27"/>
      <c r="AV822" s="56"/>
      <c r="AW822" s="27"/>
      <c r="AX822" s="56"/>
      <c r="AY822" s="27"/>
      <c r="AZ822" s="56"/>
      <c r="BA822" s="27"/>
      <c r="BB822" s="48"/>
      <c r="BC822" s="48"/>
      <c r="BD822" s="48"/>
      <c r="BE822" s="48"/>
      <c r="BF822" s="48"/>
      <c r="BG822" s="48"/>
      <c r="BH822" s="48"/>
      <c r="BI822" s="48"/>
      <c r="BJ822" s="48"/>
      <c r="BK822" s="48"/>
      <c r="BL822" s="48"/>
      <c r="BM822" s="48"/>
      <c r="BN822" s="48"/>
      <c r="BO822" s="48"/>
      <c r="BP822" s="48"/>
      <c r="BQ822" s="48"/>
      <c r="BR822" s="48"/>
      <c r="BS822" s="48"/>
      <c r="BT822" s="48"/>
      <c r="BU822" s="48"/>
    </row>
    <row r="823" ht="15.75" customHeight="1">
      <c r="A823" s="48"/>
      <c r="B823" s="48"/>
      <c r="C823" s="48"/>
      <c r="D823" s="48"/>
      <c r="E823" s="27"/>
      <c r="F823" s="48"/>
      <c r="G823" s="48"/>
      <c r="H823" s="56"/>
      <c r="I823" s="56"/>
      <c r="J823" s="56"/>
      <c r="K823" s="56"/>
      <c r="L823" s="56"/>
      <c r="M823" s="56"/>
      <c r="N823" s="56"/>
      <c r="O823" s="56"/>
      <c r="P823" s="56"/>
      <c r="Q823" s="56"/>
      <c r="R823" s="56"/>
      <c r="S823" s="56"/>
      <c r="T823" s="56"/>
      <c r="U823" s="56"/>
      <c r="V823" s="56"/>
      <c r="W823" s="27"/>
      <c r="X823" s="56"/>
      <c r="Y823" s="27"/>
      <c r="Z823" s="56"/>
      <c r="AA823" s="27"/>
      <c r="AB823" s="56"/>
      <c r="AC823" s="27"/>
      <c r="AD823" s="56"/>
      <c r="AE823" s="27"/>
      <c r="AF823" s="56"/>
      <c r="AG823" s="27"/>
      <c r="AH823" s="286"/>
      <c r="AI823" s="27"/>
      <c r="AJ823" s="56"/>
      <c r="AK823" s="27"/>
      <c r="AL823" s="56"/>
      <c r="AM823" s="27"/>
      <c r="AN823" s="56"/>
      <c r="AO823" s="27"/>
      <c r="AP823" s="56"/>
      <c r="AQ823" s="27"/>
      <c r="AR823" s="56"/>
      <c r="AS823" s="27"/>
      <c r="AT823" s="56"/>
      <c r="AU823" s="27"/>
      <c r="AV823" s="56"/>
      <c r="AW823" s="27"/>
      <c r="AX823" s="56"/>
      <c r="AY823" s="27"/>
      <c r="AZ823" s="56"/>
      <c r="BA823" s="27"/>
      <c r="BB823" s="48"/>
      <c r="BC823" s="48"/>
      <c r="BD823" s="48"/>
      <c r="BE823" s="48"/>
      <c r="BF823" s="48"/>
      <c r="BG823" s="48"/>
      <c r="BH823" s="48"/>
      <c r="BI823" s="48"/>
      <c r="BJ823" s="48"/>
      <c r="BK823" s="48"/>
      <c r="BL823" s="48"/>
      <c r="BM823" s="48"/>
      <c r="BN823" s="48"/>
      <c r="BO823" s="48"/>
      <c r="BP823" s="48"/>
      <c r="BQ823" s="48"/>
      <c r="BR823" s="48"/>
      <c r="BS823" s="48"/>
      <c r="BT823" s="48"/>
      <c r="BU823" s="48"/>
    </row>
    <row r="824" ht="15.75" customHeight="1">
      <c r="A824" s="48"/>
      <c r="B824" s="48"/>
      <c r="C824" s="48"/>
      <c r="D824" s="48"/>
      <c r="E824" s="27"/>
      <c r="F824" s="48"/>
      <c r="G824" s="48"/>
      <c r="H824" s="56"/>
      <c r="I824" s="56"/>
      <c r="J824" s="56"/>
      <c r="K824" s="56"/>
      <c r="L824" s="56"/>
      <c r="M824" s="56"/>
      <c r="N824" s="56"/>
      <c r="O824" s="56"/>
      <c r="P824" s="56"/>
      <c r="Q824" s="56"/>
      <c r="R824" s="56"/>
      <c r="S824" s="56"/>
      <c r="T824" s="56"/>
      <c r="U824" s="56"/>
      <c r="V824" s="56"/>
      <c r="W824" s="27"/>
      <c r="X824" s="56"/>
      <c r="Y824" s="27"/>
      <c r="Z824" s="56"/>
      <c r="AA824" s="27"/>
      <c r="AB824" s="56"/>
      <c r="AC824" s="27"/>
      <c r="AD824" s="56"/>
      <c r="AE824" s="27"/>
      <c r="AF824" s="56"/>
      <c r="AG824" s="27"/>
      <c r="AH824" s="286"/>
      <c r="AI824" s="27"/>
      <c r="AJ824" s="56"/>
      <c r="AK824" s="27"/>
      <c r="AL824" s="56"/>
      <c r="AM824" s="27"/>
      <c r="AN824" s="56"/>
      <c r="AO824" s="27"/>
      <c r="AP824" s="56"/>
      <c r="AQ824" s="27"/>
      <c r="AR824" s="56"/>
      <c r="AS824" s="27"/>
      <c r="AT824" s="56"/>
      <c r="AU824" s="27"/>
      <c r="AV824" s="56"/>
      <c r="AW824" s="27"/>
      <c r="AX824" s="56"/>
      <c r="AY824" s="27"/>
      <c r="AZ824" s="56"/>
      <c r="BA824" s="27"/>
      <c r="BB824" s="48"/>
      <c r="BC824" s="48"/>
      <c r="BD824" s="48"/>
      <c r="BE824" s="48"/>
      <c r="BF824" s="48"/>
      <c r="BG824" s="48"/>
      <c r="BH824" s="48"/>
      <c r="BI824" s="48"/>
      <c r="BJ824" s="48"/>
      <c r="BK824" s="48"/>
      <c r="BL824" s="48"/>
      <c r="BM824" s="48"/>
      <c r="BN824" s="48"/>
      <c r="BO824" s="48"/>
      <c r="BP824" s="48"/>
      <c r="BQ824" s="48"/>
      <c r="BR824" s="48"/>
      <c r="BS824" s="48"/>
      <c r="BT824" s="48"/>
      <c r="BU824" s="48"/>
    </row>
    <row r="825" ht="15.75" customHeight="1">
      <c r="A825" s="48"/>
      <c r="B825" s="48"/>
      <c r="C825" s="48"/>
      <c r="D825" s="48"/>
      <c r="E825" s="27"/>
      <c r="F825" s="48"/>
      <c r="G825" s="48"/>
      <c r="H825" s="56"/>
      <c r="I825" s="56"/>
      <c r="J825" s="56"/>
      <c r="K825" s="56"/>
      <c r="L825" s="56"/>
      <c r="M825" s="56"/>
      <c r="N825" s="56"/>
      <c r="O825" s="56"/>
      <c r="P825" s="56"/>
      <c r="Q825" s="56"/>
      <c r="R825" s="56"/>
      <c r="S825" s="56"/>
      <c r="T825" s="56"/>
      <c r="U825" s="56"/>
      <c r="V825" s="56"/>
      <c r="W825" s="27"/>
      <c r="X825" s="56"/>
      <c r="Y825" s="27"/>
      <c r="Z825" s="56"/>
      <c r="AA825" s="27"/>
      <c r="AB825" s="56"/>
      <c r="AC825" s="27"/>
      <c r="AD825" s="56"/>
      <c r="AE825" s="27"/>
      <c r="AF825" s="56"/>
      <c r="AG825" s="27"/>
      <c r="AH825" s="286"/>
      <c r="AI825" s="27"/>
      <c r="AJ825" s="56"/>
      <c r="AK825" s="27"/>
      <c r="AL825" s="56"/>
      <c r="AM825" s="27"/>
      <c r="AN825" s="56"/>
      <c r="AO825" s="27"/>
      <c r="AP825" s="56"/>
      <c r="AQ825" s="27"/>
      <c r="AR825" s="56"/>
      <c r="AS825" s="27"/>
      <c r="AT825" s="56"/>
      <c r="AU825" s="27"/>
      <c r="AV825" s="56"/>
      <c r="AW825" s="27"/>
      <c r="AX825" s="56"/>
      <c r="AY825" s="27"/>
      <c r="AZ825" s="56"/>
      <c r="BA825" s="27"/>
      <c r="BB825" s="48"/>
      <c r="BC825" s="48"/>
      <c r="BD825" s="48"/>
      <c r="BE825" s="48"/>
      <c r="BF825" s="48"/>
      <c r="BG825" s="48"/>
      <c r="BH825" s="48"/>
      <c r="BI825" s="48"/>
      <c r="BJ825" s="48"/>
      <c r="BK825" s="48"/>
      <c r="BL825" s="48"/>
      <c r="BM825" s="48"/>
      <c r="BN825" s="48"/>
      <c r="BO825" s="48"/>
      <c r="BP825" s="48"/>
      <c r="BQ825" s="48"/>
      <c r="BR825" s="48"/>
      <c r="BS825" s="48"/>
      <c r="BT825" s="48"/>
      <c r="BU825" s="48"/>
    </row>
    <row r="826" ht="15.75" customHeight="1">
      <c r="A826" s="48"/>
      <c r="B826" s="48"/>
      <c r="C826" s="48"/>
      <c r="D826" s="48"/>
      <c r="E826" s="27"/>
      <c r="F826" s="48"/>
      <c r="G826" s="48"/>
      <c r="H826" s="56"/>
      <c r="I826" s="56"/>
      <c r="J826" s="56"/>
      <c r="K826" s="56"/>
      <c r="L826" s="56"/>
      <c r="M826" s="56"/>
      <c r="N826" s="56"/>
      <c r="O826" s="56"/>
      <c r="P826" s="56"/>
      <c r="Q826" s="56"/>
      <c r="R826" s="56"/>
      <c r="S826" s="56"/>
      <c r="T826" s="56"/>
      <c r="U826" s="56"/>
      <c r="V826" s="56"/>
      <c r="W826" s="27"/>
      <c r="X826" s="56"/>
      <c r="Y826" s="27"/>
      <c r="Z826" s="56"/>
      <c r="AA826" s="27"/>
      <c r="AB826" s="56"/>
      <c r="AC826" s="27"/>
      <c r="AD826" s="56"/>
      <c r="AE826" s="27"/>
      <c r="AF826" s="56"/>
      <c r="AG826" s="27"/>
      <c r="AH826" s="286"/>
      <c r="AI826" s="27"/>
      <c r="AJ826" s="56"/>
      <c r="AK826" s="27"/>
      <c r="AL826" s="56"/>
      <c r="AM826" s="27"/>
      <c r="AN826" s="56"/>
      <c r="AO826" s="27"/>
      <c r="AP826" s="56"/>
      <c r="AQ826" s="27"/>
      <c r="AR826" s="56"/>
      <c r="AS826" s="27"/>
      <c r="AT826" s="56"/>
      <c r="AU826" s="27"/>
      <c r="AV826" s="56"/>
      <c r="AW826" s="27"/>
      <c r="AX826" s="56"/>
      <c r="AY826" s="27"/>
      <c r="AZ826" s="56"/>
      <c r="BA826" s="27"/>
      <c r="BB826" s="48"/>
      <c r="BC826" s="48"/>
      <c r="BD826" s="48"/>
      <c r="BE826" s="48"/>
      <c r="BF826" s="48"/>
      <c r="BG826" s="48"/>
      <c r="BH826" s="48"/>
      <c r="BI826" s="48"/>
      <c r="BJ826" s="48"/>
      <c r="BK826" s="48"/>
      <c r="BL826" s="48"/>
      <c r="BM826" s="48"/>
      <c r="BN826" s="48"/>
      <c r="BO826" s="48"/>
      <c r="BP826" s="48"/>
      <c r="BQ826" s="48"/>
      <c r="BR826" s="48"/>
      <c r="BS826" s="48"/>
      <c r="BT826" s="48"/>
      <c r="BU826" s="48"/>
    </row>
    <row r="827" ht="15.75" customHeight="1">
      <c r="A827" s="48"/>
      <c r="B827" s="48"/>
      <c r="C827" s="48"/>
      <c r="D827" s="48"/>
      <c r="E827" s="27"/>
      <c r="F827" s="48"/>
      <c r="G827" s="48"/>
      <c r="H827" s="56"/>
      <c r="I827" s="56"/>
      <c r="J827" s="56"/>
      <c r="K827" s="56"/>
      <c r="L827" s="56"/>
      <c r="M827" s="56"/>
      <c r="N827" s="56"/>
      <c r="O827" s="56"/>
      <c r="P827" s="56"/>
      <c r="Q827" s="56"/>
      <c r="R827" s="56"/>
      <c r="S827" s="56"/>
      <c r="T827" s="56"/>
      <c r="U827" s="56"/>
      <c r="V827" s="56"/>
      <c r="W827" s="27"/>
      <c r="X827" s="56"/>
      <c r="Y827" s="27"/>
      <c r="Z827" s="56"/>
      <c r="AA827" s="27"/>
      <c r="AB827" s="56"/>
      <c r="AC827" s="27"/>
      <c r="AD827" s="56"/>
      <c r="AE827" s="27"/>
      <c r="AF827" s="56"/>
      <c r="AG827" s="27"/>
      <c r="AH827" s="286"/>
      <c r="AI827" s="27"/>
      <c r="AJ827" s="56"/>
      <c r="AK827" s="27"/>
      <c r="AL827" s="56"/>
      <c r="AM827" s="27"/>
      <c r="AN827" s="56"/>
      <c r="AO827" s="27"/>
      <c r="AP827" s="56"/>
      <c r="AQ827" s="27"/>
      <c r="AR827" s="56"/>
      <c r="AS827" s="27"/>
      <c r="AT827" s="56"/>
      <c r="AU827" s="27"/>
      <c r="AV827" s="56"/>
      <c r="AW827" s="27"/>
      <c r="AX827" s="56"/>
      <c r="AY827" s="27"/>
      <c r="AZ827" s="56"/>
      <c r="BA827" s="27"/>
      <c r="BB827" s="48"/>
      <c r="BC827" s="48"/>
      <c r="BD827" s="48"/>
      <c r="BE827" s="48"/>
      <c r="BF827" s="48"/>
      <c r="BG827" s="48"/>
      <c r="BH827" s="48"/>
      <c r="BI827" s="48"/>
      <c r="BJ827" s="48"/>
      <c r="BK827" s="48"/>
      <c r="BL827" s="48"/>
      <c r="BM827" s="48"/>
      <c r="BN827" s="48"/>
      <c r="BO827" s="48"/>
      <c r="BP827" s="48"/>
      <c r="BQ827" s="48"/>
      <c r="BR827" s="48"/>
      <c r="BS827" s="48"/>
      <c r="BT827" s="48"/>
      <c r="BU827" s="48"/>
    </row>
    <row r="828" ht="15.75" customHeight="1">
      <c r="A828" s="48"/>
      <c r="B828" s="48"/>
      <c r="C828" s="48"/>
      <c r="D828" s="48"/>
      <c r="E828" s="27"/>
      <c r="F828" s="48"/>
      <c r="G828" s="48"/>
      <c r="H828" s="56"/>
      <c r="I828" s="56"/>
      <c r="J828" s="56"/>
      <c r="K828" s="56"/>
      <c r="L828" s="56"/>
      <c r="M828" s="56"/>
      <c r="N828" s="56"/>
      <c r="O828" s="56"/>
      <c r="P828" s="56"/>
      <c r="Q828" s="56"/>
      <c r="R828" s="56"/>
      <c r="S828" s="56"/>
      <c r="T828" s="56"/>
      <c r="U828" s="56"/>
      <c r="V828" s="56"/>
      <c r="W828" s="27"/>
      <c r="X828" s="56"/>
      <c r="Y828" s="27"/>
      <c r="Z828" s="56"/>
      <c r="AA828" s="27"/>
      <c r="AB828" s="56"/>
      <c r="AC828" s="27"/>
      <c r="AD828" s="56"/>
      <c r="AE828" s="27"/>
      <c r="AF828" s="56"/>
      <c r="AG828" s="27"/>
      <c r="AH828" s="286"/>
      <c r="AI828" s="27"/>
      <c r="AJ828" s="56"/>
      <c r="AK828" s="27"/>
      <c r="AL828" s="56"/>
      <c r="AM828" s="27"/>
      <c r="AN828" s="56"/>
      <c r="AO828" s="27"/>
      <c r="AP828" s="56"/>
      <c r="AQ828" s="27"/>
      <c r="AR828" s="56"/>
      <c r="AS828" s="27"/>
      <c r="AT828" s="56"/>
      <c r="AU828" s="27"/>
      <c r="AV828" s="56"/>
      <c r="AW828" s="27"/>
      <c r="AX828" s="56"/>
      <c r="AY828" s="27"/>
      <c r="AZ828" s="56"/>
      <c r="BA828" s="27"/>
      <c r="BB828" s="48"/>
      <c r="BC828" s="48"/>
      <c r="BD828" s="48"/>
      <c r="BE828" s="48"/>
      <c r="BF828" s="48"/>
      <c r="BG828" s="48"/>
      <c r="BH828" s="48"/>
      <c r="BI828" s="48"/>
      <c r="BJ828" s="48"/>
      <c r="BK828" s="48"/>
      <c r="BL828" s="48"/>
      <c r="BM828" s="48"/>
      <c r="BN828" s="48"/>
      <c r="BO828" s="48"/>
      <c r="BP828" s="48"/>
      <c r="BQ828" s="48"/>
      <c r="BR828" s="48"/>
      <c r="BS828" s="48"/>
      <c r="BT828" s="48"/>
      <c r="BU828" s="48"/>
    </row>
    <row r="829" ht="15.75" customHeight="1">
      <c r="A829" s="48"/>
      <c r="B829" s="48"/>
      <c r="C829" s="48"/>
      <c r="D829" s="48"/>
      <c r="E829" s="27"/>
      <c r="F829" s="48"/>
      <c r="G829" s="48"/>
      <c r="H829" s="56"/>
      <c r="I829" s="56"/>
      <c r="J829" s="56"/>
      <c r="K829" s="56"/>
      <c r="L829" s="56"/>
      <c r="M829" s="56"/>
      <c r="N829" s="56"/>
      <c r="O829" s="56"/>
      <c r="P829" s="56"/>
      <c r="Q829" s="56"/>
      <c r="R829" s="56"/>
      <c r="S829" s="56"/>
      <c r="T829" s="56"/>
      <c r="U829" s="56"/>
      <c r="V829" s="56"/>
      <c r="W829" s="27"/>
      <c r="X829" s="56"/>
      <c r="Y829" s="27"/>
      <c r="Z829" s="56"/>
      <c r="AA829" s="27"/>
      <c r="AB829" s="56"/>
      <c r="AC829" s="27"/>
      <c r="AD829" s="56"/>
      <c r="AE829" s="27"/>
      <c r="AF829" s="56"/>
      <c r="AG829" s="27"/>
      <c r="AH829" s="286"/>
      <c r="AI829" s="27"/>
      <c r="AJ829" s="56"/>
      <c r="AK829" s="27"/>
      <c r="AL829" s="56"/>
      <c r="AM829" s="27"/>
      <c r="AN829" s="56"/>
      <c r="AO829" s="27"/>
      <c r="AP829" s="56"/>
      <c r="AQ829" s="27"/>
      <c r="AR829" s="56"/>
      <c r="AS829" s="27"/>
      <c r="AT829" s="56"/>
      <c r="AU829" s="27"/>
      <c r="AV829" s="56"/>
      <c r="AW829" s="27"/>
      <c r="AX829" s="56"/>
      <c r="AY829" s="27"/>
      <c r="AZ829" s="56"/>
      <c r="BA829" s="27"/>
      <c r="BB829" s="48"/>
      <c r="BC829" s="48"/>
      <c r="BD829" s="48"/>
      <c r="BE829" s="48"/>
      <c r="BF829" s="48"/>
      <c r="BG829" s="48"/>
      <c r="BH829" s="48"/>
      <c r="BI829" s="48"/>
      <c r="BJ829" s="48"/>
      <c r="BK829" s="48"/>
      <c r="BL829" s="48"/>
      <c r="BM829" s="48"/>
      <c r="BN829" s="48"/>
      <c r="BO829" s="48"/>
      <c r="BP829" s="48"/>
      <c r="BQ829" s="48"/>
      <c r="BR829" s="48"/>
      <c r="BS829" s="48"/>
      <c r="BT829" s="48"/>
      <c r="BU829" s="48"/>
    </row>
    <row r="830" ht="15.75" customHeight="1">
      <c r="A830" s="48"/>
      <c r="B830" s="48"/>
      <c r="C830" s="48"/>
      <c r="D830" s="48"/>
      <c r="E830" s="27"/>
      <c r="F830" s="48"/>
      <c r="G830" s="48"/>
      <c r="H830" s="56"/>
      <c r="I830" s="56"/>
      <c r="J830" s="56"/>
      <c r="K830" s="56"/>
      <c r="L830" s="56"/>
      <c r="M830" s="56"/>
      <c r="N830" s="56"/>
      <c r="O830" s="56"/>
      <c r="P830" s="56"/>
      <c r="Q830" s="56"/>
      <c r="R830" s="56"/>
      <c r="S830" s="56"/>
      <c r="T830" s="56"/>
      <c r="U830" s="56"/>
      <c r="V830" s="56"/>
      <c r="W830" s="27"/>
      <c r="X830" s="56"/>
      <c r="Y830" s="27"/>
      <c r="Z830" s="56"/>
      <c r="AA830" s="27"/>
      <c r="AB830" s="56"/>
      <c r="AC830" s="27"/>
      <c r="AD830" s="56"/>
      <c r="AE830" s="27"/>
      <c r="AF830" s="56"/>
      <c r="AG830" s="27"/>
      <c r="AH830" s="286"/>
      <c r="AI830" s="27"/>
      <c r="AJ830" s="56"/>
      <c r="AK830" s="27"/>
      <c r="AL830" s="56"/>
      <c r="AM830" s="27"/>
      <c r="AN830" s="56"/>
      <c r="AO830" s="27"/>
      <c r="AP830" s="56"/>
      <c r="AQ830" s="27"/>
      <c r="AR830" s="56"/>
      <c r="AS830" s="27"/>
      <c r="AT830" s="56"/>
      <c r="AU830" s="27"/>
      <c r="AV830" s="56"/>
      <c r="AW830" s="27"/>
      <c r="AX830" s="56"/>
      <c r="AY830" s="27"/>
      <c r="AZ830" s="56"/>
      <c r="BA830" s="27"/>
      <c r="BB830" s="48"/>
      <c r="BC830" s="48"/>
      <c r="BD830" s="48"/>
      <c r="BE830" s="48"/>
      <c r="BF830" s="48"/>
      <c r="BG830" s="48"/>
      <c r="BH830" s="48"/>
      <c r="BI830" s="48"/>
      <c r="BJ830" s="48"/>
      <c r="BK830" s="48"/>
      <c r="BL830" s="48"/>
      <c r="BM830" s="48"/>
      <c r="BN830" s="48"/>
      <c r="BO830" s="48"/>
      <c r="BP830" s="48"/>
      <c r="BQ830" s="48"/>
      <c r="BR830" s="48"/>
      <c r="BS830" s="48"/>
      <c r="BT830" s="48"/>
      <c r="BU830" s="48"/>
    </row>
    <row r="831" ht="15.75" customHeight="1">
      <c r="A831" s="48"/>
      <c r="B831" s="48"/>
      <c r="C831" s="48"/>
      <c r="D831" s="48"/>
      <c r="E831" s="27"/>
      <c r="F831" s="48"/>
      <c r="G831" s="48"/>
      <c r="H831" s="56"/>
      <c r="I831" s="56"/>
      <c r="J831" s="56"/>
      <c r="K831" s="56"/>
      <c r="L831" s="56"/>
      <c r="M831" s="56"/>
      <c r="N831" s="56"/>
      <c r="O831" s="56"/>
      <c r="P831" s="56"/>
      <c r="Q831" s="56"/>
      <c r="R831" s="56"/>
      <c r="S831" s="56"/>
      <c r="T831" s="56"/>
      <c r="U831" s="56"/>
      <c r="V831" s="56"/>
      <c r="W831" s="27"/>
      <c r="X831" s="56"/>
      <c r="Y831" s="27"/>
      <c r="Z831" s="56"/>
      <c r="AA831" s="27"/>
      <c r="AB831" s="56"/>
      <c r="AC831" s="27"/>
      <c r="AD831" s="56"/>
      <c r="AE831" s="27"/>
      <c r="AF831" s="56"/>
      <c r="AG831" s="27"/>
      <c r="AH831" s="286"/>
      <c r="AI831" s="27"/>
      <c r="AJ831" s="56"/>
      <c r="AK831" s="27"/>
      <c r="AL831" s="56"/>
      <c r="AM831" s="27"/>
      <c r="AN831" s="56"/>
      <c r="AO831" s="27"/>
      <c r="AP831" s="56"/>
      <c r="AQ831" s="27"/>
      <c r="AR831" s="56"/>
      <c r="AS831" s="27"/>
      <c r="AT831" s="56"/>
      <c r="AU831" s="27"/>
      <c r="AV831" s="56"/>
      <c r="AW831" s="27"/>
      <c r="AX831" s="56"/>
      <c r="AY831" s="27"/>
      <c r="AZ831" s="56"/>
      <c r="BA831" s="27"/>
      <c r="BB831" s="48"/>
      <c r="BC831" s="48"/>
      <c r="BD831" s="48"/>
      <c r="BE831" s="48"/>
      <c r="BF831" s="48"/>
      <c r="BG831" s="48"/>
      <c r="BH831" s="48"/>
      <c r="BI831" s="48"/>
      <c r="BJ831" s="48"/>
      <c r="BK831" s="48"/>
      <c r="BL831" s="48"/>
      <c r="BM831" s="48"/>
      <c r="BN831" s="48"/>
      <c r="BO831" s="48"/>
      <c r="BP831" s="48"/>
      <c r="BQ831" s="48"/>
      <c r="BR831" s="48"/>
      <c r="BS831" s="48"/>
      <c r="BT831" s="48"/>
      <c r="BU831" s="48"/>
    </row>
    <row r="832" ht="15.75" customHeight="1">
      <c r="A832" s="48"/>
      <c r="B832" s="48"/>
      <c r="C832" s="48"/>
      <c r="D832" s="48"/>
      <c r="E832" s="27"/>
      <c r="F832" s="48"/>
      <c r="G832" s="48"/>
      <c r="H832" s="56"/>
      <c r="I832" s="56"/>
      <c r="J832" s="56"/>
      <c r="K832" s="56"/>
      <c r="L832" s="56"/>
      <c r="M832" s="56"/>
      <c r="N832" s="56"/>
      <c r="O832" s="56"/>
      <c r="P832" s="56"/>
      <c r="Q832" s="56"/>
      <c r="R832" s="56"/>
      <c r="S832" s="56"/>
      <c r="T832" s="56"/>
      <c r="U832" s="56"/>
      <c r="V832" s="56"/>
      <c r="W832" s="27"/>
      <c r="X832" s="56"/>
      <c r="Y832" s="27"/>
      <c r="Z832" s="56"/>
      <c r="AA832" s="27"/>
      <c r="AB832" s="56"/>
      <c r="AC832" s="27"/>
      <c r="AD832" s="56"/>
      <c r="AE832" s="27"/>
      <c r="AF832" s="56"/>
      <c r="AG832" s="27"/>
      <c r="AH832" s="286"/>
      <c r="AI832" s="27"/>
      <c r="AJ832" s="56"/>
      <c r="AK832" s="27"/>
      <c r="AL832" s="56"/>
      <c r="AM832" s="27"/>
      <c r="AN832" s="56"/>
      <c r="AO832" s="27"/>
      <c r="AP832" s="56"/>
      <c r="AQ832" s="27"/>
      <c r="AR832" s="56"/>
      <c r="AS832" s="27"/>
      <c r="AT832" s="56"/>
      <c r="AU832" s="27"/>
      <c r="AV832" s="56"/>
      <c r="AW832" s="27"/>
      <c r="AX832" s="56"/>
      <c r="AY832" s="27"/>
      <c r="AZ832" s="56"/>
      <c r="BA832" s="27"/>
      <c r="BB832" s="48"/>
      <c r="BC832" s="48"/>
      <c r="BD832" s="48"/>
      <c r="BE832" s="48"/>
      <c r="BF832" s="48"/>
      <c r="BG832" s="48"/>
      <c r="BH832" s="48"/>
      <c r="BI832" s="48"/>
      <c r="BJ832" s="48"/>
      <c r="BK832" s="48"/>
      <c r="BL832" s="48"/>
      <c r="BM832" s="48"/>
      <c r="BN832" s="48"/>
      <c r="BO832" s="48"/>
      <c r="BP832" s="48"/>
      <c r="BQ832" s="48"/>
      <c r="BR832" s="48"/>
      <c r="BS832" s="48"/>
      <c r="BT832" s="48"/>
      <c r="BU832" s="48"/>
    </row>
    <row r="833" ht="15.75" customHeight="1">
      <c r="A833" s="48"/>
      <c r="B833" s="48"/>
      <c r="C833" s="48"/>
      <c r="D833" s="48"/>
      <c r="E833" s="27"/>
      <c r="F833" s="48"/>
      <c r="G833" s="48"/>
      <c r="H833" s="56"/>
      <c r="I833" s="56"/>
      <c r="J833" s="56"/>
      <c r="K833" s="56"/>
      <c r="L833" s="56"/>
      <c r="M833" s="56"/>
      <c r="N833" s="56"/>
      <c r="O833" s="56"/>
      <c r="P833" s="56"/>
      <c r="Q833" s="56"/>
      <c r="R833" s="56"/>
      <c r="S833" s="56"/>
      <c r="T833" s="56"/>
      <c r="U833" s="56"/>
      <c r="V833" s="56"/>
      <c r="W833" s="27"/>
      <c r="X833" s="56"/>
      <c r="Y833" s="27"/>
      <c r="Z833" s="56"/>
      <c r="AA833" s="27"/>
      <c r="AB833" s="56"/>
      <c r="AC833" s="27"/>
      <c r="AD833" s="56"/>
      <c r="AE833" s="27"/>
      <c r="AF833" s="56"/>
      <c r="AG833" s="27"/>
      <c r="AH833" s="286"/>
      <c r="AI833" s="27"/>
      <c r="AJ833" s="56"/>
      <c r="AK833" s="27"/>
      <c r="AL833" s="56"/>
      <c r="AM833" s="27"/>
      <c r="AN833" s="56"/>
      <c r="AO833" s="27"/>
      <c r="AP833" s="56"/>
      <c r="AQ833" s="27"/>
      <c r="AR833" s="56"/>
      <c r="AS833" s="27"/>
      <c r="AT833" s="56"/>
      <c r="AU833" s="27"/>
      <c r="AV833" s="56"/>
      <c r="AW833" s="27"/>
      <c r="AX833" s="56"/>
      <c r="AY833" s="27"/>
      <c r="AZ833" s="56"/>
      <c r="BA833" s="27"/>
      <c r="BB833" s="48"/>
      <c r="BC833" s="48"/>
      <c r="BD833" s="48"/>
      <c r="BE833" s="48"/>
      <c r="BF833" s="48"/>
      <c r="BG833" s="48"/>
      <c r="BH833" s="48"/>
      <c r="BI833" s="48"/>
      <c r="BJ833" s="48"/>
      <c r="BK833" s="48"/>
      <c r="BL833" s="48"/>
      <c r="BM833" s="48"/>
      <c r="BN833" s="48"/>
      <c r="BO833" s="48"/>
      <c r="BP833" s="48"/>
      <c r="BQ833" s="48"/>
      <c r="BR833" s="48"/>
      <c r="BS833" s="48"/>
      <c r="BT833" s="48"/>
      <c r="BU833" s="48"/>
    </row>
    <row r="834" ht="15.75" customHeight="1">
      <c r="A834" s="48"/>
      <c r="B834" s="48"/>
      <c r="C834" s="48"/>
      <c r="D834" s="48"/>
      <c r="E834" s="27"/>
      <c r="F834" s="48"/>
      <c r="G834" s="48"/>
      <c r="H834" s="56"/>
      <c r="I834" s="56"/>
      <c r="J834" s="56"/>
      <c r="K834" s="56"/>
      <c r="L834" s="56"/>
      <c r="M834" s="56"/>
      <c r="N834" s="56"/>
      <c r="O834" s="56"/>
      <c r="P834" s="56"/>
      <c r="Q834" s="56"/>
      <c r="R834" s="56"/>
      <c r="S834" s="56"/>
      <c r="T834" s="56"/>
      <c r="U834" s="56"/>
      <c r="V834" s="56"/>
      <c r="W834" s="27"/>
      <c r="X834" s="56"/>
      <c r="Y834" s="27"/>
      <c r="Z834" s="56"/>
      <c r="AA834" s="27"/>
      <c r="AB834" s="56"/>
      <c r="AC834" s="27"/>
      <c r="AD834" s="56"/>
      <c r="AE834" s="27"/>
      <c r="AF834" s="56"/>
      <c r="AG834" s="27"/>
      <c r="AH834" s="286"/>
      <c r="AI834" s="27"/>
      <c r="AJ834" s="56"/>
      <c r="AK834" s="27"/>
      <c r="AL834" s="56"/>
      <c r="AM834" s="27"/>
      <c r="AN834" s="56"/>
      <c r="AO834" s="27"/>
      <c r="AP834" s="56"/>
      <c r="AQ834" s="27"/>
      <c r="AR834" s="56"/>
      <c r="AS834" s="27"/>
      <c r="AT834" s="56"/>
      <c r="AU834" s="27"/>
      <c r="AV834" s="56"/>
      <c r="AW834" s="27"/>
      <c r="AX834" s="56"/>
      <c r="AY834" s="27"/>
      <c r="AZ834" s="56"/>
      <c r="BA834" s="27"/>
      <c r="BB834" s="48"/>
      <c r="BC834" s="48"/>
      <c r="BD834" s="48"/>
      <c r="BE834" s="48"/>
      <c r="BF834" s="48"/>
      <c r="BG834" s="48"/>
      <c r="BH834" s="48"/>
      <c r="BI834" s="48"/>
      <c r="BJ834" s="48"/>
      <c r="BK834" s="48"/>
      <c r="BL834" s="48"/>
      <c r="BM834" s="48"/>
      <c r="BN834" s="48"/>
      <c r="BO834" s="48"/>
      <c r="BP834" s="48"/>
      <c r="BQ834" s="48"/>
      <c r="BR834" s="48"/>
      <c r="BS834" s="48"/>
      <c r="BT834" s="48"/>
      <c r="BU834" s="48"/>
    </row>
    <row r="835" ht="15.75" customHeight="1">
      <c r="A835" s="48"/>
      <c r="B835" s="48"/>
      <c r="C835" s="48"/>
      <c r="D835" s="48"/>
      <c r="E835" s="27"/>
      <c r="F835" s="48"/>
      <c r="G835" s="48"/>
      <c r="H835" s="56"/>
      <c r="I835" s="56"/>
      <c r="J835" s="56"/>
      <c r="K835" s="56"/>
      <c r="L835" s="56"/>
      <c r="M835" s="56"/>
      <c r="N835" s="56"/>
      <c r="O835" s="56"/>
      <c r="P835" s="56"/>
      <c r="Q835" s="56"/>
      <c r="R835" s="56"/>
      <c r="S835" s="56"/>
      <c r="T835" s="56"/>
      <c r="U835" s="56"/>
      <c r="V835" s="56"/>
      <c r="W835" s="27"/>
      <c r="X835" s="56"/>
      <c r="Y835" s="27"/>
      <c r="Z835" s="56"/>
      <c r="AA835" s="27"/>
      <c r="AB835" s="56"/>
      <c r="AC835" s="27"/>
      <c r="AD835" s="56"/>
      <c r="AE835" s="27"/>
      <c r="AF835" s="56"/>
      <c r="AG835" s="27"/>
      <c r="AH835" s="286"/>
      <c r="AI835" s="27"/>
      <c r="AJ835" s="56"/>
      <c r="AK835" s="27"/>
      <c r="AL835" s="56"/>
      <c r="AM835" s="27"/>
      <c r="AN835" s="56"/>
      <c r="AO835" s="27"/>
      <c r="AP835" s="56"/>
      <c r="AQ835" s="27"/>
      <c r="AR835" s="56"/>
      <c r="AS835" s="27"/>
      <c r="AT835" s="56"/>
      <c r="AU835" s="27"/>
      <c r="AV835" s="56"/>
      <c r="AW835" s="27"/>
      <c r="AX835" s="56"/>
      <c r="AY835" s="27"/>
      <c r="AZ835" s="56"/>
      <c r="BA835" s="27"/>
      <c r="BB835" s="48"/>
      <c r="BC835" s="48"/>
      <c r="BD835" s="48"/>
      <c r="BE835" s="48"/>
      <c r="BF835" s="48"/>
      <c r="BG835" s="48"/>
      <c r="BH835" s="48"/>
      <c r="BI835" s="48"/>
      <c r="BJ835" s="48"/>
      <c r="BK835" s="48"/>
      <c r="BL835" s="48"/>
      <c r="BM835" s="48"/>
      <c r="BN835" s="48"/>
      <c r="BO835" s="48"/>
      <c r="BP835" s="48"/>
      <c r="BQ835" s="48"/>
      <c r="BR835" s="48"/>
      <c r="BS835" s="48"/>
      <c r="BT835" s="48"/>
      <c r="BU835" s="48"/>
    </row>
    <row r="836" ht="15.75" customHeight="1">
      <c r="A836" s="48"/>
      <c r="B836" s="48"/>
      <c r="C836" s="48"/>
      <c r="D836" s="48"/>
      <c r="E836" s="27"/>
      <c r="F836" s="48"/>
      <c r="G836" s="48"/>
      <c r="H836" s="56"/>
      <c r="I836" s="56"/>
      <c r="J836" s="56"/>
      <c r="K836" s="56"/>
      <c r="L836" s="56"/>
      <c r="M836" s="56"/>
      <c r="N836" s="56"/>
      <c r="O836" s="56"/>
      <c r="P836" s="56"/>
      <c r="Q836" s="56"/>
      <c r="R836" s="56"/>
      <c r="S836" s="56"/>
      <c r="T836" s="56"/>
      <c r="U836" s="56"/>
      <c r="V836" s="56"/>
      <c r="W836" s="27"/>
      <c r="X836" s="56"/>
      <c r="Y836" s="27"/>
      <c r="Z836" s="56"/>
      <c r="AA836" s="27"/>
      <c r="AB836" s="56"/>
      <c r="AC836" s="27"/>
      <c r="AD836" s="56"/>
      <c r="AE836" s="27"/>
      <c r="AF836" s="56"/>
      <c r="AG836" s="27"/>
      <c r="AH836" s="286"/>
      <c r="AI836" s="27"/>
      <c r="AJ836" s="56"/>
      <c r="AK836" s="27"/>
      <c r="AL836" s="56"/>
      <c r="AM836" s="27"/>
      <c r="AN836" s="56"/>
      <c r="AO836" s="27"/>
      <c r="AP836" s="56"/>
      <c r="AQ836" s="27"/>
      <c r="AR836" s="56"/>
      <c r="AS836" s="27"/>
      <c r="AT836" s="56"/>
      <c r="AU836" s="27"/>
      <c r="AV836" s="56"/>
      <c r="AW836" s="27"/>
      <c r="AX836" s="56"/>
      <c r="AY836" s="27"/>
      <c r="AZ836" s="56"/>
      <c r="BA836" s="27"/>
      <c r="BB836" s="48"/>
      <c r="BC836" s="48"/>
      <c r="BD836" s="48"/>
      <c r="BE836" s="48"/>
      <c r="BF836" s="48"/>
      <c r="BG836" s="48"/>
      <c r="BH836" s="48"/>
      <c r="BI836" s="48"/>
      <c r="BJ836" s="48"/>
      <c r="BK836" s="48"/>
      <c r="BL836" s="48"/>
      <c r="BM836" s="48"/>
      <c r="BN836" s="48"/>
      <c r="BO836" s="48"/>
      <c r="BP836" s="48"/>
      <c r="BQ836" s="48"/>
      <c r="BR836" s="48"/>
      <c r="BS836" s="48"/>
      <c r="BT836" s="48"/>
      <c r="BU836" s="48"/>
    </row>
    <row r="837" ht="15.75" customHeight="1">
      <c r="A837" s="48"/>
      <c r="B837" s="48"/>
      <c r="C837" s="48"/>
      <c r="D837" s="48"/>
      <c r="E837" s="27"/>
      <c r="F837" s="48"/>
      <c r="G837" s="48"/>
      <c r="H837" s="56"/>
      <c r="I837" s="56"/>
      <c r="J837" s="56"/>
      <c r="K837" s="56"/>
      <c r="L837" s="56"/>
      <c r="M837" s="56"/>
      <c r="N837" s="56"/>
      <c r="O837" s="56"/>
      <c r="P837" s="56"/>
      <c r="Q837" s="56"/>
      <c r="R837" s="56"/>
      <c r="S837" s="56"/>
      <c r="T837" s="56"/>
      <c r="U837" s="56"/>
      <c r="V837" s="56"/>
      <c r="W837" s="27"/>
      <c r="X837" s="56"/>
      <c r="Y837" s="27"/>
      <c r="Z837" s="56"/>
      <c r="AA837" s="27"/>
      <c r="AB837" s="56"/>
      <c r="AC837" s="27"/>
      <c r="AD837" s="56"/>
      <c r="AE837" s="27"/>
      <c r="AF837" s="56"/>
      <c r="AG837" s="27"/>
      <c r="AH837" s="286"/>
      <c r="AI837" s="27"/>
      <c r="AJ837" s="56"/>
      <c r="AK837" s="27"/>
      <c r="AL837" s="56"/>
      <c r="AM837" s="27"/>
      <c r="AN837" s="56"/>
      <c r="AO837" s="27"/>
      <c r="AP837" s="56"/>
      <c r="AQ837" s="27"/>
      <c r="AR837" s="56"/>
      <c r="AS837" s="27"/>
      <c r="AT837" s="56"/>
      <c r="AU837" s="27"/>
      <c r="AV837" s="56"/>
      <c r="AW837" s="27"/>
      <c r="AX837" s="56"/>
      <c r="AY837" s="27"/>
      <c r="AZ837" s="56"/>
      <c r="BA837" s="27"/>
      <c r="BB837" s="48"/>
      <c r="BC837" s="48"/>
      <c r="BD837" s="48"/>
      <c r="BE837" s="48"/>
      <c r="BF837" s="48"/>
      <c r="BG837" s="48"/>
      <c r="BH837" s="48"/>
      <c r="BI837" s="48"/>
      <c r="BJ837" s="48"/>
      <c r="BK837" s="48"/>
      <c r="BL837" s="48"/>
      <c r="BM837" s="48"/>
      <c r="BN837" s="48"/>
      <c r="BO837" s="48"/>
      <c r="BP837" s="48"/>
      <c r="BQ837" s="48"/>
      <c r="BR837" s="48"/>
      <c r="BS837" s="48"/>
      <c r="BT837" s="48"/>
      <c r="BU837" s="48"/>
    </row>
    <row r="838" ht="15.75" customHeight="1">
      <c r="A838" s="48"/>
      <c r="B838" s="48"/>
      <c r="C838" s="48"/>
      <c r="D838" s="48"/>
      <c r="E838" s="27"/>
      <c r="F838" s="48"/>
      <c r="G838" s="48"/>
      <c r="H838" s="56"/>
      <c r="I838" s="56"/>
      <c r="J838" s="56"/>
      <c r="K838" s="56"/>
      <c r="L838" s="56"/>
      <c r="M838" s="56"/>
      <c r="N838" s="56"/>
      <c r="O838" s="56"/>
      <c r="P838" s="56"/>
      <c r="Q838" s="56"/>
      <c r="R838" s="56"/>
      <c r="S838" s="56"/>
      <c r="T838" s="56"/>
      <c r="U838" s="56"/>
      <c r="V838" s="56"/>
      <c r="W838" s="27"/>
      <c r="X838" s="56"/>
      <c r="Y838" s="27"/>
      <c r="Z838" s="56"/>
      <c r="AA838" s="27"/>
      <c r="AB838" s="56"/>
      <c r="AC838" s="27"/>
      <c r="AD838" s="56"/>
      <c r="AE838" s="27"/>
      <c r="AF838" s="56"/>
      <c r="AG838" s="27"/>
      <c r="AH838" s="286"/>
      <c r="AI838" s="27"/>
      <c r="AJ838" s="56"/>
      <c r="AK838" s="27"/>
      <c r="AL838" s="56"/>
      <c r="AM838" s="27"/>
      <c r="AN838" s="56"/>
      <c r="AO838" s="27"/>
      <c r="AP838" s="56"/>
      <c r="AQ838" s="27"/>
      <c r="AR838" s="56"/>
      <c r="AS838" s="27"/>
      <c r="AT838" s="56"/>
      <c r="AU838" s="27"/>
      <c r="AV838" s="56"/>
      <c r="AW838" s="27"/>
      <c r="AX838" s="56"/>
      <c r="AY838" s="27"/>
      <c r="AZ838" s="56"/>
      <c r="BA838" s="27"/>
      <c r="BB838" s="48"/>
      <c r="BC838" s="48"/>
      <c r="BD838" s="48"/>
      <c r="BE838" s="48"/>
      <c r="BF838" s="48"/>
      <c r="BG838" s="48"/>
      <c r="BH838" s="48"/>
      <c r="BI838" s="48"/>
      <c r="BJ838" s="48"/>
      <c r="BK838" s="48"/>
      <c r="BL838" s="48"/>
      <c r="BM838" s="48"/>
      <c r="BN838" s="48"/>
      <c r="BO838" s="48"/>
      <c r="BP838" s="48"/>
      <c r="BQ838" s="48"/>
      <c r="BR838" s="48"/>
      <c r="BS838" s="48"/>
      <c r="BT838" s="48"/>
      <c r="BU838" s="48"/>
    </row>
    <row r="839" ht="15.75" customHeight="1">
      <c r="A839" s="48"/>
      <c r="B839" s="48"/>
      <c r="C839" s="48"/>
      <c r="D839" s="48"/>
      <c r="E839" s="27"/>
      <c r="F839" s="48"/>
      <c r="G839" s="48"/>
      <c r="H839" s="56"/>
      <c r="I839" s="56"/>
      <c r="J839" s="56"/>
      <c r="K839" s="56"/>
      <c r="L839" s="56"/>
      <c r="M839" s="56"/>
      <c r="N839" s="56"/>
      <c r="O839" s="56"/>
      <c r="P839" s="56"/>
      <c r="Q839" s="56"/>
      <c r="R839" s="56"/>
      <c r="S839" s="56"/>
      <c r="T839" s="56"/>
      <c r="U839" s="56"/>
      <c r="V839" s="56"/>
      <c r="W839" s="27"/>
      <c r="X839" s="56"/>
      <c r="Y839" s="27"/>
      <c r="Z839" s="56"/>
      <c r="AA839" s="27"/>
      <c r="AB839" s="56"/>
      <c r="AC839" s="27"/>
      <c r="AD839" s="56"/>
      <c r="AE839" s="27"/>
      <c r="AF839" s="56"/>
      <c r="AG839" s="27"/>
      <c r="AH839" s="286"/>
      <c r="AI839" s="27"/>
      <c r="AJ839" s="56"/>
      <c r="AK839" s="27"/>
      <c r="AL839" s="56"/>
      <c r="AM839" s="27"/>
      <c r="AN839" s="56"/>
      <c r="AO839" s="27"/>
      <c r="AP839" s="56"/>
      <c r="AQ839" s="27"/>
      <c r="AR839" s="56"/>
      <c r="AS839" s="27"/>
      <c r="AT839" s="56"/>
      <c r="AU839" s="27"/>
      <c r="AV839" s="56"/>
      <c r="AW839" s="27"/>
      <c r="AX839" s="56"/>
      <c r="AY839" s="27"/>
      <c r="AZ839" s="56"/>
      <c r="BA839" s="27"/>
      <c r="BB839" s="48"/>
      <c r="BC839" s="48"/>
      <c r="BD839" s="48"/>
      <c r="BE839" s="48"/>
      <c r="BF839" s="48"/>
      <c r="BG839" s="48"/>
      <c r="BH839" s="48"/>
      <c r="BI839" s="48"/>
      <c r="BJ839" s="48"/>
      <c r="BK839" s="48"/>
      <c r="BL839" s="48"/>
      <c r="BM839" s="48"/>
      <c r="BN839" s="48"/>
      <c r="BO839" s="48"/>
      <c r="BP839" s="48"/>
      <c r="BQ839" s="48"/>
      <c r="BR839" s="48"/>
      <c r="BS839" s="48"/>
      <c r="BT839" s="48"/>
      <c r="BU839" s="48"/>
    </row>
    <row r="840" ht="15.75" customHeight="1">
      <c r="A840" s="48"/>
      <c r="B840" s="48"/>
      <c r="C840" s="48"/>
      <c r="D840" s="48"/>
      <c r="E840" s="27"/>
      <c r="F840" s="48"/>
      <c r="G840" s="48"/>
      <c r="H840" s="56"/>
      <c r="I840" s="56"/>
      <c r="J840" s="56"/>
      <c r="K840" s="56"/>
      <c r="L840" s="56"/>
      <c r="M840" s="56"/>
      <c r="N840" s="56"/>
      <c r="O840" s="56"/>
      <c r="P840" s="56"/>
      <c r="Q840" s="56"/>
      <c r="R840" s="56"/>
      <c r="S840" s="56"/>
      <c r="T840" s="56"/>
      <c r="U840" s="56"/>
      <c r="V840" s="56"/>
      <c r="W840" s="27"/>
      <c r="X840" s="56"/>
      <c r="Y840" s="27"/>
      <c r="Z840" s="56"/>
      <c r="AA840" s="27"/>
      <c r="AB840" s="56"/>
      <c r="AC840" s="27"/>
      <c r="AD840" s="56"/>
      <c r="AE840" s="27"/>
      <c r="AF840" s="56"/>
      <c r="AG840" s="27"/>
      <c r="AH840" s="286"/>
      <c r="AI840" s="27"/>
      <c r="AJ840" s="56"/>
      <c r="AK840" s="27"/>
      <c r="AL840" s="56"/>
      <c r="AM840" s="27"/>
      <c r="AN840" s="56"/>
      <c r="AO840" s="27"/>
      <c r="AP840" s="56"/>
      <c r="AQ840" s="27"/>
      <c r="AR840" s="56"/>
      <c r="AS840" s="27"/>
      <c r="AT840" s="56"/>
      <c r="AU840" s="27"/>
      <c r="AV840" s="56"/>
      <c r="AW840" s="27"/>
      <c r="AX840" s="56"/>
      <c r="AY840" s="27"/>
      <c r="AZ840" s="56"/>
      <c r="BA840" s="27"/>
      <c r="BB840" s="48"/>
      <c r="BC840" s="48"/>
      <c r="BD840" s="48"/>
      <c r="BE840" s="48"/>
      <c r="BF840" s="48"/>
      <c r="BG840" s="48"/>
      <c r="BH840" s="48"/>
      <c r="BI840" s="48"/>
      <c r="BJ840" s="48"/>
      <c r="BK840" s="48"/>
      <c r="BL840" s="48"/>
      <c r="BM840" s="48"/>
      <c r="BN840" s="48"/>
      <c r="BO840" s="48"/>
      <c r="BP840" s="48"/>
      <c r="BQ840" s="48"/>
      <c r="BR840" s="48"/>
      <c r="BS840" s="48"/>
      <c r="BT840" s="48"/>
      <c r="BU840" s="48"/>
    </row>
    <row r="841" ht="15.75" customHeight="1">
      <c r="A841" s="48"/>
      <c r="B841" s="48"/>
      <c r="C841" s="48"/>
      <c r="D841" s="48"/>
      <c r="E841" s="27"/>
      <c r="F841" s="48"/>
      <c r="G841" s="48"/>
      <c r="H841" s="56"/>
      <c r="I841" s="56"/>
      <c r="J841" s="56"/>
      <c r="K841" s="56"/>
      <c r="L841" s="56"/>
      <c r="M841" s="56"/>
      <c r="N841" s="56"/>
      <c r="O841" s="56"/>
      <c r="P841" s="56"/>
      <c r="Q841" s="56"/>
      <c r="R841" s="56"/>
      <c r="S841" s="56"/>
      <c r="T841" s="56"/>
      <c r="U841" s="56"/>
      <c r="V841" s="56"/>
      <c r="W841" s="27"/>
      <c r="X841" s="56"/>
      <c r="Y841" s="27"/>
      <c r="Z841" s="56"/>
      <c r="AA841" s="27"/>
      <c r="AB841" s="56"/>
      <c r="AC841" s="27"/>
      <c r="AD841" s="56"/>
      <c r="AE841" s="27"/>
      <c r="AF841" s="56"/>
      <c r="AG841" s="27"/>
      <c r="AH841" s="286"/>
      <c r="AI841" s="27"/>
      <c r="AJ841" s="56"/>
      <c r="AK841" s="27"/>
      <c r="AL841" s="56"/>
      <c r="AM841" s="27"/>
      <c r="AN841" s="56"/>
      <c r="AO841" s="27"/>
      <c r="AP841" s="56"/>
      <c r="AQ841" s="27"/>
      <c r="AR841" s="56"/>
      <c r="AS841" s="27"/>
      <c r="AT841" s="56"/>
      <c r="AU841" s="27"/>
      <c r="AV841" s="56"/>
      <c r="AW841" s="27"/>
      <c r="AX841" s="56"/>
      <c r="AY841" s="27"/>
      <c r="AZ841" s="56"/>
      <c r="BA841" s="27"/>
      <c r="BB841" s="48"/>
      <c r="BC841" s="48"/>
      <c r="BD841" s="48"/>
      <c r="BE841" s="48"/>
      <c r="BF841" s="48"/>
      <c r="BG841" s="48"/>
      <c r="BH841" s="48"/>
      <c r="BI841" s="48"/>
      <c r="BJ841" s="48"/>
      <c r="BK841" s="48"/>
      <c r="BL841" s="48"/>
      <c r="BM841" s="48"/>
      <c r="BN841" s="48"/>
      <c r="BO841" s="48"/>
      <c r="BP841" s="48"/>
      <c r="BQ841" s="48"/>
      <c r="BR841" s="48"/>
      <c r="BS841" s="48"/>
      <c r="BT841" s="48"/>
      <c r="BU841" s="48"/>
    </row>
    <row r="842" ht="15.75" customHeight="1">
      <c r="A842" s="48"/>
      <c r="B842" s="48"/>
      <c r="C842" s="48"/>
      <c r="D842" s="48"/>
      <c r="E842" s="27"/>
      <c r="F842" s="48"/>
      <c r="G842" s="48"/>
      <c r="H842" s="56"/>
      <c r="I842" s="56"/>
      <c r="J842" s="56"/>
      <c r="K842" s="56"/>
      <c r="L842" s="56"/>
      <c r="M842" s="56"/>
      <c r="N842" s="56"/>
      <c r="O842" s="56"/>
      <c r="P842" s="56"/>
      <c r="Q842" s="56"/>
      <c r="R842" s="56"/>
      <c r="S842" s="56"/>
      <c r="T842" s="56"/>
      <c r="U842" s="56"/>
      <c r="V842" s="56"/>
      <c r="W842" s="27"/>
      <c r="X842" s="56"/>
      <c r="Y842" s="27"/>
      <c r="Z842" s="56"/>
      <c r="AA842" s="27"/>
      <c r="AB842" s="56"/>
      <c r="AC842" s="27"/>
      <c r="AD842" s="56"/>
      <c r="AE842" s="27"/>
      <c r="AF842" s="56"/>
      <c r="AG842" s="27"/>
      <c r="AH842" s="286"/>
      <c r="AI842" s="27"/>
      <c r="AJ842" s="56"/>
      <c r="AK842" s="27"/>
      <c r="AL842" s="56"/>
      <c r="AM842" s="27"/>
      <c r="AN842" s="56"/>
      <c r="AO842" s="27"/>
      <c r="AP842" s="56"/>
      <c r="AQ842" s="27"/>
      <c r="AR842" s="56"/>
      <c r="AS842" s="27"/>
      <c r="AT842" s="56"/>
      <c r="AU842" s="27"/>
      <c r="AV842" s="56"/>
      <c r="AW842" s="27"/>
      <c r="AX842" s="56"/>
      <c r="AY842" s="27"/>
      <c r="AZ842" s="56"/>
      <c r="BA842" s="27"/>
      <c r="BB842" s="48"/>
      <c r="BC842" s="48"/>
      <c r="BD842" s="48"/>
      <c r="BE842" s="48"/>
      <c r="BF842" s="48"/>
      <c r="BG842" s="48"/>
      <c r="BH842" s="48"/>
      <c r="BI842" s="48"/>
      <c r="BJ842" s="48"/>
      <c r="BK842" s="48"/>
      <c r="BL842" s="48"/>
      <c r="BM842" s="48"/>
      <c r="BN842" s="48"/>
      <c r="BO842" s="48"/>
      <c r="BP842" s="48"/>
      <c r="BQ842" s="48"/>
      <c r="BR842" s="48"/>
      <c r="BS842" s="48"/>
      <c r="BT842" s="48"/>
      <c r="BU842" s="48"/>
    </row>
    <row r="843" ht="15.75" customHeight="1">
      <c r="A843" s="48"/>
      <c r="B843" s="48"/>
      <c r="C843" s="48"/>
      <c r="D843" s="48"/>
      <c r="E843" s="27"/>
      <c r="F843" s="48"/>
      <c r="G843" s="48"/>
      <c r="H843" s="56"/>
      <c r="I843" s="56"/>
      <c r="J843" s="56"/>
      <c r="K843" s="56"/>
      <c r="L843" s="56"/>
      <c r="M843" s="56"/>
      <c r="N843" s="56"/>
      <c r="O843" s="56"/>
      <c r="P843" s="56"/>
      <c r="Q843" s="56"/>
      <c r="R843" s="56"/>
      <c r="S843" s="56"/>
      <c r="T843" s="56"/>
      <c r="U843" s="56"/>
      <c r="V843" s="56"/>
      <c r="W843" s="27"/>
      <c r="X843" s="56"/>
      <c r="Y843" s="27"/>
      <c r="Z843" s="56"/>
      <c r="AA843" s="27"/>
      <c r="AB843" s="56"/>
      <c r="AC843" s="27"/>
      <c r="AD843" s="56"/>
      <c r="AE843" s="27"/>
      <c r="AF843" s="56"/>
      <c r="AG843" s="27"/>
      <c r="AH843" s="286"/>
      <c r="AI843" s="27"/>
      <c r="AJ843" s="56"/>
      <c r="AK843" s="27"/>
      <c r="AL843" s="56"/>
      <c r="AM843" s="27"/>
      <c r="AN843" s="56"/>
      <c r="AO843" s="27"/>
      <c r="AP843" s="56"/>
      <c r="AQ843" s="27"/>
      <c r="AR843" s="56"/>
      <c r="AS843" s="27"/>
      <c r="AT843" s="56"/>
      <c r="AU843" s="27"/>
      <c r="AV843" s="56"/>
      <c r="AW843" s="27"/>
      <c r="AX843" s="56"/>
      <c r="AY843" s="27"/>
      <c r="AZ843" s="56"/>
      <c r="BA843" s="27"/>
      <c r="BB843" s="48"/>
      <c r="BC843" s="48"/>
      <c r="BD843" s="48"/>
      <c r="BE843" s="48"/>
      <c r="BF843" s="48"/>
      <c r="BG843" s="48"/>
      <c r="BH843" s="48"/>
      <c r="BI843" s="48"/>
      <c r="BJ843" s="48"/>
      <c r="BK843" s="48"/>
      <c r="BL843" s="48"/>
      <c r="BM843" s="48"/>
      <c r="BN843" s="48"/>
      <c r="BO843" s="48"/>
      <c r="BP843" s="48"/>
      <c r="BQ843" s="48"/>
      <c r="BR843" s="48"/>
      <c r="BS843" s="48"/>
      <c r="BT843" s="48"/>
      <c r="BU843" s="48"/>
    </row>
    <row r="844" ht="15.75" customHeight="1">
      <c r="A844" s="48"/>
      <c r="B844" s="48"/>
      <c r="C844" s="48"/>
      <c r="D844" s="48"/>
      <c r="E844" s="27"/>
      <c r="F844" s="48"/>
      <c r="G844" s="48"/>
      <c r="H844" s="56"/>
      <c r="I844" s="56"/>
      <c r="J844" s="56"/>
      <c r="K844" s="56"/>
      <c r="L844" s="56"/>
      <c r="M844" s="56"/>
      <c r="N844" s="56"/>
      <c r="O844" s="56"/>
      <c r="P844" s="56"/>
      <c r="Q844" s="56"/>
      <c r="R844" s="56"/>
      <c r="S844" s="56"/>
      <c r="T844" s="56"/>
      <c r="U844" s="56"/>
      <c r="V844" s="56"/>
      <c r="W844" s="27"/>
      <c r="X844" s="56"/>
      <c r="Y844" s="27"/>
      <c r="Z844" s="56"/>
      <c r="AA844" s="27"/>
      <c r="AB844" s="56"/>
      <c r="AC844" s="27"/>
      <c r="AD844" s="56"/>
      <c r="AE844" s="27"/>
      <c r="AF844" s="56"/>
      <c r="AG844" s="27"/>
      <c r="AH844" s="286"/>
      <c r="AI844" s="27"/>
      <c r="AJ844" s="56"/>
      <c r="AK844" s="27"/>
      <c r="AL844" s="56"/>
      <c r="AM844" s="27"/>
      <c r="AN844" s="56"/>
      <c r="AO844" s="27"/>
      <c r="AP844" s="56"/>
      <c r="AQ844" s="27"/>
      <c r="AR844" s="56"/>
      <c r="AS844" s="27"/>
      <c r="AT844" s="56"/>
      <c r="AU844" s="27"/>
      <c r="AV844" s="56"/>
      <c r="AW844" s="27"/>
      <c r="AX844" s="56"/>
      <c r="AY844" s="27"/>
      <c r="AZ844" s="56"/>
      <c r="BA844" s="27"/>
      <c r="BB844" s="48"/>
      <c r="BC844" s="48"/>
      <c r="BD844" s="48"/>
      <c r="BE844" s="48"/>
      <c r="BF844" s="48"/>
      <c r="BG844" s="48"/>
      <c r="BH844" s="48"/>
      <c r="BI844" s="48"/>
      <c r="BJ844" s="48"/>
      <c r="BK844" s="48"/>
      <c r="BL844" s="48"/>
      <c r="BM844" s="48"/>
      <c r="BN844" s="48"/>
      <c r="BO844" s="48"/>
      <c r="BP844" s="48"/>
      <c r="BQ844" s="48"/>
      <c r="BR844" s="48"/>
      <c r="BS844" s="48"/>
      <c r="BT844" s="48"/>
      <c r="BU844" s="48"/>
    </row>
    <row r="845" ht="15.75" customHeight="1">
      <c r="A845" s="48"/>
      <c r="B845" s="48"/>
      <c r="C845" s="48"/>
      <c r="D845" s="48"/>
      <c r="E845" s="27"/>
      <c r="F845" s="48"/>
      <c r="G845" s="48"/>
      <c r="H845" s="56"/>
      <c r="I845" s="56"/>
      <c r="J845" s="56"/>
      <c r="K845" s="56"/>
      <c r="L845" s="56"/>
      <c r="M845" s="56"/>
      <c r="N845" s="56"/>
      <c r="O845" s="56"/>
      <c r="P845" s="56"/>
      <c r="Q845" s="56"/>
      <c r="R845" s="56"/>
      <c r="S845" s="56"/>
      <c r="T845" s="56"/>
      <c r="U845" s="56"/>
      <c r="V845" s="56"/>
      <c r="W845" s="27"/>
      <c r="X845" s="56"/>
      <c r="Y845" s="27"/>
      <c r="Z845" s="56"/>
      <c r="AA845" s="27"/>
      <c r="AB845" s="56"/>
      <c r="AC845" s="27"/>
      <c r="AD845" s="56"/>
      <c r="AE845" s="27"/>
      <c r="AF845" s="56"/>
      <c r="AG845" s="27"/>
      <c r="AH845" s="286"/>
      <c r="AI845" s="27"/>
      <c r="AJ845" s="56"/>
      <c r="AK845" s="27"/>
      <c r="AL845" s="56"/>
      <c r="AM845" s="27"/>
      <c r="AN845" s="56"/>
      <c r="AO845" s="27"/>
      <c r="AP845" s="56"/>
      <c r="AQ845" s="27"/>
      <c r="AR845" s="56"/>
      <c r="AS845" s="27"/>
      <c r="AT845" s="56"/>
      <c r="AU845" s="27"/>
      <c r="AV845" s="56"/>
      <c r="AW845" s="27"/>
      <c r="AX845" s="56"/>
      <c r="AY845" s="27"/>
      <c r="AZ845" s="56"/>
      <c r="BA845" s="27"/>
      <c r="BB845" s="48"/>
      <c r="BC845" s="48"/>
      <c r="BD845" s="48"/>
      <c r="BE845" s="48"/>
      <c r="BF845" s="48"/>
      <c r="BG845" s="48"/>
      <c r="BH845" s="48"/>
      <c r="BI845" s="48"/>
      <c r="BJ845" s="48"/>
      <c r="BK845" s="48"/>
      <c r="BL845" s="48"/>
      <c r="BM845" s="48"/>
      <c r="BN845" s="48"/>
      <c r="BO845" s="48"/>
      <c r="BP845" s="48"/>
      <c r="BQ845" s="48"/>
      <c r="BR845" s="48"/>
      <c r="BS845" s="48"/>
      <c r="BT845" s="48"/>
      <c r="BU845" s="48"/>
    </row>
    <row r="846" ht="15.75" customHeight="1">
      <c r="A846" s="48"/>
      <c r="B846" s="48"/>
      <c r="C846" s="48"/>
      <c r="D846" s="48"/>
      <c r="E846" s="27"/>
      <c r="F846" s="48"/>
      <c r="G846" s="48"/>
      <c r="H846" s="56"/>
      <c r="I846" s="56"/>
      <c r="J846" s="56"/>
      <c r="K846" s="56"/>
      <c r="L846" s="56"/>
      <c r="M846" s="56"/>
      <c r="N846" s="56"/>
      <c r="O846" s="56"/>
      <c r="P846" s="56"/>
      <c r="Q846" s="56"/>
      <c r="R846" s="56"/>
      <c r="S846" s="56"/>
      <c r="T846" s="56"/>
      <c r="U846" s="56"/>
      <c r="V846" s="56"/>
      <c r="W846" s="27"/>
      <c r="X846" s="56"/>
      <c r="Y846" s="27"/>
      <c r="Z846" s="56"/>
      <c r="AA846" s="27"/>
      <c r="AB846" s="56"/>
      <c r="AC846" s="27"/>
      <c r="AD846" s="56"/>
      <c r="AE846" s="27"/>
      <c r="AF846" s="56"/>
      <c r="AG846" s="27"/>
      <c r="AH846" s="286"/>
      <c r="AI846" s="27"/>
      <c r="AJ846" s="56"/>
      <c r="AK846" s="27"/>
      <c r="AL846" s="56"/>
      <c r="AM846" s="27"/>
      <c r="AN846" s="56"/>
      <c r="AO846" s="27"/>
      <c r="AP846" s="56"/>
      <c r="AQ846" s="27"/>
      <c r="AR846" s="56"/>
      <c r="AS846" s="27"/>
      <c r="AT846" s="56"/>
      <c r="AU846" s="27"/>
      <c r="AV846" s="56"/>
      <c r="AW846" s="27"/>
      <c r="AX846" s="56"/>
      <c r="AY846" s="27"/>
      <c r="AZ846" s="56"/>
      <c r="BA846" s="27"/>
      <c r="BB846" s="48"/>
      <c r="BC846" s="48"/>
      <c r="BD846" s="48"/>
      <c r="BE846" s="48"/>
      <c r="BF846" s="48"/>
      <c r="BG846" s="48"/>
      <c r="BH846" s="48"/>
      <c r="BI846" s="48"/>
      <c r="BJ846" s="48"/>
      <c r="BK846" s="48"/>
      <c r="BL846" s="48"/>
      <c r="BM846" s="48"/>
      <c r="BN846" s="48"/>
      <c r="BO846" s="48"/>
      <c r="BP846" s="48"/>
      <c r="BQ846" s="48"/>
      <c r="BR846" s="48"/>
      <c r="BS846" s="48"/>
      <c r="BT846" s="48"/>
      <c r="BU846" s="48"/>
    </row>
    <row r="847" ht="15.75" customHeight="1">
      <c r="A847" s="48"/>
      <c r="B847" s="48"/>
      <c r="C847" s="48"/>
      <c r="D847" s="48"/>
      <c r="E847" s="27"/>
      <c r="F847" s="48"/>
      <c r="G847" s="48"/>
      <c r="H847" s="56"/>
      <c r="I847" s="56"/>
      <c r="J847" s="56"/>
      <c r="K847" s="56"/>
      <c r="L847" s="56"/>
      <c r="M847" s="56"/>
      <c r="N847" s="56"/>
      <c r="O847" s="56"/>
      <c r="P847" s="56"/>
      <c r="Q847" s="56"/>
      <c r="R847" s="56"/>
      <c r="S847" s="56"/>
      <c r="T847" s="56"/>
      <c r="U847" s="56"/>
      <c r="V847" s="56"/>
      <c r="W847" s="27"/>
      <c r="X847" s="56"/>
      <c r="Y847" s="27"/>
      <c r="Z847" s="56"/>
      <c r="AA847" s="27"/>
      <c r="AB847" s="56"/>
      <c r="AC847" s="27"/>
      <c r="AD847" s="56"/>
      <c r="AE847" s="27"/>
      <c r="AF847" s="56"/>
      <c r="AG847" s="27"/>
      <c r="AH847" s="286"/>
      <c r="AI847" s="27"/>
      <c r="AJ847" s="56"/>
      <c r="AK847" s="27"/>
      <c r="AL847" s="56"/>
      <c r="AM847" s="27"/>
      <c r="AN847" s="56"/>
      <c r="AO847" s="27"/>
      <c r="AP847" s="56"/>
      <c r="AQ847" s="27"/>
      <c r="AR847" s="56"/>
      <c r="AS847" s="27"/>
      <c r="AT847" s="56"/>
      <c r="AU847" s="27"/>
      <c r="AV847" s="56"/>
      <c r="AW847" s="27"/>
      <c r="AX847" s="56"/>
      <c r="AY847" s="27"/>
      <c r="AZ847" s="56"/>
      <c r="BA847" s="27"/>
      <c r="BB847" s="48"/>
      <c r="BC847" s="48"/>
      <c r="BD847" s="48"/>
      <c r="BE847" s="48"/>
      <c r="BF847" s="48"/>
      <c r="BG847" s="48"/>
      <c r="BH847" s="48"/>
      <c r="BI847" s="48"/>
      <c r="BJ847" s="48"/>
      <c r="BK847" s="48"/>
      <c r="BL847" s="48"/>
      <c r="BM847" s="48"/>
      <c r="BN847" s="48"/>
      <c r="BO847" s="48"/>
      <c r="BP847" s="48"/>
      <c r="BQ847" s="48"/>
      <c r="BR847" s="48"/>
      <c r="BS847" s="48"/>
      <c r="BT847" s="48"/>
      <c r="BU847" s="48"/>
    </row>
    <row r="848" ht="15.75" customHeight="1">
      <c r="A848" s="48"/>
      <c r="B848" s="48"/>
      <c r="C848" s="48"/>
      <c r="D848" s="48"/>
      <c r="E848" s="27"/>
      <c r="F848" s="48"/>
      <c r="G848" s="48"/>
      <c r="H848" s="56"/>
      <c r="I848" s="56"/>
      <c r="J848" s="56"/>
      <c r="K848" s="56"/>
      <c r="L848" s="56"/>
      <c r="M848" s="56"/>
      <c r="N848" s="56"/>
      <c r="O848" s="56"/>
      <c r="P848" s="56"/>
      <c r="Q848" s="56"/>
      <c r="R848" s="56"/>
      <c r="S848" s="56"/>
      <c r="T848" s="56"/>
      <c r="U848" s="56"/>
      <c r="V848" s="56"/>
      <c r="W848" s="27"/>
      <c r="X848" s="56"/>
      <c r="Y848" s="27"/>
      <c r="Z848" s="56"/>
      <c r="AA848" s="27"/>
      <c r="AB848" s="56"/>
      <c r="AC848" s="27"/>
      <c r="AD848" s="56"/>
      <c r="AE848" s="27"/>
      <c r="AF848" s="56"/>
      <c r="AG848" s="27"/>
      <c r="AH848" s="286"/>
      <c r="AI848" s="27"/>
      <c r="AJ848" s="56"/>
      <c r="AK848" s="27"/>
      <c r="AL848" s="56"/>
      <c r="AM848" s="27"/>
      <c r="AN848" s="56"/>
      <c r="AO848" s="27"/>
      <c r="AP848" s="56"/>
      <c r="AQ848" s="27"/>
      <c r="AR848" s="56"/>
      <c r="AS848" s="27"/>
      <c r="AT848" s="56"/>
      <c r="AU848" s="27"/>
      <c r="AV848" s="56"/>
      <c r="AW848" s="27"/>
      <c r="AX848" s="56"/>
      <c r="AY848" s="27"/>
      <c r="AZ848" s="56"/>
      <c r="BA848" s="27"/>
      <c r="BB848" s="48"/>
      <c r="BC848" s="48"/>
      <c r="BD848" s="48"/>
      <c r="BE848" s="48"/>
      <c r="BF848" s="48"/>
      <c r="BG848" s="48"/>
      <c r="BH848" s="48"/>
      <c r="BI848" s="48"/>
      <c r="BJ848" s="48"/>
      <c r="BK848" s="48"/>
      <c r="BL848" s="48"/>
      <c r="BM848" s="48"/>
      <c r="BN848" s="48"/>
      <c r="BO848" s="48"/>
      <c r="BP848" s="48"/>
      <c r="BQ848" s="48"/>
      <c r="BR848" s="48"/>
      <c r="BS848" s="48"/>
      <c r="BT848" s="48"/>
      <c r="BU848" s="48"/>
    </row>
    <row r="849" ht="15.75" customHeight="1">
      <c r="A849" s="48"/>
      <c r="B849" s="48"/>
      <c r="C849" s="48"/>
      <c r="D849" s="48"/>
      <c r="E849" s="27"/>
      <c r="F849" s="48"/>
      <c r="G849" s="48"/>
      <c r="H849" s="56"/>
      <c r="I849" s="56"/>
      <c r="J849" s="56"/>
      <c r="K849" s="56"/>
      <c r="L849" s="56"/>
      <c r="M849" s="56"/>
      <c r="N849" s="56"/>
      <c r="O849" s="56"/>
      <c r="P849" s="56"/>
      <c r="Q849" s="56"/>
      <c r="R849" s="56"/>
      <c r="S849" s="56"/>
      <c r="T849" s="56"/>
      <c r="U849" s="56"/>
      <c r="V849" s="56"/>
      <c r="W849" s="27"/>
      <c r="X849" s="56"/>
      <c r="Y849" s="27"/>
      <c r="Z849" s="56"/>
      <c r="AA849" s="27"/>
      <c r="AB849" s="56"/>
      <c r="AC849" s="27"/>
      <c r="AD849" s="56"/>
      <c r="AE849" s="27"/>
      <c r="AF849" s="56"/>
      <c r="AG849" s="27"/>
      <c r="AH849" s="286"/>
      <c r="AI849" s="27"/>
      <c r="AJ849" s="56"/>
      <c r="AK849" s="27"/>
      <c r="AL849" s="56"/>
      <c r="AM849" s="27"/>
      <c r="AN849" s="56"/>
      <c r="AO849" s="27"/>
      <c r="AP849" s="56"/>
      <c r="AQ849" s="27"/>
      <c r="AR849" s="56"/>
      <c r="AS849" s="27"/>
      <c r="AT849" s="56"/>
      <c r="AU849" s="27"/>
      <c r="AV849" s="56"/>
      <c r="AW849" s="27"/>
      <c r="AX849" s="56"/>
      <c r="AY849" s="27"/>
      <c r="AZ849" s="56"/>
      <c r="BA849" s="27"/>
      <c r="BB849" s="48"/>
      <c r="BC849" s="48"/>
      <c r="BD849" s="48"/>
      <c r="BE849" s="48"/>
      <c r="BF849" s="48"/>
      <c r="BG849" s="48"/>
      <c r="BH849" s="48"/>
      <c r="BI849" s="48"/>
      <c r="BJ849" s="48"/>
      <c r="BK849" s="48"/>
      <c r="BL849" s="48"/>
      <c r="BM849" s="48"/>
      <c r="BN849" s="48"/>
      <c r="BO849" s="48"/>
      <c r="BP849" s="48"/>
      <c r="BQ849" s="48"/>
      <c r="BR849" s="48"/>
      <c r="BS849" s="48"/>
      <c r="BT849" s="48"/>
      <c r="BU849" s="48"/>
    </row>
    <row r="850" ht="15.75" customHeight="1">
      <c r="A850" s="48"/>
      <c r="B850" s="48"/>
      <c r="C850" s="48"/>
      <c r="D850" s="48"/>
      <c r="E850" s="27"/>
      <c r="F850" s="48"/>
      <c r="G850" s="48"/>
      <c r="H850" s="56"/>
      <c r="I850" s="56"/>
      <c r="J850" s="56"/>
      <c r="K850" s="56"/>
      <c r="L850" s="56"/>
      <c r="M850" s="56"/>
      <c r="N850" s="56"/>
      <c r="O850" s="56"/>
      <c r="P850" s="56"/>
      <c r="Q850" s="56"/>
      <c r="R850" s="56"/>
      <c r="S850" s="56"/>
      <c r="T850" s="56"/>
      <c r="U850" s="56"/>
      <c r="V850" s="56"/>
      <c r="W850" s="27"/>
      <c r="X850" s="56"/>
      <c r="Y850" s="27"/>
      <c r="Z850" s="56"/>
      <c r="AA850" s="27"/>
      <c r="AB850" s="56"/>
      <c r="AC850" s="27"/>
      <c r="AD850" s="56"/>
      <c r="AE850" s="27"/>
      <c r="AF850" s="56"/>
      <c r="AG850" s="27"/>
      <c r="AH850" s="286"/>
      <c r="AI850" s="27"/>
      <c r="AJ850" s="56"/>
      <c r="AK850" s="27"/>
      <c r="AL850" s="56"/>
      <c r="AM850" s="27"/>
      <c r="AN850" s="56"/>
      <c r="AO850" s="27"/>
      <c r="AP850" s="56"/>
      <c r="AQ850" s="27"/>
      <c r="AR850" s="56"/>
      <c r="AS850" s="27"/>
      <c r="AT850" s="56"/>
      <c r="AU850" s="27"/>
      <c r="AV850" s="56"/>
      <c r="AW850" s="27"/>
      <c r="AX850" s="56"/>
      <c r="AY850" s="27"/>
      <c r="AZ850" s="56"/>
      <c r="BA850" s="27"/>
      <c r="BB850" s="48"/>
      <c r="BC850" s="48"/>
      <c r="BD850" s="48"/>
      <c r="BE850" s="48"/>
      <c r="BF850" s="48"/>
      <c r="BG850" s="48"/>
      <c r="BH850" s="48"/>
      <c r="BI850" s="48"/>
      <c r="BJ850" s="48"/>
      <c r="BK850" s="48"/>
      <c r="BL850" s="48"/>
      <c r="BM850" s="48"/>
      <c r="BN850" s="48"/>
      <c r="BO850" s="48"/>
      <c r="BP850" s="48"/>
      <c r="BQ850" s="48"/>
      <c r="BR850" s="48"/>
      <c r="BS850" s="48"/>
      <c r="BT850" s="48"/>
      <c r="BU850" s="48"/>
    </row>
    <row r="851" ht="15.75" customHeight="1">
      <c r="A851" s="48"/>
      <c r="B851" s="48"/>
      <c r="C851" s="48"/>
      <c r="D851" s="48"/>
      <c r="E851" s="27"/>
      <c r="F851" s="48"/>
      <c r="G851" s="48"/>
      <c r="H851" s="56"/>
      <c r="I851" s="56"/>
      <c r="J851" s="56"/>
      <c r="K851" s="56"/>
      <c r="L851" s="56"/>
      <c r="M851" s="56"/>
      <c r="N851" s="56"/>
      <c r="O851" s="56"/>
      <c r="P851" s="56"/>
      <c r="Q851" s="56"/>
      <c r="R851" s="56"/>
      <c r="S851" s="56"/>
      <c r="T851" s="56"/>
      <c r="U851" s="56"/>
      <c r="V851" s="56"/>
      <c r="W851" s="27"/>
      <c r="X851" s="56"/>
      <c r="Y851" s="27"/>
      <c r="Z851" s="56"/>
      <c r="AA851" s="27"/>
      <c r="AB851" s="56"/>
      <c r="AC851" s="27"/>
      <c r="AD851" s="56"/>
      <c r="AE851" s="27"/>
      <c r="AF851" s="56"/>
      <c r="AG851" s="27"/>
      <c r="AH851" s="286"/>
      <c r="AI851" s="27"/>
      <c r="AJ851" s="56"/>
      <c r="AK851" s="27"/>
      <c r="AL851" s="56"/>
      <c r="AM851" s="27"/>
      <c r="AN851" s="56"/>
      <c r="AO851" s="27"/>
      <c r="AP851" s="56"/>
      <c r="AQ851" s="27"/>
      <c r="AR851" s="56"/>
      <c r="AS851" s="27"/>
      <c r="AT851" s="56"/>
      <c r="AU851" s="27"/>
      <c r="AV851" s="56"/>
      <c r="AW851" s="27"/>
      <c r="AX851" s="56"/>
      <c r="AY851" s="27"/>
      <c r="AZ851" s="56"/>
      <c r="BA851" s="27"/>
      <c r="BB851" s="48"/>
      <c r="BC851" s="48"/>
      <c r="BD851" s="48"/>
      <c r="BE851" s="48"/>
      <c r="BF851" s="48"/>
      <c r="BG851" s="48"/>
      <c r="BH851" s="48"/>
      <c r="BI851" s="48"/>
      <c r="BJ851" s="48"/>
      <c r="BK851" s="48"/>
      <c r="BL851" s="48"/>
      <c r="BM851" s="48"/>
      <c r="BN851" s="48"/>
      <c r="BO851" s="48"/>
      <c r="BP851" s="48"/>
      <c r="BQ851" s="48"/>
      <c r="BR851" s="48"/>
      <c r="BS851" s="48"/>
      <c r="BT851" s="48"/>
      <c r="BU851" s="48"/>
    </row>
    <row r="852" ht="15.75" customHeight="1">
      <c r="A852" s="48"/>
      <c r="B852" s="48"/>
      <c r="C852" s="48"/>
      <c r="D852" s="48"/>
      <c r="E852" s="27"/>
      <c r="F852" s="48"/>
      <c r="G852" s="48"/>
      <c r="H852" s="56"/>
      <c r="I852" s="56"/>
      <c r="J852" s="56"/>
      <c r="K852" s="56"/>
      <c r="L852" s="56"/>
      <c r="M852" s="56"/>
      <c r="N852" s="56"/>
      <c r="O852" s="56"/>
      <c r="P852" s="56"/>
      <c r="Q852" s="56"/>
      <c r="R852" s="56"/>
      <c r="S852" s="56"/>
      <c r="T852" s="56"/>
      <c r="U852" s="56"/>
      <c r="V852" s="56"/>
      <c r="W852" s="27"/>
      <c r="X852" s="56"/>
      <c r="Y852" s="27"/>
      <c r="Z852" s="56"/>
      <c r="AA852" s="27"/>
      <c r="AB852" s="56"/>
      <c r="AC852" s="27"/>
      <c r="AD852" s="56"/>
      <c r="AE852" s="27"/>
      <c r="AF852" s="56"/>
      <c r="AG852" s="27"/>
      <c r="AH852" s="286"/>
      <c r="AI852" s="27"/>
      <c r="AJ852" s="56"/>
      <c r="AK852" s="27"/>
      <c r="AL852" s="56"/>
      <c r="AM852" s="27"/>
      <c r="AN852" s="56"/>
      <c r="AO852" s="27"/>
      <c r="AP852" s="56"/>
      <c r="AQ852" s="27"/>
      <c r="AR852" s="56"/>
      <c r="AS852" s="27"/>
      <c r="AT852" s="56"/>
      <c r="AU852" s="27"/>
      <c r="AV852" s="56"/>
      <c r="AW852" s="27"/>
      <c r="AX852" s="56"/>
      <c r="AY852" s="27"/>
      <c r="AZ852" s="56"/>
      <c r="BA852" s="27"/>
      <c r="BB852" s="48"/>
      <c r="BC852" s="48"/>
      <c r="BD852" s="48"/>
      <c r="BE852" s="48"/>
      <c r="BF852" s="48"/>
      <c r="BG852" s="48"/>
      <c r="BH852" s="48"/>
      <c r="BI852" s="48"/>
      <c r="BJ852" s="48"/>
      <c r="BK852" s="48"/>
      <c r="BL852" s="48"/>
      <c r="BM852" s="48"/>
      <c r="BN852" s="48"/>
      <c r="BO852" s="48"/>
      <c r="BP852" s="48"/>
      <c r="BQ852" s="48"/>
      <c r="BR852" s="48"/>
      <c r="BS852" s="48"/>
      <c r="BT852" s="48"/>
      <c r="BU852" s="48"/>
    </row>
    <row r="853" ht="15.75" customHeight="1">
      <c r="A853" s="48"/>
      <c r="B853" s="48"/>
      <c r="C853" s="48"/>
      <c r="D853" s="48"/>
      <c r="E853" s="27"/>
      <c r="F853" s="48"/>
      <c r="G853" s="48"/>
      <c r="H853" s="56"/>
      <c r="I853" s="56"/>
      <c r="J853" s="56"/>
      <c r="K853" s="56"/>
      <c r="L853" s="56"/>
      <c r="M853" s="56"/>
      <c r="N853" s="56"/>
      <c r="O853" s="56"/>
      <c r="P853" s="56"/>
      <c r="Q853" s="56"/>
      <c r="R853" s="56"/>
      <c r="S853" s="56"/>
      <c r="T853" s="56"/>
      <c r="U853" s="56"/>
      <c r="V853" s="56"/>
      <c r="W853" s="27"/>
      <c r="X853" s="56"/>
      <c r="Y853" s="27"/>
      <c r="Z853" s="56"/>
      <c r="AA853" s="27"/>
      <c r="AB853" s="56"/>
      <c r="AC853" s="27"/>
      <c r="AD853" s="56"/>
      <c r="AE853" s="27"/>
      <c r="AF853" s="56"/>
      <c r="AG853" s="27"/>
      <c r="AH853" s="286"/>
      <c r="AI853" s="27"/>
      <c r="AJ853" s="56"/>
      <c r="AK853" s="27"/>
      <c r="AL853" s="56"/>
      <c r="AM853" s="27"/>
      <c r="AN853" s="56"/>
      <c r="AO853" s="27"/>
      <c r="AP853" s="56"/>
      <c r="AQ853" s="27"/>
      <c r="AR853" s="56"/>
      <c r="AS853" s="27"/>
      <c r="AT853" s="56"/>
      <c r="AU853" s="27"/>
      <c r="AV853" s="56"/>
      <c r="AW853" s="27"/>
      <c r="AX853" s="56"/>
      <c r="AY853" s="27"/>
      <c r="AZ853" s="56"/>
      <c r="BA853" s="27"/>
      <c r="BB853" s="48"/>
      <c r="BC853" s="48"/>
      <c r="BD853" s="48"/>
      <c r="BE853" s="48"/>
      <c r="BF853" s="48"/>
      <c r="BG853" s="48"/>
      <c r="BH853" s="48"/>
      <c r="BI853" s="48"/>
      <c r="BJ853" s="48"/>
      <c r="BK853" s="48"/>
      <c r="BL853" s="48"/>
      <c r="BM853" s="48"/>
      <c r="BN853" s="48"/>
      <c r="BO853" s="48"/>
      <c r="BP853" s="48"/>
      <c r="BQ853" s="48"/>
      <c r="BR853" s="48"/>
      <c r="BS853" s="48"/>
      <c r="BT853" s="48"/>
      <c r="BU853" s="48"/>
    </row>
    <row r="854" ht="15.75" customHeight="1">
      <c r="A854" s="48"/>
      <c r="B854" s="48"/>
      <c r="C854" s="48"/>
      <c r="D854" s="48"/>
      <c r="E854" s="27"/>
      <c r="F854" s="48"/>
      <c r="G854" s="48"/>
      <c r="H854" s="56"/>
      <c r="I854" s="56"/>
      <c r="J854" s="56"/>
      <c r="K854" s="56"/>
      <c r="L854" s="56"/>
      <c r="M854" s="56"/>
      <c r="N854" s="56"/>
      <c r="O854" s="56"/>
      <c r="P854" s="56"/>
      <c r="Q854" s="56"/>
      <c r="R854" s="56"/>
      <c r="S854" s="56"/>
      <c r="T854" s="56"/>
      <c r="U854" s="56"/>
      <c r="V854" s="56"/>
      <c r="W854" s="27"/>
      <c r="X854" s="56"/>
      <c r="Y854" s="27"/>
      <c r="Z854" s="56"/>
      <c r="AA854" s="27"/>
      <c r="AB854" s="56"/>
      <c r="AC854" s="27"/>
      <c r="AD854" s="56"/>
      <c r="AE854" s="27"/>
      <c r="AF854" s="56"/>
      <c r="AG854" s="27"/>
      <c r="AH854" s="286"/>
      <c r="AI854" s="27"/>
      <c r="AJ854" s="56"/>
      <c r="AK854" s="27"/>
      <c r="AL854" s="56"/>
      <c r="AM854" s="27"/>
      <c r="AN854" s="56"/>
      <c r="AO854" s="27"/>
      <c r="AP854" s="56"/>
      <c r="AQ854" s="27"/>
      <c r="AR854" s="56"/>
      <c r="AS854" s="27"/>
      <c r="AT854" s="56"/>
      <c r="AU854" s="27"/>
      <c r="AV854" s="56"/>
      <c r="AW854" s="27"/>
      <c r="AX854" s="56"/>
      <c r="AY854" s="27"/>
      <c r="AZ854" s="56"/>
      <c r="BA854" s="27"/>
      <c r="BB854" s="48"/>
      <c r="BC854" s="48"/>
      <c r="BD854" s="48"/>
      <c r="BE854" s="48"/>
      <c r="BF854" s="48"/>
      <c r="BG854" s="48"/>
      <c r="BH854" s="48"/>
      <c r="BI854" s="48"/>
      <c r="BJ854" s="48"/>
      <c r="BK854" s="48"/>
      <c r="BL854" s="48"/>
      <c r="BM854" s="48"/>
      <c r="BN854" s="48"/>
      <c r="BO854" s="48"/>
      <c r="BP854" s="48"/>
      <c r="BQ854" s="48"/>
      <c r="BR854" s="48"/>
      <c r="BS854" s="48"/>
      <c r="BT854" s="48"/>
      <c r="BU854" s="48"/>
    </row>
    <row r="855" ht="15.75" customHeight="1">
      <c r="A855" s="48"/>
      <c r="B855" s="48"/>
      <c r="C855" s="48"/>
      <c r="D855" s="48"/>
      <c r="E855" s="27"/>
      <c r="F855" s="48"/>
      <c r="G855" s="48"/>
      <c r="H855" s="56"/>
      <c r="I855" s="56"/>
      <c r="J855" s="56"/>
      <c r="K855" s="56"/>
      <c r="L855" s="56"/>
      <c r="M855" s="56"/>
      <c r="N855" s="56"/>
      <c r="O855" s="56"/>
      <c r="P855" s="56"/>
      <c r="Q855" s="56"/>
      <c r="R855" s="56"/>
      <c r="S855" s="56"/>
      <c r="T855" s="56"/>
      <c r="U855" s="56"/>
      <c r="V855" s="56"/>
      <c r="W855" s="27"/>
      <c r="X855" s="56"/>
      <c r="Y855" s="27"/>
      <c r="Z855" s="56"/>
      <c r="AA855" s="27"/>
      <c r="AB855" s="56"/>
      <c r="AC855" s="27"/>
      <c r="AD855" s="56"/>
      <c r="AE855" s="27"/>
      <c r="AF855" s="56"/>
      <c r="AG855" s="27"/>
      <c r="AH855" s="286"/>
      <c r="AI855" s="27"/>
      <c r="AJ855" s="56"/>
      <c r="AK855" s="27"/>
      <c r="AL855" s="56"/>
      <c r="AM855" s="27"/>
      <c r="AN855" s="56"/>
      <c r="AO855" s="27"/>
      <c r="AP855" s="56"/>
      <c r="AQ855" s="27"/>
      <c r="AR855" s="56"/>
      <c r="AS855" s="27"/>
      <c r="AT855" s="56"/>
      <c r="AU855" s="27"/>
      <c r="AV855" s="56"/>
      <c r="AW855" s="27"/>
      <c r="AX855" s="56"/>
      <c r="AY855" s="27"/>
      <c r="AZ855" s="56"/>
      <c r="BA855" s="27"/>
      <c r="BB855" s="48"/>
      <c r="BC855" s="48"/>
      <c r="BD855" s="48"/>
      <c r="BE855" s="48"/>
      <c r="BF855" s="48"/>
      <c r="BG855" s="48"/>
      <c r="BH855" s="48"/>
      <c r="BI855" s="48"/>
      <c r="BJ855" s="48"/>
      <c r="BK855" s="48"/>
      <c r="BL855" s="48"/>
      <c r="BM855" s="48"/>
      <c r="BN855" s="48"/>
      <c r="BO855" s="48"/>
      <c r="BP855" s="48"/>
      <c r="BQ855" s="48"/>
      <c r="BR855" s="48"/>
      <c r="BS855" s="48"/>
      <c r="BT855" s="48"/>
      <c r="BU855" s="48"/>
    </row>
    <row r="856" ht="15.75" customHeight="1">
      <c r="A856" s="48"/>
      <c r="B856" s="48"/>
      <c r="C856" s="48"/>
      <c r="D856" s="48"/>
      <c r="E856" s="27"/>
      <c r="F856" s="48"/>
      <c r="G856" s="48"/>
      <c r="H856" s="56"/>
      <c r="I856" s="56"/>
      <c r="J856" s="56"/>
      <c r="K856" s="56"/>
      <c r="L856" s="56"/>
      <c r="M856" s="56"/>
      <c r="N856" s="56"/>
      <c r="O856" s="56"/>
      <c r="P856" s="56"/>
      <c r="Q856" s="56"/>
      <c r="R856" s="56"/>
      <c r="S856" s="56"/>
      <c r="T856" s="56"/>
      <c r="U856" s="56"/>
      <c r="V856" s="56"/>
      <c r="W856" s="27"/>
      <c r="X856" s="56"/>
      <c r="Y856" s="27"/>
      <c r="Z856" s="56"/>
      <c r="AA856" s="27"/>
      <c r="AB856" s="56"/>
      <c r="AC856" s="27"/>
      <c r="AD856" s="56"/>
      <c r="AE856" s="27"/>
      <c r="AF856" s="56"/>
      <c r="AG856" s="27"/>
      <c r="AH856" s="286"/>
      <c r="AI856" s="27"/>
      <c r="AJ856" s="56"/>
      <c r="AK856" s="27"/>
      <c r="AL856" s="56"/>
      <c r="AM856" s="27"/>
      <c r="AN856" s="56"/>
      <c r="AO856" s="27"/>
      <c r="AP856" s="56"/>
      <c r="AQ856" s="27"/>
      <c r="AR856" s="56"/>
      <c r="AS856" s="27"/>
      <c r="AT856" s="56"/>
      <c r="AU856" s="27"/>
      <c r="AV856" s="56"/>
      <c r="AW856" s="27"/>
      <c r="AX856" s="56"/>
      <c r="AY856" s="27"/>
      <c r="AZ856" s="56"/>
      <c r="BA856" s="27"/>
      <c r="BB856" s="48"/>
      <c r="BC856" s="48"/>
      <c r="BD856" s="48"/>
      <c r="BE856" s="48"/>
      <c r="BF856" s="48"/>
      <c r="BG856" s="48"/>
      <c r="BH856" s="48"/>
      <c r="BI856" s="48"/>
      <c r="BJ856" s="48"/>
      <c r="BK856" s="48"/>
      <c r="BL856" s="48"/>
      <c r="BM856" s="48"/>
      <c r="BN856" s="48"/>
      <c r="BO856" s="48"/>
      <c r="BP856" s="48"/>
      <c r="BQ856" s="48"/>
      <c r="BR856" s="48"/>
      <c r="BS856" s="48"/>
      <c r="BT856" s="48"/>
      <c r="BU856" s="48"/>
    </row>
    <row r="857" ht="15.75" customHeight="1">
      <c r="A857" s="48"/>
      <c r="B857" s="48"/>
      <c r="C857" s="48"/>
      <c r="D857" s="48"/>
      <c r="E857" s="27"/>
      <c r="F857" s="48"/>
      <c r="G857" s="48"/>
      <c r="H857" s="56"/>
      <c r="I857" s="56"/>
      <c r="J857" s="56"/>
      <c r="K857" s="56"/>
      <c r="L857" s="56"/>
      <c r="M857" s="56"/>
      <c r="N857" s="56"/>
      <c r="O857" s="56"/>
      <c r="P857" s="56"/>
      <c r="Q857" s="56"/>
      <c r="R857" s="56"/>
      <c r="S857" s="56"/>
      <c r="T857" s="56"/>
      <c r="U857" s="56"/>
      <c r="V857" s="56"/>
      <c r="W857" s="27"/>
      <c r="X857" s="56"/>
      <c r="Y857" s="27"/>
      <c r="Z857" s="56"/>
      <c r="AA857" s="27"/>
      <c r="AB857" s="56"/>
      <c r="AC857" s="27"/>
      <c r="AD857" s="56"/>
      <c r="AE857" s="27"/>
      <c r="AF857" s="56"/>
      <c r="AG857" s="27"/>
      <c r="AH857" s="286"/>
      <c r="AI857" s="27"/>
      <c r="AJ857" s="56"/>
      <c r="AK857" s="27"/>
      <c r="AL857" s="56"/>
      <c r="AM857" s="27"/>
      <c r="AN857" s="56"/>
      <c r="AO857" s="27"/>
      <c r="AP857" s="56"/>
      <c r="AQ857" s="27"/>
      <c r="AR857" s="56"/>
      <c r="AS857" s="27"/>
      <c r="AT857" s="56"/>
      <c r="AU857" s="27"/>
      <c r="AV857" s="56"/>
      <c r="AW857" s="27"/>
      <c r="AX857" s="56"/>
      <c r="AY857" s="27"/>
      <c r="AZ857" s="56"/>
      <c r="BA857" s="27"/>
      <c r="BB857" s="48"/>
      <c r="BC857" s="48"/>
      <c r="BD857" s="48"/>
      <c r="BE857" s="48"/>
      <c r="BF857" s="48"/>
      <c r="BG857" s="48"/>
      <c r="BH857" s="48"/>
      <c r="BI857" s="48"/>
      <c r="BJ857" s="48"/>
      <c r="BK857" s="48"/>
      <c r="BL857" s="48"/>
      <c r="BM857" s="48"/>
      <c r="BN857" s="48"/>
      <c r="BO857" s="48"/>
      <c r="BP857" s="48"/>
      <c r="BQ857" s="48"/>
      <c r="BR857" s="48"/>
      <c r="BS857" s="48"/>
      <c r="BT857" s="48"/>
      <c r="BU857" s="48"/>
    </row>
    <row r="858" ht="15.75" customHeight="1">
      <c r="A858" s="48"/>
      <c r="B858" s="48"/>
      <c r="C858" s="48"/>
      <c r="D858" s="48"/>
      <c r="E858" s="27"/>
      <c r="F858" s="48"/>
      <c r="G858" s="48"/>
      <c r="H858" s="56"/>
      <c r="I858" s="56"/>
      <c r="J858" s="56"/>
      <c r="K858" s="56"/>
      <c r="L858" s="56"/>
      <c r="M858" s="56"/>
      <c r="N858" s="56"/>
      <c r="O858" s="56"/>
      <c r="P858" s="56"/>
      <c r="Q858" s="56"/>
      <c r="R858" s="56"/>
      <c r="S858" s="56"/>
      <c r="T858" s="56"/>
      <c r="U858" s="56"/>
      <c r="V858" s="56"/>
      <c r="W858" s="27"/>
      <c r="X858" s="56"/>
      <c r="Y858" s="27"/>
      <c r="Z858" s="56"/>
      <c r="AA858" s="27"/>
      <c r="AB858" s="56"/>
      <c r="AC858" s="27"/>
      <c r="AD858" s="56"/>
      <c r="AE858" s="27"/>
      <c r="AF858" s="56"/>
      <c r="AG858" s="27"/>
      <c r="AH858" s="286"/>
      <c r="AI858" s="27"/>
      <c r="AJ858" s="56"/>
      <c r="AK858" s="27"/>
      <c r="AL858" s="56"/>
      <c r="AM858" s="27"/>
      <c r="AN858" s="56"/>
      <c r="AO858" s="27"/>
      <c r="AP858" s="56"/>
      <c r="AQ858" s="27"/>
      <c r="AR858" s="56"/>
      <c r="AS858" s="27"/>
      <c r="AT858" s="56"/>
      <c r="AU858" s="27"/>
      <c r="AV858" s="56"/>
      <c r="AW858" s="27"/>
      <c r="AX858" s="56"/>
      <c r="AY858" s="27"/>
      <c r="AZ858" s="56"/>
      <c r="BA858" s="27"/>
      <c r="BB858" s="48"/>
      <c r="BC858" s="48"/>
      <c r="BD858" s="48"/>
      <c r="BE858" s="48"/>
      <c r="BF858" s="48"/>
      <c r="BG858" s="48"/>
      <c r="BH858" s="48"/>
      <c r="BI858" s="48"/>
      <c r="BJ858" s="48"/>
      <c r="BK858" s="48"/>
      <c r="BL858" s="48"/>
      <c r="BM858" s="48"/>
      <c r="BN858" s="48"/>
      <c r="BO858" s="48"/>
      <c r="BP858" s="48"/>
      <c r="BQ858" s="48"/>
      <c r="BR858" s="48"/>
      <c r="BS858" s="48"/>
      <c r="BT858" s="48"/>
      <c r="BU858" s="48"/>
    </row>
    <row r="859" ht="15.75" customHeight="1">
      <c r="A859" s="48"/>
      <c r="B859" s="48"/>
      <c r="C859" s="48"/>
      <c r="D859" s="48"/>
      <c r="E859" s="27"/>
      <c r="F859" s="48"/>
      <c r="G859" s="48"/>
      <c r="H859" s="56"/>
      <c r="I859" s="56"/>
      <c r="J859" s="56"/>
      <c r="K859" s="56"/>
      <c r="L859" s="56"/>
      <c r="M859" s="56"/>
      <c r="N859" s="56"/>
      <c r="O859" s="56"/>
      <c r="P859" s="56"/>
      <c r="Q859" s="56"/>
      <c r="R859" s="56"/>
      <c r="S859" s="56"/>
      <c r="T859" s="56"/>
      <c r="U859" s="56"/>
      <c r="V859" s="56"/>
      <c r="W859" s="27"/>
      <c r="X859" s="56"/>
      <c r="Y859" s="27"/>
      <c r="Z859" s="56"/>
      <c r="AA859" s="27"/>
      <c r="AB859" s="56"/>
      <c r="AC859" s="27"/>
      <c r="AD859" s="56"/>
      <c r="AE859" s="27"/>
      <c r="AF859" s="56"/>
      <c r="AG859" s="27"/>
      <c r="AH859" s="286"/>
      <c r="AI859" s="27"/>
      <c r="AJ859" s="56"/>
      <c r="AK859" s="27"/>
      <c r="AL859" s="56"/>
      <c r="AM859" s="27"/>
      <c r="AN859" s="56"/>
      <c r="AO859" s="27"/>
      <c r="AP859" s="56"/>
      <c r="AQ859" s="27"/>
      <c r="AR859" s="56"/>
      <c r="AS859" s="27"/>
      <c r="AT859" s="56"/>
      <c r="AU859" s="27"/>
      <c r="AV859" s="56"/>
      <c r="AW859" s="27"/>
      <c r="AX859" s="56"/>
      <c r="AY859" s="27"/>
      <c r="AZ859" s="56"/>
      <c r="BA859" s="27"/>
      <c r="BB859" s="48"/>
      <c r="BC859" s="48"/>
      <c r="BD859" s="48"/>
      <c r="BE859" s="48"/>
      <c r="BF859" s="48"/>
      <c r="BG859" s="48"/>
      <c r="BH859" s="48"/>
      <c r="BI859" s="48"/>
      <c r="BJ859" s="48"/>
      <c r="BK859" s="48"/>
      <c r="BL859" s="48"/>
      <c r="BM859" s="48"/>
      <c r="BN859" s="48"/>
      <c r="BO859" s="48"/>
      <c r="BP859" s="48"/>
      <c r="BQ859" s="48"/>
      <c r="BR859" s="48"/>
      <c r="BS859" s="48"/>
      <c r="BT859" s="48"/>
      <c r="BU859" s="48"/>
    </row>
    <row r="860" ht="15.75" customHeight="1">
      <c r="A860" s="48"/>
      <c r="B860" s="48"/>
      <c r="C860" s="48"/>
      <c r="D860" s="48"/>
      <c r="E860" s="27"/>
      <c r="F860" s="48"/>
      <c r="G860" s="48"/>
      <c r="H860" s="56"/>
      <c r="I860" s="56"/>
      <c r="J860" s="56"/>
      <c r="K860" s="56"/>
      <c r="L860" s="56"/>
      <c r="M860" s="56"/>
      <c r="N860" s="56"/>
      <c r="O860" s="56"/>
      <c r="P860" s="56"/>
      <c r="Q860" s="56"/>
      <c r="R860" s="56"/>
      <c r="S860" s="56"/>
      <c r="T860" s="56"/>
      <c r="U860" s="56"/>
      <c r="V860" s="56"/>
      <c r="W860" s="27"/>
      <c r="X860" s="56"/>
      <c r="Y860" s="27"/>
      <c r="Z860" s="56"/>
      <c r="AA860" s="27"/>
      <c r="AB860" s="56"/>
      <c r="AC860" s="27"/>
      <c r="AD860" s="56"/>
      <c r="AE860" s="27"/>
      <c r="AF860" s="56"/>
      <c r="AG860" s="27"/>
      <c r="AH860" s="286"/>
      <c r="AI860" s="27"/>
      <c r="AJ860" s="56"/>
      <c r="AK860" s="27"/>
      <c r="AL860" s="56"/>
      <c r="AM860" s="27"/>
      <c r="AN860" s="56"/>
      <c r="AO860" s="27"/>
      <c r="AP860" s="56"/>
      <c r="AQ860" s="27"/>
      <c r="AR860" s="56"/>
      <c r="AS860" s="27"/>
      <c r="AT860" s="56"/>
      <c r="AU860" s="27"/>
      <c r="AV860" s="56"/>
      <c r="AW860" s="27"/>
      <c r="AX860" s="56"/>
      <c r="AY860" s="27"/>
      <c r="AZ860" s="56"/>
      <c r="BA860" s="27"/>
      <c r="BB860" s="48"/>
      <c r="BC860" s="48"/>
      <c r="BD860" s="48"/>
      <c r="BE860" s="48"/>
      <c r="BF860" s="48"/>
      <c r="BG860" s="48"/>
      <c r="BH860" s="48"/>
      <c r="BI860" s="48"/>
      <c r="BJ860" s="48"/>
      <c r="BK860" s="48"/>
      <c r="BL860" s="48"/>
      <c r="BM860" s="48"/>
      <c r="BN860" s="48"/>
      <c r="BO860" s="48"/>
      <c r="BP860" s="48"/>
      <c r="BQ860" s="48"/>
      <c r="BR860" s="48"/>
      <c r="BS860" s="48"/>
      <c r="BT860" s="48"/>
      <c r="BU860" s="48"/>
    </row>
    <row r="861" ht="15.75" customHeight="1">
      <c r="A861" s="48"/>
      <c r="B861" s="48"/>
      <c r="C861" s="48"/>
      <c r="D861" s="48"/>
      <c r="E861" s="27"/>
      <c r="F861" s="48"/>
      <c r="G861" s="48"/>
      <c r="H861" s="56"/>
      <c r="I861" s="56"/>
      <c r="J861" s="56"/>
      <c r="K861" s="56"/>
      <c r="L861" s="56"/>
      <c r="M861" s="56"/>
      <c r="N861" s="56"/>
      <c r="O861" s="56"/>
      <c r="P861" s="56"/>
      <c r="Q861" s="56"/>
      <c r="R861" s="56"/>
      <c r="S861" s="56"/>
      <c r="T861" s="56"/>
      <c r="U861" s="56"/>
      <c r="V861" s="56"/>
      <c r="W861" s="27"/>
      <c r="X861" s="56"/>
      <c r="Y861" s="27"/>
      <c r="Z861" s="56"/>
      <c r="AA861" s="27"/>
      <c r="AB861" s="56"/>
      <c r="AC861" s="27"/>
      <c r="AD861" s="56"/>
      <c r="AE861" s="27"/>
      <c r="AF861" s="56"/>
      <c r="AG861" s="27"/>
      <c r="AH861" s="286"/>
      <c r="AI861" s="27"/>
      <c r="AJ861" s="56"/>
      <c r="AK861" s="27"/>
      <c r="AL861" s="56"/>
      <c r="AM861" s="27"/>
      <c r="AN861" s="56"/>
      <c r="AO861" s="27"/>
      <c r="AP861" s="56"/>
      <c r="AQ861" s="27"/>
      <c r="AR861" s="56"/>
      <c r="AS861" s="27"/>
      <c r="AT861" s="56"/>
      <c r="AU861" s="27"/>
      <c r="AV861" s="56"/>
      <c r="AW861" s="27"/>
      <c r="AX861" s="56"/>
      <c r="AY861" s="27"/>
      <c r="AZ861" s="56"/>
      <c r="BA861" s="27"/>
      <c r="BB861" s="48"/>
      <c r="BC861" s="48"/>
      <c r="BD861" s="48"/>
      <c r="BE861" s="48"/>
      <c r="BF861" s="48"/>
      <c r="BG861" s="48"/>
      <c r="BH861" s="48"/>
      <c r="BI861" s="48"/>
      <c r="BJ861" s="48"/>
      <c r="BK861" s="48"/>
      <c r="BL861" s="48"/>
      <c r="BM861" s="48"/>
      <c r="BN861" s="48"/>
      <c r="BO861" s="48"/>
      <c r="BP861" s="48"/>
      <c r="BQ861" s="48"/>
      <c r="BR861" s="48"/>
      <c r="BS861" s="48"/>
      <c r="BT861" s="48"/>
      <c r="BU861" s="48"/>
    </row>
    <row r="862" ht="15.75" customHeight="1">
      <c r="A862" s="48"/>
      <c r="B862" s="48"/>
      <c r="C862" s="48"/>
      <c r="D862" s="48"/>
      <c r="E862" s="27"/>
      <c r="F862" s="48"/>
      <c r="G862" s="48"/>
      <c r="H862" s="56"/>
      <c r="I862" s="56"/>
      <c r="J862" s="56"/>
      <c r="K862" s="56"/>
      <c r="L862" s="56"/>
      <c r="M862" s="56"/>
      <c r="N862" s="56"/>
      <c r="O862" s="56"/>
      <c r="P862" s="56"/>
      <c r="Q862" s="56"/>
      <c r="R862" s="56"/>
      <c r="S862" s="56"/>
      <c r="T862" s="56"/>
      <c r="U862" s="56"/>
      <c r="V862" s="56"/>
      <c r="W862" s="27"/>
      <c r="X862" s="56"/>
      <c r="Y862" s="27"/>
      <c r="Z862" s="56"/>
      <c r="AA862" s="27"/>
      <c r="AB862" s="56"/>
      <c r="AC862" s="27"/>
      <c r="AD862" s="56"/>
      <c r="AE862" s="27"/>
      <c r="AF862" s="56"/>
      <c r="AG862" s="27"/>
      <c r="AH862" s="286"/>
      <c r="AI862" s="27"/>
      <c r="AJ862" s="56"/>
      <c r="AK862" s="27"/>
      <c r="AL862" s="56"/>
      <c r="AM862" s="27"/>
      <c r="AN862" s="56"/>
      <c r="AO862" s="27"/>
      <c r="AP862" s="56"/>
      <c r="AQ862" s="27"/>
      <c r="AR862" s="56"/>
      <c r="AS862" s="27"/>
      <c r="AT862" s="56"/>
      <c r="AU862" s="27"/>
      <c r="AV862" s="56"/>
      <c r="AW862" s="27"/>
      <c r="AX862" s="56"/>
      <c r="AY862" s="27"/>
      <c r="AZ862" s="56"/>
      <c r="BA862" s="27"/>
      <c r="BB862" s="48"/>
      <c r="BC862" s="48"/>
      <c r="BD862" s="48"/>
      <c r="BE862" s="48"/>
      <c r="BF862" s="48"/>
      <c r="BG862" s="48"/>
      <c r="BH862" s="48"/>
      <c r="BI862" s="48"/>
      <c r="BJ862" s="48"/>
      <c r="BK862" s="48"/>
      <c r="BL862" s="48"/>
      <c r="BM862" s="48"/>
      <c r="BN862" s="48"/>
      <c r="BO862" s="48"/>
      <c r="BP862" s="48"/>
      <c r="BQ862" s="48"/>
      <c r="BR862" s="48"/>
      <c r="BS862" s="48"/>
      <c r="BT862" s="48"/>
      <c r="BU862" s="48"/>
    </row>
    <row r="863" ht="15.75" customHeight="1">
      <c r="A863" s="48"/>
      <c r="B863" s="48"/>
      <c r="C863" s="48"/>
      <c r="D863" s="48"/>
      <c r="E863" s="27"/>
      <c r="F863" s="48"/>
      <c r="G863" s="48"/>
      <c r="H863" s="56"/>
      <c r="I863" s="56"/>
      <c r="J863" s="56"/>
      <c r="K863" s="56"/>
      <c r="L863" s="56"/>
      <c r="M863" s="56"/>
      <c r="N863" s="56"/>
      <c r="O863" s="56"/>
      <c r="P863" s="56"/>
      <c r="Q863" s="56"/>
      <c r="R863" s="56"/>
      <c r="S863" s="56"/>
      <c r="T863" s="56"/>
      <c r="U863" s="56"/>
      <c r="V863" s="56"/>
      <c r="W863" s="27"/>
      <c r="X863" s="56"/>
      <c r="Y863" s="27"/>
      <c r="Z863" s="56"/>
      <c r="AA863" s="27"/>
      <c r="AB863" s="56"/>
      <c r="AC863" s="27"/>
      <c r="AD863" s="56"/>
      <c r="AE863" s="27"/>
      <c r="AF863" s="56"/>
      <c r="AG863" s="27"/>
      <c r="AH863" s="286"/>
      <c r="AI863" s="27"/>
      <c r="AJ863" s="56"/>
      <c r="AK863" s="27"/>
      <c r="AL863" s="56"/>
      <c r="AM863" s="27"/>
      <c r="AN863" s="56"/>
      <c r="AO863" s="27"/>
      <c r="AP863" s="56"/>
      <c r="AQ863" s="27"/>
      <c r="AR863" s="56"/>
      <c r="AS863" s="27"/>
      <c r="AT863" s="56"/>
      <c r="AU863" s="27"/>
      <c r="AV863" s="56"/>
      <c r="AW863" s="27"/>
      <c r="AX863" s="56"/>
      <c r="AY863" s="27"/>
      <c r="AZ863" s="56"/>
      <c r="BA863" s="27"/>
      <c r="BB863" s="48"/>
      <c r="BC863" s="48"/>
      <c r="BD863" s="48"/>
      <c r="BE863" s="48"/>
      <c r="BF863" s="48"/>
      <c r="BG863" s="48"/>
      <c r="BH863" s="48"/>
      <c r="BI863" s="48"/>
      <c r="BJ863" s="48"/>
      <c r="BK863" s="48"/>
      <c r="BL863" s="48"/>
      <c r="BM863" s="48"/>
      <c r="BN863" s="48"/>
      <c r="BO863" s="48"/>
      <c r="BP863" s="48"/>
      <c r="BQ863" s="48"/>
      <c r="BR863" s="48"/>
      <c r="BS863" s="48"/>
      <c r="BT863" s="48"/>
      <c r="BU863" s="48"/>
    </row>
    <row r="864" ht="15.75" customHeight="1">
      <c r="A864" s="48"/>
      <c r="B864" s="48"/>
      <c r="C864" s="48"/>
      <c r="D864" s="48"/>
      <c r="E864" s="27"/>
      <c r="F864" s="48"/>
      <c r="G864" s="48"/>
      <c r="H864" s="56"/>
      <c r="I864" s="56"/>
      <c r="J864" s="56"/>
      <c r="K864" s="56"/>
      <c r="L864" s="56"/>
      <c r="M864" s="56"/>
      <c r="N864" s="56"/>
      <c r="O864" s="56"/>
      <c r="P864" s="56"/>
      <c r="Q864" s="56"/>
      <c r="R864" s="56"/>
      <c r="S864" s="56"/>
      <c r="T864" s="56"/>
      <c r="U864" s="56"/>
      <c r="V864" s="56"/>
      <c r="W864" s="27"/>
      <c r="X864" s="56"/>
      <c r="Y864" s="27"/>
      <c r="Z864" s="56"/>
      <c r="AA864" s="27"/>
      <c r="AB864" s="56"/>
      <c r="AC864" s="27"/>
      <c r="AD864" s="56"/>
      <c r="AE864" s="27"/>
      <c r="AF864" s="56"/>
      <c r="AG864" s="27"/>
      <c r="AH864" s="286"/>
      <c r="AI864" s="27"/>
      <c r="AJ864" s="56"/>
      <c r="AK864" s="27"/>
      <c r="AL864" s="56"/>
      <c r="AM864" s="27"/>
      <c r="AN864" s="56"/>
      <c r="AO864" s="27"/>
      <c r="AP864" s="56"/>
      <c r="AQ864" s="27"/>
      <c r="AR864" s="56"/>
      <c r="AS864" s="27"/>
      <c r="AT864" s="56"/>
      <c r="AU864" s="27"/>
      <c r="AV864" s="56"/>
      <c r="AW864" s="27"/>
      <c r="AX864" s="56"/>
      <c r="AY864" s="27"/>
      <c r="AZ864" s="56"/>
      <c r="BA864" s="27"/>
      <c r="BB864" s="48"/>
      <c r="BC864" s="48"/>
      <c r="BD864" s="48"/>
      <c r="BE864" s="48"/>
      <c r="BF864" s="48"/>
      <c r="BG864" s="48"/>
      <c r="BH864" s="48"/>
      <c r="BI864" s="48"/>
      <c r="BJ864" s="48"/>
      <c r="BK864" s="48"/>
      <c r="BL864" s="48"/>
      <c r="BM864" s="48"/>
      <c r="BN864" s="48"/>
      <c r="BO864" s="48"/>
      <c r="BP864" s="48"/>
      <c r="BQ864" s="48"/>
      <c r="BR864" s="48"/>
      <c r="BS864" s="48"/>
      <c r="BT864" s="48"/>
      <c r="BU864" s="48"/>
    </row>
    <row r="865" ht="15.75" customHeight="1">
      <c r="A865" s="48"/>
      <c r="B865" s="48"/>
      <c r="C865" s="48"/>
      <c r="D865" s="48"/>
      <c r="E865" s="27"/>
      <c r="F865" s="48"/>
      <c r="G865" s="48"/>
      <c r="H865" s="56"/>
      <c r="I865" s="56"/>
      <c r="J865" s="56"/>
      <c r="K865" s="56"/>
      <c r="L865" s="56"/>
      <c r="M865" s="56"/>
      <c r="N865" s="56"/>
      <c r="O865" s="56"/>
      <c r="P865" s="56"/>
      <c r="Q865" s="56"/>
      <c r="R865" s="56"/>
      <c r="S865" s="56"/>
      <c r="T865" s="56"/>
      <c r="U865" s="56"/>
      <c r="V865" s="56"/>
      <c r="W865" s="27"/>
      <c r="X865" s="56"/>
      <c r="Y865" s="27"/>
      <c r="Z865" s="56"/>
      <c r="AA865" s="27"/>
      <c r="AB865" s="56"/>
      <c r="AC865" s="27"/>
      <c r="AD865" s="56"/>
      <c r="AE865" s="27"/>
      <c r="AF865" s="56"/>
      <c r="AG865" s="27"/>
      <c r="AH865" s="286"/>
      <c r="AI865" s="27"/>
      <c r="AJ865" s="56"/>
      <c r="AK865" s="27"/>
      <c r="AL865" s="56"/>
      <c r="AM865" s="27"/>
      <c r="AN865" s="56"/>
      <c r="AO865" s="27"/>
      <c r="AP865" s="56"/>
      <c r="AQ865" s="27"/>
      <c r="AR865" s="56"/>
      <c r="AS865" s="27"/>
      <c r="AT865" s="56"/>
      <c r="AU865" s="27"/>
      <c r="AV865" s="56"/>
      <c r="AW865" s="27"/>
      <c r="AX865" s="56"/>
      <c r="AY865" s="27"/>
      <c r="AZ865" s="56"/>
      <c r="BA865" s="27"/>
      <c r="BB865" s="48"/>
      <c r="BC865" s="48"/>
      <c r="BD865" s="48"/>
      <c r="BE865" s="48"/>
      <c r="BF865" s="48"/>
      <c r="BG865" s="48"/>
      <c r="BH865" s="48"/>
      <c r="BI865" s="48"/>
      <c r="BJ865" s="48"/>
      <c r="BK865" s="48"/>
      <c r="BL865" s="48"/>
      <c r="BM865" s="48"/>
      <c r="BN865" s="48"/>
      <c r="BO865" s="48"/>
      <c r="BP865" s="48"/>
      <c r="BQ865" s="48"/>
      <c r="BR865" s="48"/>
      <c r="BS865" s="48"/>
      <c r="BT865" s="48"/>
      <c r="BU865" s="48"/>
    </row>
    <row r="866" ht="15.75" customHeight="1">
      <c r="A866" s="48"/>
      <c r="B866" s="48"/>
      <c r="C866" s="48"/>
      <c r="D866" s="48"/>
      <c r="E866" s="27"/>
      <c r="F866" s="48"/>
      <c r="G866" s="48"/>
      <c r="H866" s="56"/>
      <c r="I866" s="56"/>
      <c r="J866" s="56"/>
      <c r="K866" s="56"/>
      <c r="L866" s="56"/>
      <c r="M866" s="56"/>
      <c r="N866" s="56"/>
      <c r="O866" s="56"/>
      <c r="P866" s="56"/>
      <c r="Q866" s="56"/>
      <c r="R866" s="56"/>
      <c r="S866" s="56"/>
      <c r="T866" s="56"/>
      <c r="U866" s="56"/>
      <c r="V866" s="56"/>
      <c r="W866" s="27"/>
      <c r="X866" s="56"/>
      <c r="Y866" s="27"/>
      <c r="Z866" s="56"/>
      <c r="AA866" s="27"/>
      <c r="AB866" s="56"/>
      <c r="AC866" s="27"/>
      <c r="AD866" s="56"/>
      <c r="AE866" s="27"/>
      <c r="AF866" s="56"/>
      <c r="AG866" s="27"/>
      <c r="AH866" s="286"/>
      <c r="AI866" s="27"/>
      <c r="AJ866" s="56"/>
      <c r="AK866" s="27"/>
      <c r="AL866" s="56"/>
      <c r="AM866" s="27"/>
      <c r="AN866" s="56"/>
      <c r="AO866" s="27"/>
      <c r="AP866" s="56"/>
      <c r="AQ866" s="27"/>
      <c r="AR866" s="56"/>
      <c r="AS866" s="27"/>
      <c r="AT866" s="56"/>
      <c r="AU866" s="27"/>
      <c r="AV866" s="56"/>
      <c r="AW866" s="27"/>
      <c r="AX866" s="56"/>
      <c r="AY866" s="27"/>
      <c r="AZ866" s="56"/>
      <c r="BA866" s="27"/>
      <c r="BB866" s="48"/>
      <c r="BC866" s="48"/>
      <c r="BD866" s="48"/>
      <c r="BE866" s="48"/>
      <c r="BF866" s="48"/>
      <c r="BG866" s="48"/>
      <c r="BH866" s="48"/>
      <c r="BI866" s="48"/>
      <c r="BJ866" s="48"/>
      <c r="BK866" s="48"/>
      <c r="BL866" s="48"/>
      <c r="BM866" s="48"/>
      <c r="BN866" s="48"/>
      <c r="BO866" s="48"/>
      <c r="BP866" s="48"/>
      <c r="BQ866" s="48"/>
      <c r="BR866" s="48"/>
      <c r="BS866" s="48"/>
      <c r="BT866" s="48"/>
      <c r="BU866" s="48"/>
    </row>
    <row r="867" ht="15.75" customHeight="1">
      <c r="A867" s="48"/>
      <c r="B867" s="48"/>
      <c r="C867" s="48"/>
      <c r="D867" s="48"/>
      <c r="E867" s="27"/>
      <c r="F867" s="48"/>
      <c r="G867" s="48"/>
      <c r="H867" s="56"/>
      <c r="I867" s="56"/>
      <c r="J867" s="56"/>
      <c r="K867" s="56"/>
      <c r="L867" s="56"/>
      <c r="M867" s="56"/>
      <c r="N867" s="56"/>
      <c r="O867" s="56"/>
      <c r="P867" s="56"/>
      <c r="Q867" s="56"/>
      <c r="R867" s="56"/>
      <c r="S867" s="56"/>
      <c r="T867" s="56"/>
      <c r="U867" s="56"/>
      <c r="V867" s="56"/>
      <c r="W867" s="27"/>
      <c r="X867" s="56"/>
      <c r="Y867" s="27"/>
      <c r="Z867" s="56"/>
      <c r="AA867" s="27"/>
      <c r="AB867" s="56"/>
      <c r="AC867" s="27"/>
      <c r="AD867" s="56"/>
      <c r="AE867" s="27"/>
      <c r="AF867" s="56"/>
      <c r="AG867" s="27"/>
      <c r="AH867" s="286"/>
      <c r="AI867" s="27"/>
      <c r="AJ867" s="56"/>
      <c r="AK867" s="27"/>
      <c r="AL867" s="56"/>
      <c r="AM867" s="27"/>
      <c r="AN867" s="56"/>
      <c r="AO867" s="27"/>
      <c r="AP867" s="56"/>
      <c r="AQ867" s="27"/>
      <c r="AR867" s="56"/>
      <c r="AS867" s="27"/>
      <c r="AT867" s="56"/>
      <c r="AU867" s="27"/>
      <c r="AV867" s="56"/>
      <c r="AW867" s="27"/>
      <c r="AX867" s="56"/>
      <c r="AY867" s="27"/>
      <c r="AZ867" s="56"/>
      <c r="BA867" s="27"/>
      <c r="BB867" s="48"/>
      <c r="BC867" s="48"/>
      <c r="BD867" s="48"/>
      <c r="BE867" s="48"/>
      <c r="BF867" s="48"/>
      <c r="BG867" s="48"/>
      <c r="BH867" s="48"/>
      <c r="BI867" s="48"/>
      <c r="BJ867" s="48"/>
      <c r="BK867" s="48"/>
      <c r="BL867" s="48"/>
      <c r="BM867" s="48"/>
      <c r="BN867" s="48"/>
      <c r="BO867" s="48"/>
      <c r="BP867" s="48"/>
      <c r="BQ867" s="48"/>
      <c r="BR867" s="48"/>
      <c r="BS867" s="48"/>
      <c r="BT867" s="48"/>
      <c r="BU867" s="48"/>
    </row>
    <row r="868" ht="15.75" customHeight="1">
      <c r="A868" s="48"/>
      <c r="B868" s="48"/>
      <c r="C868" s="48"/>
      <c r="D868" s="48"/>
      <c r="E868" s="27"/>
      <c r="F868" s="48"/>
      <c r="G868" s="48"/>
      <c r="H868" s="56"/>
      <c r="I868" s="56"/>
      <c r="J868" s="56"/>
      <c r="K868" s="56"/>
      <c r="L868" s="56"/>
      <c r="M868" s="56"/>
      <c r="N868" s="56"/>
      <c r="O868" s="56"/>
      <c r="P868" s="56"/>
      <c r="Q868" s="56"/>
      <c r="R868" s="56"/>
      <c r="S868" s="56"/>
      <c r="T868" s="56"/>
      <c r="U868" s="56"/>
      <c r="V868" s="56"/>
      <c r="W868" s="27"/>
      <c r="X868" s="56"/>
      <c r="Y868" s="27"/>
      <c r="Z868" s="56"/>
      <c r="AA868" s="27"/>
      <c r="AB868" s="56"/>
      <c r="AC868" s="27"/>
      <c r="AD868" s="56"/>
      <c r="AE868" s="27"/>
      <c r="AF868" s="56"/>
      <c r="AG868" s="27"/>
      <c r="AH868" s="286"/>
      <c r="AI868" s="27"/>
      <c r="AJ868" s="56"/>
      <c r="AK868" s="27"/>
      <c r="AL868" s="56"/>
      <c r="AM868" s="27"/>
      <c r="AN868" s="56"/>
      <c r="AO868" s="27"/>
      <c r="AP868" s="56"/>
      <c r="AQ868" s="27"/>
      <c r="AR868" s="56"/>
      <c r="AS868" s="27"/>
      <c r="AT868" s="56"/>
      <c r="AU868" s="27"/>
      <c r="AV868" s="56"/>
      <c r="AW868" s="27"/>
      <c r="AX868" s="56"/>
      <c r="AY868" s="27"/>
      <c r="AZ868" s="56"/>
      <c r="BA868" s="27"/>
      <c r="BB868" s="48"/>
      <c r="BC868" s="48"/>
      <c r="BD868" s="48"/>
      <c r="BE868" s="48"/>
      <c r="BF868" s="48"/>
      <c r="BG868" s="48"/>
      <c r="BH868" s="48"/>
      <c r="BI868" s="48"/>
      <c r="BJ868" s="48"/>
      <c r="BK868" s="48"/>
      <c r="BL868" s="48"/>
      <c r="BM868" s="48"/>
      <c r="BN868" s="48"/>
      <c r="BO868" s="48"/>
      <c r="BP868" s="48"/>
      <c r="BQ868" s="48"/>
      <c r="BR868" s="48"/>
      <c r="BS868" s="48"/>
      <c r="BT868" s="48"/>
      <c r="BU868" s="48"/>
    </row>
    <row r="869" ht="15.75" customHeight="1">
      <c r="A869" s="48"/>
      <c r="B869" s="48"/>
      <c r="C869" s="48"/>
      <c r="D869" s="48"/>
      <c r="E869" s="27"/>
      <c r="F869" s="48"/>
      <c r="G869" s="48"/>
      <c r="H869" s="56"/>
      <c r="I869" s="56"/>
      <c r="J869" s="56"/>
      <c r="K869" s="56"/>
      <c r="L869" s="56"/>
      <c r="M869" s="56"/>
      <c r="N869" s="56"/>
      <c r="O869" s="56"/>
      <c r="P869" s="56"/>
      <c r="Q869" s="56"/>
      <c r="R869" s="56"/>
      <c r="S869" s="56"/>
      <c r="T869" s="56"/>
      <c r="U869" s="56"/>
      <c r="V869" s="56"/>
      <c r="W869" s="27"/>
      <c r="X869" s="56"/>
      <c r="Y869" s="27"/>
      <c r="Z869" s="56"/>
      <c r="AA869" s="27"/>
      <c r="AB869" s="56"/>
      <c r="AC869" s="27"/>
      <c r="AD869" s="56"/>
      <c r="AE869" s="27"/>
      <c r="AF869" s="56"/>
      <c r="AG869" s="27"/>
      <c r="AH869" s="286"/>
      <c r="AI869" s="27"/>
      <c r="AJ869" s="56"/>
      <c r="AK869" s="27"/>
      <c r="AL869" s="56"/>
      <c r="AM869" s="27"/>
      <c r="AN869" s="56"/>
      <c r="AO869" s="27"/>
      <c r="AP869" s="56"/>
      <c r="AQ869" s="27"/>
      <c r="AR869" s="56"/>
      <c r="AS869" s="27"/>
      <c r="AT869" s="56"/>
      <c r="AU869" s="27"/>
      <c r="AV869" s="56"/>
      <c r="AW869" s="27"/>
      <c r="AX869" s="56"/>
      <c r="AY869" s="27"/>
      <c r="AZ869" s="56"/>
      <c r="BA869" s="27"/>
      <c r="BB869" s="48"/>
      <c r="BC869" s="48"/>
      <c r="BD869" s="48"/>
      <c r="BE869" s="48"/>
      <c r="BF869" s="48"/>
      <c r="BG869" s="48"/>
      <c r="BH869" s="48"/>
      <c r="BI869" s="48"/>
      <c r="BJ869" s="48"/>
      <c r="BK869" s="48"/>
      <c r="BL869" s="48"/>
      <c r="BM869" s="48"/>
      <c r="BN869" s="48"/>
      <c r="BO869" s="48"/>
      <c r="BP869" s="48"/>
      <c r="BQ869" s="48"/>
      <c r="BR869" s="48"/>
      <c r="BS869" s="48"/>
      <c r="BT869" s="48"/>
      <c r="BU869" s="48"/>
    </row>
    <row r="870" ht="15.75" customHeight="1">
      <c r="A870" s="48"/>
      <c r="B870" s="48"/>
      <c r="C870" s="48"/>
      <c r="D870" s="48"/>
      <c r="E870" s="27"/>
      <c r="F870" s="48"/>
      <c r="G870" s="48"/>
      <c r="H870" s="56"/>
      <c r="I870" s="56"/>
      <c r="J870" s="56"/>
      <c r="K870" s="56"/>
      <c r="L870" s="56"/>
      <c r="M870" s="56"/>
      <c r="N870" s="56"/>
      <c r="O870" s="56"/>
      <c r="P870" s="56"/>
      <c r="Q870" s="56"/>
      <c r="R870" s="56"/>
      <c r="S870" s="56"/>
      <c r="T870" s="56"/>
      <c r="U870" s="56"/>
      <c r="V870" s="56"/>
      <c r="W870" s="27"/>
      <c r="X870" s="56"/>
      <c r="Y870" s="27"/>
      <c r="Z870" s="56"/>
      <c r="AA870" s="27"/>
      <c r="AB870" s="56"/>
      <c r="AC870" s="27"/>
      <c r="AD870" s="56"/>
      <c r="AE870" s="27"/>
      <c r="AF870" s="56"/>
      <c r="AG870" s="27"/>
      <c r="AH870" s="286"/>
      <c r="AI870" s="27"/>
      <c r="AJ870" s="56"/>
      <c r="AK870" s="27"/>
      <c r="AL870" s="56"/>
      <c r="AM870" s="27"/>
      <c r="AN870" s="56"/>
      <c r="AO870" s="27"/>
      <c r="AP870" s="56"/>
      <c r="AQ870" s="27"/>
      <c r="AR870" s="56"/>
      <c r="AS870" s="27"/>
      <c r="AT870" s="56"/>
      <c r="AU870" s="27"/>
      <c r="AV870" s="56"/>
      <c r="AW870" s="27"/>
      <c r="AX870" s="56"/>
      <c r="AY870" s="27"/>
      <c r="AZ870" s="56"/>
      <c r="BA870" s="27"/>
      <c r="BB870" s="48"/>
      <c r="BC870" s="48"/>
      <c r="BD870" s="48"/>
      <c r="BE870" s="48"/>
      <c r="BF870" s="48"/>
      <c r="BG870" s="48"/>
      <c r="BH870" s="48"/>
      <c r="BI870" s="48"/>
      <c r="BJ870" s="48"/>
      <c r="BK870" s="48"/>
      <c r="BL870" s="48"/>
      <c r="BM870" s="48"/>
      <c r="BN870" s="48"/>
      <c r="BO870" s="48"/>
      <c r="BP870" s="48"/>
      <c r="BQ870" s="48"/>
      <c r="BR870" s="48"/>
      <c r="BS870" s="48"/>
      <c r="BT870" s="48"/>
      <c r="BU870" s="48"/>
    </row>
    <row r="871" ht="15.75" customHeight="1">
      <c r="A871" s="48"/>
      <c r="B871" s="48"/>
      <c r="C871" s="48"/>
      <c r="D871" s="48"/>
      <c r="E871" s="27"/>
      <c r="F871" s="48"/>
      <c r="G871" s="48"/>
      <c r="H871" s="56"/>
      <c r="I871" s="56"/>
      <c r="J871" s="56"/>
      <c r="K871" s="56"/>
      <c r="L871" s="56"/>
      <c r="M871" s="56"/>
      <c r="N871" s="56"/>
      <c r="O871" s="56"/>
      <c r="P871" s="56"/>
      <c r="Q871" s="56"/>
      <c r="R871" s="56"/>
      <c r="S871" s="56"/>
      <c r="T871" s="56"/>
      <c r="U871" s="56"/>
      <c r="V871" s="56"/>
      <c r="W871" s="27"/>
      <c r="X871" s="56"/>
      <c r="Y871" s="27"/>
      <c r="Z871" s="56"/>
      <c r="AA871" s="27"/>
      <c r="AB871" s="56"/>
      <c r="AC871" s="27"/>
      <c r="AD871" s="56"/>
      <c r="AE871" s="27"/>
      <c r="AF871" s="56"/>
      <c r="AG871" s="27"/>
      <c r="AH871" s="286"/>
      <c r="AI871" s="27"/>
      <c r="AJ871" s="56"/>
      <c r="AK871" s="27"/>
      <c r="AL871" s="56"/>
      <c r="AM871" s="27"/>
      <c r="AN871" s="56"/>
      <c r="AO871" s="27"/>
      <c r="AP871" s="56"/>
      <c r="AQ871" s="27"/>
      <c r="AR871" s="56"/>
      <c r="AS871" s="27"/>
      <c r="AT871" s="56"/>
      <c r="AU871" s="27"/>
      <c r="AV871" s="56"/>
      <c r="AW871" s="27"/>
      <c r="AX871" s="56"/>
      <c r="AY871" s="27"/>
      <c r="AZ871" s="56"/>
      <c r="BA871" s="27"/>
      <c r="BB871" s="48"/>
      <c r="BC871" s="48"/>
      <c r="BD871" s="48"/>
      <c r="BE871" s="48"/>
      <c r="BF871" s="48"/>
      <c r="BG871" s="48"/>
      <c r="BH871" s="48"/>
      <c r="BI871" s="48"/>
      <c r="BJ871" s="48"/>
      <c r="BK871" s="48"/>
      <c r="BL871" s="48"/>
      <c r="BM871" s="48"/>
      <c r="BN871" s="48"/>
      <c r="BO871" s="48"/>
      <c r="BP871" s="48"/>
      <c r="BQ871" s="48"/>
      <c r="BR871" s="48"/>
      <c r="BS871" s="48"/>
      <c r="BT871" s="48"/>
      <c r="BU871" s="48"/>
    </row>
    <row r="872" ht="15.75" customHeight="1">
      <c r="A872" s="48"/>
      <c r="B872" s="48"/>
      <c r="C872" s="48"/>
      <c r="D872" s="48"/>
      <c r="E872" s="27"/>
      <c r="F872" s="48"/>
      <c r="G872" s="48"/>
      <c r="H872" s="56"/>
      <c r="I872" s="56"/>
      <c r="J872" s="56"/>
      <c r="K872" s="56"/>
      <c r="L872" s="56"/>
      <c r="M872" s="56"/>
      <c r="N872" s="56"/>
      <c r="O872" s="56"/>
      <c r="P872" s="56"/>
      <c r="Q872" s="56"/>
      <c r="R872" s="56"/>
      <c r="S872" s="56"/>
      <c r="T872" s="56"/>
      <c r="U872" s="56"/>
      <c r="V872" s="56"/>
      <c r="W872" s="27"/>
      <c r="X872" s="56"/>
      <c r="Y872" s="27"/>
      <c r="Z872" s="56"/>
      <c r="AA872" s="27"/>
      <c r="AB872" s="56"/>
      <c r="AC872" s="27"/>
      <c r="AD872" s="56"/>
      <c r="AE872" s="27"/>
      <c r="AF872" s="56"/>
      <c r="AG872" s="27"/>
      <c r="AH872" s="286"/>
      <c r="AI872" s="27"/>
      <c r="AJ872" s="56"/>
      <c r="AK872" s="27"/>
      <c r="AL872" s="56"/>
      <c r="AM872" s="27"/>
      <c r="AN872" s="56"/>
      <c r="AO872" s="27"/>
      <c r="AP872" s="56"/>
      <c r="AQ872" s="27"/>
      <c r="AR872" s="56"/>
      <c r="AS872" s="27"/>
      <c r="AT872" s="56"/>
      <c r="AU872" s="27"/>
      <c r="AV872" s="56"/>
      <c r="AW872" s="27"/>
      <c r="AX872" s="56"/>
      <c r="AY872" s="27"/>
      <c r="AZ872" s="56"/>
      <c r="BA872" s="27"/>
      <c r="BB872" s="48"/>
      <c r="BC872" s="48"/>
      <c r="BD872" s="48"/>
      <c r="BE872" s="48"/>
      <c r="BF872" s="48"/>
      <c r="BG872" s="48"/>
      <c r="BH872" s="48"/>
      <c r="BI872" s="48"/>
      <c r="BJ872" s="48"/>
      <c r="BK872" s="48"/>
      <c r="BL872" s="48"/>
      <c r="BM872" s="48"/>
      <c r="BN872" s="48"/>
      <c r="BO872" s="48"/>
      <c r="BP872" s="48"/>
      <c r="BQ872" s="48"/>
      <c r="BR872" s="48"/>
      <c r="BS872" s="48"/>
      <c r="BT872" s="48"/>
      <c r="BU872" s="48"/>
    </row>
    <row r="873" ht="15.75" customHeight="1">
      <c r="A873" s="48"/>
      <c r="B873" s="48"/>
      <c r="C873" s="48"/>
      <c r="D873" s="48"/>
      <c r="E873" s="27"/>
      <c r="F873" s="48"/>
      <c r="G873" s="48"/>
      <c r="H873" s="56"/>
      <c r="I873" s="56"/>
      <c r="J873" s="56"/>
      <c r="K873" s="56"/>
      <c r="L873" s="56"/>
      <c r="M873" s="56"/>
      <c r="N873" s="56"/>
      <c r="O873" s="56"/>
      <c r="P873" s="56"/>
      <c r="Q873" s="56"/>
      <c r="R873" s="56"/>
      <c r="S873" s="56"/>
      <c r="T873" s="56"/>
      <c r="U873" s="56"/>
      <c r="V873" s="56"/>
      <c r="W873" s="27"/>
      <c r="X873" s="56"/>
      <c r="Y873" s="27"/>
      <c r="Z873" s="56"/>
      <c r="AA873" s="27"/>
      <c r="AB873" s="56"/>
      <c r="AC873" s="27"/>
      <c r="AD873" s="56"/>
      <c r="AE873" s="27"/>
      <c r="AF873" s="56"/>
      <c r="AG873" s="27"/>
      <c r="AH873" s="286"/>
      <c r="AI873" s="27"/>
      <c r="AJ873" s="56"/>
      <c r="AK873" s="27"/>
      <c r="AL873" s="56"/>
      <c r="AM873" s="27"/>
      <c r="AN873" s="56"/>
      <c r="AO873" s="27"/>
      <c r="AP873" s="56"/>
      <c r="AQ873" s="27"/>
      <c r="AR873" s="56"/>
      <c r="AS873" s="27"/>
      <c r="AT873" s="56"/>
      <c r="AU873" s="27"/>
      <c r="AV873" s="56"/>
      <c r="AW873" s="27"/>
      <c r="AX873" s="56"/>
      <c r="AY873" s="27"/>
      <c r="AZ873" s="56"/>
      <c r="BA873" s="27"/>
      <c r="BB873" s="48"/>
      <c r="BC873" s="48"/>
      <c r="BD873" s="48"/>
      <c r="BE873" s="48"/>
      <c r="BF873" s="48"/>
      <c r="BG873" s="48"/>
      <c r="BH873" s="48"/>
      <c r="BI873" s="48"/>
      <c r="BJ873" s="48"/>
      <c r="BK873" s="48"/>
      <c r="BL873" s="48"/>
      <c r="BM873" s="48"/>
      <c r="BN873" s="48"/>
      <c r="BO873" s="48"/>
      <c r="BP873" s="48"/>
      <c r="BQ873" s="48"/>
      <c r="BR873" s="48"/>
      <c r="BS873" s="48"/>
      <c r="BT873" s="48"/>
      <c r="BU873" s="48"/>
    </row>
    <row r="874" ht="15.75" customHeight="1">
      <c r="A874" s="48"/>
      <c r="B874" s="48"/>
      <c r="C874" s="48"/>
      <c r="D874" s="48"/>
      <c r="E874" s="27"/>
      <c r="F874" s="48"/>
      <c r="G874" s="48"/>
      <c r="H874" s="56"/>
      <c r="I874" s="56"/>
      <c r="J874" s="56"/>
      <c r="K874" s="56"/>
      <c r="L874" s="56"/>
      <c r="M874" s="56"/>
      <c r="N874" s="56"/>
      <c r="O874" s="56"/>
      <c r="P874" s="56"/>
      <c r="Q874" s="56"/>
      <c r="R874" s="56"/>
      <c r="S874" s="56"/>
      <c r="T874" s="56"/>
      <c r="U874" s="56"/>
      <c r="V874" s="56"/>
      <c r="W874" s="27"/>
      <c r="X874" s="56"/>
      <c r="Y874" s="27"/>
      <c r="Z874" s="56"/>
      <c r="AA874" s="27"/>
      <c r="AB874" s="56"/>
      <c r="AC874" s="27"/>
      <c r="AD874" s="56"/>
      <c r="AE874" s="27"/>
      <c r="AF874" s="56"/>
      <c r="AG874" s="27"/>
      <c r="AH874" s="286"/>
      <c r="AI874" s="27"/>
      <c r="AJ874" s="56"/>
      <c r="AK874" s="27"/>
      <c r="AL874" s="56"/>
      <c r="AM874" s="27"/>
      <c r="AN874" s="56"/>
      <c r="AO874" s="27"/>
      <c r="AP874" s="56"/>
      <c r="AQ874" s="27"/>
      <c r="AR874" s="56"/>
      <c r="AS874" s="27"/>
      <c r="AT874" s="56"/>
      <c r="AU874" s="27"/>
      <c r="AV874" s="56"/>
      <c r="AW874" s="27"/>
      <c r="AX874" s="56"/>
      <c r="AY874" s="27"/>
      <c r="AZ874" s="56"/>
      <c r="BA874" s="27"/>
      <c r="BB874" s="48"/>
      <c r="BC874" s="48"/>
      <c r="BD874" s="48"/>
      <c r="BE874" s="48"/>
      <c r="BF874" s="48"/>
      <c r="BG874" s="48"/>
      <c r="BH874" s="48"/>
      <c r="BI874" s="48"/>
      <c r="BJ874" s="48"/>
      <c r="BK874" s="48"/>
      <c r="BL874" s="48"/>
      <c r="BM874" s="48"/>
      <c r="BN874" s="48"/>
      <c r="BO874" s="48"/>
      <c r="BP874" s="48"/>
      <c r="BQ874" s="48"/>
      <c r="BR874" s="48"/>
      <c r="BS874" s="48"/>
      <c r="BT874" s="48"/>
      <c r="BU874" s="48"/>
    </row>
    <row r="875" ht="15.75" customHeight="1">
      <c r="A875" s="48"/>
      <c r="B875" s="48"/>
      <c r="C875" s="48"/>
      <c r="D875" s="48"/>
      <c r="E875" s="27"/>
      <c r="F875" s="48"/>
      <c r="G875" s="48"/>
      <c r="H875" s="56"/>
      <c r="I875" s="56"/>
      <c r="J875" s="56"/>
      <c r="K875" s="56"/>
      <c r="L875" s="56"/>
      <c r="M875" s="56"/>
      <c r="N875" s="56"/>
      <c r="O875" s="56"/>
      <c r="P875" s="56"/>
      <c r="Q875" s="56"/>
      <c r="R875" s="56"/>
      <c r="S875" s="56"/>
      <c r="T875" s="56"/>
      <c r="U875" s="56"/>
      <c r="V875" s="56"/>
      <c r="W875" s="27"/>
      <c r="X875" s="56"/>
      <c r="Y875" s="27"/>
      <c r="Z875" s="56"/>
      <c r="AA875" s="27"/>
      <c r="AB875" s="56"/>
      <c r="AC875" s="27"/>
      <c r="AD875" s="56"/>
      <c r="AE875" s="27"/>
      <c r="AF875" s="56"/>
      <c r="AG875" s="27"/>
      <c r="AH875" s="286"/>
      <c r="AI875" s="27"/>
      <c r="AJ875" s="56"/>
      <c r="AK875" s="27"/>
      <c r="AL875" s="56"/>
      <c r="AM875" s="27"/>
      <c r="AN875" s="56"/>
      <c r="AO875" s="27"/>
      <c r="AP875" s="56"/>
      <c r="AQ875" s="27"/>
      <c r="AR875" s="56"/>
      <c r="AS875" s="27"/>
      <c r="AT875" s="56"/>
      <c r="AU875" s="27"/>
      <c r="AV875" s="56"/>
      <c r="AW875" s="27"/>
      <c r="AX875" s="56"/>
      <c r="AY875" s="27"/>
      <c r="AZ875" s="56"/>
      <c r="BA875" s="27"/>
      <c r="BB875" s="48"/>
      <c r="BC875" s="48"/>
      <c r="BD875" s="48"/>
      <c r="BE875" s="48"/>
      <c r="BF875" s="48"/>
      <c r="BG875" s="48"/>
      <c r="BH875" s="48"/>
      <c r="BI875" s="48"/>
      <c r="BJ875" s="48"/>
      <c r="BK875" s="48"/>
      <c r="BL875" s="48"/>
      <c r="BM875" s="48"/>
      <c r="BN875" s="48"/>
      <c r="BO875" s="48"/>
      <c r="BP875" s="48"/>
      <c r="BQ875" s="48"/>
      <c r="BR875" s="48"/>
      <c r="BS875" s="48"/>
      <c r="BT875" s="48"/>
      <c r="BU875" s="48"/>
    </row>
    <row r="876" ht="15.75" customHeight="1">
      <c r="A876" s="48"/>
      <c r="B876" s="48"/>
      <c r="C876" s="48"/>
      <c r="D876" s="48"/>
      <c r="E876" s="27"/>
      <c r="F876" s="48"/>
      <c r="G876" s="48"/>
      <c r="H876" s="56"/>
      <c r="I876" s="56"/>
      <c r="J876" s="56"/>
      <c r="K876" s="56"/>
      <c r="L876" s="56"/>
      <c r="M876" s="56"/>
      <c r="N876" s="56"/>
      <c r="O876" s="56"/>
      <c r="P876" s="56"/>
      <c r="Q876" s="56"/>
      <c r="R876" s="56"/>
      <c r="S876" s="56"/>
      <c r="T876" s="56"/>
      <c r="U876" s="56"/>
      <c r="V876" s="56"/>
      <c r="W876" s="27"/>
      <c r="X876" s="56"/>
      <c r="Y876" s="27"/>
      <c r="Z876" s="56"/>
      <c r="AA876" s="27"/>
      <c r="AB876" s="56"/>
      <c r="AC876" s="27"/>
      <c r="AD876" s="56"/>
      <c r="AE876" s="27"/>
      <c r="AF876" s="56"/>
      <c r="AG876" s="27"/>
      <c r="AH876" s="286"/>
      <c r="AI876" s="27"/>
      <c r="AJ876" s="56"/>
      <c r="AK876" s="27"/>
      <c r="AL876" s="56"/>
      <c r="AM876" s="27"/>
      <c r="AN876" s="56"/>
      <c r="AO876" s="27"/>
      <c r="AP876" s="56"/>
      <c r="AQ876" s="27"/>
      <c r="AR876" s="56"/>
      <c r="AS876" s="27"/>
      <c r="AT876" s="56"/>
      <c r="AU876" s="27"/>
      <c r="AV876" s="56"/>
      <c r="AW876" s="27"/>
      <c r="AX876" s="56"/>
      <c r="AY876" s="27"/>
      <c r="AZ876" s="56"/>
      <c r="BA876" s="27"/>
      <c r="BB876" s="48"/>
      <c r="BC876" s="48"/>
      <c r="BD876" s="48"/>
      <c r="BE876" s="48"/>
      <c r="BF876" s="48"/>
      <c r="BG876" s="48"/>
      <c r="BH876" s="48"/>
      <c r="BI876" s="48"/>
      <c r="BJ876" s="48"/>
      <c r="BK876" s="48"/>
      <c r="BL876" s="48"/>
      <c r="BM876" s="48"/>
      <c r="BN876" s="48"/>
      <c r="BO876" s="48"/>
      <c r="BP876" s="48"/>
      <c r="BQ876" s="48"/>
      <c r="BR876" s="48"/>
      <c r="BS876" s="48"/>
      <c r="BT876" s="48"/>
      <c r="BU876" s="48"/>
    </row>
    <row r="877" ht="15.75" customHeight="1">
      <c r="A877" s="48"/>
      <c r="B877" s="48"/>
      <c r="C877" s="48"/>
      <c r="D877" s="48"/>
      <c r="E877" s="27"/>
      <c r="F877" s="48"/>
      <c r="G877" s="48"/>
      <c r="H877" s="56"/>
      <c r="I877" s="56"/>
      <c r="J877" s="56"/>
      <c r="K877" s="56"/>
      <c r="L877" s="56"/>
      <c r="M877" s="56"/>
      <c r="N877" s="56"/>
      <c r="O877" s="56"/>
      <c r="P877" s="56"/>
      <c r="Q877" s="56"/>
      <c r="R877" s="56"/>
      <c r="S877" s="56"/>
      <c r="T877" s="56"/>
      <c r="U877" s="56"/>
      <c r="V877" s="56"/>
      <c r="W877" s="27"/>
      <c r="X877" s="56"/>
      <c r="Y877" s="27"/>
      <c r="Z877" s="56"/>
      <c r="AA877" s="27"/>
      <c r="AB877" s="56"/>
      <c r="AC877" s="27"/>
      <c r="AD877" s="56"/>
      <c r="AE877" s="27"/>
      <c r="AF877" s="56"/>
      <c r="AG877" s="27"/>
      <c r="AH877" s="286"/>
      <c r="AI877" s="27"/>
      <c r="AJ877" s="56"/>
      <c r="AK877" s="27"/>
      <c r="AL877" s="56"/>
      <c r="AM877" s="27"/>
      <c r="AN877" s="56"/>
      <c r="AO877" s="27"/>
      <c r="AP877" s="56"/>
      <c r="AQ877" s="27"/>
      <c r="AR877" s="56"/>
      <c r="AS877" s="27"/>
      <c r="AT877" s="56"/>
      <c r="AU877" s="27"/>
      <c r="AV877" s="56"/>
      <c r="AW877" s="27"/>
      <c r="AX877" s="56"/>
      <c r="AY877" s="27"/>
      <c r="AZ877" s="56"/>
      <c r="BA877" s="27"/>
      <c r="BB877" s="48"/>
      <c r="BC877" s="48"/>
      <c r="BD877" s="48"/>
      <c r="BE877" s="48"/>
      <c r="BF877" s="48"/>
      <c r="BG877" s="48"/>
      <c r="BH877" s="48"/>
      <c r="BI877" s="48"/>
      <c r="BJ877" s="48"/>
      <c r="BK877" s="48"/>
      <c r="BL877" s="48"/>
      <c r="BM877" s="48"/>
      <c r="BN877" s="48"/>
      <c r="BO877" s="48"/>
      <c r="BP877" s="48"/>
      <c r="BQ877" s="48"/>
      <c r="BR877" s="48"/>
      <c r="BS877" s="48"/>
      <c r="BT877" s="48"/>
      <c r="BU877" s="48"/>
    </row>
    <row r="878" ht="15.75" customHeight="1">
      <c r="A878" s="48"/>
      <c r="B878" s="48"/>
      <c r="C878" s="48"/>
      <c r="D878" s="48"/>
      <c r="E878" s="27"/>
      <c r="F878" s="48"/>
      <c r="G878" s="48"/>
      <c r="H878" s="56"/>
      <c r="I878" s="56"/>
      <c r="J878" s="56"/>
      <c r="K878" s="56"/>
      <c r="L878" s="56"/>
      <c r="M878" s="56"/>
      <c r="N878" s="56"/>
      <c r="O878" s="56"/>
      <c r="P878" s="56"/>
      <c r="Q878" s="56"/>
      <c r="R878" s="56"/>
      <c r="S878" s="56"/>
      <c r="T878" s="56"/>
      <c r="U878" s="56"/>
      <c r="V878" s="56"/>
      <c r="W878" s="27"/>
      <c r="X878" s="56"/>
      <c r="Y878" s="27"/>
      <c r="Z878" s="56"/>
      <c r="AA878" s="27"/>
      <c r="AB878" s="56"/>
      <c r="AC878" s="27"/>
      <c r="AD878" s="56"/>
      <c r="AE878" s="27"/>
      <c r="AF878" s="56"/>
      <c r="AG878" s="27"/>
      <c r="AH878" s="286"/>
      <c r="AI878" s="27"/>
      <c r="AJ878" s="56"/>
      <c r="AK878" s="27"/>
      <c r="AL878" s="56"/>
      <c r="AM878" s="27"/>
      <c r="AN878" s="56"/>
      <c r="AO878" s="27"/>
      <c r="AP878" s="56"/>
      <c r="AQ878" s="27"/>
      <c r="AR878" s="56"/>
      <c r="AS878" s="27"/>
      <c r="AT878" s="56"/>
      <c r="AU878" s="27"/>
      <c r="AV878" s="56"/>
      <c r="AW878" s="27"/>
      <c r="AX878" s="56"/>
      <c r="AY878" s="27"/>
      <c r="AZ878" s="56"/>
      <c r="BA878" s="27"/>
      <c r="BB878" s="48"/>
      <c r="BC878" s="48"/>
      <c r="BD878" s="48"/>
      <c r="BE878" s="48"/>
      <c r="BF878" s="48"/>
      <c r="BG878" s="48"/>
      <c r="BH878" s="48"/>
      <c r="BI878" s="48"/>
      <c r="BJ878" s="48"/>
      <c r="BK878" s="48"/>
      <c r="BL878" s="48"/>
      <c r="BM878" s="48"/>
      <c r="BN878" s="48"/>
      <c r="BO878" s="48"/>
      <c r="BP878" s="48"/>
      <c r="BQ878" s="48"/>
      <c r="BR878" s="48"/>
      <c r="BS878" s="48"/>
      <c r="BT878" s="48"/>
      <c r="BU878" s="48"/>
    </row>
    <row r="879" ht="15.75" customHeight="1">
      <c r="A879" s="48"/>
      <c r="B879" s="48"/>
      <c r="C879" s="48"/>
      <c r="D879" s="48"/>
      <c r="E879" s="27"/>
      <c r="F879" s="48"/>
      <c r="G879" s="48"/>
      <c r="H879" s="56"/>
      <c r="I879" s="56"/>
      <c r="J879" s="56"/>
      <c r="K879" s="56"/>
      <c r="L879" s="56"/>
      <c r="M879" s="56"/>
      <c r="N879" s="56"/>
      <c r="O879" s="56"/>
      <c r="P879" s="56"/>
      <c r="Q879" s="56"/>
      <c r="R879" s="56"/>
      <c r="S879" s="56"/>
      <c r="T879" s="56"/>
      <c r="U879" s="56"/>
      <c r="V879" s="56"/>
      <c r="W879" s="27"/>
      <c r="X879" s="56"/>
      <c r="Y879" s="27"/>
      <c r="Z879" s="56"/>
      <c r="AA879" s="27"/>
      <c r="AB879" s="56"/>
      <c r="AC879" s="27"/>
      <c r="AD879" s="56"/>
      <c r="AE879" s="27"/>
      <c r="AF879" s="56"/>
      <c r="AG879" s="27"/>
      <c r="AH879" s="286"/>
      <c r="AI879" s="27"/>
      <c r="AJ879" s="56"/>
      <c r="AK879" s="27"/>
      <c r="AL879" s="56"/>
      <c r="AM879" s="27"/>
      <c r="AN879" s="56"/>
      <c r="AO879" s="27"/>
      <c r="AP879" s="56"/>
      <c r="AQ879" s="27"/>
      <c r="AR879" s="56"/>
      <c r="AS879" s="27"/>
      <c r="AT879" s="56"/>
      <c r="AU879" s="27"/>
      <c r="AV879" s="56"/>
      <c r="AW879" s="27"/>
      <c r="AX879" s="56"/>
      <c r="AY879" s="27"/>
      <c r="AZ879" s="56"/>
      <c r="BA879" s="27"/>
      <c r="BB879" s="48"/>
      <c r="BC879" s="48"/>
      <c r="BD879" s="48"/>
      <c r="BE879" s="48"/>
      <c r="BF879" s="48"/>
      <c r="BG879" s="48"/>
      <c r="BH879" s="48"/>
      <c r="BI879" s="48"/>
      <c r="BJ879" s="48"/>
      <c r="BK879" s="48"/>
      <c r="BL879" s="48"/>
      <c r="BM879" s="48"/>
      <c r="BN879" s="48"/>
      <c r="BO879" s="48"/>
      <c r="BP879" s="48"/>
      <c r="BQ879" s="48"/>
      <c r="BR879" s="48"/>
      <c r="BS879" s="48"/>
      <c r="BT879" s="48"/>
      <c r="BU879" s="48"/>
    </row>
    <row r="880" ht="15.75" customHeight="1">
      <c r="A880" s="48"/>
      <c r="B880" s="48"/>
      <c r="C880" s="48"/>
      <c r="D880" s="48"/>
      <c r="E880" s="27"/>
      <c r="F880" s="48"/>
      <c r="G880" s="48"/>
      <c r="H880" s="56"/>
      <c r="I880" s="56"/>
      <c r="J880" s="56"/>
      <c r="K880" s="56"/>
      <c r="L880" s="56"/>
      <c r="M880" s="56"/>
      <c r="N880" s="56"/>
      <c r="O880" s="56"/>
      <c r="P880" s="56"/>
      <c r="Q880" s="56"/>
      <c r="R880" s="56"/>
      <c r="S880" s="56"/>
      <c r="T880" s="56"/>
      <c r="U880" s="56"/>
      <c r="V880" s="56"/>
      <c r="W880" s="27"/>
      <c r="X880" s="56"/>
      <c r="Y880" s="27"/>
      <c r="Z880" s="56"/>
      <c r="AA880" s="27"/>
      <c r="AB880" s="56"/>
      <c r="AC880" s="27"/>
      <c r="AD880" s="56"/>
      <c r="AE880" s="27"/>
      <c r="AF880" s="56"/>
      <c r="AG880" s="27"/>
      <c r="AH880" s="286"/>
      <c r="AI880" s="27"/>
      <c r="AJ880" s="56"/>
      <c r="AK880" s="27"/>
      <c r="AL880" s="56"/>
      <c r="AM880" s="27"/>
      <c r="AN880" s="56"/>
      <c r="AO880" s="27"/>
      <c r="AP880" s="56"/>
      <c r="AQ880" s="27"/>
      <c r="AR880" s="56"/>
      <c r="AS880" s="27"/>
      <c r="AT880" s="56"/>
      <c r="AU880" s="27"/>
      <c r="AV880" s="56"/>
      <c r="AW880" s="27"/>
      <c r="AX880" s="56"/>
      <c r="AY880" s="27"/>
      <c r="AZ880" s="56"/>
      <c r="BA880" s="27"/>
      <c r="BB880" s="48"/>
      <c r="BC880" s="48"/>
      <c r="BD880" s="48"/>
      <c r="BE880" s="48"/>
      <c r="BF880" s="48"/>
      <c r="BG880" s="48"/>
      <c r="BH880" s="48"/>
      <c r="BI880" s="48"/>
      <c r="BJ880" s="48"/>
      <c r="BK880" s="48"/>
      <c r="BL880" s="48"/>
      <c r="BM880" s="48"/>
      <c r="BN880" s="48"/>
      <c r="BO880" s="48"/>
      <c r="BP880" s="48"/>
      <c r="BQ880" s="48"/>
      <c r="BR880" s="48"/>
      <c r="BS880" s="48"/>
      <c r="BT880" s="48"/>
      <c r="BU880" s="48"/>
    </row>
    <row r="881" ht="15.75" customHeight="1">
      <c r="A881" s="48"/>
      <c r="B881" s="48"/>
      <c r="C881" s="48"/>
      <c r="D881" s="48"/>
      <c r="E881" s="27"/>
      <c r="F881" s="48"/>
      <c r="G881" s="48"/>
      <c r="H881" s="56"/>
      <c r="I881" s="56"/>
      <c r="J881" s="56"/>
      <c r="K881" s="56"/>
      <c r="L881" s="56"/>
      <c r="M881" s="56"/>
      <c r="N881" s="56"/>
      <c r="O881" s="56"/>
      <c r="P881" s="56"/>
      <c r="Q881" s="56"/>
      <c r="R881" s="56"/>
      <c r="S881" s="56"/>
      <c r="T881" s="56"/>
      <c r="U881" s="56"/>
      <c r="V881" s="56"/>
      <c r="W881" s="27"/>
      <c r="X881" s="56"/>
      <c r="Y881" s="27"/>
      <c r="Z881" s="56"/>
      <c r="AA881" s="27"/>
      <c r="AB881" s="56"/>
      <c r="AC881" s="27"/>
      <c r="AD881" s="56"/>
      <c r="AE881" s="27"/>
      <c r="AF881" s="56"/>
      <c r="AG881" s="27"/>
      <c r="AH881" s="286"/>
      <c r="AI881" s="27"/>
      <c r="AJ881" s="56"/>
      <c r="AK881" s="27"/>
      <c r="AL881" s="56"/>
      <c r="AM881" s="27"/>
      <c r="AN881" s="56"/>
      <c r="AO881" s="27"/>
      <c r="AP881" s="56"/>
      <c r="AQ881" s="27"/>
      <c r="AR881" s="56"/>
      <c r="AS881" s="27"/>
      <c r="AT881" s="56"/>
      <c r="AU881" s="27"/>
      <c r="AV881" s="56"/>
      <c r="AW881" s="27"/>
      <c r="AX881" s="56"/>
      <c r="AY881" s="27"/>
      <c r="AZ881" s="56"/>
      <c r="BA881" s="27"/>
      <c r="BB881" s="48"/>
      <c r="BC881" s="48"/>
      <c r="BD881" s="48"/>
      <c r="BE881" s="48"/>
      <c r="BF881" s="48"/>
      <c r="BG881" s="48"/>
      <c r="BH881" s="48"/>
      <c r="BI881" s="48"/>
      <c r="BJ881" s="48"/>
      <c r="BK881" s="48"/>
      <c r="BL881" s="48"/>
      <c r="BM881" s="48"/>
      <c r="BN881" s="48"/>
      <c r="BO881" s="48"/>
      <c r="BP881" s="48"/>
      <c r="BQ881" s="48"/>
      <c r="BR881" s="48"/>
      <c r="BS881" s="48"/>
      <c r="BT881" s="48"/>
      <c r="BU881" s="48"/>
    </row>
    <row r="882" ht="15.75" customHeight="1">
      <c r="A882" s="48"/>
      <c r="B882" s="48"/>
      <c r="C882" s="48"/>
      <c r="D882" s="48"/>
      <c r="E882" s="27"/>
      <c r="F882" s="48"/>
      <c r="G882" s="48"/>
      <c r="H882" s="56"/>
      <c r="I882" s="56"/>
      <c r="J882" s="56"/>
      <c r="K882" s="56"/>
      <c r="L882" s="56"/>
      <c r="M882" s="56"/>
      <c r="N882" s="56"/>
      <c r="O882" s="56"/>
      <c r="P882" s="56"/>
      <c r="Q882" s="56"/>
      <c r="R882" s="56"/>
      <c r="S882" s="56"/>
      <c r="T882" s="56"/>
      <c r="U882" s="56"/>
      <c r="V882" s="56"/>
      <c r="W882" s="27"/>
      <c r="X882" s="56"/>
      <c r="Y882" s="27"/>
      <c r="Z882" s="56"/>
      <c r="AA882" s="27"/>
      <c r="AB882" s="56"/>
      <c r="AC882" s="27"/>
      <c r="AD882" s="56"/>
      <c r="AE882" s="27"/>
      <c r="AF882" s="56"/>
      <c r="AG882" s="27"/>
      <c r="AH882" s="286"/>
      <c r="AI882" s="27"/>
      <c r="AJ882" s="56"/>
      <c r="AK882" s="27"/>
      <c r="AL882" s="56"/>
      <c r="AM882" s="27"/>
      <c r="AN882" s="56"/>
      <c r="AO882" s="27"/>
      <c r="AP882" s="56"/>
      <c r="AQ882" s="27"/>
      <c r="AR882" s="56"/>
      <c r="AS882" s="27"/>
      <c r="AT882" s="56"/>
      <c r="AU882" s="27"/>
      <c r="AV882" s="56"/>
      <c r="AW882" s="27"/>
      <c r="AX882" s="56"/>
      <c r="AY882" s="27"/>
      <c r="AZ882" s="56"/>
      <c r="BA882" s="27"/>
      <c r="BB882" s="48"/>
      <c r="BC882" s="48"/>
      <c r="BD882" s="48"/>
      <c r="BE882" s="48"/>
      <c r="BF882" s="48"/>
      <c r="BG882" s="48"/>
      <c r="BH882" s="48"/>
      <c r="BI882" s="48"/>
      <c r="BJ882" s="48"/>
      <c r="BK882" s="48"/>
      <c r="BL882" s="48"/>
      <c r="BM882" s="48"/>
      <c r="BN882" s="48"/>
      <c r="BO882" s="48"/>
      <c r="BP882" s="48"/>
      <c r="BQ882" s="48"/>
      <c r="BR882" s="48"/>
      <c r="BS882" s="48"/>
      <c r="BT882" s="48"/>
      <c r="BU882" s="48"/>
    </row>
    <row r="883" ht="15.75" customHeight="1">
      <c r="A883" s="48"/>
      <c r="B883" s="48"/>
      <c r="C883" s="48"/>
      <c r="D883" s="48"/>
      <c r="E883" s="27"/>
      <c r="F883" s="48"/>
      <c r="G883" s="48"/>
      <c r="H883" s="56"/>
      <c r="I883" s="56"/>
      <c r="J883" s="56"/>
      <c r="K883" s="56"/>
      <c r="L883" s="56"/>
      <c r="M883" s="56"/>
      <c r="N883" s="56"/>
      <c r="O883" s="56"/>
      <c r="P883" s="56"/>
      <c r="Q883" s="56"/>
      <c r="R883" s="56"/>
      <c r="S883" s="56"/>
      <c r="T883" s="56"/>
      <c r="U883" s="56"/>
      <c r="V883" s="56"/>
      <c r="W883" s="27"/>
      <c r="X883" s="56"/>
      <c r="Y883" s="27"/>
      <c r="Z883" s="56"/>
      <c r="AA883" s="27"/>
      <c r="AB883" s="56"/>
      <c r="AC883" s="27"/>
      <c r="AD883" s="56"/>
      <c r="AE883" s="27"/>
      <c r="AF883" s="56"/>
      <c r="AG883" s="27"/>
      <c r="AH883" s="286"/>
      <c r="AI883" s="27"/>
      <c r="AJ883" s="56"/>
      <c r="AK883" s="27"/>
      <c r="AL883" s="56"/>
      <c r="AM883" s="27"/>
      <c r="AN883" s="56"/>
      <c r="AO883" s="27"/>
      <c r="AP883" s="56"/>
      <c r="AQ883" s="27"/>
      <c r="AR883" s="56"/>
      <c r="AS883" s="27"/>
      <c r="AT883" s="56"/>
      <c r="AU883" s="27"/>
      <c r="AV883" s="56"/>
      <c r="AW883" s="27"/>
      <c r="AX883" s="56"/>
      <c r="AY883" s="27"/>
      <c r="AZ883" s="56"/>
      <c r="BA883" s="27"/>
      <c r="BB883" s="48"/>
      <c r="BC883" s="48"/>
      <c r="BD883" s="48"/>
      <c r="BE883" s="48"/>
      <c r="BF883" s="48"/>
      <c r="BG883" s="48"/>
      <c r="BH883" s="48"/>
      <c r="BI883" s="48"/>
      <c r="BJ883" s="48"/>
      <c r="BK883" s="48"/>
      <c r="BL883" s="48"/>
      <c r="BM883" s="48"/>
      <c r="BN883" s="48"/>
      <c r="BO883" s="48"/>
      <c r="BP883" s="48"/>
      <c r="BQ883" s="48"/>
      <c r="BR883" s="48"/>
      <c r="BS883" s="48"/>
      <c r="BT883" s="48"/>
      <c r="BU883" s="48"/>
    </row>
    <row r="884" ht="15.75" customHeight="1">
      <c r="A884" s="48"/>
      <c r="B884" s="48"/>
      <c r="C884" s="48"/>
      <c r="D884" s="48"/>
      <c r="E884" s="27"/>
      <c r="F884" s="48"/>
      <c r="G884" s="48"/>
      <c r="H884" s="56"/>
      <c r="I884" s="56"/>
      <c r="J884" s="56"/>
      <c r="K884" s="56"/>
      <c r="L884" s="56"/>
      <c r="M884" s="56"/>
      <c r="N884" s="56"/>
      <c r="O884" s="56"/>
      <c r="P884" s="56"/>
      <c r="Q884" s="56"/>
      <c r="R884" s="56"/>
      <c r="S884" s="56"/>
      <c r="T884" s="56"/>
      <c r="U884" s="56"/>
      <c r="V884" s="56"/>
      <c r="W884" s="27"/>
      <c r="X884" s="56"/>
      <c r="Y884" s="27"/>
      <c r="Z884" s="56"/>
      <c r="AA884" s="27"/>
      <c r="AB884" s="56"/>
      <c r="AC884" s="27"/>
      <c r="AD884" s="56"/>
      <c r="AE884" s="27"/>
      <c r="AF884" s="56"/>
      <c r="AG884" s="27"/>
      <c r="AH884" s="286"/>
      <c r="AI884" s="27"/>
      <c r="AJ884" s="56"/>
      <c r="AK884" s="27"/>
      <c r="AL884" s="56"/>
      <c r="AM884" s="27"/>
      <c r="AN884" s="56"/>
      <c r="AO884" s="27"/>
      <c r="AP884" s="56"/>
      <c r="AQ884" s="27"/>
      <c r="AR884" s="56"/>
      <c r="AS884" s="27"/>
      <c r="AT884" s="56"/>
      <c r="AU884" s="27"/>
      <c r="AV884" s="56"/>
      <c r="AW884" s="27"/>
      <c r="AX884" s="56"/>
      <c r="AY884" s="27"/>
      <c r="AZ884" s="56"/>
      <c r="BA884" s="27"/>
      <c r="BB884" s="48"/>
      <c r="BC884" s="48"/>
      <c r="BD884" s="48"/>
      <c r="BE884" s="48"/>
      <c r="BF884" s="48"/>
      <c r="BG884" s="48"/>
      <c r="BH884" s="48"/>
      <c r="BI884" s="48"/>
      <c r="BJ884" s="48"/>
      <c r="BK884" s="48"/>
      <c r="BL884" s="48"/>
      <c r="BM884" s="48"/>
      <c r="BN884" s="48"/>
      <c r="BO884" s="48"/>
      <c r="BP884" s="48"/>
      <c r="BQ884" s="48"/>
      <c r="BR884" s="48"/>
      <c r="BS884" s="48"/>
      <c r="BT884" s="48"/>
      <c r="BU884" s="48"/>
    </row>
    <row r="885" ht="15.75" customHeight="1">
      <c r="A885" s="48"/>
      <c r="B885" s="48"/>
      <c r="C885" s="48"/>
      <c r="D885" s="48"/>
      <c r="E885" s="27"/>
      <c r="F885" s="48"/>
      <c r="G885" s="48"/>
      <c r="H885" s="56"/>
      <c r="I885" s="56"/>
      <c r="J885" s="56"/>
      <c r="K885" s="56"/>
      <c r="L885" s="56"/>
      <c r="M885" s="56"/>
      <c r="N885" s="56"/>
      <c r="O885" s="56"/>
      <c r="P885" s="56"/>
      <c r="Q885" s="56"/>
      <c r="R885" s="56"/>
      <c r="S885" s="56"/>
      <c r="T885" s="56"/>
      <c r="U885" s="56"/>
      <c r="V885" s="56"/>
      <c r="W885" s="27"/>
      <c r="X885" s="56"/>
      <c r="Y885" s="27"/>
      <c r="Z885" s="56"/>
      <c r="AA885" s="27"/>
      <c r="AB885" s="56"/>
      <c r="AC885" s="27"/>
      <c r="AD885" s="56"/>
      <c r="AE885" s="27"/>
      <c r="AF885" s="56"/>
      <c r="AG885" s="27"/>
      <c r="AH885" s="286"/>
      <c r="AI885" s="27"/>
      <c r="AJ885" s="56"/>
      <c r="AK885" s="27"/>
      <c r="AL885" s="56"/>
      <c r="AM885" s="27"/>
      <c r="AN885" s="56"/>
      <c r="AO885" s="27"/>
      <c r="AP885" s="56"/>
      <c r="AQ885" s="27"/>
      <c r="AR885" s="56"/>
      <c r="AS885" s="27"/>
      <c r="AT885" s="56"/>
      <c r="AU885" s="27"/>
      <c r="AV885" s="56"/>
      <c r="AW885" s="27"/>
      <c r="AX885" s="56"/>
      <c r="AY885" s="27"/>
      <c r="AZ885" s="56"/>
      <c r="BA885" s="27"/>
      <c r="BB885" s="48"/>
      <c r="BC885" s="48"/>
      <c r="BD885" s="48"/>
      <c r="BE885" s="48"/>
      <c r="BF885" s="48"/>
      <c r="BG885" s="48"/>
      <c r="BH885" s="48"/>
      <c r="BI885" s="48"/>
      <c r="BJ885" s="48"/>
      <c r="BK885" s="48"/>
      <c r="BL885" s="48"/>
      <c r="BM885" s="48"/>
      <c r="BN885" s="48"/>
      <c r="BO885" s="48"/>
      <c r="BP885" s="48"/>
      <c r="BQ885" s="48"/>
      <c r="BR885" s="48"/>
      <c r="BS885" s="48"/>
      <c r="BT885" s="48"/>
      <c r="BU885" s="48"/>
    </row>
    <row r="886" ht="15.75" customHeight="1">
      <c r="A886" s="48"/>
      <c r="B886" s="48"/>
      <c r="C886" s="48"/>
      <c r="D886" s="48"/>
      <c r="E886" s="27"/>
      <c r="F886" s="48"/>
      <c r="G886" s="48"/>
      <c r="H886" s="56"/>
      <c r="I886" s="56"/>
      <c r="J886" s="56"/>
      <c r="K886" s="56"/>
      <c r="L886" s="56"/>
      <c r="M886" s="56"/>
      <c r="N886" s="56"/>
      <c r="O886" s="56"/>
      <c r="P886" s="56"/>
      <c r="Q886" s="56"/>
      <c r="R886" s="56"/>
      <c r="S886" s="56"/>
      <c r="T886" s="56"/>
      <c r="U886" s="56"/>
      <c r="V886" s="56"/>
      <c r="W886" s="27"/>
      <c r="X886" s="56"/>
      <c r="Y886" s="27"/>
      <c r="Z886" s="56"/>
      <c r="AA886" s="27"/>
      <c r="AB886" s="56"/>
      <c r="AC886" s="27"/>
      <c r="AD886" s="56"/>
      <c r="AE886" s="27"/>
      <c r="AF886" s="56"/>
      <c r="AG886" s="27"/>
      <c r="AH886" s="286"/>
      <c r="AI886" s="27"/>
      <c r="AJ886" s="56"/>
      <c r="AK886" s="27"/>
      <c r="AL886" s="56"/>
      <c r="AM886" s="27"/>
      <c r="AN886" s="56"/>
      <c r="AO886" s="27"/>
      <c r="AP886" s="56"/>
      <c r="AQ886" s="27"/>
      <c r="AR886" s="56"/>
      <c r="AS886" s="27"/>
      <c r="AT886" s="56"/>
      <c r="AU886" s="27"/>
      <c r="AV886" s="56"/>
      <c r="AW886" s="27"/>
      <c r="AX886" s="56"/>
      <c r="AY886" s="27"/>
      <c r="AZ886" s="56"/>
      <c r="BA886" s="27"/>
      <c r="BB886" s="48"/>
      <c r="BC886" s="48"/>
      <c r="BD886" s="48"/>
      <c r="BE886" s="48"/>
      <c r="BF886" s="48"/>
      <c r="BG886" s="48"/>
      <c r="BH886" s="48"/>
      <c r="BI886" s="48"/>
      <c r="BJ886" s="48"/>
      <c r="BK886" s="48"/>
      <c r="BL886" s="48"/>
      <c r="BM886" s="48"/>
      <c r="BN886" s="48"/>
      <c r="BO886" s="48"/>
      <c r="BP886" s="48"/>
      <c r="BQ886" s="48"/>
      <c r="BR886" s="48"/>
      <c r="BS886" s="48"/>
      <c r="BT886" s="48"/>
      <c r="BU886" s="48"/>
    </row>
    <row r="887" ht="15.75" customHeight="1">
      <c r="A887" s="48"/>
      <c r="B887" s="48"/>
      <c r="C887" s="48"/>
      <c r="D887" s="48"/>
      <c r="E887" s="27"/>
      <c r="F887" s="48"/>
      <c r="G887" s="48"/>
      <c r="H887" s="56"/>
      <c r="I887" s="56"/>
      <c r="J887" s="56"/>
      <c r="K887" s="56"/>
      <c r="L887" s="56"/>
      <c r="M887" s="56"/>
      <c r="N887" s="56"/>
      <c r="O887" s="56"/>
      <c r="P887" s="56"/>
      <c r="Q887" s="56"/>
      <c r="R887" s="56"/>
      <c r="S887" s="56"/>
      <c r="T887" s="56"/>
      <c r="U887" s="56"/>
      <c r="V887" s="56"/>
      <c r="W887" s="27"/>
      <c r="X887" s="56"/>
      <c r="Y887" s="27"/>
      <c r="Z887" s="56"/>
      <c r="AA887" s="27"/>
      <c r="AB887" s="56"/>
      <c r="AC887" s="27"/>
      <c r="AD887" s="56"/>
      <c r="AE887" s="27"/>
      <c r="AF887" s="56"/>
      <c r="AG887" s="27"/>
      <c r="AH887" s="286"/>
      <c r="AI887" s="27"/>
      <c r="AJ887" s="56"/>
      <c r="AK887" s="27"/>
      <c r="AL887" s="56"/>
      <c r="AM887" s="27"/>
      <c r="AN887" s="56"/>
      <c r="AO887" s="27"/>
      <c r="AP887" s="56"/>
      <c r="AQ887" s="27"/>
      <c r="AR887" s="56"/>
      <c r="AS887" s="27"/>
      <c r="AT887" s="56"/>
      <c r="AU887" s="27"/>
      <c r="AV887" s="56"/>
      <c r="AW887" s="27"/>
      <c r="AX887" s="56"/>
      <c r="AY887" s="27"/>
      <c r="AZ887" s="56"/>
      <c r="BA887" s="27"/>
      <c r="BB887" s="48"/>
      <c r="BC887" s="48"/>
      <c r="BD887" s="48"/>
      <c r="BE887" s="48"/>
      <c r="BF887" s="48"/>
      <c r="BG887" s="48"/>
      <c r="BH887" s="48"/>
      <c r="BI887" s="48"/>
      <c r="BJ887" s="48"/>
      <c r="BK887" s="48"/>
      <c r="BL887" s="48"/>
      <c r="BM887" s="48"/>
      <c r="BN887" s="48"/>
      <c r="BO887" s="48"/>
      <c r="BP887" s="48"/>
      <c r="BQ887" s="48"/>
      <c r="BR887" s="48"/>
      <c r="BS887" s="48"/>
      <c r="BT887" s="48"/>
      <c r="BU887" s="48"/>
    </row>
    <row r="888" ht="15.75" customHeight="1">
      <c r="A888" s="48"/>
      <c r="B888" s="48"/>
      <c r="C888" s="48"/>
      <c r="D888" s="48"/>
      <c r="E888" s="27"/>
      <c r="F888" s="48"/>
      <c r="G888" s="48"/>
      <c r="H888" s="56"/>
      <c r="I888" s="56"/>
      <c r="J888" s="56"/>
      <c r="K888" s="56"/>
      <c r="L888" s="56"/>
      <c r="M888" s="56"/>
      <c r="N888" s="56"/>
      <c r="O888" s="56"/>
      <c r="P888" s="56"/>
      <c r="Q888" s="56"/>
      <c r="R888" s="56"/>
      <c r="S888" s="56"/>
      <c r="T888" s="56"/>
      <c r="U888" s="56"/>
      <c r="V888" s="56"/>
      <c r="W888" s="27"/>
      <c r="X888" s="56"/>
      <c r="Y888" s="27"/>
      <c r="Z888" s="56"/>
      <c r="AA888" s="27"/>
      <c r="AB888" s="56"/>
      <c r="AC888" s="27"/>
      <c r="AD888" s="56"/>
      <c r="AE888" s="27"/>
      <c r="AF888" s="56"/>
      <c r="AG888" s="27"/>
      <c r="AH888" s="286"/>
      <c r="AI888" s="27"/>
      <c r="AJ888" s="56"/>
      <c r="AK888" s="27"/>
      <c r="AL888" s="56"/>
      <c r="AM888" s="27"/>
      <c r="AN888" s="56"/>
      <c r="AO888" s="27"/>
      <c r="AP888" s="56"/>
      <c r="AQ888" s="27"/>
      <c r="AR888" s="56"/>
      <c r="AS888" s="27"/>
      <c r="AT888" s="56"/>
      <c r="AU888" s="27"/>
      <c r="AV888" s="56"/>
      <c r="AW888" s="27"/>
      <c r="AX888" s="56"/>
      <c r="AY888" s="27"/>
      <c r="AZ888" s="56"/>
      <c r="BA888" s="27"/>
      <c r="BB888" s="48"/>
      <c r="BC888" s="48"/>
      <c r="BD888" s="48"/>
      <c r="BE888" s="48"/>
      <c r="BF888" s="48"/>
      <c r="BG888" s="48"/>
      <c r="BH888" s="48"/>
      <c r="BI888" s="48"/>
      <c r="BJ888" s="48"/>
      <c r="BK888" s="48"/>
      <c r="BL888" s="48"/>
      <c r="BM888" s="48"/>
      <c r="BN888" s="48"/>
      <c r="BO888" s="48"/>
      <c r="BP888" s="48"/>
      <c r="BQ888" s="48"/>
      <c r="BR888" s="48"/>
      <c r="BS888" s="48"/>
      <c r="BT888" s="48"/>
      <c r="BU888" s="48"/>
    </row>
    <row r="889" ht="15.75" customHeight="1">
      <c r="A889" s="48"/>
      <c r="B889" s="48"/>
      <c r="C889" s="48"/>
      <c r="D889" s="48"/>
      <c r="E889" s="27"/>
      <c r="F889" s="48"/>
      <c r="G889" s="48"/>
      <c r="H889" s="56"/>
      <c r="I889" s="56"/>
      <c r="J889" s="56"/>
      <c r="K889" s="56"/>
      <c r="L889" s="56"/>
      <c r="M889" s="56"/>
      <c r="N889" s="56"/>
      <c r="O889" s="56"/>
      <c r="P889" s="56"/>
      <c r="Q889" s="56"/>
      <c r="R889" s="56"/>
      <c r="S889" s="56"/>
      <c r="T889" s="56"/>
      <c r="U889" s="56"/>
      <c r="V889" s="56"/>
      <c r="W889" s="27"/>
      <c r="X889" s="56"/>
      <c r="Y889" s="27"/>
      <c r="Z889" s="56"/>
      <c r="AA889" s="27"/>
      <c r="AB889" s="56"/>
      <c r="AC889" s="27"/>
      <c r="AD889" s="56"/>
      <c r="AE889" s="27"/>
      <c r="AF889" s="56"/>
      <c r="AG889" s="27"/>
      <c r="AH889" s="286"/>
      <c r="AI889" s="27"/>
      <c r="AJ889" s="56"/>
      <c r="AK889" s="27"/>
      <c r="AL889" s="56"/>
      <c r="AM889" s="27"/>
      <c r="AN889" s="56"/>
      <c r="AO889" s="27"/>
      <c r="AP889" s="56"/>
      <c r="AQ889" s="27"/>
      <c r="AR889" s="56"/>
      <c r="AS889" s="27"/>
      <c r="AT889" s="56"/>
      <c r="AU889" s="27"/>
      <c r="AV889" s="56"/>
      <c r="AW889" s="27"/>
      <c r="AX889" s="56"/>
      <c r="AY889" s="27"/>
      <c r="AZ889" s="56"/>
      <c r="BA889" s="27"/>
      <c r="BB889" s="48"/>
      <c r="BC889" s="48"/>
      <c r="BD889" s="48"/>
      <c r="BE889" s="48"/>
      <c r="BF889" s="48"/>
      <c r="BG889" s="48"/>
      <c r="BH889" s="48"/>
      <c r="BI889" s="48"/>
      <c r="BJ889" s="48"/>
      <c r="BK889" s="48"/>
      <c r="BL889" s="48"/>
      <c r="BM889" s="48"/>
      <c r="BN889" s="48"/>
      <c r="BO889" s="48"/>
      <c r="BP889" s="48"/>
      <c r="BQ889" s="48"/>
      <c r="BR889" s="48"/>
      <c r="BS889" s="48"/>
      <c r="BT889" s="48"/>
      <c r="BU889" s="48"/>
    </row>
    <row r="890" ht="15.75" customHeight="1">
      <c r="A890" s="48"/>
      <c r="B890" s="48"/>
      <c r="C890" s="48"/>
      <c r="D890" s="48"/>
      <c r="E890" s="27"/>
      <c r="F890" s="48"/>
      <c r="G890" s="48"/>
      <c r="H890" s="56"/>
      <c r="I890" s="56"/>
      <c r="J890" s="56"/>
      <c r="K890" s="56"/>
      <c r="L890" s="56"/>
      <c r="M890" s="56"/>
      <c r="N890" s="56"/>
      <c r="O890" s="56"/>
      <c r="P890" s="56"/>
      <c r="Q890" s="56"/>
      <c r="R890" s="56"/>
      <c r="S890" s="56"/>
      <c r="T890" s="56"/>
      <c r="U890" s="56"/>
      <c r="V890" s="56"/>
      <c r="W890" s="27"/>
      <c r="X890" s="56"/>
      <c r="Y890" s="27"/>
      <c r="Z890" s="56"/>
      <c r="AA890" s="27"/>
      <c r="AB890" s="56"/>
      <c r="AC890" s="27"/>
      <c r="AD890" s="56"/>
      <c r="AE890" s="27"/>
      <c r="AF890" s="56"/>
      <c r="AG890" s="27"/>
      <c r="AH890" s="286"/>
      <c r="AI890" s="27"/>
      <c r="AJ890" s="56"/>
      <c r="AK890" s="27"/>
      <c r="AL890" s="56"/>
      <c r="AM890" s="27"/>
      <c r="AN890" s="56"/>
      <c r="AO890" s="27"/>
      <c r="AP890" s="56"/>
      <c r="AQ890" s="27"/>
      <c r="AR890" s="56"/>
      <c r="AS890" s="27"/>
      <c r="AT890" s="56"/>
      <c r="AU890" s="27"/>
      <c r="AV890" s="56"/>
      <c r="AW890" s="27"/>
      <c r="AX890" s="56"/>
      <c r="AY890" s="27"/>
      <c r="AZ890" s="56"/>
      <c r="BA890" s="27"/>
      <c r="BB890" s="48"/>
      <c r="BC890" s="48"/>
      <c r="BD890" s="48"/>
      <c r="BE890" s="48"/>
      <c r="BF890" s="48"/>
      <c r="BG890" s="48"/>
      <c r="BH890" s="48"/>
      <c r="BI890" s="48"/>
      <c r="BJ890" s="48"/>
      <c r="BK890" s="48"/>
      <c r="BL890" s="48"/>
      <c r="BM890" s="48"/>
      <c r="BN890" s="48"/>
      <c r="BO890" s="48"/>
      <c r="BP890" s="48"/>
      <c r="BQ890" s="48"/>
      <c r="BR890" s="48"/>
      <c r="BS890" s="48"/>
      <c r="BT890" s="48"/>
      <c r="BU890" s="48"/>
    </row>
    <row r="891" ht="15.75" customHeight="1">
      <c r="A891" s="48"/>
      <c r="B891" s="48"/>
      <c r="C891" s="48"/>
      <c r="D891" s="48"/>
      <c r="E891" s="27"/>
      <c r="F891" s="48"/>
      <c r="G891" s="48"/>
      <c r="H891" s="56"/>
      <c r="I891" s="56"/>
      <c r="J891" s="56"/>
      <c r="K891" s="56"/>
      <c r="L891" s="56"/>
      <c r="M891" s="56"/>
      <c r="N891" s="56"/>
      <c r="O891" s="56"/>
      <c r="P891" s="56"/>
      <c r="Q891" s="56"/>
      <c r="R891" s="56"/>
      <c r="S891" s="56"/>
      <c r="T891" s="56"/>
      <c r="U891" s="56"/>
      <c r="V891" s="56"/>
      <c r="W891" s="27"/>
      <c r="X891" s="56"/>
      <c r="Y891" s="27"/>
      <c r="Z891" s="56"/>
      <c r="AA891" s="27"/>
      <c r="AB891" s="56"/>
      <c r="AC891" s="27"/>
      <c r="AD891" s="56"/>
      <c r="AE891" s="27"/>
      <c r="AF891" s="56"/>
      <c r="AG891" s="27"/>
      <c r="AH891" s="286"/>
      <c r="AI891" s="27"/>
      <c r="AJ891" s="56"/>
      <c r="AK891" s="27"/>
      <c r="AL891" s="56"/>
      <c r="AM891" s="27"/>
      <c r="AN891" s="56"/>
      <c r="AO891" s="27"/>
      <c r="AP891" s="56"/>
      <c r="AQ891" s="27"/>
      <c r="AR891" s="56"/>
      <c r="AS891" s="27"/>
      <c r="AT891" s="56"/>
      <c r="AU891" s="27"/>
      <c r="AV891" s="56"/>
      <c r="AW891" s="27"/>
      <c r="AX891" s="56"/>
      <c r="AY891" s="27"/>
      <c r="AZ891" s="56"/>
      <c r="BA891" s="27"/>
      <c r="BB891" s="48"/>
      <c r="BC891" s="48"/>
      <c r="BD891" s="48"/>
      <c r="BE891" s="48"/>
      <c r="BF891" s="48"/>
      <c r="BG891" s="48"/>
      <c r="BH891" s="48"/>
      <c r="BI891" s="48"/>
      <c r="BJ891" s="48"/>
      <c r="BK891" s="48"/>
      <c r="BL891" s="48"/>
      <c r="BM891" s="48"/>
      <c r="BN891" s="48"/>
      <c r="BO891" s="48"/>
      <c r="BP891" s="48"/>
      <c r="BQ891" s="48"/>
      <c r="BR891" s="48"/>
      <c r="BS891" s="48"/>
      <c r="BT891" s="48"/>
      <c r="BU891" s="48"/>
    </row>
    <row r="892" ht="15.75" customHeight="1">
      <c r="A892" s="48"/>
      <c r="B892" s="48"/>
      <c r="C892" s="48"/>
      <c r="D892" s="48"/>
      <c r="E892" s="27"/>
      <c r="F892" s="48"/>
      <c r="G892" s="48"/>
      <c r="H892" s="56"/>
      <c r="I892" s="56"/>
      <c r="J892" s="56"/>
      <c r="K892" s="56"/>
      <c r="L892" s="56"/>
      <c r="M892" s="56"/>
      <c r="N892" s="56"/>
      <c r="O892" s="56"/>
      <c r="P892" s="56"/>
      <c r="Q892" s="56"/>
      <c r="R892" s="56"/>
      <c r="S892" s="56"/>
      <c r="T892" s="56"/>
      <c r="U892" s="56"/>
      <c r="V892" s="56"/>
      <c r="W892" s="27"/>
      <c r="X892" s="56"/>
      <c r="Y892" s="27"/>
      <c r="Z892" s="56"/>
      <c r="AA892" s="27"/>
      <c r="AB892" s="56"/>
      <c r="AC892" s="27"/>
      <c r="AD892" s="56"/>
      <c r="AE892" s="27"/>
      <c r="AF892" s="56"/>
      <c r="AG892" s="27"/>
      <c r="AH892" s="286"/>
      <c r="AI892" s="27"/>
      <c r="AJ892" s="56"/>
      <c r="AK892" s="27"/>
      <c r="AL892" s="56"/>
      <c r="AM892" s="27"/>
      <c r="AN892" s="56"/>
      <c r="AO892" s="27"/>
      <c r="AP892" s="56"/>
      <c r="AQ892" s="27"/>
      <c r="AR892" s="56"/>
      <c r="AS892" s="27"/>
      <c r="AT892" s="56"/>
      <c r="AU892" s="27"/>
      <c r="AV892" s="56"/>
      <c r="AW892" s="27"/>
      <c r="AX892" s="56"/>
      <c r="AY892" s="27"/>
      <c r="AZ892" s="56"/>
      <c r="BA892" s="27"/>
      <c r="BB892" s="48"/>
      <c r="BC892" s="48"/>
      <c r="BD892" s="48"/>
      <c r="BE892" s="48"/>
      <c r="BF892" s="48"/>
      <c r="BG892" s="48"/>
      <c r="BH892" s="48"/>
      <c r="BI892" s="48"/>
      <c r="BJ892" s="48"/>
      <c r="BK892" s="48"/>
      <c r="BL892" s="48"/>
      <c r="BM892" s="48"/>
      <c r="BN892" s="48"/>
      <c r="BO892" s="48"/>
      <c r="BP892" s="48"/>
      <c r="BQ892" s="48"/>
      <c r="BR892" s="48"/>
      <c r="BS892" s="48"/>
      <c r="BT892" s="48"/>
      <c r="BU892" s="48"/>
    </row>
    <row r="893" ht="15.75" customHeight="1">
      <c r="A893" s="48"/>
      <c r="B893" s="48"/>
      <c r="C893" s="48"/>
      <c r="D893" s="48"/>
      <c r="E893" s="27"/>
      <c r="F893" s="48"/>
      <c r="G893" s="48"/>
      <c r="H893" s="56"/>
      <c r="I893" s="56"/>
      <c r="J893" s="56"/>
      <c r="K893" s="56"/>
      <c r="L893" s="56"/>
      <c r="M893" s="56"/>
      <c r="N893" s="56"/>
      <c r="O893" s="56"/>
      <c r="P893" s="56"/>
      <c r="Q893" s="56"/>
      <c r="R893" s="56"/>
      <c r="S893" s="56"/>
      <c r="T893" s="56"/>
      <c r="U893" s="56"/>
      <c r="V893" s="56"/>
      <c r="W893" s="27"/>
      <c r="X893" s="56"/>
      <c r="Y893" s="27"/>
      <c r="Z893" s="56"/>
      <c r="AA893" s="27"/>
      <c r="AB893" s="56"/>
      <c r="AC893" s="27"/>
      <c r="AD893" s="56"/>
      <c r="AE893" s="27"/>
      <c r="AF893" s="56"/>
      <c r="AG893" s="27"/>
      <c r="AH893" s="286"/>
      <c r="AI893" s="27"/>
      <c r="AJ893" s="56"/>
      <c r="AK893" s="27"/>
      <c r="AL893" s="56"/>
      <c r="AM893" s="27"/>
      <c r="AN893" s="56"/>
      <c r="AO893" s="27"/>
      <c r="AP893" s="56"/>
      <c r="AQ893" s="27"/>
      <c r="AR893" s="56"/>
      <c r="AS893" s="27"/>
      <c r="AT893" s="56"/>
      <c r="AU893" s="27"/>
      <c r="AV893" s="56"/>
      <c r="AW893" s="27"/>
      <c r="AX893" s="56"/>
      <c r="AY893" s="27"/>
      <c r="AZ893" s="56"/>
      <c r="BA893" s="27"/>
      <c r="BB893" s="48"/>
      <c r="BC893" s="48"/>
      <c r="BD893" s="48"/>
      <c r="BE893" s="48"/>
      <c r="BF893" s="48"/>
      <c r="BG893" s="48"/>
      <c r="BH893" s="48"/>
      <c r="BI893" s="48"/>
      <c r="BJ893" s="48"/>
      <c r="BK893" s="48"/>
      <c r="BL893" s="48"/>
      <c r="BM893" s="48"/>
      <c r="BN893" s="48"/>
      <c r="BO893" s="48"/>
      <c r="BP893" s="48"/>
      <c r="BQ893" s="48"/>
      <c r="BR893" s="48"/>
      <c r="BS893" s="48"/>
      <c r="BT893" s="48"/>
      <c r="BU893" s="48"/>
    </row>
    <row r="894" ht="15.75" customHeight="1">
      <c r="A894" s="48"/>
      <c r="B894" s="48"/>
      <c r="C894" s="48"/>
      <c r="D894" s="48"/>
      <c r="E894" s="27"/>
      <c r="F894" s="48"/>
      <c r="G894" s="48"/>
      <c r="H894" s="56"/>
      <c r="I894" s="56"/>
      <c r="J894" s="56"/>
      <c r="K894" s="56"/>
      <c r="L894" s="56"/>
      <c r="M894" s="56"/>
      <c r="N894" s="56"/>
      <c r="O894" s="56"/>
      <c r="P894" s="56"/>
      <c r="Q894" s="56"/>
      <c r="R894" s="56"/>
      <c r="S894" s="56"/>
      <c r="T894" s="56"/>
      <c r="U894" s="56"/>
      <c r="V894" s="56"/>
      <c r="W894" s="27"/>
      <c r="X894" s="56"/>
      <c r="Y894" s="27"/>
      <c r="Z894" s="56"/>
      <c r="AA894" s="27"/>
      <c r="AB894" s="56"/>
      <c r="AC894" s="27"/>
      <c r="AD894" s="56"/>
      <c r="AE894" s="27"/>
      <c r="AF894" s="56"/>
      <c r="AG894" s="27"/>
      <c r="AH894" s="286"/>
      <c r="AI894" s="27"/>
      <c r="AJ894" s="56"/>
      <c r="AK894" s="27"/>
      <c r="AL894" s="56"/>
      <c r="AM894" s="27"/>
      <c r="AN894" s="56"/>
      <c r="AO894" s="27"/>
      <c r="AP894" s="56"/>
      <c r="AQ894" s="27"/>
      <c r="AR894" s="56"/>
      <c r="AS894" s="27"/>
      <c r="AT894" s="56"/>
      <c r="AU894" s="27"/>
      <c r="AV894" s="56"/>
      <c r="AW894" s="27"/>
      <c r="AX894" s="56"/>
      <c r="AY894" s="27"/>
      <c r="AZ894" s="56"/>
      <c r="BA894" s="27"/>
      <c r="BB894" s="48"/>
      <c r="BC894" s="48"/>
      <c r="BD894" s="48"/>
      <c r="BE894" s="48"/>
      <c r="BF894" s="48"/>
      <c r="BG894" s="48"/>
      <c r="BH894" s="48"/>
      <c r="BI894" s="48"/>
      <c r="BJ894" s="48"/>
      <c r="BK894" s="48"/>
      <c r="BL894" s="48"/>
      <c r="BM894" s="48"/>
      <c r="BN894" s="48"/>
      <c r="BO894" s="48"/>
      <c r="BP894" s="48"/>
      <c r="BQ894" s="48"/>
      <c r="BR894" s="48"/>
      <c r="BS894" s="48"/>
      <c r="BT894" s="48"/>
      <c r="BU894" s="48"/>
    </row>
    <row r="895" ht="15.75" customHeight="1">
      <c r="A895" s="48"/>
      <c r="B895" s="48"/>
      <c r="C895" s="48"/>
      <c r="D895" s="48"/>
      <c r="E895" s="27"/>
      <c r="F895" s="48"/>
      <c r="G895" s="48"/>
      <c r="H895" s="56"/>
      <c r="I895" s="56"/>
      <c r="J895" s="56"/>
      <c r="K895" s="56"/>
      <c r="L895" s="56"/>
      <c r="M895" s="56"/>
      <c r="N895" s="56"/>
      <c r="O895" s="56"/>
      <c r="P895" s="56"/>
      <c r="Q895" s="56"/>
      <c r="R895" s="56"/>
      <c r="S895" s="56"/>
      <c r="T895" s="56"/>
      <c r="U895" s="56"/>
      <c r="V895" s="56"/>
      <c r="W895" s="27"/>
      <c r="X895" s="56"/>
      <c r="Y895" s="27"/>
      <c r="Z895" s="56"/>
      <c r="AA895" s="27"/>
      <c r="AB895" s="56"/>
      <c r="AC895" s="27"/>
      <c r="AD895" s="56"/>
      <c r="AE895" s="27"/>
      <c r="AF895" s="56"/>
      <c r="AG895" s="27"/>
      <c r="AH895" s="286"/>
      <c r="AI895" s="27"/>
      <c r="AJ895" s="56"/>
      <c r="AK895" s="27"/>
      <c r="AL895" s="56"/>
      <c r="AM895" s="27"/>
      <c r="AN895" s="56"/>
      <c r="AO895" s="27"/>
      <c r="AP895" s="56"/>
      <c r="AQ895" s="27"/>
      <c r="AR895" s="56"/>
      <c r="AS895" s="27"/>
      <c r="AT895" s="56"/>
      <c r="AU895" s="27"/>
      <c r="AV895" s="56"/>
      <c r="AW895" s="27"/>
      <c r="AX895" s="56"/>
      <c r="AY895" s="27"/>
      <c r="AZ895" s="56"/>
      <c r="BA895" s="27"/>
      <c r="BB895" s="48"/>
      <c r="BC895" s="48"/>
      <c r="BD895" s="48"/>
      <c r="BE895" s="48"/>
      <c r="BF895" s="48"/>
      <c r="BG895" s="48"/>
      <c r="BH895" s="48"/>
      <c r="BI895" s="48"/>
      <c r="BJ895" s="48"/>
      <c r="BK895" s="48"/>
      <c r="BL895" s="48"/>
      <c r="BM895" s="48"/>
      <c r="BN895" s="48"/>
      <c r="BO895" s="48"/>
      <c r="BP895" s="48"/>
      <c r="BQ895" s="48"/>
      <c r="BR895" s="48"/>
      <c r="BS895" s="48"/>
      <c r="BT895" s="48"/>
      <c r="BU895" s="48"/>
    </row>
    <row r="896" ht="15.75" customHeight="1">
      <c r="A896" s="48"/>
      <c r="B896" s="48"/>
      <c r="C896" s="48"/>
      <c r="D896" s="48"/>
      <c r="E896" s="27"/>
      <c r="F896" s="48"/>
      <c r="G896" s="48"/>
      <c r="H896" s="56"/>
      <c r="I896" s="56"/>
      <c r="J896" s="56"/>
      <c r="K896" s="56"/>
      <c r="L896" s="56"/>
      <c r="M896" s="56"/>
      <c r="N896" s="56"/>
      <c r="O896" s="56"/>
      <c r="P896" s="56"/>
      <c r="Q896" s="56"/>
      <c r="R896" s="56"/>
      <c r="S896" s="56"/>
      <c r="T896" s="56"/>
      <c r="U896" s="56"/>
      <c r="V896" s="56"/>
      <c r="W896" s="27"/>
      <c r="X896" s="56"/>
      <c r="Y896" s="27"/>
      <c r="Z896" s="56"/>
      <c r="AA896" s="27"/>
      <c r="AB896" s="56"/>
      <c r="AC896" s="27"/>
      <c r="AD896" s="56"/>
      <c r="AE896" s="27"/>
      <c r="AF896" s="56"/>
      <c r="AG896" s="27"/>
      <c r="AH896" s="286"/>
      <c r="AI896" s="27"/>
      <c r="AJ896" s="56"/>
      <c r="AK896" s="27"/>
      <c r="AL896" s="56"/>
      <c r="AM896" s="27"/>
      <c r="AN896" s="56"/>
      <c r="AO896" s="27"/>
      <c r="AP896" s="56"/>
      <c r="AQ896" s="27"/>
      <c r="AR896" s="56"/>
      <c r="AS896" s="27"/>
      <c r="AT896" s="56"/>
      <c r="AU896" s="27"/>
      <c r="AV896" s="56"/>
      <c r="AW896" s="27"/>
      <c r="AX896" s="56"/>
      <c r="AY896" s="27"/>
      <c r="AZ896" s="56"/>
      <c r="BA896" s="27"/>
      <c r="BB896" s="48"/>
      <c r="BC896" s="48"/>
      <c r="BD896" s="48"/>
      <c r="BE896" s="48"/>
      <c r="BF896" s="48"/>
      <c r="BG896" s="48"/>
      <c r="BH896" s="48"/>
      <c r="BI896" s="48"/>
      <c r="BJ896" s="48"/>
      <c r="BK896" s="48"/>
      <c r="BL896" s="48"/>
      <c r="BM896" s="48"/>
      <c r="BN896" s="48"/>
      <c r="BO896" s="48"/>
      <c r="BP896" s="48"/>
      <c r="BQ896" s="48"/>
      <c r="BR896" s="48"/>
      <c r="BS896" s="48"/>
      <c r="BT896" s="48"/>
      <c r="BU896" s="48"/>
    </row>
    <row r="897" ht="15.75" customHeight="1">
      <c r="A897" s="48"/>
      <c r="B897" s="48"/>
      <c r="C897" s="48"/>
      <c r="D897" s="48"/>
      <c r="E897" s="27"/>
      <c r="F897" s="48"/>
      <c r="G897" s="48"/>
      <c r="H897" s="56"/>
      <c r="I897" s="56"/>
      <c r="J897" s="56"/>
      <c r="K897" s="56"/>
      <c r="L897" s="56"/>
      <c r="M897" s="56"/>
      <c r="N897" s="56"/>
      <c r="O897" s="56"/>
      <c r="P897" s="56"/>
      <c r="Q897" s="56"/>
      <c r="R897" s="56"/>
      <c r="S897" s="56"/>
      <c r="T897" s="56"/>
      <c r="U897" s="56"/>
      <c r="V897" s="56"/>
      <c r="W897" s="27"/>
      <c r="X897" s="56"/>
      <c r="Y897" s="27"/>
      <c r="Z897" s="56"/>
      <c r="AA897" s="27"/>
      <c r="AB897" s="56"/>
      <c r="AC897" s="27"/>
      <c r="AD897" s="56"/>
      <c r="AE897" s="27"/>
      <c r="AF897" s="56"/>
      <c r="AG897" s="27"/>
      <c r="AH897" s="286"/>
      <c r="AI897" s="27"/>
      <c r="AJ897" s="56"/>
      <c r="AK897" s="27"/>
      <c r="AL897" s="56"/>
      <c r="AM897" s="27"/>
      <c r="AN897" s="56"/>
      <c r="AO897" s="27"/>
      <c r="AP897" s="56"/>
      <c r="AQ897" s="27"/>
      <c r="AR897" s="56"/>
      <c r="AS897" s="27"/>
      <c r="AT897" s="56"/>
      <c r="AU897" s="27"/>
      <c r="AV897" s="56"/>
      <c r="AW897" s="27"/>
      <c r="AX897" s="56"/>
      <c r="AY897" s="27"/>
      <c r="AZ897" s="56"/>
      <c r="BA897" s="27"/>
      <c r="BB897" s="48"/>
      <c r="BC897" s="48"/>
      <c r="BD897" s="48"/>
      <c r="BE897" s="48"/>
      <c r="BF897" s="48"/>
      <c r="BG897" s="48"/>
      <c r="BH897" s="48"/>
      <c r="BI897" s="48"/>
      <c r="BJ897" s="48"/>
      <c r="BK897" s="48"/>
      <c r="BL897" s="48"/>
      <c r="BM897" s="48"/>
      <c r="BN897" s="48"/>
      <c r="BO897" s="48"/>
      <c r="BP897" s="48"/>
      <c r="BQ897" s="48"/>
      <c r="BR897" s="48"/>
      <c r="BS897" s="48"/>
      <c r="BT897" s="48"/>
      <c r="BU897" s="48"/>
    </row>
    <row r="898" ht="15.75" customHeight="1">
      <c r="A898" s="48"/>
      <c r="B898" s="48"/>
      <c r="C898" s="48"/>
      <c r="D898" s="48"/>
      <c r="E898" s="27"/>
      <c r="F898" s="48"/>
      <c r="G898" s="48"/>
      <c r="H898" s="56"/>
      <c r="I898" s="56"/>
      <c r="J898" s="56"/>
      <c r="K898" s="56"/>
      <c r="L898" s="56"/>
      <c r="M898" s="56"/>
      <c r="N898" s="56"/>
      <c r="O898" s="56"/>
      <c r="P898" s="56"/>
      <c r="Q898" s="56"/>
      <c r="R898" s="56"/>
      <c r="S898" s="56"/>
      <c r="T898" s="56"/>
      <c r="U898" s="56"/>
      <c r="V898" s="56"/>
      <c r="W898" s="27"/>
      <c r="X898" s="56"/>
      <c r="Y898" s="27"/>
      <c r="Z898" s="56"/>
      <c r="AA898" s="27"/>
      <c r="AB898" s="56"/>
      <c r="AC898" s="27"/>
      <c r="AD898" s="56"/>
      <c r="AE898" s="27"/>
      <c r="AF898" s="56"/>
      <c r="AG898" s="27"/>
      <c r="AH898" s="286"/>
      <c r="AI898" s="27"/>
      <c r="AJ898" s="56"/>
      <c r="AK898" s="27"/>
      <c r="AL898" s="56"/>
      <c r="AM898" s="27"/>
      <c r="AN898" s="56"/>
      <c r="AO898" s="27"/>
      <c r="AP898" s="56"/>
      <c r="AQ898" s="27"/>
      <c r="AR898" s="56"/>
      <c r="AS898" s="27"/>
      <c r="AT898" s="56"/>
      <c r="AU898" s="27"/>
      <c r="AV898" s="56"/>
      <c r="AW898" s="27"/>
      <c r="AX898" s="56"/>
      <c r="AY898" s="27"/>
      <c r="AZ898" s="56"/>
      <c r="BA898" s="27"/>
      <c r="BB898" s="48"/>
      <c r="BC898" s="48"/>
      <c r="BD898" s="48"/>
      <c r="BE898" s="48"/>
      <c r="BF898" s="48"/>
      <c r="BG898" s="48"/>
      <c r="BH898" s="48"/>
      <c r="BI898" s="48"/>
      <c r="BJ898" s="48"/>
      <c r="BK898" s="48"/>
      <c r="BL898" s="48"/>
      <c r="BM898" s="48"/>
      <c r="BN898" s="48"/>
      <c r="BO898" s="48"/>
      <c r="BP898" s="48"/>
      <c r="BQ898" s="48"/>
      <c r="BR898" s="48"/>
      <c r="BS898" s="48"/>
      <c r="BT898" s="48"/>
      <c r="BU898" s="48"/>
    </row>
    <row r="899" ht="15.75" customHeight="1">
      <c r="A899" s="48"/>
      <c r="B899" s="48"/>
      <c r="C899" s="48"/>
      <c r="D899" s="48"/>
      <c r="E899" s="27"/>
      <c r="F899" s="48"/>
      <c r="G899" s="48"/>
      <c r="H899" s="56"/>
      <c r="I899" s="56"/>
      <c r="J899" s="56"/>
      <c r="K899" s="56"/>
      <c r="L899" s="56"/>
      <c r="M899" s="56"/>
      <c r="N899" s="56"/>
      <c r="O899" s="56"/>
      <c r="P899" s="56"/>
      <c r="Q899" s="56"/>
      <c r="R899" s="56"/>
      <c r="S899" s="56"/>
      <c r="T899" s="56"/>
      <c r="U899" s="56"/>
      <c r="V899" s="56"/>
      <c r="W899" s="27"/>
      <c r="X899" s="56"/>
      <c r="Y899" s="27"/>
      <c r="Z899" s="56"/>
      <c r="AA899" s="27"/>
      <c r="AB899" s="56"/>
      <c r="AC899" s="27"/>
      <c r="AD899" s="56"/>
      <c r="AE899" s="27"/>
      <c r="AF899" s="56"/>
      <c r="AG899" s="27"/>
      <c r="AH899" s="286"/>
      <c r="AI899" s="27"/>
      <c r="AJ899" s="56"/>
      <c r="AK899" s="27"/>
      <c r="AL899" s="56"/>
      <c r="AM899" s="27"/>
      <c r="AN899" s="56"/>
      <c r="AO899" s="27"/>
      <c r="AP899" s="56"/>
      <c r="AQ899" s="27"/>
      <c r="AR899" s="56"/>
      <c r="AS899" s="27"/>
      <c r="AT899" s="56"/>
      <c r="AU899" s="27"/>
      <c r="AV899" s="56"/>
      <c r="AW899" s="27"/>
      <c r="AX899" s="56"/>
      <c r="AY899" s="27"/>
      <c r="AZ899" s="56"/>
      <c r="BA899" s="27"/>
      <c r="BB899" s="48"/>
      <c r="BC899" s="48"/>
      <c r="BD899" s="48"/>
      <c r="BE899" s="48"/>
      <c r="BF899" s="48"/>
      <c r="BG899" s="48"/>
      <c r="BH899" s="48"/>
      <c r="BI899" s="48"/>
      <c r="BJ899" s="48"/>
      <c r="BK899" s="48"/>
      <c r="BL899" s="48"/>
      <c r="BM899" s="48"/>
      <c r="BN899" s="48"/>
      <c r="BO899" s="48"/>
      <c r="BP899" s="48"/>
      <c r="BQ899" s="48"/>
      <c r="BR899" s="48"/>
      <c r="BS899" s="48"/>
      <c r="BT899" s="48"/>
      <c r="BU899" s="48"/>
    </row>
    <row r="900" ht="15.75" customHeight="1">
      <c r="A900" s="48"/>
      <c r="B900" s="48"/>
      <c r="C900" s="48"/>
      <c r="D900" s="48"/>
      <c r="E900" s="27"/>
      <c r="F900" s="48"/>
      <c r="G900" s="48"/>
      <c r="H900" s="56"/>
      <c r="I900" s="56"/>
      <c r="J900" s="56"/>
      <c r="K900" s="56"/>
      <c r="L900" s="56"/>
      <c r="M900" s="56"/>
      <c r="N900" s="56"/>
      <c r="O900" s="56"/>
      <c r="P900" s="56"/>
      <c r="Q900" s="56"/>
      <c r="R900" s="56"/>
      <c r="S900" s="56"/>
      <c r="T900" s="56"/>
      <c r="U900" s="56"/>
      <c r="V900" s="56"/>
      <c r="W900" s="27"/>
      <c r="X900" s="56"/>
      <c r="Y900" s="27"/>
      <c r="Z900" s="56"/>
      <c r="AA900" s="27"/>
      <c r="AB900" s="56"/>
      <c r="AC900" s="27"/>
      <c r="AD900" s="56"/>
      <c r="AE900" s="27"/>
      <c r="AF900" s="56"/>
      <c r="AG900" s="27"/>
      <c r="AH900" s="286"/>
      <c r="AI900" s="27"/>
      <c r="AJ900" s="56"/>
      <c r="AK900" s="27"/>
      <c r="AL900" s="56"/>
      <c r="AM900" s="27"/>
      <c r="AN900" s="56"/>
      <c r="AO900" s="27"/>
      <c r="AP900" s="56"/>
      <c r="AQ900" s="27"/>
      <c r="AR900" s="56"/>
      <c r="AS900" s="27"/>
      <c r="AT900" s="56"/>
      <c r="AU900" s="27"/>
      <c r="AV900" s="56"/>
      <c r="AW900" s="27"/>
      <c r="AX900" s="56"/>
      <c r="AY900" s="27"/>
      <c r="AZ900" s="56"/>
      <c r="BA900" s="27"/>
      <c r="BB900" s="48"/>
      <c r="BC900" s="48"/>
      <c r="BD900" s="48"/>
      <c r="BE900" s="48"/>
      <c r="BF900" s="48"/>
      <c r="BG900" s="48"/>
      <c r="BH900" s="48"/>
      <c r="BI900" s="48"/>
      <c r="BJ900" s="48"/>
      <c r="BK900" s="48"/>
      <c r="BL900" s="48"/>
      <c r="BM900" s="48"/>
      <c r="BN900" s="48"/>
      <c r="BO900" s="48"/>
      <c r="BP900" s="48"/>
      <c r="BQ900" s="48"/>
      <c r="BR900" s="48"/>
      <c r="BS900" s="48"/>
      <c r="BT900" s="48"/>
      <c r="BU900" s="48"/>
    </row>
    <row r="901" ht="15.75" customHeight="1">
      <c r="A901" s="48"/>
      <c r="B901" s="48"/>
      <c r="C901" s="48"/>
      <c r="D901" s="48"/>
      <c r="E901" s="27"/>
      <c r="F901" s="48"/>
      <c r="G901" s="48"/>
      <c r="H901" s="56"/>
      <c r="I901" s="56"/>
      <c r="J901" s="56"/>
      <c r="K901" s="56"/>
      <c r="L901" s="56"/>
      <c r="M901" s="56"/>
      <c r="N901" s="56"/>
      <c r="O901" s="56"/>
      <c r="P901" s="56"/>
      <c r="Q901" s="56"/>
      <c r="R901" s="56"/>
      <c r="S901" s="56"/>
      <c r="T901" s="56"/>
      <c r="U901" s="56"/>
      <c r="V901" s="56"/>
      <c r="W901" s="27"/>
      <c r="X901" s="56"/>
      <c r="Y901" s="27"/>
      <c r="Z901" s="56"/>
      <c r="AA901" s="27"/>
      <c r="AB901" s="56"/>
      <c r="AC901" s="27"/>
      <c r="AD901" s="56"/>
      <c r="AE901" s="27"/>
      <c r="AF901" s="56"/>
      <c r="AG901" s="27"/>
      <c r="AH901" s="286"/>
      <c r="AI901" s="27"/>
      <c r="AJ901" s="56"/>
      <c r="AK901" s="27"/>
      <c r="AL901" s="56"/>
      <c r="AM901" s="27"/>
      <c r="AN901" s="56"/>
      <c r="AO901" s="27"/>
      <c r="AP901" s="56"/>
      <c r="AQ901" s="27"/>
      <c r="AR901" s="56"/>
      <c r="AS901" s="27"/>
      <c r="AT901" s="56"/>
      <c r="AU901" s="27"/>
      <c r="AV901" s="56"/>
      <c r="AW901" s="27"/>
      <c r="AX901" s="56"/>
      <c r="AY901" s="27"/>
      <c r="AZ901" s="56"/>
      <c r="BA901" s="27"/>
      <c r="BB901" s="48"/>
      <c r="BC901" s="48"/>
      <c r="BD901" s="48"/>
      <c r="BE901" s="48"/>
      <c r="BF901" s="48"/>
      <c r="BG901" s="48"/>
      <c r="BH901" s="48"/>
      <c r="BI901" s="48"/>
      <c r="BJ901" s="48"/>
      <c r="BK901" s="48"/>
      <c r="BL901" s="48"/>
      <c r="BM901" s="48"/>
      <c r="BN901" s="48"/>
      <c r="BO901" s="48"/>
      <c r="BP901" s="48"/>
      <c r="BQ901" s="48"/>
      <c r="BR901" s="48"/>
      <c r="BS901" s="48"/>
      <c r="BT901" s="48"/>
      <c r="BU901" s="48"/>
    </row>
    <row r="902" ht="15.75" customHeight="1">
      <c r="A902" s="48"/>
      <c r="B902" s="48"/>
      <c r="C902" s="48"/>
      <c r="D902" s="48"/>
      <c r="E902" s="27"/>
      <c r="F902" s="48"/>
      <c r="G902" s="48"/>
      <c r="H902" s="56"/>
      <c r="I902" s="56"/>
      <c r="J902" s="56"/>
      <c r="K902" s="56"/>
      <c r="L902" s="56"/>
      <c r="M902" s="56"/>
      <c r="N902" s="56"/>
      <c r="O902" s="56"/>
      <c r="P902" s="56"/>
      <c r="Q902" s="56"/>
      <c r="R902" s="56"/>
      <c r="S902" s="56"/>
      <c r="T902" s="56"/>
      <c r="U902" s="56"/>
      <c r="V902" s="56"/>
      <c r="W902" s="27"/>
      <c r="X902" s="56"/>
      <c r="Y902" s="27"/>
      <c r="Z902" s="56"/>
      <c r="AA902" s="27"/>
      <c r="AB902" s="56"/>
      <c r="AC902" s="27"/>
      <c r="AD902" s="56"/>
      <c r="AE902" s="27"/>
      <c r="AF902" s="56"/>
      <c r="AG902" s="27"/>
      <c r="AH902" s="286"/>
      <c r="AI902" s="27"/>
      <c r="AJ902" s="56"/>
      <c r="AK902" s="27"/>
      <c r="AL902" s="56"/>
      <c r="AM902" s="27"/>
      <c r="AN902" s="56"/>
      <c r="AO902" s="27"/>
      <c r="AP902" s="56"/>
      <c r="AQ902" s="27"/>
      <c r="AR902" s="56"/>
      <c r="AS902" s="27"/>
      <c r="AT902" s="56"/>
      <c r="AU902" s="27"/>
      <c r="AV902" s="56"/>
      <c r="AW902" s="27"/>
      <c r="AX902" s="56"/>
      <c r="AY902" s="27"/>
      <c r="AZ902" s="56"/>
      <c r="BA902" s="27"/>
      <c r="BB902" s="48"/>
      <c r="BC902" s="48"/>
      <c r="BD902" s="48"/>
      <c r="BE902" s="48"/>
      <c r="BF902" s="48"/>
      <c r="BG902" s="48"/>
      <c r="BH902" s="48"/>
      <c r="BI902" s="48"/>
      <c r="BJ902" s="48"/>
      <c r="BK902" s="48"/>
      <c r="BL902" s="48"/>
      <c r="BM902" s="48"/>
      <c r="BN902" s="48"/>
      <c r="BO902" s="48"/>
      <c r="BP902" s="48"/>
      <c r="BQ902" s="48"/>
      <c r="BR902" s="48"/>
      <c r="BS902" s="48"/>
      <c r="BT902" s="48"/>
      <c r="BU902" s="48"/>
    </row>
    <row r="903" ht="15.75" customHeight="1">
      <c r="A903" s="48"/>
      <c r="B903" s="48"/>
      <c r="C903" s="48"/>
      <c r="D903" s="48"/>
      <c r="E903" s="27"/>
      <c r="F903" s="48"/>
      <c r="G903" s="48"/>
      <c r="H903" s="56"/>
      <c r="I903" s="56"/>
      <c r="J903" s="56"/>
      <c r="K903" s="56"/>
      <c r="L903" s="56"/>
      <c r="M903" s="56"/>
      <c r="N903" s="56"/>
      <c r="O903" s="56"/>
      <c r="P903" s="56"/>
      <c r="Q903" s="56"/>
      <c r="R903" s="56"/>
      <c r="S903" s="56"/>
      <c r="T903" s="56"/>
      <c r="U903" s="56"/>
      <c r="V903" s="56"/>
      <c r="W903" s="27"/>
      <c r="X903" s="56"/>
      <c r="Y903" s="27"/>
      <c r="Z903" s="56"/>
      <c r="AA903" s="27"/>
      <c r="AB903" s="56"/>
      <c r="AC903" s="27"/>
      <c r="AD903" s="56"/>
      <c r="AE903" s="27"/>
      <c r="AF903" s="56"/>
      <c r="AG903" s="27"/>
      <c r="AH903" s="286"/>
      <c r="AI903" s="27"/>
      <c r="AJ903" s="56"/>
      <c r="AK903" s="27"/>
      <c r="AL903" s="56"/>
      <c r="AM903" s="27"/>
      <c r="AN903" s="56"/>
      <c r="AO903" s="27"/>
      <c r="AP903" s="56"/>
      <c r="AQ903" s="27"/>
      <c r="AR903" s="56"/>
      <c r="AS903" s="27"/>
      <c r="AT903" s="56"/>
      <c r="AU903" s="27"/>
      <c r="AV903" s="56"/>
      <c r="AW903" s="27"/>
      <c r="AX903" s="56"/>
      <c r="AY903" s="27"/>
      <c r="AZ903" s="56"/>
      <c r="BA903" s="27"/>
      <c r="BB903" s="48"/>
      <c r="BC903" s="48"/>
      <c r="BD903" s="48"/>
      <c r="BE903" s="48"/>
      <c r="BF903" s="48"/>
      <c r="BG903" s="48"/>
      <c r="BH903" s="48"/>
      <c r="BI903" s="48"/>
      <c r="BJ903" s="48"/>
      <c r="BK903" s="48"/>
      <c r="BL903" s="48"/>
      <c r="BM903" s="48"/>
      <c r="BN903" s="48"/>
      <c r="BO903" s="48"/>
      <c r="BP903" s="48"/>
      <c r="BQ903" s="48"/>
      <c r="BR903" s="48"/>
      <c r="BS903" s="48"/>
      <c r="BT903" s="48"/>
      <c r="BU903" s="48"/>
    </row>
    <row r="904" ht="15.75" customHeight="1">
      <c r="A904" s="48"/>
      <c r="B904" s="48"/>
      <c r="C904" s="48"/>
      <c r="D904" s="48"/>
      <c r="E904" s="27"/>
      <c r="F904" s="48"/>
      <c r="G904" s="48"/>
      <c r="H904" s="56"/>
      <c r="I904" s="56"/>
      <c r="J904" s="56"/>
      <c r="K904" s="56"/>
      <c r="L904" s="56"/>
      <c r="M904" s="56"/>
      <c r="N904" s="56"/>
      <c r="O904" s="56"/>
      <c r="P904" s="56"/>
      <c r="Q904" s="56"/>
      <c r="R904" s="56"/>
      <c r="S904" s="56"/>
      <c r="T904" s="56"/>
      <c r="U904" s="56"/>
      <c r="V904" s="56"/>
      <c r="W904" s="27"/>
      <c r="X904" s="56"/>
      <c r="Y904" s="27"/>
      <c r="Z904" s="56"/>
      <c r="AA904" s="27"/>
      <c r="AB904" s="56"/>
      <c r="AC904" s="27"/>
      <c r="AD904" s="56"/>
      <c r="AE904" s="27"/>
      <c r="AF904" s="56"/>
      <c r="AG904" s="27"/>
      <c r="AH904" s="286"/>
      <c r="AI904" s="27"/>
      <c r="AJ904" s="56"/>
      <c r="AK904" s="27"/>
      <c r="AL904" s="56"/>
      <c r="AM904" s="27"/>
      <c r="AN904" s="56"/>
      <c r="AO904" s="27"/>
      <c r="AP904" s="56"/>
      <c r="AQ904" s="27"/>
      <c r="AR904" s="56"/>
      <c r="AS904" s="27"/>
      <c r="AT904" s="56"/>
      <c r="AU904" s="27"/>
      <c r="AV904" s="56"/>
      <c r="AW904" s="27"/>
      <c r="AX904" s="56"/>
      <c r="AY904" s="27"/>
      <c r="AZ904" s="56"/>
      <c r="BA904" s="27"/>
      <c r="BB904" s="48"/>
      <c r="BC904" s="48"/>
      <c r="BD904" s="48"/>
      <c r="BE904" s="48"/>
      <c r="BF904" s="48"/>
      <c r="BG904" s="48"/>
      <c r="BH904" s="48"/>
      <c r="BI904" s="48"/>
      <c r="BJ904" s="48"/>
      <c r="BK904" s="48"/>
      <c r="BL904" s="48"/>
      <c r="BM904" s="48"/>
      <c r="BN904" s="48"/>
      <c r="BO904" s="48"/>
      <c r="BP904" s="48"/>
      <c r="BQ904" s="48"/>
      <c r="BR904" s="48"/>
      <c r="BS904" s="48"/>
      <c r="BT904" s="48"/>
      <c r="BU904" s="48"/>
    </row>
    <row r="905" ht="15.75" customHeight="1">
      <c r="A905" s="48"/>
      <c r="B905" s="48"/>
      <c r="C905" s="48"/>
      <c r="D905" s="48"/>
      <c r="E905" s="27"/>
      <c r="F905" s="48"/>
      <c r="G905" s="48"/>
      <c r="H905" s="56"/>
      <c r="I905" s="56"/>
      <c r="J905" s="56"/>
      <c r="K905" s="56"/>
      <c r="L905" s="56"/>
      <c r="M905" s="56"/>
      <c r="N905" s="56"/>
      <c r="O905" s="56"/>
      <c r="P905" s="56"/>
      <c r="Q905" s="56"/>
      <c r="R905" s="56"/>
      <c r="S905" s="56"/>
      <c r="T905" s="56"/>
      <c r="U905" s="56"/>
      <c r="V905" s="56"/>
      <c r="W905" s="27"/>
      <c r="X905" s="56"/>
      <c r="Y905" s="27"/>
      <c r="Z905" s="56"/>
      <c r="AA905" s="27"/>
      <c r="AB905" s="56"/>
      <c r="AC905" s="27"/>
      <c r="AD905" s="56"/>
      <c r="AE905" s="27"/>
      <c r="AF905" s="56"/>
      <c r="AG905" s="27"/>
      <c r="AH905" s="286"/>
      <c r="AI905" s="27"/>
      <c r="AJ905" s="56"/>
      <c r="AK905" s="27"/>
      <c r="AL905" s="56"/>
      <c r="AM905" s="27"/>
      <c r="AN905" s="56"/>
      <c r="AO905" s="27"/>
      <c r="AP905" s="56"/>
      <c r="AQ905" s="27"/>
      <c r="AR905" s="56"/>
      <c r="AS905" s="27"/>
      <c r="AT905" s="56"/>
      <c r="AU905" s="27"/>
      <c r="AV905" s="56"/>
      <c r="AW905" s="27"/>
      <c r="AX905" s="56"/>
      <c r="AY905" s="27"/>
      <c r="AZ905" s="56"/>
      <c r="BA905" s="27"/>
      <c r="BB905" s="48"/>
      <c r="BC905" s="48"/>
      <c r="BD905" s="48"/>
      <c r="BE905" s="48"/>
      <c r="BF905" s="48"/>
      <c r="BG905" s="48"/>
      <c r="BH905" s="48"/>
      <c r="BI905" s="48"/>
      <c r="BJ905" s="48"/>
      <c r="BK905" s="48"/>
      <c r="BL905" s="48"/>
      <c r="BM905" s="48"/>
      <c r="BN905" s="48"/>
      <c r="BO905" s="48"/>
      <c r="BP905" s="48"/>
      <c r="BQ905" s="48"/>
      <c r="BR905" s="48"/>
      <c r="BS905" s="48"/>
      <c r="BT905" s="48"/>
      <c r="BU905" s="48"/>
    </row>
    <row r="906" ht="15.75" customHeight="1">
      <c r="A906" s="48"/>
      <c r="B906" s="48"/>
      <c r="C906" s="48"/>
      <c r="D906" s="48"/>
      <c r="E906" s="27"/>
      <c r="F906" s="48"/>
      <c r="G906" s="48"/>
      <c r="H906" s="56"/>
      <c r="I906" s="56"/>
      <c r="J906" s="56"/>
      <c r="K906" s="56"/>
      <c r="L906" s="56"/>
      <c r="M906" s="56"/>
      <c r="N906" s="56"/>
      <c r="O906" s="56"/>
      <c r="P906" s="56"/>
      <c r="Q906" s="56"/>
      <c r="R906" s="56"/>
      <c r="S906" s="56"/>
      <c r="T906" s="56"/>
      <c r="U906" s="56"/>
      <c r="V906" s="56"/>
      <c r="W906" s="27"/>
      <c r="X906" s="56"/>
      <c r="Y906" s="27"/>
      <c r="Z906" s="56"/>
      <c r="AA906" s="27"/>
      <c r="AB906" s="56"/>
      <c r="AC906" s="27"/>
      <c r="AD906" s="56"/>
      <c r="AE906" s="27"/>
      <c r="AF906" s="56"/>
      <c r="AG906" s="27"/>
      <c r="AH906" s="286"/>
      <c r="AI906" s="27"/>
      <c r="AJ906" s="56"/>
      <c r="AK906" s="27"/>
      <c r="AL906" s="56"/>
      <c r="AM906" s="27"/>
      <c r="AN906" s="56"/>
      <c r="AO906" s="27"/>
      <c r="AP906" s="56"/>
      <c r="AQ906" s="27"/>
      <c r="AR906" s="56"/>
      <c r="AS906" s="27"/>
      <c r="AT906" s="56"/>
      <c r="AU906" s="27"/>
      <c r="AV906" s="56"/>
      <c r="AW906" s="27"/>
      <c r="AX906" s="56"/>
      <c r="AY906" s="27"/>
      <c r="AZ906" s="56"/>
      <c r="BA906" s="27"/>
      <c r="BB906" s="48"/>
      <c r="BC906" s="48"/>
      <c r="BD906" s="48"/>
      <c r="BE906" s="48"/>
      <c r="BF906" s="48"/>
      <c r="BG906" s="48"/>
      <c r="BH906" s="48"/>
      <c r="BI906" s="48"/>
      <c r="BJ906" s="48"/>
      <c r="BK906" s="48"/>
      <c r="BL906" s="48"/>
      <c r="BM906" s="48"/>
      <c r="BN906" s="48"/>
      <c r="BO906" s="48"/>
      <c r="BP906" s="48"/>
      <c r="BQ906" s="48"/>
      <c r="BR906" s="48"/>
      <c r="BS906" s="48"/>
      <c r="BT906" s="48"/>
      <c r="BU906" s="48"/>
    </row>
    <row r="907" ht="15.75" customHeight="1">
      <c r="A907" s="48"/>
      <c r="B907" s="48"/>
      <c r="C907" s="48"/>
      <c r="D907" s="48"/>
      <c r="E907" s="27"/>
      <c r="F907" s="48"/>
      <c r="G907" s="48"/>
      <c r="H907" s="56"/>
      <c r="I907" s="56"/>
      <c r="J907" s="56"/>
      <c r="K907" s="56"/>
      <c r="L907" s="56"/>
      <c r="M907" s="56"/>
      <c r="N907" s="56"/>
      <c r="O907" s="56"/>
      <c r="P907" s="56"/>
      <c r="Q907" s="56"/>
      <c r="R907" s="56"/>
      <c r="S907" s="56"/>
      <c r="T907" s="56"/>
      <c r="U907" s="56"/>
      <c r="V907" s="56"/>
      <c r="W907" s="27"/>
      <c r="X907" s="56"/>
      <c r="Y907" s="27"/>
      <c r="Z907" s="56"/>
      <c r="AA907" s="27"/>
      <c r="AB907" s="56"/>
      <c r="AC907" s="27"/>
      <c r="AD907" s="56"/>
      <c r="AE907" s="27"/>
      <c r="AF907" s="56"/>
      <c r="AG907" s="27"/>
      <c r="AH907" s="286"/>
      <c r="AI907" s="27"/>
      <c r="AJ907" s="56"/>
      <c r="AK907" s="27"/>
      <c r="AL907" s="56"/>
      <c r="AM907" s="27"/>
      <c r="AN907" s="56"/>
      <c r="AO907" s="27"/>
      <c r="AP907" s="56"/>
      <c r="AQ907" s="27"/>
      <c r="AR907" s="56"/>
      <c r="AS907" s="27"/>
      <c r="AT907" s="56"/>
      <c r="AU907" s="27"/>
      <c r="AV907" s="56"/>
      <c r="AW907" s="27"/>
      <c r="AX907" s="56"/>
      <c r="AY907" s="27"/>
      <c r="AZ907" s="56"/>
      <c r="BA907" s="27"/>
      <c r="BB907" s="48"/>
      <c r="BC907" s="48"/>
      <c r="BD907" s="48"/>
      <c r="BE907" s="48"/>
      <c r="BF907" s="48"/>
      <c r="BG907" s="48"/>
      <c r="BH907" s="48"/>
      <c r="BI907" s="48"/>
      <c r="BJ907" s="48"/>
      <c r="BK907" s="48"/>
      <c r="BL907" s="48"/>
      <c r="BM907" s="48"/>
      <c r="BN907" s="48"/>
      <c r="BO907" s="48"/>
      <c r="BP907" s="48"/>
      <c r="BQ907" s="48"/>
      <c r="BR907" s="48"/>
      <c r="BS907" s="48"/>
      <c r="BT907" s="48"/>
      <c r="BU907" s="48"/>
    </row>
    <row r="908" ht="15.75" customHeight="1">
      <c r="A908" s="48"/>
      <c r="B908" s="48"/>
      <c r="C908" s="48"/>
      <c r="D908" s="48"/>
      <c r="E908" s="27"/>
      <c r="F908" s="48"/>
      <c r="G908" s="48"/>
      <c r="H908" s="56"/>
      <c r="I908" s="56"/>
      <c r="J908" s="56"/>
      <c r="K908" s="56"/>
      <c r="L908" s="56"/>
      <c r="M908" s="56"/>
      <c r="N908" s="56"/>
      <c r="O908" s="56"/>
      <c r="P908" s="56"/>
      <c r="Q908" s="56"/>
      <c r="R908" s="56"/>
      <c r="S908" s="56"/>
      <c r="T908" s="56"/>
      <c r="U908" s="56"/>
      <c r="V908" s="56"/>
      <c r="W908" s="27"/>
      <c r="X908" s="56"/>
      <c r="Y908" s="27"/>
      <c r="Z908" s="56"/>
      <c r="AA908" s="27"/>
      <c r="AB908" s="56"/>
      <c r="AC908" s="27"/>
      <c r="AD908" s="56"/>
      <c r="AE908" s="27"/>
      <c r="AF908" s="56"/>
      <c r="AG908" s="27"/>
      <c r="AH908" s="286"/>
      <c r="AI908" s="27"/>
      <c r="AJ908" s="56"/>
      <c r="AK908" s="27"/>
      <c r="AL908" s="56"/>
      <c r="AM908" s="27"/>
      <c r="AN908" s="56"/>
      <c r="AO908" s="27"/>
      <c r="AP908" s="56"/>
      <c r="AQ908" s="27"/>
      <c r="AR908" s="56"/>
      <c r="AS908" s="27"/>
      <c r="AT908" s="56"/>
      <c r="AU908" s="27"/>
      <c r="AV908" s="56"/>
      <c r="AW908" s="27"/>
      <c r="AX908" s="56"/>
      <c r="AY908" s="27"/>
      <c r="AZ908" s="56"/>
      <c r="BA908" s="27"/>
      <c r="BB908" s="48"/>
      <c r="BC908" s="48"/>
      <c r="BD908" s="48"/>
      <c r="BE908" s="48"/>
      <c r="BF908" s="48"/>
      <c r="BG908" s="48"/>
      <c r="BH908" s="48"/>
      <c r="BI908" s="48"/>
      <c r="BJ908" s="48"/>
      <c r="BK908" s="48"/>
      <c r="BL908" s="48"/>
      <c r="BM908" s="48"/>
      <c r="BN908" s="48"/>
      <c r="BO908" s="48"/>
      <c r="BP908" s="48"/>
      <c r="BQ908" s="48"/>
      <c r="BR908" s="48"/>
      <c r="BS908" s="48"/>
      <c r="BT908" s="48"/>
      <c r="BU908" s="48"/>
    </row>
    <row r="909" ht="15.75" customHeight="1">
      <c r="A909" s="48"/>
      <c r="B909" s="48"/>
      <c r="C909" s="48"/>
      <c r="D909" s="48"/>
      <c r="E909" s="27"/>
      <c r="F909" s="48"/>
      <c r="G909" s="48"/>
      <c r="H909" s="56"/>
      <c r="I909" s="56"/>
      <c r="J909" s="56"/>
      <c r="K909" s="56"/>
      <c r="L909" s="56"/>
      <c r="M909" s="56"/>
      <c r="N909" s="56"/>
      <c r="O909" s="56"/>
      <c r="P909" s="56"/>
      <c r="Q909" s="56"/>
      <c r="R909" s="56"/>
      <c r="S909" s="56"/>
      <c r="T909" s="56"/>
      <c r="U909" s="56"/>
      <c r="V909" s="56"/>
      <c r="W909" s="27"/>
      <c r="X909" s="56"/>
      <c r="Y909" s="27"/>
      <c r="Z909" s="56"/>
      <c r="AA909" s="27"/>
      <c r="AB909" s="56"/>
      <c r="AC909" s="27"/>
      <c r="AD909" s="56"/>
      <c r="AE909" s="27"/>
      <c r="AF909" s="56"/>
      <c r="AG909" s="27"/>
      <c r="AH909" s="286"/>
      <c r="AI909" s="27"/>
      <c r="AJ909" s="56"/>
      <c r="AK909" s="27"/>
      <c r="AL909" s="56"/>
      <c r="AM909" s="27"/>
      <c r="AN909" s="56"/>
      <c r="AO909" s="27"/>
      <c r="AP909" s="56"/>
      <c r="AQ909" s="27"/>
      <c r="AR909" s="56"/>
      <c r="AS909" s="27"/>
      <c r="AT909" s="56"/>
      <c r="AU909" s="27"/>
      <c r="AV909" s="56"/>
      <c r="AW909" s="27"/>
      <c r="AX909" s="56"/>
      <c r="AY909" s="27"/>
      <c r="AZ909" s="56"/>
      <c r="BA909" s="27"/>
      <c r="BB909" s="48"/>
      <c r="BC909" s="48"/>
      <c r="BD909" s="48"/>
      <c r="BE909" s="48"/>
      <c r="BF909" s="48"/>
      <c r="BG909" s="48"/>
      <c r="BH909" s="48"/>
      <c r="BI909" s="48"/>
      <c r="BJ909" s="48"/>
      <c r="BK909" s="48"/>
      <c r="BL909" s="48"/>
      <c r="BM909" s="48"/>
      <c r="BN909" s="48"/>
      <c r="BO909" s="48"/>
      <c r="BP909" s="48"/>
      <c r="BQ909" s="48"/>
      <c r="BR909" s="48"/>
      <c r="BS909" s="48"/>
      <c r="BT909" s="48"/>
      <c r="BU909" s="48"/>
    </row>
    <row r="910" ht="15.75" customHeight="1">
      <c r="A910" s="48"/>
      <c r="B910" s="48"/>
      <c r="C910" s="48"/>
      <c r="D910" s="48"/>
      <c r="E910" s="27"/>
      <c r="F910" s="48"/>
      <c r="G910" s="48"/>
      <c r="H910" s="56"/>
      <c r="I910" s="56"/>
      <c r="J910" s="56"/>
      <c r="K910" s="56"/>
      <c r="L910" s="56"/>
      <c r="M910" s="56"/>
      <c r="N910" s="56"/>
      <c r="O910" s="56"/>
      <c r="P910" s="56"/>
      <c r="Q910" s="56"/>
      <c r="R910" s="56"/>
      <c r="S910" s="56"/>
      <c r="T910" s="56"/>
      <c r="U910" s="56"/>
      <c r="V910" s="56"/>
      <c r="W910" s="27"/>
      <c r="X910" s="56"/>
      <c r="Y910" s="27"/>
      <c r="Z910" s="56"/>
      <c r="AA910" s="27"/>
      <c r="AB910" s="56"/>
      <c r="AC910" s="27"/>
      <c r="AD910" s="56"/>
      <c r="AE910" s="27"/>
      <c r="AF910" s="56"/>
      <c r="AG910" s="27"/>
      <c r="AH910" s="286"/>
      <c r="AI910" s="27"/>
      <c r="AJ910" s="56"/>
      <c r="AK910" s="27"/>
      <c r="AL910" s="56"/>
      <c r="AM910" s="27"/>
      <c r="AN910" s="56"/>
      <c r="AO910" s="27"/>
      <c r="AP910" s="56"/>
      <c r="AQ910" s="27"/>
      <c r="AR910" s="56"/>
      <c r="AS910" s="27"/>
      <c r="AT910" s="56"/>
      <c r="AU910" s="27"/>
      <c r="AV910" s="56"/>
      <c r="AW910" s="27"/>
      <c r="AX910" s="56"/>
      <c r="AY910" s="27"/>
      <c r="AZ910" s="56"/>
      <c r="BA910" s="27"/>
      <c r="BB910" s="48"/>
      <c r="BC910" s="48"/>
      <c r="BD910" s="48"/>
      <c r="BE910" s="48"/>
      <c r="BF910" s="48"/>
      <c r="BG910" s="48"/>
      <c r="BH910" s="48"/>
      <c r="BI910" s="48"/>
      <c r="BJ910" s="48"/>
      <c r="BK910" s="48"/>
      <c r="BL910" s="48"/>
      <c r="BM910" s="48"/>
      <c r="BN910" s="48"/>
      <c r="BO910" s="48"/>
      <c r="BP910" s="48"/>
      <c r="BQ910" s="48"/>
      <c r="BR910" s="48"/>
      <c r="BS910" s="48"/>
      <c r="BT910" s="48"/>
      <c r="BU910" s="48"/>
    </row>
    <row r="911" ht="15.75" customHeight="1">
      <c r="A911" s="48"/>
      <c r="B911" s="48"/>
      <c r="C911" s="48"/>
      <c r="D911" s="48"/>
      <c r="E911" s="27"/>
      <c r="F911" s="48"/>
      <c r="G911" s="48"/>
      <c r="H911" s="56"/>
      <c r="I911" s="56"/>
      <c r="J911" s="56"/>
      <c r="K911" s="56"/>
      <c r="L911" s="56"/>
      <c r="M911" s="56"/>
      <c r="N911" s="56"/>
      <c r="O911" s="56"/>
      <c r="P911" s="56"/>
      <c r="Q911" s="56"/>
      <c r="R911" s="56"/>
      <c r="S911" s="56"/>
      <c r="T911" s="56"/>
      <c r="U911" s="56"/>
      <c r="V911" s="56"/>
      <c r="W911" s="27"/>
      <c r="X911" s="56"/>
      <c r="Y911" s="27"/>
      <c r="Z911" s="56"/>
      <c r="AA911" s="27"/>
      <c r="AB911" s="56"/>
      <c r="AC911" s="27"/>
      <c r="AD911" s="56"/>
      <c r="AE911" s="27"/>
      <c r="AF911" s="56"/>
      <c r="AG911" s="27"/>
      <c r="AH911" s="286"/>
      <c r="AI911" s="27"/>
      <c r="AJ911" s="56"/>
      <c r="AK911" s="27"/>
      <c r="AL911" s="56"/>
      <c r="AM911" s="27"/>
      <c r="AN911" s="56"/>
      <c r="AO911" s="27"/>
      <c r="AP911" s="56"/>
      <c r="AQ911" s="27"/>
      <c r="AR911" s="56"/>
      <c r="AS911" s="27"/>
      <c r="AT911" s="56"/>
      <c r="AU911" s="27"/>
      <c r="AV911" s="56"/>
      <c r="AW911" s="27"/>
      <c r="AX911" s="56"/>
      <c r="AY911" s="27"/>
      <c r="AZ911" s="56"/>
      <c r="BA911" s="27"/>
      <c r="BB911" s="48"/>
      <c r="BC911" s="48"/>
      <c r="BD911" s="48"/>
      <c r="BE911" s="48"/>
      <c r="BF911" s="48"/>
      <c r="BG911" s="48"/>
      <c r="BH911" s="48"/>
      <c r="BI911" s="48"/>
      <c r="BJ911" s="48"/>
      <c r="BK911" s="48"/>
      <c r="BL911" s="48"/>
      <c r="BM911" s="48"/>
      <c r="BN911" s="48"/>
      <c r="BO911" s="48"/>
      <c r="BP911" s="48"/>
      <c r="BQ911" s="48"/>
      <c r="BR911" s="48"/>
      <c r="BS911" s="48"/>
      <c r="BT911" s="48"/>
      <c r="BU911" s="48"/>
    </row>
    <row r="912" ht="15.75" customHeight="1">
      <c r="A912" s="48"/>
      <c r="B912" s="48"/>
      <c r="C912" s="48"/>
      <c r="D912" s="48"/>
      <c r="E912" s="27"/>
      <c r="F912" s="48"/>
      <c r="G912" s="48"/>
      <c r="H912" s="56"/>
      <c r="I912" s="56"/>
      <c r="J912" s="56"/>
      <c r="K912" s="56"/>
      <c r="L912" s="56"/>
      <c r="M912" s="56"/>
      <c r="N912" s="56"/>
      <c r="O912" s="56"/>
      <c r="P912" s="56"/>
      <c r="Q912" s="56"/>
      <c r="R912" s="56"/>
      <c r="S912" s="56"/>
      <c r="T912" s="56"/>
      <c r="U912" s="56"/>
      <c r="V912" s="56"/>
      <c r="W912" s="27"/>
      <c r="X912" s="56"/>
      <c r="Y912" s="27"/>
      <c r="Z912" s="56"/>
      <c r="AA912" s="27"/>
      <c r="AB912" s="56"/>
      <c r="AC912" s="27"/>
      <c r="AD912" s="56"/>
      <c r="AE912" s="27"/>
      <c r="AF912" s="56"/>
      <c r="AG912" s="27"/>
      <c r="AH912" s="286"/>
      <c r="AI912" s="27"/>
      <c r="AJ912" s="56"/>
      <c r="AK912" s="27"/>
      <c r="AL912" s="56"/>
      <c r="AM912" s="27"/>
      <c r="AN912" s="56"/>
      <c r="AO912" s="27"/>
      <c r="AP912" s="56"/>
      <c r="AQ912" s="27"/>
      <c r="AR912" s="56"/>
      <c r="AS912" s="27"/>
      <c r="AT912" s="56"/>
      <c r="AU912" s="27"/>
      <c r="AV912" s="56"/>
      <c r="AW912" s="27"/>
      <c r="AX912" s="56"/>
      <c r="AY912" s="27"/>
      <c r="AZ912" s="56"/>
      <c r="BA912" s="27"/>
      <c r="BB912" s="48"/>
      <c r="BC912" s="48"/>
      <c r="BD912" s="48"/>
      <c r="BE912" s="48"/>
      <c r="BF912" s="48"/>
      <c r="BG912" s="48"/>
      <c r="BH912" s="48"/>
      <c r="BI912" s="48"/>
      <c r="BJ912" s="48"/>
      <c r="BK912" s="48"/>
      <c r="BL912" s="48"/>
      <c r="BM912" s="48"/>
      <c r="BN912" s="48"/>
      <c r="BO912" s="48"/>
      <c r="BP912" s="48"/>
      <c r="BQ912" s="48"/>
      <c r="BR912" s="48"/>
      <c r="BS912" s="48"/>
      <c r="BT912" s="48"/>
      <c r="BU912" s="48"/>
    </row>
    <row r="913" ht="15.75" customHeight="1">
      <c r="A913" s="48"/>
      <c r="B913" s="48"/>
      <c r="C913" s="48"/>
      <c r="D913" s="48"/>
      <c r="E913" s="27"/>
      <c r="F913" s="48"/>
      <c r="G913" s="48"/>
      <c r="H913" s="56"/>
      <c r="I913" s="56"/>
      <c r="J913" s="56"/>
      <c r="K913" s="56"/>
      <c r="L913" s="56"/>
      <c r="M913" s="56"/>
      <c r="N913" s="56"/>
      <c r="O913" s="56"/>
      <c r="P913" s="56"/>
      <c r="Q913" s="56"/>
      <c r="R913" s="56"/>
      <c r="S913" s="56"/>
      <c r="T913" s="56"/>
      <c r="U913" s="56"/>
      <c r="V913" s="56"/>
      <c r="W913" s="27"/>
      <c r="X913" s="56"/>
      <c r="Y913" s="27"/>
      <c r="Z913" s="56"/>
      <c r="AA913" s="27"/>
      <c r="AB913" s="56"/>
      <c r="AC913" s="27"/>
      <c r="AD913" s="56"/>
      <c r="AE913" s="27"/>
      <c r="AF913" s="56"/>
      <c r="AG913" s="27"/>
      <c r="AH913" s="286"/>
      <c r="AI913" s="27"/>
      <c r="AJ913" s="56"/>
      <c r="AK913" s="27"/>
      <c r="AL913" s="56"/>
      <c r="AM913" s="27"/>
      <c r="AN913" s="56"/>
      <c r="AO913" s="27"/>
      <c r="AP913" s="56"/>
      <c r="AQ913" s="27"/>
      <c r="AR913" s="56"/>
      <c r="AS913" s="27"/>
      <c r="AT913" s="56"/>
      <c r="AU913" s="27"/>
      <c r="AV913" s="56"/>
      <c r="AW913" s="27"/>
      <c r="AX913" s="56"/>
      <c r="AY913" s="27"/>
      <c r="AZ913" s="56"/>
      <c r="BA913" s="27"/>
      <c r="BB913" s="48"/>
      <c r="BC913" s="48"/>
      <c r="BD913" s="48"/>
      <c r="BE913" s="48"/>
      <c r="BF913" s="48"/>
      <c r="BG913" s="48"/>
      <c r="BH913" s="48"/>
      <c r="BI913" s="48"/>
      <c r="BJ913" s="48"/>
      <c r="BK913" s="48"/>
      <c r="BL913" s="48"/>
      <c r="BM913" s="48"/>
      <c r="BN913" s="48"/>
      <c r="BO913" s="48"/>
      <c r="BP913" s="48"/>
      <c r="BQ913" s="48"/>
      <c r="BR913" s="48"/>
      <c r="BS913" s="48"/>
      <c r="BT913" s="48"/>
      <c r="BU913" s="48"/>
    </row>
    <row r="914" ht="15.75" customHeight="1">
      <c r="A914" s="48"/>
      <c r="B914" s="48"/>
      <c r="C914" s="48"/>
      <c r="D914" s="48"/>
      <c r="E914" s="27"/>
      <c r="F914" s="48"/>
      <c r="G914" s="48"/>
      <c r="H914" s="56"/>
      <c r="I914" s="56"/>
      <c r="J914" s="56"/>
      <c r="K914" s="56"/>
      <c r="L914" s="56"/>
      <c r="M914" s="56"/>
      <c r="N914" s="56"/>
      <c r="O914" s="56"/>
      <c r="P914" s="56"/>
      <c r="Q914" s="56"/>
      <c r="R914" s="56"/>
      <c r="S914" s="56"/>
      <c r="T914" s="56"/>
      <c r="U914" s="56"/>
      <c r="V914" s="56"/>
      <c r="W914" s="27"/>
      <c r="X914" s="56"/>
      <c r="Y914" s="27"/>
      <c r="Z914" s="56"/>
      <c r="AA914" s="27"/>
      <c r="AB914" s="56"/>
      <c r="AC914" s="27"/>
      <c r="AD914" s="56"/>
      <c r="AE914" s="27"/>
      <c r="AF914" s="56"/>
      <c r="AG914" s="27"/>
      <c r="AH914" s="286"/>
      <c r="AI914" s="27"/>
      <c r="AJ914" s="56"/>
      <c r="AK914" s="27"/>
      <c r="AL914" s="56"/>
      <c r="AM914" s="27"/>
      <c r="AN914" s="56"/>
      <c r="AO914" s="27"/>
      <c r="AP914" s="56"/>
      <c r="AQ914" s="27"/>
      <c r="AR914" s="56"/>
      <c r="AS914" s="27"/>
      <c r="AT914" s="56"/>
      <c r="AU914" s="27"/>
      <c r="AV914" s="56"/>
      <c r="AW914" s="27"/>
      <c r="AX914" s="56"/>
      <c r="AY914" s="27"/>
      <c r="AZ914" s="56"/>
      <c r="BA914" s="27"/>
      <c r="BB914" s="48"/>
      <c r="BC914" s="48"/>
      <c r="BD914" s="48"/>
      <c r="BE914" s="48"/>
      <c r="BF914" s="48"/>
      <c r="BG914" s="48"/>
      <c r="BH914" s="48"/>
      <c r="BI914" s="48"/>
      <c r="BJ914" s="48"/>
      <c r="BK914" s="48"/>
      <c r="BL914" s="48"/>
      <c r="BM914" s="48"/>
      <c r="BN914" s="48"/>
      <c r="BO914" s="48"/>
      <c r="BP914" s="48"/>
      <c r="BQ914" s="48"/>
      <c r="BR914" s="48"/>
      <c r="BS914" s="48"/>
      <c r="BT914" s="48"/>
      <c r="BU914" s="48"/>
    </row>
    <row r="915" ht="15.75" customHeight="1">
      <c r="A915" s="48"/>
      <c r="B915" s="48"/>
      <c r="C915" s="48"/>
      <c r="D915" s="48"/>
      <c r="E915" s="27"/>
      <c r="F915" s="48"/>
      <c r="G915" s="48"/>
      <c r="H915" s="56"/>
      <c r="I915" s="56"/>
      <c r="J915" s="56"/>
      <c r="K915" s="56"/>
      <c r="L915" s="56"/>
      <c r="M915" s="56"/>
      <c r="N915" s="56"/>
      <c r="O915" s="56"/>
      <c r="P915" s="56"/>
      <c r="Q915" s="56"/>
      <c r="R915" s="56"/>
      <c r="S915" s="56"/>
      <c r="T915" s="56"/>
      <c r="U915" s="56"/>
      <c r="V915" s="56"/>
      <c r="W915" s="27"/>
      <c r="X915" s="56"/>
      <c r="Y915" s="27"/>
      <c r="Z915" s="56"/>
      <c r="AA915" s="27"/>
      <c r="AB915" s="56"/>
      <c r="AC915" s="27"/>
      <c r="AD915" s="56"/>
      <c r="AE915" s="27"/>
      <c r="AF915" s="56"/>
      <c r="AG915" s="27"/>
      <c r="AH915" s="286"/>
      <c r="AI915" s="27"/>
      <c r="AJ915" s="56"/>
      <c r="AK915" s="27"/>
      <c r="AL915" s="56"/>
      <c r="AM915" s="27"/>
      <c r="AN915" s="56"/>
      <c r="AO915" s="27"/>
      <c r="AP915" s="56"/>
      <c r="AQ915" s="27"/>
      <c r="AR915" s="56"/>
      <c r="AS915" s="27"/>
      <c r="AT915" s="56"/>
      <c r="AU915" s="27"/>
      <c r="AV915" s="56"/>
      <c r="AW915" s="27"/>
      <c r="AX915" s="56"/>
      <c r="AY915" s="27"/>
      <c r="AZ915" s="56"/>
      <c r="BA915" s="27"/>
      <c r="BB915" s="48"/>
      <c r="BC915" s="48"/>
      <c r="BD915" s="48"/>
      <c r="BE915" s="48"/>
      <c r="BF915" s="48"/>
      <c r="BG915" s="48"/>
      <c r="BH915" s="48"/>
      <c r="BI915" s="48"/>
      <c r="BJ915" s="48"/>
      <c r="BK915" s="48"/>
      <c r="BL915" s="48"/>
      <c r="BM915" s="48"/>
      <c r="BN915" s="48"/>
      <c r="BO915" s="48"/>
      <c r="BP915" s="48"/>
      <c r="BQ915" s="48"/>
      <c r="BR915" s="48"/>
      <c r="BS915" s="48"/>
      <c r="BT915" s="48"/>
      <c r="BU915" s="48"/>
    </row>
    <row r="916" ht="15.75" customHeight="1">
      <c r="A916" s="48"/>
      <c r="B916" s="48"/>
      <c r="C916" s="48"/>
      <c r="D916" s="48"/>
      <c r="E916" s="27"/>
      <c r="F916" s="48"/>
      <c r="G916" s="48"/>
      <c r="H916" s="56"/>
      <c r="I916" s="56"/>
      <c r="J916" s="56"/>
      <c r="K916" s="56"/>
      <c r="L916" s="56"/>
      <c r="M916" s="56"/>
      <c r="N916" s="56"/>
      <c r="O916" s="56"/>
      <c r="P916" s="56"/>
      <c r="Q916" s="56"/>
      <c r="R916" s="56"/>
      <c r="S916" s="56"/>
      <c r="T916" s="56"/>
      <c r="U916" s="56"/>
      <c r="V916" s="56"/>
      <c r="W916" s="27"/>
      <c r="X916" s="56"/>
      <c r="Y916" s="27"/>
      <c r="Z916" s="56"/>
      <c r="AA916" s="27"/>
      <c r="AB916" s="56"/>
      <c r="AC916" s="27"/>
      <c r="AD916" s="56"/>
      <c r="AE916" s="27"/>
      <c r="AF916" s="56"/>
      <c r="AG916" s="27"/>
      <c r="AH916" s="286"/>
      <c r="AI916" s="27"/>
      <c r="AJ916" s="56"/>
      <c r="AK916" s="27"/>
      <c r="AL916" s="56"/>
      <c r="AM916" s="27"/>
      <c r="AN916" s="56"/>
      <c r="AO916" s="27"/>
      <c r="AP916" s="56"/>
      <c r="AQ916" s="27"/>
      <c r="AR916" s="56"/>
      <c r="AS916" s="27"/>
      <c r="AT916" s="56"/>
      <c r="AU916" s="27"/>
      <c r="AV916" s="56"/>
      <c r="AW916" s="27"/>
      <c r="AX916" s="56"/>
      <c r="AY916" s="27"/>
      <c r="AZ916" s="56"/>
      <c r="BA916" s="27"/>
      <c r="BB916" s="48"/>
      <c r="BC916" s="48"/>
      <c r="BD916" s="48"/>
      <c r="BE916" s="48"/>
      <c r="BF916" s="48"/>
      <c r="BG916" s="48"/>
      <c r="BH916" s="48"/>
      <c r="BI916" s="48"/>
      <c r="BJ916" s="48"/>
      <c r="BK916" s="48"/>
      <c r="BL916" s="48"/>
      <c r="BM916" s="48"/>
      <c r="BN916" s="48"/>
      <c r="BO916" s="48"/>
      <c r="BP916" s="48"/>
      <c r="BQ916" s="48"/>
      <c r="BR916" s="48"/>
      <c r="BS916" s="48"/>
      <c r="BT916" s="48"/>
      <c r="BU916" s="48"/>
    </row>
    <row r="917" ht="15.75" customHeight="1">
      <c r="A917" s="48"/>
      <c r="B917" s="48"/>
      <c r="C917" s="48"/>
      <c r="D917" s="48"/>
      <c r="E917" s="27"/>
      <c r="F917" s="48"/>
      <c r="G917" s="48"/>
      <c r="H917" s="56"/>
      <c r="I917" s="56"/>
      <c r="J917" s="56"/>
      <c r="K917" s="56"/>
      <c r="L917" s="56"/>
      <c r="M917" s="56"/>
      <c r="N917" s="56"/>
      <c r="O917" s="56"/>
      <c r="P917" s="56"/>
      <c r="Q917" s="56"/>
      <c r="R917" s="56"/>
      <c r="S917" s="56"/>
      <c r="T917" s="56"/>
      <c r="U917" s="56"/>
      <c r="V917" s="56"/>
      <c r="W917" s="27"/>
      <c r="X917" s="56"/>
      <c r="Y917" s="27"/>
      <c r="Z917" s="56"/>
      <c r="AA917" s="27"/>
      <c r="AB917" s="56"/>
      <c r="AC917" s="27"/>
      <c r="AD917" s="56"/>
      <c r="AE917" s="27"/>
      <c r="AF917" s="56"/>
      <c r="AG917" s="27"/>
      <c r="AH917" s="286"/>
      <c r="AI917" s="27"/>
      <c r="AJ917" s="56"/>
      <c r="AK917" s="27"/>
      <c r="AL917" s="56"/>
      <c r="AM917" s="27"/>
      <c r="AN917" s="56"/>
      <c r="AO917" s="27"/>
      <c r="AP917" s="56"/>
      <c r="AQ917" s="27"/>
      <c r="AR917" s="56"/>
      <c r="AS917" s="27"/>
      <c r="AT917" s="56"/>
      <c r="AU917" s="27"/>
      <c r="AV917" s="56"/>
      <c r="AW917" s="27"/>
      <c r="AX917" s="56"/>
      <c r="AY917" s="27"/>
      <c r="AZ917" s="56"/>
      <c r="BA917" s="27"/>
      <c r="BB917" s="48"/>
      <c r="BC917" s="48"/>
      <c r="BD917" s="48"/>
      <c r="BE917" s="48"/>
      <c r="BF917" s="48"/>
      <c r="BG917" s="48"/>
      <c r="BH917" s="48"/>
      <c r="BI917" s="48"/>
      <c r="BJ917" s="48"/>
      <c r="BK917" s="48"/>
      <c r="BL917" s="48"/>
      <c r="BM917" s="48"/>
      <c r="BN917" s="48"/>
      <c r="BO917" s="48"/>
      <c r="BP917" s="48"/>
      <c r="BQ917" s="48"/>
      <c r="BR917" s="48"/>
      <c r="BS917" s="48"/>
      <c r="BT917" s="48"/>
      <c r="BU917" s="48"/>
    </row>
    <row r="918" ht="15.75" customHeight="1">
      <c r="A918" s="48"/>
      <c r="B918" s="48"/>
      <c r="C918" s="48"/>
      <c r="D918" s="48"/>
      <c r="E918" s="27"/>
      <c r="F918" s="48"/>
      <c r="G918" s="48"/>
      <c r="H918" s="56"/>
      <c r="I918" s="56"/>
      <c r="J918" s="56"/>
      <c r="K918" s="56"/>
      <c r="L918" s="56"/>
      <c r="M918" s="56"/>
      <c r="N918" s="56"/>
      <c r="O918" s="56"/>
      <c r="P918" s="56"/>
      <c r="Q918" s="56"/>
      <c r="R918" s="56"/>
      <c r="S918" s="56"/>
      <c r="T918" s="56"/>
      <c r="U918" s="56"/>
      <c r="V918" s="56"/>
      <c r="W918" s="27"/>
      <c r="X918" s="56"/>
      <c r="Y918" s="27"/>
      <c r="Z918" s="56"/>
      <c r="AA918" s="27"/>
      <c r="AB918" s="56"/>
      <c r="AC918" s="27"/>
      <c r="AD918" s="56"/>
      <c r="AE918" s="27"/>
      <c r="AF918" s="56"/>
      <c r="AG918" s="27"/>
      <c r="AH918" s="286"/>
      <c r="AI918" s="27"/>
      <c r="AJ918" s="56"/>
      <c r="AK918" s="27"/>
      <c r="AL918" s="56"/>
      <c r="AM918" s="27"/>
      <c r="AN918" s="56"/>
      <c r="AO918" s="27"/>
      <c r="AP918" s="56"/>
      <c r="AQ918" s="27"/>
      <c r="AR918" s="56"/>
      <c r="AS918" s="27"/>
      <c r="AT918" s="56"/>
      <c r="AU918" s="27"/>
      <c r="AV918" s="56"/>
      <c r="AW918" s="27"/>
      <c r="AX918" s="56"/>
      <c r="AY918" s="27"/>
      <c r="AZ918" s="56"/>
      <c r="BA918" s="27"/>
      <c r="BB918" s="48"/>
      <c r="BC918" s="48"/>
      <c r="BD918" s="48"/>
      <c r="BE918" s="48"/>
      <c r="BF918" s="48"/>
      <c r="BG918" s="48"/>
      <c r="BH918" s="48"/>
      <c r="BI918" s="48"/>
      <c r="BJ918" s="48"/>
      <c r="BK918" s="48"/>
      <c r="BL918" s="48"/>
      <c r="BM918" s="48"/>
      <c r="BN918" s="48"/>
      <c r="BO918" s="48"/>
      <c r="BP918" s="48"/>
      <c r="BQ918" s="48"/>
      <c r="BR918" s="48"/>
      <c r="BS918" s="48"/>
      <c r="BT918" s="48"/>
      <c r="BU918" s="48"/>
    </row>
    <row r="919" ht="15.75" customHeight="1">
      <c r="A919" s="48"/>
      <c r="B919" s="48"/>
      <c r="C919" s="48"/>
      <c r="D919" s="48"/>
      <c r="E919" s="27"/>
      <c r="F919" s="48"/>
      <c r="G919" s="48"/>
      <c r="H919" s="56"/>
      <c r="I919" s="56"/>
      <c r="J919" s="56"/>
      <c r="K919" s="56"/>
      <c r="L919" s="56"/>
      <c r="M919" s="56"/>
      <c r="N919" s="56"/>
      <c r="O919" s="56"/>
      <c r="P919" s="56"/>
      <c r="Q919" s="56"/>
      <c r="R919" s="56"/>
      <c r="S919" s="56"/>
      <c r="T919" s="56"/>
      <c r="U919" s="56"/>
      <c r="V919" s="56"/>
      <c r="W919" s="27"/>
      <c r="X919" s="56"/>
      <c r="Y919" s="27"/>
      <c r="Z919" s="56"/>
      <c r="AA919" s="27"/>
      <c r="AB919" s="56"/>
      <c r="AC919" s="27"/>
      <c r="AD919" s="56"/>
      <c r="AE919" s="27"/>
      <c r="AF919" s="56"/>
      <c r="AG919" s="27"/>
      <c r="AH919" s="286"/>
      <c r="AI919" s="27"/>
      <c r="AJ919" s="56"/>
      <c r="AK919" s="27"/>
      <c r="AL919" s="56"/>
      <c r="AM919" s="27"/>
      <c r="AN919" s="56"/>
      <c r="AO919" s="27"/>
      <c r="AP919" s="56"/>
      <c r="AQ919" s="27"/>
      <c r="AR919" s="56"/>
      <c r="AS919" s="27"/>
      <c r="AT919" s="56"/>
      <c r="AU919" s="27"/>
      <c r="AV919" s="56"/>
      <c r="AW919" s="27"/>
      <c r="AX919" s="56"/>
      <c r="AY919" s="27"/>
      <c r="AZ919" s="56"/>
      <c r="BA919" s="27"/>
      <c r="BB919" s="48"/>
      <c r="BC919" s="48"/>
      <c r="BD919" s="48"/>
      <c r="BE919" s="48"/>
      <c r="BF919" s="48"/>
      <c r="BG919" s="48"/>
      <c r="BH919" s="48"/>
      <c r="BI919" s="48"/>
      <c r="BJ919" s="48"/>
      <c r="BK919" s="48"/>
      <c r="BL919" s="48"/>
      <c r="BM919" s="48"/>
      <c r="BN919" s="48"/>
      <c r="BO919" s="48"/>
      <c r="BP919" s="48"/>
      <c r="BQ919" s="48"/>
      <c r="BR919" s="48"/>
      <c r="BS919" s="48"/>
      <c r="BT919" s="48"/>
      <c r="BU919" s="48"/>
    </row>
    <row r="920" ht="15.75" customHeight="1">
      <c r="A920" s="48"/>
      <c r="B920" s="48"/>
      <c r="C920" s="48"/>
      <c r="D920" s="48"/>
      <c r="E920" s="27"/>
      <c r="F920" s="48"/>
      <c r="G920" s="48"/>
      <c r="H920" s="56"/>
      <c r="I920" s="56"/>
      <c r="J920" s="56"/>
      <c r="K920" s="56"/>
      <c r="L920" s="56"/>
      <c r="M920" s="56"/>
      <c r="N920" s="56"/>
      <c r="O920" s="56"/>
      <c r="P920" s="56"/>
      <c r="Q920" s="56"/>
      <c r="R920" s="56"/>
      <c r="S920" s="56"/>
      <c r="T920" s="56"/>
      <c r="U920" s="56"/>
      <c r="V920" s="56"/>
      <c r="W920" s="27"/>
      <c r="X920" s="56"/>
      <c r="Y920" s="27"/>
      <c r="Z920" s="56"/>
      <c r="AA920" s="27"/>
      <c r="AB920" s="56"/>
      <c r="AC920" s="27"/>
      <c r="AD920" s="56"/>
      <c r="AE920" s="27"/>
      <c r="AF920" s="56"/>
      <c r="AG920" s="27"/>
      <c r="AH920" s="286"/>
      <c r="AI920" s="27"/>
      <c r="AJ920" s="56"/>
      <c r="AK920" s="27"/>
      <c r="AL920" s="56"/>
      <c r="AM920" s="27"/>
      <c r="AN920" s="56"/>
      <c r="AO920" s="27"/>
      <c r="AP920" s="56"/>
      <c r="AQ920" s="27"/>
      <c r="AR920" s="56"/>
      <c r="AS920" s="27"/>
      <c r="AT920" s="56"/>
      <c r="AU920" s="27"/>
      <c r="AV920" s="56"/>
      <c r="AW920" s="27"/>
      <c r="AX920" s="56"/>
      <c r="AY920" s="27"/>
      <c r="AZ920" s="56"/>
      <c r="BA920" s="27"/>
      <c r="BB920" s="48"/>
      <c r="BC920" s="48"/>
      <c r="BD920" s="48"/>
      <c r="BE920" s="48"/>
      <c r="BF920" s="48"/>
      <c r="BG920" s="48"/>
      <c r="BH920" s="48"/>
      <c r="BI920" s="48"/>
      <c r="BJ920" s="48"/>
      <c r="BK920" s="48"/>
      <c r="BL920" s="48"/>
      <c r="BM920" s="48"/>
      <c r="BN920" s="48"/>
      <c r="BO920" s="48"/>
      <c r="BP920" s="48"/>
      <c r="BQ920" s="48"/>
      <c r="BR920" s="48"/>
      <c r="BS920" s="48"/>
      <c r="BT920" s="48"/>
      <c r="BU920" s="48"/>
    </row>
    <row r="921" ht="15.75" customHeight="1">
      <c r="A921" s="48"/>
      <c r="B921" s="48"/>
      <c r="C921" s="48"/>
      <c r="D921" s="48"/>
      <c r="E921" s="27"/>
      <c r="F921" s="48"/>
      <c r="G921" s="48"/>
      <c r="H921" s="56"/>
      <c r="I921" s="56"/>
      <c r="J921" s="56"/>
      <c r="K921" s="56"/>
      <c r="L921" s="56"/>
      <c r="M921" s="56"/>
      <c r="N921" s="56"/>
      <c r="O921" s="56"/>
      <c r="P921" s="56"/>
      <c r="Q921" s="56"/>
      <c r="R921" s="56"/>
      <c r="S921" s="56"/>
      <c r="T921" s="56"/>
      <c r="U921" s="56"/>
      <c r="V921" s="56"/>
      <c r="W921" s="27"/>
      <c r="X921" s="56"/>
      <c r="Y921" s="27"/>
      <c r="Z921" s="56"/>
      <c r="AA921" s="27"/>
      <c r="AB921" s="56"/>
      <c r="AC921" s="27"/>
      <c r="AD921" s="56"/>
      <c r="AE921" s="27"/>
      <c r="AF921" s="56"/>
      <c r="AG921" s="27"/>
      <c r="AH921" s="286"/>
      <c r="AI921" s="27"/>
      <c r="AJ921" s="56"/>
      <c r="AK921" s="27"/>
      <c r="AL921" s="56"/>
      <c r="AM921" s="27"/>
      <c r="AN921" s="56"/>
      <c r="AO921" s="27"/>
      <c r="AP921" s="56"/>
      <c r="AQ921" s="27"/>
      <c r="AR921" s="56"/>
      <c r="AS921" s="27"/>
      <c r="AT921" s="56"/>
      <c r="AU921" s="27"/>
      <c r="AV921" s="56"/>
      <c r="AW921" s="27"/>
      <c r="AX921" s="56"/>
      <c r="AY921" s="27"/>
      <c r="AZ921" s="56"/>
      <c r="BA921" s="27"/>
      <c r="BB921" s="48"/>
      <c r="BC921" s="48"/>
      <c r="BD921" s="48"/>
      <c r="BE921" s="48"/>
      <c r="BF921" s="48"/>
      <c r="BG921" s="48"/>
      <c r="BH921" s="48"/>
      <c r="BI921" s="48"/>
      <c r="BJ921" s="48"/>
      <c r="BK921" s="48"/>
      <c r="BL921" s="48"/>
      <c r="BM921" s="48"/>
      <c r="BN921" s="48"/>
      <c r="BO921" s="48"/>
      <c r="BP921" s="48"/>
      <c r="BQ921" s="48"/>
      <c r="BR921" s="48"/>
      <c r="BS921" s="48"/>
      <c r="BT921" s="48"/>
      <c r="BU921" s="48"/>
    </row>
    <row r="922" ht="15.75" customHeight="1">
      <c r="A922" s="48"/>
      <c r="B922" s="48"/>
      <c r="C922" s="48"/>
      <c r="D922" s="48"/>
      <c r="E922" s="27"/>
      <c r="F922" s="48"/>
      <c r="G922" s="48"/>
      <c r="H922" s="56"/>
      <c r="I922" s="56"/>
      <c r="J922" s="56"/>
      <c r="K922" s="56"/>
      <c r="L922" s="56"/>
      <c r="M922" s="56"/>
      <c r="N922" s="56"/>
      <c r="O922" s="56"/>
      <c r="P922" s="56"/>
      <c r="Q922" s="56"/>
      <c r="R922" s="56"/>
      <c r="S922" s="56"/>
      <c r="T922" s="56"/>
      <c r="U922" s="56"/>
      <c r="V922" s="56"/>
      <c r="W922" s="27"/>
      <c r="X922" s="56"/>
      <c r="Y922" s="27"/>
      <c r="Z922" s="56"/>
      <c r="AA922" s="27"/>
      <c r="AB922" s="56"/>
      <c r="AC922" s="27"/>
      <c r="AD922" s="56"/>
      <c r="AE922" s="27"/>
      <c r="AF922" s="56"/>
      <c r="AG922" s="27"/>
      <c r="AH922" s="286"/>
      <c r="AI922" s="27"/>
      <c r="AJ922" s="56"/>
      <c r="AK922" s="27"/>
      <c r="AL922" s="56"/>
      <c r="AM922" s="27"/>
      <c r="AN922" s="56"/>
      <c r="AO922" s="27"/>
      <c r="AP922" s="56"/>
      <c r="AQ922" s="27"/>
      <c r="AR922" s="56"/>
      <c r="AS922" s="27"/>
      <c r="AT922" s="56"/>
      <c r="AU922" s="27"/>
      <c r="AV922" s="56"/>
      <c r="AW922" s="27"/>
      <c r="AX922" s="56"/>
      <c r="AY922" s="27"/>
      <c r="AZ922" s="56"/>
      <c r="BA922" s="27"/>
      <c r="BB922" s="48"/>
      <c r="BC922" s="48"/>
      <c r="BD922" s="48"/>
      <c r="BE922" s="48"/>
      <c r="BF922" s="48"/>
      <c r="BG922" s="48"/>
      <c r="BH922" s="48"/>
      <c r="BI922" s="48"/>
      <c r="BJ922" s="48"/>
      <c r="BK922" s="48"/>
      <c r="BL922" s="48"/>
      <c r="BM922" s="48"/>
      <c r="BN922" s="48"/>
      <c r="BO922" s="48"/>
      <c r="BP922" s="48"/>
      <c r="BQ922" s="48"/>
      <c r="BR922" s="48"/>
      <c r="BS922" s="48"/>
      <c r="BT922" s="48"/>
      <c r="BU922" s="48"/>
    </row>
    <row r="923" ht="15.75" customHeight="1">
      <c r="A923" s="48"/>
      <c r="B923" s="48"/>
      <c r="C923" s="48"/>
      <c r="D923" s="48"/>
      <c r="E923" s="27"/>
      <c r="F923" s="48"/>
      <c r="G923" s="48"/>
      <c r="H923" s="56"/>
      <c r="I923" s="56"/>
      <c r="J923" s="56"/>
      <c r="K923" s="56"/>
      <c r="L923" s="56"/>
      <c r="M923" s="56"/>
      <c r="N923" s="56"/>
      <c r="O923" s="56"/>
      <c r="P923" s="56"/>
      <c r="Q923" s="56"/>
      <c r="R923" s="56"/>
      <c r="S923" s="56"/>
      <c r="T923" s="56"/>
      <c r="U923" s="56"/>
      <c r="V923" s="56"/>
      <c r="W923" s="27"/>
      <c r="X923" s="56"/>
      <c r="Y923" s="27"/>
      <c r="Z923" s="56"/>
      <c r="AA923" s="27"/>
      <c r="AB923" s="56"/>
      <c r="AC923" s="27"/>
      <c r="AD923" s="56"/>
      <c r="AE923" s="27"/>
      <c r="AF923" s="56"/>
      <c r="AG923" s="27"/>
      <c r="AH923" s="286"/>
      <c r="AI923" s="27"/>
      <c r="AJ923" s="56"/>
      <c r="AK923" s="27"/>
      <c r="AL923" s="56"/>
      <c r="AM923" s="27"/>
      <c r="AN923" s="56"/>
      <c r="AO923" s="27"/>
      <c r="AP923" s="56"/>
      <c r="AQ923" s="27"/>
      <c r="AR923" s="56"/>
      <c r="AS923" s="27"/>
      <c r="AT923" s="56"/>
      <c r="AU923" s="27"/>
      <c r="AV923" s="56"/>
      <c r="AW923" s="27"/>
      <c r="AX923" s="56"/>
      <c r="AY923" s="27"/>
      <c r="AZ923" s="56"/>
      <c r="BA923" s="27"/>
      <c r="BB923" s="48"/>
      <c r="BC923" s="48"/>
      <c r="BD923" s="48"/>
      <c r="BE923" s="48"/>
      <c r="BF923" s="48"/>
      <c r="BG923" s="48"/>
      <c r="BH923" s="48"/>
      <c r="BI923" s="48"/>
      <c r="BJ923" s="48"/>
      <c r="BK923" s="48"/>
      <c r="BL923" s="48"/>
      <c r="BM923" s="48"/>
      <c r="BN923" s="48"/>
      <c r="BO923" s="48"/>
      <c r="BP923" s="48"/>
      <c r="BQ923" s="48"/>
      <c r="BR923" s="48"/>
      <c r="BS923" s="48"/>
      <c r="BT923" s="48"/>
      <c r="BU923" s="48"/>
    </row>
    <row r="924" ht="15.75" customHeight="1">
      <c r="A924" s="48"/>
      <c r="B924" s="48"/>
      <c r="C924" s="48"/>
      <c r="D924" s="48"/>
      <c r="E924" s="27"/>
      <c r="F924" s="48"/>
      <c r="G924" s="48"/>
      <c r="H924" s="56"/>
      <c r="I924" s="56"/>
      <c r="J924" s="56"/>
      <c r="K924" s="56"/>
      <c r="L924" s="56"/>
      <c r="M924" s="56"/>
      <c r="N924" s="56"/>
      <c r="O924" s="56"/>
      <c r="P924" s="56"/>
      <c r="Q924" s="56"/>
      <c r="R924" s="56"/>
      <c r="S924" s="56"/>
      <c r="T924" s="56"/>
      <c r="U924" s="56"/>
      <c r="V924" s="56"/>
      <c r="W924" s="27"/>
      <c r="X924" s="56"/>
      <c r="Y924" s="27"/>
      <c r="Z924" s="56"/>
      <c r="AA924" s="27"/>
      <c r="AB924" s="56"/>
      <c r="AC924" s="27"/>
      <c r="AD924" s="56"/>
      <c r="AE924" s="27"/>
      <c r="AF924" s="56"/>
      <c r="AG924" s="27"/>
      <c r="AH924" s="286"/>
      <c r="AI924" s="27"/>
      <c r="AJ924" s="56"/>
      <c r="AK924" s="27"/>
      <c r="AL924" s="56"/>
      <c r="AM924" s="27"/>
      <c r="AN924" s="56"/>
      <c r="AO924" s="27"/>
      <c r="AP924" s="56"/>
      <c r="AQ924" s="27"/>
      <c r="AR924" s="56"/>
      <c r="AS924" s="27"/>
      <c r="AT924" s="56"/>
      <c r="AU924" s="27"/>
      <c r="AV924" s="56"/>
      <c r="AW924" s="27"/>
      <c r="AX924" s="56"/>
      <c r="AY924" s="27"/>
      <c r="AZ924" s="56"/>
      <c r="BA924" s="27"/>
      <c r="BB924" s="48"/>
      <c r="BC924" s="48"/>
      <c r="BD924" s="48"/>
      <c r="BE924" s="48"/>
      <c r="BF924" s="48"/>
      <c r="BG924" s="48"/>
      <c r="BH924" s="48"/>
      <c r="BI924" s="48"/>
      <c r="BJ924" s="48"/>
      <c r="BK924" s="48"/>
      <c r="BL924" s="48"/>
      <c r="BM924" s="48"/>
      <c r="BN924" s="48"/>
      <c r="BO924" s="48"/>
      <c r="BP924" s="48"/>
      <c r="BQ924" s="48"/>
      <c r="BR924" s="48"/>
      <c r="BS924" s="48"/>
      <c r="BT924" s="48"/>
      <c r="BU924" s="48"/>
    </row>
    <row r="925" ht="15.75" customHeight="1">
      <c r="A925" s="48"/>
      <c r="B925" s="48"/>
      <c r="C925" s="48"/>
      <c r="D925" s="48"/>
      <c r="E925" s="27"/>
      <c r="F925" s="48"/>
      <c r="G925" s="48"/>
      <c r="H925" s="56"/>
      <c r="I925" s="56"/>
      <c r="J925" s="56"/>
      <c r="K925" s="56"/>
      <c r="L925" s="56"/>
      <c r="M925" s="56"/>
      <c r="N925" s="56"/>
      <c r="O925" s="56"/>
      <c r="P925" s="56"/>
      <c r="Q925" s="56"/>
      <c r="R925" s="56"/>
      <c r="S925" s="56"/>
      <c r="T925" s="56"/>
      <c r="U925" s="56"/>
      <c r="V925" s="56"/>
      <c r="W925" s="27"/>
      <c r="X925" s="56"/>
      <c r="Y925" s="27"/>
      <c r="Z925" s="56"/>
      <c r="AA925" s="27"/>
      <c r="AB925" s="56"/>
      <c r="AC925" s="27"/>
      <c r="AD925" s="56"/>
      <c r="AE925" s="27"/>
      <c r="AF925" s="56"/>
      <c r="AG925" s="27"/>
      <c r="AH925" s="286"/>
      <c r="AI925" s="27"/>
      <c r="AJ925" s="56"/>
      <c r="AK925" s="27"/>
      <c r="AL925" s="56"/>
      <c r="AM925" s="27"/>
      <c r="AN925" s="56"/>
      <c r="AO925" s="27"/>
      <c r="AP925" s="56"/>
      <c r="AQ925" s="27"/>
      <c r="AR925" s="56"/>
      <c r="AS925" s="27"/>
      <c r="AT925" s="56"/>
      <c r="AU925" s="27"/>
      <c r="AV925" s="56"/>
      <c r="AW925" s="27"/>
      <c r="AX925" s="56"/>
      <c r="AY925" s="27"/>
      <c r="AZ925" s="56"/>
      <c r="BA925" s="27"/>
      <c r="BB925" s="48"/>
      <c r="BC925" s="48"/>
      <c r="BD925" s="48"/>
      <c r="BE925" s="48"/>
      <c r="BF925" s="48"/>
      <c r="BG925" s="48"/>
      <c r="BH925" s="48"/>
      <c r="BI925" s="48"/>
      <c r="BJ925" s="48"/>
      <c r="BK925" s="48"/>
      <c r="BL925" s="48"/>
      <c r="BM925" s="48"/>
      <c r="BN925" s="48"/>
      <c r="BO925" s="48"/>
      <c r="BP925" s="48"/>
      <c r="BQ925" s="48"/>
      <c r="BR925" s="48"/>
      <c r="BS925" s="48"/>
      <c r="BT925" s="48"/>
      <c r="BU925" s="48"/>
    </row>
    <row r="926" ht="15.75" customHeight="1">
      <c r="A926" s="48"/>
      <c r="B926" s="48"/>
      <c r="C926" s="48"/>
      <c r="D926" s="48"/>
      <c r="E926" s="27"/>
      <c r="F926" s="48"/>
      <c r="G926" s="48"/>
      <c r="H926" s="56"/>
      <c r="I926" s="56"/>
      <c r="J926" s="56"/>
      <c r="K926" s="56"/>
      <c r="L926" s="56"/>
      <c r="M926" s="56"/>
      <c r="N926" s="56"/>
      <c r="O926" s="56"/>
      <c r="P926" s="56"/>
      <c r="Q926" s="56"/>
      <c r="R926" s="56"/>
      <c r="S926" s="56"/>
      <c r="T926" s="56"/>
      <c r="U926" s="56"/>
      <c r="V926" s="56"/>
      <c r="W926" s="27"/>
      <c r="X926" s="56"/>
      <c r="Y926" s="27"/>
      <c r="Z926" s="56"/>
      <c r="AA926" s="27"/>
      <c r="AB926" s="56"/>
      <c r="AC926" s="27"/>
      <c r="AD926" s="56"/>
      <c r="AE926" s="27"/>
      <c r="AF926" s="56"/>
      <c r="AG926" s="27"/>
      <c r="AH926" s="286"/>
      <c r="AI926" s="27"/>
      <c r="AJ926" s="56"/>
      <c r="AK926" s="27"/>
      <c r="AL926" s="56"/>
      <c r="AM926" s="27"/>
      <c r="AN926" s="56"/>
      <c r="AO926" s="27"/>
      <c r="AP926" s="56"/>
      <c r="AQ926" s="27"/>
      <c r="AR926" s="56"/>
      <c r="AS926" s="27"/>
      <c r="AT926" s="56"/>
      <c r="AU926" s="27"/>
      <c r="AV926" s="56"/>
      <c r="AW926" s="27"/>
      <c r="AX926" s="56"/>
      <c r="AY926" s="27"/>
      <c r="AZ926" s="56"/>
      <c r="BA926" s="27"/>
      <c r="BB926" s="48"/>
      <c r="BC926" s="48"/>
      <c r="BD926" s="48"/>
      <c r="BE926" s="48"/>
      <c r="BF926" s="48"/>
      <c r="BG926" s="48"/>
      <c r="BH926" s="48"/>
      <c r="BI926" s="48"/>
      <c r="BJ926" s="48"/>
      <c r="BK926" s="48"/>
      <c r="BL926" s="48"/>
      <c r="BM926" s="48"/>
      <c r="BN926" s="48"/>
      <c r="BO926" s="48"/>
      <c r="BP926" s="48"/>
      <c r="BQ926" s="48"/>
      <c r="BR926" s="48"/>
      <c r="BS926" s="48"/>
      <c r="BT926" s="48"/>
      <c r="BU926" s="48"/>
    </row>
    <row r="927" ht="15.75" customHeight="1">
      <c r="A927" s="48"/>
      <c r="B927" s="48"/>
      <c r="C927" s="48"/>
      <c r="D927" s="48"/>
      <c r="E927" s="27"/>
      <c r="F927" s="48"/>
      <c r="G927" s="48"/>
      <c r="H927" s="56"/>
      <c r="I927" s="56"/>
      <c r="J927" s="56"/>
      <c r="K927" s="56"/>
      <c r="L927" s="56"/>
      <c r="M927" s="56"/>
      <c r="N927" s="56"/>
      <c r="O927" s="56"/>
      <c r="P927" s="56"/>
      <c r="Q927" s="56"/>
      <c r="R927" s="56"/>
      <c r="S927" s="56"/>
      <c r="T927" s="56"/>
      <c r="U927" s="56"/>
      <c r="V927" s="56"/>
      <c r="W927" s="27"/>
      <c r="X927" s="56"/>
      <c r="Y927" s="27"/>
      <c r="Z927" s="56"/>
      <c r="AA927" s="27"/>
      <c r="AB927" s="56"/>
      <c r="AC927" s="27"/>
      <c r="AD927" s="56"/>
      <c r="AE927" s="27"/>
      <c r="AF927" s="56"/>
      <c r="AG927" s="27"/>
      <c r="AH927" s="286"/>
      <c r="AI927" s="27"/>
      <c r="AJ927" s="56"/>
      <c r="AK927" s="27"/>
      <c r="AL927" s="56"/>
      <c r="AM927" s="27"/>
      <c r="AN927" s="56"/>
      <c r="AO927" s="27"/>
      <c r="AP927" s="56"/>
      <c r="AQ927" s="27"/>
      <c r="AR927" s="56"/>
      <c r="AS927" s="27"/>
      <c r="AT927" s="56"/>
      <c r="AU927" s="27"/>
      <c r="AV927" s="56"/>
      <c r="AW927" s="27"/>
      <c r="AX927" s="56"/>
      <c r="AY927" s="27"/>
      <c r="AZ927" s="56"/>
      <c r="BA927" s="27"/>
      <c r="BB927" s="48"/>
      <c r="BC927" s="48"/>
      <c r="BD927" s="48"/>
      <c r="BE927" s="48"/>
      <c r="BF927" s="48"/>
      <c r="BG927" s="48"/>
      <c r="BH927" s="48"/>
      <c r="BI927" s="48"/>
      <c r="BJ927" s="48"/>
      <c r="BK927" s="48"/>
      <c r="BL927" s="48"/>
      <c r="BM927" s="48"/>
      <c r="BN927" s="48"/>
      <c r="BO927" s="48"/>
      <c r="BP927" s="48"/>
      <c r="BQ927" s="48"/>
      <c r="BR927" s="48"/>
      <c r="BS927" s="48"/>
      <c r="BT927" s="48"/>
      <c r="BU927" s="48"/>
    </row>
    <row r="928" ht="15.75" customHeight="1">
      <c r="A928" s="48"/>
      <c r="B928" s="48"/>
      <c r="C928" s="48"/>
      <c r="D928" s="48"/>
      <c r="E928" s="27"/>
      <c r="F928" s="48"/>
      <c r="G928" s="48"/>
      <c r="H928" s="56"/>
      <c r="I928" s="56"/>
      <c r="J928" s="56"/>
      <c r="K928" s="56"/>
      <c r="L928" s="56"/>
      <c r="M928" s="56"/>
      <c r="N928" s="56"/>
      <c r="O928" s="56"/>
      <c r="P928" s="56"/>
      <c r="Q928" s="56"/>
      <c r="R928" s="56"/>
      <c r="S928" s="56"/>
      <c r="T928" s="56"/>
      <c r="U928" s="56"/>
      <c r="V928" s="56"/>
      <c r="W928" s="27"/>
      <c r="X928" s="56"/>
      <c r="Y928" s="27"/>
      <c r="Z928" s="56"/>
      <c r="AA928" s="27"/>
      <c r="AB928" s="56"/>
      <c r="AC928" s="27"/>
      <c r="AD928" s="56"/>
      <c r="AE928" s="27"/>
      <c r="AF928" s="56"/>
      <c r="AG928" s="27"/>
      <c r="AH928" s="286"/>
      <c r="AI928" s="27"/>
      <c r="AJ928" s="56"/>
      <c r="AK928" s="27"/>
      <c r="AL928" s="56"/>
      <c r="AM928" s="27"/>
      <c r="AN928" s="56"/>
      <c r="AO928" s="27"/>
      <c r="AP928" s="56"/>
      <c r="AQ928" s="27"/>
      <c r="AR928" s="56"/>
      <c r="AS928" s="27"/>
      <c r="AT928" s="56"/>
      <c r="AU928" s="27"/>
      <c r="AV928" s="56"/>
      <c r="AW928" s="27"/>
      <c r="AX928" s="56"/>
      <c r="AY928" s="27"/>
      <c r="AZ928" s="56"/>
      <c r="BA928" s="27"/>
      <c r="BB928" s="48"/>
      <c r="BC928" s="48"/>
      <c r="BD928" s="48"/>
      <c r="BE928" s="48"/>
      <c r="BF928" s="48"/>
      <c r="BG928" s="48"/>
      <c r="BH928" s="48"/>
      <c r="BI928" s="48"/>
      <c r="BJ928" s="48"/>
      <c r="BK928" s="48"/>
      <c r="BL928" s="48"/>
      <c r="BM928" s="48"/>
      <c r="BN928" s="48"/>
      <c r="BO928" s="48"/>
      <c r="BP928" s="48"/>
      <c r="BQ928" s="48"/>
      <c r="BR928" s="48"/>
      <c r="BS928" s="48"/>
      <c r="BT928" s="48"/>
      <c r="BU928" s="48"/>
    </row>
    <row r="929" ht="15.75" customHeight="1">
      <c r="A929" s="48"/>
      <c r="B929" s="48"/>
      <c r="C929" s="48"/>
      <c r="D929" s="48"/>
      <c r="E929" s="27"/>
      <c r="F929" s="48"/>
      <c r="G929" s="48"/>
      <c r="H929" s="56"/>
      <c r="I929" s="56"/>
      <c r="J929" s="56"/>
      <c r="K929" s="56"/>
      <c r="L929" s="56"/>
      <c r="M929" s="56"/>
      <c r="N929" s="56"/>
      <c r="O929" s="56"/>
      <c r="P929" s="56"/>
      <c r="Q929" s="56"/>
      <c r="R929" s="56"/>
      <c r="S929" s="56"/>
      <c r="T929" s="56"/>
      <c r="U929" s="56"/>
      <c r="V929" s="56"/>
      <c r="W929" s="27"/>
      <c r="X929" s="56"/>
      <c r="Y929" s="27"/>
      <c r="Z929" s="56"/>
      <c r="AA929" s="27"/>
      <c r="AB929" s="56"/>
      <c r="AC929" s="27"/>
      <c r="AD929" s="56"/>
      <c r="AE929" s="27"/>
      <c r="AF929" s="56"/>
      <c r="AG929" s="27"/>
      <c r="AH929" s="286"/>
      <c r="AI929" s="27"/>
      <c r="AJ929" s="56"/>
      <c r="AK929" s="27"/>
      <c r="AL929" s="56"/>
      <c r="AM929" s="27"/>
      <c r="AN929" s="56"/>
      <c r="AO929" s="27"/>
      <c r="AP929" s="56"/>
      <c r="AQ929" s="27"/>
      <c r="AR929" s="56"/>
      <c r="AS929" s="27"/>
      <c r="AT929" s="56"/>
      <c r="AU929" s="27"/>
      <c r="AV929" s="56"/>
      <c r="AW929" s="27"/>
      <c r="AX929" s="56"/>
      <c r="AY929" s="27"/>
      <c r="AZ929" s="56"/>
      <c r="BA929" s="27"/>
      <c r="BB929" s="48"/>
      <c r="BC929" s="48"/>
      <c r="BD929" s="48"/>
      <c r="BE929" s="48"/>
      <c r="BF929" s="48"/>
      <c r="BG929" s="48"/>
      <c r="BH929" s="48"/>
      <c r="BI929" s="48"/>
      <c r="BJ929" s="48"/>
      <c r="BK929" s="48"/>
      <c r="BL929" s="48"/>
      <c r="BM929" s="48"/>
      <c r="BN929" s="48"/>
      <c r="BO929" s="48"/>
      <c r="BP929" s="48"/>
      <c r="BQ929" s="48"/>
      <c r="BR929" s="48"/>
      <c r="BS929" s="48"/>
      <c r="BT929" s="48"/>
      <c r="BU929" s="48"/>
    </row>
    <row r="930" ht="15.75" customHeight="1">
      <c r="A930" s="48"/>
      <c r="B930" s="48"/>
      <c r="C930" s="48"/>
      <c r="D930" s="48"/>
      <c r="E930" s="27"/>
      <c r="F930" s="48"/>
      <c r="G930" s="48"/>
      <c r="H930" s="56"/>
      <c r="I930" s="56"/>
      <c r="J930" s="56"/>
      <c r="K930" s="56"/>
      <c r="L930" s="56"/>
      <c r="M930" s="56"/>
      <c r="N930" s="56"/>
      <c r="O930" s="56"/>
      <c r="P930" s="56"/>
      <c r="Q930" s="56"/>
      <c r="R930" s="56"/>
      <c r="S930" s="56"/>
      <c r="T930" s="56"/>
      <c r="U930" s="56"/>
      <c r="V930" s="56"/>
      <c r="W930" s="27"/>
      <c r="X930" s="56"/>
      <c r="Y930" s="27"/>
      <c r="Z930" s="56"/>
      <c r="AA930" s="27"/>
      <c r="AB930" s="56"/>
      <c r="AC930" s="27"/>
      <c r="AD930" s="56"/>
      <c r="AE930" s="27"/>
      <c r="AF930" s="56"/>
      <c r="AG930" s="27"/>
      <c r="AH930" s="286"/>
      <c r="AI930" s="27"/>
      <c r="AJ930" s="56"/>
      <c r="AK930" s="27"/>
      <c r="AL930" s="56"/>
      <c r="AM930" s="27"/>
      <c r="AN930" s="56"/>
      <c r="AO930" s="27"/>
      <c r="AP930" s="56"/>
      <c r="AQ930" s="27"/>
      <c r="AR930" s="56"/>
      <c r="AS930" s="27"/>
      <c r="AT930" s="56"/>
      <c r="AU930" s="27"/>
      <c r="AV930" s="56"/>
      <c r="AW930" s="27"/>
      <c r="AX930" s="56"/>
      <c r="AY930" s="27"/>
      <c r="AZ930" s="56"/>
      <c r="BA930" s="27"/>
      <c r="BB930" s="48"/>
      <c r="BC930" s="48"/>
      <c r="BD930" s="48"/>
      <c r="BE930" s="48"/>
      <c r="BF930" s="48"/>
      <c r="BG930" s="48"/>
      <c r="BH930" s="48"/>
      <c r="BI930" s="48"/>
      <c r="BJ930" s="48"/>
      <c r="BK930" s="48"/>
      <c r="BL930" s="48"/>
      <c r="BM930" s="48"/>
      <c r="BN930" s="48"/>
      <c r="BO930" s="48"/>
      <c r="BP930" s="48"/>
      <c r="BQ930" s="48"/>
      <c r="BR930" s="48"/>
      <c r="BS930" s="48"/>
      <c r="BT930" s="48"/>
      <c r="BU930" s="48"/>
    </row>
    <row r="931" ht="15.75" customHeight="1">
      <c r="A931" s="48"/>
      <c r="B931" s="48"/>
      <c r="C931" s="48"/>
      <c r="D931" s="48"/>
      <c r="E931" s="27"/>
      <c r="F931" s="48"/>
      <c r="G931" s="48"/>
      <c r="H931" s="56"/>
      <c r="I931" s="56"/>
      <c r="J931" s="56"/>
      <c r="K931" s="56"/>
      <c r="L931" s="56"/>
      <c r="M931" s="56"/>
      <c r="N931" s="56"/>
      <c r="O931" s="56"/>
      <c r="P931" s="56"/>
      <c r="Q931" s="56"/>
      <c r="R931" s="56"/>
      <c r="S931" s="56"/>
      <c r="T931" s="56"/>
      <c r="U931" s="56"/>
      <c r="V931" s="56"/>
      <c r="W931" s="27"/>
      <c r="X931" s="56"/>
      <c r="Y931" s="27"/>
      <c r="Z931" s="56"/>
      <c r="AA931" s="27"/>
      <c r="AB931" s="56"/>
      <c r="AC931" s="27"/>
      <c r="AD931" s="56"/>
      <c r="AE931" s="27"/>
      <c r="AF931" s="56"/>
      <c r="AG931" s="27"/>
      <c r="AH931" s="286"/>
      <c r="AI931" s="27"/>
      <c r="AJ931" s="56"/>
      <c r="AK931" s="27"/>
      <c r="AL931" s="56"/>
      <c r="AM931" s="27"/>
      <c r="AN931" s="56"/>
      <c r="AO931" s="27"/>
      <c r="AP931" s="56"/>
      <c r="AQ931" s="27"/>
      <c r="AR931" s="56"/>
      <c r="AS931" s="27"/>
      <c r="AT931" s="56"/>
      <c r="AU931" s="27"/>
      <c r="AV931" s="56"/>
      <c r="AW931" s="27"/>
      <c r="AX931" s="56"/>
      <c r="AY931" s="27"/>
      <c r="AZ931" s="56"/>
      <c r="BA931" s="27"/>
      <c r="BB931" s="48"/>
      <c r="BC931" s="48"/>
      <c r="BD931" s="48"/>
      <c r="BE931" s="48"/>
      <c r="BF931" s="48"/>
      <c r="BG931" s="48"/>
      <c r="BH931" s="48"/>
      <c r="BI931" s="48"/>
      <c r="BJ931" s="48"/>
      <c r="BK931" s="48"/>
      <c r="BL931" s="48"/>
      <c r="BM931" s="48"/>
      <c r="BN931" s="48"/>
      <c r="BO931" s="48"/>
      <c r="BP931" s="48"/>
      <c r="BQ931" s="48"/>
      <c r="BR931" s="48"/>
      <c r="BS931" s="48"/>
      <c r="BT931" s="48"/>
      <c r="BU931" s="48"/>
    </row>
    <row r="932" ht="15.75" customHeight="1">
      <c r="A932" s="48"/>
      <c r="B932" s="48"/>
      <c r="C932" s="48"/>
      <c r="D932" s="48"/>
      <c r="E932" s="27"/>
      <c r="F932" s="48"/>
      <c r="G932" s="48"/>
      <c r="H932" s="56"/>
      <c r="I932" s="56"/>
      <c r="J932" s="56"/>
      <c r="K932" s="56"/>
      <c r="L932" s="56"/>
      <c r="M932" s="56"/>
      <c r="N932" s="56"/>
      <c r="O932" s="56"/>
      <c r="P932" s="56"/>
      <c r="Q932" s="56"/>
      <c r="R932" s="56"/>
      <c r="S932" s="56"/>
      <c r="T932" s="56"/>
      <c r="U932" s="56"/>
      <c r="V932" s="56"/>
      <c r="W932" s="27"/>
      <c r="X932" s="56"/>
      <c r="Y932" s="27"/>
      <c r="Z932" s="56"/>
      <c r="AA932" s="27"/>
      <c r="AB932" s="56"/>
      <c r="AC932" s="27"/>
      <c r="AD932" s="56"/>
      <c r="AE932" s="27"/>
      <c r="AF932" s="56"/>
      <c r="AG932" s="27"/>
      <c r="AH932" s="286"/>
      <c r="AI932" s="27"/>
      <c r="AJ932" s="56"/>
      <c r="AK932" s="27"/>
      <c r="AL932" s="56"/>
      <c r="AM932" s="27"/>
      <c r="AN932" s="56"/>
      <c r="AO932" s="27"/>
      <c r="AP932" s="56"/>
      <c r="AQ932" s="27"/>
      <c r="AR932" s="56"/>
      <c r="AS932" s="27"/>
      <c r="AT932" s="56"/>
      <c r="AU932" s="27"/>
      <c r="AV932" s="56"/>
      <c r="AW932" s="27"/>
      <c r="AX932" s="56"/>
      <c r="AY932" s="27"/>
      <c r="AZ932" s="56"/>
      <c r="BA932" s="27"/>
      <c r="BB932" s="48"/>
      <c r="BC932" s="48"/>
      <c r="BD932" s="48"/>
      <c r="BE932" s="48"/>
      <c r="BF932" s="48"/>
      <c r="BG932" s="48"/>
      <c r="BH932" s="48"/>
      <c r="BI932" s="48"/>
      <c r="BJ932" s="48"/>
      <c r="BK932" s="48"/>
      <c r="BL932" s="48"/>
      <c r="BM932" s="48"/>
      <c r="BN932" s="48"/>
      <c r="BO932" s="48"/>
      <c r="BP932" s="48"/>
      <c r="BQ932" s="48"/>
      <c r="BR932" s="48"/>
      <c r="BS932" s="48"/>
      <c r="BT932" s="48"/>
      <c r="BU932" s="48"/>
    </row>
    <row r="933" ht="15.75" customHeight="1">
      <c r="A933" s="48"/>
      <c r="B933" s="48"/>
      <c r="C933" s="48"/>
      <c r="D933" s="48"/>
      <c r="E933" s="27"/>
      <c r="F933" s="48"/>
      <c r="G933" s="48"/>
      <c r="H933" s="56"/>
      <c r="I933" s="56"/>
      <c r="J933" s="56"/>
      <c r="K933" s="56"/>
      <c r="L933" s="56"/>
      <c r="M933" s="56"/>
      <c r="N933" s="56"/>
      <c r="O933" s="56"/>
      <c r="P933" s="56"/>
      <c r="Q933" s="56"/>
      <c r="R933" s="56"/>
      <c r="S933" s="56"/>
      <c r="T933" s="56"/>
      <c r="U933" s="56"/>
      <c r="V933" s="56"/>
      <c r="W933" s="27"/>
      <c r="X933" s="56"/>
      <c r="Y933" s="27"/>
      <c r="Z933" s="56"/>
      <c r="AA933" s="27"/>
      <c r="AB933" s="56"/>
      <c r="AC933" s="27"/>
      <c r="AD933" s="56"/>
      <c r="AE933" s="27"/>
      <c r="AF933" s="56"/>
      <c r="AG933" s="27"/>
      <c r="AH933" s="286"/>
      <c r="AI933" s="27"/>
      <c r="AJ933" s="56"/>
      <c r="AK933" s="27"/>
      <c r="AL933" s="56"/>
      <c r="AM933" s="27"/>
      <c r="AN933" s="56"/>
      <c r="AO933" s="27"/>
      <c r="AP933" s="56"/>
      <c r="AQ933" s="27"/>
      <c r="AR933" s="56"/>
      <c r="AS933" s="27"/>
      <c r="AT933" s="56"/>
      <c r="AU933" s="27"/>
      <c r="AV933" s="56"/>
      <c r="AW933" s="27"/>
      <c r="AX933" s="56"/>
      <c r="AY933" s="27"/>
      <c r="AZ933" s="56"/>
      <c r="BA933" s="27"/>
      <c r="BB933" s="48"/>
      <c r="BC933" s="48"/>
      <c r="BD933" s="48"/>
      <c r="BE933" s="48"/>
      <c r="BF933" s="48"/>
      <c r="BG933" s="48"/>
      <c r="BH933" s="48"/>
      <c r="BI933" s="48"/>
      <c r="BJ933" s="48"/>
      <c r="BK933" s="48"/>
      <c r="BL933" s="48"/>
      <c r="BM933" s="48"/>
      <c r="BN933" s="48"/>
      <c r="BO933" s="48"/>
      <c r="BP933" s="48"/>
      <c r="BQ933" s="48"/>
      <c r="BR933" s="48"/>
      <c r="BS933" s="48"/>
      <c r="BT933" s="48"/>
      <c r="BU933" s="48"/>
    </row>
    <row r="934" ht="15.75" customHeight="1">
      <c r="A934" s="48"/>
      <c r="B934" s="48"/>
      <c r="C934" s="48"/>
      <c r="D934" s="48"/>
      <c r="E934" s="27"/>
      <c r="F934" s="48"/>
      <c r="G934" s="48"/>
      <c r="H934" s="56"/>
      <c r="I934" s="56"/>
      <c r="J934" s="56"/>
      <c r="K934" s="56"/>
      <c r="L934" s="56"/>
      <c r="M934" s="56"/>
      <c r="N934" s="56"/>
      <c r="O934" s="56"/>
      <c r="P934" s="56"/>
      <c r="Q934" s="56"/>
      <c r="R934" s="56"/>
      <c r="S934" s="56"/>
      <c r="T934" s="56"/>
      <c r="U934" s="56"/>
      <c r="V934" s="56"/>
      <c r="W934" s="27"/>
      <c r="X934" s="56"/>
      <c r="Y934" s="27"/>
      <c r="Z934" s="56"/>
      <c r="AA934" s="27"/>
      <c r="AB934" s="56"/>
      <c r="AC934" s="27"/>
      <c r="AD934" s="56"/>
      <c r="AE934" s="27"/>
      <c r="AF934" s="56"/>
      <c r="AG934" s="27"/>
      <c r="AH934" s="286"/>
      <c r="AI934" s="27"/>
      <c r="AJ934" s="56"/>
      <c r="AK934" s="27"/>
      <c r="AL934" s="56"/>
      <c r="AM934" s="27"/>
      <c r="AN934" s="56"/>
      <c r="AO934" s="27"/>
      <c r="AP934" s="56"/>
      <c r="AQ934" s="27"/>
      <c r="AR934" s="56"/>
      <c r="AS934" s="27"/>
      <c r="AT934" s="56"/>
      <c r="AU934" s="27"/>
      <c r="AV934" s="56"/>
      <c r="AW934" s="27"/>
      <c r="AX934" s="56"/>
      <c r="AY934" s="27"/>
      <c r="AZ934" s="56"/>
      <c r="BA934" s="27"/>
      <c r="BB934" s="48"/>
      <c r="BC934" s="48"/>
      <c r="BD934" s="48"/>
      <c r="BE934" s="48"/>
      <c r="BF934" s="48"/>
      <c r="BG934" s="48"/>
      <c r="BH934" s="48"/>
      <c r="BI934" s="48"/>
      <c r="BJ934" s="48"/>
      <c r="BK934" s="48"/>
      <c r="BL934" s="48"/>
      <c r="BM934" s="48"/>
      <c r="BN934" s="48"/>
      <c r="BO934" s="48"/>
      <c r="BP934" s="48"/>
      <c r="BQ934" s="48"/>
      <c r="BR934" s="48"/>
      <c r="BS934" s="48"/>
      <c r="BT934" s="48"/>
      <c r="BU934" s="48"/>
    </row>
    <row r="935" ht="15.75" customHeight="1">
      <c r="A935" s="48"/>
      <c r="B935" s="48"/>
      <c r="C935" s="48"/>
      <c r="D935" s="48"/>
      <c r="E935" s="27"/>
      <c r="F935" s="48"/>
      <c r="G935" s="48"/>
      <c r="H935" s="56"/>
      <c r="I935" s="56"/>
      <c r="J935" s="56"/>
      <c r="K935" s="56"/>
      <c r="L935" s="56"/>
      <c r="M935" s="56"/>
      <c r="N935" s="56"/>
      <c r="O935" s="56"/>
      <c r="P935" s="56"/>
      <c r="Q935" s="56"/>
      <c r="R935" s="56"/>
      <c r="S935" s="56"/>
      <c r="T935" s="56"/>
      <c r="U935" s="56"/>
      <c r="V935" s="56"/>
      <c r="W935" s="27"/>
      <c r="X935" s="56"/>
      <c r="Y935" s="27"/>
      <c r="Z935" s="56"/>
      <c r="AA935" s="27"/>
      <c r="AB935" s="56"/>
      <c r="AC935" s="27"/>
      <c r="AD935" s="56"/>
      <c r="AE935" s="27"/>
      <c r="AF935" s="56"/>
      <c r="AG935" s="27"/>
      <c r="AH935" s="286"/>
      <c r="AI935" s="27"/>
      <c r="AJ935" s="56"/>
      <c r="AK935" s="27"/>
      <c r="AL935" s="56"/>
      <c r="AM935" s="27"/>
      <c r="AN935" s="56"/>
      <c r="AO935" s="27"/>
      <c r="AP935" s="56"/>
      <c r="AQ935" s="27"/>
      <c r="AR935" s="56"/>
      <c r="AS935" s="27"/>
      <c r="AT935" s="56"/>
      <c r="AU935" s="27"/>
      <c r="AV935" s="56"/>
      <c r="AW935" s="27"/>
      <c r="AX935" s="56"/>
      <c r="AY935" s="27"/>
      <c r="AZ935" s="56"/>
      <c r="BA935" s="27"/>
      <c r="BB935" s="48"/>
      <c r="BC935" s="48"/>
      <c r="BD935" s="48"/>
      <c r="BE935" s="48"/>
      <c r="BF935" s="48"/>
      <c r="BG935" s="48"/>
      <c r="BH935" s="48"/>
      <c r="BI935" s="48"/>
      <c r="BJ935" s="48"/>
      <c r="BK935" s="48"/>
      <c r="BL935" s="48"/>
      <c r="BM935" s="48"/>
      <c r="BN935" s="48"/>
      <c r="BO935" s="48"/>
      <c r="BP935" s="48"/>
      <c r="BQ935" s="48"/>
      <c r="BR935" s="48"/>
      <c r="BS935" s="48"/>
      <c r="BT935" s="48"/>
      <c r="BU935" s="48"/>
    </row>
    <row r="936" ht="15.75" customHeight="1">
      <c r="A936" s="48"/>
      <c r="B936" s="48"/>
      <c r="C936" s="48"/>
      <c r="D936" s="48"/>
      <c r="E936" s="27"/>
      <c r="F936" s="48"/>
      <c r="G936" s="48"/>
      <c r="H936" s="56"/>
      <c r="I936" s="56"/>
      <c r="J936" s="56"/>
      <c r="K936" s="56"/>
      <c r="L936" s="56"/>
      <c r="M936" s="56"/>
      <c r="N936" s="56"/>
      <c r="O936" s="56"/>
      <c r="P936" s="56"/>
      <c r="Q936" s="56"/>
      <c r="R936" s="56"/>
      <c r="S936" s="56"/>
      <c r="T936" s="56"/>
      <c r="U936" s="56"/>
      <c r="V936" s="56"/>
      <c r="W936" s="27"/>
      <c r="X936" s="56"/>
      <c r="Y936" s="27"/>
      <c r="Z936" s="56"/>
      <c r="AA936" s="27"/>
      <c r="AB936" s="56"/>
      <c r="AC936" s="27"/>
      <c r="AD936" s="56"/>
      <c r="AE936" s="27"/>
      <c r="AF936" s="56"/>
      <c r="AG936" s="27"/>
      <c r="AH936" s="286"/>
      <c r="AI936" s="27"/>
      <c r="AJ936" s="56"/>
      <c r="AK936" s="27"/>
      <c r="AL936" s="56"/>
      <c r="AM936" s="27"/>
      <c r="AN936" s="56"/>
      <c r="AO936" s="27"/>
      <c r="AP936" s="56"/>
      <c r="AQ936" s="27"/>
      <c r="AR936" s="56"/>
      <c r="AS936" s="27"/>
      <c r="AT936" s="56"/>
      <c r="AU936" s="27"/>
      <c r="AV936" s="56"/>
      <c r="AW936" s="27"/>
      <c r="AX936" s="56"/>
      <c r="AY936" s="27"/>
      <c r="AZ936" s="56"/>
      <c r="BA936" s="27"/>
      <c r="BB936" s="48"/>
      <c r="BC936" s="48"/>
      <c r="BD936" s="48"/>
      <c r="BE936" s="48"/>
      <c r="BF936" s="48"/>
      <c r="BG936" s="48"/>
      <c r="BH936" s="48"/>
      <c r="BI936" s="48"/>
      <c r="BJ936" s="48"/>
      <c r="BK936" s="48"/>
      <c r="BL936" s="48"/>
      <c r="BM936" s="48"/>
      <c r="BN936" s="48"/>
      <c r="BO936" s="48"/>
      <c r="BP936" s="48"/>
      <c r="BQ936" s="48"/>
      <c r="BR936" s="48"/>
      <c r="BS936" s="48"/>
      <c r="BT936" s="48"/>
      <c r="BU936" s="48"/>
    </row>
    <row r="937" ht="15.75" customHeight="1">
      <c r="A937" s="48"/>
      <c r="B937" s="48"/>
      <c r="C937" s="48"/>
      <c r="D937" s="48"/>
      <c r="E937" s="27"/>
      <c r="F937" s="48"/>
      <c r="G937" s="48"/>
      <c r="H937" s="56"/>
      <c r="I937" s="56"/>
      <c r="J937" s="56"/>
      <c r="K937" s="56"/>
      <c r="L937" s="56"/>
      <c r="M937" s="56"/>
      <c r="N937" s="56"/>
      <c r="O937" s="56"/>
      <c r="P937" s="56"/>
      <c r="Q937" s="56"/>
      <c r="R937" s="56"/>
      <c r="S937" s="56"/>
      <c r="T937" s="56"/>
      <c r="U937" s="56"/>
      <c r="V937" s="56"/>
      <c r="W937" s="27"/>
      <c r="X937" s="56"/>
      <c r="Y937" s="27"/>
      <c r="Z937" s="56"/>
      <c r="AA937" s="27"/>
      <c r="AB937" s="56"/>
      <c r="AC937" s="27"/>
      <c r="AD937" s="56"/>
      <c r="AE937" s="27"/>
      <c r="AF937" s="56"/>
      <c r="AG937" s="27"/>
      <c r="AH937" s="286"/>
      <c r="AI937" s="27"/>
      <c r="AJ937" s="56"/>
      <c r="AK937" s="27"/>
      <c r="AL937" s="56"/>
      <c r="AM937" s="27"/>
      <c r="AN937" s="56"/>
      <c r="AO937" s="27"/>
      <c r="AP937" s="56"/>
      <c r="AQ937" s="27"/>
      <c r="AR937" s="56"/>
      <c r="AS937" s="27"/>
      <c r="AT937" s="56"/>
      <c r="AU937" s="27"/>
      <c r="AV937" s="56"/>
      <c r="AW937" s="27"/>
      <c r="AX937" s="56"/>
      <c r="AY937" s="27"/>
      <c r="AZ937" s="56"/>
      <c r="BA937" s="27"/>
      <c r="BB937" s="48"/>
      <c r="BC937" s="48"/>
      <c r="BD937" s="48"/>
      <c r="BE937" s="48"/>
      <c r="BF937" s="48"/>
      <c r="BG937" s="48"/>
      <c r="BH937" s="48"/>
      <c r="BI937" s="48"/>
      <c r="BJ937" s="48"/>
      <c r="BK937" s="48"/>
      <c r="BL937" s="48"/>
      <c r="BM937" s="48"/>
      <c r="BN937" s="48"/>
      <c r="BO937" s="48"/>
      <c r="BP937" s="48"/>
      <c r="BQ937" s="48"/>
      <c r="BR937" s="48"/>
      <c r="BS937" s="48"/>
      <c r="BT937" s="48"/>
      <c r="BU937" s="48"/>
    </row>
    <row r="938" ht="15.75" customHeight="1">
      <c r="A938" s="48"/>
      <c r="B938" s="48"/>
      <c r="C938" s="48"/>
      <c r="D938" s="48"/>
      <c r="E938" s="27"/>
      <c r="F938" s="48"/>
      <c r="G938" s="48"/>
      <c r="H938" s="56"/>
      <c r="I938" s="56"/>
      <c r="J938" s="56"/>
      <c r="K938" s="56"/>
      <c r="L938" s="56"/>
      <c r="M938" s="56"/>
      <c r="N938" s="56"/>
      <c r="O938" s="56"/>
      <c r="P938" s="56"/>
      <c r="Q938" s="56"/>
      <c r="R938" s="56"/>
      <c r="S938" s="56"/>
      <c r="T938" s="56"/>
      <c r="U938" s="56"/>
      <c r="V938" s="56"/>
      <c r="W938" s="27"/>
      <c r="X938" s="56"/>
      <c r="Y938" s="27"/>
      <c r="Z938" s="56"/>
      <c r="AA938" s="27"/>
      <c r="AB938" s="56"/>
      <c r="AC938" s="27"/>
      <c r="AD938" s="56"/>
      <c r="AE938" s="27"/>
      <c r="AF938" s="56"/>
      <c r="AG938" s="27"/>
      <c r="AH938" s="286"/>
      <c r="AI938" s="27"/>
      <c r="AJ938" s="56"/>
      <c r="AK938" s="27"/>
      <c r="AL938" s="56"/>
      <c r="AM938" s="27"/>
      <c r="AN938" s="56"/>
      <c r="AO938" s="27"/>
      <c r="AP938" s="56"/>
      <c r="AQ938" s="27"/>
      <c r="AR938" s="56"/>
      <c r="AS938" s="27"/>
      <c r="AT938" s="56"/>
      <c r="AU938" s="27"/>
      <c r="AV938" s="56"/>
      <c r="AW938" s="27"/>
      <c r="AX938" s="56"/>
      <c r="AY938" s="27"/>
      <c r="AZ938" s="56"/>
      <c r="BA938" s="27"/>
      <c r="BB938" s="48"/>
      <c r="BC938" s="48"/>
      <c r="BD938" s="48"/>
      <c r="BE938" s="48"/>
      <c r="BF938" s="48"/>
      <c r="BG938" s="48"/>
      <c r="BH938" s="48"/>
      <c r="BI938" s="48"/>
      <c r="BJ938" s="48"/>
      <c r="BK938" s="48"/>
      <c r="BL938" s="48"/>
      <c r="BM938" s="48"/>
      <c r="BN938" s="48"/>
      <c r="BO938" s="48"/>
      <c r="BP938" s="48"/>
      <c r="BQ938" s="48"/>
      <c r="BR938" s="48"/>
      <c r="BS938" s="48"/>
      <c r="BT938" s="48"/>
      <c r="BU938" s="48"/>
    </row>
    <row r="939" ht="15.75" customHeight="1">
      <c r="A939" s="48"/>
      <c r="B939" s="48"/>
      <c r="C939" s="48"/>
      <c r="D939" s="48"/>
      <c r="E939" s="27"/>
      <c r="F939" s="48"/>
      <c r="G939" s="48"/>
      <c r="H939" s="56"/>
      <c r="I939" s="56"/>
      <c r="J939" s="56"/>
      <c r="K939" s="56"/>
      <c r="L939" s="56"/>
      <c r="M939" s="56"/>
      <c r="N939" s="56"/>
      <c r="O939" s="56"/>
      <c r="P939" s="56"/>
      <c r="Q939" s="56"/>
      <c r="R939" s="56"/>
      <c r="S939" s="56"/>
      <c r="T939" s="56"/>
      <c r="U939" s="56"/>
      <c r="V939" s="56"/>
      <c r="W939" s="27"/>
      <c r="X939" s="56"/>
      <c r="Y939" s="27"/>
      <c r="Z939" s="56"/>
      <c r="AA939" s="27"/>
      <c r="AB939" s="56"/>
      <c r="AC939" s="27"/>
      <c r="AD939" s="56"/>
      <c r="AE939" s="27"/>
      <c r="AF939" s="56"/>
      <c r="AG939" s="27"/>
      <c r="AH939" s="286"/>
      <c r="AI939" s="27"/>
      <c r="AJ939" s="56"/>
      <c r="AK939" s="27"/>
      <c r="AL939" s="56"/>
      <c r="AM939" s="27"/>
      <c r="AN939" s="56"/>
      <c r="AO939" s="27"/>
      <c r="AP939" s="56"/>
      <c r="AQ939" s="27"/>
      <c r="AR939" s="56"/>
      <c r="AS939" s="27"/>
      <c r="AT939" s="56"/>
      <c r="AU939" s="27"/>
      <c r="AV939" s="56"/>
      <c r="AW939" s="27"/>
      <c r="AX939" s="56"/>
      <c r="AY939" s="27"/>
      <c r="AZ939" s="56"/>
      <c r="BA939" s="27"/>
      <c r="BB939" s="48"/>
      <c r="BC939" s="48"/>
      <c r="BD939" s="48"/>
      <c r="BE939" s="48"/>
      <c r="BF939" s="48"/>
      <c r="BG939" s="48"/>
      <c r="BH939" s="48"/>
      <c r="BI939" s="48"/>
      <c r="BJ939" s="48"/>
      <c r="BK939" s="48"/>
      <c r="BL939" s="48"/>
      <c r="BM939" s="48"/>
      <c r="BN939" s="48"/>
      <c r="BO939" s="48"/>
      <c r="BP939" s="48"/>
      <c r="BQ939" s="48"/>
      <c r="BR939" s="48"/>
      <c r="BS939" s="48"/>
      <c r="BT939" s="48"/>
      <c r="BU939" s="48"/>
    </row>
    <row r="940" ht="15.75" customHeight="1">
      <c r="A940" s="48"/>
      <c r="B940" s="48"/>
      <c r="C940" s="48"/>
      <c r="D940" s="48"/>
      <c r="E940" s="27"/>
      <c r="F940" s="48"/>
      <c r="G940" s="48"/>
      <c r="H940" s="56"/>
      <c r="I940" s="56"/>
      <c r="J940" s="56"/>
      <c r="K940" s="56"/>
      <c r="L940" s="56"/>
      <c r="M940" s="56"/>
      <c r="N940" s="56"/>
      <c r="O940" s="56"/>
      <c r="P940" s="56"/>
      <c r="Q940" s="56"/>
      <c r="R940" s="56"/>
      <c r="S940" s="56"/>
      <c r="T940" s="56"/>
      <c r="U940" s="56"/>
      <c r="V940" s="56"/>
      <c r="W940" s="27"/>
      <c r="X940" s="56"/>
      <c r="Y940" s="27"/>
      <c r="Z940" s="56"/>
      <c r="AA940" s="27"/>
      <c r="AB940" s="56"/>
      <c r="AC940" s="27"/>
      <c r="AD940" s="56"/>
      <c r="AE940" s="27"/>
      <c r="AF940" s="56"/>
      <c r="AG940" s="27"/>
      <c r="AH940" s="286"/>
      <c r="AI940" s="27"/>
      <c r="AJ940" s="56"/>
      <c r="AK940" s="27"/>
      <c r="AL940" s="56"/>
      <c r="AM940" s="27"/>
      <c r="AN940" s="56"/>
      <c r="AO940" s="27"/>
      <c r="AP940" s="56"/>
      <c r="AQ940" s="27"/>
      <c r="AR940" s="56"/>
      <c r="AS940" s="27"/>
      <c r="AT940" s="56"/>
      <c r="AU940" s="27"/>
      <c r="AV940" s="56"/>
      <c r="AW940" s="27"/>
      <c r="AX940" s="56"/>
      <c r="AY940" s="27"/>
      <c r="AZ940" s="56"/>
      <c r="BA940" s="27"/>
      <c r="BB940" s="48"/>
      <c r="BC940" s="48"/>
      <c r="BD940" s="48"/>
      <c r="BE940" s="48"/>
      <c r="BF940" s="48"/>
      <c r="BG940" s="48"/>
      <c r="BH940" s="48"/>
      <c r="BI940" s="48"/>
      <c r="BJ940" s="48"/>
      <c r="BK940" s="48"/>
      <c r="BL940" s="48"/>
      <c r="BM940" s="48"/>
      <c r="BN940" s="48"/>
      <c r="BO940" s="48"/>
      <c r="BP940" s="48"/>
      <c r="BQ940" s="48"/>
      <c r="BR940" s="48"/>
      <c r="BS940" s="48"/>
      <c r="BT940" s="48"/>
      <c r="BU940" s="48"/>
    </row>
    <row r="941" ht="15.75" customHeight="1">
      <c r="A941" s="48"/>
      <c r="B941" s="48"/>
      <c r="C941" s="48"/>
      <c r="D941" s="48"/>
      <c r="E941" s="27"/>
      <c r="F941" s="48"/>
      <c r="G941" s="48"/>
      <c r="H941" s="56"/>
      <c r="I941" s="56"/>
      <c r="J941" s="56"/>
      <c r="K941" s="56"/>
      <c r="L941" s="56"/>
      <c r="M941" s="56"/>
      <c r="N941" s="56"/>
      <c r="O941" s="56"/>
      <c r="P941" s="56"/>
      <c r="Q941" s="56"/>
      <c r="R941" s="56"/>
      <c r="S941" s="56"/>
      <c r="T941" s="56"/>
      <c r="U941" s="56"/>
      <c r="V941" s="56"/>
      <c r="W941" s="27"/>
      <c r="X941" s="56"/>
      <c r="Y941" s="27"/>
      <c r="Z941" s="56"/>
      <c r="AA941" s="27"/>
      <c r="AB941" s="56"/>
      <c r="AC941" s="27"/>
      <c r="AD941" s="56"/>
      <c r="AE941" s="27"/>
      <c r="AF941" s="56"/>
      <c r="AG941" s="27"/>
      <c r="AH941" s="286"/>
      <c r="AI941" s="27"/>
      <c r="AJ941" s="56"/>
      <c r="AK941" s="27"/>
      <c r="AL941" s="56"/>
      <c r="AM941" s="27"/>
      <c r="AN941" s="56"/>
      <c r="AO941" s="27"/>
      <c r="AP941" s="56"/>
      <c r="AQ941" s="27"/>
      <c r="AR941" s="56"/>
      <c r="AS941" s="27"/>
      <c r="AT941" s="56"/>
      <c r="AU941" s="27"/>
      <c r="AV941" s="56"/>
      <c r="AW941" s="27"/>
      <c r="AX941" s="56"/>
      <c r="AY941" s="27"/>
      <c r="AZ941" s="56"/>
      <c r="BA941" s="27"/>
      <c r="BB941" s="48"/>
      <c r="BC941" s="48"/>
      <c r="BD941" s="48"/>
      <c r="BE941" s="48"/>
      <c r="BF941" s="48"/>
      <c r="BG941" s="48"/>
      <c r="BH941" s="48"/>
      <c r="BI941" s="48"/>
      <c r="BJ941" s="48"/>
      <c r="BK941" s="48"/>
      <c r="BL941" s="48"/>
      <c r="BM941" s="48"/>
      <c r="BN941" s="48"/>
      <c r="BO941" s="48"/>
      <c r="BP941" s="48"/>
      <c r="BQ941" s="48"/>
      <c r="BR941" s="48"/>
      <c r="BS941" s="48"/>
      <c r="BT941" s="48"/>
      <c r="BU941" s="48"/>
    </row>
    <row r="942" ht="15.75" customHeight="1">
      <c r="A942" s="48"/>
      <c r="B942" s="48"/>
      <c r="C942" s="48"/>
      <c r="D942" s="48"/>
      <c r="E942" s="27"/>
      <c r="F942" s="48"/>
      <c r="G942" s="48"/>
      <c r="H942" s="56"/>
      <c r="I942" s="56"/>
      <c r="J942" s="56"/>
      <c r="K942" s="56"/>
      <c r="L942" s="56"/>
      <c r="M942" s="56"/>
      <c r="N942" s="56"/>
      <c r="O942" s="56"/>
      <c r="P942" s="56"/>
      <c r="Q942" s="56"/>
      <c r="R942" s="56"/>
      <c r="S942" s="56"/>
      <c r="T942" s="56"/>
      <c r="U942" s="56"/>
      <c r="V942" s="56"/>
      <c r="W942" s="27"/>
      <c r="X942" s="56"/>
      <c r="Y942" s="27"/>
      <c r="Z942" s="56"/>
      <c r="AA942" s="27"/>
      <c r="AB942" s="56"/>
      <c r="AC942" s="27"/>
      <c r="AD942" s="56"/>
      <c r="AE942" s="27"/>
      <c r="AF942" s="56"/>
      <c r="AG942" s="27"/>
      <c r="AH942" s="286"/>
      <c r="AI942" s="27"/>
      <c r="AJ942" s="56"/>
      <c r="AK942" s="27"/>
      <c r="AL942" s="56"/>
      <c r="AM942" s="27"/>
      <c r="AN942" s="56"/>
      <c r="AO942" s="27"/>
      <c r="AP942" s="56"/>
      <c r="AQ942" s="27"/>
      <c r="AR942" s="56"/>
      <c r="AS942" s="27"/>
      <c r="AT942" s="56"/>
      <c r="AU942" s="27"/>
      <c r="AV942" s="56"/>
      <c r="AW942" s="27"/>
      <c r="AX942" s="56"/>
      <c r="AY942" s="27"/>
      <c r="AZ942" s="56"/>
      <c r="BA942" s="27"/>
      <c r="BB942" s="48"/>
      <c r="BC942" s="48"/>
      <c r="BD942" s="48"/>
      <c r="BE942" s="48"/>
      <c r="BF942" s="48"/>
      <c r="BG942" s="48"/>
      <c r="BH942" s="48"/>
      <c r="BI942" s="48"/>
      <c r="BJ942" s="48"/>
      <c r="BK942" s="48"/>
      <c r="BL942" s="48"/>
      <c r="BM942" s="48"/>
      <c r="BN942" s="48"/>
      <c r="BO942" s="48"/>
      <c r="BP942" s="48"/>
      <c r="BQ942" s="48"/>
      <c r="BR942" s="48"/>
      <c r="BS942" s="48"/>
      <c r="BT942" s="48"/>
      <c r="BU942" s="48"/>
    </row>
    <row r="943" ht="15.75" customHeight="1">
      <c r="A943" s="48"/>
      <c r="B943" s="48"/>
      <c r="C943" s="48"/>
      <c r="D943" s="48"/>
      <c r="E943" s="27"/>
      <c r="F943" s="48"/>
      <c r="G943" s="48"/>
      <c r="H943" s="56"/>
      <c r="I943" s="56"/>
      <c r="J943" s="56"/>
      <c r="K943" s="56"/>
      <c r="L943" s="56"/>
      <c r="M943" s="56"/>
      <c r="N943" s="56"/>
      <c r="O943" s="56"/>
      <c r="P943" s="56"/>
      <c r="Q943" s="56"/>
      <c r="R943" s="56"/>
      <c r="S943" s="56"/>
      <c r="T943" s="56"/>
      <c r="U943" s="56"/>
      <c r="V943" s="56"/>
      <c r="W943" s="27"/>
      <c r="X943" s="56"/>
      <c r="Y943" s="27"/>
      <c r="Z943" s="56"/>
      <c r="AA943" s="27"/>
      <c r="AB943" s="56"/>
      <c r="AC943" s="27"/>
      <c r="AD943" s="56"/>
      <c r="AE943" s="27"/>
      <c r="AF943" s="56"/>
      <c r="AG943" s="27"/>
      <c r="AH943" s="286"/>
      <c r="AI943" s="27"/>
      <c r="AJ943" s="56"/>
      <c r="AK943" s="27"/>
      <c r="AL943" s="56"/>
      <c r="AM943" s="27"/>
      <c r="AN943" s="56"/>
      <c r="AO943" s="27"/>
      <c r="AP943" s="56"/>
      <c r="AQ943" s="27"/>
      <c r="AR943" s="56"/>
      <c r="AS943" s="27"/>
      <c r="AT943" s="56"/>
      <c r="AU943" s="27"/>
      <c r="AV943" s="56"/>
      <c r="AW943" s="27"/>
      <c r="AX943" s="56"/>
      <c r="AY943" s="27"/>
      <c r="AZ943" s="56"/>
      <c r="BA943" s="27"/>
      <c r="BB943" s="48"/>
      <c r="BC943" s="48"/>
      <c r="BD943" s="48"/>
      <c r="BE943" s="48"/>
      <c r="BF943" s="48"/>
      <c r="BG943" s="48"/>
      <c r="BH943" s="48"/>
      <c r="BI943" s="48"/>
      <c r="BJ943" s="48"/>
      <c r="BK943" s="48"/>
      <c r="BL943" s="48"/>
      <c r="BM943" s="48"/>
      <c r="BN943" s="48"/>
      <c r="BO943" s="48"/>
      <c r="BP943" s="48"/>
      <c r="BQ943" s="48"/>
      <c r="BR943" s="48"/>
      <c r="BS943" s="48"/>
      <c r="BT943" s="48"/>
      <c r="BU943" s="48"/>
    </row>
    <row r="944" ht="15.75" customHeight="1">
      <c r="A944" s="48"/>
      <c r="B944" s="48"/>
      <c r="C944" s="48"/>
      <c r="D944" s="48"/>
      <c r="E944" s="27"/>
      <c r="F944" s="48"/>
      <c r="G944" s="48"/>
      <c r="H944" s="56"/>
      <c r="I944" s="56"/>
      <c r="J944" s="56"/>
      <c r="K944" s="56"/>
      <c r="L944" s="56"/>
      <c r="M944" s="56"/>
      <c r="N944" s="56"/>
      <c r="O944" s="56"/>
      <c r="P944" s="56"/>
      <c r="Q944" s="56"/>
      <c r="R944" s="56"/>
      <c r="S944" s="56"/>
      <c r="T944" s="56"/>
      <c r="U944" s="56"/>
      <c r="V944" s="56"/>
      <c r="W944" s="27"/>
      <c r="X944" s="56"/>
      <c r="Y944" s="27"/>
      <c r="Z944" s="56"/>
      <c r="AA944" s="27"/>
      <c r="AB944" s="56"/>
      <c r="AC944" s="27"/>
      <c r="AD944" s="56"/>
      <c r="AE944" s="27"/>
      <c r="AF944" s="56"/>
      <c r="AG944" s="27"/>
      <c r="AH944" s="286"/>
      <c r="AI944" s="27"/>
      <c r="AJ944" s="56"/>
      <c r="AK944" s="27"/>
      <c r="AL944" s="56"/>
      <c r="AM944" s="27"/>
      <c r="AN944" s="56"/>
      <c r="AO944" s="27"/>
      <c r="AP944" s="56"/>
      <c r="AQ944" s="27"/>
      <c r="AR944" s="56"/>
      <c r="AS944" s="27"/>
      <c r="AT944" s="56"/>
      <c r="AU944" s="27"/>
      <c r="AV944" s="56"/>
      <c r="AW944" s="27"/>
      <c r="AX944" s="56"/>
      <c r="AY944" s="27"/>
      <c r="AZ944" s="56"/>
      <c r="BA944" s="27"/>
      <c r="BB944" s="48"/>
      <c r="BC944" s="48"/>
      <c r="BD944" s="48"/>
      <c r="BE944" s="48"/>
      <c r="BF944" s="48"/>
      <c r="BG944" s="48"/>
      <c r="BH944" s="48"/>
      <c r="BI944" s="48"/>
      <c r="BJ944" s="48"/>
      <c r="BK944" s="48"/>
      <c r="BL944" s="48"/>
      <c r="BM944" s="48"/>
      <c r="BN944" s="48"/>
      <c r="BO944" s="48"/>
      <c r="BP944" s="48"/>
      <c r="BQ944" s="48"/>
      <c r="BR944" s="48"/>
      <c r="BS944" s="48"/>
      <c r="BT944" s="48"/>
      <c r="BU944" s="48"/>
    </row>
    <row r="945" ht="15.75" customHeight="1">
      <c r="A945" s="48"/>
      <c r="B945" s="48"/>
      <c r="C945" s="48"/>
      <c r="D945" s="48"/>
      <c r="E945" s="27"/>
      <c r="F945" s="48"/>
      <c r="G945" s="48"/>
      <c r="H945" s="56"/>
      <c r="I945" s="56"/>
      <c r="J945" s="56"/>
      <c r="K945" s="56"/>
      <c r="L945" s="56"/>
      <c r="M945" s="56"/>
      <c r="N945" s="56"/>
      <c r="O945" s="56"/>
      <c r="P945" s="56"/>
      <c r="Q945" s="56"/>
      <c r="R945" s="56"/>
      <c r="S945" s="56"/>
      <c r="T945" s="56"/>
      <c r="U945" s="56"/>
      <c r="V945" s="56"/>
      <c r="W945" s="27"/>
      <c r="X945" s="56"/>
      <c r="Y945" s="27"/>
      <c r="Z945" s="56"/>
      <c r="AA945" s="27"/>
      <c r="AB945" s="56"/>
      <c r="AC945" s="27"/>
      <c r="AD945" s="56"/>
      <c r="AE945" s="27"/>
      <c r="AF945" s="56"/>
      <c r="AG945" s="27"/>
      <c r="AH945" s="286"/>
      <c r="AI945" s="27"/>
      <c r="AJ945" s="56"/>
      <c r="AK945" s="27"/>
      <c r="AL945" s="56"/>
      <c r="AM945" s="27"/>
      <c r="AN945" s="56"/>
      <c r="AO945" s="27"/>
      <c r="AP945" s="56"/>
      <c r="AQ945" s="27"/>
      <c r="AR945" s="56"/>
      <c r="AS945" s="27"/>
      <c r="AT945" s="56"/>
      <c r="AU945" s="27"/>
      <c r="AV945" s="56"/>
      <c r="AW945" s="27"/>
      <c r="AX945" s="56"/>
      <c r="AY945" s="27"/>
      <c r="AZ945" s="56"/>
      <c r="BA945" s="27"/>
      <c r="BB945" s="48"/>
      <c r="BC945" s="48"/>
      <c r="BD945" s="48"/>
      <c r="BE945" s="48"/>
      <c r="BF945" s="48"/>
      <c r="BG945" s="48"/>
      <c r="BH945" s="48"/>
      <c r="BI945" s="48"/>
      <c r="BJ945" s="48"/>
      <c r="BK945" s="48"/>
      <c r="BL945" s="48"/>
      <c r="BM945" s="48"/>
      <c r="BN945" s="48"/>
      <c r="BO945" s="48"/>
      <c r="BP945" s="48"/>
      <c r="BQ945" s="48"/>
      <c r="BR945" s="48"/>
      <c r="BS945" s="48"/>
      <c r="BT945" s="48"/>
      <c r="BU945" s="48"/>
    </row>
    <row r="946" ht="15.75" customHeight="1">
      <c r="A946" s="48"/>
      <c r="B946" s="48"/>
      <c r="C946" s="48"/>
      <c r="D946" s="48"/>
      <c r="E946" s="27"/>
      <c r="F946" s="48"/>
      <c r="G946" s="48"/>
      <c r="H946" s="56"/>
      <c r="I946" s="56"/>
      <c r="J946" s="56"/>
      <c r="K946" s="56"/>
      <c r="L946" s="56"/>
      <c r="M946" s="56"/>
      <c r="N946" s="56"/>
      <c r="O946" s="56"/>
      <c r="P946" s="56"/>
      <c r="Q946" s="56"/>
      <c r="R946" s="56"/>
      <c r="S946" s="56"/>
      <c r="T946" s="56"/>
      <c r="U946" s="56"/>
      <c r="V946" s="56"/>
      <c r="W946" s="27"/>
      <c r="X946" s="56"/>
      <c r="Y946" s="27"/>
      <c r="Z946" s="56"/>
      <c r="AA946" s="27"/>
      <c r="AB946" s="56"/>
      <c r="AC946" s="27"/>
      <c r="AD946" s="56"/>
      <c r="AE946" s="27"/>
      <c r="AF946" s="56"/>
      <c r="AG946" s="27"/>
      <c r="AH946" s="286"/>
      <c r="AI946" s="27"/>
      <c r="AJ946" s="56"/>
      <c r="AK946" s="27"/>
      <c r="AL946" s="56"/>
      <c r="AM946" s="27"/>
      <c r="AN946" s="56"/>
      <c r="AO946" s="27"/>
      <c r="AP946" s="56"/>
      <c r="AQ946" s="27"/>
      <c r="AR946" s="56"/>
      <c r="AS946" s="27"/>
      <c r="AT946" s="56"/>
      <c r="AU946" s="27"/>
      <c r="AV946" s="56"/>
      <c r="AW946" s="27"/>
      <c r="AX946" s="56"/>
      <c r="AY946" s="27"/>
      <c r="AZ946" s="56"/>
      <c r="BA946" s="27"/>
      <c r="BB946" s="48"/>
      <c r="BC946" s="48"/>
      <c r="BD946" s="48"/>
      <c r="BE946" s="48"/>
      <c r="BF946" s="48"/>
      <c r="BG946" s="48"/>
      <c r="BH946" s="48"/>
      <c r="BI946" s="48"/>
      <c r="BJ946" s="48"/>
      <c r="BK946" s="48"/>
      <c r="BL946" s="48"/>
      <c r="BM946" s="48"/>
      <c r="BN946" s="48"/>
      <c r="BO946" s="48"/>
      <c r="BP946" s="48"/>
      <c r="BQ946" s="48"/>
      <c r="BR946" s="48"/>
      <c r="BS946" s="48"/>
      <c r="BT946" s="48"/>
      <c r="BU946" s="48"/>
    </row>
    <row r="947" ht="15.75" customHeight="1">
      <c r="A947" s="48"/>
      <c r="B947" s="48"/>
      <c r="C947" s="48"/>
      <c r="D947" s="48"/>
      <c r="E947" s="27"/>
      <c r="F947" s="48"/>
      <c r="G947" s="48"/>
      <c r="H947" s="56"/>
      <c r="I947" s="56"/>
      <c r="J947" s="56"/>
      <c r="K947" s="56"/>
      <c r="L947" s="56"/>
      <c r="M947" s="56"/>
      <c r="N947" s="56"/>
      <c r="O947" s="56"/>
      <c r="P947" s="56"/>
      <c r="Q947" s="56"/>
      <c r="R947" s="56"/>
      <c r="S947" s="56"/>
      <c r="T947" s="56"/>
      <c r="U947" s="56"/>
      <c r="V947" s="56"/>
      <c r="W947" s="27"/>
      <c r="X947" s="56"/>
      <c r="Y947" s="27"/>
      <c r="Z947" s="56"/>
      <c r="AA947" s="27"/>
      <c r="AB947" s="56"/>
      <c r="AC947" s="27"/>
      <c r="AD947" s="56"/>
      <c r="AE947" s="27"/>
      <c r="AF947" s="56"/>
      <c r="AG947" s="27"/>
      <c r="AH947" s="286"/>
      <c r="AI947" s="27"/>
      <c r="AJ947" s="56"/>
      <c r="AK947" s="27"/>
      <c r="AL947" s="56"/>
      <c r="AM947" s="27"/>
      <c r="AN947" s="56"/>
      <c r="AO947" s="27"/>
      <c r="AP947" s="56"/>
      <c r="AQ947" s="27"/>
      <c r="AR947" s="56"/>
      <c r="AS947" s="27"/>
      <c r="AT947" s="56"/>
      <c r="AU947" s="27"/>
      <c r="AV947" s="56"/>
      <c r="AW947" s="27"/>
      <c r="AX947" s="56"/>
      <c r="AY947" s="27"/>
      <c r="AZ947" s="56"/>
      <c r="BA947" s="27"/>
      <c r="BB947" s="48"/>
      <c r="BC947" s="48"/>
      <c r="BD947" s="48"/>
      <c r="BE947" s="48"/>
      <c r="BF947" s="48"/>
      <c r="BG947" s="48"/>
      <c r="BH947" s="48"/>
      <c r="BI947" s="48"/>
      <c r="BJ947" s="48"/>
      <c r="BK947" s="48"/>
      <c r="BL947" s="48"/>
      <c r="BM947" s="48"/>
      <c r="BN947" s="48"/>
      <c r="BO947" s="48"/>
      <c r="BP947" s="48"/>
      <c r="BQ947" s="48"/>
      <c r="BR947" s="48"/>
      <c r="BS947" s="48"/>
      <c r="BT947" s="48"/>
      <c r="BU947" s="48"/>
    </row>
    <row r="948" ht="15.75" customHeight="1">
      <c r="A948" s="48"/>
      <c r="B948" s="48"/>
      <c r="C948" s="48"/>
      <c r="D948" s="48"/>
      <c r="E948" s="27"/>
      <c r="F948" s="48"/>
      <c r="G948" s="48"/>
      <c r="H948" s="56"/>
      <c r="I948" s="56"/>
      <c r="J948" s="56"/>
      <c r="K948" s="56"/>
      <c r="L948" s="56"/>
      <c r="M948" s="56"/>
      <c r="N948" s="56"/>
      <c r="O948" s="56"/>
      <c r="P948" s="56"/>
      <c r="Q948" s="56"/>
      <c r="R948" s="56"/>
      <c r="S948" s="56"/>
      <c r="T948" s="56"/>
      <c r="U948" s="56"/>
      <c r="V948" s="56"/>
      <c r="W948" s="27"/>
      <c r="X948" s="56"/>
      <c r="Y948" s="27"/>
      <c r="Z948" s="56"/>
      <c r="AA948" s="27"/>
      <c r="AB948" s="56"/>
      <c r="AC948" s="27"/>
      <c r="AD948" s="56"/>
      <c r="AE948" s="27"/>
      <c r="AF948" s="56"/>
      <c r="AG948" s="27"/>
      <c r="AH948" s="286"/>
      <c r="AI948" s="27"/>
      <c r="AJ948" s="56"/>
      <c r="AK948" s="27"/>
      <c r="AL948" s="56"/>
      <c r="AM948" s="27"/>
      <c r="AN948" s="56"/>
      <c r="AO948" s="27"/>
      <c r="AP948" s="56"/>
      <c r="AQ948" s="27"/>
      <c r="AR948" s="56"/>
      <c r="AS948" s="27"/>
      <c r="AT948" s="56"/>
      <c r="AU948" s="27"/>
      <c r="AV948" s="56"/>
      <c r="AW948" s="27"/>
      <c r="AX948" s="56"/>
      <c r="AY948" s="27"/>
      <c r="AZ948" s="56"/>
      <c r="BA948" s="27"/>
      <c r="BB948" s="48"/>
      <c r="BC948" s="48"/>
      <c r="BD948" s="48"/>
      <c r="BE948" s="48"/>
      <c r="BF948" s="48"/>
      <c r="BG948" s="48"/>
      <c r="BH948" s="48"/>
      <c r="BI948" s="48"/>
      <c r="BJ948" s="48"/>
      <c r="BK948" s="48"/>
      <c r="BL948" s="48"/>
      <c r="BM948" s="48"/>
      <c r="BN948" s="48"/>
      <c r="BO948" s="48"/>
      <c r="BP948" s="48"/>
      <c r="BQ948" s="48"/>
      <c r="BR948" s="48"/>
      <c r="BS948" s="48"/>
      <c r="BT948" s="48"/>
      <c r="BU948" s="48"/>
    </row>
    <row r="949" ht="15.75" customHeight="1">
      <c r="A949" s="48"/>
      <c r="B949" s="48"/>
      <c r="C949" s="48"/>
      <c r="D949" s="48"/>
      <c r="E949" s="27"/>
      <c r="F949" s="48"/>
      <c r="G949" s="48"/>
      <c r="H949" s="56"/>
      <c r="I949" s="56"/>
      <c r="J949" s="56"/>
      <c r="K949" s="56"/>
      <c r="L949" s="56"/>
      <c r="M949" s="56"/>
      <c r="N949" s="56"/>
      <c r="O949" s="56"/>
      <c r="P949" s="56"/>
      <c r="Q949" s="56"/>
      <c r="R949" s="56"/>
      <c r="S949" s="56"/>
      <c r="T949" s="56"/>
      <c r="U949" s="56"/>
      <c r="V949" s="56"/>
      <c r="W949" s="27"/>
      <c r="X949" s="56"/>
      <c r="Y949" s="27"/>
      <c r="Z949" s="56"/>
      <c r="AA949" s="27"/>
      <c r="AB949" s="56"/>
      <c r="AC949" s="27"/>
      <c r="AD949" s="56"/>
      <c r="AE949" s="27"/>
      <c r="AF949" s="56"/>
      <c r="AG949" s="27"/>
      <c r="AH949" s="286"/>
      <c r="AI949" s="27"/>
      <c r="AJ949" s="56"/>
      <c r="AK949" s="27"/>
      <c r="AL949" s="56"/>
      <c r="AM949" s="27"/>
      <c r="AN949" s="56"/>
      <c r="AO949" s="27"/>
      <c r="AP949" s="56"/>
      <c r="AQ949" s="27"/>
      <c r="AR949" s="56"/>
      <c r="AS949" s="27"/>
      <c r="AT949" s="56"/>
      <c r="AU949" s="27"/>
      <c r="AV949" s="56"/>
      <c r="AW949" s="27"/>
      <c r="AX949" s="56"/>
      <c r="AY949" s="27"/>
      <c r="AZ949" s="56"/>
      <c r="BA949" s="27"/>
      <c r="BB949" s="48"/>
      <c r="BC949" s="48"/>
      <c r="BD949" s="48"/>
      <c r="BE949" s="48"/>
      <c r="BF949" s="48"/>
      <c r="BG949" s="48"/>
      <c r="BH949" s="48"/>
      <c r="BI949" s="48"/>
      <c r="BJ949" s="48"/>
      <c r="BK949" s="48"/>
      <c r="BL949" s="48"/>
      <c r="BM949" s="48"/>
      <c r="BN949" s="48"/>
      <c r="BO949" s="48"/>
      <c r="BP949" s="48"/>
      <c r="BQ949" s="48"/>
      <c r="BR949" s="48"/>
      <c r="BS949" s="48"/>
      <c r="BT949" s="48"/>
      <c r="BU949" s="48"/>
    </row>
    <row r="950" ht="15.75" customHeight="1">
      <c r="A950" s="48"/>
      <c r="B950" s="48"/>
      <c r="C950" s="48"/>
      <c r="D950" s="48"/>
      <c r="E950" s="27"/>
      <c r="F950" s="48"/>
      <c r="G950" s="48"/>
      <c r="H950" s="56"/>
      <c r="I950" s="56"/>
      <c r="J950" s="56"/>
      <c r="K950" s="56"/>
      <c r="L950" s="56"/>
      <c r="M950" s="56"/>
      <c r="N950" s="56"/>
      <c r="O950" s="56"/>
      <c r="P950" s="56"/>
      <c r="Q950" s="56"/>
      <c r="R950" s="56"/>
      <c r="S950" s="56"/>
      <c r="T950" s="56"/>
      <c r="U950" s="56"/>
      <c r="V950" s="56"/>
      <c r="W950" s="27"/>
      <c r="X950" s="56"/>
      <c r="Y950" s="27"/>
      <c r="Z950" s="56"/>
      <c r="AA950" s="27"/>
      <c r="AB950" s="56"/>
      <c r="AC950" s="27"/>
      <c r="AD950" s="56"/>
      <c r="AE950" s="27"/>
      <c r="AF950" s="56"/>
      <c r="AG950" s="27"/>
      <c r="AH950" s="286"/>
      <c r="AI950" s="27"/>
      <c r="AJ950" s="56"/>
      <c r="AK950" s="27"/>
      <c r="AL950" s="56"/>
      <c r="AM950" s="27"/>
      <c r="AN950" s="56"/>
      <c r="AO950" s="27"/>
      <c r="AP950" s="56"/>
      <c r="AQ950" s="27"/>
      <c r="AR950" s="56"/>
      <c r="AS950" s="27"/>
      <c r="AT950" s="56"/>
      <c r="AU950" s="27"/>
      <c r="AV950" s="56"/>
      <c r="AW950" s="27"/>
      <c r="AX950" s="56"/>
      <c r="AY950" s="27"/>
      <c r="AZ950" s="56"/>
      <c r="BA950" s="27"/>
      <c r="BB950" s="48"/>
      <c r="BC950" s="48"/>
      <c r="BD950" s="48"/>
      <c r="BE950" s="48"/>
      <c r="BF950" s="48"/>
      <c r="BG950" s="48"/>
      <c r="BH950" s="48"/>
      <c r="BI950" s="48"/>
      <c r="BJ950" s="48"/>
      <c r="BK950" s="48"/>
      <c r="BL950" s="48"/>
      <c r="BM950" s="48"/>
      <c r="BN950" s="48"/>
      <c r="BO950" s="48"/>
      <c r="BP950" s="48"/>
      <c r="BQ950" s="48"/>
      <c r="BR950" s="48"/>
      <c r="BS950" s="48"/>
      <c r="BT950" s="48"/>
      <c r="BU950" s="48"/>
    </row>
    <row r="951" ht="15.75" customHeight="1">
      <c r="A951" s="48"/>
      <c r="B951" s="48"/>
      <c r="C951" s="48"/>
      <c r="D951" s="48"/>
      <c r="E951" s="27"/>
      <c r="F951" s="48"/>
      <c r="G951" s="48"/>
      <c r="H951" s="56"/>
      <c r="I951" s="56"/>
      <c r="J951" s="56"/>
      <c r="K951" s="56"/>
      <c r="L951" s="56"/>
      <c r="M951" s="56"/>
      <c r="N951" s="56"/>
      <c r="O951" s="56"/>
      <c r="P951" s="56"/>
      <c r="Q951" s="56"/>
      <c r="R951" s="56"/>
      <c r="S951" s="56"/>
      <c r="T951" s="56"/>
      <c r="U951" s="56"/>
      <c r="V951" s="56"/>
      <c r="W951" s="27"/>
      <c r="X951" s="56"/>
      <c r="Y951" s="27"/>
      <c r="Z951" s="56"/>
      <c r="AA951" s="27"/>
      <c r="AB951" s="56"/>
      <c r="AC951" s="27"/>
      <c r="AD951" s="56"/>
      <c r="AE951" s="27"/>
      <c r="AF951" s="56"/>
      <c r="AG951" s="27"/>
      <c r="AH951" s="286"/>
      <c r="AI951" s="27"/>
      <c r="AJ951" s="56"/>
      <c r="AK951" s="27"/>
      <c r="AL951" s="56"/>
      <c r="AM951" s="27"/>
      <c r="AN951" s="56"/>
      <c r="AO951" s="27"/>
      <c r="AP951" s="56"/>
      <c r="AQ951" s="27"/>
      <c r="AR951" s="56"/>
      <c r="AS951" s="27"/>
      <c r="AT951" s="56"/>
      <c r="AU951" s="27"/>
      <c r="AV951" s="56"/>
      <c r="AW951" s="27"/>
      <c r="AX951" s="56"/>
      <c r="AY951" s="27"/>
      <c r="AZ951" s="56"/>
      <c r="BA951" s="27"/>
      <c r="BB951" s="48"/>
      <c r="BC951" s="48"/>
      <c r="BD951" s="48"/>
      <c r="BE951" s="48"/>
      <c r="BF951" s="48"/>
      <c r="BG951" s="48"/>
      <c r="BH951" s="48"/>
      <c r="BI951" s="48"/>
      <c r="BJ951" s="48"/>
      <c r="BK951" s="48"/>
      <c r="BL951" s="48"/>
      <c r="BM951" s="48"/>
      <c r="BN951" s="48"/>
      <c r="BO951" s="48"/>
      <c r="BP951" s="48"/>
      <c r="BQ951" s="48"/>
      <c r="BR951" s="48"/>
      <c r="BS951" s="48"/>
      <c r="BT951" s="48"/>
      <c r="BU951" s="48"/>
    </row>
    <row r="952" ht="15.75" customHeight="1">
      <c r="A952" s="48"/>
      <c r="B952" s="48"/>
      <c r="C952" s="48"/>
      <c r="D952" s="48"/>
      <c r="E952" s="27"/>
      <c r="F952" s="48"/>
      <c r="G952" s="48"/>
      <c r="H952" s="56"/>
      <c r="I952" s="56"/>
      <c r="J952" s="56"/>
      <c r="K952" s="56"/>
      <c r="L952" s="56"/>
      <c r="M952" s="56"/>
      <c r="N952" s="56"/>
      <c r="O952" s="56"/>
      <c r="P952" s="56"/>
      <c r="Q952" s="56"/>
      <c r="R952" s="56"/>
      <c r="S952" s="56"/>
      <c r="T952" s="56"/>
      <c r="U952" s="56"/>
      <c r="V952" s="56"/>
      <c r="W952" s="27"/>
      <c r="X952" s="56"/>
      <c r="Y952" s="27"/>
      <c r="Z952" s="56"/>
      <c r="AA952" s="27"/>
      <c r="AB952" s="56"/>
      <c r="AC952" s="27"/>
      <c r="AD952" s="56"/>
      <c r="AE952" s="27"/>
      <c r="AF952" s="56"/>
      <c r="AG952" s="27"/>
      <c r="AH952" s="286"/>
      <c r="AI952" s="27"/>
      <c r="AJ952" s="56"/>
      <c r="AK952" s="27"/>
      <c r="AL952" s="56"/>
      <c r="AM952" s="27"/>
      <c r="AN952" s="56"/>
      <c r="AO952" s="27"/>
      <c r="AP952" s="56"/>
      <c r="AQ952" s="27"/>
      <c r="AR952" s="56"/>
      <c r="AS952" s="27"/>
      <c r="AT952" s="56"/>
      <c r="AU952" s="27"/>
      <c r="AV952" s="56"/>
      <c r="AW952" s="27"/>
      <c r="AX952" s="56"/>
      <c r="AY952" s="27"/>
      <c r="AZ952" s="56"/>
      <c r="BA952" s="27"/>
      <c r="BB952" s="48"/>
      <c r="BC952" s="48"/>
      <c r="BD952" s="48"/>
      <c r="BE952" s="48"/>
      <c r="BF952" s="48"/>
      <c r="BG952" s="48"/>
      <c r="BH952" s="48"/>
      <c r="BI952" s="48"/>
      <c r="BJ952" s="48"/>
      <c r="BK952" s="48"/>
      <c r="BL952" s="48"/>
      <c r="BM952" s="48"/>
      <c r="BN952" s="48"/>
      <c r="BO952" s="48"/>
      <c r="BP952" s="48"/>
      <c r="BQ952" s="48"/>
      <c r="BR952" s="48"/>
      <c r="BS952" s="48"/>
      <c r="BT952" s="48"/>
      <c r="BU952" s="48"/>
    </row>
    <row r="953" ht="15.75" customHeight="1">
      <c r="A953" s="48"/>
      <c r="B953" s="48"/>
      <c r="C953" s="48"/>
      <c r="D953" s="48"/>
      <c r="E953" s="27"/>
      <c r="F953" s="48"/>
      <c r="G953" s="48"/>
      <c r="H953" s="56"/>
      <c r="I953" s="56"/>
      <c r="J953" s="56"/>
      <c r="K953" s="56"/>
      <c r="L953" s="56"/>
      <c r="M953" s="56"/>
      <c r="N953" s="56"/>
      <c r="O953" s="56"/>
      <c r="P953" s="56"/>
      <c r="Q953" s="56"/>
      <c r="R953" s="56"/>
      <c r="S953" s="56"/>
      <c r="T953" s="56"/>
      <c r="U953" s="56"/>
      <c r="V953" s="56"/>
      <c r="W953" s="27"/>
      <c r="X953" s="56"/>
      <c r="Y953" s="27"/>
      <c r="Z953" s="56"/>
      <c r="AA953" s="27"/>
      <c r="AB953" s="56"/>
      <c r="AC953" s="27"/>
      <c r="AD953" s="56"/>
      <c r="AE953" s="27"/>
      <c r="AF953" s="56"/>
      <c r="AG953" s="27"/>
      <c r="AH953" s="286"/>
      <c r="AI953" s="27"/>
      <c r="AJ953" s="56"/>
      <c r="AK953" s="27"/>
      <c r="AL953" s="56"/>
      <c r="AM953" s="27"/>
      <c r="AN953" s="56"/>
      <c r="AO953" s="27"/>
      <c r="AP953" s="56"/>
      <c r="AQ953" s="27"/>
      <c r="AR953" s="56"/>
      <c r="AS953" s="27"/>
      <c r="AT953" s="56"/>
      <c r="AU953" s="27"/>
      <c r="AV953" s="56"/>
      <c r="AW953" s="27"/>
      <c r="AX953" s="56"/>
      <c r="AY953" s="27"/>
      <c r="AZ953" s="56"/>
      <c r="BA953" s="27"/>
      <c r="BB953" s="48"/>
      <c r="BC953" s="48"/>
      <c r="BD953" s="48"/>
      <c r="BE953" s="48"/>
      <c r="BF953" s="48"/>
      <c r="BG953" s="48"/>
      <c r="BH953" s="48"/>
      <c r="BI953" s="48"/>
      <c r="BJ953" s="48"/>
      <c r="BK953" s="48"/>
      <c r="BL953" s="48"/>
      <c r="BM953" s="48"/>
      <c r="BN953" s="48"/>
      <c r="BO953" s="48"/>
      <c r="BP953" s="48"/>
      <c r="BQ953" s="48"/>
      <c r="BR953" s="48"/>
      <c r="BS953" s="48"/>
      <c r="BT953" s="48"/>
      <c r="BU953" s="48"/>
    </row>
    <row r="954" ht="15.75" customHeight="1">
      <c r="A954" s="48"/>
      <c r="B954" s="48"/>
      <c r="C954" s="48"/>
      <c r="D954" s="48"/>
      <c r="E954" s="27"/>
      <c r="F954" s="48"/>
      <c r="G954" s="48"/>
      <c r="H954" s="56"/>
      <c r="I954" s="56"/>
      <c r="J954" s="56"/>
      <c r="K954" s="56"/>
      <c r="L954" s="56"/>
      <c r="M954" s="56"/>
      <c r="N954" s="56"/>
      <c r="O954" s="56"/>
      <c r="P954" s="56"/>
      <c r="Q954" s="56"/>
      <c r="R954" s="56"/>
      <c r="S954" s="56"/>
      <c r="T954" s="56"/>
      <c r="U954" s="56"/>
      <c r="V954" s="56"/>
      <c r="W954" s="27"/>
      <c r="X954" s="56"/>
      <c r="Y954" s="27"/>
      <c r="Z954" s="56"/>
      <c r="AA954" s="27"/>
      <c r="AB954" s="56"/>
      <c r="AC954" s="27"/>
      <c r="AD954" s="56"/>
      <c r="AE954" s="27"/>
      <c r="AF954" s="56"/>
      <c r="AG954" s="27"/>
      <c r="AH954" s="286"/>
      <c r="AI954" s="27"/>
      <c r="AJ954" s="56"/>
      <c r="AK954" s="27"/>
      <c r="AL954" s="56"/>
      <c r="AM954" s="27"/>
      <c r="AN954" s="56"/>
      <c r="AO954" s="27"/>
      <c r="AP954" s="56"/>
      <c r="AQ954" s="27"/>
      <c r="AR954" s="56"/>
      <c r="AS954" s="27"/>
      <c r="AT954" s="56"/>
      <c r="AU954" s="27"/>
      <c r="AV954" s="56"/>
      <c r="AW954" s="27"/>
      <c r="AX954" s="56"/>
      <c r="AY954" s="27"/>
      <c r="AZ954" s="56"/>
      <c r="BA954" s="27"/>
      <c r="BB954" s="48"/>
      <c r="BC954" s="48"/>
      <c r="BD954" s="48"/>
      <c r="BE954" s="48"/>
      <c r="BF954" s="48"/>
      <c r="BG954" s="48"/>
      <c r="BH954" s="48"/>
      <c r="BI954" s="48"/>
      <c r="BJ954" s="48"/>
      <c r="BK954" s="48"/>
      <c r="BL954" s="48"/>
      <c r="BM954" s="48"/>
      <c r="BN954" s="48"/>
      <c r="BO954" s="48"/>
      <c r="BP954" s="48"/>
      <c r="BQ954" s="48"/>
      <c r="BR954" s="48"/>
      <c r="BS954" s="48"/>
      <c r="BT954" s="48"/>
      <c r="BU954" s="48"/>
    </row>
    <row r="955" ht="15.75" customHeight="1">
      <c r="A955" s="48"/>
      <c r="B955" s="48"/>
      <c r="C955" s="48"/>
      <c r="D955" s="48"/>
      <c r="E955" s="27"/>
      <c r="F955" s="48"/>
      <c r="G955" s="48"/>
      <c r="H955" s="56"/>
      <c r="I955" s="56"/>
      <c r="J955" s="56"/>
      <c r="K955" s="56"/>
      <c r="L955" s="56"/>
      <c r="M955" s="56"/>
      <c r="N955" s="56"/>
      <c r="O955" s="56"/>
      <c r="P955" s="56"/>
      <c r="Q955" s="56"/>
      <c r="R955" s="56"/>
      <c r="S955" s="56"/>
      <c r="T955" s="56"/>
      <c r="U955" s="56"/>
      <c r="V955" s="56"/>
      <c r="W955" s="27"/>
      <c r="X955" s="56"/>
      <c r="Y955" s="27"/>
      <c r="Z955" s="56"/>
      <c r="AA955" s="27"/>
      <c r="AB955" s="56"/>
      <c r="AC955" s="27"/>
      <c r="AD955" s="56"/>
      <c r="AE955" s="27"/>
      <c r="AF955" s="56"/>
      <c r="AG955" s="27"/>
      <c r="AH955" s="286"/>
      <c r="AI955" s="27"/>
      <c r="AJ955" s="56"/>
      <c r="AK955" s="27"/>
      <c r="AL955" s="56"/>
      <c r="AM955" s="27"/>
      <c r="AN955" s="56"/>
      <c r="AO955" s="27"/>
      <c r="AP955" s="56"/>
      <c r="AQ955" s="27"/>
      <c r="AR955" s="56"/>
      <c r="AS955" s="27"/>
      <c r="AT955" s="56"/>
      <c r="AU955" s="27"/>
      <c r="AV955" s="56"/>
      <c r="AW955" s="27"/>
      <c r="AX955" s="56"/>
      <c r="AY955" s="27"/>
      <c r="AZ955" s="56"/>
      <c r="BA955" s="27"/>
      <c r="BB955" s="48"/>
      <c r="BC955" s="48"/>
      <c r="BD955" s="48"/>
      <c r="BE955" s="48"/>
      <c r="BF955" s="48"/>
      <c r="BG955" s="48"/>
      <c r="BH955" s="48"/>
      <c r="BI955" s="48"/>
      <c r="BJ955" s="48"/>
      <c r="BK955" s="48"/>
      <c r="BL955" s="48"/>
      <c r="BM955" s="48"/>
      <c r="BN955" s="48"/>
      <c r="BO955" s="48"/>
      <c r="BP955" s="48"/>
      <c r="BQ955" s="48"/>
      <c r="BR955" s="48"/>
      <c r="BS955" s="48"/>
      <c r="BT955" s="48"/>
      <c r="BU955" s="48"/>
    </row>
    <row r="956" ht="15.75" customHeight="1">
      <c r="A956" s="48"/>
      <c r="B956" s="48"/>
      <c r="C956" s="48"/>
      <c r="D956" s="48"/>
      <c r="E956" s="27"/>
      <c r="F956" s="48"/>
      <c r="G956" s="48"/>
      <c r="H956" s="56"/>
      <c r="I956" s="56"/>
      <c r="J956" s="56"/>
      <c r="K956" s="56"/>
      <c r="L956" s="56"/>
      <c r="M956" s="56"/>
      <c r="N956" s="56"/>
      <c r="O956" s="56"/>
      <c r="P956" s="56"/>
      <c r="Q956" s="56"/>
      <c r="R956" s="56"/>
      <c r="S956" s="56"/>
      <c r="T956" s="56"/>
      <c r="U956" s="56"/>
      <c r="V956" s="56"/>
      <c r="W956" s="27"/>
      <c r="X956" s="56"/>
      <c r="Y956" s="27"/>
      <c r="Z956" s="56"/>
      <c r="AA956" s="27"/>
      <c r="AB956" s="56"/>
      <c r="AC956" s="27"/>
      <c r="AD956" s="56"/>
      <c r="AE956" s="27"/>
      <c r="AF956" s="56"/>
      <c r="AG956" s="27"/>
      <c r="AH956" s="286"/>
      <c r="AI956" s="27"/>
      <c r="AJ956" s="56"/>
      <c r="AK956" s="27"/>
      <c r="AL956" s="56"/>
      <c r="AM956" s="27"/>
      <c r="AN956" s="56"/>
      <c r="AO956" s="27"/>
      <c r="AP956" s="56"/>
      <c r="AQ956" s="27"/>
      <c r="AR956" s="56"/>
      <c r="AS956" s="27"/>
      <c r="AT956" s="56"/>
      <c r="AU956" s="27"/>
      <c r="AV956" s="56"/>
      <c r="AW956" s="27"/>
      <c r="AX956" s="56"/>
      <c r="AY956" s="27"/>
      <c r="AZ956" s="56"/>
      <c r="BA956" s="27"/>
      <c r="BB956" s="48"/>
      <c r="BC956" s="48"/>
      <c r="BD956" s="48"/>
      <c r="BE956" s="48"/>
      <c r="BF956" s="48"/>
      <c r="BG956" s="48"/>
      <c r="BH956" s="48"/>
      <c r="BI956" s="48"/>
      <c r="BJ956" s="48"/>
      <c r="BK956" s="48"/>
      <c r="BL956" s="48"/>
      <c r="BM956" s="48"/>
      <c r="BN956" s="48"/>
      <c r="BO956" s="48"/>
      <c r="BP956" s="48"/>
      <c r="BQ956" s="48"/>
      <c r="BR956" s="48"/>
      <c r="BS956" s="48"/>
      <c r="BT956" s="48"/>
      <c r="BU956" s="48"/>
    </row>
    <row r="957" ht="15.75" customHeight="1">
      <c r="A957" s="48"/>
      <c r="B957" s="48"/>
      <c r="C957" s="48"/>
      <c r="D957" s="48"/>
      <c r="E957" s="27"/>
      <c r="F957" s="48"/>
      <c r="G957" s="48"/>
      <c r="H957" s="56"/>
      <c r="I957" s="56"/>
      <c r="J957" s="56"/>
      <c r="K957" s="56"/>
      <c r="L957" s="56"/>
      <c r="M957" s="56"/>
      <c r="N957" s="56"/>
      <c r="O957" s="56"/>
      <c r="P957" s="56"/>
      <c r="Q957" s="56"/>
      <c r="R957" s="56"/>
      <c r="S957" s="56"/>
      <c r="T957" s="56"/>
      <c r="U957" s="56"/>
      <c r="V957" s="56"/>
      <c r="W957" s="27"/>
      <c r="X957" s="56"/>
      <c r="Y957" s="27"/>
      <c r="Z957" s="56"/>
      <c r="AA957" s="27"/>
      <c r="AB957" s="56"/>
      <c r="AC957" s="27"/>
      <c r="AD957" s="56"/>
      <c r="AE957" s="27"/>
      <c r="AF957" s="56"/>
      <c r="AG957" s="27"/>
      <c r="AH957" s="286"/>
      <c r="AI957" s="27"/>
      <c r="AJ957" s="56"/>
      <c r="AK957" s="27"/>
      <c r="AL957" s="56"/>
      <c r="AM957" s="27"/>
      <c r="AN957" s="56"/>
      <c r="AO957" s="27"/>
      <c r="AP957" s="56"/>
      <c r="AQ957" s="27"/>
      <c r="AR957" s="56"/>
      <c r="AS957" s="27"/>
      <c r="AT957" s="56"/>
      <c r="AU957" s="27"/>
      <c r="AV957" s="56"/>
      <c r="AW957" s="27"/>
      <c r="AX957" s="56"/>
      <c r="AY957" s="27"/>
      <c r="AZ957" s="56"/>
      <c r="BA957" s="27"/>
      <c r="BB957" s="48"/>
      <c r="BC957" s="48"/>
      <c r="BD957" s="48"/>
      <c r="BE957" s="48"/>
      <c r="BF957" s="48"/>
      <c r="BG957" s="48"/>
      <c r="BH957" s="48"/>
      <c r="BI957" s="48"/>
      <c r="BJ957" s="48"/>
      <c r="BK957" s="48"/>
      <c r="BL957" s="48"/>
      <c r="BM957" s="48"/>
      <c r="BN957" s="48"/>
      <c r="BO957" s="48"/>
      <c r="BP957" s="48"/>
      <c r="BQ957" s="48"/>
      <c r="BR957" s="48"/>
      <c r="BS957" s="48"/>
      <c r="BT957" s="48"/>
      <c r="BU957" s="48"/>
    </row>
    <row r="958" ht="15.75" customHeight="1">
      <c r="A958" s="48"/>
      <c r="B958" s="48"/>
      <c r="C958" s="48"/>
      <c r="D958" s="48"/>
      <c r="E958" s="27"/>
      <c r="F958" s="48"/>
      <c r="G958" s="48"/>
      <c r="H958" s="56"/>
      <c r="I958" s="56"/>
      <c r="J958" s="56"/>
      <c r="K958" s="56"/>
      <c r="L958" s="56"/>
      <c r="M958" s="56"/>
      <c r="N958" s="56"/>
      <c r="O958" s="56"/>
      <c r="P958" s="56"/>
      <c r="Q958" s="56"/>
      <c r="R958" s="56"/>
      <c r="S958" s="56"/>
      <c r="T958" s="56"/>
      <c r="U958" s="56"/>
      <c r="V958" s="56"/>
      <c r="W958" s="27"/>
      <c r="X958" s="56"/>
      <c r="Y958" s="27"/>
      <c r="Z958" s="56"/>
      <c r="AA958" s="27"/>
      <c r="AB958" s="56"/>
      <c r="AC958" s="27"/>
      <c r="AD958" s="56"/>
      <c r="AE958" s="27"/>
      <c r="AF958" s="56"/>
      <c r="AG958" s="27"/>
      <c r="AH958" s="286"/>
      <c r="AI958" s="27"/>
      <c r="AJ958" s="56"/>
      <c r="AK958" s="27"/>
      <c r="AL958" s="56"/>
      <c r="AM958" s="27"/>
      <c r="AN958" s="56"/>
      <c r="AO958" s="27"/>
      <c r="AP958" s="56"/>
      <c r="AQ958" s="27"/>
      <c r="AR958" s="56"/>
      <c r="AS958" s="27"/>
      <c r="AT958" s="56"/>
      <c r="AU958" s="27"/>
      <c r="AV958" s="56"/>
      <c r="AW958" s="27"/>
      <c r="AX958" s="56"/>
      <c r="AY958" s="27"/>
      <c r="AZ958" s="56"/>
      <c r="BA958" s="27"/>
      <c r="BB958" s="48"/>
      <c r="BC958" s="48"/>
      <c r="BD958" s="48"/>
      <c r="BE958" s="48"/>
      <c r="BF958" s="48"/>
      <c r="BG958" s="48"/>
      <c r="BH958" s="48"/>
      <c r="BI958" s="48"/>
      <c r="BJ958" s="48"/>
      <c r="BK958" s="48"/>
      <c r="BL958" s="48"/>
      <c r="BM958" s="48"/>
      <c r="BN958" s="48"/>
      <c r="BO958" s="48"/>
      <c r="BP958" s="48"/>
      <c r="BQ958" s="48"/>
      <c r="BR958" s="48"/>
      <c r="BS958" s="48"/>
      <c r="BT958" s="48"/>
      <c r="BU958" s="48"/>
    </row>
    <row r="959" ht="15.75" customHeight="1">
      <c r="A959" s="48"/>
      <c r="B959" s="48"/>
      <c r="C959" s="48"/>
      <c r="D959" s="48"/>
      <c r="E959" s="27"/>
      <c r="F959" s="48"/>
      <c r="G959" s="48"/>
      <c r="H959" s="56"/>
      <c r="I959" s="56"/>
      <c r="J959" s="56"/>
      <c r="K959" s="56"/>
      <c r="L959" s="56"/>
      <c r="M959" s="56"/>
      <c r="N959" s="56"/>
      <c r="O959" s="56"/>
      <c r="P959" s="56"/>
      <c r="Q959" s="56"/>
      <c r="R959" s="56"/>
      <c r="S959" s="56"/>
      <c r="T959" s="56"/>
      <c r="U959" s="56"/>
      <c r="V959" s="56"/>
      <c r="W959" s="27"/>
      <c r="X959" s="56"/>
      <c r="Y959" s="27"/>
      <c r="Z959" s="56"/>
      <c r="AA959" s="27"/>
      <c r="AB959" s="56"/>
      <c r="AC959" s="27"/>
      <c r="AD959" s="56"/>
      <c r="AE959" s="27"/>
      <c r="AF959" s="56"/>
      <c r="AG959" s="27"/>
      <c r="AH959" s="286"/>
      <c r="AI959" s="27"/>
      <c r="AJ959" s="56"/>
      <c r="AK959" s="27"/>
      <c r="AL959" s="56"/>
      <c r="AM959" s="27"/>
      <c r="AN959" s="56"/>
      <c r="AO959" s="27"/>
      <c r="AP959" s="56"/>
      <c r="AQ959" s="27"/>
      <c r="AR959" s="56"/>
      <c r="AS959" s="27"/>
      <c r="AT959" s="56"/>
      <c r="AU959" s="27"/>
      <c r="AV959" s="56"/>
      <c r="AW959" s="27"/>
      <c r="AX959" s="56"/>
      <c r="AY959" s="27"/>
      <c r="AZ959" s="56"/>
      <c r="BA959" s="27"/>
      <c r="BB959" s="48"/>
      <c r="BC959" s="48"/>
      <c r="BD959" s="48"/>
      <c r="BE959" s="48"/>
      <c r="BF959" s="48"/>
      <c r="BG959" s="48"/>
      <c r="BH959" s="48"/>
      <c r="BI959" s="48"/>
      <c r="BJ959" s="48"/>
      <c r="BK959" s="48"/>
      <c r="BL959" s="48"/>
      <c r="BM959" s="48"/>
      <c r="BN959" s="48"/>
      <c r="BO959" s="48"/>
      <c r="BP959" s="48"/>
      <c r="BQ959" s="48"/>
      <c r="BR959" s="48"/>
      <c r="BS959" s="48"/>
      <c r="BT959" s="48"/>
      <c r="BU959" s="48"/>
    </row>
    <row r="960" ht="15.75" customHeight="1">
      <c r="A960" s="48"/>
      <c r="B960" s="48"/>
      <c r="C960" s="48"/>
      <c r="D960" s="48"/>
      <c r="E960" s="27"/>
      <c r="F960" s="48"/>
      <c r="G960" s="48"/>
      <c r="H960" s="56"/>
      <c r="I960" s="56"/>
      <c r="J960" s="56"/>
      <c r="K960" s="56"/>
      <c r="L960" s="56"/>
      <c r="M960" s="56"/>
      <c r="N960" s="56"/>
      <c r="O960" s="56"/>
      <c r="P960" s="56"/>
      <c r="Q960" s="56"/>
      <c r="R960" s="56"/>
      <c r="S960" s="56"/>
      <c r="T960" s="56"/>
      <c r="U960" s="56"/>
      <c r="V960" s="56"/>
      <c r="W960" s="27"/>
      <c r="X960" s="56"/>
      <c r="Y960" s="27"/>
      <c r="Z960" s="56"/>
      <c r="AA960" s="27"/>
      <c r="AB960" s="56"/>
      <c r="AC960" s="27"/>
      <c r="AD960" s="56"/>
      <c r="AE960" s="27"/>
      <c r="AF960" s="56"/>
      <c r="AG960" s="27"/>
      <c r="AH960" s="286"/>
      <c r="AI960" s="27"/>
      <c r="AJ960" s="56"/>
      <c r="AK960" s="27"/>
      <c r="AL960" s="56"/>
      <c r="AM960" s="27"/>
      <c r="AN960" s="56"/>
      <c r="AO960" s="27"/>
      <c r="AP960" s="56"/>
      <c r="AQ960" s="27"/>
      <c r="AR960" s="56"/>
      <c r="AS960" s="27"/>
      <c r="AT960" s="56"/>
      <c r="AU960" s="27"/>
      <c r="AV960" s="56"/>
      <c r="AW960" s="27"/>
      <c r="AX960" s="56"/>
      <c r="AY960" s="27"/>
      <c r="AZ960" s="56"/>
      <c r="BA960" s="27"/>
      <c r="BB960" s="48"/>
      <c r="BC960" s="48"/>
      <c r="BD960" s="48"/>
      <c r="BE960" s="48"/>
      <c r="BF960" s="48"/>
      <c r="BG960" s="48"/>
      <c r="BH960" s="48"/>
      <c r="BI960" s="48"/>
      <c r="BJ960" s="48"/>
      <c r="BK960" s="48"/>
      <c r="BL960" s="48"/>
      <c r="BM960" s="48"/>
      <c r="BN960" s="48"/>
      <c r="BO960" s="48"/>
      <c r="BP960" s="48"/>
      <c r="BQ960" s="48"/>
      <c r="BR960" s="48"/>
      <c r="BS960" s="48"/>
      <c r="BT960" s="48"/>
      <c r="BU960" s="48"/>
    </row>
    <row r="961" ht="15.75" customHeight="1">
      <c r="A961" s="48"/>
      <c r="B961" s="48"/>
      <c r="C961" s="48"/>
      <c r="D961" s="48"/>
      <c r="E961" s="27"/>
      <c r="F961" s="48"/>
      <c r="G961" s="48"/>
      <c r="H961" s="56"/>
      <c r="I961" s="56"/>
      <c r="J961" s="56"/>
      <c r="K961" s="56"/>
      <c r="L961" s="56"/>
      <c r="M961" s="56"/>
      <c r="N961" s="56"/>
      <c r="O961" s="56"/>
      <c r="P961" s="56"/>
      <c r="Q961" s="56"/>
      <c r="R961" s="56"/>
      <c r="S961" s="56"/>
      <c r="T961" s="56"/>
      <c r="U961" s="56"/>
      <c r="V961" s="56"/>
      <c r="W961" s="27"/>
      <c r="X961" s="56"/>
      <c r="Y961" s="27"/>
      <c r="Z961" s="56"/>
      <c r="AA961" s="27"/>
      <c r="AB961" s="56"/>
      <c r="AC961" s="27"/>
      <c r="AD961" s="56"/>
      <c r="AE961" s="27"/>
      <c r="AF961" s="56"/>
      <c r="AG961" s="27"/>
      <c r="AH961" s="286"/>
      <c r="AI961" s="27"/>
      <c r="AJ961" s="56"/>
      <c r="AK961" s="27"/>
      <c r="AL961" s="56"/>
      <c r="AM961" s="27"/>
      <c r="AN961" s="56"/>
      <c r="AO961" s="27"/>
      <c r="AP961" s="56"/>
      <c r="AQ961" s="27"/>
      <c r="AR961" s="56"/>
      <c r="AS961" s="27"/>
      <c r="AT961" s="56"/>
      <c r="AU961" s="27"/>
      <c r="AV961" s="56"/>
      <c r="AW961" s="27"/>
      <c r="AX961" s="56"/>
      <c r="AY961" s="27"/>
      <c r="AZ961" s="56"/>
      <c r="BA961" s="27"/>
      <c r="BB961" s="48"/>
      <c r="BC961" s="48"/>
      <c r="BD961" s="48"/>
      <c r="BE961" s="48"/>
      <c r="BF961" s="48"/>
      <c r="BG961" s="48"/>
      <c r="BH961" s="48"/>
      <c r="BI961" s="48"/>
      <c r="BJ961" s="48"/>
      <c r="BK961" s="48"/>
      <c r="BL961" s="48"/>
      <c r="BM961" s="48"/>
      <c r="BN961" s="48"/>
      <c r="BO961" s="48"/>
      <c r="BP961" s="48"/>
      <c r="BQ961" s="48"/>
      <c r="BR961" s="48"/>
      <c r="BS961" s="48"/>
      <c r="BT961" s="48"/>
      <c r="BU961" s="48"/>
    </row>
    <row r="962" ht="15.75" customHeight="1">
      <c r="A962" s="48"/>
      <c r="B962" s="48"/>
      <c r="C962" s="48"/>
      <c r="D962" s="48"/>
      <c r="E962" s="27"/>
      <c r="F962" s="48"/>
      <c r="G962" s="48"/>
      <c r="H962" s="56"/>
      <c r="I962" s="56"/>
      <c r="J962" s="56"/>
      <c r="K962" s="56"/>
      <c r="L962" s="56"/>
      <c r="M962" s="56"/>
      <c r="N962" s="56"/>
      <c r="O962" s="56"/>
      <c r="P962" s="56"/>
      <c r="Q962" s="56"/>
      <c r="R962" s="56"/>
      <c r="S962" s="56"/>
      <c r="T962" s="56"/>
      <c r="U962" s="56"/>
      <c r="V962" s="56"/>
      <c r="W962" s="27"/>
      <c r="X962" s="56"/>
      <c r="Y962" s="27"/>
      <c r="Z962" s="56"/>
      <c r="AA962" s="27"/>
      <c r="AB962" s="56"/>
      <c r="AC962" s="27"/>
      <c r="AD962" s="56"/>
      <c r="AE962" s="27"/>
      <c r="AF962" s="56"/>
      <c r="AG962" s="27"/>
      <c r="AH962" s="286"/>
      <c r="AI962" s="27"/>
      <c r="AJ962" s="56"/>
      <c r="AK962" s="27"/>
      <c r="AL962" s="56"/>
      <c r="AM962" s="27"/>
      <c r="AN962" s="56"/>
      <c r="AO962" s="27"/>
      <c r="AP962" s="56"/>
      <c r="AQ962" s="27"/>
      <c r="AR962" s="56"/>
      <c r="AS962" s="27"/>
      <c r="AT962" s="56"/>
      <c r="AU962" s="27"/>
      <c r="AV962" s="56"/>
      <c r="AW962" s="27"/>
      <c r="AX962" s="56"/>
      <c r="AY962" s="27"/>
      <c r="AZ962" s="56"/>
      <c r="BA962" s="27"/>
      <c r="BB962" s="48"/>
      <c r="BC962" s="48"/>
      <c r="BD962" s="48"/>
      <c r="BE962" s="48"/>
      <c r="BF962" s="48"/>
      <c r="BG962" s="48"/>
      <c r="BH962" s="48"/>
      <c r="BI962" s="48"/>
      <c r="BJ962" s="48"/>
      <c r="BK962" s="48"/>
      <c r="BL962" s="48"/>
      <c r="BM962" s="48"/>
      <c r="BN962" s="48"/>
      <c r="BO962" s="48"/>
      <c r="BP962" s="48"/>
      <c r="BQ962" s="48"/>
      <c r="BR962" s="48"/>
      <c r="BS962" s="48"/>
      <c r="BT962" s="48"/>
      <c r="BU962" s="48"/>
    </row>
    <row r="963" ht="15.75" customHeight="1">
      <c r="A963" s="48"/>
      <c r="B963" s="48"/>
      <c r="C963" s="48"/>
      <c r="D963" s="48"/>
      <c r="E963" s="27"/>
      <c r="F963" s="48"/>
      <c r="G963" s="48"/>
      <c r="H963" s="56"/>
      <c r="I963" s="56"/>
      <c r="J963" s="56"/>
      <c r="K963" s="56"/>
      <c r="L963" s="56"/>
      <c r="M963" s="56"/>
      <c r="N963" s="56"/>
      <c r="O963" s="56"/>
      <c r="P963" s="56"/>
      <c r="Q963" s="56"/>
      <c r="R963" s="56"/>
      <c r="S963" s="56"/>
      <c r="T963" s="56"/>
      <c r="U963" s="56"/>
      <c r="V963" s="56"/>
      <c r="W963" s="27"/>
      <c r="X963" s="56"/>
      <c r="Y963" s="27"/>
      <c r="Z963" s="56"/>
      <c r="AA963" s="27"/>
      <c r="AB963" s="56"/>
      <c r="AC963" s="27"/>
      <c r="AD963" s="56"/>
      <c r="AE963" s="27"/>
      <c r="AF963" s="56"/>
      <c r="AG963" s="27"/>
      <c r="AH963" s="286"/>
      <c r="AI963" s="27"/>
      <c r="AJ963" s="56"/>
      <c r="AK963" s="27"/>
      <c r="AL963" s="56"/>
      <c r="AM963" s="27"/>
      <c r="AN963" s="56"/>
      <c r="AO963" s="27"/>
      <c r="AP963" s="56"/>
      <c r="AQ963" s="27"/>
      <c r="AR963" s="56"/>
      <c r="AS963" s="27"/>
      <c r="AT963" s="56"/>
      <c r="AU963" s="27"/>
      <c r="AV963" s="56"/>
      <c r="AW963" s="27"/>
      <c r="AX963" s="56"/>
      <c r="AY963" s="27"/>
      <c r="AZ963" s="56"/>
      <c r="BA963" s="27"/>
      <c r="BB963" s="48"/>
      <c r="BC963" s="48"/>
      <c r="BD963" s="48"/>
      <c r="BE963" s="48"/>
      <c r="BF963" s="48"/>
      <c r="BG963" s="48"/>
      <c r="BH963" s="48"/>
      <c r="BI963" s="48"/>
      <c r="BJ963" s="48"/>
      <c r="BK963" s="48"/>
      <c r="BL963" s="48"/>
      <c r="BM963" s="48"/>
      <c r="BN963" s="48"/>
      <c r="BO963" s="48"/>
      <c r="BP963" s="48"/>
      <c r="BQ963" s="48"/>
      <c r="BR963" s="48"/>
      <c r="BS963" s="48"/>
      <c r="BT963" s="48"/>
      <c r="BU963" s="48"/>
    </row>
    <row r="964" ht="15.75" customHeight="1">
      <c r="A964" s="48"/>
      <c r="B964" s="48"/>
      <c r="C964" s="48"/>
      <c r="D964" s="48"/>
      <c r="E964" s="27"/>
      <c r="F964" s="48"/>
      <c r="G964" s="48"/>
      <c r="H964" s="56"/>
      <c r="I964" s="56"/>
      <c r="J964" s="56"/>
      <c r="K964" s="56"/>
      <c r="L964" s="56"/>
      <c r="M964" s="56"/>
      <c r="N964" s="56"/>
      <c r="O964" s="56"/>
      <c r="P964" s="56"/>
      <c r="Q964" s="56"/>
      <c r="R964" s="56"/>
      <c r="S964" s="56"/>
      <c r="T964" s="56"/>
      <c r="U964" s="56"/>
      <c r="V964" s="56"/>
      <c r="W964" s="27"/>
      <c r="X964" s="56"/>
      <c r="Y964" s="27"/>
      <c r="Z964" s="56"/>
      <c r="AA964" s="27"/>
      <c r="AB964" s="56"/>
      <c r="AC964" s="27"/>
      <c r="AD964" s="56"/>
      <c r="AE964" s="27"/>
      <c r="AF964" s="56"/>
      <c r="AG964" s="27"/>
      <c r="AH964" s="286"/>
      <c r="AI964" s="27"/>
      <c r="AJ964" s="56"/>
      <c r="AK964" s="27"/>
      <c r="AL964" s="56"/>
      <c r="AM964" s="27"/>
      <c r="AN964" s="56"/>
      <c r="AO964" s="27"/>
      <c r="AP964" s="56"/>
      <c r="AQ964" s="27"/>
      <c r="AR964" s="56"/>
      <c r="AS964" s="27"/>
      <c r="AT964" s="56"/>
      <c r="AU964" s="27"/>
      <c r="AV964" s="56"/>
      <c r="AW964" s="27"/>
      <c r="AX964" s="56"/>
      <c r="AY964" s="27"/>
      <c r="AZ964" s="56"/>
      <c r="BA964" s="27"/>
      <c r="BB964" s="48"/>
      <c r="BC964" s="48"/>
      <c r="BD964" s="48"/>
      <c r="BE964" s="48"/>
      <c r="BF964" s="48"/>
      <c r="BG964" s="48"/>
      <c r="BH964" s="48"/>
      <c r="BI964" s="48"/>
      <c r="BJ964" s="48"/>
      <c r="BK964" s="48"/>
      <c r="BL964" s="48"/>
      <c r="BM964" s="48"/>
      <c r="BN964" s="48"/>
      <c r="BO964" s="48"/>
      <c r="BP964" s="48"/>
      <c r="BQ964" s="48"/>
      <c r="BR964" s="48"/>
      <c r="BS964" s="48"/>
      <c r="BT964" s="48"/>
      <c r="BU964" s="48"/>
    </row>
    <row r="965" ht="15.75" customHeight="1">
      <c r="A965" s="48"/>
      <c r="B965" s="48"/>
      <c r="C965" s="48"/>
      <c r="D965" s="48"/>
      <c r="E965" s="27"/>
      <c r="F965" s="48"/>
      <c r="G965" s="48"/>
      <c r="H965" s="56"/>
      <c r="I965" s="56"/>
      <c r="J965" s="56"/>
      <c r="K965" s="56"/>
      <c r="L965" s="56"/>
      <c r="M965" s="56"/>
      <c r="N965" s="56"/>
      <c r="O965" s="56"/>
      <c r="P965" s="56"/>
      <c r="Q965" s="56"/>
      <c r="R965" s="56"/>
      <c r="S965" s="56"/>
      <c r="T965" s="56"/>
      <c r="U965" s="56"/>
      <c r="V965" s="56"/>
      <c r="W965" s="27"/>
      <c r="X965" s="56"/>
      <c r="Y965" s="27"/>
      <c r="Z965" s="56"/>
      <c r="AA965" s="27"/>
      <c r="AB965" s="56"/>
      <c r="AC965" s="27"/>
      <c r="AD965" s="56"/>
      <c r="AE965" s="27"/>
      <c r="AF965" s="56"/>
      <c r="AG965" s="27"/>
      <c r="AH965" s="286"/>
      <c r="AI965" s="27"/>
      <c r="AJ965" s="56"/>
      <c r="AK965" s="27"/>
      <c r="AL965" s="56"/>
      <c r="AM965" s="27"/>
      <c r="AN965" s="56"/>
      <c r="AO965" s="27"/>
      <c r="AP965" s="56"/>
      <c r="AQ965" s="27"/>
      <c r="AR965" s="56"/>
      <c r="AS965" s="27"/>
      <c r="AT965" s="56"/>
      <c r="AU965" s="27"/>
      <c r="AV965" s="56"/>
      <c r="AW965" s="27"/>
      <c r="AX965" s="56"/>
      <c r="AY965" s="27"/>
      <c r="AZ965" s="56"/>
      <c r="BA965" s="27"/>
      <c r="BB965" s="48"/>
      <c r="BC965" s="48"/>
      <c r="BD965" s="48"/>
      <c r="BE965" s="48"/>
      <c r="BF965" s="48"/>
      <c r="BG965" s="48"/>
      <c r="BH965" s="48"/>
      <c r="BI965" s="48"/>
      <c r="BJ965" s="48"/>
      <c r="BK965" s="48"/>
      <c r="BL965" s="48"/>
      <c r="BM965" s="48"/>
      <c r="BN965" s="48"/>
      <c r="BO965" s="48"/>
      <c r="BP965" s="48"/>
      <c r="BQ965" s="48"/>
      <c r="BR965" s="48"/>
      <c r="BS965" s="48"/>
      <c r="BT965" s="48"/>
      <c r="BU965" s="48"/>
    </row>
    <row r="966" ht="15.75" customHeight="1">
      <c r="A966" s="48"/>
      <c r="B966" s="48"/>
      <c r="C966" s="48"/>
      <c r="D966" s="48"/>
      <c r="E966" s="27"/>
      <c r="F966" s="48"/>
      <c r="G966" s="48"/>
      <c r="H966" s="56"/>
      <c r="I966" s="56"/>
      <c r="J966" s="56"/>
      <c r="K966" s="56"/>
      <c r="L966" s="56"/>
      <c r="M966" s="56"/>
      <c r="N966" s="56"/>
      <c r="O966" s="56"/>
      <c r="P966" s="56"/>
      <c r="Q966" s="56"/>
      <c r="R966" s="56"/>
      <c r="S966" s="56"/>
      <c r="T966" s="56"/>
      <c r="U966" s="56"/>
      <c r="V966" s="56"/>
      <c r="W966" s="27"/>
      <c r="X966" s="56"/>
      <c r="Y966" s="27"/>
      <c r="Z966" s="56"/>
      <c r="AA966" s="27"/>
      <c r="AB966" s="56"/>
      <c r="AC966" s="27"/>
      <c r="AD966" s="56"/>
      <c r="AE966" s="27"/>
      <c r="AF966" s="56"/>
      <c r="AG966" s="27"/>
      <c r="AH966" s="286"/>
      <c r="AI966" s="27"/>
      <c r="AJ966" s="56"/>
      <c r="AK966" s="27"/>
      <c r="AL966" s="56"/>
      <c r="AM966" s="27"/>
      <c r="AN966" s="56"/>
      <c r="AO966" s="27"/>
      <c r="AP966" s="56"/>
      <c r="AQ966" s="27"/>
      <c r="AR966" s="56"/>
      <c r="AS966" s="27"/>
      <c r="AT966" s="56"/>
      <c r="AU966" s="27"/>
      <c r="AV966" s="56"/>
      <c r="AW966" s="27"/>
      <c r="AX966" s="56"/>
      <c r="AY966" s="27"/>
      <c r="AZ966" s="56"/>
      <c r="BA966" s="27"/>
      <c r="BB966" s="48"/>
      <c r="BC966" s="48"/>
      <c r="BD966" s="48"/>
      <c r="BE966" s="48"/>
      <c r="BF966" s="48"/>
      <c r="BG966" s="48"/>
      <c r="BH966" s="48"/>
      <c r="BI966" s="48"/>
      <c r="BJ966" s="48"/>
      <c r="BK966" s="48"/>
      <c r="BL966" s="48"/>
      <c r="BM966" s="48"/>
      <c r="BN966" s="48"/>
      <c r="BO966" s="48"/>
      <c r="BP966" s="48"/>
      <c r="BQ966" s="48"/>
      <c r="BR966" s="48"/>
      <c r="BS966" s="48"/>
      <c r="BT966" s="48"/>
      <c r="BU966" s="48"/>
    </row>
    <row r="967" ht="15.75" customHeight="1">
      <c r="A967" s="48"/>
      <c r="B967" s="48"/>
      <c r="C967" s="48"/>
      <c r="D967" s="48"/>
      <c r="E967" s="27"/>
      <c r="F967" s="48"/>
      <c r="G967" s="48"/>
      <c r="H967" s="56"/>
      <c r="I967" s="56"/>
      <c r="J967" s="56"/>
      <c r="K967" s="56"/>
      <c r="L967" s="56"/>
      <c r="M967" s="56"/>
      <c r="N967" s="56"/>
      <c r="O967" s="56"/>
      <c r="P967" s="56"/>
      <c r="Q967" s="56"/>
      <c r="R967" s="56"/>
      <c r="S967" s="56"/>
      <c r="T967" s="56"/>
      <c r="U967" s="56"/>
      <c r="V967" s="56"/>
      <c r="W967" s="27"/>
      <c r="X967" s="56"/>
      <c r="Y967" s="27"/>
      <c r="Z967" s="56"/>
      <c r="AA967" s="27"/>
      <c r="AB967" s="56"/>
      <c r="AC967" s="27"/>
      <c r="AD967" s="56"/>
      <c r="AE967" s="27"/>
      <c r="AF967" s="56"/>
      <c r="AG967" s="27"/>
      <c r="AH967" s="286"/>
      <c r="AI967" s="27"/>
      <c r="AJ967" s="56"/>
      <c r="AK967" s="27"/>
      <c r="AL967" s="56"/>
      <c r="AM967" s="27"/>
      <c r="AN967" s="56"/>
      <c r="AO967" s="27"/>
      <c r="AP967" s="56"/>
      <c r="AQ967" s="27"/>
      <c r="AR967" s="56"/>
      <c r="AS967" s="27"/>
      <c r="AT967" s="56"/>
      <c r="AU967" s="27"/>
      <c r="AV967" s="56"/>
      <c r="AW967" s="27"/>
      <c r="AX967" s="56"/>
      <c r="AY967" s="27"/>
      <c r="AZ967" s="56"/>
      <c r="BA967" s="27"/>
      <c r="BB967" s="48"/>
      <c r="BC967" s="48"/>
      <c r="BD967" s="48"/>
      <c r="BE967" s="48"/>
      <c r="BF967" s="48"/>
      <c r="BG967" s="48"/>
      <c r="BH967" s="48"/>
      <c r="BI967" s="48"/>
      <c r="BJ967" s="48"/>
      <c r="BK967" s="48"/>
      <c r="BL967" s="48"/>
      <c r="BM967" s="48"/>
      <c r="BN967" s="48"/>
      <c r="BO967" s="48"/>
      <c r="BP967" s="48"/>
      <c r="BQ967" s="48"/>
      <c r="BR967" s="48"/>
      <c r="BS967" s="48"/>
      <c r="BT967" s="48"/>
      <c r="BU967" s="48"/>
    </row>
    <row r="968" ht="15.75" customHeight="1">
      <c r="A968" s="48"/>
      <c r="B968" s="48"/>
      <c r="C968" s="48"/>
      <c r="D968" s="48"/>
      <c r="E968" s="27"/>
      <c r="F968" s="48"/>
      <c r="G968" s="48"/>
      <c r="H968" s="56"/>
      <c r="I968" s="56"/>
      <c r="J968" s="56"/>
      <c r="K968" s="56"/>
      <c r="L968" s="56"/>
      <c r="M968" s="56"/>
      <c r="N968" s="56"/>
      <c r="O968" s="56"/>
      <c r="P968" s="56"/>
      <c r="Q968" s="56"/>
      <c r="R968" s="56"/>
      <c r="S968" s="56"/>
      <c r="T968" s="56"/>
      <c r="U968" s="56"/>
      <c r="V968" s="56"/>
      <c r="W968" s="27"/>
      <c r="X968" s="56"/>
      <c r="Y968" s="27"/>
      <c r="Z968" s="56"/>
      <c r="AA968" s="27"/>
      <c r="AB968" s="56"/>
      <c r="AC968" s="27"/>
      <c r="AD968" s="56"/>
      <c r="AE968" s="27"/>
      <c r="AF968" s="56"/>
      <c r="AG968" s="27"/>
      <c r="AH968" s="286"/>
      <c r="AI968" s="27"/>
      <c r="AJ968" s="56"/>
      <c r="AK968" s="27"/>
      <c r="AL968" s="56"/>
      <c r="AM968" s="27"/>
      <c r="AN968" s="56"/>
      <c r="AO968" s="27"/>
      <c r="AP968" s="56"/>
      <c r="AQ968" s="27"/>
      <c r="AR968" s="56"/>
      <c r="AS968" s="27"/>
      <c r="AT968" s="56"/>
      <c r="AU968" s="27"/>
      <c r="AV968" s="56"/>
      <c r="AW968" s="27"/>
      <c r="AX968" s="56"/>
      <c r="AY968" s="27"/>
      <c r="AZ968" s="56"/>
      <c r="BA968" s="27"/>
      <c r="BB968" s="48"/>
      <c r="BC968" s="48"/>
      <c r="BD968" s="48"/>
      <c r="BE968" s="48"/>
      <c r="BF968" s="48"/>
      <c r="BG968" s="48"/>
      <c r="BH968" s="48"/>
      <c r="BI968" s="48"/>
      <c r="BJ968" s="48"/>
      <c r="BK968" s="48"/>
      <c r="BL968" s="48"/>
      <c r="BM968" s="48"/>
      <c r="BN968" s="48"/>
      <c r="BO968" s="48"/>
      <c r="BP968" s="48"/>
      <c r="BQ968" s="48"/>
      <c r="BR968" s="48"/>
      <c r="BS968" s="48"/>
      <c r="BT968" s="48"/>
      <c r="BU968" s="48"/>
    </row>
    <row r="969" ht="15.75" customHeight="1">
      <c r="A969" s="48"/>
      <c r="B969" s="48"/>
      <c r="C969" s="48"/>
      <c r="D969" s="48"/>
      <c r="E969" s="27"/>
      <c r="F969" s="48"/>
      <c r="G969" s="48"/>
      <c r="H969" s="56"/>
      <c r="I969" s="56"/>
      <c r="J969" s="56"/>
      <c r="K969" s="56"/>
      <c r="L969" s="56"/>
      <c r="M969" s="56"/>
      <c r="N969" s="56"/>
      <c r="O969" s="56"/>
      <c r="P969" s="56"/>
      <c r="Q969" s="56"/>
      <c r="R969" s="56"/>
      <c r="S969" s="56"/>
      <c r="T969" s="56"/>
      <c r="U969" s="56"/>
      <c r="V969" s="56"/>
      <c r="W969" s="27"/>
      <c r="X969" s="56"/>
      <c r="Y969" s="27"/>
      <c r="Z969" s="56"/>
      <c r="AA969" s="27"/>
      <c r="AB969" s="56"/>
      <c r="AC969" s="27"/>
      <c r="AD969" s="56"/>
      <c r="AE969" s="27"/>
      <c r="AF969" s="56"/>
      <c r="AG969" s="27"/>
      <c r="AH969" s="286"/>
      <c r="AI969" s="27"/>
      <c r="AJ969" s="56"/>
      <c r="AK969" s="27"/>
      <c r="AL969" s="56"/>
      <c r="AM969" s="27"/>
      <c r="AN969" s="56"/>
      <c r="AO969" s="27"/>
      <c r="AP969" s="56"/>
      <c r="AQ969" s="27"/>
      <c r="AR969" s="56"/>
      <c r="AS969" s="27"/>
      <c r="AT969" s="56"/>
      <c r="AU969" s="27"/>
      <c r="AV969" s="56"/>
      <c r="AW969" s="27"/>
      <c r="AX969" s="56"/>
      <c r="AY969" s="27"/>
      <c r="AZ969" s="56"/>
      <c r="BA969" s="27"/>
      <c r="BB969" s="48"/>
      <c r="BC969" s="48"/>
      <c r="BD969" s="48"/>
      <c r="BE969" s="48"/>
      <c r="BF969" s="48"/>
      <c r="BG969" s="48"/>
      <c r="BH969" s="48"/>
      <c r="BI969" s="48"/>
      <c r="BJ969" s="48"/>
      <c r="BK969" s="48"/>
      <c r="BL969" s="48"/>
      <c r="BM969" s="48"/>
      <c r="BN969" s="48"/>
      <c r="BO969" s="48"/>
      <c r="BP969" s="48"/>
      <c r="BQ969" s="48"/>
      <c r="BR969" s="48"/>
      <c r="BS969" s="48"/>
      <c r="BT969" s="48"/>
      <c r="BU969" s="48"/>
    </row>
    <row r="970" ht="15.75" customHeight="1">
      <c r="A970" s="48"/>
      <c r="B970" s="48"/>
      <c r="C970" s="48"/>
      <c r="D970" s="48"/>
      <c r="E970" s="27"/>
      <c r="F970" s="48"/>
      <c r="G970" s="48"/>
      <c r="H970" s="56"/>
      <c r="I970" s="56"/>
      <c r="J970" s="56"/>
      <c r="K970" s="56"/>
      <c r="L970" s="56"/>
      <c r="M970" s="56"/>
      <c r="N970" s="56"/>
      <c r="O970" s="56"/>
      <c r="P970" s="56"/>
      <c r="Q970" s="56"/>
      <c r="R970" s="56"/>
      <c r="S970" s="56"/>
      <c r="T970" s="56"/>
      <c r="U970" s="56"/>
      <c r="V970" s="56"/>
      <c r="W970" s="27"/>
      <c r="X970" s="56"/>
      <c r="Y970" s="27"/>
      <c r="Z970" s="56"/>
      <c r="AA970" s="27"/>
      <c r="AB970" s="56"/>
      <c r="AC970" s="27"/>
      <c r="AD970" s="56"/>
      <c r="AE970" s="27"/>
      <c r="AF970" s="56"/>
      <c r="AG970" s="27"/>
      <c r="AH970" s="286"/>
      <c r="AI970" s="27"/>
      <c r="AJ970" s="56"/>
      <c r="AK970" s="27"/>
      <c r="AL970" s="56"/>
      <c r="AM970" s="27"/>
      <c r="AN970" s="56"/>
      <c r="AO970" s="27"/>
      <c r="AP970" s="56"/>
      <c r="AQ970" s="27"/>
      <c r="AR970" s="56"/>
      <c r="AS970" s="27"/>
      <c r="AT970" s="56"/>
      <c r="AU970" s="27"/>
      <c r="AV970" s="56"/>
      <c r="AW970" s="27"/>
      <c r="AX970" s="56"/>
      <c r="AY970" s="27"/>
      <c r="AZ970" s="56"/>
      <c r="BA970" s="27"/>
      <c r="BB970" s="48"/>
      <c r="BC970" s="48"/>
      <c r="BD970" s="48"/>
      <c r="BE970" s="48"/>
      <c r="BF970" s="48"/>
      <c r="BG970" s="48"/>
      <c r="BH970" s="48"/>
      <c r="BI970" s="48"/>
      <c r="BJ970" s="48"/>
      <c r="BK970" s="48"/>
      <c r="BL970" s="48"/>
      <c r="BM970" s="48"/>
      <c r="BN970" s="48"/>
      <c r="BO970" s="48"/>
      <c r="BP970" s="48"/>
      <c r="BQ970" s="48"/>
      <c r="BR970" s="48"/>
      <c r="BS970" s="48"/>
      <c r="BT970" s="48"/>
      <c r="BU970" s="48"/>
    </row>
    <row r="971" ht="15.75" customHeight="1">
      <c r="A971" s="48"/>
      <c r="B971" s="48"/>
      <c r="C971" s="48"/>
      <c r="D971" s="48"/>
      <c r="E971" s="27"/>
      <c r="F971" s="48"/>
      <c r="G971" s="48"/>
      <c r="H971" s="56"/>
      <c r="I971" s="56"/>
      <c r="J971" s="56"/>
      <c r="K971" s="56"/>
      <c r="L971" s="56"/>
      <c r="M971" s="56"/>
      <c r="N971" s="56"/>
      <c r="O971" s="56"/>
      <c r="P971" s="56"/>
      <c r="Q971" s="56"/>
      <c r="R971" s="56"/>
      <c r="S971" s="56"/>
      <c r="T971" s="56"/>
      <c r="U971" s="56"/>
      <c r="V971" s="56"/>
      <c r="W971" s="27"/>
      <c r="X971" s="56"/>
      <c r="Y971" s="27"/>
      <c r="Z971" s="56"/>
      <c r="AA971" s="27"/>
      <c r="AB971" s="56"/>
      <c r="AC971" s="27"/>
      <c r="AD971" s="56"/>
      <c r="AE971" s="27"/>
      <c r="AF971" s="56"/>
      <c r="AG971" s="27"/>
      <c r="AH971" s="286"/>
      <c r="AI971" s="27"/>
      <c r="AJ971" s="56"/>
      <c r="AK971" s="27"/>
      <c r="AL971" s="56"/>
      <c r="AM971" s="27"/>
      <c r="AN971" s="56"/>
      <c r="AO971" s="27"/>
      <c r="AP971" s="56"/>
      <c r="AQ971" s="27"/>
      <c r="AR971" s="56"/>
      <c r="AS971" s="27"/>
      <c r="AT971" s="56"/>
      <c r="AU971" s="27"/>
      <c r="AV971" s="56"/>
      <c r="AW971" s="27"/>
      <c r="AX971" s="56"/>
      <c r="AY971" s="27"/>
      <c r="AZ971" s="56"/>
      <c r="BA971" s="27"/>
      <c r="BB971" s="48"/>
      <c r="BC971" s="48"/>
      <c r="BD971" s="48"/>
      <c r="BE971" s="48"/>
      <c r="BF971" s="48"/>
      <c r="BG971" s="48"/>
      <c r="BH971" s="48"/>
      <c r="BI971" s="48"/>
      <c r="BJ971" s="48"/>
      <c r="BK971" s="48"/>
      <c r="BL971" s="48"/>
      <c r="BM971" s="48"/>
      <c r="BN971" s="48"/>
      <c r="BO971" s="48"/>
      <c r="BP971" s="48"/>
      <c r="BQ971" s="48"/>
      <c r="BR971" s="48"/>
      <c r="BS971" s="48"/>
      <c r="BT971" s="48"/>
      <c r="BU971" s="48"/>
    </row>
    <row r="972" ht="15.75" customHeight="1">
      <c r="A972" s="48"/>
      <c r="B972" s="48"/>
      <c r="C972" s="48"/>
      <c r="D972" s="48"/>
      <c r="E972" s="27"/>
      <c r="F972" s="48"/>
      <c r="G972" s="48"/>
      <c r="H972" s="56"/>
      <c r="I972" s="56"/>
      <c r="J972" s="56"/>
      <c r="K972" s="56"/>
      <c r="L972" s="56"/>
      <c r="M972" s="56"/>
      <c r="N972" s="56"/>
      <c r="O972" s="56"/>
      <c r="P972" s="56"/>
      <c r="Q972" s="56"/>
      <c r="R972" s="56"/>
      <c r="S972" s="56"/>
      <c r="T972" s="56"/>
      <c r="U972" s="56"/>
      <c r="V972" s="56"/>
      <c r="W972" s="27"/>
      <c r="X972" s="56"/>
      <c r="Y972" s="27"/>
      <c r="Z972" s="56"/>
      <c r="AA972" s="27"/>
      <c r="AB972" s="56"/>
      <c r="AC972" s="27"/>
      <c r="AD972" s="56"/>
      <c r="AE972" s="27"/>
      <c r="AF972" s="56"/>
      <c r="AG972" s="27"/>
      <c r="AH972" s="286"/>
      <c r="AI972" s="27"/>
      <c r="AJ972" s="56"/>
      <c r="AK972" s="27"/>
      <c r="AL972" s="56"/>
      <c r="AM972" s="27"/>
      <c r="AN972" s="56"/>
      <c r="AO972" s="27"/>
      <c r="AP972" s="56"/>
      <c r="AQ972" s="27"/>
      <c r="AR972" s="56"/>
      <c r="AS972" s="27"/>
      <c r="AT972" s="56"/>
      <c r="AU972" s="27"/>
      <c r="AV972" s="56"/>
      <c r="AW972" s="27"/>
      <c r="AX972" s="56"/>
      <c r="AY972" s="27"/>
      <c r="AZ972" s="56"/>
      <c r="BA972" s="27"/>
      <c r="BB972" s="48"/>
      <c r="BC972" s="48"/>
      <c r="BD972" s="48"/>
      <c r="BE972" s="48"/>
      <c r="BF972" s="48"/>
      <c r="BG972" s="48"/>
      <c r="BH972" s="48"/>
      <c r="BI972" s="48"/>
      <c r="BJ972" s="48"/>
      <c r="BK972" s="48"/>
      <c r="BL972" s="48"/>
      <c r="BM972" s="48"/>
      <c r="BN972" s="48"/>
      <c r="BO972" s="48"/>
      <c r="BP972" s="48"/>
      <c r="BQ972" s="48"/>
      <c r="BR972" s="48"/>
      <c r="BS972" s="48"/>
      <c r="BT972" s="48"/>
      <c r="BU972" s="48"/>
    </row>
    <row r="973" ht="15.75" customHeight="1">
      <c r="A973" s="48"/>
      <c r="B973" s="48"/>
      <c r="C973" s="48"/>
      <c r="D973" s="48"/>
      <c r="E973" s="27"/>
      <c r="F973" s="48"/>
      <c r="G973" s="48"/>
      <c r="H973" s="56"/>
      <c r="I973" s="56"/>
      <c r="J973" s="56"/>
      <c r="K973" s="56"/>
      <c r="L973" s="56"/>
      <c r="M973" s="56"/>
      <c r="N973" s="56"/>
      <c r="O973" s="56"/>
      <c r="P973" s="56"/>
      <c r="Q973" s="56"/>
      <c r="R973" s="56"/>
      <c r="S973" s="56"/>
      <c r="T973" s="56"/>
      <c r="U973" s="56"/>
      <c r="V973" s="56"/>
      <c r="W973" s="27"/>
      <c r="X973" s="56"/>
      <c r="Y973" s="27"/>
      <c r="Z973" s="56"/>
      <c r="AA973" s="27"/>
      <c r="AB973" s="56"/>
      <c r="AC973" s="27"/>
      <c r="AD973" s="56"/>
      <c r="AE973" s="27"/>
      <c r="AF973" s="56"/>
      <c r="AG973" s="27"/>
      <c r="AH973" s="286"/>
      <c r="AI973" s="27"/>
      <c r="AJ973" s="56"/>
      <c r="AK973" s="27"/>
      <c r="AL973" s="56"/>
      <c r="AM973" s="27"/>
      <c r="AN973" s="56"/>
      <c r="AO973" s="27"/>
      <c r="AP973" s="56"/>
      <c r="AQ973" s="27"/>
      <c r="AR973" s="56"/>
      <c r="AS973" s="27"/>
      <c r="AT973" s="56"/>
      <c r="AU973" s="27"/>
      <c r="AV973" s="56"/>
      <c r="AW973" s="27"/>
      <c r="AX973" s="56"/>
      <c r="AY973" s="27"/>
      <c r="AZ973" s="56"/>
      <c r="BA973" s="27"/>
      <c r="BB973" s="48"/>
      <c r="BC973" s="48"/>
      <c r="BD973" s="48"/>
      <c r="BE973" s="48"/>
      <c r="BF973" s="48"/>
      <c r="BG973" s="48"/>
      <c r="BH973" s="48"/>
      <c r="BI973" s="48"/>
      <c r="BJ973" s="48"/>
      <c r="BK973" s="48"/>
      <c r="BL973" s="48"/>
      <c r="BM973" s="48"/>
      <c r="BN973" s="48"/>
      <c r="BO973" s="48"/>
      <c r="BP973" s="48"/>
      <c r="BQ973" s="48"/>
      <c r="BR973" s="48"/>
      <c r="BS973" s="48"/>
      <c r="BT973" s="48"/>
      <c r="BU973" s="48"/>
    </row>
    <row r="974" ht="15.75" customHeight="1">
      <c r="A974" s="48"/>
      <c r="B974" s="48"/>
      <c r="C974" s="48"/>
      <c r="D974" s="48"/>
      <c r="E974" s="27"/>
      <c r="F974" s="48"/>
      <c r="G974" s="48"/>
      <c r="H974" s="56"/>
      <c r="I974" s="56"/>
      <c r="J974" s="56"/>
      <c r="K974" s="56"/>
      <c r="L974" s="56"/>
      <c r="M974" s="56"/>
      <c r="N974" s="56"/>
      <c r="O974" s="56"/>
      <c r="P974" s="56"/>
      <c r="Q974" s="56"/>
      <c r="R974" s="56"/>
      <c r="S974" s="56"/>
      <c r="T974" s="56"/>
      <c r="U974" s="56"/>
      <c r="V974" s="56"/>
      <c r="W974" s="27"/>
      <c r="X974" s="56"/>
      <c r="Y974" s="27"/>
      <c r="Z974" s="56"/>
      <c r="AA974" s="27"/>
      <c r="AB974" s="56"/>
      <c r="AC974" s="27"/>
      <c r="AD974" s="56"/>
      <c r="AE974" s="27"/>
      <c r="AF974" s="56"/>
      <c r="AG974" s="27"/>
      <c r="AH974" s="286"/>
      <c r="AI974" s="27"/>
      <c r="AJ974" s="56"/>
      <c r="AK974" s="27"/>
      <c r="AL974" s="56"/>
      <c r="AM974" s="27"/>
      <c r="AN974" s="56"/>
      <c r="AO974" s="27"/>
      <c r="AP974" s="56"/>
      <c r="AQ974" s="27"/>
      <c r="AR974" s="56"/>
      <c r="AS974" s="27"/>
      <c r="AT974" s="56"/>
      <c r="AU974" s="27"/>
      <c r="AV974" s="56"/>
      <c r="AW974" s="27"/>
      <c r="AX974" s="56"/>
      <c r="AY974" s="27"/>
      <c r="AZ974" s="56"/>
      <c r="BA974" s="27"/>
      <c r="BB974" s="48"/>
      <c r="BC974" s="48"/>
      <c r="BD974" s="48"/>
      <c r="BE974" s="48"/>
      <c r="BF974" s="48"/>
      <c r="BG974" s="48"/>
      <c r="BH974" s="48"/>
      <c r="BI974" s="48"/>
      <c r="BJ974" s="48"/>
      <c r="BK974" s="48"/>
      <c r="BL974" s="48"/>
      <c r="BM974" s="48"/>
      <c r="BN974" s="48"/>
      <c r="BO974" s="48"/>
      <c r="BP974" s="48"/>
      <c r="BQ974" s="48"/>
      <c r="BR974" s="48"/>
      <c r="BS974" s="48"/>
      <c r="BT974" s="48"/>
      <c r="BU974" s="48"/>
    </row>
    <row r="975" ht="15.75" customHeight="1">
      <c r="A975" s="48"/>
      <c r="B975" s="48"/>
      <c r="C975" s="48"/>
      <c r="D975" s="48"/>
      <c r="E975" s="27"/>
      <c r="F975" s="48"/>
      <c r="G975" s="48"/>
      <c r="H975" s="56"/>
      <c r="I975" s="56"/>
      <c r="J975" s="56"/>
      <c r="K975" s="56"/>
      <c r="L975" s="56"/>
      <c r="M975" s="56"/>
      <c r="N975" s="56"/>
      <c r="O975" s="56"/>
      <c r="P975" s="56"/>
      <c r="Q975" s="56"/>
      <c r="R975" s="56"/>
      <c r="S975" s="56"/>
      <c r="T975" s="56"/>
      <c r="U975" s="56"/>
      <c r="V975" s="56"/>
      <c r="W975" s="27"/>
      <c r="X975" s="56"/>
      <c r="Y975" s="27"/>
      <c r="Z975" s="56"/>
      <c r="AA975" s="27"/>
      <c r="AB975" s="56"/>
      <c r="AC975" s="27"/>
      <c r="AD975" s="56"/>
      <c r="AE975" s="27"/>
      <c r="AF975" s="56"/>
      <c r="AG975" s="27"/>
      <c r="AH975" s="286"/>
      <c r="AI975" s="27"/>
      <c r="AJ975" s="56"/>
      <c r="AK975" s="27"/>
      <c r="AL975" s="56"/>
      <c r="AM975" s="27"/>
      <c r="AN975" s="56"/>
      <c r="AO975" s="27"/>
      <c r="AP975" s="56"/>
      <c r="AQ975" s="27"/>
      <c r="AR975" s="56"/>
      <c r="AS975" s="27"/>
      <c r="AT975" s="56"/>
      <c r="AU975" s="27"/>
      <c r="AV975" s="56"/>
      <c r="AW975" s="27"/>
      <c r="AX975" s="56"/>
      <c r="AY975" s="27"/>
      <c r="AZ975" s="56"/>
      <c r="BA975" s="27"/>
      <c r="BB975" s="48"/>
      <c r="BC975" s="48"/>
      <c r="BD975" s="48"/>
      <c r="BE975" s="48"/>
      <c r="BF975" s="48"/>
      <c r="BG975" s="48"/>
      <c r="BH975" s="48"/>
      <c r="BI975" s="48"/>
      <c r="BJ975" s="48"/>
      <c r="BK975" s="48"/>
      <c r="BL975" s="48"/>
      <c r="BM975" s="48"/>
      <c r="BN975" s="48"/>
      <c r="BO975" s="48"/>
      <c r="BP975" s="48"/>
      <c r="BQ975" s="48"/>
      <c r="BR975" s="48"/>
      <c r="BS975" s="48"/>
      <c r="BT975" s="48"/>
      <c r="BU975" s="48"/>
    </row>
    <row r="976" ht="15.75" customHeight="1">
      <c r="A976" s="48"/>
      <c r="B976" s="48"/>
      <c r="C976" s="48"/>
      <c r="D976" s="48"/>
      <c r="E976" s="27"/>
      <c r="F976" s="48"/>
      <c r="G976" s="48"/>
      <c r="H976" s="56"/>
      <c r="I976" s="56"/>
      <c r="J976" s="56"/>
      <c r="K976" s="56"/>
      <c r="L976" s="56"/>
      <c r="M976" s="56"/>
      <c r="N976" s="56"/>
      <c r="O976" s="56"/>
      <c r="P976" s="56"/>
      <c r="Q976" s="56"/>
      <c r="R976" s="56"/>
      <c r="S976" s="56"/>
      <c r="T976" s="56"/>
      <c r="U976" s="56"/>
      <c r="V976" s="56"/>
      <c r="W976" s="27"/>
      <c r="X976" s="56"/>
      <c r="Y976" s="27"/>
      <c r="Z976" s="56"/>
      <c r="AA976" s="27"/>
      <c r="AB976" s="56"/>
      <c r="AC976" s="27"/>
      <c r="AD976" s="56"/>
      <c r="AE976" s="27"/>
      <c r="AF976" s="56"/>
      <c r="AG976" s="27"/>
      <c r="AH976" s="286"/>
      <c r="AI976" s="27"/>
      <c r="AJ976" s="56"/>
      <c r="AK976" s="27"/>
      <c r="AL976" s="56"/>
      <c r="AM976" s="27"/>
      <c r="AN976" s="56"/>
      <c r="AO976" s="27"/>
      <c r="AP976" s="56"/>
      <c r="AQ976" s="27"/>
      <c r="AR976" s="56"/>
      <c r="AS976" s="27"/>
      <c r="AT976" s="56"/>
      <c r="AU976" s="27"/>
      <c r="AV976" s="56"/>
      <c r="AW976" s="27"/>
      <c r="AX976" s="56"/>
      <c r="AY976" s="27"/>
      <c r="AZ976" s="56"/>
      <c r="BA976" s="27"/>
      <c r="BB976" s="48"/>
      <c r="BC976" s="48"/>
      <c r="BD976" s="48"/>
      <c r="BE976" s="48"/>
      <c r="BF976" s="48"/>
      <c r="BG976" s="48"/>
      <c r="BH976" s="48"/>
      <c r="BI976" s="48"/>
      <c r="BJ976" s="48"/>
      <c r="BK976" s="48"/>
      <c r="BL976" s="48"/>
      <c r="BM976" s="48"/>
      <c r="BN976" s="48"/>
      <c r="BO976" s="48"/>
      <c r="BP976" s="48"/>
      <c r="BQ976" s="48"/>
      <c r="BR976" s="48"/>
      <c r="BS976" s="48"/>
      <c r="BT976" s="48"/>
      <c r="BU976" s="48"/>
    </row>
    <row r="977" ht="15.75" customHeight="1">
      <c r="A977" s="48"/>
      <c r="B977" s="48"/>
      <c r="C977" s="48"/>
      <c r="D977" s="48"/>
      <c r="E977" s="27"/>
      <c r="F977" s="48"/>
      <c r="G977" s="48"/>
      <c r="H977" s="56"/>
      <c r="I977" s="56"/>
      <c r="J977" s="56"/>
      <c r="K977" s="56"/>
      <c r="L977" s="56"/>
      <c r="M977" s="56"/>
      <c r="N977" s="56"/>
      <c r="O977" s="56"/>
      <c r="P977" s="56"/>
      <c r="Q977" s="56"/>
      <c r="R977" s="56"/>
      <c r="S977" s="56"/>
      <c r="T977" s="56"/>
      <c r="U977" s="56"/>
      <c r="V977" s="56"/>
      <c r="W977" s="27"/>
      <c r="X977" s="56"/>
      <c r="Y977" s="27"/>
      <c r="Z977" s="56"/>
      <c r="AA977" s="27"/>
      <c r="AB977" s="56"/>
      <c r="AC977" s="27"/>
      <c r="AD977" s="56"/>
      <c r="AE977" s="27"/>
      <c r="AF977" s="56"/>
      <c r="AG977" s="27"/>
      <c r="AH977" s="286"/>
      <c r="AI977" s="27"/>
      <c r="AJ977" s="56"/>
      <c r="AK977" s="27"/>
      <c r="AL977" s="56"/>
      <c r="AM977" s="27"/>
      <c r="AN977" s="56"/>
      <c r="AO977" s="27"/>
      <c r="AP977" s="56"/>
      <c r="AQ977" s="27"/>
      <c r="AR977" s="56"/>
      <c r="AS977" s="27"/>
      <c r="AT977" s="56"/>
      <c r="AU977" s="27"/>
      <c r="AV977" s="56"/>
      <c r="AW977" s="27"/>
      <c r="AX977" s="56"/>
      <c r="AY977" s="27"/>
      <c r="AZ977" s="56"/>
      <c r="BA977" s="27"/>
      <c r="BB977" s="48"/>
      <c r="BC977" s="48"/>
      <c r="BD977" s="48"/>
      <c r="BE977" s="48"/>
      <c r="BF977" s="48"/>
      <c r="BG977" s="48"/>
      <c r="BH977" s="48"/>
      <c r="BI977" s="48"/>
      <c r="BJ977" s="48"/>
      <c r="BK977" s="48"/>
      <c r="BL977" s="48"/>
      <c r="BM977" s="48"/>
      <c r="BN977" s="48"/>
      <c r="BO977" s="48"/>
      <c r="BP977" s="48"/>
      <c r="BQ977" s="48"/>
      <c r="BR977" s="48"/>
      <c r="BS977" s="48"/>
      <c r="BT977" s="48"/>
      <c r="BU977" s="48"/>
    </row>
    <row r="978" ht="15.75" customHeight="1">
      <c r="A978" s="48"/>
      <c r="B978" s="48"/>
      <c r="C978" s="48"/>
      <c r="D978" s="48"/>
      <c r="E978" s="27"/>
      <c r="F978" s="48"/>
      <c r="G978" s="48"/>
      <c r="H978" s="56"/>
      <c r="I978" s="56"/>
      <c r="J978" s="56"/>
      <c r="K978" s="56"/>
      <c r="L978" s="56"/>
      <c r="M978" s="56"/>
      <c r="N978" s="56"/>
      <c r="O978" s="56"/>
      <c r="P978" s="56"/>
      <c r="Q978" s="56"/>
      <c r="R978" s="56"/>
      <c r="S978" s="56"/>
      <c r="T978" s="56"/>
      <c r="U978" s="56"/>
      <c r="V978" s="56"/>
      <c r="W978" s="27"/>
      <c r="X978" s="56"/>
      <c r="Y978" s="27"/>
      <c r="Z978" s="56"/>
      <c r="AA978" s="27"/>
      <c r="AB978" s="56"/>
      <c r="AC978" s="27"/>
      <c r="AD978" s="56"/>
      <c r="AE978" s="27"/>
      <c r="AF978" s="56"/>
      <c r="AG978" s="27"/>
      <c r="AH978" s="286"/>
      <c r="AI978" s="27"/>
      <c r="AJ978" s="56"/>
      <c r="AK978" s="27"/>
      <c r="AL978" s="56"/>
      <c r="AM978" s="27"/>
      <c r="AN978" s="56"/>
      <c r="AO978" s="27"/>
      <c r="AP978" s="56"/>
      <c r="AQ978" s="27"/>
      <c r="AR978" s="56"/>
      <c r="AS978" s="27"/>
      <c r="AT978" s="56"/>
      <c r="AU978" s="27"/>
      <c r="AV978" s="56"/>
      <c r="AW978" s="27"/>
      <c r="AX978" s="56"/>
      <c r="AY978" s="27"/>
      <c r="AZ978" s="56"/>
      <c r="BA978" s="27"/>
      <c r="BB978" s="48"/>
      <c r="BC978" s="48"/>
      <c r="BD978" s="48"/>
      <c r="BE978" s="48"/>
      <c r="BF978" s="48"/>
      <c r="BG978" s="48"/>
      <c r="BH978" s="48"/>
      <c r="BI978" s="48"/>
      <c r="BJ978" s="48"/>
      <c r="BK978" s="48"/>
      <c r="BL978" s="48"/>
      <c r="BM978" s="48"/>
      <c r="BN978" s="48"/>
      <c r="BO978" s="48"/>
      <c r="BP978" s="48"/>
      <c r="BQ978" s="48"/>
      <c r="BR978" s="48"/>
      <c r="BS978" s="48"/>
      <c r="BT978" s="48"/>
      <c r="BU978" s="48"/>
    </row>
    <row r="979" ht="15.75" customHeight="1">
      <c r="A979" s="48"/>
      <c r="B979" s="48"/>
      <c r="C979" s="48"/>
      <c r="D979" s="48"/>
      <c r="E979" s="27"/>
      <c r="F979" s="48"/>
      <c r="G979" s="48"/>
      <c r="H979" s="56"/>
      <c r="I979" s="56"/>
      <c r="J979" s="56"/>
      <c r="K979" s="56"/>
      <c r="L979" s="56"/>
      <c r="M979" s="56"/>
      <c r="N979" s="56"/>
      <c r="O979" s="56"/>
      <c r="P979" s="56"/>
      <c r="Q979" s="56"/>
      <c r="R979" s="56"/>
      <c r="S979" s="56"/>
      <c r="T979" s="56"/>
      <c r="U979" s="56"/>
      <c r="V979" s="56"/>
      <c r="W979" s="27"/>
      <c r="X979" s="56"/>
      <c r="Y979" s="27"/>
      <c r="Z979" s="56"/>
      <c r="AA979" s="27"/>
      <c r="AB979" s="56"/>
      <c r="AC979" s="27"/>
      <c r="AD979" s="56"/>
      <c r="AE979" s="27"/>
      <c r="AF979" s="56"/>
      <c r="AG979" s="27"/>
      <c r="AH979" s="286"/>
      <c r="AI979" s="27"/>
      <c r="AJ979" s="56"/>
      <c r="AK979" s="27"/>
      <c r="AL979" s="56"/>
      <c r="AM979" s="27"/>
      <c r="AN979" s="56"/>
      <c r="AO979" s="27"/>
      <c r="AP979" s="56"/>
      <c r="AQ979" s="27"/>
      <c r="AR979" s="56"/>
      <c r="AS979" s="27"/>
      <c r="AT979" s="56"/>
      <c r="AU979" s="27"/>
      <c r="AV979" s="56"/>
      <c r="AW979" s="27"/>
      <c r="AX979" s="56"/>
      <c r="AY979" s="27"/>
      <c r="AZ979" s="56"/>
      <c r="BA979" s="27"/>
      <c r="BB979" s="48"/>
      <c r="BC979" s="48"/>
      <c r="BD979" s="48"/>
      <c r="BE979" s="48"/>
      <c r="BF979" s="48"/>
      <c r="BG979" s="48"/>
      <c r="BH979" s="48"/>
      <c r="BI979" s="48"/>
      <c r="BJ979" s="48"/>
      <c r="BK979" s="48"/>
      <c r="BL979" s="48"/>
      <c r="BM979" s="48"/>
      <c r="BN979" s="48"/>
      <c r="BO979" s="48"/>
      <c r="BP979" s="48"/>
      <c r="BQ979" s="48"/>
      <c r="BR979" s="48"/>
      <c r="BS979" s="48"/>
      <c r="BT979" s="48"/>
      <c r="BU979" s="48"/>
    </row>
    <row r="980" ht="15.75" customHeight="1">
      <c r="A980" s="48"/>
      <c r="B980" s="48"/>
      <c r="C980" s="48"/>
      <c r="D980" s="48"/>
      <c r="E980" s="27"/>
      <c r="F980" s="48"/>
      <c r="G980" s="48"/>
      <c r="H980" s="56"/>
      <c r="I980" s="56"/>
      <c r="J980" s="56"/>
      <c r="K980" s="56"/>
      <c r="L980" s="56"/>
      <c r="M980" s="56"/>
      <c r="N980" s="56"/>
      <c r="O980" s="56"/>
      <c r="P980" s="56"/>
      <c r="Q980" s="56"/>
      <c r="R980" s="56"/>
      <c r="S980" s="56"/>
      <c r="T980" s="56"/>
      <c r="U980" s="56"/>
      <c r="V980" s="56"/>
      <c r="W980" s="27"/>
      <c r="X980" s="56"/>
      <c r="Y980" s="27"/>
      <c r="Z980" s="56"/>
      <c r="AA980" s="27"/>
      <c r="AB980" s="56"/>
      <c r="AC980" s="27"/>
      <c r="AD980" s="56"/>
      <c r="AE980" s="27"/>
      <c r="AF980" s="56"/>
      <c r="AG980" s="27"/>
      <c r="AH980" s="286"/>
      <c r="AI980" s="27"/>
      <c r="AJ980" s="56"/>
      <c r="AK980" s="27"/>
      <c r="AL980" s="56"/>
      <c r="AM980" s="27"/>
      <c r="AN980" s="56"/>
      <c r="AO980" s="27"/>
      <c r="AP980" s="56"/>
      <c r="AQ980" s="27"/>
      <c r="AR980" s="56"/>
      <c r="AS980" s="27"/>
      <c r="AT980" s="56"/>
      <c r="AU980" s="27"/>
      <c r="AV980" s="56"/>
      <c r="AW980" s="27"/>
      <c r="AX980" s="56"/>
      <c r="AY980" s="27"/>
      <c r="AZ980" s="56"/>
      <c r="BA980" s="27"/>
      <c r="BB980" s="48"/>
      <c r="BC980" s="48"/>
      <c r="BD980" s="48"/>
      <c r="BE980" s="48"/>
      <c r="BF980" s="48"/>
      <c r="BG980" s="48"/>
      <c r="BH980" s="48"/>
      <c r="BI980" s="48"/>
      <c r="BJ980" s="48"/>
      <c r="BK980" s="48"/>
      <c r="BL980" s="48"/>
      <c r="BM980" s="48"/>
      <c r="BN980" s="48"/>
      <c r="BO980" s="48"/>
      <c r="BP980" s="48"/>
      <c r="BQ980" s="48"/>
      <c r="BR980" s="48"/>
      <c r="BS980" s="48"/>
      <c r="BT980" s="48"/>
      <c r="BU980" s="48"/>
    </row>
    <row r="981" ht="15.75" customHeight="1">
      <c r="A981" s="48"/>
      <c r="B981" s="48"/>
      <c r="C981" s="48"/>
      <c r="D981" s="48"/>
      <c r="E981" s="27"/>
      <c r="F981" s="48"/>
      <c r="G981" s="48"/>
      <c r="H981" s="56"/>
      <c r="I981" s="56"/>
      <c r="J981" s="56"/>
      <c r="K981" s="56"/>
      <c r="L981" s="56"/>
      <c r="M981" s="56"/>
      <c r="N981" s="56"/>
      <c r="O981" s="56"/>
      <c r="P981" s="56"/>
      <c r="Q981" s="56"/>
      <c r="R981" s="56"/>
      <c r="S981" s="56"/>
      <c r="T981" s="56"/>
      <c r="U981" s="56"/>
      <c r="V981" s="56"/>
      <c r="W981" s="27"/>
      <c r="X981" s="56"/>
      <c r="Y981" s="27"/>
      <c r="Z981" s="56"/>
      <c r="AA981" s="27"/>
      <c r="AB981" s="56"/>
      <c r="AC981" s="27"/>
      <c r="AD981" s="56"/>
      <c r="AE981" s="27"/>
      <c r="AF981" s="56"/>
      <c r="AG981" s="27"/>
      <c r="AH981" s="286"/>
      <c r="AI981" s="27"/>
      <c r="AJ981" s="56"/>
      <c r="AK981" s="27"/>
      <c r="AL981" s="56"/>
      <c r="AM981" s="27"/>
      <c r="AN981" s="56"/>
      <c r="AO981" s="27"/>
      <c r="AP981" s="56"/>
      <c r="AQ981" s="27"/>
      <c r="AR981" s="56"/>
      <c r="AS981" s="27"/>
      <c r="AT981" s="56"/>
      <c r="AU981" s="27"/>
      <c r="AV981" s="56"/>
      <c r="AW981" s="27"/>
      <c r="AX981" s="56"/>
      <c r="AY981" s="27"/>
      <c r="AZ981" s="56"/>
      <c r="BA981" s="27"/>
      <c r="BB981" s="48"/>
      <c r="BC981" s="48"/>
      <c r="BD981" s="48"/>
      <c r="BE981" s="48"/>
      <c r="BF981" s="48"/>
      <c r="BG981" s="48"/>
      <c r="BH981" s="48"/>
      <c r="BI981" s="48"/>
      <c r="BJ981" s="48"/>
      <c r="BK981" s="48"/>
      <c r="BL981" s="48"/>
      <c r="BM981" s="48"/>
      <c r="BN981" s="48"/>
      <c r="BO981" s="48"/>
      <c r="BP981" s="48"/>
      <c r="BQ981" s="48"/>
      <c r="BR981" s="48"/>
      <c r="BS981" s="48"/>
      <c r="BT981" s="48"/>
      <c r="BU981" s="48"/>
    </row>
    <row r="982" ht="15.75" customHeight="1">
      <c r="A982" s="48"/>
      <c r="B982" s="48"/>
      <c r="C982" s="48"/>
      <c r="D982" s="48"/>
      <c r="E982" s="27"/>
      <c r="F982" s="48"/>
      <c r="G982" s="48"/>
      <c r="H982" s="56"/>
      <c r="I982" s="56"/>
      <c r="J982" s="56"/>
      <c r="K982" s="56"/>
      <c r="L982" s="56"/>
      <c r="M982" s="56"/>
      <c r="N982" s="56"/>
      <c r="O982" s="56"/>
      <c r="P982" s="56"/>
      <c r="Q982" s="56"/>
      <c r="R982" s="56"/>
      <c r="S982" s="56"/>
      <c r="T982" s="56"/>
      <c r="U982" s="56"/>
      <c r="V982" s="56"/>
      <c r="W982" s="27"/>
      <c r="X982" s="56"/>
      <c r="Y982" s="27"/>
      <c r="Z982" s="56"/>
      <c r="AA982" s="27"/>
      <c r="AB982" s="56"/>
      <c r="AC982" s="27"/>
      <c r="AD982" s="56"/>
      <c r="AE982" s="27"/>
      <c r="AF982" s="56"/>
      <c r="AG982" s="27"/>
      <c r="AH982" s="286"/>
      <c r="AI982" s="27"/>
      <c r="AJ982" s="56"/>
      <c r="AK982" s="27"/>
      <c r="AL982" s="56"/>
      <c r="AM982" s="27"/>
      <c r="AN982" s="56"/>
      <c r="AO982" s="27"/>
      <c r="AP982" s="56"/>
      <c r="AQ982" s="27"/>
      <c r="AR982" s="56"/>
      <c r="AS982" s="27"/>
      <c r="AT982" s="56"/>
      <c r="AU982" s="27"/>
      <c r="AV982" s="56"/>
      <c r="AW982" s="27"/>
      <c r="AX982" s="56"/>
      <c r="AY982" s="27"/>
      <c r="AZ982" s="56"/>
      <c r="BA982" s="27"/>
      <c r="BB982" s="48"/>
      <c r="BC982" s="48"/>
      <c r="BD982" s="48"/>
      <c r="BE982" s="48"/>
      <c r="BF982" s="48"/>
      <c r="BG982" s="48"/>
      <c r="BH982" s="48"/>
      <c r="BI982" s="48"/>
      <c r="BJ982" s="48"/>
      <c r="BK982" s="48"/>
      <c r="BL982" s="48"/>
      <c r="BM982" s="48"/>
      <c r="BN982" s="48"/>
      <c r="BO982" s="48"/>
      <c r="BP982" s="48"/>
      <c r="BQ982" s="48"/>
      <c r="BR982" s="48"/>
      <c r="BS982" s="48"/>
      <c r="BT982" s="48"/>
      <c r="BU982" s="48"/>
    </row>
    <row r="983" ht="15.75" customHeight="1">
      <c r="A983" s="48"/>
      <c r="B983" s="48"/>
      <c r="C983" s="48"/>
      <c r="D983" s="48"/>
      <c r="E983" s="27"/>
      <c r="F983" s="48"/>
      <c r="G983" s="48"/>
      <c r="H983" s="56"/>
      <c r="I983" s="56"/>
      <c r="J983" s="56"/>
      <c r="K983" s="56"/>
      <c r="L983" s="56"/>
      <c r="M983" s="56"/>
      <c r="N983" s="56"/>
      <c r="O983" s="56"/>
      <c r="P983" s="56"/>
      <c r="Q983" s="56"/>
      <c r="R983" s="56"/>
      <c r="S983" s="56"/>
      <c r="T983" s="56"/>
      <c r="U983" s="56"/>
      <c r="V983" s="56"/>
      <c r="W983" s="27"/>
      <c r="X983" s="56"/>
      <c r="Y983" s="27"/>
      <c r="Z983" s="56"/>
      <c r="AA983" s="27"/>
      <c r="AB983" s="56"/>
      <c r="AC983" s="27"/>
      <c r="AD983" s="56"/>
      <c r="AE983" s="27"/>
      <c r="AF983" s="56"/>
      <c r="AG983" s="27"/>
      <c r="AH983" s="286"/>
      <c r="AI983" s="27"/>
      <c r="AJ983" s="56"/>
      <c r="AK983" s="27"/>
      <c r="AL983" s="56"/>
      <c r="AM983" s="27"/>
      <c r="AN983" s="56"/>
      <c r="AO983" s="27"/>
      <c r="AP983" s="56"/>
      <c r="AQ983" s="27"/>
      <c r="AR983" s="56"/>
      <c r="AS983" s="27"/>
      <c r="AT983" s="56"/>
      <c r="AU983" s="27"/>
      <c r="AV983" s="56"/>
      <c r="AW983" s="27"/>
      <c r="AX983" s="56"/>
      <c r="AY983" s="27"/>
      <c r="AZ983" s="56"/>
      <c r="BA983" s="27"/>
      <c r="BB983" s="48"/>
      <c r="BC983" s="48"/>
      <c r="BD983" s="48"/>
      <c r="BE983" s="48"/>
      <c r="BF983" s="48"/>
      <c r="BG983" s="48"/>
      <c r="BH983" s="48"/>
      <c r="BI983" s="48"/>
      <c r="BJ983" s="48"/>
      <c r="BK983" s="48"/>
      <c r="BL983" s="48"/>
      <c r="BM983" s="48"/>
      <c r="BN983" s="48"/>
      <c r="BO983" s="48"/>
      <c r="BP983" s="48"/>
      <c r="BQ983" s="48"/>
      <c r="BR983" s="48"/>
      <c r="BS983" s="48"/>
      <c r="BT983" s="48"/>
      <c r="BU983" s="48"/>
    </row>
    <row r="984" ht="15.75" customHeight="1">
      <c r="A984" s="48"/>
      <c r="B984" s="48"/>
      <c r="C984" s="48"/>
      <c r="D984" s="48"/>
      <c r="E984" s="27"/>
      <c r="F984" s="48"/>
      <c r="G984" s="48"/>
      <c r="H984" s="56"/>
      <c r="I984" s="56"/>
      <c r="J984" s="56"/>
      <c r="K984" s="56"/>
      <c r="L984" s="56"/>
      <c r="M984" s="56"/>
      <c r="N984" s="56"/>
      <c r="O984" s="56"/>
      <c r="P984" s="56"/>
      <c r="Q984" s="56"/>
      <c r="R984" s="56"/>
      <c r="S984" s="56"/>
      <c r="T984" s="56"/>
      <c r="U984" s="56"/>
      <c r="V984" s="56"/>
      <c r="W984" s="27"/>
      <c r="X984" s="56"/>
      <c r="Y984" s="27"/>
      <c r="Z984" s="56"/>
      <c r="AA984" s="27"/>
      <c r="AB984" s="56"/>
      <c r="AC984" s="27"/>
      <c r="AD984" s="56"/>
      <c r="AE984" s="27"/>
      <c r="AF984" s="56"/>
      <c r="AG984" s="27"/>
      <c r="AH984" s="286"/>
      <c r="AI984" s="27"/>
      <c r="AJ984" s="56"/>
      <c r="AK984" s="27"/>
      <c r="AL984" s="56"/>
      <c r="AM984" s="27"/>
      <c r="AN984" s="56"/>
      <c r="AO984" s="27"/>
      <c r="AP984" s="56"/>
      <c r="AQ984" s="27"/>
      <c r="AR984" s="56"/>
      <c r="AS984" s="27"/>
      <c r="AT984" s="56"/>
      <c r="AU984" s="27"/>
      <c r="AV984" s="56"/>
      <c r="AW984" s="27"/>
      <c r="AX984" s="56"/>
      <c r="AY984" s="27"/>
      <c r="AZ984" s="56"/>
      <c r="BA984" s="27"/>
      <c r="BB984" s="48"/>
      <c r="BC984" s="48"/>
      <c r="BD984" s="48"/>
      <c r="BE984" s="48"/>
      <c r="BF984" s="48"/>
      <c r="BG984" s="48"/>
      <c r="BH984" s="48"/>
      <c r="BI984" s="48"/>
      <c r="BJ984" s="48"/>
      <c r="BK984" s="48"/>
      <c r="BL984" s="48"/>
      <c r="BM984" s="48"/>
      <c r="BN984" s="48"/>
      <c r="BO984" s="48"/>
      <c r="BP984" s="48"/>
      <c r="BQ984" s="48"/>
      <c r="BR984" s="48"/>
      <c r="BS984" s="48"/>
      <c r="BT984" s="48"/>
      <c r="BU984" s="48"/>
    </row>
    <row r="985" ht="15.75" customHeight="1">
      <c r="A985" s="48"/>
      <c r="B985" s="48"/>
      <c r="C985" s="48"/>
      <c r="D985" s="48"/>
      <c r="E985" s="27"/>
      <c r="F985" s="48"/>
      <c r="G985" s="48"/>
      <c r="H985" s="56"/>
      <c r="I985" s="56"/>
      <c r="J985" s="56"/>
      <c r="K985" s="56"/>
      <c r="L985" s="56"/>
      <c r="M985" s="56"/>
      <c r="N985" s="56"/>
      <c r="O985" s="56"/>
      <c r="P985" s="56"/>
      <c r="Q985" s="56"/>
      <c r="R985" s="56"/>
      <c r="S985" s="56"/>
      <c r="T985" s="56"/>
      <c r="U985" s="56"/>
      <c r="V985" s="56"/>
      <c r="W985" s="27"/>
      <c r="X985" s="56"/>
      <c r="Y985" s="27"/>
      <c r="Z985" s="56"/>
      <c r="AA985" s="27"/>
      <c r="AB985" s="56"/>
      <c r="AC985" s="27"/>
      <c r="AD985" s="56"/>
      <c r="AE985" s="27"/>
      <c r="AF985" s="56"/>
      <c r="AG985" s="27"/>
      <c r="AH985" s="286"/>
      <c r="AI985" s="27"/>
      <c r="AJ985" s="56"/>
      <c r="AK985" s="27"/>
      <c r="AL985" s="56"/>
      <c r="AM985" s="27"/>
      <c r="AN985" s="56"/>
      <c r="AO985" s="27"/>
      <c r="AP985" s="56"/>
      <c r="AQ985" s="27"/>
      <c r="AR985" s="56"/>
      <c r="AS985" s="27"/>
      <c r="AT985" s="56"/>
      <c r="AU985" s="27"/>
      <c r="AV985" s="56"/>
      <c r="AW985" s="27"/>
      <c r="AX985" s="56"/>
      <c r="AY985" s="27"/>
      <c r="AZ985" s="56"/>
      <c r="BA985" s="27"/>
      <c r="BB985" s="48"/>
      <c r="BC985" s="48"/>
      <c r="BD985" s="48"/>
      <c r="BE985" s="48"/>
      <c r="BF985" s="48"/>
      <c r="BG985" s="48"/>
      <c r="BH985" s="48"/>
      <c r="BI985" s="48"/>
      <c r="BJ985" s="48"/>
      <c r="BK985" s="48"/>
      <c r="BL985" s="48"/>
      <c r="BM985" s="48"/>
      <c r="BN985" s="48"/>
      <c r="BO985" s="48"/>
      <c r="BP985" s="48"/>
      <c r="BQ985" s="48"/>
      <c r="BR985" s="48"/>
      <c r="BS985" s="48"/>
      <c r="BT985" s="48"/>
      <c r="BU985" s="48"/>
    </row>
    <row r="986" ht="15.75" customHeight="1">
      <c r="A986" s="48"/>
      <c r="B986" s="48"/>
      <c r="C986" s="48"/>
      <c r="D986" s="48"/>
      <c r="E986" s="27"/>
      <c r="F986" s="48"/>
      <c r="G986" s="48"/>
      <c r="H986" s="56"/>
      <c r="I986" s="56"/>
      <c r="J986" s="56"/>
      <c r="K986" s="56"/>
      <c r="L986" s="56"/>
      <c r="M986" s="56"/>
      <c r="N986" s="56"/>
      <c r="O986" s="56"/>
      <c r="P986" s="56"/>
      <c r="Q986" s="56"/>
      <c r="R986" s="56"/>
      <c r="S986" s="56"/>
      <c r="T986" s="56"/>
      <c r="U986" s="56"/>
      <c r="V986" s="56"/>
      <c r="W986" s="27"/>
      <c r="X986" s="56"/>
      <c r="Y986" s="27"/>
      <c r="Z986" s="56"/>
      <c r="AA986" s="27"/>
      <c r="AB986" s="56"/>
      <c r="AC986" s="27"/>
      <c r="AD986" s="56"/>
      <c r="AE986" s="27"/>
      <c r="AF986" s="56"/>
      <c r="AG986" s="27"/>
      <c r="AH986" s="286"/>
      <c r="AI986" s="27"/>
      <c r="AJ986" s="56"/>
      <c r="AK986" s="27"/>
      <c r="AL986" s="56"/>
      <c r="AM986" s="27"/>
      <c r="AN986" s="56"/>
      <c r="AO986" s="27"/>
      <c r="AP986" s="56"/>
      <c r="AQ986" s="27"/>
      <c r="AR986" s="56"/>
      <c r="AS986" s="27"/>
      <c r="AT986" s="56"/>
      <c r="AU986" s="27"/>
      <c r="AV986" s="56"/>
      <c r="AW986" s="27"/>
      <c r="AX986" s="56"/>
      <c r="AY986" s="27"/>
      <c r="AZ986" s="56"/>
      <c r="BA986" s="27"/>
      <c r="BB986" s="48"/>
      <c r="BC986" s="48"/>
      <c r="BD986" s="48"/>
      <c r="BE986" s="48"/>
      <c r="BF986" s="48"/>
      <c r="BG986" s="48"/>
      <c r="BH986" s="48"/>
      <c r="BI986" s="48"/>
      <c r="BJ986" s="48"/>
      <c r="BK986" s="48"/>
      <c r="BL986" s="48"/>
      <c r="BM986" s="48"/>
      <c r="BN986" s="48"/>
      <c r="BO986" s="48"/>
      <c r="BP986" s="48"/>
      <c r="BQ986" s="48"/>
      <c r="BR986" s="48"/>
      <c r="BS986" s="48"/>
      <c r="BT986" s="48"/>
      <c r="BU986" s="48"/>
    </row>
    <row r="987" ht="15.75" customHeight="1">
      <c r="A987" s="48"/>
      <c r="B987" s="48"/>
      <c r="C987" s="48"/>
      <c r="D987" s="48"/>
      <c r="E987" s="27"/>
      <c r="F987" s="48"/>
      <c r="G987" s="48"/>
      <c r="H987" s="56"/>
      <c r="I987" s="56"/>
      <c r="J987" s="56"/>
      <c r="K987" s="56"/>
      <c r="L987" s="56"/>
      <c r="M987" s="56"/>
      <c r="N987" s="56"/>
      <c r="O987" s="56"/>
      <c r="P987" s="56"/>
      <c r="Q987" s="56"/>
      <c r="R987" s="56"/>
      <c r="S987" s="56"/>
      <c r="T987" s="56"/>
      <c r="U987" s="56"/>
      <c r="V987" s="56"/>
      <c r="W987" s="27"/>
      <c r="X987" s="56"/>
      <c r="Y987" s="27"/>
      <c r="Z987" s="56"/>
      <c r="AA987" s="27"/>
      <c r="AB987" s="56"/>
      <c r="AC987" s="27"/>
      <c r="AD987" s="56"/>
      <c r="AE987" s="27"/>
      <c r="AF987" s="56"/>
      <c r="AG987" s="27"/>
      <c r="AH987" s="286"/>
      <c r="AI987" s="27"/>
      <c r="AJ987" s="56"/>
      <c r="AK987" s="27"/>
      <c r="AL987" s="56"/>
      <c r="AM987" s="27"/>
      <c r="AN987" s="56"/>
      <c r="AO987" s="27"/>
      <c r="AP987" s="56"/>
      <c r="AQ987" s="27"/>
      <c r="AR987" s="56"/>
      <c r="AS987" s="27"/>
      <c r="AT987" s="56"/>
      <c r="AU987" s="27"/>
      <c r="AV987" s="56"/>
      <c r="AW987" s="27"/>
      <c r="AX987" s="56"/>
      <c r="AY987" s="27"/>
      <c r="AZ987" s="56"/>
      <c r="BA987" s="27"/>
      <c r="BB987" s="48"/>
      <c r="BC987" s="48"/>
      <c r="BD987" s="48"/>
      <c r="BE987" s="48"/>
      <c r="BF987" s="48"/>
      <c r="BG987" s="48"/>
      <c r="BH987" s="48"/>
      <c r="BI987" s="48"/>
      <c r="BJ987" s="48"/>
      <c r="BK987" s="48"/>
      <c r="BL987" s="48"/>
      <c r="BM987" s="48"/>
      <c r="BN987" s="48"/>
      <c r="BO987" s="48"/>
      <c r="BP987" s="48"/>
      <c r="BQ987" s="48"/>
      <c r="BR987" s="48"/>
      <c r="BS987" s="48"/>
      <c r="BT987" s="48"/>
      <c r="BU987" s="48"/>
    </row>
    <row r="988" ht="15.75" customHeight="1">
      <c r="A988" s="48"/>
      <c r="B988" s="48"/>
      <c r="C988" s="48"/>
      <c r="D988" s="48"/>
      <c r="E988" s="27"/>
      <c r="F988" s="48"/>
      <c r="G988" s="48"/>
      <c r="H988" s="56"/>
      <c r="I988" s="56"/>
      <c r="J988" s="56"/>
      <c r="K988" s="56"/>
      <c r="L988" s="56"/>
      <c r="M988" s="56"/>
      <c r="N988" s="56"/>
      <c r="O988" s="56"/>
      <c r="P988" s="56"/>
      <c r="Q988" s="56"/>
      <c r="R988" s="56"/>
      <c r="S988" s="56"/>
      <c r="T988" s="56"/>
      <c r="U988" s="56"/>
      <c r="V988" s="56"/>
      <c r="W988" s="27"/>
      <c r="X988" s="56"/>
      <c r="Y988" s="27"/>
      <c r="Z988" s="56"/>
      <c r="AA988" s="27"/>
      <c r="AB988" s="56"/>
      <c r="AC988" s="27"/>
      <c r="AD988" s="56"/>
      <c r="AE988" s="27"/>
      <c r="AF988" s="56"/>
      <c r="AG988" s="27"/>
      <c r="AH988" s="286"/>
      <c r="AI988" s="27"/>
      <c r="AJ988" s="56"/>
      <c r="AK988" s="27"/>
      <c r="AL988" s="56"/>
      <c r="AM988" s="27"/>
      <c r="AN988" s="56"/>
      <c r="AO988" s="27"/>
      <c r="AP988" s="56"/>
      <c r="AQ988" s="27"/>
      <c r="AR988" s="56"/>
      <c r="AS988" s="27"/>
      <c r="AT988" s="56"/>
      <c r="AU988" s="27"/>
      <c r="AV988" s="56"/>
      <c r="AW988" s="27"/>
      <c r="AX988" s="56"/>
      <c r="AY988" s="27"/>
      <c r="AZ988" s="56"/>
      <c r="BA988" s="27"/>
      <c r="BB988" s="48"/>
      <c r="BC988" s="48"/>
      <c r="BD988" s="48"/>
      <c r="BE988" s="48"/>
      <c r="BF988" s="48"/>
      <c r="BG988" s="48"/>
      <c r="BH988" s="48"/>
      <c r="BI988" s="48"/>
      <c r="BJ988" s="48"/>
      <c r="BK988" s="48"/>
      <c r="BL988" s="48"/>
      <c r="BM988" s="48"/>
      <c r="BN988" s="48"/>
      <c r="BO988" s="48"/>
      <c r="BP988" s="48"/>
      <c r="BQ988" s="48"/>
      <c r="BR988" s="48"/>
      <c r="BS988" s="48"/>
      <c r="BT988" s="48"/>
      <c r="BU988" s="48"/>
    </row>
    <row r="989" ht="15.75" customHeight="1">
      <c r="A989" s="48"/>
      <c r="B989" s="48"/>
      <c r="C989" s="48"/>
      <c r="D989" s="48"/>
      <c r="E989" s="27"/>
      <c r="F989" s="48"/>
      <c r="G989" s="48"/>
      <c r="H989" s="56"/>
      <c r="I989" s="56"/>
      <c r="J989" s="56"/>
      <c r="K989" s="56"/>
      <c r="L989" s="56"/>
      <c r="M989" s="56"/>
      <c r="N989" s="56"/>
      <c r="O989" s="56"/>
      <c r="P989" s="56"/>
      <c r="Q989" s="56"/>
      <c r="R989" s="56"/>
      <c r="S989" s="56"/>
      <c r="T989" s="56"/>
      <c r="U989" s="56"/>
      <c r="V989" s="56"/>
      <c r="W989" s="27"/>
      <c r="X989" s="56"/>
      <c r="Y989" s="27"/>
      <c r="Z989" s="56"/>
      <c r="AA989" s="27"/>
      <c r="AB989" s="56"/>
      <c r="AC989" s="27"/>
      <c r="AD989" s="56"/>
      <c r="AE989" s="27"/>
      <c r="AF989" s="56"/>
      <c r="AG989" s="27"/>
      <c r="AH989" s="286"/>
      <c r="AI989" s="27"/>
      <c r="AJ989" s="56"/>
      <c r="AK989" s="27"/>
      <c r="AL989" s="56"/>
      <c r="AM989" s="27"/>
      <c r="AN989" s="56"/>
      <c r="AO989" s="27"/>
      <c r="AP989" s="56"/>
      <c r="AQ989" s="27"/>
      <c r="AR989" s="56"/>
      <c r="AS989" s="27"/>
      <c r="AT989" s="56"/>
      <c r="AU989" s="27"/>
      <c r="AV989" s="56"/>
      <c r="AW989" s="27"/>
      <c r="AX989" s="56"/>
      <c r="AY989" s="27"/>
      <c r="AZ989" s="56"/>
      <c r="BA989" s="27"/>
      <c r="BB989" s="48"/>
      <c r="BC989" s="48"/>
      <c r="BD989" s="48"/>
      <c r="BE989" s="48"/>
      <c r="BF989" s="48"/>
      <c r="BG989" s="48"/>
      <c r="BH989" s="48"/>
      <c r="BI989" s="48"/>
      <c r="BJ989" s="48"/>
      <c r="BK989" s="48"/>
      <c r="BL989" s="48"/>
      <c r="BM989" s="48"/>
      <c r="BN989" s="48"/>
      <c r="BO989" s="48"/>
      <c r="BP989" s="48"/>
      <c r="BQ989" s="48"/>
      <c r="BR989" s="48"/>
      <c r="BS989" s="48"/>
      <c r="BT989" s="48"/>
      <c r="BU989" s="48"/>
    </row>
    <row r="990" ht="15.75" customHeight="1">
      <c r="A990" s="48"/>
      <c r="B990" s="48"/>
      <c r="C990" s="48"/>
      <c r="D990" s="48"/>
      <c r="E990" s="27"/>
      <c r="F990" s="48"/>
      <c r="G990" s="48"/>
      <c r="H990" s="56"/>
      <c r="I990" s="56"/>
      <c r="J990" s="56"/>
      <c r="K990" s="56"/>
      <c r="L990" s="56"/>
      <c r="M990" s="56"/>
      <c r="N990" s="56"/>
      <c r="O990" s="56"/>
      <c r="P990" s="56"/>
      <c r="Q990" s="56"/>
      <c r="R990" s="56"/>
      <c r="S990" s="56"/>
      <c r="T990" s="56"/>
      <c r="U990" s="56"/>
      <c r="V990" s="56"/>
      <c r="W990" s="27"/>
      <c r="X990" s="56"/>
      <c r="Y990" s="27"/>
      <c r="Z990" s="56"/>
      <c r="AA990" s="27"/>
      <c r="AB990" s="56"/>
      <c r="AC990" s="27"/>
      <c r="AD990" s="56"/>
      <c r="AE990" s="27"/>
      <c r="AF990" s="56"/>
      <c r="AG990" s="27"/>
      <c r="AH990" s="286"/>
      <c r="AI990" s="27"/>
      <c r="AJ990" s="56"/>
      <c r="AK990" s="27"/>
      <c r="AL990" s="56"/>
      <c r="AM990" s="27"/>
      <c r="AN990" s="56"/>
      <c r="AO990" s="27"/>
      <c r="AP990" s="56"/>
      <c r="AQ990" s="27"/>
      <c r="AR990" s="56"/>
      <c r="AS990" s="27"/>
      <c r="AT990" s="56"/>
      <c r="AU990" s="27"/>
      <c r="AV990" s="56"/>
      <c r="AW990" s="27"/>
      <c r="AX990" s="56"/>
      <c r="AY990" s="27"/>
      <c r="AZ990" s="56"/>
      <c r="BA990" s="27"/>
      <c r="BB990" s="48"/>
      <c r="BC990" s="48"/>
      <c r="BD990" s="48"/>
      <c r="BE990" s="48"/>
      <c r="BF990" s="48"/>
      <c r="BG990" s="48"/>
      <c r="BH990" s="48"/>
      <c r="BI990" s="48"/>
      <c r="BJ990" s="48"/>
      <c r="BK990" s="48"/>
      <c r="BL990" s="48"/>
      <c r="BM990" s="48"/>
      <c r="BN990" s="48"/>
      <c r="BO990" s="48"/>
      <c r="BP990" s="48"/>
      <c r="BQ990" s="48"/>
      <c r="BR990" s="48"/>
      <c r="BS990" s="48"/>
      <c r="BT990" s="48"/>
      <c r="BU990" s="48"/>
    </row>
    <row r="991" ht="15.75" customHeight="1">
      <c r="A991" s="48"/>
      <c r="B991" s="48"/>
      <c r="C991" s="48"/>
      <c r="D991" s="48"/>
      <c r="E991" s="27"/>
      <c r="F991" s="48"/>
      <c r="G991" s="48"/>
      <c r="H991" s="56"/>
      <c r="I991" s="56"/>
      <c r="J991" s="56"/>
      <c r="K991" s="56"/>
      <c r="L991" s="56"/>
      <c r="M991" s="56"/>
      <c r="N991" s="56"/>
      <c r="O991" s="56"/>
      <c r="P991" s="56"/>
      <c r="Q991" s="56"/>
      <c r="R991" s="56"/>
      <c r="S991" s="56"/>
      <c r="T991" s="56"/>
      <c r="U991" s="56"/>
      <c r="V991" s="56"/>
      <c r="W991" s="27"/>
      <c r="X991" s="56"/>
      <c r="Y991" s="27"/>
      <c r="Z991" s="56"/>
      <c r="AA991" s="27"/>
      <c r="AB991" s="56"/>
      <c r="AC991" s="27"/>
      <c r="AD991" s="56"/>
      <c r="AE991" s="27"/>
      <c r="AF991" s="56"/>
      <c r="AG991" s="27"/>
      <c r="AH991" s="286"/>
      <c r="AI991" s="27"/>
      <c r="AJ991" s="56"/>
      <c r="AK991" s="27"/>
      <c r="AL991" s="56"/>
      <c r="AM991" s="27"/>
      <c r="AN991" s="56"/>
      <c r="AO991" s="27"/>
      <c r="AP991" s="56"/>
      <c r="AQ991" s="27"/>
      <c r="AR991" s="56"/>
      <c r="AS991" s="27"/>
      <c r="AT991" s="56"/>
      <c r="AU991" s="27"/>
      <c r="AV991" s="56"/>
      <c r="AW991" s="27"/>
      <c r="AX991" s="56"/>
      <c r="AY991" s="27"/>
      <c r="AZ991" s="56"/>
      <c r="BA991" s="27"/>
      <c r="BB991" s="48"/>
      <c r="BC991" s="48"/>
      <c r="BD991" s="48"/>
      <c r="BE991" s="48"/>
      <c r="BF991" s="48"/>
      <c r="BG991" s="48"/>
      <c r="BH991" s="48"/>
      <c r="BI991" s="48"/>
      <c r="BJ991" s="48"/>
      <c r="BK991" s="48"/>
      <c r="BL991" s="48"/>
      <c r="BM991" s="48"/>
      <c r="BN991" s="48"/>
      <c r="BO991" s="48"/>
      <c r="BP991" s="48"/>
      <c r="BQ991" s="48"/>
      <c r="BR991" s="48"/>
      <c r="BS991" s="48"/>
      <c r="BT991" s="48"/>
      <c r="BU991" s="48"/>
    </row>
    <row r="992" ht="15.75" customHeight="1">
      <c r="A992" s="48"/>
      <c r="B992" s="48"/>
      <c r="C992" s="48"/>
      <c r="D992" s="48"/>
      <c r="E992" s="27"/>
      <c r="F992" s="48"/>
      <c r="G992" s="48"/>
      <c r="H992" s="56"/>
      <c r="I992" s="56"/>
      <c r="J992" s="56"/>
      <c r="K992" s="56"/>
      <c r="L992" s="56"/>
      <c r="M992" s="56"/>
      <c r="N992" s="56"/>
      <c r="O992" s="56"/>
      <c r="P992" s="56"/>
      <c r="Q992" s="56"/>
      <c r="R992" s="56"/>
      <c r="S992" s="56"/>
      <c r="T992" s="56"/>
      <c r="U992" s="56"/>
      <c r="V992" s="56"/>
      <c r="W992" s="27"/>
      <c r="X992" s="56"/>
      <c r="Y992" s="27"/>
      <c r="Z992" s="56"/>
      <c r="AA992" s="27"/>
      <c r="AB992" s="56"/>
      <c r="AC992" s="27"/>
      <c r="AD992" s="56"/>
      <c r="AE992" s="27"/>
      <c r="AF992" s="56"/>
      <c r="AG992" s="27"/>
      <c r="AH992" s="286"/>
      <c r="AI992" s="27"/>
      <c r="AJ992" s="56"/>
      <c r="AK992" s="27"/>
      <c r="AL992" s="56"/>
      <c r="AM992" s="27"/>
      <c r="AN992" s="56"/>
      <c r="AO992" s="27"/>
      <c r="AP992" s="56"/>
      <c r="AQ992" s="27"/>
      <c r="AR992" s="56"/>
      <c r="AS992" s="27"/>
      <c r="AT992" s="56"/>
      <c r="AU992" s="27"/>
      <c r="AV992" s="56"/>
      <c r="AW992" s="27"/>
      <c r="AX992" s="56"/>
      <c r="AY992" s="27"/>
      <c r="AZ992" s="56"/>
      <c r="BA992" s="27"/>
      <c r="BB992" s="48"/>
      <c r="BC992" s="48"/>
      <c r="BD992" s="48"/>
      <c r="BE992" s="48"/>
      <c r="BF992" s="48"/>
      <c r="BG992" s="48"/>
      <c r="BH992" s="48"/>
      <c r="BI992" s="48"/>
      <c r="BJ992" s="48"/>
      <c r="BK992" s="48"/>
      <c r="BL992" s="48"/>
      <c r="BM992" s="48"/>
      <c r="BN992" s="48"/>
      <c r="BO992" s="48"/>
      <c r="BP992" s="48"/>
      <c r="BQ992" s="48"/>
      <c r="BR992" s="48"/>
      <c r="BS992" s="48"/>
      <c r="BT992" s="48"/>
      <c r="BU992" s="48"/>
    </row>
    <row r="993" ht="15.75" customHeight="1">
      <c r="A993" s="48"/>
      <c r="B993" s="48"/>
      <c r="C993" s="48"/>
      <c r="D993" s="48"/>
      <c r="E993" s="27"/>
      <c r="F993" s="48"/>
      <c r="G993" s="48"/>
      <c r="H993" s="56"/>
      <c r="I993" s="56"/>
      <c r="J993" s="56"/>
      <c r="K993" s="56"/>
      <c r="L993" s="56"/>
      <c r="M993" s="56"/>
      <c r="N993" s="56"/>
      <c r="O993" s="56"/>
      <c r="P993" s="56"/>
      <c r="Q993" s="56"/>
      <c r="R993" s="56"/>
      <c r="S993" s="56"/>
      <c r="T993" s="56"/>
      <c r="U993" s="56"/>
      <c r="V993" s="56"/>
      <c r="W993" s="27"/>
      <c r="X993" s="56"/>
      <c r="Y993" s="27"/>
      <c r="Z993" s="56"/>
      <c r="AA993" s="27"/>
      <c r="AB993" s="56"/>
      <c r="AC993" s="27"/>
      <c r="AD993" s="56"/>
      <c r="AE993" s="27"/>
      <c r="AF993" s="56"/>
      <c r="AG993" s="27"/>
      <c r="AH993" s="286"/>
      <c r="AI993" s="27"/>
      <c r="AJ993" s="56"/>
      <c r="AK993" s="27"/>
      <c r="AL993" s="56"/>
      <c r="AM993" s="27"/>
      <c r="AN993" s="56"/>
      <c r="AO993" s="27"/>
      <c r="AP993" s="56"/>
      <c r="AQ993" s="27"/>
      <c r="AR993" s="56"/>
      <c r="AS993" s="27"/>
      <c r="AT993" s="56"/>
      <c r="AU993" s="27"/>
      <c r="AV993" s="56"/>
      <c r="AW993" s="27"/>
      <c r="AX993" s="56"/>
      <c r="AY993" s="27"/>
      <c r="AZ993" s="56"/>
      <c r="BA993" s="27"/>
      <c r="BB993" s="48"/>
      <c r="BC993" s="48"/>
      <c r="BD993" s="48"/>
      <c r="BE993" s="48"/>
      <c r="BF993" s="48"/>
      <c r="BG993" s="48"/>
      <c r="BH993" s="48"/>
      <c r="BI993" s="48"/>
      <c r="BJ993" s="48"/>
      <c r="BK993" s="48"/>
      <c r="BL993" s="48"/>
      <c r="BM993" s="48"/>
      <c r="BN993" s="48"/>
      <c r="BO993" s="48"/>
      <c r="BP993" s="48"/>
      <c r="BQ993" s="48"/>
      <c r="BR993" s="48"/>
      <c r="BS993" s="48"/>
      <c r="BT993" s="48"/>
      <c r="BU993" s="48"/>
    </row>
    <row r="994" ht="15.75" customHeight="1">
      <c r="A994" s="48"/>
      <c r="B994" s="48"/>
      <c r="C994" s="48"/>
      <c r="D994" s="48"/>
      <c r="E994" s="27"/>
      <c r="F994" s="48"/>
      <c r="G994" s="48"/>
      <c r="H994" s="56"/>
      <c r="I994" s="56"/>
      <c r="J994" s="56"/>
      <c r="K994" s="56"/>
      <c r="L994" s="56"/>
      <c r="M994" s="56"/>
      <c r="N994" s="56"/>
      <c r="O994" s="56"/>
      <c r="P994" s="56"/>
      <c r="Q994" s="56"/>
      <c r="R994" s="56"/>
      <c r="S994" s="56"/>
      <c r="T994" s="56"/>
      <c r="U994" s="56"/>
      <c r="V994" s="56"/>
      <c r="W994" s="27"/>
      <c r="X994" s="56"/>
      <c r="Y994" s="27"/>
      <c r="Z994" s="56"/>
      <c r="AA994" s="27"/>
      <c r="AB994" s="56"/>
      <c r="AC994" s="27"/>
      <c r="AD994" s="56"/>
      <c r="AE994" s="27"/>
      <c r="AF994" s="56"/>
      <c r="AG994" s="27"/>
      <c r="AH994" s="286"/>
      <c r="AI994" s="27"/>
      <c r="AJ994" s="56"/>
      <c r="AK994" s="27"/>
      <c r="AL994" s="56"/>
      <c r="AM994" s="27"/>
      <c r="AN994" s="56"/>
      <c r="AO994" s="27"/>
      <c r="AP994" s="56"/>
      <c r="AQ994" s="27"/>
      <c r="AR994" s="56"/>
      <c r="AS994" s="27"/>
      <c r="AT994" s="56"/>
      <c r="AU994" s="27"/>
      <c r="AV994" s="56"/>
      <c r="AW994" s="27"/>
      <c r="AX994" s="56"/>
      <c r="AY994" s="27"/>
      <c r="AZ994" s="56"/>
      <c r="BA994" s="27"/>
      <c r="BB994" s="48"/>
      <c r="BC994" s="48"/>
      <c r="BD994" s="48"/>
      <c r="BE994" s="48"/>
      <c r="BF994" s="48"/>
      <c r="BG994" s="48"/>
      <c r="BH994" s="48"/>
      <c r="BI994" s="48"/>
      <c r="BJ994" s="48"/>
      <c r="BK994" s="48"/>
      <c r="BL994" s="48"/>
      <c r="BM994" s="48"/>
      <c r="BN994" s="48"/>
      <c r="BO994" s="48"/>
      <c r="BP994" s="48"/>
      <c r="BQ994" s="48"/>
      <c r="BR994" s="48"/>
      <c r="BS994" s="48"/>
      <c r="BT994" s="48"/>
      <c r="BU994" s="48"/>
    </row>
    <row r="995" ht="15.75" customHeight="1">
      <c r="A995" s="48"/>
      <c r="B995" s="48"/>
      <c r="C995" s="48"/>
      <c r="D995" s="48"/>
      <c r="E995" s="27"/>
      <c r="F995" s="48"/>
      <c r="G995" s="48"/>
      <c r="H995" s="56"/>
      <c r="I995" s="56"/>
      <c r="J995" s="56"/>
      <c r="K995" s="56"/>
      <c r="L995" s="56"/>
      <c r="M995" s="56"/>
      <c r="N995" s="56"/>
      <c r="O995" s="56"/>
      <c r="P995" s="56"/>
      <c r="Q995" s="56"/>
      <c r="R995" s="56"/>
      <c r="S995" s="56"/>
      <c r="T995" s="56"/>
      <c r="U995" s="56"/>
      <c r="V995" s="56"/>
      <c r="W995" s="27"/>
      <c r="X995" s="56"/>
      <c r="Y995" s="27"/>
      <c r="Z995" s="56"/>
      <c r="AA995" s="27"/>
      <c r="AB995" s="56"/>
      <c r="AC995" s="27"/>
      <c r="AD995" s="56"/>
      <c r="AE995" s="27"/>
      <c r="AF995" s="56"/>
      <c r="AG995" s="27"/>
      <c r="AH995" s="286"/>
      <c r="AI995" s="27"/>
      <c r="AJ995" s="56"/>
      <c r="AK995" s="27"/>
      <c r="AL995" s="56"/>
      <c r="AM995" s="27"/>
      <c r="AN995" s="56"/>
      <c r="AO995" s="27"/>
      <c r="AP995" s="56"/>
      <c r="AQ995" s="27"/>
      <c r="AR995" s="56"/>
      <c r="AS995" s="27"/>
      <c r="AT995" s="56"/>
      <c r="AU995" s="27"/>
      <c r="AV995" s="56"/>
      <c r="AW995" s="27"/>
      <c r="AX995" s="56"/>
      <c r="AY995" s="27"/>
      <c r="AZ995" s="56"/>
      <c r="BA995" s="27"/>
      <c r="BB995" s="48"/>
      <c r="BC995" s="48"/>
      <c r="BD995" s="48"/>
      <c r="BE995" s="48"/>
      <c r="BF995" s="48"/>
      <c r="BG995" s="48"/>
      <c r="BH995" s="48"/>
      <c r="BI995" s="48"/>
      <c r="BJ995" s="48"/>
      <c r="BK995" s="48"/>
      <c r="BL995" s="48"/>
      <c r="BM995" s="48"/>
      <c r="BN995" s="48"/>
      <c r="BO995" s="48"/>
      <c r="BP995" s="48"/>
      <c r="BQ995" s="48"/>
      <c r="BR995" s="48"/>
      <c r="BS995" s="48"/>
      <c r="BT995" s="48"/>
      <c r="BU995" s="48"/>
    </row>
    <row r="996" ht="15.75" customHeight="1">
      <c r="A996" s="48"/>
      <c r="B996" s="48"/>
      <c r="C996" s="48"/>
      <c r="D996" s="48"/>
      <c r="E996" s="27"/>
      <c r="F996" s="48"/>
      <c r="G996" s="48"/>
      <c r="H996" s="56"/>
      <c r="I996" s="56"/>
      <c r="J996" s="56"/>
      <c r="K996" s="56"/>
      <c r="L996" s="56"/>
      <c r="M996" s="56"/>
      <c r="N996" s="56"/>
      <c r="O996" s="56"/>
      <c r="P996" s="56"/>
      <c r="Q996" s="56"/>
      <c r="R996" s="56"/>
      <c r="S996" s="56"/>
      <c r="T996" s="56"/>
      <c r="U996" s="56"/>
      <c r="V996" s="56"/>
      <c r="W996" s="27"/>
      <c r="X996" s="56"/>
      <c r="Y996" s="27"/>
      <c r="Z996" s="56"/>
      <c r="AA996" s="27"/>
      <c r="AB996" s="56"/>
      <c r="AC996" s="27"/>
      <c r="AD996" s="56"/>
      <c r="AE996" s="27"/>
      <c r="AF996" s="56"/>
      <c r="AG996" s="27"/>
      <c r="AH996" s="286"/>
      <c r="AI996" s="27"/>
      <c r="AJ996" s="56"/>
      <c r="AK996" s="27"/>
      <c r="AL996" s="56"/>
      <c r="AM996" s="27"/>
      <c r="AN996" s="56"/>
      <c r="AO996" s="27"/>
      <c r="AP996" s="56"/>
      <c r="AQ996" s="27"/>
      <c r="AR996" s="56"/>
      <c r="AS996" s="27"/>
      <c r="AT996" s="56"/>
      <c r="AU996" s="27"/>
      <c r="AV996" s="56"/>
      <c r="AW996" s="27"/>
      <c r="AX996" s="56"/>
      <c r="AY996" s="27"/>
      <c r="AZ996" s="56"/>
      <c r="BA996" s="27"/>
      <c r="BB996" s="48"/>
      <c r="BC996" s="48"/>
      <c r="BD996" s="48"/>
      <c r="BE996" s="48"/>
      <c r="BF996" s="48"/>
      <c r="BG996" s="48"/>
      <c r="BH996" s="48"/>
      <c r="BI996" s="48"/>
      <c r="BJ996" s="48"/>
      <c r="BK996" s="48"/>
      <c r="BL996" s="48"/>
      <c r="BM996" s="48"/>
      <c r="BN996" s="48"/>
      <c r="BO996" s="48"/>
      <c r="BP996" s="48"/>
      <c r="BQ996" s="48"/>
      <c r="BR996" s="48"/>
      <c r="BS996" s="48"/>
      <c r="BT996" s="48"/>
      <c r="BU996" s="48"/>
    </row>
    <row r="997" ht="15.75" customHeight="1">
      <c r="A997" s="48"/>
      <c r="B997" s="48"/>
      <c r="C997" s="48"/>
      <c r="D997" s="48"/>
      <c r="E997" s="27"/>
      <c r="F997" s="48"/>
      <c r="G997" s="48"/>
      <c r="H997" s="56"/>
      <c r="I997" s="56"/>
      <c r="J997" s="56"/>
      <c r="K997" s="56"/>
      <c r="L997" s="56"/>
      <c r="M997" s="56"/>
      <c r="N997" s="56"/>
      <c r="O997" s="56"/>
      <c r="P997" s="56"/>
      <c r="Q997" s="56"/>
      <c r="R997" s="56"/>
      <c r="S997" s="56"/>
      <c r="T997" s="56"/>
      <c r="U997" s="56"/>
      <c r="V997" s="56"/>
      <c r="W997" s="27"/>
      <c r="X997" s="56"/>
      <c r="Y997" s="27"/>
      <c r="Z997" s="56"/>
      <c r="AA997" s="27"/>
      <c r="AB997" s="56"/>
      <c r="AC997" s="27"/>
      <c r="AD997" s="56"/>
      <c r="AE997" s="27"/>
      <c r="AF997" s="56"/>
      <c r="AG997" s="27"/>
      <c r="AH997" s="286"/>
      <c r="AI997" s="27"/>
      <c r="AJ997" s="56"/>
      <c r="AK997" s="27"/>
      <c r="AL997" s="56"/>
      <c r="AM997" s="27"/>
      <c r="AN997" s="56"/>
      <c r="AO997" s="27"/>
      <c r="AP997" s="56"/>
      <c r="AQ997" s="27"/>
      <c r="AR997" s="56"/>
      <c r="AS997" s="27"/>
      <c r="AT997" s="56"/>
      <c r="AU997" s="27"/>
      <c r="AV997" s="56"/>
      <c r="AW997" s="27"/>
      <c r="AX997" s="56"/>
      <c r="AY997" s="27"/>
      <c r="AZ997" s="56"/>
      <c r="BA997" s="27"/>
      <c r="BB997" s="48"/>
      <c r="BC997" s="48"/>
      <c r="BD997" s="48"/>
      <c r="BE997" s="48"/>
      <c r="BF997" s="48"/>
      <c r="BG997" s="48"/>
      <c r="BH997" s="48"/>
      <c r="BI997" s="48"/>
      <c r="BJ997" s="48"/>
      <c r="BK997" s="48"/>
      <c r="BL997" s="48"/>
      <c r="BM997" s="48"/>
      <c r="BN997" s="48"/>
      <c r="BO997" s="48"/>
      <c r="BP997" s="48"/>
      <c r="BQ997" s="48"/>
      <c r="BR997" s="48"/>
      <c r="BS997" s="48"/>
      <c r="BT997" s="48"/>
      <c r="BU997" s="48"/>
    </row>
    <row r="998" ht="15.75" customHeight="1">
      <c r="A998" s="48"/>
      <c r="B998" s="48"/>
      <c r="C998" s="48"/>
      <c r="D998" s="48"/>
      <c r="E998" s="27"/>
      <c r="F998" s="48"/>
      <c r="G998" s="48"/>
      <c r="H998" s="56"/>
      <c r="I998" s="56"/>
      <c r="J998" s="56"/>
      <c r="K998" s="56"/>
      <c r="L998" s="56"/>
      <c r="M998" s="56"/>
      <c r="N998" s="56"/>
      <c r="O998" s="56"/>
      <c r="P998" s="56"/>
      <c r="Q998" s="56"/>
      <c r="R998" s="56"/>
      <c r="S998" s="56"/>
      <c r="T998" s="56"/>
      <c r="U998" s="56"/>
      <c r="V998" s="56"/>
      <c r="W998" s="27"/>
      <c r="X998" s="56"/>
      <c r="Y998" s="27"/>
      <c r="Z998" s="56"/>
      <c r="AA998" s="27"/>
      <c r="AB998" s="56"/>
      <c r="AC998" s="27"/>
      <c r="AD998" s="56"/>
      <c r="AE998" s="27"/>
      <c r="AF998" s="56"/>
      <c r="AG998" s="27"/>
      <c r="AH998" s="286"/>
      <c r="AI998" s="27"/>
      <c r="AJ998" s="56"/>
      <c r="AK998" s="27"/>
      <c r="AL998" s="56"/>
      <c r="AM998" s="27"/>
      <c r="AN998" s="56"/>
      <c r="AO998" s="27"/>
      <c r="AP998" s="56"/>
      <c r="AQ998" s="27"/>
      <c r="AR998" s="56"/>
      <c r="AS998" s="27"/>
      <c r="AT998" s="56"/>
      <c r="AU998" s="27"/>
      <c r="AV998" s="56"/>
      <c r="AW998" s="27"/>
      <c r="AX998" s="56"/>
      <c r="AY998" s="27"/>
      <c r="AZ998" s="56"/>
      <c r="BA998" s="27"/>
      <c r="BB998" s="48"/>
      <c r="BC998" s="48"/>
      <c r="BD998" s="48"/>
      <c r="BE998" s="48"/>
      <c r="BF998" s="48"/>
      <c r="BG998" s="48"/>
      <c r="BH998" s="48"/>
      <c r="BI998" s="48"/>
      <c r="BJ998" s="48"/>
      <c r="BK998" s="48"/>
      <c r="BL998" s="48"/>
      <c r="BM998" s="48"/>
      <c r="BN998" s="48"/>
      <c r="BO998" s="48"/>
      <c r="BP998" s="48"/>
      <c r="BQ998" s="48"/>
      <c r="BR998" s="48"/>
      <c r="BS998" s="48"/>
      <c r="BT998" s="48"/>
      <c r="BU998" s="48"/>
    </row>
    <row r="999" ht="15.75" customHeight="1">
      <c r="A999" s="48"/>
      <c r="B999" s="48"/>
      <c r="C999" s="48"/>
      <c r="D999" s="48"/>
      <c r="E999" s="27"/>
      <c r="F999" s="48"/>
      <c r="G999" s="48"/>
      <c r="H999" s="56"/>
      <c r="I999" s="56"/>
      <c r="J999" s="56"/>
      <c r="K999" s="56"/>
      <c r="L999" s="56"/>
      <c r="M999" s="56"/>
      <c r="N999" s="56"/>
      <c r="O999" s="56"/>
      <c r="P999" s="56"/>
      <c r="Q999" s="56"/>
      <c r="R999" s="56"/>
      <c r="S999" s="56"/>
      <c r="T999" s="56"/>
      <c r="U999" s="56"/>
      <c r="V999" s="56"/>
      <c r="W999" s="27"/>
      <c r="X999" s="56"/>
      <c r="Y999" s="27"/>
      <c r="Z999" s="56"/>
      <c r="AA999" s="27"/>
      <c r="AB999" s="56"/>
      <c r="AC999" s="27"/>
      <c r="AD999" s="56"/>
      <c r="AE999" s="27"/>
      <c r="AF999" s="56"/>
      <c r="AG999" s="27"/>
      <c r="AH999" s="286"/>
      <c r="AI999" s="27"/>
      <c r="AJ999" s="56"/>
      <c r="AK999" s="27"/>
      <c r="AL999" s="56"/>
      <c r="AM999" s="27"/>
      <c r="AN999" s="56"/>
      <c r="AO999" s="27"/>
      <c r="AP999" s="56"/>
      <c r="AQ999" s="27"/>
      <c r="AR999" s="56"/>
      <c r="AS999" s="27"/>
      <c r="AT999" s="56"/>
      <c r="AU999" s="27"/>
      <c r="AV999" s="56"/>
      <c r="AW999" s="27"/>
      <c r="AX999" s="56"/>
      <c r="AY999" s="27"/>
      <c r="AZ999" s="56"/>
      <c r="BA999" s="27"/>
      <c r="BB999" s="48"/>
      <c r="BC999" s="48"/>
      <c r="BD999" s="48"/>
      <c r="BE999" s="48"/>
      <c r="BF999" s="48"/>
      <c r="BG999" s="48"/>
      <c r="BH999" s="48"/>
      <c r="BI999" s="48"/>
      <c r="BJ999" s="48"/>
      <c r="BK999" s="48"/>
      <c r="BL999" s="48"/>
      <c r="BM999" s="48"/>
      <c r="BN999" s="48"/>
      <c r="BO999" s="48"/>
      <c r="BP999" s="48"/>
      <c r="BQ999" s="48"/>
      <c r="BR999" s="48"/>
      <c r="BS999" s="48"/>
      <c r="BT999" s="48"/>
      <c r="BU999" s="48"/>
    </row>
    <row r="1000" ht="15.75" customHeight="1">
      <c r="A1000" s="48"/>
      <c r="B1000" s="48"/>
      <c r="C1000" s="48"/>
      <c r="D1000" s="48"/>
      <c r="E1000" s="27"/>
      <c r="F1000" s="48"/>
      <c r="G1000" s="48"/>
      <c r="H1000" s="56"/>
      <c r="I1000" s="56"/>
      <c r="J1000" s="56"/>
      <c r="K1000" s="56"/>
      <c r="L1000" s="56"/>
      <c r="M1000" s="56"/>
      <c r="N1000" s="56"/>
      <c r="O1000" s="56"/>
      <c r="P1000" s="56"/>
      <c r="Q1000" s="56"/>
      <c r="R1000" s="56"/>
      <c r="S1000" s="56"/>
      <c r="T1000" s="56"/>
      <c r="U1000" s="56"/>
      <c r="V1000" s="56"/>
      <c r="W1000" s="27"/>
      <c r="X1000" s="56"/>
      <c r="Y1000" s="27"/>
      <c r="Z1000" s="56"/>
      <c r="AA1000" s="27"/>
      <c r="AB1000" s="56"/>
      <c r="AC1000" s="27"/>
      <c r="AD1000" s="56"/>
      <c r="AE1000" s="27"/>
      <c r="AF1000" s="56"/>
      <c r="AG1000" s="27"/>
      <c r="AH1000" s="286"/>
      <c r="AI1000" s="27"/>
      <c r="AJ1000" s="56"/>
      <c r="AK1000" s="27"/>
      <c r="AL1000" s="56"/>
      <c r="AM1000" s="27"/>
      <c r="AN1000" s="56"/>
      <c r="AO1000" s="27"/>
      <c r="AP1000" s="56"/>
      <c r="AQ1000" s="27"/>
      <c r="AR1000" s="56"/>
      <c r="AS1000" s="27"/>
      <c r="AT1000" s="56"/>
      <c r="AU1000" s="27"/>
      <c r="AV1000" s="56"/>
      <c r="AW1000" s="27"/>
      <c r="AX1000" s="56"/>
      <c r="AY1000" s="27"/>
      <c r="AZ1000" s="56"/>
      <c r="BA1000" s="27"/>
      <c r="BB1000" s="48"/>
      <c r="BC1000" s="48"/>
      <c r="BD1000" s="48"/>
      <c r="BE1000" s="48"/>
      <c r="BF1000" s="48"/>
      <c r="BG1000" s="48"/>
      <c r="BH1000" s="48"/>
      <c r="BI1000" s="48"/>
      <c r="BJ1000" s="48"/>
      <c r="BK1000" s="48"/>
      <c r="BL1000" s="48"/>
      <c r="BM1000" s="48"/>
      <c r="BN1000" s="48"/>
      <c r="BO1000" s="48"/>
      <c r="BP1000" s="48"/>
      <c r="BQ1000" s="48"/>
      <c r="BR1000" s="48"/>
      <c r="BS1000" s="48"/>
      <c r="BT1000" s="48"/>
      <c r="BU1000" s="48"/>
    </row>
  </sheetData>
  <mergeCells count="6">
    <mergeCell ref="H1:K1"/>
    <mergeCell ref="L1:U1"/>
    <mergeCell ref="V1:AA1"/>
    <mergeCell ref="AB1:AM1"/>
    <mergeCell ref="AN1:AU1"/>
    <mergeCell ref="AV1:BA1"/>
  </mergeCells>
  <conditionalFormatting sqref="H1 H2:I1000">
    <cfRule type="cellIs" dxfId="12" priority="1" operator="equal">
      <formula>"exclude"</formula>
    </cfRule>
  </conditionalFormatting>
  <conditionalFormatting sqref="H2:H64 J2:J64">
    <cfRule type="cellIs" dxfId="12" priority="2" operator="equal">
      <formula>"exclude"</formula>
    </cfRule>
  </conditionalFormatting>
  <conditionalFormatting sqref="K2:U1000 L1">
    <cfRule type="cellIs" dxfId="12" priority="3" operator="equal">
      <formula>"rejected"</formula>
    </cfRule>
  </conditionalFormatting>
  <printOptions/>
  <pageMargins bottom="0.75" footer="0.0" header="0.0" left="0.7" right="0.7" top="0.75"/>
  <pageSetup orientation="landscape"/>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2023-05-30T08:31:59Z</dcterms:created>
  <dc:creator>Gizealew Alazie</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0x01010073DAF135F71B7C4585225E0AEE0C3C92</vt:lpwstr>
  </property>
  <property fmtid="{D5CDD505-2E9C-101B-9397-08002B2CF9AE}" pid="3" name="MediaServiceImageTags">
    <vt:lpwstr/>
  </property>
</Properties>
</file>